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ine Bouslamti\Documents\mes docs\GESTION LAB\"/>
    </mc:Choice>
  </mc:AlternateContent>
  <xr:revisionPtr revIDLastSave="0" documentId="13_ncr:1_{4686469D-A8AB-4861-AC97-03F0FB760A81}" xr6:coauthVersionLast="45" xr6:coauthVersionMax="45" xr10:uidLastSave="{00000000-0000-0000-0000-000000000000}"/>
  <bookViews>
    <workbookView xWindow="-120" yWindow="-120" windowWidth="24240" windowHeight="13140" tabRatio="813" activeTab="3" xr2:uid="{00000000-000D-0000-FFFF-FFFF00000000}"/>
  </bookViews>
  <sheets>
    <sheet name="azote" sheetId="6" r:id="rId1"/>
    <sheet name="Potabilité" sheetId="1" r:id="rId2"/>
    <sheet name="Irrigation" sheetId="2" r:id="rId3"/>
    <sheet name="Biofertilisants" sheetId="3" r:id="rId4"/>
    <sheet name="Végétaux" sheetId="4" r:id="rId5"/>
    <sheet name="Terre" sheetId="5" r:id="rId6"/>
    <sheet name="EAP" sheetId="7" r:id="rId7"/>
    <sheet name="base+oligo" sheetId="9" r:id="rId8"/>
    <sheet name="etm biof" sheetId="11" r:id="rId9"/>
    <sheet name="etm eau" sheetId="12" r:id="rId10"/>
    <sheet name="ETM VEG" sheetId="14" r:id="rId11"/>
    <sheet name="Feuil1" sheetId="15" state="hidden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3" hidden="1">Biofertilisants!$A$1:$AD$895</definedName>
    <definedName name="_xlnm._FilterDatabase" localSheetId="2" hidden="1">Irrigation!$D$705:$V$1021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446" i="2" l="1"/>
  <c r="B1445" i="2"/>
  <c r="B1446" i="2"/>
  <c r="AI4622" i="5" l="1"/>
  <c r="AI4621" i="5"/>
  <c r="AB193" i="6"/>
  <c r="AC193" i="6" s="1"/>
  <c r="AF193" i="6"/>
  <c r="AB194" i="6"/>
  <c r="AC194" i="6" s="1"/>
  <c r="AD194" i="6" s="1"/>
  <c r="AE194" i="6" s="1"/>
  <c r="AF194" i="6"/>
  <c r="AD193" i="6" l="1"/>
  <c r="AE193" i="6" s="1"/>
  <c r="B1444" i="2" l="1"/>
  <c r="B1443" i="2"/>
  <c r="AI4620" i="5" l="1"/>
  <c r="AI4619" i="5"/>
  <c r="AI4618" i="5"/>
  <c r="AI4617" i="5"/>
  <c r="AI4616" i="5"/>
  <c r="AI4615" i="5"/>
  <c r="AI4614" i="5"/>
  <c r="AB186" i="6"/>
  <c r="AC186" i="6" s="1"/>
  <c r="AD186" i="6" s="1"/>
  <c r="AE186" i="6" s="1"/>
  <c r="AF186" i="6"/>
  <c r="AB187" i="6"/>
  <c r="AC187" i="6" s="1"/>
  <c r="AF187" i="6"/>
  <c r="AB188" i="6"/>
  <c r="AC188" i="6"/>
  <c r="AF188" i="6"/>
  <c r="AB189" i="6"/>
  <c r="AC189" i="6" s="1"/>
  <c r="AD189" i="6" s="1"/>
  <c r="AE189" i="6" s="1"/>
  <c r="AF189" i="6"/>
  <c r="AB190" i="6"/>
  <c r="AC190" i="6" s="1"/>
  <c r="AF190" i="6"/>
  <c r="AB191" i="6"/>
  <c r="AC191" i="6" s="1"/>
  <c r="AD191" i="6" s="1"/>
  <c r="AE191" i="6" s="1"/>
  <c r="AF191" i="6"/>
  <c r="AB192" i="6"/>
  <c r="AC192" i="6"/>
  <c r="AD192" i="6" s="1"/>
  <c r="AE192" i="6" s="1"/>
  <c r="AF192" i="6"/>
  <c r="AD187" i="6" l="1"/>
  <c r="AE187" i="6" s="1"/>
  <c r="AD190" i="6"/>
  <c r="AE190" i="6" s="1"/>
  <c r="AD188" i="6"/>
  <c r="AE188" i="6" s="1"/>
  <c r="AG4612" i="5"/>
  <c r="AG4610" i="5"/>
  <c r="AG4611" i="5"/>
  <c r="AG4613" i="5"/>
  <c r="AI4612" i="5"/>
  <c r="AI4610" i="5"/>
  <c r="AI4611" i="5"/>
  <c r="AI4613" i="5"/>
  <c r="AB182" i="6"/>
  <c r="AC182" i="6" s="1"/>
  <c r="AF182" i="6"/>
  <c r="AB183" i="6"/>
  <c r="AC183" i="6"/>
  <c r="AF183" i="6"/>
  <c r="AB184" i="6"/>
  <c r="AC184" i="6" s="1"/>
  <c r="AF184" i="6"/>
  <c r="AB185" i="6"/>
  <c r="AC185" i="6"/>
  <c r="AF185" i="6"/>
  <c r="AD184" i="6" l="1"/>
  <c r="AE184" i="6" s="1"/>
  <c r="AD183" i="6"/>
  <c r="AE183" i="6" s="1"/>
  <c r="AD185" i="6"/>
  <c r="AE185" i="6" s="1"/>
  <c r="AD182" i="6"/>
  <c r="AE182" i="6" s="1"/>
  <c r="B1438" i="2" l="1"/>
  <c r="B1439" i="2"/>
  <c r="B1440" i="2"/>
  <c r="B1441" i="2"/>
  <c r="B1442" i="2"/>
  <c r="AH4609" i="5"/>
  <c r="AH4608" i="5"/>
  <c r="AG4609" i="5"/>
  <c r="AG4608" i="5"/>
  <c r="AI4609" i="5"/>
  <c r="AI4608" i="5"/>
  <c r="N1647" i="3" l="1"/>
  <c r="O39" i="11"/>
  <c r="P39" i="11"/>
  <c r="Q39" i="11"/>
  <c r="R39" i="11"/>
  <c r="N39" i="11"/>
  <c r="AG4607" i="5" l="1"/>
  <c r="AG4600" i="5"/>
  <c r="AG4601" i="5"/>
  <c r="AG4602" i="5"/>
  <c r="AG4603" i="5"/>
  <c r="AG4604" i="5"/>
  <c r="AG4605" i="5"/>
  <c r="AG4606" i="5"/>
  <c r="AI4607" i="5"/>
  <c r="B1436" i="2"/>
  <c r="B1437" i="2"/>
  <c r="K1437" i="2"/>
  <c r="K1436" i="2"/>
  <c r="AI4601" i="5" l="1"/>
  <c r="AI4602" i="5"/>
  <c r="AI4603" i="5"/>
  <c r="AI4604" i="5"/>
  <c r="AI4605" i="5"/>
  <c r="AI4606" i="5"/>
  <c r="AI4600" i="5"/>
  <c r="AB175" i="6"/>
  <c r="AC175" i="6" s="1"/>
  <c r="AF175" i="6"/>
  <c r="AB176" i="6"/>
  <c r="AC176" i="6" s="1"/>
  <c r="AF176" i="6"/>
  <c r="AB177" i="6"/>
  <c r="AC177" i="6"/>
  <c r="AF177" i="6"/>
  <c r="AB178" i="6"/>
  <c r="AC178" i="6" s="1"/>
  <c r="AF178" i="6"/>
  <c r="AB179" i="6"/>
  <c r="AC179" i="6" s="1"/>
  <c r="AF179" i="6"/>
  <c r="AB180" i="6"/>
  <c r="AC180" i="6" s="1"/>
  <c r="AF180" i="6"/>
  <c r="AB181" i="6"/>
  <c r="AC181" i="6" s="1"/>
  <c r="AF181" i="6"/>
  <c r="X241" i="7"/>
  <c r="X242" i="7"/>
  <c r="X243" i="7"/>
  <c r="AD180" i="6" l="1"/>
  <c r="AE180" i="6" s="1"/>
  <c r="AD181" i="6"/>
  <c r="AE181" i="6" s="1"/>
  <c r="AD176" i="6"/>
  <c r="AE176" i="6" s="1"/>
  <c r="AD178" i="6"/>
  <c r="AE178" i="6" s="1"/>
  <c r="AD179" i="6"/>
  <c r="AE179" i="6" s="1"/>
  <c r="AD177" i="6"/>
  <c r="AE177" i="6" s="1"/>
  <c r="AD175" i="6"/>
  <c r="AE175" i="6" s="1"/>
  <c r="AB172" i="6" l="1"/>
  <c r="AC172" i="6" s="1"/>
  <c r="AF172" i="6"/>
  <c r="AB173" i="6"/>
  <c r="AC173" i="6"/>
  <c r="AF173" i="6"/>
  <c r="AB174" i="6"/>
  <c r="AC174" i="6" s="1"/>
  <c r="AF174" i="6"/>
  <c r="AD172" i="6" l="1"/>
  <c r="AE172" i="6" s="1"/>
  <c r="AD173" i="6"/>
  <c r="AE173" i="6" s="1"/>
  <c r="AD174" i="6"/>
  <c r="AE174" i="6" s="1"/>
  <c r="J1434" i="2"/>
  <c r="B1434" i="2"/>
  <c r="B1435" i="2"/>
  <c r="J1431" i="2" l="1"/>
  <c r="B1431" i="2"/>
  <c r="B1432" i="2"/>
  <c r="B1433" i="2"/>
  <c r="K1433" i="2"/>
  <c r="K1432" i="2"/>
  <c r="K1431" i="2"/>
  <c r="AG6" i="5" l="1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838" i="5"/>
  <c r="AG839" i="5"/>
  <c r="AG850" i="5"/>
  <c r="AG851" i="5"/>
  <c r="AG852" i="5"/>
  <c r="AG853" i="5"/>
  <c r="AG854" i="5"/>
  <c r="AG855" i="5"/>
  <c r="AG864" i="5"/>
  <c r="AG868" i="5"/>
  <c r="AG869" i="5"/>
  <c r="AG874" i="5"/>
  <c r="AG881" i="5"/>
  <c r="AG882" i="5"/>
  <c r="AG884" i="5"/>
  <c r="AG885" i="5"/>
  <c r="AG886" i="5"/>
  <c r="AG887" i="5"/>
  <c r="AG888" i="5"/>
  <c r="AG889" i="5"/>
  <c r="AG890" i="5"/>
  <c r="AG891" i="5"/>
  <c r="AG892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50" i="5"/>
  <c r="AG951" i="5"/>
  <c r="AG952" i="5"/>
  <c r="AG953" i="5"/>
  <c r="AG954" i="5"/>
  <c r="AG955" i="5"/>
  <c r="AG956" i="5"/>
  <c r="AG957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32" i="5"/>
  <c r="AG1133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4" i="5"/>
  <c r="AG1915" i="5"/>
  <c r="AG1916" i="5"/>
  <c r="AG1917" i="5"/>
  <c r="AG1918" i="5"/>
  <c r="AG1919" i="5"/>
  <c r="AG1920" i="5"/>
  <c r="AG1921" i="5"/>
  <c r="AG1922" i="5"/>
  <c r="AG1923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3" i="5"/>
  <c r="AG1944" i="5"/>
  <c r="AG1945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026" i="5"/>
  <c r="AG2027" i="5"/>
  <c r="AG2028" i="5"/>
  <c r="AG2029" i="5"/>
  <c r="AG2030" i="5"/>
  <c r="AG2031" i="5"/>
  <c r="AG2032" i="5"/>
  <c r="AG2033" i="5"/>
  <c r="AG2034" i="5"/>
  <c r="AG2035" i="5"/>
  <c r="AG2036" i="5"/>
  <c r="AG2037" i="5"/>
  <c r="AG2038" i="5"/>
  <c r="AG2039" i="5"/>
  <c r="AG2040" i="5"/>
  <c r="AG2041" i="5"/>
  <c r="AG2042" i="5"/>
  <c r="AG2043" i="5"/>
  <c r="AG2044" i="5"/>
  <c r="AG2045" i="5"/>
  <c r="AG2046" i="5"/>
  <c r="AG2047" i="5"/>
  <c r="AG2048" i="5"/>
  <c r="AG2049" i="5"/>
  <c r="AG2050" i="5"/>
  <c r="AG2051" i="5"/>
  <c r="AG2052" i="5"/>
  <c r="AG2053" i="5"/>
  <c r="AG2054" i="5"/>
  <c r="AG2055" i="5"/>
  <c r="AG2056" i="5"/>
  <c r="AG2057" i="5"/>
  <c r="AG2058" i="5"/>
  <c r="AG2059" i="5"/>
  <c r="AG2060" i="5"/>
  <c r="AG2061" i="5"/>
  <c r="AG2062" i="5"/>
  <c r="AG2063" i="5"/>
  <c r="AG2064" i="5"/>
  <c r="AG2065" i="5"/>
  <c r="AG2066" i="5"/>
  <c r="AG2067" i="5"/>
  <c r="AG2068" i="5"/>
  <c r="AG2069" i="5"/>
  <c r="AG2070" i="5"/>
  <c r="AG2071" i="5"/>
  <c r="AG2072" i="5"/>
  <c r="AG2073" i="5"/>
  <c r="AG2074" i="5"/>
  <c r="AG2075" i="5"/>
  <c r="AG2076" i="5"/>
  <c r="AG2077" i="5"/>
  <c r="AG2078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109" i="5"/>
  <c r="AG2110" i="5"/>
  <c r="AG2111" i="5"/>
  <c r="AG2112" i="5"/>
  <c r="AG2113" i="5"/>
  <c r="AG2114" i="5"/>
  <c r="AG2115" i="5"/>
  <c r="AG2116" i="5"/>
  <c r="AG2117" i="5"/>
  <c r="AG2118" i="5"/>
  <c r="AG2119" i="5"/>
  <c r="AG2120" i="5"/>
  <c r="AG2121" i="5"/>
  <c r="AG2122" i="5"/>
  <c r="AG2123" i="5"/>
  <c r="AG2124" i="5"/>
  <c r="AG2125" i="5"/>
  <c r="AG2126" i="5"/>
  <c r="AG2127" i="5"/>
  <c r="AG2128" i="5"/>
  <c r="AG2129" i="5"/>
  <c r="AG2130" i="5"/>
  <c r="AG2131" i="5"/>
  <c r="AG2132" i="5"/>
  <c r="AG2133" i="5"/>
  <c r="AG2134" i="5"/>
  <c r="AG2135" i="5"/>
  <c r="AG2136" i="5"/>
  <c r="AG2137" i="5"/>
  <c r="AG2138" i="5"/>
  <c r="AG2139" i="5"/>
  <c r="AG2140" i="5"/>
  <c r="AG2141" i="5"/>
  <c r="AG2142" i="5"/>
  <c r="AG2143" i="5"/>
  <c r="AG2144" i="5"/>
  <c r="AG2145" i="5"/>
  <c r="AG2146" i="5"/>
  <c r="AG2147" i="5"/>
  <c r="AG2148" i="5"/>
  <c r="AG2149" i="5"/>
  <c r="AG2150" i="5"/>
  <c r="AG2151" i="5"/>
  <c r="AG2152" i="5"/>
  <c r="AG2153" i="5"/>
  <c r="AG2154" i="5"/>
  <c r="AG2156" i="5"/>
  <c r="AG2157" i="5"/>
  <c r="AG2158" i="5"/>
  <c r="AG2159" i="5"/>
  <c r="AG2160" i="5"/>
  <c r="AG2161" i="5"/>
  <c r="AG2162" i="5"/>
  <c r="AG2163" i="5"/>
  <c r="AG2164" i="5"/>
  <c r="AG2165" i="5"/>
  <c r="AG2166" i="5"/>
  <c r="AG2167" i="5"/>
  <c r="AG2168" i="5"/>
  <c r="AG2169" i="5"/>
  <c r="AG2170" i="5"/>
  <c r="AG2171" i="5"/>
  <c r="AG2172" i="5"/>
  <c r="AG2173" i="5"/>
  <c r="AG2174" i="5"/>
  <c r="AG2175" i="5"/>
  <c r="AG2176" i="5"/>
  <c r="AG2177" i="5"/>
  <c r="AG2178" i="5"/>
  <c r="AG2179" i="5"/>
  <c r="AG2180" i="5"/>
  <c r="AG2181" i="5"/>
  <c r="AG2182" i="5"/>
  <c r="AG2183" i="5"/>
  <c r="AG2184" i="5"/>
  <c r="AG2185" i="5"/>
  <c r="AG2186" i="5"/>
  <c r="AG2187" i="5"/>
  <c r="AG2188" i="5"/>
  <c r="AG2189" i="5"/>
  <c r="AG2190" i="5"/>
  <c r="AG2191" i="5"/>
  <c r="AG2192" i="5"/>
  <c r="AG2193" i="5"/>
  <c r="AG2194" i="5"/>
  <c r="AG2195" i="5"/>
  <c r="AG2196" i="5"/>
  <c r="AG2197" i="5"/>
  <c r="AG2198" i="5"/>
  <c r="AG2199" i="5"/>
  <c r="AG2200" i="5"/>
  <c r="AG2201" i="5"/>
  <c r="AG2202" i="5"/>
  <c r="AG2203" i="5"/>
  <c r="AG2204" i="5"/>
  <c r="AG2205" i="5"/>
  <c r="AG2206" i="5"/>
  <c r="AG2207" i="5"/>
  <c r="AG2208" i="5"/>
  <c r="AG2209" i="5"/>
  <c r="AG2210" i="5"/>
  <c r="AG2211" i="5"/>
  <c r="AG2212" i="5"/>
  <c r="AG2213" i="5"/>
  <c r="AG2214" i="5"/>
  <c r="AG2215" i="5"/>
  <c r="AG2216" i="5"/>
  <c r="AG2217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G2264" i="5"/>
  <c r="AG2265" i="5"/>
  <c r="AG2266" i="5"/>
  <c r="AG2267" i="5"/>
  <c r="AG2268" i="5"/>
  <c r="AG2269" i="5"/>
  <c r="AG2270" i="5"/>
  <c r="AG2271" i="5"/>
  <c r="AG2272" i="5"/>
  <c r="AG2273" i="5"/>
  <c r="AG2274" i="5"/>
  <c r="AG2275" i="5"/>
  <c r="AG2276" i="5"/>
  <c r="AG2277" i="5"/>
  <c r="AG2278" i="5"/>
  <c r="AG2279" i="5"/>
  <c r="AG2280" i="5"/>
  <c r="AG2281" i="5"/>
  <c r="AG2282" i="5"/>
  <c r="AG2283" i="5"/>
  <c r="AG2284" i="5"/>
  <c r="AG2285" i="5"/>
  <c r="AG2286" i="5"/>
  <c r="AG2287" i="5"/>
  <c r="AG2288" i="5"/>
  <c r="AG2289" i="5"/>
  <c r="AG2290" i="5"/>
  <c r="AG2291" i="5"/>
  <c r="AG2292" i="5"/>
  <c r="AG2293" i="5"/>
  <c r="AG2294" i="5"/>
  <c r="AG2295" i="5"/>
  <c r="AG2296" i="5"/>
  <c r="AG2297" i="5"/>
  <c r="AG2298" i="5"/>
  <c r="AG2299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321" i="5"/>
  <c r="AG2322" i="5"/>
  <c r="AG2323" i="5"/>
  <c r="AG2324" i="5"/>
  <c r="AG2325" i="5"/>
  <c r="AG2326" i="5"/>
  <c r="AG2327" i="5"/>
  <c r="AG2328" i="5"/>
  <c r="AG2329" i="5"/>
  <c r="AG2330" i="5"/>
  <c r="AG2331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346" i="5"/>
  <c r="AG2347" i="5"/>
  <c r="AG2348" i="5"/>
  <c r="AG2349" i="5"/>
  <c r="AG2350" i="5"/>
  <c r="AG2351" i="5"/>
  <c r="AG2352" i="5"/>
  <c r="AG2353" i="5"/>
  <c r="AG2354" i="5"/>
  <c r="AG2355" i="5"/>
  <c r="AG2356" i="5"/>
  <c r="AG2357" i="5"/>
  <c r="AG2358" i="5"/>
  <c r="AG2359" i="5"/>
  <c r="AG2360" i="5"/>
  <c r="AG2361" i="5"/>
  <c r="AG2362" i="5"/>
  <c r="AG2363" i="5"/>
  <c r="AG2364" i="5"/>
  <c r="AG2365" i="5"/>
  <c r="AG2366" i="5"/>
  <c r="AG2367" i="5"/>
  <c r="AG2368" i="5"/>
  <c r="AG2369" i="5"/>
  <c r="AG2370" i="5"/>
  <c r="AG2371" i="5"/>
  <c r="AG2372" i="5"/>
  <c r="AG2373" i="5"/>
  <c r="AG2374" i="5"/>
  <c r="AG2375" i="5"/>
  <c r="AG2376" i="5"/>
  <c r="AG2377" i="5"/>
  <c r="AG2378" i="5"/>
  <c r="AG2379" i="5"/>
  <c r="AG2380" i="5"/>
  <c r="AG2381" i="5"/>
  <c r="AG2382" i="5"/>
  <c r="AG2383" i="5"/>
  <c r="AG2384" i="5"/>
  <c r="AG2385" i="5"/>
  <c r="AG2386" i="5"/>
  <c r="AG2387" i="5"/>
  <c r="AG2388" i="5"/>
  <c r="AG2389" i="5"/>
  <c r="AG2390" i="5"/>
  <c r="AG2391" i="5"/>
  <c r="AG2392" i="5"/>
  <c r="AG2393" i="5"/>
  <c r="AG2394" i="5"/>
  <c r="AG2395" i="5"/>
  <c r="AG2396" i="5"/>
  <c r="AG2397" i="5"/>
  <c r="AG2398" i="5"/>
  <c r="AG2399" i="5"/>
  <c r="AG2400" i="5"/>
  <c r="AG2401" i="5"/>
  <c r="AG2402" i="5"/>
  <c r="AG2403" i="5"/>
  <c r="AG2404" i="5"/>
  <c r="AG2405" i="5"/>
  <c r="AG2406" i="5"/>
  <c r="AG2407" i="5"/>
  <c r="AG2408" i="5"/>
  <c r="AG2409" i="5"/>
  <c r="AG2410" i="5"/>
  <c r="AG2411" i="5"/>
  <c r="AG2412" i="5"/>
  <c r="AG2413" i="5"/>
  <c r="AG2414" i="5"/>
  <c r="AG2415" i="5"/>
  <c r="AG2416" i="5"/>
  <c r="AG2417" i="5"/>
  <c r="AG2418" i="5"/>
  <c r="AG2419" i="5"/>
  <c r="AG2420" i="5"/>
  <c r="AG2421" i="5"/>
  <c r="AG2422" i="5"/>
  <c r="AG2423" i="5"/>
  <c r="AG2424" i="5"/>
  <c r="AG2425" i="5"/>
  <c r="AG2426" i="5"/>
  <c r="AG2427" i="5"/>
  <c r="AG2428" i="5"/>
  <c r="AG2429" i="5"/>
  <c r="AG2430" i="5"/>
  <c r="AG2431" i="5"/>
  <c r="AG2432" i="5"/>
  <c r="AG2433" i="5"/>
  <c r="AG2434" i="5"/>
  <c r="AG2435" i="5"/>
  <c r="AG2436" i="5"/>
  <c r="AG2437" i="5"/>
  <c r="AG2438" i="5"/>
  <c r="AG2439" i="5"/>
  <c r="AG2440" i="5"/>
  <c r="AG2441" i="5"/>
  <c r="AG2442" i="5"/>
  <c r="AG2443" i="5"/>
  <c r="AG2444" i="5"/>
  <c r="AG2445" i="5"/>
  <c r="AG2446" i="5"/>
  <c r="AG2447" i="5"/>
  <c r="AG2448" i="5"/>
  <c r="AG2449" i="5"/>
  <c r="AG2450" i="5"/>
  <c r="AG2451" i="5"/>
  <c r="AG2452" i="5"/>
  <c r="AG2453" i="5"/>
  <c r="AG2454" i="5"/>
  <c r="AG2455" i="5"/>
  <c r="AG2456" i="5"/>
  <c r="AG2457" i="5"/>
  <c r="AG2458" i="5"/>
  <c r="AG2459" i="5"/>
  <c r="AG2460" i="5"/>
  <c r="AG2461" i="5"/>
  <c r="AG2462" i="5"/>
  <c r="AG2463" i="5"/>
  <c r="AG2464" i="5"/>
  <c r="AG2465" i="5"/>
  <c r="AG2466" i="5"/>
  <c r="AG2467" i="5"/>
  <c r="AG2468" i="5"/>
  <c r="AG2469" i="5"/>
  <c r="AG2470" i="5"/>
  <c r="AG2471" i="5"/>
  <c r="AG2472" i="5"/>
  <c r="AG2473" i="5"/>
  <c r="AG2474" i="5"/>
  <c r="AG2475" i="5"/>
  <c r="AG2476" i="5"/>
  <c r="AG2477" i="5"/>
  <c r="AG2478" i="5"/>
  <c r="AG2479" i="5"/>
  <c r="AG2480" i="5"/>
  <c r="AG2481" i="5"/>
  <c r="AG2482" i="5"/>
  <c r="AG2483" i="5"/>
  <c r="AG2484" i="5"/>
  <c r="AG2485" i="5"/>
  <c r="AG2486" i="5"/>
  <c r="AG2487" i="5"/>
  <c r="AG2488" i="5"/>
  <c r="AG2489" i="5"/>
  <c r="AG2490" i="5"/>
  <c r="AG2491" i="5"/>
  <c r="AG2492" i="5"/>
  <c r="AG2493" i="5"/>
  <c r="AG2494" i="5"/>
  <c r="AG2495" i="5"/>
  <c r="AG2496" i="5"/>
  <c r="AG2497" i="5"/>
  <c r="AG2498" i="5"/>
  <c r="AG2499" i="5"/>
  <c r="AG2500" i="5"/>
  <c r="AG2501" i="5"/>
  <c r="AG2502" i="5"/>
  <c r="AG2503" i="5"/>
  <c r="AG2504" i="5"/>
  <c r="AG2505" i="5"/>
  <c r="AG2506" i="5"/>
  <c r="AG2507" i="5"/>
  <c r="AG2508" i="5"/>
  <c r="AG2509" i="5"/>
  <c r="AG2510" i="5"/>
  <c r="AG2511" i="5"/>
  <c r="AG2512" i="5"/>
  <c r="AG2513" i="5"/>
  <c r="AG2514" i="5"/>
  <c r="AG2515" i="5"/>
  <c r="AG2516" i="5"/>
  <c r="AG2517" i="5"/>
  <c r="AG2518" i="5"/>
  <c r="AG2519" i="5"/>
  <c r="AG2520" i="5"/>
  <c r="AG2521" i="5"/>
  <c r="AG2522" i="5"/>
  <c r="AG2523" i="5"/>
  <c r="AG2524" i="5"/>
  <c r="AG2525" i="5"/>
  <c r="AG2526" i="5"/>
  <c r="AG2527" i="5"/>
  <c r="AG2528" i="5"/>
  <c r="AG2529" i="5"/>
  <c r="AG2530" i="5"/>
  <c r="AG2531" i="5"/>
  <c r="AG2532" i="5"/>
  <c r="AG2533" i="5"/>
  <c r="AG2534" i="5"/>
  <c r="AG2535" i="5"/>
  <c r="AG2536" i="5"/>
  <c r="AG2537" i="5"/>
  <c r="AG2538" i="5"/>
  <c r="AG2539" i="5"/>
  <c r="AG2540" i="5"/>
  <c r="AG2541" i="5"/>
  <c r="AG2542" i="5"/>
  <c r="AG2543" i="5"/>
  <c r="AG2544" i="5"/>
  <c r="AG2545" i="5"/>
  <c r="AG2546" i="5"/>
  <c r="AG2547" i="5"/>
  <c r="AG2548" i="5"/>
  <c r="AG2549" i="5"/>
  <c r="AG2550" i="5"/>
  <c r="AG2551" i="5"/>
  <c r="AG2552" i="5"/>
  <c r="AG2553" i="5"/>
  <c r="AG2554" i="5"/>
  <c r="AG2555" i="5"/>
  <c r="AG2556" i="5"/>
  <c r="AG2557" i="5"/>
  <c r="AG2558" i="5"/>
  <c r="AG2559" i="5"/>
  <c r="AG2560" i="5"/>
  <c r="AG2561" i="5"/>
  <c r="AG2562" i="5"/>
  <c r="AG2563" i="5"/>
  <c r="AG2564" i="5"/>
  <c r="AG2565" i="5"/>
  <c r="AG2566" i="5"/>
  <c r="AG2567" i="5"/>
  <c r="AG2568" i="5"/>
  <c r="AG2569" i="5"/>
  <c r="AG2570" i="5"/>
  <c r="AG2571" i="5"/>
  <c r="AG2572" i="5"/>
  <c r="AG2573" i="5"/>
  <c r="AG2574" i="5"/>
  <c r="AG2575" i="5"/>
  <c r="AG2576" i="5"/>
  <c r="AG2577" i="5"/>
  <c r="AG2578" i="5"/>
  <c r="AG2579" i="5"/>
  <c r="AG2580" i="5"/>
  <c r="AG2581" i="5"/>
  <c r="AG2582" i="5"/>
  <c r="AG2583" i="5"/>
  <c r="AG2584" i="5"/>
  <c r="AG2585" i="5"/>
  <c r="AG2586" i="5"/>
  <c r="AG2587" i="5"/>
  <c r="AG2588" i="5"/>
  <c r="AG2589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G2652" i="5"/>
  <c r="AG2653" i="5"/>
  <c r="AG2654" i="5"/>
  <c r="AG2655" i="5"/>
  <c r="AG2656" i="5"/>
  <c r="AG2657" i="5"/>
  <c r="AG2658" i="5"/>
  <c r="AG2659" i="5"/>
  <c r="AG2660" i="5"/>
  <c r="AG2661" i="5"/>
  <c r="AG2662" i="5"/>
  <c r="AG2663" i="5"/>
  <c r="AG2664" i="5"/>
  <c r="AG2665" i="5"/>
  <c r="AG2666" i="5"/>
  <c r="AG2667" i="5"/>
  <c r="AG2668" i="5"/>
  <c r="AG2669" i="5"/>
  <c r="AG2670" i="5"/>
  <c r="AG2671" i="5"/>
  <c r="AG2672" i="5"/>
  <c r="AG2673" i="5"/>
  <c r="AG2674" i="5"/>
  <c r="AG2675" i="5"/>
  <c r="AG2676" i="5"/>
  <c r="AG2677" i="5"/>
  <c r="AG2678" i="5"/>
  <c r="AG2679" i="5"/>
  <c r="AG2680" i="5"/>
  <c r="AG2681" i="5"/>
  <c r="AG2682" i="5"/>
  <c r="AG2683" i="5"/>
  <c r="AG2684" i="5"/>
  <c r="AG2685" i="5"/>
  <c r="AG2686" i="5"/>
  <c r="AG2687" i="5"/>
  <c r="AG2688" i="5"/>
  <c r="AG2689" i="5"/>
  <c r="AG2690" i="5"/>
  <c r="AG2691" i="5"/>
  <c r="AG2692" i="5"/>
  <c r="AG2693" i="5"/>
  <c r="AG2694" i="5"/>
  <c r="AG2695" i="5"/>
  <c r="AG2696" i="5"/>
  <c r="AG2697" i="5"/>
  <c r="AG2698" i="5"/>
  <c r="AG2699" i="5"/>
  <c r="AG2700" i="5"/>
  <c r="AG2701" i="5"/>
  <c r="AG2702" i="5"/>
  <c r="AG2703" i="5"/>
  <c r="AG2704" i="5"/>
  <c r="AG2705" i="5"/>
  <c r="AG2706" i="5"/>
  <c r="AG2707" i="5"/>
  <c r="AG2708" i="5"/>
  <c r="AG2709" i="5"/>
  <c r="AG2710" i="5"/>
  <c r="AG2711" i="5"/>
  <c r="AG2712" i="5"/>
  <c r="AG2713" i="5"/>
  <c r="AG2714" i="5"/>
  <c r="AG2715" i="5"/>
  <c r="AG2716" i="5"/>
  <c r="AG2717" i="5"/>
  <c r="AG2718" i="5"/>
  <c r="AG2719" i="5"/>
  <c r="AG2720" i="5"/>
  <c r="AG2721" i="5"/>
  <c r="AG2722" i="5"/>
  <c r="AG2723" i="5"/>
  <c r="AG2724" i="5"/>
  <c r="AG2725" i="5"/>
  <c r="AG2726" i="5"/>
  <c r="AG2727" i="5"/>
  <c r="AG2728" i="5"/>
  <c r="AG2729" i="5"/>
  <c r="AG2730" i="5"/>
  <c r="AG2731" i="5"/>
  <c r="AG2732" i="5"/>
  <c r="AG2733" i="5"/>
  <c r="AG2734" i="5"/>
  <c r="AG2735" i="5"/>
  <c r="AG2736" i="5"/>
  <c r="AG2737" i="5"/>
  <c r="AG2738" i="5"/>
  <c r="AG2739" i="5"/>
  <c r="AG2740" i="5"/>
  <c r="AG2741" i="5"/>
  <c r="AG2742" i="5"/>
  <c r="AG2743" i="5"/>
  <c r="AG2744" i="5"/>
  <c r="AG2745" i="5"/>
  <c r="AG2746" i="5"/>
  <c r="AG2747" i="5"/>
  <c r="AG2748" i="5"/>
  <c r="AG2749" i="5"/>
  <c r="AG2750" i="5"/>
  <c r="AG2751" i="5"/>
  <c r="AG2752" i="5"/>
  <c r="AG2753" i="5"/>
  <c r="AG2754" i="5"/>
  <c r="AG2755" i="5"/>
  <c r="AG2756" i="5"/>
  <c r="AG2757" i="5"/>
  <c r="AG2758" i="5"/>
  <c r="AG2759" i="5"/>
  <c r="AG2760" i="5"/>
  <c r="AG2761" i="5"/>
  <c r="AG2762" i="5"/>
  <c r="AG2763" i="5"/>
  <c r="AG2764" i="5"/>
  <c r="AG2765" i="5"/>
  <c r="AG2766" i="5"/>
  <c r="AG2767" i="5"/>
  <c r="AG2768" i="5"/>
  <c r="AG2769" i="5"/>
  <c r="AG2770" i="5"/>
  <c r="AG2771" i="5"/>
  <c r="AG2772" i="5"/>
  <c r="AG2773" i="5"/>
  <c r="AG2774" i="5"/>
  <c r="AG2775" i="5"/>
  <c r="AG2776" i="5"/>
  <c r="AG2777" i="5"/>
  <c r="AG2778" i="5"/>
  <c r="AG2779" i="5"/>
  <c r="AG2780" i="5"/>
  <c r="AG2781" i="5"/>
  <c r="AG2782" i="5"/>
  <c r="AG2783" i="5"/>
  <c r="AG2784" i="5"/>
  <c r="AG2785" i="5"/>
  <c r="AG2786" i="5"/>
  <c r="AG2787" i="5"/>
  <c r="AG2788" i="5"/>
  <c r="AG2789" i="5"/>
  <c r="AG2790" i="5"/>
  <c r="AG2791" i="5"/>
  <c r="AG2792" i="5"/>
  <c r="AG2793" i="5"/>
  <c r="AG2794" i="5"/>
  <c r="AG2795" i="5"/>
  <c r="AG2796" i="5"/>
  <c r="AG2797" i="5"/>
  <c r="AG2798" i="5"/>
  <c r="AG2799" i="5"/>
  <c r="AG2800" i="5"/>
  <c r="AG2801" i="5"/>
  <c r="AG2802" i="5"/>
  <c r="AG2803" i="5"/>
  <c r="AG2804" i="5"/>
  <c r="AG2805" i="5"/>
  <c r="AG2806" i="5"/>
  <c r="AG2807" i="5"/>
  <c r="AG2808" i="5"/>
  <c r="AG2809" i="5"/>
  <c r="AG2810" i="5"/>
  <c r="AG2811" i="5"/>
  <c r="AG2812" i="5"/>
  <c r="AG2813" i="5"/>
  <c r="AG2814" i="5"/>
  <c r="AG2815" i="5"/>
  <c r="AG2816" i="5"/>
  <c r="AG2817" i="5"/>
  <c r="AG2818" i="5"/>
  <c r="AG2819" i="5"/>
  <c r="AG2820" i="5"/>
  <c r="AG2821" i="5"/>
  <c r="AG2822" i="5"/>
  <c r="AG2823" i="5"/>
  <c r="AG2824" i="5"/>
  <c r="AG2825" i="5"/>
  <c r="AG2826" i="5"/>
  <c r="AG2827" i="5"/>
  <c r="AG2828" i="5"/>
  <c r="AG2829" i="5"/>
  <c r="AG2830" i="5"/>
  <c r="AG2831" i="5"/>
  <c r="AG2832" i="5"/>
  <c r="AG2833" i="5"/>
  <c r="AG2834" i="5"/>
  <c r="AG2835" i="5"/>
  <c r="AG2836" i="5"/>
  <c r="AG2837" i="5"/>
  <c r="AG2838" i="5"/>
  <c r="AG2839" i="5"/>
  <c r="AG2840" i="5"/>
  <c r="AG2841" i="5"/>
  <c r="AG2842" i="5"/>
  <c r="AG2843" i="5"/>
  <c r="AG2844" i="5"/>
  <c r="AG2845" i="5"/>
  <c r="AG2846" i="5"/>
  <c r="AG2847" i="5"/>
  <c r="AG2848" i="5"/>
  <c r="AG2849" i="5"/>
  <c r="AG2850" i="5"/>
  <c r="AG2851" i="5"/>
  <c r="AG2852" i="5"/>
  <c r="AG2853" i="5"/>
  <c r="AG2854" i="5"/>
  <c r="AG2855" i="5"/>
  <c r="AG2856" i="5"/>
  <c r="AG2857" i="5"/>
  <c r="AG2858" i="5"/>
  <c r="AG2859" i="5"/>
  <c r="AG2860" i="5"/>
  <c r="AG2861" i="5"/>
  <c r="AG2862" i="5"/>
  <c r="AG2863" i="5"/>
  <c r="AG2864" i="5"/>
  <c r="AG2865" i="5"/>
  <c r="AG2866" i="5"/>
  <c r="AG2867" i="5"/>
  <c r="AG2868" i="5"/>
  <c r="AG2869" i="5"/>
  <c r="AG2870" i="5"/>
  <c r="AG2871" i="5"/>
  <c r="AG2872" i="5"/>
  <c r="AG2873" i="5"/>
  <c r="AG2874" i="5"/>
  <c r="AG2875" i="5"/>
  <c r="AG2876" i="5"/>
  <c r="AG2877" i="5"/>
  <c r="AG2878" i="5"/>
  <c r="AG2879" i="5"/>
  <c r="AG2880" i="5"/>
  <c r="AG2881" i="5"/>
  <c r="AG2882" i="5"/>
  <c r="AG2883" i="5"/>
  <c r="AG2884" i="5"/>
  <c r="AG2885" i="5"/>
  <c r="AG2886" i="5"/>
  <c r="AG2887" i="5"/>
  <c r="AG2888" i="5"/>
  <c r="AG2889" i="5"/>
  <c r="AG2890" i="5"/>
  <c r="AG2891" i="5"/>
  <c r="AG2892" i="5"/>
  <c r="AG2893" i="5"/>
  <c r="AG2894" i="5"/>
  <c r="AG2895" i="5"/>
  <c r="AG2896" i="5"/>
  <c r="AG2897" i="5"/>
  <c r="AG2898" i="5"/>
  <c r="AG2899" i="5"/>
  <c r="AG2900" i="5"/>
  <c r="AG2901" i="5"/>
  <c r="AG2902" i="5"/>
  <c r="AG2903" i="5"/>
  <c r="AG2904" i="5"/>
  <c r="AG2905" i="5"/>
  <c r="AG2906" i="5"/>
  <c r="AG2907" i="5"/>
  <c r="AG2908" i="5"/>
  <c r="AG2909" i="5"/>
  <c r="AG2910" i="5"/>
  <c r="AG2911" i="5"/>
  <c r="AG2912" i="5"/>
  <c r="AG2913" i="5"/>
  <c r="AG2914" i="5"/>
  <c r="AG2915" i="5"/>
  <c r="AG2916" i="5"/>
  <c r="AG2917" i="5"/>
  <c r="AG2918" i="5"/>
  <c r="AG2919" i="5"/>
  <c r="AG2920" i="5"/>
  <c r="AG2921" i="5"/>
  <c r="AG2922" i="5"/>
  <c r="AG2923" i="5"/>
  <c r="AG2924" i="5"/>
  <c r="AG2925" i="5"/>
  <c r="AG2926" i="5"/>
  <c r="AG2927" i="5"/>
  <c r="AG2928" i="5"/>
  <c r="AG2929" i="5"/>
  <c r="AG2930" i="5"/>
  <c r="AG2931" i="5"/>
  <c r="AG2932" i="5"/>
  <c r="AG2933" i="5"/>
  <c r="AG2934" i="5"/>
  <c r="AG2935" i="5"/>
  <c r="AG2936" i="5"/>
  <c r="AG2937" i="5"/>
  <c r="AG2938" i="5"/>
  <c r="AG2939" i="5"/>
  <c r="AG2940" i="5"/>
  <c r="AG2941" i="5"/>
  <c r="AG2942" i="5"/>
  <c r="AG2943" i="5"/>
  <c r="AG2944" i="5"/>
  <c r="AG2945" i="5"/>
  <c r="AG2946" i="5"/>
  <c r="AG2947" i="5"/>
  <c r="AG2948" i="5"/>
  <c r="AG2949" i="5"/>
  <c r="AG2950" i="5"/>
  <c r="AG2951" i="5"/>
  <c r="AG2952" i="5"/>
  <c r="AG2953" i="5"/>
  <c r="AG2954" i="5"/>
  <c r="AG2955" i="5"/>
  <c r="AG2956" i="5"/>
  <c r="AG2957" i="5"/>
  <c r="AG2958" i="5"/>
  <c r="AG2959" i="5"/>
  <c r="AG2960" i="5"/>
  <c r="AG2961" i="5"/>
  <c r="AG2962" i="5"/>
  <c r="AG2963" i="5"/>
  <c r="AG2964" i="5"/>
  <c r="AG2965" i="5"/>
  <c r="AG2966" i="5"/>
  <c r="AG2967" i="5"/>
  <c r="AG2968" i="5"/>
  <c r="AG2969" i="5"/>
  <c r="AG2970" i="5"/>
  <c r="AG2971" i="5"/>
  <c r="AG2972" i="5"/>
  <c r="AG2973" i="5"/>
  <c r="AG2974" i="5"/>
  <c r="AG2975" i="5"/>
  <c r="AG2976" i="5"/>
  <c r="AG2977" i="5"/>
  <c r="AG2978" i="5"/>
  <c r="AG2979" i="5"/>
  <c r="AG2980" i="5"/>
  <c r="AG2981" i="5"/>
  <c r="AG2982" i="5"/>
  <c r="AG2983" i="5"/>
  <c r="AG2984" i="5"/>
  <c r="AG2985" i="5"/>
  <c r="AG2986" i="5"/>
  <c r="AG2987" i="5"/>
  <c r="AG2988" i="5"/>
  <c r="AG2989" i="5"/>
  <c r="AG2990" i="5"/>
  <c r="AG2991" i="5"/>
  <c r="AG2992" i="5"/>
  <c r="AG2993" i="5"/>
  <c r="AG2994" i="5"/>
  <c r="AG2995" i="5"/>
  <c r="AG2996" i="5"/>
  <c r="AG2997" i="5"/>
  <c r="AG2998" i="5"/>
  <c r="AG2999" i="5"/>
  <c r="AG3000" i="5"/>
  <c r="AG3001" i="5"/>
  <c r="AG3002" i="5"/>
  <c r="AG3003" i="5"/>
  <c r="AG3004" i="5"/>
  <c r="AG3005" i="5"/>
  <c r="AG3006" i="5"/>
  <c r="AG3007" i="5"/>
  <c r="AG3008" i="5"/>
  <c r="AG3009" i="5"/>
  <c r="AG3010" i="5"/>
  <c r="AG3011" i="5"/>
  <c r="AG3012" i="5"/>
  <c r="AG3013" i="5"/>
  <c r="AG3014" i="5"/>
  <c r="AG3015" i="5"/>
  <c r="AG3016" i="5"/>
  <c r="AG3017" i="5"/>
  <c r="AG3018" i="5"/>
  <c r="AG3019" i="5"/>
  <c r="AG3020" i="5"/>
  <c r="AG3021" i="5"/>
  <c r="AG3022" i="5"/>
  <c r="AG3023" i="5"/>
  <c r="AG3024" i="5"/>
  <c r="AG3025" i="5"/>
  <c r="AG3026" i="5"/>
  <c r="AG3027" i="5"/>
  <c r="AG3028" i="5"/>
  <c r="AG3029" i="5"/>
  <c r="AG3030" i="5"/>
  <c r="AG3031" i="5"/>
  <c r="AG3032" i="5"/>
  <c r="AG3033" i="5"/>
  <c r="AG3034" i="5"/>
  <c r="AG3035" i="5"/>
  <c r="AG3036" i="5"/>
  <c r="AG3037" i="5"/>
  <c r="AG3038" i="5"/>
  <c r="AG3039" i="5"/>
  <c r="AG3040" i="5"/>
  <c r="AG3041" i="5"/>
  <c r="AG3042" i="5"/>
  <c r="AG3043" i="5"/>
  <c r="AG3044" i="5"/>
  <c r="AG3045" i="5"/>
  <c r="AG3046" i="5"/>
  <c r="AG3047" i="5"/>
  <c r="AG3048" i="5"/>
  <c r="AG3049" i="5"/>
  <c r="AG3050" i="5"/>
  <c r="AG3051" i="5"/>
  <c r="AG3052" i="5"/>
  <c r="AG3053" i="5"/>
  <c r="AG3054" i="5"/>
  <c r="AG3055" i="5"/>
  <c r="AG3056" i="5"/>
  <c r="AG3057" i="5"/>
  <c r="AG3058" i="5"/>
  <c r="AG3059" i="5"/>
  <c r="AG3060" i="5"/>
  <c r="AG3061" i="5"/>
  <c r="AG3062" i="5"/>
  <c r="AG3063" i="5"/>
  <c r="AG3064" i="5"/>
  <c r="AG3065" i="5"/>
  <c r="AG3066" i="5"/>
  <c r="AG3067" i="5"/>
  <c r="AG3068" i="5"/>
  <c r="AG3069" i="5"/>
  <c r="AG3070" i="5"/>
  <c r="AG3071" i="5"/>
  <c r="AG3072" i="5"/>
  <c r="AG3073" i="5"/>
  <c r="AG3074" i="5"/>
  <c r="AG3075" i="5"/>
  <c r="AG3076" i="5"/>
  <c r="AG3077" i="5"/>
  <c r="AG3078" i="5"/>
  <c r="AG3079" i="5"/>
  <c r="AG3080" i="5"/>
  <c r="AG3081" i="5"/>
  <c r="AG3082" i="5"/>
  <c r="AG3083" i="5"/>
  <c r="AG3084" i="5"/>
  <c r="AG3085" i="5"/>
  <c r="AG3086" i="5"/>
  <c r="AG3087" i="5"/>
  <c r="AG3088" i="5"/>
  <c r="AG3089" i="5"/>
  <c r="AG3090" i="5"/>
  <c r="AG3091" i="5"/>
  <c r="AG3092" i="5"/>
  <c r="AG3093" i="5"/>
  <c r="AG3094" i="5"/>
  <c r="AG3095" i="5"/>
  <c r="AG3096" i="5"/>
  <c r="AG3097" i="5"/>
  <c r="AG3098" i="5"/>
  <c r="AG3099" i="5"/>
  <c r="AG3100" i="5"/>
  <c r="AG3101" i="5"/>
  <c r="AG3102" i="5"/>
  <c r="AG3103" i="5"/>
  <c r="AG3104" i="5"/>
  <c r="AG3105" i="5"/>
  <c r="AG3106" i="5"/>
  <c r="AG3107" i="5"/>
  <c r="AG3108" i="5"/>
  <c r="AG3109" i="5"/>
  <c r="AG3110" i="5"/>
  <c r="AG3111" i="5"/>
  <c r="AG3112" i="5"/>
  <c r="AG3113" i="5"/>
  <c r="AG3114" i="5"/>
  <c r="AG3115" i="5"/>
  <c r="AG3116" i="5"/>
  <c r="AG3117" i="5"/>
  <c r="AG3118" i="5"/>
  <c r="AG3119" i="5"/>
  <c r="AG3120" i="5"/>
  <c r="AG3121" i="5"/>
  <c r="AG3122" i="5"/>
  <c r="AG3123" i="5"/>
  <c r="AG3124" i="5"/>
  <c r="AG3125" i="5"/>
  <c r="AG3126" i="5"/>
  <c r="AG3127" i="5"/>
  <c r="AG3128" i="5"/>
  <c r="AG3129" i="5"/>
  <c r="AG3130" i="5"/>
  <c r="AG3131" i="5"/>
  <c r="AG3132" i="5"/>
  <c r="AG3133" i="5"/>
  <c r="AG3134" i="5"/>
  <c r="AG3135" i="5"/>
  <c r="AG3136" i="5"/>
  <c r="AG3137" i="5"/>
  <c r="AG3138" i="5"/>
  <c r="AG3139" i="5"/>
  <c r="AG3140" i="5"/>
  <c r="AG3141" i="5"/>
  <c r="AG3142" i="5"/>
  <c r="AG3143" i="5"/>
  <c r="AG3144" i="5"/>
  <c r="AG3145" i="5"/>
  <c r="AG3146" i="5"/>
  <c r="AG3147" i="5"/>
  <c r="AG3148" i="5"/>
  <c r="AG3149" i="5"/>
  <c r="AG3150" i="5"/>
  <c r="AG3151" i="5"/>
  <c r="AG3152" i="5"/>
  <c r="AG3153" i="5"/>
  <c r="AG3154" i="5"/>
  <c r="AG3155" i="5"/>
  <c r="AG3156" i="5"/>
  <c r="AG3157" i="5"/>
  <c r="AG3158" i="5"/>
  <c r="AG3159" i="5"/>
  <c r="AG3160" i="5"/>
  <c r="AG3161" i="5"/>
  <c r="AG3162" i="5"/>
  <c r="AG3163" i="5"/>
  <c r="AG3164" i="5"/>
  <c r="AG3165" i="5"/>
  <c r="AG3166" i="5"/>
  <c r="AG3167" i="5"/>
  <c r="AG3168" i="5"/>
  <c r="AG3169" i="5"/>
  <c r="AG3170" i="5"/>
  <c r="AG3171" i="5"/>
  <c r="AG3172" i="5"/>
  <c r="AG3173" i="5"/>
  <c r="AG3174" i="5"/>
  <c r="AG3175" i="5"/>
  <c r="AG3176" i="5"/>
  <c r="AG3177" i="5"/>
  <c r="AG3178" i="5"/>
  <c r="AG3179" i="5"/>
  <c r="AG3180" i="5"/>
  <c r="AG3181" i="5"/>
  <c r="AG3182" i="5"/>
  <c r="AG3183" i="5"/>
  <c r="AG3184" i="5"/>
  <c r="AG3185" i="5"/>
  <c r="AG3186" i="5"/>
  <c r="AG3187" i="5"/>
  <c r="AG3188" i="5"/>
  <c r="AG3189" i="5"/>
  <c r="AG3190" i="5"/>
  <c r="AG3191" i="5"/>
  <c r="AG3192" i="5"/>
  <c r="AG3193" i="5"/>
  <c r="AG3194" i="5"/>
  <c r="AG3195" i="5"/>
  <c r="AG3196" i="5"/>
  <c r="AG3197" i="5"/>
  <c r="AG3198" i="5"/>
  <c r="AG3199" i="5"/>
  <c r="AG3200" i="5"/>
  <c r="AG3201" i="5"/>
  <c r="AG3202" i="5"/>
  <c r="AG3203" i="5"/>
  <c r="AG3204" i="5"/>
  <c r="AG3205" i="5"/>
  <c r="AG3206" i="5"/>
  <c r="AG3207" i="5"/>
  <c r="AG3208" i="5"/>
  <c r="AG3209" i="5"/>
  <c r="AG3210" i="5"/>
  <c r="AG3211" i="5"/>
  <c r="AG3212" i="5"/>
  <c r="AG3213" i="5"/>
  <c r="AG3214" i="5"/>
  <c r="AG3215" i="5"/>
  <c r="AG3216" i="5"/>
  <c r="AG3217" i="5"/>
  <c r="AG3218" i="5"/>
  <c r="AG3219" i="5"/>
  <c r="AG3220" i="5"/>
  <c r="AG3221" i="5"/>
  <c r="AG3222" i="5"/>
  <c r="AG3223" i="5"/>
  <c r="AG3224" i="5"/>
  <c r="AG3225" i="5"/>
  <c r="AG3226" i="5"/>
  <c r="AG3227" i="5"/>
  <c r="AG3228" i="5"/>
  <c r="AG3229" i="5"/>
  <c r="AG3230" i="5"/>
  <c r="AG3231" i="5"/>
  <c r="AG3232" i="5"/>
  <c r="AG3233" i="5"/>
  <c r="AG3234" i="5"/>
  <c r="AG3235" i="5"/>
  <c r="AG3236" i="5"/>
  <c r="AG3237" i="5"/>
  <c r="AG3238" i="5"/>
  <c r="AG3239" i="5"/>
  <c r="AG3240" i="5"/>
  <c r="AG3241" i="5"/>
  <c r="AG3242" i="5"/>
  <c r="AG3243" i="5"/>
  <c r="AG3244" i="5"/>
  <c r="AG3245" i="5"/>
  <c r="AG3246" i="5"/>
  <c r="AG3247" i="5"/>
  <c r="AG3248" i="5"/>
  <c r="AG3249" i="5"/>
  <c r="AG3250" i="5"/>
  <c r="AG3251" i="5"/>
  <c r="AG3252" i="5"/>
  <c r="AG3253" i="5"/>
  <c r="AG3254" i="5"/>
  <c r="AG3255" i="5"/>
  <c r="AG3256" i="5"/>
  <c r="AG3257" i="5"/>
  <c r="AG3258" i="5"/>
  <c r="AG3259" i="5"/>
  <c r="AG3260" i="5"/>
  <c r="AG3261" i="5"/>
  <c r="AG3262" i="5"/>
  <c r="AG3263" i="5"/>
  <c r="AG3264" i="5"/>
  <c r="AG3265" i="5"/>
  <c r="AG3266" i="5"/>
  <c r="AG3267" i="5"/>
  <c r="AG3268" i="5"/>
  <c r="AG3269" i="5"/>
  <c r="AG3270" i="5"/>
  <c r="AG3271" i="5"/>
  <c r="AG3272" i="5"/>
  <c r="AG3273" i="5"/>
  <c r="AG3274" i="5"/>
  <c r="AG3275" i="5"/>
  <c r="AG3276" i="5"/>
  <c r="AG3277" i="5"/>
  <c r="AG3278" i="5"/>
  <c r="AG3279" i="5"/>
  <c r="AG3280" i="5"/>
  <c r="AG3281" i="5"/>
  <c r="AG3282" i="5"/>
  <c r="AG3283" i="5"/>
  <c r="AG3284" i="5"/>
  <c r="AG3285" i="5"/>
  <c r="AG3286" i="5"/>
  <c r="AG3287" i="5"/>
  <c r="AG3288" i="5"/>
  <c r="AG3289" i="5"/>
  <c r="AG3290" i="5"/>
  <c r="AG3291" i="5"/>
  <c r="AG3292" i="5"/>
  <c r="AG3293" i="5"/>
  <c r="AG3294" i="5"/>
  <c r="AG3295" i="5"/>
  <c r="AG3296" i="5"/>
  <c r="AG3297" i="5"/>
  <c r="AG3298" i="5"/>
  <c r="AG3299" i="5"/>
  <c r="AG3300" i="5"/>
  <c r="AG3301" i="5"/>
  <c r="AG3302" i="5"/>
  <c r="AG3303" i="5"/>
  <c r="AG3304" i="5"/>
  <c r="AG3305" i="5"/>
  <c r="AG3306" i="5"/>
  <c r="AG3307" i="5"/>
  <c r="AG3308" i="5"/>
  <c r="AG3309" i="5"/>
  <c r="AG3310" i="5"/>
  <c r="AG3311" i="5"/>
  <c r="AG3312" i="5"/>
  <c r="AG3313" i="5"/>
  <c r="AG3314" i="5"/>
  <c r="AG3315" i="5"/>
  <c r="AG3316" i="5"/>
  <c r="AG3317" i="5"/>
  <c r="AG3318" i="5"/>
  <c r="AG3319" i="5"/>
  <c r="AG3320" i="5"/>
  <c r="AG3321" i="5"/>
  <c r="AG3322" i="5"/>
  <c r="AG3323" i="5"/>
  <c r="AG3324" i="5"/>
  <c r="AG3325" i="5"/>
  <c r="AG3326" i="5"/>
  <c r="AG3327" i="5"/>
  <c r="AG3328" i="5"/>
  <c r="AG3329" i="5"/>
  <c r="AG3330" i="5"/>
  <c r="AG3331" i="5"/>
  <c r="AG3332" i="5"/>
  <c r="AG3333" i="5"/>
  <c r="AG3334" i="5"/>
  <c r="AG3335" i="5"/>
  <c r="AG3336" i="5"/>
  <c r="AG3337" i="5"/>
  <c r="AG3338" i="5"/>
  <c r="AG3339" i="5"/>
  <c r="AG3340" i="5"/>
  <c r="AG3341" i="5"/>
  <c r="AG3342" i="5"/>
  <c r="AG3343" i="5"/>
  <c r="AG3344" i="5"/>
  <c r="AG3345" i="5"/>
  <c r="AG3346" i="5"/>
  <c r="AG3347" i="5"/>
  <c r="AG3348" i="5"/>
  <c r="AG3349" i="5"/>
  <c r="AG3350" i="5"/>
  <c r="AG3351" i="5"/>
  <c r="AG3352" i="5"/>
  <c r="AG3353" i="5"/>
  <c r="AG3354" i="5"/>
  <c r="AG3355" i="5"/>
  <c r="AG3356" i="5"/>
  <c r="AG3357" i="5"/>
  <c r="AG3358" i="5"/>
  <c r="AG3359" i="5"/>
  <c r="AG3360" i="5"/>
  <c r="AG3361" i="5"/>
  <c r="AG3362" i="5"/>
  <c r="AG3363" i="5"/>
  <c r="AG3364" i="5"/>
  <c r="AG3365" i="5"/>
  <c r="AG3366" i="5"/>
  <c r="AG3367" i="5"/>
  <c r="AG3368" i="5"/>
  <c r="AG3369" i="5"/>
  <c r="AG3370" i="5"/>
  <c r="AG3371" i="5"/>
  <c r="AG3372" i="5"/>
  <c r="AG3373" i="5"/>
  <c r="AG3374" i="5"/>
  <c r="AG3375" i="5"/>
  <c r="AG3376" i="5"/>
  <c r="AG3377" i="5"/>
  <c r="AG3378" i="5"/>
  <c r="AG3379" i="5"/>
  <c r="AG3380" i="5"/>
  <c r="AG3381" i="5"/>
  <c r="AG3382" i="5"/>
  <c r="AG3383" i="5"/>
  <c r="AG3384" i="5"/>
  <c r="AG3385" i="5"/>
  <c r="AG3386" i="5"/>
  <c r="AG3387" i="5"/>
  <c r="AG3388" i="5"/>
  <c r="AG3389" i="5"/>
  <c r="AG3390" i="5"/>
  <c r="AG3391" i="5"/>
  <c r="AG3392" i="5"/>
  <c r="AG3393" i="5"/>
  <c r="AG3394" i="5"/>
  <c r="AG3395" i="5"/>
  <c r="AG3396" i="5"/>
  <c r="AG3397" i="5"/>
  <c r="AG3398" i="5"/>
  <c r="AG3399" i="5"/>
  <c r="AG3400" i="5"/>
  <c r="AG3401" i="5"/>
  <c r="AG3402" i="5"/>
  <c r="AG3403" i="5"/>
  <c r="AG3404" i="5"/>
  <c r="AG3405" i="5"/>
  <c r="AG3406" i="5"/>
  <c r="AG3407" i="5"/>
  <c r="AG3408" i="5"/>
  <c r="AG3409" i="5"/>
  <c r="AG3410" i="5"/>
  <c r="AG3411" i="5"/>
  <c r="AG3412" i="5"/>
  <c r="AG3413" i="5"/>
  <c r="AG3414" i="5"/>
  <c r="AG3415" i="5"/>
  <c r="AG3416" i="5"/>
  <c r="AG3417" i="5"/>
  <c r="AG3418" i="5"/>
  <c r="AG3419" i="5"/>
  <c r="AG3420" i="5"/>
  <c r="AG3421" i="5"/>
  <c r="AG3422" i="5"/>
  <c r="AG3423" i="5"/>
  <c r="AG3424" i="5"/>
  <c r="AG3425" i="5"/>
  <c r="AG3426" i="5"/>
  <c r="AG3427" i="5"/>
  <c r="AG3428" i="5"/>
  <c r="AG3429" i="5"/>
  <c r="AG3430" i="5"/>
  <c r="AG3431" i="5"/>
  <c r="AG3432" i="5"/>
  <c r="AG3433" i="5"/>
  <c r="AG3434" i="5"/>
  <c r="AG3435" i="5"/>
  <c r="AG3436" i="5"/>
  <c r="AG3437" i="5"/>
  <c r="AG3438" i="5"/>
  <c r="AG3439" i="5"/>
  <c r="AG3440" i="5"/>
  <c r="AG3441" i="5"/>
  <c r="AG3442" i="5"/>
  <c r="AG3443" i="5"/>
  <c r="AG3444" i="5"/>
  <c r="AG3445" i="5"/>
  <c r="AG3446" i="5"/>
  <c r="AG3447" i="5"/>
  <c r="AG3448" i="5"/>
  <c r="AG3449" i="5"/>
  <c r="AG3450" i="5"/>
  <c r="AG3451" i="5"/>
  <c r="AG3452" i="5"/>
  <c r="AG3453" i="5"/>
  <c r="AG3454" i="5"/>
  <c r="AG3455" i="5"/>
  <c r="AG3456" i="5"/>
  <c r="AG3457" i="5"/>
  <c r="AG3458" i="5"/>
  <c r="AG3459" i="5"/>
  <c r="AG3460" i="5"/>
  <c r="AG3461" i="5"/>
  <c r="AG3462" i="5"/>
  <c r="AG3463" i="5"/>
  <c r="AG3464" i="5"/>
  <c r="AG3465" i="5"/>
  <c r="AG3466" i="5"/>
  <c r="AG3467" i="5"/>
  <c r="AG3468" i="5"/>
  <c r="AG3469" i="5"/>
  <c r="AG3470" i="5"/>
  <c r="AG3471" i="5"/>
  <c r="AG3472" i="5"/>
  <c r="AG3473" i="5"/>
  <c r="AG3474" i="5"/>
  <c r="AG3475" i="5"/>
  <c r="AG3476" i="5"/>
  <c r="AG3477" i="5"/>
  <c r="AG3478" i="5"/>
  <c r="AG3479" i="5"/>
  <c r="AG3480" i="5"/>
  <c r="AG3481" i="5"/>
  <c r="AG3482" i="5"/>
  <c r="AG3483" i="5"/>
  <c r="AG3484" i="5"/>
  <c r="AG3485" i="5"/>
  <c r="AG3486" i="5"/>
  <c r="AG3487" i="5"/>
  <c r="AG3488" i="5"/>
  <c r="AG3489" i="5"/>
  <c r="AG3490" i="5"/>
  <c r="AG3491" i="5"/>
  <c r="AG3492" i="5"/>
  <c r="AG3493" i="5"/>
  <c r="AG3494" i="5"/>
  <c r="AG3495" i="5"/>
  <c r="AG3496" i="5"/>
  <c r="AG3497" i="5"/>
  <c r="AG3498" i="5"/>
  <c r="AG3499" i="5"/>
  <c r="AG3500" i="5"/>
  <c r="AG3501" i="5"/>
  <c r="AG3502" i="5"/>
  <c r="AG3503" i="5"/>
  <c r="AG3504" i="5"/>
  <c r="AG3505" i="5"/>
  <c r="AG3506" i="5"/>
  <c r="AG3507" i="5"/>
  <c r="AG3508" i="5"/>
  <c r="AG3509" i="5"/>
  <c r="AG3510" i="5"/>
  <c r="AG3511" i="5"/>
  <c r="AG3512" i="5"/>
  <c r="AG3513" i="5"/>
  <c r="AG3514" i="5"/>
  <c r="AG3515" i="5"/>
  <c r="AG3516" i="5"/>
  <c r="AG3517" i="5"/>
  <c r="AG3518" i="5"/>
  <c r="AG3519" i="5"/>
  <c r="AG3520" i="5"/>
  <c r="AG3521" i="5"/>
  <c r="AG3522" i="5"/>
  <c r="AG3523" i="5"/>
  <c r="AG3524" i="5"/>
  <c r="AG3525" i="5"/>
  <c r="AG3526" i="5"/>
  <c r="AG3527" i="5"/>
  <c r="AG3528" i="5"/>
  <c r="AG3529" i="5"/>
  <c r="AG3530" i="5"/>
  <c r="AG3531" i="5"/>
  <c r="AG3532" i="5"/>
  <c r="AG3533" i="5"/>
  <c r="AG3534" i="5"/>
  <c r="AG3535" i="5"/>
  <c r="AG3536" i="5"/>
  <c r="AG3537" i="5"/>
  <c r="AG3538" i="5"/>
  <c r="AG3539" i="5"/>
  <c r="AG3540" i="5"/>
  <c r="AG3541" i="5"/>
  <c r="AG3542" i="5"/>
  <c r="AG3543" i="5"/>
  <c r="AG3544" i="5"/>
  <c r="AG3545" i="5"/>
  <c r="AG3546" i="5"/>
  <c r="AG3547" i="5"/>
  <c r="AG3548" i="5"/>
  <c r="AG3549" i="5"/>
  <c r="AG3550" i="5"/>
  <c r="AG3551" i="5"/>
  <c r="AG3552" i="5"/>
  <c r="AG3553" i="5"/>
  <c r="AG3554" i="5"/>
  <c r="AG3555" i="5"/>
  <c r="AG3556" i="5"/>
  <c r="AG3557" i="5"/>
  <c r="AG3558" i="5"/>
  <c r="AG3559" i="5"/>
  <c r="AG3560" i="5"/>
  <c r="AG3561" i="5"/>
  <c r="AG3562" i="5"/>
  <c r="AG3563" i="5"/>
  <c r="AG3564" i="5"/>
  <c r="AG3565" i="5"/>
  <c r="AG3566" i="5"/>
  <c r="AG3567" i="5"/>
  <c r="AG3568" i="5"/>
  <c r="AG3569" i="5"/>
  <c r="AG3570" i="5"/>
  <c r="AG3571" i="5"/>
  <c r="AG3572" i="5"/>
  <c r="AG3573" i="5"/>
  <c r="AG3574" i="5"/>
  <c r="AG3575" i="5"/>
  <c r="AG3576" i="5"/>
  <c r="AG3577" i="5"/>
  <c r="AG3578" i="5"/>
  <c r="AG3579" i="5"/>
  <c r="AG3580" i="5"/>
  <c r="AG3581" i="5"/>
  <c r="AG3582" i="5"/>
  <c r="AG3583" i="5"/>
  <c r="AG3584" i="5"/>
  <c r="AG3585" i="5"/>
  <c r="AG3586" i="5"/>
  <c r="AG3587" i="5"/>
  <c r="AG3588" i="5"/>
  <c r="AG3589" i="5"/>
  <c r="AG3590" i="5"/>
  <c r="AG3591" i="5"/>
  <c r="AG3592" i="5"/>
  <c r="AG3593" i="5"/>
  <c r="AG3594" i="5"/>
  <c r="AG3595" i="5"/>
  <c r="AG3596" i="5"/>
  <c r="AG3597" i="5"/>
  <c r="AG3598" i="5"/>
  <c r="AG3599" i="5"/>
  <c r="AG3600" i="5"/>
  <c r="AG3601" i="5"/>
  <c r="AG3602" i="5"/>
  <c r="AG3603" i="5"/>
  <c r="AG3604" i="5"/>
  <c r="AG3605" i="5"/>
  <c r="AG3606" i="5"/>
  <c r="AG3607" i="5"/>
  <c r="AG3608" i="5"/>
  <c r="AG3609" i="5"/>
  <c r="AG3610" i="5"/>
  <c r="AG3611" i="5"/>
  <c r="AG3612" i="5"/>
  <c r="AG3613" i="5"/>
  <c r="AG3614" i="5"/>
  <c r="AG3615" i="5"/>
  <c r="AG3616" i="5"/>
  <c r="AG3617" i="5"/>
  <c r="AG3618" i="5"/>
  <c r="AG3619" i="5"/>
  <c r="AG3620" i="5"/>
  <c r="AG3621" i="5"/>
  <c r="AG3622" i="5"/>
  <c r="AG3623" i="5"/>
  <c r="AG3624" i="5"/>
  <c r="AG3625" i="5"/>
  <c r="AG3626" i="5"/>
  <c r="AG3627" i="5"/>
  <c r="AG3628" i="5"/>
  <c r="AG3629" i="5"/>
  <c r="AG3630" i="5"/>
  <c r="AG3631" i="5"/>
  <c r="AG3632" i="5"/>
  <c r="AG3633" i="5"/>
  <c r="AG3634" i="5"/>
  <c r="AG3635" i="5"/>
  <c r="AG3636" i="5"/>
  <c r="AG3637" i="5"/>
  <c r="AG3638" i="5"/>
  <c r="AG3639" i="5"/>
  <c r="AG3640" i="5"/>
  <c r="AG3641" i="5"/>
  <c r="AG3642" i="5"/>
  <c r="AG3643" i="5"/>
  <c r="AG3644" i="5"/>
  <c r="AG3645" i="5"/>
  <c r="AG3646" i="5"/>
  <c r="AG3647" i="5"/>
  <c r="AG3648" i="5"/>
  <c r="AG3649" i="5"/>
  <c r="AG3650" i="5"/>
  <c r="AG3651" i="5"/>
  <c r="AG3652" i="5"/>
  <c r="AG3653" i="5"/>
  <c r="AG3654" i="5"/>
  <c r="AG3655" i="5"/>
  <c r="AG3656" i="5"/>
  <c r="AG3657" i="5"/>
  <c r="AG3658" i="5"/>
  <c r="AG3659" i="5"/>
  <c r="AG3660" i="5"/>
  <c r="AG3661" i="5"/>
  <c r="AG3662" i="5"/>
  <c r="AG3663" i="5"/>
  <c r="AG3664" i="5"/>
  <c r="AG3665" i="5"/>
  <c r="AG3666" i="5"/>
  <c r="AG3667" i="5"/>
  <c r="AG3668" i="5"/>
  <c r="AG3669" i="5"/>
  <c r="AG3670" i="5"/>
  <c r="AG3671" i="5"/>
  <c r="AG3672" i="5"/>
  <c r="AG3673" i="5"/>
  <c r="AG3674" i="5"/>
  <c r="AG3675" i="5"/>
  <c r="AG3676" i="5"/>
  <c r="AG3677" i="5"/>
  <c r="AG3678" i="5"/>
  <c r="AG3679" i="5"/>
  <c r="AG3680" i="5"/>
  <c r="AG3681" i="5"/>
  <c r="AG3682" i="5"/>
  <c r="AG3683" i="5"/>
  <c r="AG3684" i="5"/>
  <c r="AG3685" i="5"/>
  <c r="AG3686" i="5"/>
  <c r="AG3687" i="5"/>
  <c r="AG3688" i="5"/>
  <c r="AG3689" i="5"/>
  <c r="AG3690" i="5"/>
  <c r="AG3691" i="5"/>
  <c r="AG3692" i="5"/>
  <c r="AG3693" i="5"/>
  <c r="AG3694" i="5"/>
  <c r="AG3695" i="5"/>
  <c r="AG3696" i="5"/>
  <c r="AG3697" i="5"/>
  <c r="AG3698" i="5"/>
  <c r="AG3699" i="5"/>
  <c r="AG3700" i="5"/>
  <c r="AG3701" i="5"/>
  <c r="AG3702" i="5"/>
  <c r="AG3703" i="5"/>
  <c r="AG3704" i="5"/>
  <c r="AG3705" i="5"/>
  <c r="AG3706" i="5"/>
  <c r="AG3707" i="5"/>
  <c r="AG3708" i="5"/>
  <c r="AG3709" i="5"/>
  <c r="AG3710" i="5"/>
  <c r="AG3711" i="5"/>
  <c r="AG3712" i="5"/>
  <c r="AG3713" i="5"/>
  <c r="AG3714" i="5"/>
  <c r="AG3715" i="5"/>
  <c r="AG3716" i="5"/>
  <c r="AG3717" i="5"/>
  <c r="AG3718" i="5"/>
  <c r="AG3719" i="5"/>
  <c r="AG3720" i="5"/>
  <c r="AG3721" i="5"/>
  <c r="AG3722" i="5"/>
  <c r="AG3723" i="5"/>
  <c r="AG3724" i="5"/>
  <c r="AG3725" i="5"/>
  <c r="AG3726" i="5"/>
  <c r="AG3727" i="5"/>
  <c r="AG3728" i="5"/>
  <c r="AG3729" i="5"/>
  <c r="AG3730" i="5"/>
  <c r="AG3731" i="5"/>
  <c r="AG3732" i="5"/>
  <c r="AG3733" i="5"/>
  <c r="AG3734" i="5"/>
  <c r="AG3735" i="5"/>
  <c r="AG3736" i="5"/>
  <c r="AG3737" i="5"/>
  <c r="AG3738" i="5"/>
  <c r="AG3739" i="5"/>
  <c r="AG3740" i="5"/>
  <c r="AG3741" i="5"/>
  <c r="AG3742" i="5"/>
  <c r="AG3743" i="5"/>
  <c r="AG3744" i="5"/>
  <c r="AG3745" i="5"/>
  <c r="AG3746" i="5"/>
  <c r="AG3747" i="5"/>
  <c r="AG3748" i="5"/>
  <c r="AG3749" i="5"/>
  <c r="AG3750" i="5"/>
  <c r="AG3751" i="5"/>
  <c r="AG3752" i="5"/>
  <c r="AG3753" i="5"/>
  <c r="AG3754" i="5"/>
  <c r="AG3755" i="5"/>
  <c r="AG3756" i="5"/>
  <c r="AG3757" i="5"/>
  <c r="AG3758" i="5"/>
  <c r="AG3759" i="5"/>
  <c r="AG3760" i="5"/>
  <c r="AG3761" i="5"/>
  <c r="AG3762" i="5"/>
  <c r="AG3763" i="5"/>
  <c r="AG3764" i="5"/>
  <c r="AG3765" i="5"/>
  <c r="AG3766" i="5"/>
  <c r="AG3767" i="5"/>
  <c r="AG3768" i="5"/>
  <c r="AG3769" i="5"/>
  <c r="AG3770" i="5"/>
  <c r="AG3771" i="5"/>
  <c r="AG3772" i="5"/>
  <c r="AG3773" i="5"/>
  <c r="AG3774" i="5"/>
  <c r="AG3775" i="5"/>
  <c r="AG3776" i="5"/>
  <c r="AG3777" i="5"/>
  <c r="AG3778" i="5"/>
  <c r="AG3779" i="5"/>
  <c r="AG3780" i="5"/>
  <c r="AG3781" i="5"/>
  <c r="AG3782" i="5"/>
  <c r="AG3783" i="5"/>
  <c r="AG3784" i="5"/>
  <c r="AG3785" i="5"/>
  <c r="AG3786" i="5"/>
  <c r="AG3787" i="5"/>
  <c r="AG3788" i="5"/>
  <c r="AG3789" i="5"/>
  <c r="AG3790" i="5"/>
  <c r="AG3791" i="5"/>
  <c r="AG3792" i="5"/>
  <c r="AG3793" i="5"/>
  <c r="AG3794" i="5"/>
  <c r="AG3795" i="5"/>
  <c r="AG3796" i="5"/>
  <c r="AG3797" i="5"/>
  <c r="AG3798" i="5"/>
  <c r="AG3799" i="5"/>
  <c r="AG3800" i="5"/>
  <c r="AG3801" i="5"/>
  <c r="AG3802" i="5"/>
  <c r="AG3803" i="5"/>
  <c r="AG3804" i="5"/>
  <c r="AG3805" i="5"/>
  <c r="AG3806" i="5"/>
  <c r="AG3807" i="5"/>
  <c r="AG3808" i="5"/>
  <c r="AG3809" i="5"/>
  <c r="AG3810" i="5"/>
  <c r="AG3811" i="5"/>
  <c r="AG3812" i="5"/>
  <c r="AG3813" i="5"/>
  <c r="AG3814" i="5"/>
  <c r="AG3815" i="5"/>
  <c r="AG3816" i="5"/>
  <c r="AG3817" i="5"/>
  <c r="AG3818" i="5"/>
  <c r="AG3819" i="5"/>
  <c r="AG3820" i="5"/>
  <c r="AG3821" i="5"/>
  <c r="AG3822" i="5"/>
  <c r="AG3823" i="5"/>
  <c r="AG3824" i="5"/>
  <c r="AG3825" i="5"/>
  <c r="AG3826" i="5"/>
  <c r="AG3827" i="5"/>
  <c r="AG3828" i="5"/>
  <c r="AG3829" i="5"/>
  <c r="AG3830" i="5"/>
  <c r="AG3831" i="5"/>
  <c r="AG3832" i="5"/>
  <c r="AG3833" i="5"/>
  <c r="AG3834" i="5"/>
  <c r="AG3835" i="5"/>
  <c r="AG3836" i="5"/>
  <c r="AG3837" i="5"/>
  <c r="AG3838" i="5"/>
  <c r="AG3839" i="5"/>
  <c r="AG3840" i="5"/>
  <c r="AG3841" i="5"/>
  <c r="AG3842" i="5"/>
  <c r="AG3843" i="5"/>
  <c r="AG3844" i="5"/>
  <c r="AG3845" i="5"/>
  <c r="AG3846" i="5"/>
  <c r="AG3847" i="5"/>
  <c r="AG3848" i="5"/>
  <c r="AG3849" i="5"/>
  <c r="AG3850" i="5"/>
  <c r="AG3851" i="5"/>
  <c r="AG3852" i="5"/>
  <c r="AG3853" i="5"/>
  <c r="AG3854" i="5"/>
  <c r="AG3855" i="5"/>
  <c r="AG3856" i="5"/>
  <c r="AG3857" i="5"/>
  <c r="AG3858" i="5"/>
  <c r="AG3859" i="5"/>
  <c r="AG3860" i="5"/>
  <c r="AG3861" i="5"/>
  <c r="AG3862" i="5"/>
  <c r="AG3863" i="5"/>
  <c r="AG3864" i="5"/>
  <c r="AG3865" i="5"/>
  <c r="AG3866" i="5"/>
  <c r="AG3867" i="5"/>
  <c r="AG3868" i="5"/>
  <c r="AG3869" i="5"/>
  <c r="AG3870" i="5"/>
  <c r="AG3871" i="5"/>
  <c r="AG3872" i="5"/>
  <c r="AG3873" i="5"/>
  <c r="AG3874" i="5"/>
  <c r="AG3875" i="5"/>
  <c r="AG3876" i="5"/>
  <c r="AG3877" i="5"/>
  <c r="AG3878" i="5"/>
  <c r="AG3879" i="5"/>
  <c r="AG3880" i="5"/>
  <c r="AG3881" i="5"/>
  <c r="AG3882" i="5"/>
  <c r="AG3883" i="5"/>
  <c r="AG3884" i="5"/>
  <c r="AG3885" i="5"/>
  <c r="AG3886" i="5"/>
  <c r="AG3887" i="5"/>
  <c r="AG3888" i="5"/>
  <c r="AG3889" i="5"/>
  <c r="AG3890" i="5"/>
  <c r="AG3891" i="5"/>
  <c r="AG3892" i="5"/>
  <c r="AG3893" i="5"/>
  <c r="AG3894" i="5"/>
  <c r="AG3895" i="5"/>
  <c r="AG3896" i="5"/>
  <c r="AG3897" i="5"/>
  <c r="AG3898" i="5"/>
  <c r="AG3899" i="5"/>
  <c r="AG3900" i="5"/>
  <c r="AG3901" i="5"/>
  <c r="AG3902" i="5"/>
  <c r="AG3903" i="5"/>
  <c r="AG3904" i="5"/>
  <c r="AG3905" i="5"/>
  <c r="AG3906" i="5"/>
  <c r="AG3907" i="5"/>
  <c r="AG3908" i="5"/>
  <c r="AG3909" i="5"/>
  <c r="AG3910" i="5"/>
  <c r="AG3911" i="5"/>
  <c r="AG3912" i="5"/>
  <c r="AG3913" i="5"/>
  <c r="AG3914" i="5"/>
  <c r="AG3915" i="5"/>
  <c r="AG3916" i="5"/>
  <c r="AG3917" i="5"/>
  <c r="AG3918" i="5"/>
  <c r="AG3919" i="5"/>
  <c r="AG3920" i="5"/>
  <c r="AG3921" i="5"/>
  <c r="AG3922" i="5"/>
  <c r="AG3923" i="5"/>
  <c r="AG3924" i="5"/>
  <c r="AG3925" i="5"/>
  <c r="AG3926" i="5"/>
  <c r="AG3927" i="5"/>
  <c r="AG3928" i="5"/>
  <c r="AG3929" i="5"/>
  <c r="AG3930" i="5"/>
  <c r="AG3931" i="5"/>
  <c r="AG3932" i="5"/>
  <c r="AG3933" i="5"/>
  <c r="AG3934" i="5"/>
  <c r="AG3935" i="5"/>
  <c r="AG3936" i="5"/>
  <c r="AG3937" i="5"/>
  <c r="AG3938" i="5"/>
  <c r="AG3939" i="5"/>
  <c r="AG3940" i="5"/>
  <c r="AG3941" i="5"/>
  <c r="AG3942" i="5"/>
  <c r="AG3943" i="5"/>
  <c r="AG3944" i="5"/>
  <c r="AG3945" i="5"/>
  <c r="AG3946" i="5"/>
  <c r="AG3947" i="5"/>
  <c r="AG3948" i="5"/>
  <c r="AG3949" i="5"/>
  <c r="AG3950" i="5"/>
  <c r="AG3951" i="5"/>
  <c r="AG3952" i="5"/>
  <c r="AG3953" i="5"/>
  <c r="AG3954" i="5"/>
  <c r="AG3955" i="5"/>
  <c r="AG3956" i="5"/>
  <c r="AG3957" i="5"/>
  <c r="AG3958" i="5"/>
  <c r="AG3959" i="5"/>
  <c r="AG3960" i="5"/>
  <c r="AG3961" i="5"/>
  <c r="AG3962" i="5"/>
  <c r="AG3963" i="5"/>
  <c r="AG3964" i="5"/>
  <c r="AG3965" i="5"/>
  <c r="AG3966" i="5"/>
  <c r="AG3967" i="5"/>
  <c r="AG3968" i="5"/>
  <c r="AG3969" i="5"/>
  <c r="AG3970" i="5"/>
  <c r="AG3971" i="5"/>
  <c r="AG3972" i="5"/>
  <c r="AG3973" i="5"/>
  <c r="AG3974" i="5"/>
  <c r="AG3975" i="5"/>
  <c r="AG3976" i="5"/>
  <c r="AG3977" i="5"/>
  <c r="AG3978" i="5"/>
  <c r="AG3979" i="5"/>
  <c r="AG3980" i="5"/>
  <c r="AG3981" i="5"/>
  <c r="AG3982" i="5"/>
  <c r="AG3983" i="5"/>
  <c r="AG3984" i="5"/>
  <c r="AG3985" i="5"/>
  <c r="AG3986" i="5"/>
  <c r="AG3987" i="5"/>
  <c r="AG3988" i="5"/>
  <c r="AG3989" i="5"/>
  <c r="AG3990" i="5"/>
  <c r="AG3991" i="5"/>
  <c r="AG3992" i="5"/>
  <c r="AG3993" i="5"/>
  <c r="AG3994" i="5"/>
  <c r="AG3995" i="5"/>
  <c r="AG3996" i="5"/>
  <c r="AG3997" i="5"/>
  <c r="AG3998" i="5"/>
  <c r="AG3999" i="5"/>
  <c r="AG4000" i="5"/>
  <c r="AG4001" i="5"/>
  <c r="AG4002" i="5"/>
  <c r="AG4003" i="5"/>
  <c r="AG4004" i="5"/>
  <c r="AG4005" i="5"/>
  <c r="AG4006" i="5"/>
  <c r="AG4007" i="5"/>
  <c r="AG4008" i="5"/>
  <c r="AG4009" i="5"/>
  <c r="AG4010" i="5"/>
  <c r="AG4011" i="5"/>
  <c r="AG4012" i="5"/>
  <c r="AG4013" i="5"/>
  <c r="AG4014" i="5"/>
  <c r="AG4015" i="5"/>
  <c r="AG4016" i="5"/>
  <c r="AG4017" i="5"/>
  <c r="AG4018" i="5"/>
  <c r="AG4019" i="5"/>
  <c r="AG4020" i="5"/>
  <c r="AG4021" i="5"/>
  <c r="AG4022" i="5"/>
  <c r="AG4023" i="5"/>
  <c r="AG4024" i="5"/>
  <c r="AG4025" i="5"/>
  <c r="AG4026" i="5"/>
  <c r="AG4027" i="5"/>
  <c r="AG4028" i="5"/>
  <c r="AG4029" i="5"/>
  <c r="AG4030" i="5"/>
  <c r="AG4031" i="5"/>
  <c r="AG4032" i="5"/>
  <c r="AG4033" i="5"/>
  <c r="AG4034" i="5"/>
  <c r="AG4035" i="5"/>
  <c r="AG4036" i="5"/>
  <c r="AG4037" i="5"/>
  <c r="AG4038" i="5"/>
  <c r="AG4039" i="5"/>
  <c r="AG4040" i="5"/>
  <c r="AG4041" i="5"/>
  <c r="AG4042" i="5"/>
  <c r="AG4043" i="5"/>
  <c r="AG4044" i="5"/>
  <c r="AG4045" i="5"/>
  <c r="AG4046" i="5"/>
  <c r="AG4047" i="5"/>
  <c r="AG4048" i="5"/>
  <c r="AG4049" i="5"/>
  <c r="AG4050" i="5"/>
  <c r="AG4051" i="5"/>
  <c r="AG4052" i="5"/>
  <c r="AG4053" i="5"/>
  <c r="AG4054" i="5"/>
  <c r="AG4055" i="5"/>
  <c r="AG4056" i="5"/>
  <c r="AG4057" i="5"/>
  <c r="AG4058" i="5"/>
  <c r="AG4059" i="5"/>
  <c r="AG4060" i="5"/>
  <c r="AG4061" i="5"/>
  <c r="AG4062" i="5"/>
  <c r="AG4063" i="5"/>
  <c r="AG4064" i="5"/>
  <c r="AG4065" i="5"/>
  <c r="AG4066" i="5"/>
  <c r="AG4067" i="5"/>
  <c r="AG4068" i="5"/>
  <c r="AG4069" i="5"/>
  <c r="AG4070" i="5"/>
  <c r="AG4071" i="5"/>
  <c r="AG4072" i="5"/>
  <c r="AG4073" i="5"/>
  <c r="AG4074" i="5"/>
  <c r="AG4075" i="5"/>
  <c r="AG4076" i="5"/>
  <c r="AG4077" i="5"/>
  <c r="AG4078" i="5"/>
  <c r="AG4079" i="5"/>
  <c r="AG4080" i="5"/>
  <c r="AG4081" i="5"/>
  <c r="AG4082" i="5"/>
  <c r="AG4083" i="5"/>
  <c r="AG4084" i="5"/>
  <c r="AG4085" i="5"/>
  <c r="AG4086" i="5"/>
  <c r="AG4087" i="5"/>
  <c r="AG4088" i="5"/>
  <c r="AG4089" i="5"/>
  <c r="AG4090" i="5"/>
  <c r="AG4091" i="5"/>
  <c r="AG4092" i="5"/>
  <c r="AG4093" i="5"/>
  <c r="AG4094" i="5"/>
  <c r="AG4095" i="5"/>
  <c r="AG4096" i="5"/>
  <c r="AG4097" i="5"/>
  <c r="AG4098" i="5"/>
  <c r="AG4099" i="5"/>
  <c r="AG4100" i="5"/>
  <c r="AG4101" i="5"/>
  <c r="AG4102" i="5"/>
  <c r="AG4103" i="5"/>
  <c r="AG4104" i="5"/>
  <c r="AG4105" i="5"/>
  <c r="AG4106" i="5"/>
  <c r="AG4107" i="5"/>
  <c r="AG4108" i="5"/>
  <c r="AG4109" i="5"/>
  <c r="AG4110" i="5"/>
  <c r="AG4111" i="5"/>
  <c r="AG4112" i="5"/>
  <c r="AG4113" i="5"/>
  <c r="AG4114" i="5"/>
  <c r="AG4115" i="5"/>
  <c r="AG4116" i="5"/>
  <c r="AG4117" i="5"/>
  <c r="AG4118" i="5"/>
  <c r="AG4119" i="5"/>
  <c r="AG4120" i="5"/>
  <c r="AG4121" i="5"/>
  <c r="AG4122" i="5"/>
  <c r="AG4123" i="5"/>
  <c r="AG4124" i="5"/>
  <c r="AG4125" i="5"/>
  <c r="AG4126" i="5"/>
  <c r="AG4127" i="5"/>
  <c r="AG4128" i="5"/>
  <c r="AG4129" i="5"/>
  <c r="AG4130" i="5"/>
  <c r="AG4131" i="5"/>
  <c r="AG4132" i="5"/>
  <c r="AG4133" i="5"/>
  <c r="AG4134" i="5"/>
  <c r="AG4135" i="5"/>
  <c r="AG4136" i="5"/>
  <c r="AG4137" i="5"/>
  <c r="AG4138" i="5"/>
  <c r="AG4139" i="5"/>
  <c r="AG4140" i="5"/>
  <c r="AG4141" i="5"/>
  <c r="AG4142" i="5"/>
  <c r="AG4143" i="5"/>
  <c r="AG4144" i="5"/>
  <c r="AG4145" i="5"/>
  <c r="AG4146" i="5"/>
  <c r="AG4147" i="5"/>
  <c r="AG4148" i="5"/>
  <c r="AG4149" i="5"/>
  <c r="AG4150" i="5"/>
  <c r="AG4151" i="5"/>
  <c r="AG4152" i="5"/>
  <c r="AG4153" i="5"/>
  <c r="AG4154" i="5"/>
  <c r="AG4155" i="5"/>
  <c r="AG4156" i="5"/>
  <c r="AG4157" i="5"/>
  <c r="AG4158" i="5"/>
  <c r="AG4159" i="5"/>
  <c r="AG4160" i="5"/>
  <c r="AG4161" i="5"/>
  <c r="AG4162" i="5"/>
  <c r="AG4163" i="5"/>
  <c r="AG4164" i="5"/>
  <c r="AG4165" i="5"/>
  <c r="AG4166" i="5"/>
  <c r="AG4167" i="5"/>
  <c r="AG4168" i="5"/>
  <c r="AG4169" i="5"/>
  <c r="AG4170" i="5"/>
  <c r="AG4171" i="5"/>
  <c r="AG4172" i="5"/>
  <c r="AG4173" i="5"/>
  <c r="AG4174" i="5"/>
  <c r="AG4175" i="5"/>
  <c r="AG4176" i="5"/>
  <c r="AG4177" i="5"/>
  <c r="AG4178" i="5"/>
  <c r="AG4179" i="5"/>
  <c r="AG4180" i="5"/>
  <c r="AG4181" i="5"/>
  <c r="AG4182" i="5"/>
  <c r="AG4183" i="5"/>
  <c r="AG4184" i="5"/>
  <c r="AG4185" i="5"/>
  <c r="AG4186" i="5"/>
  <c r="AG4187" i="5"/>
  <c r="AG4188" i="5"/>
  <c r="AG4189" i="5"/>
  <c r="AG4190" i="5"/>
  <c r="AG4191" i="5"/>
  <c r="AG4192" i="5"/>
  <c r="AG4193" i="5"/>
  <c r="AG4194" i="5"/>
  <c r="AG4195" i="5"/>
  <c r="AG4196" i="5"/>
  <c r="AG4197" i="5"/>
  <c r="AG4198" i="5"/>
  <c r="AG4199" i="5"/>
  <c r="AG4200" i="5"/>
  <c r="AG4201" i="5"/>
  <c r="AG4202" i="5"/>
  <c r="AG4203" i="5"/>
  <c r="AG4204" i="5"/>
  <c r="AG4205" i="5"/>
  <c r="AG4206" i="5"/>
  <c r="AG4207" i="5"/>
  <c r="AG4208" i="5"/>
  <c r="AG4209" i="5"/>
  <c r="AG4210" i="5"/>
  <c r="AG4211" i="5"/>
  <c r="AG4212" i="5"/>
  <c r="AG4213" i="5"/>
  <c r="AG4214" i="5"/>
  <c r="AG4215" i="5"/>
  <c r="AG4216" i="5"/>
  <c r="AG4217" i="5"/>
  <c r="AG4218" i="5"/>
  <c r="AG4219" i="5"/>
  <c r="AG4220" i="5"/>
  <c r="AG4221" i="5"/>
  <c r="AG4222" i="5"/>
  <c r="AG4223" i="5"/>
  <c r="AG4224" i="5"/>
  <c r="AG4225" i="5"/>
  <c r="AG4226" i="5"/>
  <c r="AG4227" i="5"/>
  <c r="AG4228" i="5"/>
  <c r="AG4229" i="5"/>
  <c r="AG4230" i="5"/>
  <c r="AG4231" i="5"/>
  <c r="AG4232" i="5"/>
  <c r="AG4233" i="5"/>
  <c r="AG4234" i="5"/>
  <c r="AG4235" i="5"/>
  <c r="AG4236" i="5"/>
  <c r="AG4237" i="5"/>
  <c r="AG4238" i="5"/>
  <c r="AG4239" i="5"/>
  <c r="AG4240" i="5"/>
  <c r="AG4241" i="5"/>
  <c r="AG4242" i="5"/>
  <c r="AG4243" i="5"/>
  <c r="AG4244" i="5"/>
  <c r="AG4245" i="5"/>
  <c r="AG4246" i="5"/>
  <c r="AG4247" i="5"/>
  <c r="AG4248" i="5"/>
  <c r="AG4249" i="5"/>
  <c r="AG4250" i="5"/>
  <c r="AG4251" i="5"/>
  <c r="AG4252" i="5"/>
  <c r="AG4253" i="5"/>
  <c r="AG4254" i="5"/>
  <c r="AG4255" i="5"/>
  <c r="AG4256" i="5"/>
  <c r="AG4257" i="5"/>
  <c r="AG4258" i="5"/>
  <c r="AG4259" i="5"/>
  <c r="AG4260" i="5"/>
  <c r="AG4261" i="5"/>
  <c r="AG4262" i="5"/>
  <c r="AG4263" i="5"/>
  <c r="AG4264" i="5"/>
  <c r="AG4265" i="5"/>
  <c r="AG4266" i="5"/>
  <c r="AG4267" i="5"/>
  <c r="AG4268" i="5"/>
  <c r="AG4269" i="5"/>
  <c r="AG4270" i="5"/>
  <c r="AG4271" i="5"/>
  <c r="AG4272" i="5"/>
  <c r="AG4273" i="5"/>
  <c r="AG4274" i="5"/>
  <c r="AG4275" i="5"/>
  <c r="AG4276" i="5"/>
  <c r="AG4277" i="5"/>
  <c r="AG4278" i="5"/>
  <c r="AG4279" i="5"/>
  <c r="AG4280" i="5"/>
  <c r="AG4281" i="5"/>
  <c r="AG4282" i="5"/>
  <c r="AG4283" i="5"/>
  <c r="AG4284" i="5"/>
  <c r="AG4285" i="5"/>
  <c r="AG4286" i="5"/>
  <c r="AG4287" i="5"/>
  <c r="AG4288" i="5"/>
  <c r="AG4289" i="5"/>
  <c r="AG4290" i="5"/>
  <c r="AG4291" i="5"/>
  <c r="AG4292" i="5"/>
  <c r="AG4293" i="5"/>
  <c r="AG4294" i="5"/>
  <c r="AG4295" i="5"/>
  <c r="AG4296" i="5"/>
  <c r="AG4297" i="5"/>
  <c r="AG4298" i="5"/>
  <c r="AG4299" i="5"/>
  <c r="AG4300" i="5"/>
  <c r="AG4301" i="5"/>
  <c r="AG4302" i="5"/>
  <c r="AG4303" i="5"/>
  <c r="AG4304" i="5"/>
  <c r="AG4305" i="5"/>
  <c r="AG4306" i="5"/>
  <c r="AG4307" i="5"/>
  <c r="AG4308" i="5"/>
  <c r="AG4309" i="5"/>
  <c r="AG4310" i="5"/>
  <c r="AG4311" i="5"/>
  <c r="AG4312" i="5"/>
  <c r="AG4313" i="5"/>
  <c r="AG4314" i="5"/>
  <c r="AG4315" i="5"/>
  <c r="AG4316" i="5"/>
  <c r="AG4317" i="5"/>
  <c r="AG4318" i="5"/>
  <c r="AG4319" i="5"/>
  <c r="AG4320" i="5"/>
  <c r="AG4321" i="5"/>
  <c r="AG4322" i="5"/>
  <c r="AG4323" i="5"/>
  <c r="AG4324" i="5"/>
  <c r="AG4325" i="5"/>
  <c r="AG4326" i="5"/>
  <c r="AG4327" i="5"/>
  <c r="AG4328" i="5"/>
  <c r="AG4329" i="5"/>
  <c r="AG4330" i="5"/>
  <c r="AG4331" i="5"/>
  <c r="AG4332" i="5"/>
  <c r="AG4333" i="5"/>
  <c r="AG4334" i="5"/>
  <c r="AG4335" i="5"/>
  <c r="AG4336" i="5"/>
  <c r="AG4337" i="5"/>
  <c r="AG4338" i="5"/>
  <c r="AG4339" i="5"/>
  <c r="AG4340" i="5"/>
  <c r="AG4341" i="5"/>
  <c r="AG4342" i="5"/>
  <c r="AG4343" i="5"/>
  <c r="AG4344" i="5"/>
  <c r="AG4345" i="5"/>
  <c r="AG4346" i="5"/>
  <c r="AG4347" i="5"/>
  <c r="AG4348" i="5"/>
  <c r="AG4349" i="5"/>
  <c r="AG4350" i="5"/>
  <c r="AG4351" i="5"/>
  <c r="AG4352" i="5"/>
  <c r="AG4353" i="5"/>
  <c r="AG4354" i="5"/>
  <c r="AG4355" i="5"/>
  <c r="AG4356" i="5"/>
  <c r="AG4357" i="5"/>
  <c r="AG4358" i="5"/>
  <c r="AG4359" i="5"/>
  <c r="AG4360" i="5"/>
  <c r="AG4361" i="5"/>
  <c r="AG4362" i="5"/>
  <c r="AG4363" i="5"/>
  <c r="AG4364" i="5"/>
  <c r="AG4365" i="5"/>
  <c r="AG4366" i="5"/>
  <c r="AG4367" i="5"/>
  <c r="AG4368" i="5"/>
  <c r="AG4369" i="5"/>
  <c r="AG4370" i="5"/>
  <c r="AG4371" i="5"/>
  <c r="AG4372" i="5"/>
  <c r="AG4373" i="5"/>
  <c r="AG4374" i="5"/>
  <c r="AG4375" i="5"/>
  <c r="AG4376" i="5"/>
  <c r="AG4377" i="5"/>
  <c r="AG4378" i="5"/>
  <c r="AG4379" i="5"/>
  <c r="AG4380" i="5"/>
  <c r="AG4381" i="5"/>
  <c r="AG4382" i="5"/>
  <c r="AG4383" i="5"/>
  <c r="AG4384" i="5"/>
  <c r="AG4385" i="5"/>
  <c r="AG4386" i="5"/>
  <c r="AG4387" i="5"/>
  <c r="AG4388" i="5"/>
  <c r="AG4389" i="5"/>
  <c r="AG4390" i="5"/>
  <c r="AG4391" i="5"/>
  <c r="AG4392" i="5"/>
  <c r="AG4393" i="5"/>
  <c r="AG4394" i="5"/>
  <c r="AG4395" i="5"/>
  <c r="AG4396" i="5"/>
  <c r="AG4397" i="5"/>
  <c r="AG4398" i="5"/>
  <c r="AG4399" i="5"/>
  <c r="AG4400" i="5"/>
  <c r="AG4401" i="5"/>
  <c r="AG4402" i="5"/>
  <c r="AG4403" i="5"/>
  <c r="AG4404" i="5"/>
  <c r="AG4405" i="5"/>
  <c r="AG4406" i="5"/>
  <c r="AG4407" i="5"/>
  <c r="AG4408" i="5"/>
  <c r="AG4409" i="5"/>
  <c r="AG4410" i="5"/>
  <c r="AG4411" i="5"/>
  <c r="AG4412" i="5"/>
  <c r="AG4413" i="5"/>
  <c r="AG4414" i="5"/>
  <c r="AG4415" i="5"/>
  <c r="AG4416" i="5"/>
  <c r="AG4417" i="5"/>
  <c r="AG4418" i="5"/>
  <c r="AG4419" i="5"/>
  <c r="AG4420" i="5"/>
  <c r="AG4421" i="5"/>
  <c r="AG4422" i="5"/>
  <c r="AG4423" i="5"/>
  <c r="AG4424" i="5"/>
  <c r="AG4425" i="5"/>
  <c r="AG4426" i="5"/>
  <c r="AG4427" i="5"/>
  <c r="AG4428" i="5"/>
  <c r="AG4429" i="5"/>
  <c r="AG4430" i="5"/>
  <c r="AG4431" i="5"/>
  <c r="AG4432" i="5"/>
  <c r="AG4433" i="5"/>
  <c r="AG4434" i="5"/>
  <c r="AG4435" i="5"/>
  <c r="AG4436" i="5"/>
  <c r="AG4437" i="5"/>
  <c r="AG4438" i="5"/>
  <c r="AG4439" i="5"/>
  <c r="AG4440" i="5"/>
  <c r="AG4441" i="5"/>
  <c r="AG4442" i="5"/>
  <c r="AG4443" i="5"/>
  <c r="AG4444" i="5"/>
  <c r="AG4445" i="5"/>
  <c r="AG4446" i="5"/>
  <c r="AG4447" i="5"/>
  <c r="AG4448" i="5"/>
  <c r="AG4449" i="5"/>
  <c r="AG4450" i="5"/>
  <c r="AG4451" i="5"/>
  <c r="AG4452" i="5"/>
  <c r="AG4453" i="5"/>
  <c r="AG4454" i="5"/>
  <c r="AG4455" i="5"/>
  <c r="AG4456" i="5"/>
  <c r="AG4457" i="5"/>
  <c r="AG4458" i="5"/>
  <c r="AG4459" i="5"/>
  <c r="AG4460" i="5"/>
  <c r="AG4461" i="5"/>
  <c r="AG4462" i="5"/>
  <c r="AG4463" i="5"/>
  <c r="AG4464" i="5"/>
  <c r="AG4465" i="5"/>
  <c r="AG4466" i="5"/>
  <c r="AG4467" i="5"/>
  <c r="AG4468" i="5"/>
  <c r="AG4469" i="5"/>
  <c r="AG4470" i="5"/>
  <c r="AG4471" i="5"/>
  <c r="AG4472" i="5"/>
  <c r="AG4473" i="5"/>
  <c r="AG4474" i="5"/>
  <c r="AG4475" i="5"/>
  <c r="AG4476" i="5"/>
  <c r="AG4477" i="5"/>
  <c r="AG4478" i="5"/>
  <c r="AG4479" i="5"/>
  <c r="AG4480" i="5"/>
  <c r="AG4481" i="5"/>
  <c r="AG4482" i="5"/>
  <c r="AG4483" i="5"/>
  <c r="AG4484" i="5"/>
  <c r="AG4485" i="5"/>
  <c r="AG4486" i="5"/>
  <c r="AG4487" i="5"/>
  <c r="AG4488" i="5"/>
  <c r="AG4489" i="5"/>
  <c r="AG4490" i="5"/>
  <c r="AG4491" i="5"/>
  <c r="AG4492" i="5"/>
  <c r="AG4493" i="5"/>
  <c r="AG4494" i="5"/>
  <c r="AG4495" i="5"/>
  <c r="AG4496" i="5"/>
  <c r="AG4497" i="5"/>
  <c r="AG4498" i="5"/>
  <c r="AG4499" i="5"/>
  <c r="AG4500" i="5"/>
  <c r="AG4501" i="5"/>
  <c r="AG4502" i="5"/>
  <c r="AG4503" i="5"/>
  <c r="AG4504" i="5"/>
  <c r="AG4505" i="5"/>
  <c r="AG4506" i="5"/>
  <c r="AG4507" i="5"/>
  <c r="AG4508" i="5"/>
  <c r="AG4509" i="5"/>
  <c r="AG4510" i="5"/>
  <c r="AG4511" i="5"/>
  <c r="AG4512" i="5"/>
  <c r="AG4513" i="5"/>
  <c r="AG4514" i="5"/>
  <c r="AG4515" i="5"/>
  <c r="AG4516" i="5"/>
  <c r="AG4517" i="5"/>
  <c r="AG4518" i="5"/>
  <c r="AG4519" i="5"/>
  <c r="AG4520" i="5"/>
  <c r="AG4521" i="5"/>
  <c r="AG4522" i="5"/>
  <c r="AG4523" i="5"/>
  <c r="AG4524" i="5"/>
  <c r="AG4525" i="5"/>
  <c r="AG4526" i="5"/>
  <c r="AG4527" i="5"/>
  <c r="AG4528" i="5"/>
  <c r="AG4529" i="5"/>
  <c r="AG4530" i="5"/>
  <c r="AG4531" i="5"/>
  <c r="AG4532" i="5"/>
  <c r="AG4533" i="5"/>
  <c r="AG4534" i="5"/>
  <c r="AG4535" i="5"/>
  <c r="AG4536" i="5"/>
  <c r="AG4537" i="5"/>
  <c r="AG4538" i="5"/>
  <c r="AG4539" i="5"/>
  <c r="AG4540" i="5"/>
  <c r="AG4541" i="5"/>
  <c r="AG4542" i="5"/>
  <c r="AG4543" i="5"/>
  <c r="AG4544" i="5"/>
  <c r="AG4545" i="5"/>
  <c r="AG4546" i="5"/>
  <c r="AG4547" i="5"/>
  <c r="AG4548" i="5"/>
  <c r="AG4549" i="5"/>
  <c r="AG4550" i="5"/>
  <c r="AG4551" i="5"/>
  <c r="AG4552" i="5"/>
  <c r="AG4553" i="5"/>
  <c r="AG4554" i="5"/>
  <c r="AG4555" i="5"/>
  <c r="AG4556" i="5"/>
  <c r="AG4557" i="5"/>
  <c r="AG4558" i="5"/>
  <c r="AG4559" i="5"/>
  <c r="AG4560" i="5"/>
  <c r="AG4561" i="5"/>
  <c r="AG4562" i="5"/>
  <c r="AG4563" i="5"/>
  <c r="AG4564" i="5"/>
  <c r="AG4565" i="5"/>
  <c r="AG4566" i="5"/>
  <c r="AG4567" i="5"/>
  <c r="AG4568" i="5"/>
  <c r="AG4569" i="5"/>
  <c r="AG4570" i="5"/>
  <c r="AG4571" i="5"/>
  <c r="AG4572" i="5"/>
  <c r="AG4573" i="5"/>
  <c r="AG4574" i="5"/>
  <c r="AG4575" i="5"/>
  <c r="AG4576" i="5"/>
  <c r="AG4577" i="5"/>
  <c r="AG4578" i="5"/>
  <c r="AG4579" i="5"/>
  <c r="AG4580" i="5"/>
  <c r="AG4581" i="5"/>
  <c r="AG4582" i="5"/>
  <c r="AG4583" i="5"/>
  <c r="AG4584" i="5"/>
  <c r="AG4585" i="5"/>
  <c r="AG4586" i="5"/>
  <c r="AG4587" i="5"/>
  <c r="AG4588" i="5"/>
  <c r="AG4589" i="5"/>
  <c r="AG4590" i="5"/>
  <c r="AG4591" i="5"/>
  <c r="AG4592" i="5"/>
  <c r="AG4593" i="5"/>
  <c r="AG4594" i="5"/>
  <c r="AG4595" i="5"/>
  <c r="AG4596" i="5"/>
  <c r="AG4597" i="5"/>
  <c r="AG4598" i="5"/>
  <c r="AG4599" i="5"/>
  <c r="AI4599" i="5" l="1"/>
  <c r="AI4598" i="5"/>
  <c r="O34" i="14"/>
  <c r="P34" i="14"/>
  <c r="Q34" i="14"/>
  <c r="R34" i="14"/>
  <c r="S34" i="14"/>
  <c r="T34" i="14"/>
  <c r="U34" i="14"/>
  <c r="V34" i="14"/>
  <c r="W34" i="14"/>
  <c r="X34" i="14"/>
  <c r="O32" i="14"/>
  <c r="P32" i="14"/>
  <c r="Q32" i="14"/>
  <c r="R32" i="14"/>
  <c r="S32" i="14"/>
  <c r="T32" i="14"/>
  <c r="U32" i="14"/>
  <c r="V32" i="14"/>
  <c r="W32" i="14"/>
  <c r="X32" i="14"/>
  <c r="O33" i="14"/>
  <c r="P33" i="14"/>
  <c r="Q33" i="14"/>
  <c r="R33" i="14"/>
  <c r="S33" i="14"/>
  <c r="T33" i="14"/>
  <c r="U33" i="14"/>
  <c r="V33" i="14"/>
  <c r="W33" i="14"/>
  <c r="X33" i="14"/>
  <c r="B1426" i="2" l="1"/>
  <c r="B1427" i="2"/>
  <c r="B1428" i="2"/>
  <c r="B1429" i="2"/>
  <c r="B1430" i="2"/>
  <c r="B1425" i="2"/>
  <c r="AI4595" i="5" l="1"/>
  <c r="AI4596" i="5"/>
  <c r="AI4597" i="5"/>
  <c r="AB169" i="6"/>
  <c r="AC169" i="6"/>
  <c r="AD169" i="6" s="1"/>
  <c r="AE169" i="6" s="1"/>
  <c r="AF169" i="6"/>
  <c r="AB170" i="6"/>
  <c r="AC170" i="6" s="1"/>
  <c r="AF170" i="6"/>
  <c r="AB171" i="6"/>
  <c r="AC171" i="6" s="1"/>
  <c r="AF171" i="6"/>
  <c r="F2" i="5"/>
  <c r="AD170" i="6" l="1"/>
  <c r="AE170" i="6" s="1"/>
  <c r="AD171" i="6"/>
  <c r="AE171" i="6" s="1"/>
  <c r="B1419" i="2"/>
  <c r="B1420" i="2"/>
  <c r="B1421" i="2"/>
  <c r="B1422" i="2"/>
  <c r="B1423" i="2"/>
  <c r="B1424" i="2"/>
  <c r="O23" i="14" l="1"/>
  <c r="P23" i="14"/>
  <c r="Q23" i="14"/>
  <c r="R23" i="14"/>
  <c r="S23" i="14"/>
  <c r="T23" i="14"/>
  <c r="U23" i="14"/>
  <c r="V23" i="14"/>
  <c r="W23" i="14"/>
  <c r="X23" i="14"/>
  <c r="O24" i="14"/>
  <c r="P24" i="14"/>
  <c r="Q24" i="14"/>
  <c r="R24" i="14"/>
  <c r="S24" i="14"/>
  <c r="T24" i="14"/>
  <c r="U24" i="14"/>
  <c r="V24" i="14"/>
  <c r="W24" i="14"/>
  <c r="X24" i="14"/>
  <c r="O25" i="14"/>
  <c r="P25" i="14"/>
  <c r="Q25" i="14"/>
  <c r="R25" i="14"/>
  <c r="S25" i="14"/>
  <c r="T25" i="14"/>
  <c r="U25" i="14"/>
  <c r="V25" i="14"/>
  <c r="W25" i="14"/>
  <c r="X25" i="14"/>
  <c r="O26" i="14"/>
  <c r="P26" i="14"/>
  <c r="Q26" i="14"/>
  <c r="R26" i="14"/>
  <c r="S26" i="14"/>
  <c r="T26" i="14"/>
  <c r="U26" i="14"/>
  <c r="V26" i="14"/>
  <c r="W26" i="14"/>
  <c r="X26" i="14"/>
  <c r="O27" i="14"/>
  <c r="P27" i="14"/>
  <c r="Q27" i="14"/>
  <c r="R27" i="14"/>
  <c r="S27" i="14"/>
  <c r="T27" i="14"/>
  <c r="U27" i="14"/>
  <c r="V27" i="14"/>
  <c r="W27" i="14"/>
  <c r="X27" i="14"/>
  <c r="O28" i="14"/>
  <c r="P28" i="14"/>
  <c r="Q28" i="14"/>
  <c r="R28" i="14"/>
  <c r="S28" i="14"/>
  <c r="T28" i="14"/>
  <c r="U28" i="14"/>
  <c r="V28" i="14"/>
  <c r="W28" i="14"/>
  <c r="X28" i="14"/>
  <c r="O29" i="14"/>
  <c r="P29" i="14"/>
  <c r="Q29" i="14"/>
  <c r="R29" i="14"/>
  <c r="S29" i="14"/>
  <c r="T29" i="14"/>
  <c r="U29" i="14"/>
  <c r="V29" i="14"/>
  <c r="W29" i="14"/>
  <c r="X29" i="14"/>
  <c r="O30" i="14"/>
  <c r="P30" i="14"/>
  <c r="Q30" i="14"/>
  <c r="R30" i="14"/>
  <c r="S30" i="14"/>
  <c r="T30" i="14"/>
  <c r="U30" i="14"/>
  <c r="V30" i="14"/>
  <c r="W30" i="14"/>
  <c r="X30" i="14"/>
  <c r="O31" i="14"/>
  <c r="P31" i="14"/>
  <c r="Q31" i="14"/>
  <c r="R31" i="14"/>
  <c r="S31" i="14"/>
  <c r="T31" i="14"/>
  <c r="U31" i="14"/>
  <c r="V31" i="14"/>
  <c r="W31" i="14"/>
  <c r="X31" i="14"/>
  <c r="L1417" i="2" l="1"/>
  <c r="B1417" i="2" s="1"/>
  <c r="B1418" i="2"/>
  <c r="J1418" i="2"/>
  <c r="J1417" i="2"/>
  <c r="AB163" i="6" l="1"/>
  <c r="AC163" i="6" s="1"/>
  <c r="AF163" i="6"/>
  <c r="AB164" i="6"/>
  <c r="AC164" i="6"/>
  <c r="AF164" i="6"/>
  <c r="AB165" i="6"/>
  <c r="AC165" i="6" s="1"/>
  <c r="AF165" i="6"/>
  <c r="AB166" i="6"/>
  <c r="AC166" i="6"/>
  <c r="AF166" i="6"/>
  <c r="AB167" i="6"/>
  <c r="AC167" i="6" s="1"/>
  <c r="AF167" i="6"/>
  <c r="AB168" i="6"/>
  <c r="AC168" i="6"/>
  <c r="AF168" i="6"/>
  <c r="AI4590" i="5"/>
  <c r="AI4591" i="5"/>
  <c r="AI4592" i="5"/>
  <c r="AI4593" i="5"/>
  <c r="AI4594" i="5"/>
  <c r="AI4589" i="5"/>
  <c r="AD167" i="6" l="1"/>
  <c r="AE167" i="6" s="1"/>
  <c r="AD166" i="6"/>
  <c r="AE166" i="6" s="1"/>
  <c r="AD163" i="6"/>
  <c r="AE163" i="6" s="1"/>
  <c r="AD164" i="6"/>
  <c r="AE164" i="6" s="1"/>
  <c r="AD168" i="6"/>
  <c r="AE168" i="6" s="1"/>
  <c r="AD165" i="6"/>
  <c r="AE165" i="6" s="1"/>
  <c r="AH4586" i="5"/>
  <c r="AH4587" i="5"/>
  <c r="AH4588" i="5"/>
  <c r="AI4588" i="5"/>
  <c r="AI4587" i="5"/>
  <c r="AI4586" i="5"/>
  <c r="AB160" i="6"/>
  <c r="AC160" i="6" s="1"/>
  <c r="AF160" i="6"/>
  <c r="AB161" i="6"/>
  <c r="AC161" i="6" s="1"/>
  <c r="AF161" i="6"/>
  <c r="AB162" i="6"/>
  <c r="AC162" i="6" s="1"/>
  <c r="AF162" i="6"/>
  <c r="AD161" i="6" l="1"/>
  <c r="AE161" i="6" s="1"/>
  <c r="AD162" i="6"/>
  <c r="AE162" i="6" s="1"/>
  <c r="AD160" i="6"/>
  <c r="AE160" i="6" s="1"/>
  <c r="G52" i="11" l="1"/>
  <c r="H52" i="11"/>
  <c r="I52" i="11"/>
  <c r="J52" i="11"/>
  <c r="K52" i="11"/>
  <c r="G53" i="11"/>
  <c r="H53" i="11"/>
  <c r="I53" i="11"/>
  <c r="J53" i="11"/>
  <c r="K53" i="11"/>
  <c r="K1416" i="2" l="1"/>
  <c r="B1416" i="2"/>
  <c r="I2" i="2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37" i="11"/>
  <c r="G37" i="11"/>
  <c r="H37" i="11"/>
  <c r="I37" i="11"/>
  <c r="J37" i="11"/>
  <c r="K37" i="11"/>
  <c r="G38" i="11"/>
  <c r="H38" i="11"/>
  <c r="I38" i="11"/>
  <c r="J38" i="11"/>
  <c r="K38" i="11"/>
  <c r="G39" i="11"/>
  <c r="H39" i="11"/>
  <c r="I39" i="11"/>
  <c r="J39" i="11"/>
  <c r="K39" i="11"/>
  <c r="G40" i="11"/>
  <c r="H40" i="11"/>
  <c r="I40" i="11"/>
  <c r="J40" i="11"/>
  <c r="K40" i="11"/>
  <c r="G41" i="11"/>
  <c r="H41" i="11"/>
  <c r="I41" i="11"/>
  <c r="J41" i="11"/>
  <c r="K41" i="11"/>
  <c r="G42" i="11"/>
  <c r="H42" i="11"/>
  <c r="I42" i="11"/>
  <c r="J42" i="11"/>
  <c r="K42" i="11"/>
  <c r="G43" i="11"/>
  <c r="H43" i="11"/>
  <c r="I43" i="11"/>
  <c r="J43" i="11"/>
  <c r="K43" i="11"/>
  <c r="G44" i="11"/>
  <c r="H44" i="11"/>
  <c r="I44" i="11"/>
  <c r="J44" i="11"/>
  <c r="K44" i="11"/>
  <c r="AB134" i="6" l="1"/>
  <c r="AC134" i="6" s="1"/>
  <c r="AD134" i="6" s="1"/>
  <c r="AE134" i="6" s="1"/>
  <c r="AF134" i="6"/>
  <c r="AB135" i="6"/>
  <c r="AC135" i="6" s="1"/>
  <c r="AD135" i="6" s="1"/>
  <c r="AE135" i="6" s="1"/>
  <c r="AF135" i="6"/>
  <c r="AB136" i="6"/>
  <c r="AC136" i="6" s="1"/>
  <c r="AD136" i="6" s="1"/>
  <c r="AE136" i="6" s="1"/>
  <c r="AF136" i="6"/>
  <c r="AB137" i="6"/>
  <c r="AC137" i="6"/>
  <c r="AD137" i="6"/>
  <c r="AE137" i="6"/>
  <c r="AF137" i="6"/>
  <c r="AB138" i="6"/>
  <c r="AC138" i="6"/>
  <c r="AD138" i="6"/>
  <c r="AE138" i="6" s="1"/>
  <c r="AF138" i="6"/>
  <c r="AB139" i="6"/>
  <c r="AC139" i="6"/>
  <c r="AD139" i="6" s="1"/>
  <c r="AE139" i="6" s="1"/>
  <c r="AF139" i="6"/>
  <c r="AB140" i="6"/>
  <c r="AC140" i="6" s="1"/>
  <c r="AD140" i="6" s="1"/>
  <c r="AE140" i="6" s="1"/>
  <c r="AF140" i="6"/>
  <c r="AB141" i="6"/>
  <c r="AC141" i="6"/>
  <c r="AD141" i="6"/>
  <c r="AE141" i="6"/>
  <c r="AF141" i="6"/>
  <c r="AB142" i="6"/>
  <c r="AC142" i="6"/>
  <c r="AD142" i="6"/>
  <c r="AE142" i="6" s="1"/>
  <c r="AF142" i="6"/>
  <c r="AB143" i="6"/>
  <c r="AC143" i="6"/>
  <c r="AD143" i="6" s="1"/>
  <c r="AE143" i="6" s="1"/>
  <c r="AF143" i="6"/>
  <c r="AB144" i="6"/>
  <c r="AC144" i="6" s="1"/>
  <c r="AD144" i="6" s="1"/>
  <c r="AE144" i="6" s="1"/>
  <c r="AF144" i="6"/>
  <c r="AB145" i="6"/>
  <c r="AC145" i="6"/>
  <c r="AD145" i="6"/>
  <c r="AE145" i="6"/>
  <c r="AF145" i="6"/>
  <c r="AB146" i="6"/>
  <c r="AC146" i="6"/>
  <c r="AD146" i="6"/>
  <c r="AE146" i="6" s="1"/>
  <c r="AF146" i="6"/>
  <c r="AB147" i="6"/>
  <c r="AC147" i="6"/>
  <c r="AD147" i="6" s="1"/>
  <c r="AE147" i="6" s="1"/>
  <c r="AF147" i="6"/>
  <c r="AB148" i="6"/>
  <c r="AC148" i="6" s="1"/>
  <c r="AD148" i="6" s="1"/>
  <c r="AE148" i="6" s="1"/>
  <c r="AF148" i="6"/>
  <c r="AB149" i="6"/>
  <c r="AC149" i="6"/>
  <c r="AD149" i="6"/>
  <c r="AE149" i="6"/>
  <c r="AF149" i="6"/>
  <c r="AB150" i="6"/>
  <c r="AC150" i="6"/>
  <c r="AD150" i="6"/>
  <c r="AE150" i="6" s="1"/>
  <c r="AF150" i="6"/>
  <c r="AB151" i="6"/>
  <c r="AC151" i="6"/>
  <c r="AD151" i="6" s="1"/>
  <c r="AE151" i="6" s="1"/>
  <c r="AF151" i="6"/>
  <c r="AB152" i="6"/>
  <c r="AC152" i="6" s="1"/>
  <c r="AD152" i="6" s="1"/>
  <c r="AE152" i="6" s="1"/>
  <c r="AF152" i="6"/>
  <c r="AB153" i="6"/>
  <c r="AC153" i="6"/>
  <c r="AD153" i="6"/>
  <c r="AE153" i="6"/>
  <c r="AF153" i="6"/>
  <c r="AB154" i="6"/>
  <c r="AC154" i="6"/>
  <c r="AD154" i="6"/>
  <c r="AE154" i="6" s="1"/>
  <c r="AF154" i="6"/>
  <c r="AB155" i="6"/>
  <c r="AC155" i="6"/>
  <c r="AD155" i="6" s="1"/>
  <c r="AE155" i="6" s="1"/>
  <c r="AF155" i="6"/>
  <c r="AB156" i="6"/>
  <c r="AC156" i="6" s="1"/>
  <c r="AD156" i="6" s="1"/>
  <c r="AE156" i="6" s="1"/>
  <c r="AF156" i="6"/>
  <c r="AB157" i="6"/>
  <c r="AC157" i="6"/>
  <c r="AD157" i="6"/>
  <c r="AE157" i="6"/>
  <c r="AF157" i="6"/>
  <c r="AB158" i="6"/>
  <c r="AC158" i="6"/>
  <c r="AD158" i="6"/>
  <c r="AE158" i="6" s="1"/>
  <c r="AF158" i="6"/>
  <c r="AB159" i="6"/>
  <c r="AC159" i="6"/>
  <c r="AD159" i="6" s="1"/>
  <c r="AE159" i="6" s="1"/>
  <c r="AF159" i="6"/>
  <c r="Y1" i="5"/>
  <c r="AH4560" i="5"/>
  <c r="AH4561" i="5"/>
  <c r="AH4562" i="5"/>
  <c r="AH4563" i="5"/>
  <c r="AH4564" i="5"/>
  <c r="AH4565" i="5"/>
  <c r="AH4566" i="5"/>
  <c r="AH4567" i="5"/>
  <c r="AH4568" i="5"/>
  <c r="AH4569" i="5"/>
  <c r="AH4570" i="5"/>
  <c r="AH4571" i="5"/>
  <c r="AH4572" i="5"/>
  <c r="AH4573" i="5"/>
  <c r="AH4574" i="5"/>
  <c r="AH4575" i="5"/>
  <c r="AH4576" i="5"/>
  <c r="AH4577" i="5"/>
  <c r="AH4578" i="5"/>
  <c r="AH4579" i="5"/>
  <c r="AH4580" i="5"/>
  <c r="AH4581" i="5"/>
  <c r="AH4582" i="5"/>
  <c r="AH4583" i="5"/>
  <c r="AH4584" i="5"/>
  <c r="AH4585" i="5"/>
  <c r="AI4560" i="5"/>
  <c r="AI4561" i="5"/>
  <c r="AI4562" i="5"/>
  <c r="AI4563" i="5"/>
  <c r="AI4564" i="5"/>
  <c r="AI4565" i="5"/>
  <c r="AI4566" i="5"/>
  <c r="AI4567" i="5"/>
  <c r="AI4568" i="5"/>
  <c r="AI4569" i="5"/>
  <c r="AI4570" i="5"/>
  <c r="AI4571" i="5"/>
  <c r="AI4572" i="5"/>
  <c r="AI4573" i="5"/>
  <c r="AI4574" i="5"/>
  <c r="AI4575" i="5"/>
  <c r="AI4576" i="5"/>
  <c r="AI4577" i="5"/>
  <c r="AI4578" i="5"/>
  <c r="AI4579" i="5"/>
  <c r="AI4580" i="5"/>
  <c r="AI4581" i="5"/>
  <c r="AI4582" i="5"/>
  <c r="AI4583" i="5"/>
  <c r="AI4584" i="5"/>
  <c r="AI4585" i="5"/>
  <c r="AB124" i="6" l="1"/>
  <c r="AC124" i="6"/>
  <c r="AF124" i="6"/>
  <c r="AD124" i="6" s="1"/>
  <c r="AE124" i="6" s="1"/>
  <c r="AB125" i="6"/>
  <c r="AC125" i="6"/>
  <c r="AD125" i="6"/>
  <c r="AE125" i="6"/>
  <c r="AF125" i="6"/>
  <c r="AB126" i="6"/>
  <c r="AC126" i="6"/>
  <c r="AD126" i="6"/>
  <c r="AE126" i="6"/>
  <c r="AF126" i="6"/>
  <c r="AB127" i="6"/>
  <c r="AC127" i="6"/>
  <c r="AD127" i="6"/>
  <c r="AE127" i="6"/>
  <c r="AF127" i="6"/>
  <c r="AB128" i="6"/>
  <c r="AC128" i="6"/>
  <c r="AD128" i="6"/>
  <c r="AE128" i="6"/>
  <c r="AF128" i="6"/>
  <c r="AB129" i="6"/>
  <c r="AC129" i="6"/>
  <c r="AD129" i="6"/>
  <c r="AE129" i="6"/>
  <c r="AF129" i="6"/>
  <c r="AB130" i="6"/>
  <c r="AC130" i="6"/>
  <c r="AD130" i="6"/>
  <c r="AE130" i="6"/>
  <c r="AF130" i="6"/>
  <c r="AB131" i="6"/>
  <c r="AC131" i="6"/>
  <c r="AD131" i="6"/>
  <c r="AE131" i="6"/>
  <c r="AF131" i="6"/>
  <c r="AB132" i="6"/>
  <c r="AC132" i="6"/>
  <c r="AD132" i="6"/>
  <c r="AE132" i="6"/>
  <c r="AF132" i="6"/>
  <c r="AB133" i="6"/>
  <c r="AC133" i="6"/>
  <c r="AD133" i="6"/>
  <c r="AE133" i="6"/>
  <c r="AF133" i="6"/>
  <c r="AH4550" i="5"/>
  <c r="AH4551" i="5"/>
  <c r="AH4552" i="5"/>
  <c r="AH4553" i="5"/>
  <c r="AH4554" i="5"/>
  <c r="AH4555" i="5"/>
  <c r="AH4556" i="5"/>
  <c r="AH4557" i="5"/>
  <c r="AH4558" i="5"/>
  <c r="AH4559" i="5"/>
  <c r="AI4550" i="5"/>
  <c r="AI4551" i="5"/>
  <c r="AI4552" i="5"/>
  <c r="AI4553" i="5"/>
  <c r="AI4554" i="5"/>
  <c r="AI4555" i="5"/>
  <c r="AI4556" i="5"/>
  <c r="AI4557" i="5"/>
  <c r="AI4558" i="5"/>
  <c r="AI4559" i="5"/>
  <c r="G51" i="11"/>
  <c r="H51" i="11"/>
  <c r="I51" i="11"/>
  <c r="J51" i="11"/>
  <c r="K51" i="11"/>
  <c r="G45" i="11"/>
  <c r="H45" i="11"/>
  <c r="I45" i="11"/>
  <c r="J45" i="11"/>
  <c r="K45" i="11"/>
  <c r="G46" i="11"/>
  <c r="H46" i="11"/>
  <c r="I46" i="11"/>
  <c r="J46" i="11"/>
  <c r="K46" i="11"/>
  <c r="G47" i="11"/>
  <c r="H47" i="11"/>
  <c r="I47" i="11"/>
  <c r="J47" i="11"/>
  <c r="K47" i="11"/>
  <c r="G48" i="11"/>
  <c r="H48" i="11"/>
  <c r="I48" i="11"/>
  <c r="J48" i="11"/>
  <c r="K48" i="11"/>
  <c r="G49" i="11"/>
  <c r="H49" i="11"/>
  <c r="I49" i="11"/>
  <c r="J49" i="11"/>
  <c r="K49" i="11"/>
  <c r="G50" i="11"/>
  <c r="H50" i="11"/>
  <c r="I50" i="11"/>
  <c r="J50" i="11"/>
  <c r="K50" i="11"/>
  <c r="AH4548" i="5"/>
  <c r="AH4549" i="5"/>
  <c r="AH4547" i="5"/>
  <c r="AH2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3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64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206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685" i="5"/>
  <c r="AH2686" i="5"/>
  <c r="AH2687" i="5"/>
  <c r="AH2688" i="5"/>
  <c r="AH2689" i="5"/>
  <c r="AH2690" i="5"/>
  <c r="AH2691" i="5"/>
  <c r="AH2692" i="5"/>
  <c r="AH2693" i="5"/>
  <c r="AH2694" i="5"/>
  <c r="AH2695" i="5"/>
  <c r="AH2696" i="5"/>
  <c r="AH2697" i="5"/>
  <c r="AH2698" i="5"/>
  <c r="AH2699" i="5"/>
  <c r="AH2700" i="5"/>
  <c r="AH2701" i="5"/>
  <c r="AH2702" i="5"/>
  <c r="AH2703" i="5"/>
  <c r="AH2704" i="5"/>
  <c r="AH2705" i="5"/>
  <c r="AH2706" i="5"/>
  <c r="AH2707" i="5"/>
  <c r="AH2708" i="5"/>
  <c r="AH2709" i="5"/>
  <c r="AH2710" i="5"/>
  <c r="AH2711" i="5"/>
  <c r="AH2712" i="5"/>
  <c r="AH2713" i="5"/>
  <c r="AH2714" i="5"/>
  <c r="AH2715" i="5"/>
  <c r="AH2716" i="5"/>
  <c r="AH2717" i="5"/>
  <c r="AH2718" i="5"/>
  <c r="AH2719" i="5"/>
  <c r="AH2720" i="5"/>
  <c r="AH2721" i="5"/>
  <c r="AH2722" i="5"/>
  <c r="AH2723" i="5"/>
  <c r="AH2724" i="5"/>
  <c r="AH2725" i="5"/>
  <c r="AH2726" i="5"/>
  <c r="AH2727" i="5"/>
  <c r="AH2728" i="5"/>
  <c r="AH2729" i="5"/>
  <c r="AH2730" i="5"/>
  <c r="AH2731" i="5"/>
  <c r="AH2732" i="5"/>
  <c r="AH2733" i="5"/>
  <c r="AH2734" i="5"/>
  <c r="AH2735" i="5"/>
  <c r="AH2736" i="5"/>
  <c r="AH2737" i="5"/>
  <c r="AH2738" i="5"/>
  <c r="AH2739" i="5"/>
  <c r="AH2740" i="5"/>
  <c r="AH2741" i="5"/>
  <c r="AH2742" i="5"/>
  <c r="AH2743" i="5"/>
  <c r="AH2744" i="5"/>
  <c r="AH2745" i="5"/>
  <c r="AH2746" i="5"/>
  <c r="AH2747" i="5"/>
  <c r="AH2748" i="5"/>
  <c r="AH2749" i="5"/>
  <c r="AH2750" i="5"/>
  <c r="AH2751" i="5"/>
  <c r="AH2752" i="5"/>
  <c r="AH2753" i="5"/>
  <c r="AH2754" i="5"/>
  <c r="AH2755" i="5"/>
  <c r="AH2756" i="5"/>
  <c r="AH2757" i="5"/>
  <c r="AH2758" i="5"/>
  <c r="AH2759" i="5"/>
  <c r="AH2760" i="5"/>
  <c r="AH2761" i="5"/>
  <c r="AH2762" i="5"/>
  <c r="AH2763" i="5"/>
  <c r="AH2764" i="5"/>
  <c r="AH2765" i="5"/>
  <c r="AH2766" i="5"/>
  <c r="AH2767" i="5"/>
  <c r="AH2768" i="5"/>
  <c r="AH2769" i="5"/>
  <c r="AH2770" i="5"/>
  <c r="AH2771" i="5"/>
  <c r="AH2772" i="5"/>
  <c r="AH2773" i="5"/>
  <c r="AH2774" i="5"/>
  <c r="AH2775" i="5"/>
  <c r="AH2776" i="5"/>
  <c r="AH2777" i="5"/>
  <c r="AH2778" i="5"/>
  <c r="AH2779" i="5"/>
  <c r="AH2780" i="5"/>
  <c r="AH2781" i="5"/>
  <c r="AH2782" i="5"/>
  <c r="AH2783" i="5"/>
  <c r="AH2784" i="5"/>
  <c r="AH2785" i="5"/>
  <c r="AH2786" i="5"/>
  <c r="AH2787" i="5"/>
  <c r="AH2788" i="5"/>
  <c r="AH2789" i="5"/>
  <c r="AH2790" i="5"/>
  <c r="AH2791" i="5"/>
  <c r="AH2792" i="5"/>
  <c r="AH2793" i="5"/>
  <c r="AH2794" i="5"/>
  <c r="AH2795" i="5"/>
  <c r="AH2796" i="5"/>
  <c r="AH2797" i="5"/>
  <c r="AH2798" i="5"/>
  <c r="AH2799" i="5"/>
  <c r="AH2800" i="5"/>
  <c r="AH2801" i="5"/>
  <c r="AH2802" i="5"/>
  <c r="AH2803" i="5"/>
  <c r="AH2804" i="5"/>
  <c r="AH2805" i="5"/>
  <c r="AH2806" i="5"/>
  <c r="AH2807" i="5"/>
  <c r="AH2808" i="5"/>
  <c r="AH2809" i="5"/>
  <c r="AH2810" i="5"/>
  <c r="AH2811" i="5"/>
  <c r="AH2812" i="5"/>
  <c r="AH2813" i="5"/>
  <c r="AH2814" i="5"/>
  <c r="AH2815" i="5"/>
  <c r="AH2816" i="5"/>
  <c r="AH2817" i="5"/>
  <c r="AH2818" i="5"/>
  <c r="AH2819" i="5"/>
  <c r="AH2820" i="5"/>
  <c r="AH2821" i="5"/>
  <c r="AH2822" i="5"/>
  <c r="AH2823" i="5"/>
  <c r="AH2824" i="5"/>
  <c r="AH2825" i="5"/>
  <c r="AH2826" i="5"/>
  <c r="AH2827" i="5"/>
  <c r="AH2828" i="5"/>
  <c r="AH2829" i="5"/>
  <c r="AH2830" i="5"/>
  <c r="AH2831" i="5"/>
  <c r="AH2832" i="5"/>
  <c r="AH2833" i="5"/>
  <c r="AH2834" i="5"/>
  <c r="AH2835" i="5"/>
  <c r="AH2836" i="5"/>
  <c r="AH2837" i="5"/>
  <c r="AH2838" i="5"/>
  <c r="AH2839" i="5"/>
  <c r="AH2840" i="5"/>
  <c r="AH2841" i="5"/>
  <c r="AH2842" i="5"/>
  <c r="AH2843" i="5"/>
  <c r="AH2844" i="5"/>
  <c r="AH2845" i="5"/>
  <c r="AH2846" i="5"/>
  <c r="AH2847" i="5"/>
  <c r="AH2848" i="5"/>
  <c r="AH2849" i="5"/>
  <c r="AH2850" i="5"/>
  <c r="AH2851" i="5"/>
  <c r="AH2852" i="5"/>
  <c r="AH2853" i="5"/>
  <c r="AH2854" i="5"/>
  <c r="AH2855" i="5"/>
  <c r="AH2856" i="5"/>
  <c r="AH2857" i="5"/>
  <c r="AH2858" i="5"/>
  <c r="AH2859" i="5"/>
  <c r="AH2860" i="5"/>
  <c r="AH2861" i="5"/>
  <c r="AH2862" i="5"/>
  <c r="AH2863" i="5"/>
  <c r="AH2864" i="5"/>
  <c r="AH2865" i="5"/>
  <c r="AH2866" i="5"/>
  <c r="AH2867" i="5"/>
  <c r="AH2868" i="5"/>
  <c r="AH2869" i="5"/>
  <c r="AH2870" i="5"/>
  <c r="AH2871" i="5"/>
  <c r="AH2872" i="5"/>
  <c r="AH2873" i="5"/>
  <c r="AH2874" i="5"/>
  <c r="AH2875" i="5"/>
  <c r="AH2876" i="5"/>
  <c r="AH2877" i="5"/>
  <c r="AH2878" i="5"/>
  <c r="AH2879" i="5"/>
  <c r="AH2880" i="5"/>
  <c r="AH2881" i="5"/>
  <c r="AH2882" i="5"/>
  <c r="AH2883" i="5"/>
  <c r="AH2884" i="5"/>
  <c r="AH2885" i="5"/>
  <c r="AH2886" i="5"/>
  <c r="AH2887" i="5"/>
  <c r="AH2888" i="5"/>
  <c r="AH2889" i="5"/>
  <c r="AH2890" i="5"/>
  <c r="AH2891" i="5"/>
  <c r="AH2892" i="5"/>
  <c r="AH2893" i="5"/>
  <c r="AH2894" i="5"/>
  <c r="AH2895" i="5"/>
  <c r="AH2896" i="5"/>
  <c r="AH2897" i="5"/>
  <c r="AH2898" i="5"/>
  <c r="AH2899" i="5"/>
  <c r="AH2900" i="5"/>
  <c r="AH2901" i="5"/>
  <c r="AH2902" i="5"/>
  <c r="AH2903" i="5"/>
  <c r="AH2904" i="5"/>
  <c r="AH2905" i="5"/>
  <c r="AH2906" i="5"/>
  <c r="AH2907" i="5"/>
  <c r="AH2908" i="5"/>
  <c r="AH2909" i="5"/>
  <c r="AH2910" i="5"/>
  <c r="AH2911" i="5"/>
  <c r="AH2912" i="5"/>
  <c r="AH2913" i="5"/>
  <c r="AH2914" i="5"/>
  <c r="AH2915" i="5"/>
  <c r="AH2916" i="5"/>
  <c r="AH2917" i="5"/>
  <c r="AH2918" i="5"/>
  <c r="AH2919" i="5"/>
  <c r="AH2920" i="5"/>
  <c r="AH2921" i="5"/>
  <c r="AH2922" i="5"/>
  <c r="AH2923" i="5"/>
  <c r="AH2924" i="5"/>
  <c r="AH2925" i="5"/>
  <c r="AH2926" i="5"/>
  <c r="AH2927" i="5"/>
  <c r="AH2928" i="5"/>
  <c r="AH2929" i="5"/>
  <c r="AH2930" i="5"/>
  <c r="AH2931" i="5"/>
  <c r="AH2932" i="5"/>
  <c r="AH2933" i="5"/>
  <c r="AH2934" i="5"/>
  <c r="AH2935" i="5"/>
  <c r="AH2936" i="5"/>
  <c r="AH2937" i="5"/>
  <c r="AH2938" i="5"/>
  <c r="AH2939" i="5"/>
  <c r="AH2940" i="5"/>
  <c r="AH2941" i="5"/>
  <c r="AH2942" i="5"/>
  <c r="AH2943" i="5"/>
  <c r="AH2944" i="5"/>
  <c r="AH2945" i="5"/>
  <c r="AH2946" i="5"/>
  <c r="AH2947" i="5"/>
  <c r="AH2948" i="5"/>
  <c r="AH2949" i="5"/>
  <c r="AH2950" i="5"/>
  <c r="AH2951" i="5"/>
  <c r="AH2952" i="5"/>
  <c r="AH2953" i="5"/>
  <c r="AH2954" i="5"/>
  <c r="AH2955" i="5"/>
  <c r="AH2956" i="5"/>
  <c r="AH2957" i="5"/>
  <c r="AH2958" i="5"/>
  <c r="AH2959" i="5"/>
  <c r="AH2960" i="5"/>
  <c r="AH2961" i="5"/>
  <c r="AH2962" i="5"/>
  <c r="AH2963" i="5"/>
  <c r="AH2964" i="5"/>
  <c r="AH2965" i="5"/>
  <c r="AH2966" i="5"/>
  <c r="AH2967" i="5"/>
  <c r="AH2968" i="5"/>
  <c r="AH2969" i="5"/>
  <c r="AH2970" i="5"/>
  <c r="AH2971" i="5"/>
  <c r="AH2972" i="5"/>
  <c r="AH2973" i="5"/>
  <c r="AH2974" i="5"/>
  <c r="AH2975" i="5"/>
  <c r="AH2976" i="5"/>
  <c r="AH2977" i="5"/>
  <c r="AH2978" i="5"/>
  <c r="AH2979" i="5"/>
  <c r="AH2980" i="5"/>
  <c r="AH2981" i="5"/>
  <c r="AH2982" i="5"/>
  <c r="AH2983" i="5"/>
  <c r="AH2984" i="5"/>
  <c r="AH2985" i="5"/>
  <c r="AH2986" i="5"/>
  <c r="AH2987" i="5"/>
  <c r="AH2988" i="5"/>
  <c r="AH2989" i="5"/>
  <c r="AH2990" i="5"/>
  <c r="AH2991" i="5"/>
  <c r="AH2992" i="5"/>
  <c r="AH2993" i="5"/>
  <c r="AH2994" i="5"/>
  <c r="AH2995" i="5"/>
  <c r="AH2996" i="5"/>
  <c r="AH2997" i="5"/>
  <c r="AH2998" i="5"/>
  <c r="AH2999" i="5"/>
  <c r="AH3000" i="5"/>
  <c r="AH3001" i="5"/>
  <c r="AH3002" i="5"/>
  <c r="AH3003" i="5"/>
  <c r="AH3004" i="5"/>
  <c r="AH3005" i="5"/>
  <c r="AH3006" i="5"/>
  <c r="AH3007" i="5"/>
  <c r="AH3008" i="5"/>
  <c r="AH3009" i="5"/>
  <c r="AH3010" i="5"/>
  <c r="AH3011" i="5"/>
  <c r="AH3012" i="5"/>
  <c r="AH3013" i="5"/>
  <c r="AH3014" i="5"/>
  <c r="AH3015" i="5"/>
  <c r="AH3016" i="5"/>
  <c r="AH3017" i="5"/>
  <c r="AH3018" i="5"/>
  <c r="AH3019" i="5"/>
  <c r="AH3020" i="5"/>
  <c r="AH3021" i="5"/>
  <c r="AH3022" i="5"/>
  <c r="AH3023" i="5"/>
  <c r="AH3024" i="5"/>
  <c r="AH3025" i="5"/>
  <c r="AH3026" i="5"/>
  <c r="AH3027" i="5"/>
  <c r="AH3028" i="5"/>
  <c r="AH3029" i="5"/>
  <c r="AH3030" i="5"/>
  <c r="AH3031" i="5"/>
  <c r="AH3032" i="5"/>
  <c r="AH3033" i="5"/>
  <c r="AH3034" i="5"/>
  <c r="AH3035" i="5"/>
  <c r="AH3036" i="5"/>
  <c r="AH3037" i="5"/>
  <c r="AH3038" i="5"/>
  <c r="AH3039" i="5"/>
  <c r="AH3040" i="5"/>
  <c r="AH3041" i="5"/>
  <c r="AH3042" i="5"/>
  <c r="AH3043" i="5"/>
  <c r="AH3044" i="5"/>
  <c r="AH3045" i="5"/>
  <c r="AH3046" i="5"/>
  <c r="AH3047" i="5"/>
  <c r="AH3048" i="5"/>
  <c r="AH3049" i="5"/>
  <c r="AH3050" i="5"/>
  <c r="AH3051" i="5"/>
  <c r="AH3052" i="5"/>
  <c r="AH3053" i="5"/>
  <c r="AH3054" i="5"/>
  <c r="AH3055" i="5"/>
  <c r="AH3056" i="5"/>
  <c r="AH3057" i="5"/>
  <c r="AH3058" i="5"/>
  <c r="AH3059" i="5"/>
  <c r="AH3060" i="5"/>
  <c r="AH3061" i="5"/>
  <c r="AH3062" i="5"/>
  <c r="AH3063" i="5"/>
  <c r="AH3064" i="5"/>
  <c r="AH3065" i="5"/>
  <c r="AH3066" i="5"/>
  <c r="AH3067" i="5"/>
  <c r="AH3068" i="5"/>
  <c r="AH3069" i="5"/>
  <c r="AH3070" i="5"/>
  <c r="AH3071" i="5"/>
  <c r="AH3072" i="5"/>
  <c r="AH3073" i="5"/>
  <c r="AH3074" i="5"/>
  <c r="AH3075" i="5"/>
  <c r="AH3076" i="5"/>
  <c r="AH3077" i="5"/>
  <c r="AH3078" i="5"/>
  <c r="AH3079" i="5"/>
  <c r="AH3080" i="5"/>
  <c r="AH3081" i="5"/>
  <c r="AH3082" i="5"/>
  <c r="AH3083" i="5"/>
  <c r="AH3084" i="5"/>
  <c r="AH3085" i="5"/>
  <c r="AH3086" i="5"/>
  <c r="AH3087" i="5"/>
  <c r="AH3088" i="5"/>
  <c r="AH3089" i="5"/>
  <c r="AH3090" i="5"/>
  <c r="AH3091" i="5"/>
  <c r="AH3092" i="5"/>
  <c r="AH3093" i="5"/>
  <c r="AH3094" i="5"/>
  <c r="AH3095" i="5"/>
  <c r="AH3096" i="5"/>
  <c r="AH3097" i="5"/>
  <c r="AH3098" i="5"/>
  <c r="AH3099" i="5"/>
  <c r="AH3100" i="5"/>
  <c r="AH3101" i="5"/>
  <c r="AH3102" i="5"/>
  <c r="AH3103" i="5"/>
  <c r="AH3104" i="5"/>
  <c r="AH3105" i="5"/>
  <c r="AH3106" i="5"/>
  <c r="AH3107" i="5"/>
  <c r="AH3108" i="5"/>
  <c r="AH3109" i="5"/>
  <c r="AH3110" i="5"/>
  <c r="AH3111" i="5"/>
  <c r="AH3112" i="5"/>
  <c r="AH3113" i="5"/>
  <c r="AH3114" i="5"/>
  <c r="AH3115" i="5"/>
  <c r="AH3116" i="5"/>
  <c r="AH3117" i="5"/>
  <c r="AH3118" i="5"/>
  <c r="AH3119" i="5"/>
  <c r="AH3120" i="5"/>
  <c r="AH3121" i="5"/>
  <c r="AH3122" i="5"/>
  <c r="AH3123" i="5"/>
  <c r="AH3124" i="5"/>
  <c r="AH3125" i="5"/>
  <c r="AH3126" i="5"/>
  <c r="AH3127" i="5"/>
  <c r="AH3128" i="5"/>
  <c r="AH3129" i="5"/>
  <c r="AH3130" i="5"/>
  <c r="AH3131" i="5"/>
  <c r="AH3132" i="5"/>
  <c r="AH3133" i="5"/>
  <c r="AH3134" i="5"/>
  <c r="AH3135" i="5"/>
  <c r="AH3136" i="5"/>
  <c r="AH3137" i="5"/>
  <c r="AH3138" i="5"/>
  <c r="AH3139" i="5"/>
  <c r="AH3140" i="5"/>
  <c r="AH3141" i="5"/>
  <c r="AH3142" i="5"/>
  <c r="AH3143" i="5"/>
  <c r="AH3144" i="5"/>
  <c r="AH3145" i="5"/>
  <c r="AH3146" i="5"/>
  <c r="AH3147" i="5"/>
  <c r="AH3148" i="5"/>
  <c r="AH3149" i="5"/>
  <c r="AH3150" i="5"/>
  <c r="AH3151" i="5"/>
  <c r="AH3152" i="5"/>
  <c r="AH3153" i="5"/>
  <c r="AH3154" i="5"/>
  <c r="AH3155" i="5"/>
  <c r="AH3156" i="5"/>
  <c r="AH3157" i="5"/>
  <c r="AH3158" i="5"/>
  <c r="AH3159" i="5"/>
  <c r="AH3160" i="5"/>
  <c r="AH3161" i="5"/>
  <c r="AH3162" i="5"/>
  <c r="AH3163" i="5"/>
  <c r="AH3164" i="5"/>
  <c r="AH3165" i="5"/>
  <c r="AH3166" i="5"/>
  <c r="AH3167" i="5"/>
  <c r="AH3168" i="5"/>
  <c r="AH3169" i="5"/>
  <c r="AH3170" i="5"/>
  <c r="AH3171" i="5"/>
  <c r="AH3172" i="5"/>
  <c r="AH3173" i="5"/>
  <c r="AH3174" i="5"/>
  <c r="AH3175" i="5"/>
  <c r="AH3176" i="5"/>
  <c r="AH3177" i="5"/>
  <c r="AH3178" i="5"/>
  <c r="AH3179" i="5"/>
  <c r="AH3180" i="5"/>
  <c r="AH3181" i="5"/>
  <c r="AH3182" i="5"/>
  <c r="AH3183" i="5"/>
  <c r="AH3184" i="5"/>
  <c r="AH3185" i="5"/>
  <c r="AH3186" i="5"/>
  <c r="AH3187" i="5"/>
  <c r="AH3188" i="5"/>
  <c r="AH3189" i="5"/>
  <c r="AH3190" i="5"/>
  <c r="AH3191" i="5"/>
  <c r="AH3192" i="5"/>
  <c r="AH3193" i="5"/>
  <c r="AH3194" i="5"/>
  <c r="AH3195" i="5"/>
  <c r="AH3196" i="5"/>
  <c r="AH3197" i="5"/>
  <c r="AH3198" i="5"/>
  <c r="AH3199" i="5"/>
  <c r="AH3200" i="5"/>
  <c r="AH3201" i="5"/>
  <c r="AH3202" i="5"/>
  <c r="AH3203" i="5"/>
  <c r="AH3204" i="5"/>
  <c r="AH3205" i="5"/>
  <c r="AH3206" i="5"/>
  <c r="AH3207" i="5"/>
  <c r="AH3208" i="5"/>
  <c r="AH3209" i="5"/>
  <c r="AH3210" i="5"/>
  <c r="AH3211" i="5"/>
  <c r="AH3212" i="5"/>
  <c r="AH3213" i="5"/>
  <c r="AH3214" i="5"/>
  <c r="AH3215" i="5"/>
  <c r="AH3216" i="5"/>
  <c r="AH3217" i="5"/>
  <c r="AH3218" i="5"/>
  <c r="AH3219" i="5"/>
  <c r="AH3220" i="5"/>
  <c r="AH3221" i="5"/>
  <c r="AH3222" i="5"/>
  <c r="AH3223" i="5"/>
  <c r="AH3224" i="5"/>
  <c r="AH3225" i="5"/>
  <c r="AH3226" i="5"/>
  <c r="AH3227" i="5"/>
  <c r="AH3228" i="5"/>
  <c r="AH3229" i="5"/>
  <c r="AH3230" i="5"/>
  <c r="AH3231" i="5"/>
  <c r="AH3232" i="5"/>
  <c r="AH3233" i="5"/>
  <c r="AH3234" i="5"/>
  <c r="AH3235" i="5"/>
  <c r="AH3236" i="5"/>
  <c r="AH3237" i="5"/>
  <c r="AH3238" i="5"/>
  <c r="AH3239" i="5"/>
  <c r="AH3240" i="5"/>
  <c r="AH3241" i="5"/>
  <c r="AH3242" i="5"/>
  <c r="AH3243" i="5"/>
  <c r="AH3244" i="5"/>
  <c r="AH3245" i="5"/>
  <c r="AH3246" i="5"/>
  <c r="AH3247" i="5"/>
  <c r="AH3248" i="5"/>
  <c r="AH3249" i="5"/>
  <c r="AH3250" i="5"/>
  <c r="AH3251" i="5"/>
  <c r="AH3252" i="5"/>
  <c r="AH3253" i="5"/>
  <c r="AH3254" i="5"/>
  <c r="AH3255" i="5"/>
  <c r="AH3256" i="5"/>
  <c r="AH3257" i="5"/>
  <c r="AH3258" i="5"/>
  <c r="AH3259" i="5"/>
  <c r="AH3260" i="5"/>
  <c r="AH3261" i="5"/>
  <c r="AH3262" i="5"/>
  <c r="AH3263" i="5"/>
  <c r="AH3264" i="5"/>
  <c r="AH3265" i="5"/>
  <c r="AH3266" i="5"/>
  <c r="AH3267" i="5"/>
  <c r="AH3268" i="5"/>
  <c r="AH3269" i="5"/>
  <c r="AH3270" i="5"/>
  <c r="AH3271" i="5"/>
  <c r="AH3272" i="5"/>
  <c r="AH3273" i="5"/>
  <c r="AH3274" i="5"/>
  <c r="AH3275" i="5"/>
  <c r="AH3276" i="5"/>
  <c r="AH3277" i="5"/>
  <c r="AH3278" i="5"/>
  <c r="AH3279" i="5"/>
  <c r="AH3280" i="5"/>
  <c r="AH3281" i="5"/>
  <c r="AH3282" i="5"/>
  <c r="AH3283" i="5"/>
  <c r="AH3284" i="5"/>
  <c r="AH3285" i="5"/>
  <c r="AH3286" i="5"/>
  <c r="AH3287" i="5"/>
  <c r="AH3288" i="5"/>
  <c r="AH3289" i="5"/>
  <c r="AH3290" i="5"/>
  <c r="AH3291" i="5"/>
  <c r="AH3292" i="5"/>
  <c r="AH3293" i="5"/>
  <c r="AH3294" i="5"/>
  <c r="AH3295" i="5"/>
  <c r="AH3296" i="5"/>
  <c r="AH3297" i="5"/>
  <c r="AH3298" i="5"/>
  <c r="AH3299" i="5"/>
  <c r="AH3300" i="5"/>
  <c r="AH3301" i="5"/>
  <c r="AH3302" i="5"/>
  <c r="AH3303" i="5"/>
  <c r="AH3304" i="5"/>
  <c r="AH3305" i="5"/>
  <c r="AH3306" i="5"/>
  <c r="AH3307" i="5"/>
  <c r="AH3308" i="5"/>
  <c r="AH3309" i="5"/>
  <c r="AH3310" i="5"/>
  <c r="AH3311" i="5"/>
  <c r="AH3312" i="5"/>
  <c r="AH3313" i="5"/>
  <c r="AH3314" i="5"/>
  <c r="AH3315" i="5"/>
  <c r="AH3316" i="5"/>
  <c r="AH3317" i="5"/>
  <c r="AH3318" i="5"/>
  <c r="AH3319" i="5"/>
  <c r="AH3320" i="5"/>
  <c r="AH3321" i="5"/>
  <c r="AH3322" i="5"/>
  <c r="AH3323" i="5"/>
  <c r="AH3324" i="5"/>
  <c r="AH3325" i="5"/>
  <c r="AH3326" i="5"/>
  <c r="AH3327" i="5"/>
  <c r="AH3328" i="5"/>
  <c r="AH3329" i="5"/>
  <c r="AH3330" i="5"/>
  <c r="AH3331" i="5"/>
  <c r="AH3332" i="5"/>
  <c r="AH3333" i="5"/>
  <c r="AH3334" i="5"/>
  <c r="AH3335" i="5"/>
  <c r="AH3336" i="5"/>
  <c r="AH3337" i="5"/>
  <c r="AH3338" i="5"/>
  <c r="AH3339" i="5"/>
  <c r="AH3340" i="5"/>
  <c r="AH3341" i="5"/>
  <c r="AH3342" i="5"/>
  <c r="AH3343" i="5"/>
  <c r="AH3344" i="5"/>
  <c r="AH3345" i="5"/>
  <c r="AH3346" i="5"/>
  <c r="AH3347" i="5"/>
  <c r="AH3348" i="5"/>
  <c r="AH3349" i="5"/>
  <c r="AH3350" i="5"/>
  <c r="AH3351" i="5"/>
  <c r="AH3352" i="5"/>
  <c r="AH3353" i="5"/>
  <c r="AH3354" i="5"/>
  <c r="AH3355" i="5"/>
  <c r="AH3356" i="5"/>
  <c r="AH3357" i="5"/>
  <c r="AH3358" i="5"/>
  <c r="AH3359" i="5"/>
  <c r="AH3360" i="5"/>
  <c r="AH3361" i="5"/>
  <c r="AH3362" i="5"/>
  <c r="AH3363" i="5"/>
  <c r="AH3364" i="5"/>
  <c r="AH3365" i="5"/>
  <c r="AH3366" i="5"/>
  <c r="AH3367" i="5"/>
  <c r="AH3368" i="5"/>
  <c r="AH3369" i="5"/>
  <c r="AH3370" i="5"/>
  <c r="AH3371" i="5"/>
  <c r="AH3372" i="5"/>
  <c r="AH3373" i="5"/>
  <c r="AH3374" i="5"/>
  <c r="AH3375" i="5"/>
  <c r="AH3376" i="5"/>
  <c r="AH3377" i="5"/>
  <c r="AH3378" i="5"/>
  <c r="AH3379" i="5"/>
  <c r="AH3380" i="5"/>
  <c r="AH3381" i="5"/>
  <c r="AH3382" i="5"/>
  <c r="AH3383" i="5"/>
  <c r="AH3384" i="5"/>
  <c r="AH3385" i="5"/>
  <c r="AH3386" i="5"/>
  <c r="AH3387" i="5"/>
  <c r="AH3388" i="5"/>
  <c r="AH3389" i="5"/>
  <c r="AH3390" i="5"/>
  <c r="AH3391" i="5"/>
  <c r="AH3392" i="5"/>
  <c r="AH3393" i="5"/>
  <c r="AH3394" i="5"/>
  <c r="AH3395" i="5"/>
  <c r="AH3396" i="5"/>
  <c r="AH3397" i="5"/>
  <c r="AH3398" i="5"/>
  <c r="AH3399" i="5"/>
  <c r="AH3400" i="5"/>
  <c r="AH3401" i="5"/>
  <c r="AH3402" i="5"/>
  <c r="AH3403" i="5"/>
  <c r="AH3404" i="5"/>
  <c r="AH3405" i="5"/>
  <c r="AH3406" i="5"/>
  <c r="AH3407" i="5"/>
  <c r="AH3408" i="5"/>
  <c r="AH3409" i="5"/>
  <c r="AH3410" i="5"/>
  <c r="AH3411" i="5"/>
  <c r="AH3412" i="5"/>
  <c r="AH3413" i="5"/>
  <c r="AH3414" i="5"/>
  <c r="AH3415" i="5"/>
  <c r="AH3416" i="5"/>
  <c r="AH3417" i="5"/>
  <c r="AH3418" i="5"/>
  <c r="AH3419" i="5"/>
  <c r="AH3420" i="5"/>
  <c r="AH3421" i="5"/>
  <c r="AH3422" i="5"/>
  <c r="AH3423" i="5"/>
  <c r="AH3424" i="5"/>
  <c r="AH3425" i="5"/>
  <c r="AH3426" i="5"/>
  <c r="AH3427" i="5"/>
  <c r="AH3428" i="5"/>
  <c r="AH3429" i="5"/>
  <c r="AH3430" i="5"/>
  <c r="AH3431" i="5"/>
  <c r="AH3432" i="5"/>
  <c r="AH3433" i="5"/>
  <c r="AH3434" i="5"/>
  <c r="AH3435" i="5"/>
  <c r="AH3436" i="5"/>
  <c r="AH3437" i="5"/>
  <c r="AH3438" i="5"/>
  <c r="AH3439" i="5"/>
  <c r="AH3440" i="5"/>
  <c r="AH3441" i="5"/>
  <c r="AH3442" i="5"/>
  <c r="AH3443" i="5"/>
  <c r="AH3444" i="5"/>
  <c r="AH3445" i="5"/>
  <c r="AH3446" i="5"/>
  <c r="AH3447" i="5"/>
  <c r="AH3448" i="5"/>
  <c r="AH3449" i="5"/>
  <c r="AH3450" i="5"/>
  <c r="AH3451" i="5"/>
  <c r="AH3452" i="5"/>
  <c r="AH3453" i="5"/>
  <c r="AH3454" i="5"/>
  <c r="AH3455" i="5"/>
  <c r="AH3456" i="5"/>
  <c r="AH3457" i="5"/>
  <c r="AH3458" i="5"/>
  <c r="AH3459" i="5"/>
  <c r="AH3460" i="5"/>
  <c r="AH3461" i="5"/>
  <c r="AH3462" i="5"/>
  <c r="AH3463" i="5"/>
  <c r="AH3464" i="5"/>
  <c r="AH3465" i="5"/>
  <c r="AH3466" i="5"/>
  <c r="AH3467" i="5"/>
  <c r="AH3468" i="5"/>
  <c r="AH3469" i="5"/>
  <c r="AH3470" i="5"/>
  <c r="AH3471" i="5"/>
  <c r="AH3472" i="5"/>
  <c r="AH3473" i="5"/>
  <c r="AH3474" i="5"/>
  <c r="AH3475" i="5"/>
  <c r="AH3476" i="5"/>
  <c r="AH3477" i="5"/>
  <c r="AH3478" i="5"/>
  <c r="AH3479" i="5"/>
  <c r="AH3480" i="5"/>
  <c r="AH3481" i="5"/>
  <c r="AH3482" i="5"/>
  <c r="AH3483" i="5"/>
  <c r="AH3484" i="5"/>
  <c r="AH3485" i="5"/>
  <c r="AH3486" i="5"/>
  <c r="AH3487" i="5"/>
  <c r="AH3488" i="5"/>
  <c r="AH3489" i="5"/>
  <c r="AH3490" i="5"/>
  <c r="AH3491" i="5"/>
  <c r="AH3492" i="5"/>
  <c r="AH3493" i="5"/>
  <c r="AH3494" i="5"/>
  <c r="AH3495" i="5"/>
  <c r="AH3496" i="5"/>
  <c r="AH3497" i="5"/>
  <c r="AH3498" i="5"/>
  <c r="AH3499" i="5"/>
  <c r="AH3500" i="5"/>
  <c r="AH3501" i="5"/>
  <c r="AH3502" i="5"/>
  <c r="AH3503" i="5"/>
  <c r="AH3504" i="5"/>
  <c r="AH3505" i="5"/>
  <c r="AH3506" i="5"/>
  <c r="AH3507" i="5"/>
  <c r="AH3508" i="5"/>
  <c r="AH3509" i="5"/>
  <c r="AH3510" i="5"/>
  <c r="AH3511" i="5"/>
  <c r="AH3512" i="5"/>
  <c r="AH3513" i="5"/>
  <c r="AH3514" i="5"/>
  <c r="AH3515" i="5"/>
  <c r="AH3516" i="5"/>
  <c r="AH3517" i="5"/>
  <c r="AH3518" i="5"/>
  <c r="AH3519" i="5"/>
  <c r="AH3520" i="5"/>
  <c r="AH3521" i="5"/>
  <c r="AH3522" i="5"/>
  <c r="AH3523" i="5"/>
  <c r="AH3524" i="5"/>
  <c r="AH3525" i="5"/>
  <c r="AH3526" i="5"/>
  <c r="AH3527" i="5"/>
  <c r="AH3528" i="5"/>
  <c r="AH3529" i="5"/>
  <c r="AH3530" i="5"/>
  <c r="AH3531" i="5"/>
  <c r="AH3532" i="5"/>
  <c r="AH3533" i="5"/>
  <c r="AH3534" i="5"/>
  <c r="AH3535" i="5"/>
  <c r="AH3536" i="5"/>
  <c r="AH3537" i="5"/>
  <c r="AH3538" i="5"/>
  <c r="AH3539" i="5"/>
  <c r="AH3540" i="5"/>
  <c r="AH3541" i="5"/>
  <c r="AH3542" i="5"/>
  <c r="AH3543" i="5"/>
  <c r="AH3544" i="5"/>
  <c r="AH3545" i="5"/>
  <c r="AH3546" i="5"/>
  <c r="AH3547" i="5"/>
  <c r="AH3548" i="5"/>
  <c r="AH3549" i="5"/>
  <c r="AH3550" i="5"/>
  <c r="AH3551" i="5"/>
  <c r="AH3552" i="5"/>
  <c r="AH3553" i="5"/>
  <c r="AH3554" i="5"/>
  <c r="AH3555" i="5"/>
  <c r="AH3556" i="5"/>
  <c r="AH3557" i="5"/>
  <c r="AH3558" i="5"/>
  <c r="AH3559" i="5"/>
  <c r="AH3560" i="5"/>
  <c r="AH3561" i="5"/>
  <c r="AH3562" i="5"/>
  <c r="AH3563" i="5"/>
  <c r="AH3564" i="5"/>
  <c r="AH3565" i="5"/>
  <c r="AH3566" i="5"/>
  <c r="AH3567" i="5"/>
  <c r="AH3568" i="5"/>
  <c r="AH3569" i="5"/>
  <c r="AH3570" i="5"/>
  <c r="AH3571" i="5"/>
  <c r="AH3572" i="5"/>
  <c r="AH3573" i="5"/>
  <c r="AH3574" i="5"/>
  <c r="AH3575" i="5"/>
  <c r="AH3576" i="5"/>
  <c r="AH3577" i="5"/>
  <c r="AH3578" i="5"/>
  <c r="AH3579" i="5"/>
  <c r="AH3580" i="5"/>
  <c r="AH3581" i="5"/>
  <c r="AH3582" i="5"/>
  <c r="AH3583" i="5"/>
  <c r="AH3584" i="5"/>
  <c r="AH3585" i="5"/>
  <c r="AH3586" i="5"/>
  <c r="AH3587" i="5"/>
  <c r="AH3588" i="5"/>
  <c r="AH3589" i="5"/>
  <c r="AH3590" i="5"/>
  <c r="AH3591" i="5"/>
  <c r="AH3592" i="5"/>
  <c r="AH3593" i="5"/>
  <c r="AH3594" i="5"/>
  <c r="AH3595" i="5"/>
  <c r="AH3596" i="5"/>
  <c r="AH3597" i="5"/>
  <c r="AH3598" i="5"/>
  <c r="AH3599" i="5"/>
  <c r="AH3600" i="5"/>
  <c r="AH3601" i="5"/>
  <c r="AH3602" i="5"/>
  <c r="AH3603" i="5"/>
  <c r="AH3604" i="5"/>
  <c r="AH3605" i="5"/>
  <c r="AH3606" i="5"/>
  <c r="AH3607" i="5"/>
  <c r="AH3608" i="5"/>
  <c r="AH3609" i="5"/>
  <c r="AH3610" i="5"/>
  <c r="AH3611" i="5"/>
  <c r="AH3612" i="5"/>
  <c r="AH3613" i="5"/>
  <c r="AH3614" i="5"/>
  <c r="AH3615" i="5"/>
  <c r="AH3616" i="5"/>
  <c r="AH3617" i="5"/>
  <c r="AH3618" i="5"/>
  <c r="AH3619" i="5"/>
  <c r="AH3620" i="5"/>
  <c r="AH3621" i="5"/>
  <c r="AH3622" i="5"/>
  <c r="AH3623" i="5"/>
  <c r="AH3624" i="5"/>
  <c r="AH3625" i="5"/>
  <c r="AH3626" i="5"/>
  <c r="AH3627" i="5"/>
  <c r="AH3628" i="5"/>
  <c r="AH3629" i="5"/>
  <c r="AH3630" i="5"/>
  <c r="AH3631" i="5"/>
  <c r="AH3632" i="5"/>
  <c r="AH3633" i="5"/>
  <c r="AH3634" i="5"/>
  <c r="AH3635" i="5"/>
  <c r="AH3636" i="5"/>
  <c r="AH3637" i="5"/>
  <c r="AH3638" i="5"/>
  <c r="AH3639" i="5"/>
  <c r="AH3640" i="5"/>
  <c r="AH3641" i="5"/>
  <c r="AH3642" i="5"/>
  <c r="AH3643" i="5"/>
  <c r="AH3644" i="5"/>
  <c r="AH3645" i="5"/>
  <c r="AH3646" i="5"/>
  <c r="AH3647" i="5"/>
  <c r="AH3648" i="5"/>
  <c r="AH3649" i="5"/>
  <c r="AH3650" i="5"/>
  <c r="AH3651" i="5"/>
  <c r="AH3652" i="5"/>
  <c r="AH3653" i="5"/>
  <c r="AH3654" i="5"/>
  <c r="AH3655" i="5"/>
  <c r="AH3656" i="5"/>
  <c r="AH3657" i="5"/>
  <c r="AH3658" i="5"/>
  <c r="AH3659" i="5"/>
  <c r="AH3660" i="5"/>
  <c r="AH3661" i="5"/>
  <c r="AH3662" i="5"/>
  <c r="AH3663" i="5"/>
  <c r="AH3664" i="5"/>
  <c r="AH3665" i="5"/>
  <c r="AH3666" i="5"/>
  <c r="AH3667" i="5"/>
  <c r="AH3668" i="5"/>
  <c r="AH3669" i="5"/>
  <c r="AH3670" i="5"/>
  <c r="AH3671" i="5"/>
  <c r="AH3672" i="5"/>
  <c r="AH3673" i="5"/>
  <c r="AH3674" i="5"/>
  <c r="AH3675" i="5"/>
  <c r="AH3676" i="5"/>
  <c r="AH3677" i="5"/>
  <c r="AH3678" i="5"/>
  <c r="AH3679" i="5"/>
  <c r="AH3680" i="5"/>
  <c r="AH3681" i="5"/>
  <c r="AH3682" i="5"/>
  <c r="AH3683" i="5"/>
  <c r="AH3684" i="5"/>
  <c r="AH3685" i="5"/>
  <c r="AH3686" i="5"/>
  <c r="AH3687" i="5"/>
  <c r="AH3688" i="5"/>
  <c r="AH3689" i="5"/>
  <c r="AH3690" i="5"/>
  <c r="AH3691" i="5"/>
  <c r="AH3692" i="5"/>
  <c r="AH3693" i="5"/>
  <c r="AH3694" i="5"/>
  <c r="AH3695" i="5"/>
  <c r="AH3696" i="5"/>
  <c r="AH3697" i="5"/>
  <c r="AH3698" i="5"/>
  <c r="AH3699" i="5"/>
  <c r="AH3700" i="5"/>
  <c r="AH3701" i="5"/>
  <c r="AH3702" i="5"/>
  <c r="AH3703" i="5"/>
  <c r="AH3704" i="5"/>
  <c r="AH3705" i="5"/>
  <c r="AH3706" i="5"/>
  <c r="AH3707" i="5"/>
  <c r="AH3708" i="5"/>
  <c r="AH3709" i="5"/>
  <c r="AH3710" i="5"/>
  <c r="AH3711" i="5"/>
  <c r="AH3712" i="5"/>
  <c r="AH3713" i="5"/>
  <c r="AH3714" i="5"/>
  <c r="AH3715" i="5"/>
  <c r="AH3716" i="5"/>
  <c r="AH3717" i="5"/>
  <c r="AH3718" i="5"/>
  <c r="AH3719" i="5"/>
  <c r="AH3720" i="5"/>
  <c r="AH3721" i="5"/>
  <c r="AH3722" i="5"/>
  <c r="AH3723" i="5"/>
  <c r="AH3724" i="5"/>
  <c r="AH3725" i="5"/>
  <c r="AH3726" i="5"/>
  <c r="AH3727" i="5"/>
  <c r="AH3728" i="5"/>
  <c r="AH3729" i="5"/>
  <c r="AH3730" i="5"/>
  <c r="AH3731" i="5"/>
  <c r="AH3732" i="5"/>
  <c r="AH3733" i="5"/>
  <c r="AH3734" i="5"/>
  <c r="AH3735" i="5"/>
  <c r="AH3736" i="5"/>
  <c r="AH3737" i="5"/>
  <c r="AH3738" i="5"/>
  <c r="AH3739" i="5"/>
  <c r="AH3740" i="5"/>
  <c r="AH3741" i="5"/>
  <c r="AH3742" i="5"/>
  <c r="AH3743" i="5"/>
  <c r="AH3744" i="5"/>
  <c r="AH3745" i="5"/>
  <c r="AH3746" i="5"/>
  <c r="AH3747" i="5"/>
  <c r="AH3748" i="5"/>
  <c r="AH3749" i="5"/>
  <c r="AH3750" i="5"/>
  <c r="AH3751" i="5"/>
  <c r="AH3752" i="5"/>
  <c r="AH3753" i="5"/>
  <c r="AH3754" i="5"/>
  <c r="AH3755" i="5"/>
  <c r="AH3756" i="5"/>
  <c r="AH3757" i="5"/>
  <c r="AH3758" i="5"/>
  <c r="AH3759" i="5"/>
  <c r="AH3760" i="5"/>
  <c r="AH3761" i="5"/>
  <c r="AH3762" i="5"/>
  <c r="AH3763" i="5"/>
  <c r="AH3764" i="5"/>
  <c r="AH3765" i="5"/>
  <c r="AH3766" i="5"/>
  <c r="AH3767" i="5"/>
  <c r="AH3768" i="5"/>
  <c r="AH3769" i="5"/>
  <c r="AH3770" i="5"/>
  <c r="AH3771" i="5"/>
  <c r="AH3772" i="5"/>
  <c r="AH3773" i="5"/>
  <c r="AH3774" i="5"/>
  <c r="AH3775" i="5"/>
  <c r="AH3776" i="5"/>
  <c r="AH3777" i="5"/>
  <c r="AH3778" i="5"/>
  <c r="AH3779" i="5"/>
  <c r="AH3780" i="5"/>
  <c r="AH3781" i="5"/>
  <c r="AH3782" i="5"/>
  <c r="AH3783" i="5"/>
  <c r="AH3784" i="5"/>
  <c r="AH3785" i="5"/>
  <c r="AH3786" i="5"/>
  <c r="AH3787" i="5"/>
  <c r="AH3788" i="5"/>
  <c r="AH3789" i="5"/>
  <c r="AH3790" i="5"/>
  <c r="AH3791" i="5"/>
  <c r="AH3792" i="5"/>
  <c r="AH3793" i="5"/>
  <c r="AH3794" i="5"/>
  <c r="AH3795" i="5"/>
  <c r="AH3796" i="5"/>
  <c r="AH3797" i="5"/>
  <c r="AH3798" i="5"/>
  <c r="AH3799" i="5"/>
  <c r="AH3800" i="5"/>
  <c r="AH3801" i="5"/>
  <c r="AH3802" i="5"/>
  <c r="AH3803" i="5"/>
  <c r="AH3804" i="5"/>
  <c r="AH3805" i="5"/>
  <c r="AH3806" i="5"/>
  <c r="AH3807" i="5"/>
  <c r="AH3808" i="5"/>
  <c r="AH3809" i="5"/>
  <c r="AH3810" i="5"/>
  <c r="AH3811" i="5"/>
  <c r="AH3812" i="5"/>
  <c r="AH3813" i="5"/>
  <c r="AH3814" i="5"/>
  <c r="AH3815" i="5"/>
  <c r="AH3816" i="5"/>
  <c r="AH3817" i="5"/>
  <c r="AH3818" i="5"/>
  <c r="AH3819" i="5"/>
  <c r="AH3820" i="5"/>
  <c r="AH3821" i="5"/>
  <c r="AH3822" i="5"/>
  <c r="AH3823" i="5"/>
  <c r="AH3824" i="5"/>
  <c r="AH3825" i="5"/>
  <c r="AH3826" i="5"/>
  <c r="AH3827" i="5"/>
  <c r="AH3828" i="5"/>
  <c r="AH3829" i="5"/>
  <c r="AH3830" i="5"/>
  <c r="AH3831" i="5"/>
  <c r="AH3832" i="5"/>
  <c r="AH3833" i="5"/>
  <c r="AH3834" i="5"/>
  <c r="AH3835" i="5"/>
  <c r="AH3836" i="5"/>
  <c r="AH3837" i="5"/>
  <c r="AH3838" i="5"/>
  <c r="AH3839" i="5"/>
  <c r="AH3840" i="5"/>
  <c r="AH3841" i="5"/>
  <c r="AH3842" i="5"/>
  <c r="AH3843" i="5"/>
  <c r="AH3844" i="5"/>
  <c r="AH3845" i="5"/>
  <c r="AH3846" i="5"/>
  <c r="AH3847" i="5"/>
  <c r="AH3848" i="5"/>
  <c r="AH3849" i="5"/>
  <c r="AH3850" i="5"/>
  <c r="AH3851" i="5"/>
  <c r="AH3852" i="5"/>
  <c r="AH3853" i="5"/>
  <c r="AH3854" i="5"/>
  <c r="AH3855" i="5"/>
  <c r="AH3856" i="5"/>
  <c r="AH3857" i="5"/>
  <c r="AH3858" i="5"/>
  <c r="AH3859" i="5"/>
  <c r="AH3860" i="5"/>
  <c r="AH3861" i="5"/>
  <c r="AH3862" i="5"/>
  <c r="AH3863" i="5"/>
  <c r="AH3864" i="5"/>
  <c r="AH3865" i="5"/>
  <c r="AH3866" i="5"/>
  <c r="AH3867" i="5"/>
  <c r="AH3868" i="5"/>
  <c r="AH3869" i="5"/>
  <c r="AH3870" i="5"/>
  <c r="AH3871" i="5"/>
  <c r="AH3872" i="5"/>
  <c r="AH3873" i="5"/>
  <c r="AH3874" i="5"/>
  <c r="AH3875" i="5"/>
  <c r="AH3876" i="5"/>
  <c r="AH3877" i="5"/>
  <c r="AH3878" i="5"/>
  <c r="AH3879" i="5"/>
  <c r="AH3880" i="5"/>
  <c r="AH3881" i="5"/>
  <c r="AH3882" i="5"/>
  <c r="AH3883" i="5"/>
  <c r="AH3884" i="5"/>
  <c r="AH3885" i="5"/>
  <c r="AH3886" i="5"/>
  <c r="AH3887" i="5"/>
  <c r="AH3888" i="5"/>
  <c r="AH3889" i="5"/>
  <c r="AH3890" i="5"/>
  <c r="AH3891" i="5"/>
  <c r="AH3892" i="5"/>
  <c r="AH3893" i="5"/>
  <c r="AH3894" i="5"/>
  <c r="AH3895" i="5"/>
  <c r="AH3896" i="5"/>
  <c r="AH3897" i="5"/>
  <c r="AH3898" i="5"/>
  <c r="AH3899" i="5"/>
  <c r="AH3900" i="5"/>
  <c r="AH3901" i="5"/>
  <c r="AH3902" i="5"/>
  <c r="AH3903" i="5"/>
  <c r="AH3904" i="5"/>
  <c r="AH3905" i="5"/>
  <c r="AH3906" i="5"/>
  <c r="AH3907" i="5"/>
  <c r="AH3908" i="5"/>
  <c r="AH3909" i="5"/>
  <c r="AH3910" i="5"/>
  <c r="AH3911" i="5"/>
  <c r="AH3912" i="5"/>
  <c r="AH3913" i="5"/>
  <c r="AH3914" i="5"/>
  <c r="AH3915" i="5"/>
  <c r="AH3916" i="5"/>
  <c r="AH3917" i="5"/>
  <c r="AH3918" i="5"/>
  <c r="AH3919" i="5"/>
  <c r="AH3920" i="5"/>
  <c r="AH3921" i="5"/>
  <c r="AH3922" i="5"/>
  <c r="AH3923" i="5"/>
  <c r="AH3924" i="5"/>
  <c r="AH3925" i="5"/>
  <c r="AH3926" i="5"/>
  <c r="AH3927" i="5"/>
  <c r="AH3928" i="5"/>
  <c r="AH3929" i="5"/>
  <c r="AH3930" i="5"/>
  <c r="AH3931" i="5"/>
  <c r="AH3932" i="5"/>
  <c r="AH3933" i="5"/>
  <c r="AH3934" i="5"/>
  <c r="AH3935" i="5"/>
  <c r="AH3936" i="5"/>
  <c r="AH3937" i="5"/>
  <c r="AH3938" i="5"/>
  <c r="AH3939" i="5"/>
  <c r="AH3940" i="5"/>
  <c r="AH3941" i="5"/>
  <c r="AH3942" i="5"/>
  <c r="AH3943" i="5"/>
  <c r="AH3944" i="5"/>
  <c r="AH3945" i="5"/>
  <c r="AH3946" i="5"/>
  <c r="AH3947" i="5"/>
  <c r="AH3948" i="5"/>
  <c r="AH3949" i="5"/>
  <c r="AH3950" i="5"/>
  <c r="AH3951" i="5"/>
  <c r="AH3952" i="5"/>
  <c r="AH3953" i="5"/>
  <c r="AH3954" i="5"/>
  <c r="AH3955" i="5"/>
  <c r="AH3956" i="5"/>
  <c r="AH3957" i="5"/>
  <c r="AH3958" i="5"/>
  <c r="AH3959" i="5"/>
  <c r="AH3960" i="5"/>
  <c r="AH3961" i="5"/>
  <c r="AH3962" i="5"/>
  <c r="AH3963" i="5"/>
  <c r="AH3964" i="5"/>
  <c r="AH3965" i="5"/>
  <c r="AH3966" i="5"/>
  <c r="AH3967" i="5"/>
  <c r="AH3968" i="5"/>
  <c r="AH3969" i="5"/>
  <c r="AH3970" i="5"/>
  <c r="AH3971" i="5"/>
  <c r="AH3972" i="5"/>
  <c r="AH3973" i="5"/>
  <c r="AH3974" i="5"/>
  <c r="AH3975" i="5"/>
  <c r="AH3976" i="5"/>
  <c r="AH3977" i="5"/>
  <c r="AH3978" i="5"/>
  <c r="AH3979" i="5"/>
  <c r="AH3980" i="5"/>
  <c r="AH3981" i="5"/>
  <c r="AH3982" i="5"/>
  <c r="AH3983" i="5"/>
  <c r="AH3984" i="5"/>
  <c r="AH3985" i="5"/>
  <c r="AH3986" i="5"/>
  <c r="AH3987" i="5"/>
  <c r="AH3988" i="5"/>
  <c r="AH3989" i="5"/>
  <c r="AH3990" i="5"/>
  <c r="AH3991" i="5"/>
  <c r="AH3992" i="5"/>
  <c r="AH3993" i="5"/>
  <c r="AH3994" i="5"/>
  <c r="AH3995" i="5"/>
  <c r="AH3996" i="5"/>
  <c r="AH3997" i="5"/>
  <c r="AH3998" i="5"/>
  <c r="AH3999" i="5"/>
  <c r="AH4000" i="5"/>
  <c r="AH4001" i="5"/>
  <c r="AH4002" i="5"/>
  <c r="AH4003" i="5"/>
  <c r="AH4004" i="5"/>
  <c r="AH4005" i="5"/>
  <c r="AH4006" i="5"/>
  <c r="AH4007" i="5"/>
  <c r="AH4008" i="5"/>
  <c r="AH4009" i="5"/>
  <c r="AH4010" i="5"/>
  <c r="AH4011" i="5"/>
  <c r="AH4012" i="5"/>
  <c r="AH4013" i="5"/>
  <c r="AH4014" i="5"/>
  <c r="AH4015" i="5"/>
  <c r="AH4016" i="5"/>
  <c r="AH4017" i="5"/>
  <c r="AH4018" i="5"/>
  <c r="AH4019" i="5"/>
  <c r="AH4020" i="5"/>
  <c r="AH4021" i="5"/>
  <c r="AH4022" i="5"/>
  <c r="AH4023" i="5"/>
  <c r="AH4024" i="5"/>
  <c r="AH4025" i="5"/>
  <c r="AH4026" i="5"/>
  <c r="AH4027" i="5"/>
  <c r="AH4028" i="5"/>
  <c r="AH4029" i="5"/>
  <c r="AH4030" i="5"/>
  <c r="AH4031" i="5"/>
  <c r="AH4032" i="5"/>
  <c r="AH4033" i="5"/>
  <c r="AH4034" i="5"/>
  <c r="AH4035" i="5"/>
  <c r="AH4036" i="5"/>
  <c r="AH4037" i="5"/>
  <c r="AH4038" i="5"/>
  <c r="AH4039" i="5"/>
  <c r="AH4040" i="5"/>
  <c r="AH4041" i="5"/>
  <c r="AH4042" i="5"/>
  <c r="AH4043" i="5"/>
  <c r="AH4044" i="5"/>
  <c r="AH4045" i="5"/>
  <c r="AH4046" i="5"/>
  <c r="AH4047" i="5"/>
  <c r="AH4048" i="5"/>
  <c r="AH4049" i="5"/>
  <c r="AH4050" i="5"/>
  <c r="AH4051" i="5"/>
  <c r="AH4052" i="5"/>
  <c r="AH4053" i="5"/>
  <c r="AH4054" i="5"/>
  <c r="AH4055" i="5"/>
  <c r="AH4056" i="5"/>
  <c r="AH4057" i="5"/>
  <c r="AH4058" i="5"/>
  <c r="AH4059" i="5"/>
  <c r="AH4060" i="5"/>
  <c r="AH4061" i="5"/>
  <c r="AH4062" i="5"/>
  <c r="AH4063" i="5"/>
  <c r="AH4064" i="5"/>
  <c r="AH4065" i="5"/>
  <c r="AH4066" i="5"/>
  <c r="AH4067" i="5"/>
  <c r="AH4068" i="5"/>
  <c r="AH4069" i="5"/>
  <c r="AH4070" i="5"/>
  <c r="AH4071" i="5"/>
  <c r="AH4072" i="5"/>
  <c r="AH4073" i="5"/>
  <c r="AH4074" i="5"/>
  <c r="AH4075" i="5"/>
  <c r="AH4076" i="5"/>
  <c r="AH4077" i="5"/>
  <c r="AH4078" i="5"/>
  <c r="AH4079" i="5"/>
  <c r="AH4080" i="5"/>
  <c r="AH4081" i="5"/>
  <c r="AH4082" i="5"/>
  <c r="AH4083" i="5"/>
  <c r="AH4084" i="5"/>
  <c r="AH4085" i="5"/>
  <c r="AH4086" i="5"/>
  <c r="AH4087" i="5"/>
  <c r="AH4088" i="5"/>
  <c r="AH4089" i="5"/>
  <c r="AH4090" i="5"/>
  <c r="AH4091" i="5"/>
  <c r="AH4092" i="5"/>
  <c r="AH4093" i="5"/>
  <c r="AH4094" i="5"/>
  <c r="AH4095" i="5"/>
  <c r="AH4096" i="5"/>
  <c r="AH4097" i="5"/>
  <c r="AH4098" i="5"/>
  <c r="AH4099" i="5"/>
  <c r="AH4100" i="5"/>
  <c r="AH4101" i="5"/>
  <c r="AH4102" i="5"/>
  <c r="AH4103" i="5"/>
  <c r="AH4104" i="5"/>
  <c r="AH4105" i="5"/>
  <c r="AH4106" i="5"/>
  <c r="AH4107" i="5"/>
  <c r="AH4108" i="5"/>
  <c r="AH4109" i="5"/>
  <c r="AH4110" i="5"/>
  <c r="AH4111" i="5"/>
  <c r="AH4112" i="5"/>
  <c r="AH4113" i="5"/>
  <c r="AH4114" i="5"/>
  <c r="AH4115" i="5"/>
  <c r="AH4116" i="5"/>
  <c r="AH4117" i="5"/>
  <c r="AH4118" i="5"/>
  <c r="AH4119" i="5"/>
  <c r="AH4120" i="5"/>
  <c r="AH4121" i="5"/>
  <c r="AH4122" i="5"/>
  <c r="AH4123" i="5"/>
  <c r="AH4124" i="5"/>
  <c r="AH4125" i="5"/>
  <c r="AH4126" i="5"/>
  <c r="AH4127" i="5"/>
  <c r="AH4128" i="5"/>
  <c r="AH4129" i="5"/>
  <c r="AH4130" i="5"/>
  <c r="AH4131" i="5"/>
  <c r="AH4132" i="5"/>
  <c r="AH4133" i="5"/>
  <c r="AH4134" i="5"/>
  <c r="AH4135" i="5"/>
  <c r="AH4136" i="5"/>
  <c r="AH4137" i="5"/>
  <c r="AH4138" i="5"/>
  <c r="AH4139" i="5"/>
  <c r="AH4140" i="5"/>
  <c r="AH4141" i="5"/>
  <c r="AH4142" i="5"/>
  <c r="AH4143" i="5"/>
  <c r="AH4144" i="5"/>
  <c r="AH4145" i="5"/>
  <c r="AH4146" i="5"/>
  <c r="AH4147" i="5"/>
  <c r="AH4148" i="5"/>
  <c r="AH4149" i="5"/>
  <c r="AH4150" i="5"/>
  <c r="AH4151" i="5"/>
  <c r="AH4152" i="5"/>
  <c r="AH4153" i="5"/>
  <c r="AH4154" i="5"/>
  <c r="AH4155" i="5"/>
  <c r="AH4156" i="5"/>
  <c r="AH4157" i="5"/>
  <c r="AH4158" i="5"/>
  <c r="AH4159" i="5"/>
  <c r="AH4160" i="5"/>
  <c r="AH4161" i="5"/>
  <c r="AH4162" i="5"/>
  <c r="AH4163" i="5"/>
  <c r="AH4164" i="5"/>
  <c r="AH4165" i="5"/>
  <c r="AH4166" i="5"/>
  <c r="AH4167" i="5"/>
  <c r="AH4168" i="5"/>
  <c r="AH4169" i="5"/>
  <c r="AH4170" i="5"/>
  <c r="AH4171" i="5"/>
  <c r="AH4172" i="5"/>
  <c r="AH4173" i="5"/>
  <c r="AH4174" i="5"/>
  <c r="AH4175" i="5"/>
  <c r="AH4176" i="5"/>
  <c r="AH4177" i="5"/>
  <c r="AH4178" i="5"/>
  <c r="AH4179" i="5"/>
  <c r="AH4180" i="5"/>
  <c r="AH4181" i="5"/>
  <c r="AH4182" i="5"/>
  <c r="AH4183" i="5"/>
  <c r="AH4184" i="5"/>
  <c r="AH4185" i="5"/>
  <c r="AH4186" i="5"/>
  <c r="AH4187" i="5"/>
  <c r="AH4188" i="5"/>
  <c r="AH4189" i="5"/>
  <c r="AH4190" i="5"/>
  <c r="AH4191" i="5"/>
  <c r="AH4192" i="5"/>
  <c r="AH4193" i="5"/>
  <c r="AH4194" i="5"/>
  <c r="AH4195" i="5"/>
  <c r="AH4196" i="5"/>
  <c r="AH4197" i="5"/>
  <c r="AH4198" i="5"/>
  <c r="AH4199" i="5"/>
  <c r="AH4200" i="5"/>
  <c r="AH4201" i="5"/>
  <c r="AH4202" i="5"/>
  <c r="AH4203" i="5"/>
  <c r="AH4204" i="5"/>
  <c r="AH4205" i="5"/>
  <c r="AH4206" i="5"/>
  <c r="AH4207" i="5"/>
  <c r="AH4208" i="5"/>
  <c r="AH4209" i="5"/>
  <c r="AH4210" i="5"/>
  <c r="AH4211" i="5"/>
  <c r="AH4212" i="5"/>
  <c r="AH4213" i="5"/>
  <c r="AH4214" i="5"/>
  <c r="AH4215" i="5"/>
  <c r="AH4216" i="5"/>
  <c r="AH4217" i="5"/>
  <c r="AH4218" i="5"/>
  <c r="AH4219" i="5"/>
  <c r="AH4220" i="5"/>
  <c r="AH4221" i="5"/>
  <c r="AH4222" i="5"/>
  <c r="AH4223" i="5"/>
  <c r="AH4224" i="5"/>
  <c r="AH4225" i="5"/>
  <c r="AH4226" i="5"/>
  <c r="AH4227" i="5"/>
  <c r="AH4228" i="5"/>
  <c r="AH4229" i="5"/>
  <c r="AH4230" i="5"/>
  <c r="AH4231" i="5"/>
  <c r="AH4232" i="5"/>
  <c r="AH4233" i="5"/>
  <c r="AH4234" i="5"/>
  <c r="AH4235" i="5"/>
  <c r="AH4236" i="5"/>
  <c r="AH4237" i="5"/>
  <c r="AH4238" i="5"/>
  <c r="AH4239" i="5"/>
  <c r="AH4240" i="5"/>
  <c r="AH4241" i="5"/>
  <c r="AH4242" i="5"/>
  <c r="AH4243" i="5"/>
  <c r="AH4244" i="5"/>
  <c r="AH4245" i="5"/>
  <c r="AH4246" i="5"/>
  <c r="AH4247" i="5"/>
  <c r="AH4248" i="5"/>
  <c r="AH4249" i="5"/>
  <c r="AH4250" i="5"/>
  <c r="AH4251" i="5"/>
  <c r="AH4252" i="5"/>
  <c r="AH4253" i="5"/>
  <c r="AH4254" i="5"/>
  <c r="AH4255" i="5"/>
  <c r="AH4256" i="5"/>
  <c r="AH4257" i="5"/>
  <c r="AH4258" i="5"/>
  <c r="AH4259" i="5"/>
  <c r="AH4260" i="5"/>
  <c r="AH4261" i="5"/>
  <c r="AH4262" i="5"/>
  <c r="AH4263" i="5"/>
  <c r="AH4264" i="5"/>
  <c r="AH4265" i="5"/>
  <c r="AH4266" i="5"/>
  <c r="AH4267" i="5"/>
  <c r="AH4268" i="5"/>
  <c r="AH4269" i="5"/>
  <c r="AH4270" i="5"/>
  <c r="AH4271" i="5"/>
  <c r="AH4272" i="5"/>
  <c r="AH4273" i="5"/>
  <c r="AH4274" i="5"/>
  <c r="AH4275" i="5"/>
  <c r="AH4276" i="5"/>
  <c r="AH4277" i="5"/>
  <c r="AH4278" i="5"/>
  <c r="AH4279" i="5"/>
  <c r="AH4280" i="5"/>
  <c r="AH4281" i="5"/>
  <c r="AH4282" i="5"/>
  <c r="AH4283" i="5"/>
  <c r="AH4284" i="5"/>
  <c r="AH4285" i="5"/>
  <c r="AH4286" i="5"/>
  <c r="AH4287" i="5"/>
  <c r="AH4288" i="5"/>
  <c r="AH4289" i="5"/>
  <c r="AH4290" i="5"/>
  <c r="AH4291" i="5"/>
  <c r="AH4292" i="5"/>
  <c r="AH4293" i="5"/>
  <c r="AH4294" i="5"/>
  <c r="AH4295" i="5"/>
  <c r="AH4296" i="5"/>
  <c r="AH4297" i="5"/>
  <c r="AH4298" i="5"/>
  <c r="AH4299" i="5"/>
  <c r="AH4300" i="5"/>
  <c r="AH4301" i="5"/>
  <c r="AH4302" i="5"/>
  <c r="AH4303" i="5"/>
  <c r="AH4304" i="5"/>
  <c r="AH4305" i="5"/>
  <c r="AH4306" i="5"/>
  <c r="AH4307" i="5"/>
  <c r="AH4308" i="5"/>
  <c r="AH4309" i="5"/>
  <c r="AH4310" i="5"/>
  <c r="AH4311" i="5"/>
  <c r="AH4312" i="5"/>
  <c r="AH4313" i="5"/>
  <c r="AH4314" i="5"/>
  <c r="AH4315" i="5"/>
  <c r="AH4316" i="5"/>
  <c r="AH4317" i="5"/>
  <c r="AH4318" i="5"/>
  <c r="AH4319" i="5"/>
  <c r="AH4320" i="5"/>
  <c r="AH4321" i="5"/>
  <c r="AH4322" i="5"/>
  <c r="AH4323" i="5"/>
  <c r="AH4324" i="5"/>
  <c r="AH4325" i="5"/>
  <c r="AH4326" i="5"/>
  <c r="AH4327" i="5"/>
  <c r="AH4328" i="5"/>
  <c r="AH4329" i="5"/>
  <c r="AH4330" i="5"/>
  <c r="AH4331" i="5"/>
  <c r="AH4332" i="5"/>
  <c r="AH4333" i="5"/>
  <c r="AH4334" i="5"/>
  <c r="AH4335" i="5"/>
  <c r="AH4336" i="5"/>
  <c r="AH4337" i="5"/>
  <c r="AH4338" i="5"/>
  <c r="AH4339" i="5"/>
  <c r="AH4340" i="5"/>
  <c r="AH4341" i="5"/>
  <c r="AH4342" i="5"/>
  <c r="AH4343" i="5"/>
  <c r="AH4344" i="5"/>
  <c r="AH4345" i="5"/>
  <c r="AH4346" i="5"/>
  <c r="AH4347" i="5"/>
  <c r="AH4348" i="5"/>
  <c r="AH4349" i="5"/>
  <c r="AH4350" i="5"/>
  <c r="AH4351" i="5"/>
  <c r="AH4352" i="5"/>
  <c r="AH4353" i="5"/>
  <c r="AH4354" i="5"/>
  <c r="AH4355" i="5"/>
  <c r="AH4356" i="5"/>
  <c r="AH4357" i="5"/>
  <c r="AH4358" i="5"/>
  <c r="AH4359" i="5"/>
  <c r="AH4360" i="5"/>
  <c r="AH4361" i="5"/>
  <c r="AH4362" i="5"/>
  <c r="AH4363" i="5"/>
  <c r="AH4364" i="5"/>
  <c r="AH4365" i="5"/>
  <c r="AH4366" i="5"/>
  <c r="AH4367" i="5"/>
  <c r="AH4368" i="5"/>
  <c r="AH4369" i="5"/>
  <c r="AH4370" i="5"/>
  <c r="AH4371" i="5"/>
  <c r="AH4372" i="5"/>
  <c r="AH4373" i="5"/>
  <c r="AH4374" i="5"/>
  <c r="AH4375" i="5"/>
  <c r="AH4376" i="5"/>
  <c r="AH4377" i="5"/>
  <c r="AH4378" i="5"/>
  <c r="AH4379" i="5"/>
  <c r="AH4380" i="5"/>
  <c r="AH4381" i="5"/>
  <c r="AH4382" i="5"/>
  <c r="AH4383" i="5"/>
  <c r="AH4384" i="5"/>
  <c r="AH4385" i="5"/>
  <c r="AH4386" i="5"/>
  <c r="AH4387" i="5"/>
  <c r="AH4388" i="5"/>
  <c r="AH4389" i="5"/>
  <c r="AH4390" i="5"/>
  <c r="AH4391" i="5"/>
  <c r="AH4392" i="5"/>
  <c r="AH4393" i="5"/>
  <c r="AH4394" i="5"/>
  <c r="AH4395" i="5"/>
  <c r="AH4396" i="5"/>
  <c r="AH4397" i="5"/>
  <c r="AH4398" i="5"/>
  <c r="AH4399" i="5"/>
  <c r="AH4400" i="5"/>
  <c r="AH4401" i="5"/>
  <c r="AH4402" i="5"/>
  <c r="AH4403" i="5"/>
  <c r="AH4404" i="5"/>
  <c r="AH4405" i="5"/>
  <c r="AH4406" i="5"/>
  <c r="AH4407" i="5"/>
  <c r="AH4408" i="5"/>
  <c r="AH4409" i="5"/>
  <c r="AH4410" i="5"/>
  <c r="AH4411" i="5"/>
  <c r="AH4412" i="5"/>
  <c r="AH4413" i="5"/>
  <c r="AH4414" i="5"/>
  <c r="AH4415" i="5"/>
  <c r="AH4416" i="5"/>
  <c r="AH4417" i="5"/>
  <c r="AH4418" i="5"/>
  <c r="AH4419" i="5"/>
  <c r="AH4420" i="5"/>
  <c r="AH4421" i="5"/>
  <c r="AH4422" i="5"/>
  <c r="AH4423" i="5"/>
  <c r="AH4424" i="5"/>
  <c r="AH4425" i="5"/>
  <c r="AH4426" i="5"/>
  <c r="AH4427" i="5"/>
  <c r="AH4428" i="5"/>
  <c r="AH4429" i="5"/>
  <c r="AH4430" i="5"/>
  <c r="AH4431" i="5"/>
  <c r="AH4432" i="5"/>
  <c r="AH4433" i="5"/>
  <c r="AH4434" i="5"/>
  <c r="AH4435" i="5"/>
  <c r="AH4436" i="5"/>
  <c r="AH4437" i="5"/>
  <c r="AH4438" i="5"/>
  <c r="AH4439" i="5"/>
  <c r="AH4440" i="5"/>
  <c r="AH4441" i="5"/>
  <c r="AH4442" i="5"/>
  <c r="AH4443" i="5"/>
  <c r="AH4444" i="5"/>
  <c r="AH4445" i="5"/>
  <c r="AH4446" i="5"/>
  <c r="AH4447" i="5"/>
  <c r="AH4448" i="5"/>
  <c r="AH4449" i="5"/>
  <c r="AH4450" i="5"/>
  <c r="AH4451" i="5"/>
  <c r="AH4452" i="5"/>
  <c r="AH4453" i="5"/>
  <c r="AH4454" i="5"/>
  <c r="AH1" i="5"/>
  <c r="AI4547" i="5"/>
  <c r="AI4548" i="5"/>
  <c r="AI4549" i="5"/>
  <c r="AB121" i="6"/>
  <c r="AC121" i="6"/>
  <c r="AD121" i="6"/>
  <c r="AE121" i="6"/>
  <c r="AF121" i="6"/>
  <c r="AB122" i="6"/>
  <c r="AC122" i="6"/>
  <c r="AD122" i="6"/>
  <c r="AE122" i="6"/>
  <c r="AF122" i="6"/>
  <c r="AB123" i="6"/>
  <c r="AC123" i="6"/>
  <c r="AF123" i="6"/>
  <c r="AD123" i="6" s="1"/>
  <c r="AE123" i="6" s="1"/>
  <c r="A14" i="11"/>
  <c r="B14" i="11"/>
  <c r="C14" i="11"/>
  <c r="D14" i="11"/>
  <c r="E14" i="11"/>
  <c r="G14" i="11"/>
  <c r="H14" i="11"/>
  <c r="I14" i="11"/>
  <c r="J14" i="11"/>
  <c r="K14" i="11"/>
  <c r="A15" i="11"/>
  <c r="B15" i="11"/>
  <c r="C15" i="11"/>
  <c r="D15" i="11"/>
  <c r="E15" i="11"/>
  <c r="G15" i="11"/>
  <c r="H15" i="11"/>
  <c r="I15" i="11"/>
  <c r="J15" i="11"/>
  <c r="K15" i="11"/>
  <c r="A16" i="11"/>
  <c r="B16" i="11"/>
  <c r="C16" i="11"/>
  <c r="D16" i="11"/>
  <c r="E16" i="11"/>
  <c r="G16" i="11"/>
  <c r="H16" i="11"/>
  <c r="I16" i="11"/>
  <c r="J16" i="11"/>
  <c r="K16" i="11"/>
  <c r="A17" i="11"/>
  <c r="B17" i="11"/>
  <c r="C17" i="11"/>
  <c r="D17" i="11"/>
  <c r="E17" i="11"/>
  <c r="G17" i="11"/>
  <c r="H17" i="11"/>
  <c r="I17" i="11"/>
  <c r="J17" i="11"/>
  <c r="K17" i="11"/>
  <c r="A18" i="11"/>
  <c r="B18" i="11"/>
  <c r="C18" i="11"/>
  <c r="D18" i="11"/>
  <c r="E18" i="11"/>
  <c r="G18" i="11"/>
  <c r="H18" i="11"/>
  <c r="I18" i="11"/>
  <c r="J18" i="11"/>
  <c r="K18" i="11"/>
  <c r="A19" i="11"/>
  <c r="B19" i="11"/>
  <c r="C19" i="11"/>
  <c r="D19" i="11"/>
  <c r="E19" i="11"/>
  <c r="G19" i="11"/>
  <c r="H19" i="11"/>
  <c r="I19" i="11"/>
  <c r="J19" i="11"/>
  <c r="K19" i="11"/>
  <c r="A20" i="11"/>
  <c r="B20" i="11"/>
  <c r="C20" i="11"/>
  <c r="D20" i="11"/>
  <c r="E20" i="11"/>
  <c r="G20" i="11"/>
  <c r="H20" i="11"/>
  <c r="I20" i="11"/>
  <c r="J20" i="11"/>
  <c r="K20" i="11"/>
  <c r="A21" i="11"/>
  <c r="B21" i="11"/>
  <c r="C21" i="11"/>
  <c r="D21" i="11"/>
  <c r="E21" i="11"/>
  <c r="G21" i="11"/>
  <c r="H21" i="11"/>
  <c r="I21" i="11"/>
  <c r="J21" i="11"/>
  <c r="K21" i="11"/>
  <c r="A22" i="11"/>
  <c r="B22" i="11"/>
  <c r="C22" i="11"/>
  <c r="D22" i="11"/>
  <c r="E22" i="11"/>
  <c r="G22" i="11"/>
  <c r="H22" i="11"/>
  <c r="I22" i="11"/>
  <c r="J22" i="11"/>
  <c r="K22" i="11"/>
  <c r="A23" i="11"/>
  <c r="B23" i="11"/>
  <c r="C23" i="11"/>
  <c r="D23" i="11"/>
  <c r="E23" i="11"/>
  <c r="G23" i="11"/>
  <c r="H23" i="11"/>
  <c r="I23" i="11"/>
  <c r="J23" i="11"/>
  <c r="K23" i="11"/>
  <c r="A24" i="11"/>
  <c r="B24" i="11"/>
  <c r="C24" i="11"/>
  <c r="D24" i="11"/>
  <c r="E24" i="11"/>
  <c r="G24" i="11"/>
  <c r="H24" i="11"/>
  <c r="I24" i="11"/>
  <c r="J24" i="11"/>
  <c r="K24" i="11"/>
  <c r="A25" i="11"/>
  <c r="B25" i="11"/>
  <c r="C25" i="11"/>
  <c r="D25" i="11"/>
  <c r="E25" i="11"/>
  <c r="G25" i="11"/>
  <c r="H25" i="11"/>
  <c r="I25" i="11"/>
  <c r="J25" i="11"/>
  <c r="K25" i="11"/>
  <c r="A26" i="11"/>
  <c r="B26" i="11"/>
  <c r="C26" i="11"/>
  <c r="D26" i="11"/>
  <c r="E26" i="11"/>
  <c r="G26" i="11"/>
  <c r="H26" i="11"/>
  <c r="I26" i="11"/>
  <c r="J26" i="11"/>
  <c r="K26" i="11"/>
  <c r="A27" i="11"/>
  <c r="B27" i="11"/>
  <c r="C27" i="11"/>
  <c r="D27" i="11"/>
  <c r="E27" i="11"/>
  <c r="G27" i="11"/>
  <c r="H27" i="11"/>
  <c r="I27" i="11"/>
  <c r="J27" i="11"/>
  <c r="K27" i="11"/>
  <c r="A28" i="11"/>
  <c r="B28" i="11"/>
  <c r="C28" i="11"/>
  <c r="D28" i="11"/>
  <c r="E28" i="11"/>
  <c r="G28" i="11"/>
  <c r="H28" i="11"/>
  <c r="I28" i="11"/>
  <c r="J28" i="11"/>
  <c r="K28" i="11"/>
  <c r="A29" i="11"/>
  <c r="B29" i="11"/>
  <c r="C29" i="11"/>
  <c r="D29" i="11"/>
  <c r="E29" i="11"/>
  <c r="G29" i="11"/>
  <c r="H29" i="11"/>
  <c r="I29" i="11"/>
  <c r="J29" i="11"/>
  <c r="K29" i="11"/>
  <c r="A30" i="11"/>
  <c r="B30" i="11"/>
  <c r="C30" i="11"/>
  <c r="D30" i="11"/>
  <c r="E30" i="11"/>
  <c r="G30" i="11"/>
  <c r="H30" i="11"/>
  <c r="I30" i="11"/>
  <c r="J30" i="11"/>
  <c r="K30" i="11"/>
  <c r="A31" i="11"/>
  <c r="B31" i="11"/>
  <c r="C31" i="11"/>
  <c r="D31" i="11"/>
  <c r="E31" i="11"/>
  <c r="G31" i="11"/>
  <c r="H31" i="11"/>
  <c r="I31" i="11"/>
  <c r="J31" i="11"/>
  <c r="K31" i="11"/>
  <c r="B1415" i="2"/>
  <c r="AB117" i="6"/>
  <c r="AC117" i="6"/>
  <c r="AD117" i="6"/>
  <c r="AE117" i="6"/>
  <c r="AF117" i="6"/>
  <c r="AB118" i="6"/>
  <c r="AC118" i="6"/>
  <c r="AD118" i="6"/>
  <c r="AE118" i="6"/>
  <c r="AF118" i="6"/>
  <c r="AB119" i="6"/>
  <c r="AC119" i="6"/>
  <c r="AD119" i="6"/>
  <c r="AE119" i="6"/>
  <c r="AF119" i="6"/>
  <c r="AB120" i="6"/>
  <c r="AC120" i="6"/>
  <c r="AD120" i="6"/>
  <c r="AE120" i="6"/>
  <c r="AF120" i="6"/>
  <c r="AI4544" i="5"/>
  <c r="B1414" i="2"/>
  <c r="AI4543" i="5"/>
  <c r="AI4542" i="5"/>
  <c r="AI4541" i="5"/>
  <c r="AB114" i="6"/>
  <c r="AC114" i="6"/>
  <c r="AF114" i="6"/>
  <c r="AD114" i="6" s="1"/>
  <c r="AE114" i="6" s="1"/>
  <c r="AB115" i="6"/>
  <c r="AC115" i="6"/>
  <c r="AF115" i="6"/>
  <c r="AD115" i="6" s="1"/>
  <c r="AE115" i="6" s="1"/>
  <c r="AB116" i="6"/>
  <c r="AC116" i="6"/>
  <c r="AF116" i="6"/>
  <c r="AD116" i="6"/>
  <c r="AE116" i="6"/>
  <c r="B1413" i="2"/>
  <c r="X232" i="7"/>
  <c r="X233" i="7"/>
  <c r="X234" i="7"/>
  <c r="X235" i="7"/>
  <c r="X236" i="7"/>
  <c r="X237" i="7"/>
  <c r="X238" i="7"/>
  <c r="X239" i="7"/>
  <c r="X240" i="7"/>
  <c r="AB105" i="6"/>
  <c r="AC105" i="6"/>
  <c r="AF105" i="6"/>
  <c r="AD105" i="6" s="1"/>
  <c r="AE105" i="6" s="1"/>
  <c r="AB106" i="6"/>
  <c r="AC106" i="6"/>
  <c r="AF106" i="6"/>
  <c r="AD106" i="6" s="1"/>
  <c r="AE106" i="6" s="1"/>
  <c r="AB107" i="6"/>
  <c r="AC107" i="6"/>
  <c r="AF107" i="6"/>
  <c r="AD107" i="6" s="1"/>
  <c r="AE107" i="6" s="1"/>
  <c r="AB108" i="6"/>
  <c r="AC108" i="6"/>
  <c r="AF108" i="6"/>
  <c r="AD108" i="6" s="1"/>
  <c r="AE108" i="6" s="1"/>
  <c r="AB109" i="6"/>
  <c r="AC109" i="6"/>
  <c r="AF109" i="6"/>
  <c r="AD109" i="6" s="1"/>
  <c r="AE109" i="6" s="1"/>
  <c r="AB110" i="6"/>
  <c r="AC110" i="6"/>
  <c r="AF110" i="6"/>
  <c r="AD110" i="6" s="1"/>
  <c r="AE110" i="6" s="1"/>
  <c r="AB111" i="6"/>
  <c r="AC111" i="6"/>
  <c r="AF111" i="6"/>
  <c r="AD111" i="6" s="1"/>
  <c r="AE111" i="6" s="1"/>
  <c r="AB112" i="6"/>
  <c r="AC112" i="6"/>
  <c r="AF112" i="6"/>
  <c r="AD112" i="6" s="1"/>
  <c r="AE112" i="6" s="1"/>
  <c r="AB113" i="6"/>
  <c r="AC113" i="6"/>
  <c r="AF113" i="6"/>
  <c r="AD113" i="6" s="1"/>
  <c r="AE113" i="6" s="1"/>
  <c r="O13" i="14"/>
  <c r="P13" i="14"/>
  <c r="Q13" i="14"/>
  <c r="R13" i="14"/>
  <c r="S13" i="14"/>
  <c r="T13" i="14"/>
  <c r="U13" i="14"/>
  <c r="V13" i="14"/>
  <c r="W13" i="14"/>
  <c r="X13" i="14"/>
  <c r="O14" i="14"/>
  <c r="P14" i="14"/>
  <c r="Q14" i="14"/>
  <c r="R14" i="14"/>
  <c r="S14" i="14"/>
  <c r="T14" i="14"/>
  <c r="U14" i="14"/>
  <c r="V14" i="14"/>
  <c r="W14" i="14"/>
  <c r="X14" i="14"/>
  <c r="O15" i="14"/>
  <c r="P15" i="14"/>
  <c r="Q15" i="14"/>
  <c r="R15" i="14"/>
  <c r="S15" i="14"/>
  <c r="T15" i="14"/>
  <c r="U15" i="14"/>
  <c r="V15" i="14"/>
  <c r="W15" i="14"/>
  <c r="X15" i="14"/>
  <c r="O16" i="14"/>
  <c r="P16" i="14"/>
  <c r="Q16" i="14"/>
  <c r="R16" i="14"/>
  <c r="S16" i="14"/>
  <c r="T16" i="14"/>
  <c r="U16" i="14"/>
  <c r="V16" i="14"/>
  <c r="W16" i="14"/>
  <c r="X16" i="14"/>
  <c r="O17" i="14"/>
  <c r="P17" i="14"/>
  <c r="Q17" i="14"/>
  <c r="R17" i="14"/>
  <c r="S17" i="14"/>
  <c r="T17" i="14"/>
  <c r="U17" i="14"/>
  <c r="V17" i="14"/>
  <c r="W17" i="14"/>
  <c r="X17" i="14"/>
  <c r="O18" i="14"/>
  <c r="P18" i="14"/>
  <c r="Q18" i="14"/>
  <c r="R18" i="14"/>
  <c r="S18" i="14"/>
  <c r="T18" i="14"/>
  <c r="U18" i="14"/>
  <c r="V18" i="14"/>
  <c r="W18" i="14"/>
  <c r="X18" i="14"/>
  <c r="O19" i="14"/>
  <c r="P19" i="14"/>
  <c r="Q19" i="14"/>
  <c r="R19" i="14"/>
  <c r="S19" i="14"/>
  <c r="T19" i="14"/>
  <c r="U19" i="14"/>
  <c r="V19" i="14"/>
  <c r="W19" i="14"/>
  <c r="X19" i="14"/>
  <c r="O20" i="14"/>
  <c r="P20" i="14"/>
  <c r="Q20" i="14"/>
  <c r="R20" i="14"/>
  <c r="S20" i="14"/>
  <c r="T20" i="14"/>
  <c r="U20" i="14"/>
  <c r="V20" i="14"/>
  <c r="W20" i="14"/>
  <c r="X20" i="14"/>
  <c r="O21" i="14"/>
  <c r="P21" i="14"/>
  <c r="Q21" i="14"/>
  <c r="R21" i="14"/>
  <c r="S21" i="14"/>
  <c r="T21" i="14"/>
  <c r="U21" i="14"/>
  <c r="V21" i="14"/>
  <c r="W21" i="14"/>
  <c r="X21" i="14"/>
  <c r="O22" i="14"/>
  <c r="P22" i="14"/>
  <c r="Q22" i="14"/>
  <c r="R22" i="14"/>
  <c r="S22" i="14"/>
  <c r="T22" i="14"/>
  <c r="U22" i="14"/>
  <c r="V22" i="14"/>
  <c r="W22" i="14"/>
  <c r="X22" i="14"/>
  <c r="AI4538" i="5"/>
  <c r="AI4539" i="5"/>
  <c r="AI4540" i="5"/>
  <c r="AI4537" i="5"/>
  <c r="AB101" i="6"/>
  <c r="AC101" i="6"/>
  <c r="AD101" i="6"/>
  <c r="AE101" i="6"/>
  <c r="AF101" i="6"/>
  <c r="AB102" i="6"/>
  <c r="AC102" i="6"/>
  <c r="AF102" i="6"/>
  <c r="AD102" i="6" s="1"/>
  <c r="AE102" i="6" s="1"/>
  <c r="AB103" i="6"/>
  <c r="AC103" i="6"/>
  <c r="AF103" i="6"/>
  <c r="AD103" i="6" s="1"/>
  <c r="AE103" i="6" s="1"/>
  <c r="AB104" i="6"/>
  <c r="AC104" i="6"/>
  <c r="AF104" i="6"/>
  <c r="AD104" i="6" s="1"/>
  <c r="AE104" i="6" s="1"/>
  <c r="B1117" i="2"/>
  <c r="B1116" i="2"/>
  <c r="AB99" i="6"/>
  <c r="AC99" i="6"/>
  <c r="AF99" i="6"/>
  <c r="AD99" i="6" s="1"/>
  <c r="AE99" i="6" s="1"/>
  <c r="AB100" i="6"/>
  <c r="AC100" i="6"/>
  <c r="AD100" i="6"/>
  <c r="AE100" i="6"/>
  <c r="AF100" i="6"/>
  <c r="AI4536" i="5"/>
  <c r="AI4535" i="5"/>
  <c r="O10" i="14"/>
  <c r="P10" i="14"/>
  <c r="Q10" i="14"/>
  <c r="R10" i="14"/>
  <c r="S10" i="14"/>
  <c r="T10" i="14"/>
  <c r="U10" i="14"/>
  <c r="V10" i="14"/>
  <c r="W10" i="14"/>
  <c r="X10" i="14"/>
  <c r="O11" i="14"/>
  <c r="P11" i="14"/>
  <c r="Q11" i="14"/>
  <c r="R11" i="14"/>
  <c r="S11" i="14"/>
  <c r="T11" i="14"/>
  <c r="U11" i="14"/>
  <c r="V11" i="14"/>
  <c r="W11" i="14"/>
  <c r="X11" i="14"/>
  <c r="O12" i="14"/>
  <c r="P12" i="14"/>
  <c r="Q12" i="14"/>
  <c r="R12" i="14"/>
  <c r="S12" i="14"/>
  <c r="T12" i="14"/>
  <c r="U12" i="14"/>
  <c r="V12" i="14"/>
  <c r="W12" i="14"/>
  <c r="X12" i="14"/>
  <c r="AI4528" i="5"/>
  <c r="AI4529" i="5"/>
  <c r="AI4530" i="5"/>
  <c r="AI4531" i="5"/>
  <c r="AI4532" i="5"/>
  <c r="AI4533" i="5"/>
  <c r="AI4534" i="5"/>
  <c r="AI4527" i="5"/>
  <c r="AB91" i="6"/>
  <c r="AC91" i="6"/>
  <c r="AD91" i="6"/>
  <c r="AE91" i="6"/>
  <c r="AF91" i="6"/>
  <c r="AB92" i="6"/>
  <c r="AC92" i="6"/>
  <c r="AD92" i="6"/>
  <c r="AE92" i="6"/>
  <c r="AF92" i="6"/>
  <c r="AB93" i="6"/>
  <c r="AC93" i="6"/>
  <c r="AD93" i="6"/>
  <c r="AE93" i="6"/>
  <c r="AF93" i="6"/>
  <c r="AB94" i="6"/>
  <c r="AC94" i="6"/>
  <c r="AD94" i="6"/>
  <c r="AE94" i="6"/>
  <c r="AF94" i="6"/>
  <c r="AB95" i="6"/>
  <c r="AC95" i="6"/>
  <c r="AD95" i="6"/>
  <c r="AE95" i="6"/>
  <c r="AF95" i="6"/>
  <c r="AB96" i="6"/>
  <c r="AC96" i="6"/>
  <c r="AD96" i="6"/>
  <c r="AE96" i="6"/>
  <c r="AF96" i="6"/>
  <c r="AB97" i="6"/>
  <c r="AC97" i="6"/>
  <c r="AD97" i="6"/>
  <c r="AE97" i="6"/>
  <c r="AF97" i="6"/>
  <c r="AB98" i="6"/>
  <c r="AC98" i="6"/>
  <c r="AD98" i="6"/>
  <c r="AE98" i="6"/>
  <c r="AF98" i="6"/>
  <c r="B1406" i="2"/>
  <c r="B1407" i="2"/>
  <c r="B1408" i="2"/>
  <c r="B1409" i="2"/>
  <c r="B1410" i="2"/>
  <c r="B1411" i="2"/>
  <c r="B1412" i="2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I4526" i="5"/>
  <c r="AB88" i="6"/>
  <c r="AC88" i="6"/>
  <c r="AD88" i="6"/>
  <c r="AE88" i="6"/>
  <c r="AF88" i="6"/>
  <c r="AB89" i="6"/>
  <c r="AC89" i="6"/>
  <c r="AD89" i="6"/>
  <c r="AE89" i="6"/>
  <c r="AF89" i="6"/>
  <c r="AB90" i="6"/>
  <c r="AC90" i="6"/>
  <c r="AD90" i="6"/>
  <c r="AE90" i="6"/>
  <c r="AF90" i="6"/>
  <c r="O5" i="14"/>
  <c r="P5" i="14"/>
  <c r="Q5" i="14"/>
  <c r="R5" i="14"/>
  <c r="S5" i="14"/>
  <c r="T5" i="14"/>
  <c r="U5" i="14"/>
  <c r="V5" i="14"/>
  <c r="W5" i="14"/>
  <c r="X5" i="14"/>
  <c r="O6" i="14"/>
  <c r="P6" i="14"/>
  <c r="Q6" i="14"/>
  <c r="R6" i="14"/>
  <c r="S6" i="14"/>
  <c r="T6" i="14"/>
  <c r="U6" i="14"/>
  <c r="V6" i="14"/>
  <c r="W6" i="14"/>
  <c r="X6" i="14"/>
  <c r="O7" i="14"/>
  <c r="P7" i="14"/>
  <c r="Q7" i="14"/>
  <c r="R7" i="14"/>
  <c r="S7" i="14"/>
  <c r="T7" i="14"/>
  <c r="U7" i="14"/>
  <c r="V7" i="14"/>
  <c r="W7" i="14"/>
  <c r="X7" i="14"/>
  <c r="O8" i="14"/>
  <c r="P8" i="14"/>
  <c r="Q8" i="14"/>
  <c r="R8" i="14"/>
  <c r="S8" i="14"/>
  <c r="T8" i="14"/>
  <c r="U8" i="14"/>
  <c r="V8" i="14"/>
  <c r="W8" i="14"/>
  <c r="X8" i="14"/>
  <c r="O9" i="14"/>
  <c r="P9" i="14"/>
  <c r="Q9" i="14"/>
  <c r="R9" i="14"/>
  <c r="S9" i="14"/>
  <c r="T9" i="14"/>
  <c r="U9" i="14"/>
  <c r="V9" i="14"/>
  <c r="W9" i="14"/>
  <c r="X9" i="14"/>
  <c r="AI4525" i="5"/>
  <c r="AI4524" i="5"/>
  <c r="AI4523" i="5"/>
  <c r="AI4522" i="5"/>
  <c r="AI4521" i="5"/>
  <c r="AI4520" i="5"/>
  <c r="AI4519" i="5"/>
  <c r="A11" i="11"/>
  <c r="B11" i="11"/>
  <c r="C11" i="11"/>
  <c r="D11" i="11"/>
  <c r="E11" i="11"/>
  <c r="G11" i="11"/>
  <c r="H11" i="11"/>
  <c r="I11" i="11"/>
  <c r="J11" i="11"/>
  <c r="K11" i="11"/>
  <c r="A12" i="11"/>
  <c r="B12" i="11"/>
  <c r="C12" i="11"/>
  <c r="D12" i="11"/>
  <c r="E12" i="11"/>
  <c r="G12" i="11"/>
  <c r="H12" i="11"/>
  <c r="I12" i="11"/>
  <c r="J12" i="11"/>
  <c r="K12" i="11"/>
  <c r="A13" i="11"/>
  <c r="B13" i="11"/>
  <c r="C13" i="11"/>
  <c r="D13" i="11"/>
  <c r="E13" i="11"/>
  <c r="G13" i="11"/>
  <c r="H13" i="11"/>
  <c r="I13" i="11"/>
  <c r="J13" i="11"/>
  <c r="K13" i="11"/>
  <c r="A10" i="11"/>
  <c r="B10" i="11"/>
  <c r="C10" i="11"/>
  <c r="D10" i="11"/>
  <c r="E10" i="11"/>
  <c r="G10" i="11"/>
  <c r="H10" i="11"/>
  <c r="I10" i="11"/>
  <c r="J10" i="11"/>
  <c r="K10" i="11"/>
  <c r="AB83" i="6"/>
  <c r="AC83" i="6"/>
  <c r="AD83" i="6"/>
  <c r="AE83" i="6"/>
  <c r="AF83" i="6"/>
  <c r="AB84" i="6"/>
  <c r="AC84" i="6"/>
  <c r="AD84" i="6"/>
  <c r="AE84" i="6"/>
  <c r="AF84" i="6"/>
  <c r="AB85" i="6"/>
  <c r="AC85" i="6"/>
  <c r="AD85" i="6"/>
  <c r="AE85" i="6"/>
  <c r="AF85" i="6"/>
  <c r="AB86" i="6"/>
  <c r="AC86" i="6"/>
  <c r="AD86" i="6"/>
  <c r="AE86" i="6"/>
  <c r="AF86" i="6"/>
  <c r="AB87" i="6"/>
  <c r="AC87" i="6"/>
  <c r="AD87" i="6"/>
  <c r="AE87" i="6"/>
  <c r="AF87" i="6"/>
  <c r="J1404" i="2"/>
  <c r="B1404" i="2" s="1"/>
  <c r="J1403" i="2"/>
  <c r="B1403" i="2" s="1"/>
  <c r="L1405" i="2"/>
  <c r="B1405" i="2" s="1"/>
  <c r="L1404" i="2"/>
  <c r="L1403" i="2"/>
  <c r="O4" i="14"/>
  <c r="P4" i="14"/>
  <c r="Q4" i="14"/>
  <c r="R4" i="14"/>
  <c r="S4" i="14"/>
  <c r="T4" i="14"/>
  <c r="U4" i="14"/>
  <c r="V4" i="14"/>
  <c r="W4" i="14"/>
  <c r="X4" i="14"/>
  <c r="A9" i="11"/>
  <c r="B9" i="11"/>
  <c r="C9" i="11"/>
  <c r="D9" i="11"/>
  <c r="E9" i="11"/>
  <c r="G9" i="11"/>
  <c r="H9" i="11"/>
  <c r="I9" i="11"/>
  <c r="J9" i="11"/>
  <c r="K9" i="11"/>
  <c r="AI4518" i="5"/>
  <c r="AI4517" i="5"/>
  <c r="AI4516" i="5"/>
  <c r="AI4515" i="5"/>
  <c r="AI4514" i="5"/>
  <c r="AI4513" i="5"/>
  <c r="AI4512" i="5"/>
  <c r="AI4511" i="5"/>
  <c r="AI4510" i="5"/>
  <c r="AI4509" i="5"/>
  <c r="AI4508" i="5"/>
  <c r="AI4507" i="5"/>
  <c r="AI4506" i="5"/>
  <c r="AI4505" i="5"/>
  <c r="AI4504" i="5"/>
  <c r="AB68" i="6"/>
  <c r="AC68" i="6"/>
  <c r="AD68" i="6"/>
  <c r="AE68" i="6"/>
  <c r="AF68" i="6"/>
  <c r="AB69" i="6"/>
  <c r="AC69" i="6"/>
  <c r="AD69" i="6"/>
  <c r="AE69" i="6"/>
  <c r="AF69" i="6"/>
  <c r="AB70" i="6"/>
  <c r="AC70" i="6"/>
  <c r="AD70" i="6"/>
  <c r="AE70" i="6"/>
  <c r="AF70" i="6"/>
  <c r="AB71" i="6"/>
  <c r="AC71" i="6"/>
  <c r="AD71" i="6"/>
  <c r="AE71" i="6"/>
  <c r="AF71" i="6"/>
  <c r="AB72" i="6"/>
  <c r="AC72" i="6"/>
  <c r="AD72" i="6"/>
  <c r="AE72" i="6"/>
  <c r="AF72" i="6"/>
  <c r="AB73" i="6"/>
  <c r="AC73" i="6"/>
  <c r="AD73" i="6"/>
  <c r="AE73" i="6"/>
  <c r="AF73" i="6"/>
  <c r="AB74" i="6"/>
  <c r="AC74" i="6"/>
  <c r="AD74" i="6"/>
  <c r="AE74" i="6"/>
  <c r="AF74" i="6"/>
  <c r="AB75" i="6"/>
  <c r="AC75" i="6"/>
  <c r="AD75" i="6"/>
  <c r="AE75" i="6"/>
  <c r="AF75" i="6"/>
  <c r="AB76" i="6"/>
  <c r="AC76" i="6"/>
  <c r="AD76" i="6"/>
  <c r="AE76" i="6"/>
  <c r="AF76" i="6"/>
  <c r="AB77" i="6"/>
  <c r="AC77" i="6"/>
  <c r="AD77" i="6"/>
  <c r="AE77" i="6"/>
  <c r="AF77" i="6"/>
  <c r="AB78" i="6"/>
  <c r="AC78" i="6"/>
  <c r="AD78" i="6"/>
  <c r="AE78" i="6"/>
  <c r="AF78" i="6"/>
  <c r="AB79" i="6"/>
  <c r="AC79" i="6"/>
  <c r="AF79" i="6"/>
  <c r="AD79" i="6" s="1"/>
  <c r="AE79" i="6" s="1"/>
  <c r="AB80" i="6"/>
  <c r="AC80" i="6"/>
  <c r="AD80" i="6"/>
  <c r="AE80" i="6"/>
  <c r="AF80" i="6"/>
  <c r="AB81" i="6"/>
  <c r="AC81" i="6"/>
  <c r="AD81" i="6"/>
  <c r="AE81" i="6"/>
  <c r="AF81" i="6"/>
  <c r="AB82" i="6"/>
  <c r="AC82" i="6"/>
  <c r="AF82" i="6"/>
  <c r="AD82" i="6" s="1"/>
  <c r="AE82" i="6" s="1"/>
  <c r="J34" i="9"/>
  <c r="K34" i="9"/>
  <c r="L34" i="9"/>
  <c r="M34" i="9"/>
  <c r="N34" i="9"/>
  <c r="O34" i="9"/>
  <c r="P34" i="9"/>
  <c r="Q34" i="9"/>
  <c r="J35" i="9"/>
  <c r="K35" i="9"/>
  <c r="L35" i="9"/>
  <c r="M35" i="9"/>
  <c r="N35" i="9"/>
  <c r="O35" i="9"/>
  <c r="P35" i="9"/>
  <c r="Q35" i="9"/>
  <c r="J36" i="9"/>
  <c r="K36" i="9"/>
  <c r="L36" i="9"/>
  <c r="M36" i="9"/>
  <c r="N36" i="9"/>
  <c r="O36" i="9"/>
  <c r="P36" i="9"/>
  <c r="Q36" i="9"/>
  <c r="J37" i="9"/>
  <c r="K37" i="9"/>
  <c r="L37" i="9"/>
  <c r="M37" i="9"/>
  <c r="N37" i="9"/>
  <c r="O37" i="9"/>
  <c r="P37" i="9"/>
  <c r="Q37" i="9"/>
  <c r="J38" i="9"/>
  <c r="K38" i="9"/>
  <c r="L38" i="9"/>
  <c r="M38" i="9"/>
  <c r="N38" i="9"/>
  <c r="O38" i="9"/>
  <c r="P38" i="9"/>
  <c r="Q38" i="9"/>
  <c r="J39" i="9"/>
  <c r="K39" i="9"/>
  <c r="L39" i="9"/>
  <c r="M39" i="9"/>
  <c r="N39" i="9"/>
  <c r="O39" i="9"/>
  <c r="P39" i="9"/>
  <c r="Q39" i="9"/>
  <c r="J40" i="9"/>
  <c r="K40" i="9"/>
  <c r="L40" i="9"/>
  <c r="M40" i="9"/>
  <c r="N40" i="9"/>
  <c r="O40" i="9"/>
  <c r="P40" i="9"/>
  <c r="Q40" i="9"/>
  <c r="J41" i="9"/>
  <c r="K41" i="9"/>
  <c r="L41" i="9"/>
  <c r="M41" i="9"/>
  <c r="N41" i="9"/>
  <c r="O41" i="9"/>
  <c r="P41" i="9"/>
  <c r="Q41" i="9"/>
  <c r="J42" i="9"/>
  <c r="K42" i="9"/>
  <c r="L42" i="9"/>
  <c r="M42" i="9"/>
  <c r="N42" i="9"/>
  <c r="O42" i="9"/>
  <c r="P42" i="9"/>
  <c r="Q42" i="9"/>
  <c r="J43" i="9"/>
  <c r="K43" i="9"/>
  <c r="L43" i="9"/>
  <c r="M43" i="9"/>
  <c r="N43" i="9"/>
  <c r="O43" i="9"/>
  <c r="P43" i="9"/>
  <c r="Q43" i="9"/>
  <c r="J44" i="9"/>
  <c r="K44" i="9"/>
  <c r="L44" i="9"/>
  <c r="M44" i="9"/>
  <c r="N44" i="9"/>
  <c r="O44" i="9"/>
  <c r="P44" i="9"/>
  <c r="Q44" i="9"/>
  <c r="J45" i="9"/>
  <c r="K45" i="9"/>
  <c r="L45" i="9"/>
  <c r="M45" i="9"/>
  <c r="N45" i="9"/>
  <c r="O45" i="9"/>
  <c r="P45" i="9"/>
  <c r="Q45" i="9"/>
  <c r="J46" i="9"/>
  <c r="K46" i="9"/>
  <c r="L46" i="9"/>
  <c r="M46" i="9"/>
  <c r="N46" i="9"/>
  <c r="O46" i="9"/>
  <c r="P46" i="9"/>
  <c r="Q46" i="9"/>
  <c r="J47" i="9"/>
  <c r="K47" i="9"/>
  <c r="L47" i="9"/>
  <c r="M47" i="9"/>
  <c r="N47" i="9"/>
  <c r="O47" i="9"/>
  <c r="P47" i="9"/>
  <c r="Q47" i="9"/>
  <c r="J1400" i="2"/>
  <c r="B1400" i="2"/>
  <c r="B1398" i="2"/>
  <c r="B1399" i="2"/>
  <c r="B1401" i="2"/>
  <c r="B1402" i="2"/>
  <c r="B1394" i="2"/>
  <c r="B1395" i="2"/>
  <c r="B1396" i="2"/>
  <c r="B1397" i="2"/>
  <c r="AI4503" i="5"/>
  <c r="AI4502" i="5"/>
  <c r="AI4501" i="5"/>
  <c r="AI4500" i="5"/>
  <c r="AI4499" i="5"/>
  <c r="AI4498" i="5"/>
  <c r="AI4497" i="5"/>
  <c r="AI4496" i="5"/>
  <c r="AI4495" i="5"/>
  <c r="AI4494" i="5"/>
  <c r="AI4493" i="5"/>
  <c r="AI4492" i="5"/>
  <c r="AI4491" i="5"/>
  <c r="AI4490" i="5"/>
  <c r="AI4489" i="5"/>
  <c r="AI4488" i="5"/>
  <c r="AI4487" i="5"/>
  <c r="AI4486" i="5"/>
  <c r="AI4485" i="5"/>
  <c r="AI4484" i="5"/>
  <c r="AI4483" i="5"/>
  <c r="AI4482" i="5"/>
  <c r="AI4481" i="5"/>
  <c r="AI4480" i="5"/>
  <c r="AI4479" i="5"/>
  <c r="AI4478" i="5"/>
  <c r="AI4477" i="5"/>
  <c r="AI4476" i="5"/>
  <c r="AB40" i="6"/>
  <c r="AC40" i="6"/>
  <c r="AD40" i="6"/>
  <c r="AE40" i="6"/>
  <c r="AF40" i="6"/>
  <c r="AB41" i="6"/>
  <c r="AC41" i="6"/>
  <c r="AD41" i="6"/>
  <c r="AE41" i="6"/>
  <c r="AF41" i="6"/>
  <c r="AB42" i="6"/>
  <c r="AC42" i="6"/>
  <c r="AD42" i="6"/>
  <c r="AE42" i="6"/>
  <c r="AF42" i="6"/>
  <c r="AB43" i="6"/>
  <c r="AC43" i="6"/>
  <c r="AD43" i="6"/>
  <c r="AE43" i="6"/>
  <c r="AF43" i="6"/>
  <c r="AB44" i="6"/>
  <c r="AC44" i="6"/>
  <c r="AD44" i="6"/>
  <c r="AE44" i="6"/>
  <c r="AF44" i="6"/>
  <c r="AB45" i="6"/>
  <c r="AC45" i="6"/>
  <c r="AD45" i="6"/>
  <c r="AE45" i="6"/>
  <c r="AF45" i="6"/>
  <c r="AB46" i="6"/>
  <c r="AC46" i="6"/>
  <c r="AD46" i="6"/>
  <c r="AE46" i="6"/>
  <c r="AF46" i="6"/>
  <c r="AB47" i="6"/>
  <c r="AC47" i="6"/>
  <c r="AD47" i="6"/>
  <c r="AE47" i="6"/>
  <c r="AF47" i="6"/>
  <c r="AB48" i="6"/>
  <c r="AC48" i="6"/>
  <c r="AD48" i="6"/>
  <c r="AE48" i="6"/>
  <c r="AF48" i="6"/>
  <c r="AB49" i="6"/>
  <c r="AC49" i="6"/>
  <c r="AD49" i="6"/>
  <c r="AE49" i="6"/>
  <c r="AF49" i="6"/>
  <c r="AB50" i="6"/>
  <c r="AC50" i="6"/>
  <c r="AD50" i="6"/>
  <c r="AE50" i="6"/>
  <c r="AF50" i="6"/>
  <c r="AB51" i="6"/>
  <c r="AC51" i="6"/>
  <c r="AD51" i="6"/>
  <c r="AE51" i="6"/>
  <c r="AF51" i="6"/>
  <c r="AB52" i="6"/>
  <c r="AC52" i="6"/>
  <c r="AD52" i="6"/>
  <c r="AE52" i="6"/>
  <c r="AF52" i="6"/>
  <c r="AB53" i="6"/>
  <c r="AC53" i="6"/>
  <c r="AD53" i="6"/>
  <c r="AE53" i="6"/>
  <c r="AF53" i="6"/>
  <c r="AB54" i="6"/>
  <c r="AC54" i="6"/>
  <c r="AD54" i="6"/>
  <c r="AE54" i="6"/>
  <c r="AF54" i="6"/>
  <c r="AB55" i="6"/>
  <c r="AC55" i="6"/>
  <c r="AD55" i="6"/>
  <c r="AE55" i="6"/>
  <c r="AF55" i="6"/>
  <c r="AB56" i="6"/>
  <c r="AC56" i="6"/>
  <c r="AD56" i="6"/>
  <c r="AE56" i="6"/>
  <c r="AF56" i="6"/>
  <c r="AB57" i="6"/>
  <c r="AC57" i="6"/>
  <c r="AD57" i="6"/>
  <c r="AE57" i="6"/>
  <c r="AF57" i="6"/>
  <c r="AB58" i="6"/>
  <c r="AC58" i="6"/>
  <c r="AD58" i="6"/>
  <c r="AE58" i="6"/>
  <c r="AF58" i="6"/>
  <c r="AB59" i="6"/>
  <c r="AC59" i="6"/>
  <c r="AD59" i="6"/>
  <c r="AE59" i="6"/>
  <c r="AF59" i="6"/>
  <c r="AB60" i="6"/>
  <c r="AC60" i="6"/>
  <c r="AD60" i="6"/>
  <c r="AE60" i="6"/>
  <c r="AF60" i="6"/>
  <c r="AB61" i="6"/>
  <c r="AC61" i="6"/>
  <c r="AD61" i="6"/>
  <c r="AE61" i="6"/>
  <c r="AF61" i="6"/>
  <c r="AB62" i="6"/>
  <c r="AC62" i="6"/>
  <c r="AD62" i="6"/>
  <c r="AE62" i="6"/>
  <c r="AF62" i="6"/>
  <c r="AB63" i="6"/>
  <c r="AC63" i="6"/>
  <c r="AD63" i="6"/>
  <c r="AE63" i="6"/>
  <c r="AF63" i="6"/>
  <c r="AB64" i="6"/>
  <c r="AC64" i="6"/>
  <c r="AD64" i="6"/>
  <c r="AE64" i="6"/>
  <c r="AF64" i="6"/>
  <c r="AB65" i="6"/>
  <c r="AC65" i="6"/>
  <c r="AD65" i="6"/>
  <c r="AE65" i="6"/>
  <c r="AF65" i="6"/>
  <c r="AB66" i="6"/>
  <c r="AC66" i="6"/>
  <c r="AD66" i="6"/>
  <c r="AE66" i="6"/>
  <c r="AF66" i="6"/>
  <c r="AB67" i="6"/>
  <c r="AC67" i="6"/>
  <c r="AD67" i="6"/>
  <c r="AE67" i="6"/>
  <c r="AF67" i="6"/>
  <c r="J4" i="9"/>
  <c r="K4" i="9"/>
  <c r="L4" i="9"/>
  <c r="M4" i="9"/>
  <c r="N4" i="9"/>
  <c r="O4" i="9"/>
  <c r="P4" i="9"/>
  <c r="Q4" i="9"/>
  <c r="J5" i="9"/>
  <c r="K5" i="9"/>
  <c r="L5" i="9"/>
  <c r="M5" i="9"/>
  <c r="N5" i="9"/>
  <c r="O5" i="9"/>
  <c r="P5" i="9"/>
  <c r="Q5" i="9"/>
  <c r="J6" i="9"/>
  <c r="K6" i="9"/>
  <c r="L6" i="9"/>
  <c r="M6" i="9"/>
  <c r="N6" i="9"/>
  <c r="O6" i="9"/>
  <c r="P6" i="9"/>
  <c r="Q6" i="9"/>
  <c r="J7" i="9"/>
  <c r="K7" i="9"/>
  <c r="L7" i="9"/>
  <c r="M7" i="9"/>
  <c r="N7" i="9"/>
  <c r="O7" i="9"/>
  <c r="P7" i="9"/>
  <c r="Q7" i="9"/>
  <c r="J8" i="9"/>
  <c r="K8" i="9"/>
  <c r="L8" i="9"/>
  <c r="M8" i="9"/>
  <c r="N8" i="9"/>
  <c r="O8" i="9"/>
  <c r="P8" i="9"/>
  <c r="Q8" i="9"/>
  <c r="J9" i="9"/>
  <c r="K9" i="9"/>
  <c r="L9" i="9"/>
  <c r="M9" i="9"/>
  <c r="N9" i="9"/>
  <c r="O9" i="9"/>
  <c r="P9" i="9"/>
  <c r="Q9" i="9"/>
  <c r="J10" i="9"/>
  <c r="K10" i="9"/>
  <c r="L10" i="9"/>
  <c r="M10" i="9"/>
  <c r="N10" i="9"/>
  <c r="O10" i="9"/>
  <c r="P10" i="9"/>
  <c r="Q10" i="9"/>
  <c r="J11" i="9"/>
  <c r="K11" i="9"/>
  <c r="L11" i="9"/>
  <c r="M11" i="9"/>
  <c r="N11" i="9"/>
  <c r="O11" i="9"/>
  <c r="P11" i="9"/>
  <c r="Q11" i="9"/>
  <c r="J12" i="9"/>
  <c r="K12" i="9"/>
  <c r="L12" i="9"/>
  <c r="M12" i="9"/>
  <c r="N12" i="9"/>
  <c r="O12" i="9"/>
  <c r="P12" i="9"/>
  <c r="Q12" i="9"/>
  <c r="J13" i="9"/>
  <c r="K13" i="9"/>
  <c r="L13" i="9"/>
  <c r="M13" i="9"/>
  <c r="N13" i="9"/>
  <c r="O13" i="9"/>
  <c r="P13" i="9"/>
  <c r="Q13" i="9"/>
  <c r="J14" i="9"/>
  <c r="K14" i="9"/>
  <c r="L14" i="9"/>
  <c r="M14" i="9"/>
  <c r="N14" i="9"/>
  <c r="O14" i="9"/>
  <c r="P14" i="9"/>
  <c r="Q14" i="9"/>
  <c r="J15" i="9"/>
  <c r="K15" i="9"/>
  <c r="L15" i="9"/>
  <c r="M15" i="9"/>
  <c r="N15" i="9"/>
  <c r="O15" i="9"/>
  <c r="P15" i="9"/>
  <c r="Q15" i="9"/>
  <c r="J16" i="9"/>
  <c r="K16" i="9"/>
  <c r="L16" i="9"/>
  <c r="M16" i="9"/>
  <c r="N16" i="9"/>
  <c r="O16" i="9"/>
  <c r="P16" i="9"/>
  <c r="Q16" i="9"/>
  <c r="J17" i="9"/>
  <c r="K17" i="9"/>
  <c r="L17" i="9"/>
  <c r="M17" i="9"/>
  <c r="N17" i="9"/>
  <c r="O17" i="9"/>
  <c r="P17" i="9"/>
  <c r="Q17" i="9"/>
  <c r="J18" i="9"/>
  <c r="K18" i="9"/>
  <c r="L18" i="9"/>
  <c r="M18" i="9"/>
  <c r="N18" i="9"/>
  <c r="O18" i="9"/>
  <c r="P18" i="9"/>
  <c r="Q18" i="9"/>
  <c r="J19" i="9"/>
  <c r="K19" i="9"/>
  <c r="L19" i="9"/>
  <c r="M19" i="9"/>
  <c r="N19" i="9"/>
  <c r="O19" i="9"/>
  <c r="P19" i="9"/>
  <c r="Q19" i="9"/>
  <c r="J20" i="9"/>
  <c r="K20" i="9"/>
  <c r="L20" i="9"/>
  <c r="M20" i="9"/>
  <c r="N20" i="9"/>
  <c r="O20" i="9"/>
  <c r="P20" i="9"/>
  <c r="Q20" i="9"/>
  <c r="J21" i="9"/>
  <c r="K21" i="9"/>
  <c r="L21" i="9"/>
  <c r="M21" i="9"/>
  <c r="N21" i="9"/>
  <c r="O21" i="9"/>
  <c r="P21" i="9"/>
  <c r="Q21" i="9"/>
  <c r="J22" i="9"/>
  <c r="K22" i="9"/>
  <c r="L22" i="9"/>
  <c r="M22" i="9"/>
  <c r="N22" i="9"/>
  <c r="O22" i="9"/>
  <c r="P22" i="9"/>
  <c r="Q22" i="9"/>
  <c r="J23" i="9"/>
  <c r="K23" i="9"/>
  <c r="L23" i="9"/>
  <c r="M23" i="9"/>
  <c r="N23" i="9"/>
  <c r="O23" i="9"/>
  <c r="P23" i="9"/>
  <c r="Q23" i="9"/>
  <c r="J24" i="9"/>
  <c r="K24" i="9"/>
  <c r="L24" i="9"/>
  <c r="M24" i="9"/>
  <c r="N24" i="9"/>
  <c r="O24" i="9"/>
  <c r="P24" i="9"/>
  <c r="Q24" i="9"/>
  <c r="J25" i="9"/>
  <c r="K25" i="9"/>
  <c r="L25" i="9"/>
  <c r="M25" i="9"/>
  <c r="N25" i="9"/>
  <c r="O25" i="9"/>
  <c r="P25" i="9"/>
  <c r="Q25" i="9"/>
  <c r="J26" i="9"/>
  <c r="K26" i="9"/>
  <c r="L26" i="9"/>
  <c r="M26" i="9"/>
  <c r="N26" i="9"/>
  <c r="O26" i="9"/>
  <c r="P26" i="9"/>
  <c r="Q26" i="9"/>
  <c r="J27" i="9"/>
  <c r="K27" i="9"/>
  <c r="L27" i="9"/>
  <c r="M27" i="9"/>
  <c r="N27" i="9"/>
  <c r="O27" i="9"/>
  <c r="P27" i="9"/>
  <c r="Q27" i="9"/>
  <c r="J28" i="9"/>
  <c r="K28" i="9"/>
  <c r="L28" i="9"/>
  <c r="M28" i="9"/>
  <c r="N28" i="9"/>
  <c r="O28" i="9"/>
  <c r="P28" i="9"/>
  <c r="Q28" i="9"/>
  <c r="J29" i="9"/>
  <c r="K29" i="9"/>
  <c r="L29" i="9"/>
  <c r="M29" i="9"/>
  <c r="N29" i="9"/>
  <c r="O29" i="9"/>
  <c r="P29" i="9"/>
  <c r="Q29" i="9"/>
  <c r="J30" i="9"/>
  <c r="K30" i="9"/>
  <c r="L30" i="9"/>
  <c r="M30" i="9"/>
  <c r="N30" i="9"/>
  <c r="O30" i="9"/>
  <c r="P30" i="9"/>
  <c r="Q30" i="9"/>
  <c r="J31" i="9"/>
  <c r="K31" i="9"/>
  <c r="L31" i="9"/>
  <c r="M31" i="9"/>
  <c r="N31" i="9"/>
  <c r="O31" i="9"/>
  <c r="P31" i="9"/>
  <c r="Q31" i="9"/>
  <c r="X228" i="7"/>
  <c r="X230" i="7"/>
  <c r="X226" i="7"/>
  <c r="L1392" i="2"/>
  <c r="B1392" i="2"/>
  <c r="L1393" i="2"/>
  <c r="B1393" i="2" s="1"/>
  <c r="L1391" i="2"/>
  <c r="B1391" i="2"/>
  <c r="L1390" i="2"/>
  <c r="B1390" i="2" s="1"/>
  <c r="X227" i="7"/>
  <c r="X229" i="7"/>
  <c r="X231" i="7"/>
  <c r="AB34" i="6"/>
  <c r="AC34" i="6"/>
  <c r="AF34" i="6"/>
  <c r="AD34" i="6" s="1"/>
  <c r="AE34" i="6" s="1"/>
  <c r="AB35" i="6"/>
  <c r="AC35" i="6"/>
  <c r="AF35" i="6"/>
  <c r="AD35" i="6" s="1"/>
  <c r="AE35" i="6" s="1"/>
  <c r="AB36" i="6"/>
  <c r="AC36" i="6"/>
  <c r="AF36" i="6"/>
  <c r="AD36" i="6" s="1"/>
  <c r="AE36" i="6" s="1"/>
  <c r="AB37" i="6"/>
  <c r="AC37" i="6"/>
  <c r="AF37" i="6"/>
  <c r="AD37" i="6" s="1"/>
  <c r="AE37" i="6" s="1"/>
  <c r="AB38" i="6"/>
  <c r="AC38" i="6"/>
  <c r="AF38" i="6"/>
  <c r="AD38" i="6" s="1"/>
  <c r="AE38" i="6" s="1"/>
  <c r="AB39" i="6"/>
  <c r="AC39" i="6"/>
  <c r="AF39" i="6"/>
  <c r="AD39" i="6" s="1"/>
  <c r="AE39" i="6" s="1"/>
  <c r="AH4462" i="5"/>
  <c r="AH4463" i="5"/>
  <c r="AH4464" i="5"/>
  <c r="AH4465" i="5"/>
  <c r="AH4466" i="5"/>
  <c r="AH4467" i="5"/>
  <c r="AH4468" i="5"/>
  <c r="AH4469" i="5"/>
  <c r="AH4470" i="5"/>
  <c r="AH4471" i="5"/>
  <c r="AH4472" i="5"/>
  <c r="AH4473" i="5"/>
  <c r="AH4474" i="5"/>
  <c r="AH4475" i="5"/>
  <c r="AI4463" i="5"/>
  <c r="AI4464" i="5"/>
  <c r="AI4465" i="5"/>
  <c r="AI4466" i="5"/>
  <c r="AI4467" i="5"/>
  <c r="AI4468" i="5"/>
  <c r="AI4469" i="5"/>
  <c r="AI4470" i="5"/>
  <c r="AI4471" i="5"/>
  <c r="AI4472" i="5"/>
  <c r="AI4473" i="5"/>
  <c r="AI4474" i="5"/>
  <c r="AI4475" i="5"/>
  <c r="AI4462" i="5"/>
  <c r="AB22" i="6"/>
  <c r="AC22" i="6"/>
  <c r="AF22" i="6"/>
  <c r="AD22" i="6" s="1"/>
  <c r="AE22" i="6" s="1"/>
  <c r="AB23" i="6"/>
  <c r="AC23" i="6"/>
  <c r="AF23" i="6"/>
  <c r="AD23" i="6" s="1"/>
  <c r="AE23" i="6" s="1"/>
  <c r="AB24" i="6"/>
  <c r="AC24" i="6"/>
  <c r="AF24" i="6"/>
  <c r="AD24" i="6" s="1"/>
  <c r="AE24" i="6" s="1"/>
  <c r="AB25" i="6"/>
  <c r="AC25" i="6"/>
  <c r="AD25" i="6"/>
  <c r="AE25" i="6"/>
  <c r="AF25" i="6"/>
  <c r="AB26" i="6"/>
  <c r="AC26" i="6"/>
  <c r="AF26" i="6"/>
  <c r="AD26" i="6" s="1"/>
  <c r="AE26" i="6" s="1"/>
  <c r="AB27" i="6"/>
  <c r="AC27" i="6"/>
  <c r="AF27" i="6"/>
  <c r="AD27" i="6" s="1"/>
  <c r="AE27" i="6" s="1"/>
  <c r="AB28" i="6"/>
  <c r="AC28" i="6"/>
  <c r="AD28" i="6"/>
  <c r="AE28" i="6"/>
  <c r="AF28" i="6"/>
  <c r="AB29" i="6"/>
  <c r="AC29" i="6"/>
  <c r="AF29" i="6"/>
  <c r="AD29" i="6" s="1"/>
  <c r="AE29" i="6" s="1"/>
  <c r="AB30" i="6"/>
  <c r="AC30" i="6"/>
  <c r="AF30" i="6"/>
  <c r="AD30" i="6" s="1"/>
  <c r="AE30" i="6" s="1"/>
  <c r="AB31" i="6"/>
  <c r="AC31" i="6"/>
  <c r="AD31" i="6"/>
  <c r="AE31" i="6"/>
  <c r="AF31" i="6"/>
  <c r="AB32" i="6"/>
  <c r="AC32" i="6"/>
  <c r="AD32" i="6"/>
  <c r="AE32" i="6"/>
  <c r="AF32" i="6"/>
  <c r="AB33" i="6"/>
  <c r="AC33" i="6"/>
  <c r="AF33" i="6"/>
  <c r="AD33" i="6" s="1"/>
  <c r="AE33" i="6" s="1"/>
  <c r="AH4461" i="5"/>
  <c r="AI4461" i="5"/>
  <c r="AB21" i="6"/>
  <c r="AC21" i="6"/>
  <c r="AD21" i="6"/>
  <c r="AE21" i="6"/>
  <c r="AF21" i="6"/>
  <c r="X225" i="7"/>
  <c r="X224" i="7"/>
  <c r="AB19" i="6"/>
  <c r="AC19" i="6"/>
  <c r="AF19" i="6"/>
  <c r="AD19" i="6" s="1"/>
  <c r="AE19" i="6" s="1"/>
  <c r="AB20" i="6"/>
  <c r="AC20" i="6"/>
  <c r="AF20" i="6"/>
  <c r="AD20" i="6" s="1"/>
  <c r="AE20" i="6" s="1"/>
  <c r="B1387" i="2"/>
  <c r="B1388" i="2"/>
  <c r="B1389" i="2"/>
  <c r="AH4455" i="5"/>
  <c r="AH4456" i="5"/>
  <c r="AH4457" i="5"/>
  <c r="AH4458" i="5"/>
  <c r="AH4459" i="5"/>
  <c r="AH4460" i="5"/>
  <c r="AI4460" i="5"/>
  <c r="AI4459" i="5"/>
  <c r="AI4458" i="5"/>
  <c r="AI4457" i="5"/>
  <c r="AI4456" i="5"/>
  <c r="AI4455" i="5"/>
  <c r="AI4454" i="5"/>
  <c r="AI4453" i="5"/>
  <c r="AB11" i="6"/>
  <c r="AC11" i="6"/>
  <c r="AF11" i="6"/>
  <c r="AD11" i="6" s="1"/>
  <c r="AE11" i="6" s="1"/>
  <c r="AB12" i="6"/>
  <c r="AC12" i="6"/>
  <c r="AD12" i="6"/>
  <c r="AE12" i="6"/>
  <c r="AF12" i="6"/>
  <c r="AB13" i="6"/>
  <c r="AC13" i="6"/>
  <c r="AF13" i="6"/>
  <c r="AD13" i="6" s="1"/>
  <c r="AE13" i="6" s="1"/>
  <c r="AB14" i="6"/>
  <c r="AC14" i="6"/>
  <c r="AD14" i="6"/>
  <c r="AE14" i="6"/>
  <c r="AF14" i="6"/>
  <c r="AB15" i="6"/>
  <c r="AC15" i="6"/>
  <c r="AF15" i="6"/>
  <c r="AD15" i="6" s="1"/>
  <c r="AE15" i="6" s="1"/>
  <c r="AB16" i="6"/>
  <c r="AC16" i="6"/>
  <c r="AF16" i="6"/>
  <c r="AD16" i="6" s="1"/>
  <c r="AE16" i="6" s="1"/>
  <c r="AB17" i="6"/>
  <c r="AC17" i="6"/>
  <c r="AF17" i="6"/>
  <c r="AD17" i="6" s="1"/>
  <c r="AE17" i="6" s="1"/>
  <c r="AB18" i="6"/>
  <c r="AC18" i="6"/>
  <c r="AD18" i="6"/>
  <c r="AE18" i="6"/>
  <c r="AF18" i="6"/>
  <c r="O3" i="14"/>
  <c r="P3" i="14"/>
  <c r="Q3" i="14"/>
  <c r="R3" i="14"/>
  <c r="S3" i="14"/>
  <c r="T3" i="14"/>
  <c r="U3" i="14"/>
  <c r="V3" i="14"/>
  <c r="W3" i="14"/>
  <c r="X3" i="14"/>
  <c r="X2" i="14"/>
  <c r="W2" i="14"/>
  <c r="V2" i="14"/>
  <c r="U2" i="14"/>
  <c r="T2" i="14"/>
  <c r="S2" i="14"/>
  <c r="R2" i="14"/>
  <c r="Q2" i="14"/>
  <c r="P2" i="14"/>
  <c r="O2" i="14"/>
  <c r="B1384" i="2"/>
  <c r="B1385" i="2"/>
  <c r="B1386" i="2"/>
  <c r="AI4442" i="5"/>
  <c r="AI4443" i="5"/>
  <c r="AI4444" i="5"/>
  <c r="AI4445" i="5"/>
  <c r="AI4446" i="5"/>
  <c r="AI4447" i="5"/>
  <c r="AI4448" i="5"/>
  <c r="AI4449" i="5"/>
  <c r="AI4450" i="5"/>
  <c r="AI4451" i="5"/>
  <c r="AI4452" i="5"/>
  <c r="X223" i="7"/>
  <c r="B1383" i="2"/>
  <c r="B1381" i="2"/>
  <c r="B1382" i="2"/>
  <c r="A7" i="11"/>
  <c r="B7" i="11"/>
  <c r="C7" i="11"/>
  <c r="D7" i="11"/>
  <c r="E7" i="11"/>
  <c r="G7" i="11"/>
  <c r="H7" i="11"/>
  <c r="I7" i="11"/>
  <c r="J7" i="11"/>
  <c r="K7" i="11"/>
  <c r="A8" i="11"/>
  <c r="B8" i="11"/>
  <c r="C8" i="11"/>
  <c r="D8" i="11"/>
  <c r="E8" i="11"/>
  <c r="G8" i="11"/>
  <c r="H8" i="11"/>
  <c r="I8" i="11"/>
  <c r="J8" i="11"/>
  <c r="K8" i="11"/>
  <c r="B1379" i="2"/>
  <c r="B1380" i="2"/>
  <c r="A4" i="11"/>
  <c r="B4" i="11"/>
  <c r="C4" i="11"/>
  <c r="D4" i="11"/>
  <c r="E4" i="11"/>
  <c r="G4" i="11"/>
  <c r="H4" i="11"/>
  <c r="I4" i="11"/>
  <c r="J4" i="11"/>
  <c r="K4" i="11"/>
  <c r="A5" i="11"/>
  <c r="B5" i="11"/>
  <c r="C5" i="11"/>
  <c r="D5" i="11"/>
  <c r="E5" i="11"/>
  <c r="G5" i="11"/>
  <c r="H5" i="11"/>
  <c r="I5" i="11"/>
  <c r="J5" i="11"/>
  <c r="K5" i="11"/>
  <c r="A6" i="11"/>
  <c r="B6" i="11"/>
  <c r="C6" i="11"/>
  <c r="D6" i="11"/>
  <c r="E6" i="11"/>
  <c r="G6" i="11"/>
  <c r="H6" i="11"/>
  <c r="I6" i="11"/>
  <c r="J6" i="11"/>
  <c r="K6" i="11"/>
  <c r="K3" i="11"/>
  <c r="J3" i="11"/>
  <c r="I3" i="11"/>
  <c r="H3" i="11"/>
  <c r="G3" i="11"/>
  <c r="E3" i="11"/>
  <c r="D3" i="11"/>
  <c r="C3" i="11"/>
  <c r="B3" i="11"/>
  <c r="A3" i="11"/>
  <c r="Q32" i="9"/>
  <c r="Q33" i="9"/>
  <c r="P32" i="9"/>
  <c r="P33" i="9"/>
  <c r="O32" i="9"/>
  <c r="O33" i="9"/>
  <c r="N32" i="9"/>
  <c r="N33" i="9"/>
  <c r="M32" i="9"/>
  <c r="M33" i="9"/>
  <c r="L32" i="9"/>
  <c r="L33" i="9"/>
  <c r="K32" i="9"/>
  <c r="K33" i="9"/>
  <c r="J32" i="9"/>
  <c r="J33" i="9"/>
  <c r="B1378" i="2"/>
  <c r="B1366" i="2"/>
  <c r="B1364" i="2"/>
  <c r="B1365" i="2"/>
  <c r="B1367" i="2"/>
  <c r="B1368" i="2"/>
  <c r="B1369" i="2"/>
  <c r="B1370" i="2"/>
  <c r="B1371" i="2"/>
  <c r="B1372" i="2"/>
  <c r="B1373" i="2"/>
  <c r="B1374" i="2"/>
  <c r="B1375" i="2"/>
  <c r="B1376" i="2"/>
  <c r="B1377" i="2"/>
  <c r="B1363" i="2"/>
  <c r="B1362" i="2"/>
  <c r="X222" i="7"/>
  <c r="X221" i="7"/>
  <c r="X220" i="7"/>
  <c r="X219" i="7"/>
  <c r="X218" i="7"/>
  <c r="X217" i="7"/>
  <c r="X214" i="7"/>
  <c r="X211" i="7"/>
  <c r="X215" i="7"/>
  <c r="X212" i="7"/>
  <c r="X213" i="7"/>
  <c r="X216" i="7"/>
  <c r="AB9" i="6"/>
  <c r="AC9" i="6"/>
  <c r="AF9" i="6"/>
  <c r="AD9" i="6" s="1"/>
  <c r="AE9" i="6" s="1"/>
  <c r="AB10" i="6"/>
  <c r="AC10" i="6"/>
  <c r="AD10" i="6"/>
  <c r="AE10" i="6"/>
  <c r="AF10" i="6"/>
  <c r="B1361" i="2"/>
  <c r="X209" i="7"/>
  <c r="X210" i="7"/>
  <c r="B1358" i="2"/>
  <c r="B1359" i="2"/>
  <c r="B1360" i="2"/>
  <c r="X207" i="7"/>
  <c r="X205" i="7"/>
  <c r="X206" i="7"/>
  <c r="X208" i="7"/>
  <c r="X201" i="7"/>
  <c r="X199" i="7"/>
  <c r="X200" i="7"/>
  <c r="X202" i="7"/>
  <c r="X203" i="7"/>
  <c r="X204" i="7"/>
  <c r="B1342" i="2"/>
  <c r="B1343" i="2"/>
  <c r="B1344" i="2"/>
  <c r="B1345" i="2"/>
  <c r="B1346" i="2"/>
  <c r="B1347" i="2"/>
  <c r="B1348" i="2"/>
  <c r="B1349" i="2"/>
  <c r="B1350" i="2"/>
  <c r="B1352" i="2"/>
  <c r="B1353" i="2"/>
  <c r="B1354" i="2"/>
  <c r="B1355" i="2"/>
  <c r="B1356" i="2"/>
  <c r="B1357" i="2"/>
  <c r="B1351" i="2"/>
  <c r="B1341" i="2"/>
  <c r="X195" i="7"/>
  <c r="X196" i="7"/>
  <c r="X197" i="7"/>
  <c r="X198" i="7"/>
  <c r="B1340" i="2"/>
  <c r="B1335" i="2"/>
  <c r="B1336" i="2"/>
  <c r="B1337" i="2"/>
  <c r="B1338" i="2"/>
  <c r="B1339" i="2"/>
  <c r="X192" i="7"/>
  <c r="X193" i="7"/>
  <c r="X194" i="7"/>
  <c r="X189" i="7"/>
  <c r="B1332" i="2"/>
  <c r="B1334" i="2"/>
  <c r="B1333" i="2"/>
  <c r="B1331" i="2"/>
  <c r="B1330" i="2"/>
  <c r="B1329" i="2"/>
  <c r="B1328" i="2"/>
  <c r="X190" i="7"/>
  <c r="X191" i="7"/>
  <c r="B1323" i="2"/>
  <c r="B1324" i="2"/>
  <c r="B1325" i="2"/>
  <c r="B1326" i="2"/>
  <c r="B1327" i="2"/>
  <c r="B1322" i="2"/>
  <c r="B1321" i="2"/>
  <c r="B1318" i="2"/>
  <c r="B1319" i="2"/>
  <c r="B1320" i="2"/>
  <c r="L1316" i="2"/>
  <c r="B1316" i="2"/>
  <c r="L1315" i="2"/>
  <c r="B1315" i="2" s="1"/>
  <c r="L1314" i="2"/>
  <c r="B1314" i="2"/>
  <c r="B1317" i="2"/>
  <c r="B1311" i="2"/>
  <c r="B1312" i="2"/>
  <c r="B1313" i="2"/>
  <c r="B1310" i="2"/>
  <c r="B1306" i="2"/>
  <c r="B1307" i="2"/>
  <c r="B1308" i="2"/>
  <c r="B1309" i="2"/>
  <c r="B1305" i="2"/>
  <c r="B1304" i="2"/>
  <c r="B1303" i="2"/>
  <c r="B1302" i="2"/>
  <c r="AA159" i="7"/>
  <c r="AA160" i="7"/>
  <c r="AA161" i="7"/>
  <c r="AA162" i="7"/>
  <c r="AA163" i="7"/>
  <c r="AA164" i="7"/>
  <c r="AA158" i="7"/>
  <c r="Z159" i="7"/>
  <c r="Z160" i="7"/>
  <c r="Z161" i="7"/>
  <c r="Z162" i="7"/>
  <c r="Z163" i="7"/>
  <c r="Z164" i="7"/>
  <c r="Z158" i="7"/>
  <c r="B1292" i="2"/>
  <c r="B1293" i="2"/>
  <c r="B1294" i="2"/>
  <c r="B1295" i="2"/>
  <c r="B1296" i="2"/>
  <c r="B1297" i="2"/>
  <c r="B1298" i="2"/>
  <c r="B1299" i="2"/>
  <c r="B1300" i="2"/>
  <c r="B1301" i="2"/>
  <c r="B1291" i="2"/>
  <c r="B1290" i="2"/>
  <c r="B1289" i="2"/>
  <c r="B1283" i="2"/>
  <c r="B1284" i="2"/>
  <c r="B1285" i="2"/>
  <c r="B1286" i="2"/>
  <c r="B1287" i="2"/>
  <c r="B1288" i="2"/>
  <c r="B1274" i="2"/>
  <c r="B1279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5" i="2"/>
  <c r="B1276" i="2"/>
  <c r="B1277" i="2"/>
  <c r="B1278" i="2"/>
  <c r="B1280" i="2"/>
  <c r="B1281" i="2"/>
  <c r="B1282" i="2"/>
  <c r="B1244" i="2"/>
  <c r="B1245" i="2"/>
  <c r="AG1" i="5"/>
  <c r="AA1" i="5"/>
  <c r="B1241" i="2"/>
  <c r="B1240" i="2"/>
  <c r="B1239" i="2"/>
  <c r="B1232" i="2"/>
  <c r="B1230" i="2"/>
  <c r="B1231" i="2"/>
  <c r="B1233" i="2"/>
  <c r="B1234" i="2"/>
  <c r="B1235" i="2"/>
  <c r="B1236" i="2"/>
  <c r="B1237" i="2"/>
  <c r="B1238" i="2"/>
  <c r="B1229" i="2"/>
  <c r="B1228" i="2"/>
  <c r="B1223" i="2"/>
  <c r="B1224" i="2"/>
  <c r="B1225" i="2"/>
  <c r="B1226" i="2"/>
  <c r="B1227" i="2"/>
  <c r="K1222" i="2"/>
  <c r="B1222" i="2" s="1"/>
  <c r="I1213" i="2"/>
  <c r="B1213" i="2" s="1"/>
  <c r="I1211" i="2"/>
  <c r="B1211" i="2" s="1"/>
  <c r="B1220" i="2"/>
  <c r="K1221" i="2"/>
  <c r="B1221" i="2" s="1"/>
  <c r="B1218" i="2"/>
  <c r="J1215" i="2"/>
  <c r="B1215" i="2" s="1"/>
  <c r="J1214" i="2"/>
  <c r="K1214" i="2"/>
  <c r="B1210" i="2"/>
  <c r="B1204" i="2"/>
  <c r="B1205" i="2"/>
  <c r="B1206" i="2"/>
  <c r="K1207" i="2"/>
  <c r="B1207" i="2" s="1"/>
  <c r="B1208" i="2"/>
  <c r="B1209" i="2"/>
  <c r="B1212" i="2"/>
  <c r="B1216" i="2"/>
  <c r="B1217" i="2"/>
  <c r="B1219" i="2"/>
  <c r="B1203" i="2"/>
  <c r="B1201" i="2"/>
  <c r="B1202" i="2"/>
  <c r="B1199" i="2"/>
  <c r="B1200" i="2"/>
  <c r="B1198" i="2"/>
  <c r="B1195" i="2"/>
  <c r="B1196" i="2"/>
  <c r="B1197" i="2"/>
  <c r="B1194" i="2"/>
  <c r="I930" i="2"/>
  <c r="B930" i="2" s="1"/>
  <c r="B1188" i="2"/>
  <c r="B1189" i="2"/>
  <c r="B1190" i="2"/>
  <c r="B1191" i="2"/>
  <c r="B1192" i="2"/>
  <c r="B1193" i="2"/>
  <c r="L1181" i="2"/>
  <c r="B1181" i="2" s="1"/>
  <c r="B1182" i="2"/>
  <c r="B1183" i="2"/>
  <c r="B1184" i="2"/>
  <c r="B1185" i="2"/>
  <c r="B1186" i="2"/>
  <c r="B1187" i="2"/>
  <c r="B1176" i="2"/>
  <c r="B1177" i="2"/>
  <c r="B1178" i="2"/>
  <c r="B1179" i="2"/>
  <c r="B1180" i="2"/>
  <c r="L1173" i="2"/>
  <c r="B1173" i="2"/>
  <c r="L1174" i="2"/>
  <c r="B1174" i="2"/>
  <c r="L1175" i="2"/>
  <c r="B1175" i="2"/>
  <c r="L1172" i="2"/>
  <c r="B1172" i="2"/>
  <c r="B1171" i="2"/>
  <c r="B1170" i="2"/>
  <c r="B1168" i="2"/>
  <c r="B1169" i="2"/>
  <c r="B1164" i="2"/>
  <c r="B1165" i="2"/>
  <c r="B1166" i="2"/>
  <c r="B1167" i="2"/>
  <c r="B1162" i="2"/>
  <c r="K1159" i="2"/>
  <c r="B1159" i="2" s="1"/>
  <c r="K1160" i="2"/>
  <c r="B1160" i="2" s="1"/>
  <c r="K1161" i="2"/>
  <c r="B1161" i="2" s="1"/>
  <c r="B1163" i="2"/>
  <c r="K1157" i="2"/>
  <c r="B1157" i="2"/>
  <c r="K1158" i="2"/>
  <c r="B1158" i="2"/>
  <c r="I1153" i="2"/>
  <c r="B1153" i="2"/>
  <c r="I1152" i="2"/>
  <c r="B1152" i="2"/>
  <c r="B1156" i="2"/>
  <c r="B7" i="2"/>
  <c r="B1154" i="2"/>
  <c r="B1155" i="2"/>
  <c r="B1224" i="3"/>
  <c r="I1186" i="3"/>
  <c r="F3682" i="5"/>
  <c r="F3683" i="5"/>
  <c r="F3684" i="5"/>
  <c r="F3685" i="5"/>
  <c r="F3686" i="5"/>
  <c r="F3687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68" i="5"/>
  <c r="F3669" i="5"/>
  <c r="F3667" i="5"/>
  <c r="B1142" i="2"/>
  <c r="B1143" i="2"/>
  <c r="B1144" i="2"/>
  <c r="B1145" i="2"/>
  <c r="B1146" i="2"/>
  <c r="B1147" i="2"/>
  <c r="B1148" i="2"/>
  <c r="B1149" i="2"/>
  <c r="B1150" i="2"/>
  <c r="B1151" i="2"/>
  <c r="B1139" i="2"/>
  <c r="B1140" i="2"/>
  <c r="B1141" i="2"/>
  <c r="B1138" i="2"/>
  <c r="B1136" i="2"/>
  <c r="B1137" i="2"/>
  <c r="B1135" i="2"/>
  <c r="B1132" i="2"/>
  <c r="B1133" i="2"/>
  <c r="B1134" i="2"/>
  <c r="B1131" i="2"/>
  <c r="I1130" i="2"/>
  <c r="B1130" i="2"/>
  <c r="I1129" i="2"/>
  <c r="B1129" i="2"/>
  <c r="B1127" i="2"/>
  <c r="B1128" i="2"/>
  <c r="B1126" i="2"/>
  <c r="B1125" i="2"/>
  <c r="B1124" i="2"/>
  <c r="B1118" i="2"/>
  <c r="B1119" i="2"/>
  <c r="B1120" i="2"/>
  <c r="B1121" i="2"/>
  <c r="B1122" i="2"/>
  <c r="B1123" i="2"/>
  <c r="I1115" i="2"/>
  <c r="B1115" i="2" s="1"/>
  <c r="B1114" i="2"/>
  <c r="B1113" i="2"/>
  <c r="B1112" i="2"/>
  <c r="B1105" i="2"/>
  <c r="B1106" i="2"/>
  <c r="B1107" i="2"/>
  <c r="B1108" i="2"/>
  <c r="B1109" i="2"/>
  <c r="B1110" i="2"/>
  <c r="B1111" i="2"/>
  <c r="B1104" i="2"/>
  <c r="B1103" i="2"/>
  <c r="B1102" i="2"/>
  <c r="B1101" i="2"/>
  <c r="B1100" i="2"/>
  <c r="G134" i="7"/>
  <c r="E134" i="7"/>
  <c r="B1092" i="2"/>
  <c r="B1093" i="2"/>
  <c r="B1094" i="2"/>
  <c r="B1095" i="2"/>
  <c r="B1096" i="2"/>
  <c r="B1097" i="2"/>
  <c r="B1098" i="2"/>
  <c r="B1099" i="2"/>
  <c r="B1091" i="2"/>
  <c r="B1085" i="2"/>
  <c r="B1086" i="2"/>
  <c r="B1087" i="2"/>
  <c r="B1088" i="2"/>
  <c r="B1089" i="2"/>
  <c r="B1090" i="2"/>
  <c r="B1084" i="2"/>
  <c r="I3605" i="5"/>
  <c r="I3604" i="5"/>
  <c r="I3603" i="5"/>
  <c r="I3602" i="5"/>
  <c r="I3601" i="5"/>
  <c r="D3585" i="5"/>
  <c r="B1079" i="2"/>
  <c r="B1080" i="2"/>
  <c r="B1081" i="2"/>
  <c r="B1082" i="2"/>
  <c r="B1083" i="2"/>
  <c r="B1078" i="2"/>
  <c r="D3584" i="5"/>
  <c r="D3583" i="5"/>
  <c r="D3581" i="5"/>
  <c r="D3580" i="5"/>
  <c r="D3579" i="5"/>
  <c r="D3578" i="5"/>
  <c r="B1076" i="2"/>
  <c r="B1077" i="2"/>
  <c r="B1074" i="2"/>
  <c r="B1075" i="2"/>
  <c r="B1072" i="2"/>
  <c r="B1073" i="2"/>
  <c r="B1071" i="2"/>
  <c r="B1069" i="2"/>
  <c r="B1070" i="2"/>
  <c r="B1068" i="2"/>
  <c r="B1063" i="2"/>
  <c r="B1064" i="2"/>
  <c r="B1065" i="2"/>
  <c r="B1066" i="2"/>
  <c r="B1067" i="2"/>
  <c r="B1062" i="2"/>
  <c r="B1061" i="2"/>
  <c r="B1060" i="2"/>
  <c r="B1054" i="2"/>
  <c r="B1053" i="2"/>
  <c r="B1055" i="2"/>
  <c r="B1056" i="2"/>
  <c r="B1057" i="2"/>
  <c r="B1058" i="2"/>
  <c r="B1059" i="2"/>
  <c r="B1052" i="2"/>
  <c r="J82" i="1"/>
  <c r="B1046" i="2"/>
  <c r="H105" i="7"/>
  <c r="B1039" i="2"/>
  <c r="B1040" i="2"/>
  <c r="B1041" i="2"/>
  <c r="B1042" i="2"/>
  <c r="B1043" i="2"/>
  <c r="B1044" i="2"/>
  <c r="B1045" i="2"/>
  <c r="B1038" i="2"/>
  <c r="B1035" i="2"/>
  <c r="B1036" i="2"/>
  <c r="B1037" i="2"/>
  <c r="B1034" i="2"/>
  <c r="B1023" i="2"/>
  <c r="B1033" i="2"/>
  <c r="B1032" i="2"/>
  <c r="B1031" i="2"/>
  <c r="B1030" i="2"/>
  <c r="B1029" i="2"/>
  <c r="B1028" i="2"/>
  <c r="B1027" i="2"/>
  <c r="B1026" i="2"/>
  <c r="B1025" i="2"/>
  <c r="B1024" i="2"/>
  <c r="B1022" i="2"/>
  <c r="B1021" i="2"/>
  <c r="H104" i="7"/>
  <c r="B1020" i="2"/>
  <c r="B1019" i="2"/>
  <c r="B1018" i="2"/>
  <c r="B1017" i="2"/>
  <c r="B1016" i="2"/>
  <c r="B1015" i="2"/>
  <c r="B1014" i="2"/>
  <c r="B1013" i="2"/>
  <c r="D3310" i="5"/>
  <c r="S3289" i="5"/>
  <c r="B1010" i="2"/>
  <c r="B1009" i="2"/>
  <c r="B1011" i="2"/>
  <c r="B1012" i="2"/>
  <c r="B1008" i="2"/>
  <c r="H86" i="7"/>
  <c r="B1003" i="2"/>
  <c r="B1005" i="2"/>
  <c r="B996" i="2"/>
  <c r="B994" i="2"/>
  <c r="B995" i="2"/>
  <c r="B997" i="2"/>
  <c r="B998" i="2"/>
  <c r="B999" i="2"/>
  <c r="B1000" i="2"/>
  <c r="B1001" i="2"/>
  <c r="B1002" i="2"/>
  <c r="B1004" i="2"/>
  <c r="B1006" i="2"/>
  <c r="B1007" i="2"/>
  <c r="B993" i="2"/>
  <c r="B992" i="2"/>
  <c r="B991" i="2"/>
  <c r="B989" i="2"/>
  <c r="B990" i="2"/>
  <c r="B986" i="2"/>
  <c r="B981" i="2"/>
  <c r="K980" i="2"/>
  <c r="L980" i="2"/>
  <c r="B982" i="2"/>
  <c r="B983" i="2"/>
  <c r="B984" i="2"/>
  <c r="B985" i="2"/>
  <c r="B987" i="2"/>
  <c r="B988" i="2"/>
  <c r="H3241" i="5"/>
  <c r="H3240" i="5"/>
  <c r="J80" i="1"/>
  <c r="L979" i="2"/>
  <c r="B979" i="2" s="1"/>
  <c r="L978" i="2"/>
  <c r="B978" i="2" s="1"/>
  <c r="B969" i="2"/>
  <c r="B970" i="2"/>
  <c r="B971" i="2"/>
  <c r="B972" i="2"/>
  <c r="B973" i="2"/>
  <c r="B974" i="2"/>
  <c r="B975" i="2"/>
  <c r="B976" i="2"/>
  <c r="B977" i="2"/>
  <c r="B968" i="2"/>
  <c r="B967" i="2"/>
  <c r="AG2" i="5"/>
  <c r="AG3" i="5"/>
  <c r="AG4" i="5"/>
  <c r="AG5" i="5"/>
  <c r="Y780" i="5"/>
  <c r="AG780" i="5" s="1"/>
  <c r="Y781" i="5"/>
  <c r="AG781" i="5" s="1"/>
  <c r="Y782" i="5"/>
  <c r="AG782" i="5" s="1"/>
  <c r="Y783" i="5"/>
  <c r="AG783" i="5" s="1"/>
  <c r="Y784" i="5"/>
  <c r="AG784" i="5" s="1"/>
  <c r="Y785" i="5"/>
  <c r="AG785" i="5" s="1"/>
  <c r="Y786" i="5"/>
  <c r="AG786" i="5" s="1"/>
  <c r="Y787" i="5"/>
  <c r="AG787" i="5" s="1"/>
  <c r="Y788" i="5"/>
  <c r="AG788" i="5" s="1"/>
  <c r="Y789" i="5"/>
  <c r="AG789" i="5" s="1"/>
  <c r="Y790" i="5"/>
  <c r="AG790" i="5" s="1"/>
  <c r="Y791" i="5"/>
  <c r="AG791" i="5" s="1"/>
  <c r="Y792" i="5"/>
  <c r="AG792" i="5" s="1"/>
  <c r="Y793" i="5"/>
  <c r="AG793" i="5" s="1"/>
  <c r="Y794" i="5"/>
  <c r="AG794" i="5" s="1"/>
  <c r="Y795" i="5"/>
  <c r="AG795" i="5" s="1"/>
  <c r="Y796" i="5"/>
  <c r="AG796" i="5" s="1"/>
  <c r="Y797" i="5"/>
  <c r="AG797" i="5" s="1"/>
  <c r="Y798" i="5"/>
  <c r="AG798" i="5" s="1"/>
  <c r="Y799" i="5"/>
  <c r="AG799" i="5" s="1"/>
  <c r="Y800" i="5"/>
  <c r="AG800" i="5" s="1"/>
  <c r="Y801" i="5"/>
  <c r="AG801" i="5" s="1"/>
  <c r="Y802" i="5"/>
  <c r="AG802" i="5" s="1"/>
  <c r="Y803" i="5"/>
  <c r="AG803" i="5" s="1"/>
  <c r="Y804" i="5"/>
  <c r="AG804" i="5" s="1"/>
  <c r="Y805" i="5"/>
  <c r="AG805" i="5" s="1"/>
  <c r="Y806" i="5"/>
  <c r="AG806" i="5" s="1"/>
  <c r="Y807" i="5"/>
  <c r="AG807" i="5" s="1"/>
  <c r="Y808" i="5"/>
  <c r="AG808" i="5" s="1"/>
  <c r="Y809" i="5"/>
  <c r="AG809" i="5" s="1"/>
  <c r="Y810" i="5"/>
  <c r="AG810" i="5" s="1"/>
  <c r="Y811" i="5"/>
  <c r="AG811" i="5" s="1"/>
  <c r="Y812" i="5"/>
  <c r="AG812" i="5" s="1"/>
  <c r="Y813" i="5"/>
  <c r="AG813" i="5" s="1"/>
  <c r="Y814" i="5"/>
  <c r="AG814" i="5" s="1"/>
  <c r="Y815" i="5"/>
  <c r="AG815" i="5" s="1"/>
  <c r="Y816" i="5"/>
  <c r="AG816" i="5" s="1"/>
  <c r="Y817" i="5"/>
  <c r="AG817" i="5" s="1"/>
  <c r="Y818" i="5"/>
  <c r="AG818" i="5" s="1"/>
  <c r="Y819" i="5"/>
  <c r="AG819" i="5" s="1"/>
  <c r="Y820" i="5"/>
  <c r="AG820" i="5" s="1"/>
  <c r="Y821" i="5"/>
  <c r="AG821" i="5" s="1"/>
  <c r="Y822" i="5"/>
  <c r="AG822" i="5" s="1"/>
  <c r="Y823" i="5"/>
  <c r="AG823" i="5" s="1"/>
  <c r="Y824" i="5"/>
  <c r="AG824" i="5" s="1"/>
  <c r="Y825" i="5"/>
  <c r="AG825" i="5" s="1"/>
  <c r="Y826" i="5"/>
  <c r="AG826" i="5" s="1"/>
  <c r="Y827" i="5"/>
  <c r="AG827" i="5" s="1"/>
  <c r="Y828" i="5"/>
  <c r="AG828" i="5" s="1"/>
  <c r="Y829" i="5"/>
  <c r="AG829" i="5" s="1"/>
  <c r="Y830" i="5"/>
  <c r="AG830" i="5" s="1"/>
  <c r="Y831" i="5"/>
  <c r="AG831" i="5" s="1"/>
  <c r="Y832" i="5"/>
  <c r="AG832" i="5" s="1"/>
  <c r="Y833" i="5"/>
  <c r="AG833" i="5" s="1"/>
  <c r="Y834" i="5"/>
  <c r="AG834" i="5" s="1"/>
  <c r="Y835" i="5"/>
  <c r="AG835" i="5" s="1"/>
  <c r="Y836" i="5"/>
  <c r="AG836" i="5" s="1"/>
  <c r="Y837" i="5"/>
  <c r="AG837" i="5" s="1"/>
  <c r="Y840" i="5"/>
  <c r="AG840" i="5" s="1"/>
  <c r="Y841" i="5"/>
  <c r="AG841" i="5" s="1"/>
  <c r="Y842" i="5"/>
  <c r="AG842" i="5" s="1"/>
  <c r="Y843" i="5"/>
  <c r="AG843" i="5" s="1"/>
  <c r="Y844" i="5"/>
  <c r="AG844" i="5" s="1"/>
  <c r="Y845" i="5"/>
  <c r="AG845" i="5" s="1"/>
  <c r="Y846" i="5"/>
  <c r="AG846" i="5" s="1"/>
  <c r="Y847" i="5"/>
  <c r="AG847" i="5" s="1"/>
  <c r="Y848" i="5"/>
  <c r="AG848" i="5" s="1"/>
  <c r="Y849" i="5"/>
  <c r="AG849" i="5" s="1"/>
  <c r="Y856" i="5"/>
  <c r="AG856" i="5" s="1"/>
  <c r="Y857" i="5"/>
  <c r="AG857" i="5" s="1"/>
  <c r="Y858" i="5"/>
  <c r="AG858" i="5" s="1"/>
  <c r="Y859" i="5"/>
  <c r="AG859" i="5" s="1"/>
  <c r="Y860" i="5"/>
  <c r="AG860" i="5" s="1"/>
  <c r="Y861" i="5"/>
  <c r="AG861" i="5" s="1"/>
  <c r="Y862" i="5"/>
  <c r="AG862" i="5" s="1"/>
  <c r="Y863" i="5"/>
  <c r="AG863" i="5" s="1"/>
  <c r="Y865" i="5"/>
  <c r="AG865" i="5" s="1"/>
  <c r="Y866" i="5"/>
  <c r="AG866" i="5" s="1"/>
  <c r="Y867" i="5"/>
  <c r="AG867" i="5" s="1"/>
  <c r="Y870" i="5"/>
  <c r="AG870" i="5" s="1"/>
  <c r="Y871" i="5"/>
  <c r="AG871" i="5" s="1"/>
  <c r="Y872" i="5"/>
  <c r="AG872" i="5" s="1"/>
  <c r="Y873" i="5"/>
  <c r="AG873" i="5" s="1"/>
  <c r="Y875" i="5"/>
  <c r="AG875" i="5" s="1"/>
  <c r="Y876" i="5"/>
  <c r="AG876" i="5" s="1"/>
  <c r="Y877" i="5"/>
  <c r="AG877" i="5" s="1"/>
  <c r="Y878" i="5"/>
  <c r="AG878" i="5" s="1"/>
  <c r="Y879" i="5"/>
  <c r="AG879" i="5" s="1"/>
  <c r="Y880" i="5"/>
  <c r="AG880" i="5" s="1"/>
  <c r="Y883" i="5"/>
  <c r="AG883" i="5" s="1"/>
  <c r="Y893" i="5"/>
  <c r="AG893" i="5" s="1"/>
  <c r="Y894" i="5"/>
  <c r="AG894" i="5" s="1"/>
  <c r="Y895" i="5"/>
  <c r="AG895" i="5" s="1"/>
  <c r="Y896" i="5"/>
  <c r="AG896" i="5" s="1"/>
  <c r="Y897" i="5"/>
  <c r="AG897" i="5" s="1"/>
  <c r="Y898" i="5"/>
  <c r="AG898" i="5" s="1"/>
  <c r="Y899" i="5"/>
  <c r="AG899" i="5" s="1"/>
  <c r="Y900" i="5"/>
  <c r="AG900" i="5" s="1"/>
  <c r="Y901" i="5"/>
  <c r="AG901" i="5" s="1"/>
  <c r="Y902" i="5"/>
  <c r="AG902" i="5" s="1"/>
  <c r="Y903" i="5"/>
  <c r="AG903" i="5" s="1"/>
  <c r="Y904" i="5"/>
  <c r="AG904" i="5" s="1"/>
  <c r="Y905" i="5"/>
  <c r="AG905" i="5" s="1"/>
  <c r="Y947" i="5"/>
  <c r="AG947" i="5" s="1"/>
  <c r="Y948" i="5"/>
  <c r="AG948" i="5" s="1"/>
  <c r="Y949" i="5"/>
  <c r="AG949" i="5" s="1"/>
  <c r="Y958" i="5"/>
  <c r="AG958" i="5" s="1"/>
  <c r="Y959" i="5"/>
  <c r="AG959" i="5" s="1"/>
  <c r="Y960" i="5"/>
  <c r="AG960" i="5" s="1"/>
  <c r="Y961" i="5"/>
  <c r="AG961" i="5" s="1"/>
  <c r="Y962" i="5"/>
  <c r="AG962" i="5" s="1"/>
  <c r="Y963" i="5"/>
  <c r="AG963" i="5" s="1"/>
  <c r="Y964" i="5"/>
  <c r="AG964" i="5" s="1"/>
  <c r="Y965" i="5"/>
  <c r="AG965" i="5" s="1"/>
  <c r="Y966" i="5"/>
  <c r="AG966" i="5" s="1"/>
  <c r="Y967" i="5"/>
  <c r="AG967" i="5" s="1"/>
  <c r="Y968" i="5"/>
  <c r="AG968" i="5" s="1"/>
  <c r="Y969" i="5"/>
  <c r="AG969" i="5" s="1"/>
  <c r="Y970" i="5"/>
  <c r="AG970" i="5" s="1"/>
  <c r="Y971" i="5"/>
  <c r="AG971" i="5" s="1"/>
  <c r="Y972" i="5"/>
  <c r="AG972" i="5" s="1"/>
  <c r="Y973" i="5"/>
  <c r="AG973" i="5" s="1"/>
  <c r="Y974" i="5"/>
  <c r="AG974" i="5" s="1"/>
  <c r="Y975" i="5"/>
  <c r="AG975" i="5" s="1"/>
  <c r="Y976" i="5"/>
  <c r="AG976" i="5" s="1"/>
  <c r="Y977" i="5"/>
  <c r="AG977" i="5" s="1"/>
  <c r="Y978" i="5"/>
  <c r="AG978" i="5" s="1"/>
  <c r="Y979" i="5"/>
  <c r="AG979" i="5" s="1"/>
  <c r="Y1109" i="5"/>
  <c r="AG1109" i="5" s="1"/>
  <c r="Y1110" i="5"/>
  <c r="AG1110" i="5" s="1"/>
  <c r="Y1111" i="5"/>
  <c r="AG1111" i="5" s="1"/>
  <c r="Y1112" i="5"/>
  <c r="AG1112" i="5" s="1"/>
  <c r="Y1113" i="5"/>
  <c r="AG1113" i="5" s="1"/>
  <c r="Y1114" i="5"/>
  <c r="AG1114" i="5" s="1"/>
  <c r="Y1115" i="5"/>
  <c r="AG1115" i="5" s="1"/>
  <c r="Y1116" i="5"/>
  <c r="AG1116" i="5" s="1"/>
  <c r="Y1117" i="5"/>
  <c r="AG1117" i="5" s="1"/>
  <c r="Y1118" i="5"/>
  <c r="AG1118" i="5" s="1"/>
  <c r="Y1119" i="5"/>
  <c r="AG1119" i="5" s="1"/>
  <c r="Y1120" i="5"/>
  <c r="AG1120" i="5" s="1"/>
  <c r="Y1121" i="5"/>
  <c r="AG1121" i="5" s="1"/>
  <c r="Y1122" i="5"/>
  <c r="AG1122" i="5" s="1"/>
  <c r="Y1123" i="5"/>
  <c r="AG1123" i="5" s="1"/>
  <c r="Y1124" i="5"/>
  <c r="AG1124" i="5" s="1"/>
  <c r="Y1125" i="5"/>
  <c r="AG1125" i="5" s="1"/>
  <c r="Y1126" i="5"/>
  <c r="AG1126" i="5" s="1"/>
  <c r="Y1127" i="5"/>
  <c r="AG1127" i="5" s="1"/>
  <c r="Y1128" i="5"/>
  <c r="AG1128" i="5" s="1"/>
  <c r="Y1129" i="5"/>
  <c r="AG1129" i="5" s="1"/>
  <c r="Y1130" i="5"/>
  <c r="AG1130" i="5" s="1"/>
  <c r="Y1131" i="5"/>
  <c r="AG1131" i="5" s="1"/>
  <c r="Y1134" i="5"/>
  <c r="AG1134" i="5" s="1"/>
  <c r="Y1135" i="5"/>
  <c r="AG1135" i="5" s="1"/>
  <c r="Y1391" i="5"/>
  <c r="AG1391" i="5" s="1"/>
  <c r="Y1392" i="5"/>
  <c r="AG1392" i="5" s="1"/>
  <c r="Y1393" i="5"/>
  <c r="AG1393" i="5" s="1"/>
  <c r="Y1394" i="5"/>
  <c r="AG1394" i="5" s="1"/>
  <c r="Y1395" i="5"/>
  <c r="AG1395" i="5" s="1"/>
  <c r="Y1396" i="5"/>
  <c r="AG1396" i="5" s="1"/>
  <c r="Y1397" i="5"/>
  <c r="AG1397" i="5" s="1"/>
  <c r="Y1398" i="5"/>
  <c r="AG1398" i="5" s="1"/>
  <c r="Y1399" i="5"/>
  <c r="AG1399" i="5" s="1"/>
  <c r="Y1400" i="5"/>
  <c r="AG1400" i="5" s="1"/>
  <c r="Y1401" i="5"/>
  <c r="AG1401" i="5" s="1"/>
  <c r="Y1402" i="5"/>
  <c r="AG1402" i="5" s="1"/>
  <c r="Y1403" i="5"/>
  <c r="AG1403" i="5" s="1"/>
  <c r="Y1404" i="5"/>
  <c r="AG1404" i="5" s="1"/>
  <c r="Y1405" i="5"/>
  <c r="AG1405" i="5" s="1"/>
  <c r="Y1406" i="5"/>
  <c r="AG1406" i="5" s="1"/>
  <c r="Y1407" i="5"/>
  <c r="AG1407" i="5" s="1"/>
  <c r="Y1408" i="5"/>
  <c r="AG1408" i="5" s="1"/>
  <c r="Y1409" i="5"/>
  <c r="AG1409" i="5" s="1"/>
  <c r="Y1410" i="5"/>
  <c r="AG1410" i="5" s="1"/>
  <c r="Y1411" i="5"/>
  <c r="AG1411" i="5" s="1"/>
  <c r="Y1412" i="5"/>
  <c r="AG1412" i="5" s="1"/>
  <c r="Y1413" i="5"/>
  <c r="AG1413" i="5" s="1"/>
  <c r="Y1414" i="5"/>
  <c r="AG1414" i="5" s="1"/>
  <c r="Y1415" i="5"/>
  <c r="AG1415" i="5" s="1"/>
  <c r="Y1416" i="5"/>
  <c r="AG1416" i="5" s="1"/>
  <c r="Y1417" i="5"/>
  <c r="AG1417" i="5" s="1"/>
  <c r="Y1418" i="5"/>
  <c r="AG1418" i="5" s="1"/>
  <c r="Y1419" i="5"/>
  <c r="AG1419" i="5" s="1"/>
  <c r="Y1420" i="5"/>
  <c r="AG1420" i="5" s="1"/>
  <c r="Y1421" i="5"/>
  <c r="AG1421" i="5" s="1"/>
  <c r="Y1422" i="5"/>
  <c r="AG1422" i="5" s="1"/>
  <c r="Y1423" i="5"/>
  <c r="AG1423" i="5" s="1"/>
  <c r="Y1424" i="5"/>
  <c r="AG1424" i="5" s="1"/>
  <c r="Y1781" i="5"/>
  <c r="AG1781" i="5" s="1"/>
  <c r="Y1847" i="5"/>
  <c r="AG1847" i="5" s="1"/>
  <c r="Y1848" i="5"/>
  <c r="AG1848" i="5" s="1"/>
  <c r="Y1849" i="5"/>
  <c r="AG1849" i="5" s="1"/>
  <c r="Y1850" i="5"/>
  <c r="AG1850" i="5" s="1"/>
  <c r="Y1851" i="5"/>
  <c r="AG1851" i="5" s="1"/>
  <c r="Y1852" i="5"/>
  <c r="AG1852" i="5" s="1"/>
  <c r="Y1853" i="5"/>
  <c r="AG1853" i="5" s="1"/>
  <c r="Y1854" i="5"/>
  <c r="AG1854" i="5" s="1"/>
  <c r="Y1855" i="5"/>
  <c r="AG1855" i="5" s="1"/>
  <c r="Y1856" i="5"/>
  <c r="AG1856" i="5" s="1"/>
  <c r="Y1857" i="5"/>
  <c r="AG1857" i="5" s="1"/>
  <c r="Y1858" i="5"/>
  <c r="AG1858" i="5" s="1"/>
  <c r="Y1859" i="5"/>
  <c r="AG1859" i="5" s="1"/>
  <c r="Y1860" i="5"/>
  <c r="AG1860" i="5" s="1"/>
  <c r="Y1913" i="5"/>
  <c r="AG1913" i="5" s="1"/>
  <c r="Y1942" i="5"/>
  <c r="AG1942" i="5" s="1"/>
  <c r="Y2155" i="5"/>
  <c r="AG2155" i="5" s="1"/>
  <c r="AE2013" i="5"/>
  <c r="AH2013" i="5" s="1"/>
  <c r="AE2014" i="5"/>
  <c r="AH2014" i="5" s="1"/>
  <c r="AE2015" i="5"/>
  <c r="AH2015" i="5" s="1"/>
  <c r="AE2016" i="5"/>
  <c r="AH2016" i="5" s="1"/>
  <c r="AE2017" i="5"/>
  <c r="AH2017" i="5" s="1"/>
  <c r="AE2018" i="5"/>
  <c r="AH2018" i="5" s="1"/>
  <c r="AE2019" i="5"/>
  <c r="AH2019" i="5" s="1"/>
  <c r="AE2020" i="5"/>
  <c r="AH2020" i="5" s="1"/>
  <c r="AE2021" i="5"/>
  <c r="AH2021" i="5" s="1"/>
  <c r="AE2022" i="5"/>
  <c r="AH2022" i="5" s="1"/>
  <c r="AE2023" i="5"/>
  <c r="AH2023" i="5" s="1"/>
  <c r="AE2024" i="5"/>
  <c r="AH2024" i="5" s="1"/>
  <c r="AE2025" i="5"/>
  <c r="AH2025" i="5" s="1"/>
  <c r="AE2026" i="5"/>
  <c r="AH2026" i="5" s="1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48" i="2"/>
  <c r="B949" i="2"/>
  <c r="H3125" i="5"/>
  <c r="AB8" i="6"/>
  <c r="AC8" i="6"/>
  <c r="AF8" i="6"/>
  <c r="AD8" i="6" s="1"/>
  <c r="AE8" i="6" s="1"/>
  <c r="B947" i="2"/>
  <c r="B946" i="2"/>
  <c r="B942" i="2"/>
  <c r="B943" i="2"/>
  <c r="B944" i="2"/>
  <c r="B945" i="2"/>
  <c r="B941" i="2"/>
  <c r="L78" i="1"/>
  <c r="AE897" i="3"/>
  <c r="I935" i="2"/>
  <c r="L935" i="2"/>
  <c r="J78" i="1"/>
  <c r="J77" i="1"/>
  <c r="I931" i="2"/>
  <c r="L931" i="2"/>
  <c r="I937" i="2"/>
  <c r="L937" i="2"/>
  <c r="L938" i="2"/>
  <c r="B938" i="2" s="1"/>
  <c r="L933" i="2"/>
  <c r="B933" i="2" s="1"/>
  <c r="L932" i="2"/>
  <c r="B932" i="2" s="1"/>
  <c r="I934" i="2"/>
  <c r="L934" i="2"/>
  <c r="I936" i="2"/>
  <c r="L936" i="2"/>
  <c r="L939" i="2"/>
  <c r="B939" i="2" s="1"/>
  <c r="L940" i="2"/>
  <c r="B940" i="2" s="1"/>
  <c r="E897" i="3"/>
  <c r="E899" i="3"/>
  <c r="B916" i="3"/>
  <c r="B917" i="3"/>
  <c r="U105" i="7"/>
  <c r="I927" i="2"/>
  <c r="B927" i="2"/>
  <c r="I928" i="2"/>
  <c r="B928" i="2"/>
  <c r="I929" i="2"/>
  <c r="B929" i="2"/>
  <c r="I926" i="2"/>
  <c r="B926" i="2"/>
  <c r="I925" i="2"/>
  <c r="B925" i="2"/>
  <c r="B907" i="2"/>
  <c r="I906" i="2"/>
  <c r="B906" i="2" s="1"/>
  <c r="I908" i="2"/>
  <c r="B908" i="2" s="1"/>
  <c r="I909" i="2"/>
  <c r="B909" i="2" s="1"/>
  <c r="I910" i="2"/>
  <c r="B910" i="2" s="1"/>
  <c r="I911" i="2"/>
  <c r="B911" i="2" s="1"/>
  <c r="I912" i="2"/>
  <c r="B912" i="2" s="1"/>
  <c r="I913" i="2"/>
  <c r="B913" i="2" s="1"/>
  <c r="I914" i="2"/>
  <c r="B914" i="2" s="1"/>
  <c r="I915" i="2"/>
  <c r="B915" i="2" s="1"/>
  <c r="I916" i="2"/>
  <c r="B916" i="2" s="1"/>
  <c r="I917" i="2"/>
  <c r="B917" i="2" s="1"/>
  <c r="I918" i="2"/>
  <c r="B918" i="2" s="1"/>
  <c r="I919" i="2"/>
  <c r="B919" i="2" s="1"/>
  <c r="I920" i="2"/>
  <c r="B920" i="2" s="1"/>
  <c r="I921" i="2"/>
  <c r="B921" i="2" s="1"/>
  <c r="I922" i="2"/>
  <c r="B922" i="2" s="1"/>
  <c r="B923" i="2"/>
  <c r="B924" i="2"/>
  <c r="I905" i="2"/>
  <c r="B905" i="2" s="1"/>
  <c r="I904" i="2"/>
  <c r="B904" i="2" s="1"/>
  <c r="L888" i="2"/>
  <c r="B888" i="2" s="1"/>
  <c r="B887" i="2"/>
  <c r="L886" i="2"/>
  <c r="B886" i="2"/>
  <c r="L885" i="2"/>
  <c r="B885" i="2"/>
  <c r="L884" i="2"/>
  <c r="B884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883" i="2"/>
  <c r="B879" i="2"/>
  <c r="B880" i="2"/>
  <c r="B881" i="2"/>
  <c r="B882" i="2"/>
  <c r="B878" i="2"/>
  <c r="B877" i="2"/>
  <c r="H2980" i="5"/>
  <c r="B875" i="2"/>
  <c r="B876" i="2"/>
  <c r="I874" i="2"/>
  <c r="B874" i="2" s="1"/>
  <c r="I873" i="2"/>
  <c r="B873" i="2" s="1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54" i="2"/>
  <c r="J76" i="1"/>
  <c r="B853" i="2"/>
  <c r="B851" i="2"/>
  <c r="B852" i="2"/>
  <c r="L824" i="2"/>
  <c r="I824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25" i="2"/>
  <c r="I820" i="2"/>
  <c r="B820" i="2"/>
  <c r="I819" i="2"/>
  <c r="B819" i="2"/>
  <c r="I821" i="2"/>
  <c r="B821" i="2"/>
  <c r="I817" i="2"/>
  <c r="B817" i="2"/>
  <c r="B818" i="2"/>
  <c r="B822" i="2"/>
  <c r="B823" i="2"/>
  <c r="B806" i="2"/>
  <c r="B807" i="2"/>
  <c r="B808" i="2"/>
  <c r="B809" i="2"/>
  <c r="B810" i="2"/>
  <c r="B811" i="2"/>
  <c r="B812" i="2"/>
  <c r="B813" i="2"/>
  <c r="B814" i="2"/>
  <c r="B815" i="2"/>
  <c r="B802" i="2"/>
  <c r="J769" i="2"/>
  <c r="B769" i="2"/>
  <c r="L795" i="2"/>
  <c r="B795" i="2"/>
  <c r="L801" i="2"/>
  <c r="B801" i="2"/>
  <c r="B510" i="2"/>
  <c r="K816" i="2"/>
  <c r="B816" i="2" s="1"/>
  <c r="B804" i="2"/>
  <c r="B805" i="2"/>
  <c r="L73" i="1"/>
  <c r="L72" i="1"/>
  <c r="L71" i="1"/>
  <c r="L70" i="1"/>
  <c r="L69" i="1"/>
  <c r="B803" i="2"/>
  <c r="L800" i="2"/>
  <c r="B800" i="2" s="1"/>
  <c r="L799" i="2"/>
  <c r="B799" i="2" s="1"/>
  <c r="L798" i="2"/>
  <c r="B798" i="2" s="1"/>
  <c r="L797" i="2"/>
  <c r="B797" i="2" s="1"/>
  <c r="L796" i="2"/>
  <c r="B796" i="2" s="1"/>
  <c r="L794" i="2"/>
  <c r="B794" i="2" s="1"/>
  <c r="L793" i="2"/>
  <c r="B793" i="2" s="1"/>
  <c r="L792" i="2"/>
  <c r="B792" i="2" s="1"/>
  <c r="B791" i="2"/>
  <c r="L790" i="2"/>
  <c r="B790" i="2"/>
  <c r="L789" i="2"/>
  <c r="B789" i="2"/>
  <c r="L784" i="2"/>
  <c r="B784" i="2"/>
  <c r="L786" i="2"/>
  <c r="B786" i="2"/>
  <c r="L788" i="2"/>
  <c r="B788" i="2"/>
  <c r="L787" i="2"/>
  <c r="B787" i="2"/>
  <c r="L785" i="2"/>
  <c r="B785" i="2"/>
  <c r="B776" i="2"/>
  <c r="B777" i="2"/>
  <c r="B778" i="2"/>
  <c r="B779" i="2"/>
  <c r="B780" i="2"/>
  <c r="B781" i="2"/>
  <c r="B782" i="2"/>
  <c r="B783" i="2"/>
  <c r="L775" i="2"/>
  <c r="B775" i="2"/>
  <c r="G2758" i="5"/>
  <c r="I766" i="2"/>
  <c r="K766" i="2"/>
  <c r="H2799" i="5"/>
  <c r="H2771" i="5"/>
  <c r="H2770" i="5"/>
  <c r="L766" i="2"/>
  <c r="J763" i="2"/>
  <c r="B763" i="2" s="1"/>
  <c r="L760" i="2"/>
  <c r="B760" i="2" s="1"/>
  <c r="L759" i="2"/>
  <c r="B759" i="2" s="1"/>
  <c r="B758" i="2"/>
  <c r="B761" i="2"/>
  <c r="B762" i="2"/>
  <c r="J764" i="2"/>
  <c r="B764" i="2"/>
  <c r="J765" i="2"/>
  <c r="B765" i="2"/>
  <c r="J766" i="2"/>
  <c r="J767" i="2"/>
  <c r="B767" i="2" s="1"/>
  <c r="J768" i="2"/>
  <c r="B768" i="2" s="1"/>
  <c r="J770" i="2"/>
  <c r="B770" i="2" s="1"/>
  <c r="J771" i="2"/>
  <c r="B771" i="2" s="1"/>
  <c r="J772" i="2"/>
  <c r="B772" i="2" s="1"/>
  <c r="J773" i="2"/>
  <c r="B773" i="2" s="1"/>
  <c r="J774" i="2"/>
  <c r="B774" i="2" s="1"/>
  <c r="B757" i="2"/>
  <c r="J753" i="2"/>
  <c r="B753" i="2"/>
  <c r="J756" i="2"/>
  <c r="B756" i="2"/>
  <c r="J755" i="2"/>
  <c r="B755" i="2"/>
  <c r="B750" i="2"/>
  <c r="B751" i="2"/>
  <c r="B752" i="2"/>
  <c r="B754" i="2"/>
  <c r="B748" i="2"/>
  <c r="B749" i="2"/>
  <c r="B747" i="2"/>
  <c r="B744" i="2"/>
  <c r="I745" i="2"/>
  <c r="B745" i="2"/>
  <c r="B746" i="2"/>
  <c r="B741" i="2"/>
  <c r="I742" i="2"/>
  <c r="B742" i="2"/>
  <c r="I743" i="2"/>
  <c r="B743" i="2"/>
  <c r="B740" i="2"/>
  <c r="J67" i="1"/>
  <c r="L67" i="1"/>
  <c r="H84" i="7"/>
  <c r="H85" i="7"/>
  <c r="H83" i="7"/>
  <c r="H82" i="7"/>
  <c r="U86" i="7"/>
  <c r="B730" i="2"/>
  <c r="B731" i="2"/>
  <c r="B732" i="2"/>
  <c r="B733" i="2"/>
  <c r="B734" i="2"/>
  <c r="B735" i="2"/>
  <c r="B736" i="2"/>
  <c r="B737" i="2"/>
  <c r="B738" i="2"/>
  <c r="B739" i="2"/>
  <c r="B888" i="4"/>
  <c r="B887" i="4"/>
  <c r="AA2572" i="5"/>
  <c r="AB2572" i="5"/>
  <c r="AC2572" i="5"/>
  <c r="AA2573" i="5"/>
  <c r="AB2573" i="5"/>
  <c r="AC2573" i="5"/>
  <c r="AA2574" i="5"/>
  <c r="AB2574" i="5"/>
  <c r="AC2574" i="5"/>
  <c r="AA2575" i="5"/>
  <c r="AB2575" i="5"/>
  <c r="AC2575" i="5"/>
  <c r="AA2582" i="5"/>
  <c r="AB2582" i="5"/>
  <c r="AC2582" i="5"/>
  <c r="AA2590" i="5"/>
  <c r="AB2590" i="5"/>
  <c r="AC2590" i="5"/>
  <c r="AC2571" i="5"/>
  <c r="AB2571" i="5"/>
  <c r="AA2571" i="5"/>
  <c r="U82" i="7"/>
  <c r="L722" i="2"/>
  <c r="B722" i="2"/>
  <c r="L726" i="2"/>
  <c r="B726" i="2"/>
  <c r="L724" i="2"/>
  <c r="B724" i="2"/>
  <c r="L723" i="2"/>
  <c r="B723" i="2"/>
  <c r="L725" i="2"/>
  <c r="B725" i="2"/>
  <c r="L727" i="2"/>
  <c r="B727" i="2"/>
  <c r="L728" i="2"/>
  <c r="B728" i="2"/>
  <c r="L729" i="2"/>
  <c r="B729" i="2"/>
  <c r="L721" i="2"/>
  <c r="B721" i="2"/>
  <c r="L709" i="2"/>
  <c r="B709" i="2"/>
  <c r="L716" i="2"/>
  <c r="B716" i="2"/>
  <c r="L714" i="2"/>
  <c r="B714" i="2"/>
  <c r="L706" i="2"/>
  <c r="B706" i="2"/>
  <c r="L720" i="2"/>
  <c r="B720" i="2"/>
  <c r="L708" i="2"/>
  <c r="B708" i="2"/>
  <c r="L712" i="2"/>
  <c r="B712" i="2"/>
  <c r="L718" i="2"/>
  <c r="B718" i="2"/>
  <c r="AI2538" i="5"/>
  <c r="AI2539" i="5"/>
  <c r="AI2540" i="5"/>
  <c r="AI2541" i="5"/>
  <c r="AI2542" i="5"/>
  <c r="AI2543" i="5"/>
  <c r="AI2544" i="5"/>
  <c r="AI2545" i="5"/>
  <c r="AI2546" i="5"/>
  <c r="AI2547" i="5"/>
  <c r="AI2548" i="5"/>
  <c r="AI2549" i="5"/>
  <c r="AI2550" i="5"/>
  <c r="AI2551" i="5"/>
  <c r="AI2552" i="5"/>
  <c r="AI2553" i="5"/>
  <c r="AI2554" i="5"/>
  <c r="AI2555" i="5"/>
  <c r="AI2556" i="5"/>
  <c r="AI2557" i="5"/>
  <c r="AI2558" i="5"/>
  <c r="AI2559" i="5"/>
  <c r="AI2560" i="5"/>
  <c r="AI2561" i="5"/>
  <c r="AI2562" i="5"/>
  <c r="AI2563" i="5"/>
  <c r="AI2564" i="5"/>
  <c r="AI2565" i="5"/>
  <c r="AI2566" i="5"/>
  <c r="AI2567" i="5"/>
  <c r="AI2568" i="5"/>
  <c r="AI2569" i="5"/>
  <c r="AI2570" i="5"/>
  <c r="AI2537" i="5"/>
  <c r="L719" i="2"/>
  <c r="B719" i="2"/>
  <c r="L717" i="2"/>
  <c r="B717" i="2"/>
  <c r="L715" i="2"/>
  <c r="B715" i="2"/>
  <c r="L713" i="2"/>
  <c r="B713" i="2"/>
  <c r="L711" i="2"/>
  <c r="B711" i="2"/>
  <c r="L710" i="2"/>
  <c r="B710" i="2"/>
  <c r="L707" i="2"/>
  <c r="B707" i="2"/>
  <c r="AI2485" i="5"/>
  <c r="AI2486" i="5"/>
  <c r="AI2487" i="5"/>
  <c r="AI2488" i="5"/>
  <c r="AI2484" i="5"/>
  <c r="F2485" i="5"/>
  <c r="F2486" i="5"/>
  <c r="F2487" i="5"/>
  <c r="F2488" i="5"/>
  <c r="F2484" i="5"/>
  <c r="L702" i="2"/>
  <c r="I705" i="2"/>
  <c r="L705" i="2"/>
  <c r="I702" i="2"/>
  <c r="K702" i="2"/>
  <c r="K678" i="2"/>
  <c r="B678" i="2" s="1"/>
  <c r="K677" i="2"/>
  <c r="B677" i="2" s="1"/>
  <c r="B701" i="2"/>
  <c r="B700" i="2"/>
  <c r="AI2409" i="5"/>
  <c r="AI2410" i="5"/>
  <c r="AI2411" i="5"/>
  <c r="AI2412" i="5"/>
  <c r="AI2413" i="5"/>
  <c r="AI2414" i="5"/>
  <c r="AI2415" i="5"/>
  <c r="AI2416" i="5"/>
  <c r="AI2417" i="5"/>
  <c r="AI2418" i="5"/>
  <c r="AI2419" i="5"/>
  <c r="AI2420" i="5"/>
  <c r="AI2421" i="5"/>
  <c r="AI2422" i="5"/>
  <c r="AI2423" i="5"/>
  <c r="AI2424" i="5"/>
  <c r="AI2425" i="5"/>
  <c r="AI2426" i="5"/>
  <c r="AI2427" i="5"/>
  <c r="AI2428" i="5"/>
  <c r="AI2429" i="5"/>
  <c r="AI2430" i="5"/>
  <c r="AI2431" i="5"/>
  <c r="AI2432" i="5"/>
  <c r="AI2433" i="5"/>
  <c r="AI2434" i="5"/>
  <c r="AI2408" i="5"/>
  <c r="U81" i="7"/>
  <c r="G2287" i="5"/>
  <c r="G2288" i="5"/>
  <c r="L692" i="2"/>
  <c r="B692" i="2" s="1"/>
  <c r="B686" i="2"/>
  <c r="B687" i="2"/>
  <c r="B688" i="2"/>
  <c r="B689" i="2"/>
  <c r="L690" i="2"/>
  <c r="B690" i="2" s="1"/>
  <c r="L691" i="2"/>
  <c r="B691" i="2" s="1"/>
  <c r="L693" i="2"/>
  <c r="B693" i="2" s="1"/>
  <c r="L694" i="2"/>
  <c r="B694" i="2" s="1"/>
  <c r="L695" i="2"/>
  <c r="B695" i="2" s="1"/>
  <c r="L696" i="2"/>
  <c r="B696" i="2" s="1"/>
  <c r="L697" i="2"/>
  <c r="B697" i="2" s="1"/>
  <c r="L698" i="2"/>
  <c r="B698" i="2" s="1"/>
  <c r="L699" i="2"/>
  <c r="B699" i="2" s="1"/>
  <c r="B685" i="2"/>
  <c r="H2275" i="5"/>
  <c r="L671" i="2"/>
  <c r="K680" i="2"/>
  <c r="B680" i="2"/>
  <c r="K681" i="2"/>
  <c r="K683" i="2"/>
  <c r="L683" i="2"/>
  <c r="K679" i="2"/>
  <c r="L679" i="2"/>
  <c r="K676" i="2"/>
  <c r="B676" i="2" s="1"/>
  <c r="K675" i="2"/>
  <c r="L675" i="2"/>
  <c r="K674" i="2"/>
  <c r="B674" i="2" s="1"/>
  <c r="K673" i="2"/>
  <c r="B673" i="2" s="1"/>
  <c r="K672" i="2"/>
  <c r="B672" i="2" s="1"/>
  <c r="K671" i="2"/>
  <c r="K670" i="2"/>
  <c r="B670" i="2"/>
  <c r="K669" i="2"/>
  <c r="L669" i="2"/>
  <c r="K668" i="2"/>
  <c r="L668" i="2"/>
  <c r="K667" i="2"/>
  <c r="B667" i="2"/>
  <c r="G64" i="7"/>
  <c r="H2238" i="5"/>
  <c r="H2237" i="5"/>
  <c r="H2230" i="5"/>
  <c r="H2228" i="5"/>
  <c r="B5" i="2"/>
  <c r="B6" i="2"/>
  <c r="B8" i="2"/>
  <c r="B9" i="2"/>
  <c r="L681" i="2"/>
  <c r="L682" i="2"/>
  <c r="B682" i="2"/>
  <c r="AC2155" i="5"/>
  <c r="AB2155" i="5"/>
  <c r="AA2155" i="5"/>
  <c r="B664" i="2"/>
  <c r="B665" i="2"/>
  <c r="B666" i="2"/>
  <c r="B658" i="2"/>
  <c r="B659" i="2"/>
  <c r="B660" i="2"/>
  <c r="B661" i="2"/>
  <c r="U60" i="7"/>
  <c r="U59" i="7"/>
  <c r="U48" i="7"/>
  <c r="B662" i="2"/>
  <c r="B663" i="2"/>
  <c r="B653" i="2"/>
  <c r="B654" i="2"/>
  <c r="B655" i="2"/>
  <c r="B656" i="2"/>
  <c r="B657" i="2"/>
  <c r="B649" i="2"/>
  <c r="B650" i="2"/>
  <c r="B651" i="2"/>
  <c r="B652" i="2"/>
  <c r="B647" i="2"/>
  <c r="B648" i="2"/>
  <c r="B644" i="2"/>
  <c r="B645" i="2"/>
  <c r="B646" i="2"/>
  <c r="K642" i="2"/>
  <c r="L642" i="2"/>
  <c r="L633" i="2"/>
  <c r="L632" i="2"/>
  <c r="L643" i="2"/>
  <c r="B643" i="2" s="1"/>
  <c r="L639" i="2"/>
  <c r="L641" i="2"/>
  <c r="B641" i="2"/>
  <c r="F632" i="2"/>
  <c r="B632" i="2" s="1"/>
  <c r="K632" i="2"/>
  <c r="F633" i="2"/>
  <c r="K633" i="2"/>
  <c r="F634" i="2"/>
  <c r="K634" i="2"/>
  <c r="L634" i="2"/>
  <c r="F635" i="2"/>
  <c r="F636" i="2"/>
  <c r="L636" i="2"/>
  <c r="B636" i="2"/>
  <c r="F637" i="2"/>
  <c r="L637" i="2"/>
  <c r="F638" i="2"/>
  <c r="F639" i="2"/>
  <c r="L635" i="2"/>
  <c r="L638" i="2"/>
  <c r="B638" i="2" s="1"/>
  <c r="L640" i="2"/>
  <c r="B640" i="2" s="1"/>
  <c r="F2092" i="5"/>
  <c r="F2093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4" i="5"/>
  <c r="F2095" i="5"/>
  <c r="F2065" i="5"/>
  <c r="L56" i="1"/>
  <c r="L55" i="1"/>
  <c r="L630" i="2"/>
  <c r="B630" i="2"/>
  <c r="L631" i="2"/>
  <c r="B631" i="2"/>
  <c r="U58" i="7"/>
  <c r="J58" i="7"/>
  <c r="H2032" i="5"/>
  <c r="H2031" i="5"/>
  <c r="H2030" i="5"/>
  <c r="L624" i="2"/>
  <c r="B624" i="2" s="1"/>
  <c r="L625" i="2"/>
  <c r="B625" i="2" s="1"/>
  <c r="L628" i="2"/>
  <c r="B628" i="2" s="1"/>
  <c r="L629" i="2"/>
  <c r="B629" i="2" s="1"/>
  <c r="E58" i="7"/>
  <c r="L54" i="1"/>
  <c r="L627" i="2"/>
  <c r="B627" i="2" s="1"/>
  <c r="L626" i="2"/>
  <c r="B626" i="2" s="1"/>
  <c r="L623" i="2"/>
  <c r="B623" i="2" s="1"/>
  <c r="L622" i="2"/>
  <c r="B622" i="2" s="1"/>
  <c r="L619" i="2"/>
  <c r="B619" i="2" s="1"/>
  <c r="L614" i="2"/>
  <c r="B614" i="2" s="1"/>
  <c r="K621" i="2"/>
  <c r="L621" i="2"/>
  <c r="B621" i="2"/>
  <c r="K620" i="2"/>
  <c r="J57" i="7"/>
  <c r="J56" i="7"/>
  <c r="J55" i="7"/>
  <c r="J54" i="7"/>
  <c r="J53" i="7"/>
  <c r="U54" i="7"/>
  <c r="U57" i="7"/>
  <c r="U56" i="7"/>
  <c r="U55" i="7"/>
  <c r="U53" i="7"/>
  <c r="L620" i="2"/>
  <c r="L618" i="2"/>
  <c r="B618" i="2"/>
  <c r="L617" i="2"/>
  <c r="B617" i="2"/>
  <c r="L616" i="2"/>
  <c r="B616" i="2"/>
  <c r="L615" i="2"/>
  <c r="B615" i="2"/>
  <c r="L613" i="2"/>
  <c r="B613" i="2"/>
  <c r="L610" i="2"/>
  <c r="B610" i="2"/>
  <c r="L612" i="2"/>
  <c r="B612" i="2"/>
  <c r="L611" i="2"/>
  <c r="B611" i="2"/>
  <c r="L604" i="2"/>
  <c r="B604" i="2"/>
  <c r="L605" i="2"/>
  <c r="B605" i="2"/>
  <c r="K603" i="2"/>
  <c r="B603" i="2" s="1"/>
  <c r="L603" i="2"/>
  <c r="L606" i="2"/>
  <c r="B606" i="2" s="1"/>
  <c r="L607" i="2"/>
  <c r="B607" i="2" s="1"/>
  <c r="L608" i="2"/>
  <c r="B608" i="2" s="1"/>
  <c r="L609" i="2"/>
  <c r="B609" i="2" s="1"/>
  <c r="K602" i="2"/>
  <c r="L602" i="2"/>
  <c r="AC1" i="5"/>
  <c r="L598" i="2"/>
  <c r="B598" i="2"/>
  <c r="K597" i="2"/>
  <c r="L597" i="2"/>
  <c r="K599" i="2"/>
  <c r="L599" i="2"/>
  <c r="K600" i="2"/>
  <c r="L600" i="2"/>
  <c r="K601" i="2"/>
  <c r="L601" i="2"/>
  <c r="K596" i="2"/>
  <c r="L596" i="2"/>
  <c r="B665" i="3"/>
  <c r="B664" i="3"/>
  <c r="L1994" i="5"/>
  <c r="L1993" i="5"/>
  <c r="I1994" i="5"/>
  <c r="I1993" i="5"/>
  <c r="K589" i="2"/>
  <c r="L589" i="2"/>
  <c r="K595" i="2"/>
  <c r="L595" i="2"/>
  <c r="U52" i="7"/>
  <c r="U51" i="7"/>
  <c r="U50" i="7"/>
  <c r="U49" i="7"/>
  <c r="U47" i="7"/>
  <c r="U46" i="7"/>
  <c r="U45" i="7"/>
  <c r="U44" i="7"/>
  <c r="U43" i="7"/>
  <c r="U42" i="7"/>
  <c r="H42" i="7"/>
  <c r="U41" i="7"/>
  <c r="H41" i="7"/>
  <c r="U40" i="7"/>
  <c r="AB1" i="5"/>
  <c r="K592" i="2"/>
  <c r="L592" i="2"/>
  <c r="K590" i="2"/>
  <c r="B590" i="2" s="1"/>
  <c r="L590" i="2"/>
  <c r="K591" i="2"/>
  <c r="L591" i="2"/>
  <c r="L593" i="2"/>
  <c r="B593" i="2"/>
  <c r="L594" i="2"/>
  <c r="B594" i="2"/>
  <c r="AQ50" i="1"/>
  <c r="L53" i="1"/>
  <c r="Q51" i="1"/>
  <c r="L588" i="2"/>
  <c r="B588" i="2" s="1"/>
  <c r="L587" i="2"/>
  <c r="B587" i="2" s="1"/>
  <c r="AF1915" i="5"/>
  <c r="AH1915" i="5" s="1"/>
  <c r="AF1914" i="5"/>
  <c r="AH1914" i="5" s="1"/>
  <c r="AF1913" i="5"/>
  <c r="AH1913" i="5" s="1"/>
  <c r="AF1887" i="5"/>
  <c r="AH1887" i="5" s="1"/>
  <c r="AF1886" i="5"/>
  <c r="AH1886" i="5" s="1"/>
  <c r="AF1885" i="5"/>
  <c r="AH1885" i="5" s="1"/>
  <c r="AF1884" i="5"/>
  <c r="AH1884" i="5" s="1"/>
  <c r="AF1883" i="5"/>
  <c r="AH1883" i="5" s="1"/>
  <c r="AF1882" i="5"/>
  <c r="AH1882" i="5" s="1"/>
  <c r="AF1881" i="5"/>
  <c r="AH1881" i="5" s="1"/>
  <c r="AF1880" i="5"/>
  <c r="AH1880" i="5" s="1"/>
  <c r="AF1879" i="5"/>
  <c r="AH1879" i="5" s="1"/>
  <c r="AF1878" i="5"/>
  <c r="AH1878" i="5" s="1"/>
  <c r="AF1877" i="5"/>
  <c r="AH1877" i="5" s="1"/>
  <c r="AF1876" i="5"/>
  <c r="AH1876" i="5" s="1"/>
  <c r="AF1875" i="5"/>
  <c r="AH1875" i="5" s="1"/>
  <c r="B655" i="3"/>
  <c r="H1943" i="5"/>
  <c r="L581" i="2"/>
  <c r="B581" i="2" s="1"/>
  <c r="I582" i="2"/>
  <c r="J582" i="2"/>
  <c r="L582" i="2"/>
  <c r="L583" i="2"/>
  <c r="B583" i="2"/>
  <c r="L584" i="2"/>
  <c r="B584" i="2"/>
  <c r="L585" i="2"/>
  <c r="B585" i="2"/>
  <c r="L586" i="2"/>
  <c r="B586" i="2"/>
  <c r="L52" i="1"/>
  <c r="L51" i="1"/>
  <c r="L1942" i="5"/>
  <c r="I1942" i="5"/>
  <c r="AE1941" i="5"/>
  <c r="AH1941" i="5" s="1"/>
  <c r="AE1940" i="5"/>
  <c r="AH1940" i="5" s="1"/>
  <c r="AE1939" i="5"/>
  <c r="AH1939" i="5" s="1"/>
  <c r="AE1938" i="5"/>
  <c r="AH1938" i="5" s="1"/>
  <c r="AE1937" i="5"/>
  <c r="AH1937" i="5" s="1"/>
  <c r="AE1936" i="5"/>
  <c r="AH1936" i="5" s="1"/>
  <c r="AE1935" i="5"/>
  <c r="AH1935" i="5" s="1"/>
  <c r="AE1934" i="5"/>
  <c r="AH1934" i="5" s="1"/>
  <c r="AE1933" i="5"/>
  <c r="AH1933" i="5" s="1"/>
  <c r="AE1932" i="5"/>
  <c r="AH1932" i="5" s="1"/>
  <c r="K575" i="2"/>
  <c r="L575" i="2"/>
  <c r="L580" i="2"/>
  <c r="K580" i="2"/>
  <c r="L579" i="2"/>
  <c r="K579" i="2"/>
  <c r="B579" i="2" s="1"/>
  <c r="L578" i="2"/>
  <c r="K578" i="2"/>
  <c r="L577" i="2"/>
  <c r="K577" i="2"/>
  <c r="L576" i="2"/>
  <c r="K576" i="2"/>
  <c r="I576" i="2"/>
  <c r="J576" i="2"/>
  <c r="L574" i="2"/>
  <c r="K574" i="2"/>
  <c r="L573" i="2"/>
  <c r="K573" i="2"/>
  <c r="L572" i="2"/>
  <c r="K572" i="2"/>
  <c r="L571" i="2"/>
  <c r="K571" i="2"/>
  <c r="B571" i="2"/>
  <c r="L570" i="2"/>
  <c r="K570" i="2"/>
  <c r="L569" i="2"/>
  <c r="K569" i="2"/>
  <c r="L568" i="2"/>
  <c r="K568" i="2"/>
  <c r="B554" i="2"/>
  <c r="B553" i="2"/>
  <c r="B552" i="2"/>
  <c r="B551" i="2"/>
  <c r="L550" i="2"/>
  <c r="K550" i="2"/>
  <c r="B550" i="2" s="1"/>
  <c r="B533" i="2"/>
  <c r="B534" i="2"/>
  <c r="B535" i="2"/>
  <c r="B536" i="2"/>
  <c r="B537" i="2"/>
  <c r="B538" i="2"/>
  <c r="B539" i="2"/>
  <c r="B540" i="2"/>
  <c r="B541" i="2"/>
  <c r="B542" i="2"/>
  <c r="B532" i="2"/>
  <c r="B531" i="2"/>
  <c r="B530" i="2"/>
  <c r="B529" i="2"/>
  <c r="B528" i="2"/>
  <c r="B527" i="2"/>
  <c r="B524" i="2"/>
  <c r="B525" i="2"/>
  <c r="B526" i="2"/>
  <c r="B523" i="2"/>
  <c r="B520" i="2"/>
  <c r="B521" i="2"/>
  <c r="B522" i="2"/>
  <c r="B519" i="2"/>
  <c r="B518" i="2"/>
  <c r="B517" i="2"/>
  <c r="B516" i="2"/>
  <c r="B515" i="2"/>
  <c r="B514" i="2"/>
  <c r="B513" i="2"/>
  <c r="B512" i="2"/>
  <c r="B511" i="2"/>
  <c r="B509" i="2"/>
  <c r="B508" i="2"/>
  <c r="B507" i="2"/>
  <c r="B506" i="2"/>
  <c r="B505" i="2"/>
  <c r="B504" i="2"/>
  <c r="B503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373" i="2"/>
  <c r="B372" i="2"/>
  <c r="B371" i="2"/>
  <c r="B370" i="2"/>
  <c r="B369" i="2"/>
  <c r="B368" i="2"/>
  <c r="B367" i="2"/>
  <c r="AF1306" i="5"/>
  <c r="AH1306" i="5" s="1"/>
  <c r="AF1305" i="5"/>
  <c r="AH1305" i="5" s="1"/>
  <c r="AF1304" i="5"/>
  <c r="AH1304" i="5" s="1"/>
  <c r="AF1303" i="5"/>
  <c r="AH1303" i="5" s="1"/>
  <c r="AF1302" i="5"/>
  <c r="AH1302" i="5" s="1"/>
  <c r="AF1301" i="5"/>
  <c r="AH1301" i="5" s="1"/>
  <c r="AF1300" i="5"/>
  <c r="AH1300" i="5" s="1"/>
  <c r="AF1299" i="5"/>
  <c r="AH1299" i="5" s="1"/>
  <c r="AF1298" i="5"/>
  <c r="AH1298" i="5" s="1"/>
  <c r="AF1297" i="5"/>
  <c r="AH1297" i="5" s="1"/>
  <c r="AF1296" i="5"/>
  <c r="AH1296" i="5" s="1"/>
  <c r="AF1295" i="5"/>
  <c r="AH1295" i="5" s="1"/>
  <c r="AF1294" i="5"/>
  <c r="AH1294" i="5" s="1"/>
  <c r="AF1293" i="5"/>
  <c r="AH1293" i="5" s="1"/>
  <c r="AF1292" i="5"/>
  <c r="AH1292" i="5" s="1"/>
  <c r="AF1291" i="5"/>
  <c r="AH1291" i="5" s="1"/>
  <c r="AF1290" i="5"/>
  <c r="AH1290" i="5" s="1"/>
  <c r="AF1289" i="5"/>
  <c r="AH1289" i="5" s="1"/>
  <c r="AF1288" i="5"/>
  <c r="AH1288" i="5" s="1"/>
  <c r="AF1287" i="5"/>
  <c r="AH1287" i="5" s="1"/>
  <c r="AF1286" i="5"/>
  <c r="AH1286" i="5" s="1"/>
  <c r="AF1285" i="5"/>
  <c r="AH1285" i="5" s="1"/>
  <c r="AF1284" i="5"/>
  <c r="AH1284" i="5" s="1"/>
  <c r="AF1283" i="5"/>
  <c r="AH1283" i="5" s="1"/>
  <c r="AF1282" i="5"/>
  <c r="AH1282" i="5" s="1"/>
  <c r="AF1281" i="5"/>
  <c r="AH1281" i="5" s="1"/>
  <c r="AF1280" i="5"/>
  <c r="AH1280" i="5" s="1"/>
  <c r="AF1279" i="5"/>
  <c r="AH1279" i="5" s="1"/>
  <c r="AF1278" i="5"/>
  <c r="AH1278" i="5" s="1"/>
  <c r="AF1277" i="5"/>
  <c r="AH1277" i="5" s="1"/>
  <c r="AF1276" i="5"/>
  <c r="AH1276" i="5" s="1"/>
  <c r="AF1275" i="5"/>
  <c r="AH1275" i="5" s="1"/>
  <c r="AF1274" i="5"/>
  <c r="AH1274" i="5" s="1"/>
  <c r="B355" i="2"/>
  <c r="B366" i="2"/>
  <c r="B365" i="2"/>
  <c r="B364" i="2"/>
  <c r="B363" i="2"/>
  <c r="B362" i="2"/>
  <c r="B361" i="2"/>
  <c r="B360" i="2"/>
  <c r="B359" i="2"/>
  <c r="B358" i="2"/>
  <c r="B357" i="2"/>
  <c r="B356" i="2"/>
  <c r="K351" i="2"/>
  <c r="L351" i="2"/>
  <c r="L354" i="2"/>
  <c r="B354" i="2"/>
  <c r="J353" i="2"/>
  <c r="I353" i="2"/>
  <c r="B353" i="2" s="1"/>
  <c r="L352" i="2"/>
  <c r="K352" i="2"/>
  <c r="L350" i="2"/>
  <c r="K350" i="2"/>
  <c r="L349" i="2"/>
  <c r="K349" i="2"/>
  <c r="L348" i="2"/>
  <c r="B348" i="2" s="1"/>
  <c r="K348" i="2"/>
  <c r="L347" i="2"/>
  <c r="K347" i="2"/>
  <c r="I347" i="2"/>
  <c r="U6" i="7"/>
  <c r="J6" i="7"/>
  <c r="I6" i="7"/>
  <c r="H6" i="7"/>
  <c r="AF1228" i="5"/>
  <c r="AH1228" i="5" s="1"/>
  <c r="H1228" i="5"/>
  <c r="AF1227" i="5"/>
  <c r="AH1227" i="5" s="1"/>
  <c r="H1227" i="5"/>
  <c r="AF1226" i="5"/>
  <c r="AH1226" i="5" s="1"/>
  <c r="AF1225" i="5"/>
  <c r="AH1225" i="5" s="1"/>
  <c r="H1225" i="5"/>
  <c r="AF1224" i="5"/>
  <c r="AH1224" i="5" s="1"/>
  <c r="H1224" i="5"/>
  <c r="AF1223" i="5"/>
  <c r="AH1223" i="5" s="1"/>
  <c r="H1223" i="5"/>
  <c r="AF1222" i="5"/>
  <c r="AH1222" i="5" s="1"/>
  <c r="H1222" i="5"/>
  <c r="AF1221" i="5"/>
  <c r="AH1221" i="5" s="1"/>
  <c r="AF1220" i="5"/>
  <c r="AH1220" i="5" s="1"/>
  <c r="AF1219" i="5"/>
  <c r="AH1219" i="5" s="1"/>
  <c r="AF1218" i="5"/>
  <c r="AH1218" i="5" s="1"/>
  <c r="AF1217" i="5"/>
  <c r="AH1217" i="5" s="1"/>
  <c r="AF1216" i="5"/>
  <c r="AH1216" i="5" s="1"/>
  <c r="AF1215" i="5"/>
  <c r="AH1215" i="5" s="1"/>
  <c r="AF1214" i="5"/>
  <c r="AH1214" i="5" s="1"/>
  <c r="AF1213" i="5"/>
  <c r="AH1213" i="5" s="1"/>
  <c r="AF1212" i="5"/>
  <c r="AH1212" i="5" s="1"/>
  <c r="AF1211" i="5"/>
  <c r="AH1211" i="5" s="1"/>
  <c r="H1211" i="5"/>
  <c r="AF1210" i="5"/>
  <c r="AH1210" i="5" s="1"/>
  <c r="AF1209" i="5"/>
  <c r="AH1209" i="5" s="1"/>
  <c r="AF1208" i="5"/>
  <c r="AH1208" i="5" s="1"/>
  <c r="AF1207" i="5"/>
  <c r="AH1207" i="5" s="1"/>
  <c r="AF1205" i="5"/>
  <c r="AH1205" i="5" s="1"/>
  <c r="AF1204" i="5"/>
  <c r="AH1204" i="5" s="1"/>
  <c r="AF1203" i="5"/>
  <c r="AH1203" i="5" s="1"/>
  <c r="AF1202" i="5"/>
  <c r="AH1202" i="5" s="1"/>
  <c r="AF1201" i="5"/>
  <c r="AH1201" i="5" s="1"/>
  <c r="AF1200" i="5"/>
  <c r="AH1200" i="5" s="1"/>
  <c r="AF1199" i="5"/>
  <c r="AH1199" i="5" s="1"/>
  <c r="AF1198" i="5"/>
  <c r="AH1198" i="5" s="1"/>
  <c r="AF1197" i="5"/>
  <c r="AH1197" i="5" s="1"/>
  <c r="AF1196" i="5"/>
  <c r="AH1196" i="5" s="1"/>
  <c r="AF1195" i="5"/>
  <c r="AH1195" i="5" s="1"/>
  <c r="AF1194" i="5"/>
  <c r="AH1194" i="5" s="1"/>
  <c r="AF1193" i="5"/>
  <c r="AH1193" i="5" s="1"/>
  <c r="AF1192" i="5"/>
  <c r="AH1192" i="5" s="1"/>
  <c r="AF1191" i="5"/>
  <c r="AH1191" i="5" s="1"/>
  <c r="AF1190" i="5"/>
  <c r="AH1190" i="5" s="1"/>
  <c r="AF1189" i="5"/>
  <c r="AH1189" i="5" s="1"/>
  <c r="AF1188" i="5"/>
  <c r="AH1188" i="5" s="1"/>
  <c r="K346" i="2"/>
  <c r="L346" i="2"/>
  <c r="L345" i="2"/>
  <c r="J345" i="2"/>
  <c r="K345" i="2"/>
  <c r="K344" i="2"/>
  <c r="K339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W4" i="7"/>
  <c r="W5" i="7"/>
  <c r="J5" i="7"/>
  <c r="U5" i="7"/>
  <c r="V5" i="7"/>
  <c r="R5" i="7"/>
  <c r="Q5" i="7"/>
  <c r="P5" i="7"/>
  <c r="O5" i="7"/>
  <c r="U4" i="7"/>
  <c r="J4" i="7"/>
  <c r="V4" i="7"/>
  <c r="R4" i="7"/>
  <c r="Q4" i="7"/>
  <c r="P4" i="7"/>
  <c r="O4" i="7"/>
  <c r="L338" i="2"/>
  <c r="J338" i="2"/>
  <c r="K338" i="2"/>
  <c r="L337" i="2"/>
  <c r="K337" i="2"/>
  <c r="L336" i="2"/>
  <c r="K336" i="2"/>
  <c r="I336" i="2"/>
  <c r="J336" i="2"/>
  <c r="B336" i="2" s="1"/>
  <c r="L335" i="2"/>
  <c r="I335" i="2"/>
  <c r="J335" i="2"/>
  <c r="B335" i="2" s="1"/>
  <c r="K335" i="2"/>
  <c r="L334" i="2"/>
  <c r="K334" i="2"/>
  <c r="B334" i="2" s="1"/>
  <c r="L333" i="2"/>
  <c r="K333" i="2"/>
  <c r="AF1187" i="5"/>
  <c r="AH1187" i="5" s="1"/>
  <c r="AF1186" i="5"/>
  <c r="AH1186" i="5" s="1"/>
  <c r="AF1185" i="5"/>
  <c r="AH1185" i="5" s="1"/>
  <c r="AF1184" i="5"/>
  <c r="AH1184" i="5" s="1"/>
  <c r="AF1183" i="5"/>
  <c r="AH1183" i="5" s="1"/>
  <c r="AF1182" i="5"/>
  <c r="AH1182" i="5" s="1"/>
  <c r="AF1181" i="5"/>
  <c r="AH1181" i="5" s="1"/>
  <c r="AF1180" i="5"/>
  <c r="AH1180" i="5" s="1"/>
  <c r="AF1179" i="5"/>
  <c r="AH1179" i="5" s="1"/>
  <c r="AF1178" i="5"/>
  <c r="AH1178" i="5" s="1"/>
  <c r="AF1177" i="5"/>
  <c r="AH1177" i="5" s="1"/>
  <c r="AF1176" i="5"/>
  <c r="AH1176" i="5" s="1"/>
  <c r="AF1175" i="5"/>
  <c r="AH1175" i="5" s="1"/>
  <c r="AF1174" i="5"/>
  <c r="AH1174" i="5" s="1"/>
  <c r="AF1173" i="5"/>
  <c r="AH1173" i="5" s="1"/>
  <c r="AF1172" i="5"/>
  <c r="AH1172" i="5" s="1"/>
  <c r="AF1171" i="5"/>
  <c r="AH1171" i="5" s="1"/>
  <c r="AF1170" i="5"/>
  <c r="AH1170" i="5" s="1"/>
  <c r="AF1169" i="5"/>
  <c r="AH1169" i="5" s="1"/>
  <c r="AF1168" i="5"/>
  <c r="AH1168" i="5" s="1"/>
  <c r="AF1167" i="5"/>
  <c r="AH1167" i="5" s="1"/>
  <c r="AF1166" i="5"/>
  <c r="AH1166" i="5" s="1"/>
  <c r="AF1165" i="5"/>
  <c r="AH1165" i="5" s="1"/>
  <c r="AF1164" i="5"/>
  <c r="AH1164" i="5" s="1"/>
  <c r="AF1163" i="5"/>
  <c r="AH1163" i="5" s="1"/>
  <c r="AF1162" i="5"/>
  <c r="AH1162" i="5" s="1"/>
  <c r="AF1161" i="5"/>
  <c r="AH1161" i="5" s="1"/>
  <c r="AF1160" i="5"/>
  <c r="AH1160" i="5" s="1"/>
  <c r="AF1159" i="5"/>
  <c r="AH1159" i="5" s="1"/>
  <c r="AF1158" i="5"/>
  <c r="AH1158" i="5" s="1"/>
  <c r="AF1157" i="5"/>
  <c r="AH1157" i="5" s="1"/>
  <c r="AF1156" i="5"/>
  <c r="AH1156" i="5" s="1"/>
  <c r="AF1155" i="5"/>
  <c r="AH1155" i="5" s="1"/>
  <c r="AF1154" i="5"/>
  <c r="AH1154" i="5" s="1"/>
  <c r="AF1153" i="5"/>
  <c r="AH1153" i="5" s="1"/>
  <c r="AF1152" i="5"/>
  <c r="AH1152" i="5" s="1"/>
  <c r="AF1151" i="5"/>
  <c r="AH1151" i="5" s="1"/>
  <c r="AF1150" i="5"/>
  <c r="AH1150" i="5" s="1"/>
  <c r="AF1149" i="5"/>
  <c r="AH1149" i="5" s="1"/>
  <c r="AF1148" i="5"/>
  <c r="AH1148" i="5" s="1"/>
  <c r="L332" i="2"/>
  <c r="K332" i="2"/>
  <c r="J332" i="2"/>
  <c r="B332" i="2" s="1"/>
  <c r="AF1105" i="5"/>
  <c r="AH1105" i="5" s="1"/>
  <c r="AF1104" i="5"/>
  <c r="AH1104" i="5" s="1"/>
  <c r="AF1103" i="5"/>
  <c r="AH1103" i="5" s="1"/>
  <c r="AF1102" i="5"/>
  <c r="AH1102" i="5" s="1"/>
  <c r="AF1101" i="5"/>
  <c r="AH1101" i="5" s="1"/>
  <c r="AF1100" i="5"/>
  <c r="AH1100" i="5" s="1"/>
  <c r="AF1099" i="5"/>
  <c r="AH1099" i="5" s="1"/>
  <c r="AF1098" i="5"/>
  <c r="AH1098" i="5" s="1"/>
  <c r="AF1097" i="5"/>
  <c r="AH1097" i="5" s="1"/>
  <c r="AF1096" i="5"/>
  <c r="AH1096" i="5" s="1"/>
  <c r="AF1095" i="5"/>
  <c r="AH1095" i="5" s="1"/>
  <c r="AF1094" i="5"/>
  <c r="AH1094" i="5" s="1"/>
  <c r="AF1093" i="5"/>
  <c r="AH1093" i="5" s="1"/>
  <c r="AF1092" i="5"/>
  <c r="AH1092" i="5" s="1"/>
  <c r="AF1091" i="5"/>
  <c r="AH1091" i="5" s="1"/>
  <c r="AF1090" i="5"/>
  <c r="AH1090" i="5" s="1"/>
  <c r="AF1089" i="5"/>
  <c r="AH1089" i="5" s="1"/>
  <c r="AF1088" i="5"/>
  <c r="AH1088" i="5" s="1"/>
  <c r="AF1087" i="5"/>
  <c r="AH1087" i="5" s="1"/>
  <c r="AF1086" i="5"/>
  <c r="AH1086" i="5" s="1"/>
  <c r="AF1085" i="5"/>
  <c r="AH1085" i="5" s="1"/>
  <c r="AF1084" i="5"/>
  <c r="AH1084" i="5" s="1"/>
  <c r="AF1083" i="5"/>
  <c r="AH1083" i="5" s="1"/>
  <c r="AF1082" i="5"/>
  <c r="AH1082" i="5" s="1"/>
  <c r="AF1081" i="5"/>
  <c r="AH1081" i="5" s="1"/>
  <c r="AF1080" i="5"/>
  <c r="AH1080" i="5" s="1"/>
  <c r="AF1079" i="5"/>
  <c r="AH1079" i="5" s="1"/>
  <c r="AF1078" i="5"/>
  <c r="AH1078" i="5" s="1"/>
  <c r="AF1077" i="5"/>
  <c r="AH1077" i="5" s="1"/>
  <c r="AF1076" i="5"/>
  <c r="AH1076" i="5" s="1"/>
  <c r="AF1075" i="5"/>
  <c r="AH1075" i="5" s="1"/>
  <c r="AF1074" i="5"/>
  <c r="AH1074" i="5" s="1"/>
  <c r="AF1073" i="5"/>
  <c r="AH1073" i="5" s="1"/>
  <c r="AF1072" i="5"/>
  <c r="AH1072" i="5" s="1"/>
  <c r="AF1071" i="5"/>
  <c r="AH1071" i="5" s="1"/>
  <c r="AF1070" i="5"/>
  <c r="AH1070" i="5" s="1"/>
  <c r="AF1069" i="5"/>
  <c r="AH1069" i="5" s="1"/>
  <c r="AF1068" i="5"/>
  <c r="AH1068" i="5" s="1"/>
  <c r="AF1067" i="5"/>
  <c r="AH1067" i="5" s="1"/>
  <c r="AF1066" i="5"/>
  <c r="AH1066" i="5" s="1"/>
  <c r="AF1065" i="5"/>
  <c r="AH1065" i="5" s="1"/>
  <c r="AF1064" i="5"/>
  <c r="AH1064" i="5" s="1"/>
  <c r="L319" i="2"/>
  <c r="B319" i="2" s="1"/>
  <c r="K319" i="2"/>
  <c r="F319" i="2"/>
  <c r="L318" i="2"/>
  <c r="K318" i="2"/>
  <c r="B318" i="2" s="1"/>
  <c r="L317" i="2"/>
  <c r="K317" i="2"/>
  <c r="L316" i="2"/>
  <c r="K316" i="2"/>
  <c r="B316" i="2"/>
  <c r="L315" i="2"/>
  <c r="K315" i="2"/>
  <c r="L314" i="2"/>
  <c r="K314" i="2"/>
  <c r="J314" i="2"/>
  <c r="L313" i="2"/>
  <c r="K313" i="2"/>
  <c r="J313" i="2"/>
  <c r="L312" i="2"/>
  <c r="K312" i="2"/>
  <c r="L311" i="2"/>
  <c r="K311" i="2"/>
  <c r="B311" i="2" s="1"/>
  <c r="L310" i="2"/>
  <c r="K310" i="2"/>
  <c r="L309" i="2"/>
  <c r="B309" i="2" s="1"/>
  <c r="K309" i="2"/>
  <c r="L308" i="2"/>
  <c r="K308" i="2"/>
  <c r="B308" i="2" s="1"/>
  <c r="L307" i="2"/>
  <c r="K307" i="2"/>
  <c r="B307" i="2" s="1"/>
  <c r="L306" i="2"/>
  <c r="F306" i="2"/>
  <c r="B306" i="2" s="1"/>
  <c r="K306" i="2"/>
  <c r="L305" i="2"/>
  <c r="F305" i="2"/>
  <c r="K305" i="2"/>
  <c r="L304" i="2"/>
  <c r="F304" i="2"/>
  <c r="K304" i="2"/>
  <c r="L303" i="2"/>
  <c r="F303" i="2"/>
  <c r="K303" i="2"/>
  <c r="K287" i="2"/>
  <c r="L287" i="2"/>
  <c r="B287" i="2" s="1"/>
  <c r="K288" i="2"/>
  <c r="L288" i="2"/>
  <c r="B288" i="2" s="1"/>
  <c r="F289" i="2"/>
  <c r="I289" i="2"/>
  <c r="K289" i="2"/>
  <c r="B289" i="2" s="1"/>
  <c r="L289" i="2"/>
  <c r="F290" i="2"/>
  <c r="I290" i="2"/>
  <c r="B290" i="2" s="1"/>
  <c r="K290" i="2"/>
  <c r="L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AF1022" i="5"/>
  <c r="AH1022" i="5" s="1"/>
  <c r="AF1021" i="5"/>
  <c r="AH1021" i="5" s="1"/>
  <c r="AF1020" i="5"/>
  <c r="AH1020" i="5" s="1"/>
  <c r="H1020" i="5"/>
  <c r="AF1019" i="5"/>
  <c r="AH1019" i="5" s="1"/>
  <c r="H1019" i="5"/>
  <c r="AF1018" i="5"/>
  <c r="AH1018" i="5" s="1"/>
  <c r="H1018" i="5"/>
  <c r="AF1017" i="5"/>
  <c r="AH1017" i="5" s="1"/>
  <c r="AF1016" i="5"/>
  <c r="AH1016" i="5" s="1"/>
  <c r="AF1015" i="5"/>
  <c r="AH1015" i="5" s="1"/>
  <c r="AF1014" i="5"/>
  <c r="AH1014" i="5" s="1"/>
  <c r="AF1013" i="5"/>
  <c r="AH1013" i="5" s="1"/>
  <c r="AF1012" i="5"/>
  <c r="AH1012" i="5" s="1"/>
  <c r="AF1011" i="5"/>
  <c r="AH1011" i="5" s="1"/>
  <c r="AF1010" i="5"/>
  <c r="AH1010" i="5" s="1"/>
  <c r="AF1009" i="5"/>
  <c r="AH1009" i="5" s="1"/>
  <c r="AF1008" i="5"/>
  <c r="AH1008" i="5" s="1"/>
  <c r="AF1007" i="5"/>
  <c r="AH1007" i="5" s="1"/>
  <c r="AF1006" i="5"/>
  <c r="AH1006" i="5" s="1"/>
  <c r="AF1005" i="5"/>
  <c r="AH1005" i="5" s="1"/>
  <c r="AF1004" i="5"/>
  <c r="AH1004" i="5" s="1"/>
  <c r="AF1003" i="5"/>
  <c r="AH1003" i="5" s="1"/>
  <c r="AF1002" i="5"/>
  <c r="AH1002" i="5" s="1"/>
  <c r="AF1001" i="5"/>
  <c r="AH1001" i="5" s="1"/>
  <c r="AF1000" i="5"/>
  <c r="AH1000" i="5" s="1"/>
  <c r="AF999" i="5"/>
  <c r="AH999" i="5" s="1"/>
  <c r="AF998" i="5"/>
  <c r="AH998" i="5" s="1"/>
  <c r="AF997" i="5"/>
  <c r="AH997" i="5" s="1"/>
  <c r="AF996" i="5"/>
  <c r="AH996" i="5" s="1"/>
  <c r="AF995" i="5"/>
  <c r="AH995" i="5" s="1"/>
  <c r="AF994" i="5"/>
  <c r="AH994" i="5" s="1"/>
  <c r="AF993" i="5"/>
  <c r="AH993" i="5" s="1"/>
  <c r="AF992" i="5"/>
  <c r="AH992" i="5" s="1"/>
  <c r="AF991" i="5"/>
  <c r="AH991" i="5" s="1"/>
  <c r="AF990" i="5"/>
  <c r="AH990" i="5" s="1"/>
  <c r="AF989" i="5"/>
  <c r="AH989" i="5" s="1"/>
  <c r="AF988" i="5"/>
  <c r="AH988" i="5" s="1"/>
  <c r="AF987" i="5"/>
  <c r="AH987" i="5" s="1"/>
  <c r="AF986" i="5"/>
  <c r="AH986" i="5" s="1"/>
  <c r="AF985" i="5"/>
  <c r="AH985" i="5" s="1"/>
  <c r="AF984" i="5"/>
  <c r="AH984" i="5" s="1"/>
  <c r="AF983" i="5"/>
  <c r="AH983" i="5" s="1"/>
  <c r="AF982" i="5"/>
  <c r="AH982" i="5" s="1"/>
  <c r="AF981" i="5"/>
  <c r="AH981" i="5" s="1"/>
  <c r="AF980" i="5"/>
  <c r="AH980" i="5" s="1"/>
  <c r="L286" i="2"/>
  <c r="K286" i="2"/>
  <c r="L285" i="2"/>
  <c r="K285" i="2"/>
  <c r="L284" i="2"/>
  <c r="K284" i="2"/>
  <c r="B284" i="2"/>
  <c r="L283" i="2"/>
  <c r="K283" i="2"/>
  <c r="B283" i="2" s="1"/>
  <c r="L282" i="2"/>
  <c r="K282" i="2"/>
  <c r="B282" i="2" s="1"/>
  <c r="L281" i="2"/>
  <c r="K281" i="2"/>
  <c r="Z968" i="5"/>
  <c r="Z967" i="5"/>
  <c r="Z966" i="5"/>
  <c r="Z965" i="5"/>
  <c r="Z964" i="5"/>
  <c r="Z962" i="5"/>
  <c r="Z961" i="5"/>
  <c r="Z960" i="5"/>
  <c r="Z959" i="5"/>
  <c r="Z958" i="5"/>
  <c r="AE905" i="5"/>
  <c r="AH905" i="5" s="1"/>
  <c r="H905" i="5"/>
  <c r="AE904" i="5"/>
  <c r="AH904" i="5" s="1"/>
  <c r="AE903" i="5"/>
  <c r="AH903" i="5" s="1"/>
  <c r="H903" i="5"/>
  <c r="AE902" i="5"/>
  <c r="AH902" i="5" s="1"/>
  <c r="H902" i="5"/>
  <c r="AE901" i="5"/>
  <c r="AH901" i="5" s="1"/>
  <c r="H901" i="5"/>
  <c r="AE900" i="5"/>
  <c r="AH900" i="5" s="1"/>
  <c r="AE899" i="5"/>
  <c r="AH899" i="5" s="1"/>
  <c r="AE898" i="5"/>
  <c r="AH898" i="5" s="1"/>
  <c r="AE897" i="5"/>
  <c r="AH897" i="5" s="1"/>
  <c r="AE896" i="5"/>
  <c r="AH896" i="5" s="1"/>
  <c r="AE895" i="5"/>
  <c r="AH895" i="5" s="1"/>
  <c r="AE894" i="5"/>
  <c r="AH894" i="5" s="1"/>
  <c r="AE893" i="5"/>
  <c r="AH893" i="5" s="1"/>
  <c r="AE892" i="5"/>
  <c r="AH892" i="5" s="1"/>
  <c r="AE891" i="5"/>
  <c r="AH891" i="5" s="1"/>
  <c r="AE890" i="5"/>
  <c r="AH890" i="5" s="1"/>
  <c r="AE889" i="5"/>
  <c r="AH889" i="5" s="1"/>
  <c r="AE888" i="5"/>
  <c r="AH888" i="5" s="1"/>
  <c r="AE887" i="5"/>
  <c r="AH887" i="5" s="1"/>
  <c r="AE886" i="5"/>
  <c r="AH886" i="5" s="1"/>
  <c r="AE885" i="5"/>
  <c r="AH885" i="5" s="1"/>
  <c r="AE884" i="5"/>
  <c r="AH884" i="5" s="1"/>
  <c r="AE883" i="5"/>
  <c r="AH883" i="5" s="1"/>
  <c r="AE882" i="5"/>
  <c r="AH882" i="5" s="1"/>
  <c r="AE881" i="5"/>
  <c r="AH881" i="5" s="1"/>
  <c r="AE880" i="5"/>
  <c r="AH880" i="5" s="1"/>
  <c r="AE879" i="5"/>
  <c r="AH879" i="5" s="1"/>
  <c r="AE878" i="5"/>
  <c r="AH878" i="5" s="1"/>
  <c r="AE877" i="5"/>
  <c r="AH877" i="5" s="1"/>
  <c r="AE876" i="5"/>
  <c r="AH876" i="5" s="1"/>
  <c r="AE875" i="5"/>
  <c r="AH875" i="5" s="1"/>
  <c r="AE874" i="5"/>
  <c r="AH874" i="5" s="1"/>
  <c r="L273" i="2"/>
  <c r="J273" i="2"/>
  <c r="K273" i="2"/>
  <c r="L272" i="2"/>
  <c r="B272" i="2" s="1"/>
  <c r="K272" i="2"/>
  <c r="AE873" i="5"/>
  <c r="AH873" i="5" s="1"/>
  <c r="AE872" i="5"/>
  <c r="AH872" i="5" s="1"/>
  <c r="AE871" i="5"/>
  <c r="AH871" i="5" s="1"/>
  <c r="AE870" i="5"/>
  <c r="AH870" i="5" s="1"/>
  <c r="AE869" i="5"/>
  <c r="AH869" i="5" s="1"/>
  <c r="AE868" i="5"/>
  <c r="AH868" i="5" s="1"/>
  <c r="AE867" i="5"/>
  <c r="AH867" i="5" s="1"/>
  <c r="AE866" i="5"/>
  <c r="AH866" i="5" s="1"/>
  <c r="AE865" i="5"/>
  <c r="AH865" i="5" s="1"/>
  <c r="AE863" i="5"/>
  <c r="AH863" i="5" s="1"/>
  <c r="AE862" i="5"/>
  <c r="AH862" i="5" s="1"/>
  <c r="AE861" i="5"/>
  <c r="AH861" i="5" s="1"/>
  <c r="AE860" i="5"/>
  <c r="AH860" i="5" s="1"/>
  <c r="AE859" i="5"/>
  <c r="AH859" i="5" s="1"/>
  <c r="AE858" i="5"/>
  <c r="AH858" i="5" s="1"/>
  <c r="AE857" i="5"/>
  <c r="AH857" i="5" s="1"/>
  <c r="AE856" i="5"/>
  <c r="AH856" i="5" s="1"/>
  <c r="AE855" i="5"/>
  <c r="AH855" i="5" s="1"/>
  <c r="AE854" i="5"/>
  <c r="AH854" i="5" s="1"/>
  <c r="AE853" i="5"/>
  <c r="AH853" i="5" s="1"/>
  <c r="AE852" i="5"/>
  <c r="AH852" i="5" s="1"/>
  <c r="AE851" i="5"/>
  <c r="AH851" i="5" s="1"/>
  <c r="AE850" i="5"/>
  <c r="AH850" i="5" s="1"/>
  <c r="AE849" i="5"/>
  <c r="AH849" i="5" s="1"/>
  <c r="AE848" i="5"/>
  <c r="AH848" i="5" s="1"/>
  <c r="AE847" i="5"/>
  <c r="AH847" i="5" s="1"/>
  <c r="AE846" i="5"/>
  <c r="AH846" i="5" s="1"/>
  <c r="AE845" i="5"/>
  <c r="AH845" i="5" s="1"/>
  <c r="AE844" i="5"/>
  <c r="AH844" i="5" s="1"/>
  <c r="AE843" i="5"/>
  <c r="AH843" i="5" s="1"/>
  <c r="AE842" i="5"/>
  <c r="AH842" i="5" s="1"/>
  <c r="AE841" i="5"/>
  <c r="AH841" i="5" s="1"/>
  <c r="AE840" i="5"/>
  <c r="AH840" i="5" s="1"/>
  <c r="AE839" i="5"/>
  <c r="AH839" i="5" s="1"/>
  <c r="AE838" i="5"/>
  <c r="AH838" i="5" s="1"/>
  <c r="L259" i="2"/>
  <c r="K259" i="2"/>
  <c r="L258" i="2"/>
  <c r="K258" i="2"/>
  <c r="B258" i="2" s="1"/>
  <c r="AE778" i="5"/>
  <c r="AH778" i="5" s="1"/>
  <c r="AE777" i="5"/>
  <c r="AH777" i="5" s="1"/>
  <c r="AE776" i="5"/>
  <c r="AH776" i="5" s="1"/>
  <c r="AE775" i="5"/>
  <c r="AH775" i="5" s="1"/>
  <c r="AE774" i="5"/>
  <c r="AH774" i="5" s="1"/>
  <c r="AE773" i="5"/>
  <c r="AH773" i="5" s="1"/>
  <c r="AE772" i="5"/>
  <c r="AH772" i="5" s="1"/>
  <c r="AE771" i="5"/>
  <c r="AH771" i="5" s="1"/>
  <c r="AE770" i="5"/>
  <c r="AH770" i="5" s="1"/>
  <c r="AE769" i="5"/>
  <c r="AH769" i="5" s="1"/>
  <c r="AE768" i="5"/>
  <c r="AH768" i="5" s="1"/>
  <c r="AE767" i="5"/>
  <c r="AH767" i="5" s="1"/>
  <c r="AE766" i="5"/>
  <c r="AH766" i="5" s="1"/>
  <c r="AE765" i="5"/>
  <c r="AH765" i="5" s="1"/>
  <c r="AE764" i="5"/>
  <c r="AH764" i="5" s="1"/>
  <c r="AE763" i="5"/>
  <c r="AH763" i="5" s="1"/>
  <c r="AE762" i="5"/>
  <c r="AH762" i="5" s="1"/>
  <c r="AE761" i="5"/>
  <c r="AH761" i="5" s="1"/>
  <c r="AE760" i="5"/>
  <c r="AH760" i="5" s="1"/>
  <c r="AE759" i="5"/>
  <c r="AH759" i="5" s="1"/>
  <c r="AE758" i="5"/>
  <c r="AH758" i="5" s="1"/>
  <c r="AE757" i="5"/>
  <c r="AH757" i="5" s="1"/>
  <c r="AE756" i="5"/>
  <c r="AH756" i="5" s="1"/>
  <c r="AE755" i="5"/>
  <c r="AH755" i="5" s="1"/>
  <c r="AE754" i="5"/>
  <c r="AH754" i="5" s="1"/>
  <c r="AE753" i="5"/>
  <c r="AH753" i="5" s="1"/>
  <c r="AE752" i="5"/>
  <c r="AH752" i="5" s="1"/>
  <c r="AE751" i="5"/>
  <c r="AH751" i="5" s="1"/>
  <c r="AE750" i="5"/>
  <c r="AH750" i="5" s="1"/>
  <c r="AE749" i="5"/>
  <c r="AH749" i="5" s="1"/>
  <c r="AE748" i="5"/>
  <c r="AH748" i="5" s="1"/>
  <c r="AE747" i="5"/>
  <c r="AH747" i="5" s="1"/>
  <c r="AE746" i="5"/>
  <c r="AH746" i="5" s="1"/>
  <c r="AE745" i="5"/>
  <c r="AH745" i="5" s="1"/>
  <c r="AE744" i="5"/>
  <c r="AH744" i="5" s="1"/>
  <c r="AE742" i="5"/>
  <c r="AH742" i="5" s="1"/>
  <c r="AE741" i="5"/>
  <c r="AH741" i="5" s="1"/>
  <c r="AE740" i="5"/>
  <c r="AH740" i="5" s="1"/>
  <c r="L257" i="2"/>
  <c r="J257" i="2"/>
  <c r="K257" i="2"/>
  <c r="B257" i="2" s="1"/>
  <c r="L256" i="2"/>
  <c r="K256" i="2"/>
  <c r="B256" i="2"/>
  <c r="L255" i="2"/>
  <c r="K255" i="2"/>
  <c r="P20" i="1"/>
  <c r="P21" i="1"/>
  <c r="P22" i="1"/>
  <c r="P19" i="1"/>
  <c r="L22" i="1"/>
  <c r="L21" i="1"/>
  <c r="K21" i="1"/>
  <c r="L20" i="1"/>
  <c r="L19" i="1"/>
  <c r="L249" i="2"/>
  <c r="B249" i="2" s="1"/>
  <c r="L248" i="2"/>
  <c r="B248" i="2" s="1"/>
  <c r="L247" i="2"/>
  <c r="B247" i="2" s="1"/>
  <c r="L246" i="2"/>
  <c r="B246" i="2" s="1"/>
  <c r="L245" i="2"/>
  <c r="J245" i="2"/>
  <c r="L244" i="2"/>
  <c r="J244" i="2"/>
  <c r="L243" i="2"/>
  <c r="B243" i="2" s="1"/>
  <c r="J243" i="2"/>
  <c r="L242" i="2"/>
  <c r="J242" i="2"/>
  <c r="L241" i="2"/>
  <c r="J241" i="2"/>
  <c r="B241" i="2" s="1"/>
  <c r="L240" i="2"/>
  <c r="J240" i="2"/>
  <c r="B240" i="2"/>
  <c r="L239" i="2"/>
  <c r="B239" i="2"/>
  <c r="L238" i="2"/>
  <c r="B238" i="2"/>
  <c r="L237" i="2"/>
  <c r="B237" i="2"/>
  <c r="L236" i="2"/>
  <c r="B236" i="2"/>
  <c r="L235" i="2"/>
  <c r="B235" i="2"/>
  <c r="L234" i="2"/>
  <c r="B234" i="2"/>
  <c r="L233" i="2"/>
  <c r="J233" i="2"/>
  <c r="B233" i="2" s="1"/>
  <c r="L232" i="2"/>
  <c r="B232" i="2" s="1"/>
  <c r="J232" i="2"/>
  <c r="L231" i="2"/>
  <c r="J231" i="2"/>
  <c r="L230" i="2"/>
  <c r="J230" i="2"/>
  <c r="B230" i="2" s="1"/>
  <c r="L229" i="2"/>
  <c r="J229" i="2"/>
  <c r="L228" i="2"/>
  <c r="B228" i="2" s="1"/>
  <c r="J228" i="2"/>
  <c r="L227" i="2"/>
  <c r="B227" i="2" s="1"/>
  <c r="L226" i="2"/>
  <c r="B226" i="2" s="1"/>
  <c r="J226" i="2"/>
  <c r="L225" i="2"/>
  <c r="B225" i="2" s="1"/>
  <c r="L224" i="2"/>
  <c r="J224" i="2"/>
  <c r="L223" i="2"/>
  <c r="B223" i="2" s="1"/>
  <c r="J223" i="2"/>
  <c r="L222" i="2"/>
  <c r="B222" i="2"/>
  <c r="L221" i="2"/>
  <c r="J221" i="2"/>
  <c r="B221" i="2" s="1"/>
  <c r="L220" i="2"/>
  <c r="B220" i="2" s="1"/>
  <c r="L219" i="2"/>
  <c r="J219" i="2"/>
  <c r="L218" i="2"/>
  <c r="B218" i="2" s="1"/>
  <c r="L217" i="2"/>
  <c r="B217" i="2" s="1"/>
  <c r="L216" i="2"/>
  <c r="B216" i="2" s="1"/>
  <c r="L215" i="2"/>
  <c r="B215" i="2" s="1"/>
  <c r="L214" i="2"/>
  <c r="B214" i="2" s="1"/>
  <c r="L213" i="2"/>
  <c r="J213" i="2"/>
  <c r="L212" i="2"/>
  <c r="I212" i="2"/>
  <c r="B212" i="2"/>
  <c r="L211" i="2"/>
  <c r="J211" i="2"/>
  <c r="B211" i="2" s="1"/>
  <c r="L210" i="2"/>
  <c r="J210" i="2"/>
  <c r="B210" i="2" s="1"/>
  <c r="L209" i="2"/>
  <c r="J209" i="2"/>
  <c r="L208" i="2"/>
  <c r="J208" i="2"/>
  <c r="B208" i="2"/>
  <c r="L207" i="2"/>
  <c r="J207" i="2"/>
  <c r="L206" i="2"/>
  <c r="B206" i="2"/>
  <c r="L205" i="2"/>
  <c r="J205" i="2"/>
  <c r="J204" i="2"/>
  <c r="B204" i="2"/>
  <c r="L203" i="2"/>
  <c r="B203" i="2"/>
  <c r="L202" i="2"/>
  <c r="B202" i="2"/>
  <c r="L201" i="2"/>
  <c r="B201" i="2"/>
  <c r="L200" i="2"/>
  <c r="J200" i="2"/>
  <c r="L199" i="2"/>
  <c r="B199" i="2"/>
  <c r="L198" i="2"/>
  <c r="J198" i="2"/>
  <c r="L197" i="2"/>
  <c r="B197" i="2"/>
  <c r="L196" i="2"/>
  <c r="J196" i="2"/>
  <c r="B196" i="2" s="1"/>
  <c r="L195" i="2"/>
  <c r="J195" i="2"/>
  <c r="L194" i="2"/>
  <c r="B194" i="2" s="1"/>
  <c r="J194" i="2"/>
  <c r="L193" i="2"/>
  <c r="B193" i="2"/>
  <c r="L192" i="2"/>
  <c r="B192" i="2"/>
  <c r="L191" i="2"/>
  <c r="B191" i="2"/>
  <c r="L190" i="2"/>
  <c r="B190" i="2"/>
  <c r="L189" i="2"/>
  <c r="J189" i="2"/>
  <c r="B189" i="2" s="1"/>
  <c r="L188" i="2"/>
  <c r="J188" i="2"/>
  <c r="L187" i="2"/>
  <c r="I187" i="2"/>
  <c r="B187" i="2" s="1"/>
  <c r="F187" i="2"/>
  <c r="L186" i="2"/>
  <c r="E186" i="2"/>
  <c r="L185" i="2"/>
  <c r="B185" i="2" s="1"/>
  <c r="L184" i="2"/>
  <c r="B184" i="2" s="1"/>
  <c r="B183" i="2"/>
  <c r="L182" i="2"/>
  <c r="B182" i="2"/>
  <c r="L181" i="2"/>
  <c r="B181" i="2"/>
  <c r="L180" i="2"/>
  <c r="B180" i="2"/>
  <c r="L179" i="2"/>
  <c r="B179" i="2"/>
  <c r="L178" i="2"/>
  <c r="B178" i="2"/>
  <c r="L177" i="2"/>
  <c r="B177" i="2"/>
  <c r="L176" i="2"/>
  <c r="B176" i="2"/>
  <c r="L175" i="2"/>
  <c r="B175" i="2"/>
  <c r="L174" i="2"/>
  <c r="B174" i="2"/>
  <c r="L173" i="2"/>
  <c r="B173" i="2"/>
  <c r="L15" i="1"/>
  <c r="L14" i="1"/>
  <c r="L13" i="1"/>
  <c r="B167" i="2"/>
  <c r="B166" i="2"/>
  <c r="B165" i="2"/>
  <c r="B164" i="2"/>
  <c r="B163" i="2"/>
  <c r="B162" i="2"/>
  <c r="B161" i="2"/>
  <c r="B160" i="2"/>
  <c r="O168" i="4"/>
  <c r="O167" i="4"/>
  <c r="O166" i="4"/>
  <c r="L159" i="2"/>
  <c r="B159" i="2"/>
  <c r="L158" i="2"/>
  <c r="B158" i="2"/>
  <c r="L157" i="2"/>
  <c r="B157" i="2"/>
  <c r="L156" i="2"/>
  <c r="I156" i="2"/>
  <c r="L155" i="2"/>
  <c r="B155" i="2"/>
  <c r="L154" i="2"/>
  <c r="B154" i="2"/>
  <c r="L153" i="2"/>
  <c r="B153" i="2"/>
  <c r="L152" i="2"/>
  <c r="I152" i="2"/>
  <c r="L151" i="2"/>
  <c r="I151" i="2"/>
  <c r="L150" i="2"/>
  <c r="I150" i="2"/>
  <c r="L149" i="2"/>
  <c r="B149" i="2"/>
  <c r="L148" i="2"/>
  <c r="I148" i="2"/>
  <c r="B148" i="2" s="1"/>
  <c r="L147" i="2"/>
  <c r="I147" i="2"/>
  <c r="J147" i="2"/>
  <c r="B147" i="2"/>
  <c r="L146" i="2"/>
  <c r="B146" i="2"/>
  <c r="L145" i="2"/>
  <c r="B145" i="2"/>
  <c r="L144" i="2"/>
  <c r="B144" i="2"/>
  <c r="L143" i="2"/>
  <c r="J143" i="2"/>
  <c r="L137" i="2"/>
  <c r="J137" i="2"/>
  <c r="I137" i="2"/>
  <c r="B137" i="2"/>
  <c r="L12" i="1"/>
  <c r="N12" i="1"/>
  <c r="L142" i="2"/>
  <c r="B142" i="2"/>
  <c r="L141" i="2"/>
  <c r="B141" i="2"/>
  <c r="L140" i="2"/>
  <c r="F140" i="2"/>
  <c r="L139" i="2"/>
  <c r="B139" i="2"/>
  <c r="B131" i="2"/>
  <c r="B132" i="2"/>
  <c r="B133" i="2"/>
  <c r="B134" i="2"/>
  <c r="B135" i="2"/>
  <c r="B136" i="2"/>
  <c r="B138" i="2"/>
  <c r="L125" i="2"/>
  <c r="B125" i="2" s="1"/>
  <c r="L130" i="2"/>
  <c r="B130" i="2" s="1"/>
  <c r="L129" i="2"/>
  <c r="B129" i="2" s="1"/>
  <c r="L128" i="2"/>
  <c r="B128" i="2" s="1"/>
  <c r="L127" i="2"/>
  <c r="B127" i="2" s="1"/>
  <c r="L126" i="2"/>
  <c r="B126" i="2" s="1"/>
  <c r="L124" i="2"/>
  <c r="J124" i="2"/>
  <c r="F124" i="2"/>
  <c r="I124" i="2"/>
  <c r="L123" i="2"/>
  <c r="F123" i="2"/>
  <c r="L122" i="2"/>
  <c r="B122" i="2" s="1"/>
  <c r="L121" i="2"/>
  <c r="B121" i="2" s="1"/>
  <c r="L120" i="2"/>
  <c r="B120" i="2" s="1"/>
  <c r="L119" i="2"/>
  <c r="B119" i="2" s="1"/>
  <c r="F119" i="2"/>
  <c r="L118" i="2"/>
  <c r="I118" i="2"/>
  <c r="L117" i="2"/>
  <c r="B117" i="2"/>
  <c r="L116" i="2"/>
  <c r="J116" i="2"/>
  <c r="F116" i="2"/>
  <c r="L115" i="2"/>
  <c r="J115" i="2"/>
  <c r="L11" i="1"/>
  <c r="L10" i="1"/>
  <c r="K10" i="1"/>
  <c r="J10" i="1"/>
  <c r="L9" i="1"/>
  <c r="K9" i="1"/>
  <c r="L8" i="1"/>
  <c r="G8" i="1"/>
  <c r="L7" i="1"/>
  <c r="I7" i="1"/>
  <c r="L6" i="1"/>
  <c r="L114" i="2"/>
  <c r="B114" i="2"/>
  <c r="L113" i="2"/>
  <c r="B113" i="2"/>
  <c r="L112" i="2"/>
  <c r="B112" i="2"/>
  <c r="L111" i="2"/>
  <c r="J111" i="2"/>
  <c r="L110" i="2"/>
  <c r="J110" i="2"/>
  <c r="B110" i="2" s="1"/>
  <c r="L109" i="2"/>
  <c r="B109" i="2" s="1"/>
  <c r="L108" i="2"/>
  <c r="J108" i="2"/>
  <c r="B108" i="2"/>
  <c r="L107" i="2"/>
  <c r="J107" i="2"/>
  <c r="L106" i="2"/>
  <c r="B106" i="2"/>
  <c r="L105" i="2"/>
  <c r="J105" i="2"/>
  <c r="L104" i="2"/>
  <c r="J104" i="2"/>
  <c r="L103" i="2"/>
  <c r="B103" i="2"/>
  <c r="L102" i="2"/>
  <c r="J102" i="2"/>
  <c r="B102" i="2" s="1"/>
  <c r="L101" i="2"/>
  <c r="B101" i="2" s="1"/>
  <c r="L100" i="2"/>
  <c r="B100" i="2" s="1"/>
  <c r="L99" i="2"/>
  <c r="B99" i="2" s="1"/>
  <c r="L98" i="2"/>
  <c r="J98" i="2"/>
  <c r="L97" i="2"/>
  <c r="B97" i="2" s="1"/>
  <c r="L96" i="2"/>
  <c r="J96" i="2"/>
  <c r="L95" i="2"/>
  <c r="J95" i="2"/>
  <c r="B95" i="2"/>
  <c r="L94" i="2"/>
  <c r="J94" i="2"/>
  <c r="L93" i="2"/>
  <c r="I93" i="2"/>
  <c r="B93" i="2" s="1"/>
  <c r="J93" i="2"/>
  <c r="L92" i="2"/>
  <c r="J92" i="2"/>
  <c r="C66" i="4"/>
  <c r="C65" i="4"/>
  <c r="C64" i="4"/>
  <c r="C63" i="4"/>
  <c r="C62" i="4"/>
  <c r="C61" i="4"/>
  <c r="C60" i="4"/>
  <c r="C59" i="4"/>
  <c r="C58" i="4"/>
  <c r="C57" i="4"/>
  <c r="L91" i="2"/>
  <c r="B91" i="2" s="1"/>
  <c r="L90" i="2"/>
  <c r="J90" i="2"/>
  <c r="L89" i="2"/>
  <c r="J89" i="2"/>
  <c r="L88" i="2"/>
  <c r="J88" i="2"/>
  <c r="L87" i="2"/>
  <c r="J87" i="2"/>
  <c r="L86" i="2"/>
  <c r="J86" i="2"/>
  <c r="B86" i="2"/>
  <c r="L85" i="2"/>
  <c r="I85" i="2"/>
  <c r="J85" i="2"/>
  <c r="B85" i="2"/>
  <c r="L84" i="2"/>
  <c r="I84" i="2"/>
  <c r="J84" i="2"/>
  <c r="L83" i="2"/>
  <c r="F83" i="2"/>
  <c r="J83" i="2"/>
  <c r="L82" i="2"/>
  <c r="B82" i="2" s="1"/>
  <c r="L81" i="2"/>
  <c r="B81" i="2" s="1"/>
  <c r="L80" i="2"/>
  <c r="B80" i="2" s="1"/>
  <c r="L79" i="2"/>
  <c r="B79" i="2" s="1"/>
  <c r="L78" i="2"/>
  <c r="B78" i="2" s="1"/>
  <c r="L77" i="2"/>
  <c r="B77" i="2" s="1"/>
  <c r="L76" i="2"/>
  <c r="B76" i="2" s="1"/>
  <c r="L75" i="2"/>
  <c r="B75" i="2" s="1"/>
  <c r="L74" i="2"/>
  <c r="B74" i="2" s="1"/>
  <c r="L73" i="2"/>
  <c r="B73" i="2" s="1"/>
  <c r="L72" i="2"/>
  <c r="B72" i="2" s="1"/>
  <c r="L71" i="2"/>
  <c r="B71" i="2" s="1"/>
  <c r="L70" i="2"/>
  <c r="B70" i="2" s="1"/>
  <c r="L34" i="2"/>
  <c r="F34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L55" i="2"/>
  <c r="H55" i="2"/>
  <c r="L54" i="2"/>
  <c r="H54" i="2"/>
  <c r="L53" i="2"/>
  <c r="I53" i="2"/>
  <c r="J53" i="2"/>
  <c r="H53" i="2"/>
  <c r="L52" i="2"/>
  <c r="H52" i="2"/>
  <c r="L51" i="2"/>
  <c r="H51" i="2"/>
  <c r="G84" i="3"/>
  <c r="G83" i="3"/>
  <c r="G82" i="3"/>
  <c r="G81" i="3"/>
  <c r="G80" i="3"/>
  <c r="G79" i="3"/>
  <c r="G78" i="3"/>
  <c r="G77" i="3"/>
  <c r="G76" i="3"/>
  <c r="G75" i="3"/>
  <c r="L50" i="2"/>
  <c r="H50" i="2"/>
  <c r="B50" i="2"/>
  <c r="L49" i="2"/>
  <c r="H49" i="2"/>
  <c r="L48" i="2"/>
  <c r="H48" i="2"/>
  <c r="B47" i="2"/>
  <c r="B46" i="2"/>
  <c r="B45" i="2"/>
  <c r="B44" i="2"/>
  <c r="B43" i="2"/>
  <c r="B74" i="3"/>
  <c r="B67" i="3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5" i="2"/>
  <c r="B36" i="2"/>
  <c r="B37" i="2"/>
  <c r="B17" i="2"/>
  <c r="B16" i="2"/>
  <c r="B15" i="2"/>
  <c r="B14" i="2"/>
  <c r="H13" i="2"/>
  <c r="B13" i="2"/>
  <c r="H12" i="2"/>
  <c r="B12" i="2"/>
  <c r="B11" i="2"/>
  <c r="B10" i="2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H12" i="3"/>
  <c r="J18" i="3"/>
  <c r="J17" i="3"/>
  <c r="J13" i="3"/>
  <c r="J12" i="3"/>
  <c r="B11" i="3"/>
  <c r="B635" i="2"/>
  <c r="B317" i="2"/>
  <c r="B681" i="2"/>
  <c r="B347" i="2"/>
  <c r="B936" i="2"/>
  <c r="B934" i="2"/>
  <c r="B569" i="2"/>
  <c r="B310" i="2"/>
  <c r="B333" i="2"/>
  <c r="B152" i="2"/>
  <c r="B634" i="2"/>
  <c r="B671" i="2"/>
  <c r="B937" i="2"/>
  <c r="B980" i="2"/>
  <c r="B140" i="2"/>
  <c r="B231" i="2"/>
  <c r="B568" i="2"/>
  <c r="B602" i="2"/>
  <c r="B705" i="2"/>
  <c r="B242" i="2"/>
  <c r="B244" i="2"/>
  <c r="B281" i="2"/>
  <c r="B572" i="2"/>
  <c r="B574" i="2"/>
  <c r="B580" i="2"/>
  <c r="B633" i="2"/>
  <c r="B345" i="2"/>
  <c r="B195" i="2"/>
  <c r="B209" i="2"/>
  <c r="B213" i="2"/>
  <c r="B255" i="2"/>
  <c r="B346" i="2"/>
  <c r="B596" i="2"/>
  <c r="B600" i="2"/>
  <c r="B48" i="2"/>
  <c r="B305" i="2"/>
  <c r="B312" i="2"/>
  <c r="B350" i="2"/>
  <c r="B597" i="2"/>
  <c r="B683" i="2"/>
  <c r="B931" i="2"/>
  <c r="B51" i="2"/>
  <c r="B87" i="2"/>
  <c r="B229" i="2"/>
  <c r="B259" i="2"/>
  <c r="B1214" i="2"/>
  <c r="B94" i="2"/>
  <c r="B224" i="2"/>
  <c r="B285" i="2"/>
  <c r="B669" i="2"/>
  <c r="B49" i="2"/>
  <c r="B935" i="2"/>
  <c r="B702" i="2"/>
  <c r="B200" i="2"/>
  <c r="B98" i="2"/>
  <c r="B111" i="2"/>
  <c r="B116" i="2"/>
  <c r="B124" i="2"/>
  <c r="B575" i="2"/>
  <c r="B668" i="2"/>
  <c r="B53" i="2"/>
  <c r="B84" i="2"/>
  <c r="B89" i="2"/>
  <c r="B582" i="2"/>
  <c r="B589" i="2"/>
  <c r="B679" i="2"/>
  <c r="B766" i="2"/>
  <c r="B88" i="2"/>
  <c r="B90" i="2"/>
  <c r="B123" i="2"/>
  <c r="B150" i="2"/>
  <c r="B186" i="2"/>
  <c r="B198" i="2"/>
  <c r="B205" i="2"/>
  <c r="B207" i="2"/>
  <c r="B314" i="2"/>
  <c r="B315" i="2"/>
  <c r="B337" i="2"/>
  <c r="B349" i="2"/>
  <c r="B352" i="2"/>
  <c r="B351" i="2"/>
  <c r="B570" i="2"/>
  <c r="B576" i="2"/>
  <c r="B578" i="2"/>
  <c r="B591" i="2"/>
  <c r="B592" i="2"/>
  <c r="B601" i="2"/>
  <c r="B599" i="2"/>
  <c r="B620" i="2"/>
  <c r="B675" i="2"/>
  <c r="B96" i="2"/>
  <c r="B115" i="2"/>
  <c r="B156" i="2"/>
  <c r="B54" i="2"/>
  <c r="B118" i="2"/>
  <c r="B188" i="2"/>
  <c r="B219" i="2"/>
  <c r="B573" i="2"/>
  <c r="B577" i="2"/>
  <c r="B642" i="2"/>
  <c r="B55" i="2"/>
  <c r="B107" i="2"/>
  <c r="B92" i="2"/>
  <c r="B104" i="2"/>
  <c r="B824" i="2"/>
  <c r="B639" i="2"/>
  <c r="B105" i="2"/>
  <c r="B143" i="2"/>
  <c r="B151" i="2"/>
  <c r="B286" i="2"/>
  <c r="B52" i="2"/>
  <c r="B34" i="2"/>
  <c r="B303" i="2"/>
  <c r="B595" i="2"/>
  <c r="B637" i="2"/>
  <c r="B304" i="2"/>
  <c r="B338" i="2"/>
  <c r="B245" i="2"/>
  <c r="B313" i="2"/>
  <c r="B83" i="2" l="1"/>
  <c r="B273" i="2"/>
</calcChain>
</file>

<file path=xl/sharedStrings.xml><?xml version="1.0" encoding="utf-8"?>
<sst xmlns="http://schemas.openxmlformats.org/spreadsheetml/2006/main" count="2284" uniqueCount="644">
  <si>
    <t>Code</t>
  </si>
  <si>
    <t>Temp</t>
  </si>
  <si>
    <t>O2</t>
  </si>
  <si>
    <t>pH</t>
  </si>
  <si>
    <t>EC</t>
  </si>
  <si>
    <t>NO3</t>
  </si>
  <si>
    <t>NO2</t>
  </si>
  <si>
    <t>NH4</t>
  </si>
  <si>
    <t>Cl</t>
  </si>
  <si>
    <t>SO4</t>
  </si>
  <si>
    <t>HCO3</t>
  </si>
  <si>
    <t>CO3</t>
  </si>
  <si>
    <t>Turbidité</t>
  </si>
  <si>
    <t>Zn</t>
  </si>
  <si>
    <t>Cu</t>
  </si>
  <si>
    <t>Mn</t>
  </si>
  <si>
    <t>Fe</t>
  </si>
  <si>
    <t>B</t>
  </si>
  <si>
    <t>Al</t>
  </si>
  <si>
    <t>As</t>
  </si>
  <si>
    <t>Ni</t>
  </si>
  <si>
    <t>Pb</t>
  </si>
  <si>
    <t>Cd</t>
  </si>
  <si>
    <t>Cr</t>
  </si>
  <si>
    <t>Ba</t>
  </si>
  <si>
    <t>Se</t>
  </si>
  <si>
    <t>F</t>
  </si>
  <si>
    <t>Hg</t>
  </si>
  <si>
    <t>CN</t>
  </si>
  <si>
    <t>Chloroforme</t>
  </si>
  <si>
    <t>Bromoforme</t>
  </si>
  <si>
    <t>Bromodichlorométhane</t>
  </si>
  <si>
    <t>°C</t>
  </si>
  <si>
    <t>ppm</t>
  </si>
  <si>
    <t>Unité pH</t>
  </si>
  <si>
    <t>mS/Cm</t>
  </si>
  <si>
    <t xml:space="preserve"> -/+</t>
  </si>
  <si>
    <t>H2PO4</t>
  </si>
  <si>
    <t>K</t>
  </si>
  <si>
    <t>Na</t>
  </si>
  <si>
    <t>Ca</t>
  </si>
  <si>
    <t>Mg</t>
  </si>
  <si>
    <t>MS</t>
  </si>
  <si>
    <t>NTK</t>
  </si>
  <si>
    <t>PT</t>
  </si>
  <si>
    <t>M.O</t>
  </si>
  <si>
    <t>%</t>
  </si>
  <si>
    <t>mg/kg</t>
  </si>
  <si>
    <t>Humidité</t>
  </si>
  <si>
    <t>CT</t>
  </si>
  <si>
    <t>CA</t>
  </si>
  <si>
    <t>P2O5</t>
  </si>
  <si>
    <t>K2O</t>
  </si>
  <si>
    <t>Na2O</t>
  </si>
  <si>
    <t>CaO</t>
  </si>
  <si>
    <t>MgO</t>
  </si>
  <si>
    <t>Zn EDTA</t>
  </si>
  <si>
    <t>Cu EDTA</t>
  </si>
  <si>
    <t>Mn EDTA</t>
  </si>
  <si>
    <t>Fe EDTA</t>
  </si>
  <si>
    <t>NT</t>
  </si>
  <si>
    <t>C.O</t>
  </si>
  <si>
    <t>Agrile</t>
  </si>
  <si>
    <t>LF</t>
  </si>
  <si>
    <t>LG</t>
  </si>
  <si>
    <t>SF</t>
  </si>
  <si>
    <t>SG</t>
  </si>
  <si>
    <t>CEC</t>
  </si>
  <si>
    <t>pH KCl</t>
  </si>
  <si>
    <t>N-NO3</t>
  </si>
  <si>
    <t>N-NH4</t>
  </si>
  <si>
    <t>‰</t>
  </si>
  <si>
    <t>g/kg</t>
  </si>
  <si>
    <t>Cmol/kg</t>
  </si>
  <si>
    <t>Granulométrie 5 fractions</t>
  </si>
  <si>
    <t>Granulométrie 3 fractions</t>
  </si>
  <si>
    <t>Limon</t>
  </si>
  <si>
    <t>Sable</t>
  </si>
  <si>
    <t>Co</t>
  </si>
  <si>
    <t>Mo</t>
  </si>
  <si>
    <t>Odeur</t>
  </si>
  <si>
    <t>Saveur</t>
  </si>
  <si>
    <t>Couleur réelle</t>
  </si>
  <si>
    <t>Potentiel hydrogène</t>
  </si>
  <si>
    <t>Conductivité électrique</t>
  </si>
  <si>
    <t>Oxygène dissous</t>
  </si>
  <si>
    <t xml:space="preserve">Nitrates </t>
  </si>
  <si>
    <t xml:space="preserve">Nitrites </t>
  </si>
  <si>
    <t xml:space="preserve">Ammonium </t>
  </si>
  <si>
    <t xml:space="preserve">Sulfates </t>
  </si>
  <si>
    <t xml:space="preserve">Chlorure </t>
  </si>
  <si>
    <t xml:space="preserve">Magnésium </t>
  </si>
  <si>
    <t xml:space="preserve">Calcium </t>
  </si>
  <si>
    <t xml:space="preserve">Dureté </t>
  </si>
  <si>
    <t>Alcalinité</t>
  </si>
  <si>
    <t>Oxydabilité au KMnO4</t>
  </si>
  <si>
    <t xml:space="preserve">Zin </t>
  </si>
  <si>
    <t xml:space="preserve">Cuivre </t>
  </si>
  <si>
    <t xml:space="preserve">Manganèse </t>
  </si>
  <si>
    <t xml:space="preserve">Fer </t>
  </si>
  <si>
    <t>Arsenic</t>
  </si>
  <si>
    <t>Baryum</t>
  </si>
  <si>
    <t>Cadmium</t>
  </si>
  <si>
    <t>Cyanures</t>
  </si>
  <si>
    <t>Chrome</t>
  </si>
  <si>
    <t>Fulorures</t>
  </si>
  <si>
    <t>Mercure</t>
  </si>
  <si>
    <t>Plomb</t>
  </si>
  <si>
    <t>Sélénium</t>
  </si>
  <si>
    <t>Bore</t>
  </si>
  <si>
    <t>Nickel</t>
  </si>
  <si>
    <t>Aluminium</t>
  </si>
  <si>
    <t>Dibromochlorométhane</t>
  </si>
  <si>
    <t>-20,65/+19,79  (EC  19)</t>
  </si>
  <si>
    <t>5,0</t>
  </si>
  <si>
    <t>-18,39/+18,93  (EC  18)</t>
  </si>
  <si>
    <t>-13,80/+14,31  (EC  14,6)</t>
  </si>
  <si>
    <t>-13,18/+13,91  (EC  14,2)</t>
  </si>
  <si>
    <t>-4,63/+5,32  (EC  5,5)</t>
  </si>
  <si>
    <t>&lt;1,71</t>
  </si>
  <si>
    <t>&lt;0,5</t>
  </si>
  <si>
    <t>0.12</t>
  </si>
  <si>
    <t>POIDS</t>
  </si>
  <si>
    <t>g</t>
  </si>
  <si>
    <t>Cl2</t>
  </si>
  <si>
    <t>Oxydabilité</t>
  </si>
  <si>
    <t>Dibrochlorométhane</t>
  </si>
  <si>
    <t>NTU</t>
  </si>
  <si>
    <t>ppb</t>
  </si>
  <si>
    <t>&lt;2,24</t>
  </si>
  <si>
    <t xml:space="preserve">Base de données 2 (BD2) - ORG </t>
  </si>
  <si>
    <t>LAB03F135-Va</t>
  </si>
  <si>
    <t>Base de données 2 (BD2) - VEG</t>
  </si>
  <si>
    <t>LAB03F134-Va</t>
  </si>
  <si>
    <t>Base de données 2 (BD2) - SOL</t>
  </si>
  <si>
    <t>LAB03F109-Va</t>
  </si>
  <si>
    <t>Base de données 2 (BD2) - EAUX (IRRIGATION)</t>
  </si>
  <si>
    <t>Base de données 2 (BD2) - EAUX (POTABILITE)</t>
  </si>
  <si>
    <t>LAB03F137-Va</t>
  </si>
  <si>
    <t>6,0</t>
  </si>
  <si>
    <t>g.kg</t>
  </si>
  <si>
    <t>Nt</t>
  </si>
  <si>
    <t>-16,64/+17,64  (EC  17)</t>
  </si>
  <si>
    <t>7,34</t>
  </si>
  <si>
    <t>-15,14/+17,74  (EC  16,8)</t>
  </si>
  <si>
    <t>7,13</t>
  </si>
  <si>
    <t>-28,25/+28,18  (EC  28,8)</t>
  </si>
  <si>
    <t>-26,23/+27,39  (EC  26,7)</t>
  </si>
  <si>
    <t>-25,17/+26,04  (EC  25,9)</t>
  </si>
  <si>
    <t>7,42</t>
  </si>
  <si>
    <t>7,74</t>
  </si>
  <si>
    <t>7,89</t>
  </si>
  <si>
    <t>0,,03</t>
  </si>
  <si>
    <t>-19,20/+21,18  (EC  20,7)</t>
  </si>
  <si>
    <t>-5,53/+6,83  (EC  5,8)</t>
  </si>
  <si>
    <t>-13,06/+13,40  (EC  12,5)</t>
  </si>
  <si>
    <t>-0,32/+0,20  (EC  0,2)</t>
  </si>
  <si>
    <t>-1,06/+1,04  (EC  0,9)</t>
  </si>
  <si>
    <t>-8,81/+10,27  (EC  9,25)</t>
  </si>
  <si>
    <t>-11,37/+12,01  (EC  11)</t>
  </si>
  <si>
    <t>-35,27/+37,20  (EC  36,2)</t>
  </si>
  <si>
    <t>-17,99/+20,17  (EC  18,75)</t>
  </si>
  <si>
    <t>-1,08/+1,25  (EC  1,2)</t>
  </si>
  <si>
    <t>-192,16/+186,33  (EC  186)</t>
  </si>
  <si>
    <t>-26,47/+28,96  (EC  27,4)</t>
  </si>
  <si>
    <t>-5,39/+6,14  (EC  5)</t>
  </si>
  <si>
    <t>-39,76/+38,80  (EC  38,2)</t>
  </si>
  <si>
    <t>-34,96/+35,57  (EC  34)</t>
  </si>
  <si>
    <t>-17,79/+16,70  (EC  16)</t>
  </si>
  <si>
    <t>-19,96/+18,15  (EC  17)</t>
  </si>
  <si>
    <t>Abs</t>
  </si>
  <si>
    <t>-34,06/+37,79  (EC  36)</t>
  </si>
  <si>
    <t>6,97</t>
  </si>
  <si>
    <t>-61,63/+63,09  (EC  62,8)</t>
  </si>
  <si>
    <t>6,92</t>
  </si>
  <si>
    <t>-8,30/+8,23  (EC  8,3)</t>
  </si>
  <si>
    <t>7,16</t>
  </si>
  <si>
    <t>-23,84/+25,60  (EC  24,2)</t>
  </si>
  <si>
    <t>6,07</t>
  </si>
  <si>
    <t>-31,07/+33,03  (EC  32,2)</t>
  </si>
  <si>
    <t>6,33</t>
  </si>
  <si>
    <t>-21,34/+19,26  (EC  21,3)</t>
  </si>
  <si>
    <t>6,08</t>
  </si>
  <si>
    <t>-34,15/+34,02  (EC  36,9)</t>
  </si>
  <si>
    <t>6,80</t>
  </si>
  <si>
    <t>0,0,5</t>
  </si>
  <si>
    <t>pH Kcl</t>
  </si>
  <si>
    <t>P</t>
  </si>
  <si>
    <t>mg/L</t>
  </si>
  <si>
    <t>mg/l</t>
  </si>
  <si>
    <t>-20,66/+18,97  (EC  19,3)</t>
  </si>
  <si>
    <t>7,37</t>
  </si>
  <si>
    <t>-10,68/+10,53  (EC  9,91)</t>
  </si>
  <si>
    <t>7,51</t>
  </si>
  <si>
    <t>-15,39/+14,94  (EC  14,9)</t>
  </si>
  <si>
    <t>7,96</t>
  </si>
  <si>
    <t>-11,95/+11,71  (EC  11,46)</t>
  </si>
  <si>
    <t>7,47</t>
  </si>
  <si>
    <t>-6,84/+6,89  (EC  6,34)</t>
  </si>
  <si>
    <t>8,01</t>
  </si>
  <si>
    <t>-21,36/+19,81  (EC  20,4)</t>
  </si>
  <si>
    <t>7,52</t>
  </si>
  <si>
    <t xml:space="preserve">903226 BIPEA </t>
  </si>
  <si>
    <t>-8,33/+8,34  (EC  7,61)</t>
  </si>
  <si>
    <t>6,84</t>
  </si>
  <si>
    <t>-8,37/+8,31  (EC  7,96)</t>
  </si>
  <si>
    <t>7,17</t>
  </si>
  <si>
    <t>-86,81/+86,68  (EC  87,4)</t>
  </si>
  <si>
    <t>7,1</t>
  </si>
  <si>
    <t>-87,23/+88,56  (EC  88,6)</t>
  </si>
  <si>
    <t>7,09</t>
  </si>
  <si>
    <t>-8,90/+8,72  (EC  7,52)</t>
  </si>
  <si>
    <t>7,32</t>
  </si>
  <si>
    <t>-9,64/+9,80  (EC  8,89)</t>
  </si>
  <si>
    <t>-17,86/+17,42  (EC  17,3)</t>
  </si>
  <si>
    <t>7,38</t>
  </si>
  <si>
    <t>-20,82/+20,08  (EC  20,1)</t>
  </si>
  <si>
    <t>-12,54/+12,38  (EC  11,1)</t>
  </si>
  <si>
    <t>7,48</t>
  </si>
  <si>
    <t>-10,69/+10,60  (EC  9,26)</t>
  </si>
  <si>
    <t>7,43</t>
  </si>
  <si>
    <t>-40,66/+39,14  (EC  41,3)</t>
  </si>
  <si>
    <t>7,36</t>
  </si>
  <si>
    <t>-6,31/+5,94  (EC  5,55)</t>
  </si>
  <si>
    <t>7,7</t>
  </si>
  <si>
    <t>-28,35/+29,88  (EC  28,4)</t>
  </si>
  <si>
    <t>7,08</t>
  </si>
  <si>
    <t>-9,03/+9,58  (EC  8,2)</t>
  </si>
  <si>
    <t>7,18</t>
  </si>
  <si>
    <t>-12,85/+13,35  (EC  11,3)</t>
  </si>
  <si>
    <t>-23,20/+21,53  (EC  22)</t>
  </si>
  <si>
    <t>8,15</t>
  </si>
  <si>
    <t>-11,99/+11,85  (EC  10,3)</t>
  </si>
  <si>
    <t>7,56</t>
  </si>
  <si>
    <t>-11,06/+11,18  (EC  9,83)</t>
  </si>
  <si>
    <t>7,5</t>
  </si>
  <si>
    <t>-61,17/+60,99  (EC  62,3)</t>
  </si>
  <si>
    <t>7,22</t>
  </si>
  <si>
    <t>-17,21/+17,56  (EC  18,1)</t>
  </si>
  <si>
    <t>7,24</t>
  </si>
  <si>
    <t>-9,81/+10,52  (EC  9,15)</t>
  </si>
  <si>
    <t>-8,87/+8,35  (EC  7,82)</t>
  </si>
  <si>
    <t>7,44</t>
  </si>
  <si>
    <t>-7,87/+8,27  (EC  8,16)</t>
  </si>
  <si>
    <t>7,75</t>
  </si>
  <si>
    <t>-9,96/+8,68  (EC  8,49)</t>
  </si>
  <si>
    <t>7,39</t>
  </si>
  <si>
    <t>-42,70/+43,12  (EC  42)</t>
  </si>
  <si>
    <t>-27,19/+27,00  (EC  27,5)</t>
  </si>
  <si>
    <t>-13,77/+13,92  (EC  14,2)</t>
  </si>
  <si>
    <t>8,61</t>
  </si>
  <si>
    <t>-12,70/+11,81  (EC  12)</t>
  </si>
  <si>
    <t>7,64</t>
  </si>
  <si>
    <t>-8,16/+8,13  (EC  7,42)</t>
  </si>
  <si>
    <t>-40,73/+38,88  (EC  40,2)</t>
  </si>
  <si>
    <t>-6,61/+5,80  (EC  5,14)</t>
  </si>
  <si>
    <t>8,06</t>
  </si>
  <si>
    <t>-6,58/+7,44  (EC  6,16)</t>
  </si>
  <si>
    <t>7,33</t>
  </si>
  <si>
    <t>-6,64/+7,42  (EC  6,22)</t>
  </si>
  <si>
    <t>-12,00/+7,49  (EC  6,11)</t>
  </si>
  <si>
    <t>7,49</t>
  </si>
  <si>
    <t>-106,07/+84,78  (EC  77,8)</t>
  </si>
  <si>
    <t>-20,08/+21,02  (EC  20,3)</t>
  </si>
  <si>
    <t>-12,48/+12,62  (EC  13,03)</t>
  </si>
  <si>
    <t>7,81</t>
  </si>
  <si>
    <t>-62,25/+62,69  (EC  63,1)</t>
  </si>
  <si>
    <t>7,28</t>
  </si>
  <si>
    <t>-26,55/+26,67  (EC  27,8)</t>
  </si>
  <si>
    <t>-4,27/+4,57  (EC  4,18)</t>
  </si>
  <si>
    <t>7,86</t>
  </si>
  <si>
    <t>-6,09/+6,32  (EC  6,3)</t>
  </si>
  <si>
    <t>7,77</t>
  </si>
  <si>
    <t>-6,23/+7,18  (EC  5,87)</t>
  </si>
  <si>
    <t>0,0100,66</t>
  </si>
  <si>
    <t>3,0,01005</t>
  </si>
  <si>
    <t>0,0100,1</t>
  </si>
  <si>
    <t>9,0,01001</t>
  </si>
  <si>
    <t>0,0100,22</t>
  </si>
  <si>
    <t>0,0100,7687</t>
  </si>
  <si>
    <t>56,420,01006</t>
  </si>
  <si>
    <t>26,30,010015</t>
  </si>
  <si>
    <t>80,01000,01000,01000,01001</t>
  </si>
  <si>
    <t>0,0100,14</t>
  </si>
  <si>
    <t>270,0100,47</t>
  </si>
  <si>
    <t>90,0100,3</t>
  </si>
  <si>
    <t>114,0,01007</t>
  </si>
  <si>
    <t>80,0100,52</t>
  </si>
  <si>
    <t>32,0,01008</t>
  </si>
  <si>
    <t>0,0100,0,01009</t>
  </si>
  <si>
    <t>0,0100,0,01000,01001</t>
  </si>
  <si>
    <t>0,0100,0,01001</t>
  </si>
  <si>
    <t>80,01000,01000,01000,01003</t>
  </si>
  <si>
    <t>0,0100,88</t>
  </si>
  <si>
    <t>0,0100,13</t>
  </si>
  <si>
    <t>150,0100,9</t>
  </si>
  <si>
    <t>2,0,01004</t>
  </si>
  <si>
    <t>0,0100,0,01002</t>
  </si>
  <si>
    <t>0,0100,0,01007</t>
  </si>
  <si>
    <t>80,01000,01000,01000,01004</t>
  </si>
  <si>
    <t>0,0100,82</t>
  </si>
  <si>
    <t>33,0,01008</t>
  </si>
  <si>
    <t>17,0,01005</t>
  </si>
  <si>
    <t>0,0100,25</t>
  </si>
  <si>
    <t>80,01000,01000,01000,01005</t>
  </si>
  <si>
    <t>80,0100,0,010010,01000,01000,0100,0,010010,01000,01000,0100,0,010010,01000,01000,0100,0,010010,01000,01000,0100,0,010010,01000,0100</t>
  </si>
  <si>
    <t>x</t>
  </si>
  <si>
    <t>-14,11/+14,97  (EC  13,1)</t>
  </si>
  <si>
    <t>7,46</t>
  </si>
  <si>
    <t>-19,78/+18,51  (EC  18,5)</t>
  </si>
  <si>
    <t>-9,42/+9,51  (EC  9,5)</t>
  </si>
  <si>
    <t>-275,48/+273,40  (EC  271,6)</t>
  </si>
  <si>
    <t>6,83</t>
  </si>
  <si>
    <t>-21,83/+22,20  (EC  20,7)</t>
  </si>
  <si>
    <t>7,83</t>
  </si>
  <si>
    <t>-11,76/+11,74  (EC  11,45)</t>
  </si>
  <si>
    <t>-9,86/+10,29  (EC  8,92)</t>
  </si>
  <si>
    <t>7,67</t>
  </si>
  <si>
    <t>-5,25/+5,49  (EC  4,89)</t>
  </si>
  <si>
    <t>8,29</t>
  </si>
  <si>
    <t>-9,13/+9,36  (EC  8,24)</t>
  </si>
  <si>
    <t>8,09</t>
  </si>
  <si>
    <t>-7,84/+8,10  (EC  7,28)</t>
  </si>
  <si>
    <t>8,2</t>
  </si>
  <si>
    <t>-11,46/+12,18  (EC  11,5)</t>
  </si>
  <si>
    <t>7,92</t>
  </si>
  <si>
    <t>-7,05/+7,50  (EC  6,39)</t>
  </si>
  <si>
    <t>7,57</t>
  </si>
  <si>
    <t>-7,74/+7,94  (EC  6,87)</t>
  </si>
  <si>
    <t>8,22</t>
  </si>
  <si>
    <t>-8,88/+8,95  (EC  7,78)</t>
  </si>
  <si>
    <t>8,39</t>
  </si>
  <si>
    <t>-7,71/+7,81  (EC  6,86)</t>
  </si>
  <si>
    <t>8,13</t>
  </si>
  <si>
    <t>-7,53/+7,97  (EC  6,74)</t>
  </si>
  <si>
    <t>7,99</t>
  </si>
  <si>
    <t>-9,67/+9,98  (EC  8,54)</t>
  </si>
  <si>
    <t>8,17</t>
  </si>
  <si>
    <t>-8,52/+9,14  (EC  8,15)</t>
  </si>
  <si>
    <t>8,28</t>
  </si>
  <si>
    <t>-9,01/+9,09  (EC  7,89)</t>
  </si>
  <si>
    <t>-8,75/+8,92  (EC  7,73)</t>
  </si>
  <si>
    <t>-8,45/+8,54  (EC  7,54)</t>
  </si>
  <si>
    <t>8,02</t>
  </si>
  <si>
    <t>-9,35/+11,88  (EC  10,2)</t>
  </si>
  <si>
    <t>7,93</t>
  </si>
  <si>
    <t>-11,33/+14,74  (EC  12,4)</t>
  </si>
  <si>
    <t>7,98</t>
  </si>
  <si>
    <t>-7,55/+9,29  (EC  8,49)</t>
  </si>
  <si>
    <t>7,8</t>
  </si>
  <si>
    <t>-37,25/+34,45  (EC  36)</t>
  </si>
  <si>
    <t>-18,74/+16,62  (EC  18,2)</t>
  </si>
  <si>
    <t>-14,05/+15,97  (EC  15,7)</t>
  </si>
  <si>
    <t>7,59</t>
  </si>
  <si>
    <t>-28,11/+25,22  (EC  27,6)</t>
  </si>
  <si>
    <t>7,87</t>
  </si>
  <si>
    <t>-11,19/+10,77  (EC  11)</t>
  </si>
  <si>
    <t>7,85</t>
  </si>
  <si>
    <t>-13,33/+11,82  (EC  12,7)</t>
  </si>
  <si>
    <t>8,11</t>
  </si>
  <si>
    <t>-22,47/+23,65  (EC  23,8)</t>
  </si>
  <si>
    <t>-11,39/+10,99  (EC  10,5)</t>
  </si>
  <si>
    <t>7,79</t>
  </si>
  <si>
    <t>-13,13/+11,84  (EC  12,3)</t>
  </si>
  <si>
    <t>7,82</t>
  </si>
  <si>
    <t>-5,41/+5,15  (EC  5,08)</t>
  </si>
  <si>
    <t>8,12</t>
  </si>
  <si>
    <t>Sodium</t>
  </si>
  <si>
    <t>-6,42/+6,29  (EC  5,19)</t>
  </si>
  <si>
    <t>8,31</t>
  </si>
  <si>
    <t>-15,92/+17,53  (EC  17,1)</t>
  </si>
  <si>
    <t>7,78</t>
  </si>
  <si>
    <t>-14,91/+16,23  (EC  16,4)</t>
  </si>
  <si>
    <t>-15,11/+15,94  (EC  16,3)</t>
  </si>
  <si>
    <t>-17,66/+17,57  (EC  17)</t>
  </si>
  <si>
    <t>7,61</t>
  </si>
  <si>
    <t>-13,75/+13,50  (EC  13,1)</t>
  </si>
  <si>
    <t>-25,64/+28,10  (EC  32,1)</t>
  </si>
  <si>
    <t>7,35</t>
  </si>
  <si>
    <t>-10,75/+15,53  (EC  19,1)</t>
  </si>
  <si>
    <t>6,71</t>
  </si>
  <si>
    <t>-27,94/+27,01  (EC  30,7)</t>
  </si>
  <si>
    <t>-8,80/+8,19  (EC  9,3)</t>
  </si>
  <si>
    <t>-10,59/+10,61  (EC  9,75)</t>
  </si>
  <si>
    <t>7,88</t>
  </si>
  <si>
    <t>-41,78/+40,72  (EC  42,1)</t>
  </si>
  <si>
    <t>-6,62/+6,36  (EC  7,26)</t>
  </si>
  <si>
    <t>-22,95/+19,21  (EC  22,8)</t>
  </si>
  <si>
    <t>-12,26/+12,09  (EC  11,2)</t>
  </si>
  <si>
    <t>-19,22/+18,62  (EC  20)</t>
  </si>
  <si>
    <t>-6,02/+6,18  (EC  6,3)</t>
  </si>
  <si>
    <t>7,45</t>
  </si>
  <si>
    <t>-15,75/+15,15  (EC  15,3)</t>
  </si>
  <si>
    <t>7,65</t>
  </si>
  <si>
    <t>-6,71/+7,05  (EC  6,8)</t>
  </si>
  <si>
    <t>7,26</t>
  </si>
  <si>
    <t>DCO</t>
  </si>
  <si>
    <t>DBO5</t>
  </si>
  <si>
    <t>COT</t>
  </si>
  <si>
    <t>MES</t>
  </si>
  <si>
    <t>KRF</t>
  </si>
  <si>
    <t>-70,10/+71,63  (EC  71,1)</t>
  </si>
  <si>
    <t>-11,25/+11,72  (EC  10,6)</t>
  </si>
  <si>
    <t>-93,47/+92,61  (EC  93,2)</t>
  </si>
  <si>
    <t>6,9</t>
  </si>
  <si>
    <t>-8,79/+8,48  (EC  7,7)</t>
  </si>
  <si>
    <t>7,62</t>
  </si>
  <si>
    <t>-14,14/+13,12  (EC  14,8)</t>
  </si>
  <si>
    <t>-14,93/+13,88  (EC  15,3)</t>
  </si>
  <si>
    <t>7,6</t>
  </si>
  <si>
    <t>-8,78/+8,22  (EC  7,72)</t>
  </si>
  <si>
    <t>-15,62/+15,25  (EC  14)</t>
  </si>
  <si>
    <t>7,14</t>
  </si>
  <si>
    <t>-49,65/+48,59  (EC  48,6)</t>
  </si>
  <si>
    <t>-34,87/+32,40  (EC  33,6)</t>
  </si>
  <si>
    <t>7,4</t>
  </si>
  <si>
    <t>-52,83/+54,82  (EC  50,1)</t>
  </si>
  <si>
    <t>-79,31/+70,67  (EC  74,8)</t>
  </si>
  <si>
    <t>0,48</t>
  </si>
  <si>
    <t>-44,33/+41,21  (EC  40,5)</t>
  </si>
  <si>
    <t>-12,31/+12,46  (EC  10,5)</t>
  </si>
  <si>
    <t>7,71</t>
  </si>
  <si>
    <t>-5,89/+5,69  (EC  5,6)</t>
  </si>
  <si>
    <t>-4,06/+4,16  (EC  3,5)</t>
  </si>
  <si>
    <t>7,73</t>
  </si>
  <si>
    <t>-10,00/+9,65  (EC  8)</t>
  </si>
  <si>
    <t>-2,30/+2,10  (EC  2,3)</t>
  </si>
  <si>
    <t>6,56</t>
  </si>
  <si>
    <t>47,,30</t>
  </si>
  <si>
    <t>7,95</t>
  </si>
  <si>
    <t>7,3</t>
  </si>
  <si>
    <t>7,2</t>
  </si>
  <si>
    <t>6,18</t>
  </si>
  <si>
    <t>4,91</t>
  </si>
  <si>
    <t>8,37</t>
  </si>
  <si>
    <t>8,05</t>
  </si>
  <si>
    <t>8,03</t>
  </si>
  <si>
    <t>-11,85/+12,00  (EC  11,2)</t>
  </si>
  <si>
    <t>-53,12/+58,65  (EC  52,4)</t>
  </si>
  <si>
    <t>-1,95/+1,86  (EC  1,54)</t>
  </si>
  <si>
    <t>6,85</t>
  </si>
  <si>
    <t>-23,11/+24,23  (EC  23,2)</t>
  </si>
  <si>
    <t>7,12</t>
  </si>
  <si>
    <t>-5,47/+6,45  (EC  5,67)</t>
  </si>
  <si>
    <t>-21,50/+19,97  (EC  20,8)</t>
  </si>
  <si>
    <t>8,07</t>
  </si>
  <si>
    <t>-30,73/+28,37  (EC  30,8)</t>
  </si>
  <si>
    <t>7,54</t>
  </si>
  <si>
    <t>7,25</t>
  </si>
  <si>
    <t>-48,34/+51,64  (EC  54,1)</t>
  </si>
  <si>
    <t>-53,11/+58,37  (EC  64,8)</t>
  </si>
  <si>
    <t>-6,10/+5,85  (EC  5,36)</t>
  </si>
  <si>
    <t>ST</t>
  </si>
  <si>
    <t>-4,08/+4,21  (EC  3,33)</t>
  </si>
  <si>
    <t>-48,49/+53,74  (EC  57,6)</t>
  </si>
  <si>
    <t>-6,86/+6,82  (EC  6,15)</t>
  </si>
  <si>
    <t>-7,89/+7,95  (EC  7,15)</t>
  </si>
  <si>
    <t>-8,10/+8,22  (EC  7,34)</t>
  </si>
  <si>
    <t>-32,79/+40,14  (EC  34)</t>
  </si>
  <si>
    <t>-6,39/+6,57  (EC  6)</t>
  </si>
  <si>
    <t>-16,77/+16,96  (EC  17,8)</t>
  </si>
  <si>
    <t>Reéidu sec</t>
  </si>
  <si>
    <t xml:space="preserve">à 105°C </t>
  </si>
  <si>
    <t>ISMO</t>
  </si>
  <si>
    <t xml:space="preserve">ST </t>
  </si>
  <si>
    <t>0,02</t>
  </si>
  <si>
    <t>0,13</t>
  </si>
  <si>
    <t>0,01</t>
  </si>
  <si>
    <t>0,00</t>
  </si>
  <si>
    <t>0,09</t>
  </si>
  <si>
    <t>0,38</t>
  </si>
  <si>
    <t>68,33</t>
  </si>
  <si>
    <t>0,17</t>
  </si>
  <si>
    <t>mercure (voir potabilité)</t>
  </si>
  <si>
    <t>R&amp;D</t>
  </si>
  <si>
    <t>Etat</t>
  </si>
  <si>
    <t>p</t>
  </si>
  <si>
    <t>a</t>
  </si>
  <si>
    <t>MO</t>
  </si>
  <si>
    <t>-</t>
  </si>
  <si>
    <t>A</t>
  </si>
  <si>
    <t xml:space="preserve">  </t>
  </si>
  <si>
    <t>6,35</t>
  </si>
  <si>
    <t>4,58</t>
  </si>
  <si>
    <t>2,02</t>
  </si>
  <si>
    <t>9,22</t>
  </si>
  <si>
    <t>397,92</t>
  </si>
  <si>
    <t>227,27</t>
  </si>
  <si>
    <t>GRANULO</t>
  </si>
  <si>
    <t>MS%</t>
  </si>
  <si>
    <t>7,10</t>
  </si>
  <si>
    <t>Annulé</t>
  </si>
  <si>
    <t>ZR</t>
  </si>
  <si>
    <t>0,21</t>
  </si>
  <si>
    <t>0,03</t>
  </si>
  <si>
    <t xml:space="preserve">a </t>
  </si>
  <si>
    <t>bipea</t>
  </si>
  <si>
    <t xml:space="preserve">904810 sol </t>
  </si>
  <si>
    <t>0,06</t>
  </si>
  <si>
    <t>0,04</t>
  </si>
  <si>
    <t>envoyé</t>
  </si>
  <si>
    <t>Z</t>
  </si>
  <si>
    <t>5,11</t>
  </si>
  <si>
    <t>0,22</t>
  </si>
  <si>
    <t>0,87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</si>
  <si>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</si>
  <si>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</si>
  <si>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</si>
  <si>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</si>
  <si>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</si>
  <si>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</si>
  <si>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</si>
  <si>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</si>
  <si>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</si>
  <si>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</si>
  <si>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</si>
  <si>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</si>
  <si>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</si>
  <si>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</si>
  <si>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</si>
  <si>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</si>
  <si>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S1</t>
  </si>
  <si>
    <t>S2</t>
  </si>
  <si>
    <t>S3</t>
  </si>
  <si>
    <t>S4</t>
  </si>
  <si>
    <t>S5</t>
  </si>
  <si>
    <t>S6</t>
  </si>
  <si>
    <t>S</t>
  </si>
  <si>
    <t>BIPEA</t>
  </si>
  <si>
    <t>Potassium</t>
  </si>
  <si>
    <t>P1</t>
  </si>
  <si>
    <t>P2</t>
  </si>
  <si>
    <t>0,19</t>
  </si>
  <si>
    <t>0,23</t>
  </si>
  <si>
    <t>LAB03F136-Va</t>
  </si>
  <si>
    <t>P4</t>
  </si>
  <si>
    <t>0,41</t>
  </si>
  <si>
    <t>1,07</t>
  </si>
  <si>
    <t>0,33</t>
  </si>
  <si>
    <t>0,05</t>
  </si>
  <si>
    <t>0,24</t>
  </si>
  <si>
    <t xml:space="preserve">PATHOGENE </t>
  </si>
  <si>
    <t>LCA</t>
  </si>
  <si>
    <t>1,01</t>
  </si>
  <si>
    <t>1,33</t>
  </si>
  <si>
    <t>0,62</t>
  </si>
  <si>
    <t>0,55</t>
  </si>
  <si>
    <t>2,65</t>
  </si>
  <si>
    <t>S7</t>
  </si>
  <si>
    <t>S8</t>
  </si>
  <si>
    <t>S9</t>
  </si>
  <si>
    <t>S10</t>
  </si>
  <si>
    <t>S11</t>
  </si>
  <si>
    <t>S12</t>
  </si>
  <si>
    <t>S13</t>
  </si>
  <si>
    <t>203359 BIPEA</t>
  </si>
  <si>
    <t>OK</t>
  </si>
  <si>
    <t>6,68</t>
  </si>
  <si>
    <t>-27,17/+28,69  (EC  27,1)</t>
  </si>
  <si>
    <t>-55,16/+57,58  (EC  56,8)</t>
  </si>
  <si>
    <t>-69,43/+71,41  (EC  70,4)</t>
  </si>
  <si>
    <t>-55,39/+55,07  (EC  54,8)</t>
  </si>
  <si>
    <t>-9,14/+10,00  (EC  9,3)</t>
  </si>
  <si>
    <t xml:space="preserve">203511 BIPEA </t>
  </si>
  <si>
    <t>2,61</t>
  </si>
  <si>
    <t>27,28</t>
  </si>
  <si>
    <t>Cations et oligo en brut</t>
  </si>
  <si>
    <t>0,31</t>
  </si>
  <si>
    <t>0,07</t>
  </si>
  <si>
    <t>0,10</t>
  </si>
  <si>
    <t>0,08</t>
  </si>
  <si>
    <t>203658 BIPEA</t>
  </si>
  <si>
    <t>209222 num zap</t>
  </si>
  <si>
    <t>5,71</t>
  </si>
  <si>
    <t>3,05</t>
  </si>
  <si>
    <t>3,96</t>
  </si>
  <si>
    <t>2,37</t>
  </si>
  <si>
    <t>7,11</t>
  </si>
  <si>
    <t>4,02</t>
  </si>
  <si>
    <t>9,17</t>
  </si>
  <si>
    <t>8,00</t>
  </si>
  <si>
    <t>47,74</t>
  </si>
  <si>
    <t>2,69</t>
  </si>
  <si>
    <t>0,15</t>
  </si>
  <si>
    <t>0,11</t>
  </si>
  <si>
    <t>86,12</t>
  </si>
  <si>
    <t>259,93</t>
  </si>
  <si>
    <t>173,07</t>
  </si>
  <si>
    <t>71,55</t>
  </si>
  <si>
    <t>142,51</t>
  </si>
  <si>
    <t>68,49</t>
  </si>
  <si>
    <t>70,46</t>
  </si>
  <si>
    <t>BIPEA EAU</t>
  </si>
  <si>
    <t>1,05</t>
  </si>
  <si>
    <t>1,26</t>
  </si>
  <si>
    <t>Bilan</t>
  </si>
  <si>
    <t>4,69</t>
  </si>
  <si>
    <t>2,36</t>
  </si>
  <si>
    <t>1,24</t>
  </si>
  <si>
    <t>0,59</t>
  </si>
  <si>
    <t>5,27</t>
  </si>
  <si>
    <t>2,43</t>
  </si>
  <si>
    <t>Ca g/kg</t>
  </si>
  <si>
    <t>K g/kg</t>
  </si>
  <si>
    <t>Mg g/kg</t>
  </si>
  <si>
    <t>Na g/kg</t>
  </si>
  <si>
    <t>ech</t>
  </si>
  <si>
    <t>B mg/Kg</t>
  </si>
  <si>
    <t>Ca g/Kg</t>
  </si>
  <si>
    <t>Cu mg/Kg</t>
  </si>
  <si>
    <t>Fe mg/Kg</t>
  </si>
  <si>
    <t>Mn mg/Kg</t>
  </si>
  <si>
    <t>Na mg/Kg</t>
  </si>
  <si>
    <t>P g/kg</t>
  </si>
  <si>
    <t>Zn mg/Kg</t>
  </si>
  <si>
    <t>4,80</t>
  </si>
  <si>
    <t>50,21</t>
  </si>
  <si>
    <t>2,21</t>
  </si>
  <si>
    <t xml:space="preserve">B </t>
  </si>
  <si>
    <t>Zn DTPA</t>
  </si>
  <si>
    <t>Cu DTPA</t>
  </si>
  <si>
    <t>Mn DTPA</t>
  </si>
  <si>
    <t>Fe DTPA</t>
  </si>
  <si>
    <t>Jadida GEO 1</t>
  </si>
  <si>
    <t>Jadida GEO 2</t>
  </si>
  <si>
    <t>Jadida GEO 3</t>
  </si>
  <si>
    <t>Jadida GEO 4</t>
  </si>
  <si>
    <t>M/V</t>
  </si>
  <si>
    <t>G/L</t>
  </si>
  <si>
    <t>Refus</t>
  </si>
  <si>
    <t>100067</t>
  </si>
  <si>
    <t>100068</t>
  </si>
  <si>
    <t>100069</t>
  </si>
  <si>
    <t>100070</t>
  </si>
  <si>
    <t>100071</t>
  </si>
  <si>
    <t>106080 *5</t>
  </si>
  <si>
    <t>106081 *5</t>
  </si>
  <si>
    <t>106082 *5</t>
  </si>
  <si>
    <t>106083 *5</t>
  </si>
  <si>
    <t>106084 *5</t>
  </si>
  <si>
    <t>100080</t>
  </si>
  <si>
    <t>100081</t>
  </si>
  <si>
    <t>100082</t>
  </si>
  <si>
    <t>100083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</si>
</sst>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"/>
    <numFmt numFmtId="165" formatCode="0.0"/>
    <numFmt numFmtId="166" formatCode="##,###"/>
    <numFmt numFmtId="167" formatCode="0.000"/>
    <numFmt numFmtId="168" formatCode="##,###.00"/>
    <numFmt numFmtId="169" formatCode="##,###.0"/>
    <numFmt numFmtId="170" formatCode="#,##0.0000"/>
    <numFmt numFmtId="171" formatCode="#,##0.000"/>
  </numFmts>
  <fonts count="14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sz val="12"/>
      <color rgb="FF000000"/>
      <name val="Calibri"/>
      <family val="2"/>
      <scheme val="minor"/>
    </font>
    <font>
      <sz val="11"/>
      <color theme="0"/>
      <name val="Verdana"/>
      <family val="2"/>
    </font>
    <font>
      <sz val="12"/>
      <color theme="0"/>
      <name val="Verdana"/>
      <family val="2"/>
    </font>
    <font>
      <b/>
      <sz val="11"/>
      <color theme="0"/>
      <name val="Verdana"/>
      <family val="2"/>
    </font>
    <font>
      <sz val="12"/>
      <color rgb="FF9C65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B050"/>
      <name val="Calibri"/>
      <family val="2"/>
      <charset val="204"/>
      <scheme val="minor"/>
    </font>
    <font>
      <sz val="14"/>
      <name val="Helvetica"/>
      <family val="2"/>
    </font>
    <font>
      <sz val="14"/>
      <name val="Arial"/>
      <family val="2"/>
    </font>
    <font>
      <sz val="14"/>
      <color indexed="10"/>
      <name val="Helvetica"/>
      <family val="2"/>
    </font>
    <font>
      <sz val="12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theme="1"/>
      <name val="Arial"/>
      <family val="2"/>
    </font>
    <font>
      <sz val="14"/>
      <color indexed="10"/>
      <name val="Arial"/>
      <family val="2"/>
    </font>
    <font>
      <sz val="14"/>
      <color rgb="FFFF0000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color indexed="10"/>
      <name val="Calibri"/>
      <family val="2"/>
    </font>
    <font>
      <sz val="14"/>
      <color rgb="FF00B050"/>
      <name val="Calibri"/>
      <family val="2"/>
    </font>
    <font>
      <sz val="14"/>
      <color theme="1"/>
      <name val="Calibri"/>
      <family val="2"/>
    </font>
    <font>
      <sz val="14"/>
      <name val="Calibri"/>
      <family val="2"/>
    </font>
    <font>
      <b/>
      <sz val="14"/>
      <name val="Calibri"/>
      <family val="2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4"/>
      <color rgb="FFFF0000"/>
      <name val="Calibri"/>
      <family val="2"/>
    </font>
    <font>
      <sz val="14"/>
      <color rgb="FF800000"/>
      <name val="Calibri"/>
      <family val="2"/>
    </font>
    <font>
      <sz val="14"/>
      <color rgb="FF0000FF"/>
      <name val="Calibri"/>
      <family val="2"/>
    </font>
    <font>
      <sz val="14"/>
      <color rgb="FF660066"/>
      <name val="Calibri"/>
      <family val="2"/>
    </font>
    <font>
      <sz val="14"/>
      <color rgb="FF9C6500"/>
      <name val="Calibri"/>
      <family val="2"/>
    </font>
    <font>
      <sz val="14"/>
      <color rgb="FFFFFFFF"/>
      <name val="Calibri"/>
      <family val="2"/>
    </font>
    <font>
      <sz val="14"/>
      <color rgb="FF000000"/>
      <name val="Calibri"/>
      <family val="2"/>
    </font>
    <font>
      <i/>
      <sz val="14"/>
      <color theme="1"/>
      <name val="Calibri"/>
      <family val="2"/>
    </font>
    <font>
      <i/>
      <sz val="14"/>
      <name val="Calibri"/>
      <family val="2"/>
    </font>
    <font>
      <sz val="16"/>
      <name val="Calibri"/>
      <family val="2"/>
    </font>
    <font>
      <sz val="16"/>
      <color rgb="FF00B050"/>
      <name val="Calibri"/>
      <family val="2"/>
    </font>
    <font>
      <sz val="16"/>
      <color theme="0"/>
      <name val="Calibri"/>
      <family val="2"/>
    </font>
    <font>
      <sz val="16"/>
      <color theme="1"/>
      <name val="Calibri"/>
      <family val="2"/>
    </font>
    <font>
      <sz val="16"/>
      <color rgb="FFFF0000"/>
      <name val="Calibri"/>
      <family val="2"/>
    </font>
    <font>
      <sz val="16"/>
      <color rgb="FF3F3F3F"/>
      <name val="Calibri"/>
      <family val="2"/>
    </font>
    <font>
      <sz val="16"/>
      <color rgb="FF000000"/>
      <name val="Calibri"/>
      <family val="2"/>
    </font>
    <font>
      <i/>
      <sz val="16"/>
      <name val="Calibri"/>
      <family val="2"/>
    </font>
    <font>
      <i/>
      <sz val="16"/>
      <color rgb="FF7F7F7F"/>
      <name val="Calibri"/>
      <family val="2"/>
    </font>
    <font>
      <i/>
      <sz val="14"/>
      <color rgb="FFFF0000"/>
      <name val="Calibri"/>
      <family val="2"/>
    </font>
    <font>
      <sz val="12"/>
      <color rgb="FFFF0000"/>
      <name val="Calibri"/>
      <family val="2"/>
    </font>
    <font>
      <sz val="12"/>
      <color rgb="FF000000"/>
      <name val="Verdana"/>
      <family val="2"/>
    </font>
    <font>
      <sz val="12"/>
      <color rgb="FFFF0000"/>
      <name val="Verdana"/>
      <family val="2"/>
    </font>
    <font>
      <sz val="12"/>
      <color rgb="FF000090"/>
      <name val="Verdana"/>
      <family val="2"/>
    </font>
    <font>
      <sz val="14"/>
      <color rgb="FF000090"/>
      <name val="Calibri"/>
      <family val="2"/>
    </font>
    <font>
      <sz val="12"/>
      <color theme="1"/>
      <name val="Calibri"/>
      <family val="2"/>
    </font>
    <font>
      <sz val="12"/>
      <color theme="6" tint="-0.499984740745262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9C6500"/>
      <name val="Calibri"/>
      <family val="2"/>
      <scheme val="minor"/>
    </font>
    <font>
      <sz val="14"/>
      <color rgb="FF008000"/>
      <name val="Calibri"/>
      <family val="2"/>
    </font>
    <font>
      <sz val="12"/>
      <color rgb="FFFFFF00"/>
      <name val="Calibri"/>
      <family val="2"/>
      <scheme val="minor"/>
    </font>
    <font>
      <sz val="12"/>
      <name val="Microsoft Sans Serif"/>
      <family val="2"/>
    </font>
    <font>
      <sz val="12"/>
      <color theme="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5" tint="0.59999389629810485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</font>
    <font>
      <sz val="8.25"/>
      <name val="Microsoft Sans Serif"/>
      <family val="2"/>
    </font>
    <font>
      <sz val="12"/>
      <color theme="7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FF0000"/>
      <name val="Microsoft Sans Serif"/>
      <family val="2"/>
    </font>
    <font>
      <u/>
      <sz val="14"/>
      <color theme="1"/>
      <name val="Calibri"/>
      <family val="2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sz val="14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8"/>
      <color theme="3"/>
      <name val="Cambria"/>
      <family val="2"/>
      <charset val="238"/>
      <scheme val="major"/>
    </font>
    <font>
      <b/>
      <sz val="12"/>
      <color rgb="FF3F3F3F"/>
      <name val="Calibri"/>
      <family val="2"/>
      <charset val="238"/>
      <scheme val="minor"/>
    </font>
    <font>
      <b/>
      <sz val="12"/>
      <name val="Calibri"/>
      <family val="2"/>
      <charset val="204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2"/>
      <color theme="5" tint="-0.24997711111789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name val="Arial"/>
      <family val="2"/>
    </font>
    <font>
      <b/>
      <sz val="12"/>
      <name val="Arial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6">
    <fill>
      <patternFill patternType="none"/>
    </fill>
    <fill>
      <patternFill patternType="gray125"/>
    </fill>
    <fill>
      <patternFill patternType="solid">
        <fgColor rgb="FF3366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C4BD97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5B3D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ECA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D8F594"/>
        <bgColor indexed="64"/>
      </patternFill>
    </fill>
    <fill>
      <patternFill patternType="solid">
        <fgColor rgb="FFFC947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DDFE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theme="0" tint="-0.14999847407452621"/>
      </patternFill>
    </fill>
    <fill>
      <patternFill patternType="solid">
        <fgColor theme="6" tint="0.79998168889431442"/>
        <bgColor theme="0" tint="-0.14999847407452621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3DEE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theme="0" tint="-0.14999847407452621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theme="0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8000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EE9E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711">
    <xf numFmtId="0" fontId="0" fillId="0" borderId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9" fontId="3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1" fillId="4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2" fillId="5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3" fillId="6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1" fillId="10" borderId="4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5" fillId="12" borderId="5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6" fillId="12" borderId="4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13" borderId="6" applyNumberFormat="0" applyFon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9" fillId="14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12" borderId="5" applyNumberFormat="0" applyAlignment="0" applyProtection="0"/>
    <xf numFmtId="0" fontId="128" fillId="0" borderId="0"/>
    <xf numFmtId="9" fontId="129" fillId="0" borderId="0" applyFont="0" applyFill="0" applyBorder="0" applyAlignment="0" applyProtection="0"/>
    <xf numFmtId="0" fontId="130" fillId="0" borderId="0"/>
    <xf numFmtId="9" fontId="128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13" borderId="6" applyNumberFormat="0" applyFont="0" applyAlignment="0" applyProtection="0"/>
    <xf numFmtId="9" fontId="128" fillId="0" borderId="0" applyFont="0" applyFill="0" applyBorder="0" applyAlignment="0" applyProtection="0"/>
    <xf numFmtId="0" fontId="128" fillId="0" borderId="0"/>
    <xf numFmtId="0" fontId="28" fillId="0" borderId="0"/>
    <xf numFmtId="0" fontId="132" fillId="6" borderId="0" applyNumberFormat="0" applyBorder="0" applyAlignment="0" applyProtection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2158">
    <xf numFmtId="0" fontId="0" fillId="0" borderId="0" xfId="0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ill="1"/>
    <xf numFmtId="0" fontId="34" fillId="2" borderId="0" xfId="0" applyFont="1" applyFill="1" applyBorder="1" applyAlignment="1">
      <alignment horizontal="center" wrapText="1"/>
    </xf>
    <xf numFmtId="0" fontId="38" fillId="2" borderId="0" xfId="0" applyFont="1" applyFill="1" applyBorder="1" applyAlignment="1" applyProtection="1">
      <alignment horizontal="center" vertical="center" wrapText="1"/>
    </xf>
    <xf numFmtId="0" fontId="39" fillId="2" borderId="0" xfId="0" applyFont="1" applyFill="1" applyBorder="1" applyAlignment="1" applyProtection="1">
      <alignment horizontal="center" wrapText="1"/>
    </xf>
    <xf numFmtId="0" fontId="40" fillId="2" borderId="0" xfId="0" applyFont="1" applyFill="1" applyBorder="1" applyAlignment="1" applyProtection="1">
      <alignment horizontal="center" vertical="center" wrapText="1"/>
    </xf>
    <xf numFmtId="0" fontId="0" fillId="0" borderId="0" xfId="0" applyBorder="1" applyAlignment="1">
      <alignment horizontal="center" wrapText="1"/>
    </xf>
    <xf numFmtId="0" fontId="45" fillId="0" borderId="0" xfId="0" applyFont="1"/>
    <xf numFmtId="2" fontId="45" fillId="0" borderId="0" xfId="0" applyNumberFormat="1" applyFont="1"/>
    <xf numFmtId="0" fontId="46" fillId="0" borderId="0" xfId="0" applyFont="1"/>
    <xf numFmtId="0" fontId="0" fillId="0" borderId="0" xfId="0" applyFont="1" applyFill="1"/>
    <xf numFmtId="0" fontId="0" fillId="0" borderId="0" xfId="0" applyFont="1" applyFill="1" applyBorder="1"/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center"/>
    </xf>
    <xf numFmtId="2" fontId="47" fillId="0" borderId="0" xfId="0" applyNumberFormat="1" applyFont="1" applyFill="1" applyAlignment="1">
      <alignment horizontal="center"/>
    </xf>
    <xf numFmtId="167" fontId="47" fillId="0" borderId="0" xfId="0" applyNumberFormat="1" applyFont="1" applyFill="1" applyAlignment="1">
      <alignment horizontal="center"/>
    </xf>
    <xf numFmtId="2" fontId="48" fillId="0" borderId="0" xfId="0" applyNumberFormat="1" applyFont="1" applyFill="1" applyAlignment="1">
      <alignment horizontal="center"/>
    </xf>
    <xf numFmtId="15" fontId="47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1" fontId="47" fillId="0" borderId="0" xfId="0" applyNumberFormat="1" applyFont="1" applyFill="1" applyAlignment="1">
      <alignment horizontal="center"/>
    </xf>
    <xf numFmtId="164" fontId="41" fillId="0" borderId="0" xfId="30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50" fillId="0" borderId="0" xfId="3675" applyNumberFormat="1" applyFont="1" applyFill="1" applyBorder="1" applyAlignment="1">
      <alignment horizontal="center"/>
    </xf>
    <xf numFmtId="0" fontId="59" fillId="0" borderId="0" xfId="0" applyFont="1" applyFill="1"/>
    <xf numFmtId="0" fontId="59" fillId="0" borderId="0" xfId="0" applyFont="1"/>
    <xf numFmtId="2" fontId="60" fillId="0" borderId="0" xfId="7726" applyNumberFormat="1" applyFont="1" applyFill="1" applyBorder="1" applyAlignment="1">
      <alignment horizontal="center"/>
    </xf>
    <xf numFmtId="0" fontId="60" fillId="0" borderId="0" xfId="7726" applyFont="1" applyFill="1" applyBorder="1" applyAlignment="1">
      <alignment horizontal="center"/>
    </xf>
    <xf numFmtId="165" fontId="60" fillId="0" borderId="0" xfId="7726" applyNumberFormat="1" applyFont="1" applyFill="1" applyBorder="1" applyAlignment="1">
      <alignment horizontal="center"/>
    </xf>
    <xf numFmtId="1" fontId="60" fillId="0" borderId="0" xfId="7726" applyNumberFormat="1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2" fontId="53" fillId="0" borderId="0" xfId="0" applyNumberFormat="1" applyFont="1" applyFill="1" applyBorder="1" applyAlignment="1">
      <alignment horizontal="center"/>
    </xf>
    <xf numFmtId="1" fontId="53" fillId="0" borderId="0" xfId="0" applyNumberFormat="1" applyFont="1" applyFill="1" applyBorder="1" applyAlignment="1">
      <alignment horizontal="center"/>
    </xf>
    <xf numFmtId="1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 applyAlignment="1">
      <alignment horizontal="center"/>
    </xf>
    <xf numFmtId="0" fontId="50" fillId="0" borderId="0" xfId="3675" applyFont="1" applyFill="1" applyBorder="1" applyAlignment="1">
      <alignment horizontal="center"/>
    </xf>
    <xf numFmtId="2" fontId="50" fillId="0" borderId="0" xfId="0" applyNumberFormat="1" applyFont="1" applyFill="1" applyBorder="1" applyAlignment="1">
      <alignment horizontal="center"/>
    </xf>
    <xf numFmtId="0" fontId="50" fillId="0" borderId="0" xfId="305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165" fontId="50" fillId="0" borderId="0" xfId="305" applyNumberFormat="1" applyFont="1" applyFill="1" applyBorder="1" applyAlignment="1">
      <alignment horizontal="center"/>
    </xf>
    <xf numFmtId="0" fontId="50" fillId="0" borderId="0" xfId="300" applyFont="1" applyFill="1" applyBorder="1" applyAlignment="1">
      <alignment horizontal="center"/>
    </xf>
    <xf numFmtId="1" fontId="50" fillId="0" borderId="0" xfId="320" applyNumberFormat="1" applyFont="1" applyFill="1" applyBorder="1" applyAlignment="1">
      <alignment horizontal="center" vertical="center"/>
    </xf>
    <xf numFmtId="2" fontId="50" fillId="0" borderId="0" xfId="320" applyNumberFormat="1" applyFont="1" applyFill="1" applyBorder="1" applyAlignment="1">
      <alignment horizontal="center"/>
    </xf>
    <xf numFmtId="164" fontId="50" fillId="0" borderId="0" xfId="320" applyNumberFormat="1" applyFont="1" applyFill="1" applyBorder="1" applyAlignment="1">
      <alignment horizontal="center"/>
    </xf>
    <xf numFmtId="4" fontId="50" fillId="0" borderId="0" xfId="320" applyNumberFormat="1" applyFont="1" applyFill="1" applyBorder="1" applyAlignment="1">
      <alignment horizontal="center"/>
    </xf>
    <xf numFmtId="0" fontId="50" fillId="0" borderId="0" xfId="32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 vertical="center"/>
    </xf>
    <xf numFmtId="0" fontId="52" fillId="0" borderId="0" xfId="0" applyFont="1" applyFill="1" applyBorder="1"/>
    <xf numFmtId="2" fontId="57" fillId="0" borderId="0" xfId="0" applyNumberFormat="1" applyFont="1" applyFill="1" applyAlignment="1">
      <alignment horizontal="center" vertical="center"/>
    </xf>
    <xf numFmtId="2" fontId="58" fillId="0" borderId="0" xfId="0" applyNumberFormat="1" applyFon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49" fillId="0" borderId="0" xfId="0" applyNumberFormat="1" applyFont="1" applyFill="1" applyAlignment="1">
      <alignment horizontal="center" vertical="center"/>
    </xf>
    <xf numFmtId="2" fontId="49" fillId="0" borderId="0" xfId="123" applyNumberFormat="1" applyFont="1" applyFill="1" applyAlignment="1">
      <alignment horizontal="center" vertical="center"/>
    </xf>
    <xf numFmtId="2" fontId="0" fillId="0" borderId="0" xfId="123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 vertical="center"/>
    </xf>
    <xf numFmtId="2" fontId="52" fillId="0" borderId="0" xfId="0" applyNumberFormat="1" applyFont="1" applyFill="1" applyAlignment="1">
      <alignment horizontal="center" vertical="center"/>
    </xf>
    <xf numFmtId="2" fontId="50" fillId="0" borderId="0" xfId="0" applyNumberFormat="1" applyFont="1" applyFill="1" applyAlignment="1">
      <alignment horizontal="center" vertical="center"/>
    </xf>
    <xf numFmtId="2" fontId="37" fillId="0" borderId="0" xfId="0" applyNumberFormat="1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37" fillId="0" borderId="0" xfId="0" applyNumberFormat="1" applyFont="1" applyFill="1" applyAlignment="1">
      <alignment horizontal="center" vertical="center"/>
    </xf>
    <xf numFmtId="1" fontId="0" fillId="0" borderId="0" xfId="0" applyNumberFormat="1"/>
    <xf numFmtId="1" fontId="63" fillId="0" borderId="0" xfId="0" applyNumberFormat="1" applyFont="1" applyAlignment="1">
      <alignment horizontal="center"/>
    </xf>
    <xf numFmtId="165" fontId="63" fillId="0" borderId="0" xfId="0" applyNumberFormat="1" applyFont="1" applyAlignment="1">
      <alignment horizontal="center"/>
    </xf>
    <xf numFmtId="2" fontId="64" fillId="16" borderId="0" xfId="0" applyNumberFormat="1" applyFont="1" applyFill="1" applyAlignment="1">
      <alignment horizontal="center"/>
    </xf>
    <xf numFmtId="0" fontId="64" fillId="16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66" fillId="9" borderId="2" xfId="0" applyFont="1" applyFill="1" applyBorder="1" applyAlignment="1">
      <alignment horizontal="center" vertical="center"/>
    </xf>
    <xf numFmtId="1" fontId="66" fillId="9" borderId="2" xfId="0" applyNumberFormat="1" applyFont="1" applyFill="1" applyBorder="1" applyAlignment="1">
      <alignment horizontal="center" vertical="center"/>
    </xf>
    <xf numFmtId="167" fontId="66" fillId="9" borderId="2" xfId="0" applyNumberFormat="1" applyFont="1" applyFill="1" applyBorder="1" applyAlignment="1">
      <alignment horizontal="center" vertical="center"/>
    </xf>
    <xf numFmtId="165" fontId="66" fillId="9" borderId="2" xfId="0" applyNumberFormat="1" applyFont="1" applyFill="1" applyBorder="1" applyAlignment="1">
      <alignment horizontal="center" vertical="center"/>
    </xf>
    <xf numFmtId="2" fontId="66" fillId="9" borderId="2" xfId="0" applyNumberFormat="1" applyFont="1" applyFill="1" applyBorder="1" applyAlignment="1">
      <alignment horizontal="center" vertical="center"/>
    </xf>
    <xf numFmtId="0" fontId="66" fillId="9" borderId="3" xfId="0" applyFont="1" applyFill="1" applyBorder="1" applyAlignment="1">
      <alignment horizontal="center"/>
    </xf>
    <xf numFmtId="1" fontId="66" fillId="9" borderId="3" xfId="0" applyNumberFormat="1" applyFont="1" applyFill="1" applyBorder="1" applyAlignment="1">
      <alignment horizontal="center"/>
    </xf>
    <xf numFmtId="167" fontId="66" fillId="9" borderId="3" xfId="0" applyNumberFormat="1" applyFont="1" applyFill="1" applyBorder="1" applyAlignment="1">
      <alignment horizontal="center"/>
    </xf>
    <xf numFmtId="165" fontId="66" fillId="9" borderId="3" xfId="0" applyNumberFormat="1" applyFont="1" applyFill="1" applyBorder="1" applyAlignment="1">
      <alignment horizontal="center"/>
    </xf>
    <xf numFmtId="2" fontId="66" fillId="9" borderId="3" xfId="0" applyNumberFormat="1" applyFont="1" applyFill="1" applyBorder="1" applyAlignment="1">
      <alignment horizontal="center"/>
    </xf>
    <xf numFmtId="166" fontId="64" fillId="0" borderId="1" xfId="0" applyNumberFormat="1" applyFont="1" applyFill="1" applyBorder="1" applyAlignment="1">
      <alignment horizontal="center"/>
    </xf>
    <xf numFmtId="2" fontId="64" fillId="0" borderId="1" xfId="0" applyNumberFormat="1" applyFont="1" applyFill="1" applyBorder="1" applyAlignment="1">
      <alignment horizontal="center" vertical="center"/>
    </xf>
    <xf numFmtId="0" fontId="64" fillId="0" borderId="1" xfId="0" applyFont="1" applyFill="1" applyBorder="1" applyAlignment="1">
      <alignment horizontal="center"/>
    </xf>
    <xf numFmtId="1" fontId="64" fillId="0" borderId="1" xfId="0" applyNumberFormat="1" applyFont="1" applyFill="1" applyBorder="1" applyAlignment="1">
      <alignment horizontal="center"/>
    </xf>
    <xf numFmtId="167" fontId="64" fillId="0" borderId="1" xfId="0" applyNumberFormat="1" applyFont="1" applyFill="1" applyBorder="1" applyAlignment="1">
      <alignment horizontal="center"/>
    </xf>
    <xf numFmtId="2" fontId="64" fillId="0" borderId="1" xfId="0" applyNumberFormat="1" applyFont="1" applyFill="1" applyBorder="1" applyAlignment="1">
      <alignment horizontal="center"/>
    </xf>
    <xf numFmtId="165" fontId="64" fillId="0" borderId="1" xfId="0" applyNumberFormat="1" applyFont="1" applyFill="1" applyBorder="1" applyAlignment="1">
      <alignment horizontal="center"/>
    </xf>
    <xf numFmtId="0" fontId="65" fillId="0" borderId="1" xfId="0" applyFont="1" applyFill="1" applyBorder="1" applyAlignment="1">
      <alignment horizontal="center"/>
    </xf>
    <xf numFmtId="1" fontId="65" fillId="0" borderId="1" xfId="0" applyNumberFormat="1" applyFont="1" applyFill="1" applyBorder="1" applyAlignment="1">
      <alignment horizontal="center"/>
    </xf>
    <xf numFmtId="0" fontId="64" fillId="0" borderId="0" xfId="0" applyFont="1" applyFill="1" applyAlignment="1">
      <alignment horizontal="center"/>
    </xf>
    <xf numFmtId="0" fontId="64" fillId="0" borderId="1" xfId="0" applyFont="1" applyFill="1" applyBorder="1" applyAlignment="1">
      <alignment horizontal="center" vertical="center"/>
    </xf>
    <xf numFmtId="1" fontId="64" fillId="0" borderId="1" xfId="0" applyNumberFormat="1" applyFont="1" applyFill="1" applyBorder="1" applyAlignment="1">
      <alignment horizontal="center" vertical="center"/>
    </xf>
    <xf numFmtId="167" fontId="64" fillId="0" borderId="1" xfId="0" applyNumberFormat="1" applyFont="1" applyFill="1" applyBorder="1" applyAlignment="1">
      <alignment horizontal="center" vertical="center"/>
    </xf>
    <xf numFmtId="165" fontId="64" fillId="0" borderId="1" xfId="0" applyNumberFormat="1" applyFont="1" applyFill="1" applyBorder="1" applyAlignment="1">
      <alignment horizontal="center" vertical="center"/>
    </xf>
    <xf numFmtId="0" fontId="65" fillId="0" borderId="1" xfId="0" applyFont="1" applyFill="1" applyBorder="1" applyAlignment="1">
      <alignment horizontal="center" vertical="center"/>
    </xf>
    <xf numFmtId="0" fontId="64" fillId="0" borderId="0" xfId="0" applyFont="1" applyFill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165" fontId="64" fillId="0" borderId="1" xfId="123" applyNumberFormat="1" applyFont="1" applyFill="1" applyBorder="1" applyAlignment="1">
      <alignment horizontal="center"/>
    </xf>
    <xf numFmtId="0" fontId="64" fillId="0" borderId="1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166" fontId="64" fillId="0" borderId="1" xfId="0" applyNumberFormat="1" applyFont="1" applyFill="1" applyBorder="1" applyAlignment="1">
      <alignment horizontal="center" vertical="center"/>
    </xf>
    <xf numFmtId="169" fontId="64" fillId="0" borderId="1" xfId="0" applyNumberFormat="1" applyFont="1" applyFill="1" applyBorder="1" applyAlignment="1">
      <alignment horizontal="center" vertical="center"/>
    </xf>
    <xf numFmtId="168" fontId="64" fillId="0" borderId="1" xfId="0" applyNumberFormat="1" applyFont="1" applyFill="1" applyBorder="1" applyAlignment="1">
      <alignment horizontal="center" vertical="center"/>
    </xf>
    <xf numFmtId="0" fontId="64" fillId="0" borderId="1" xfId="0" applyNumberFormat="1" applyFont="1" applyFill="1" applyBorder="1" applyAlignment="1">
      <alignment horizontal="center" vertical="center"/>
    </xf>
    <xf numFmtId="168" fontId="64" fillId="0" borderId="1" xfId="0" applyNumberFormat="1" applyFont="1" applyFill="1" applyBorder="1" applyAlignment="1">
      <alignment horizontal="center"/>
    </xf>
    <xf numFmtId="1" fontId="64" fillId="0" borderId="1" xfId="123" applyNumberFormat="1" applyFont="1" applyFill="1" applyBorder="1" applyAlignment="1">
      <alignment horizontal="center"/>
    </xf>
    <xf numFmtId="0" fontId="65" fillId="0" borderId="1" xfId="320" applyFont="1" applyFill="1" applyBorder="1" applyAlignment="1">
      <alignment horizontal="center"/>
    </xf>
    <xf numFmtId="165" fontId="64" fillId="7" borderId="1" xfId="0" applyNumberFormat="1" applyFont="1" applyFill="1" applyBorder="1" applyAlignment="1">
      <alignment horizontal="center"/>
    </xf>
    <xf numFmtId="2" fontId="64" fillId="7" borderId="1" xfId="0" applyNumberFormat="1" applyFont="1" applyFill="1" applyBorder="1" applyAlignment="1">
      <alignment horizontal="center"/>
    </xf>
    <xf numFmtId="0" fontId="64" fillId="7" borderId="1" xfId="0" applyFont="1" applyFill="1" applyBorder="1" applyAlignment="1">
      <alignment horizontal="center"/>
    </xf>
    <xf numFmtId="1" fontId="64" fillId="7" borderId="1" xfId="0" applyNumberFormat="1" applyFont="1" applyFill="1" applyBorder="1" applyAlignment="1">
      <alignment horizontal="center"/>
    </xf>
    <xf numFmtId="167" fontId="64" fillId="7" borderId="1" xfId="0" applyNumberFormat="1" applyFont="1" applyFill="1" applyBorder="1" applyAlignment="1">
      <alignment horizontal="center"/>
    </xf>
    <xf numFmtId="0" fontId="65" fillId="7" borderId="1" xfId="0" applyFont="1" applyFill="1" applyBorder="1" applyAlignment="1">
      <alignment horizontal="center"/>
    </xf>
    <xf numFmtId="0" fontId="64" fillId="7" borderId="0" xfId="0" applyFont="1" applyFill="1" applyAlignment="1">
      <alignment horizontal="center"/>
    </xf>
    <xf numFmtId="165" fontId="65" fillId="0" borderId="1" xfId="0" applyNumberFormat="1" applyFont="1" applyFill="1" applyBorder="1" applyAlignment="1">
      <alignment horizontal="center"/>
    </xf>
    <xf numFmtId="2" fontId="65" fillId="0" borderId="1" xfId="0" applyNumberFormat="1" applyFont="1" applyFill="1" applyBorder="1" applyAlignment="1">
      <alignment horizontal="center"/>
    </xf>
    <xf numFmtId="167" fontId="65" fillId="0" borderId="1" xfId="0" applyNumberFormat="1" applyFont="1" applyFill="1" applyBorder="1" applyAlignment="1">
      <alignment horizontal="center"/>
    </xf>
    <xf numFmtId="0" fontId="65" fillId="0" borderId="0" xfId="0" applyFont="1" applyFill="1" applyAlignment="1">
      <alignment horizontal="center"/>
    </xf>
    <xf numFmtId="167" fontId="69" fillId="0" borderId="1" xfId="0" applyNumberFormat="1" applyFont="1" applyFill="1" applyBorder="1" applyAlignment="1">
      <alignment horizontal="center"/>
    </xf>
    <xf numFmtId="165" fontId="69" fillId="0" borderId="1" xfId="0" applyNumberFormat="1" applyFont="1" applyFill="1" applyBorder="1" applyAlignment="1">
      <alignment horizontal="center"/>
    </xf>
    <xf numFmtId="2" fontId="69" fillId="0" borderId="1" xfId="0" applyNumberFormat="1" applyFont="1" applyFill="1" applyBorder="1" applyAlignment="1">
      <alignment horizontal="center"/>
    </xf>
    <xf numFmtId="1" fontId="69" fillId="0" borderId="1" xfId="0" applyNumberFormat="1" applyFont="1" applyFill="1" applyBorder="1" applyAlignment="1">
      <alignment horizontal="center"/>
    </xf>
    <xf numFmtId="0" fontId="69" fillId="0" borderId="1" xfId="0" applyFont="1" applyFill="1" applyBorder="1" applyAlignment="1">
      <alignment horizontal="center"/>
    </xf>
    <xf numFmtId="0" fontId="69" fillId="0" borderId="0" xfId="0" applyFont="1" applyFill="1" applyAlignment="1">
      <alignment horizontal="center"/>
    </xf>
    <xf numFmtId="0" fontId="70" fillId="11" borderId="1" xfId="0" applyFont="1" applyFill="1" applyBorder="1" applyAlignment="1">
      <alignment horizontal="center" vertical="center"/>
    </xf>
    <xf numFmtId="2" fontId="70" fillId="11" borderId="1" xfId="0" applyNumberFormat="1" applyFont="1" applyFill="1" applyBorder="1" applyAlignment="1">
      <alignment horizontal="center" vertical="center"/>
    </xf>
    <xf numFmtId="1" fontId="70" fillId="11" borderId="1" xfId="0" applyNumberFormat="1" applyFont="1" applyFill="1" applyBorder="1" applyAlignment="1">
      <alignment horizontal="center" vertical="center"/>
    </xf>
    <xf numFmtId="167" fontId="70" fillId="11" borderId="1" xfId="0" applyNumberFormat="1" applyFont="1" applyFill="1" applyBorder="1" applyAlignment="1">
      <alignment horizontal="center" vertical="center"/>
    </xf>
    <xf numFmtId="165" fontId="70" fillId="11" borderId="1" xfId="0" applyNumberFormat="1" applyFont="1" applyFill="1" applyBorder="1" applyAlignment="1">
      <alignment horizontal="center" vertical="center"/>
    </xf>
    <xf numFmtId="0" fontId="65" fillId="11" borderId="1" xfId="0" applyFont="1" applyFill="1" applyBorder="1" applyAlignment="1">
      <alignment horizontal="center" vertical="center"/>
    </xf>
    <xf numFmtId="0" fontId="70" fillId="11" borderId="0" xfId="0" applyFont="1" applyFill="1" applyAlignment="1">
      <alignment horizontal="center" vertical="center"/>
    </xf>
    <xf numFmtId="0" fontId="71" fillId="11" borderId="1" xfId="0" applyFont="1" applyFill="1" applyBorder="1" applyAlignment="1">
      <alignment horizontal="center" vertical="center"/>
    </xf>
    <xf numFmtId="2" fontId="71" fillId="11" borderId="1" xfId="0" applyNumberFormat="1" applyFont="1" applyFill="1" applyBorder="1" applyAlignment="1">
      <alignment horizontal="center" vertical="center"/>
    </xf>
    <xf numFmtId="1" fontId="71" fillId="11" borderId="1" xfId="0" applyNumberFormat="1" applyFont="1" applyFill="1" applyBorder="1" applyAlignment="1">
      <alignment horizontal="center" vertical="center"/>
    </xf>
    <xf numFmtId="167" fontId="71" fillId="11" borderId="1" xfId="0" applyNumberFormat="1" applyFont="1" applyFill="1" applyBorder="1" applyAlignment="1">
      <alignment horizontal="center" vertical="center"/>
    </xf>
    <xf numFmtId="165" fontId="71" fillId="11" borderId="1" xfId="0" applyNumberFormat="1" applyFont="1" applyFill="1" applyBorder="1" applyAlignment="1">
      <alignment horizontal="center" vertical="center"/>
    </xf>
    <xf numFmtId="0" fontId="71" fillId="11" borderId="0" xfId="0" applyFont="1" applyFill="1" applyAlignment="1">
      <alignment horizontal="center" vertical="center"/>
    </xf>
    <xf numFmtId="165" fontId="64" fillId="0" borderId="0" xfId="0" applyNumberFormat="1" applyFont="1" applyAlignment="1">
      <alignment horizontal="center"/>
    </xf>
    <xf numFmtId="2" fontId="64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7" fontId="64" fillId="0" borderId="0" xfId="0" applyNumberFormat="1" applyFont="1" applyAlignment="1">
      <alignment horizontal="center"/>
    </xf>
    <xf numFmtId="1" fontId="64" fillId="0" borderId="0" xfId="0" applyNumberFormat="1" applyFont="1" applyAlignment="1">
      <alignment horizontal="center"/>
    </xf>
    <xf numFmtId="0" fontId="63" fillId="0" borderId="0" xfId="0" applyFont="1" applyAlignment="1">
      <alignment horizontal="center"/>
    </xf>
    <xf numFmtId="167" fontId="63" fillId="0" borderId="0" xfId="0" applyNumberFormat="1" applyFont="1" applyAlignment="1">
      <alignment horizontal="center"/>
    </xf>
    <xf numFmtId="2" fontId="63" fillId="0" borderId="0" xfId="0" applyNumberFormat="1" applyFont="1" applyAlignment="1">
      <alignment horizontal="center"/>
    </xf>
    <xf numFmtId="0" fontId="67" fillId="0" borderId="0" xfId="0" applyFont="1" applyFill="1" applyAlignment="1">
      <alignment horizontal="center"/>
    </xf>
    <xf numFmtId="0" fontId="68" fillId="0" borderId="0" xfId="0" applyFont="1" applyFill="1" applyAlignment="1">
      <alignment horizontal="center"/>
    </xf>
    <xf numFmtId="0" fontId="75" fillId="0" borderId="0" xfId="0" applyFont="1" applyFill="1" applyAlignment="1">
      <alignment horizontal="center"/>
    </xf>
    <xf numFmtId="2" fontId="70" fillId="0" borderId="1" xfId="0" applyNumberFormat="1" applyFont="1" applyFill="1" applyBorder="1" applyAlignment="1">
      <alignment horizontal="center" vertical="center"/>
    </xf>
    <xf numFmtId="0" fontId="71" fillId="0" borderId="1" xfId="0" applyFont="1" applyFill="1" applyBorder="1" applyAlignment="1">
      <alignment horizontal="center" vertical="center"/>
    </xf>
    <xf numFmtId="2" fontId="72" fillId="0" borderId="1" xfId="0" applyNumberFormat="1" applyFont="1" applyFill="1" applyBorder="1" applyAlignment="1">
      <alignment horizontal="center" vertical="center"/>
    </xf>
    <xf numFmtId="2" fontId="64" fillId="0" borderId="0" xfId="0" applyNumberFormat="1" applyFont="1" applyFill="1" applyAlignment="1">
      <alignment horizontal="center"/>
    </xf>
    <xf numFmtId="2" fontId="71" fillId="0" borderId="1" xfId="0" applyNumberFormat="1" applyFont="1" applyFill="1" applyBorder="1" applyAlignment="1">
      <alignment horizontal="center" vertical="center"/>
    </xf>
    <xf numFmtId="1" fontId="71" fillId="0" borderId="1" xfId="0" applyNumberFormat="1" applyFont="1" applyFill="1" applyBorder="1" applyAlignment="1">
      <alignment horizontal="center" vertical="center"/>
    </xf>
    <xf numFmtId="167" fontId="71" fillId="0" borderId="1" xfId="0" applyNumberFormat="1" applyFont="1" applyFill="1" applyBorder="1" applyAlignment="1">
      <alignment horizontal="center" vertical="center"/>
    </xf>
    <xf numFmtId="165" fontId="71" fillId="0" borderId="1" xfId="0" applyNumberFormat="1" applyFont="1" applyFill="1" applyBorder="1" applyAlignment="1">
      <alignment horizontal="center" vertical="center"/>
    </xf>
    <xf numFmtId="0" fontId="71" fillId="0" borderId="0" xfId="0" applyFont="1" applyFill="1" applyAlignment="1">
      <alignment horizontal="center" vertical="center"/>
    </xf>
    <xf numFmtId="0" fontId="72" fillId="0" borderId="1" xfId="0" applyFont="1" applyFill="1" applyBorder="1" applyAlignment="1">
      <alignment horizontal="center" vertical="center"/>
    </xf>
    <xf numFmtId="1" fontId="72" fillId="0" borderId="1" xfId="0" applyNumberFormat="1" applyFont="1" applyFill="1" applyBorder="1" applyAlignment="1">
      <alignment horizontal="center" vertical="center"/>
    </xf>
    <xf numFmtId="167" fontId="72" fillId="0" borderId="1" xfId="0" applyNumberFormat="1" applyFont="1" applyFill="1" applyBorder="1" applyAlignment="1">
      <alignment horizontal="center" vertical="center"/>
    </xf>
    <xf numFmtId="165" fontId="72" fillId="0" borderId="1" xfId="0" applyNumberFormat="1" applyFont="1" applyFill="1" applyBorder="1" applyAlignment="1">
      <alignment horizontal="center" vertical="center"/>
    </xf>
    <xf numFmtId="0" fontId="72" fillId="0" borderId="0" xfId="0" applyFont="1" applyFill="1" applyAlignment="1">
      <alignment horizontal="center" vertical="center"/>
    </xf>
    <xf numFmtId="2" fontId="63" fillId="0" borderId="0" xfId="0" applyNumberFormat="1" applyFont="1" applyFill="1" applyAlignment="1">
      <alignment horizontal="center"/>
    </xf>
    <xf numFmtId="2" fontId="66" fillId="0" borderId="2" xfId="0" applyNumberFormat="1" applyFont="1" applyFill="1" applyBorder="1" applyAlignment="1">
      <alignment horizontal="center" vertical="center"/>
    </xf>
    <xf numFmtId="2" fontId="66" fillId="0" borderId="3" xfId="0" applyNumberFormat="1" applyFont="1" applyFill="1" applyBorder="1" applyAlignment="1">
      <alignment horizontal="center"/>
    </xf>
    <xf numFmtId="0" fontId="76" fillId="9" borderId="0" xfId="0" applyFont="1" applyFill="1" applyAlignment="1">
      <alignment horizontal="center"/>
    </xf>
    <xf numFmtId="1" fontId="64" fillId="9" borderId="1" xfId="0" applyNumberFormat="1" applyFont="1" applyFill="1" applyBorder="1" applyAlignment="1">
      <alignment horizontal="center"/>
    </xf>
    <xf numFmtId="165" fontId="73" fillId="0" borderId="1" xfId="7845" applyNumberFormat="1" applyFont="1" applyFill="1" applyBorder="1" applyAlignment="1">
      <alignment horizontal="center"/>
    </xf>
    <xf numFmtId="2" fontId="73" fillId="0" borderId="1" xfId="7845" applyNumberFormat="1" applyFont="1" applyFill="1" applyBorder="1" applyAlignment="1">
      <alignment horizontal="center"/>
    </xf>
    <xf numFmtId="0" fontId="73" fillId="0" borderId="1" xfId="7845" applyFont="1" applyFill="1" applyBorder="1" applyAlignment="1">
      <alignment horizontal="center"/>
    </xf>
    <xf numFmtId="1" fontId="73" fillId="0" borderId="1" xfId="7845" applyNumberFormat="1" applyFont="1" applyFill="1" applyBorder="1" applyAlignment="1">
      <alignment horizontal="center"/>
    </xf>
    <xf numFmtId="0" fontId="65" fillId="0" borderId="1" xfId="7845" applyFont="1" applyFill="1" applyBorder="1" applyAlignment="1">
      <alignment horizontal="center"/>
    </xf>
    <xf numFmtId="165" fontId="64" fillId="0" borderId="1" xfId="7845" applyNumberFormat="1" applyFont="1" applyFill="1" applyBorder="1" applyAlignment="1">
      <alignment horizontal="center"/>
    </xf>
    <xf numFmtId="2" fontId="64" fillId="0" borderId="1" xfId="7845" applyNumberFormat="1" applyFont="1" applyFill="1" applyBorder="1" applyAlignment="1">
      <alignment horizontal="center"/>
    </xf>
    <xf numFmtId="1" fontId="64" fillId="0" borderId="1" xfId="7845" applyNumberFormat="1" applyFont="1" applyFill="1" applyBorder="1" applyAlignment="1">
      <alignment horizontal="center"/>
    </xf>
    <xf numFmtId="0" fontId="64" fillId="0" borderId="1" xfId="7845" applyFont="1" applyFill="1" applyBorder="1" applyAlignment="1">
      <alignment horizontal="center"/>
    </xf>
    <xf numFmtId="165" fontId="74" fillId="0" borderId="1" xfId="0" applyNumberFormat="1" applyFont="1" applyFill="1" applyBorder="1" applyAlignment="1">
      <alignment horizontal="center"/>
    </xf>
    <xf numFmtId="2" fontId="74" fillId="0" borderId="1" xfId="0" applyNumberFormat="1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/>
    </xf>
    <xf numFmtId="1" fontId="74" fillId="0" borderId="1" xfId="0" applyNumberFormat="1" applyFont="1" applyFill="1" applyBorder="1" applyAlignment="1">
      <alignment horizontal="center"/>
    </xf>
    <xf numFmtId="0" fontId="75" fillId="0" borderId="1" xfId="0" applyFont="1" applyFill="1" applyBorder="1" applyAlignment="1">
      <alignment horizontal="center"/>
    </xf>
    <xf numFmtId="165" fontId="75" fillId="0" borderId="1" xfId="0" applyNumberFormat="1" applyFont="1" applyFill="1" applyBorder="1" applyAlignment="1">
      <alignment horizontal="center"/>
    </xf>
    <xf numFmtId="1" fontId="75" fillId="0" borderId="1" xfId="0" applyNumberFormat="1" applyFont="1" applyFill="1" applyBorder="1" applyAlignment="1">
      <alignment horizontal="center"/>
    </xf>
    <xf numFmtId="2" fontId="75" fillId="0" borderId="1" xfId="0" applyNumberFormat="1" applyFont="1" applyFill="1" applyBorder="1" applyAlignment="1">
      <alignment horizontal="center"/>
    </xf>
    <xf numFmtId="165" fontId="63" fillId="0" borderId="1" xfId="0" applyNumberFormat="1" applyFont="1" applyFill="1" applyBorder="1" applyAlignment="1">
      <alignment horizontal="center"/>
    </xf>
    <xf numFmtId="165" fontId="76" fillId="9" borderId="1" xfId="0" applyNumberFormat="1" applyFont="1" applyFill="1" applyBorder="1" applyAlignment="1">
      <alignment horizontal="center"/>
    </xf>
    <xf numFmtId="2" fontId="76" fillId="9" borderId="1" xfId="0" applyNumberFormat="1" applyFont="1" applyFill="1" applyBorder="1" applyAlignment="1">
      <alignment horizontal="center"/>
    </xf>
    <xf numFmtId="167" fontId="76" fillId="9" borderId="1" xfId="0" applyNumberFormat="1" applyFont="1" applyFill="1" applyBorder="1" applyAlignment="1">
      <alignment horizontal="center"/>
    </xf>
    <xf numFmtId="1" fontId="76" fillId="9" borderId="1" xfId="0" applyNumberFormat="1" applyFont="1" applyFill="1" applyBorder="1" applyAlignment="1">
      <alignment horizontal="center"/>
    </xf>
    <xf numFmtId="0" fontId="76" fillId="9" borderId="1" xfId="0" applyFont="1" applyFill="1" applyBorder="1" applyAlignment="1">
      <alignment horizontal="center"/>
    </xf>
    <xf numFmtId="0" fontId="77" fillId="9" borderId="1" xfId="0" applyFont="1" applyFill="1" applyBorder="1" applyAlignment="1">
      <alignment horizontal="center"/>
    </xf>
    <xf numFmtId="0" fontId="79" fillId="0" borderId="0" xfId="0" applyFont="1"/>
    <xf numFmtId="2" fontId="79" fillId="0" borderId="0" xfId="0" applyNumberFormat="1" applyFont="1"/>
    <xf numFmtId="0" fontId="80" fillId="0" borderId="0" xfId="0" applyFont="1" applyAlignment="1">
      <alignment horizontal="center"/>
    </xf>
    <xf numFmtId="0" fontId="78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2" fontId="81" fillId="0" borderId="1" xfId="0" applyNumberFormat="1" applyFont="1" applyFill="1" applyBorder="1" applyAlignment="1">
      <alignment horizontal="center" vertical="center"/>
    </xf>
    <xf numFmtId="14" fontId="81" fillId="0" borderId="0" xfId="0" applyNumberFormat="1" applyFont="1" applyFill="1" applyAlignment="1">
      <alignment horizontal="center"/>
    </xf>
    <xf numFmtId="0" fontId="81" fillId="0" borderId="0" xfId="0" applyFont="1" applyFill="1" applyAlignment="1">
      <alignment horizontal="center"/>
    </xf>
    <xf numFmtId="2" fontId="81" fillId="0" borderId="1" xfId="0" applyNumberFormat="1" applyFont="1" applyFill="1" applyBorder="1" applyAlignment="1">
      <alignment horizontal="center"/>
    </xf>
    <xf numFmtId="0" fontId="78" fillId="0" borderId="1" xfId="320" applyFont="1" applyFill="1" applyBorder="1" applyAlignment="1">
      <alignment horizontal="center"/>
    </xf>
    <xf numFmtId="0" fontId="81" fillId="0" borderId="0" xfId="0" applyFont="1" applyAlignment="1">
      <alignment horizontal="center"/>
    </xf>
    <xf numFmtId="165" fontId="81" fillId="0" borderId="1" xfId="0" applyNumberFormat="1" applyFont="1" applyFill="1" applyBorder="1" applyAlignment="1">
      <alignment horizontal="center"/>
    </xf>
    <xf numFmtId="165" fontId="81" fillId="0" borderId="0" xfId="0" applyNumberFormat="1" applyFont="1" applyFill="1" applyAlignment="1">
      <alignment horizontal="center"/>
    </xf>
    <xf numFmtId="0" fontId="82" fillId="0" borderId="1" xfId="0" applyFont="1" applyFill="1" applyBorder="1" applyAlignment="1">
      <alignment horizontal="center"/>
    </xf>
    <xf numFmtId="0" fontId="78" fillId="0" borderId="1" xfId="7751" applyFont="1" applyFill="1" applyBorder="1" applyAlignment="1">
      <alignment horizontal="center"/>
    </xf>
    <xf numFmtId="0" fontId="85" fillId="0" borderId="1" xfId="7726" applyFont="1" applyFill="1" applyBorder="1" applyAlignment="1">
      <alignment horizontal="center"/>
    </xf>
    <xf numFmtId="165" fontId="86" fillId="0" borderId="1" xfId="7726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9" fillId="0" borderId="0" xfId="0" applyNumberFormat="1" applyFont="1"/>
    <xf numFmtId="165" fontId="81" fillId="0" borderId="1" xfId="0" applyNumberFormat="1" applyFont="1" applyFill="1" applyBorder="1" applyAlignment="1">
      <alignment horizontal="center" vertical="center"/>
    </xf>
    <xf numFmtId="165" fontId="81" fillId="0" borderId="0" xfId="0" applyNumberFormat="1" applyFont="1" applyAlignment="1">
      <alignment horizontal="center"/>
    </xf>
    <xf numFmtId="0" fontId="81" fillId="0" borderId="1" xfId="320" applyFont="1" applyFill="1" applyBorder="1" applyAlignment="1">
      <alignment horizontal="center"/>
    </xf>
    <xf numFmtId="2" fontId="81" fillId="0" borderId="1" xfId="320" applyNumberFormat="1" applyFont="1" applyFill="1" applyBorder="1" applyAlignment="1">
      <alignment horizontal="center"/>
    </xf>
    <xf numFmtId="165" fontId="81" fillId="0" borderId="1" xfId="320" applyNumberFormat="1" applyFont="1" applyFill="1" applyBorder="1" applyAlignment="1">
      <alignment horizontal="center"/>
    </xf>
    <xf numFmtId="0" fontId="81" fillId="0" borderId="1" xfId="300" applyFont="1" applyFill="1" applyBorder="1" applyAlignment="1">
      <alignment horizontal="center"/>
    </xf>
    <xf numFmtId="0" fontId="83" fillId="0" borderId="1" xfId="7751" applyFont="1" applyFill="1" applyBorder="1" applyAlignment="1">
      <alignment horizontal="center"/>
    </xf>
    <xf numFmtId="165" fontId="83" fillId="0" borderId="1" xfId="7751" applyNumberFormat="1" applyFont="1" applyFill="1" applyBorder="1" applyAlignment="1">
      <alignment horizontal="center"/>
    </xf>
    <xf numFmtId="0" fontId="83" fillId="0" borderId="1" xfId="0" applyFont="1" applyFill="1" applyBorder="1" applyAlignment="1">
      <alignment horizontal="center"/>
    </xf>
    <xf numFmtId="165" fontId="83" fillId="0" borderId="1" xfId="0" applyNumberFormat="1" applyFont="1" applyFill="1" applyBorder="1" applyAlignment="1">
      <alignment horizontal="center"/>
    </xf>
    <xf numFmtId="0" fontId="84" fillId="0" borderId="1" xfId="0" applyFont="1" applyFill="1" applyBorder="1" applyAlignment="1">
      <alignment horizontal="center"/>
    </xf>
    <xf numFmtId="0" fontId="86" fillId="0" borderId="1" xfId="7726" applyFont="1" applyFill="1" applyBorder="1" applyAlignment="1">
      <alignment horizontal="center"/>
    </xf>
    <xf numFmtId="2" fontId="86" fillId="0" borderId="1" xfId="7726" applyNumberFormat="1" applyFont="1" applyFill="1" applyBorder="1" applyAlignment="1">
      <alignment horizontal="center"/>
    </xf>
    <xf numFmtId="0" fontId="84" fillId="0" borderId="0" xfId="0" applyFont="1" applyFill="1" applyAlignment="1">
      <alignment horizontal="center"/>
    </xf>
    <xf numFmtId="165" fontId="84" fillId="0" borderId="1" xfId="0" applyNumberFormat="1" applyFont="1" applyFill="1" applyBorder="1" applyAlignment="1">
      <alignment horizontal="center"/>
    </xf>
    <xf numFmtId="1" fontId="64" fillId="8" borderId="1" xfId="0" applyNumberFormat="1" applyFont="1" applyFill="1" applyBorder="1" applyAlignment="1">
      <alignment horizontal="center"/>
    </xf>
    <xf numFmtId="165" fontId="76" fillId="8" borderId="1" xfId="0" applyNumberFormat="1" applyFont="1" applyFill="1" applyBorder="1" applyAlignment="1">
      <alignment horizontal="center"/>
    </xf>
    <xf numFmtId="2" fontId="76" fillId="8" borderId="1" xfId="0" applyNumberFormat="1" applyFont="1" applyFill="1" applyBorder="1" applyAlignment="1">
      <alignment horizontal="center"/>
    </xf>
    <xf numFmtId="167" fontId="76" fillId="8" borderId="1" xfId="0" applyNumberFormat="1" applyFont="1" applyFill="1" applyBorder="1" applyAlignment="1">
      <alignment horizontal="center"/>
    </xf>
    <xf numFmtId="1" fontId="76" fillId="8" borderId="1" xfId="0" applyNumberFormat="1" applyFont="1" applyFill="1" applyBorder="1" applyAlignment="1">
      <alignment horizontal="center"/>
    </xf>
    <xf numFmtId="0" fontId="76" fillId="8" borderId="1" xfId="0" applyFont="1" applyFill="1" applyBorder="1" applyAlignment="1">
      <alignment horizontal="center"/>
    </xf>
    <xf numFmtId="0" fontId="77" fillId="8" borderId="1" xfId="0" applyFont="1" applyFill="1" applyBorder="1" applyAlignment="1">
      <alignment horizontal="center"/>
    </xf>
    <xf numFmtId="0" fontId="76" fillId="8" borderId="0" xfId="0" applyFont="1" applyFill="1" applyAlignment="1">
      <alignment horizontal="center"/>
    </xf>
    <xf numFmtId="167" fontId="76" fillId="18" borderId="1" xfId="0" applyNumberFormat="1" applyFont="1" applyFill="1" applyBorder="1" applyAlignment="1">
      <alignment horizontal="center"/>
    </xf>
    <xf numFmtId="1" fontId="76" fillId="18" borderId="1" xfId="0" applyNumberFormat="1" applyFont="1" applyFill="1" applyBorder="1" applyAlignment="1">
      <alignment horizontal="center"/>
    </xf>
    <xf numFmtId="164" fontId="50" fillId="0" borderId="0" xfId="0" applyNumberFormat="1" applyFont="1" applyFill="1" applyBorder="1" applyAlignment="1">
      <alignment horizontal="center"/>
    </xf>
    <xf numFmtId="3" fontId="50" fillId="0" borderId="0" xfId="0" applyNumberFormat="1" applyFont="1" applyFill="1" applyBorder="1" applyAlignment="1">
      <alignment horizontal="center"/>
    </xf>
    <xf numFmtId="4" fontId="50" fillId="0" borderId="0" xfId="0" applyNumberFormat="1" applyFont="1" applyFill="1" applyBorder="1" applyAlignment="1">
      <alignment horizontal="center"/>
    </xf>
    <xf numFmtId="1" fontId="50" fillId="0" borderId="0" xfId="0" applyNumberFormat="1" applyFont="1" applyFill="1" applyBorder="1" applyAlignment="1">
      <alignment horizontal="center" vertical="center"/>
    </xf>
    <xf numFmtId="167" fontId="50" fillId="0" borderId="0" xfId="0" applyNumberFormat="1" applyFont="1" applyFill="1" applyBorder="1" applyAlignment="1">
      <alignment horizontal="center"/>
    </xf>
    <xf numFmtId="2" fontId="50" fillId="0" borderId="0" xfId="300" applyNumberFormat="1" applyFont="1" applyFill="1" applyBorder="1" applyAlignment="1">
      <alignment horizontal="center"/>
    </xf>
    <xf numFmtId="1" fontId="50" fillId="0" borderId="0" xfId="300" applyNumberFormat="1" applyFont="1" applyFill="1" applyBorder="1" applyAlignment="1">
      <alignment horizontal="center"/>
    </xf>
    <xf numFmtId="1" fontId="50" fillId="0" borderId="0" xfId="305" applyNumberFormat="1" applyFont="1" applyFill="1" applyBorder="1" applyAlignment="1">
      <alignment horizontal="center"/>
    </xf>
    <xf numFmtId="2" fontId="50" fillId="0" borderId="0" xfId="305" applyNumberFormat="1" applyFont="1" applyFill="1" applyBorder="1" applyAlignment="1">
      <alignment horizontal="center"/>
    </xf>
    <xf numFmtId="1" fontId="50" fillId="0" borderId="0" xfId="7792" applyNumberFormat="1" applyFont="1" applyFill="1" applyBorder="1" applyAlignment="1">
      <alignment horizontal="center"/>
    </xf>
    <xf numFmtId="165" fontId="50" fillId="0" borderId="0" xfId="7792" applyNumberFormat="1" applyFont="1" applyFill="1" applyBorder="1" applyAlignment="1">
      <alignment horizontal="center"/>
    </xf>
    <xf numFmtId="0" fontId="50" fillId="0" borderId="0" xfId="7792" applyFont="1" applyFill="1" applyBorder="1" applyAlignment="1">
      <alignment horizontal="center"/>
    </xf>
    <xf numFmtId="2" fontId="50" fillId="0" borderId="0" xfId="7792" applyNumberFormat="1" applyFont="1" applyFill="1" applyBorder="1" applyAlignment="1">
      <alignment horizontal="center"/>
    </xf>
    <xf numFmtId="165" fontId="50" fillId="0" borderId="0" xfId="0" applyNumberFormat="1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/>
    </xf>
    <xf numFmtId="0" fontId="37" fillId="0" borderId="0" xfId="0" applyFont="1" applyFill="1"/>
    <xf numFmtId="0" fontId="37" fillId="0" borderId="0" xfId="0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165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2" fillId="0" borderId="0" xfId="0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0" fontId="37" fillId="0" borderId="0" xfId="0" applyFont="1" applyFill="1" applyAlignment="1">
      <alignment horizontal="center"/>
    </xf>
    <xf numFmtId="165" fontId="76" fillId="0" borderId="1" xfId="0" applyNumberFormat="1" applyFont="1" applyFill="1" applyBorder="1" applyAlignment="1">
      <alignment horizontal="center"/>
    </xf>
    <xf numFmtId="2" fontId="76" fillId="0" borderId="1" xfId="0" applyNumberFormat="1" applyFont="1" applyFill="1" applyBorder="1" applyAlignment="1">
      <alignment horizontal="center"/>
    </xf>
    <xf numFmtId="167" fontId="76" fillId="0" borderId="1" xfId="0" applyNumberFormat="1" applyFont="1" applyFill="1" applyBorder="1" applyAlignment="1">
      <alignment horizontal="center"/>
    </xf>
    <xf numFmtId="1" fontId="76" fillId="0" borderId="1" xfId="0" applyNumberFormat="1" applyFont="1" applyFill="1" applyBorder="1" applyAlignment="1">
      <alignment horizontal="center"/>
    </xf>
    <xf numFmtId="0" fontId="76" fillId="0" borderId="1" xfId="0" applyFont="1" applyFill="1" applyBorder="1" applyAlignment="1">
      <alignment horizontal="center"/>
    </xf>
    <xf numFmtId="0" fontId="76" fillId="0" borderId="0" xfId="0" applyFont="1" applyFill="1" applyAlignment="1">
      <alignment horizontal="center"/>
    </xf>
    <xf numFmtId="165" fontId="63" fillId="0" borderId="1" xfId="0" applyNumberFormat="1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2" fontId="64" fillId="16" borderId="1" xfId="0" applyNumberFormat="1" applyFont="1" applyFill="1" applyBorder="1" applyAlignment="1">
      <alignment horizontal="center"/>
    </xf>
    <xf numFmtId="0" fontId="64" fillId="16" borderId="1" xfId="0" applyFont="1" applyFill="1" applyBorder="1" applyAlignment="1">
      <alignment horizontal="center"/>
    </xf>
    <xf numFmtId="165" fontId="87" fillId="0" borderId="1" xfId="0" applyNumberFormat="1" applyFont="1" applyFill="1" applyBorder="1" applyAlignment="1">
      <alignment horizontal="center"/>
    </xf>
    <xf numFmtId="2" fontId="87" fillId="0" borderId="1" xfId="0" applyNumberFormat="1" applyFont="1" applyFill="1" applyBorder="1" applyAlignment="1">
      <alignment horizontal="center"/>
    </xf>
    <xf numFmtId="167" fontId="87" fillId="0" borderId="1" xfId="0" applyNumberFormat="1" applyFont="1" applyFill="1" applyBorder="1" applyAlignment="1">
      <alignment horizontal="center"/>
    </xf>
    <xf numFmtId="1" fontId="87" fillId="0" borderId="1" xfId="0" applyNumberFormat="1" applyFont="1" applyFill="1" applyBorder="1" applyAlignment="1">
      <alignment horizontal="center"/>
    </xf>
    <xf numFmtId="0" fontId="87" fillId="0" borderId="1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165" fontId="77" fillId="0" borderId="1" xfId="0" applyNumberFormat="1" applyFont="1" applyFill="1" applyBorder="1" applyAlignment="1">
      <alignment horizontal="center"/>
    </xf>
    <xf numFmtId="2" fontId="77" fillId="0" borderId="1" xfId="0" applyNumberFormat="1" applyFont="1" applyFill="1" applyBorder="1" applyAlignment="1">
      <alignment horizontal="center"/>
    </xf>
    <xf numFmtId="167" fontId="77" fillId="0" borderId="1" xfId="0" applyNumberFormat="1" applyFont="1" applyFill="1" applyBorder="1" applyAlignment="1">
      <alignment horizontal="center"/>
    </xf>
    <xf numFmtId="1" fontId="77" fillId="0" borderId="1" xfId="0" applyNumberFormat="1" applyFont="1" applyFill="1" applyBorder="1" applyAlignment="1">
      <alignment horizontal="center"/>
    </xf>
    <xf numFmtId="0" fontId="77" fillId="0" borderId="1" xfId="0" applyFont="1" applyFill="1" applyBorder="1" applyAlignment="1">
      <alignment horizontal="center"/>
    </xf>
    <xf numFmtId="165" fontId="65" fillId="0" borderId="1" xfId="0" applyNumberFormat="1" applyFont="1" applyBorder="1" applyAlignment="1">
      <alignment horizontal="center"/>
    </xf>
    <xf numFmtId="0" fontId="65" fillId="0" borderId="1" xfId="0" applyFont="1" applyBorder="1" applyAlignment="1">
      <alignment horizontal="center"/>
    </xf>
    <xf numFmtId="2" fontId="65" fillId="16" borderId="1" xfId="0" applyNumberFormat="1" applyFont="1" applyFill="1" applyBorder="1" applyAlignment="1">
      <alignment horizontal="center"/>
    </xf>
    <xf numFmtId="0" fontId="65" fillId="16" borderId="1" xfId="0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6" fillId="7" borderId="1" xfId="0" applyNumberFormat="1" applyFont="1" applyFill="1" applyBorder="1" applyAlignment="1">
      <alignment horizontal="center"/>
    </xf>
    <xf numFmtId="2" fontId="76" fillId="7" borderId="1" xfId="0" applyNumberFormat="1" applyFont="1" applyFill="1" applyBorder="1" applyAlignment="1">
      <alignment horizontal="center"/>
    </xf>
    <xf numFmtId="167" fontId="76" fillId="7" borderId="1" xfId="0" applyNumberFormat="1" applyFont="1" applyFill="1" applyBorder="1" applyAlignment="1">
      <alignment horizontal="center"/>
    </xf>
    <xf numFmtId="1" fontId="76" fillId="7" borderId="1" xfId="0" applyNumberFormat="1" applyFont="1" applyFill="1" applyBorder="1" applyAlignment="1">
      <alignment horizontal="center"/>
    </xf>
    <xf numFmtId="0" fontId="76" fillId="7" borderId="1" xfId="0" applyFont="1" applyFill="1" applyBorder="1" applyAlignment="1">
      <alignment horizontal="center"/>
    </xf>
    <xf numFmtId="165" fontId="63" fillId="7" borderId="1" xfId="0" applyNumberFormat="1" applyFont="1" applyFill="1" applyBorder="1" applyAlignment="1">
      <alignment horizontal="center"/>
    </xf>
    <xf numFmtId="0" fontId="63" fillId="7" borderId="1" xfId="0" applyFont="1" applyFill="1" applyBorder="1" applyAlignment="1">
      <alignment horizontal="center"/>
    </xf>
    <xf numFmtId="0" fontId="76" fillId="7" borderId="0" xfId="0" applyFont="1" applyFill="1" applyAlignment="1">
      <alignment horizontal="center"/>
    </xf>
    <xf numFmtId="1" fontId="64" fillId="3" borderId="1" xfId="0" applyNumberFormat="1" applyFont="1" applyFill="1" applyBorder="1" applyAlignment="1">
      <alignment horizontal="center"/>
    </xf>
    <xf numFmtId="165" fontId="76" fillId="3" borderId="1" xfId="0" applyNumberFormat="1" applyFont="1" applyFill="1" applyBorder="1" applyAlignment="1">
      <alignment horizontal="center"/>
    </xf>
    <xf numFmtId="2" fontId="76" fillId="3" borderId="1" xfId="0" applyNumberFormat="1" applyFont="1" applyFill="1" applyBorder="1" applyAlignment="1">
      <alignment horizontal="center"/>
    </xf>
    <xf numFmtId="167" fontId="76" fillId="3" borderId="1" xfId="0" applyNumberFormat="1" applyFont="1" applyFill="1" applyBorder="1" applyAlignment="1">
      <alignment horizontal="center"/>
    </xf>
    <xf numFmtId="1" fontId="76" fillId="3" borderId="1" xfId="0" applyNumberFormat="1" applyFont="1" applyFill="1" applyBorder="1" applyAlignment="1">
      <alignment horizontal="center"/>
    </xf>
    <xf numFmtId="0" fontId="76" fillId="3" borderId="1" xfId="0" applyFont="1" applyFill="1" applyBorder="1" applyAlignment="1">
      <alignment horizontal="center"/>
    </xf>
    <xf numFmtId="165" fontId="63" fillId="3" borderId="1" xfId="0" applyNumberFormat="1" applyFont="1" applyFill="1" applyBorder="1" applyAlignment="1">
      <alignment horizontal="center"/>
    </xf>
    <xf numFmtId="0" fontId="63" fillId="3" borderId="1" xfId="0" applyFont="1" applyFill="1" applyBorder="1" applyAlignment="1">
      <alignment horizontal="center"/>
    </xf>
    <xf numFmtId="2" fontId="64" fillId="3" borderId="1" xfId="0" applyNumberFormat="1" applyFont="1" applyFill="1" applyBorder="1" applyAlignment="1">
      <alignment horizontal="center"/>
    </xf>
    <xf numFmtId="0" fontId="64" fillId="3" borderId="1" xfId="0" applyFont="1" applyFill="1" applyBorder="1" applyAlignment="1">
      <alignment horizontal="center"/>
    </xf>
    <xf numFmtId="0" fontId="76" fillId="3" borderId="0" xfId="0" applyFont="1" applyFill="1" applyAlignment="1">
      <alignment horizontal="center"/>
    </xf>
    <xf numFmtId="0" fontId="37" fillId="20" borderId="0" xfId="0" applyFont="1" applyFill="1" applyAlignment="1">
      <alignment horizontal="center"/>
    </xf>
    <xf numFmtId="165" fontId="37" fillId="20" borderId="0" xfId="0" applyNumberFormat="1" applyFont="1" applyFill="1" applyAlignment="1">
      <alignment horizontal="center"/>
    </xf>
    <xf numFmtId="2" fontId="37" fillId="20" borderId="0" xfId="0" applyNumberFormat="1" applyFont="1" applyFill="1" applyAlignment="1">
      <alignment horizontal="center"/>
    </xf>
    <xf numFmtId="0" fontId="37" fillId="20" borderId="0" xfId="0" applyFont="1" applyFill="1"/>
    <xf numFmtId="1" fontId="0" fillId="0" borderId="0" xfId="0" applyNumberFormat="1" applyAlignment="1">
      <alignment horizontal="center"/>
    </xf>
    <xf numFmtId="165" fontId="64" fillId="7" borderId="0" xfId="0" applyNumberFormat="1" applyFont="1" applyFill="1" applyAlignment="1">
      <alignment horizontal="center"/>
    </xf>
    <xf numFmtId="2" fontId="64" fillId="7" borderId="0" xfId="0" applyNumberFormat="1" applyFont="1" applyFill="1" applyAlignment="1">
      <alignment horizontal="center"/>
    </xf>
    <xf numFmtId="167" fontId="64" fillId="7" borderId="0" xfId="0" applyNumberFormat="1" applyFont="1" applyFill="1" applyAlignment="1">
      <alignment horizontal="center"/>
    </xf>
    <xf numFmtId="1" fontId="64" fillId="7" borderId="0" xfId="0" applyNumberFormat="1" applyFont="1" applyFill="1" applyAlignment="1">
      <alignment horizontal="center"/>
    </xf>
    <xf numFmtId="165" fontId="63" fillId="7" borderId="0" xfId="0" applyNumberFormat="1" applyFont="1" applyFill="1" applyAlignment="1">
      <alignment horizontal="center"/>
    </xf>
    <xf numFmtId="0" fontId="63" fillId="7" borderId="0" xfId="0" applyFont="1" applyFill="1" applyAlignment="1">
      <alignment horizontal="center"/>
    </xf>
    <xf numFmtId="1" fontId="63" fillId="7" borderId="0" xfId="0" applyNumberFormat="1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0" fillId="21" borderId="0" xfId="0" applyFill="1"/>
    <xf numFmtId="165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2" fontId="0" fillId="21" borderId="0" xfId="0" applyNumberFormat="1" applyFill="1" applyAlignment="1">
      <alignment horizontal="center"/>
    </xf>
    <xf numFmtId="0" fontId="52" fillId="21" borderId="0" xfId="0" applyFont="1" applyFill="1" applyAlignment="1">
      <alignment horizontal="center"/>
    </xf>
    <xf numFmtId="0" fontId="37" fillId="20" borderId="0" xfId="0" applyFont="1" applyFill="1" applyAlignment="1">
      <alignment horizontal="center" vertical="center"/>
    </xf>
    <xf numFmtId="0" fontId="52" fillId="20" borderId="0" xfId="0" applyFont="1" applyFill="1" applyAlignment="1">
      <alignment horizontal="center"/>
    </xf>
    <xf numFmtId="0" fontId="88" fillId="20" borderId="0" xfId="0" applyFont="1" applyFill="1" applyAlignment="1">
      <alignment horizontal="center" vertical="center"/>
    </xf>
    <xf numFmtId="165" fontId="88" fillId="20" borderId="0" xfId="0" applyNumberFormat="1" applyFont="1" applyFill="1" applyAlignment="1">
      <alignment horizontal="center"/>
    </xf>
    <xf numFmtId="0" fontId="88" fillId="20" borderId="0" xfId="0" applyFont="1" applyFill="1" applyAlignment="1">
      <alignment horizontal="center"/>
    </xf>
    <xf numFmtId="2" fontId="88" fillId="20" borderId="0" xfId="0" applyNumberFormat="1" applyFont="1" applyFill="1" applyAlignment="1">
      <alignment horizontal="center"/>
    </xf>
    <xf numFmtId="0" fontId="88" fillId="20" borderId="0" xfId="0" applyFont="1" applyFill="1"/>
    <xf numFmtId="0" fontId="69" fillId="0" borderId="0" xfId="0" applyFont="1" applyAlignment="1">
      <alignment horizontal="center"/>
    </xf>
    <xf numFmtId="1" fontId="88" fillId="20" borderId="0" xfId="0" applyNumberFormat="1" applyFont="1" applyFill="1" applyAlignment="1">
      <alignment horizontal="center"/>
    </xf>
    <xf numFmtId="2" fontId="37" fillId="20" borderId="0" xfId="0" applyNumberFormat="1" applyFont="1" applyFill="1" applyAlignment="1">
      <alignment horizontal="center" vertical="center"/>
    </xf>
    <xf numFmtId="167" fontId="37" fillId="0" borderId="0" xfId="0" applyNumberFormat="1" applyFont="1" applyFill="1" applyAlignment="1">
      <alignment horizontal="center"/>
    </xf>
    <xf numFmtId="2" fontId="37" fillId="0" borderId="0" xfId="0" applyNumberFormat="1" applyFont="1" applyFill="1" applyAlignment="1">
      <alignment horizontal="center"/>
    </xf>
    <xf numFmtId="0" fontId="37" fillId="23" borderId="0" xfId="0" applyFont="1" applyFill="1" applyAlignment="1">
      <alignment horizontal="center"/>
    </xf>
    <xf numFmtId="0" fontId="34" fillId="0" borderId="0" xfId="0" applyFont="1" applyFill="1" applyAlignment="1">
      <alignment horizontal="center" vertical="center"/>
    </xf>
    <xf numFmtId="165" fontId="34" fillId="0" borderId="0" xfId="0" applyNumberFormat="1" applyFont="1" applyFill="1" applyAlignment="1">
      <alignment horizontal="center" vertical="center"/>
    </xf>
    <xf numFmtId="2" fontId="33" fillId="0" borderId="0" xfId="0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" fontId="44" fillId="0" borderId="0" xfId="0" applyNumberFormat="1" applyFont="1" applyFill="1" applyAlignment="1">
      <alignment horizontal="center" vertical="center"/>
    </xf>
    <xf numFmtId="165" fontId="44" fillId="0" borderId="0" xfId="0" applyNumberFormat="1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2" fontId="44" fillId="0" borderId="0" xfId="0" applyNumberFormat="1" applyFont="1" applyFill="1" applyAlignment="1">
      <alignment horizontal="center" vertical="center"/>
    </xf>
    <xf numFmtId="0" fontId="44" fillId="0" borderId="0" xfId="0" applyFont="1" applyFill="1"/>
    <xf numFmtId="1" fontId="52" fillId="0" borderId="0" xfId="0" applyNumberFormat="1" applyFont="1" applyFill="1" applyAlignment="1">
      <alignment horizontal="center" vertical="center"/>
    </xf>
    <xf numFmtId="165" fontId="52" fillId="0" borderId="0" xfId="0" applyNumberFormat="1" applyFont="1" applyFill="1" applyAlignment="1">
      <alignment horizontal="center" vertical="center"/>
    </xf>
    <xf numFmtId="0" fontId="52" fillId="0" borderId="0" xfId="0" applyFont="1" applyFill="1" applyAlignment="1">
      <alignment horizontal="center" vertical="center"/>
    </xf>
    <xf numFmtId="0" fontId="52" fillId="0" borderId="0" xfId="0" applyFont="1" applyFill="1"/>
    <xf numFmtId="165" fontId="37" fillId="0" borderId="0" xfId="0" applyNumberFormat="1" applyFont="1" applyFill="1" applyAlignment="1">
      <alignment horizontal="center" vertical="center"/>
    </xf>
    <xf numFmtId="165" fontId="37" fillId="23" borderId="0" xfId="0" applyNumberFormat="1" applyFont="1" applyFill="1" applyAlignment="1">
      <alignment horizontal="center" vertical="center"/>
    </xf>
    <xf numFmtId="2" fontId="37" fillId="23" borderId="0" xfId="0" applyNumberFormat="1" applyFont="1" applyFill="1" applyAlignment="1">
      <alignment horizontal="center"/>
    </xf>
    <xf numFmtId="0" fontId="89" fillId="0" borderId="0" xfId="0" applyFont="1" applyAlignment="1">
      <alignment horizontal="center" vertical="center"/>
    </xf>
    <xf numFmtId="165" fontId="89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9" fillId="22" borderId="0" xfId="0" applyFont="1" applyFill="1" applyAlignment="1">
      <alignment horizontal="center" vertical="center"/>
    </xf>
    <xf numFmtId="165" fontId="89" fillId="22" borderId="0" xfId="0" applyNumberFormat="1" applyFont="1" applyFill="1" applyAlignment="1">
      <alignment horizontal="center" vertical="center"/>
    </xf>
    <xf numFmtId="2" fontId="89" fillId="22" borderId="0" xfId="0" applyNumberFormat="1" applyFont="1" applyFill="1" applyAlignment="1">
      <alignment horizontal="center" vertical="center"/>
    </xf>
    <xf numFmtId="1" fontId="89" fillId="22" borderId="0" xfId="0" applyNumberFormat="1" applyFont="1" applyFill="1" applyAlignment="1">
      <alignment horizontal="center" vertical="center"/>
    </xf>
    <xf numFmtId="1" fontId="89" fillId="22" borderId="0" xfId="0" applyNumberFormat="1" applyFont="1" applyFill="1" applyAlignment="1">
      <alignment horizontal="left" vertical="center"/>
    </xf>
    <xf numFmtId="0" fontId="89" fillId="22" borderId="0" xfId="0" applyFont="1" applyFill="1" applyAlignment="1">
      <alignment horizontal="left" vertical="center"/>
    </xf>
    <xf numFmtId="0" fontId="90" fillId="22" borderId="0" xfId="0" applyFont="1" applyFill="1" applyAlignment="1">
      <alignment horizontal="center" vertical="center"/>
    </xf>
    <xf numFmtId="0" fontId="89" fillId="22" borderId="0" xfId="0" applyFont="1" applyFill="1" applyAlignment="1">
      <alignment vertical="center"/>
    </xf>
    <xf numFmtId="0" fontId="89" fillId="24" borderId="0" xfId="0" applyFont="1" applyFill="1" applyAlignment="1">
      <alignment horizontal="center" vertical="center"/>
    </xf>
    <xf numFmtId="165" fontId="89" fillId="24" borderId="0" xfId="0" applyNumberFormat="1" applyFont="1" applyFill="1" applyAlignment="1">
      <alignment horizontal="center" vertical="center"/>
    </xf>
    <xf numFmtId="2" fontId="89" fillId="24" borderId="0" xfId="0" applyNumberFormat="1" applyFont="1" applyFill="1" applyAlignment="1">
      <alignment horizontal="center" vertical="center"/>
    </xf>
    <xf numFmtId="1" fontId="89" fillId="24" borderId="0" xfId="0" applyNumberFormat="1" applyFont="1" applyFill="1" applyAlignment="1">
      <alignment horizontal="center" vertical="center"/>
    </xf>
    <xf numFmtId="1" fontId="89" fillId="24" borderId="0" xfId="0" applyNumberFormat="1" applyFont="1" applyFill="1" applyAlignment="1">
      <alignment horizontal="left" vertical="center"/>
    </xf>
    <xf numFmtId="0" fontId="89" fillId="24" borderId="0" xfId="0" applyFont="1" applyFill="1" applyAlignment="1">
      <alignment horizontal="left" vertical="center"/>
    </xf>
    <xf numFmtId="0" fontId="90" fillId="24" borderId="0" xfId="0" applyFont="1" applyFill="1" applyAlignment="1">
      <alignment horizontal="center" vertical="center"/>
    </xf>
    <xf numFmtId="0" fontId="89" fillId="24" borderId="0" xfId="0" applyFont="1" applyFill="1" applyAlignment="1">
      <alignment vertical="center"/>
    </xf>
    <xf numFmtId="1" fontId="37" fillId="20" borderId="0" xfId="0" applyNumberFormat="1" applyFont="1" applyFill="1" applyAlignment="1">
      <alignment horizontal="center" vertical="center"/>
    </xf>
    <xf numFmtId="165" fontId="37" fillId="20" borderId="0" xfId="0" applyNumberFormat="1" applyFont="1" applyFill="1" applyAlignment="1">
      <alignment horizontal="center" vertical="center"/>
    </xf>
    <xf numFmtId="0" fontId="37" fillId="25" borderId="0" xfId="0" applyFont="1" applyFill="1"/>
    <xf numFmtId="2" fontId="37" fillId="25" borderId="0" xfId="0" applyNumberFormat="1" applyFont="1" applyFill="1" applyAlignment="1">
      <alignment horizontal="center" vertical="center"/>
    </xf>
    <xf numFmtId="2" fontId="37" fillId="25" borderId="0" xfId="0" applyNumberFormat="1" applyFont="1" applyFill="1"/>
    <xf numFmtId="3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167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3" fontId="0" fillId="0" borderId="0" xfId="305" applyNumberFormat="1" applyFont="1" applyFill="1" applyBorder="1" applyAlignment="1">
      <alignment horizontal="center"/>
    </xf>
    <xf numFmtId="0" fontId="0" fillId="0" borderId="0" xfId="305" applyFont="1" applyFill="1" applyBorder="1" applyAlignment="1">
      <alignment horizontal="center"/>
    </xf>
    <xf numFmtId="2" fontId="0" fillId="0" borderId="0" xfId="305" applyNumberFormat="1" applyFont="1" applyFill="1" applyBorder="1" applyAlignment="1">
      <alignment horizontal="center"/>
    </xf>
    <xf numFmtId="0" fontId="0" fillId="0" borderId="0" xfId="305" applyFont="1" applyFill="1" applyBorder="1"/>
    <xf numFmtId="3" fontId="0" fillId="0" borderId="0" xfId="300" applyNumberFormat="1" applyFont="1" applyFill="1" applyBorder="1" applyAlignment="1">
      <alignment horizontal="center"/>
    </xf>
    <xf numFmtId="0" fontId="0" fillId="0" borderId="0" xfId="300" applyFont="1" applyFill="1" applyBorder="1" applyAlignment="1">
      <alignment horizontal="center"/>
    </xf>
    <xf numFmtId="3" fontId="41" fillId="0" borderId="0" xfId="30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50" fillId="0" borderId="0" xfId="305" applyFont="1" applyFill="1" applyBorder="1" applyAlignment="1"/>
    <xf numFmtId="164" fontId="50" fillId="0" borderId="0" xfId="305" applyNumberFormat="1" applyFont="1" applyFill="1" applyBorder="1" applyAlignment="1">
      <alignment horizontal="center"/>
    </xf>
    <xf numFmtId="0" fontId="50" fillId="0" borderId="0" xfId="0" applyFont="1" applyFill="1" applyBorder="1"/>
    <xf numFmtId="3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89" fillId="8" borderId="0" xfId="0" applyFont="1" applyFill="1" applyAlignment="1">
      <alignment horizontal="center" vertical="center"/>
    </xf>
    <xf numFmtId="165" fontId="89" fillId="8" borderId="0" xfId="0" applyNumberFormat="1" applyFont="1" applyFill="1" applyAlignment="1">
      <alignment horizontal="center" vertical="center"/>
    </xf>
    <xf numFmtId="2" fontId="89" fillId="8" borderId="0" xfId="0" applyNumberFormat="1" applyFont="1" applyFill="1" applyAlignment="1">
      <alignment horizontal="center" vertical="center"/>
    </xf>
    <xf numFmtId="1" fontId="89" fillId="8" borderId="0" xfId="0" applyNumberFormat="1" applyFont="1" applyFill="1" applyAlignment="1">
      <alignment horizontal="center" vertical="center"/>
    </xf>
    <xf numFmtId="1" fontId="89" fillId="8" borderId="0" xfId="0" applyNumberFormat="1" applyFont="1" applyFill="1" applyAlignment="1">
      <alignment horizontal="left"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center" vertical="center"/>
    </xf>
    <xf numFmtId="0" fontId="89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/>
    </xf>
    <xf numFmtId="1" fontId="37" fillId="17" borderId="0" xfId="0" applyNumberFormat="1" applyFont="1" applyFill="1" applyAlignment="1">
      <alignment horizontal="center" vertical="center"/>
    </xf>
    <xf numFmtId="2" fontId="37" fillId="17" borderId="0" xfId="0" applyNumberFormat="1" applyFont="1" applyFill="1" applyAlignment="1">
      <alignment horizontal="center" vertical="center"/>
    </xf>
    <xf numFmtId="0" fontId="37" fillId="17" borderId="0" xfId="0" applyFont="1" applyFill="1" applyAlignment="1">
      <alignment horizontal="center" vertical="center"/>
    </xf>
    <xf numFmtId="0" fontId="37" fillId="17" borderId="0" xfId="0" applyFont="1" applyFill="1"/>
    <xf numFmtId="1" fontId="0" fillId="26" borderId="0" xfId="0" applyNumberFormat="1" applyFill="1" applyAlignment="1">
      <alignment horizontal="center" vertical="center"/>
    </xf>
    <xf numFmtId="2" fontId="0" fillId="26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165" fontId="0" fillId="26" borderId="0" xfId="0" applyNumberFormat="1" applyFill="1" applyAlignment="1">
      <alignment horizontal="center" vertical="center"/>
    </xf>
    <xf numFmtId="0" fontId="0" fillId="26" borderId="0" xfId="0" applyFill="1"/>
    <xf numFmtId="2" fontId="50" fillId="26" borderId="0" xfId="0" applyNumberFormat="1" applyFont="1" applyFill="1" applyAlignment="1">
      <alignment horizontal="center" vertical="center"/>
    </xf>
    <xf numFmtId="1" fontId="37" fillId="27" borderId="0" xfId="0" applyNumberFormat="1" applyFont="1" applyFill="1" applyAlignment="1">
      <alignment horizontal="center" vertical="center"/>
    </xf>
    <xf numFmtId="2" fontId="37" fillId="27" borderId="0" xfId="0" applyNumberFormat="1" applyFont="1" applyFill="1" applyAlignment="1">
      <alignment horizontal="center"/>
    </xf>
    <xf numFmtId="0" fontId="37" fillId="27" borderId="0" xfId="0" applyFont="1" applyFill="1" applyAlignment="1">
      <alignment horizontal="center" vertical="center"/>
    </xf>
    <xf numFmtId="2" fontId="37" fillId="27" borderId="0" xfId="0" applyNumberFormat="1" applyFont="1" applyFill="1" applyAlignment="1">
      <alignment horizontal="center" vertical="center"/>
    </xf>
    <xf numFmtId="165" fontId="37" fillId="27" borderId="0" xfId="0" applyNumberFormat="1" applyFont="1" applyFill="1" applyAlignment="1">
      <alignment horizontal="center" vertical="center"/>
    </xf>
    <xf numFmtId="0" fontId="37" fillId="27" borderId="0" xfId="0" applyFont="1" applyFill="1"/>
    <xf numFmtId="165" fontId="37" fillId="27" borderId="0" xfId="0" applyNumberFormat="1" applyFont="1" applyFill="1"/>
    <xf numFmtId="0" fontId="37" fillId="27" borderId="0" xfId="0" applyFont="1" applyFill="1" applyAlignment="1">
      <alignment horizontal="center"/>
    </xf>
    <xf numFmtId="0" fontId="91" fillId="21" borderId="0" xfId="0" applyFont="1" applyFill="1" applyAlignment="1">
      <alignment horizontal="center" vertical="center"/>
    </xf>
    <xf numFmtId="165" fontId="91" fillId="21" borderId="0" xfId="0" applyNumberFormat="1" applyFont="1" applyFill="1" applyAlignment="1">
      <alignment horizontal="center" vertical="center"/>
    </xf>
    <xf numFmtId="2" fontId="91" fillId="21" borderId="0" xfId="0" applyNumberFormat="1" applyFont="1" applyFill="1" applyAlignment="1">
      <alignment horizontal="center" vertical="center"/>
    </xf>
    <xf numFmtId="1" fontId="91" fillId="21" borderId="0" xfId="0" applyNumberFormat="1" applyFont="1" applyFill="1" applyAlignment="1">
      <alignment horizontal="center" vertical="center"/>
    </xf>
    <xf numFmtId="0" fontId="91" fillId="21" borderId="0" xfId="0" applyFont="1" applyFill="1" applyAlignment="1">
      <alignment horizontal="left" vertical="center"/>
    </xf>
    <xf numFmtId="0" fontId="92" fillId="21" borderId="0" xfId="0" applyFont="1" applyFill="1" applyAlignment="1">
      <alignment horizontal="center"/>
    </xf>
    <xf numFmtId="0" fontId="91" fillId="21" borderId="0" xfId="0" applyFont="1" applyFill="1" applyAlignment="1">
      <alignment vertical="center"/>
    </xf>
    <xf numFmtId="164" fontId="37" fillId="28" borderId="0" xfId="0" applyNumberFormat="1" applyFont="1" applyFill="1" applyAlignment="1">
      <alignment horizontal="center"/>
    </xf>
    <xf numFmtId="0" fontId="37" fillId="28" borderId="0" xfId="0" applyFont="1" applyFill="1" applyAlignment="1">
      <alignment horizontal="center"/>
    </xf>
    <xf numFmtId="165" fontId="37" fillId="28" borderId="0" xfId="0" applyNumberFormat="1" applyFont="1" applyFill="1" applyAlignment="1">
      <alignment horizontal="center"/>
    </xf>
    <xf numFmtId="0" fontId="37" fillId="28" borderId="0" xfId="0" applyFont="1" applyFill="1"/>
    <xf numFmtId="0" fontId="0" fillId="29" borderId="0" xfId="0" applyFill="1"/>
    <xf numFmtId="0" fontId="31" fillId="0" borderId="0" xfId="0" applyFont="1" applyFill="1" applyBorder="1" applyAlignment="1">
      <alignment horizontal="center"/>
    </xf>
    <xf numFmtId="0" fontId="56" fillId="0" borderId="0" xfId="7792" applyFill="1" applyBorder="1" applyAlignment="1">
      <alignment horizontal="center"/>
    </xf>
    <xf numFmtId="164" fontId="56" fillId="0" borderId="0" xfId="7792" applyNumberFormat="1" applyFill="1" applyBorder="1" applyAlignment="1">
      <alignment horizontal="center"/>
    </xf>
    <xf numFmtId="165" fontId="56" fillId="0" borderId="0" xfId="7792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29" fillId="0" borderId="0" xfId="8982" applyFill="1" applyBorder="1" applyAlignment="1">
      <alignment horizontal="center"/>
    </xf>
    <xf numFmtId="2" fontId="29" fillId="0" borderId="0" xfId="8982" applyNumberFormat="1" applyFill="1" applyBorder="1" applyAlignment="1">
      <alignment horizontal="center"/>
    </xf>
    <xf numFmtId="3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164" fontId="37" fillId="0" borderId="0" xfId="0" applyNumberFormat="1" applyFont="1" applyFill="1" applyBorder="1" applyAlignment="1">
      <alignment horizontal="center"/>
    </xf>
    <xf numFmtId="2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165" fontId="37" fillId="0" borderId="0" xfId="0" applyNumberFormat="1" applyFont="1" applyFill="1" applyBorder="1" applyAlignment="1">
      <alignment horizontal="center"/>
    </xf>
    <xf numFmtId="0" fontId="41" fillId="0" borderId="0" xfId="300" applyFill="1" applyBorder="1" applyAlignment="1">
      <alignment horizontal="center"/>
    </xf>
    <xf numFmtId="165" fontId="41" fillId="0" borderId="0" xfId="300" applyNumberFormat="1" applyFill="1" applyBorder="1" applyAlignment="1">
      <alignment horizontal="center"/>
    </xf>
    <xf numFmtId="2" fontId="41" fillId="0" borderId="0" xfId="300" applyNumberFormat="1" applyFill="1" applyBorder="1" applyAlignment="1">
      <alignment horizontal="center"/>
    </xf>
    <xf numFmtId="3" fontId="52" fillId="0" borderId="0" xfId="0" applyNumberFormat="1" applyFont="1" applyFill="1" applyBorder="1" applyAlignment="1">
      <alignment horizontal="center"/>
    </xf>
    <xf numFmtId="164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70" fontId="50" fillId="0" borderId="0" xfId="0" applyNumberFormat="1" applyFont="1" applyFill="1" applyBorder="1" applyAlignment="1">
      <alignment horizontal="center"/>
    </xf>
    <xf numFmtId="4" fontId="37" fillId="0" borderId="0" xfId="0" applyNumberFormat="1" applyFont="1" applyFill="1" applyBorder="1" applyAlignment="1">
      <alignment horizontal="center"/>
    </xf>
    <xf numFmtId="170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 vertical="center"/>
    </xf>
    <xf numFmtId="2" fontId="52" fillId="0" borderId="0" xfId="0" applyNumberFormat="1" applyFont="1" applyFill="1" applyBorder="1" applyAlignment="1">
      <alignment horizontal="center"/>
    </xf>
    <xf numFmtId="0" fontId="37" fillId="0" borderId="0" xfId="0" applyNumberFormat="1" applyFont="1" applyFill="1" applyBorder="1" applyAlignment="1">
      <alignment horizontal="center"/>
    </xf>
    <xf numFmtId="164" fontId="52" fillId="0" borderId="0" xfId="0" applyNumberFormat="1" applyFont="1" applyFill="1" applyAlignment="1">
      <alignment horizontal="center"/>
    </xf>
    <xf numFmtId="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67" fontId="52" fillId="0" borderId="0" xfId="0" applyNumberFormat="1" applyFont="1" applyFill="1" applyAlignment="1">
      <alignment horizontal="center"/>
    </xf>
    <xf numFmtId="1" fontId="52" fillId="0" borderId="0" xfId="0" applyNumberFormat="1" applyFont="1" applyFill="1" applyAlignment="1">
      <alignment horizontal="center"/>
    </xf>
    <xf numFmtId="2" fontId="52" fillId="0" borderId="0" xfId="0" applyNumberFormat="1" applyFont="1" applyFill="1" applyAlignment="1">
      <alignment horizontal="center"/>
    </xf>
    <xf numFmtId="0" fontId="52" fillId="0" borderId="0" xfId="0" applyNumberFormat="1" applyFont="1" applyFill="1" applyBorder="1" applyAlignment="1">
      <alignment horizontal="center"/>
    </xf>
    <xf numFmtId="164" fontId="37" fillId="0" borderId="0" xfId="0" applyNumberFormat="1" applyFont="1" applyFill="1" applyAlignment="1">
      <alignment horizontal="center"/>
    </xf>
    <xf numFmtId="4" fontId="37" fillId="0" borderId="0" xfId="0" applyNumberFormat="1" applyFont="1" applyFill="1" applyAlignment="1">
      <alignment horizontal="center"/>
    </xf>
    <xf numFmtId="171" fontId="37" fillId="0" borderId="0" xfId="0" applyNumberFormat="1" applyFont="1" applyFill="1" applyAlignment="1">
      <alignment horizontal="center"/>
    </xf>
    <xf numFmtId="164" fontId="37" fillId="0" borderId="0" xfId="0" applyNumberFormat="1" applyFont="1" applyFill="1"/>
    <xf numFmtId="165" fontId="37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" fontId="37" fillId="19" borderId="0" xfId="0" applyNumberFormat="1" applyFont="1" applyFill="1" applyAlignment="1">
      <alignment horizontal="center" vertical="center"/>
    </xf>
    <xf numFmtId="2" fontId="37" fillId="19" borderId="0" xfId="0" applyNumberFormat="1" applyFont="1" applyFill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165" fontId="37" fillId="19" borderId="0" xfId="0" applyNumberFormat="1" applyFont="1" applyFill="1" applyAlignment="1">
      <alignment horizontal="center" vertical="center"/>
    </xf>
    <xf numFmtId="0" fontId="37" fillId="19" borderId="0" xfId="0" applyFont="1" applyFill="1"/>
    <xf numFmtId="0" fontId="37" fillId="0" borderId="0" xfId="0" applyFont="1" applyAlignment="1">
      <alignment horizontal="center"/>
    </xf>
    <xf numFmtId="0" fontId="91" fillId="9" borderId="0" xfId="0" applyFont="1" applyFill="1" applyAlignment="1">
      <alignment horizontal="center" vertical="center"/>
    </xf>
    <xf numFmtId="165" fontId="91" fillId="9" borderId="0" xfId="0" applyNumberFormat="1" applyFont="1" applyFill="1" applyAlignment="1">
      <alignment horizontal="center" vertical="center"/>
    </xf>
    <xf numFmtId="2" fontId="91" fillId="9" borderId="0" xfId="0" applyNumberFormat="1" applyFont="1" applyFill="1" applyAlignment="1">
      <alignment horizontal="center" vertical="center"/>
    </xf>
    <xf numFmtId="1" fontId="91" fillId="9" borderId="0" xfId="0" applyNumberFormat="1" applyFont="1" applyFill="1" applyAlignment="1">
      <alignment horizontal="center" vertical="center"/>
    </xf>
    <xf numFmtId="0" fontId="91" fillId="9" borderId="0" xfId="0" applyFont="1" applyFill="1" applyAlignment="1">
      <alignment horizontal="left" vertical="center"/>
    </xf>
    <xf numFmtId="165" fontId="63" fillId="9" borderId="0" xfId="0" applyNumberFormat="1" applyFont="1" applyFill="1" applyAlignment="1">
      <alignment horizontal="center"/>
    </xf>
    <xf numFmtId="0" fontId="92" fillId="9" borderId="0" xfId="0" applyFont="1" applyFill="1" applyAlignment="1">
      <alignment horizontal="center"/>
    </xf>
    <xf numFmtId="0" fontId="90" fillId="9" borderId="0" xfId="0" applyFont="1" applyFill="1" applyAlignment="1">
      <alignment horizontal="center" vertical="center"/>
    </xf>
    <xf numFmtId="0" fontId="89" fillId="9" borderId="0" xfId="0" applyFont="1" applyFill="1" applyAlignment="1">
      <alignment horizontal="center" vertical="center"/>
    </xf>
    <xf numFmtId="0" fontId="91" fillId="9" borderId="0" xfId="0" applyFont="1" applyFill="1" applyAlignment="1">
      <alignment vertical="center"/>
    </xf>
    <xf numFmtId="1" fontId="37" fillId="30" borderId="0" xfId="0" applyNumberFormat="1" applyFont="1" applyFill="1" applyAlignment="1">
      <alignment horizontal="center" vertical="center"/>
    </xf>
    <xf numFmtId="2" fontId="37" fillId="30" borderId="0" xfId="0" applyNumberFormat="1" applyFont="1" applyFill="1" applyAlignment="1">
      <alignment horizontal="center" vertical="center"/>
    </xf>
    <xf numFmtId="0" fontId="37" fillId="30" borderId="0" xfId="0" applyFont="1" applyFill="1" applyAlignment="1">
      <alignment horizontal="center" vertical="center"/>
    </xf>
    <xf numFmtId="165" fontId="37" fillId="30" borderId="0" xfId="0" applyNumberFormat="1" applyFont="1" applyFill="1" applyAlignment="1">
      <alignment horizontal="center" vertical="center"/>
    </xf>
    <xf numFmtId="0" fontId="37" fillId="30" borderId="0" xfId="0" applyFont="1" applyFill="1"/>
    <xf numFmtId="164" fontId="37" fillId="31" borderId="0" xfId="0" applyNumberFormat="1" applyFont="1" applyFill="1" applyAlignment="1">
      <alignment horizontal="center"/>
    </xf>
    <xf numFmtId="0" fontId="37" fillId="31" borderId="0" xfId="0" applyFont="1" applyFill="1" applyAlignment="1">
      <alignment horizontal="center"/>
    </xf>
    <xf numFmtId="165" fontId="37" fillId="31" borderId="0" xfId="0" applyNumberFormat="1" applyFont="1" applyFill="1" applyAlignment="1">
      <alignment horizontal="center"/>
    </xf>
    <xf numFmtId="2" fontId="37" fillId="31" borderId="0" xfId="0" applyNumberFormat="1" applyFont="1" applyFill="1" applyAlignment="1">
      <alignment horizontal="center"/>
    </xf>
    <xf numFmtId="0" fontId="37" fillId="31" borderId="0" xfId="0" applyFont="1" applyFill="1"/>
    <xf numFmtId="3" fontId="37" fillId="20" borderId="0" xfId="0" applyNumberFormat="1" applyFont="1" applyFill="1" applyAlignment="1">
      <alignment horizontal="center"/>
    </xf>
    <xf numFmtId="164" fontId="37" fillId="20" borderId="0" xfId="0" applyNumberFormat="1" applyFont="1" applyFill="1" applyAlignment="1">
      <alignment horizontal="center"/>
    </xf>
    <xf numFmtId="0" fontId="37" fillId="25" borderId="0" xfId="0" applyFont="1" applyFill="1" applyAlignment="1">
      <alignment horizontal="center"/>
    </xf>
    <xf numFmtId="0" fontId="50" fillId="27" borderId="0" xfId="0" applyFont="1" applyFill="1" applyAlignment="1">
      <alignment horizontal="center" vertical="center"/>
    </xf>
    <xf numFmtId="0" fontId="37" fillId="0" borderId="0" xfId="0" applyFont="1"/>
    <xf numFmtId="0" fontId="91" fillId="8" borderId="0" xfId="0" applyFont="1" applyFill="1" applyAlignment="1">
      <alignment horizontal="center" vertical="center"/>
    </xf>
    <xf numFmtId="165" fontId="91" fillId="8" borderId="0" xfId="0" applyNumberFormat="1" applyFont="1" applyFill="1" applyAlignment="1">
      <alignment horizontal="center" vertical="center"/>
    </xf>
    <xf numFmtId="2" fontId="91" fillId="8" borderId="0" xfId="0" applyNumberFormat="1" applyFont="1" applyFill="1" applyAlignment="1">
      <alignment horizontal="center" vertical="center"/>
    </xf>
    <xf numFmtId="1" fontId="91" fillId="8" borderId="0" xfId="0" applyNumberFormat="1" applyFont="1" applyFill="1" applyAlignment="1">
      <alignment horizontal="center" vertical="center"/>
    </xf>
    <xf numFmtId="167" fontId="91" fillId="8" borderId="0" xfId="0" applyNumberFormat="1" applyFont="1" applyFill="1" applyAlignment="1">
      <alignment horizontal="center" vertical="center"/>
    </xf>
    <xf numFmtId="0" fontId="91" fillId="8" borderId="0" xfId="0" applyFont="1" applyFill="1" applyAlignment="1">
      <alignment horizontal="left" vertical="center"/>
    </xf>
    <xf numFmtId="165" fontId="63" fillId="8" borderId="0" xfId="0" applyNumberFormat="1" applyFont="1" applyFill="1" applyAlignment="1">
      <alignment horizontal="center"/>
    </xf>
    <xf numFmtId="0" fontId="92" fillId="8" borderId="0" xfId="0" applyFont="1" applyFill="1" applyAlignment="1">
      <alignment horizontal="center"/>
    </xf>
    <xf numFmtId="0" fontId="91" fillId="8" borderId="0" xfId="0" applyFont="1" applyFill="1" applyAlignment="1">
      <alignment vertical="center"/>
    </xf>
    <xf numFmtId="165" fontId="53" fillId="0" borderId="0" xfId="0" applyNumberFormat="1" applyFont="1" applyFill="1" applyBorder="1" applyAlignment="1">
      <alignment horizontal="center"/>
    </xf>
    <xf numFmtId="1" fontId="37" fillId="25" borderId="0" xfId="0" applyNumberFormat="1" applyFont="1" applyFill="1" applyAlignment="1">
      <alignment horizontal="center" vertical="center"/>
    </xf>
    <xf numFmtId="0" fontId="37" fillId="25" borderId="0" xfId="0" applyFont="1" applyFill="1" applyAlignment="1">
      <alignment horizontal="center" vertical="center"/>
    </xf>
    <xf numFmtId="165" fontId="37" fillId="25" borderId="0" xfId="0" applyNumberFormat="1" applyFont="1" applyFill="1" applyAlignment="1">
      <alignment horizontal="center" vertical="center"/>
    </xf>
    <xf numFmtId="165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" fontId="37" fillId="0" borderId="0" xfId="0" applyNumberFormat="1" applyFont="1" applyAlignment="1">
      <alignment horizontal="center" vertical="center"/>
    </xf>
    <xf numFmtId="165" fontId="37" fillId="0" borderId="0" xfId="0" applyNumberFormat="1" applyFont="1"/>
    <xf numFmtId="2" fontId="37" fillId="0" borderId="0" xfId="0" applyNumberFormat="1" applyFont="1" applyAlignment="1">
      <alignment horizontal="center" vertical="center"/>
    </xf>
    <xf numFmtId="1" fontId="37" fillId="32" borderId="0" xfId="0" applyNumberFormat="1" applyFont="1" applyFill="1" applyAlignment="1">
      <alignment horizontal="center" vertical="center"/>
    </xf>
    <xf numFmtId="2" fontId="37" fillId="32" borderId="0" xfId="0" applyNumberFormat="1" applyFont="1" applyFill="1" applyAlignment="1">
      <alignment horizontal="center" vertical="center"/>
    </xf>
    <xf numFmtId="0" fontId="37" fillId="32" borderId="0" xfId="0" applyFont="1" applyFill="1" applyAlignment="1">
      <alignment horizontal="center" vertical="center"/>
    </xf>
    <xf numFmtId="165" fontId="37" fillId="32" borderId="0" xfId="0" applyNumberFormat="1" applyFont="1" applyFill="1" applyAlignment="1">
      <alignment horizontal="center" vertical="center"/>
    </xf>
    <xf numFmtId="0" fontId="37" fillId="32" borderId="0" xfId="0" applyFont="1" applyFill="1" applyAlignment="1">
      <alignment horizontal="center"/>
    </xf>
    <xf numFmtId="2" fontId="37" fillId="32" borderId="0" xfId="0" applyNumberFormat="1" applyFont="1" applyFill="1" applyAlignment="1">
      <alignment horizontal="center"/>
    </xf>
    <xf numFmtId="0" fontId="91" fillId="33" borderId="0" xfId="0" applyFont="1" applyFill="1" applyAlignment="1">
      <alignment horizontal="center" vertical="center"/>
    </xf>
    <xf numFmtId="2" fontId="91" fillId="33" borderId="0" xfId="0" applyNumberFormat="1" applyFont="1" applyFill="1" applyAlignment="1">
      <alignment horizontal="center" vertical="center"/>
    </xf>
    <xf numFmtId="165" fontId="91" fillId="33" borderId="0" xfId="0" applyNumberFormat="1" applyFont="1" applyFill="1" applyAlignment="1">
      <alignment horizontal="center" vertical="center"/>
    </xf>
    <xf numFmtId="167" fontId="91" fillId="33" borderId="0" xfId="0" applyNumberFormat="1" applyFont="1" applyFill="1" applyAlignment="1">
      <alignment horizontal="center" vertical="center"/>
    </xf>
    <xf numFmtId="0" fontId="91" fillId="33" borderId="0" xfId="0" applyFont="1" applyFill="1" applyAlignment="1">
      <alignment horizontal="left" vertical="center"/>
    </xf>
    <xf numFmtId="165" fontId="63" fillId="33" borderId="0" xfId="0" applyNumberFormat="1" applyFont="1" applyFill="1" applyAlignment="1">
      <alignment horizontal="center"/>
    </xf>
    <xf numFmtId="0" fontId="92" fillId="33" borderId="0" xfId="0" applyFont="1" applyFill="1" applyAlignment="1">
      <alignment horizontal="center"/>
    </xf>
    <xf numFmtId="0" fontId="90" fillId="33" borderId="0" xfId="0" applyFont="1" applyFill="1" applyAlignment="1">
      <alignment horizontal="center" vertical="center"/>
    </xf>
    <xf numFmtId="0" fontId="89" fillId="33" borderId="0" xfId="0" applyFont="1" applyFill="1" applyAlignment="1">
      <alignment horizontal="center" vertical="center"/>
    </xf>
    <xf numFmtId="0" fontId="91" fillId="33" borderId="0" xfId="0" applyFont="1" applyFill="1" applyAlignment="1">
      <alignment vertical="center"/>
    </xf>
    <xf numFmtId="3" fontId="0" fillId="34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165" fontId="0" fillId="34" borderId="0" xfId="0" applyNumberFormat="1" applyFill="1" applyAlignment="1">
      <alignment horizontal="center"/>
    </xf>
    <xf numFmtId="167" fontId="0" fillId="34" borderId="0" xfId="0" applyNumberFormat="1" applyFill="1" applyAlignment="1">
      <alignment horizontal="center"/>
    </xf>
    <xf numFmtId="0" fontId="0" fillId="34" borderId="0" xfId="0" applyFill="1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37" fillId="35" borderId="0" xfId="0" applyNumberFormat="1" applyFont="1" applyFill="1" applyAlignment="1">
      <alignment horizontal="center" vertical="center"/>
    </xf>
    <xf numFmtId="165" fontId="37" fillId="35" borderId="0" xfId="0" applyNumberFormat="1" applyFont="1" applyFill="1" applyAlignment="1">
      <alignment horizontal="center" vertical="center"/>
    </xf>
    <xf numFmtId="0" fontId="37" fillId="35" borderId="0" xfId="0" applyFont="1" applyFill="1" applyAlignment="1">
      <alignment horizontal="center" vertical="center"/>
    </xf>
    <xf numFmtId="165" fontId="37" fillId="27" borderId="0" xfId="0" applyNumberFormat="1" applyFont="1" applyFill="1" applyAlignment="1">
      <alignment horizontal="center"/>
    </xf>
    <xf numFmtId="0" fontId="52" fillId="27" borderId="0" xfId="0" applyFont="1" applyFill="1" applyAlignment="1">
      <alignment horizontal="center"/>
    </xf>
    <xf numFmtId="1" fontId="64" fillId="36" borderId="0" xfId="0" applyNumberFormat="1" applyFont="1" applyFill="1" applyBorder="1" applyAlignment="1">
      <alignment horizontal="left"/>
    </xf>
    <xf numFmtId="0" fontId="93" fillId="36" borderId="0" xfId="0" applyFont="1" applyFill="1" applyBorder="1" applyAlignment="1">
      <alignment horizontal="left"/>
    </xf>
    <xf numFmtId="3" fontId="43" fillId="6" borderId="0" xfId="320" applyNumberFormat="1" applyAlignment="1">
      <alignment horizontal="center"/>
    </xf>
    <xf numFmtId="3" fontId="43" fillId="6" borderId="6" xfId="320" applyNumberFormat="1" applyBorder="1" applyAlignment="1">
      <alignment horizontal="center"/>
    </xf>
    <xf numFmtId="164" fontId="43" fillId="6" borderId="0" xfId="320" applyNumberFormat="1" applyAlignment="1">
      <alignment horizontal="center"/>
    </xf>
    <xf numFmtId="0" fontId="43" fillId="6" borderId="0" xfId="320" applyAlignment="1">
      <alignment horizontal="center"/>
    </xf>
    <xf numFmtId="165" fontId="43" fillId="6" borderId="0" xfId="320" applyNumberFormat="1" applyAlignment="1">
      <alignment horizontal="center"/>
    </xf>
    <xf numFmtId="0" fontId="43" fillId="6" borderId="0" xfId="320"/>
    <xf numFmtId="0" fontId="0" fillId="0" borderId="0" xfId="0" applyNumberFormat="1" applyFont="1" applyFill="1" applyBorder="1" applyAlignment="1">
      <alignment horizontal="center"/>
    </xf>
    <xf numFmtId="0" fontId="0" fillId="0" borderId="0" xfId="305" applyNumberFormat="1" applyFont="1" applyFill="1" applyBorder="1" applyAlignment="1">
      <alignment horizontal="center"/>
    </xf>
    <xf numFmtId="0" fontId="50" fillId="0" borderId="0" xfId="300" applyNumberFormat="1" applyFont="1" applyFill="1" applyBorder="1" applyAlignment="1">
      <alignment horizontal="center"/>
    </xf>
    <xf numFmtId="0" fontId="50" fillId="0" borderId="0" xfId="305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56" fillId="0" borderId="0" xfId="7792" applyNumberFormat="1" applyFill="1" applyBorder="1" applyAlignment="1">
      <alignment horizontal="center"/>
    </xf>
    <xf numFmtId="0" fontId="29" fillId="0" borderId="0" xfId="8982" applyNumberFormat="1" applyFill="1" applyBorder="1" applyAlignment="1">
      <alignment horizontal="center"/>
    </xf>
    <xf numFmtId="0" fontId="41" fillId="0" borderId="0" xfId="300" applyNumberForma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0" fontId="37" fillId="28" borderId="0" xfId="0" applyNumberFormat="1" applyFont="1" applyFill="1" applyAlignment="1">
      <alignment horizontal="center"/>
    </xf>
    <xf numFmtId="0" fontId="37" fillId="31" borderId="0" xfId="0" applyNumberFormat="1" applyFont="1" applyFill="1" applyAlignment="1">
      <alignment horizontal="center"/>
    </xf>
    <xf numFmtId="0" fontId="37" fillId="20" borderId="0" xfId="0" applyNumberFormat="1" applyFont="1" applyFill="1" applyAlignment="1">
      <alignment horizontal="center"/>
    </xf>
    <xf numFmtId="0" fontId="0" fillId="34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0" fontId="43" fillId="6" borderId="0" xfId="320" applyNumberFormat="1" applyAlignment="1">
      <alignment horizontal="center"/>
    </xf>
    <xf numFmtId="2" fontId="0" fillId="34" borderId="0" xfId="0" applyNumberFormat="1" applyFill="1" applyAlignment="1">
      <alignment horizontal="center"/>
    </xf>
    <xf numFmtId="0" fontId="0" fillId="37" borderId="0" xfId="0" applyFill="1" applyAlignment="1">
      <alignment horizontal="center" vertical="center"/>
    </xf>
    <xf numFmtId="165" fontId="0" fillId="37" borderId="0" xfId="0" applyNumberFormat="1" applyFill="1" applyAlignment="1">
      <alignment horizontal="center"/>
    </xf>
    <xf numFmtId="0" fontId="0" fillId="37" borderId="0" xfId="0" applyFill="1" applyAlignment="1">
      <alignment horizontal="center"/>
    </xf>
    <xf numFmtId="2" fontId="0" fillId="37" borderId="0" xfId="0" applyNumberFormat="1" applyFill="1" applyAlignment="1">
      <alignment horizontal="center"/>
    </xf>
    <xf numFmtId="0" fontId="52" fillId="37" borderId="0" xfId="0" applyFont="1" applyFill="1" applyAlignment="1">
      <alignment horizontal="center"/>
    </xf>
    <xf numFmtId="0" fontId="0" fillId="37" borderId="0" xfId="0" applyFill="1"/>
    <xf numFmtId="1" fontId="0" fillId="3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2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68" fillId="38" borderId="0" xfId="0" applyFont="1" applyFill="1" applyAlignment="1">
      <alignment horizontal="center"/>
    </xf>
    <xf numFmtId="165" fontId="68" fillId="38" borderId="0" xfId="0" applyNumberFormat="1" applyFont="1" applyFill="1" applyAlignment="1">
      <alignment horizontal="center"/>
    </xf>
    <xf numFmtId="2" fontId="68" fillId="38" borderId="0" xfId="0" applyNumberFormat="1" applyFont="1" applyFill="1" applyAlignment="1">
      <alignment horizontal="center"/>
    </xf>
    <xf numFmtId="1" fontId="68" fillId="38" borderId="0" xfId="0" applyNumberFormat="1" applyFont="1" applyFill="1" applyAlignment="1">
      <alignment horizontal="center"/>
    </xf>
    <xf numFmtId="167" fontId="68" fillId="38" borderId="0" xfId="0" applyNumberFormat="1" applyFont="1" applyFill="1" applyAlignment="1">
      <alignment horizontal="center"/>
    </xf>
    <xf numFmtId="1" fontId="55" fillId="12" borderId="5" xfId="7751" applyNumberFormat="1" applyAlignment="1">
      <alignment horizontal="center"/>
    </xf>
    <xf numFmtId="165" fontId="55" fillId="12" borderId="5" xfId="7751" applyNumberFormat="1" applyAlignment="1">
      <alignment horizontal="center"/>
    </xf>
    <xf numFmtId="0" fontId="55" fillId="12" borderId="5" xfId="7751" applyAlignment="1">
      <alignment horizontal="center"/>
    </xf>
    <xf numFmtId="2" fontId="55" fillId="12" borderId="5" xfId="7751" applyNumberFormat="1" applyAlignment="1">
      <alignment horizontal="center"/>
    </xf>
    <xf numFmtId="0" fontId="0" fillId="34" borderId="0" xfId="0" applyFill="1" applyAlignment="1">
      <alignment horizontal="center" vertical="center"/>
    </xf>
    <xf numFmtId="0" fontId="52" fillId="34" borderId="0" xfId="0" applyFont="1" applyFill="1" applyAlignment="1">
      <alignment horizontal="center"/>
    </xf>
    <xf numFmtId="0" fontId="37" fillId="22" borderId="0" xfId="0" applyFont="1" applyFill="1" applyAlignment="1">
      <alignment horizontal="center" vertical="center"/>
    </xf>
    <xf numFmtId="165" fontId="37" fillId="22" borderId="0" xfId="0" applyNumberFormat="1" applyFont="1" applyFill="1" applyAlignment="1">
      <alignment horizontal="center"/>
    </xf>
    <xf numFmtId="2" fontId="37" fillId="22" borderId="0" xfId="0" applyNumberFormat="1" applyFont="1" applyFill="1" applyAlignment="1">
      <alignment horizontal="center"/>
    </xf>
    <xf numFmtId="0" fontId="37" fillId="22" borderId="0" xfId="0" applyFont="1" applyFill="1" applyAlignment="1">
      <alignment horizontal="center"/>
    </xf>
    <xf numFmtId="0" fontId="37" fillId="7" borderId="0" xfId="0" applyFont="1" applyFill="1" applyAlignment="1">
      <alignment horizontal="center"/>
    </xf>
    <xf numFmtId="2" fontId="37" fillId="7" borderId="0" xfId="0" applyNumberFormat="1" applyFont="1" applyFill="1" applyAlignment="1">
      <alignment horizontal="center"/>
    </xf>
    <xf numFmtId="0" fontId="37" fillId="7" borderId="0" xfId="0" applyFont="1" applyFill="1"/>
    <xf numFmtId="0" fontId="52" fillId="7" borderId="0" xfId="0" applyFont="1" applyFill="1" applyAlignment="1">
      <alignment horizontal="center"/>
    </xf>
    <xf numFmtId="165" fontId="37" fillId="17" borderId="0" xfId="0" applyNumberFormat="1" applyFont="1" applyFill="1" applyAlignment="1">
      <alignment horizontal="center"/>
    </xf>
    <xf numFmtId="2" fontId="37" fillId="17" borderId="0" xfId="0" applyNumberFormat="1" applyFont="1" applyFill="1" applyAlignment="1">
      <alignment horizontal="center"/>
    </xf>
    <xf numFmtId="0" fontId="37" fillId="17" borderId="0" xfId="0" applyFont="1" applyFill="1" applyAlignment="1">
      <alignment horizontal="center"/>
    </xf>
    <xf numFmtId="2" fontId="37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0" fontId="37" fillId="39" borderId="0" xfId="0" applyFont="1" applyFill="1" applyAlignment="1">
      <alignment horizontal="center" vertical="center"/>
    </xf>
    <xf numFmtId="165" fontId="37" fillId="0" borderId="0" xfId="0" applyNumberFormat="1" applyFont="1" applyAlignment="1">
      <alignment horizontal="center"/>
    </xf>
    <xf numFmtId="1" fontId="37" fillId="0" borderId="0" xfId="0" applyNumberFormat="1" applyFont="1" applyAlignment="1">
      <alignment horizontal="center"/>
    </xf>
    <xf numFmtId="0" fontId="0" fillId="0" borderId="0" xfId="0" applyFont="1"/>
    <xf numFmtId="2" fontId="49" fillId="0" borderId="0" xfId="0" applyNumberFormat="1" applyFont="1" applyFill="1" applyAlignment="1">
      <alignment horizontal="center"/>
    </xf>
    <xf numFmtId="0" fontId="0" fillId="40" borderId="0" xfId="0" applyFont="1" applyFill="1"/>
    <xf numFmtId="1" fontId="53" fillId="41" borderId="0" xfId="0" applyNumberFormat="1" applyFont="1" applyFill="1" applyBorder="1" applyAlignment="1">
      <alignment horizontal="center"/>
    </xf>
    <xf numFmtId="0" fontId="50" fillId="41" borderId="0" xfId="0" applyFont="1" applyFill="1" applyBorder="1" applyAlignment="1">
      <alignment horizontal="center"/>
    </xf>
    <xf numFmtId="0" fontId="53" fillId="41" borderId="0" xfId="0" applyFont="1" applyFill="1" applyBorder="1" applyAlignment="1">
      <alignment horizontal="center"/>
    </xf>
    <xf numFmtId="165" fontId="53" fillId="41" borderId="0" xfId="0" applyNumberFormat="1" applyFont="1" applyFill="1" applyBorder="1" applyAlignment="1">
      <alignment horizontal="center"/>
    </xf>
    <xf numFmtId="165" fontId="50" fillId="41" borderId="0" xfId="0" applyNumberFormat="1" applyFont="1" applyFill="1" applyBorder="1" applyAlignment="1">
      <alignment horizontal="center"/>
    </xf>
    <xf numFmtId="1" fontId="53" fillId="42" borderId="0" xfId="0" applyNumberFormat="1" applyFont="1" applyFill="1" applyBorder="1" applyAlignment="1">
      <alignment horizontal="center"/>
    </xf>
    <xf numFmtId="0" fontId="53" fillId="42" borderId="0" xfId="0" applyFont="1" applyFill="1" applyBorder="1" applyAlignment="1">
      <alignment horizontal="center"/>
    </xf>
    <xf numFmtId="2" fontId="53" fillId="42" borderId="0" xfId="0" applyNumberFormat="1" applyFont="1" applyFill="1" applyBorder="1" applyAlignment="1">
      <alignment horizontal="center"/>
    </xf>
    <xf numFmtId="2" fontId="44" fillId="42" borderId="0" xfId="0" applyNumberFormat="1" applyFont="1" applyFill="1" applyAlignment="1">
      <alignment horizontal="center" vertical="center" wrapText="1"/>
    </xf>
    <xf numFmtId="0" fontId="94" fillId="0" borderId="0" xfId="0" applyNumberFormat="1" applyFont="1" applyFill="1" applyAlignment="1">
      <alignment horizontal="center"/>
    </xf>
    <xf numFmtId="164" fontId="94" fillId="0" borderId="0" xfId="0" applyNumberFormat="1" applyFont="1" applyFill="1" applyAlignment="1">
      <alignment horizontal="center"/>
    </xf>
    <xf numFmtId="0" fontId="94" fillId="0" borderId="0" xfId="0" applyFont="1" applyFill="1" applyAlignment="1">
      <alignment horizontal="center"/>
    </xf>
    <xf numFmtId="2" fontId="94" fillId="0" borderId="0" xfId="0" applyNumberFormat="1" applyFont="1" applyFill="1" applyAlignment="1">
      <alignment horizontal="center"/>
    </xf>
    <xf numFmtId="0" fontId="94" fillId="43" borderId="0" xfId="0" applyFont="1" applyFill="1" applyAlignment="1">
      <alignment horizontal="center"/>
    </xf>
    <xf numFmtId="0" fontId="0" fillId="43" borderId="0" xfId="0" applyFill="1"/>
    <xf numFmtId="0" fontId="50" fillId="43" borderId="0" xfId="0" applyNumberFormat="1" applyFont="1" applyFill="1" applyAlignment="1">
      <alignment horizontal="center"/>
    </xf>
    <xf numFmtId="164" fontId="50" fillId="43" borderId="0" xfId="0" applyNumberFormat="1" applyFont="1" applyFill="1" applyAlignment="1">
      <alignment horizontal="center"/>
    </xf>
    <xf numFmtId="0" fontId="50" fillId="43" borderId="0" xfId="0" applyFont="1" applyFill="1" applyAlignment="1">
      <alignment horizontal="center"/>
    </xf>
    <xf numFmtId="0" fontId="50" fillId="43" borderId="0" xfId="0" applyFont="1" applyFill="1" applyAlignment="1" applyProtection="1">
      <alignment horizontal="center" vertical="top"/>
      <protection locked="0"/>
    </xf>
    <xf numFmtId="2" fontId="64" fillId="44" borderId="0" xfId="0" applyNumberFormat="1" applyFont="1" applyFill="1" applyAlignment="1">
      <alignment horizontal="center"/>
    </xf>
    <xf numFmtId="165" fontId="53" fillId="42" borderId="0" xfId="0" applyNumberFormat="1" applyFont="1" applyFill="1" applyBorder="1" applyAlignment="1">
      <alignment horizontal="center"/>
    </xf>
    <xf numFmtId="164" fontId="50" fillId="33" borderId="0" xfId="0" applyNumberFormat="1" applyFont="1" applyFill="1" applyBorder="1" applyAlignment="1">
      <alignment horizontal="center"/>
    </xf>
    <xf numFmtId="164" fontId="53" fillId="33" borderId="0" xfId="0" applyNumberFormat="1" applyFont="1" applyFill="1" applyBorder="1" applyAlignment="1">
      <alignment horizontal="center"/>
    </xf>
    <xf numFmtId="0" fontId="53" fillId="33" borderId="0" xfId="0" applyFont="1" applyFill="1" applyBorder="1" applyAlignment="1">
      <alignment horizontal="center"/>
    </xf>
    <xf numFmtId="164" fontId="53" fillId="21" borderId="2" xfId="0" applyNumberFormat="1" applyFont="1" applyFill="1" applyBorder="1" applyAlignment="1">
      <alignment horizontal="center"/>
    </xf>
    <xf numFmtId="0" fontId="53" fillId="21" borderId="2" xfId="0" applyFont="1" applyFill="1" applyBorder="1" applyAlignment="1">
      <alignment horizontal="center"/>
    </xf>
    <xf numFmtId="2" fontId="53" fillId="21" borderId="2" xfId="0" applyNumberFormat="1" applyFont="1" applyFill="1" applyBorder="1" applyAlignment="1">
      <alignment horizontal="center"/>
    </xf>
    <xf numFmtId="0" fontId="50" fillId="21" borderId="0" xfId="0" applyFont="1" applyFill="1"/>
    <xf numFmtId="164" fontId="53" fillId="21" borderId="3" xfId="0" applyNumberFormat="1" applyFont="1" applyFill="1" applyBorder="1" applyAlignment="1">
      <alignment horizontal="center"/>
    </xf>
    <xf numFmtId="0" fontId="53" fillId="21" borderId="3" xfId="0" applyFont="1" applyFill="1" applyBorder="1" applyAlignment="1">
      <alignment horizontal="center"/>
    </xf>
    <xf numFmtId="2" fontId="53" fillId="21" borderId="3" xfId="0" applyNumberFormat="1" applyFont="1" applyFill="1" applyBorder="1" applyAlignment="1">
      <alignment horizontal="center"/>
    </xf>
    <xf numFmtId="164" fontId="53" fillId="7" borderId="1" xfId="0" applyNumberFormat="1" applyFont="1" applyFill="1" applyBorder="1" applyAlignment="1">
      <alignment horizontal="center"/>
    </xf>
    <xf numFmtId="0" fontId="53" fillId="7" borderId="1" xfId="0" applyFont="1" applyFill="1" applyBorder="1" applyAlignment="1">
      <alignment horizontal="center"/>
    </xf>
    <xf numFmtId="165" fontId="53" fillId="7" borderId="1" xfId="0" applyNumberFormat="1" applyFont="1" applyFill="1" applyBorder="1" applyAlignment="1">
      <alignment horizontal="center"/>
    </xf>
    <xf numFmtId="0" fontId="53" fillId="7" borderId="0" xfId="0" applyFont="1" applyFill="1" applyAlignment="1">
      <alignment horizontal="center"/>
    </xf>
    <xf numFmtId="0" fontId="50" fillId="7" borderId="0" xfId="0" applyFont="1" applyFill="1"/>
    <xf numFmtId="2" fontId="78" fillId="0" borderId="1" xfId="0" applyNumberFormat="1" applyFont="1" applyFill="1" applyBorder="1" applyAlignment="1">
      <alignment horizontal="center"/>
    </xf>
    <xf numFmtId="164" fontId="78" fillId="9" borderId="1" xfId="0" applyNumberFormat="1" applyFont="1" applyFill="1" applyBorder="1" applyAlignment="1">
      <alignment horizontal="center"/>
    </xf>
    <xf numFmtId="0" fontId="78" fillId="9" borderId="1" xfId="0" applyFont="1" applyFill="1" applyBorder="1" applyAlignment="1">
      <alignment horizontal="center"/>
    </xf>
    <xf numFmtId="165" fontId="78" fillId="9" borderId="1" xfId="0" applyNumberFormat="1" applyFont="1" applyFill="1" applyBorder="1" applyAlignment="1">
      <alignment horizontal="center"/>
    </xf>
    <xf numFmtId="164" fontId="96" fillId="9" borderId="1" xfId="0" applyNumberFormat="1" applyFont="1" applyFill="1" applyBorder="1" applyAlignment="1">
      <alignment horizontal="center" vertical="center"/>
    </xf>
    <xf numFmtId="0" fontId="96" fillId="9" borderId="1" xfId="0" applyFont="1" applyFill="1" applyBorder="1" applyAlignment="1">
      <alignment horizontal="center" vertical="center"/>
    </xf>
    <xf numFmtId="165" fontId="96" fillId="9" borderId="1" xfId="0" applyNumberFormat="1" applyFont="1" applyFill="1" applyBorder="1" applyAlignment="1">
      <alignment horizontal="center" vertical="center"/>
    </xf>
    <xf numFmtId="0" fontId="54" fillId="9" borderId="4" xfId="7726" applyFill="1" applyBorder="1" applyAlignment="1">
      <alignment horizontal="center"/>
    </xf>
    <xf numFmtId="165" fontId="64" fillId="9" borderId="0" xfId="0" applyNumberFormat="1" applyFont="1" applyFill="1" applyAlignment="1">
      <alignment horizontal="center"/>
    </xf>
    <xf numFmtId="2" fontId="64" fillId="9" borderId="0" xfId="0" applyNumberFormat="1" applyFont="1" applyFill="1" applyAlignment="1">
      <alignment horizontal="center"/>
    </xf>
    <xf numFmtId="0" fontId="64" fillId="9" borderId="0" xfId="0" applyFont="1" applyFill="1" applyAlignment="1">
      <alignment horizontal="center"/>
    </xf>
    <xf numFmtId="1" fontId="64" fillId="9" borderId="0" xfId="0" applyNumberFormat="1" applyFont="1" applyFill="1" applyAlignment="1">
      <alignment horizontal="center"/>
    </xf>
    <xf numFmtId="167" fontId="64" fillId="9" borderId="0" xfId="0" applyNumberFormat="1" applyFont="1" applyFill="1" applyAlignment="1">
      <alignment horizontal="center"/>
    </xf>
    <xf numFmtId="0" fontId="65" fillId="9" borderId="0" xfId="0" applyFont="1" applyFill="1" applyAlignment="1">
      <alignment horizontal="center"/>
    </xf>
    <xf numFmtId="0" fontId="41" fillId="45" borderId="4" xfId="300" applyFill="1" applyBorder="1" applyAlignment="1">
      <alignment horizontal="center"/>
    </xf>
    <xf numFmtId="165" fontId="64" fillId="45" borderId="0" xfId="0" applyNumberFormat="1" applyFont="1" applyFill="1" applyAlignment="1">
      <alignment horizontal="center"/>
    </xf>
    <xf numFmtId="2" fontId="64" fillId="45" borderId="0" xfId="0" applyNumberFormat="1" applyFont="1" applyFill="1" applyAlignment="1">
      <alignment horizontal="center"/>
    </xf>
    <xf numFmtId="0" fontId="64" fillId="45" borderId="0" xfId="0" applyFont="1" applyFill="1" applyAlignment="1">
      <alignment horizontal="center"/>
    </xf>
    <xf numFmtId="1" fontId="64" fillId="45" borderId="0" xfId="0" applyNumberFormat="1" applyFont="1" applyFill="1" applyAlignment="1">
      <alignment horizontal="center"/>
    </xf>
    <xf numFmtId="167" fontId="64" fillId="45" borderId="0" xfId="0" applyNumberFormat="1" applyFont="1" applyFill="1" applyAlignment="1">
      <alignment horizontal="center"/>
    </xf>
    <xf numFmtId="0" fontId="65" fillId="45" borderId="0" xfId="0" applyFont="1" applyFill="1" applyAlignment="1">
      <alignment horizontal="center"/>
    </xf>
    <xf numFmtId="0" fontId="51" fillId="16" borderId="4" xfId="3675" applyFill="1" applyAlignment="1">
      <alignment horizontal="center"/>
    </xf>
    <xf numFmtId="165" fontId="64" fillId="16" borderId="0" xfId="0" applyNumberFormat="1" applyFont="1" applyFill="1" applyAlignment="1">
      <alignment horizontal="center"/>
    </xf>
    <xf numFmtId="1" fontId="64" fillId="16" borderId="0" xfId="0" applyNumberFormat="1" applyFont="1" applyFill="1" applyAlignment="1">
      <alignment horizontal="center"/>
    </xf>
    <xf numFmtId="167" fontId="64" fillId="16" borderId="0" xfId="0" applyNumberFormat="1" applyFont="1" applyFill="1" applyAlignment="1">
      <alignment horizontal="center"/>
    </xf>
    <xf numFmtId="0" fontId="65" fillId="16" borderId="0" xfId="0" applyFont="1" applyFill="1" applyAlignment="1">
      <alignment horizontal="center"/>
    </xf>
    <xf numFmtId="0" fontId="51" fillId="46" borderId="4" xfId="3675" applyFill="1" applyAlignment="1">
      <alignment horizontal="center"/>
    </xf>
    <xf numFmtId="165" fontId="64" fillId="46" borderId="0" xfId="0" applyNumberFormat="1" applyFont="1" applyFill="1" applyAlignment="1">
      <alignment horizontal="center"/>
    </xf>
    <xf numFmtId="0" fontId="0" fillId="46" borderId="0" xfId="0" applyFill="1" applyAlignment="1">
      <alignment horizontal="center"/>
    </xf>
    <xf numFmtId="0" fontId="64" fillId="46" borderId="0" xfId="0" applyFont="1" applyFill="1" applyAlignment="1">
      <alignment horizontal="center"/>
    </xf>
    <xf numFmtId="1" fontId="64" fillId="46" borderId="0" xfId="0" applyNumberFormat="1" applyFont="1" applyFill="1" applyAlignment="1">
      <alignment horizontal="center"/>
    </xf>
    <xf numFmtId="167" fontId="64" fillId="46" borderId="0" xfId="0" applyNumberFormat="1" applyFont="1" applyFill="1" applyAlignment="1">
      <alignment horizontal="center"/>
    </xf>
    <xf numFmtId="2" fontId="64" fillId="46" borderId="0" xfId="0" applyNumberFormat="1" applyFont="1" applyFill="1" applyAlignment="1">
      <alignment horizontal="center"/>
    </xf>
    <xf numFmtId="0" fontId="0" fillId="46" borderId="0" xfId="0" applyFill="1"/>
    <xf numFmtId="0" fontId="65" fillId="46" borderId="0" xfId="0" applyFont="1" applyFill="1" applyAlignment="1">
      <alignment horizontal="center"/>
    </xf>
    <xf numFmtId="165" fontId="65" fillId="0" borderId="0" xfId="0" applyNumberFormat="1" applyFont="1" applyAlignment="1">
      <alignment horizontal="center"/>
    </xf>
    <xf numFmtId="0" fontId="64" fillId="47" borderId="0" xfId="0" applyFont="1" applyFill="1" applyAlignment="1">
      <alignment horizontal="center"/>
    </xf>
    <xf numFmtId="165" fontId="64" fillId="47" borderId="0" xfId="0" applyNumberFormat="1" applyFont="1" applyFill="1" applyAlignment="1">
      <alignment horizontal="center"/>
    </xf>
    <xf numFmtId="2" fontId="64" fillId="47" borderId="0" xfId="0" applyNumberFormat="1" applyFont="1" applyFill="1" applyAlignment="1">
      <alignment horizontal="center"/>
    </xf>
    <xf numFmtId="0" fontId="65" fillId="47" borderId="0" xfId="0" applyFont="1" applyFill="1" applyAlignment="1">
      <alignment horizontal="center"/>
    </xf>
    <xf numFmtId="0" fontId="0" fillId="40" borderId="7" xfId="0" applyFont="1" applyFill="1" applyBorder="1"/>
    <xf numFmtId="0" fontId="0" fillId="7" borderId="0" xfId="0" applyFill="1" applyAlignment="1">
      <alignment horizontal="center" vertical="center" wrapText="1"/>
    </xf>
    <xf numFmtId="0" fontId="69" fillId="7" borderId="0" xfId="0" applyFont="1" applyFill="1" applyAlignment="1">
      <alignment horizontal="center"/>
    </xf>
    <xf numFmtId="2" fontId="69" fillId="7" borderId="0" xfId="0" applyNumberFormat="1" applyFont="1" applyFill="1" applyAlignment="1">
      <alignment horizontal="center"/>
    </xf>
    <xf numFmtId="1" fontId="64" fillId="47" borderId="0" xfId="0" applyNumberFormat="1" applyFont="1" applyFill="1" applyAlignment="1">
      <alignment horizontal="center"/>
    </xf>
    <xf numFmtId="1" fontId="69" fillId="7" borderId="0" xfId="0" applyNumberFormat="1" applyFont="1" applyFill="1" applyAlignment="1">
      <alignment horizontal="center"/>
    </xf>
    <xf numFmtId="165" fontId="69" fillId="7" borderId="0" xfId="0" applyNumberFormat="1" applyFont="1" applyFill="1" applyAlignment="1">
      <alignment horizontal="center"/>
    </xf>
    <xf numFmtId="0" fontId="64" fillId="48" borderId="0" xfId="0" applyFont="1" applyFill="1" applyAlignment="1">
      <alignment horizontal="center"/>
    </xf>
    <xf numFmtId="165" fontId="64" fillId="48" borderId="0" xfId="0" applyNumberFormat="1" applyFont="1" applyFill="1" applyAlignment="1">
      <alignment horizontal="center"/>
    </xf>
    <xf numFmtId="2" fontId="64" fillId="48" borderId="0" xfId="0" applyNumberFormat="1" applyFont="1" applyFill="1" applyAlignment="1">
      <alignment horizontal="center"/>
    </xf>
    <xf numFmtId="1" fontId="64" fillId="48" borderId="0" xfId="0" applyNumberFormat="1" applyFont="1" applyFill="1" applyAlignment="1">
      <alignment horizontal="center"/>
    </xf>
    <xf numFmtId="0" fontId="0" fillId="48" borderId="0" xfId="0" applyFont="1" applyFill="1"/>
    <xf numFmtId="0" fontId="65" fillId="48" borderId="0" xfId="0" applyFont="1" applyFill="1" applyAlignment="1">
      <alignment horizontal="center"/>
    </xf>
    <xf numFmtId="0" fontId="37" fillId="49" borderId="0" xfId="0" applyFont="1" applyFill="1" applyBorder="1"/>
    <xf numFmtId="0" fontId="0" fillId="49" borderId="0" xfId="0" applyFont="1" applyFill="1"/>
    <xf numFmtId="0" fontId="0" fillId="48" borderId="0" xfId="0" applyFont="1" applyFill="1" applyBorder="1"/>
    <xf numFmtId="1" fontId="69" fillId="48" borderId="0" xfId="0" applyNumberFormat="1" applyFont="1" applyFill="1" applyAlignment="1">
      <alignment horizontal="center"/>
    </xf>
    <xf numFmtId="0" fontId="69" fillId="48" borderId="0" xfId="0" applyFont="1" applyFill="1" applyAlignment="1">
      <alignment horizontal="center"/>
    </xf>
    <xf numFmtId="165" fontId="65" fillId="48" borderId="0" xfId="0" applyNumberFormat="1" applyFont="1" applyFill="1" applyAlignment="1">
      <alignment horizontal="center"/>
    </xf>
    <xf numFmtId="2" fontId="65" fillId="48" borderId="0" xfId="0" applyNumberFormat="1" applyFont="1" applyFill="1" applyAlignment="1">
      <alignment horizontal="center"/>
    </xf>
    <xf numFmtId="1" fontId="65" fillId="48" borderId="0" xfId="0" applyNumberFormat="1" applyFont="1" applyFill="1" applyAlignment="1">
      <alignment horizontal="center"/>
    </xf>
    <xf numFmtId="0" fontId="96" fillId="48" borderId="0" xfId="0" applyFont="1" applyFill="1"/>
    <xf numFmtId="0" fontId="96" fillId="49" borderId="0" xfId="0" applyFont="1" applyFill="1"/>
    <xf numFmtId="0" fontId="0" fillId="33" borderId="0" xfId="0" applyNumberFormat="1" applyFill="1" applyAlignment="1">
      <alignment horizontal="center"/>
    </xf>
    <xf numFmtId="0" fontId="50" fillId="33" borderId="0" xfId="0" applyFont="1" applyFill="1" applyAlignment="1">
      <alignment horizontal="center"/>
    </xf>
    <xf numFmtId="164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0" fillId="33" borderId="0" xfId="0" applyFill="1" applyAlignment="1" applyProtection="1">
      <alignment horizontal="center" vertical="center"/>
      <protection locked="0"/>
    </xf>
    <xf numFmtId="0" fontId="0" fillId="33" borderId="0" xfId="0" applyFill="1" applyAlignment="1">
      <alignment horizontal="center" vertical="center" wrapText="1"/>
    </xf>
    <xf numFmtId="0" fontId="0" fillId="33" borderId="0" xfId="0" applyNumberFormat="1" applyFill="1" applyAlignment="1">
      <alignment horizontal="center" vertical="center" wrapText="1"/>
    </xf>
    <xf numFmtId="0" fontId="64" fillId="43" borderId="0" xfId="0" applyFont="1" applyFill="1" applyAlignment="1">
      <alignment horizontal="center"/>
    </xf>
    <xf numFmtId="165" fontId="64" fillId="43" borderId="0" xfId="0" applyNumberFormat="1" applyFont="1" applyFill="1" applyAlignment="1">
      <alignment horizontal="center"/>
    </xf>
    <xf numFmtId="0" fontId="69" fillId="43" borderId="0" xfId="0" applyFont="1" applyFill="1" applyAlignment="1">
      <alignment horizontal="center"/>
    </xf>
    <xf numFmtId="2" fontId="64" fillId="43" borderId="0" xfId="0" applyNumberFormat="1" applyFont="1" applyFill="1" applyAlignment="1">
      <alignment horizontal="center"/>
    </xf>
    <xf numFmtId="1" fontId="64" fillId="43" borderId="0" xfId="0" applyNumberFormat="1" applyFont="1" applyFill="1" applyAlignment="1">
      <alignment horizontal="center"/>
    </xf>
    <xf numFmtId="0" fontId="0" fillId="43" borderId="0" xfId="0" applyFont="1" applyFill="1"/>
    <xf numFmtId="165" fontId="69" fillId="43" borderId="0" xfId="0" applyNumberFormat="1" applyFont="1" applyFill="1" applyAlignment="1">
      <alignment horizontal="center"/>
    </xf>
    <xf numFmtId="0" fontId="65" fillId="43" borderId="0" xfId="0" applyFont="1" applyFill="1" applyAlignment="1">
      <alignment horizontal="center"/>
    </xf>
    <xf numFmtId="0" fontId="0" fillId="50" borderId="0" xfId="0" applyFont="1" applyFill="1"/>
    <xf numFmtId="2" fontId="69" fillId="43" borderId="0" xfId="0" applyNumberFormat="1" applyFont="1" applyFill="1" applyAlignment="1">
      <alignment horizontal="center"/>
    </xf>
    <xf numFmtId="1" fontId="53" fillId="7" borderId="0" xfId="0" applyNumberFormat="1" applyFont="1" applyFill="1" applyBorder="1" applyAlignment="1">
      <alignment horizontal="center"/>
    </xf>
    <xf numFmtId="0" fontId="50" fillId="7" borderId="0" xfId="0" applyFont="1" applyFill="1" applyBorder="1" applyAlignment="1">
      <alignment horizontal="center"/>
    </xf>
    <xf numFmtId="0" fontId="53" fillId="7" borderId="0" xfId="0" applyFont="1" applyFill="1" applyBorder="1" applyAlignment="1">
      <alignment horizontal="center"/>
    </xf>
    <xf numFmtId="1" fontId="53" fillId="21" borderId="0" xfId="0" applyNumberFormat="1" applyFont="1" applyFill="1" applyBorder="1" applyAlignment="1">
      <alignment horizontal="center"/>
    </xf>
    <xf numFmtId="0" fontId="53" fillId="21" borderId="0" xfId="0" applyFont="1" applyFill="1" applyBorder="1" applyAlignment="1">
      <alignment horizontal="center"/>
    </xf>
    <xf numFmtId="165" fontId="53" fillId="21" borderId="0" xfId="0" applyNumberFormat="1" applyFont="1" applyFill="1" applyBorder="1" applyAlignment="1">
      <alignment horizontal="center"/>
    </xf>
    <xf numFmtId="0" fontId="44" fillId="21" borderId="0" xfId="0" applyFont="1" applyFill="1" applyAlignment="1">
      <alignment horizontal="center" vertical="center" wrapText="1"/>
    </xf>
    <xf numFmtId="0" fontId="64" fillId="0" borderId="0" xfId="0" applyNumberFormat="1" applyFont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44" fillId="0" borderId="0" xfId="0" applyFont="1" applyFill="1" applyAlignment="1">
      <alignment horizontal="center" vertical="center" wrapText="1"/>
    </xf>
    <xf numFmtId="0" fontId="64" fillId="51" borderId="0" xfId="0" applyFont="1" applyFill="1" applyAlignment="1">
      <alignment horizontal="center"/>
    </xf>
    <xf numFmtId="165" fontId="64" fillId="51" borderId="0" xfId="0" applyNumberFormat="1" applyFont="1" applyFill="1" applyAlignment="1">
      <alignment horizontal="center"/>
    </xf>
    <xf numFmtId="2" fontId="64" fillId="51" borderId="0" xfId="0" applyNumberFormat="1" applyFont="1" applyFill="1" applyAlignment="1">
      <alignment horizontal="center"/>
    </xf>
    <xf numFmtId="1" fontId="64" fillId="51" borderId="0" xfId="0" applyNumberFormat="1" applyFont="1" applyFill="1" applyAlignment="1">
      <alignment horizontal="center"/>
    </xf>
    <xf numFmtId="167" fontId="64" fillId="51" borderId="0" xfId="0" applyNumberFormat="1" applyFont="1" applyFill="1" applyAlignment="1">
      <alignment horizontal="center"/>
    </xf>
    <xf numFmtId="0" fontId="65" fillId="51" borderId="0" xfId="0" applyFont="1" applyFill="1" applyAlignment="1">
      <alignment horizontal="center"/>
    </xf>
    <xf numFmtId="0" fontId="0" fillId="9" borderId="0" xfId="0" applyNumberFormat="1" applyFill="1" applyAlignment="1">
      <alignment horizontal="center"/>
    </xf>
    <xf numFmtId="0" fontId="50" fillId="9" borderId="0" xfId="0" applyFont="1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 applyAlignment="1" applyProtection="1">
      <alignment horizontal="center" vertical="center"/>
      <protection locked="0"/>
    </xf>
    <xf numFmtId="2" fontId="0" fillId="9" borderId="0" xfId="0" applyNumberFormat="1" applyFill="1" applyAlignment="1">
      <alignment horizontal="center"/>
    </xf>
    <xf numFmtId="0" fontId="0" fillId="9" borderId="0" xfId="0" applyFill="1"/>
    <xf numFmtId="1" fontId="53" fillId="52" borderId="0" xfId="0" applyNumberFormat="1" applyFont="1" applyFill="1" applyBorder="1" applyAlignment="1">
      <alignment horizontal="center"/>
    </xf>
    <xf numFmtId="0" fontId="50" fillId="52" borderId="0" xfId="0" applyFont="1" applyFill="1" applyBorder="1" applyAlignment="1">
      <alignment horizontal="center"/>
    </xf>
    <xf numFmtId="0" fontId="53" fillId="52" borderId="0" xfId="0" applyFont="1" applyFill="1" applyBorder="1" applyAlignment="1">
      <alignment horizontal="center"/>
    </xf>
    <xf numFmtId="0" fontId="0" fillId="53" borderId="0" xfId="0" applyNumberFormat="1" applyFill="1" applyAlignment="1">
      <alignment horizontal="center"/>
    </xf>
    <xf numFmtId="3" fontId="0" fillId="53" borderId="0" xfId="0" applyNumberFormat="1" applyFill="1" applyAlignment="1">
      <alignment horizontal="center"/>
    </xf>
    <xf numFmtId="164" fontId="0" fillId="53" borderId="0" xfId="0" applyNumberFormat="1" applyFill="1" applyAlignment="1">
      <alignment horizontal="center"/>
    </xf>
    <xf numFmtId="0" fontId="0" fillId="53" borderId="0" xfId="0" applyFill="1" applyAlignment="1">
      <alignment horizontal="center"/>
    </xf>
    <xf numFmtId="2" fontId="0" fillId="53" borderId="0" xfId="0" applyNumberFormat="1" applyFill="1" applyAlignment="1">
      <alignment horizontal="center"/>
    </xf>
    <xf numFmtId="0" fontId="65" fillId="7" borderId="0" xfId="0" applyFont="1" applyFill="1" applyAlignment="1">
      <alignment horizontal="center"/>
    </xf>
    <xf numFmtId="0" fontId="52" fillId="7" borderId="0" xfId="0" applyFont="1" applyFill="1" applyBorder="1" applyAlignment="1">
      <alignment horizontal="center"/>
    </xf>
    <xf numFmtId="0" fontId="97" fillId="7" borderId="0" xfId="0" applyFont="1" applyFill="1" applyBorder="1" applyAlignment="1">
      <alignment horizontal="center"/>
    </xf>
    <xf numFmtId="0" fontId="0" fillId="7" borderId="0" xfId="0" applyNumberFormat="1" applyFill="1" applyAlignment="1">
      <alignment horizontal="center"/>
    </xf>
    <xf numFmtId="3" fontId="0" fillId="7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0" fillId="7" borderId="0" xfId="0" applyFill="1" applyAlignment="1" applyProtection="1">
      <alignment horizontal="center" vertical="top"/>
      <protection locked="0"/>
    </xf>
    <xf numFmtId="0" fontId="0" fillId="7" borderId="0" xfId="0" applyFill="1"/>
    <xf numFmtId="0" fontId="0" fillId="0" borderId="0" xfId="0" applyFill="1" applyAlignment="1" applyProtection="1">
      <alignment horizontal="center" vertical="top"/>
      <protection locked="0"/>
    </xf>
    <xf numFmtId="167" fontId="50" fillId="7" borderId="0" xfId="0" applyNumberFormat="1" applyFont="1" applyFill="1" applyAlignment="1">
      <alignment horizontal="center"/>
    </xf>
    <xf numFmtId="2" fontId="50" fillId="7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43" borderId="0" xfId="0" applyNumberFormat="1" applyFill="1" applyAlignment="1">
      <alignment horizontal="center"/>
    </xf>
    <xf numFmtId="3" fontId="0" fillId="43" borderId="0" xfId="0" applyNumberFormat="1" applyFill="1" applyAlignment="1">
      <alignment horizontal="center"/>
    </xf>
    <xf numFmtId="164" fontId="0" fillId="43" borderId="0" xfId="0" applyNumberFormat="1" applyFill="1" applyAlignment="1">
      <alignment horizontal="center"/>
    </xf>
    <xf numFmtId="0" fontId="0" fillId="43" borderId="0" xfId="0" applyFill="1" applyAlignment="1">
      <alignment horizontal="center"/>
    </xf>
    <xf numFmtId="0" fontId="0" fillId="43" borderId="0" xfId="0" applyFill="1" applyAlignment="1" applyProtection="1">
      <alignment horizontal="center" vertical="top"/>
      <protection locked="0"/>
    </xf>
    <xf numFmtId="1" fontId="0" fillId="43" borderId="0" xfId="0" applyNumberFormat="1" applyFill="1" applyAlignment="1">
      <alignment horizontal="center"/>
    </xf>
    <xf numFmtId="0" fontId="0" fillId="0" borderId="0" xfId="0" applyAlignment="1" applyProtection="1">
      <alignment horizontal="center" vertical="top"/>
      <protection locked="0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65" fillId="0" borderId="0" xfId="0" applyNumberFormat="1" applyFont="1" applyFill="1" applyAlignment="1">
      <alignment horizontal="center"/>
    </xf>
    <xf numFmtId="1" fontId="43" fillId="6" borderId="0" xfId="320" applyNumberFormat="1" applyBorder="1" applyAlignment="1">
      <alignment horizontal="center"/>
    </xf>
    <xf numFmtId="0" fontId="43" fillId="6" borderId="0" xfId="320" applyBorder="1" applyAlignment="1">
      <alignment horizontal="center"/>
    </xf>
    <xf numFmtId="1" fontId="42" fillId="5" borderId="0" xfId="305" applyNumberFormat="1" applyBorder="1" applyAlignment="1">
      <alignment horizontal="center"/>
    </xf>
    <xf numFmtId="0" fontId="42" fillId="5" borderId="0" xfId="305" applyBorder="1" applyAlignment="1">
      <alignment horizontal="center"/>
    </xf>
    <xf numFmtId="2" fontId="42" fillId="5" borderId="0" xfId="305" applyNumberFormat="1" applyBorder="1" applyAlignment="1">
      <alignment horizontal="center"/>
    </xf>
    <xf numFmtId="165" fontId="64" fillId="0" borderId="0" xfId="0" applyNumberFormat="1" applyFont="1" applyFill="1" applyAlignment="1">
      <alignment horizontal="center"/>
    </xf>
    <xf numFmtId="1" fontId="64" fillId="0" borderId="0" xfId="0" applyNumberFormat="1" applyFont="1" applyFill="1" applyAlignment="1">
      <alignment horizontal="center"/>
    </xf>
    <xf numFmtId="3" fontId="0" fillId="0" borderId="2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64" fillId="33" borderId="0" xfId="0" applyNumberFormat="1" applyFont="1" applyFill="1" applyAlignment="1">
      <alignment horizontal="center"/>
    </xf>
    <xf numFmtId="165" fontId="64" fillId="33" borderId="0" xfId="0" applyNumberFormat="1" applyFont="1" applyFill="1" applyAlignment="1">
      <alignment horizontal="center"/>
    </xf>
    <xf numFmtId="2" fontId="64" fillId="33" borderId="0" xfId="0" applyNumberFormat="1" applyFont="1" applyFill="1" applyAlignment="1">
      <alignment horizontal="center"/>
    </xf>
    <xf numFmtId="0" fontId="64" fillId="33" borderId="0" xfId="0" applyFont="1" applyFill="1" applyAlignment="1">
      <alignment horizontal="center"/>
    </xf>
    <xf numFmtId="1" fontId="64" fillId="33" borderId="0" xfId="0" applyNumberFormat="1" applyFont="1" applyFill="1" applyAlignment="1">
      <alignment horizontal="center"/>
    </xf>
    <xf numFmtId="167" fontId="64" fillId="33" borderId="0" xfId="0" applyNumberFormat="1" applyFont="1" applyFill="1" applyAlignment="1">
      <alignment horizontal="center"/>
    </xf>
    <xf numFmtId="0" fontId="0" fillId="33" borderId="0" xfId="0" applyFont="1" applyFill="1"/>
    <xf numFmtId="0" fontId="65" fillId="33" borderId="0" xfId="0" applyFont="1" applyFill="1" applyAlignment="1">
      <alignment horizontal="center"/>
    </xf>
    <xf numFmtId="0" fontId="0" fillId="54" borderId="0" xfId="0" applyFont="1" applyFill="1"/>
    <xf numFmtId="0" fontId="0" fillId="33" borderId="7" xfId="0" applyFont="1" applyFill="1" applyBorder="1"/>
    <xf numFmtId="0" fontId="64" fillId="53" borderId="0" xfId="0" applyFont="1" applyFill="1" applyAlignment="1">
      <alignment horizontal="center"/>
    </xf>
    <xf numFmtId="165" fontId="64" fillId="53" borderId="0" xfId="0" applyNumberFormat="1" applyFont="1" applyFill="1" applyAlignment="1">
      <alignment horizontal="center"/>
    </xf>
    <xf numFmtId="2" fontId="64" fillId="53" borderId="0" xfId="0" applyNumberFormat="1" applyFont="1" applyFill="1" applyAlignment="1">
      <alignment horizontal="center"/>
    </xf>
    <xf numFmtId="1" fontId="64" fillId="53" borderId="0" xfId="0" applyNumberFormat="1" applyFont="1" applyFill="1" applyAlignment="1">
      <alignment horizontal="center"/>
    </xf>
    <xf numFmtId="167" fontId="64" fillId="53" borderId="0" xfId="0" applyNumberFormat="1" applyFont="1" applyFill="1" applyAlignment="1">
      <alignment horizontal="center"/>
    </xf>
    <xf numFmtId="0" fontId="0" fillId="55" borderId="0" xfId="0" applyFont="1" applyFill="1"/>
    <xf numFmtId="0" fontId="65" fillId="53" borderId="0" xfId="0" applyFont="1" applyFill="1" applyAlignment="1">
      <alignment horizontal="center"/>
    </xf>
    <xf numFmtId="0" fontId="0" fillId="53" borderId="0" xfId="0" applyFont="1" applyFill="1"/>
    <xf numFmtId="0" fontId="64" fillId="11" borderId="0" xfId="0" applyFont="1" applyFill="1" applyAlignment="1">
      <alignment horizontal="center"/>
    </xf>
    <xf numFmtId="165" fontId="64" fillId="11" borderId="0" xfId="0" applyNumberFormat="1" applyFont="1" applyFill="1" applyAlignment="1">
      <alignment horizontal="center"/>
    </xf>
    <xf numFmtId="2" fontId="64" fillId="11" borderId="0" xfId="0" applyNumberFormat="1" applyFont="1" applyFill="1" applyAlignment="1">
      <alignment horizontal="center"/>
    </xf>
    <xf numFmtId="1" fontId="64" fillId="11" borderId="0" xfId="0" applyNumberFormat="1" applyFont="1" applyFill="1" applyAlignment="1">
      <alignment horizontal="center"/>
    </xf>
    <xf numFmtId="0" fontId="65" fillId="11" borderId="0" xfId="0" applyFont="1" applyFill="1" applyAlignment="1">
      <alignment horizontal="center"/>
    </xf>
    <xf numFmtId="0" fontId="0" fillId="11" borderId="0" xfId="0" applyFont="1" applyFill="1"/>
    <xf numFmtId="2" fontId="0" fillId="0" borderId="0" xfId="0" applyNumberFormat="1" applyFill="1" applyAlignment="1">
      <alignment horizontal="center"/>
    </xf>
    <xf numFmtId="165" fontId="98" fillId="0" borderId="0" xfId="0" applyNumberFormat="1" applyFont="1" applyAlignment="1">
      <alignment horizontal="center" vertical="center" wrapText="1"/>
    </xf>
    <xf numFmtId="2" fontId="56" fillId="0" borderId="0" xfId="7792" applyNumberFormat="1" applyFill="1" applyBorder="1" applyAlignment="1">
      <alignment horizontal="center"/>
    </xf>
    <xf numFmtId="2" fontId="37" fillId="0" borderId="0" xfId="0" applyNumberFormat="1" applyFont="1" applyFill="1" applyBorder="1" applyAlignment="1">
      <alignment horizontal="center" vertical="center"/>
    </xf>
    <xf numFmtId="2" fontId="37" fillId="28" borderId="0" xfId="0" applyNumberFormat="1" applyFont="1" applyFill="1" applyAlignment="1">
      <alignment horizontal="center"/>
    </xf>
    <xf numFmtId="2" fontId="43" fillId="6" borderId="0" xfId="320" applyNumberFormat="1" applyAlignment="1">
      <alignment horizontal="center"/>
    </xf>
    <xf numFmtId="2" fontId="50" fillId="43" borderId="0" xfId="0" applyNumberFormat="1" applyFont="1" applyFill="1" applyAlignment="1" applyProtection="1">
      <alignment horizontal="center" vertical="top"/>
      <protection locked="0"/>
    </xf>
    <xf numFmtId="2" fontId="0" fillId="33" borderId="0" xfId="0" applyNumberFormat="1" applyFill="1" applyAlignment="1" applyProtection="1">
      <alignment horizontal="center" vertical="top"/>
      <protection locked="0"/>
    </xf>
    <xf numFmtId="2" fontId="0" fillId="7" borderId="0" xfId="0" applyNumberFormat="1" applyFill="1" applyAlignment="1" applyProtection="1">
      <alignment horizontal="center" vertical="top"/>
      <protection locked="0"/>
    </xf>
    <xf numFmtId="2" fontId="0" fillId="43" borderId="0" xfId="0" applyNumberFormat="1" applyFill="1" applyAlignment="1">
      <alignment horizontal="center"/>
    </xf>
    <xf numFmtId="2" fontId="0" fillId="43" borderId="0" xfId="0" applyNumberFormat="1" applyFill="1" applyAlignment="1" applyProtection="1">
      <alignment horizontal="center" vertical="top"/>
      <protection locked="0"/>
    </xf>
    <xf numFmtId="2" fontId="0" fillId="0" borderId="0" xfId="0" applyNumberFormat="1" applyAlignment="1" applyProtection="1">
      <alignment horizontal="center" vertical="top"/>
      <protection locked="0"/>
    </xf>
    <xf numFmtId="2" fontId="0" fillId="0" borderId="0" xfId="0" applyNumberFormat="1" applyFill="1" applyAlignment="1" applyProtection="1">
      <alignment horizontal="center" vertical="top"/>
      <protection locked="0"/>
    </xf>
    <xf numFmtId="0" fontId="0" fillId="7" borderId="0" xfId="0" applyFont="1" applyFill="1"/>
    <xf numFmtId="0" fontId="0" fillId="56" borderId="0" xfId="0" applyFont="1" applyFill="1"/>
    <xf numFmtId="0" fontId="52" fillId="11" borderId="0" xfId="17835" applyFill="1"/>
    <xf numFmtId="165" fontId="69" fillId="11" borderId="0" xfId="0" applyNumberFormat="1" applyFont="1" applyFill="1" applyAlignment="1">
      <alignment horizontal="center"/>
    </xf>
    <xf numFmtId="167" fontId="64" fillId="11" borderId="0" xfId="0" applyNumberFormat="1" applyFont="1" applyFill="1" applyAlignment="1">
      <alignment horizontal="center"/>
    </xf>
    <xf numFmtId="1" fontId="41" fillId="4" borderId="0" xfId="300" applyNumberFormat="1" applyBorder="1" applyAlignment="1">
      <alignment horizontal="center"/>
    </xf>
    <xf numFmtId="0" fontId="41" fillId="4" borderId="0" xfId="300" applyBorder="1" applyAlignment="1">
      <alignment horizontal="center"/>
    </xf>
    <xf numFmtId="0" fontId="99" fillId="0" borderId="0" xfId="0" applyFont="1" applyAlignment="1">
      <alignment horizontal="center" vertical="center"/>
    </xf>
    <xf numFmtId="167" fontId="64" fillId="0" borderId="0" xfId="0" applyNumberFormat="1" applyFont="1" applyFill="1" applyAlignment="1">
      <alignment horizontal="center"/>
    </xf>
    <xf numFmtId="167" fontId="53" fillId="0" borderId="0" xfId="0" applyNumberFormat="1" applyFont="1" applyFill="1" applyBorder="1" applyAlignment="1">
      <alignment horizontal="center"/>
    </xf>
    <xf numFmtId="165" fontId="43" fillId="0" borderId="0" xfId="320" applyNumberFormat="1" applyFill="1" applyAlignment="1">
      <alignment horizontal="center"/>
    </xf>
    <xf numFmtId="0" fontId="50" fillId="0" borderId="0" xfId="320" applyFont="1" applyFill="1" applyAlignment="1">
      <alignment horizontal="center"/>
    </xf>
    <xf numFmtId="0" fontId="0" fillId="0" borderId="0" xfId="0" applyAlignment="1">
      <alignment horizontal="center"/>
    </xf>
    <xf numFmtId="0" fontId="50" fillId="0" borderId="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64" fillId="44" borderId="0" xfId="0" applyFont="1" applyFill="1" applyAlignment="1">
      <alignment horizontal="center"/>
    </xf>
    <xf numFmtId="165" fontId="64" fillId="44" borderId="0" xfId="0" applyNumberFormat="1" applyFont="1" applyFill="1" applyAlignment="1">
      <alignment horizontal="center"/>
    </xf>
    <xf numFmtId="1" fontId="64" fillId="44" borderId="0" xfId="0" applyNumberFormat="1" applyFont="1" applyFill="1" applyAlignment="1">
      <alignment horizontal="center"/>
    </xf>
    <xf numFmtId="0" fontId="41" fillId="44" borderId="0" xfId="300" applyFill="1"/>
    <xf numFmtId="0" fontId="0" fillId="44" borderId="0" xfId="0" applyFont="1" applyFill="1"/>
    <xf numFmtId="0" fontId="65" fillId="44" borderId="0" xfId="0" applyFont="1" applyFill="1" applyAlignment="1">
      <alignment horizontal="center"/>
    </xf>
    <xf numFmtId="0" fontId="42" fillId="57" borderId="0" xfId="305" applyFill="1" applyAlignment="1">
      <alignment horizontal="center"/>
    </xf>
    <xf numFmtId="165" fontId="42" fillId="57" borderId="0" xfId="305" applyNumberFormat="1" applyFill="1" applyAlignment="1">
      <alignment horizontal="center"/>
    </xf>
    <xf numFmtId="2" fontId="42" fillId="57" borderId="0" xfId="305" applyNumberFormat="1" applyFill="1" applyAlignment="1">
      <alignment horizontal="center"/>
    </xf>
    <xf numFmtId="1" fontId="42" fillId="57" borderId="0" xfId="305" applyNumberFormat="1" applyFill="1" applyAlignment="1">
      <alignment horizontal="center"/>
    </xf>
    <xf numFmtId="0" fontId="42" fillId="57" borderId="4" xfId="305" applyFill="1" applyBorder="1"/>
    <xf numFmtId="0" fontId="42" fillId="57" borderId="0" xfId="305" applyFill="1"/>
    <xf numFmtId="0" fontId="0" fillId="44" borderId="0" xfId="0" applyFont="1" applyFill="1" applyBorder="1"/>
    <xf numFmtId="0" fontId="68" fillId="44" borderId="0" xfId="0" applyFont="1" applyFill="1" applyAlignment="1">
      <alignment horizontal="center"/>
    </xf>
    <xf numFmtId="165" fontId="68" fillId="44" borderId="0" xfId="0" applyNumberFormat="1" applyFont="1" applyFill="1" applyAlignment="1">
      <alignment horizontal="center"/>
    </xf>
    <xf numFmtId="2" fontId="68" fillId="44" borderId="0" xfId="0" applyNumberFormat="1" applyFont="1" applyFill="1" applyAlignment="1">
      <alignment horizontal="center"/>
    </xf>
    <xf numFmtId="1" fontId="68" fillId="44" borderId="0" xfId="0" applyNumberFormat="1" applyFont="1" applyFill="1" applyAlignment="1">
      <alignment horizontal="center"/>
    </xf>
    <xf numFmtId="167" fontId="68" fillId="44" borderId="0" xfId="0" applyNumberFormat="1" applyFont="1" applyFill="1" applyAlignment="1">
      <alignment horizontal="center"/>
    </xf>
    <xf numFmtId="0" fontId="0" fillId="58" borderId="0" xfId="0" applyFont="1" applyFill="1" applyBorder="1"/>
    <xf numFmtId="0" fontId="0" fillId="58" borderId="0" xfId="0" applyFont="1" applyFill="1"/>
    <xf numFmtId="2" fontId="65" fillId="44" borderId="0" xfId="0" applyNumberFormat="1" applyFont="1" applyFill="1" applyAlignment="1">
      <alignment horizontal="center"/>
    </xf>
    <xf numFmtId="165" fontId="65" fillId="44" borderId="0" xfId="0" applyNumberFormat="1" applyFont="1" applyFill="1" applyAlignment="1">
      <alignment horizontal="center"/>
    </xf>
    <xf numFmtId="2" fontId="64" fillId="29" borderId="0" xfId="0" applyNumberFormat="1" applyFont="1" applyFill="1" applyAlignment="1">
      <alignment horizontal="center"/>
    </xf>
    <xf numFmtId="0" fontId="78" fillId="48" borderId="1" xfId="0" applyFont="1" applyFill="1" applyBorder="1" applyAlignment="1">
      <alignment horizontal="center"/>
    </xf>
    <xf numFmtId="0" fontId="100" fillId="4" borderId="0" xfId="300" applyFont="1" applyBorder="1" applyAlignment="1">
      <alignment horizontal="center"/>
    </xf>
    <xf numFmtId="1" fontId="53" fillId="29" borderId="0" xfId="0" applyNumberFormat="1" applyFont="1" applyFill="1" applyBorder="1" applyAlignment="1">
      <alignment horizontal="center"/>
    </xf>
    <xf numFmtId="0" fontId="53" fillId="29" borderId="0" xfId="0" applyFont="1" applyFill="1" applyBorder="1" applyAlignment="1">
      <alignment horizontal="center"/>
    </xf>
    <xf numFmtId="0" fontId="44" fillId="0" borderId="0" xfId="0" applyFont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78" fillId="44" borderId="1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50" fillId="0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/>
    <xf numFmtId="0" fontId="64" fillId="29" borderId="0" xfId="0" applyFont="1" applyFill="1" applyAlignment="1">
      <alignment horizontal="center"/>
    </xf>
    <xf numFmtId="165" fontId="64" fillId="29" borderId="0" xfId="0" applyNumberFormat="1" applyFont="1" applyFill="1" applyAlignment="1">
      <alignment horizontal="center"/>
    </xf>
    <xf numFmtId="0" fontId="0" fillId="29" borderId="0" xfId="0" applyFill="1" applyAlignment="1">
      <alignment horizontal="center" vertical="center" wrapText="1"/>
    </xf>
    <xf numFmtId="0" fontId="65" fillId="29" borderId="0" xfId="0" applyFont="1" applyFill="1" applyAlignment="1">
      <alignment horizontal="center"/>
    </xf>
    <xf numFmtId="1" fontId="0" fillId="29" borderId="0" xfId="0" applyNumberFormat="1" applyFill="1" applyBorder="1" applyAlignment="1">
      <alignment horizontal="center" vertical="center"/>
    </xf>
    <xf numFmtId="1" fontId="0" fillId="29" borderId="0" xfId="0" applyNumberFormat="1" applyFill="1" applyAlignment="1">
      <alignment horizontal="center" vertical="center"/>
    </xf>
    <xf numFmtId="0" fontId="81" fillId="48" borderId="0" xfId="0" applyFont="1" applyFill="1" applyAlignment="1">
      <alignment horizontal="center"/>
    </xf>
    <xf numFmtId="1" fontId="50" fillId="0" borderId="0" xfId="0" applyNumberFormat="1" applyFont="1" applyFill="1" applyAlignment="1">
      <alignment horizontal="center" vertical="center"/>
    </xf>
    <xf numFmtId="0" fontId="0" fillId="44" borderId="0" xfId="0" applyFill="1" applyAlignment="1">
      <alignment horizontal="center" vertical="center" wrapText="1"/>
    </xf>
    <xf numFmtId="0" fontId="0" fillId="44" borderId="0" xfId="0" applyFill="1"/>
    <xf numFmtId="0" fontId="0" fillId="0" borderId="0" xfId="0" applyAlignment="1">
      <alignment horizontal="center"/>
    </xf>
    <xf numFmtId="0" fontId="52" fillId="7" borderId="0" xfId="0" applyFont="1" applyFill="1" applyAlignment="1">
      <alignment horizontal="center" vertical="center"/>
    </xf>
    <xf numFmtId="1" fontId="52" fillId="7" borderId="0" xfId="0" applyNumberFormat="1" applyFont="1" applyFill="1" applyAlignment="1">
      <alignment horizontal="center" vertical="center"/>
    </xf>
    <xf numFmtId="0" fontId="52" fillId="7" borderId="0" xfId="0" applyFont="1" applyFill="1"/>
    <xf numFmtId="0" fontId="52" fillId="7" borderId="0" xfId="0" applyFont="1" applyFill="1" applyAlignment="1">
      <alignment horizontal="center" vertical="center" wrapText="1"/>
    </xf>
    <xf numFmtId="2" fontId="52" fillId="7" borderId="0" xfId="0" applyNumberFormat="1" applyFont="1" applyFill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0" fontId="0" fillId="60" borderId="0" xfId="0" applyNumberFormat="1" applyFill="1" applyAlignment="1">
      <alignment horizontal="center"/>
    </xf>
    <xf numFmtId="3" fontId="0" fillId="60" borderId="0" xfId="0" applyNumberFormat="1" applyFill="1" applyAlignment="1">
      <alignment horizontal="center"/>
    </xf>
    <xf numFmtId="164" fontId="0" fillId="60" borderId="0" xfId="0" applyNumberFormat="1" applyFill="1" applyAlignment="1">
      <alignment horizontal="center"/>
    </xf>
    <xf numFmtId="0" fontId="0" fillId="60" borderId="0" xfId="0" applyFill="1" applyAlignment="1">
      <alignment horizontal="center"/>
    </xf>
    <xf numFmtId="4" fontId="0" fillId="60" borderId="0" xfId="0" applyNumberFormat="1" applyFill="1" applyAlignment="1">
      <alignment horizontal="center"/>
    </xf>
    <xf numFmtId="165" fontId="43" fillId="60" borderId="0" xfId="320" applyNumberFormat="1" applyFill="1" applyAlignment="1">
      <alignment horizontal="center"/>
    </xf>
    <xf numFmtId="2" fontId="0" fillId="60" borderId="0" xfId="0" applyNumberFormat="1" applyFill="1" applyAlignment="1">
      <alignment horizontal="center"/>
    </xf>
    <xf numFmtId="0" fontId="0" fillId="60" borderId="0" xfId="0" applyFill="1"/>
    <xf numFmtId="0" fontId="50" fillId="21" borderId="0" xfId="0" applyFont="1" applyFill="1" applyBorder="1" applyAlignment="1">
      <alignment horizontal="center"/>
    </xf>
    <xf numFmtId="2" fontId="52" fillId="7" borderId="0" xfId="0" applyNumberFormat="1" applyFont="1" applyFill="1" applyAlignment="1">
      <alignment horizontal="center"/>
    </xf>
    <xf numFmtId="1" fontId="53" fillId="18" borderId="0" xfId="0" applyNumberFormat="1" applyFont="1" applyFill="1" applyBorder="1" applyAlignment="1">
      <alignment horizontal="center"/>
    </xf>
    <xf numFmtId="164" fontId="50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52" fillId="3" borderId="0" xfId="0" applyFont="1" applyFill="1" applyAlignment="1">
      <alignment horizontal="center" vertical="center" wrapText="1"/>
    </xf>
    <xf numFmtId="0" fontId="52" fillId="3" borderId="0" xfId="0" applyFont="1" applyFill="1" applyAlignment="1">
      <alignment horizontal="center"/>
    </xf>
    <xf numFmtId="0" fontId="37" fillId="61" borderId="0" xfId="0" applyFont="1" applyFill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  <xf numFmtId="0" fontId="50" fillId="0" borderId="0" xfId="0" applyFont="1"/>
    <xf numFmtId="0" fontId="50" fillId="44" borderId="0" xfId="0" applyFont="1" applyFill="1" applyAlignment="1">
      <alignment horizontal="center" vertical="center" wrapText="1"/>
    </xf>
    <xf numFmtId="2" fontId="50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5" fontId="101" fillId="0" borderId="0" xfId="0" applyNumberFormat="1" applyFont="1" applyFill="1" applyAlignment="1">
      <alignment horizontal="center"/>
    </xf>
    <xf numFmtId="0" fontId="64" fillId="18" borderId="0" xfId="0" applyFont="1" applyFill="1" applyAlignment="1">
      <alignment horizontal="center"/>
    </xf>
    <xf numFmtId="0" fontId="64" fillId="3" borderId="0" xfId="0" applyFont="1" applyFill="1" applyAlignment="1">
      <alignment horizontal="center"/>
    </xf>
    <xf numFmtId="0" fontId="81" fillId="62" borderId="0" xfId="0" applyFont="1" applyFill="1" applyAlignment="1">
      <alignment horizontal="center"/>
    </xf>
    <xf numFmtId="0" fontId="81" fillId="9" borderId="0" xfId="0" applyFont="1" applyFill="1" applyAlignment="1">
      <alignment horizontal="center"/>
    </xf>
    <xf numFmtId="0" fontId="81" fillId="7" borderId="0" xfId="0" applyFont="1" applyFill="1" applyAlignment="1">
      <alignment horizontal="center"/>
    </xf>
    <xf numFmtId="1" fontId="53" fillId="9" borderId="0" xfId="0" applyNumberFormat="1" applyFont="1" applyFill="1" applyBorder="1" applyAlignment="1">
      <alignment horizontal="center"/>
    </xf>
    <xf numFmtId="0" fontId="50" fillId="9" borderId="0" xfId="0" applyFont="1" applyFill="1" applyBorder="1" applyAlignment="1">
      <alignment horizontal="center"/>
    </xf>
    <xf numFmtId="0" fontId="53" fillId="9" borderId="0" xfId="0" applyFont="1" applyFill="1" applyBorder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63" borderId="0" xfId="0" applyFill="1" applyAlignment="1">
      <alignment horizontal="center" vertical="center" wrapText="1"/>
    </xf>
    <xf numFmtId="165" fontId="64" fillId="63" borderId="0" xfId="0" applyNumberFormat="1" applyFont="1" applyFill="1" applyAlignment="1">
      <alignment horizontal="center"/>
    </xf>
    <xf numFmtId="2" fontId="64" fillId="63" borderId="0" xfId="0" applyNumberFormat="1" applyFont="1" applyFill="1" applyAlignment="1">
      <alignment horizontal="center"/>
    </xf>
    <xf numFmtId="0" fontId="64" fillId="63" borderId="0" xfId="0" applyFont="1" applyFill="1" applyAlignment="1">
      <alignment horizontal="center"/>
    </xf>
    <xf numFmtId="1" fontId="64" fillId="63" borderId="0" xfId="0" applyNumberFormat="1" applyFont="1" applyFill="1" applyAlignment="1">
      <alignment horizontal="center"/>
    </xf>
    <xf numFmtId="0" fontId="65" fillId="63" borderId="0" xfId="0" applyFont="1" applyFill="1" applyAlignment="1">
      <alignment horizontal="center"/>
    </xf>
    <xf numFmtId="2" fontId="62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 applyProtection="1">
      <alignment vertical="top"/>
      <protection locked="0"/>
    </xf>
    <xf numFmtId="0" fontId="0" fillId="0" borderId="0" xfId="0" applyFill="1" applyAlignment="1" applyProtection="1">
      <alignment horizontal="center" vertical="center"/>
      <protection locked="0"/>
    </xf>
    <xf numFmtId="0" fontId="0" fillId="16" borderId="0" xfId="0" applyFill="1" applyAlignment="1">
      <alignment horizontal="center" vertical="center" wrapText="1"/>
    </xf>
    <xf numFmtId="1" fontId="33" fillId="3" borderId="0" xfId="0" applyNumberFormat="1" applyFont="1" applyFill="1" applyBorder="1" applyAlignment="1">
      <alignment horizontal="center"/>
    </xf>
    <xf numFmtId="0" fontId="34" fillId="3" borderId="0" xfId="0" applyFont="1" applyFill="1" applyBorder="1" applyAlignment="1">
      <alignment horizontal="center"/>
    </xf>
    <xf numFmtId="0" fontId="33" fillId="3" borderId="0" xfId="0" applyFont="1" applyFill="1" applyBorder="1" applyAlignment="1">
      <alignment horizontal="center"/>
    </xf>
    <xf numFmtId="0" fontId="34" fillId="3" borderId="0" xfId="0" applyFont="1" applyFill="1" applyAlignment="1">
      <alignment horizontal="center" vertical="center" wrapText="1"/>
    </xf>
    <xf numFmtId="0" fontId="50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0" fillId="51" borderId="0" xfId="0" applyFill="1" applyAlignment="1">
      <alignment horizontal="center"/>
    </xf>
    <xf numFmtId="0" fontId="0" fillId="51" borderId="0" xfId="0" applyFill="1"/>
    <xf numFmtId="0" fontId="0" fillId="51" borderId="0" xfId="0" applyNumberFormat="1" applyFill="1" applyAlignment="1">
      <alignment horizontal="center"/>
    </xf>
    <xf numFmtId="164" fontId="0" fillId="51" borderId="0" xfId="0" applyNumberFormat="1" applyFill="1" applyAlignment="1">
      <alignment horizontal="center"/>
    </xf>
    <xf numFmtId="0" fontId="50" fillId="16" borderId="0" xfId="0" applyFont="1" applyFill="1" applyBorder="1" applyAlignment="1">
      <alignment horizontal="center"/>
    </xf>
    <xf numFmtId="0" fontId="53" fillId="16" borderId="0" xfId="0" applyFont="1" applyFill="1" applyBorder="1" applyAlignment="1">
      <alignment horizontal="center"/>
    </xf>
    <xf numFmtId="0" fontId="53" fillId="34" borderId="0" xfId="0" applyFont="1" applyFill="1" applyBorder="1" applyAlignment="1">
      <alignment horizontal="center"/>
    </xf>
    <xf numFmtId="0" fontId="0" fillId="34" borderId="0" xfId="0" applyFill="1" applyAlignment="1">
      <alignment horizontal="center" vertical="center" wrapText="1"/>
    </xf>
    <xf numFmtId="1" fontId="53" fillId="34" borderId="0" xfId="0" applyNumberFormat="1" applyFont="1" applyFill="1" applyBorder="1" applyAlignment="1">
      <alignment horizontal="center"/>
    </xf>
    <xf numFmtId="0" fontId="50" fillId="34" borderId="0" xfId="0" applyFont="1" applyFill="1" applyBorder="1" applyAlignment="1">
      <alignment horizontal="center"/>
    </xf>
    <xf numFmtId="0" fontId="102" fillId="64" borderId="0" xfId="0" applyFont="1" applyFill="1" applyAlignment="1">
      <alignment horizontal="center" vertical="center" wrapText="1"/>
    </xf>
    <xf numFmtId="2" fontId="102" fillId="64" borderId="0" xfId="0" applyNumberFormat="1" applyFont="1" applyFill="1" applyAlignment="1">
      <alignment horizontal="center" vertical="center" wrapText="1"/>
    </xf>
    <xf numFmtId="0" fontId="53" fillId="3" borderId="0" xfId="0" applyFont="1" applyFill="1" applyBorder="1" applyAlignment="1">
      <alignment horizontal="center"/>
    </xf>
    <xf numFmtId="0" fontId="37" fillId="40" borderId="0" xfId="0" applyFont="1" applyFill="1"/>
    <xf numFmtId="1" fontId="53" fillId="51" borderId="0" xfId="0" applyNumberFormat="1" applyFont="1" applyFill="1" applyBorder="1" applyAlignment="1">
      <alignment horizontal="center"/>
    </xf>
    <xf numFmtId="0" fontId="50" fillId="51" borderId="0" xfId="0" applyFont="1" applyFill="1" applyBorder="1" applyAlignment="1">
      <alignment horizontal="center"/>
    </xf>
    <xf numFmtId="0" fontId="53" fillId="51" borderId="0" xfId="0" applyFont="1" applyFill="1" applyBorder="1" applyAlignment="1">
      <alignment horizontal="center"/>
    </xf>
    <xf numFmtId="165" fontId="53" fillId="51" borderId="0" xfId="0" applyNumberFormat="1" applyFont="1" applyFill="1" applyBorder="1" applyAlignment="1">
      <alignment horizontal="center"/>
    </xf>
    <xf numFmtId="0" fontId="0" fillId="51" borderId="0" xfId="0" applyFill="1" applyAlignment="1">
      <alignment horizontal="center" vertical="center" wrapText="1"/>
    </xf>
    <xf numFmtId="0" fontId="0" fillId="51" borderId="0" xfId="0" applyNumberFormat="1" applyFill="1" applyAlignment="1">
      <alignment horizontal="center" vertical="center" wrapText="1"/>
    </xf>
    <xf numFmtId="0" fontId="34" fillId="51" borderId="0" xfId="0" applyFont="1" applyFill="1" applyBorder="1" applyAlignment="1">
      <alignment horizontal="center"/>
    </xf>
    <xf numFmtId="0" fontId="33" fillId="51" borderId="0" xfId="0" applyFont="1" applyFill="1" applyBorder="1" applyAlignment="1">
      <alignment horizontal="center"/>
    </xf>
    <xf numFmtId="0" fontId="50" fillId="51" borderId="0" xfId="0" applyFont="1" applyFill="1" applyAlignment="1">
      <alignment horizontal="center" vertical="center" wrapText="1"/>
    </xf>
    <xf numFmtId="0" fontId="0" fillId="51" borderId="0" xfId="0" applyFill="1" applyAlignment="1">
      <alignment horizontal="center" vertical="center"/>
    </xf>
    <xf numFmtId="2" fontId="0" fillId="51" borderId="0" xfId="0" applyNumberFormat="1" applyFill="1" applyAlignment="1">
      <alignment horizontal="center" vertical="center"/>
    </xf>
    <xf numFmtId="3" fontId="0" fillId="51" borderId="0" xfId="0" applyNumberFormat="1" applyFill="1" applyAlignment="1">
      <alignment horizontal="center"/>
    </xf>
    <xf numFmtId="0" fontId="0" fillId="51" borderId="0" xfId="0" applyFill="1" applyAlignment="1" applyProtection="1">
      <alignment horizontal="center" vertical="top"/>
      <protection locked="0"/>
    </xf>
    <xf numFmtId="0" fontId="0" fillId="51" borderId="0" xfId="0" applyFill="1" applyAlignment="1" applyProtection="1">
      <alignment horizontal="center" vertical="center"/>
      <protection locked="0"/>
    </xf>
    <xf numFmtId="1" fontId="53" fillId="65" borderId="0" xfId="0" applyNumberFormat="1" applyFont="1" applyFill="1" applyBorder="1" applyAlignment="1">
      <alignment horizontal="center"/>
    </xf>
    <xf numFmtId="0" fontId="50" fillId="65" borderId="0" xfId="0" applyFont="1" applyFill="1" applyBorder="1" applyAlignment="1">
      <alignment horizontal="center"/>
    </xf>
    <xf numFmtId="0" fontId="53" fillId="65" borderId="0" xfId="0" applyFont="1" applyFill="1" applyBorder="1" applyAlignment="1">
      <alignment horizontal="center"/>
    </xf>
    <xf numFmtId="165" fontId="53" fillId="65" borderId="0" xfId="0" applyNumberFormat="1" applyFont="1" applyFill="1" applyBorder="1" applyAlignment="1">
      <alignment horizontal="center"/>
    </xf>
    <xf numFmtId="0" fontId="0" fillId="65" borderId="0" xfId="0" applyFill="1" applyAlignment="1">
      <alignment horizontal="center" vertical="center" wrapText="1"/>
    </xf>
    <xf numFmtId="0" fontId="50" fillId="18" borderId="0" xfId="0" applyFont="1" applyFill="1" applyBorder="1" applyAlignment="1">
      <alignment horizontal="center"/>
    </xf>
    <xf numFmtId="0" fontId="53" fillId="18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51" borderId="0" xfId="0" applyNumberFormat="1" applyFill="1" applyAlignment="1">
      <alignment horizontal="center"/>
    </xf>
    <xf numFmtId="1" fontId="0" fillId="51" borderId="0" xfId="0" applyNumberFormat="1" applyFill="1" applyAlignment="1">
      <alignment horizontal="center" vertical="center"/>
    </xf>
    <xf numFmtId="165" fontId="0" fillId="51" borderId="0" xfId="0" applyNumberFormat="1" applyFill="1" applyAlignment="1">
      <alignment horizontal="center"/>
    </xf>
    <xf numFmtId="0" fontId="50" fillId="51" borderId="0" xfId="0" applyFont="1" applyFill="1"/>
    <xf numFmtId="0" fontId="0" fillId="66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68" fillId="3" borderId="0" xfId="0" applyFont="1" applyFill="1" applyAlignment="1">
      <alignment horizontal="center"/>
    </xf>
    <xf numFmtId="4" fontId="0" fillId="43" borderId="0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2" fontId="0" fillId="59" borderId="0" xfId="0" applyNumberFormat="1" applyFill="1" applyAlignment="1">
      <alignment horizontal="center" vertical="center"/>
    </xf>
    <xf numFmtId="3" fontId="0" fillId="3" borderId="0" xfId="0" applyNumberFormat="1" applyFill="1" applyAlignment="1">
      <alignment horizontal="center"/>
    </xf>
    <xf numFmtId="2" fontId="52" fillId="59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1" fontId="64" fillId="66" borderId="0" xfId="0" applyNumberFormat="1" applyFont="1" applyFill="1" applyAlignment="1">
      <alignment horizontal="center"/>
    </xf>
    <xf numFmtId="165" fontId="64" fillId="66" borderId="0" xfId="0" applyNumberFormat="1" applyFont="1" applyFill="1" applyAlignment="1">
      <alignment horizontal="center"/>
    </xf>
    <xf numFmtId="2" fontId="64" fillId="66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103" fillId="0" borderId="0" xfId="0" applyFont="1" applyAlignment="1" applyProtection="1">
      <alignment vertical="top"/>
      <protection locked="0"/>
    </xf>
    <xf numFmtId="0" fontId="37" fillId="22" borderId="0" xfId="0" applyFont="1" applyFill="1" applyAlignment="1">
      <alignment horizontal="center" vertical="center" wrapText="1"/>
    </xf>
    <xf numFmtId="0" fontId="0" fillId="7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50" fillId="7" borderId="0" xfId="0" applyFont="1" applyFill="1" applyAlignment="1">
      <alignment horizontal="center" vertical="center" wrapText="1"/>
    </xf>
    <xf numFmtId="0" fontId="50" fillId="7" borderId="0" xfId="0" applyNumberFormat="1" applyFont="1" applyFill="1" applyAlignment="1">
      <alignment horizontal="center" vertical="center" wrapText="1"/>
    </xf>
    <xf numFmtId="165" fontId="34" fillId="3" borderId="0" xfId="0" applyNumberFormat="1" applyFont="1" applyFill="1" applyBorder="1" applyAlignment="1">
      <alignment horizontal="center"/>
    </xf>
    <xf numFmtId="167" fontId="0" fillId="43" borderId="0" xfId="0" applyNumberFormat="1" applyFill="1" applyAlignment="1">
      <alignment horizontal="center"/>
    </xf>
    <xf numFmtId="0" fontId="103" fillId="43" borderId="0" xfId="0" applyFont="1" applyFill="1" applyAlignment="1" applyProtection="1">
      <alignment horizontal="center" vertical="top"/>
      <protection locked="0"/>
    </xf>
    <xf numFmtId="165" fontId="0" fillId="43" borderId="0" xfId="0" applyNumberFormat="1" applyFill="1" applyAlignment="1">
      <alignment horizontal="center"/>
    </xf>
    <xf numFmtId="2" fontId="50" fillId="43" borderId="0" xfId="0" applyNumberFormat="1" applyFont="1" applyFill="1" applyAlignment="1">
      <alignment horizontal="center"/>
    </xf>
    <xf numFmtId="0" fontId="64" fillId="66" borderId="0" xfId="0" applyFont="1" applyFill="1" applyAlignment="1">
      <alignment horizontal="center"/>
    </xf>
    <xf numFmtId="0" fontId="65" fillId="66" borderId="0" xfId="0" applyFont="1" applyFill="1" applyAlignment="1">
      <alignment horizontal="center"/>
    </xf>
    <xf numFmtId="0" fontId="43" fillId="6" borderId="0" xfId="320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3" fontId="0" fillId="65" borderId="0" xfId="0" applyNumberFormat="1" applyFill="1" applyAlignment="1">
      <alignment horizontal="center"/>
    </xf>
    <xf numFmtId="164" fontId="0" fillId="65" borderId="0" xfId="0" applyNumberFormat="1" applyFill="1" applyAlignment="1">
      <alignment horizontal="center"/>
    </xf>
    <xf numFmtId="0" fontId="0" fillId="65" borderId="0" xfId="0" applyFill="1" applyAlignment="1">
      <alignment horizontal="center"/>
    </xf>
    <xf numFmtId="2" fontId="0" fillId="65" borderId="0" xfId="0" applyNumberFormat="1" applyFill="1" applyAlignment="1">
      <alignment horizontal="center"/>
    </xf>
    <xf numFmtId="0" fontId="37" fillId="67" borderId="0" xfId="0" applyFont="1" applyFill="1" applyAlignment="1">
      <alignment horizontal="center" vertical="center" wrapText="1"/>
    </xf>
    <xf numFmtId="0" fontId="0" fillId="65" borderId="0" xfId="0" applyNumberFormat="1" applyFill="1" applyAlignment="1">
      <alignment horizontal="center"/>
    </xf>
    <xf numFmtId="0" fontId="80" fillId="68" borderId="0" xfId="0" applyFont="1" applyFill="1" applyAlignment="1">
      <alignment horizontal="center"/>
    </xf>
    <xf numFmtId="0" fontId="81" fillId="18" borderId="0" xfId="0" applyFont="1" applyFill="1" applyAlignment="1">
      <alignment horizontal="center"/>
    </xf>
    <xf numFmtId="0" fontId="80" fillId="0" borderId="0" xfId="0" applyFont="1" applyFill="1" applyAlignment="1">
      <alignment horizontal="center"/>
    </xf>
    <xf numFmtId="0" fontId="64" fillId="59" borderId="0" xfId="0" applyFont="1" applyFill="1" applyAlignment="1">
      <alignment horizontal="center"/>
    </xf>
    <xf numFmtId="2" fontId="64" fillId="59" borderId="0" xfId="0" applyNumberFormat="1" applyFont="1" applyFill="1" applyAlignment="1">
      <alignment horizontal="center"/>
    </xf>
    <xf numFmtId="1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7" fontId="0" fillId="8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 vertical="center"/>
    </xf>
    <xf numFmtId="2" fontId="50" fillId="8" borderId="0" xfId="0" applyNumberFormat="1" applyFont="1" applyFill="1" applyAlignment="1">
      <alignment horizontal="center"/>
    </xf>
    <xf numFmtId="0" fontId="0" fillId="18" borderId="0" xfId="0" applyFill="1" applyAlignment="1">
      <alignment horizontal="center" vertical="center" wrapText="1"/>
    </xf>
    <xf numFmtId="3" fontId="0" fillId="8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99" fillId="69" borderId="0" xfId="0" applyFont="1" applyFill="1" applyAlignment="1">
      <alignment horizontal="center" vertical="center" wrapText="1"/>
    </xf>
    <xf numFmtId="0" fontId="0" fillId="8" borderId="0" xfId="0" applyFill="1"/>
    <xf numFmtId="1" fontId="53" fillId="53" borderId="0" xfId="0" applyNumberFormat="1" applyFont="1" applyFill="1" applyBorder="1" applyAlignment="1">
      <alignment horizontal="center"/>
    </xf>
    <xf numFmtId="0" fontId="50" fillId="53" borderId="0" xfId="0" applyFont="1" applyFill="1" applyBorder="1" applyAlignment="1">
      <alignment horizontal="center"/>
    </xf>
    <xf numFmtId="0" fontId="53" fillId="53" borderId="0" xfId="0" applyFont="1" applyFill="1" applyBorder="1" applyAlignment="1">
      <alignment horizontal="center"/>
    </xf>
    <xf numFmtId="0" fontId="0" fillId="53" borderId="0" xfId="0" applyFill="1" applyAlignment="1">
      <alignment horizontal="center" vertical="center" wrapText="1"/>
    </xf>
    <xf numFmtId="0" fontId="0" fillId="53" borderId="0" xfId="0" applyFill="1"/>
    <xf numFmtId="0" fontId="45" fillId="0" borderId="0" xfId="0" applyFont="1" applyFill="1"/>
    <xf numFmtId="2" fontId="45" fillId="0" borderId="0" xfId="0" applyNumberFormat="1" applyFont="1" applyFill="1"/>
    <xf numFmtId="0" fontId="46" fillId="0" borderId="0" xfId="0" applyFont="1" applyFill="1"/>
    <xf numFmtId="0" fontId="50" fillId="0" borderId="0" xfId="0" applyFont="1" applyFill="1"/>
    <xf numFmtId="0" fontId="43" fillId="0" borderId="0" xfId="320" applyFill="1"/>
    <xf numFmtId="0" fontId="0" fillId="0" borderId="0" xfId="0" applyAlignment="1">
      <alignment horizontal="center"/>
    </xf>
    <xf numFmtId="0" fontId="64" fillId="62" borderId="0" xfId="0" applyFont="1" applyFill="1" applyAlignment="1">
      <alignment horizontal="center"/>
    </xf>
    <xf numFmtId="165" fontId="64" fillId="62" borderId="0" xfId="0" applyNumberFormat="1" applyFont="1" applyFill="1" applyAlignment="1">
      <alignment horizontal="center"/>
    </xf>
    <xf numFmtId="2" fontId="64" fillId="62" borderId="0" xfId="0" applyNumberFormat="1" applyFont="1" applyFill="1" applyAlignment="1">
      <alignment horizontal="center"/>
    </xf>
    <xf numFmtId="1" fontId="64" fillId="62" borderId="0" xfId="0" applyNumberFormat="1" applyFont="1" applyFill="1" applyAlignment="1">
      <alignment horizontal="center"/>
    </xf>
    <xf numFmtId="167" fontId="64" fillId="62" borderId="0" xfId="0" applyNumberFormat="1" applyFont="1" applyFill="1" applyAlignment="1">
      <alignment horizontal="center"/>
    </xf>
    <xf numFmtId="0" fontId="65" fillId="62" borderId="0" xfId="0" applyFont="1" applyFill="1" applyAlignment="1">
      <alignment horizontal="center"/>
    </xf>
    <xf numFmtId="2" fontId="53" fillId="53" borderId="0" xfId="0" applyNumberFormat="1" applyFont="1" applyFill="1" applyBorder="1" applyAlignment="1">
      <alignment horizontal="center"/>
    </xf>
    <xf numFmtId="0" fontId="81" fillId="34" borderId="0" xfId="0" applyFont="1" applyFill="1" applyAlignment="1">
      <alignment horizontal="center"/>
    </xf>
    <xf numFmtId="2" fontId="0" fillId="34" borderId="0" xfId="0" applyNumberFormat="1" applyFill="1" applyAlignment="1">
      <alignment horizontal="center" vertical="center" wrapText="1"/>
    </xf>
    <xf numFmtId="0" fontId="0" fillId="18" borderId="0" xfId="0" applyFill="1" applyAlignment="1">
      <alignment horizontal="center"/>
    </xf>
    <xf numFmtId="167" fontId="0" fillId="65" borderId="0" xfId="0" applyNumberFormat="1" applyFill="1" applyAlignment="1">
      <alignment horizontal="center"/>
    </xf>
    <xf numFmtId="165" fontId="0" fillId="65" borderId="0" xfId="0" applyNumberFormat="1" applyFill="1" applyAlignment="1">
      <alignment horizontal="center"/>
    </xf>
    <xf numFmtId="164" fontId="0" fillId="70" borderId="0" xfId="0" applyNumberFormat="1" applyFill="1" applyAlignment="1">
      <alignment horizontal="center"/>
    </xf>
    <xf numFmtId="0" fontId="0" fillId="3" borderId="0" xfId="0" applyFill="1" applyAlignment="1">
      <alignment horizontal="center" vertical="center" wrapText="1"/>
    </xf>
    <xf numFmtId="0" fontId="81" fillId="46" borderId="0" xfId="0" applyFont="1" applyFill="1" applyAlignment="1">
      <alignment horizontal="center"/>
    </xf>
    <xf numFmtId="1" fontId="0" fillId="51" borderId="0" xfId="0" applyNumberFormat="1" applyFill="1"/>
    <xf numFmtId="165" fontId="0" fillId="51" borderId="0" xfId="0" applyNumberFormat="1" applyFill="1" applyAlignment="1">
      <alignment horizontal="center" vertical="center"/>
    </xf>
    <xf numFmtId="1" fontId="53" fillId="66" borderId="0" xfId="0" applyNumberFormat="1" applyFont="1" applyFill="1" applyBorder="1" applyAlignment="1">
      <alignment horizontal="center"/>
    </xf>
    <xf numFmtId="0" fontId="53" fillId="66" borderId="0" xfId="0" applyFont="1" applyFill="1" applyBorder="1" applyAlignment="1">
      <alignment horizontal="center"/>
    </xf>
    <xf numFmtId="0" fontId="105" fillId="2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2" fontId="53" fillId="66" borderId="0" xfId="0" applyNumberFormat="1" applyFont="1" applyFill="1" applyBorder="1" applyAlignment="1">
      <alignment horizontal="center"/>
    </xf>
    <xf numFmtId="0" fontId="96" fillId="5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4" borderId="0" xfId="0" applyFill="1" applyAlignment="1" applyProtection="1">
      <alignment horizontal="center" vertical="top"/>
      <protection locked="0"/>
    </xf>
    <xf numFmtId="0" fontId="0" fillId="59" borderId="0" xfId="0" applyNumberFormat="1" applyFill="1" applyAlignment="1">
      <alignment horizontal="center"/>
    </xf>
    <xf numFmtId="164" fontId="0" fillId="59" borderId="0" xfId="0" applyNumberFormat="1" applyFill="1" applyAlignment="1">
      <alignment horizontal="center"/>
    </xf>
    <xf numFmtId="0" fontId="0" fillId="59" borderId="0" xfId="0" applyFill="1" applyAlignment="1">
      <alignment horizontal="center"/>
    </xf>
    <xf numFmtId="0" fontId="0" fillId="59" borderId="0" xfId="0" applyFill="1" applyAlignment="1" applyProtection="1">
      <alignment horizontal="center" vertical="top"/>
      <protection locked="0"/>
    </xf>
    <xf numFmtId="2" fontId="0" fillId="59" borderId="0" xfId="0" applyNumberFormat="1" applyFill="1" applyAlignment="1">
      <alignment horizontal="center"/>
    </xf>
    <xf numFmtId="2" fontId="0" fillId="59" borderId="0" xfId="0" applyNumberFormat="1" applyFill="1" applyAlignment="1">
      <alignment horizontal="center" vertical="center" wrapText="1"/>
    </xf>
    <xf numFmtId="0" fontId="0" fillId="44" borderId="0" xfId="0" applyNumberFormat="1" applyFill="1" applyAlignment="1">
      <alignment horizontal="center"/>
    </xf>
    <xf numFmtId="164" fontId="0" fillId="44" borderId="0" xfId="0" applyNumberFormat="1" applyFill="1" applyAlignment="1">
      <alignment horizontal="center"/>
    </xf>
    <xf numFmtId="0" fontId="0" fillId="44" borderId="0" xfId="0" applyFill="1" applyAlignment="1">
      <alignment horizontal="center"/>
    </xf>
    <xf numFmtId="0" fontId="0" fillId="44" borderId="0" xfId="0" applyFill="1" applyAlignment="1" applyProtection="1">
      <alignment horizontal="center" vertical="top"/>
      <protection locked="0"/>
    </xf>
    <xf numFmtId="2" fontId="0" fillId="44" borderId="0" xfId="0" applyNumberFormat="1" applyFill="1" applyAlignment="1">
      <alignment horizontal="center"/>
    </xf>
    <xf numFmtId="2" fontId="0" fillId="44" borderId="0" xfId="0" applyNumberFormat="1" applyFill="1" applyAlignment="1">
      <alignment horizontal="center" vertical="center" wrapText="1"/>
    </xf>
    <xf numFmtId="2" fontId="0" fillId="18" borderId="0" xfId="0" applyNumberFormat="1" applyFill="1" applyAlignment="1">
      <alignment horizontal="center" vertical="center" wrapText="1"/>
    </xf>
    <xf numFmtId="3" fontId="0" fillId="44" borderId="0" xfId="0" applyNumberFormat="1" applyFill="1" applyAlignment="1">
      <alignment horizontal="center"/>
    </xf>
    <xf numFmtId="167" fontId="0" fillId="44" borderId="0" xfId="0" applyNumberFormat="1" applyFill="1" applyAlignment="1">
      <alignment horizontal="center"/>
    </xf>
    <xf numFmtId="165" fontId="0" fillId="44" borderId="0" xfId="0" applyNumberFormat="1" applyFill="1" applyAlignment="1">
      <alignment horizontal="center"/>
    </xf>
    <xf numFmtId="2" fontId="52" fillId="44" borderId="0" xfId="0" applyNumberFormat="1" applyFont="1" applyFill="1" applyAlignment="1">
      <alignment horizontal="center"/>
    </xf>
    <xf numFmtId="0" fontId="52" fillId="44" borderId="0" xfId="0" applyFont="1" applyFill="1" applyAlignment="1">
      <alignment horizontal="center"/>
    </xf>
    <xf numFmtId="2" fontId="52" fillId="34" borderId="0" xfId="0" applyNumberFormat="1" applyFont="1" applyFill="1" applyAlignment="1">
      <alignment horizontal="center" vertical="center" wrapText="1"/>
    </xf>
    <xf numFmtId="2" fontId="52" fillId="59" borderId="0" xfId="0" applyNumberFormat="1" applyFont="1" applyFill="1" applyAlignment="1">
      <alignment horizontal="center" vertical="center" wrapText="1"/>
    </xf>
    <xf numFmtId="0" fontId="0" fillId="66" borderId="0" xfId="0" applyFill="1" applyAlignment="1">
      <alignment horizontal="center" vertical="center"/>
    </xf>
    <xf numFmtId="167" fontId="0" fillId="44" borderId="0" xfId="0" applyNumberFormat="1" applyFill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2" fontId="0" fillId="0" borderId="0" xfId="0" applyNumberFormat="1" applyFill="1" applyAlignment="1" applyProtection="1">
      <alignment vertical="top"/>
      <protection locked="0"/>
    </xf>
    <xf numFmtId="0" fontId="0" fillId="62" borderId="0" xfId="0" applyNumberFormat="1" applyFill="1" applyAlignment="1">
      <alignment horizontal="center"/>
    </xf>
    <xf numFmtId="164" fontId="0" fillId="62" borderId="0" xfId="0" applyNumberFormat="1" applyFill="1" applyAlignment="1">
      <alignment horizontal="center"/>
    </xf>
    <xf numFmtId="0" fontId="0" fillId="62" borderId="0" xfId="0" applyFill="1" applyAlignment="1">
      <alignment horizontal="center"/>
    </xf>
    <xf numFmtId="0" fontId="0" fillId="62" borderId="0" xfId="0" applyFill="1" applyAlignment="1" applyProtection="1">
      <alignment vertical="top"/>
      <protection locked="0"/>
    </xf>
    <xf numFmtId="2" fontId="0" fillId="62" borderId="0" xfId="0" applyNumberFormat="1" applyFill="1" applyAlignment="1" applyProtection="1">
      <alignment vertical="top"/>
      <protection locked="0"/>
    </xf>
    <xf numFmtId="2" fontId="0" fillId="62" borderId="0" xfId="0" applyNumberFormat="1" applyFill="1" applyAlignment="1">
      <alignment horizontal="center" vertical="center"/>
    </xf>
    <xf numFmtId="2" fontId="52" fillId="62" borderId="0" xfId="0" applyNumberFormat="1" applyFont="1" applyFill="1" applyAlignment="1">
      <alignment horizontal="center" vertical="center"/>
    </xf>
    <xf numFmtId="2" fontId="0" fillId="62" borderId="0" xfId="0" applyNumberFormat="1" applyFill="1" applyAlignment="1">
      <alignment horizontal="center" vertical="center" wrapText="1"/>
    </xf>
    <xf numFmtId="164" fontId="50" fillId="62" borderId="0" xfId="0" applyNumberFormat="1" applyFont="1" applyFill="1" applyAlignment="1">
      <alignment horizontal="center"/>
    </xf>
    <xf numFmtId="0" fontId="64" fillId="0" borderId="0" xfId="0" applyNumberFormat="1" applyFont="1" applyFill="1" applyAlignment="1">
      <alignment horizontal="center"/>
    </xf>
    <xf numFmtId="0" fontId="43" fillId="6" borderId="0" xfId="320" applyAlignment="1" applyProtection="1">
      <alignment vertical="top"/>
      <protection locked="0"/>
    </xf>
    <xf numFmtId="0" fontId="41" fillId="4" borderId="0" xfId="300" applyAlignment="1">
      <alignment horizontal="center" vertical="center"/>
    </xf>
    <xf numFmtId="2" fontId="41" fillId="4" borderId="0" xfId="300" applyNumberFormat="1" applyAlignment="1">
      <alignment horizontal="center"/>
    </xf>
    <xf numFmtId="0" fontId="41" fillId="4" borderId="0" xfId="300" applyAlignment="1">
      <alignment horizontal="center"/>
    </xf>
    <xf numFmtId="0" fontId="41" fillId="4" borderId="0" xfId="300" applyAlignment="1">
      <alignment horizontal="center" vertical="center" wrapText="1"/>
    </xf>
    <xf numFmtId="0" fontId="50" fillId="0" borderId="0" xfId="0" applyNumberFormat="1" applyFont="1" applyFill="1" applyAlignment="1">
      <alignment horizontal="center"/>
    </xf>
    <xf numFmtId="3" fontId="50" fillId="0" borderId="0" xfId="320" applyNumberFormat="1" applyFont="1" applyFill="1" applyAlignment="1">
      <alignment horizontal="center"/>
    </xf>
    <xf numFmtId="164" fontId="50" fillId="0" borderId="0" xfId="0" applyNumberFormat="1" applyFont="1" applyFill="1" applyAlignment="1">
      <alignment horizontal="center"/>
    </xf>
    <xf numFmtId="0" fontId="50" fillId="0" borderId="0" xfId="300" applyFont="1" applyFill="1" applyAlignment="1">
      <alignment horizontal="center" vertical="center"/>
    </xf>
    <xf numFmtId="0" fontId="50" fillId="0" borderId="0" xfId="300" applyFont="1" applyFill="1" applyAlignment="1">
      <alignment horizontal="center"/>
    </xf>
    <xf numFmtId="2" fontId="50" fillId="0" borderId="0" xfId="300" applyNumberFormat="1" applyFont="1" applyFill="1"/>
    <xf numFmtId="167" fontId="50" fillId="0" borderId="0" xfId="300" applyNumberFormat="1" applyFont="1" applyFill="1" applyAlignment="1" applyProtection="1">
      <alignment vertical="top"/>
      <protection locked="0"/>
    </xf>
    <xf numFmtId="0" fontId="107" fillId="71" borderId="0" xfId="0" applyNumberFormat="1" applyFont="1" applyFill="1" applyAlignment="1">
      <alignment horizontal="center"/>
    </xf>
    <xf numFmtId="3" fontId="107" fillId="71" borderId="0" xfId="320" applyNumberFormat="1" applyFont="1" applyFill="1" applyAlignment="1">
      <alignment horizontal="center"/>
    </xf>
    <xf numFmtId="164" fontId="107" fillId="71" borderId="0" xfId="0" applyNumberFormat="1" applyFont="1" applyFill="1" applyAlignment="1">
      <alignment horizontal="center"/>
    </xf>
    <xf numFmtId="0" fontId="107" fillId="71" borderId="0" xfId="0" applyFont="1" applyFill="1" applyAlignment="1">
      <alignment horizontal="center"/>
    </xf>
    <xf numFmtId="2" fontId="107" fillId="71" borderId="0" xfId="0" applyNumberFormat="1" applyFont="1" applyFill="1" applyAlignment="1">
      <alignment horizontal="center"/>
    </xf>
    <xf numFmtId="0" fontId="107" fillId="71" borderId="0" xfId="0" applyFont="1" applyFill="1" applyAlignment="1">
      <alignment horizontal="center" vertical="center" wrapText="1"/>
    </xf>
    <xf numFmtId="2" fontId="107" fillId="71" borderId="0" xfId="0" applyNumberFormat="1" applyFont="1" applyFill="1" applyAlignment="1">
      <alignment horizontal="center" vertical="center" wrapText="1"/>
    </xf>
    <xf numFmtId="0" fontId="0" fillId="45" borderId="0" xfId="0" applyFill="1" applyAlignment="1">
      <alignment horizontal="center" vertical="center" wrapText="1"/>
    </xf>
    <xf numFmtId="0" fontId="81" fillId="45" borderId="0" xfId="0" applyFont="1" applyFill="1" applyAlignment="1">
      <alignment horizontal="center"/>
    </xf>
    <xf numFmtId="0" fontId="93" fillId="45" borderId="0" xfId="0" applyFont="1" applyFill="1" applyAlignment="1">
      <alignment horizontal="center"/>
    </xf>
    <xf numFmtId="0" fontId="64" fillId="26" borderId="0" xfId="0" applyFont="1" applyFill="1" applyAlignment="1">
      <alignment horizontal="center"/>
    </xf>
    <xf numFmtId="165" fontId="64" fillId="26" borderId="0" xfId="0" applyNumberFormat="1" applyFont="1" applyFill="1" applyAlignment="1">
      <alignment horizontal="center"/>
    </xf>
    <xf numFmtId="2" fontId="64" fillId="26" borderId="0" xfId="0" applyNumberFormat="1" applyFont="1" applyFill="1" applyAlignment="1">
      <alignment horizontal="center"/>
    </xf>
    <xf numFmtId="1" fontId="64" fillId="26" borderId="0" xfId="0" applyNumberFormat="1" applyFont="1" applyFill="1" applyAlignment="1">
      <alignment horizontal="center"/>
    </xf>
    <xf numFmtId="167" fontId="64" fillId="26" borderId="0" xfId="0" applyNumberFormat="1" applyFont="1" applyFill="1" applyAlignment="1">
      <alignment horizontal="center"/>
    </xf>
    <xf numFmtId="0" fontId="65" fillId="26" borderId="0" xfId="0" applyFont="1" applyFill="1" applyAlignment="1">
      <alignment horizontal="center"/>
    </xf>
    <xf numFmtId="1" fontId="53" fillId="60" borderId="0" xfId="0" applyNumberFormat="1" applyFont="1" applyFill="1" applyBorder="1" applyAlignment="1">
      <alignment horizontal="center"/>
    </xf>
    <xf numFmtId="0" fontId="50" fillId="60" borderId="0" xfId="0" applyFont="1" applyFill="1" applyBorder="1" applyAlignment="1">
      <alignment horizontal="center"/>
    </xf>
    <xf numFmtId="0" fontId="53" fillId="60" borderId="0" xfId="0" applyFont="1" applyFill="1" applyBorder="1" applyAlignment="1">
      <alignment horizontal="center"/>
    </xf>
    <xf numFmtId="0" fontId="106" fillId="60" borderId="0" xfId="0" applyFont="1" applyFill="1" applyAlignment="1">
      <alignment horizontal="center" vertical="center"/>
    </xf>
    <xf numFmtId="0" fontId="81" fillId="33" borderId="0" xfId="0" applyFont="1" applyFill="1" applyAlignment="1">
      <alignment horizontal="center"/>
    </xf>
    <xf numFmtId="0" fontId="81" fillId="53" borderId="0" xfId="0" applyFont="1" applyFill="1" applyAlignment="1">
      <alignment horizontal="center"/>
    </xf>
    <xf numFmtId="0" fontId="41" fillId="4" borderId="0" xfId="300" applyNumberFormat="1" applyAlignment="1">
      <alignment horizontal="center"/>
    </xf>
    <xf numFmtId="164" fontId="41" fillId="4" borderId="0" xfId="300" applyNumberFormat="1" applyAlignment="1">
      <alignment horizontal="center"/>
    </xf>
    <xf numFmtId="0" fontId="41" fillId="4" borderId="0" xfId="300" applyNumberFormat="1" applyAlignment="1">
      <alignment horizontal="center" vertical="center" wrapText="1"/>
    </xf>
    <xf numFmtId="0" fontId="42" fillId="5" borderId="0" xfId="305" applyAlignment="1">
      <alignment horizontal="center"/>
    </xf>
    <xf numFmtId="0" fontId="52" fillId="4" borderId="0" xfId="300" applyFont="1" applyAlignment="1">
      <alignment horizontal="center" vertical="center" wrapText="1"/>
    </xf>
    <xf numFmtId="0" fontId="0" fillId="36" borderId="0" xfId="0" applyFill="1"/>
    <xf numFmtId="0" fontId="0" fillId="36" borderId="0" xfId="0" applyFill="1" applyAlignment="1">
      <alignment horizontal="center"/>
    </xf>
    <xf numFmtId="167" fontId="0" fillId="0" borderId="0" xfId="0" applyNumberFormat="1" applyFill="1" applyAlignment="1">
      <alignment horizontal="center"/>
    </xf>
    <xf numFmtId="164" fontId="50" fillId="0" borderId="0" xfId="300" applyNumberFormat="1" applyFont="1" applyFill="1" applyAlignment="1">
      <alignment horizontal="center"/>
    </xf>
    <xf numFmtId="0" fontId="52" fillId="66" borderId="0" xfId="0" applyFont="1" applyFill="1" applyAlignment="1">
      <alignment horizontal="center"/>
    </xf>
    <xf numFmtId="0" fontId="52" fillId="66" borderId="0" xfId="0" applyFont="1" applyFill="1" applyAlignment="1">
      <alignment horizontal="center" vertical="center"/>
    </xf>
    <xf numFmtId="0" fontId="52" fillId="66" borderId="0" xfId="0" applyFont="1" applyFill="1" applyAlignment="1">
      <alignment horizontal="center" vertical="center" wrapText="1"/>
    </xf>
    <xf numFmtId="1" fontId="52" fillId="66" borderId="0" xfId="0" applyNumberFormat="1" applyFont="1" applyFill="1" applyAlignment="1">
      <alignment horizontal="center"/>
    </xf>
    <xf numFmtId="2" fontId="52" fillId="66" borderId="0" xfId="0" applyNumberFormat="1" applyFont="1" applyFill="1" applyAlignment="1">
      <alignment horizontal="center"/>
    </xf>
    <xf numFmtId="0" fontId="64" fillId="60" borderId="0" xfId="0" applyFont="1" applyFill="1" applyAlignment="1">
      <alignment horizontal="center"/>
    </xf>
    <xf numFmtId="165" fontId="64" fillId="60" borderId="0" xfId="0" applyNumberFormat="1" applyFont="1" applyFill="1" applyAlignment="1">
      <alignment horizontal="center"/>
    </xf>
    <xf numFmtId="2" fontId="64" fillId="60" borderId="0" xfId="0" applyNumberFormat="1" applyFont="1" applyFill="1" applyAlignment="1">
      <alignment horizontal="center"/>
    </xf>
    <xf numFmtId="1" fontId="64" fillId="60" borderId="0" xfId="0" applyNumberFormat="1" applyFont="1" applyFill="1" applyAlignment="1">
      <alignment horizontal="center"/>
    </xf>
    <xf numFmtId="167" fontId="64" fillId="60" borderId="0" xfId="0" applyNumberFormat="1" applyFont="1" applyFill="1" applyAlignment="1">
      <alignment horizontal="center"/>
    </xf>
    <xf numFmtId="0" fontId="65" fillId="60" borderId="0" xfId="0" applyFont="1" applyFill="1" applyAlignment="1">
      <alignment horizontal="center"/>
    </xf>
    <xf numFmtId="0" fontId="0" fillId="60" borderId="0" xfId="0" applyFill="1" applyAlignment="1">
      <alignment horizontal="center" vertical="center" wrapText="1"/>
    </xf>
    <xf numFmtId="0" fontId="0" fillId="36" borderId="0" xfId="0" applyNumberFormat="1" applyFill="1" applyAlignment="1">
      <alignment horizontal="center"/>
    </xf>
    <xf numFmtId="3" fontId="0" fillId="36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0" fontId="0" fillId="36" borderId="0" xfId="0" applyFill="1" applyAlignment="1">
      <alignment horizontal="center" vertical="center"/>
    </xf>
    <xf numFmtId="0" fontId="0" fillId="36" borderId="0" xfId="0" applyFill="1" applyAlignment="1" applyProtection="1">
      <alignment vertical="top"/>
      <protection locked="0"/>
    </xf>
    <xf numFmtId="0" fontId="0" fillId="36" borderId="0" xfId="0" applyFill="1" applyAlignment="1">
      <alignment horizontal="center" vertical="center" wrapText="1"/>
    </xf>
    <xf numFmtId="0" fontId="0" fillId="36" borderId="0" xfId="0" applyNumberFormat="1" applyFill="1" applyAlignment="1">
      <alignment horizontal="center" vertical="center" wrapText="1"/>
    </xf>
    <xf numFmtId="1" fontId="53" fillId="62" borderId="0" xfId="0" applyNumberFormat="1" applyFont="1" applyFill="1" applyBorder="1" applyAlignment="1">
      <alignment horizontal="center"/>
    </xf>
    <xf numFmtId="0" fontId="50" fillId="62" borderId="0" xfId="0" applyFont="1" applyFill="1" applyBorder="1" applyAlignment="1">
      <alignment horizontal="center"/>
    </xf>
    <xf numFmtId="0" fontId="53" fillId="62" borderId="0" xfId="0" applyFont="1" applyFill="1" applyBorder="1" applyAlignment="1">
      <alignment horizontal="center"/>
    </xf>
    <xf numFmtId="0" fontId="0" fillId="62" borderId="0" xfId="0" applyFill="1" applyAlignment="1">
      <alignment horizontal="center" vertical="center" wrapText="1"/>
    </xf>
    <xf numFmtId="0" fontId="0" fillId="45" borderId="0" xfId="0" applyNumberFormat="1" applyFill="1" applyAlignment="1">
      <alignment horizontal="center"/>
    </xf>
    <xf numFmtId="3" fontId="0" fillId="45" borderId="0" xfId="0" applyNumberFormat="1" applyFill="1" applyAlignment="1">
      <alignment horizontal="center"/>
    </xf>
    <xf numFmtId="164" fontId="0" fillId="45" borderId="0" xfId="0" applyNumberFormat="1" applyFill="1" applyAlignment="1">
      <alignment horizontal="center"/>
    </xf>
    <xf numFmtId="0" fontId="0" fillId="45" borderId="0" xfId="0" applyFill="1" applyAlignment="1">
      <alignment horizontal="center"/>
    </xf>
    <xf numFmtId="2" fontId="0" fillId="45" borderId="0" xfId="0" applyNumberFormat="1" applyFill="1" applyAlignment="1">
      <alignment horizontal="center"/>
    </xf>
    <xf numFmtId="0" fontId="0" fillId="45" borderId="0" xfId="0" applyNumberFormat="1" applyFill="1" applyAlignment="1">
      <alignment horizontal="center" vertical="center" wrapText="1"/>
    </xf>
    <xf numFmtId="0" fontId="52" fillId="72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53" fillId="7" borderId="2" xfId="0" applyNumberFormat="1" applyFont="1" applyFill="1" applyBorder="1" applyAlignment="1">
      <alignment horizontal="center"/>
    </xf>
    <xf numFmtId="0" fontId="53" fillId="7" borderId="2" xfId="0" applyFont="1" applyFill="1" applyBorder="1" applyAlignment="1">
      <alignment horizontal="center"/>
    </xf>
    <xf numFmtId="165" fontId="53" fillId="7" borderId="2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3" fontId="0" fillId="44" borderId="0" xfId="0" applyNumberFormat="1" applyFill="1" applyBorder="1" applyAlignment="1">
      <alignment horizontal="center"/>
    </xf>
    <xf numFmtId="164" fontId="0" fillId="44" borderId="0" xfId="0" applyNumberFormat="1" applyFill="1" applyBorder="1" applyAlignment="1">
      <alignment horizontal="center"/>
    </xf>
    <xf numFmtId="0" fontId="0" fillId="44" borderId="0" xfId="0" applyFill="1" applyBorder="1" applyAlignment="1">
      <alignment horizontal="center"/>
    </xf>
    <xf numFmtId="0" fontId="0" fillId="44" borderId="0" xfId="0" applyFill="1" applyBorder="1" applyAlignment="1">
      <alignment horizontal="center" vertical="center" wrapText="1"/>
    </xf>
    <xf numFmtId="0" fontId="0" fillId="44" borderId="0" xfId="0" applyFill="1" applyBorder="1"/>
    <xf numFmtId="0" fontId="0" fillId="0" borderId="0" xfId="0" applyAlignment="1" applyProtection="1">
      <alignment vertical="top"/>
      <protection locked="0"/>
    </xf>
    <xf numFmtId="0" fontId="52" fillId="0" borderId="0" xfId="0" applyFont="1" applyAlignment="1">
      <alignment horizontal="center" vertical="center" wrapText="1"/>
    </xf>
    <xf numFmtId="0" fontId="0" fillId="0" borderId="0" xfId="0" applyAlignment="1">
      <alignment horizontal="left" indent="1"/>
    </xf>
    <xf numFmtId="0" fontId="0" fillId="0" borderId="0" xfId="0" applyAlignment="1" applyProtection="1">
      <alignment horizontal="left" vertical="top" indent="1"/>
      <protection locked="0"/>
    </xf>
    <xf numFmtId="0" fontId="108" fillId="2" borderId="0" xfId="0" applyFont="1" applyFill="1" applyAlignment="1">
      <alignment horizontal="center" vertical="center" wrapText="1"/>
    </xf>
    <xf numFmtId="3" fontId="108" fillId="2" borderId="0" xfId="0" applyNumberFormat="1" applyFont="1" applyFill="1" applyAlignment="1">
      <alignment horizontal="center"/>
    </xf>
    <xf numFmtId="164" fontId="108" fillId="2" borderId="0" xfId="0" applyNumberFormat="1" applyFont="1" applyFill="1" applyAlignment="1">
      <alignment horizontal="center"/>
    </xf>
    <xf numFmtId="0" fontId="108" fillId="2" borderId="0" xfId="0" applyFont="1" applyFill="1" applyAlignment="1">
      <alignment horizontal="center"/>
    </xf>
    <xf numFmtId="0" fontId="108" fillId="2" borderId="0" xfId="0" applyFont="1" applyFill="1" applyAlignment="1" applyProtection="1">
      <alignment horizontal="center" vertical="center"/>
      <protection locked="0"/>
    </xf>
    <xf numFmtId="2" fontId="108" fillId="2" borderId="0" xfId="0" applyNumberFormat="1" applyFont="1" applyFill="1" applyAlignment="1">
      <alignment horizontal="center"/>
    </xf>
    <xf numFmtId="0" fontId="108" fillId="2" borderId="0" xfId="0" applyFont="1" applyFill="1" applyAlignment="1">
      <alignment horizontal="left" indent="1"/>
    </xf>
    <xf numFmtId="167" fontId="108" fillId="2" borderId="0" xfId="0" applyNumberFormat="1" applyFont="1" applyFill="1" applyAlignment="1">
      <alignment horizontal="center"/>
    </xf>
    <xf numFmtId="0" fontId="108" fillId="2" borderId="0" xfId="0" applyNumberFormat="1" applyFont="1" applyFill="1" applyAlignment="1">
      <alignment horizontal="center" vertical="center" wrapText="1"/>
    </xf>
    <xf numFmtId="0" fontId="108" fillId="2" borderId="0" xfId="0" applyFont="1" applyFill="1"/>
    <xf numFmtId="1" fontId="64" fillId="62" borderId="0" xfId="0" applyNumberFormat="1" applyFont="1" applyFill="1" applyAlignment="1">
      <alignment horizontal="center" vertical="center"/>
    </xf>
    <xf numFmtId="165" fontId="64" fillId="8" borderId="0" xfId="0" applyNumberFormat="1" applyFont="1" applyFill="1" applyAlignment="1">
      <alignment horizontal="center"/>
    </xf>
    <xf numFmtId="0" fontId="80" fillId="73" borderId="0" xfId="0" applyFont="1" applyFill="1" applyAlignment="1">
      <alignment horizontal="center"/>
    </xf>
    <xf numFmtId="0" fontId="0" fillId="66" borderId="0" xfId="0" applyNumberFormat="1" applyFill="1" applyAlignment="1">
      <alignment horizontal="center"/>
    </xf>
    <xf numFmtId="3" fontId="0" fillId="66" borderId="0" xfId="0" applyNumberFormat="1" applyFill="1" applyAlignment="1">
      <alignment horizontal="center"/>
    </xf>
    <xf numFmtId="164" fontId="0" fillId="66" borderId="0" xfId="0" applyNumberFormat="1" applyFill="1" applyAlignment="1">
      <alignment horizontal="center"/>
    </xf>
    <xf numFmtId="0" fontId="0" fillId="66" borderId="0" xfId="0" applyFill="1" applyAlignment="1">
      <alignment horizontal="center"/>
    </xf>
    <xf numFmtId="0" fontId="0" fillId="66" borderId="0" xfId="0" applyFill="1" applyAlignment="1" applyProtection="1">
      <alignment horizontal="center" vertical="center"/>
      <protection locked="0"/>
    </xf>
    <xf numFmtId="2" fontId="0" fillId="66" borderId="0" xfId="0" applyNumberFormat="1" applyFill="1" applyAlignment="1">
      <alignment horizontal="center"/>
    </xf>
    <xf numFmtId="0" fontId="0" fillId="66" borderId="0" xfId="0" applyNumberFormat="1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66" borderId="0" xfId="0" applyFill="1"/>
    <xf numFmtId="164" fontId="41" fillId="0" borderId="0" xfId="300" applyNumberFormat="1" applyFill="1" applyAlignment="1">
      <alignment horizontal="center"/>
    </xf>
    <xf numFmtId="0" fontId="108" fillId="0" borderId="0" xfId="0" applyFont="1" applyFill="1"/>
    <xf numFmtId="0" fontId="0" fillId="0" borderId="0" xfId="0" applyAlignment="1" applyProtection="1">
      <alignment horizontal="center" vertical="center"/>
      <protection locked="0"/>
    </xf>
    <xf numFmtId="0" fontId="52" fillId="33" borderId="0" xfId="0" applyFont="1" applyFill="1" applyAlignment="1">
      <alignment horizontal="center"/>
    </xf>
    <xf numFmtId="0" fontId="0" fillId="33" borderId="0" xfId="0" applyFill="1" applyAlignment="1" applyProtection="1">
      <alignment horizontal="center" vertical="top"/>
      <protection locked="0"/>
    </xf>
    <xf numFmtId="0" fontId="52" fillId="33" borderId="0" xfId="0" applyFont="1" applyFill="1" applyAlignment="1">
      <alignment horizontal="center" vertical="center" wrapText="1"/>
    </xf>
    <xf numFmtId="0" fontId="53" fillId="0" borderId="9" xfId="0" applyFont="1" applyFill="1" applyBorder="1" applyAlignment="1">
      <alignment horizontal="center"/>
    </xf>
    <xf numFmtId="0" fontId="0" fillId="11" borderId="0" xfId="0" applyFill="1" applyAlignment="1">
      <alignment horizontal="center" vertical="center" wrapText="1"/>
    </xf>
    <xf numFmtId="1" fontId="53" fillId="33" borderId="0" xfId="0" applyNumberFormat="1" applyFont="1" applyFill="1" applyBorder="1" applyAlignment="1">
      <alignment horizontal="center"/>
    </xf>
    <xf numFmtId="0" fontId="50" fillId="33" borderId="0" xfId="0" applyFont="1" applyFill="1" applyBorder="1" applyAlignment="1">
      <alignment horizontal="center"/>
    </xf>
    <xf numFmtId="0" fontId="81" fillId="0" borderId="9" xfId="0" applyFont="1" applyBorder="1" applyAlignment="1">
      <alignment horizontal="center"/>
    </xf>
    <xf numFmtId="2" fontId="8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</xf>
    <xf numFmtId="3" fontId="34" fillId="74" borderId="0" xfId="0" applyNumberFormat="1" applyFont="1" applyFill="1" applyAlignment="1">
      <alignment horizontal="center"/>
    </xf>
    <xf numFmtId="1" fontId="53" fillId="26" borderId="0" xfId="0" applyNumberFormat="1" applyFont="1" applyFill="1" applyBorder="1" applyAlignment="1">
      <alignment horizontal="center"/>
    </xf>
    <xf numFmtId="0" fontId="50" fillId="26" borderId="0" xfId="0" applyFont="1" applyFill="1" applyBorder="1" applyAlignment="1">
      <alignment horizontal="center"/>
    </xf>
    <xf numFmtId="0" fontId="53" fillId="26" borderId="0" xfId="0" applyFont="1" applyFill="1" applyBorder="1" applyAlignment="1">
      <alignment horizontal="center"/>
    </xf>
    <xf numFmtId="1" fontId="53" fillId="26" borderId="9" xfId="0" applyNumberFormat="1" applyFont="1" applyFill="1" applyBorder="1" applyAlignment="1">
      <alignment horizontal="center"/>
    </xf>
    <xf numFmtId="0" fontId="50" fillId="26" borderId="9" xfId="0" applyFont="1" applyFill="1" applyBorder="1" applyAlignment="1">
      <alignment horizontal="center"/>
    </xf>
    <xf numFmtId="0" fontId="53" fillId="26" borderId="9" xfId="0" applyFont="1" applyFill="1" applyBorder="1" applyAlignment="1">
      <alignment horizontal="center"/>
    </xf>
    <xf numFmtId="0" fontId="0" fillId="26" borderId="0" xfId="0" applyFill="1" applyAlignment="1">
      <alignment horizontal="center" vertical="center" wrapText="1"/>
    </xf>
    <xf numFmtId="0" fontId="64" fillId="34" borderId="0" xfId="0" applyFont="1" applyFill="1" applyAlignment="1">
      <alignment horizontal="center"/>
    </xf>
    <xf numFmtId="165" fontId="64" fillId="34" borderId="0" xfId="0" applyNumberFormat="1" applyFont="1" applyFill="1" applyAlignment="1">
      <alignment horizontal="center"/>
    </xf>
    <xf numFmtId="2" fontId="64" fillId="34" borderId="0" xfId="0" applyNumberFormat="1" applyFont="1" applyFill="1" applyAlignment="1">
      <alignment horizontal="center"/>
    </xf>
    <xf numFmtId="1" fontId="64" fillId="34" borderId="0" xfId="0" applyNumberFormat="1" applyFont="1" applyFill="1" applyAlignment="1">
      <alignment horizontal="center"/>
    </xf>
    <xf numFmtId="167" fontId="64" fillId="34" borderId="0" xfId="0" applyNumberFormat="1" applyFont="1" applyFill="1" applyAlignment="1">
      <alignment horizontal="center"/>
    </xf>
    <xf numFmtId="0" fontId="65" fillId="34" borderId="0" xfId="0" applyFont="1" applyFill="1" applyAlignment="1">
      <alignment horizontal="center"/>
    </xf>
    <xf numFmtId="3" fontId="0" fillId="33" borderId="0" xfId="0" applyNumberFormat="1" applyFill="1" applyAlignment="1">
      <alignment horizontal="center"/>
    </xf>
    <xf numFmtId="1" fontId="33" fillId="75" borderId="0" xfId="0" applyNumberFormat="1" applyFont="1" applyFill="1" applyBorder="1" applyAlignment="1">
      <alignment horizontal="center"/>
    </xf>
    <xf numFmtId="0" fontId="34" fillId="75" borderId="0" xfId="0" applyFont="1" applyFill="1" applyBorder="1" applyAlignment="1">
      <alignment horizontal="center"/>
    </xf>
    <xf numFmtId="0" fontId="33" fillId="75" borderId="0" xfId="0" applyFont="1" applyFill="1" applyBorder="1" applyAlignment="1">
      <alignment horizontal="center"/>
    </xf>
    <xf numFmtId="0" fontId="81" fillId="51" borderId="0" xfId="0" applyFont="1" applyFill="1" applyAlignment="1">
      <alignment horizontal="center"/>
    </xf>
    <xf numFmtId="0" fontId="0" fillId="43" borderId="0" xfId="0" applyFill="1" applyAlignment="1">
      <alignment horizontal="center" vertical="center" wrapText="1"/>
    </xf>
    <xf numFmtId="2" fontId="53" fillId="51" borderId="0" xfId="0" applyNumberFormat="1" applyFont="1" applyFill="1" applyBorder="1" applyAlignment="1">
      <alignment horizontal="center"/>
    </xf>
    <xf numFmtId="0" fontId="0" fillId="8" borderId="0" xfId="0" applyNumberFormat="1" applyFill="1" applyAlignment="1">
      <alignment horizontal="center"/>
    </xf>
    <xf numFmtId="0" fontId="81" fillId="26" borderId="0" xfId="0" applyFont="1" applyFill="1" applyAlignment="1">
      <alignment horizontal="center"/>
    </xf>
    <xf numFmtId="4" fontId="0" fillId="8" borderId="0" xfId="0" applyNumberFormat="1" applyFill="1" applyAlignment="1">
      <alignment horizontal="center"/>
    </xf>
    <xf numFmtId="4" fontId="52" fillId="8" borderId="0" xfId="0" applyNumberFormat="1" applyFont="1" applyFill="1" applyAlignment="1">
      <alignment horizontal="center"/>
    </xf>
    <xf numFmtId="0" fontId="0" fillId="62" borderId="0" xfId="0" applyFill="1"/>
    <xf numFmtId="3" fontId="0" fillId="62" borderId="0" xfId="0" applyNumberFormat="1" applyFill="1" applyAlignment="1">
      <alignment horizontal="center"/>
    </xf>
    <xf numFmtId="2" fontId="0" fillId="62" borderId="0" xfId="0" applyNumberFormat="1" applyFill="1" applyAlignment="1">
      <alignment horizontal="center"/>
    </xf>
    <xf numFmtId="0" fontId="52" fillId="62" borderId="0" xfId="0" applyFont="1" applyFill="1" applyAlignment="1">
      <alignment horizontal="center"/>
    </xf>
    <xf numFmtId="0" fontId="37" fillId="62" borderId="0" xfId="0" applyFont="1" applyFill="1" applyAlignment="1">
      <alignment horizontal="center"/>
    </xf>
    <xf numFmtId="0" fontId="50" fillId="62" borderId="0" xfId="0" applyNumberFormat="1" applyFont="1" applyFill="1" applyAlignment="1">
      <alignment horizontal="center"/>
    </xf>
    <xf numFmtId="3" fontId="50" fillId="62" borderId="0" xfId="0" applyNumberFormat="1" applyFont="1" applyFill="1" applyAlignment="1">
      <alignment horizontal="center"/>
    </xf>
    <xf numFmtId="0" fontId="50" fillId="62" borderId="0" xfId="0" applyFont="1" applyFill="1" applyAlignment="1">
      <alignment horizontal="center"/>
    </xf>
    <xf numFmtId="2" fontId="50" fillId="62" borderId="0" xfId="0" applyNumberFormat="1" applyFont="1" applyFill="1" applyAlignment="1">
      <alignment horizontal="center"/>
    </xf>
    <xf numFmtId="0" fontId="50" fillId="62" borderId="0" xfId="0" applyFont="1" applyFill="1" applyAlignment="1">
      <alignment horizontal="center" vertical="center" wrapText="1"/>
    </xf>
    <xf numFmtId="0" fontId="50" fillId="62" borderId="0" xfId="0" applyFont="1" applyFill="1"/>
    <xf numFmtId="0" fontId="81" fillId="29" borderId="0" xfId="0" applyFont="1" applyFill="1" applyAlignment="1">
      <alignment horizontal="center"/>
    </xf>
    <xf numFmtId="2" fontId="53" fillId="33" borderId="0" xfId="0" applyNumberFormat="1" applyFont="1" applyFill="1" applyBorder="1" applyAlignment="1">
      <alignment horizontal="center"/>
    </xf>
    <xf numFmtId="0" fontId="81" fillId="11" borderId="0" xfId="0" applyFont="1" applyFill="1" applyAlignment="1">
      <alignment horizontal="center"/>
    </xf>
    <xf numFmtId="0" fontId="81" fillId="44" borderId="0" xfId="0" applyFont="1" applyFill="1" applyAlignment="1">
      <alignment horizontal="center"/>
    </xf>
    <xf numFmtId="0" fontId="0" fillId="76" borderId="0" xfId="0" applyFill="1"/>
    <xf numFmtId="0" fontId="0" fillId="48" borderId="0" xfId="0" applyNumberFormat="1" applyFont="1" applyFill="1" applyAlignment="1">
      <alignment horizontal="center"/>
    </xf>
    <xf numFmtId="164" fontId="0" fillId="48" borderId="0" xfId="0" applyNumberFormat="1" applyFont="1" applyFill="1" applyAlignment="1">
      <alignment horizontal="center"/>
    </xf>
    <xf numFmtId="0" fontId="0" fillId="48" borderId="0" xfId="0" applyFont="1" applyFill="1" applyAlignment="1">
      <alignment horizontal="center"/>
    </xf>
    <xf numFmtId="2" fontId="0" fillId="48" borderId="0" xfId="0" applyNumberFormat="1" applyFont="1" applyFill="1" applyAlignment="1">
      <alignment horizontal="center"/>
    </xf>
    <xf numFmtId="0" fontId="0" fillId="48" borderId="0" xfId="0" applyNumberFormat="1" applyFill="1" applyAlignment="1">
      <alignment horizontal="center"/>
    </xf>
    <xf numFmtId="164" fontId="0" fillId="48" borderId="0" xfId="0" applyNumberFormat="1" applyFill="1" applyAlignment="1">
      <alignment horizontal="center"/>
    </xf>
    <xf numFmtId="0" fontId="0" fillId="48" borderId="0" xfId="0" applyFill="1" applyAlignment="1">
      <alignment horizontal="center"/>
    </xf>
    <xf numFmtId="3" fontId="0" fillId="3" borderId="0" xfId="0" applyNumberFormat="1" applyFont="1" applyFill="1" applyAlignment="1">
      <alignment horizontal="center"/>
    </xf>
    <xf numFmtId="0" fontId="52" fillId="48" borderId="0" xfId="0" applyFont="1" applyFill="1" applyAlignment="1">
      <alignment horizontal="center"/>
    </xf>
    <xf numFmtId="2" fontId="0" fillId="53" borderId="0" xfId="0" applyNumberFormat="1" applyFill="1"/>
    <xf numFmtId="167" fontId="64" fillId="66" borderId="0" xfId="0" applyNumberFormat="1" applyFont="1" applyFill="1" applyAlignment="1">
      <alignment horizontal="center"/>
    </xf>
    <xf numFmtId="1" fontId="0" fillId="53" borderId="0" xfId="0" applyNumberFormat="1" applyFill="1"/>
    <xf numFmtId="0" fontId="50" fillId="66" borderId="0" xfId="0" applyFont="1" applyFill="1" applyBorder="1" applyAlignment="1">
      <alignment horizontal="center"/>
    </xf>
    <xf numFmtId="0" fontId="34" fillId="18" borderId="0" xfId="0" applyFont="1" applyFill="1" applyBorder="1" applyAlignment="1">
      <alignment horizontal="center"/>
    </xf>
    <xf numFmtId="1" fontId="33" fillId="18" borderId="0" xfId="0" applyNumberFormat="1" applyFont="1" applyFill="1" applyBorder="1" applyAlignment="1">
      <alignment horizontal="center"/>
    </xf>
    <xf numFmtId="0" fontId="33" fillId="18" borderId="0" xfId="0" applyFont="1" applyFill="1" applyBorder="1" applyAlignment="1">
      <alignment horizontal="center"/>
    </xf>
    <xf numFmtId="2" fontId="33" fillId="18" borderId="0" xfId="0" applyNumberFormat="1" applyFont="1" applyFill="1" applyBorder="1" applyAlignment="1">
      <alignment horizontal="center"/>
    </xf>
    <xf numFmtId="1" fontId="53" fillId="48" borderId="0" xfId="0" applyNumberFormat="1" applyFont="1" applyFill="1" applyBorder="1" applyAlignment="1">
      <alignment horizontal="center"/>
    </xf>
    <xf numFmtId="0" fontId="50" fillId="48" borderId="0" xfId="0" applyFont="1" applyFill="1" applyBorder="1" applyAlignment="1">
      <alignment horizontal="center"/>
    </xf>
    <xf numFmtId="0" fontId="53" fillId="48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41" fillId="4" borderId="0" xfId="300" applyNumberFormat="1" applyAlignment="1">
      <alignment horizontal="center"/>
    </xf>
    <xf numFmtId="0" fontId="41" fillId="4" borderId="0" xfId="300" applyAlignment="1" applyProtection="1">
      <alignment horizontal="center" vertical="top"/>
      <protection locked="0"/>
    </xf>
    <xf numFmtId="0" fontId="0" fillId="11" borderId="0" xfId="0" applyNumberFormat="1" applyFill="1" applyAlignment="1">
      <alignment horizontal="center"/>
    </xf>
    <xf numFmtId="3" fontId="0" fillId="11" borderId="0" xfId="0" applyNumberFormat="1" applyFill="1" applyAlignment="1">
      <alignment horizontal="center"/>
    </xf>
    <xf numFmtId="164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11" borderId="0" xfId="0" applyFill="1" applyAlignment="1" applyProtection="1">
      <alignment horizontal="center" vertical="center"/>
      <protection locked="0"/>
    </xf>
    <xf numFmtId="0" fontId="70" fillId="0" borderId="0" xfId="0" applyFont="1" applyFill="1" applyAlignment="1">
      <alignment horizontal="center" vertical="center"/>
    </xf>
    <xf numFmtId="3" fontId="0" fillId="15" borderId="0" xfId="0" applyNumberFormat="1" applyFill="1" applyAlignment="1">
      <alignment horizontal="center"/>
    </xf>
    <xf numFmtId="164" fontId="0" fillId="15" borderId="0" xfId="0" applyNumberFormat="1" applyFill="1" applyAlignment="1">
      <alignment horizontal="center"/>
    </xf>
    <xf numFmtId="0" fontId="0" fillId="15" borderId="0" xfId="0" applyFill="1" applyAlignment="1">
      <alignment horizontal="center"/>
    </xf>
    <xf numFmtId="2" fontId="0" fillId="15" borderId="0" xfId="0" applyNumberFormat="1" applyFill="1" applyAlignment="1">
      <alignment horizontal="center"/>
    </xf>
    <xf numFmtId="0" fontId="0" fillId="15" borderId="0" xfId="0" applyFill="1" applyAlignment="1" applyProtection="1">
      <alignment horizontal="center" vertical="center"/>
      <protection locked="0"/>
    </xf>
    <xf numFmtId="0" fontId="0" fillId="15" borderId="0" xfId="0" applyFill="1" applyAlignment="1">
      <alignment horizontal="center" vertical="center" wrapText="1"/>
    </xf>
    <xf numFmtId="167" fontId="0" fillId="15" borderId="0" xfId="0" applyNumberFormat="1" applyFill="1" applyAlignment="1">
      <alignment horizontal="center"/>
    </xf>
    <xf numFmtId="1" fontId="43" fillId="6" borderId="0" xfId="320" applyNumberFormat="1" applyAlignment="1">
      <alignment horizontal="center"/>
    </xf>
    <xf numFmtId="2" fontId="43" fillId="6" borderId="0" xfId="320" applyNumberFormat="1" applyAlignment="1">
      <alignment horizontal="center" vertical="center" wrapText="1"/>
    </xf>
    <xf numFmtId="165" fontId="53" fillId="62" borderId="0" xfId="0" applyNumberFormat="1" applyFont="1" applyFill="1" applyBorder="1" applyAlignment="1">
      <alignment horizontal="center"/>
    </xf>
    <xf numFmtId="167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 vertical="center"/>
    </xf>
    <xf numFmtId="1" fontId="0" fillId="51" borderId="0" xfId="0" applyNumberFormat="1" applyFill="1" applyAlignment="1">
      <alignment horizontal="center"/>
    </xf>
    <xf numFmtId="2" fontId="0" fillId="51" borderId="0" xfId="0" applyNumberFormat="1" applyFill="1" applyAlignment="1">
      <alignment horizontal="center"/>
    </xf>
    <xf numFmtId="0" fontId="99" fillId="53" borderId="0" xfId="0" applyFont="1" applyFill="1" applyAlignment="1">
      <alignment horizontal="center" vertical="center" wrapText="1"/>
    </xf>
    <xf numFmtId="0" fontId="110" fillId="53" borderId="0" xfId="0" applyFont="1" applyFill="1" applyBorder="1" applyAlignment="1">
      <alignment horizontal="left"/>
    </xf>
    <xf numFmtId="0" fontId="110" fillId="55" borderId="0" xfId="0" applyFont="1" applyFill="1" applyBorder="1" applyAlignment="1">
      <alignment horizontal="left"/>
    </xf>
    <xf numFmtId="165" fontId="65" fillId="53" borderId="0" xfId="0" applyNumberFormat="1" applyFont="1" applyFill="1" applyAlignment="1">
      <alignment horizontal="center"/>
    </xf>
    <xf numFmtId="2" fontId="65" fillId="53" borderId="0" xfId="0" applyNumberFormat="1" applyFont="1" applyFill="1" applyAlignment="1">
      <alignment horizontal="center"/>
    </xf>
    <xf numFmtId="1" fontId="65" fillId="53" borderId="0" xfId="0" applyNumberFormat="1" applyFont="1" applyFill="1" applyAlignment="1">
      <alignment horizontal="center"/>
    </xf>
    <xf numFmtId="0" fontId="111" fillId="53" borderId="0" xfId="0" applyFont="1" applyFill="1" applyAlignment="1">
      <alignment horizontal="center" vertical="center" wrapText="1"/>
    </xf>
    <xf numFmtId="167" fontId="65" fillId="53" borderId="0" xfId="0" applyNumberFormat="1" applyFont="1" applyFill="1" applyAlignment="1">
      <alignment horizontal="center"/>
    </xf>
    <xf numFmtId="165" fontId="53" fillId="66" borderId="0" xfId="0" applyNumberFormat="1" applyFont="1" applyFill="1" applyBorder="1" applyAlignment="1">
      <alignment horizontal="center"/>
    </xf>
    <xf numFmtId="165" fontId="64" fillId="33" borderId="0" xfId="0" applyNumberFormat="1" applyFont="1" applyFill="1" applyAlignment="1">
      <alignment horizontal="center"/>
    </xf>
    <xf numFmtId="1" fontId="53" fillId="11" borderId="0" xfId="0" applyNumberFormat="1" applyFont="1" applyFill="1" applyBorder="1" applyAlignment="1">
      <alignment horizontal="center"/>
    </xf>
    <xf numFmtId="0" fontId="50" fillId="11" borderId="0" xfId="0" applyFont="1" applyFill="1" applyBorder="1" applyAlignment="1">
      <alignment horizontal="center"/>
    </xf>
    <xf numFmtId="0" fontId="53" fillId="11" borderId="0" xfId="0" applyFont="1" applyFill="1" applyBorder="1" applyAlignment="1">
      <alignment horizontal="center"/>
    </xf>
    <xf numFmtId="165" fontId="53" fillId="11" borderId="0" xfId="0" applyNumberFormat="1" applyFont="1" applyFill="1" applyBorder="1" applyAlignment="1">
      <alignment horizontal="center"/>
    </xf>
    <xf numFmtId="1" fontId="53" fillId="45" borderId="0" xfId="0" applyNumberFormat="1" applyFont="1" applyFill="1" applyBorder="1" applyAlignment="1">
      <alignment horizontal="center"/>
    </xf>
    <xf numFmtId="0" fontId="50" fillId="45" borderId="0" xfId="0" applyFont="1" applyFill="1" applyBorder="1" applyAlignment="1">
      <alignment horizontal="center"/>
    </xf>
    <xf numFmtId="0" fontId="53" fillId="45" borderId="0" xfId="0" applyFont="1" applyFill="1" applyBorder="1" applyAlignment="1">
      <alignment horizontal="center"/>
    </xf>
    <xf numFmtId="165" fontId="53" fillId="45" borderId="0" xfId="0" applyNumberFormat="1" applyFont="1" applyFill="1" applyBorder="1" applyAlignment="1">
      <alignment horizontal="center"/>
    </xf>
    <xf numFmtId="0" fontId="0" fillId="33" borderId="0" xfId="0" applyFill="1" applyAlignment="1" applyProtection="1">
      <protection locked="0"/>
    </xf>
    <xf numFmtId="0" fontId="0" fillId="33" borderId="0" xfId="0" applyFill="1" applyAlignment="1" applyProtection="1">
      <alignment vertical="top"/>
      <protection locked="0"/>
    </xf>
    <xf numFmtId="2" fontId="0" fillId="33" borderId="0" xfId="0" applyNumberFormat="1" applyFill="1"/>
    <xf numFmtId="2" fontId="52" fillId="33" borderId="0" xfId="0" applyNumberFormat="1" applyFont="1" applyFill="1" applyAlignment="1">
      <alignment horizontal="center"/>
    </xf>
    <xf numFmtId="0" fontId="0" fillId="15" borderId="0" xfId="0" applyNumberFormat="1" applyFill="1" applyAlignment="1">
      <alignment horizontal="center"/>
    </xf>
    <xf numFmtId="0" fontId="0" fillId="33" borderId="0" xfId="0" applyFill="1" applyAlignment="1" applyProtection="1">
      <alignment horizontal="center"/>
      <protection locked="0"/>
    </xf>
    <xf numFmtId="0" fontId="33" fillId="61" borderId="0" xfId="0" applyFont="1" applyFill="1" applyAlignment="1">
      <alignment horizontal="center"/>
    </xf>
    <xf numFmtId="0" fontId="53" fillId="0" borderId="0" xfId="0" applyFont="1" applyFill="1" applyAlignment="1">
      <alignment horizontal="center"/>
    </xf>
    <xf numFmtId="2" fontId="0" fillId="66" borderId="0" xfId="0" applyNumberFormat="1" applyFill="1" applyAlignment="1">
      <alignment horizontal="center" vertical="center" wrapText="1"/>
    </xf>
    <xf numFmtId="2" fontId="99" fillId="66" borderId="0" xfId="0" applyNumberFormat="1" applyFont="1" applyFill="1" applyAlignment="1">
      <alignment horizontal="center" vertical="center" wrapText="1"/>
    </xf>
    <xf numFmtId="1" fontId="53" fillId="43" borderId="0" xfId="0" applyNumberFormat="1" applyFont="1" applyFill="1" applyBorder="1" applyAlignment="1">
      <alignment horizontal="center"/>
    </xf>
    <xf numFmtId="0" fontId="50" fillId="43" borderId="0" xfId="0" applyFont="1" applyFill="1" applyBorder="1" applyAlignment="1">
      <alignment horizontal="center"/>
    </xf>
    <xf numFmtId="0" fontId="53" fillId="43" borderId="0" xfId="0" applyFont="1" applyFill="1" applyBorder="1" applyAlignment="1">
      <alignment horizontal="center"/>
    </xf>
    <xf numFmtId="0" fontId="64" fillId="70" borderId="0" xfId="0" applyFont="1" applyFill="1" applyAlignment="1">
      <alignment horizontal="center"/>
    </xf>
    <xf numFmtId="165" fontId="64" fillId="70" borderId="0" xfId="0" applyNumberFormat="1" applyFont="1" applyFill="1" applyAlignment="1">
      <alignment horizontal="center"/>
    </xf>
    <xf numFmtId="2" fontId="64" fillId="70" borderId="0" xfId="0" applyNumberFormat="1" applyFont="1" applyFill="1" applyAlignment="1">
      <alignment horizontal="center"/>
    </xf>
    <xf numFmtId="1" fontId="64" fillId="70" borderId="0" xfId="0" applyNumberFormat="1" applyFont="1" applyFill="1" applyAlignment="1">
      <alignment horizontal="center"/>
    </xf>
    <xf numFmtId="1" fontId="0" fillId="66" borderId="0" xfId="0" applyNumberFormat="1" applyFill="1" applyAlignment="1">
      <alignment horizontal="center" vertical="center"/>
    </xf>
    <xf numFmtId="2" fontId="0" fillId="66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/>
    </xf>
    <xf numFmtId="0" fontId="112" fillId="34" borderId="0" xfId="0" applyFont="1" applyFill="1" applyAlignment="1" applyProtection="1">
      <alignment horizontal="center" vertical="top"/>
      <protection locked="0"/>
    </xf>
    <xf numFmtId="0" fontId="114" fillId="0" borderId="0" xfId="0" applyFont="1" applyFill="1" applyAlignment="1">
      <alignment horizontal="center"/>
    </xf>
    <xf numFmtId="0" fontId="114" fillId="0" borderId="0" xfId="0" applyFont="1" applyFill="1"/>
    <xf numFmtId="2" fontId="99" fillId="62" borderId="0" xfId="0" applyNumberFormat="1" applyFont="1" applyFill="1" applyAlignment="1">
      <alignment horizontal="center" vertical="center" wrapText="1"/>
    </xf>
    <xf numFmtId="0" fontId="50" fillId="11" borderId="0" xfId="0" applyFont="1" applyFill="1" applyAlignment="1">
      <alignment horizontal="center"/>
    </xf>
    <xf numFmtId="0" fontId="50" fillId="11" borderId="0" xfId="0" applyFont="1" applyFill="1" applyAlignment="1">
      <alignment horizontal="center" vertical="center" wrapText="1"/>
    </xf>
    <xf numFmtId="1" fontId="50" fillId="11" borderId="0" xfId="0" applyNumberFormat="1" applyFont="1" applyFill="1" applyAlignment="1">
      <alignment horizontal="center"/>
    </xf>
    <xf numFmtId="2" fontId="50" fillId="11" borderId="0" xfId="0" applyNumberFormat="1" applyFont="1" applyFill="1" applyAlignment="1">
      <alignment horizontal="center"/>
    </xf>
    <xf numFmtId="165" fontId="50" fillId="11" borderId="0" xfId="0" applyNumberFormat="1" applyFont="1" applyFill="1" applyAlignment="1">
      <alignment horizontal="center"/>
    </xf>
    <xf numFmtId="0" fontId="50" fillId="11" borderId="1" xfId="0" applyFont="1" applyFill="1" applyBorder="1" applyAlignment="1">
      <alignment horizontal="center"/>
    </xf>
    <xf numFmtId="0" fontId="50" fillId="11" borderId="0" xfId="300" applyFon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115" fillId="0" borderId="0" xfId="0" applyNumberFormat="1" applyFont="1" applyFill="1" applyAlignment="1">
      <alignment horizontal="center"/>
    </xf>
    <xf numFmtId="164" fontId="115" fillId="0" borderId="0" xfId="0" applyNumberFormat="1" applyFont="1" applyFill="1" applyAlignment="1">
      <alignment horizontal="center"/>
    </xf>
    <xf numFmtId="0" fontId="115" fillId="0" borderId="0" xfId="0" applyFont="1" applyFill="1" applyAlignment="1">
      <alignment horizontal="center"/>
    </xf>
    <xf numFmtId="167" fontId="115" fillId="0" borderId="0" xfId="0" applyNumberFormat="1" applyFont="1" applyFill="1" applyAlignment="1">
      <alignment horizontal="center"/>
    </xf>
    <xf numFmtId="165" fontId="116" fillId="0" borderId="0" xfId="0" applyNumberFormat="1" applyFont="1" applyFill="1" applyAlignment="1" applyProtection="1">
      <alignment horizontal="center" vertical="center"/>
      <protection locked="0"/>
    </xf>
    <xf numFmtId="0" fontId="115" fillId="0" borderId="0" xfId="0" applyFont="1" applyFill="1" applyAlignment="1" applyProtection="1">
      <alignment horizontal="center" vertical="center"/>
      <protection locked="0"/>
    </xf>
    <xf numFmtId="1" fontId="115" fillId="0" borderId="0" xfId="0" applyNumberFormat="1" applyFont="1" applyFill="1" applyAlignment="1">
      <alignment horizontal="center"/>
    </xf>
    <xf numFmtId="1" fontId="115" fillId="0" borderId="0" xfId="0" applyNumberFormat="1" applyFont="1" applyFill="1" applyAlignment="1" applyProtection="1">
      <alignment horizontal="center" vertical="center"/>
      <protection locked="0"/>
    </xf>
    <xf numFmtId="2" fontId="115" fillId="0" borderId="0" xfId="0" applyNumberFormat="1" applyFont="1" applyFill="1" applyAlignment="1">
      <alignment horizontal="center"/>
    </xf>
    <xf numFmtId="0" fontId="116" fillId="0" borderId="0" xfId="0" applyFont="1" applyFill="1" applyAlignment="1" applyProtection="1">
      <alignment horizontal="center" vertical="center"/>
      <protection locked="0"/>
    </xf>
    <xf numFmtId="1" fontId="116" fillId="0" borderId="0" xfId="0" applyNumberFormat="1" applyFont="1" applyFill="1" applyAlignment="1" applyProtection="1">
      <alignment horizontal="center" vertical="center"/>
      <protection locked="0"/>
    </xf>
    <xf numFmtId="165" fontId="115" fillId="0" borderId="0" xfId="0" applyNumberFormat="1" applyFont="1" applyFill="1" applyAlignment="1" applyProtection="1">
      <alignment horizontal="center" vertical="center"/>
      <protection locked="0"/>
    </xf>
    <xf numFmtId="3" fontId="97" fillId="0" borderId="0" xfId="0" applyNumberFormat="1" applyFont="1" applyFill="1" applyAlignment="1">
      <alignment horizontal="center"/>
    </xf>
    <xf numFmtId="0" fontId="115" fillId="3" borderId="0" xfId="0" applyNumberFormat="1" applyFont="1" applyFill="1" applyAlignment="1">
      <alignment horizontal="center"/>
    </xf>
    <xf numFmtId="3" fontId="97" fillId="3" borderId="0" xfId="0" applyNumberFormat="1" applyFont="1" applyFill="1" applyAlignment="1">
      <alignment horizontal="center"/>
    </xf>
    <xf numFmtId="2" fontId="64" fillId="8" borderId="0" xfId="0" applyNumberFormat="1" applyFont="1" applyFill="1" applyAlignment="1">
      <alignment horizontal="center"/>
    </xf>
    <xf numFmtId="1" fontId="64" fillId="8" borderId="0" xfId="0" applyNumberFormat="1" applyFont="1" applyFill="1" applyAlignment="1">
      <alignment horizontal="center"/>
    </xf>
    <xf numFmtId="167" fontId="64" fillId="8" borderId="0" xfId="0" applyNumberFormat="1" applyFont="1" applyFill="1" applyAlignment="1">
      <alignment horizontal="center"/>
    </xf>
    <xf numFmtId="0" fontId="65" fillId="8" borderId="0" xfId="0" applyFont="1" applyFill="1" applyAlignment="1">
      <alignment horizontal="center"/>
    </xf>
    <xf numFmtId="167" fontId="117" fillId="8" borderId="0" xfId="0" applyNumberFormat="1" applyFont="1" applyFill="1" applyAlignment="1">
      <alignment horizontal="center"/>
    </xf>
    <xf numFmtId="0" fontId="81" fillId="15" borderId="0" xfId="0" applyFont="1" applyFill="1" applyAlignment="1">
      <alignment horizontal="center"/>
    </xf>
    <xf numFmtId="0" fontId="65" fillId="70" borderId="0" xfId="0" applyFont="1" applyFill="1" applyAlignment="1">
      <alignment horizontal="center"/>
    </xf>
    <xf numFmtId="0" fontId="64" fillId="36" borderId="0" xfId="0" applyFont="1" applyFill="1" applyAlignment="1">
      <alignment horizontal="center"/>
    </xf>
    <xf numFmtId="165" fontId="64" fillId="36" borderId="0" xfId="0" applyNumberFormat="1" applyFont="1" applyFill="1" applyAlignment="1">
      <alignment horizontal="center"/>
    </xf>
    <xf numFmtId="2" fontId="64" fillId="36" borderId="0" xfId="0" applyNumberFormat="1" applyFont="1" applyFill="1" applyAlignment="1">
      <alignment horizontal="center"/>
    </xf>
    <xf numFmtId="1" fontId="64" fillId="36" borderId="0" xfId="0" applyNumberFormat="1" applyFont="1" applyFill="1" applyAlignment="1">
      <alignment horizontal="center"/>
    </xf>
    <xf numFmtId="0" fontId="65" fillId="36" borderId="0" xfId="0" applyFont="1" applyFill="1" applyAlignment="1">
      <alignment horizontal="center"/>
    </xf>
    <xf numFmtId="2" fontId="34" fillId="75" borderId="0" xfId="0" applyNumberFormat="1" applyFont="1" applyFill="1" applyBorder="1" applyAlignment="1">
      <alignment horizontal="center"/>
    </xf>
    <xf numFmtId="165" fontId="33" fillId="75" borderId="0" xfId="0" applyNumberFormat="1" applyFont="1" applyFill="1" applyBorder="1" applyAlignment="1">
      <alignment horizontal="center"/>
    </xf>
    <xf numFmtId="0" fontId="34" fillId="75" borderId="0" xfId="0" applyFont="1" applyFill="1"/>
    <xf numFmtId="2" fontId="33" fillId="75" borderId="0" xfId="0" applyNumberFormat="1" applyFont="1" applyFill="1" applyBorder="1" applyAlignment="1">
      <alignment horizontal="center"/>
    </xf>
    <xf numFmtId="0" fontId="52" fillId="51" borderId="0" xfId="0" applyFont="1" applyFill="1" applyAlignment="1">
      <alignment horizontal="center"/>
    </xf>
    <xf numFmtId="167" fontId="37" fillId="51" borderId="0" xfId="0" applyNumberFormat="1" applyFont="1" applyFill="1" applyAlignment="1">
      <alignment horizontal="center"/>
    </xf>
    <xf numFmtId="0" fontId="37" fillId="51" borderId="0" xfId="0" applyFont="1" applyFill="1" applyAlignment="1">
      <alignment horizontal="center"/>
    </xf>
    <xf numFmtId="165" fontId="64" fillId="51" borderId="0" xfId="0" applyNumberFormat="1" applyFont="1" applyFill="1" applyAlignment="1">
      <alignment horizontal="center"/>
    </xf>
    <xf numFmtId="0" fontId="112" fillId="11" borderId="0" xfId="0" applyFont="1" applyFill="1" applyAlignment="1" applyProtection="1">
      <alignment horizontal="center" vertical="center"/>
      <protection locked="0"/>
    </xf>
    <xf numFmtId="0" fontId="118" fillId="11" borderId="0" xfId="0" applyFont="1" applyFill="1" applyAlignment="1">
      <alignment horizontal="center" vertical="center"/>
    </xf>
    <xf numFmtId="2" fontId="50" fillId="0" borderId="0" xfId="0" applyNumberFormat="1" applyFont="1" applyAlignment="1">
      <alignment horizontal="center" vertical="center"/>
    </xf>
    <xf numFmtId="0" fontId="52" fillId="53" borderId="0" xfId="0" applyFont="1" applyFill="1" applyAlignment="1">
      <alignment horizontal="center"/>
    </xf>
    <xf numFmtId="0" fontId="0" fillId="53" borderId="0" xfId="0" applyFill="1" applyAlignment="1">
      <alignment horizontal="center" vertical="center"/>
    </xf>
    <xf numFmtId="1" fontId="53" fillId="77" borderId="0" xfId="0" applyNumberFormat="1" applyFont="1" applyFill="1" applyBorder="1" applyAlignment="1">
      <alignment horizontal="center"/>
    </xf>
    <xf numFmtId="0" fontId="50" fillId="77" borderId="0" xfId="0" applyFont="1" applyFill="1" applyBorder="1" applyAlignment="1">
      <alignment horizontal="center"/>
    </xf>
    <xf numFmtId="0" fontId="53" fillId="77" borderId="0" xfId="0" applyFont="1" applyFill="1" applyBorder="1" applyAlignment="1">
      <alignment horizontal="center"/>
    </xf>
    <xf numFmtId="0" fontId="0" fillId="77" borderId="0" xfId="0" applyFill="1" applyAlignment="1">
      <alignment horizontal="center" vertical="center" wrapText="1"/>
    </xf>
    <xf numFmtId="0" fontId="0" fillId="77" borderId="0" xfId="0" applyFill="1" applyAlignment="1">
      <alignment vertical="center" wrapText="1"/>
    </xf>
    <xf numFmtId="0" fontId="99" fillId="77" borderId="0" xfId="0" applyFont="1" applyFill="1" applyAlignment="1">
      <alignment vertical="center" wrapText="1"/>
    </xf>
    <xf numFmtId="2" fontId="50" fillId="53" borderId="0" xfId="0" applyNumberFormat="1" applyFont="1" applyFill="1" applyBorder="1" applyAlignment="1">
      <alignment horizontal="center"/>
    </xf>
    <xf numFmtId="165" fontId="53" fillId="53" borderId="0" xfId="0" applyNumberFormat="1" applyFont="1" applyFill="1" applyBorder="1" applyAlignment="1">
      <alignment horizontal="center"/>
    </xf>
    <xf numFmtId="1" fontId="33" fillId="51" borderId="0" xfId="0" applyNumberFormat="1" applyFont="1" applyFill="1" applyBorder="1" applyAlignment="1">
      <alignment horizontal="center"/>
    </xf>
    <xf numFmtId="0" fontId="34" fillId="51" borderId="0" xfId="0" applyFont="1" applyFill="1" applyAlignment="1">
      <alignment horizontal="center"/>
    </xf>
    <xf numFmtId="0" fontId="34" fillId="51" borderId="0" xfId="0" applyFont="1" applyFill="1" applyAlignment="1">
      <alignment horizontal="center" vertical="center" wrapText="1"/>
    </xf>
    <xf numFmtId="0" fontId="69" fillId="53" borderId="0" xfId="0" applyFont="1" applyFill="1" applyAlignment="1">
      <alignment horizontal="center"/>
    </xf>
    <xf numFmtId="165" fontId="69" fillId="53" borderId="0" xfId="0" applyNumberFormat="1" applyFont="1" applyFill="1" applyAlignment="1">
      <alignment horizontal="center"/>
    </xf>
    <xf numFmtId="165" fontId="69" fillId="51" borderId="0" xfId="0" applyNumberFormat="1" applyFont="1" applyFill="1" applyAlignment="1">
      <alignment horizontal="center"/>
    </xf>
    <xf numFmtId="2" fontId="69" fillId="53" borderId="0" xfId="0" applyNumberFormat="1" applyFont="1" applyFill="1" applyAlignment="1">
      <alignment horizontal="center"/>
    </xf>
    <xf numFmtId="1" fontId="69" fillId="53" borderId="0" xfId="0" applyNumberFormat="1" applyFont="1" applyFill="1" applyAlignment="1">
      <alignment horizontal="center"/>
    </xf>
    <xf numFmtId="167" fontId="69" fillId="53" borderId="0" xfId="0" applyNumberFormat="1" applyFont="1" applyFill="1" applyAlignment="1">
      <alignment horizontal="center"/>
    </xf>
    <xf numFmtId="2" fontId="50" fillId="43" borderId="0" xfId="0" applyNumberFormat="1" applyFont="1" applyFill="1" applyAlignment="1">
      <alignment horizontal="center" vertical="center"/>
    </xf>
    <xf numFmtId="0" fontId="118" fillId="43" borderId="0" xfId="0" applyFont="1" applyFill="1" applyAlignment="1">
      <alignment horizontal="center" vertical="center"/>
    </xf>
    <xf numFmtId="0" fontId="37" fillId="53" borderId="0" xfId="0" applyFont="1" applyFill="1" applyAlignment="1">
      <alignment horizontal="center"/>
    </xf>
    <xf numFmtId="0" fontId="119" fillId="11" borderId="0" xfId="0" applyFont="1" applyFill="1" applyAlignment="1">
      <alignment horizontal="center"/>
    </xf>
    <xf numFmtId="165" fontId="0" fillId="0" borderId="0" xfId="0" applyNumberFormat="1"/>
    <xf numFmtId="0" fontId="110" fillId="0" borderId="0" xfId="0" applyFont="1" applyAlignment="1">
      <alignment horizontal="center"/>
    </xf>
    <xf numFmtId="0" fontId="112" fillId="9" borderId="0" xfId="0" applyFont="1" applyFill="1" applyAlignment="1" applyProtection="1">
      <alignment vertical="center"/>
      <protection locked="0"/>
    </xf>
    <xf numFmtId="0" fontId="0" fillId="9" borderId="0" xfId="0" applyFill="1" applyAlignment="1" applyProtection="1">
      <alignment vertical="top"/>
      <protection locked="0"/>
    </xf>
    <xf numFmtId="1" fontId="53" fillId="3" borderId="0" xfId="0" applyNumberFormat="1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2" fontId="50" fillId="0" borderId="0" xfId="123" applyNumberFormat="1" applyFont="1" applyFill="1" applyBorder="1" applyAlignment="1">
      <alignment horizontal="center"/>
    </xf>
    <xf numFmtId="2" fontId="50" fillId="3" borderId="0" xfId="123" applyNumberFormat="1" applyFont="1" applyFill="1" applyBorder="1" applyAlignment="1">
      <alignment horizontal="center"/>
    </xf>
    <xf numFmtId="2" fontId="53" fillId="3" borderId="0" xfId="0" applyNumberFormat="1" applyFont="1" applyFill="1" applyBorder="1" applyAlignment="1">
      <alignment horizontal="center"/>
    </xf>
    <xf numFmtId="2" fontId="50" fillId="7" borderId="0" xfId="123" applyNumberFormat="1" applyFont="1" applyFill="1" applyBorder="1" applyAlignment="1">
      <alignment horizontal="center"/>
    </xf>
    <xf numFmtId="2" fontId="53" fillId="7" borderId="0" xfId="0" applyNumberFormat="1" applyFont="1" applyFill="1" applyBorder="1" applyAlignment="1">
      <alignment horizontal="center"/>
    </xf>
    <xf numFmtId="0" fontId="53" fillId="0" borderId="0" xfId="0" applyFont="1" applyFill="1" applyAlignment="1">
      <alignment horizontal="center" vertical="center"/>
    </xf>
    <xf numFmtId="1" fontId="50" fillId="11" borderId="0" xfId="0" applyNumberFormat="1" applyFont="1" applyFill="1" applyAlignment="1">
      <alignment horizontal="center" vertical="center"/>
    </xf>
    <xf numFmtId="2" fontId="0" fillId="11" borderId="0" xfId="0" applyNumberFormat="1" applyFill="1" applyAlignment="1">
      <alignment horizontal="center" vertical="center"/>
    </xf>
    <xf numFmtId="1" fontId="50" fillId="43" borderId="0" xfId="0" applyNumberFormat="1" applyFont="1" applyFill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0" fillId="11" borderId="0" xfId="0" applyFont="1" applyFill="1" applyAlignment="1">
      <alignment horizontal="center" vertical="center"/>
    </xf>
    <xf numFmtId="0" fontId="113" fillId="11" borderId="0" xfId="0" applyFont="1" applyFill="1" applyAlignment="1">
      <alignment horizontal="center" vertical="center"/>
    </xf>
    <xf numFmtId="2" fontId="50" fillId="11" borderId="0" xfId="0" applyNumberFormat="1" applyFont="1" applyFill="1" applyAlignment="1">
      <alignment horizontal="center" vertical="center"/>
    </xf>
    <xf numFmtId="0" fontId="118" fillId="11" borderId="0" xfId="0" applyFont="1" applyFill="1" applyAlignment="1">
      <alignment horizontal="center" vertical="center" wrapText="1"/>
    </xf>
    <xf numFmtId="0" fontId="50" fillId="43" borderId="0" xfId="0" applyFont="1" applyFill="1" applyAlignment="1">
      <alignment horizontal="center" vertical="center"/>
    </xf>
    <xf numFmtId="0" fontId="118" fillId="43" borderId="0" xfId="0" applyFont="1" applyFill="1" applyAlignment="1">
      <alignment horizontal="center" vertical="center" wrapText="1"/>
    </xf>
    <xf numFmtId="165" fontId="33" fillId="3" borderId="0" xfId="0" applyNumberFormat="1" applyFont="1" applyFill="1" applyBorder="1" applyAlignment="1">
      <alignment horizontal="center"/>
    </xf>
    <xf numFmtId="2" fontId="61" fillId="11" borderId="0" xfId="0" applyNumberFormat="1" applyFont="1" applyFill="1" applyAlignment="1">
      <alignment horizontal="center"/>
    </xf>
    <xf numFmtId="167" fontId="64" fillId="48" borderId="0" xfId="0" applyNumberFormat="1" applyFont="1" applyFill="1" applyAlignment="1">
      <alignment horizontal="center"/>
    </xf>
    <xf numFmtId="0" fontId="0" fillId="34" borderId="0" xfId="0" applyFill="1" applyAlignment="1" applyProtection="1">
      <alignment horizontal="center" vertical="center"/>
      <protection locked="0"/>
    </xf>
    <xf numFmtId="2" fontId="0" fillId="34" borderId="0" xfId="0" applyNumberFormat="1" applyFill="1" applyAlignment="1">
      <alignment horizontal="center" vertical="center"/>
    </xf>
    <xf numFmtId="0" fontId="0" fillId="34" borderId="0" xfId="0" applyNumberFormat="1" applyFill="1" applyAlignment="1">
      <alignment horizontal="center" vertical="center" wrapText="1"/>
    </xf>
    <xf numFmtId="2" fontId="53" fillId="45" borderId="0" xfId="0" applyNumberFormat="1" applyFont="1" applyFill="1" applyBorder="1" applyAlignment="1">
      <alignment horizontal="center"/>
    </xf>
    <xf numFmtId="0" fontId="50" fillId="78" borderId="0" xfId="0" applyFont="1" applyFill="1" applyBorder="1" applyAlignment="1">
      <alignment horizontal="center"/>
    </xf>
    <xf numFmtId="0" fontId="53" fillId="78" borderId="0" xfId="0" applyFont="1" applyFill="1" applyBorder="1" applyAlignment="1">
      <alignment horizontal="center"/>
    </xf>
    <xf numFmtId="0" fontId="0" fillId="53" borderId="0" xfId="0" applyFill="1" applyAlignment="1">
      <alignment vertical="center" wrapText="1"/>
    </xf>
    <xf numFmtId="165" fontId="63" fillId="53" borderId="0" xfId="0" applyNumberFormat="1" applyFont="1" applyFill="1" applyAlignment="1">
      <alignment horizontal="center"/>
    </xf>
    <xf numFmtId="0" fontId="109" fillId="0" borderId="0" xfId="0" applyNumberFormat="1" applyFont="1" applyFill="1" applyBorder="1" applyAlignment="1" applyProtection="1">
      <alignment horizontal="center"/>
      <protection locked="0"/>
    </xf>
    <xf numFmtId="0" fontId="109" fillId="0" borderId="0" xfId="0" applyFont="1" applyBorder="1" applyProtection="1">
      <protection locked="0"/>
    </xf>
    <xf numFmtId="0" fontId="109" fillId="0" borderId="0" xfId="0" applyNumberFormat="1" applyFont="1" applyBorder="1" applyAlignment="1" applyProtection="1">
      <alignment horizontal="center"/>
    </xf>
    <xf numFmtId="0" fontId="109" fillId="0" borderId="0" xfId="0" applyNumberFormat="1" applyFont="1" applyBorder="1" applyProtection="1"/>
    <xf numFmtId="1" fontId="109" fillId="0" borderId="0" xfId="0" applyNumberFormat="1" applyFont="1" applyBorder="1" applyAlignment="1" applyProtection="1">
      <alignment horizontal="center"/>
    </xf>
    <xf numFmtId="14" fontId="59" fillId="0" borderId="0" xfId="0" applyNumberFormat="1" applyFont="1" applyBorder="1" applyAlignment="1" applyProtection="1">
      <alignment horizontal="center"/>
    </xf>
    <xf numFmtId="165" fontId="109" fillId="0" borderId="0" xfId="0" applyNumberFormat="1" applyFont="1" applyBorder="1" applyAlignment="1" applyProtection="1">
      <alignment horizontal="center" vertical="center"/>
    </xf>
    <xf numFmtId="0" fontId="109" fillId="0" borderId="0" xfId="0" applyFont="1" applyProtection="1">
      <protection locked="0"/>
    </xf>
    <xf numFmtId="0" fontId="112" fillId="33" borderId="0" xfId="0" applyFont="1" applyFill="1" applyAlignment="1" applyProtection="1">
      <alignment horizontal="center" vertical="center"/>
      <protection locked="0"/>
    </xf>
    <xf numFmtId="0" fontId="0" fillId="33" borderId="0" xfId="0" applyFill="1" applyAlignment="1">
      <alignment horizontal="center" vertical="center"/>
    </xf>
    <xf numFmtId="1" fontId="50" fillId="26" borderId="0" xfId="0" applyNumberFormat="1" applyFont="1" applyFill="1" applyAlignment="1">
      <alignment horizontal="center"/>
    </xf>
    <xf numFmtId="0" fontId="50" fillId="26" borderId="0" xfId="0" applyFont="1" applyFill="1" applyAlignment="1">
      <alignment horizontal="center"/>
    </xf>
    <xf numFmtId="2" fontId="50" fillId="26" borderId="0" xfId="0" applyNumberFormat="1" applyFont="1" applyFill="1" applyAlignment="1">
      <alignment horizontal="center"/>
    </xf>
    <xf numFmtId="0" fontId="50" fillId="26" borderId="0" xfId="0" applyFont="1" applyFill="1" applyAlignment="1">
      <alignment horizontal="center" vertical="center"/>
    </xf>
    <xf numFmtId="165" fontId="50" fillId="26" borderId="0" xfId="0" applyNumberFormat="1" applyFont="1" applyFill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vertical="center" wrapText="1"/>
    </xf>
    <xf numFmtId="165" fontId="64" fillId="70" borderId="0" xfId="0" applyNumberFormat="1" applyFont="1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0" xfId="0" applyFill="1" applyAlignment="1">
      <alignment horizontal="center" vertical="center" wrapText="1"/>
    </xf>
    <xf numFmtId="167" fontId="64" fillId="70" borderId="0" xfId="0" applyNumberFormat="1" applyFont="1" applyFill="1" applyAlignment="1">
      <alignment horizontal="center"/>
    </xf>
    <xf numFmtId="0" fontId="65" fillId="70" borderId="0" xfId="0" applyFont="1" applyFill="1" applyAlignment="1">
      <alignment horizontal="center" vertical="center"/>
    </xf>
    <xf numFmtId="0" fontId="109" fillId="70" borderId="0" xfId="0" applyFont="1" applyFill="1" applyBorder="1" applyAlignment="1" applyProtection="1">
      <alignment horizontal="center" vertical="center"/>
      <protection locked="0"/>
    </xf>
    <xf numFmtId="0" fontId="109" fillId="70" borderId="0" xfId="0" applyFont="1" applyFill="1" applyBorder="1" applyProtection="1">
      <protection locked="0"/>
    </xf>
    <xf numFmtId="0" fontId="109" fillId="70" borderId="0" xfId="0" applyNumberFormat="1" applyFont="1" applyFill="1" applyBorder="1" applyAlignment="1" applyProtection="1">
      <alignment horizontal="center"/>
    </xf>
    <xf numFmtId="0" fontId="109" fillId="70" borderId="0" xfId="0" applyNumberFormat="1" applyFont="1" applyFill="1" applyBorder="1" applyProtection="1"/>
    <xf numFmtId="2" fontId="109" fillId="70" borderId="0" xfId="0" applyNumberFormat="1" applyFont="1" applyFill="1" applyBorder="1" applyAlignment="1" applyProtection="1">
      <alignment horizontal="center"/>
    </xf>
    <xf numFmtId="1" fontId="109" fillId="70" borderId="0" xfId="0" applyNumberFormat="1" applyFont="1" applyFill="1" applyBorder="1" applyAlignment="1" applyProtection="1">
      <alignment horizontal="center"/>
    </xf>
    <xf numFmtId="14" fontId="59" fillId="70" borderId="0" xfId="0" applyNumberFormat="1" applyFont="1" applyFill="1" applyBorder="1" applyAlignment="1" applyProtection="1">
      <alignment horizontal="center"/>
    </xf>
    <xf numFmtId="0" fontId="109" fillId="70" borderId="0" xfId="0" applyFont="1" applyFill="1" applyBorder="1" applyAlignment="1" applyProtection="1">
      <alignment horizontal="center"/>
      <protection locked="0"/>
    </xf>
    <xf numFmtId="167" fontId="109" fillId="70" borderId="0" xfId="0" applyNumberFormat="1" applyFont="1" applyFill="1" applyBorder="1" applyAlignment="1" applyProtection="1">
      <alignment horizontal="center"/>
      <protection locked="0"/>
    </xf>
    <xf numFmtId="165" fontId="109" fillId="70" borderId="0" xfId="0" applyNumberFormat="1" applyFont="1" applyFill="1" applyBorder="1" applyAlignment="1" applyProtection="1">
      <alignment horizontal="center" vertical="center"/>
    </xf>
    <xf numFmtId="0" fontId="109" fillId="70" borderId="0" xfId="0" applyNumberFormat="1" applyFont="1" applyFill="1" applyBorder="1" applyAlignment="1" applyProtection="1">
      <alignment horizontal="center" vertical="center"/>
      <protection locked="0"/>
    </xf>
    <xf numFmtId="1" fontId="109" fillId="70" borderId="0" xfId="0" applyNumberFormat="1" applyFont="1" applyFill="1" applyBorder="1" applyAlignment="1" applyProtection="1">
      <alignment horizontal="center" vertical="center"/>
      <protection locked="0"/>
    </xf>
    <xf numFmtId="0" fontId="109" fillId="70" borderId="0" xfId="0" applyFont="1" applyFill="1" applyAlignment="1" applyProtection="1">
      <alignment horizontal="center" vertical="center"/>
      <protection locked="0"/>
    </xf>
    <xf numFmtId="0" fontId="121" fillId="0" borderId="0" xfId="0" applyNumberFormat="1" applyFont="1" applyBorder="1" applyAlignment="1" applyProtection="1">
      <alignment horizontal="center"/>
      <protection locked="0"/>
    </xf>
    <xf numFmtId="0" fontId="63" fillId="0" borderId="0" xfId="0" applyNumberFormat="1" applyFont="1" applyAlignment="1">
      <alignment horizontal="center"/>
    </xf>
    <xf numFmtId="0" fontId="66" fillId="9" borderId="2" xfId="0" applyNumberFormat="1" applyFont="1" applyFill="1" applyBorder="1" applyAlignment="1">
      <alignment horizontal="center" vertical="center"/>
    </xf>
    <xf numFmtId="0" fontId="66" fillId="9" borderId="3" xfId="0" applyNumberFormat="1" applyFont="1" applyFill="1" applyBorder="1" applyAlignment="1">
      <alignment horizontal="center"/>
    </xf>
    <xf numFmtId="0" fontId="64" fillId="7" borderId="1" xfId="0" applyNumberFormat="1" applyFont="1" applyFill="1" applyBorder="1" applyAlignment="1">
      <alignment horizontal="center"/>
    </xf>
    <xf numFmtId="0" fontId="65" fillId="0" borderId="1" xfId="0" applyNumberFormat="1" applyFont="1" applyFill="1" applyBorder="1" applyAlignment="1">
      <alignment horizontal="center"/>
    </xf>
    <xf numFmtId="0" fontId="69" fillId="0" borderId="1" xfId="0" applyNumberFormat="1" applyFont="1" applyFill="1" applyBorder="1" applyAlignment="1">
      <alignment horizontal="center"/>
    </xf>
    <xf numFmtId="0" fontId="70" fillId="11" borderId="1" xfId="0" applyNumberFormat="1" applyFont="1" applyFill="1" applyBorder="1" applyAlignment="1">
      <alignment horizontal="center" vertical="center"/>
    </xf>
    <xf numFmtId="0" fontId="71" fillId="11" borderId="1" xfId="0" applyNumberFormat="1" applyFont="1" applyFill="1" applyBorder="1" applyAlignment="1">
      <alignment horizontal="center" vertical="center"/>
    </xf>
    <xf numFmtId="0" fontId="71" fillId="0" borderId="1" xfId="0" applyNumberFormat="1" applyFont="1" applyFill="1" applyBorder="1" applyAlignment="1">
      <alignment horizontal="center" vertical="center"/>
    </xf>
    <xf numFmtId="0" fontId="72" fillId="0" borderId="1" xfId="0" applyNumberFormat="1" applyFont="1" applyFill="1" applyBorder="1" applyAlignment="1">
      <alignment horizontal="center" vertical="center"/>
    </xf>
    <xf numFmtId="0" fontId="73" fillId="0" borderId="1" xfId="7845" applyNumberFormat="1" applyFont="1" applyFill="1" applyBorder="1" applyAlignment="1">
      <alignment horizontal="center"/>
    </xf>
    <xf numFmtId="0" fontId="64" fillId="0" borderId="1" xfId="7845" applyNumberFormat="1" applyFont="1" applyFill="1" applyBorder="1" applyAlignment="1">
      <alignment horizontal="center"/>
    </xf>
    <xf numFmtId="0" fontId="74" fillId="0" borderId="1" xfId="0" applyNumberFormat="1" applyFont="1" applyFill="1" applyBorder="1" applyAlignment="1">
      <alignment horizontal="center"/>
    </xf>
    <xf numFmtId="0" fontId="75" fillId="0" borderId="1" xfId="0" applyNumberFormat="1" applyFont="1" applyFill="1" applyBorder="1" applyAlignment="1">
      <alignment horizontal="center"/>
    </xf>
    <xf numFmtId="0" fontId="76" fillId="9" borderId="1" xfId="0" applyNumberFormat="1" applyFont="1" applyFill="1" applyBorder="1" applyAlignment="1">
      <alignment horizontal="center"/>
    </xf>
    <xf numFmtId="0" fontId="76" fillId="8" borderId="1" xfId="0" applyNumberFormat="1" applyFont="1" applyFill="1" applyBorder="1" applyAlignment="1">
      <alignment horizontal="center"/>
    </xf>
    <xf numFmtId="0" fontId="76" fillId="18" borderId="1" xfId="0" applyNumberFormat="1" applyFont="1" applyFill="1" applyBorder="1" applyAlignment="1">
      <alignment horizontal="center"/>
    </xf>
    <xf numFmtId="0" fontId="76" fillId="0" borderId="1" xfId="0" applyNumberFormat="1" applyFont="1" applyFill="1" applyBorder="1" applyAlignment="1">
      <alignment horizontal="center"/>
    </xf>
    <xf numFmtId="0" fontId="77" fillId="0" borderId="1" xfId="0" applyNumberFormat="1" applyFont="1" applyFill="1" applyBorder="1" applyAlignment="1">
      <alignment horizontal="center"/>
    </xf>
    <xf numFmtId="0" fontId="87" fillId="0" borderId="1" xfId="0" applyNumberFormat="1" applyFont="1" applyFill="1" applyBorder="1" applyAlignment="1">
      <alignment horizontal="center"/>
    </xf>
    <xf numFmtId="0" fontId="76" fillId="3" borderId="1" xfId="0" applyNumberFormat="1" applyFont="1" applyFill="1" applyBorder="1" applyAlignment="1">
      <alignment horizontal="center"/>
    </xf>
    <xf numFmtId="0" fontId="76" fillId="7" borderId="1" xfId="0" applyNumberFormat="1" applyFont="1" applyFill="1" applyBorder="1" applyAlignment="1">
      <alignment horizontal="center"/>
    </xf>
    <xf numFmtId="0" fontId="64" fillId="7" borderId="0" xfId="0" applyNumberFormat="1" applyFont="1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88" fillId="20" borderId="0" xfId="0" applyNumberFormat="1" applyFont="1" applyFill="1" applyAlignment="1">
      <alignment horizontal="center"/>
    </xf>
    <xf numFmtId="0" fontId="89" fillId="0" borderId="0" xfId="0" applyNumberFormat="1" applyFont="1" applyAlignment="1">
      <alignment horizontal="center" vertical="center"/>
    </xf>
    <xf numFmtId="0" fontId="89" fillId="22" borderId="0" xfId="0" applyNumberFormat="1" applyFont="1" applyFill="1" applyAlignment="1">
      <alignment horizontal="center" vertical="center"/>
    </xf>
    <xf numFmtId="0" fontId="89" fillId="24" borderId="0" xfId="0" applyNumberFormat="1" applyFont="1" applyFill="1" applyAlignment="1">
      <alignment horizontal="center" vertical="center"/>
    </xf>
    <xf numFmtId="0" fontId="89" fillId="8" borderId="0" xfId="0" applyNumberFormat="1" applyFont="1" applyFill="1" applyAlignment="1">
      <alignment horizontal="center" vertical="center"/>
    </xf>
    <xf numFmtId="0" fontId="91" fillId="21" borderId="0" xfId="0" applyNumberFormat="1" applyFont="1" applyFill="1" applyAlignment="1">
      <alignment horizontal="center" vertical="center"/>
    </xf>
    <xf numFmtId="0" fontId="91" fillId="9" borderId="0" xfId="0" applyNumberFormat="1" applyFont="1" applyFill="1" applyAlignment="1">
      <alignment horizontal="center" vertical="center"/>
    </xf>
    <xf numFmtId="0" fontId="91" fillId="8" borderId="0" xfId="0" applyNumberFormat="1" applyFont="1" applyFill="1" applyAlignment="1">
      <alignment horizontal="center" vertical="center"/>
    </xf>
    <xf numFmtId="0" fontId="91" fillId="33" borderId="0" xfId="0" applyNumberFormat="1" applyFont="1" applyFill="1" applyAlignment="1">
      <alignment horizontal="center" vertical="center"/>
    </xf>
    <xf numFmtId="0" fontId="37" fillId="27" borderId="0" xfId="0" applyNumberFormat="1" applyFont="1" applyFill="1" applyAlignment="1">
      <alignment horizontal="center"/>
    </xf>
    <xf numFmtId="0" fontId="37" fillId="22" borderId="0" xfId="0" applyNumberFormat="1" applyFont="1" applyFill="1" applyAlignment="1">
      <alignment horizontal="center"/>
    </xf>
    <xf numFmtId="0" fontId="37" fillId="17" borderId="0" xfId="0" applyNumberFormat="1" applyFont="1" applyFill="1" applyAlignment="1">
      <alignment horizontal="center"/>
    </xf>
    <xf numFmtId="0" fontId="37" fillId="0" borderId="0" xfId="0" applyNumberFormat="1" applyFont="1" applyAlignment="1">
      <alignment horizontal="center"/>
    </xf>
    <xf numFmtId="0" fontId="0" fillId="37" borderId="0" xfId="0" applyNumberFormat="1" applyFill="1" applyAlignment="1">
      <alignment horizontal="center"/>
    </xf>
    <xf numFmtId="0" fontId="68" fillId="38" borderId="0" xfId="0" applyNumberFormat="1" applyFont="1" applyFill="1" applyAlignment="1">
      <alignment horizontal="center"/>
    </xf>
    <xf numFmtId="0" fontId="64" fillId="45" borderId="0" xfId="0" applyNumberFormat="1" applyFont="1" applyFill="1" applyAlignment="1">
      <alignment horizontal="center"/>
    </xf>
    <xf numFmtId="0" fontId="64" fillId="9" borderId="0" xfId="0" applyNumberFormat="1" applyFont="1" applyFill="1" applyAlignment="1">
      <alignment horizontal="center"/>
    </xf>
    <xf numFmtId="0" fontId="64" fillId="16" borderId="0" xfId="0" applyNumberFormat="1" applyFont="1" applyFill="1" applyAlignment="1">
      <alignment horizontal="center"/>
    </xf>
    <xf numFmtId="0" fontId="64" fillId="46" borderId="0" xfId="0" applyNumberFormat="1" applyFont="1" applyFill="1" applyAlignment="1">
      <alignment horizontal="center"/>
    </xf>
    <xf numFmtId="0" fontId="65" fillId="48" borderId="0" xfId="0" applyNumberFormat="1" applyFont="1" applyFill="1" applyAlignment="1">
      <alignment horizontal="center"/>
    </xf>
    <xf numFmtId="0" fontId="64" fillId="43" borderId="0" xfId="0" applyNumberFormat="1" applyFont="1" applyFill="1" applyAlignment="1">
      <alignment horizontal="center"/>
    </xf>
    <xf numFmtId="0" fontId="64" fillId="48" borderId="0" xfId="0" applyNumberFormat="1" applyFont="1" applyFill="1" applyAlignment="1">
      <alignment horizontal="center"/>
    </xf>
    <xf numFmtId="0" fontId="69" fillId="48" borderId="0" xfId="0" applyNumberFormat="1" applyFont="1" applyFill="1" applyAlignment="1">
      <alignment horizontal="center"/>
    </xf>
    <xf numFmtId="0" fontId="69" fillId="7" borderId="0" xfId="0" applyNumberFormat="1" applyFont="1" applyFill="1" applyAlignment="1">
      <alignment horizontal="center"/>
    </xf>
    <xf numFmtId="0" fontId="64" fillId="47" borderId="0" xfId="0" applyNumberFormat="1" applyFont="1" applyFill="1" applyAlignment="1">
      <alignment horizontal="center"/>
    </xf>
    <xf numFmtId="0" fontId="64" fillId="51" borderId="0" xfId="0" applyNumberFormat="1" applyFont="1" applyFill="1" applyAlignment="1">
      <alignment horizontal="center"/>
    </xf>
    <xf numFmtId="0" fontId="64" fillId="53" borderId="0" xfId="0" applyNumberFormat="1" applyFont="1" applyFill="1" applyAlignment="1">
      <alignment horizontal="center"/>
    </xf>
    <xf numFmtId="0" fontId="64" fillId="11" borderId="0" xfId="0" applyNumberFormat="1" applyFont="1" applyFill="1" applyAlignment="1">
      <alignment horizontal="center"/>
    </xf>
    <xf numFmtId="0" fontId="64" fillId="44" borderId="0" xfId="0" applyNumberFormat="1" applyFont="1" applyFill="1" applyAlignment="1">
      <alignment horizontal="center"/>
    </xf>
    <xf numFmtId="0" fontId="42" fillId="57" borderId="0" xfId="305" applyNumberFormat="1" applyFill="1" applyAlignment="1">
      <alignment horizontal="center"/>
    </xf>
    <xf numFmtId="0" fontId="68" fillId="44" borderId="0" xfId="0" applyNumberFormat="1" applyFont="1" applyFill="1" applyAlignment="1">
      <alignment horizontal="center"/>
    </xf>
    <xf numFmtId="0" fontId="64" fillId="29" borderId="0" xfId="0" applyNumberFormat="1" applyFont="1" applyFill="1" applyAlignment="1">
      <alignment horizontal="center"/>
    </xf>
    <xf numFmtId="0" fontId="64" fillId="63" borderId="0" xfId="0" applyNumberFormat="1" applyFont="1" applyFill="1" applyAlignment="1">
      <alignment horizontal="center"/>
    </xf>
    <xf numFmtId="0" fontId="102" fillId="64" borderId="0" xfId="0" applyNumberFormat="1" applyFont="1" applyFill="1" applyAlignment="1">
      <alignment horizontal="center" vertical="center" wrapText="1"/>
    </xf>
    <xf numFmtId="0" fontId="64" fillId="66" borderId="0" xfId="0" applyNumberFormat="1" applyFont="1" applyFill="1" applyAlignment="1">
      <alignment horizontal="center"/>
    </xf>
    <xf numFmtId="0" fontId="64" fillId="62" borderId="0" xfId="0" applyNumberFormat="1" applyFont="1" applyFill="1" applyAlignment="1">
      <alignment horizontal="center"/>
    </xf>
    <xf numFmtId="0" fontId="64" fillId="26" borderId="0" xfId="0" applyNumberFormat="1" applyFont="1" applyFill="1" applyAlignment="1">
      <alignment horizontal="center"/>
    </xf>
    <xf numFmtId="0" fontId="64" fillId="60" borderId="0" xfId="0" applyNumberFormat="1" applyFont="1" applyFill="1" applyAlignment="1">
      <alignment horizontal="center"/>
    </xf>
    <xf numFmtId="0" fontId="64" fillId="34" borderId="0" xfId="0" applyNumberFormat="1" applyFont="1" applyFill="1" applyAlignment="1">
      <alignment horizontal="center"/>
    </xf>
    <xf numFmtId="0" fontId="65" fillId="53" borderId="0" xfId="0" applyNumberFormat="1" applyFont="1" applyFill="1" applyAlignment="1">
      <alignment horizontal="center"/>
    </xf>
    <xf numFmtId="0" fontId="64" fillId="8" borderId="0" xfId="0" applyNumberFormat="1" applyFont="1" applyFill="1" applyAlignment="1">
      <alignment horizontal="center"/>
    </xf>
    <xf numFmtId="0" fontId="64" fillId="36" borderId="0" xfId="0" applyNumberFormat="1" applyFont="1" applyFill="1" applyAlignment="1">
      <alignment horizontal="center"/>
    </xf>
    <xf numFmtId="0" fontId="64" fillId="70" borderId="0" xfId="0" applyNumberFormat="1" applyFont="1" applyFill="1" applyAlignment="1">
      <alignment horizontal="center"/>
    </xf>
    <xf numFmtId="0" fontId="69" fillId="53" borderId="0" xfId="0" applyNumberFormat="1" applyFont="1" applyFill="1" applyAlignment="1">
      <alignment horizontal="center"/>
    </xf>
    <xf numFmtId="0" fontId="109" fillId="34" borderId="0" xfId="0" applyNumberFormat="1" applyFont="1" applyFill="1" applyBorder="1" applyAlignment="1" applyProtection="1">
      <alignment horizontal="center"/>
      <protection locked="0"/>
    </xf>
    <xf numFmtId="0" fontId="109" fillId="34" borderId="0" xfId="0" applyFont="1" applyFill="1" applyBorder="1" applyProtection="1">
      <protection locked="0"/>
    </xf>
    <xf numFmtId="0" fontId="121" fillId="34" borderId="0" xfId="0" applyNumberFormat="1" applyFont="1" applyFill="1" applyBorder="1" applyAlignment="1" applyProtection="1">
      <alignment horizontal="center"/>
      <protection locked="0"/>
    </xf>
    <xf numFmtId="0" fontId="109" fillId="34" borderId="0" xfId="0" applyNumberFormat="1" applyFont="1" applyFill="1" applyBorder="1" applyAlignment="1" applyProtection="1">
      <alignment horizontal="center"/>
    </xf>
    <xf numFmtId="0" fontId="109" fillId="34" borderId="0" xfId="0" applyNumberFormat="1" applyFont="1" applyFill="1" applyBorder="1" applyProtection="1"/>
    <xf numFmtId="2" fontId="109" fillId="34" borderId="0" xfId="0" applyNumberFormat="1" applyFont="1" applyFill="1" applyBorder="1" applyAlignment="1" applyProtection="1">
      <alignment horizontal="center"/>
    </xf>
    <xf numFmtId="0" fontId="120" fillId="34" borderId="0" xfId="0" applyNumberFormat="1" applyFont="1" applyFill="1" applyBorder="1" applyAlignment="1" applyProtection="1">
      <alignment horizontal="center"/>
      <protection locked="0"/>
    </xf>
    <xf numFmtId="1" fontId="109" fillId="34" borderId="0" xfId="0" applyNumberFormat="1" applyFont="1" applyFill="1" applyBorder="1" applyAlignment="1" applyProtection="1">
      <alignment horizontal="center"/>
    </xf>
    <xf numFmtId="14" fontId="59" fillId="34" borderId="0" xfId="0" applyNumberFormat="1" applyFont="1" applyFill="1" applyBorder="1" applyAlignment="1" applyProtection="1">
      <alignment horizontal="center"/>
    </xf>
    <xf numFmtId="165" fontId="109" fillId="34" borderId="0" xfId="0" applyNumberFormat="1" applyFont="1" applyFill="1" applyBorder="1" applyAlignment="1" applyProtection="1">
      <alignment horizontal="center" vertical="center"/>
    </xf>
    <xf numFmtId="0" fontId="109" fillId="34" borderId="0" xfId="0" applyNumberFormat="1" applyFont="1" applyFill="1" applyBorder="1" applyProtection="1">
      <protection locked="0"/>
    </xf>
    <xf numFmtId="1" fontId="109" fillId="34" borderId="0" xfId="0" applyNumberFormat="1" applyFont="1" applyFill="1" applyBorder="1" applyProtection="1">
      <protection locked="0"/>
    </xf>
    <xf numFmtId="0" fontId="109" fillId="34" borderId="0" xfId="0" applyFont="1" applyFill="1" applyProtection="1">
      <protection locked="0"/>
    </xf>
    <xf numFmtId="0" fontId="109" fillId="34" borderId="0" xfId="0" applyFont="1" applyFill="1" applyBorder="1" applyAlignment="1" applyProtection="1">
      <alignment horizontal="center" vertical="center"/>
      <protection locked="0"/>
    </xf>
    <xf numFmtId="0" fontId="109" fillId="0" borderId="0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109" fillId="0" borderId="0" xfId="0" applyNumberFormat="1" applyFont="1" applyBorder="1" applyAlignment="1" applyProtection="1">
      <alignment horizontal="center" vertical="center"/>
      <protection locked="0"/>
    </xf>
    <xf numFmtId="0" fontId="109" fillId="0" borderId="0" xfId="0" applyFont="1" applyAlignment="1" applyProtection="1">
      <alignment horizontal="center" vertical="center"/>
      <protection locked="0"/>
    </xf>
    <xf numFmtId="2" fontId="109" fillId="0" borderId="0" xfId="0" applyNumberFormat="1" applyFont="1" applyBorder="1" applyAlignment="1" applyProtection="1">
      <alignment horizontal="center"/>
    </xf>
    <xf numFmtId="165" fontId="64" fillId="0" borderId="0" xfId="0" applyNumberFormat="1" applyFont="1" applyFill="1" applyAlignment="1">
      <alignment horizontal="center" vertical="center"/>
    </xf>
    <xf numFmtId="0" fontId="109" fillId="0" borderId="0" xfId="0" applyNumberFormat="1" applyFont="1" applyFill="1" applyBorder="1" applyAlignment="1" applyProtection="1">
      <alignment horizontal="center"/>
    </xf>
    <xf numFmtId="0" fontId="65" fillId="0" borderId="0" xfId="0" applyFont="1" applyFill="1" applyAlignment="1">
      <alignment horizontal="center" vertical="center"/>
    </xf>
    <xf numFmtId="165" fontId="64" fillId="8" borderId="0" xfId="0" applyNumberFormat="1" applyFont="1" applyFill="1" applyAlignment="1">
      <alignment horizontal="center" vertical="center"/>
    </xf>
    <xf numFmtId="0" fontId="109" fillId="8" borderId="0" xfId="0" applyNumberFormat="1" applyFont="1" applyFill="1" applyBorder="1" applyAlignment="1" applyProtection="1">
      <alignment horizontal="center"/>
    </xf>
    <xf numFmtId="0" fontId="64" fillId="8" borderId="0" xfId="0" applyFont="1" applyFill="1" applyAlignment="1">
      <alignment horizontal="center" vertical="center"/>
    </xf>
    <xf numFmtId="0" fontId="65" fillId="8" borderId="0" xfId="0" applyFont="1" applyFill="1" applyAlignment="1">
      <alignment horizontal="center" vertical="center"/>
    </xf>
    <xf numFmtId="165" fontId="64" fillId="51" borderId="0" xfId="0" applyNumberFormat="1" applyFont="1" applyFill="1" applyAlignment="1">
      <alignment horizontal="center" vertical="center"/>
    </xf>
    <xf numFmtId="0" fontId="109" fillId="51" borderId="0" xfId="0" applyNumberFormat="1" applyFont="1" applyFill="1" applyBorder="1" applyAlignment="1" applyProtection="1">
      <alignment horizontal="center"/>
    </xf>
    <xf numFmtId="0" fontId="64" fillId="51" borderId="0" xfId="0" applyFont="1" applyFill="1" applyAlignment="1">
      <alignment horizontal="center" vertical="center"/>
    </xf>
    <xf numFmtId="0" fontId="65" fillId="51" borderId="0" xfId="0" applyFont="1" applyFill="1" applyAlignment="1">
      <alignment horizontal="center" vertical="center"/>
    </xf>
    <xf numFmtId="0" fontId="66" fillId="9" borderId="2" xfId="0" applyFont="1" applyFill="1" applyBorder="1" applyAlignment="1">
      <alignment horizontal="center" vertical="center"/>
    </xf>
    <xf numFmtId="0" fontId="109" fillId="34" borderId="0" xfId="0" applyFont="1" applyFill="1" applyBorder="1" applyAlignment="1" applyProtection="1">
      <alignment horizontal="center"/>
      <protection locked="0"/>
    </xf>
    <xf numFmtId="0" fontId="109" fillId="0" borderId="0" xfId="0" applyFont="1" applyBorder="1" applyAlignment="1" applyProtection="1">
      <alignment horizontal="center"/>
      <protection locked="0"/>
    </xf>
    <xf numFmtId="0" fontId="109" fillId="0" borderId="0" xfId="0" applyFont="1" applyFill="1" applyBorder="1" applyAlignment="1" applyProtection="1">
      <alignment horizontal="center"/>
      <protection locked="0"/>
    </xf>
    <xf numFmtId="0" fontId="109" fillId="8" borderId="0" xfId="0" applyFont="1" applyFill="1" applyBorder="1" applyAlignment="1" applyProtection="1">
      <alignment horizontal="center"/>
      <protection locked="0"/>
    </xf>
    <xf numFmtId="0" fontId="109" fillId="51" borderId="0" xfId="0" applyFont="1" applyFill="1" applyBorder="1" applyAlignment="1" applyProtection="1">
      <alignment horizontal="center"/>
      <protection locked="0"/>
    </xf>
    <xf numFmtId="165" fontId="64" fillId="18" borderId="0" xfId="0" applyNumberFormat="1" applyFont="1" applyFill="1" applyAlignment="1">
      <alignment horizontal="center"/>
    </xf>
    <xf numFmtId="2" fontId="64" fillId="18" borderId="0" xfId="0" applyNumberFormat="1" applyFont="1" applyFill="1" applyAlignment="1">
      <alignment horizontal="center"/>
    </xf>
    <xf numFmtId="0" fontId="64" fillId="18" borderId="0" xfId="0" applyNumberFormat="1" applyFont="1" applyFill="1" applyAlignment="1">
      <alignment horizontal="center"/>
    </xf>
    <xf numFmtId="1" fontId="64" fillId="18" borderId="0" xfId="0" applyNumberFormat="1" applyFont="1" applyFill="1" applyAlignment="1">
      <alignment horizontal="center"/>
    </xf>
    <xf numFmtId="0" fontId="65" fillId="18" borderId="0" xfId="0" applyFont="1" applyFill="1" applyAlignment="1">
      <alignment horizontal="center"/>
    </xf>
    <xf numFmtId="167" fontId="64" fillId="18" borderId="0" xfId="0" applyNumberFormat="1" applyFont="1" applyFill="1" applyAlignment="1">
      <alignment horizontal="center"/>
    </xf>
    <xf numFmtId="1" fontId="97" fillId="53" borderId="0" xfId="0" applyNumberFormat="1" applyFont="1" applyFill="1" applyBorder="1" applyAlignment="1">
      <alignment horizontal="center"/>
    </xf>
    <xf numFmtId="0" fontId="52" fillId="53" borderId="0" xfId="0" applyFont="1" applyFill="1" applyBorder="1" applyAlignment="1">
      <alignment horizontal="center"/>
    </xf>
    <xf numFmtId="0" fontId="97" fillId="53" borderId="0" xfId="0" applyFont="1" applyFill="1" applyBorder="1" applyAlignment="1">
      <alignment horizontal="center"/>
    </xf>
    <xf numFmtId="0" fontId="52" fillId="53" borderId="0" xfId="0" applyFont="1" applyFill="1" applyAlignment="1">
      <alignment horizontal="center" vertical="center" wrapText="1"/>
    </xf>
    <xf numFmtId="0" fontId="50" fillId="0" borderId="0" xfId="0" applyFont="1" applyFill="1" applyBorder="1" applyAlignment="1">
      <alignment horizontal="center"/>
    </xf>
    <xf numFmtId="2" fontId="122" fillId="48" borderId="1" xfId="0" applyNumberFormat="1" applyFont="1" applyFill="1" applyBorder="1" applyAlignment="1" applyProtection="1">
      <alignment horizontal="center" vertical="center"/>
    </xf>
    <xf numFmtId="0" fontId="0" fillId="48" borderId="0" xfId="0" applyFill="1" applyAlignment="1">
      <alignment horizontal="center" vertical="center" wrapText="1"/>
    </xf>
    <xf numFmtId="1" fontId="0" fillId="66" borderId="0" xfId="0" applyNumberFormat="1" applyFill="1" applyAlignment="1">
      <alignment horizontal="center"/>
    </xf>
    <xf numFmtId="0" fontId="50" fillId="66" borderId="0" xfId="0" applyFont="1" applyFill="1" applyAlignment="1">
      <alignment horizontal="center"/>
    </xf>
    <xf numFmtId="2" fontId="50" fillId="66" borderId="0" xfId="0" applyNumberFormat="1" applyFont="1" applyFill="1" applyAlignment="1">
      <alignment horizontal="center"/>
    </xf>
    <xf numFmtId="0" fontId="0" fillId="7" borderId="0" xfId="0" applyFill="1" applyAlignment="1">
      <alignment horizontal="center" vertical="center"/>
    </xf>
    <xf numFmtId="1" fontId="33" fillId="80" borderId="0" xfId="0" applyNumberFormat="1" applyFont="1" applyFill="1" applyBorder="1" applyAlignment="1">
      <alignment horizontal="center"/>
    </xf>
    <xf numFmtId="0" fontId="34" fillId="80" borderId="0" xfId="0" applyFont="1" applyFill="1" applyBorder="1" applyAlignment="1">
      <alignment horizontal="center"/>
    </xf>
    <xf numFmtId="0" fontId="33" fillId="80" borderId="0" xfId="0" applyFont="1" applyFill="1" applyBorder="1" applyAlignment="1">
      <alignment horizontal="center"/>
    </xf>
    <xf numFmtId="165" fontId="33" fillId="51" borderId="0" xfId="0" applyNumberFormat="1" applyFont="1" applyFill="1" applyBorder="1" applyAlignment="1">
      <alignment horizontal="center"/>
    </xf>
    <xf numFmtId="0" fontId="0" fillId="43" borderId="0" xfId="0" applyFill="1" applyAlignment="1">
      <alignment horizontal="center" vertical="center"/>
    </xf>
    <xf numFmtId="2" fontId="53" fillId="43" borderId="0" xfId="0" applyNumberFormat="1" applyFont="1" applyFill="1" applyBorder="1" applyAlignment="1">
      <alignment horizontal="center"/>
    </xf>
    <xf numFmtId="0" fontId="109" fillId="0" borderId="0" xfId="0" applyFont="1" applyFill="1" applyProtection="1">
      <protection locked="0"/>
    </xf>
    <xf numFmtId="0" fontId="43" fillId="0" borderId="0" xfId="320" applyFill="1" applyProtection="1">
      <protection locked="0"/>
    </xf>
    <xf numFmtId="1" fontId="65" fillId="0" borderId="0" xfId="0" applyNumberFormat="1" applyFont="1" applyAlignment="1">
      <alignment horizontal="center"/>
    </xf>
    <xf numFmtId="1" fontId="65" fillId="34" borderId="0" xfId="0" applyNumberFormat="1" applyFont="1" applyFill="1" applyAlignment="1">
      <alignment horizontal="center"/>
    </xf>
    <xf numFmtId="165" fontId="64" fillId="34" borderId="0" xfId="0" applyNumberFormat="1" applyFont="1" applyFill="1" applyAlignment="1">
      <alignment horizontal="center" vertical="center"/>
    </xf>
    <xf numFmtId="0" fontId="96" fillId="34" borderId="0" xfId="0" applyFont="1" applyFill="1" applyAlignment="1">
      <alignment horizontal="center" vertical="center" wrapText="1"/>
    </xf>
    <xf numFmtId="0" fontId="65" fillId="34" borderId="0" xfId="0" applyFont="1" applyFill="1" applyBorder="1" applyAlignment="1" applyProtection="1">
      <alignment horizontal="center"/>
      <protection locked="0"/>
    </xf>
    <xf numFmtId="2" fontId="109" fillId="34" borderId="0" xfId="0" applyNumberFormat="1" applyFont="1" applyFill="1" applyAlignment="1" applyProtection="1">
      <alignment horizontal="center"/>
    </xf>
    <xf numFmtId="165" fontId="65" fillId="34" borderId="0" xfId="0" applyNumberFormat="1" applyFont="1" applyFill="1" applyAlignment="1">
      <alignment horizontal="center" vertical="center"/>
    </xf>
    <xf numFmtId="2" fontId="65" fillId="34" borderId="0" xfId="0" applyNumberFormat="1" applyFont="1" applyFill="1" applyAlignment="1">
      <alignment horizontal="center" vertical="center"/>
    </xf>
    <xf numFmtId="165" fontId="109" fillId="34" borderId="0" xfId="0" applyNumberFormat="1" applyFont="1" applyFill="1" applyBorder="1" applyAlignment="1" applyProtection="1">
      <alignment horizontal="center" vertical="center"/>
      <protection locked="0"/>
    </xf>
    <xf numFmtId="0" fontId="109" fillId="34" borderId="0" xfId="0" applyNumberFormat="1" applyFont="1" applyFill="1" applyProtection="1"/>
    <xf numFmtId="1" fontId="109" fillId="34" borderId="0" xfId="0" applyNumberFormat="1" applyFont="1" applyFill="1" applyAlignment="1" applyProtection="1">
      <alignment horizontal="center"/>
      <protection locked="0"/>
    </xf>
    <xf numFmtId="0" fontId="109" fillId="34" borderId="0" xfId="0" applyFont="1" applyFill="1" applyAlignment="1" applyProtection="1">
      <alignment horizontal="center"/>
      <protection locked="0"/>
    </xf>
    <xf numFmtId="0" fontId="43" fillId="34" borderId="0" xfId="320" applyFill="1" applyBorder="1" applyProtection="1">
      <protection locked="0"/>
    </xf>
    <xf numFmtId="0" fontId="43" fillId="34" borderId="0" xfId="320" applyNumberFormat="1" applyFill="1" applyBorder="1" applyAlignment="1" applyProtection="1">
      <alignment horizontal="center"/>
    </xf>
    <xf numFmtId="0" fontId="43" fillId="34" borderId="0" xfId="320" applyNumberFormat="1" applyFill="1" applyProtection="1"/>
    <xf numFmtId="1" fontId="43" fillId="34" borderId="0" xfId="320" applyNumberFormat="1" applyFill="1" applyBorder="1" applyAlignment="1" applyProtection="1">
      <alignment horizontal="center"/>
    </xf>
    <xf numFmtId="14" fontId="43" fillId="34" borderId="0" xfId="320" applyNumberFormat="1" applyFill="1" applyBorder="1" applyAlignment="1" applyProtection="1">
      <alignment horizontal="center"/>
    </xf>
    <xf numFmtId="2" fontId="65" fillId="34" borderId="0" xfId="0" applyNumberFormat="1" applyFont="1" applyFill="1" applyBorder="1" applyAlignment="1" applyProtection="1">
      <alignment horizontal="center"/>
      <protection locked="0"/>
    </xf>
    <xf numFmtId="1" fontId="53" fillId="79" borderId="0" xfId="0" applyNumberFormat="1" applyFont="1" applyFill="1" applyBorder="1" applyAlignment="1">
      <alignment horizontal="center"/>
    </xf>
    <xf numFmtId="0" fontId="50" fillId="79" borderId="0" xfId="0" applyFont="1" applyFill="1" applyBorder="1" applyAlignment="1">
      <alignment horizontal="center"/>
    </xf>
    <xf numFmtId="0" fontId="53" fillId="79" borderId="0" xfId="0" applyFont="1" applyFill="1" applyBorder="1" applyAlignment="1">
      <alignment horizontal="center"/>
    </xf>
    <xf numFmtId="1" fontId="53" fillId="8" borderId="0" xfId="0" applyNumberFormat="1" applyFont="1" applyFill="1" applyBorder="1" applyAlignment="1">
      <alignment horizontal="center"/>
    </xf>
    <xf numFmtId="0" fontId="50" fillId="8" borderId="0" xfId="0" applyFont="1" applyFill="1" applyBorder="1" applyAlignment="1">
      <alignment horizontal="center"/>
    </xf>
    <xf numFmtId="0" fontId="53" fillId="8" borderId="0" xfId="0" applyFont="1" applyFill="1" applyBorder="1" applyAlignment="1">
      <alignment horizontal="center"/>
    </xf>
    <xf numFmtId="2" fontId="69" fillId="8" borderId="0" xfId="0" applyNumberFormat="1" applyFont="1" applyFill="1" applyAlignment="1">
      <alignment horizontal="center"/>
    </xf>
    <xf numFmtId="3" fontId="50" fillId="81" borderId="0" xfId="0" applyNumberFormat="1" applyFont="1" applyFill="1" applyAlignment="1">
      <alignment horizontal="center"/>
    </xf>
    <xf numFmtId="0" fontId="52" fillId="81" borderId="0" xfId="0" applyFont="1" applyFill="1" applyAlignment="1">
      <alignment horizontal="center"/>
    </xf>
    <xf numFmtId="0" fontId="0" fillId="81" borderId="0" xfId="0" applyFill="1"/>
    <xf numFmtId="2" fontId="0" fillId="81" borderId="0" xfId="0" applyNumberFormat="1" applyFill="1" applyAlignment="1">
      <alignment horizontal="center"/>
    </xf>
    <xf numFmtId="0" fontId="0" fillId="81" borderId="0" xfId="0" applyFill="1" applyAlignment="1">
      <alignment horizontal="center"/>
    </xf>
    <xf numFmtId="164" fontId="0" fillId="81" borderId="0" xfId="0" applyNumberFormat="1" applyFill="1" applyAlignment="1">
      <alignment horizontal="center"/>
    </xf>
    <xf numFmtId="0" fontId="0" fillId="81" borderId="0" xfId="0" applyNumberFormat="1" applyFill="1" applyAlignment="1">
      <alignment horizontal="center"/>
    </xf>
    <xf numFmtId="165" fontId="64" fillId="59" borderId="0" xfId="0" applyNumberFormat="1" applyFont="1" applyFill="1" applyAlignment="1">
      <alignment horizontal="center"/>
    </xf>
    <xf numFmtId="0" fontId="64" fillId="59" borderId="0" xfId="0" applyNumberFormat="1" applyFont="1" applyFill="1" applyAlignment="1">
      <alignment horizontal="center"/>
    </xf>
    <xf numFmtId="1" fontId="64" fillId="59" borderId="0" xfId="0" applyNumberFormat="1" applyFont="1" applyFill="1" applyAlignment="1">
      <alignment horizontal="center"/>
    </xf>
    <xf numFmtId="167" fontId="64" fillId="59" borderId="0" xfId="0" applyNumberFormat="1" applyFont="1" applyFill="1" applyAlignment="1">
      <alignment horizontal="center"/>
    </xf>
    <xf numFmtId="165" fontId="63" fillId="59" borderId="0" xfId="0" applyNumberFormat="1" applyFont="1" applyFill="1" applyAlignment="1">
      <alignment horizontal="center"/>
    </xf>
    <xf numFmtId="0" fontId="65" fillId="59" borderId="0" xfId="0" applyFont="1" applyFill="1" applyAlignment="1">
      <alignment horizontal="center"/>
    </xf>
    <xf numFmtId="2" fontId="69" fillId="59" borderId="0" xfId="0" applyNumberFormat="1" applyFont="1" applyFill="1" applyAlignment="1">
      <alignment horizontal="center"/>
    </xf>
    <xf numFmtId="1" fontId="53" fillId="38" borderId="0" xfId="0" applyNumberFormat="1" applyFont="1" applyFill="1" applyBorder="1" applyAlignment="1">
      <alignment horizontal="center"/>
    </xf>
    <xf numFmtId="0" fontId="50" fillId="38" borderId="0" xfId="0" applyFont="1" applyFill="1" applyBorder="1" applyAlignment="1">
      <alignment horizontal="center"/>
    </xf>
    <xf numFmtId="0" fontId="53" fillId="38" borderId="0" xfId="0" applyFont="1" applyFill="1" applyBorder="1" applyAlignment="1">
      <alignment horizontal="center"/>
    </xf>
    <xf numFmtId="1" fontId="125" fillId="0" borderId="0" xfId="0" applyNumberFormat="1" applyFont="1" applyFill="1" applyBorder="1" applyAlignment="1">
      <alignment horizontal="center"/>
    </xf>
    <xf numFmtId="1" fontId="53" fillId="44" borderId="0" xfId="0" applyNumberFormat="1" applyFont="1" applyFill="1" applyBorder="1" applyAlignment="1">
      <alignment horizontal="center"/>
    </xf>
    <xf numFmtId="0" fontId="53" fillId="44" borderId="0" xfId="0" applyFont="1" applyFill="1" applyBorder="1" applyAlignment="1">
      <alignment horizontal="center"/>
    </xf>
    <xf numFmtId="1" fontId="126" fillId="75" borderId="0" xfId="0" applyNumberFormat="1" applyFont="1" applyFill="1" applyBorder="1" applyAlignment="1">
      <alignment horizontal="center"/>
    </xf>
    <xf numFmtId="0" fontId="127" fillId="75" borderId="0" xfId="0" applyFont="1" applyFill="1" applyBorder="1" applyAlignment="1">
      <alignment horizontal="center"/>
    </xf>
    <xf numFmtId="0" fontId="126" fillId="75" borderId="0" xfId="0" applyFont="1" applyFill="1" applyBorder="1" applyAlignment="1">
      <alignment horizontal="center"/>
    </xf>
    <xf numFmtId="1" fontId="53" fillId="70" borderId="0" xfId="0" applyNumberFormat="1" applyFont="1" applyFill="1" applyBorder="1" applyAlignment="1">
      <alignment horizontal="center"/>
    </xf>
    <xf numFmtId="0" fontId="50" fillId="70" borderId="0" xfId="0" applyFont="1" applyFill="1" applyBorder="1" applyAlignment="1">
      <alignment horizontal="center"/>
    </xf>
    <xf numFmtId="0" fontId="53" fillId="70" borderId="0" xfId="0" applyFont="1" applyFill="1" applyBorder="1" applyAlignment="1">
      <alignment horizontal="center"/>
    </xf>
    <xf numFmtId="2" fontId="53" fillId="26" borderId="0" xfId="0" applyNumberFormat="1" applyFont="1" applyFill="1" applyBorder="1" applyAlignment="1">
      <alignment horizontal="center"/>
    </xf>
    <xf numFmtId="0" fontId="64" fillId="0" borderId="0" xfId="0" applyFont="1" applyAlignment="1">
      <alignment horizontal="center"/>
    </xf>
    <xf numFmtId="1" fontId="64" fillId="0" borderId="0" xfId="0" applyNumberFormat="1" applyFont="1" applyAlignment="1">
      <alignment horizontal="center"/>
    </xf>
    <xf numFmtId="165" fontId="63" fillId="48" borderId="0" xfId="0" applyNumberFormat="1" applyFont="1" applyFill="1" applyAlignment="1">
      <alignment horizontal="center"/>
    </xf>
    <xf numFmtId="165" fontId="63" fillId="51" borderId="0" xfId="0" applyNumberFormat="1" applyFont="1" applyFill="1" applyAlignment="1">
      <alignment horizontal="center"/>
    </xf>
    <xf numFmtId="1" fontId="126" fillId="68" borderId="0" xfId="0" applyNumberFormat="1" applyFont="1" applyFill="1" applyBorder="1" applyAlignment="1">
      <alignment horizontal="center"/>
    </xf>
    <xf numFmtId="0" fontId="127" fillId="68" borderId="0" xfId="0" applyFont="1" applyFill="1" applyBorder="1" applyAlignment="1">
      <alignment horizontal="center"/>
    </xf>
    <xf numFmtId="0" fontId="126" fillId="68" borderId="0" xfId="0" applyFont="1" applyFill="1" applyBorder="1" applyAlignment="1">
      <alignment horizontal="center"/>
    </xf>
    <xf numFmtId="2" fontId="53" fillId="21" borderId="0" xfId="0" applyNumberFormat="1" applyFont="1" applyFill="1" applyBorder="1" applyAlignment="1">
      <alignment horizontal="center"/>
    </xf>
    <xf numFmtId="2" fontId="126" fillId="75" borderId="0" xfId="0" applyNumberFormat="1" applyFont="1" applyFill="1" applyBorder="1" applyAlignment="1">
      <alignment horizontal="center"/>
    </xf>
    <xf numFmtId="0" fontId="0" fillId="33" borderId="0" xfId="0" applyFill="1"/>
    <xf numFmtId="1" fontId="65" fillId="59" borderId="0" xfId="0" applyNumberFormat="1" applyFont="1" applyFill="1" applyAlignment="1">
      <alignment horizontal="center"/>
    </xf>
    <xf numFmtId="1" fontId="65" fillId="36" borderId="0" xfId="0" applyNumberFormat="1" applyFont="1" applyFill="1" applyAlignment="1">
      <alignment horizontal="center"/>
    </xf>
    <xf numFmtId="167" fontId="64" fillId="36" borderId="0" xfId="0" applyNumberFormat="1" applyFont="1" applyFill="1" applyAlignment="1">
      <alignment horizontal="center"/>
    </xf>
    <xf numFmtId="165" fontId="63" fillId="36" borderId="0" xfId="0" applyNumberFormat="1" applyFont="1" applyFill="1" applyAlignment="1">
      <alignment horizontal="center"/>
    </xf>
    <xf numFmtId="1" fontId="65" fillId="29" borderId="0" xfId="0" applyNumberFormat="1" applyFont="1" applyFill="1" applyAlignment="1">
      <alignment horizontal="center"/>
    </xf>
    <xf numFmtId="1" fontId="64" fillId="29" borderId="0" xfId="0" applyNumberFormat="1" applyFont="1" applyFill="1" applyAlignment="1">
      <alignment horizontal="center"/>
    </xf>
    <xf numFmtId="167" fontId="64" fillId="29" borderId="0" xfId="0" applyNumberFormat="1" applyFont="1" applyFill="1" applyAlignment="1">
      <alignment horizontal="center"/>
    </xf>
    <xf numFmtId="165" fontId="63" fillId="29" borderId="0" xfId="0" applyNumberFormat="1" applyFont="1" applyFill="1" applyAlignment="1">
      <alignment horizontal="center"/>
    </xf>
    <xf numFmtId="1" fontId="0" fillId="82" borderId="0" xfId="0" applyNumberFormat="1" applyFill="1" applyAlignment="1">
      <alignment horizontal="center"/>
    </xf>
    <xf numFmtId="0" fontId="50" fillId="82" borderId="0" xfId="0" applyFont="1" applyFill="1" applyAlignment="1">
      <alignment horizontal="center"/>
    </xf>
    <xf numFmtId="0" fontId="0" fillId="82" borderId="0" xfId="0" applyFill="1"/>
    <xf numFmtId="2" fontId="0" fillId="82" borderId="0" xfId="0" applyNumberFormat="1" applyFill="1"/>
    <xf numFmtId="0" fontId="0" fillId="82" borderId="0" xfId="0" applyFill="1" applyAlignment="1">
      <alignment horizontal="center" vertical="center" wrapText="1"/>
    </xf>
    <xf numFmtId="2" fontId="0" fillId="82" borderId="0" xfId="0" applyNumberFormat="1" applyFill="1" applyAlignment="1">
      <alignment horizontal="center" vertical="center"/>
    </xf>
    <xf numFmtId="0" fontId="0" fillId="82" borderId="0" xfId="0" applyFill="1" applyAlignment="1">
      <alignment horizontal="center" vertical="center"/>
    </xf>
    <xf numFmtId="0" fontId="0" fillId="82" borderId="0" xfId="0" applyFill="1" applyAlignment="1">
      <alignment horizontal="center"/>
    </xf>
    <xf numFmtId="165" fontId="63" fillId="26" borderId="0" xfId="0" applyNumberFormat="1" applyFont="1" applyFill="1" applyAlignment="1">
      <alignment horizontal="center"/>
    </xf>
    <xf numFmtId="1" fontId="0" fillId="26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2" fontId="0" fillId="26" borderId="0" xfId="0" applyNumberFormat="1" applyFill="1"/>
    <xf numFmtId="1" fontId="53" fillId="36" borderId="0" xfId="0" applyNumberFormat="1" applyFont="1" applyFill="1" applyBorder="1" applyAlignment="1">
      <alignment horizontal="center"/>
    </xf>
    <xf numFmtId="0" fontId="50" fillId="36" borderId="0" xfId="0" applyFont="1" applyFill="1" applyBorder="1" applyAlignment="1">
      <alignment horizontal="center"/>
    </xf>
    <xf numFmtId="0" fontId="53" fillId="36" borderId="0" xfId="0" applyFont="1" applyFill="1" applyBorder="1" applyAlignment="1">
      <alignment horizontal="center"/>
    </xf>
    <xf numFmtId="0" fontId="50" fillId="44" borderId="0" xfId="0" applyFont="1" applyFill="1" applyAlignment="1">
      <alignment horizontal="center"/>
    </xf>
    <xf numFmtId="0" fontId="0" fillId="44" borderId="0" xfId="0" applyFill="1" applyAlignment="1" applyProtection="1">
      <alignment horizontal="center" vertical="center"/>
      <protection locked="0"/>
    </xf>
    <xf numFmtId="0" fontId="52" fillId="44" borderId="0" xfId="0" applyFont="1" applyFill="1" applyAlignment="1">
      <alignment horizontal="center" vertical="center" wrapText="1"/>
    </xf>
    <xf numFmtId="0" fontId="103" fillId="44" borderId="0" xfId="0" applyFont="1" applyFill="1" applyAlignment="1" applyProtection="1">
      <alignment horizontal="center" vertical="center"/>
      <protection locked="0"/>
    </xf>
    <xf numFmtId="2" fontId="50" fillId="44" borderId="0" xfId="0" applyNumberFormat="1" applyFont="1" applyFill="1" applyAlignment="1">
      <alignment horizontal="center"/>
    </xf>
    <xf numFmtId="167" fontId="50" fillId="44" borderId="0" xfId="0" applyNumberFormat="1" applyFont="1" applyFill="1" applyAlignment="1">
      <alignment horizontal="left"/>
    </xf>
    <xf numFmtId="167" fontId="0" fillId="44" borderId="0" xfId="0" applyNumberFormat="1" applyFill="1" applyAlignment="1">
      <alignment horizontal="left"/>
    </xf>
    <xf numFmtId="0" fontId="0" fillId="44" borderId="0" xfId="0" applyFill="1" applyAlignment="1">
      <alignment horizontal="center" vertical="center"/>
    </xf>
    <xf numFmtId="2" fontId="0" fillId="44" borderId="0" xfId="0" applyNumberFormat="1" applyFill="1" applyAlignment="1">
      <alignment horizontal="center" vertical="center"/>
    </xf>
    <xf numFmtId="3" fontId="52" fillId="44" borderId="0" xfId="0" applyNumberFormat="1" applyFont="1" applyFill="1" applyAlignment="1">
      <alignment horizontal="center"/>
    </xf>
    <xf numFmtId="3" fontId="50" fillId="44" borderId="0" xfId="0" applyNumberFormat="1" applyFont="1" applyFill="1" applyAlignment="1">
      <alignment horizontal="center"/>
    </xf>
    <xf numFmtId="0" fontId="131" fillId="44" borderId="0" xfId="0" applyFont="1" applyFill="1" applyAlignment="1">
      <alignment horizontal="center"/>
    </xf>
    <xf numFmtId="0" fontId="50" fillId="44" borderId="0" xfId="0" applyNumberFormat="1" applyFont="1" applyFill="1" applyAlignment="1">
      <alignment horizontal="center"/>
    </xf>
    <xf numFmtId="164" fontId="50" fillId="44" borderId="0" xfId="0" applyNumberFormat="1" applyFont="1" applyFill="1" applyAlignment="1">
      <alignment horizontal="center"/>
    </xf>
    <xf numFmtId="0" fontId="50" fillId="44" borderId="0" xfId="0" applyFont="1" applyFill="1"/>
    <xf numFmtId="0" fontId="37" fillId="44" borderId="0" xfId="0" applyFont="1" applyFill="1" applyBorder="1" applyAlignment="1">
      <alignment horizontal="center"/>
    </xf>
    <xf numFmtId="165" fontId="0" fillId="44" borderId="0" xfId="0" applyNumberFormat="1" applyFill="1" applyBorder="1" applyAlignment="1">
      <alignment horizontal="center"/>
    </xf>
    <xf numFmtId="2" fontId="0" fillId="44" borderId="0" xfId="0" applyNumberFormat="1" applyFill="1" applyBorder="1" applyAlignment="1">
      <alignment horizontal="center"/>
    </xf>
    <xf numFmtId="3" fontId="43" fillId="44" borderId="0" xfId="320" applyNumberFormat="1" applyFill="1" applyBorder="1" applyAlignment="1">
      <alignment horizontal="center"/>
    </xf>
    <xf numFmtId="164" fontId="43" fillId="44" borderId="0" xfId="320" applyNumberFormat="1" applyFill="1" applyBorder="1" applyAlignment="1">
      <alignment horizontal="center"/>
    </xf>
    <xf numFmtId="0" fontId="43" fillId="44" borderId="0" xfId="320" applyFill="1" applyBorder="1" applyAlignment="1">
      <alignment horizontal="center"/>
    </xf>
    <xf numFmtId="0" fontId="43" fillId="44" borderId="0" xfId="320" applyFill="1" applyBorder="1"/>
    <xf numFmtId="3" fontId="34" fillId="44" borderId="0" xfId="0" applyNumberFormat="1" applyFont="1" applyFill="1" applyBorder="1" applyAlignment="1">
      <alignment horizontal="center"/>
    </xf>
    <xf numFmtId="164" fontId="34" fillId="44" borderId="0" xfId="0" applyNumberFormat="1" applyFont="1" applyFill="1" applyBorder="1" applyAlignment="1">
      <alignment horizontal="center"/>
    </xf>
    <xf numFmtId="0" fontId="34" fillId="44" borderId="0" xfId="0" applyFont="1" applyFill="1" applyBorder="1" applyAlignment="1">
      <alignment horizontal="center"/>
    </xf>
    <xf numFmtId="0" fontId="34" fillId="44" borderId="0" xfId="0" applyFont="1" applyFill="1" applyBorder="1" applyAlignment="1" applyProtection="1">
      <alignment horizontal="center" vertical="top"/>
      <protection locked="0"/>
    </xf>
    <xf numFmtId="0" fontId="34" fillId="44" borderId="0" xfId="320" applyFont="1" applyFill="1" applyBorder="1" applyAlignment="1">
      <alignment horizontal="center"/>
    </xf>
    <xf numFmtId="0" fontId="34" fillId="44" borderId="0" xfId="0" applyFont="1" applyFill="1" applyBorder="1"/>
    <xf numFmtId="0" fontId="0" fillId="44" borderId="0" xfId="0" applyNumberFormat="1" applyFill="1" applyBorder="1" applyAlignment="1">
      <alignment horizontal="center"/>
    </xf>
    <xf numFmtId="3" fontId="50" fillId="44" borderId="0" xfId="0" applyNumberFormat="1" applyFont="1" applyFill="1" applyBorder="1" applyAlignment="1">
      <alignment horizontal="center"/>
    </xf>
    <xf numFmtId="164" fontId="50" fillId="44" borderId="0" xfId="0" applyNumberFormat="1" applyFont="1" applyFill="1" applyBorder="1" applyAlignment="1">
      <alignment horizontal="center"/>
    </xf>
    <xf numFmtId="0" fontId="50" fillId="44" borderId="0" xfId="0" applyFont="1" applyFill="1" applyBorder="1"/>
    <xf numFmtId="0" fontId="50" fillId="44" borderId="0" xfId="0" applyFont="1" applyFill="1" applyBorder="1" applyAlignment="1">
      <alignment horizontal="center"/>
    </xf>
    <xf numFmtId="0" fontId="112" fillId="44" borderId="0" xfId="0" applyFont="1" applyFill="1" applyAlignment="1" applyProtection="1">
      <alignment horizontal="center" vertical="center"/>
      <protection locked="0"/>
    </xf>
    <xf numFmtId="3" fontId="52" fillId="44" borderId="0" xfId="0" applyNumberFormat="1" applyFont="1" applyFill="1" applyBorder="1" applyAlignment="1">
      <alignment horizontal="center"/>
    </xf>
    <xf numFmtId="164" fontId="52" fillId="44" borderId="0" xfId="0" applyNumberFormat="1" applyFont="1" applyFill="1" applyBorder="1" applyAlignment="1">
      <alignment horizontal="center"/>
    </xf>
    <xf numFmtId="0" fontId="52" fillId="44" borderId="0" xfId="0" applyFont="1" applyFill="1" applyBorder="1" applyAlignment="1">
      <alignment horizontal="center"/>
    </xf>
    <xf numFmtId="0" fontId="52" fillId="44" borderId="0" xfId="0" applyFont="1" applyFill="1" applyBorder="1" applyAlignment="1">
      <alignment horizontal="center" vertical="center" wrapText="1"/>
    </xf>
    <xf numFmtId="0" fontId="52" fillId="44" borderId="0" xfId="0" applyFont="1" applyFill="1" applyBorder="1"/>
    <xf numFmtId="0" fontId="0" fillId="0" borderId="0" xfId="0" applyNumberFormat="1" applyAlignment="1">
      <alignment horizontal="center" vertical="center"/>
    </xf>
    <xf numFmtId="0" fontId="0" fillId="44" borderId="0" xfId="0" applyNumberFormat="1" applyFill="1" applyAlignment="1">
      <alignment horizontal="center" vertical="center" wrapText="1"/>
    </xf>
    <xf numFmtId="0" fontId="0" fillId="44" borderId="0" xfId="0" applyNumberFormat="1" applyFill="1" applyAlignment="1">
      <alignment horizontal="center" vertical="center"/>
    </xf>
    <xf numFmtId="2" fontId="0" fillId="26" borderId="0" xfId="0" applyNumberFormat="1" applyFill="1" applyAlignment="1">
      <alignment horizontal="center"/>
    </xf>
    <xf numFmtId="2" fontId="64" fillId="26" borderId="0" xfId="0" applyNumberFormat="1" applyFont="1" applyFill="1" applyAlignment="1">
      <alignment horizontal="center" vertical="center"/>
    </xf>
    <xf numFmtId="167" fontId="64" fillId="26" borderId="0" xfId="0" applyNumberFormat="1" applyFont="1" applyFill="1" applyAlignment="1">
      <alignment horizontal="center" vertical="center"/>
    </xf>
    <xf numFmtId="0" fontId="44" fillId="26" borderId="0" xfId="29682" applyFont="1" applyFill="1" applyAlignment="1">
      <alignment horizontal="center" vertical="center"/>
    </xf>
    <xf numFmtId="0" fontId="96" fillId="44" borderId="1" xfId="0" applyFont="1" applyFill="1" applyBorder="1" applyAlignment="1">
      <alignment horizontal="center"/>
    </xf>
    <xf numFmtId="0" fontId="93" fillId="44" borderId="0" xfId="0" applyFont="1" applyFill="1" applyAlignment="1">
      <alignment horizontal="center"/>
    </xf>
    <xf numFmtId="165" fontId="93" fillId="44" borderId="0" xfId="0" applyNumberFormat="1" applyFont="1" applyFill="1" applyAlignment="1">
      <alignment horizontal="center"/>
    </xf>
    <xf numFmtId="0" fontId="96" fillId="44" borderId="0" xfId="0" applyFont="1" applyFill="1" applyAlignment="1">
      <alignment horizontal="center"/>
    </xf>
    <xf numFmtId="2" fontId="93" fillId="44" borderId="0" xfId="0" applyNumberFormat="1" applyFont="1" applyFill="1" applyAlignment="1">
      <alignment horizontal="center"/>
    </xf>
    <xf numFmtId="0" fontId="0" fillId="44" borderId="0" xfId="0" applyFont="1" applyFill="1" applyAlignment="1">
      <alignment horizontal="center" vertical="center" wrapText="1"/>
    </xf>
    <xf numFmtId="2" fontId="0" fillId="44" borderId="0" xfId="0" applyNumberFormat="1" applyFont="1" applyFill="1" applyAlignment="1">
      <alignment horizontal="center" vertical="center" wrapText="1"/>
    </xf>
    <xf numFmtId="0" fontId="0" fillId="44" borderId="0" xfId="0" applyFont="1" applyFill="1" applyAlignment="1">
      <alignment horizontal="center"/>
    </xf>
    <xf numFmtId="2" fontId="96" fillId="44" borderId="1" xfId="0" applyNumberFormat="1" applyFont="1" applyFill="1" applyBorder="1" applyAlignment="1">
      <alignment horizontal="center"/>
    </xf>
    <xf numFmtId="165" fontId="96" fillId="44" borderId="1" xfId="0" applyNumberFormat="1" applyFont="1" applyFill="1" applyBorder="1" applyAlignment="1">
      <alignment horizontal="center"/>
    </xf>
    <xf numFmtId="0" fontId="0" fillId="44" borderId="0" xfId="0" applyFont="1" applyFill="1" applyAlignment="1">
      <alignment vertical="center" wrapText="1"/>
    </xf>
    <xf numFmtId="0" fontId="104" fillId="44" borderId="0" xfId="0" applyFont="1" applyFill="1" applyAlignment="1">
      <alignment horizontal="center"/>
    </xf>
    <xf numFmtId="0" fontId="104" fillId="44" borderId="0" xfId="0" applyFont="1" applyFill="1" applyAlignment="1">
      <alignment horizontal="center" vertical="center" wrapText="1"/>
    </xf>
    <xf numFmtId="0" fontId="96" fillId="44" borderId="0" xfId="0" applyFont="1" applyFill="1" applyAlignment="1">
      <alignment horizontal="center" vertical="center" wrapText="1"/>
    </xf>
    <xf numFmtId="2" fontId="96" fillId="44" borderId="0" xfId="0" applyNumberFormat="1" applyFont="1" applyFill="1" applyAlignment="1">
      <alignment horizontal="center" vertical="center" wrapText="1"/>
    </xf>
    <xf numFmtId="0" fontId="93" fillId="44" borderId="0" xfId="0" applyFont="1" applyFill="1" applyAlignment="1"/>
    <xf numFmtId="165" fontId="104" fillId="44" borderId="0" xfId="0" applyNumberFormat="1" applyFont="1" applyFill="1" applyAlignment="1">
      <alignment horizontal="center"/>
    </xf>
    <xf numFmtId="0" fontId="96" fillId="44" borderId="9" xfId="0" applyFont="1" applyFill="1" applyBorder="1" applyAlignment="1">
      <alignment horizontal="center"/>
    </xf>
    <xf numFmtId="0" fontId="93" fillId="44" borderId="9" xfId="0" applyFont="1" applyFill="1" applyBorder="1" applyAlignment="1">
      <alignment horizontal="center"/>
    </xf>
    <xf numFmtId="2" fontId="93" fillId="44" borderId="9" xfId="0" applyNumberFormat="1" applyFont="1" applyFill="1" applyBorder="1" applyAlignment="1">
      <alignment horizontal="center"/>
    </xf>
    <xf numFmtId="165" fontId="93" fillId="44" borderId="9" xfId="0" applyNumberFormat="1" applyFont="1" applyFill="1" applyBorder="1" applyAlignment="1">
      <alignment horizontal="center"/>
    </xf>
    <xf numFmtId="0" fontId="93" fillId="44" borderId="0" xfId="0" applyNumberFormat="1" applyFont="1" applyFill="1" applyAlignment="1">
      <alignment horizontal="center"/>
    </xf>
    <xf numFmtId="2" fontId="88" fillId="44" borderId="0" xfId="0" applyNumberFormat="1" applyFont="1" applyFill="1" applyAlignment="1">
      <alignment horizontal="center"/>
    </xf>
    <xf numFmtId="0" fontId="41" fillId="44" borderId="0" xfId="300" applyFont="1" applyFill="1" applyAlignment="1">
      <alignment horizontal="center"/>
    </xf>
    <xf numFmtId="165" fontId="41" fillId="44" borderId="0" xfId="300" applyNumberFormat="1" applyFont="1" applyFill="1" applyAlignment="1">
      <alignment horizontal="center"/>
    </xf>
    <xf numFmtId="0" fontId="93" fillId="44" borderId="0" xfId="0" applyFont="1" applyFill="1" applyBorder="1" applyAlignment="1">
      <alignment horizontal="center"/>
    </xf>
    <xf numFmtId="0" fontId="43" fillId="44" borderId="0" xfId="320" applyFont="1" applyFill="1" applyAlignment="1">
      <alignment horizontal="center"/>
    </xf>
    <xf numFmtId="2" fontId="43" fillId="44" borderId="0" xfId="320" applyNumberFormat="1" applyFont="1" applyFill="1" applyAlignment="1">
      <alignment horizontal="center"/>
    </xf>
    <xf numFmtId="0" fontId="50" fillId="44" borderId="4" xfId="3675" applyFont="1" applyFill="1" applyAlignment="1">
      <alignment horizontal="center"/>
    </xf>
    <xf numFmtId="0" fontId="50" fillId="44" borderId="4" xfId="3675" applyFont="1" applyFill="1" applyAlignment="1">
      <alignment horizontal="center" vertical="center" wrapText="1"/>
    </xf>
    <xf numFmtId="1" fontId="0" fillId="48" borderId="0" xfId="0" applyNumberFormat="1" applyFill="1"/>
    <xf numFmtId="0" fontId="0" fillId="48" borderId="0" xfId="0" applyFill="1" applyAlignment="1">
      <alignment horizontal="center" vertical="center"/>
    </xf>
    <xf numFmtId="0" fontId="0" fillId="48" borderId="0" xfId="0" applyFill="1"/>
    <xf numFmtId="2" fontId="0" fillId="48" borderId="0" xfId="0" applyNumberFormat="1" applyFill="1"/>
    <xf numFmtId="0" fontId="50" fillId="83" borderId="0" xfId="0" applyFont="1" applyFill="1" applyAlignment="1">
      <alignment horizontal="center"/>
    </xf>
    <xf numFmtId="167" fontId="64" fillId="44" borderId="0" xfId="0" applyNumberFormat="1" applyFont="1" applyFill="1" applyAlignment="1">
      <alignment horizontal="center"/>
    </xf>
    <xf numFmtId="165" fontId="63" fillId="44" borderId="0" xfId="0" applyNumberFormat="1" applyFont="1" applyFill="1" applyAlignment="1">
      <alignment horizontal="center"/>
    </xf>
    <xf numFmtId="1" fontId="64" fillId="44" borderId="0" xfId="0" applyNumberFormat="1" applyFont="1" applyFill="1" applyAlignment="1">
      <alignment horizontal="center" vertical="center"/>
    </xf>
    <xf numFmtId="1" fontId="65" fillId="44" borderId="0" xfId="0" applyNumberFormat="1" applyFont="1" applyFill="1" applyAlignment="1">
      <alignment horizontal="center"/>
    </xf>
    <xf numFmtId="1" fontId="0" fillId="26" borderId="0" xfId="0" applyNumberFormat="1" applyFill="1"/>
    <xf numFmtId="1" fontId="0" fillId="44" borderId="0" xfId="0" applyNumberFormat="1" applyFill="1" applyAlignment="1">
      <alignment horizontal="center"/>
    </xf>
    <xf numFmtId="0" fontId="96" fillId="46" borderId="0" xfId="0" applyFont="1" applyFill="1" applyAlignment="1">
      <alignment horizontal="center"/>
    </xf>
    <xf numFmtId="0" fontId="93" fillId="46" borderId="0" xfId="0" applyFont="1" applyFill="1" applyAlignment="1">
      <alignment horizontal="center"/>
    </xf>
    <xf numFmtId="2" fontId="93" fillId="46" borderId="0" xfId="0" applyNumberFormat="1" applyFont="1" applyFill="1" applyAlignment="1">
      <alignment horizontal="center"/>
    </xf>
    <xf numFmtId="0" fontId="27" fillId="44" borderId="0" xfId="29684" applyFill="1" applyAlignment="1">
      <alignment horizontal="center" vertical="center"/>
    </xf>
    <xf numFmtId="0" fontId="0" fillId="0" borderId="0" xfId="0" applyAlignment="1">
      <alignment horizontal="center"/>
    </xf>
    <xf numFmtId="0" fontId="64" fillId="79" borderId="0" xfId="0" applyFont="1" applyFill="1" applyAlignment="1">
      <alignment horizontal="center"/>
    </xf>
    <xf numFmtId="1" fontId="53" fillId="68" borderId="0" xfId="0" applyNumberFormat="1" applyFont="1" applyFill="1" applyBorder="1" applyAlignment="1">
      <alignment horizontal="center"/>
    </xf>
    <xf numFmtId="0" fontId="50" fillId="68" borderId="0" xfId="0" applyFont="1" applyFill="1" applyBorder="1" applyAlignment="1">
      <alignment horizontal="center"/>
    </xf>
    <xf numFmtId="0" fontId="53" fillId="68" borderId="0" xfId="0" applyFont="1" applyFill="1" applyBorder="1" applyAlignment="1">
      <alignment horizontal="center"/>
    </xf>
    <xf numFmtId="3" fontId="0" fillId="51" borderId="0" xfId="0" applyNumberFormat="1" applyFill="1" applyBorder="1" applyAlignment="1">
      <alignment horizontal="center"/>
    </xf>
    <xf numFmtId="164" fontId="0" fillId="51" borderId="0" xfId="0" applyNumberFormat="1" applyFill="1" applyBorder="1" applyAlignment="1">
      <alignment horizontal="center"/>
    </xf>
    <xf numFmtId="0" fontId="0" fillId="51" borderId="0" xfId="0" applyFill="1" applyBorder="1" applyAlignment="1">
      <alignment horizontal="center"/>
    </xf>
    <xf numFmtId="0" fontId="26" fillId="44" borderId="0" xfId="29685" applyFill="1" applyAlignment="1">
      <alignment horizontal="center" vertical="center"/>
    </xf>
    <xf numFmtId="0" fontId="78" fillId="44" borderId="0" xfId="0" applyFont="1" applyFill="1" applyAlignment="1">
      <alignment horizontal="center"/>
    </xf>
    <xf numFmtId="2" fontId="0" fillId="44" borderId="0" xfId="0" applyNumberFormat="1" applyFont="1" applyFill="1" applyAlignment="1">
      <alignment horizontal="center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24" fillId="0" borderId="0" xfId="29687" applyAlignment="1">
      <alignment horizontal="center" vertical="center" wrapText="1"/>
    </xf>
    <xf numFmtId="0" fontId="0" fillId="46" borderId="0" xfId="29687" applyFont="1" applyFill="1" applyAlignment="1">
      <alignment horizontal="center" vertical="center" wrapText="1"/>
    </xf>
    <xf numFmtId="2" fontId="93" fillId="0" borderId="0" xfId="0" applyNumberFormat="1" applyFont="1" applyAlignment="1">
      <alignment horizontal="center"/>
    </xf>
    <xf numFmtId="1" fontId="133" fillId="53" borderId="0" xfId="0" applyNumberFormat="1" applyFont="1" applyFill="1" applyBorder="1" applyAlignment="1">
      <alignment horizontal="center" vertical="center"/>
    </xf>
    <xf numFmtId="0" fontId="133" fillId="53" borderId="0" xfId="0" applyFont="1" applyFill="1" applyBorder="1" applyAlignment="1">
      <alignment horizontal="center" vertical="center"/>
    </xf>
    <xf numFmtId="0" fontId="133" fillId="53" borderId="0" xfId="0" applyFont="1" applyFill="1" applyBorder="1" applyAlignment="1">
      <alignment horizontal="center"/>
    </xf>
    <xf numFmtId="2" fontId="133" fillId="53" borderId="0" xfId="0" applyNumberFormat="1" applyFont="1" applyFill="1" applyBorder="1" applyAlignment="1">
      <alignment horizontal="center"/>
    </xf>
    <xf numFmtId="0" fontId="133" fillId="53" borderId="0" xfId="0" applyFont="1" applyFill="1" applyAlignment="1">
      <alignment horizontal="center" vertical="top"/>
    </xf>
    <xf numFmtId="0" fontId="134" fillId="53" borderId="0" xfId="0" applyFont="1" applyFill="1" applyBorder="1" applyAlignment="1">
      <alignment horizontal="center"/>
    </xf>
    <xf numFmtId="2" fontId="134" fillId="53" borderId="0" xfId="0" applyNumberFormat="1" applyFont="1" applyFill="1" applyBorder="1" applyAlignment="1">
      <alignment horizontal="center"/>
    </xf>
    <xf numFmtId="0" fontId="134" fillId="53" borderId="0" xfId="0" applyFont="1" applyFill="1" applyAlignment="1">
      <alignment horizontal="center" vertical="top"/>
    </xf>
    <xf numFmtId="2" fontId="47" fillId="53" borderId="0" xfId="0" applyNumberFormat="1" applyFont="1" applyFill="1" applyAlignment="1">
      <alignment horizontal="center"/>
    </xf>
    <xf numFmtId="0" fontId="25" fillId="44" borderId="0" xfId="29686" applyFill="1" applyAlignment="1">
      <alignment horizontal="center" vertical="center" wrapText="1"/>
    </xf>
    <xf numFmtId="2" fontId="47" fillId="44" borderId="0" xfId="0" applyNumberFormat="1" applyFont="1" applyFill="1" applyAlignment="1">
      <alignment horizontal="center"/>
    </xf>
    <xf numFmtId="0" fontId="109" fillId="44" borderId="0" xfId="0" applyFont="1" applyFill="1" applyProtection="1">
      <protection locked="0"/>
    </xf>
    <xf numFmtId="0" fontId="27" fillId="44" borderId="0" xfId="29684" applyFill="1" applyAlignment="1">
      <alignment horizontal="center"/>
    </xf>
    <xf numFmtId="2" fontId="53" fillId="48" borderId="0" xfId="0" applyNumberFormat="1" applyFont="1" applyFill="1" applyBorder="1" applyAlignment="1">
      <alignment horizontal="center"/>
    </xf>
    <xf numFmtId="0" fontId="23" fillId="44" borderId="0" xfId="29688" applyFill="1" applyAlignment="1">
      <alignment horizontal="center" vertical="center" wrapText="1"/>
    </xf>
    <xf numFmtId="0" fontId="78" fillId="53" borderId="0" xfId="0" applyFont="1" applyFill="1" applyAlignment="1">
      <alignment horizontal="center"/>
    </xf>
    <xf numFmtId="2" fontId="93" fillId="53" borderId="0" xfId="0" applyNumberFormat="1" applyFont="1" applyFill="1" applyAlignment="1">
      <alignment horizontal="center"/>
    </xf>
    <xf numFmtId="0" fontId="22" fillId="44" borderId="0" xfId="29689" applyFill="1" applyAlignment="1">
      <alignment horizontal="center" vertical="center" wrapText="1"/>
    </xf>
    <xf numFmtId="0" fontId="22" fillId="44" borderId="0" xfId="29689" applyNumberFormat="1" applyFill="1" applyAlignment="1">
      <alignment horizontal="center" vertical="center" wrapText="1"/>
    </xf>
    <xf numFmtId="0" fontId="64" fillId="15" borderId="0" xfId="0" applyFont="1" applyFill="1" applyAlignment="1">
      <alignment horizontal="center"/>
    </xf>
    <xf numFmtId="165" fontId="64" fillId="15" borderId="0" xfId="0" applyNumberFormat="1" applyFont="1" applyFill="1" applyAlignment="1">
      <alignment horizontal="center"/>
    </xf>
    <xf numFmtId="2" fontId="64" fillId="15" borderId="0" xfId="0" applyNumberFormat="1" applyFont="1" applyFill="1" applyAlignment="1">
      <alignment horizontal="center"/>
    </xf>
    <xf numFmtId="0" fontId="64" fillId="15" borderId="0" xfId="0" applyNumberFormat="1" applyFont="1" applyFill="1" applyAlignment="1">
      <alignment horizontal="center"/>
    </xf>
    <xf numFmtId="1" fontId="64" fillId="15" borderId="0" xfId="0" applyNumberFormat="1" applyFont="1" applyFill="1" applyAlignment="1">
      <alignment horizontal="center"/>
    </xf>
    <xf numFmtId="167" fontId="64" fillId="15" borderId="0" xfId="0" applyNumberFormat="1" applyFont="1" applyFill="1" applyAlignment="1">
      <alignment horizontal="center"/>
    </xf>
    <xf numFmtId="0" fontId="65" fillId="15" borderId="0" xfId="0" applyFont="1" applyFill="1" applyAlignment="1">
      <alignment horizontal="center"/>
    </xf>
    <xf numFmtId="167" fontId="64" fillId="43" borderId="0" xfId="0" applyNumberFormat="1" applyFont="1" applyFill="1" applyAlignment="1">
      <alignment horizontal="center"/>
    </xf>
    <xf numFmtId="165" fontId="63" fillId="43" borderId="0" xfId="0" applyNumberFormat="1" applyFont="1" applyFill="1" applyAlignment="1">
      <alignment horizontal="center"/>
    </xf>
    <xf numFmtId="1" fontId="53" fillId="84" borderId="0" xfId="0" applyNumberFormat="1" applyFont="1" applyFill="1" applyBorder="1" applyAlignment="1">
      <alignment horizontal="center"/>
    </xf>
    <xf numFmtId="0" fontId="50" fillId="84" borderId="0" xfId="0" applyFont="1" applyFill="1" applyBorder="1" applyAlignment="1">
      <alignment horizontal="center"/>
    </xf>
    <xf numFmtId="0" fontId="53" fillId="84" borderId="0" xfId="0" applyFont="1" applyFill="1" applyBorder="1" applyAlignment="1">
      <alignment horizontal="center"/>
    </xf>
    <xf numFmtId="2" fontId="53" fillId="84" borderId="0" xfId="0" applyNumberFormat="1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1" fontId="50" fillId="33" borderId="0" xfId="0" applyNumberFormat="1" applyFont="1" applyFill="1" applyBorder="1" applyAlignment="1">
      <alignment horizontal="center"/>
    </xf>
    <xf numFmtId="0" fontId="0" fillId="33" borderId="0" xfId="0" applyFont="1" applyFill="1" applyAlignment="1">
      <alignment horizontal="center" vertical="center" wrapText="1"/>
    </xf>
    <xf numFmtId="0" fontId="0" fillId="33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1" fontId="65" fillId="43" borderId="0" xfId="0" applyNumberFormat="1" applyFont="1" applyFill="1" applyAlignment="1">
      <alignment horizontal="center"/>
    </xf>
    <xf numFmtId="2" fontId="23" fillId="44" borderId="0" xfId="29688" applyNumberFormat="1" applyFill="1" applyAlignment="1">
      <alignment horizontal="center" vertical="center" wrapText="1"/>
    </xf>
    <xf numFmtId="0" fontId="78" fillId="8" borderId="0" xfId="0" applyFont="1" applyFill="1" applyAlignment="1">
      <alignment horizontal="center"/>
    </xf>
    <xf numFmtId="0" fontId="81" fillId="8" borderId="0" xfId="0" applyFont="1" applyFill="1" applyAlignment="1">
      <alignment horizontal="center"/>
    </xf>
    <xf numFmtId="2" fontId="23" fillId="8" borderId="0" xfId="29688" applyNumberFormat="1" applyFill="1" applyAlignment="1">
      <alignment horizontal="center" vertical="center" wrapText="1"/>
    </xf>
    <xf numFmtId="0" fontId="23" fillId="8" borderId="0" xfId="29688" applyFill="1" applyAlignment="1">
      <alignment horizontal="center" vertical="center" wrapText="1"/>
    </xf>
    <xf numFmtId="2" fontId="81" fillId="8" borderId="0" xfId="0" applyNumberFormat="1" applyFont="1" applyFill="1" applyAlignment="1">
      <alignment horizontal="center"/>
    </xf>
    <xf numFmtId="1" fontId="0" fillId="62" borderId="0" xfId="0" applyNumberFormat="1" applyFill="1" applyAlignment="1">
      <alignment horizontal="center" vertical="center" wrapText="1"/>
    </xf>
    <xf numFmtId="165" fontId="65" fillId="62" borderId="0" xfId="0" applyNumberFormat="1" applyFont="1" applyFill="1" applyAlignment="1">
      <alignment horizontal="center"/>
    </xf>
    <xf numFmtId="1" fontId="50" fillId="85" borderId="0" xfId="0" applyNumberFormat="1" applyFont="1" applyFill="1" applyBorder="1" applyAlignment="1">
      <alignment horizontal="center"/>
    </xf>
    <xf numFmtId="0" fontId="50" fillId="85" borderId="0" xfId="0" applyFont="1" applyFill="1" applyBorder="1" applyAlignment="1">
      <alignment horizontal="center"/>
    </xf>
    <xf numFmtId="0" fontId="53" fillId="85" borderId="0" xfId="0" applyFont="1" applyFill="1" applyBorder="1" applyAlignment="1">
      <alignment horizontal="center"/>
    </xf>
    <xf numFmtId="0" fontId="0" fillId="85" borderId="0" xfId="0" applyFill="1" applyAlignment="1">
      <alignment horizontal="center" vertical="center" wrapText="1"/>
    </xf>
    <xf numFmtId="2" fontId="50" fillId="85" borderId="0" xfId="0" applyNumberFormat="1" applyFont="1" applyFill="1" applyBorder="1" applyAlignment="1">
      <alignment horizontal="center"/>
    </xf>
    <xf numFmtId="0" fontId="0" fillId="85" borderId="0" xfId="0" applyFont="1" applyFill="1" applyAlignment="1">
      <alignment horizontal="center" vertical="center" wrapText="1"/>
    </xf>
    <xf numFmtId="0" fontId="136" fillId="0" borderId="0" xfId="0" applyFont="1"/>
    <xf numFmtId="0" fontId="135" fillId="0" borderId="0" xfId="0" applyNumberFormat="1" applyFont="1"/>
    <xf numFmtId="0" fontId="137" fillId="0" borderId="0" xfId="0" applyFont="1" applyFill="1"/>
    <xf numFmtId="0" fontId="59" fillId="8" borderId="0" xfId="0" applyFont="1" applyFill="1" applyProtection="1">
      <protection locked="0"/>
    </xf>
    <xf numFmtId="0" fontId="59" fillId="8" borderId="0" xfId="0" applyFont="1" applyFill="1" applyAlignment="1" applyProtection="1">
      <alignment horizontal="center" vertical="center"/>
      <protection locked="0"/>
    </xf>
    <xf numFmtId="14" fontId="59" fillId="8" borderId="0" xfId="0" applyNumberFormat="1" applyFont="1" applyFill="1" applyAlignment="1" applyProtection="1">
      <alignment horizontal="center"/>
      <protection locked="0"/>
    </xf>
    <xf numFmtId="0" fontId="59" fillId="8" borderId="0" xfId="0" applyFont="1" applyFill="1" applyAlignment="1">
      <alignment horizontal="center"/>
    </xf>
    <xf numFmtId="0" fontId="59" fillId="8" borderId="0" xfId="0" applyFont="1" applyFill="1" applyAlignment="1" applyProtection="1">
      <alignment horizontal="center"/>
      <protection locked="0"/>
    </xf>
    <xf numFmtId="0" fontId="59" fillId="8" borderId="0" xfId="0" applyFont="1" applyFill="1"/>
    <xf numFmtId="14" fontId="139" fillId="8" borderId="0" xfId="0" applyNumberFormat="1" applyFont="1" applyFill="1" applyAlignment="1" applyProtection="1">
      <alignment horizontal="center"/>
      <protection locked="0"/>
    </xf>
    <xf numFmtId="1" fontId="59" fillId="8" borderId="0" xfId="0" applyNumberFormat="1" applyFont="1" applyFill="1" applyAlignment="1">
      <alignment horizontal="center"/>
    </xf>
    <xf numFmtId="14" fontId="59" fillId="8" borderId="0" xfId="0" applyNumberFormat="1" applyFont="1" applyFill="1" applyAlignment="1">
      <alignment horizontal="center"/>
    </xf>
    <xf numFmtId="165" fontId="59" fillId="8" borderId="0" xfId="0" applyNumberFormat="1" applyFont="1" applyFill="1" applyAlignment="1">
      <alignment horizontal="center" vertical="center"/>
    </xf>
    <xf numFmtId="0" fontId="109" fillId="62" borderId="0" xfId="0" applyFont="1" applyFill="1" applyProtection="1">
      <protection locked="0"/>
    </xf>
    <xf numFmtId="0" fontId="109" fillId="62" borderId="0" xfId="0" applyFont="1" applyFill="1" applyAlignment="1" applyProtection="1">
      <alignment horizontal="center" vertical="center"/>
      <protection locked="0"/>
    </xf>
    <xf numFmtId="0" fontId="109" fillId="62" borderId="0" xfId="0" applyFont="1" applyFill="1" applyAlignment="1">
      <alignment horizontal="center"/>
    </xf>
    <xf numFmtId="0" fontId="109" fillId="62" borderId="0" xfId="0" applyFont="1" applyFill="1" applyAlignment="1" applyProtection="1">
      <alignment horizontal="center"/>
      <protection locked="0"/>
    </xf>
    <xf numFmtId="0" fontId="109" fillId="62" borderId="0" xfId="0" applyFont="1" applyFill="1"/>
    <xf numFmtId="1" fontId="109" fillId="62" borderId="0" xfId="0" applyNumberFormat="1" applyFont="1" applyFill="1" applyAlignment="1">
      <alignment horizontal="center"/>
    </xf>
    <xf numFmtId="14" fontId="59" fillId="62" borderId="0" xfId="0" applyNumberFormat="1" applyFont="1" applyFill="1" applyAlignment="1">
      <alignment horizontal="center"/>
    </xf>
    <xf numFmtId="2" fontId="121" fillId="62" borderId="0" xfId="0" applyNumberFormat="1" applyFont="1" applyFill="1" applyAlignment="1" applyProtection="1">
      <alignment horizontal="center"/>
      <protection locked="0"/>
    </xf>
    <xf numFmtId="167" fontId="121" fillId="62" borderId="0" xfId="0" applyNumberFormat="1" applyFont="1" applyFill="1" applyAlignment="1" applyProtection="1">
      <alignment horizontal="center"/>
      <protection locked="0"/>
    </xf>
    <xf numFmtId="0" fontId="66" fillId="9" borderId="2" xfId="0" applyFont="1" applyFill="1" applyBorder="1" applyAlignment="1">
      <alignment horizontal="center" vertical="center"/>
    </xf>
    <xf numFmtId="0" fontId="44" fillId="59" borderId="10" xfId="0" applyFont="1" applyFill="1" applyBorder="1" applyAlignment="1">
      <alignment horizontal="center" vertical="center"/>
    </xf>
    <xf numFmtId="0" fontId="44" fillId="45" borderId="10" xfId="0" applyFont="1" applyFill="1" applyBorder="1" applyAlignment="1">
      <alignment horizontal="center" vertical="center"/>
    </xf>
    <xf numFmtId="0" fontId="44" fillId="45" borderId="11" xfId="0" applyFont="1" applyFill="1" applyBorder="1" applyAlignment="1">
      <alignment horizontal="center" vertical="center"/>
    </xf>
    <xf numFmtId="0" fontId="65" fillId="66" borderId="0" xfId="0" applyNumberFormat="1" applyFont="1" applyFill="1" applyAlignment="1">
      <alignment horizontal="center"/>
    </xf>
    <xf numFmtId="1" fontId="65" fillId="66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 vertical="center"/>
    </xf>
    <xf numFmtId="0" fontId="44" fillId="8" borderId="0" xfId="0" applyFont="1" applyFill="1" applyAlignment="1">
      <alignment horizontal="center" vertical="center"/>
    </xf>
    <xf numFmtId="0" fontId="44" fillId="29" borderId="0" xfId="0" applyFont="1" applyFill="1" applyAlignment="1">
      <alignment horizontal="center" vertical="center"/>
    </xf>
    <xf numFmtId="0" fontId="81" fillId="79" borderId="0" xfId="0" applyFont="1" applyFill="1" applyAlignment="1">
      <alignment horizontal="center"/>
    </xf>
    <xf numFmtId="0" fontId="78" fillId="79" borderId="0" xfId="0" applyFont="1" applyFill="1" applyAlignment="1">
      <alignment horizontal="center"/>
    </xf>
    <xf numFmtId="0" fontId="20" fillId="79" borderId="0" xfId="29691" applyFill="1" applyAlignment="1">
      <alignment horizontal="center" vertical="center" wrapText="1"/>
    </xf>
    <xf numFmtId="0" fontId="0" fillId="0" borderId="0" xfId="0" applyAlignment="1">
      <alignment horizontal="center"/>
    </xf>
    <xf numFmtId="167" fontId="65" fillId="48" borderId="0" xfId="0" applyNumberFormat="1" applyFont="1" applyFill="1" applyAlignment="1">
      <alignment horizontal="center"/>
    </xf>
    <xf numFmtId="0" fontId="140" fillId="0" borderId="0" xfId="29692" applyFont="1" applyAlignment="1">
      <alignment horizontal="center" vertical="center"/>
    </xf>
    <xf numFmtId="0" fontId="44" fillId="29" borderId="0" xfId="29692" applyFont="1" applyFill="1" applyAlignment="1">
      <alignment horizontal="center" vertical="center"/>
    </xf>
    <xf numFmtId="0" fontId="44" fillId="8" borderId="0" xfId="29692" applyFont="1" applyFill="1" applyAlignment="1">
      <alignment horizontal="center" vertical="center"/>
    </xf>
    <xf numFmtId="2" fontId="53" fillId="44" borderId="0" xfId="0" applyNumberFormat="1" applyFont="1" applyFill="1" applyBorder="1" applyAlignment="1">
      <alignment horizontal="center"/>
    </xf>
    <xf numFmtId="0" fontId="140" fillId="0" borderId="0" xfId="29693" applyFont="1" applyAlignment="1">
      <alignment horizontal="center" vertical="center"/>
    </xf>
    <xf numFmtId="0" fontId="44" fillId="29" borderId="0" xfId="29693" applyFont="1" applyFill="1" applyAlignment="1">
      <alignment horizontal="center" vertical="center"/>
    </xf>
    <xf numFmtId="0" fontId="44" fillId="8" borderId="0" xfId="29693" applyFont="1" applyFill="1" applyAlignment="1">
      <alignment horizontal="center" vertical="center"/>
    </xf>
    <xf numFmtId="0" fontId="96" fillId="43" borderId="0" xfId="0" applyFont="1" applyFill="1" applyAlignment="1">
      <alignment horizontal="center"/>
    </xf>
    <xf numFmtId="0" fontId="93" fillId="43" borderId="0" xfId="0" applyFont="1" applyFill="1" applyAlignment="1">
      <alignment horizontal="center"/>
    </xf>
    <xf numFmtId="165" fontId="93" fillId="43" borderId="0" xfId="0" applyNumberFormat="1" applyFont="1" applyFill="1" applyAlignment="1">
      <alignment horizontal="center"/>
    </xf>
    <xf numFmtId="2" fontId="93" fillId="43" borderId="0" xfId="0" applyNumberFormat="1" applyFont="1" applyFill="1" applyAlignment="1">
      <alignment horizontal="center"/>
    </xf>
    <xf numFmtId="2" fontId="65" fillId="46" borderId="0" xfId="0" applyNumberFormat="1" applyFont="1" applyFill="1" applyAlignment="1">
      <alignment horizontal="center"/>
    </xf>
    <xf numFmtId="165" fontId="65" fillId="46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63" fillId="7" borderId="0" xfId="0" applyNumberFormat="1" applyFont="1" applyFill="1" applyAlignment="1">
      <alignment horizontal="center"/>
    </xf>
    <xf numFmtId="2" fontId="65" fillId="43" borderId="0" xfId="0" applyNumberFormat="1" applyFont="1" applyFill="1" applyAlignment="1">
      <alignment horizontal="center"/>
    </xf>
    <xf numFmtId="165" fontId="65" fillId="43" borderId="0" xfId="0" applyNumberFormat="1" applyFont="1" applyFill="1" applyAlignment="1">
      <alignment horizontal="center"/>
    </xf>
    <xf numFmtId="2" fontId="0" fillId="43" borderId="0" xfId="0" applyNumberFormat="1" applyFill="1" applyAlignment="1">
      <alignment horizontal="center" vertical="center"/>
    </xf>
    <xf numFmtId="0" fontId="118" fillId="43" borderId="0" xfId="29684" applyFont="1" applyFill="1" applyAlignment="1">
      <alignment horizontal="center"/>
    </xf>
    <xf numFmtId="0" fontId="118" fillId="43" borderId="0" xfId="29684" applyFont="1" applyFill="1" applyAlignment="1">
      <alignment horizontal="center" vertical="center" wrapText="1"/>
    </xf>
    <xf numFmtId="0" fontId="27" fillId="43" borderId="0" xfId="29684" applyFill="1" applyAlignment="1">
      <alignment horizontal="center" vertical="center"/>
    </xf>
    <xf numFmtId="165" fontId="0" fillId="43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/>
    </xf>
    <xf numFmtId="2" fontId="50" fillId="3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96" fillId="34" borderId="0" xfId="0" applyFont="1" applyFill="1" applyAlignment="1">
      <alignment horizontal="center"/>
    </xf>
    <xf numFmtId="0" fontId="93" fillId="34" borderId="0" xfId="0" applyFont="1" applyFill="1" applyAlignment="1">
      <alignment horizontal="center"/>
    </xf>
    <xf numFmtId="2" fontId="93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 wrapText="1"/>
    </xf>
    <xf numFmtId="0" fontId="96" fillId="29" borderId="0" xfId="0" applyFont="1" applyFill="1" applyAlignment="1">
      <alignment horizontal="center"/>
    </xf>
    <xf numFmtId="0" fontId="93" fillId="29" borderId="0" xfId="0" applyFont="1" applyFill="1" applyAlignment="1">
      <alignment horizontal="center"/>
    </xf>
    <xf numFmtId="2" fontId="93" fillId="29" borderId="0" xfId="0" applyNumberFormat="1" applyFont="1" applyFill="1" applyAlignment="1">
      <alignment horizontal="center"/>
    </xf>
    <xf numFmtId="165" fontId="93" fillId="29" borderId="0" xfId="0" applyNumberFormat="1" applyFont="1" applyFill="1" applyAlignment="1">
      <alignment horizontal="center"/>
    </xf>
    <xf numFmtId="2" fontId="65" fillId="0" borderId="0" xfId="0" applyNumberFormat="1" applyFont="1" applyAlignment="1">
      <alignment horizontal="center"/>
    </xf>
    <xf numFmtId="2" fontId="50" fillId="60" borderId="0" xfId="0" applyNumberFormat="1" applyFont="1" applyFill="1" applyAlignment="1">
      <alignment horizontal="center"/>
    </xf>
    <xf numFmtId="165" fontId="81" fillId="48" borderId="0" xfId="0" applyNumberFormat="1" applyFont="1" applyFill="1" applyAlignment="1">
      <alignment horizontal="center"/>
    </xf>
    <xf numFmtId="0" fontId="16" fillId="0" borderId="0" xfId="29695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29696" applyAlignment="1">
      <alignment horizontal="center" vertical="center" wrapText="1"/>
    </xf>
    <xf numFmtId="2" fontId="65" fillId="66" borderId="0" xfId="0" applyNumberFormat="1" applyFont="1" applyFill="1" applyAlignment="1">
      <alignment horizontal="center"/>
    </xf>
    <xf numFmtId="165" fontId="65" fillId="66" borderId="0" xfId="0" applyNumberFormat="1" applyFont="1" applyFill="1" applyAlignment="1">
      <alignment horizontal="center"/>
    </xf>
    <xf numFmtId="2" fontId="47" fillId="66" borderId="0" xfId="0" applyNumberFormat="1" applyFont="1" applyFill="1" applyAlignment="1">
      <alignment horizontal="center"/>
    </xf>
    <xf numFmtId="0" fontId="15" fillId="0" borderId="0" xfId="29696" applyAlignment="1">
      <alignment horizontal="center" vertical="center" wrapText="1"/>
    </xf>
    <xf numFmtId="0" fontId="14" fillId="0" borderId="0" xfId="29697" applyAlignment="1">
      <alignment horizontal="center" vertical="center" wrapText="1"/>
    </xf>
    <xf numFmtId="3" fontId="0" fillId="8" borderId="0" xfId="0" applyNumberFormat="1" applyFill="1" applyBorder="1" applyAlignment="1">
      <alignment horizontal="center"/>
    </xf>
    <xf numFmtId="164" fontId="0" fillId="8" borderId="0" xfId="0" applyNumberForma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0" xfId="0" applyFill="1" applyBorder="1"/>
    <xf numFmtId="0" fontId="65" fillId="21" borderId="0" xfId="0" applyNumberFormat="1" applyFont="1" applyFill="1" applyAlignment="1">
      <alignment horizontal="center"/>
    </xf>
    <xf numFmtId="0" fontId="65" fillId="21" borderId="0" xfId="0" applyFont="1" applyFill="1" applyAlignment="1">
      <alignment horizontal="center"/>
    </xf>
    <xf numFmtId="1" fontId="65" fillId="21" borderId="0" xfId="0" applyNumberFormat="1" applyFont="1" applyFill="1" applyAlignment="1">
      <alignment horizontal="center"/>
    </xf>
    <xf numFmtId="167" fontId="65" fillId="21" borderId="0" xfId="0" applyNumberFormat="1" applyFont="1" applyFill="1" applyAlignment="1">
      <alignment horizontal="center"/>
    </xf>
    <xf numFmtId="165" fontId="65" fillId="21" borderId="0" xfId="0" applyNumberFormat="1" applyFont="1" applyFill="1" applyAlignment="1">
      <alignment horizontal="center"/>
    </xf>
    <xf numFmtId="2" fontId="65" fillId="21" borderId="0" xfId="0" applyNumberFormat="1" applyFont="1" applyFill="1" applyAlignment="1">
      <alignment horizontal="center"/>
    </xf>
    <xf numFmtId="0" fontId="121" fillId="21" borderId="0" xfId="0" applyFont="1" applyFill="1" applyAlignment="1">
      <alignment horizontal="center"/>
    </xf>
    <xf numFmtId="0" fontId="121" fillId="21" borderId="0" xfId="0" applyFont="1" applyFill="1" applyAlignment="1" applyProtection="1">
      <alignment horizontal="center"/>
      <protection locked="0"/>
    </xf>
    <xf numFmtId="0" fontId="121" fillId="21" borderId="0" xfId="0" applyFont="1" applyFill="1"/>
    <xf numFmtId="2" fontId="121" fillId="21" borderId="0" xfId="0" applyNumberFormat="1" applyFont="1" applyFill="1" applyAlignment="1">
      <alignment horizontal="center"/>
    </xf>
    <xf numFmtId="1" fontId="121" fillId="21" borderId="0" xfId="0" applyNumberFormat="1" applyFont="1" applyFill="1" applyAlignment="1">
      <alignment horizontal="center"/>
    </xf>
    <xf numFmtId="14" fontId="121" fillId="21" borderId="0" xfId="0" applyNumberFormat="1" applyFont="1" applyFill="1" applyAlignment="1">
      <alignment horizontal="center"/>
    </xf>
    <xf numFmtId="0" fontId="121" fillId="21" borderId="0" xfId="0" applyFont="1" applyFill="1" applyProtection="1">
      <protection locked="0"/>
    </xf>
    <xf numFmtId="165" fontId="64" fillId="21" borderId="0" xfId="0" applyNumberFormat="1" applyFont="1" applyFill="1" applyAlignment="1">
      <alignment horizontal="center"/>
    </xf>
    <xf numFmtId="2" fontId="64" fillId="21" borderId="0" xfId="0" applyNumberFormat="1" applyFont="1" applyFill="1" applyAlignment="1">
      <alignment horizontal="center"/>
    </xf>
    <xf numFmtId="0" fontId="64" fillId="21" borderId="0" xfId="0" applyNumberFormat="1" applyFont="1" applyFill="1" applyAlignment="1">
      <alignment horizontal="center"/>
    </xf>
    <xf numFmtId="0" fontId="64" fillId="21" borderId="0" xfId="0" applyFont="1" applyFill="1" applyAlignment="1">
      <alignment horizontal="center"/>
    </xf>
    <xf numFmtId="0" fontId="109" fillId="21" borderId="0" xfId="0" applyFont="1" applyFill="1" applyAlignment="1" applyProtection="1">
      <alignment horizontal="center"/>
      <protection locked="0"/>
    </xf>
    <xf numFmtId="0" fontId="109" fillId="21" borderId="0" xfId="0" applyFont="1" applyFill="1" applyAlignment="1" applyProtection="1">
      <alignment horizontal="center" vertical="center"/>
      <protection locked="0"/>
    </xf>
    <xf numFmtId="1" fontId="109" fillId="21" borderId="0" xfId="0" applyNumberFormat="1" applyFont="1" applyFill="1" applyAlignment="1" applyProtection="1">
      <alignment horizontal="center"/>
      <protection locked="0"/>
    </xf>
    <xf numFmtId="0" fontId="109" fillId="21" borderId="0" xfId="0" applyFont="1" applyFill="1" applyProtection="1">
      <protection locked="0"/>
    </xf>
    <xf numFmtId="165" fontId="81" fillId="33" borderId="0" xfId="0" applyNumberFormat="1" applyFont="1" applyFill="1" applyAlignment="1">
      <alignment horizontal="center"/>
    </xf>
    <xf numFmtId="165" fontId="65" fillId="29" borderId="0" xfId="0" applyNumberFormat="1" applyFont="1" applyFill="1" applyAlignment="1">
      <alignment horizontal="center"/>
    </xf>
    <xf numFmtId="2" fontId="65" fillId="29" borderId="0" xfId="0" applyNumberFormat="1" applyFont="1" applyFill="1" applyAlignment="1">
      <alignment horizontal="center"/>
    </xf>
    <xf numFmtId="0" fontId="11" fillId="0" borderId="0" xfId="29700" applyAlignment="1">
      <alignment horizontal="center" vertical="center" wrapText="1"/>
    </xf>
    <xf numFmtId="0" fontId="11" fillId="0" borderId="0" xfId="29700" applyAlignment="1">
      <alignment horizontal="center" vertical="center" wrapText="1"/>
    </xf>
    <xf numFmtId="0" fontId="65" fillId="81" borderId="0" xfId="0" applyFont="1" applyFill="1" applyAlignment="1">
      <alignment horizontal="center"/>
    </xf>
    <xf numFmtId="165" fontId="65" fillId="81" borderId="0" xfId="0" applyNumberFormat="1" applyFont="1" applyFill="1" applyAlignment="1">
      <alignment horizontal="center"/>
    </xf>
    <xf numFmtId="1" fontId="65" fillId="81" borderId="0" xfId="0" applyNumberFormat="1" applyFont="1" applyFill="1" applyAlignment="1">
      <alignment horizontal="center"/>
    </xf>
    <xf numFmtId="2" fontId="65" fillId="81" borderId="0" xfId="0" applyNumberFormat="1" applyFont="1" applyFill="1" applyAlignment="1">
      <alignment horizontal="center"/>
    </xf>
    <xf numFmtId="0" fontId="65" fillId="81" borderId="0" xfId="0" applyNumberFormat="1" applyFont="1" applyFill="1" applyAlignment="1">
      <alignment horizontal="center"/>
    </xf>
    <xf numFmtId="167" fontId="65" fillId="81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5" fontId="81" fillId="46" borderId="0" xfId="0" applyNumberFormat="1" applyFont="1" applyFill="1" applyAlignment="1">
      <alignment horizontal="center"/>
    </xf>
    <xf numFmtId="1" fontId="0" fillId="46" borderId="0" xfId="0" applyNumberFormat="1" applyFill="1" applyAlignment="1">
      <alignment horizontal="center"/>
    </xf>
    <xf numFmtId="0" fontId="0" fillId="46" borderId="0" xfId="0" applyFill="1" applyAlignment="1">
      <alignment horizontal="center" vertical="center" wrapText="1"/>
    </xf>
    <xf numFmtId="2" fontId="0" fillId="46" borderId="0" xfId="0" applyNumberFormat="1" applyFill="1" applyAlignment="1">
      <alignment horizontal="center"/>
    </xf>
    <xf numFmtId="2" fontId="81" fillId="46" borderId="0" xfId="0" applyNumberFormat="1" applyFont="1" applyFill="1" applyAlignment="1">
      <alignment horizontal="center"/>
    </xf>
    <xf numFmtId="0" fontId="0" fillId="46" borderId="0" xfId="0" applyNumberFormat="1" applyFill="1" applyAlignment="1">
      <alignment horizontal="center"/>
    </xf>
    <xf numFmtId="3" fontId="0" fillId="46" borderId="0" xfId="0" applyNumberFormat="1" applyFill="1" applyAlignment="1">
      <alignment horizontal="center"/>
    </xf>
    <xf numFmtId="164" fontId="0" fillId="46" borderId="0" xfId="0" applyNumberFormat="1" applyFill="1" applyAlignment="1">
      <alignment horizontal="center"/>
    </xf>
    <xf numFmtId="2" fontId="50" fillId="46" borderId="0" xfId="0" applyNumberFormat="1" applyFont="1" applyFill="1" applyAlignment="1">
      <alignment horizontal="center"/>
    </xf>
    <xf numFmtId="167" fontId="64" fillId="21" borderId="0" xfId="0" applyNumberFormat="1" applyFont="1" applyFill="1" applyAlignment="1">
      <alignment horizontal="center"/>
    </xf>
    <xf numFmtId="1" fontId="64" fillId="21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66" fillId="9" borderId="2" xfId="0" applyFont="1" applyFill="1" applyBorder="1" applyAlignment="1">
      <alignment horizontal="center" vertical="center"/>
    </xf>
    <xf numFmtId="0" fontId="64" fillId="44" borderId="1" xfId="0" applyFont="1" applyFill="1" applyBorder="1" applyAlignment="1">
      <alignment horizontal="center"/>
    </xf>
    <xf numFmtId="165" fontId="64" fillId="44" borderId="1" xfId="0" applyNumberFormat="1" applyFont="1" applyFill="1" applyBorder="1" applyAlignment="1">
      <alignment horizontal="center"/>
    </xf>
    <xf numFmtId="2" fontId="64" fillId="44" borderId="1" xfId="0" applyNumberFormat="1" applyFont="1" applyFill="1" applyBorder="1" applyAlignment="1">
      <alignment horizontal="center"/>
    </xf>
    <xf numFmtId="0" fontId="64" fillId="44" borderId="1" xfId="0" applyNumberFormat="1" applyFont="1" applyFill="1" applyBorder="1" applyAlignment="1">
      <alignment horizontal="center"/>
    </xf>
    <xf numFmtId="1" fontId="65" fillId="44" borderId="1" xfId="0" applyNumberFormat="1" applyFont="1" applyFill="1" applyBorder="1" applyAlignment="1">
      <alignment horizontal="center"/>
    </xf>
    <xf numFmtId="1" fontId="64" fillId="44" borderId="1" xfId="0" applyNumberFormat="1" applyFont="1" applyFill="1" applyBorder="1" applyAlignment="1">
      <alignment horizontal="center"/>
    </xf>
    <xf numFmtId="167" fontId="64" fillId="44" borderId="1" xfId="0" applyNumberFormat="1" applyFont="1" applyFill="1" applyBorder="1" applyAlignment="1">
      <alignment horizontal="center"/>
    </xf>
    <xf numFmtId="165" fontId="65" fillId="44" borderId="1" xfId="0" applyNumberFormat="1" applyFont="1" applyFill="1" applyBorder="1" applyAlignment="1">
      <alignment horizontal="center"/>
    </xf>
    <xf numFmtId="0" fontId="65" fillId="44" borderId="1" xfId="0" applyFont="1" applyFill="1" applyBorder="1" applyAlignment="1">
      <alignment horizontal="center"/>
    </xf>
    <xf numFmtId="2" fontId="53" fillId="8" borderId="0" xfId="0" applyNumberFormat="1" applyFont="1" applyFill="1" applyBorder="1" applyAlignment="1">
      <alignment horizontal="center"/>
    </xf>
    <xf numFmtId="165" fontId="65" fillId="45" borderId="0" xfId="0" applyNumberFormat="1" applyFont="1" applyFill="1" applyAlignment="1">
      <alignment horizontal="center"/>
    </xf>
    <xf numFmtId="0" fontId="8" fillId="0" borderId="0" xfId="29703" applyAlignment="1">
      <alignment horizontal="center" vertical="center" wrapText="1"/>
    </xf>
    <xf numFmtId="0" fontId="8" fillId="0" borderId="0" xfId="29703" applyAlignment="1">
      <alignment vertical="center" wrapText="1"/>
    </xf>
    <xf numFmtId="0" fontId="78" fillId="43" borderId="0" xfId="0" applyFont="1" applyFill="1" applyAlignment="1">
      <alignment horizontal="center"/>
    </xf>
    <xf numFmtId="0" fontId="81" fillId="43" borderId="0" xfId="0" applyFont="1" applyFill="1" applyAlignment="1">
      <alignment horizontal="center"/>
    </xf>
    <xf numFmtId="0" fontId="8" fillId="0" borderId="0" xfId="29703" applyAlignment="1">
      <alignment horizontal="center" vertical="center" wrapText="1"/>
    </xf>
    <xf numFmtId="0" fontId="8" fillId="0" borderId="0" xfId="29703" applyAlignment="1">
      <alignment horizontal="center" vertical="center" wrapText="1"/>
    </xf>
    <xf numFmtId="165" fontId="81" fillId="4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65" fillId="8" borderId="0" xfId="0" applyNumberFormat="1" applyFont="1" applyFill="1" applyAlignment="1">
      <alignment horizontal="center"/>
    </xf>
    <xf numFmtId="0" fontId="7" fillId="0" borderId="0" xfId="29704" applyAlignment="1">
      <alignment horizontal="center" vertical="center" wrapText="1"/>
    </xf>
    <xf numFmtId="165" fontId="65" fillId="8" borderId="0" xfId="0" applyNumberFormat="1" applyFont="1" applyFill="1" applyAlignment="1">
      <alignment horizontal="center"/>
    </xf>
    <xf numFmtId="0" fontId="63" fillId="8" borderId="0" xfId="0" applyFont="1" applyFill="1" applyAlignment="1">
      <alignment horizontal="center"/>
    </xf>
    <xf numFmtId="165" fontId="81" fillId="8" borderId="0" xfId="0" applyNumberFormat="1" applyFont="1" applyFill="1" applyAlignment="1">
      <alignment horizontal="center"/>
    </xf>
    <xf numFmtId="0" fontId="7" fillId="0" borderId="0" xfId="29704"/>
    <xf numFmtId="0" fontId="7" fillId="0" borderId="0" xfId="29704" applyAlignment="1">
      <alignment horizontal="center" vertical="center" wrapText="1"/>
    </xf>
    <xf numFmtId="0" fontId="7" fillId="0" borderId="0" xfId="29704" applyAlignment="1">
      <alignment horizontal="center" vertical="center" wrapText="1"/>
    </xf>
    <xf numFmtId="2" fontId="81" fillId="53" borderId="0" xfId="0" applyNumberFormat="1" applyFont="1" applyFill="1" applyAlignment="1">
      <alignment horizontal="center"/>
    </xf>
    <xf numFmtId="165" fontId="81" fillId="53" borderId="0" xfId="0" applyNumberFormat="1" applyFont="1" applyFill="1" applyAlignment="1">
      <alignment horizontal="center"/>
    </xf>
    <xf numFmtId="0" fontId="0" fillId="0" borderId="0" xfId="0"/>
    <xf numFmtId="0" fontId="6" fillId="0" borderId="0" xfId="29705" applyAlignment="1">
      <alignment horizontal="center" vertical="center" wrapText="1"/>
    </xf>
    <xf numFmtId="0" fontId="6" fillId="0" borderId="0" xfId="29705" applyAlignment="1">
      <alignment horizontal="left" vertical="center" wrapText="1"/>
    </xf>
    <xf numFmtId="0" fontId="63" fillId="29" borderId="0" xfId="0" applyFont="1" applyFill="1" applyAlignment="1">
      <alignment horizontal="center"/>
    </xf>
    <xf numFmtId="0" fontId="5" fillId="0" borderId="0" xfId="29706" applyAlignment="1">
      <alignment horizontal="center" vertical="center" wrapText="1"/>
    </xf>
    <xf numFmtId="0" fontId="78" fillId="29" borderId="0" xfId="0" applyFont="1" applyFill="1" applyAlignment="1">
      <alignment horizontal="center"/>
    </xf>
    <xf numFmtId="2" fontId="81" fillId="29" borderId="0" xfId="0" applyNumberFormat="1" applyFont="1" applyFill="1" applyAlignment="1">
      <alignment horizontal="center"/>
    </xf>
    <xf numFmtId="165" fontId="81" fillId="29" borderId="0" xfId="0" applyNumberFormat="1" applyFont="1" applyFill="1" applyAlignment="1">
      <alignment horizontal="center"/>
    </xf>
    <xf numFmtId="0" fontId="4" fillId="0" borderId="0" xfId="29707" applyAlignment="1">
      <alignment horizontal="center" vertical="center" wrapText="1"/>
    </xf>
    <xf numFmtId="0" fontId="4" fillId="0" borderId="0" xfId="29707" applyAlignment="1">
      <alignment horizontal="left" vertical="center" wrapText="1"/>
    </xf>
    <xf numFmtId="0" fontId="44" fillId="46" borderId="0" xfId="0" applyFont="1" applyFill="1" applyAlignment="1">
      <alignment horizontal="center"/>
    </xf>
    <xf numFmtId="0" fontId="50" fillId="46" borderId="0" xfId="0" applyFont="1" applyFill="1" applyBorder="1" applyAlignment="1">
      <alignment horizontal="center"/>
    </xf>
    <xf numFmtId="1" fontId="53" fillId="46" borderId="0" xfId="0" applyNumberFormat="1" applyFont="1" applyFill="1" applyBorder="1" applyAlignment="1">
      <alignment horizontal="center"/>
    </xf>
    <xf numFmtId="0" fontId="4" fillId="0" borderId="0" xfId="29707" applyAlignment="1">
      <alignment horizontal="center" vertical="center" wrapText="1"/>
    </xf>
    <xf numFmtId="0" fontId="53" fillId="46" borderId="0" xfId="0" applyFont="1" applyFill="1" applyBorder="1" applyAlignment="1">
      <alignment horizontal="center"/>
    </xf>
    <xf numFmtId="0" fontId="78" fillId="46" borderId="0" xfId="0" applyFont="1" applyFill="1" applyAlignment="1">
      <alignment horizontal="center"/>
    </xf>
    <xf numFmtId="0" fontId="4" fillId="0" borderId="0" xfId="29707" applyAlignment="1">
      <alignment horizontal="center" vertical="center" wrapText="1"/>
    </xf>
    <xf numFmtId="2" fontId="53" fillId="46" borderId="0" xfId="0" applyNumberFormat="1" applyFont="1" applyFill="1" applyBorder="1" applyAlignment="1">
      <alignment horizontal="center"/>
    </xf>
    <xf numFmtId="0" fontId="3" fillId="0" borderId="0" xfId="29708" applyAlignment="1">
      <alignment horizontal="center" vertical="center" wrapText="1"/>
    </xf>
    <xf numFmtId="167" fontId="0" fillId="66" borderId="0" xfId="0" applyNumberFormat="1" applyFill="1" applyAlignment="1">
      <alignment horizontal="center"/>
    </xf>
    <xf numFmtId="3" fontId="0" fillId="34" borderId="0" xfId="0" applyNumberFormat="1" applyFill="1" applyBorder="1" applyAlignment="1">
      <alignment horizontal="center"/>
    </xf>
    <xf numFmtId="164" fontId="0" fillId="34" borderId="0" xfId="0" applyNumberFormat="1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4" borderId="0" xfId="0" applyFill="1" applyBorder="1"/>
    <xf numFmtId="2" fontId="65" fillId="34" borderId="0" xfId="0" applyNumberFormat="1" applyFont="1" applyFill="1" applyAlignment="1">
      <alignment horizontal="center"/>
    </xf>
    <xf numFmtId="165" fontId="65" fillId="34" borderId="0" xfId="0" applyNumberFormat="1" applyFont="1" applyFill="1" applyAlignment="1">
      <alignment horizontal="center"/>
    </xf>
    <xf numFmtId="0" fontId="3" fillId="0" borderId="0" xfId="29708" applyAlignment="1">
      <alignment horizontal="center" vertical="center" wrapText="1"/>
    </xf>
    <xf numFmtId="0" fontId="65" fillId="34" borderId="0" xfId="0" applyNumberFormat="1" applyFont="1" applyFill="1" applyAlignment="1">
      <alignment horizontal="center"/>
    </xf>
    <xf numFmtId="167" fontId="65" fillId="34" borderId="0" xfId="0" applyNumberFormat="1" applyFont="1" applyFill="1" applyAlignment="1">
      <alignment horizontal="center"/>
    </xf>
    <xf numFmtId="2" fontId="65" fillId="16" borderId="0" xfId="0" applyNumberFormat="1" applyFont="1" applyFill="1" applyAlignment="1">
      <alignment horizontal="center"/>
    </xf>
    <xf numFmtId="0" fontId="2" fillId="0" borderId="0" xfId="29709" applyAlignment="1">
      <alignment horizontal="center" vertical="center" wrapText="1"/>
    </xf>
    <xf numFmtId="0" fontId="78" fillId="33" borderId="0" xfId="0" applyFont="1" applyFill="1" applyAlignment="1">
      <alignment horizontal="center"/>
    </xf>
    <xf numFmtId="0" fontId="2" fillId="0" borderId="0" xfId="29709" applyAlignment="1">
      <alignment horizontal="center" vertical="center" wrapText="1"/>
    </xf>
    <xf numFmtId="0" fontId="2" fillId="0" borderId="0" xfId="29709" applyAlignment="1">
      <alignment horizontal="center" vertical="center" wrapText="1"/>
    </xf>
    <xf numFmtId="0" fontId="0" fillId="0" borderId="0" xfId="0" applyAlignment="1">
      <alignment horizontal="center"/>
    </xf>
    <xf numFmtId="2" fontId="65" fillId="51" borderId="0" xfId="0" applyNumberFormat="1" applyFont="1" applyFill="1" applyAlignment="1">
      <alignment horizontal="center"/>
    </xf>
    <xf numFmtId="165" fontId="65" fillId="51" borderId="0" xfId="0" applyNumberFormat="1" applyFont="1" applyFill="1" applyAlignment="1">
      <alignment horizontal="center"/>
    </xf>
    <xf numFmtId="3" fontId="53" fillId="7" borderId="1" xfId="0" applyNumberFormat="1" applyFont="1" applyFill="1" applyBorder="1" applyAlignment="1">
      <alignment horizontal="center" vertical="center"/>
    </xf>
    <xf numFmtId="0" fontId="136" fillId="0" borderId="0" xfId="0" applyFont="1" applyAlignment="1">
      <alignment horizontal="left"/>
    </xf>
    <xf numFmtId="0" fontId="53" fillId="21" borderId="1" xfId="0" applyNumberFormat="1" applyFont="1" applyFill="1" applyBorder="1" applyAlignment="1">
      <alignment horizontal="center" vertical="center"/>
    </xf>
    <xf numFmtId="0" fontId="53" fillId="21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3" fontId="0" fillId="44" borderId="0" xfId="0" applyNumberFormat="1" applyFill="1" applyAlignment="1">
      <alignment horizontal="center" vertical="center"/>
    </xf>
    <xf numFmtId="1" fontId="53" fillId="33" borderId="0" xfId="0" applyNumberFormat="1" applyFont="1" applyFill="1" applyBorder="1" applyAlignment="1">
      <alignment horizontal="center" vertical="center"/>
    </xf>
    <xf numFmtId="0" fontId="34" fillId="18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61" fillId="0" borderId="0" xfId="0" applyFont="1" applyFill="1" applyBorder="1" applyAlignment="1">
      <alignment horizontal="center"/>
    </xf>
    <xf numFmtId="0" fontId="61" fillId="0" borderId="0" xfId="0" applyFont="1" applyFill="1" applyBorder="1" applyAlignment="1">
      <alignment horizontal="left"/>
    </xf>
    <xf numFmtId="3" fontId="78" fillId="9" borderId="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6" fillId="9" borderId="3" xfId="0" applyNumberFormat="1" applyFont="1" applyFill="1" applyBorder="1" applyAlignment="1">
      <alignment horizontal="center" vertical="center"/>
    </xf>
    <xf numFmtId="0" fontId="66" fillId="9" borderId="2" xfId="0" applyFont="1" applyFill="1" applyBorder="1" applyAlignment="1">
      <alignment horizontal="center" vertical="center"/>
    </xf>
    <xf numFmtId="0" fontId="138" fillId="0" borderId="0" xfId="0" applyFont="1" applyAlignment="1">
      <alignment horizontal="center"/>
    </xf>
    <xf numFmtId="0" fontId="138" fillId="0" borderId="8" xfId="0" applyFont="1" applyBorder="1" applyAlignment="1">
      <alignment horizontal="left"/>
    </xf>
    <xf numFmtId="1" fontId="134" fillId="53" borderId="0" xfId="0" applyNumberFormat="1" applyFont="1" applyFill="1" applyBorder="1" applyAlignment="1">
      <alignment horizontal="center" vertical="center"/>
    </xf>
    <xf numFmtId="0" fontId="134" fillId="53" borderId="0" xfId="0" applyFont="1" applyFill="1" applyBorder="1" applyAlignment="1">
      <alignment horizontal="center" vertical="center"/>
    </xf>
    <xf numFmtId="0" fontId="97" fillId="43" borderId="0" xfId="0" applyFont="1" applyFill="1" applyBorder="1" applyAlignment="1">
      <alignment horizontal="center"/>
    </xf>
    <xf numFmtId="0" fontId="1" fillId="43" borderId="0" xfId="29710" applyFill="1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2" fontId="81" fillId="43" borderId="0" xfId="0" applyNumberFormat="1" applyFont="1" applyFill="1" applyAlignment="1">
      <alignment horizontal="center"/>
    </xf>
    <xf numFmtId="2" fontId="50" fillId="51" borderId="0" xfId="0" applyNumberFormat="1" applyFont="1" applyFill="1" applyAlignment="1">
      <alignment horizontal="center"/>
    </xf>
    <xf numFmtId="2" fontId="121" fillId="51" borderId="0" xfId="0" applyNumberFormat="1" applyFont="1" applyFill="1" applyAlignment="1">
      <alignment horizontal="center"/>
    </xf>
    <xf numFmtId="0" fontId="50" fillId="51" borderId="0" xfId="0" applyFont="1" applyFill="1" applyAlignment="1">
      <alignment horizontal="center"/>
    </xf>
    <xf numFmtId="2" fontId="65" fillId="45" borderId="0" xfId="0" applyNumberFormat="1" applyFont="1" applyFill="1" applyAlignment="1">
      <alignment horizontal="center"/>
    </xf>
    <xf numFmtId="0" fontId="1" fillId="0" borderId="0" xfId="29710" applyAlignment="1">
      <alignment horizontal="center" vertical="center" wrapText="1"/>
    </xf>
    <xf numFmtId="2" fontId="0" fillId="48" borderId="0" xfId="0" applyNumberFormat="1" applyFill="1" applyAlignment="1">
      <alignment horizontal="center"/>
    </xf>
    <xf numFmtId="3" fontId="0" fillId="48" borderId="0" xfId="0" applyNumberFormat="1" applyFill="1" applyAlignment="1">
      <alignment horizontal="center"/>
    </xf>
    <xf numFmtId="0" fontId="1" fillId="0" borderId="0" xfId="29710" applyAlignment="1">
      <alignment horizontal="center" vertical="center" wrapText="1"/>
    </xf>
    <xf numFmtId="2" fontId="50" fillId="48" borderId="0" xfId="0" applyNumberFormat="1" applyFont="1" applyFill="1" applyAlignment="1">
      <alignment horizontal="center"/>
    </xf>
    <xf numFmtId="0" fontId="1" fillId="0" borderId="0" xfId="29710" applyAlignment="1">
      <alignment horizontal="center" vertical="center" wrapText="1"/>
    </xf>
    <xf numFmtId="2" fontId="4" fillId="0" borderId="0" xfId="29707" applyNumberFormat="1" applyAlignment="1">
      <alignment horizontal="center" vertical="center" wrapText="1"/>
    </xf>
    <xf numFmtId="165" fontId="81" fillId="51" borderId="0" xfId="0" applyNumberFormat="1" applyFont="1" applyFill="1" applyAlignment="1">
      <alignment horizontal="center"/>
    </xf>
    <xf numFmtId="0" fontId="78" fillId="51" borderId="0" xfId="0" applyFont="1" applyFill="1" applyAlignment="1">
      <alignment horizontal="center"/>
    </xf>
    <xf numFmtId="0" fontId="1" fillId="0" borderId="0" xfId="29710" applyAlignment="1">
      <alignment horizontal="center" vertical="center" wrapText="1"/>
    </xf>
    <xf numFmtId="0" fontId="65" fillId="8" borderId="0" xfId="0" applyNumberFormat="1" applyFont="1" applyFill="1" applyAlignment="1">
      <alignment horizontal="center"/>
    </xf>
    <xf numFmtId="1" fontId="65" fillId="8" borderId="0" xfId="0" applyNumberFormat="1" applyFont="1" applyFill="1" applyAlignment="1">
      <alignment horizontal="center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167" fontId="65" fillId="8" borderId="0" xfId="0" applyNumberFormat="1" applyFont="1" applyFill="1" applyAlignment="1">
      <alignment horizontal="center"/>
    </xf>
    <xf numFmtId="2" fontId="50" fillId="53" borderId="0" xfId="0" applyNumberFormat="1" applyFont="1" applyFill="1" applyAlignment="1">
      <alignment horizontal="center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0" fontId="1" fillId="0" borderId="0" xfId="29710" applyAlignment="1">
      <alignment horizontal="center" vertical="center" wrapText="1"/>
    </xf>
    <xf numFmtId="1" fontId="50" fillId="43" borderId="0" xfId="0" applyNumberFormat="1" applyFont="1" applyFill="1" applyBorder="1" applyAlignment="1">
      <alignment horizontal="center"/>
    </xf>
    <xf numFmtId="165" fontId="65" fillId="33" borderId="0" xfId="0" applyNumberFormat="1" applyFont="1" applyFill="1" applyAlignment="1">
      <alignment horizontal="center"/>
    </xf>
    <xf numFmtId="2" fontId="65" fillId="33" borderId="0" xfId="0" applyNumberFormat="1" applyFont="1" applyFill="1" applyAlignment="1">
      <alignment horizontal="center"/>
    </xf>
    <xf numFmtId="0" fontId="1" fillId="0" borderId="0" xfId="29710" applyAlignment="1">
      <alignment horizontal="center" vertical="center" wrapText="1"/>
    </xf>
  </cellXfs>
  <cellStyles count="29711">
    <cellStyle name="20 % - Accent1" xfId="8982" builtinId="30"/>
    <cellStyle name="Avertissement" xfId="17835" builtinId="11"/>
    <cellStyle name="Calcul" xfId="7792" builtinId="22"/>
    <cellStyle name="Entrée" xfId="3675" builtinId="20"/>
    <cellStyle name="Insatisfaisant" xfId="305" builtinId="27"/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4" builtinId="8" hidden="1"/>
    <cellStyle name="Lien hypertexte" xfId="126" builtinId="8" hidden="1"/>
    <cellStyle name="Lien hypertexte" xfId="128" builtinId="8" hidden="1"/>
    <cellStyle name="Lien hypertexte" xfId="130" builtinId="8" hidden="1"/>
    <cellStyle name="Lien hypertexte" xfId="132" builtinId="8" hidden="1"/>
    <cellStyle name="Lien hypertexte" xfId="134" builtinId="8" hidden="1"/>
    <cellStyle name="Lien hypertexte" xfId="136" builtinId="8" hidden="1"/>
    <cellStyle name="Lien hypertexte" xfId="138" builtinId="8" hidden="1"/>
    <cellStyle name="Lien hypertexte" xfId="140" builtinId="8" hidden="1"/>
    <cellStyle name="Lien hypertexte" xfId="142" builtinId="8" hidden="1"/>
    <cellStyle name="Lien hypertexte" xfId="144" builtinId="8" hidden="1"/>
    <cellStyle name="Lien hypertexte" xfId="146" builtinId="8" hidden="1"/>
    <cellStyle name="Lien hypertexte" xfId="148" builtinId="8" hidden="1"/>
    <cellStyle name="Lien hypertexte" xfId="150" builtinId="8" hidden="1"/>
    <cellStyle name="Lien hypertexte" xfId="152" builtinId="8" hidden="1"/>
    <cellStyle name="Lien hypertexte" xfId="154" builtinId="8" hidden="1"/>
    <cellStyle name="Lien hypertexte" xfId="156" builtinId="8" hidden="1"/>
    <cellStyle name="Lien hypertexte" xfId="158" builtinId="8" hidden="1"/>
    <cellStyle name="Lien hypertexte" xfId="160" builtinId="8" hidden="1"/>
    <cellStyle name="Lien hypertexte" xfId="162" builtinId="8" hidden="1"/>
    <cellStyle name="Lien hypertexte" xfId="164" builtinId="8" hidden="1"/>
    <cellStyle name="Lien hypertexte" xfId="166" builtinId="8" hidden="1"/>
    <cellStyle name="Lien hypertexte" xfId="168" builtinId="8" hidden="1"/>
    <cellStyle name="Lien hypertexte" xfId="170" builtinId="8" hidden="1"/>
    <cellStyle name="Lien hypertexte" xfId="172" builtinId="8" hidden="1"/>
    <cellStyle name="Lien hypertexte" xfId="174" builtinId="8" hidden="1"/>
    <cellStyle name="Lien hypertexte" xfId="176" builtinId="8" hidden="1"/>
    <cellStyle name="Lien hypertexte" xfId="178" builtinId="8" hidden="1"/>
    <cellStyle name="Lien hypertexte" xfId="180" builtinId="8" hidden="1"/>
    <cellStyle name="Lien hypertexte" xfId="182" builtinId="8" hidden="1"/>
    <cellStyle name="Lien hypertexte" xfId="184" builtinId="8" hidden="1"/>
    <cellStyle name="Lien hypertexte" xfId="186" builtinId="8" hidden="1"/>
    <cellStyle name="Lien hypertexte" xfId="188" builtinId="8" hidden="1"/>
    <cellStyle name="Lien hypertexte" xfId="190" builtinId="8" hidden="1"/>
    <cellStyle name="Lien hypertexte" xfId="192" builtinId="8" hidden="1"/>
    <cellStyle name="Lien hypertexte" xfId="194" builtinId="8" hidden="1"/>
    <cellStyle name="Lien hypertexte" xfId="196" builtinId="8" hidden="1"/>
    <cellStyle name="Lien hypertexte" xfId="198" builtinId="8" hidden="1"/>
    <cellStyle name="Lien hypertexte" xfId="200" builtinId="8" hidden="1"/>
    <cellStyle name="Lien hypertexte" xfId="202" builtinId="8" hidden="1"/>
    <cellStyle name="Lien hypertexte" xfId="204" builtinId="8" hidden="1"/>
    <cellStyle name="Lien hypertexte" xfId="206" builtinId="8" hidden="1"/>
    <cellStyle name="Lien hypertexte" xfId="208" builtinId="8" hidden="1"/>
    <cellStyle name="Lien hypertexte" xfId="210" builtinId="8" hidden="1"/>
    <cellStyle name="Lien hypertexte" xfId="212" builtinId="8" hidden="1"/>
    <cellStyle name="Lien hypertexte" xfId="214" builtinId="8" hidden="1"/>
    <cellStyle name="Lien hypertexte" xfId="216" builtinId="8" hidden="1"/>
    <cellStyle name="Lien hypertexte" xfId="218" builtinId="8" hidden="1"/>
    <cellStyle name="Lien hypertexte" xfId="220" builtinId="8" hidden="1"/>
    <cellStyle name="Lien hypertexte" xfId="222" builtinId="8" hidden="1"/>
    <cellStyle name="Lien hypertexte" xfId="224" builtinId="8" hidden="1"/>
    <cellStyle name="Lien hypertexte" xfId="226" builtinId="8" hidden="1"/>
    <cellStyle name="Lien hypertexte" xfId="228" builtinId="8" hidden="1"/>
    <cellStyle name="Lien hypertexte" xfId="230" builtinId="8" hidden="1"/>
    <cellStyle name="Lien hypertexte" xfId="232" builtinId="8" hidden="1"/>
    <cellStyle name="Lien hypertexte" xfId="234" builtinId="8" hidden="1"/>
    <cellStyle name="Lien hypertexte" xfId="236" builtinId="8" hidden="1"/>
    <cellStyle name="Lien hypertexte" xfId="238" builtinId="8" hidden="1"/>
    <cellStyle name="Lien hypertexte" xfId="240" builtinId="8" hidden="1"/>
    <cellStyle name="Lien hypertexte" xfId="242" builtinId="8" hidden="1"/>
    <cellStyle name="Lien hypertexte" xfId="244" builtinId="8" hidden="1"/>
    <cellStyle name="Lien hypertexte" xfId="246" builtinId="8" hidden="1"/>
    <cellStyle name="Lien hypertexte" xfId="248" builtinId="8" hidden="1"/>
    <cellStyle name="Lien hypertexte" xfId="250" builtinId="8" hidden="1"/>
    <cellStyle name="Lien hypertexte" xfId="252" builtinId="8" hidden="1"/>
    <cellStyle name="Lien hypertexte" xfId="254" builtinId="8" hidden="1"/>
    <cellStyle name="Lien hypertexte" xfId="256" builtinId="8" hidden="1"/>
    <cellStyle name="Lien hypertexte" xfId="258" builtinId="8" hidden="1"/>
    <cellStyle name="Lien hypertexte" xfId="260" builtinId="8" hidden="1"/>
    <cellStyle name="Lien hypertexte" xfId="262" builtinId="8" hidden="1"/>
    <cellStyle name="Lien hypertexte" xfId="264" builtinId="8" hidden="1"/>
    <cellStyle name="Lien hypertexte" xfId="266" builtinId="8" hidden="1"/>
    <cellStyle name="Lien hypertexte" xfId="268" builtinId="8" hidden="1"/>
    <cellStyle name="Lien hypertexte" xfId="270" builtinId="8" hidden="1"/>
    <cellStyle name="Lien hypertexte" xfId="272" builtinId="8" hidden="1"/>
    <cellStyle name="Lien hypertexte" xfId="274" builtinId="8" hidden="1"/>
    <cellStyle name="Lien hypertexte" xfId="276" builtinId="8" hidden="1"/>
    <cellStyle name="Lien hypertexte" xfId="278" builtinId="8" hidden="1"/>
    <cellStyle name="Lien hypertexte" xfId="280" builtinId="8" hidden="1"/>
    <cellStyle name="Lien hypertexte" xfId="282" builtinId="8" hidden="1"/>
    <cellStyle name="Lien hypertexte" xfId="284" builtinId="8" hidden="1"/>
    <cellStyle name="Lien hypertexte" xfId="286" builtinId="8" hidden="1"/>
    <cellStyle name="Lien hypertexte" xfId="288" builtinId="8" hidden="1"/>
    <cellStyle name="Lien hypertexte" xfId="290" builtinId="8" hidden="1"/>
    <cellStyle name="Lien hypertexte" xfId="292" builtinId="8" hidden="1"/>
    <cellStyle name="Lien hypertexte" xfId="294" builtinId="8" hidden="1"/>
    <cellStyle name="Lien hypertexte" xfId="296" builtinId="8" hidden="1"/>
    <cellStyle name="Lien hypertexte" xfId="298" builtinId="8" hidden="1"/>
    <cellStyle name="Lien hypertexte" xfId="301" builtinId="8" hidden="1"/>
    <cellStyle name="Lien hypertexte" xfId="303" builtinId="8" hidden="1"/>
    <cellStyle name="Lien hypertexte" xfId="306" builtinId="8" hidden="1"/>
    <cellStyle name="Lien hypertexte" xfId="308" builtinId="8" hidden="1"/>
    <cellStyle name="Lien hypertexte" xfId="310" builtinId="8" hidden="1"/>
    <cellStyle name="Lien hypertexte" xfId="312" builtinId="8" hidden="1"/>
    <cellStyle name="Lien hypertexte" xfId="314" builtinId="8" hidden="1"/>
    <cellStyle name="Lien hypertexte" xfId="316" builtinId="8" hidden="1"/>
    <cellStyle name="Lien hypertexte" xfId="318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" xfId="419" builtinId="8" hidden="1"/>
    <cellStyle name="Lien hypertexte" xfId="421" builtinId="8" hidden="1"/>
    <cellStyle name="Lien hypertexte" xfId="423" builtinId="8" hidden="1"/>
    <cellStyle name="Lien hypertexte" xfId="425" builtinId="8" hidden="1"/>
    <cellStyle name="Lien hypertexte" xfId="427" builtinId="8" hidden="1"/>
    <cellStyle name="Lien hypertexte" xfId="429" builtinId="8" hidden="1"/>
    <cellStyle name="Lien hypertexte" xfId="431" builtinId="8" hidden="1"/>
    <cellStyle name="Lien hypertexte" xfId="433" builtinId="8" hidden="1"/>
    <cellStyle name="Lien hypertexte" xfId="435" builtinId="8" hidden="1"/>
    <cellStyle name="Lien hypertexte" xfId="437" builtinId="8" hidden="1"/>
    <cellStyle name="Lien hypertexte" xfId="439" builtinId="8" hidden="1"/>
    <cellStyle name="Lien hypertexte" xfId="441" builtinId="8" hidden="1"/>
    <cellStyle name="Lien hypertexte" xfId="443" builtinId="8" hidden="1"/>
    <cellStyle name="Lien hypertexte" xfId="445" builtinId="8" hidden="1"/>
    <cellStyle name="Lien hypertexte" xfId="447" builtinId="8" hidden="1"/>
    <cellStyle name="Lien hypertexte" xfId="449" builtinId="8" hidden="1"/>
    <cellStyle name="Lien hypertexte" xfId="451" builtinId="8" hidden="1"/>
    <cellStyle name="Lien hypertexte" xfId="453" builtinId="8" hidden="1"/>
    <cellStyle name="Lien hypertexte" xfId="455" builtinId="8" hidden="1"/>
    <cellStyle name="Lien hypertexte" xfId="457" builtinId="8" hidden="1"/>
    <cellStyle name="Lien hypertexte" xfId="459" builtinId="8" hidden="1"/>
    <cellStyle name="Lien hypertexte" xfId="461" builtinId="8" hidden="1"/>
    <cellStyle name="Lien hypertexte" xfId="463" builtinId="8" hidden="1"/>
    <cellStyle name="Lien hypertexte" xfId="465" builtinId="8" hidden="1"/>
    <cellStyle name="Lien hypertexte" xfId="467" builtinId="8" hidden="1"/>
    <cellStyle name="Lien hypertexte" xfId="469" builtinId="8" hidden="1"/>
    <cellStyle name="Lien hypertexte" xfId="471" builtinId="8" hidden="1"/>
    <cellStyle name="Lien hypertexte" xfId="473" builtinId="8" hidden="1"/>
    <cellStyle name="Lien hypertexte" xfId="475" builtinId="8" hidden="1"/>
    <cellStyle name="Lien hypertexte" xfId="477" builtinId="8" hidden="1"/>
    <cellStyle name="Lien hypertexte" xfId="479" builtinId="8" hidden="1"/>
    <cellStyle name="Lien hypertexte" xfId="481" builtinId="8" hidden="1"/>
    <cellStyle name="Lien hypertexte" xfId="483" builtinId="8" hidden="1"/>
    <cellStyle name="Lien hypertexte" xfId="485" builtinId="8" hidden="1"/>
    <cellStyle name="Lien hypertexte" xfId="487" builtinId="8" hidden="1"/>
    <cellStyle name="Lien hypertexte" xfId="489" builtinId="8" hidden="1"/>
    <cellStyle name="Lien hypertexte" xfId="491" builtinId="8" hidden="1"/>
    <cellStyle name="Lien hypertexte" xfId="493" builtinId="8" hidden="1"/>
    <cellStyle name="Lien hypertexte" xfId="495" builtinId="8" hidden="1"/>
    <cellStyle name="Lien hypertexte" xfId="497" builtinId="8" hidden="1"/>
    <cellStyle name="Lien hypertexte" xfId="499" builtinId="8" hidden="1"/>
    <cellStyle name="Lien hypertexte" xfId="501" builtinId="8" hidden="1"/>
    <cellStyle name="Lien hypertexte" xfId="503" builtinId="8" hidden="1"/>
    <cellStyle name="Lien hypertexte" xfId="505" builtinId="8" hidden="1"/>
    <cellStyle name="Lien hypertexte" xfId="507" builtinId="8" hidden="1"/>
    <cellStyle name="Lien hypertexte" xfId="509" builtinId="8" hidden="1"/>
    <cellStyle name="Lien hypertexte" xfId="511" builtinId="8" hidden="1"/>
    <cellStyle name="Lien hypertexte" xfId="513" builtinId="8" hidden="1"/>
    <cellStyle name="Lien hypertexte" xfId="515" builtinId="8" hidden="1"/>
    <cellStyle name="Lien hypertexte" xfId="517" builtinId="8" hidden="1"/>
    <cellStyle name="Lien hypertexte" xfId="519" builtinId="8" hidden="1"/>
    <cellStyle name="Lien hypertexte" xfId="521" builtinId="8" hidden="1"/>
    <cellStyle name="Lien hypertexte" xfId="523" builtinId="8" hidden="1"/>
    <cellStyle name="Lien hypertexte" xfId="525" builtinId="8" hidden="1"/>
    <cellStyle name="Lien hypertexte" xfId="527" builtinId="8" hidden="1"/>
    <cellStyle name="Lien hypertexte" xfId="529" builtinId="8" hidden="1"/>
    <cellStyle name="Lien hypertexte" xfId="531" builtinId="8" hidden="1"/>
    <cellStyle name="Lien hypertexte" xfId="533" builtinId="8" hidden="1"/>
    <cellStyle name="Lien hypertexte" xfId="535" builtinId="8" hidden="1"/>
    <cellStyle name="Lien hypertexte" xfId="537" builtinId="8" hidden="1"/>
    <cellStyle name="Lien hypertexte" xfId="539" builtinId="8" hidden="1"/>
    <cellStyle name="Lien hypertexte" xfId="541" builtinId="8" hidden="1"/>
    <cellStyle name="Lien hypertexte" xfId="543" builtinId="8" hidden="1"/>
    <cellStyle name="Lien hypertexte" xfId="545" builtinId="8" hidden="1"/>
    <cellStyle name="Lien hypertexte" xfId="547" builtinId="8" hidden="1"/>
    <cellStyle name="Lien hypertexte" xfId="549" builtinId="8" hidden="1"/>
    <cellStyle name="Lien hypertexte" xfId="551" builtinId="8" hidden="1"/>
    <cellStyle name="Lien hypertexte" xfId="553" builtinId="8" hidden="1"/>
    <cellStyle name="Lien hypertexte" xfId="555" builtinId="8" hidden="1"/>
    <cellStyle name="Lien hypertexte" xfId="557" builtinId="8" hidden="1"/>
    <cellStyle name="Lien hypertexte" xfId="559" builtinId="8" hidden="1"/>
    <cellStyle name="Lien hypertexte" xfId="561" builtinId="8" hidden="1"/>
    <cellStyle name="Lien hypertexte" xfId="563" builtinId="8" hidden="1"/>
    <cellStyle name="Lien hypertexte" xfId="565" builtinId="8" hidden="1"/>
    <cellStyle name="Lien hypertexte" xfId="567" builtinId="8" hidden="1"/>
    <cellStyle name="Lien hypertexte" xfId="569" builtinId="8" hidden="1"/>
    <cellStyle name="Lien hypertexte" xfId="571" builtinId="8" hidden="1"/>
    <cellStyle name="Lien hypertexte" xfId="573" builtinId="8" hidden="1"/>
    <cellStyle name="Lien hypertexte" xfId="575" builtinId="8" hidden="1"/>
    <cellStyle name="Lien hypertexte" xfId="577" builtinId="8" hidden="1"/>
    <cellStyle name="Lien hypertexte" xfId="579" builtinId="8" hidden="1"/>
    <cellStyle name="Lien hypertexte" xfId="581" builtinId="8" hidden="1"/>
    <cellStyle name="Lien hypertexte" xfId="583" builtinId="8" hidden="1"/>
    <cellStyle name="Lien hypertexte" xfId="585" builtinId="8" hidden="1"/>
    <cellStyle name="Lien hypertexte" xfId="587" builtinId="8" hidden="1"/>
    <cellStyle name="Lien hypertexte" xfId="589" builtinId="8" hidden="1"/>
    <cellStyle name="Lien hypertexte" xfId="591" builtinId="8" hidden="1"/>
    <cellStyle name="Lien hypertexte" xfId="593" builtinId="8" hidden="1"/>
    <cellStyle name="Lien hypertexte" xfId="595" builtinId="8" hidden="1"/>
    <cellStyle name="Lien hypertexte" xfId="597" builtinId="8" hidden="1"/>
    <cellStyle name="Lien hypertexte" xfId="599" builtinId="8" hidden="1"/>
    <cellStyle name="Lien hypertexte" xfId="601" builtinId="8" hidden="1"/>
    <cellStyle name="Lien hypertexte" xfId="603" builtinId="8" hidden="1"/>
    <cellStyle name="Lien hypertexte" xfId="605" builtinId="8" hidden="1"/>
    <cellStyle name="Lien hypertexte" xfId="607" builtinId="8" hidden="1"/>
    <cellStyle name="Lien hypertexte" xfId="609" builtinId="8" hidden="1"/>
    <cellStyle name="Lien hypertexte" xfId="611" builtinId="8" hidden="1"/>
    <cellStyle name="Lien hypertexte" xfId="613" builtinId="8" hidden="1"/>
    <cellStyle name="Lien hypertexte" xfId="615" builtinId="8" hidden="1"/>
    <cellStyle name="Lien hypertexte" xfId="617" builtinId="8" hidden="1"/>
    <cellStyle name="Lien hypertexte" xfId="619" builtinId="8" hidden="1"/>
    <cellStyle name="Lien hypertexte" xfId="621" builtinId="8" hidden="1"/>
    <cellStyle name="Lien hypertexte" xfId="623" builtinId="8" hidden="1"/>
    <cellStyle name="Lien hypertexte" xfId="625" builtinId="8" hidden="1"/>
    <cellStyle name="Lien hypertexte" xfId="627" builtinId="8" hidden="1"/>
    <cellStyle name="Lien hypertexte" xfId="629" builtinId="8" hidden="1"/>
    <cellStyle name="Lien hypertexte" xfId="631" builtinId="8" hidden="1"/>
    <cellStyle name="Lien hypertexte" xfId="633" builtinId="8" hidden="1"/>
    <cellStyle name="Lien hypertexte" xfId="635" builtinId="8" hidden="1"/>
    <cellStyle name="Lien hypertexte" xfId="637" builtinId="8" hidden="1"/>
    <cellStyle name="Lien hypertexte" xfId="639" builtinId="8" hidden="1"/>
    <cellStyle name="Lien hypertexte" xfId="641" builtinId="8" hidden="1"/>
    <cellStyle name="Lien hypertexte" xfId="643" builtinId="8" hidden="1"/>
    <cellStyle name="Lien hypertexte" xfId="645" builtinId="8" hidden="1"/>
    <cellStyle name="Lien hypertexte" xfId="647" builtinId="8" hidden="1"/>
    <cellStyle name="Lien hypertexte" xfId="649" builtinId="8" hidden="1"/>
    <cellStyle name="Lien hypertexte" xfId="651" builtinId="8" hidden="1"/>
    <cellStyle name="Lien hypertexte" xfId="653" builtinId="8" hidden="1"/>
    <cellStyle name="Lien hypertexte" xfId="655" builtinId="8" hidden="1"/>
    <cellStyle name="Lien hypertexte" xfId="657" builtinId="8" hidden="1"/>
    <cellStyle name="Lien hypertexte" xfId="659" builtinId="8" hidden="1"/>
    <cellStyle name="Lien hypertexte" xfId="661" builtinId="8" hidden="1"/>
    <cellStyle name="Lien hypertexte" xfId="663" builtinId="8" hidden="1"/>
    <cellStyle name="Lien hypertexte" xfId="665" builtinId="8" hidden="1"/>
    <cellStyle name="Lien hypertexte" xfId="667" builtinId="8" hidden="1"/>
    <cellStyle name="Lien hypertexte" xfId="669" builtinId="8" hidden="1"/>
    <cellStyle name="Lien hypertexte" xfId="671" builtinId="8" hidden="1"/>
    <cellStyle name="Lien hypertexte" xfId="673" builtinId="8" hidden="1"/>
    <cellStyle name="Lien hypertexte" xfId="675" builtinId="8" hidden="1"/>
    <cellStyle name="Lien hypertexte" xfId="677" builtinId="8" hidden="1"/>
    <cellStyle name="Lien hypertexte" xfId="679" builtinId="8" hidden="1"/>
    <cellStyle name="Lien hypertexte" xfId="681" builtinId="8" hidden="1"/>
    <cellStyle name="Lien hypertexte" xfId="683" builtinId="8" hidden="1"/>
    <cellStyle name="Lien hypertexte" xfId="685" builtinId="8" hidden="1"/>
    <cellStyle name="Lien hypertexte" xfId="687" builtinId="8" hidden="1"/>
    <cellStyle name="Lien hypertexte" xfId="689" builtinId="8" hidden="1"/>
    <cellStyle name="Lien hypertexte" xfId="691" builtinId="8" hidden="1"/>
    <cellStyle name="Lien hypertexte" xfId="693" builtinId="8" hidden="1"/>
    <cellStyle name="Lien hypertexte" xfId="695" builtinId="8" hidden="1"/>
    <cellStyle name="Lien hypertexte" xfId="697" builtinId="8" hidden="1"/>
    <cellStyle name="Lien hypertexte" xfId="699" builtinId="8" hidden="1"/>
    <cellStyle name="Lien hypertexte" xfId="701" builtinId="8" hidden="1"/>
    <cellStyle name="Lien hypertexte" xfId="703" builtinId="8" hidden="1"/>
    <cellStyle name="Lien hypertexte" xfId="705" builtinId="8" hidden="1"/>
    <cellStyle name="Lien hypertexte" xfId="707" builtinId="8" hidden="1"/>
    <cellStyle name="Lien hypertexte" xfId="709" builtinId="8" hidden="1"/>
    <cellStyle name="Lien hypertexte" xfId="711" builtinId="8" hidden="1"/>
    <cellStyle name="Lien hypertexte" xfId="713" builtinId="8" hidden="1"/>
    <cellStyle name="Lien hypertexte" xfId="715" builtinId="8" hidden="1"/>
    <cellStyle name="Lien hypertexte" xfId="717" builtinId="8" hidden="1"/>
    <cellStyle name="Lien hypertexte" xfId="719" builtinId="8" hidden="1"/>
    <cellStyle name="Lien hypertexte" xfId="721" builtinId="8" hidden="1"/>
    <cellStyle name="Lien hypertexte" xfId="723" builtinId="8" hidden="1"/>
    <cellStyle name="Lien hypertexte" xfId="725" builtinId="8" hidden="1"/>
    <cellStyle name="Lien hypertexte" xfId="727" builtinId="8" hidden="1"/>
    <cellStyle name="Lien hypertexte" xfId="729" builtinId="8" hidden="1"/>
    <cellStyle name="Lien hypertexte" xfId="731" builtinId="8" hidden="1"/>
    <cellStyle name="Lien hypertexte" xfId="733" builtinId="8" hidden="1"/>
    <cellStyle name="Lien hypertexte" xfId="735" builtinId="8" hidden="1"/>
    <cellStyle name="Lien hypertexte" xfId="737" builtinId="8" hidden="1"/>
    <cellStyle name="Lien hypertexte" xfId="739" builtinId="8" hidden="1"/>
    <cellStyle name="Lien hypertexte" xfId="741" builtinId="8" hidden="1"/>
    <cellStyle name="Lien hypertexte" xfId="743" builtinId="8" hidden="1"/>
    <cellStyle name="Lien hypertexte" xfId="745" builtinId="8" hidden="1"/>
    <cellStyle name="Lien hypertexte" xfId="747" builtinId="8" hidden="1"/>
    <cellStyle name="Lien hypertexte" xfId="749" builtinId="8" hidden="1"/>
    <cellStyle name="Lien hypertexte" xfId="751" builtinId="8" hidden="1"/>
    <cellStyle name="Lien hypertexte" xfId="753" builtinId="8" hidden="1"/>
    <cellStyle name="Lien hypertexte" xfId="755" builtinId="8" hidden="1"/>
    <cellStyle name="Lien hypertexte" xfId="757" builtinId="8" hidden="1"/>
    <cellStyle name="Lien hypertexte" xfId="759" builtinId="8" hidden="1"/>
    <cellStyle name="Lien hypertexte" xfId="761" builtinId="8" hidden="1"/>
    <cellStyle name="Lien hypertexte" xfId="763" builtinId="8" hidden="1"/>
    <cellStyle name="Lien hypertexte" xfId="765" builtinId="8" hidden="1"/>
    <cellStyle name="Lien hypertexte" xfId="767" builtinId="8" hidden="1"/>
    <cellStyle name="Lien hypertexte" xfId="769" builtinId="8" hidden="1"/>
    <cellStyle name="Lien hypertexte" xfId="771" builtinId="8" hidden="1"/>
    <cellStyle name="Lien hypertexte" xfId="773" builtinId="8" hidden="1"/>
    <cellStyle name="Lien hypertexte" xfId="775" builtinId="8" hidden="1"/>
    <cellStyle name="Lien hypertexte" xfId="777" builtinId="8" hidden="1"/>
    <cellStyle name="Lien hypertexte" xfId="779" builtinId="8" hidden="1"/>
    <cellStyle name="Lien hypertexte" xfId="781" builtinId="8" hidden="1"/>
    <cellStyle name="Lien hypertexte" xfId="783" builtinId="8" hidden="1"/>
    <cellStyle name="Lien hypertexte" xfId="785" builtinId="8" hidden="1"/>
    <cellStyle name="Lien hypertexte" xfId="787" builtinId="8" hidden="1"/>
    <cellStyle name="Lien hypertexte" xfId="789" builtinId="8" hidden="1"/>
    <cellStyle name="Lien hypertexte" xfId="791" builtinId="8" hidden="1"/>
    <cellStyle name="Lien hypertexte" xfId="793" builtinId="8" hidden="1"/>
    <cellStyle name="Lien hypertexte" xfId="795" builtinId="8" hidden="1"/>
    <cellStyle name="Lien hypertexte" xfId="797" builtinId="8" hidden="1"/>
    <cellStyle name="Lien hypertexte" xfId="799" builtinId="8" hidden="1"/>
    <cellStyle name="Lien hypertexte" xfId="801" builtinId="8" hidden="1"/>
    <cellStyle name="Lien hypertexte" xfId="803" builtinId="8" hidden="1"/>
    <cellStyle name="Lien hypertexte" xfId="805" builtinId="8" hidden="1"/>
    <cellStyle name="Lien hypertexte" xfId="807" builtinId="8" hidden="1"/>
    <cellStyle name="Lien hypertexte" xfId="809" builtinId="8" hidden="1"/>
    <cellStyle name="Lien hypertexte" xfId="811" builtinId="8" hidden="1"/>
    <cellStyle name="Lien hypertexte" xfId="813" builtinId="8" hidden="1"/>
    <cellStyle name="Lien hypertexte" xfId="815" builtinId="8" hidden="1"/>
    <cellStyle name="Lien hypertexte" xfId="817" builtinId="8" hidden="1"/>
    <cellStyle name="Lien hypertexte" xfId="819" builtinId="8" hidden="1"/>
    <cellStyle name="Lien hypertexte" xfId="821" builtinId="8" hidden="1"/>
    <cellStyle name="Lien hypertexte" xfId="823" builtinId="8" hidden="1"/>
    <cellStyle name="Lien hypertexte" xfId="825" builtinId="8" hidden="1"/>
    <cellStyle name="Lien hypertexte" xfId="827" builtinId="8" hidden="1"/>
    <cellStyle name="Lien hypertexte" xfId="829" builtinId="8" hidden="1"/>
    <cellStyle name="Lien hypertexte" xfId="831" builtinId="8" hidden="1"/>
    <cellStyle name="Lien hypertexte" xfId="833" builtinId="8" hidden="1"/>
    <cellStyle name="Lien hypertexte" xfId="835" builtinId="8" hidden="1"/>
    <cellStyle name="Lien hypertexte" xfId="837" builtinId="8" hidden="1"/>
    <cellStyle name="Lien hypertexte" xfId="839" builtinId="8" hidden="1"/>
    <cellStyle name="Lien hypertexte" xfId="841" builtinId="8" hidden="1"/>
    <cellStyle name="Lien hypertexte" xfId="843" builtinId="8" hidden="1"/>
    <cellStyle name="Lien hypertexte" xfId="845" builtinId="8" hidden="1"/>
    <cellStyle name="Lien hypertexte" xfId="847" builtinId="8" hidden="1"/>
    <cellStyle name="Lien hypertexte" xfId="849" builtinId="8" hidden="1"/>
    <cellStyle name="Lien hypertexte" xfId="851" builtinId="8" hidden="1"/>
    <cellStyle name="Lien hypertexte" xfId="853" builtinId="8" hidden="1"/>
    <cellStyle name="Lien hypertexte" xfId="855" builtinId="8" hidden="1"/>
    <cellStyle name="Lien hypertexte" xfId="857" builtinId="8" hidden="1"/>
    <cellStyle name="Lien hypertexte" xfId="859" builtinId="8" hidden="1"/>
    <cellStyle name="Lien hypertexte" xfId="861" builtinId="8" hidden="1"/>
    <cellStyle name="Lien hypertexte" xfId="863" builtinId="8" hidden="1"/>
    <cellStyle name="Lien hypertexte" xfId="865" builtinId="8" hidden="1"/>
    <cellStyle name="Lien hypertexte" xfId="867" builtinId="8" hidden="1"/>
    <cellStyle name="Lien hypertexte" xfId="869" builtinId="8" hidden="1"/>
    <cellStyle name="Lien hypertexte" xfId="871" builtinId="8" hidden="1"/>
    <cellStyle name="Lien hypertexte" xfId="873" builtinId="8" hidden="1"/>
    <cellStyle name="Lien hypertexte" xfId="875" builtinId="8" hidden="1"/>
    <cellStyle name="Lien hypertexte" xfId="877" builtinId="8" hidden="1"/>
    <cellStyle name="Lien hypertexte" xfId="879" builtinId="8" hidden="1"/>
    <cellStyle name="Lien hypertexte" xfId="881" builtinId="8" hidden="1"/>
    <cellStyle name="Lien hypertexte" xfId="883" builtinId="8" hidden="1"/>
    <cellStyle name="Lien hypertexte" xfId="885" builtinId="8" hidden="1"/>
    <cellStyle name="Lien hypertexte" xfId="887" builtinId="8" hidden="1"/>
    <cellStyle name="Lien hypertexte" xfId="889" builtinId="8" hidden="1"/>
    <cellStyle name="Lien hypertexte" xfId="891" builtinId="8" hidden="1"/>
    <cellStyle name="Lien hypertexte" xfId="893" builtinId="8" hidden="1"/>
    <cellStyle name="Lien hypertexte" xfId="895" builtinId="8" hidden="1"/>
    <cellStyle name="Lien hypertexte" xfId="897" builtinId="8" hidden="1"/>
    <cellStyle name="Lien hypertexte" xfId="899" builtinId="8" hidden="1"/>
    <cellStyle name="Lien hypertexte" xfId="901" builtinId="8" hidden="1"/>
    <cellStyle name="Lien hypertexte" xfId="903" builtinId="8" hidden="1"/>
    <cellStyle name="Lien hypertexte" xfId="905" builtinId="8" hidden="1"/>
    <cellStyle name="Lien hypertexte" xfId="907" builtinId="8" hidden="1"/>
    <cellStyle name="Lien hypertexte" xfId="909" builtinId="8" hidden="1"/>
    <cellStyle name="Lien hypertexte" xfId="911" builtinId="8" hidden="1"/>
    <cellStyle name="Lien hypertexte" xfId="913" builtinId="8" hidden="1"/>
    <cellStyle name="Lien hypertexte" xfId="915" builtinId="8" hidden="1"/>
    <cellStyle name="Lien hypertexte" xfId="917" builtinId="8" hidden="1"/>
    <cellStyle name="Lien hypertexte" xfId="919" builtinId="8" hidden="1"/>
    <cellStyle name="Lien hypertexte" xfId="921" builtinId="8" hidden="1"/>
    <cellStyle name="Lien hypertexte" xfId="923" builtinId="8" hidden="1"/>
    <cellStyle name="Lien hypertexte" xfId="925" builtinId="8" hidden="1"/>
    <cellStyle name="Lien hypertexte" xfId="927" builtinId="8" hidden="1"/>
    <cellStyle name="Lien hypertexte" xfId="929" builtinId="8" hidden="1"/>
    <cellStyle name="Lien hypertexte" xfId="931" builtinId="8" hidden="1"/>
    <cellStyle name="Lien hypertexte" xfId="933" builtinId="8" hidden="1"/>
    <cellStyle name="Lien hypertexte" xfId="935" builtinId="8" hidden="1"/>
    <cellStyle name="Lien hypertexte" xfId="937" builtinId="8" hidden="1"/>
    <cellStyle name="Lien hypertexte" xfId="939" builtinId="8" hidden="1"/>
    <cellStyle name="Lien hypertexte" xfId="941" builtinId="8" hidden="1"/>
    <cellStyle name="Lien hypertexte" xfId="943" builtinId="8" hidden="1"/>
    <cellStyle name="Lien hypertexte" xfId="945" builtinId="8" hidden="1"/>
    <cellStyle name="Lien hypertexte" xfId="947" builtinId="8" hidden="1"/>
    <cellStyle name="Lien hypertexte" xfId="949" builtinId="8" hidden="1"/>
    <cellStyle name="Lien hypertexte" xfId="951" builtinId="8" hidden="1"/>
    <cellStyle name="Lien hypertexte" xfId="953" builtinId="8" hidden="1"/>
    <cellStyle name="Lien hypertexte" xfId="955" builtinId="8" hidden="1"/>
    <cellStyle name="Lien hypertexte" xfId="957" builtinId="8" hidden="1"/>
    <cellStyle name="Lien hypertexte" xfId="959" builtinId="8" hidden="1"/>
    <cellStyle name="Lien hypertexte" xfId="961" builtinId="8" hidden="1"/>
    <cellStyle name="Lien hypertexte" xfId="963" builtinId="8" hidden="1"/>
    <cellStyle name="Lien hypertexte" xfId="965" builtinId="8" hidden="1"/>
    <cellStyle name="Lien hypertexte" xfId="967" builtinId="8" hidden="1"/>
    <cellStyle name="Lien hypertexte" xfId="969" builtinId="8" hidden="1"/>
    <cellStyle name="Lien hypertexte" xfId="971" builtinId="8" hidden="1"/>
    <cellStyle name="Lien hypertexte" xfId="973" builtinId="8" hidden="1"/>
    <cellStyle name="Lien hypertexte" xfId="975" builtinId="8" hidden="1"/>
    <cellStyle name="Lien hypertexte" xfId="977" builtinId="8" hidden="1"/>
    <cellStyle name="Lien hypertexte" xfId="979" builtinId="8" hidden="1"/>
    <cellStyle name="Lien hypertexte" xfId="981" builtinId="8" hidden="1"/>
    <cellStyle name="Lien hypertexte" xfId="983" builtinId="8" hidden="1"/>
    <cellStyle name="Lien hypertexte" xfId="985" builtinId="8" hidden="1"/>
    <cellStyle name="Lien hypertexte" xfId="987" builtinId="8" hidden="1"/>
    <cellStyle name="Lien hypertexte" xfId="989" builtinId="8" hidden="1"/>
    <cellStyle name="Lien hypertexte" xfId="991" builtinId="8" hidden="1"/>
    <cellStyle name="Lien hypertexte" xfId="993" builtinId="8" hidden="1"/>
    <cellStyle name="Lien hypertexte" xfId="995" builtinId="8" hidden="1"/>
    <cellStyle name="Lien hypertexte" xfId="997" builtinId="8" hidden="1"/>
    <cellStyle name="Lien hypertexte" xfId="999" builtinId="8" hidden="1"/>
    <cellStyle name="Lien hypertexte" xfId="1001" builtinId="8" hidden="1"/>
    <cellStyle name="Lien hypertexte" xfId="1003" builtinId="8" hidden="1"/>
    <cellStyle name="Lien hypertexte" xfId="1005" builtinId="8" hidden="1"/>
    <cellStyle name="Lien hypertexte" xfId="1007" builtinId="8" hidden="1"/>
    <cellStyle name="Lien hypertexte" xfId="1009" builtinId="8" hidden="1"/>
    <cellStyle name="Lien hypertexte" xfId="1011" builtinId="8" hidden="1"/>
    <cellStyle name="Lien hypertexte" xfId="1013" builtinId="8" hidden="1"/>
    <cellStyle name="Lien hypertexte" xfId="1015" builtinId="8" hidden="1"/>
    <cellStyle name="Lien hypertexte" xfId="1017" builtinId="8" hidden="1"/>
    <cellStyle name="Lien hypertexte" xfId="1019" builtinId="8" hidden="1"/>
    <cellStyle name="Lien hypertexte" xfId="1021" builtinId="8" hidden="1"/>
    <cellStyle name="Lien hypertexte" xfId="1023" builtinId="8" hidden="1"/>
    <cellStyle name="Lien hypertexte" xfId="1025" builtinId="8" hidden="1"/>
    <cellStyle name="Lien hypertexte" xfId="1027" builtinId="8" hidden="1"/>
    <cellStyle name="Lien hypertexte" xfId="1029" builtinId="8" hidden="1"/>
    <cellStyle name="Lien hypertexte" xfId="1031" builtinId="8" hidden="1"/>
    <cellStyle name="Lien hypertexte" xfId="1033" builtinId="8" hidden="1"/>
    <cellStyle name="Lien hypertexte" xfId="1035" builtinId="8" hidden="1"/>
    <cellStyle name="Lien hypertexte" xfId="1037" builtinId="8" hidden="1"/>
    <cellStyle name="Lien hypertexte" xfId="1039" builtinId="8" hidden="1"/>
    <cellStyle name="Lien hypertexte" xfId="1041" builtinId="8" hidden="1"/>
    <cellStyle name="Lien hypertexte" xfId="1043" builtinId="8" hidden="1"/>
    <cellStyle name="Lien hypertexte" xfId="1045" builtinId="8" hidden="1"/>
    <cellStyle name="Lien hypertexte" xfId="1047" builtinId="8" hidden="1"/>
    <cellStyle name="Lien hypertexte" xfId="1049" builtinId="8" hidden="1"/>
    <cellStyle name="Lien hypertexte" xfId="1051" builtinId="8" hidden="1"/>
    <cellStyle name="Lien hypertexte" xfId="1053" builtinId="8" hidden="1"/>
    <cellStyle name="Lien hypertexte" xfId="1055" builtinId="8" hidden="1"/>
    <cellStyle name="Lien hypertexte" xfId="1057" builtinId="8" hidden="1"/>
    <cellStyle name="Lien hypertexte" xfId="1059" builtinId="8" hidden="1"/>
    <cellStyle name="Lien hypertexte" xfId="1061" builtinId="8" hidden="1"/>
    <cellStyle name="Lien hypertexte" xfId="1063" builtinId="8" hidden="1"/>
    <cellStyle name="Lien hypertexte" xfId="1065" builtinId="8" hidden="1"/>
    <cellStyle name="Lien hypertexte" xfId="1067" builtinId="8" hidden="1"/>
    <cellStyle name="Lien hypertexte" xfId="1069" builtinId="8" hidden="1"/>
    <cellStyle name="Lien hypertexte" xfId="1071" builtinId="8" hidden="1"/>
    <cellStyle name="Lien hypertexte" xfId="1073" builtinId="8" hidden="1"/>
    <cellStyle name="Lien hypertexte" xfId="1075" builtinId="8" hidden="1"/>
    <cellStyle name="Lien hypertexte" xfId="1077" builtinId="8" hidden="1"/>
    <cellStyle name="Lien hypertexte" xfId="1079" builtinId="8" hidden="1"/>
    <cellStyle name="Lien hypertexte" xfId="1081" builtinId="8" hidden="1"/>
    <cellStyle name="Lien hypertexte" xfId="1083" builtinId="8" hidden="1"/>
    <cellStyle name="Lien hypertexte" xfId="1085" builtinId="8" hidden="1"/>
    <cellStyle name="Lien hypertexte" xfId="1087" builtinId="8" hidden="1"/>
    <cellStyle name="Lien hypertexte" xfId="1089" builtinId="8" hidden="1"/>
    <cellStyle name="Lien hypertexte" xfId="1091" builtinId="8" hidden="1"/>
    <cellStyle name="Lien hypertexte" xfId="1093" builtinId="8" hidden="1"/>
    <cellStyle name="Lien hypertexte" xfId="1095" builtinId="8" hidden="1"/>
    <cellStyle name="Lien hypertexte" xfId="1097" builtinId="8" hidden="1"/>
    <cellStyle name="Lien hypertexte" xfId="1099" builtinId="8" hidden="1"/>
    <cellStyle name="Lien hypertexte" xfId="1101" builtinId="8" hidden="1"/>
    <cellStyle name="Lien hypertexte" xfId="1103" builtinId="8" hidden="1"/>
    <cellStyle name="Lien hypertexte" xfId="1105" builtinId="8" hidden="1"/>
    <cellStyle name="Lien hypertexte" xfId="1107" builtinId="8" hidden="1"/>
    <cellStyle name="Lien hypertexte" xfId="1109" builtinId="8" hidden="1"/>
    <cellStyle name="Lien hypertexte" xfId="1111" builtinId="8" hidden="1"/>
    <cellStyle name="Lien hypertexte" xfId="1113" builtinId="8" hidden="1"/>
    <cellStyle name="Lien hypertexte" xfId="1115" builtinId="8" hidden="1"/>
    <cellStyle name="Lien hypertexte" xfId="1117" builtinId="8" hidden="1"/>
    <cellStyle name="Lien hypertexte" xfId="1119" builtinId="8" hidden="1"/>
    <cellStyle name="Lien hypertexte" xfId="1121" builtinId="8" hidden="1"/>
    <cellStyle name="Lien hypertexte" xfId="1123" builtinId="8" hidden="1"/>
    <cellStyle name="Lien hypertexte" xfId="1125" builtinId="8" hidden="1"/>
    <cellStyle name="Lien hypertexte" xfId="1127" builtinId="8" hidden="1"/>
    <cellStyle name="Lien hypertexte" xfId="1129" builtinId="8" hidden="1"/>
    <cellStyle name="Lien hypertexte" xfId="1131" builtinId="8" hidden="1"/>
    <cellStyle name="Lien hypertexte" xfId="1133" builtinId="8" hidden="1"/>
    <cellStyle name="Lien hypertexte" xfId="1135" builtinId="8" hidden="1"/>
    <cellStyle name="Lien hypertexte" xfId="1137" builtinId="8" hidden="1"/>
    <cellStyle name="Lien hypertexte" xfId="1139" builtinId="8" hidden="1"/>
    <cellStyle name="Lien hypertexte" xfId="1141" builtinId="8" hidden="1"/>
    <cellStyle name="Lien hypertexte" xfId="1143" builtinId="8" hidden="1"/>
    <cellStyle name="Lien hypertexte" xfId="1145" builtinId="8" hidden="1"/>
    <cellStyle name="Lien hypertexte" xfId="1147" builtinId="8" hidden="1"/>
    <cellStyle name="Lien hypertexte" xfId="1149" builtinId="8" hidden="1"/>
    <cellStyle name="Lien hypertexte" xfId="1151" builtinId="8" hidden="1"/>
    <cellStyle name="Lien hypertexte" xfId="1153" builtinId="8" hidden="1"/>
    <cellStyle name="Lien hypertexte" xfId="1155" builtinId="8" hidden="1"/>
    <cellStyle name="Lien hypertexte" xfId="1157" builtinId="8" hidden="1"/>
    <cellStyle name="Lien hypertexte" xfId="1159" builtinId="8" hidden="1"/>
    <cellStyle name="Lien hypertexte" xfId="1161" builtinId="8" hidden="1"/>
    <cellStyle name="Lien hypertexte" xfId="1163" builtinId="8" hidden="1"/>
    <cellStyle name="Lien hypertexte" xfId="1165" builtinId="8" hidden="1"/>
    <cellStyle name="Lien hypertexte" xfId="1167" builtinId="8" hidden="1"/>
    <cellStyle name="Lien hypertexte" xfId="1169" builtinId="8" hidden="1"/>
    <cellStyle name="Lien hypertexte" xfId="1171" builtinId="8" hidden="1"/>
    <cellStyle name="Lien hypertexte" xfId="1173" builtinId="8" hidden="1"/>
    <cellStyle name="Lien hypertexte" xfId="1175" builtinId="8" hidden="1"/>
    <cellStyle name="Lien hypertexte" xfId="1177" builtinId="8" hidden="1"/>
    <cellStyle name="Lien hypertexte" xfId="1179" builtinId="8" hidden="1"/>
    <cellStyle name="Lien hypertexte" xfId="1181" builtinId="8" hidden="1"/>
    <cellStyle name="Lien hypertexte" xfId="1183" builtinId="8" hidden="1"/>
    <cellStyle name="Lien hypertexte" xfId="1185" builtinId="8" hidden="1"/>
    <cellStyle name="Lien hypertexte" xfId="1187" builtinId="8" hidden="1"/>
    <cellStyle name="Lien hypertexte" xfId="1189" builtinId="8" hidden="1"/>
    <cellStyle name="Lien hypertexte" xfId="1191" builtinId="8" hidden="1"/>
    <cellStyle name="Lien hypertexte" xfId="1193" builtinId="8" hidden="1"/>
    <cellStyle name="Lien hypertexte" xfId="1195" builtinId="8" hidden="1"/>
    <cellStyle name="Lien hypertexte" xfId="1197" builtinId="8" hidden="1"/>
    <cellStyle name="Lien hypertexte" xfId="1199" builtinId="8" hidden="1"/>
    <cellStyle name="Lien hypertexte" xfId="1201" builtinId="8" hidden="1"/>
    <cellStyle name="Lien hypertexte" xfId="1203" builtinId="8" hidden="1"/>
    <cellStyle name="Lien hypertexte" xfId="1205" builtinId="8" hidden="1"/>
    <cellStyle name="Lien hypertexte" xfId="1207" builtinId="8" hidden="1"/>
    <cellStyle name="Lien hypertexte" xfId="1209" builtinId="8" hidden="1"/>
    <cellStyle name="Lien hypertexte" xfId="1211" builtinId="8" hidden="1"/>
    <cellStyle name="Lien hypertexte" xfId="1213" builtinId="8" hidden="1"/>
    <cellStyle name="Lien hypertexte" xfId="1215" builtinId="8" hidden="1"/>
    <cellStyle name="Lien hypertexte" xfId="1217" builtinId="8" hidden="1"/>
    <cellStyle name="Lien hypertexte" xfId="1219" builtinId="8" hidden="1"/>
    <cellStyle name="Lien hypertexte" xfId="1221" builtinId="8" hidden="1"/>
    <cellStyle name="Lien hypertexte" xfId="1223" builtinId="8" hidden="1"/>
    <cellStyle name="Lien hypertexte" xfId="1225" builtinId="8" hidden="1"/>
    <cellStyle name="Lien hypertexte" xfId="1227" builtinId="8" hidden="1"/>
    <cellStyle name="Lien hypertexte" xfId="1229" builtinId="8" hidden="1"/>
    <cellStyle name="Lien hypertexte" xfId="1231" builtinId="8" hidden="1"/>
    <cellStyle name="Lien hypertexte" xfId="1233" builtinId="8" hidden="1"/>
    <cellStyle name="Lien hypertexte" xfId="1235" builtinId="8" hidden="1"/>
    <cellStyle name="Lien hypertexte" xfId="1237" builtinId="8" hidden="1"/>
    <cellStyle name="Lien hypertexte" xfId="1239" builtinId="8" hidden="1"/>
    <cellStyle name="Lien hypertexte" xfId="1241" builtinId="8" hidden="1"/>
    <cellStyle name="Lien hypertexte" xfId="1243" builtinId="8" hidden="1"/>
    <cellStyle name="Lien hypertexte" xfId="1245" builtinId="8" hidden="1"/>
    <cellStyle name="Lien hypertexte" xfId="1247" builtinId="8" hidden="1"/>
    <cellStyle name="Lien hypertexte" xfId="1249" builtinId="8" hidden="1"/>
    <cellStyle name="Lien hypertexte" xfId="1251" builtinId="8" hidden="1"/>
    <cellStyle name="Lien hypertexte" xfId="1253" builtinId="8" hidden="1"/>
    <cellStyle name="Lien hypertexte" xfId="1255" builtinId="8" hidden="1"/>
    <cellStyle name="Lien hypertexte" xfId="1257" builtinId="8" hidden="1"/>
    <cellStyle name="Lien hypertexte" xfId="1259" builtinId="8" hidden="1"/>
    <cellStyle name="Lien hypertexte" xfId="1261" builtinId="8" hidden="1"/>
    <cellStyle name="Lien hypertexte" xfId="1263" builtinId="8" hidden="1"/>
    <cellStyle name="Lien hypertexte" xfId="1265" builtinId="8" hidden="1"/>
    <cellStyle name="Lien hypertexte" xfId="1267" builtinId="8" hidden="1"/>
    <cellStyle name="Lien hypertexte" xfId="1269" builtinId="8" hidden="1"/>
    <cellStyle name="Lien hypertexte" xfId="1271" builtinId="8" hidden="1"/>
    <cellStyle name="Lien hypertexte" xfId="1273" builtinId="8" hidden="1"/>
    <cellStyle name="Lien hypertexte" xfId="1275" builtinId="8" hidden="1"/>
    <cellStyle name="Lien hypertexte" xfId="1277" builtinId="8" hidden="1"/>
    <cellStyle name="Lien hypertexte" xfId="1279" builtinId="8" hidden="1"/>
    <cellStyle name="Lien hypertexte" xfId="1281" builtinId="8" hidden="1"/>
    <cellStyle name="Lien hypertexte" xfId="1283" builtinId="8" hidden="1"/>
    <cellStyle name="Lien hypertexte" xfId="1285" builtinId="8" hidden="1"/>
    <cellStyle name="Lien hypertexte" xfId="1287" builtinId="8" hidden="1"/>
    <cellStyle name="Lien hypertexte" xfId="1289" builtinId="8" hidden="1"/>
    <cellStyle name="Lien hypertexte" xfId="1291" builtinId="8" hidden="1"/>
    <cellStyle name="Lien hypertexte" xfId="1293" builtinId="8" hidden="1"/>
    <cellStyle name="Lien hypertexte" xfId="1295" builtinId="8" hidden="1"/>
    <cellStyle name="Lien hypertexte" xfId="1297" builtinId="8" hidden="1"/>
    <cellStyle name="Lien hypertexte" xfId="1299" builtinId="8" hidden="1"/>
    <cellStyle name="Lien hypertexte" xfId="1301" builtinId="8" hidden="1"/>
    <cellStyle name="Lien hypertexte" xfId="1303" builtinId="8" hidden="1"/>
    <cellStyle name="Lien hypertexte" xfId="1305" builtinId="8" hidden="1"/>
    <cellStyle name="Lien hypertexte" xfId="1307" builtinId="8" hidden="1"/>
    <cellStyle name="Lien hypertexte" xfId="1309" builtinId="8" hidden="1"/>
    <cellStyle name="Lien hypertexte" xfId="1311" builtinId="8" hidden="1"/>
    <cellStyle name="Lien hypertexte" xfId="1313" builtinId="8" hidden="1"/>
    <cellStyle name="Lien hypertexte" xfId="1315" builtinId="8" hidden="1"/>
    <cellStyle name="Lien hypertexte" xfId="1317" builtinId="8" hidden="1"/>
    <cellStyle name="Lien hypertexte" xfId="1319" builtinId="8" hidden="1"/>
    <cellStyle name="Lien hypertexte" xfId="1321" builtinId="8" hidden="1"/>
    <cellStyle name="Lien hypertexte" xfId="1323" builtinId="8" hidden="1"/>
    <cellStyle name="Lien hypertexte" xfId="1325" builtinId="8" hidden="1"/>
    <cellStyle name="Lien hypertexte" xfId="1327" builtinId="8" hidden="1"/>
    <cellStyle name="Lien hypertexte" xfId="1329" builtinId="8" hidden="1"/>
    <cellStyle name="Lien hypertexte" xfId="1331" builtinId="8" hidden="1"/>
    <cellStyle name="Lien hypertexte" xfId="1333" builtinId="8" hidden="1"/>
    <cellStyle name="Lien hypertexte" xfId="1335" builtinId="8" hidden="1"/>
    <cellStyle name="Lien hypertexte" xfId="1337" builtinId="8" hidden="1"/>
    <cellStyle name="Lien hypertexte" xfId="1339" builtinId="8" hidden="1"/>
    <cellStyle name="Lien hypertexte" xfId="1341" builtinId="8" hidden="1"/>
    <cellStyle name="Lien hypertexte" xfId="1343" builtinId="8" hidden="1"/>
    <cellStyle name="Lien hypertexte" xfId="1345" builtinId="8" hidden="1"/>
    <cellStyle name="Lien hypertexte" xfId="1347" builtinId="8" hidden="1"/>
    <cellStyle name="Lien hypertexte" xfId="1349" builtinId="8" hidden="1"/>
    <cellStyle name="Lien hypertexte" xfId="1351" builtinId="8" hidden="1"/>
    <cellStyle name="Lien hypertexte" xfId="1353" builtinId="8" hidden="1"/>
    <cellStyle name="Lien hypertexte" xfId="1355" builtinId="8" hidden="1"/>
    <cellStyle name="Lien hypertexte" xfId="1357" builtinId="8" hidden="1"/>
    <cellStyle name="Lien hypertexte" xfId="1359" builtinId="8" hidden="1"/>
    <cellStyle name="Lien hypertexte" xfId="1361" builtinId="8" hidden="1"/>
    <cellStyle name="Lien hypertexte" xfId="1363" builtinId="8" hidden="1"/>
    <cellStyle name="Lien hypertexte" xfId="1365" builtinId="8" hidden="1"/>
    <cellStyle name="Lien hypertexte" xfId="1367" builtinId="8" hidden="1"/>
    <cellStyle name="Lien hypertexte" xfId="1369" builtinId="8" hidden="1"/>
    <cellStyle name="Lien hypertexte" xfId="1371" builtinId="8" hidden="1"/>
    <cellStyle name="Lien hypertexte" xfId="1373" builtinId="8" hidden="1"/>
    <cellStyle name="Lien hypertexte" xfId="1375" builtinId="8" hidden="1"/>
    <cellStyle name="Lien hypertexte" xfId="1377" builtinId="8" hidden="1"/>
    <cellStyle name="Lien hypertexte" xfId="1379" builtinId="8" hidden="1"/>
    <cellStyle name="Lien hypertexte" xfId="1381" builtinId="8" hidden="1"/>
    <cellStyle name="Lien hypertexte" xfId="1383" builtinId="8" hidden="1"/>
    <cellStyle name="Lien hypertexte" xfId="1385" builtinId="8" hidden="1"/>
    <cellStyle name="Lien hypertexte" xfId="1387" builtinId="8" hidden="1"/>
    <cellStyle name="Lien hypertexte" xfId="1389" builtinId="8" hidden="1"/>
    <cellStyle name="Lien hypertexte" xfId="1391" builtinId="8" hidden="1"/>
    <cellStyle name="Lien hypertexte" xfId="1393" builtinId="8" hidden="1"/>
    <cellStyle name="Lien hypertexte" xfId="1395" builtinId="8" hidden="1"/>
    <cellStyle name="Lien hypertexte" xfId="1397" builtinId="8" hidden="1"/>
    <cellStyle name="Lien hypertexte" xfId="1399" builtinId="8" hidden="1"/>
    <cellStyle name="Lien hypertexte" xfId="1401" builtinId="8" hidden="1"/>
    <cellStyle name="Lien hypertexte" xfId="1403" builtinId="8" hidden="1"/>
    <cellStyle name="Lien hypertexte" xfId="1405" builtinId="8" hidden="1"/>
    <cellStyle name="Lien hypertexte" xfId="1407" builtinId="8" hidden="1"/>
    <cellStyle name="Lien hypertexte" xfId="1409" builtinId="8" hidden="1"/>
    <cellStyle name="Lien hypertexte" xfId="1411" builtinId="8" hidden="1"/>
    <cellStyle name="Lien hypertexte" xfId="1413" builtinId="8" hidden="1"/>
    <cellStyle name="Lien hypertexte" xfId="1415" builtinId="8" hidden="1"/>
    <cellStyle name="Lien hypertexte" xfId="1417" builtinId="8" hidden="1"/>
    <cellStyle name="Lien hypertexte" xfId="1419" builtinId="8" hidden="1"/>
    <cellStyle name="Lien hypertexte" xfId="1421" builtinId="8" hidden="1"/>
    <cellStyle name="Lien hypertexte" xfId="1423" builtinId="8" hidden="1"/>
    <cellStyle name="Lien hypertexte" xfId="1425" builtinId="8" hidden="1"/>
    <cellStyle name="Lien hypertexte" xfId="1427" builtinId="8" hidden="1"/>
    <cellStyle name="Lien hypertexte" xfId="1429" builtinId="8" hidden="1"/>
    <cellStyle name="Lien hypertexte" xfId="1431" builtinId="8" hidden="1"/>
    <cellStyle name="Lien hypertexte" xfId="1433" builtinId="8" hidden="1"/>
    <cellStyle name="Lien hypertexte" xfId="1435" builtinId="8" hidden="1"/>
    <cellStyle name="Lien hypertexte" xfId="1437" builtinId="8" hidden="1"/>
    <cellStyle name="Lien hypertexte" xfId="1439" builtinId="8" hidden="1"/>
    <cellStyle name="Lien hypertexte" xfId="1441" builtinId="8" hidden="1"/>
    <cellStyle name="Lien hypertexte" xfId="1443" builtinId="8" hidden="1"/>
    <cellStyle name="Lien hypertexte" xfId="1445" builtinId="8" hidden="1"/>
    <cellStyle name="Lien hypertexte" xfId="1447" builtinId="8" hidden="1"/>
    <cellStyle name="Lien hypertexte" xfId="1449" builtinId="8" hidden="1"/>
    <cellStyle name="Lien hypertexte" xfId="1451" builtinId="8" hidden="1"/>
    <cellStyle name="Lien hypertexte" xfId="1453" builtinId="8" hidden="1"/>
    <cellStyle name="Lien hypertexte" xfId="1455" builtinId="8" hidden="1"/>
    <cellStyle name="Lien hypertexte" xfId="1457" builtinId="8" hidden="1"/>
    <cellStyle name="Lien hypertexte" xfId="1459" builtinId="8" hidden="1"/>
    <cellStyle name="Lien hypertexte" xfId="1461" builtinId="8" hidden="1"/>
    <cellStyle name="Lien hypertexte" xfId="1463" builtinId="8" hidden="1"/>
    <cellStyle name="Lien hypertexte" xfId="1465" builtinId="8" hidden="1"/>
    <cellStyle name="Lien hypertexte" xfId="1467" builtinId="8" hidden="1"/>
    <cellStyle name="Lien hypertexte" xfId="1469" builtinId="8" hidden="1"/>
    <cellStyle name="Lien hypertexte" xfId="1471" builtinId="8" hidden="1"/>
    <cellStyle name="Lien hypertexte" xfId="1473" builtinId="8" hidden="1"/>
    <cellStyle name="Lien hypertexte" xfId="1475" builtinId="8" hidden="1"/>
    <cellStyle name="Lien hypertexte" xfId="1477" builtinId="8" hidden="1"/>
    <cellStyle name="Lien hypertexte" xfId="1479" builtinId="8" hidden="1"/>
    <cellStyle name="Lien hypertexte" xfId="1481" builtinId="8" hidden="1"/>
    <cellStyle name="Lien hypertexte" xfId="1483" builtinId="8" hidden="1"/>
    <cellStyle name="Lien hypertexte" xfId="1485" builtinId="8" hidden="1"/>
    <cellStyle name="Lien hypertexte" xfId="1487" builtinId="8" hidden="1"/>
    <cellStyle name="Lien hypertexte" xfId="1489" builtinId="8" hidden="1"/>
    <cellStyle name="Lien hypertexte" xfId="1491" builtinId="8" hidden="1"/>
    <cellStyle name="Lien hypertexte" xfId="1493" builtinId="8" hidden="1"/>
    <cellStyle name="Lien hypertexte" xfId="1495" builtinId="8" hidden="1"/>
    <cellStyle name="Lien hypertexte" xfId="1497" builtinId="8" hidden="1"/>
    <cellStyle name="Lien hypertexte" xfId="1499" builtinId="8" hidden="1"/>
    <cellStyle name="Lien hypertexte" xfId="1501" builtinId="8" hidden="1"/>
    <cellStyle name="Lien hypertexte" xfId="1503" builtinId="8" hidden="1"/>
    <cellStyle name="Lien hypertexte" xfId="1505" builtinId="8" hidden="1"/>
    <cellStyle name="Lien hypertexte" xfId="1507" builtinId="8" hidden="1"/>
    <cellStyle name="Lien hypertexte" xfId="1509" builtinId="8" hidden="1"/>
    <cellStyle name="Lien hypertexte" xfId="1511" builtinId="8" hidden="1"/>
    <cellStyle name="Lien hypertexte" xfId="1513" builtinId="8" hidden="1"/>
    <cellStyle name="Lien hypertexte" xfId="1515" builtinId="8" hidden="1"/>
    <cellStyle name="Lien hypertexte" xfId="1517" builtinId="8" hidden="1"/>
    <cellStyle name="Lien hypertexte" xfId="1519" builtinId="8" hidden="1"/>
    <cellStyle name="Lien hypertexte" xfId="1521" builtinId="8" hidden="1"/>
    <cellStyle name="Lien hypertexte" xfId="1523" builtinId="8" hidden="1"/>
    <cellStyle name="Lien hypertexte" xfId="1525" builtinId="8" hidden="1"/>
    <cellStyle name="Lien hypertexte" xfId="1527" builtinId="8" hidden="1"/>
    <cellStyle name="Lien hypertexte" xfId="1529" builtinId="8" hidden="1"/>
    <cellStyle name="Lien hypertexte" xfId="1531" builtinId="8" hidden="1"/>
    <cellStyle name="Lien hypertexte" xfId="1533" builtinId="8" hidden="1"/>
    <cellStyle name="Lien hypertexte" xfId="1535" builtinId="8" hidden="1"/>
    <cellStyle name="Lien hypertexte" xfId="1537" builtinId="8" hidden="1"/>
    <cellStyle name="Lien hypertexte" xfId="1539" builtinId="8" hidden="1"/>
    <cellStyle name="Lien hypertexte" xfId="1541" builtinId="8" hidden="1"/>
    <cellStyle name="Lien hypertexte" xfId="1543" builtinId="8" hidden="1"/>
    <cellStyle name="Lien hypertexte" xfId="1545" builtinId="8" hidden="1"/>
    <cellStyle name="Lien hypertexte" xfId="1547" builtinId="8" hidden="1"/>
    <cellStyle name="Lien hypertexte" xfId="1549" builtinId="8" hidden="1"/>
    <cellStyle name="Lien hypertexte" xfId="1551" builtinId="8" hidden="1"/>
    <cellStyle name="Lien hypertexte" xfId="1553" builtinId="8" hidden="1"/>
    <cellStyle name="Lien hypertexte" xfId="1555" builtinId="8" hidden="1"/>
    <cellStyle name="Lien hypertexte" xfId="1557" builtinId="8" hidden="1"/>
    <cellStyle name="Lien hypertexte" xfId="1559" builtinId="8" hidden="1"/>
    <cellStyle name="Lien hypertexte" xfId="1561" builtinId="8" hidden="1"/>
    <cellStyle name="Lien hypertexte" xfId="1563" builtinId="8" hidden="1"/>
    <cellStyle name="Lien hypertexte" xfId="1565" builtinId="8" hidden="1"/>
    <cellStyle name="Lien hypertexte" xfId="1567" builtinId="8" hidden="1"/>
    <cellStyle name="Lien hypertexte" xfId="1569" builtinId="8" hidden="1"/>
    <cellStyle name="Lien hypertexte" xfId="1571" builtinId="8" hidden="1"/>
    <cellStyle name="Lien hypertexte" xfId="1573" builtinId="8" hidden="1"/>
    <cellStyle name="Lien hypertexte" xfId="1575" builtinId="8" hidden="1"/>
    <cellStyle name="Lien hypertexte" xfId="1577" builtinId="8" hidden="1"/>
    <cellStyle name="Lien hypertexte" xfId="1579" builtinId="8" hidden="1"/>
    <cellStyle name="Lien hypertexte" xfId="1581" builtinId="8" hidden="1"/>
    <cellStyle name="Lien hypertexte" xfId="1583" builtinId="8" hidden="1"/>
    <cellStyle name="Lien hypertexte" xfId="1585" builtinId="8" hidden="1"/>
    <cellStyle name="Lien hypertexte" xfId="1587" builtinId="8" hidden="1"/>
    <cellStyle name="Lien hypertexte" xfId="1589" builtinId="8" hidden="1"/>
    <cellStyle name="Lien hypertexte" xfId="1591" builtinId="8" hidden="1"/>
    <cellStyle name="Lien hypertexte" xfId="1593" builtinId="8" hidden="1"/>
    <cellStyle name="Lien hypertexte" xfId="1595" builtinId="8" hidden="1"/>
    <cellStyle name="Lien hypertexte" xfId="1597" builtinId="8" hidden="1"/>
    <cellStyle name="Lien hypertexte" xfId="1599" builtinId="8" hidden="1"/>
    <cellStyle name="Lien hypertexte" xfId="1601" builtinId="8" hidden="1"/>
    <cellStyle name="Lien hypertexte" xfId="1603" builtinId="8" hidden="1"/>
    <cellStyle name="Lien hypertexte" xfId="1605" builtinId="8" hidden="1"/>
    <cellStyle name="Lien hypertexte" xfId="1607" builtinId="8" hidden="1"/>
    <cellStyle name="Lien hypertexte" xfId="1609" builtinId="8" hidden="1"/>
    <cellStyle name="Lien hypertexte" xfId="1611" builtinId="8" hidden="1"/>
    <cellStyle name="Lien hypertexte" xfId="1613" builtinId="8" hidden="1"/>
    <cellStyle name="Lien hypertexte" xfId="1615" builtinId="8" hidden="1"/>
    <cellStyle name="Lien hypertexte" xfId="1617" builtinId="8" hidden="1"/>
    <cellStyle name="Lien hypertexte" xfId="1619" builtinId="8" hidden="1"/>
    <cellStyle name="Lien hypertexte" xfId="1621" builtinId="8" hidden="1"/>
    <cellStyle name="Lien hypertexte" xfId="1623" builtinId="8" hidden="1"/>
    <cellStyle name="Lien hypertexte" xfId="1625" builtinId="8" hidden="1"/>
    <cellStyle name="Lien hypertexte" xfId="1627" builtinId="8" hidden="1"/>
    <cellStyle name="Lien hypertexte" xfId="1629" builtinId="8" hidden="1"/>
    <cellStyle name="Lien hypertexte" xfId="1631" builtinId="8" hidden="1"/>
    <cellStyle name="Lien hypertexte" xfId="1633" builtinId="8" hidden="1"/>
    <cellStyle name="Lien hypertexte" xfId="1635" builtinId="8" hidden="1"/>
    <cellStyle name="Lien hypertexte" xfId="1637" builtinId="8" hidden="1"/>
    <cellStyle name="Lien hypertexte" xfId="1639" builtinId="8" hidden="1"/>
    <cellStyle name="Lien hypertexte" xfId="1641" builtinId="8" hidden="1"/>
    <cellStyle name="Lien hypertexte" xfId="1643" builtinId="8" hidden="1"/>
    <cellStyle name="Lien hypertexte" xfId="1645" builtinId="8" hidden="1"/>
    <cellStyle name="Lien hypertexte" xfId="1647" builtinId="8" hidden="1"/>
    <cellStyle name="Lien hypertexte" xfId="1649" builtinId="8" hidden="1"/>
    <cellStyle name="Lien hypertexte" xfId="1651" builtinId="8" hidden="1"/>
    <cellStyle name="Lien hypertexte" xfId="1653" builtinId="8" hidden="1"/>
    <cellStyle name="Lien hypertexte" xfId="1655" builtinId="8" hidden="1"/>
    <cellStyle name="Lien hypertexte" xfId="1657" builtinId="8" hidden="1"/>
    <cellStyle name="Lien hypertexte" xfId="1659" builtinId="8" hidden="1"/>
    <cellStyle name="Lien hypertexte" xfId="1661" builtinId="8" hidden="1"/>
    <cellStyle name="Lien hypertexte" xfId="1663" builtinId="8" hidden="1"/>
    <cellStyle name="Lien hypertexte" xfId="1665" builtinId="8" hidden="1"/>
    <cellStyle name="Lien hypertexte" xfId="1667" builtinId="8" hidden="1"/>
    <cellStyle name="Lien hypertexte" xfId="1669" builtinId="8" hidden="1"/>
    <cellStyle name="Lien hypertexte" xfId="1671" builtinId="8" hidden="1"/>
    <cellStyle name="Lien hypertexte" xfId="1673" builtinId="8" hidden="1"/>
    <cellStyle name="Lien hypertexte" xfId="1675" builtinId="8" hidden="1"/>
    <cellStyle name="Lien hypertexte" xfId="1677" builtinId="8" hidden="1"/>
    <cellStyle name="Lien hypertexte" xfId="1679" builtinId="8" hidden="1"/>
    <cellStyle name="Lien hypertexte" xfId="1681" builtinId="8" hidden="1"/>
    <cellStyle name="Lien hypertexte" xfId="1683" builtinId="8" hidden="1"/>
    <cellStyle name="Lien hypertexte" xfId="1685" builtinId="8" hidden="1"/>
    <cellStyle name="Lien hypertexte" xfId="1687" builtinId="8" hidden="1"/>
    <cellStyle name="Lien hypertexte" xfId="1689" builtinId="8" hidden="1"/>
    <cellStyle name="Lien hypertexte" xfId="1691" builtinId="8" hidden="1"/>
    <cellStyle name="Lien hypertexte" xfId="1693" builtinId="8" hidden="1"/>
    <cellStyle name="Lien hypertexte" xfId="1695" builtinId="8" hidden="1"/>
    <cellStyle name="Lien hypertexte" xfId="1697" builtinId="8" hidden="1"/>
    <cellStyle name="Lien hypertexte" xfId="1699" builtinId="8" hidden="1"/>
    <cellStyle name="Lien hypertexte" xfId="1701" builtinId="8" hidden="1"/>
    <cellStyle name="Lien hypertexte" xfId="1703" builtinId="8" hidden="1"/>
    <cellStyle name="Lien hypertexte" xfId="1705" builtinId="8" hidden="1"/>
    <cellStyle name="Lien hypertexte" xfId="1707" builtinId="8" hidden="1"/>
    <cellStyle name="Lien hypertexte" xfId="1709" builtinId="8" hidden="1"/>
    <cellStyle name="Lien hypertexte" xfId="1711" builtinId="8" hidden="1"/>
    <cellStyle name="Lien hypertexte" xfId="1713" builtinId="8" hidden="1"/>
    <cellStyle name="Lien hypertexte" xfId="1715" builtinId="8" hidden="1"/>
    <cellStyle name="Lien hypertexte" xfId="1717" builtinId="8" hidden="1"/>
    <cellStyle name="Lien hypertexte" xfId="1719" builtinId="8" hidden="1"/>
    <cellStyle name="Lien hypertexte" xfId="1721" builtinId="8" hidden="1"/>
    <cellStyle name="Lien hypertexte" xfId="1723" builtinId="8" hidden="1"/>
    <cellStyle name="Lien hypertexte" xfId="1725" builtinId="8" hidden="1"/>
    <cellStyle name="Lien hypertexte" xfId="1727" builtinId="8" hidden="1"/>
    <cellStyle name="Lien hypertexte" xfId="1729" builtinId="8" hidden="1"/>
    <cellStyle name="Lien hypertexte" xfId="1731" builtinId="8" hidden="1"/>
    <cellStyle name="Lien hypertexte" xfId="1733" builtinId="8" hidden="1"/>
    <cellStyle name="Lien hypertexte" xfId="1735" builtinId="8" hidden="1"/>
    <cellStyle name="Lien hypertexte" xfId="1737" builtinId="8" hidden="1"/>
    <cellStyle name="Lien hypertexte" xfId="1739" builtinId="8" hidden="1"/>
    <cellStyle name="Lien hypertexte" xfId="1741" builtinId="8" hidden="1"/>
    <cellStyle name="Lien hypertexte" xfId="1743" builtinId="8" hidden="1"/>
    <cellStyle name="Lien hypertexte" xfId="1745" builtinId="8" hidden="1"/>
    <cellStyle name="Lien hypertexte" xfId="1747" builtinId="8" hidden="1"/>
    <cellStyle name="Lien hypertexte" xfId="1749" builtinId="8" hidden="1"/>
    <cellStyle name="Lien hypertexte" xfId="1751" builtinId="8" hidden="1"/>
    <cellStyle name="Lien hypertexte" xfId="1753" builtinId="8" hidden="1"/>
    <cellStyle name="Lien hypertexte" xfId="1755" builtinId="8" hidden="1"/>
    <cellStyle name="Lien hypertexte" xfId="1757" builtinId="8" hidden="1"/>
    <cellStyle name="Lien hypertexte" xfId="1759" builtinId="8" hidden="1"/>
    <cellStyle name="Lien hypertexte" xfId="1761" builtinId="8" hidden="1"/>
    <cellStyle name="Lien hypertexte" xfId="1763" builtinId="8" hidden="1"/>
    <cellStyle name="Lien hypertexte" xfId="1765" builtinId="8" hidden="1"/>
    <cellStyle name="Lien hypertexte" xfId="1767" builtinId="8" hidden="1"/>
    <cellStyle name="Lien hypertexte" xfId="1769" builtinId="8" hidden="1"/>
    <cellStyle name="Lien hypertexte" xfId="1771" builtinId="8" hidden="1"/>
    <cellStyle name="Lien hypertexte" xfId="1773" builtinId="8" hidden="1"/>
    <cellStyle name="Lien hypertexte" xfId="1775" builtinId="8" hidden="1"/>
    <cellStyle name="Lien hypertexte" xfId="1777" builtinId="8" hidden="1"/>
    <cellStyle name="Lien hypertexte" xfId="1779" builtinId="8" hidden="1"/>
    <cellStyle name="Lien hypertexte" xfId="1781" builtinId="8" hidden="1"/>
    <cellStyle name="Lien hypertexte" xfId="1783" builtinId="8" hidden="1"/>
    <cellStyle name="Lien hypertexte" xfId="1785" builtinId="8" hidden="1"/>
    <cellStyle name="Lien hypertexte" xfId="1787" builtinId="8" hidden="1"/>
    <cellStyle name="Lien hypertexte" xfId="1789" builtinId="8" hidden="1"/>
    <cellStyle name="Lien hypertexte" xfId="1791" builtinId="8" hidden="1"/>
    <cellStyle name="Lien hypertexte" xfId="1793" builtinId="8" hidden="1"/>
    <cellStyle name="Lien hypertexte" xfId="1795" builtinId="8" hidden="1"/>
    <cellStyle name="Lien hypertexte" xfId="1797" builtinId="8" hidden="1"/>
    <cellStyle name="Lien hypertexte" xfId="1799" builtinId="8" hidden="1"/>
    <cellStyle name="Lien hypertexte" xfId="1801" builtinId="8" hidden="1"/>
    <cellStyle name="Lien hypertexte" xfId="1803" builtinId="8" hidden="1"/>
    <cellStyle name="Lien hypertexte" xfId="1805" builtinId="8" hidden="1"/>
    <cellStyle name="Lien hypertexte" xfId="1807" builtinId="8" hidden="1"/>
    <cellStyle name="Lien hypertexte" xfId="1809" builtinId="8" hidden="1"/>
    <cellStyle name="Lien hypertexte" xfId="1811" builtinId="8" hidden="1"/>
    <cellStyle name="Lien hypertexte" xfId="1813" builtinId="8" hidden="1"/>
    <cellStyle name="Lien hypertexte" xfId="1815" builtinId="8" hidden="1"/>
    <cellStyle name="Lien hypertexte" xfId="1817" builtinId="8" hidden="1"/>
    <cellStyle name="Lien hypertexte" xfId="1819" builtinId="8" hidden="1"/>
    <cellStyle name="Lien hypertexte" xfId="1821" builtinId="8" hidden="1"/>
    <cellStyle name="Lien hypertexte" xfId="1823" builtinId="8" hidden="1"/>
    <cellStyle name="Lien hypertexte" xfId="1825" builtinId="8" hidden="1"/>
    <cellStyle name="Lien hypertexte" xfId="1827" builtinId="8" hidden="1"/>
    <cellStyle name="Lien hypertexte" xfId="1829" builtinId="8" hidden="1"/>
    <cellStyle name="Lien hypertexte" xfId="1831" builtinId="8" hidden="1"/>
    <cellStyle name="Lien hypertexte" xfId="1833" builtinId="8" hidden="1"/>
    <cellStyle name="Lien hypertexte" xfId="1835" builtinId="8" hidden="1"/>
    <cellStyle name="Lien hypertexte" xfId="1837" builtinId="8" hidden="1"/>
    <cellStyle name="Lien hypertexte" xfId="1839" builtinId="8" hidden="1"/>
    <cellStyle name="Lien hypertexte" xfId="1841" builtinId="8" hidden="1"/>
    <cellStyle name="Lien hypertexte" xfId="1843" builtinId="8" hidden="1"/>
    <cellStyle name="Lien hypertexte" xfId="1845" builtinId="8" hidden="1"/>
    <cellStyle name="Lien hypertexte" xfId="1847" builtinId="8" hidden="1"/>
    <cellStyle name="Lien hypertexte" xfId="1849" builtinId="8" hidden="1"/>
    <cellStyle name="Lien hypertexte" xfId="1851" builtinId="8" hidden="1"/>
    <cellStyle name="Lien hypertexte" xfId="1853" builtinId="8" hidden="1"/>
    <cellStyle name="Lien hypertexte" xfId="1855" builtinId="8" hidden="1"/>
    <cellStyle name="Lien hypertexte" xfId="1857" builtinId="8" hidden="1"/>
    <cellStyle name="Lien hypertexte" xfId="1859" builtinId="8" hidden="1"/>
    <cellStyle name="Lien hypertexte" xfId="1861" builtinId="8" hidden="1"/>
    <cellStyle name="Lien hypertexte" xfId="1863" builtinId="8" hidden="1"/>
    <cellStyle name="Lien hypertexte" xfId="1865" builtinId="8" hidden="1"/>
    <cellStyle name="Lien hypertexte" xfId="1867" builtinId="8" hidden="1"/>
    <cellStyle name="Lien hypertexte" xfId="1869" builtinId="8" hidden="1"/>
    <cellStyle name="Lien hypertexte" xfId="1871" builtinId="8" hidden="1"/>
    <cellStyle name="Lien hypertexte" xfId="1873" builtinId="8" hidden="1"/>
    <cellStyle name="Lien hypertexte" xfId="1875" builtinId="8" hidden="1"/>
    <cellStyle name="Lien hypertexte" xfId="1877" builtinId="8" hidden="1"/>
    <cellStyle name="Lien hypertexte" xfId="1879" builtinId="8" hidden="1"/>
    <cellStyle name="Lien hypertexte" xfId="1881" builtinId="8" hidden="1"/>
    <cellStyle name="Lien hypertexte" xfId="1883" builtinId="8" hidden="1"/>
    <cellStyle name="Lien hypertexte" xfId="1885" builtinId="8" hidden="1"/>
    <cellStyle name="Lien hypertexte" xfId="1887" builtinId="8" hidden="1"/>
    <cellStyle name="Lien hypertexte" xfId="1889" builtinId="8" hidden="1"/>
    <cellStyle name="Lien hypertexte" xfId="1891" builtinId="8" hidden="1"/>
    <cellStyle name="Lien hypertexte" xfId="1893" builtinId="8" hidden="1"/>
    <cellStyle name="Lien hypertexte" xfId="1895" builtinId="8" hidden="1"/>
    <cellStyle name="Lien hypertexte" xfId="1897" builtinId="8" hidden="1"/>
    <cellStyle name="Lien hypertexte" xfId="1899" builtinId="8" hidden="1"/>
    <cellStyle name="Lien hypertexte" xfId="1901" builtinId="8" hidden="1"/>
    <cellStyle name="Lien hypertexte" xfId="1903" builtinId="8" hidden="1"/>
    <cellStyle name="Lien hypertexte" xfId="1905" builtinId="8" hidden="1"/>
    <cellStyle name="Lien hypertexte" xfId="1907" builtinId="8" hidden="1"/>
    <cellStyle name="Lien hypertexte" xfId="1909" builtinId="8" hidden="1"/>
    <cellStyle name="Lien hypertexte" xfId="1911" builtinId="8" hidden="1"/>
    <cellStyle name="Lien hypertexte" xfId="1913" builtinId="8" hidden="1"/>
    <cellStyle name="Lien hypertexte" xfId="1915" builtinId="8" hidden="1"/>
    <cellStyle name="Lien hypertexte" xfId="1917" builtinId="8" hidden="1"/>
    <cellStyle name="Lien hypertexte" xfId="1919" builtinId="8" hidden="1"/>
    <cellStyle name="Lien hypertexte" xfId="1921" builtinId="8" hidden="1"/>
    <cellStyle name="Lien hypertexte" xfId="1923" builtinId="8" hidden="1"/>
    <cellStyle name="Lien hypertexte" xfId="1925" builtinId="8" hidden="1"/>
    <cellStyle name="Lien hypertexte" xfId="1927" builtinId="8" hidden="1"/>
    <cellStyle name="Lien hypertexte" xfId="1929" builtinId="8" hidden="1"/>
    <cellStyle name="Lien hypertexte" xfId="1931" builtinId="8" hidden="1"/>
    <cellStyle name="Lien hypertexte" xfId="1933" builtinId="8" hidden="1"/>
    <cellStyle name="Lien hypertexte" xfId="1935" builtinId="8" hidden="1"/>
    <cellStyle name="Lien hypertexte" xfId="1937" builtinId="8" hidden="1"/>
    <cellStyle name="Lien hypertexte" xfId="1939" builtinId="8" hidden="1"/>
    <cellStyle name="Lien hypertexte" xfId="1941" builtinId="8" hidden="1"/>
    <cellStyle name="Lien hypertexte" xfId="1943" builtinId="8" hidden="1"/>
    <cellStyle name="Lien hypertexte" xfId="1945" builtinId="8" hidden="1"/>
    <cellStyle name="Lien hypertexte" xfId="1947" builtinId="8" hidden="1"/>
    <cellStyle name="Lien hypertexte" xfId="1949" builtinId="8" hidden="1"/>
    <cellStyle name="Lien hypertexte" xfId="1951" builtinId="8" hidden="1"/>
    <cellStyle name="Lien hypertexte" xfId="1953" builtinId="8" hidden="1"/>
    <cellStyle name="Lien hypertexte" xfId="1955" builtinId="8" hidden="1"/>
    <cellStyle name="Lien hypertexte" xfId="1957" builtinId="8" hidden="1"/>
    <cellStyle name="Lien hypertexte" xfId="1959" builtinId="8" hidden="1"/>
    <cellStyle name="Lien hypertexte" xfId="1961" builtinId="8" hidden="1"/>
    <cellStyle name="Lien hypertexte" xfId="1963" builtinId="8" hidden="1"/>
    <cellStyle name="Lien hypertexte" xfId="1965" builtinId="8" hidden="1"/>
    <cellStyle name="Lien hypertexte" xfId="1967" builtinId="8" hidden="1"/>
    <cellStyle name="Lien hypertexte" xfId="1969" builtinId="8" hidden="1"/>
    <cellStyle name="Lien hypertexte" xfId="1971" builtinId="8" hidden="1"/>
    <cellStyle name="Lien hypertexte" xfId="1973" builtinId="8" hidden="1"/>
    <cellStyle name="Lien hypertexte" xfId="1975" builtinId="8" hidden="1"/>
    <cellStyle name="Lien hypertexte" xfId="1977" builtinId="8" hidden="1"/>
    <cellStyle name="Lien hypertexte" xfId="1979" builtinId="8" hidden="1"/>
    <cellStyle name="Lien hypertexte" xfId="1981" builtinId="8" hidden="1"/>
    <cellStyle name="Lien hypertexte" xfId="1983" builtinId="8" hidden="1"/>
    <cellStyle name="Lien hypertexte" xfId="1985" builtinId="8" hidden="1"/>
    <cellStyle name="Lien hypertexte" xfId="1987" builtinId="8" hidden="1"/>
    <cellStyle name="Lien hypertexte" xfId="1989" builtinId="8" hidden="1"/>
    <cellStyle name="Lien hypertexte" xfId="1991" builtinId="8" hidden="1"/>
    <cellStyle name="Lien hypertexte" xfId="1993" builtinId="8" hidden="1"/>
    <cellStyle name="Lien hypertexte" xfId="1995" builtinId="8" hidden="1"/>
    <cellStyle name="Lien hypertexte" xfId="1997" builtinId="8" hidden="1"/>
    <cellStyle name="Lien hypertexte" xfId="1999" builtinId="8" hidden="1"/>
    <cellStyle name="Lien hypertexte" xfId="2001" builtinId="8" hidden="1"/>
    <cellStyle name="Lien hypertexte" xfId="2003" builtinId="8" hidden="1"/>
    <cellStyle name="Lien hypertexte" xfId="2005" builtinId="8" hidden="1"/>
    <cellStyle name="Lien hypertexte" xfId="2007" builtinId="8" hidden="1"/>
    <cellStyle name="Lien hypertexte" xfId="2009" builtinId="8" hidden="1"/>
    <cellStyle name="Lien hypertexte" xfId="2011" builtinId="8" hidden="1"/>
    <cellStyle name="Lien hypertexte" xfId="2013" builtinId="8" hidden="1"/>
    <cellStyle name="Lien hypertexte" xfId="2015" builtinId="8" hidden="1"/>
    <cellStyle name="Lien hypertexte" xfId="2017" builtinId="8" hidden="1"/>
    <cellStyle name="Lien hypertexte" xfId="2019" builtinId="8" hidden="1"/>
    <cellStyle name="Lien hypertexte" xfId="2021" builtinId="8" hidden="1"/>
    <cellStyle name="Lien hypertexte" xfId="2023" builtinId="8" hidden="1"/>
    <cellStyle name="Lien hypertexte" xfId="2025" builtinId="8" hidden="1"/>
    <cellStyle name="Lien hypertexte" xfId="2027" builtinId="8" hidden="1"/>
    <cellStyle name="Lien hypertexte" xfId="2029" builtinId="8" hidden="1"/>
    <cellStyle name="Lien hypertexte" xfId="2031" builtinId="8" hidden="1"/>
    <cellStyle name="Lien hypertexte" xfId="2033" builtinId="8" hidden="1"/>
    <cellStyle name="Lien hypertexte" xfId="2035" builtinId="8" hidden="1"/>
    <cellStyle name="Lien hypertexte" xfId="2037" builtinId="8" hidden="1"/>
    <cellStyle name="Lien hypertexte" xfId="2039" builtinId="8" hidden="1"/>
    <cellStyle name="Lien hypertexte" xfId="2041" builtinId="8" hidden="1"/>
    <cellStyle name="Lien hypertexte" xfId="2043" builtinId="8" hidden="1"/>
    <cellStyle name="Lien hypertexte" xfId="2045" builtinId="8" hidden="1"/>
    <cellStyle name="Lien hypertexte" xfId="2047" builtinId="8" hidden="1"/>
    <cellStyle name="Lien hypertexte" xfId="2049" builtinId="8" hidden="1"/>
    <cellStyle name="Lien hypertexte" xfId="2051" builtinId="8" hidden="1"/>
    <cellStyle name="Lien hypertexte" xfId="2053" builtinId="8" hidden="1"/>
    <cellStyle name="Lien hypertexte" xfId="2055" builtinId="8" hidden="1"/>
    <cellStyle name="Lien hypertexte" xfId="2057" builtinId="8" hidden="1"/>
    <cellStyle name="Lien hypertexte" xfId="2059" builtinId="8" hidden="1"/>
    <cellStyle name="Lien hypertexte" xfId="2061" builtinId="8" hidden="1"/>
    <cellStyle name="Lien hypertexte" xfId="2063" builtinId="8" hidden="1"/>
    <cellStyle name="Lien hypertexte" xfId="2065" builtinId="8" hidden="1"/>
    <cellStyle name="Lien hypertexte" xfId="2067" builtinId="8" hidden="1"/>
    <cellStyle name="Lien hypertexte" xfId="2069" builtinId="8" hidden="1"/>
    <cellStyle name="Lien hypertexte" xfId="2071" builtinId="8" hidden="1"/>
    <cellStyle name="Lien hypertexte" xfId="2073" builtinId="8" hidden="1"/>
    <cellStyle name="Lien hypertexte" xfId="2075" builtinId="8" hidden="1"/>
    <cellStyle name="Lien hypertexte" xfId="2077" builtinId="8" hidden="1"/>
    <cellStyle name="Lien hypertexte" xfId="2079" builtinId="8" hidden="1"/>
    <cellStyle name="Lien hypertexte" xfId="2081" builtinId="8" hidden="1"/>
    <cellStyle name="Lien hypertexte" xfId="2083" builtinId="8" hidden="1"/>
    <cellStyle name="Lien hypertexte" xfId="2085" builtinId="8" hidden="1"/>
    <cellStyle name="Lien hypertexte" xfId="2087" builtinId="8" hidden="1"/>
    <cellStyle name="Lien hypertexte" xfId="2089" builtinId="8" hidden="1"/>
    <cellStyle name="Lien hypertexte" xfId="2091" builtinId="8" hidden="1"/>
    <cellStyle name="Lien hypertexte" xfId="2093" builtinId="8" hidden="1"/>
    <cellStyle name="Lien hypertexte" xfId="2095" builtinId="8" hidden="1"/>
    <cellStyle name="Lien hypertexte" xfId="2097" builtinId="8" hidden="1"/>
    <cellStyle name="Lien hypertexte" xfId="2099" builtinId="8" hidden="1"/>
    <cellStyle name="Lien hypertexte" xfId="2101" builtinId="8" hidden="1"/>
    <cellStyle name="Lien hypertexte" xfId="2103" builtinId="8" hidden="1"/>
    <cellStyle name="Lien hypertexte" xfId="2105" builtinId="8" hidden="1"/>
    <cellStyle name="Lien hypertexte" xfId="2107" builtinId="8" hidden="1"/>
    <cellStyle name="Lien hypertexte" xfId="2109" builtinId="8" hidden="1"/>
    <cellStyle name="Lien hypertexte" xfId="2111" builtinId="8" hidden="1"/>
    <cellStyle name="Lien hypertexte" xfId="2113" builtinId="8" hidden="1"/>
    <cellStyle name="Lien hypertexte" xfId="2115" builtinId="8" hidden="1"/>
    <cellStyle name="Lien hypertexte" xfId="2117" builtinId="8" hidden="1"/>
    <cellStyle name="Lien hypertexte" xfId="2119" builtinId="8" hidden="1"/>
    <cellStyle name="Lien hypertexte" xfId="2121" builtinId="8" hidden="1"/>
    <cellStyle name="Lien hypertexte" xfId="2123" builtinId="8" hidden="1"/>
    <cellStyle name="Lien hypertexte" xfId="2125" builtinId="8" hidden="1"/>
    <cellStyle name="Lien hypertexte" xfId="2127" builtinId="8" hidden="1"/>
    <cellStyle name="Lien hypertexte" xfId="2129" builtinId="8" hidden="1"/>
    <cellStyle name="Lien hypertexte" xfId="2131" builtinId="8" hidden="1"/>
    <cellStyle name="Lien hypertexte" xfId="2133" builtinId="8" hidden="1"/>
    <cellStyle name="Lien hypertexte" xfId="2135" builtinId="8" hidden="1"/>
    <cellStyle name="Lien hypertexte" xfId="2137" builtinId="8" hidden="1"/>
    <cellStyle name="Lien hypertexte" xfId="2139" builtinId="8" hidden="1"/>
    <cellStyle name="Lien hypertexte" xfId="2141" builtinId="8" hidden="1"/>
    <cellStyle name="Lien hypertexte" xfId="2143" builtinId="8" hidden="1"/>
    <cellStyle name="Lien hypertexte" xfId="2145" builtinId="8" hidden="1"/>
    <cellStyle name="Lien hypertexte" xfId="2147" builtinId="8" hidden="1"/>
    <cellStyle name="Lien hypertexte" xfId="2149" builtinId="8" hidden="1"/>
    <cellStyle name="Lien hypertexte" xfId="2151" builtinId="8" hidden="1"/>
    <cellStyle name="Lien hypertexte" xfId="2153" builtinId="8" hidden="1"/>
    <cellStyle name="Lien hypertexte" xfId="2155" builtinId="8" hidden="1"/>
    <cellStyle name="Lien hypertexte" xfId="2157" builtinId="8" hidden="1"/>
    <cellStyle name="Lien hypertexte" xfId="2159" builtinId="8" hidden="1"/>
    <cellStyle name="Lien hypertexte" xfId="2161" builtinId="8" hidden="1"/>
    <cellStyle name="Lien hypertexte" xfId="2163" builtinId="8" hidden="1"/>
    <cellStyle name="Lien hypertexte" xfId="2165" builtinId="8" hidden="1"/>
    <cellStyle name="Lien hypertexte" xfId="2167" builtinId="8" hidden="1"/>
    <cellStyle name="Lien hypertexte" xfId="2169" builtinId="8" hidden="1"/>
    <cellStyle name="Lien hypertexte" xfId="2171" builtinId="8" hidden="1"/>
    <cellStyle name="Lien hypertexte" xfId="2173" builtinId="8" hidden="1"/>
    <cellStyle name="Lien hypertexte" xfId="2175" builtinId="8" hidden="1"/>
    <cellStyle name="Lien hypertexte" xfId="2177" builtinId="8" hidden="1"/>
    <cellStyle name="Lien hypertexte" xfId="2179" builtinId="8" hidden="1"/>
    <cellStyle name="Lien hypertexte" xfId="2181" builtinId="8" hidden="1"/>
    <cellStyle name="Lien hypertexte" xfId="2183" builtinId="8" hidden="1"/>
    <cellStyle name="Lien hypertexte" xfId="2185" builtinId="8" hidden="1"/>
    <cellStyle name="Lien hypertexte" xfId="2187" builtinId="8" hidden="1"/>
    <cellStyle name="Lien hypertexte" xfId="2189" builtinId="8" hidden="1"/>
    <cellStyle name="Lien hypertexte" xfId="2191" builtinId="8" hidden="1"/>
    <cellStyle name="Lien hypertexte" xfId="2193" builtinId="8" hidden="1"/>
    <cellStyle name="Lien hypertexte" xfId="2195" builtinId="8" hidden="1"/>
    <cellStyle name="Lien hypertexte" xfId="2197" builtinId="8" hidden="1"/>
    <cellStyle name="Lien hypertexte" xfId="2199" builtinId="8" hidden="1"/>
    <cellStyle name="Lien hypertexte" xfId="2201" builtinId="8" hidden="1"/>
    <cellStyle name="Lien hypertexte" xfId="2203" builtinId="8" hidden="1"/>
    <cellStyle name="Lien hypertexte" xfId="2205" builtinId="8" hidden="1"/>
    <cellStyle name="Lien hypertexte" xfId="2207" builtinId="8" hidden="1"/>
    <cellStyle name="Lien hypertexte" xfId="2209" builtinId="8" hidden="1"/>
    <cellStyle name="Lien hypertexte" xfId="2211" builtinId="8" hidden="1"/>
    <cellStyle name="Lien hypertexte" xfId="2213" builtinId="8" hidden="1"/>
    <cellStyle name="Lien hypertexte" xfId="2215" builtinId="8" hidden="1"/>
    <cellStyle name="Lien hypertexte" xfId="2217" builtinId="8" hidden="1"/>
    <cellStyle name="Lien hypertexte" xfId="2219" builtinId="8" hidden="1"/>
    <cellStyle name="Lien hypertexte" xfId="2221" builtinId="8" hidden="1"/>
    <cellStyle name="Lien hypertexte" xfId="2223" builtinId="8" hidden="1"/>
    <cellStyle name="Lien hypertexte" xfId="2225" builtinId="8" hidden="1"/>
    <cellStyle name="Lien hypertexte" xfId="2227" builtinId="8" hidden="1"/>
    <cellStyle name="Lien hypertexte" xfId="2229" builtinId="8" hidden="1"/>
    <cellStyle name="Lien hypertexte" xfId="2231" builtinId="8" hidden="1"/>
    <cellStyle name="Lien hypertexte" xfId="2233" builtinId="8" hidden="1"/>
    <cellStyle name="Lien hypertexte" xfId="2235" builtinId="8" hidden="1"/>
    <cellStyle name="Lien hypertexte" xfId="2237" builtinId="8" hidden="1"/>
    <cellStyle name="Lien hypertexte" xfId="2239" builtinId="8" hidden="1"/>
    <cellStyle name="Lien hypertexte" xfId="2241" builtinId="8" hidden="1"/>
    <cellStyle name="Lien hypertexte" xfId="2243" builtinId="8" hidden="1"/>
    <cellStyle name="Lien hypertexte" xfId="2245" builtinId="8" hidden="1"/>
    <cellStyle name="Lien hypertexte" xfId="2247" builtinId="8" hidden="1"/>
    <cellStyle name="Lien hypertexte" xfId="2249" builtinId="8" hidden="1"/>
    <cellStyle name="Lien hypertexte" xfId="2251" builtinId="8" hidden="1"/>
    <cellStyle name="Lien hypertexte" xfId="2253" builtinId="8" hidden="1"/>
    <cellStyle name="Lien hypertexte" xfId="2255" builtinId="8" hidden="1"/>
    <cellStyle name="Lien hypertexte" xfId="2257" builtinId="8" hidden="1"/>
    <cellStyle name="Lien hypertexte" xfId="2259" builtinId="8" hidden="1"/>
    <cellStyle name="Lien hypertexte" xfId="2261" builtinId="8" hidden="1"/>
    <cellStyle name="Lien hypertexte" xfId="2263" builtinId="8" hidden="1"/>
    <cellStyle name="Lien hypertexte" xfId="2265" builtinId="8" hidden="1"/>
    <cellStyle name="Lien hypertexte" xfId="2267" builtinId="8" hidden="1"/>
    <cellStyle name="Lien hypertexte" xfId="2269" builtinId="8" hidden="1"/>
    <cellStyle name="Lien hypertexte" xfId="2271" builtinId="8" hidden="1"/>
    <cellStyle name="Lien hypertexte" xfId="2273" builtinId="8" hidden="1"/>
    <cellStyle name="Lien hypertexte" xfId="2275" builtinId="8" hidden="1"/>
    <cellStyle name="Lien hypertexte" xfId="2277" builtinId="8" hidden="1"/>
    <cellStyle name="Lien hypertexte" xfId="2279" builtinId="8" hidden="1"/>
    <cellStyle name="Lien hypertexte" xfId="2281" builtinId="8" hidden="1"/>
    <cellStyle name="Lien hypertexte" xfId="2283" builtinId="8" hidden="1"/>
    <cellStyle name="Lien hypertexte" xfId="2285" builtinId="8" hidden="1"/>
    <cellStyle name="Lien hypertexte" xfId="2287" builtinId="8" hidden="1"/>
    <cellStyle name="Lien hypertexte" xfId="2289" builtinId="8" hidden="1"/>
    <cellStyle name="Lien hypertexte" xfId="2291" builtinId="8" hidden="1"/>
    <cellStyle name="Lien hypertexte" xfId="2293" builtinId="8" hidden="1"/>
    <cellStyle name="Lien hypertexte" xfId="2295" builtinId="8" hidden="1"/>
    <cellStyle name="Lien hypertexte" xfId="2297" builtinId="8" hidden="1"/>
    <cellStyle name="Lien hypertexte" xfId="2299" builtinId="8" hidden="1"/>
    <cellStyle name="Lien hypertexte" xfId="2301" builtinId="8" hidden="1"/>
    <cellStyle name="Lien hypertexte" xfId="2303" builtinId="8" hidden="1"/>
    <cellStyle name="Lien hypertexte" xfId="2305" builtinId="8" hidden="1"/>
    <cellStyle name="Lien hypertexte" xfId="2307" builtinId="8" hidden="1"/>
    <cellStyle name="Lien hypertexte" xfId="2309" builtinId="8" hidden="1"/>
    <cellStyle name="Lien hypertexte" xfId="2311" builtinId="8" hidden="1"/>
    <cellStyle name="Lien hypertexte" xfId="2313" builtinId="8" hidden="1"/>
    <cellStyle name="Lien hypertexte" xfId="2315" builtinId="8" hidden="1"/>
    <cellStyle name="Lien hypertexte" xfId="2317" builtinId="8" hidden="1"/>
    <cellStyle name="Lien hypertexte" xfId="2319" builtinId="8" hidden="1"/>
    <cellStyle name="Lien hypertexte" xfId="2321" builtinId="8" hidden="1"/>
    <cellStyle name="Lien hypertexte" xfId="2323" builtinId="8" hidden="1"/>
    <cellStyle name="Lien hypertexte" xfId="2325" builtinId="8" hidden="1"/>
    <cellStyle name="Lien hypertexte" xfId="2327" builtinId="8" hidden="1"/>
    <cellStyle name="Lien hypertexte" xfId="2329" builtinId="8" hidden="1"/>
    <cellStyle name="Lien hypertexte" xfId="2331" builtinId="8" hidden="1"/>
    <cellStyle name="Lien hypertexte" xfId="2333" builtinId="8" hidden="1"/>
    <cellStyle name="Lien hypertexte" xfId="2335" builtinId="8" hidden="1"/>
    <cellStyle name="Lien hypertexte" xfId="2337" builtinId="8" hidden="1"/>
    <cellStyle name="Lien hypertexte" xfId="2339" builtinId="8" hidden="1"/>
    <cellStyle name="Lien hypertexte" xfId="2341" builtinId="8" hidden="1"/>
    <cellStyle name="Lien hypertexte" xfId="2343" builtinId="8" hidden="1"/>
    <cellStyle name="Lien hypertexte" xfId="2345" builtinId="8" hidden="1"/>
    <cellStyle name="Lien hypertexte" xfId="2347" builtinId="8" hidden="1"/>
    <cellStyle name="Lien hypertexte" xfId="2349" builtinId="8" hidden="1"/>
    <cellStyle name="Lien hypertexte" xfId="2351" builtinId="8" hidden="1"/>
    <cellStyle name="Lien hypertexte" xfId="2353" builtinId="8" hidden="1"/>
    <cellStyle name="Lien hypertexte" xfId="2355" builtinId="8" hidden="1"/>
    <cellStyle name="Lien hypertexte" xfId="2357" builtinId="8" hidden="1"/>
    <cellStyle name="Lien hypertexte" xfId="2359" builtinId="8" hidden="1"/>
    <cellStyle name="Lien hypertexte" xfId="2361" builtinId="8" hidden="1"/>
    <cellStyle name="Lien hypertexte" xfId="2363" builtinId="8" hidden="1"/>
    <cellStyle name="Lien hypertexte" xfId="2365" builtinId="8" hidden="1"/>
    <cellStyle name="Lien hypertexte" xfId="2367" builtinId="8" hidden="1"/>
    <cellStyle name="Lien hypertexte" xfId="2369" builtinId="8" hidden="1"/>
    <cellStyle name="Lien hypertexte" xfId="2371" builtinId="8" hidden="1"/>
    <cellStyle name="Lien hypertexte" xfId="2373" builtinId="8" hidden="1"/>
    <cellStyle name="Lien hypertexte" xfId="2375" builtinId="8" hidden="1"/>
    <cellStyle name="Lien hypertexte" xfId="2377" builtinId="8" hidden="1"/>
    <cellStyle name="Lien hypertexte" xfId="2379" builtinId="8" hidden="1"/>
    <cellStyle name="Lien hypertexte" xfId="2381" builtinId="8" hidden="1"/>
    <cellStyle name="Lien hypertexte" xfId="2383" builtinId="8" hidden="1"/>
    <cellStyle name="Lien hypertexte" xfId="2385" builtinId="8" hidden="1"/>
    <cellStyle name="Lien hypertexte" xfId="2387" builtinId="8" hidden="1"/>
    <cellStyle name="Lien hypertexte" xfId="2389" builtinId="8" hidden="1"/>
    <cellStyle name="Lien hypertexte" xfId="2391" builtinId="8" hidden="1"/>
    <cellStyle name="Lien hypertexte" xfId="2393" builtinId="8" hidden="1"/>
    <cellStyle name="Lien hypertexte" xfId="2395" builtinId="8" hidden="1"/>
    <cellStyle name="Lien hypertexte" xfId="2397" builtinId="8" hidden="1"/>
    <cellStyle name="Lien hypertexte" xfId="2399" builtinId="8" hidden="1"/>
    <cellStyle name="Lien hypertexte" xfId="2401" builtinId="8" hidden="1"/>
    <cellStyle name="Lien hypertexte" xfId="2403" builtinId="8" hidden="1"/>
    <cellStyle name="Lien hypertexte" xfId="2405" builtinId="8" hidden="1"/>
    <cellStyle name="Lien hypertexte" xfId="2407" builtinId="8" hidden="1"/>
    <cellStyle name="Lien hypertexte" xfId="2409" builtinId="8" hidden="1"/>
    <cellStyle name="Lien hypertexte" xfId="2411" builtinId="8" hidden="1"/>
    <cellStyle name="Lien hypertexte" xfId="2413" builtinId="8" hidden="1"/>
    <cellStyle name="Lien hypertexte" xfId="2415" builtinId="8" hidden="1"/>
    <cellStyle name="Lien hypertexte" xfId="2417" builtinId="8" hidden="1"/>
    <cellStyle name="Lien hypertexte" xfId="2419" builtinId="8" hidden="1"/>
    <cellStyle name="Lien hypertexte" xfId="2421" builtinId="8" hidden="1"/>
    <cellStyle name="Lien hypertexte" xfId="2423" builtinId="8" hidden="1"/>
    <cellStyle name="Lien hypertexte" xfId="2425" builtinId="8" hidden="1"/>
    <cellStyle name="Lien hypertexte" xfId="2427" builtinId="8" hidden="1"/>
    <cellStyle name="Lien hypertexte" xfId="2429" builtinId="8" hidden="1"/>
    <cellStyle name="Lien hypertexte" xfId="2431" builtinId="8" hidden="1"/>
    <cellStyle name="Lien hypertexte" xfId="2433" builtinId="8" hidden="1"/>
    <cellStyle name="Lien hypertexte" xfId="2435" builtinId="8" hidden="1"/>
    <cellStyle name="Lien hypertexte" xfId="2437" builtinId="8" hidden="1"/>
    <cellStyle name="Lien hypertexte" xfId="2439" builtinId="8" hidden="1"/>
    <cellStyle name="Lien hypertexte" xfId="2441" builtinId="8" hidden="1"/>
    <cellStyle name="Lien hypertexte" xfId="2443" builtinId="8" hidden="1"/>
    <cellStyle name="Lien hypertexte" xfId="2445" builtinId="8" hidden="1"/>
    <cellStyle name="Lien hypertexte" xfId="2447" builtinId="8" hidden="1"/>
    <cellStyle name="Lien hypertexte" xfId="2449" builtinId="8" hidden="1"/>
    <cellStyle name="Lien hypertexte" xfId="2451" builtinId="8" hidden="1"/>
    <cellStyle name="Lien hypertexte" xfId="2453" builtinId="8" hidden="1"/>
    <cellStyle name="Lien hypertexte" xfId="2455" builtinId="8" hidden="1"/>
    <cellStyle name="Lien hypertexte" xfId="2457" builtinId="8" hidden="1"/>
    <cellStyle name="Lien hypertexte" xfId="2459" builtinId="8" hidden="1"/>
    <cellStyle name="Lien hypertexte" xfId="2461" builtinId="8" hidden="1"/>
    <cellStyle name="Lien hypertexte" xfId="2463" builtinId="8" hidden="1"/>
    <cellStyle name="Lien hypertexte" xfId="2465" builtinId="8" hidden="1"/>
    <cellStyle name="Lien hypertexte" xfId="2467" builtinId="8" hidden="1"/>
    <cellStyle name="Lien hypertexte" xfId="2469" builtinId="8" hidden="1"/>
    <cellStyle name="Lien hypertexte" xfId="2471" builtinId="8" hidden="1"/>
    <cellStyle name="Lien hypertexte" xfId="2473" builtinId="8" hidden="1"/>
    <cellStyle name="Lien hypertexte" xfId="2475" builtinId="8" hidden="1"/>
    <cellStyle name="Lien hypertexte" xfId="2477" builtinId="8" hidden="1"/>
    <cellStyle name="Lien hypertexte" xfId="2479" builtinId="8" hidden="1"/>
    <cellStyle name="Lien hypertexte" xfId="2481" builtinId="8" hidden="1"/>
    <cellStyle name="Lien hypertexte" xfId="2483" builtinId="8" hidden="1"/>
    <cellStyle name="Lien hypertexte" xfId="2485" builtinId="8" hidden="1"/>
    <cellStyle name="Lien hypertexte" xfId="2487" builtinId="8" hidden="1"/>
    <cellStyle name="Lien hypertexte" xfId="2489" builtinId="8" hidden="1"/>
    <cellStyle name="Lien hypertexte" xfId="2491" builtinId="8" hidden="1"/>
    <cellStyle name="Lien hypertexte" xfId="2493" builtinId="8" hidden="1"/>
    <cellStyle name="Lien hypertexte" xfId="2495" builtinId="8" hidden="1"/>
    <cellStyle name="Lien hypertexte" xfId="2497" builtinId="8" hidden="1"/>
    <cellStyle name="Lien hypertexte" xfId="2499" builtinId="8" hidden="1"/>
    <cellStyle name="Lien hypertexte" xfId="2501" builtinId="8" hidden="1"/>
    <cellStyle name="Lien hypertexte" xfId="2503" builtinId="8" hidden="1"/>
    <cellStyle name="Lien hypertexte" xfId="2505" builtinId="8" hidden="1"/>
    <cellStyle name="Lien hypertexte" xfId="2507" builtinId="8" hidden="1"/>
    <cellStyle name="Lien hypertexte" xfId="2509" builtinId="8" hidden="1"/>
    <cellStyle name="Lien hypertexte" xfId="2511" builtinId="8" hidden="1"/>
    <cellStyle name="Lien hypertexte" xfId="2513" builtinId="8" hidden="1"/>
    <cellStyle name="Lien hypertexte" xfId="2515" builtinId="8" hidden="1"/>
    <cellStyle name="Lien hypertexte" xfId="2517" builtinId="8" hidden="1"/>
    <cellStyle name="Lien hypertexte" xfId="2519" builtinId="8" hidden="1"/>
    <cellStyle name="Lien hypertexte" xfId="2521" builtinId="8" hidden="1"/>
    <cellStyle name="Lien hypertexte" xfId="2523" builtinId="8" hidden="1"/>
    <cellStyle name="Lien hypertexte" xfId="2525" builtinId="8" hidden="1"/>
    <cellStyle name="Lien hypertexte" xfId="2527" builtinId="8" hidden="1"/>
    <cellStyle name="Lien hypertexte" xfId="2529" builtinId="8" hidden="1"/>
    <cellStyle name="Lien hypertexte" xfId="2531" builtinId="8" hidden="1"/>
    <cellStyle name="Lien hypertexte" xfId="2533" builtinId="8" hidden="1"/>
    <cellStyle name="Lien hypertexte" xfId="2535" builtinId="8" hidden="1"/>
    <cellStyle name="Lien hypertexte" xfId="2537" builtinId="8" hidden="1"/>
    <cellStyle name="Lien hypertexte" xfId="2539" builtinId="8" hidden="1"/>
    <cellStyle name="Lien hypertexte" xfId="2541" builtinId="8" hidden="1"/>
    <cellStyle name="Lien hypertexte" xfId="2543" builtinId="8" hidden="1"/>
    <cellStyle name="Lien hypertexte" xfId="2545" builtinId="8" hidden="1"/>
    <cellStyle name="Lien hypertexte" xfId="2547" builtinId="8" hidden="1"/>
    <cellStyle name="Lien hypertexte" xfId="2549" builtinId="8" hidden="1"/>
    <cellStyle name="Lien hypertexte" xfId="2551" builtinId="8" hidden="1"/>
    <cellStyle name="Lien hypertexte" xfId="2553" builtinId="8" hidden="1"/>
    <cellStyle name="Lien hypertexte" xfId="2555" builtinId="8" hidden="1"/>
    <cellStyle name="Lien hypertexte" xfId="2557" builtinId="8" hidden="1"/>
    <cellStyle name="Lien hypertexte" xfId="2559" builtinId="8" hidden="1"/>
    <cellStyle name="Lien hypertexte" xfId="2561" builtinId="8" hidden="1"/>
    <cellStyle name="Lien hypertexte" xfId="2563" builtinId="8" hidden="1"/>
    <cellStyle name="Lien hypertexte" xfId="2565" builtinId="8" hidden="1"/>
    <cellStyle name="Lien hypertexte" xfId="2567" builtinId="8" hidden="1"/>
    <cellStyle name="Lien hypertexte" xfId="2569" builtinId="8" hidden="1"/>
    <cellStyle name="Lien hypertexte" xfId="2571" builtinId="8" hidden="1"/>
    <cellStyle name="Lien hypertexte" xfId="2573" builtinId="8" hidden="1"/>
    <cellStyle name="Lien hypertexte" xfId="2575" builtinId="8" hidden="1"/>
    <cellStyle name="Lien hypertexte" xfId="2577" builtinId="8" hidden="1"/>
    <cellStyle name="Lien hypertexte" xfId="2579" builtinId="8" hidden="1"/>
    <cellStyle name="Lien hypertexte" xfId="2581" builtinId="8" hidden="1"/>
    <cellStyle name="Lien hypertexte" xfId="2583" builtinId="8" hidden="1"/>
    <cellStyle name="Lien hypertexte" xfId="2585" builtinId="8" hidden="1"/>
    <cellStyle name="Lien hypertexte" xfId="2587" builtinId="8" hidden="1"/>
    <cellStyle name="Lien hypertexte" xfId="2589" builtinId="8" hidden="1"/>
    <cellStyle name="Lien hypertexte" xfId="2591" builtinId="8" hidden="1"/>
    <cellStyle name="Lien hypertexte" xfId="2593" builtinId="8" hidden="1"/>
    <cellStyle name="Lien hypertexte" xfId="2595" builtinId="8" hidden="1"/>
    <cellStyle name="Lien hypertexte" xfId="2597" builtinId="8" hidden="1"/>
    <cellStyle name="Lien hypertexte" xfId="2599" builtinId="8" hidden="1"/>
    <cellStyle name="Lien hypertexte" xfId="2601" builtinId="8" hidden="1"/>
    <cellStyle name="Lien hypertexte" xfId="2603" builtinId="8" hidden="1"/>
    <cellStyle name="Lien hypertexte" xfId="2605" builtinId="8" hidden="1"/>
    <cellStyle name="Lien hypertexte" xfId="2607" builtinId="8" hidden="1"/>
    <cellStyle name="Lien hypertexte" xfId="2609" builtinId="8" hidden="1"/>
    <cellStyle name="Lien hypertexte" xfId="2611" builtinId="8" hidden="1"/>
    <cellStyle name="Lien hypertexte" xfId="2613" builtinId="8" hidden="1"/>
    <cellStyle name="Lien hypertexte" xfId="2615" builtinId="8" hidden="1"/>
    <cellStyle name="Lien hypertexte" xfId="2617" builtinId="8" hidden="1"/>
    <cellStyle name="Lien hypertexte" xfId="2619" builtinId="8" hidden="1"/>
    <cellStyle name="Lien hypertexte" xfId="2621" builtinId="8" hidden="1"/>
    <cellStyle name="Lien hypertexte" xfId="2623" builtinId="8" hidden="1"/>
    <cellStyle name="Lien hypertexte" xfId="2625" builtinId="8" hidden="1"/>
    <cellStyle name="Lien hypertexte" xfId="2627" builtinId="8" hidden="1"/>
    <cellStyle name="Lien hypertexte" xfId="2629" builtinId="8" hidden="1"/>
    <cellStyle name="Lien hypertexte" xfId="2631" builtinId="8" hidden="1"/>
    <cellStyle name="Lien hypertexte" xfId="2633" builtinId="8" hidden="1"/>
    <cellStyle name="Lien hypertexte" xfId="2635" builtinId="8" hidden="1"/>
    <cellStyle name="Lien hypertexte" xfId="2637" builtinId="8" hidden="1"/>
    <cellStyle name="Lien hypertexte" xfId="2639" builtinId="8" hidden="1"/>
    <cellStyle name="Lien hypertexte" xfId="2641" builtinId="8" hidden="1"/>
    <cellStyle name="Lien hypertexte" xfId="2643" builtinId="8" hidden="1"/>
    <cellStyle name="Lien hypertexte" xfId="2645" builtinId="8" hidden="1"/>
    <cellStyle name="Lien hypertexte" xfId="2647" builtinId="8" hidden="1"/>
    <cellStyle name="Lien hypertexte" xfId="2649" builtinId="8" hidden="1"/>
    <cellStyle name="Lien hypertexte" xfId="2651" builtinId="8" hidden="1"/>
    <cellStyle name="Lien hypertexte" xfId="2653" builtinId="8" hidden="1"/>
    <cellStyle name="Lien hypertexte" xfId="2655" builtinId="8" hidden="1"/>
    <cellStyle name="Lien hypertexte" xfId="2657" builtinId="8" hidden="1"/>
    <cellStyle name="Lien hypertexte" xfId="2659" builtinId="8" hidden="1"/>
    <cellStyle name="Lien hypertexte" xfId="2661" builtinId="8" hidden="1"/>
    <cellStyle name="Lien hypertexte" xfId="2663" builtinId="8" hidden="1"/>
    <cellStyle name="Lien hypertexte" xfId="2665" builtinId="8" hidden="1"/>
    <cellStyle name="Lien hypertexte" xfId="2667" builtinId="8" hidden="1"/>
    <cellStyle name="Lien hypertexte" xfId="2669" builtinId="8" hidden="1"/>
    <cellStyle name="Lien hypertexte" xfId="2671" builtinId="8" hidden="1"/>
    <cellStyle name="Lien hypertexte" xfId="2673" builtinId="8" hidden="1"/>
    <cellStyle name="Lien hypertexte" xfId="2675" builtinId="8" hidden="1"/>
    <cellStyle name="Lien hypertexte" xfId="2677" builtinId="8" hidden="1"/>
    <cellStyle name="Lien hypertexte" xfId="2679" builtinId="8" hidden="1"/>
    <cellStyle name="Lien hypertexte" xfId="2681" builtinId="8" hidden="1"/>
    <cellStyle name="Lien hypertexte" xfId="2683" builtinId="8" hidden="1"/>
    <cellStyle name="Lien hypertexte" xfId="2685" builtinId="8" hidden="1"/>
    <cellStyle name="Lien hypertexte" xfId="2687" builtinId="8" hidden="1"/>
    <cellStyle name="Lien hypertexte" xfId="2689" builtinId="8" hidden="1"/>
    <cellStyle name="Lien hypertexte" xfId="2691" builtinId="8" hidden="1"/>
    <cellStyle name="Lien hypertexte" xfId="2693" builtinId="8" hidden="1"/>
    <cellStyle name="Lien hypertexte" xfId="2695" builtinId="8" hidden="1"/>
    <cellStyle name="Lien hypertexte" xfId="2697" builtinId="8" hidden="1"/>
    <cellStyle name="Lien hypertexte" xfId="2699" builtinId="8" hidden="1"/>
    <cellStyle name="Lien hypertexte" xfId="2701" builtinId="8" hidden="1"/>
    <cellStyle name="Lien hypertexte" xfId="2703" builtinId="8" hidden="1"/>
    <cellStyle name="Lien hypertexte" xfId="2705" builtinId="8" hidden="1"/>
    <cellStyle name="Lien hypertexte" xfId="2707" builtinId="8" hidden="1"/>
    <cellStyle name="Lien hypertexte" xfId="2709" builtinId="8" hidden="1"/>
    <cellStyle name="Lien hypertexte" xfId="2711" builtinId="8" hidden="1"/>
    <cellStyle name="Lien hypertexte" xfId="2713" builtinId="8" hidden="1"/>
    <cellStyle name="Lien hypertexte" xfId="2715" builtinId="8" hidden="1"/>
    <cellStyle name="Lien hypertexte" xfId="2717" builtinId="8" hidden="1"/>
    <cellStyle name="Lien hypertexte" xfId="2719" builtinId="8" hidden="1"/>
    <cellStyle name="Lien hypertexte" xfId="2721" builtinId="8" hidden="1"/>
    <cellStyle name="Lien hypertexte" xfId="2723" builtinId="8" hidden="1"/>
    <cellStyle name="Lien hypertexte" xfId="2725" builtinId="8" hidden="1"/>
    <cellStyle name="Lien hypertexte" xfId="2727" builtinId="8" hidden="1"/>
    <cellStyle name="Lien hypertexte" xfId="2729" builtinId="8" hidden="1"/>
    <cellStyle name="Lien hypertexte" xfId="2731" builtinId="8" hidden="1"/>
    <cellStyle name="Lien hypertexte" xfId="2733" builtinId="8" hidden="1"/>
    <cellStyle name="Lien hypertexte" xfId="2735" builtinId="8" hidden="1"/>
    <cellStyle name="Lien hypertexte" xfId="2737" builtinId="8" hidden="1"/>
    <cellStyle name="Lien hypertexte" xfId="2739" builtinId="8" hidden="1"/>
    <cellStyle name="Lien hypertexte" xfId="2741" builtinId="8" hidden="1"/>
    <cellStyle name="Lien hypertexte" xfId="2743" builtinId="8" hidden="1"/>
    <cellStyle name="Lien hypertexte" xfId="2745" builtinId="8" hidden="1"/>
    <cellStyle name="Lien hypertexte" xfId="2747" builtinId="8" hidden="1"/>
    <cellStyle name="Lien hypertexte" xfId="2749" builtinId="8" hidden="1"/>
    <cellStyle name="Lien hypertexte" xfId="2751" builtinId="8" hidden="1"/>
    <cellStyle name="Lien hypertexte" xfId="2753" builtinId="8" hidden="1"/>
    <cellStyle name="Lien hypertexte" xfId="2755" builtinId="8" hidden="1"/>
    <cellStyle name="Lien hypertexte" xfId="2757" builtinId="8" hidden="1"/>
    <cellStyle name="Lien hypertexte" xfId="2759" builtinId="8" hidden="1"/>
    <cellStyle name="Lien hypertexte" xfId="2761" builtinId="8" hidden="1"/>
    <cellStyle name="Lien hypertexte" xfId="2763" builtinId="8" hidden="1"/>
    <cellStyle name="Lien hypertexte" xfId="2765" builtinId="8" hidden="1"/>
    <cellStyle name="Lien hypertexte" xfId="2767" builtinId="8" hidden="1"/>
    <cellStyle name="Lien hypertexte" xfId="2769" builtinId="8" hidden="1"/>
    <cellStyle name="Lien hypertexte" xfId="2771" builtinId="8" hidden="1"/>
    <cellStyle name="Lien hypertexte" xfId="2773" builtinId="8" hidden="1"/>
    <cellStyle name="Lien hypertexte" xfId="2775" builtinId="8" hidden="1"/>
    <cellStyle name="Lien hypertexte" xfId="2777" builtinId="8" hidden="1"/>
    <cellStyle name="Lien hypertexte" xfId="2779" builtinId="8" hidden="1"/>
    <cellStyle name="Lien hypertexte" xfId="2781" builtinId="8" hidden="1"/>
    <cellStyle name="Lien hypertexte" xfId="2783" builtinId="8" hidden="1"/>
    <cellStyle name="Lien hypertexte" xfId="2785" builtinId="8" hidden="1"/>
    <cellStyle name="Lien hypertexte" xfId="2787" builtinId="8" hidden="1"/>
    <cellStyle name="Lien hypertexte" xfId="2789" builtinId="8" hidden="1"/>
    <cellStyle name="Lien hypertexte" xfId="2791" builtinId="8" hidden="1"/>
    <cellStyle name="Lien hypertexte" xfId="2793" builtinId="8" hidden="1"/>
    <cellStyle name="Lien hypertexte" xfId="2795" builtinId="8" hidden="1"/>
    <cellStyle name="Lien hypertexte" xfId="2797" builtinId="8" hidden="1"/>
    <cellStyle name="Lien hypertexte" xfId="2799" builtinId="8" hidden="1"/>
    <cellStyle name="Lien hypertexte" xfId="2801" builtinId="8" hidden="1"/>
    <cellStyle name="Lien hypertexte" xfId="2803" builtinId="8" hidden="1"/>
    <cellStyle name="Lien hypertexte" xfId="2805" builtinId="8" hidden="1"/>
    <cellStyle name="Lien hypertexte" xfId="2807" builtinId="8" hidden="1"/>
    <cellStyle name="Lien hypertexte" xfId="2809" builtinId="8" hidden="1"/>
    <cellStyle name="Lien hypertexte" xfId="2811" builtinId="8" hidden="1"/>
    <cellStyle name="Lien hypertexte" xfId="2813" builtinId="8" hidden="1"/>
    <cellStyle name="Lien hypertexte" xfId="2815" builtinId="8" hidden="1"/>
    <cellStyle name="Lien hypertexte" xfId="2817" builtinId="8" hidden="1"/>
    <cellStyle name="Lien hypertexte" xfId="2819" builtinId="8" hidden="1"/>
    <cellStyle name="Lien hypertexte" xfId="2821" builtinId="8" hidden="1"/>
    <cellStyle name="Lien hypertexte" xfId="2823" builtinId="8" hidden="1"/>
    <cellStyle name="Lien hypertexte" xfId="2825" builtinId="8" hidden="1"/>
    <cellStyle name="Lien hypertexte" xfId="2827" builtinId="8" hidden="1"/>
    <cellStyle name="Lien hypertexte" xfId="2829" builtinId="8" hidden="1"/>
    <cellStyle name="Lien hypertexte" xfId="2831" builtinId="8" hidden="1"/>
    <cellStyle name="Lien hypertexte" xfId="2833" builtinId="8" hidden="1"/>
    <cellStyle name="Lien hypertexte" xfId="2835" builtinId="8" hidden="1"/>
    <cellStyle name="Lien hypertexte" xfId="2837" builtinId="8" hidden="1"/>
    <cellStyle name="Lien hypertexte" xfId="2839" builtinId="8" hidden="1"/>
    <cellStyle name="Lien hypertexte" xfId="2841" builtinId="8" hidden="1"/>
    <cellStyle name="Lien hypertexte" xfId="2843" builtinId="8" hidden="1"/>
    <cellStyle name="Lien hypertexte" xfId="2845" builtinId="8" hidden="1"/>
    <cellStyle name="Lien hypertexte" xfId="2847" builtinId="8" hidden="1"/>
    <cellStyle name="Lien hypertexte" xfId="2849" builtinId="8" hidden="1"/>
    <cellStyle name="Lien hypertexte" xfId="2851" builtinId="8" hidden="1"/>
    <cellStyle name="Lien hypertexte" xfId="2853" builtinId="8" hidden="1"/>
    <cellStyle name="Lien hypertexte" xfId="2855" builtinId="8" hidden="1"/>
    <cellStyle name="Lien hypertexte" xfId="2857" builtinId="8" hidden="1"/>
    <cellStyle name="Lien hypertexte" xfId="2859" builtinId="8" hidden="1"/>
    <cellStyle name="Lien hypertexte" xfId="2861" builtinId="8" hidden="1"/>
    <cellStyle name="Lien hypertexte" xfId="2863" builtinId="8" hidden="1"/>
    <cellStyle name="Lien hypertexte" xfId="2865" builtinId="8" hidden="1"/>
    <cellStyle name="Lien hypertexte" xfId="2867" builtinId="8" hidden="1"/>
    <cellStyle name="Lien hypertexte" xfId="2869" builtinId="8" hidden="1"/>
    <cellStyle name="Lien hypertexte" xfId="2871" builtinId="8" hidden="1"/>
    <cellStyle name="Lien hypertexte" xfId="2873" builtinId="8" hidden="1"/>
    <cellStyle name="Lien hypertexte" xfId="2875" builtinId="8" hidden="1"/>
    <cellStyle name="Lien hypertexte" xfId="2877" builtinId="8" hidden="1"/>
    <cellStyle name="Lien hypertexte" xfId="2879" builtinId="8" hidden="1"/>
    <cellStyle name="Lien hypertexte" xfId="2881" builtinId="8" hidden="1"/>
    <cellStyle name="Lien hypertexte" xfId="2883" builtinId="8" hidden="1"/>
    <cellStyle name="Lien hypertexte" xfId="2885" builtinId="8" hidden="1"/>
    <cellStyle name="Lien hypertexte" xfId="2887" builtinId="8" hidden="1"/>
    <cellStyle name="Lien hypertexte" xfId="2889" builtinId="8" hidden="1"/>
    <cellStyle name="Lien hypertexte" xfId="2891" builtinId="8" hidden="1"/>
    <cellStyle name="Lien hypertexte" xfId="2893" builtinId="8" hidden="1"/>
    <cellStyle name="Lien hypertexte" xfId="2895" builtinId="8" hidden="1"/>
    <cellStyle name="Lien hypertexte" xfId="2897" builtinId="8" hidden="1"/>
    <cellStyle name="Lien hypertexte" xfId="2899" builtinId="8" hidden="1"/>
    <cellStyle name="Lien hypertexte" xfId="2901" builtinId="8" hidden="1"/>
    <cellStyle name="Lien hypertexte" xfId="2903" builtinId="8" hidden="1"/>
    <cellStyle name="Lien hypertexte" xfId="2905" builtinId="8" hidden="1"/>
    <cellStyle name="Lien hypertexte" xfId="2907" builtinId="8" hidden="1"/>
    <cellStyle name="Lien hypertexte" xfId="2909" builtinId="8" hidden="1"/>
    <cellStyle name="Lien hypertexte" xfId="2911" builtinId="8" hidden="1"/>
    <cellStyle name="Lien hypertexte" xfId="2913" builtinId="8" hidden="1"/>
    <cellStyle name="Lien hypertexte" xfId="2915" builtinId="8" hidden="1"/>
    <cellStyle name="Lien hypertexte" xfId="2917" builtinId="8" hidden="1"/>
    <cellStyle name="Lien hypertexte" xfId="2919" builtinId="8" hidden="1"/>
    <cellStyle name="Lien hypertexte" xfId="2921" builtinId="8" hidden="1"/>
    <cellStyle name="Lien hypertexte" xfId="2923" builtinId="8" hidden="1"/>
    <cellStyle name="Lien hypertexte" xfId="2925" builtinId="8" hidden="1"/>
    <cellStyle name="Lien hypertexte" xfId="2927" builtinId="8" hidden="1"/>
    <cellStyle name="Lien hypertexte" xfId="2929" builtinId="8" hidden="1"/>
    <cellStyle name="Lien hypertexte" xfId="2931" builtinId="8" hidden="1"/>
    <cellStyle name="Lien hypertexte" xfId="2933" builtinId="8" hidden="1"/>
    <cellStyle name="Lien hypertexte" xfId="2935" builtinId="8" hidden="1"/>
    <cellStyle name="Lien hypertexte" xfId="2937" builtinId="8" hidden="1"/>
    <cellStyle name="Lien hypertexte" xfId="2939" builtinId="8" hidden="1"/>
    <cellStyle name="Lien hypertexte" xfId="2941" builtinId="8" hidden="1"/>
    <cellStyle name="Lien hypertexte" xfId="2943" builtinId="8" hidden="1"/>
    <cellStyle name="Lien hypertexte" xfId="2945" builtinId="8" hidden="1"/>
    <cellStyle name="Lien hypertexte" xfId="2947" builtinId="8" hidden="1"/>
    <cellStyle name="Lien hypertexte" xfId="2949" builtinId="8" hidden="1"/>
    <cellStyle name="Lien hypertexte" xfId="2951" builtinId="8" hidden="1"/>
    <cellStyle name="Lien hypertexte" xfId="2953" builtinId="8" hidden="1"/>
    <cellStyle name="Lien hypertexte" xfId="2955" builtinId="8" hidden="1"/>
    <cellStyle name="Lien hypertexte" xfId="2957" builtinId="8" hidden="1"/>
    <cellStyle name="Lien hypertexte" xfId="2959" builtinId="8" hidden="1"/>
    <cellStyle name="Lien hypertexte" xfId="2961" builtinId="8" hidden="1"/>
    <cellStyle name="Lien hypertexte" xfId="2963" builtinId="8" hidden="1"/>
    <cellStyle name="Lien hypertexte" xfId="2965" builtinId="8" hidden="1"/>
    <cellStyle name="Lien hypertexte" xfId="2967" builtinId="8" hidden="1"/>
    <cellStyle name="Lien hypertexte" xfId="2969" builtinId="8" hidden="1"/>
    <cellStyle name="Lien hypertexte" xfId="2971" builtinId="8" hidden="1"/>
    <cellStyle name="Lien hypertexte" xfId="2973" builtinId="8" hidden="1"/>
    <cellStyle name="Lien hypertexte" xfId="2975" builtinId="8" hidden="1"/>
    <cellStyle name="Lien hypertexte" xfId="2977" builtinId="8" hidden="1"/>
    <cellStyle name="Lien hypertexte" xfId="2979" builtinId="8" hidden="1"/>
    <cellStyle name="Lien hypertexte" xfId="2981" builtinId="8" hidden="1"/>
    <cellStyle name="Lien hypertexte" xfId="2983" builtinId="8" hidden="1"/>
    <cellStyle name="Lien hypertexte" xfId="2985" builtinId="8" hidden="1"/>
    <cellStyle name="Lien hypertexte" xfId="2987" builtinId="8" hidden="1"/>
    <cellStyle name="Lien hypertexte" xfId="2989" builtinId="8" hidden="1"/>
    <cellStyle name="Lien hypertexte" xfId="2991" builtinId="8" hidden="1"/>
    <cellStyle name="Lien hypertexte" xfId="2993" builtinId="8" hidden="1"/>
    <cellStyle name="Lien hypertexte" xfId="2995" builtinId="8" hidden="1"/>
    <cellStyle name="Lien hypertexte" xfId="2997" builtinId="8" hidden="1"/>
    <cellStyle name="Lien hypertexte" xfId="2999" builtinId="8" hidden="1"/>
    <cellStyle name="Lien hypertexte" xfId="3001" builtinId="8" hidden="1"/>
    <cellStyle name="Lien hypertexte" xfId="3003" builtinId="8" hidden="1"/>
    <cellStyle name="Lien hypertexte" xfId="3005" builtinId="8" hidden="1"/>
    <cellStyle name="Lien hypertexte" xfId="3007" builtinId="8" hidden="1"/>
    <cellStyle name="Lien hypertexte" xfId="3009" builtinId="8" hidden="1"/>
    <cellStyle name="Lien hypertexte" xfId="3011" builtinId="8" hidden="1"/>
    <cellStyle name="Lien hypertexte" xfId="3013" builtinId="8" hidden="1"/>
    <cellStyle name="Lien hypertexte" xfId="3015" builtinId="8" hidden="1"/>
    <cellStyle name="Lien hypertexte" xfId="3017" builtinId="8" hidden="1"/>
    <cellStyle name="Lien hypertexte" xfId="3019" builtinId="8" hidden="1"/>
    <cellStyle name="Lien hypertexte" xfId="3021" builtinId="8" hidden="1"/>
    <cellStyle name="Lien hypertexte" xfId="3023" builtinId="8" hidden="1"/>
    <cellStyle name="Lien hypertexte" xfId="3025" builtinId="8" hidden="1"/>
    <cellStyle name="Lien hypertexte" xfId="3027" builtinId="8" hidden="1"/>
    <cellStyle name="Lien hypertexte" xfId="3029" builtinId="8" hidden="1"/>
    <cellStyle name="Lien hypertexte" xfId="3031" builtinId="8" hidden="1"/>
    <cellStyle name="Lien hypertexte" xfId="3033" builtinId="8" hidden="1"/>
    <cellStyle name="Lien hypertexte" xfId="3035" builtinId="8" hidden="1"/>
    <cellStyle name="Lien hypertexte" xfId="3037" builtinId="8" hidden="1"/>
    <cellStyle name="Lien hypertexte" xfId="3039" builtinId="8" hidden="1"/>
    <cellStyle name="Lien hypertexte" xfId="3041" builtinId="8" hidden="1"/>
    <cellStyle name="Lien hypertexte" xfId="3043" builtinId="8" hidden="1"/>
    <cellStyle name="Lien hypertexte" xfId="3045" builtinId="8" hidden="1"/>
    <cellStyle name="Lien hypertexte" xfId="3047" builtinId="8" hidden="1"/>
    <cellStyle name="Lien hypertexte" xfId="3049" builtinId="8" hidden="1"/>
    <cellStyle name="Lien hypertexte" xfId="3051" builtinId="8" hidden="1"/>
    <cellStyle name="Lien hypertexte" xfId="3053" builtinId="8" hidden="1"/>
    <cellStyle name="Lien hypertexte" xfId="3055" builtinId="8" hidden="1"/>
    <cellStyle name="Lien hypertexte" xfId="3057" builtinId="8" hidden="1"/>
    <cellStyle name="Lien hypertexte" xfId="3059" builtinId="8" hidden="1"/>
    <cellStyle name="Lien hypertexte" xfId="3061" builtinId="8" hidden="1"/>
    <cellStyle name="Lien hypertexte" xfId="3063" builtinId="8" hidden="1"/>
    <cellStyle name="Lien hypertexte" xfId="3065" builtinId="8" hidden="1"/>
    <cellStyle name="Lien hypertexte" xfId="3067" builtinId="8" hidden="1"/>
    <cellStyle name="Lien hypertexte" xfId="3069" builtinId="8" hidden="1"/>
    <cellStyle name="Lien hypertexte" xfId="3071" builtinId="8" hidden="1"/>
    <cellStyle name="Lien hypertexte" xfId="3073" builtinId="8" hidden="1"/>
    <cellStyle name="Lien hypertexte" xfId="3075" builtinId="8" hidden="1"/>
    <cellStyle name="Lien hypertexte" xfId="3077" builtinId="8" hidden="1"/>
    <cellStyle name="Lien hypertexte" xfId="3079" builtinId="8" hidden="1"/>
    <cellStyle name="Lien hypertexte" xfId="3081" builtinId="8" hidden="1"/>
    <cellStyle name="Lien hypertexte" xfId="3083" builtinId="8" hidden="1"/>
    <cellStyle name="Lien hypertexte" xfId="3085" builtinId="8" hidden="1"/>
    <cellStyle name="Lien hypertexte" xfId="3087" builtinId="8" hidden="1"/>
    <cellStyle name="Lien hypertexte" xfId="3089" builtinId="8" hidden="1"/>
    <cellStyle name="Lien hypertexte" xfId="3091" builtinId="8" hidden="1"/>
    <cellStyle name="Lien hypertexte" xfId="3093" builtinId="8" hidden="1"/>
    <cellStyle name="Lien hypertexte" xfId="3095" builtinId="8" hidden="1"/>
    <cellStyle name="Lien hypertexte" xfId="3097" builtinId="8" hidden="1"/>
    <cellStyle name="Lien hypertexte" xfId="3099" builtinId="8" hidden="1"/>
    <cellStyle name="Lien hypertexte" xfId="3101" builtinId="8" hidden="1"/>
    <cellStyle name="Lien hypertexte" xfId="3103" builtinId="8" hidden="1"/>
    <cellStyle name="Lien hypertexte" xfId="3105" builtinId="8" hidden="1"/>
    <cellStyle name="Lien hypertexte" xfId="3107" builtinId="8" hidden="1"/>
    <cellStyle name="Lien hypertexte" xfId="3109" builtinId="8" hidden="1"/>
    <cellStyle name="Lien hypertexte" xfId="3111" builtinId="8" hidden="1"/>
    <cellStyle name="Lien hypertexte" xfId="3113" builtinId="8" hidden="1"/>
    <cellStyle name="Lien hypertexte" xfId="3115" builtinId="8" hidden="1"/>
    <cellStyle name="Lien hypertexte" xfId="3117" builtinId="8" hidden="1"/>
    <cellStyle name="Lien hypertexte" xfId="3119" builtinId="8" hidden="1"/>
    <cellStyle name="Lien hypertexte" xfId="3121" builtinId="8" hidden="1"/>
    <cellStyle name="Lien hypertexte" xfId="3123" builtinId="8" hidden="1"/>
    <cellStyle name="Lien hypertexte" xfId="3125" builtinId="8" hidden="1"/>
    <cellStyle name="Lien hypertexte" xfId="3127" builtinId="8" hidden="1"/>
    <cellStyle name="Lien hypertexte" xfId="3129" builtinId="8" hidden="1"/>
    <cellStyle name="Lien hypertexte" xfId="3131" builtinId="8" hidden="1"/>
    <cellStyle name="Lien hypertexte" xfId="3133" builtinId="8" hidden="1"/>
    <cellStyle name="Lien hypertexte" xfId="3135" builtinId="8" hidden="1"/>
    <cellStyle name="Lien hypertexte" xfId="3137" builtinId="8" hidden="1"/>
    <cellStyle name="Lien hypertexte" xfId="3139" builtinId="8" hidden="1"/>
    <cellStyle name="Lien hypertexte" xfId="3141" builtinId="8" hidden="1"/>
    <cellStyle name="Lien hypertexte" xfId="3143" builtinId="8" hidden="1"/>
    <cellStyle name="Lien hypertexte" xfId="3145" builtinId="8" hidden="1"/>
    <cellStyle name="Lien hypertexte" xfId="3147" builtinId="8" hidden="1"/>
    <cellStyle name="Lien hypertexte" xfId="3149" builtinId="8" hidden="1"/>
    <cellStyle name="Lien hypertexte" xfId="3151" builtinId="8" hidden="1"/>
    <cellStyle name="Lien hypertexte" xfId="3153" builtinId="8" hidden="1"/>
    <cellStyle name="Lien hypertexte" xfId="3155" builtinId="8" hidden="1"/>
    <cellStyle name="Lien hypertexte" xfId="3157" builtinId="8" hidden="1"/>
    <cellStyle name="Lien hypertexte" xfId="3159" builtinId="8" hidden="1"/>
    <cellStyle name="Lien hypertexte" xfId="3161" builtinId="8" hidden="1"/>
    <cellStyle name="Lien hypertexte" xfId="3163" builtinId="8" hidden="1"/>
    <cellStyle name="Lien hypertexte" xfId="3165" builtinId="8" hidden="1"/>
    <cellStyle name="Lien hypertexte" xfId="3167" builtinId="8" hidden="1"/>
    <cellStyle name="Lien hypertexte" xfId="3169" builtinId="8" hidden="1"/>
    <cellStyle name="Lien hypertexte" xfId="3171" builtinId="8" hidden="1"/>
    <cellStyle name="Lien hypertexte" xfId="3173" builtinId="8" hidden="1"/>
    <cellStyle name="Lien hypertexte" xfId="3175" builtinId="8" hidden="1"/>
    <cellStyle name="Lien hypertexte" xfId="3177" builtinId="8" hidden="1"/>
    <cellStyle name="Lien hypertexte" xfId="3179" builtinId="8" hidden="1"/>
    <cellStyle name="Lien hypertexte" xfId="3181" builtinId="8" hidden="1"/>
    <cellStyle name="Lien hypertexte" xfId="3183" builtinId="8" hidden="1"/>
    <cellStyle name="Lien hypertexte" xfId="3185" builtinId="8" hidden="1"/>
    <cellStyle name="Lien hypertexte" xfId="3187" builtinId="8" hidden="1"/>
    <cellStyle name="Lien hypertexte" xfId="3189" builtinId="8" hidden="1"/>
    <cellStyle name="Lien hypertexte" xfId="3191" builtinId="8" hidden="1"/>
    <cellStyle name="Lien hypertexte" xfId="3193" builtinId="8" hidden="1"/>
    <cellStyle name="Lien hypertexte" xfId="3195" builtinId="8" hidden="1"/>
    <cellStyle name="Lien hypertexte" xfId="3197" builtinId="8" hidden="1"/>
    <cellStyle name="Lien hypertexte" xfId="3199" builtinId="8" hidden="1"/>
    <cellStyle name="Lien hypertexte" xfId="3201" builtinId="8" hidden="1"/>
    <cellStyle name="Lien hypertexte" xfId="3203" builtinId="8" hidden="1"/>
    <cellStyle name="Lien hypertexte" xfId="3205" builtinId="8" hidden="1"/>
    <cellStyle name="Lien hypertexte" xfId="3207" builtinId="8" hidden="1"/>
    <cellStyle name="Lien hypertexte" xfId="3209" builtinId="8" hidden="1"/>
    <cellStyle name="Lien hypertexte" xfId="3211" builtinId="8" hidden="1"/>
    <cellStyle name="Lien hypertexte" xfId="3213" builtinId="8" hidden="1"/>
    <cellStyle name="Lien hypertexte" xfId="3215" builtinId="8" hidden="1"/>
    <cellStyle name="Lien hypertexte" xfId="3217" builtinId="8" hidden="1"/>
    <cellStyle name="Lien hypertexte" xfId="3219" builtinId="8" hidden="1"/>
    <cellStyle name="Lien hypertexte" xfId="3221" builtinId="8" hidden="1"/>
    <cellStyle name="Lien hypertexte" xfId="3223" builtinId="8" hidden="1"/>
    <cellStyle name="Lien hypertexte" xfId="3225" builtinId="8" hidden="1"/>
    <cellStyle name="Lien hypertexte" xfId="3227" builtinId="8" hidden="1"/>
    <cellStyle name="Lien hypertexte" xfId="3229" builtinId="8" hidden="1"/>
    <cellStyle name="Lien hypertexte" xfId="3231" builtinId="8" hidden="1"/>
    <cellStyle name="Lien hypertexte" xfId="3233" builtinId="8" hidden="1"/>
    <cellStyle name="Lien hypertexte" xfId="3235" builtinId="8" hidden="1"/>
    <cellStyle name="Lien hypertexte" xfId="3237" builtinId="8" hidden="1"/>
    <cellStyle name="Lien hypertexte" xfId="3239" builtinId="8" hidden="1"/>
    <cellStyle name="Lien hypertexte" xfId="3241" builtinId="8" hidden="1"/>
    <cellStyle name="Lien hypertexte" xfId="3243" builtinId="8" hidden="1"/>
    <cellStyle name="Lien hypertexte" xfId="3245" builtinId="8" hidden="1"/>
    <cellStyle name="Lien hypertexte" xfId="3247" builtinId="8" hidden="1"/>
    <cellStyle name="Lien hypertexte" xfId="3249" builtinId="8" hidden="1"/>
    <cellStyle name="Lien hypertexte" xfId="3251" builtinId="8" hidden="1"/>
    <cellStyle name="Lien hypertexte" xfId="3253" builtinId="8" hidden="1"/>
    <cellStyle name="Lien hypertexte" xfId="3255" builtinId="8" hidden="1"/>
    <cellStyle name="Lien hypertexte" xfId="3257" builtinId="8" hidden="1"/>
    <cellStyle name="Lien hypertexte" xfId="3259" builtinId="8" hidden="1"/>
    <cellStyle name="Lien hypertexte" xfId="3261" builtinId="8" hidden="1"/>
    <cellStyle name="Lien hypertexte" xfId="3263" builtinId="8" hidden="1"/>
    <cellStyle name="Lien hypertexte" xfId="3265" builtinId="8" hidden="1"/>
    <cellStyle name="Lien hypertexte" xfId="3267" builtinId="8" hidden="1"/>
    <cellStyle name="Lien hypertexte" xfId="3269" builtinId="8" hidden="1"/>
    <cellStyle name="Lien hypertexte" xfId="3271" builtinId="8" hidden="1"/>
    <cellStyle name="Lien hypertexte" xfId="3273" builtinId="8" hidden="1"/>
    <cellStyle name="Lien hypertexte" xfId="3275" builtinId="8" hidden="1"/>
    <cellStyle name="Lien hypertexte" xfId="3277" builtinId="8" hidden="1"/>
    <cellStyle name="Lien hypertexte" xfId="3279" builtinId="8" hidden="1"/>
    <cellStyle name="Lien hypertexte" xfId="3281" builtinId="8" hidden="1"/>
    <cellStyle name="Lien hypertexte" xfId="3283" builtinId="8" hidden="1"/>
    <cellStyle name="Lien hypertexte" xfId="3285" builtinId="8" hidden="1"/>
    <cellStyle name="Lien hypertexte" xfId="3287" builtinId="8" hidden="1"/>
    <cellStyle name="Lien hypertexte" xfId="3289" builtinId="8" hidden="1"/>
    <cellStyle name="Lien hypertexte" xfId="3291" builtinId="8" hidden="1"/>
    <cellStyle name="Lien hypertexte" xfId="3293" builtinId="8" hidden="1"/>
    <cellStyle name="Lien hypertexte" xfId="3295" builtinId="8" hidden="1"/>
    <cellStyle name="Lien hypertexte" xfId="3297" builtinId="8" hidden="1"/>
    <cellStyle name="Lien hypertexte" xfId="3299" builtinId="8" hidden="1"/>
    <cellStyle name="Lien hypertexte" xfId="3301" builtinId="8" hidden="1"/>
    <cellStyle name="Lien hypertexte" xfId="3303" builtinId="8" hidden="1"/>
    <cellStyle name="Lien hypertexte" xfId="3305" builtinId="8" hidden="1"/>
    <cellStyle name="Lien hypertexte" xfId="3307" builtinId="8" hidden="1"/>
    <cellStyle name="Lien hypertexte" xfId="3309" builtinId="8" hidden="1"/>
    <cellStyle name="Lien hypertexte" xfId="3311" builtinId="8" hidden="1"/>
    <cellStyle name="Lien hypertexte" xfId="3313" builtinId="8" hidden="1"/>
    <cellStyle name="Lien hypertexte" xfId="3315" builtinId="8" hidden="1"/>
    <cellStyle name="Lien hypertexte" xfId="3317" builtinId="8" hidden="1"/>
    <cellStyle name="Lien hypertexte" xfId="3319" builtinId="8" hidden="1"/>
    <cellStyle name="Lien hypertexte" xfId="3321" builtinId="8" hidden="1"/>
    <cellStyle name="Lien hypertexte" xfId="3323" builtinId="8" hidden="1"/>
    <cellStyle name="Lien hypertexte" xfId="3325" builtinId="8" hidden="1"/>
    <cellStyle name="Lien hypertexte" xfId="3327" builtinId="8" hidden="1"/>
    <cellStyle name="Lien hypertexte" xfId="3329" builtinId="8" hidden="1"/>
    <cellStyle name="Lien hypertexte" xfId="3331" builtinId="8" hidden="1"/>
    <cellStyle name="Lien hypertexte" xfId="3333" builtinId="8" hidden="1"/>
    <cellStyle name="Lien hypertexte" xfId="3335" builtinId="8" hidden="1"/>
    <cellStyle name="Lien hypertexte" xfId="3337" builtinId="8" hidden="1"/>
    <cellStyle name="Lien hypertexte" xfId="3339" builtinId="8" hidden="1"/>
    <cellStyle name="Lien hypertexte" xfId="3341" builtinId="8" hidden="1"/>
    <cellStyle name="Lien hypertexte" xfId="3343" builtinId="8" hidden="1"/>
    <cellStyle name="Lien hypertexte" xfId="3345" builtinId="8" hidden="1"/>
    <cellStyle name="Lien hypertexte" xfId="3347" builtinId="8" hidden="1"/>
    <cellStyle name="Lien hypertexte" xfId="3349" builtinId="8" hidden="1"/>
    <cellStyle name="Lien hypertexte" xfId="3351" builtinId="8" hidden="1"/>
    <cellStyle name="Lien hypertexte" xfId="3353" builtinId="8" hidden="1"/>
    <cellStyle name="Lien hypertexte" xfId="3355" builtinId="8" hidden="1"/>
    <cellStyle name="Lien hypertexte" xfId="3357" builtinId="8" hidden="1"/>
    <cellStyle name="Lien hypertexte" xfId="3359" builtinId="8" hidden="1"/>
    <cellStyle name="Lien hypertexte" xfId="3361" builtinId="8" hidden="1"/>
    <cellStyle name="Lien hypertexte" xfId="3363" builtinId="8" hidden="1"/>
    <cellStyle name="Lien hypertexte" xfId="3365" builtinId="8" hidden="1"/>
    <cellStyle name="Lien hypertexte" xfId="3367" builtinId="8" hidden="1"/>
    <cellStyle name="Lien hypertexte" xfId="3369" builtinId="8" hidden="1"/>
    <cellStyle name="Lien hypertexte" xfId="3371" builtinId="8" hidden="1"/>
    <cellStyle name="Lien hypertexte" xfId="3373" builtinId="8" hidden="1"/>
    <cellStyle name="Lien hypertexte" xfId="3375" builtinId="8" hidden="1"/>
    <cellStyle name="Lien hypertexte" xfId="3377" builtinId="8" hidden="1"/>
    <cellStyle name="Lien hypertexte" xfId="3379" builtinId="8" hidden="1"/>
    <cellStyle name="Lien hypertexte" xfId="3381" builtinId="8" hidden="1"/>
    <cellStyle name="Lien hypertexte" xfId="3383" builtinId="8" hidden="1"/>
    <cellStyle name="Lien hypertexte" xfId="3385" builtinId="8" hidden="1"/>
    <cellStyle name="Lien hypertexte" xfId="3387" builtinId="8" hidden="1"/>
    <cellStyle name="Lien hypertexte" xfId="3389" builtinId="8" hidden="1"/>
    <cellStyle name="Lien hypertexte" xfId="3391" builtinId="8" hidden="1"/>
    <cellStyle name="Lien hypertexte" xfId="3393" builtinId="8" hidden="1"/>
    <cellStyle name="Lien hypertexte" xfId="3395" builtinId="8" hidden="1"/>
    <cellStyle name="Lien hypertexte" xfId="3397" builtinId="8" hidden="1"/>
    <cellStyle name="Lien hypertexte" xfId="3399" builtinId="8" hidden="1"/>
    <cellStyle name="Lien hypertexte" xfId="3401" builtinId="8" hidden="1"/>
    <cellStyle name="Lien hypertexte" xfId="3403" builtinId="8" hidden="1"/>
    <cellStyle name="Lien hypertexte" xfId="3405" builtinId="8" hidden="1"/>
    <cellStyle name="Lien hypertexte" xfId="3407" builtinId="8" hidden="1"/>
    <cellStyle name="Lien hypertexte" xfId="3409" builtinId="8" hidden="1"/>
    <cellStyle name="Lien hypertexte" xfId="3411" builtinId="8" hidden="1"/>
    <cellStyle name="Lien hypertexte" xfId="3413" builtinId="8" hidden="1"/>
    <cellStyle name="Lien hypertexte" xfId="3415" builtinId="8" hidden="1"/>
    <cellStyle name="Lien hypertexte" xfId="3417" builtinId="8" hidden="1"/>
    <cellStyle name="Lien hypertexte" xfId="3419" builtinId="8" hidden="1"/>
    <cellStyle name="Lien hypertexte" xfId="3421" builtinId="8" hidden="1"/>
    <cellStyle name="Lien hypertexte" xfId="3423" builtinId="8" hidden="1"/>
    <cellStyle name="Lien hypertexte" xfId="3425" builtinId="8" hidden="1"/>
    <cellStyle name="Lien hypertexte" xfId="3427" builtinId="8" hidden="1"/>
    <cellStyle name="Lien hypertexte" xfId="3429" builtinId="8" hidden="1"/>
    <cellStyle name="Lien hypertexte" xfId="3431" builtinId="8" hidden="1"/>
    <cellStyle name="Lien hypertexte" xfId="3433" builtinId="8" hidden="1"/>
    <cellStyle name="Lien hypertexte" xfId="3435" builtinId="8" hidden="1"/>
    <cellStyle name="Lien hypertexte" xfId="3437" builtinId="8" hidden="1"/>
    <cellStyle name="Lien hypertexte" xfId="3439" builtinId="8" hidden="1"/>
    <cellStyle name="Lien hypertexte" xfId="3441" builtinId="8" hidden="1"/>
    <cellStyle name="Lien hypertexte" xfId="3443" builtinId="8" hidden="1"/>
    <cellStyle name="Lien hypertexte" xfId="3445" builtinId="8" hidden="1"/>
    <cellStyle name="Lien hypertexte" xfId="3447" builtinId="8" hidden="1"/>
    <cellStyle name="Lien hypertexte" xfId="3449" builtinId="8" hidden="1"/>
    <cellStyle name="Lien hypertexte" xfId="3451" builtinId="8" hidden="1"/>
    <cellStyle name="Lien hypertexte" xfId="3453" builtinId="8" hidden="1"/>
    <cellStyle name="Lien hypertexte" xfId="3455" builtinId="8" hidden="1"/>
    <cellStyle name="Lien hypertexte" xfId="3457" builtinId="8" hidden="1"/>
    <cellStyle name="Lien hypertexte" xfId="3459" builtinId="8" hidden="1"/>
    <cellStyle name="Lien hypertexte" xfId="3461" builtinId="8" hidden="1"/>
    <cellStyle name="Lien hypertexte" xfId="3463" builtinId="8" hidden="1"/>
    <cellStyle name="Lien hypertexte" xfId="3465" builtinId="8" hidden="1"/>
    <cellStyle name="Lien hypertexte" xfId="3467" builtinId="8" hidden="1"/>
    <cellStyle name="Lien hypertexte" xfId="3469" builtinId="8" hidden="1"/>
    <cellStyle name="Lien hypertexte" xfId="3471" builtinId="8" hidden="1"/>
    <cellStyle name="Lien hypertexte" xfId="3473" builtinId="8" hidden="1"/>
    <cellStyle name="Lien hypertexte" xfId="3475" builtinId="8" hidden="1"/>
    <cellStyle name="Lien hypertexte" xfId="3477" builtinId="8" hidden="1"/>
    <cellStyle name="Lien hypertexte" xfId="3479" builtinId="8" hidden="1"/>
    <cellStyle name="Lien hypertexte" xfId="3481" builtinId="8" hidden="1"/>
    <cellStyle name="Lien hypertexte" xfId="3483" builtinId="8" hidden="1"/>
    <cellStyle name="Lien hypertexte" xfId="3485" builtinId="8" hidden="1"/>
    <cellStyle name="Lien hypertexte" xfId="3487" builtinId="8" hidden="1"/>
    <cellStyle name="Lien hypertexte" xfId="3489" builtinId="8" hidden="1"/>
    <cellStyle name="Lien hypertexte" xfId="3491" builtinId="8" hidden="1"/>
    <cellStyle name="Lien hypertexte" xfId="3493" builtinId="8" hidden="1"/>
    <cellStyle name="Lien hypertexte" xfId="3495" builtinId="8" hidden="1"/>
    <cellStyle name="Lien hypertexte" xfId="3497" builtinId="8" hidden="1"/>
    <cellStyle name="Lien hypertexte" xfId="3499" builtinId="8" hidden="1"/>
    <cellStyle name="Lien hypertexte" xfId="3501" builtinId="8" hidden="1"/>
    <cellStyle name="Lien hypertexte" xfId="3503" builtinId="8" hidden="1"/>
    <cellStyle name="Lien hypertexte" xfId="3505" builtinId="8" hidden="1"/>
    <cellStyle name="Lien hypertexte" xfId="3507" builtinId="8" hidden="1"/>
    <cellStyle name="Lien hypertexte" xfId="3509" builtinId="8" hidden="1"/>
    <cellStyle name="Lien hypertexte" xfId="3511" builtinId="8" hidden="1"/>
    <cellStyle name="Lien hypertexte" xfId="3513" builtinId="8" hidden="1"/>
    <cellStyle name="Lien hypertexte" xfId="3515" builtinId="8" hidden="1"/>
    <cellStyle name="Lien hypertexte" xfId="3517" builtinId="8" hidden="1"/>
    <cellStyle name="Lien hypertexte" xfId="3519" builtinId="8" hidden="1"/>
    <cellStyle name="Lien hypertexte" xfId="3521" builtinId="8" hidden="1"/>
    <cellStyle name="Lien hypertexte" xfId="3523" builtinId="8" hidden="1"/>
    <cellStyle name="Lien hypertexte" xfId="3525" builtinId="8" hidden="1"/>
    <cellStyle name="Lien hypertexte" xfId="3527" builtinId="8" hidden="1"/>
    <cellStyle name="Lien hypertexte" xfId="3529" builtinId="8" hidden="1"/>
    <cellStyle name="Lien hypertexte" xfId="3531" builtinId="8" hidden="1"/>
    <cellStyle name="Lien hypertexte" xfId="3533" builtinId="8" hidden="1"/>
    <cellStyle name="Lien hypertexte" xfId="3535" builtinId="8" hidden="1"/>
    <cellStyle name="Lien hypertexte" xfId="3537" builtinId="8" hidden="1"/>
    <cellStyle name="Lien hypertexte" xfId="3539" builtinId="8" hidden="1"/>
    <cellStyle name="Lien hypertexte" xfId="3541" builtinId="8" hidden="1"/>
    <cellStyle name="Lien hypertexte" xfId="3543" builtinId="8" hidden="1"/>
    <cellStyle name="Lien hypertexte" xfId="3545" builtinId="8" hidden="1"/>
    <cellStyle name="Lien hypertexte" xfId="3547" builtinId="8" hidden="1"/>
    <cellStyle name="Lien hypertexte" xfId="3549" builtinId="8" hidden="1"/>
    <cellStyle name="Lien hypertexte" xfId="3551" builtinId="8" hidden="1"/>
    <cellStyle name="Lien hypertexte" xfId="3553" builtinId="8" hidden="1"/>
    <cellStyle name="Lien hypertexte" xfId="3555" builtinId="8" hidden="1"/>
    <cellStyle name="Lien hypertexte" xfId="3557" builtinId="8" hidden="1"/>
    <cellStyle name="Lien hypertexte" xfId="3559" builtinId="8" hidden="1"/>
    <cellStyle name="Lien hypertexte" xfId="3561" builtinId="8" hidden="1"/>
    <cellStyle name="Lien hypertexte" xfId="3563" builtinId="8" hidden="1"/>
    <cellStyle name="Lien hypertexte" xfId="3565" builtinId="8" hidden="1"/>
    <cellStyle name="Lien hypertexte" xfId="3567" builtinId="8" hidden="1"/>
    <cellStyle name="Lien hypertexte" xfId="3569" builtinId="8" hidden="1"/>
    <cellStyle name="Lien hypertexte" xfId="3571" builtinId="8" hidden="1"/>
    <cellStyle name="Lien hypertexte" xfId="3573" builtinId="8" hidden="1"/>
    <cellStyle name="Lien hypertexte" xfId="3575" builtinId="8" hidden="1"/>
    <cellStyle name="Lien hypertexte" xfId="3577" builtinId="8" hidden="1"/>
    <cellStyle name="Lien hypertexte" xfId="3579" builtinId="8" hidden="1"/>
    <cellStyle name="Lien hypertexte" xfId="3581" builtinId="8" hidden="1"/>
    <cellStyle name="Lien hypertexte" xfId="3583" builtinId="8" hidden="1"/>
    <cellStyle name="Lien hypertexte" xfId="3585" builtinId="8" hidden="1"/>
    <cellStyle name="Lien hypertexte" xfId="3587" builtinId="8" hidden="1"/>
    <cellStyle name="Lien hypertexte" xfId="3589" builtinId="8" hidden="1"/>
    <cellStyle name="Lien hypertexte" xfId="3591" builtinId="8" hidden="1"/>
    <cellStyle name="Lien hypertexte" xfId="3593" builtinId="8" hidden="1"/>
    <cellStyle name="Lien hypertexte" xfId="3595" builtinId="8" hidden="1"/>
    <cellStyle name="Lien hypertexte" xfId="3597" builtinId="8" hidden="1"/>
    <cellStyle name="Lien hypertexte" xfId="3599" builtinId="8" hidden="1"/>
    <cellStyle name="Lien hypertexte" xfId="3601" builtinId="8" hidden="1"/>
    <cellStyle name="Lien hypertexte" xfId="3603" builtinId="8" hidden="1"/>
    <cellStyle name="Lien hypertexte" xfId="3605" builtinId="8" hidden="1"/>
    <cellStyle name="Lien hypertexte" xfId="3607" builtinId="8" hidden="1"/>
    <cellStyle name="Lien hypertexte" xfId="3609" builtinId="8" hidden="1"/>
    <cellStyle name="Lien hypertexte" xfId="3611" builtinId="8" hidden="1"/>
    <cellStyle name="Lien hypertexte" xfId="3613" builtinId="8" hidden="1"/>
    <cellStyle name="Lien hypertexte" xfId="3615" builtinId="8" hidden="1"/>
    <cellStyle name="Lien hypertexte" xfId="3617" builtinId="8" hidden="1"/>
    <cellStyle name="Lien hypertexte" xfId="3619" builtinId="8" hidden="1"/>
    <cellStyle name="Lien hypertexte" xfId="3621" builtinId="8" hidden="1"/>
    <cellStyle name="Lien hypertexte" xfId="3623" builtinId="8" hidden="1"/>
    <cellStyle name="Lien hypertexte" xfId="3625" builtinId="8" hidden="1"/>
    <cellStyle name="Lien hypertexte" xfId="3627" builtinId="8" hidden="1"/>
    <cellStyle name="Lien hypertexte" xfId="3629" builtinId="8" hidden="1"/>
    <cellStyle name="Lien hypertexte" xfId="3631" builtinId="8" hidden="1"/>
    <cellStyle name="Lien hypertexte" xfId="3633" builtinId="8" hidden="1"/>
    <cellStyle name="Lien hypertexte" xfId="3635" builtinId="8" hidden="1"/>
    <cellStyle name="Lien hypertexte" xfId="3637" builtinId="8" hidden="1"/>
    <cellStyle name="Lien hypertexte" xfId="3639" builtinId="8" hidden="1"/>
    <cellStyle name="Lien hypertexte" xfId="3641" builtinId="8" hidden="1"/>
    <cellStyle name="Lien hypertexte" xfId="3643" builtinId="8" hidden="1"/>
    <cellStyle name="Lien hypertexte" xfId="3645" builtinId="8" hidden="1"/>
    <cellStyle name="Lien hypertexte" xfId="3647" builtinId="8" hidden="1"/>
    <cellStyle name="Lien hypertexte" xfId="3649" builtinId="8" hidden="1"/>
    <cellStyle name="Lien hypertexte" xfId="3651" builtinId="8" hidden="1"/>
    <cellStyle name="Lien hypertexte" xfId="3653" builtinId="8" hidden="1"/>
    <cellStyle name="Lien hypertexte" xfId="3655" builtinId="8" hidden="1"/>
    <cellStyle name="Lien hypertexte" xfId="3657" builtinId="8" hidden="1"/>
    <cellStyle name="Lien hypertexte" xfId="3659" builtinId="8" hidden="1"/>
    <cellStyle name="Lien hypertexte" xfId="3661" builtinId="8" hidden="1"/>
    <cellStyle name="Lien hypertexte" xfId="3663" builtinId="8" hidden="1"/>
    <cellStyle name="Lien hypertexte" xfId="3665" builtinId="8" hidden="1"/>
    <cellStyle name="Lien hypertexte" xfId="3667" builtinId="8" hidden="1"/>
    <cellStyle name="Lien hypertexte" xfId="3669" builtinId="8" hidden="1"/>
    <cellStyle name="Lien hypertexte" xfId="3671" builtinId="8" hidden="1"/>
    <cellStyle name="Lien hypertexte" xfId="3673" builtinId="8" hidden="1"/>
    <cellStyle name="Lien hypertexte" xfId="3676" builtinId="8" hidden="1"/>
    <cellStyle name="Lien hypertexte" xfId="3678" builtinId="8" hidden="1"/>
    <cellStyle name="Lien hypertexte" xfId="3680" builtinId="8" hidden="1"/>
    <cellStyle name="Lien hypertexte" xfId="3682" builtinId="8" hidden="1"/>
    <cellStyle name="Lien hypertexte" xfId="3684" builtinId="8" hidden="1"/>
    <cellStyle name="Lien hypertexte" xfId="3686" builtinId="8" hidden="1"/>
    <cellStyle name="Lien hypertexte" xfId="3688" builtinId="8" hidden="1"/>
    <cellStyle name="Lien hypertexte" xfId="3690" builtinId="8" hidden="1"/>
    <cellStyle name="Lien hypertexte" xfId="3692" builtinId="8" hidden="1"/>
    <cellStyle name="Lien hypertexte" xfId="3694" builtinId="8" hidden="1"/>
    <cellStyle name="Lien hypertexte" xfId="3696" builtinId="8" hidden="1"/>
    <cellStyle name="Lien hypertexte" xfId="3698" builtinId="8" hidden="1"/>
    <cellStyle name="Lien hypertexte" xfId="3700" builtinId="8" hidden="1"/>
    <cellStyle name="Lien hypertexte" xfId="3702" builtinId="8" hidden="1"/>
    <cellStyle name="Lien hypertexte" xfId="3704" builtinId="8" hidden="1"/>
    <cellStyle name="Lien hypertexte" xfId="3706" builtinId="8" hidden="1"/>
    <cellStyle name="Lien hypertexte" xfId="3708" builtinId="8" hidden="1"/>
    <cellStyle name="Lien hypertexte" xfId="3710" builtinId="8" hidden="1"/>
    <cellStyle name="Lien hypertexte" xfId="3712" builtinId="8" hidden="1"/>
    <cellStyle name="Lien hypertexte" xfId="3714" builtinId="8" hidden="1"/>
    <cellStyle name="Lien hypertexte" xfId="3716" builtinId="8" hidden="1"/>
    <cellStyle name="Lien hypertexte" xfId="3718" builtinId="8" hidden="1"/>
    <cellStyle name="Lien hypertexte" xfId="3720" builtinId="8" hidden="1"/>
    <cellStyle name="Lien hypertexte" xfId="3722" builtinId="8" hidden="1"/>
    <cellStyle name="Lien hypertexte" xfId="3724" builtinId="8" hidden="1"/>
    <cellStyle name="Lien hypertexte" xfId="3726" builtinId="8" hidden="1"/>
    <cellStyle name="Lien hypertexte" xfId="3728" builtinId="8" hidden="1"/>
    <cellStyle name="Lien hypertexte" xfId="3730" builtinId="8" hidden="1"/>
    <cellStyle name="Lien hypertexte" xfId="3732" builtinId="8" hidden="1"/>
    <cellStyle name="Lien hypertexte" xfId="3734" builtinId="8" hidden="1"/>
    <cellStyle name="Lien hypertexte" xfId="3736" builtinId="8" hidden="1"/>
    <cellStyle name="Lien hypertexte" xfId="3738" builtinId="8" hidden="1"/>
    <cellStyle name="Lien hypertexte" xfId="3740" builtinId="8" hidden="1"/>
    <cellStyle name="Lien hypertexte" xfId="3742" builtinId="8" hidden="1"/>
    <cellStyle name="Lien hypertexte" xfId="3744" builtinId="8" hidden="1"/>
    <cellStyle name="Lien hypertexte" xfId="3746" builtinId="8" hidden="1"/>
    <cellStyle name="Lien hypertexte" xfId="3748" builtinId="8" hidden="1"/>
    <cellStyle name="Lien hypertexte" xfId="3750" builtinId="8" hidden="1"/>
    <cellStyle name="Lien hypertexte" xfId="3752" builtinId="8" hidden="1"/>
    <cellStyle name="Lien hypertexte" xfId="3754" builtinId="8" hidden="1"/>
    <cellStyle name="Lien hypertexte" xfId="3756" builtinId="8" hidden="1"/>
    <cellStyle name="Lien hypertexte" xfId="3758" builtinId="8" hidden="1"/>
    <cellStyle name="Lien hypertexte" xfId="3760" builtinId="8" hidden="1"/>
    <cellStyle name="Lien hypertexte" xfId="3762" builtinId="8" hidden="1"/>
    <cellStyle name="Lien hypertexte" xfId="3764" builtinId="8" hidden="1"/>
    <cellStyle name="Lien hypertexte" xfId="3766" builtinId="8" hidden="1"/>
    <cellStyle name="Lien hypertexte" xfId="3768" builtinId="8" hidden="1"/>
    <cellStyle name="Lien hypertexte" xfId="3770" builtinId="8" hidden="1"/>
    <cellStyle name="Lien hypertexte" xfId="3772" builtinId="8" hidden="1"/>
    <cellStyle name="Lien hypertexte" xfId="3774" builtinId="8" hidden="1"/>
    <cellStyle name="Lien hypertexte" xfId="3776" builtinId="8" hidden="1"/>
    <cellStyle name="Lien hypertexte" xfId="3778" builtinId="8" hidden="1"/>
    <cellStyle name="Lien hypertexte" xfId="3780" builtinId="8" hidden="1"/>
    <cellStyle name="Lien hypertexte" xfId="3782" builtinId="8" hidden="1"/>
    <cellStyle name="Lien hypertexte" xfId="3784" builtinId="8" hidden="1"/>
    <cellStyle name="Lien hypertexte" xfId="3786" builtinId="8" hidden="1"/>
    <cellStyle name="Lien hypertexte" xfId="3788" builtinId="8" hidden="1"/>
    <cellStyle name="Lien hypertexte" xfId="3790" builtinId="8" hidden="1"/>
    <cellStyle name="Lien hypertexte" xfId="3792" builtinId="8" hidden="1"/>
    <cellStyle name="Lien hypertexte" xfId="3794" builtinId="8" hidden="1"/>
    <cellStyle name="Lien hypertexte" xfId="3796" builtinId="8" hidden="1"/>
    <cellStyle name="Lien hypertexte" xfId="3798" builtinId="8" hidden="1"/>
    <cellStyle name="Lien hypertexte" xfId="3800" builtinId="8" hidden="1"/>
    <cellStyle name="Lien hypertexte" xfId="3802" builtinId="8" hidden="1"/>
    <cellStyle name="Lien hypertexte" xfId="3804" builtinId="8" hidden="1"/>
    <cellStyle name="Lien hypertexte" xfId="3806" builtinId="8" hidden="1"/>
    <cellStyle name="Lien hypertexte" xfId="3808" builtinId="8" hidden="1"/>
    <cellStyle name="Lien hypertexte" xfId="3810" builtinId="8" hidden="1"/>
    <cellStyle name="Lien hypertexte" xfId="3812" builtinId="8" hidden="1"/>
    <cellStyle name="Lien hypertexte" xfId="3814" builtinId="8" hidden="1"/>
    <cellStyle name="Lien hypertexte" xfId="3816" builtinId="8" hidden="1"/>
    <cellStyle name="Lien hypertexte" xfId="3818" builtinId="8" hidden="1"/>
    <cellStyle name="Lien hypertexte" xfId="3820" builtinId="8" hidden="1"/>
    <cellStyle name="Lien hypertexte" xfId="3822" builtinId="8" hidden="1"/>
    <cellStyle name="Lien hypertexte" xfId="3824" builtinId="8" hidden="1"/>
    <cellStyle name="Lien hypertexte" xfId="3826" builtinId="8" hidden="1"/>
    <cellStyle name="Lien hypertexte" xfId="3828" builtinId="8" hidden="1"/>
    <cellStyle name="Lien hypertexte" xfId="3830" builtinId="8" hidden="1"/>
    <cellStyle name="Lien hypertexte" xfId="3832" builtinId="8" hidden="1"/>
    <cellStyle name="Lien hypertexte" xfId="3834" builtinId="8" hidden="1"/>
    <cellStyle name="Lien hypertexte" xfId="3836" builtinId="8" hidden="1"/>
    <cellStyle name="Lien hypertexte" xfId="3838" builtinId="8" hidden="1"/>
    <cellStyle name="Lien hypertexte" xfId="3840" builtinId="8" hidden="1"/>
    <cellStyle name="Lien hypertexte" xfId="3842" builtinId="8" hidden="1"/>
    <cellStyle name="Lien hypertexte" xfId="3844" builtinId="8" hidden="1"/>
    <cellStyle name="Lien hypertexte" xfId="3846" builtinId="8" hidden="1"/>
    <cellStyle name="Lien hypertexte" xfId="3848" builtinId="8" hidden="1"/>
    <cellStyle name="Lien hypertexte" xfId="3850" builtinId="8" hidden="1"/>
    <cellStyle name="Lien hypertexte" xfId="3852" builtinId="8" hidden="1"/>
    <cellStyle name="Lien hypertexte" xfId="3854" builtinId="8" hidden="1"/>
    <cellStyle name="Lien hypertexte" xfId="3856" builtinId="8" hidden="1"/>
    <cellStyle name="Lien hypertexte" xfId="3858" builtinId="8" hidden="1"/>
    <cellStyle name="Lien hypertexte" xfId="3860" builtinId="8" hidden="1"/>
    <cellStyle name="Lien hypertexte" xfId="3862" builtinId="8" hidden="1"/>
    <cellStyle name="Lien hypertexte" xfId="3864" builtinId="8" hidden="1"/>
    <cellStyle name="Lien hypertexte" xfId="3866" builtinId="8" hidden="1"/>
    <cellStyle name="Lien hypertexte" xfId="3868" builtinId="8" hidden="1"/>
    <cellStyle name="Lien hypertexte" xfId="3870" builtinId="8" hidden="1"/>
    <cellStyle name="Lien hypertexte" xfId="3872" builtinId="8" hidden="1"/>
    <cellStyle name="Lien hypertexte" xfId="3874" builtinId="8" hidden="1"/>
    <cellStyle name="Lien hypertexte" xfId="3876" builtinId="8" hidden="1"/>
    <cellStyle name="Lien hypertexte" xfId="3878" builtinId="8" hidden="1"/>
    <cellStyle name="Lien hypertexte" xfId="3880" builtinId="8" hidden="1"/>
    <cellStyle name="Lien hypertexte" xfId="3882" builtinId="8" hidden="1"/>
    <cellStyle name="Lien hypertexte" xfId="3884" builtinId="8" hidden="1"/>
    <cellStyle name="Lien hypertexte" xfId="3886" builtinId="8" hidden="1"/>
    <cellStyle name="Lien hypertexte" xfId="3888" builtinId="8" hidden="1"/>
    <cellStyle name="Lien hypertexte" xfId="3890" builtinId="8" hidden="1"/>
    <cellStyle name="Lien hypertexte" xfId="3892" builtinId="8" hidden="1"/>
    <cellStyle name="Lien hypertexte" xfId="3894" builtinId="8" hidden="1"/>
    <cellStyle name="Lien hypertexte" xfId="3896" builtinId="8" hidden="1"/>
    <cellStyle name="Lien hypertexte" xfId="3898" builtinId="8" hidden="1"/>
    <cellStyle name="Lien hypertexte" xfId="3900" builtinId="8" hidden="1"/>
    <cellStyle name="Lien hypertexte" xfId="3902" builtinId="8" hidden="1"/>
    <cellStyle name="Lien hypertexte" xfId="3904" builtinId="8" hidden="1"/>
    <cellStyle name="Lien hypertexte" xfId="3906" builtinId="8" hidden="1"/>
    <cellStyle name="Lien hypertexte" xfId="3908" builtinId="8" hidden="1"/>
    <cellStyle name="Lien hypertexte" xfId="3910" builtinId="8" hidden="1"/>
    <cellStyle name="Lien hypertexte" xfId="3912" builtinId="8" hidden="1"/>
    <cellStyle name="Lien hypertexte" xfId="3914" builtinId="8" hidden="1"/>
    <cellStyle name="Lien hypertexte" xfId="3916" builtinId="8" hidden="1"/>
    <cellStyle name="Lien hypertexte" xfId="3918" builtinId="8" hidden="1"/>
    <cellStyle name="Lien hypertexte" xfId="3920" builtinId="8" hidden="1"/>
    <cellStyle name="Lien hypertexte" xfId="3922" builtinId="8" hidden="1"/>
    <cellStyle name="Lien hypertexte" xfId="3924" builtinId="8" hidden="1"/>
    <cellStyle name="Lien hypertexte" xfId="3926" builtinId="8" hidden="1"/>
    <cellStyle name="Lien hypertexte" xfId="3928" builtinId="8" hidden="1"/>
    <cellStyle name="Lien hypertexte" xfId="3930" builtinId="8" hidden="1"/>
    <cellStyle name="Lien hypertexte" xfId="3932" builtinId="8" hidden="1"/>
    <cellStyle name="Lien hypertexte" xfId="3934" builtinId="8" hidden="1"/>
    <cellStyle name="Lien hypertexte" xfId="3936" builtinId="8" hidden="1"/>
    <cellStyle name="Lien hypertexte" xfId="3938" builtinId="8" hidden="1"/>
    <cellStyle name="Lien hypertexte" xfId="3940" builtinId="8" hidden="1"/>
    <cellStyle name="Lien hypertexte" xfId="3942" builtinId="8" hidden="1"/>
    <cellStyle name="Lien hypertexte" xfId="3944" builtinId="8" hidden="1"/>
    <cellStyle name="Lien hypertexte" xfId="3946" builtinId="8" hidden="1"/>
    <cellStyle name="Lien hypertexte" xfId="3948" builtinId="8" hidden="1"/>
    <cellStyle name="Lien hypertexte" xfId="3950" builtinId="8" hidden="1"/>
    <cellStyle name="Lien hypertexte" xfId="3952" builtinId="8" hidden="1"/>
    <cellStyle name="Lien hypertexte" xfId="3954" builtinId="8" hidden="1"/>
    <cellStyle name="Lien hypertexte" xfId="3956" builtinId="8" hidden="1"/>
    <cellStyle name="Lien hypertexte" xfId="3958" builtinId="8" hidden="1"/>
    <cellStyle name="Lien hypertexte" xfId="3960" builtinId="8" hidden="1"/>
    <cellStyle name="Lien hypertexte" xfId="3962" builtinId="8" hidden="1"/>
    <cellStyle name="Lien hypertexte" xfId="3964" builtinId="8" hidden="1"/>
    <cellStyle name="Lien hypertexte" xfId="3966" builtinId="8" hidden="1"/>
    <cellStyle name="Lien hypertexte" xfId="3968" builtinId="8" hidden="1"/>
    <cellStyle name="Lien hypertexte" xfId="3970" builtinId="8" hidden="1"/>
    <cellStyle name="Lien hypertexte" xfId="3972" builtinId="8" hidden="1"/>
    <cellStyle name="Lien hypertexte" xfId="3974" builtinId="8" hidden="1"/>
    <cellStyle name="Lien hypertexte" xfId="3976" builtinId="8" hidden="1"/>
    <cellStyle name="Lien hypertexte" xfId="3978" builtinId="8" hidden="1"/>
    <cellStyle name="Lien hypertexte" xfId="3980" builtinId="8" hidden="1"/>
    <cellStyle name="Lien hypertexte" xfId="3982" builtinId="8" hidden="1"/>
    <cellStyle name="Lien hypertexte" xfId="3984" builtinId="8" hidden="1"/>
    <cellStyle name="Lien hypertexte" xfId="3986" builtinId="8" hidden="1"/>
    <cellStyle name="Lien hypertexte" xfId="3988" builtinId="8" hidden="1"/>
    <cellStyle name="Lien hypertexte" xfId="3990" builtinId="8" hidden="1"/>
    <cellStyle name="Lien hypertexte" xfId="3992" builtinId="8" hidden="1"/>
    <cellStyle name="Lien hypertexte" xfId="3994" builtinId="8" hidden="1"/>
    <cellStyle name="Lien hypertexte" xfId="3996" builtinId="8" hidden="1"/>
    <cellStyle name="Lien hypertexte" xfId="3998" builtinId="8" hidden="1"/>
    <cellStyle name="Lien hypertexte" xfId="4000" builtinId="8" hidden="1"/>
    <cellStyle name="Lien hypertexte" xfId="4002" builtinId="8" hidden="1"/>
    <cellStyle name="Lien hypertexte" xfId="4004" builtinId="8" hidden="1"/>
    <cellStyle name="Lien hypertexte" xfId="4006" builtinId="8" hidden="1"/>
    <cellStyle name="Lien hypertexte" xfId="4008" builtinId="8" hidden="1"/>
    <cellStyle name="Lien hypertexte" xfId="4010" builtinId="8" hidden="1"/>
    <cellStyle name="Lien hypertexte" xfId="4012" builtinId="8" hidden="1"/>
    <cellStyle name="Lien hypertexte" xfId="4014" builtinId="8" hidden="1"/>
    <cellStyle name="Lien hypertexte" xfId="4016" builtinId="8" hidden="1"/>
    <cellStyle name="Lien hypertexte" xfId="4018" builtinId="8" hidden="1"/>
    <cellStyle name="Lien hypertexte" xfId="4020" builtinId="8" hidden="1"/>
    <cellStyle name="Lien hypertexte" xfId="4022" builtinId="8" hidden="1"/>
    <cellStyle name="Lien hypertexte" xfId="4024" builtinId="8" hidden="1"/>
    <cellStyle name="Lien hypertexte" xfId="4026" builtinId="8" hidden="1"/>
    <cellStyle name="Lien hypertexte" xfId="4028" builtinId="8" hidden="1"/>
    <cellStyle name="Lien hypertexte" xfId="4030" builtinId="8" hidden="1"/>
    <cellStyle name="Lien hypertexte" xfId="4032" builtinId="8" hidden="1"/>
    <cellStyle name="Lien hypertexte" xfId="4034" builtinId="8" hidden="1"/>
    <cellStyle name="Lien hypertexte" xfId="4036" builtinId="8" hidden="1"/>
    <cellStyle name="Lien hypertexte" xfId="4038" builtinId="8" hidden="1"/>
    <cellStyle name="Lien hypertexte" xfId="4040" builtinId="8" hidden="1"/>
    <cellStyle name="Lien hypertexte" xfId="4042" builtinId="8" hidden="1"/>
    <cellStyle name="Lien hypertexte" xfId="4044" builtinId="8" hidden="1"/>
    <cellStyle name="Lien hypertexte" xfId="4046" builtinId="8" hidden="1"/>
    <cellStyle name="Lien hypertexte" xfId="4048" builtinId="8" hidden="1"/>
    <cellStyle name="Lien hypertexte" xfId="4050" builtinId="8" hidden="1"/>
    <cellStyle name="Lien hypertexte" xfId="4052" builtinId="8" hidden="1"/>
    <cellStyle name="Lien hypertexte" xfId="4054" builtinId="8" hidden="1"/>
    <cellStyle name="Lien hypertexte" xfId="4056" builtinId="8" hidden="1"/>
    <cellStyle name="Lien hypertexte" xfId="4058" builtinId="8" hidden="1"/>
    <cellStyle name="Lien hypertexte" xfId="4060" builtinId="8" hidden="1"/>
    <cellStyle name="Lien hypertexte" xfId="4062" builtinId="8" hidden="1"/>
    <cellStyle name="Lien hypertexte" xfId="4064" builtinId="8" hidden="1"/>
    <cellStyle name="Lien hypertexte" xfId="4066" builtinId="8" hidden="1"/>
    <cellStyle name="Lien hypertexte" xfId="4068" builtinId="8" hidden="1"/>
    <cellStyle name="Lien hypertexte" xfId="4070" builtinId="8" hidden="1"/>
    <cellStyle name="Lien hypertexte" xfId="4072" builtinId="8" hidden="1"/>
    <cellStyle name="Lien hypertexte" xfId="4074" builtinId="8" hidden="1"/>
    <cellStyle name="Lien hypertexte" xfId="4076" builtinId="8" hidden="1"/>
    <cellStyle name="Lien hypertexte" xfId="4078" builtinId="8" hidden="1"/>
    <cellStyle name="Lien hypertexte" xfId="4080" builtinId="8" hidden="1"/>
    <cellStyle name="Lien hypertexte" xfId="4082" builtinId="8" hidden="1"/>
    <cellStyle name="Lien hypertexte" xfId="4084" builtinId="8" hidden="1"/>
    <cellStyle name="Lien hypertexte" xfId="4086" builtinId="8" hidden="1"/>
    <cellStyle name="Lien hypertexte" xfId="4088" builtinId="8" hidden="1"/>
    <cellStyle name="Lien hypertexte" xfId="4090" builtinId="8" hidden="1"/>
    <cellStyle name="Lien hypertexte" xfId="4092" builtinId="8" hidden="1"/>
    <cellStyle name="Lien hypertexte" xfId="4094" builtinId="8" hidden="1"/>
    <cellStyle name="Lien hypertexte" xfId="4096" builtinId="8" hidden="1"/>
    <cellStyle name="Lien hypertexte" xfId="4098" builtinId="8" hidden="1"/>
    <cellStyle name="Lien hypertexte" xfId="4100" builtinId="8" hidden="1"/>
    <cellStyle name="Lien hypertexte" xfId="4102" builtinId="8" hidden="1"/>
    <cellStyle name="Lien hypertexte" xfId="4104" builtinId="8" hidden="1"/>
    <cellStyle name="Lien hypertexte" xfId="4106" builtinId="8" hidden="1"/>
    <cellStyle name="Lien hypertexte" xfId="4108" builtinId="8" hidden="1"/>
    <cellStyle name="Lien hypertexte" xfId="4110" builtinId="8" hidden="1"/>
    <cellStyle name="Lien hypertexte" xfId="4112" builtinId="8" hidden="1"/>
    <cellStyle name="Lien hypertexte" xfId="4114" builtinId="8" hidden="1"/>
    <cellStyle name="Lien hypertexte" xfId="4116" builtinId="8" hidden="1"/>
    <cellStyle name="Lien hypertexte" xfId="4118" builtinId="8" hidden="1"/>
    <cellStyle name="Lien hypertexte" xfId="4120" builtinId="8" hidden="1"/>
    <cellStyle name="Lien hypertexte" xfId="4122" builtinId="8" hidden="1"/>
    <cellStyle name="Lien hypertexte" xfId="4124" builtinId="8" hidden="1"/>
    <cellStyle name="Lien hypertexte" xfId="4126" builtinId="8" hidden="1"/>
    <cellStyle name="Lien hypertexte" xfId="4128" builtinId="8" hidden="1"/>
    <cellStyle name="Lien hypertexte" xfId="4130" builtinId="8" hidden="1"/>
    <cellStyle name="Lien hypertexte" xfId="4132" builtinId="8" hidden="1"/>
    <cellStyle name="Lien hypertexte" xfId="4134" builtinId="8" hidden="1"/>
    <cellStyle name="Lien hypertexte" xfId="4136" builtinId="8" hidden="1"/>
    <cellStyle name="Lien hypertexte" xfId="4138" builtinId="8" hidden="1"/>
    <cellStyle name="Lien hypertexte" xfId="4140" builtinId="8" hidden="1"/>
    <cellStyle name="Lien hypertexte" xfId="4142" builtinId="8" hidden="1"/>
    <cellStyle name="Lien hypertexte" xfId="4144" builtinId="8" hidden="1"/>
    <cellStyle name="Lien hypertexte" xfId="4146" builtinId="8" hidden="1"/>
    <cellStyle name="Lien hypertexte" xfId="4148" builtinId="8" hidden="1"/>
    <cellStyle name="Lien hypertexte" xfId="4150" builtinId="8" hidden="1"/>
    <cellStyle name="Lien hypertexte" xfId="4152" builtinId="8" hidden="1"/>
    <cellStyle name="Lien hypertexte" xfId="4154" builtinId="8" hidden="1"/>
    <cellStyle name="Lien hypertexte" xfId="4156" builtinId="8" hidden="1"/>
    <cellStyle name="Lien hypertexte" xfId="4158" builtinId="8" hidden="1"/>
    <cellStyle name="Lien hypertexte" xfId="4160" builtinId="8" hidden="1"/>
    <cellStyle name="Lien hypertexte" xfId="4162" builtinId="8" hidden="1"/>
    <cellStyle name="Lien hypertexte" xfId="4164" builtinId="8" hidden="1"/>
    <cellStyle name="Lien hypertexte" xfId="4166" builtinId="8" hidden="1"/>
    <cellStyle name="Lien hypertexte" xfId="4168" builtinId="8" hidden="1"/>
    <cellStyle name="Lien hypertexte" xfId="4170" builtinId="8" hidden="1"/>
    <cellStyle name="Lien hypertexte" xfId="4172" builtinId="8" hidden="1"/>
    <cellStyle name="Lien hypertexte" xfId="4174" builtinId="8" hidden="1"/>
    <cellStyle name="Lien hypertexte" xfId="4176" builtinId="8" hidden="1"/>
    <cellStyle name="Lien hypertexte" xfId="4178" builtinId="8" hidden="1"/>
    <cellStyle name="Lien hypertexte" xfId="4180" builtinId="8" hidden="1"/>
    <cellStyle name="Lien hypertexte" xfId="4182" builtinId="8" hidden="1"/>
    <cellStyle name="Lien hypertexte" xfId="4184" builtinId="8" hidden="1"/>
    <cellStyle name="Lien hypertexte" xfId="4186" builtinId="8" hidden="1"/>
    <cellStyle name="Lien hypertexte" xfId="4188" builtinId="8" hidden="1"/>
    <cellStyle name="Lien hypertexte" xfId="4190" builtinId="8" hidden="1"/>
    <cellStyle name="Lien hypertexte" xfId="4192" builtinId="8" hidden="1"/>
    <cellStyle name="Lien hypertexte" xfId="4194" builtinId="8" hidden="1"/>
    <cellStyle name="Lien hypertexte" xfId="4196" builtinId="8" hidden="1"/>
    <cellStyle name="Lien hypertexte" xfId="4198" builtinId="8" hidden="1"/>
    <cellStyle name="Lien hypertexte" xfId="4200" builtinId="8" hidden="1"/>
    <cellStyle name="Lien hypertexte" xfId="4202" builtinId="8" hidden="1"/>
    <cellStyle name="Lien hypertexte" xfId="4204" builtinId="8" hidden="1"/>
    <cellStyle name="Lien hypertexte" xfId="4206" builtinId="8" hidden="1"/>
    <cellStyle name="Lien hypertexte" xfId="4208" builtinId="8" hidden="1"/>
    <cellStyle name="Lien hypertexte" xfId="4210" builtinId="8" hidden="1"/>
    <cellStyle name="Lien hypertexte" xfId="4212" builtinId="8" hidden="1"/>
    <cellStyle name="Lien hypertexte" xfId="4214" builtinId="8" hidden="1"/>
    <cellStyle name="Lien hypertexte" xfId="4216" builtinId="8" hidden="1"/>
    <cellStyle name="Lien hypertexte" xfId="4218" builtinId="8" hidden="1"/>
    <cellStyle name="Lien hypertexte" xfId="4220" builtinId="8" hidden="1"/>
    <cellStyle name="Lien hypertexte" xfId="4222" builtinId="8" hidden="1"/>
    <cellStyle name="Lien hypertexte" xfId="4224" builtinId="8" hidden="1"/>
    <cellStyle name="Lien hypertexte" xfId="4226" builtinId="8" hidden="1"/>
    <cellStyle name="Lien hypertexte" xfId="4228" builtinId="8" hidden="1"/>
    <cellStyle name="Lien hypertexte" xfId="4230" builtinId="8" hidden="1"/>
    <cellStyle name="Lien hypertexte" xfId="4232" builtinId="8" hidden="1"/>
    <cellStyle name="Lien hypertexte" xfId="4234" builtinId="8" hidden="1"/>
    <cellStyle name="Lien hypertexte" xfId="4236" builtinId="8" hidden="1"/>
    <cellStyle name="Lien hypertexte" xfId="4238" builtinId="8" hidden="1"/>
    <cellStyle name="Lien hypertexte" xfId="4240" builtinId="8" hidden="1"/>
    <cellStyle name="Lien hypertexte" xfId="4242" builtinId="8" hidden="1"/>
    <cellStyle name="Lien hypertexte" xfId="4244" builtinId="8" hidden="1"/>
    <cellStyle name="Lien hypertexte" xfId="4246" builtinId="8" hidden="1"/>
    <cellStyle name="Lien hypertexte" xfId="4248" builtinId="8" hidden="1"/>
    <cellStyle name="Lien hypertexte" xfId="4250" builtinId="8" hidden="1"/>
    <cellStyle name="Lien hypertexte" xfId="4252" builtinId="8" hidden="1"/>
    <cellStyle name="Lien hypertexte" xfId="4254" builtinId="8" hidden="1"/>
    <cellStyle name="Lien hypertexte" xfId="4256" builtinId="8" hidden="1"/>
    <cellStyle name="Lien hypertexte" xfId="4258" builtinId="8" hidden="1"/>
    <cellStyle name="Lien hypertexte" xfId="4260" builtinId="8" hidden="1"/>
    <cellStyle name="Lien hypertexte" xfId="4262" builtinId="8" hidden="1"/>
    <cellStyle name="Lien hypertexte" xfId="4264" builtinId="8" hidden="1"/>
    <cellStyle name="Lien hypertexte" xfId="4266" builtinId="8" hidden="1"/>
    <cellStyle name="Lien hypertexte" xfId="4268" builtinId="8" hidden="1"/>
    <cellStyle name="Lien hypertexte" xfId="4270" builtinId="8" hidden="1"/>
    <cellStyle name="Lien hypertexte" xfId="4272" builtinId="8" hidden="1"/>
    <cellStyle name="Lien hypertexte" xfId="4274" builtinId="8" hidden="1"/>
    <cellStyle name="Lien hypertexte" xfId="4276" builtinId="8" hidden="1"/>
    <cellStyle name="Lien hypertexte" xfId="4278" builtinId="8" hidden="1"/>
    <cellStyle name="Lien hypertexte" xfId="4280" builtinId="8" hidden="1"/>
    <cellStyle name="Lien hypertexte" xfId="4282" builtinId="8" hidden="1"/>
    <cellStyle name="Lien hypertexte" xfId="4284" builtinId="8" hidden="1"/>
    <cellStyle name="Lien hypertexte" xfId="4286" builtinId="8" hidden="1"/>
    <cellStyle name="Lien hypertexte" xfId="4288" builtinId="8" hidden="1"/>
    <cellStyle name="Lien hypertexte" xfId="4290" builtinId="8" hidden="1"/>
    <cellStyle name="Lien hypertexte" xfId="4292" builtinId="8" hidden="1"/>
    <cellStyle name="Lien hypertexte" xfId="4294" builtinId="8" hidden="1"/>
    <cellStyle name="Lien hypertexte" xfId="4296" builtinId="8" hidden="1"/>
    <cellStyle name="Lien hypertexte" xfId="4298" builtinId="8" hidden="1"/>
    <cellStyle name="Lien hypertexte" xfId="4300" builtinId="8" hidden="1"/>
    <cellStyle name="Lien hypertexte" xfId="4302" builtinId="8" hidden="1"/>
    <cellStyle name="Lien hypertexte" xfId="4304" builtinId="8" hidden="1"/>
    <cellStyle name="Lien hypertexte" xfId="4306" builtinId="8" hidden="1"/>
    <cellStyle name="Lien hypertexte" xfId="4308" builtinId="8" hidden="1"/>
    <cellStyle name="Lien hypertexte" xfId="4310" builtinId="8" hidden="1"/>
    <cellStyle name="Lien hypertexte" xfId="4312" builtinId="8" hidden="1"/>
    <cellStyle name="Lien hypertexte" xfId="4314" builtinId="8" hidden="1"/>
    <cellStyle name="Lien hypertexte" xfId="4316" builtinId="8" hidden="1"/>
    <cellStyle name="Lien hypertexte" xfId="4318" builtinId="8" hidden="1"/>
    <cellStyle name="Lien hypertexte" xfId="4320" builtinId="8" hidden="1"/>
    <cellStyle name="Lien hypertexte" xfId="4322" builtinId="8" hidden="1"/>
    <cellStyle name="Lien hypertexte" xfId="4324" builtinId="8" hidden="1"/>
    <cellStyle name="Lien hypertexte" xfId="4326" builtinId="8" hidden="1"/>
    <cellStyle name="Lien hypertexte" xfId="4328" builtinId="8" hidden="1"/>
    <cellStyle name="Lien hypertexte" xfId="4330" builtinId="8" hidden="1"/>
    <cellStyle name="Lien hypertexte" xfId="4332" builtinId="8" hidden="1"/>
    <cellStyle name="Lien hypertexte" xfId="4334" builtinId="8" hidden="1"/>
    <cellStyle name="Lien hypertexte" xfId="4336" builtinId="8" hidden="1"/>
    <cellStyle name="Lien hypertexte" xfId="4338" builtinId="8" hidden="1"/>
    <cellStyle name="Lien hypertexte" xfId="4340" builtinId="8" hidden="1"/>
    <cellStyle name="Lien hypertexte" xfId="4342" builtinId="8" hidden="1"/>
    <cellStyle name="Lien hypertexte" xfId="4344" builtinId="8" hidden="1"/>
    <cellStyle name="Lien hypertexte" xfId="4346" builtinId="8" hidden="1"/>
    <cellStyle name="Lien hypertexte" xfId="4348" builtinId="8" hidden="1"/>
    <cellStyle name="Lien hypertexte" xfId="4350" builtinId="8" hidden="1"/>
    <cellStyle name="Lien hypertexte" xfId="4352" builtinId="8" hidden="1"/>
    <cellStyle name="Lien hypertexte" xfId="4354" builtinId="8" hidden="1"/>
    <cellStyle name="Lien hypertexte" xfId="4356" builtinId="8" hidden="1"/>
    <cellStyle name="Lien hypertexte" xfId="4358" builtinId="8" hidden="1"/>
    <cellStyle name="Lien hypertexte" xfId="4360" builtinId="8" hidden="1"/>
    <cellStyle name="Lien hypertexte" xfId="4362" builtinId="8" hidden="1"/>
    <cellStyle name="Lien hypertexte" xfId="4364" builtinId="8" hidden="1"/>
    <cellStyle name="Lien hypertexte" xfId="4366" builtinId="8" hidden="1"/>
    <cellStyle name="Lien hypertexte" xfId="4368" builtinId="8" hidden="1"/>
    <cellStyle name="Lien hypertexte" xfId="4370" builtinId="8" hidden="1"/>
    <cellStyle name="Lien hypertexte" xfId="4372" builtinId="8" hidden="1"/>
    <cellStyle name="Lien hypertexte" xfId="4374" builtinId="8" hidden="1"/>
    <cellStyle name="Lien hypertexte" xfId="4376" builtinId="8" hidden="1"/>
    <cellStyle name="Lien hypertexte" xfId="4378" builtinId="8" hidden="1"/>
    <cellStyle name="Lien hypertexte" xfId="4380" builtinId="8" hidden="1"/>
    <cellStyle name="Lien hypertexte" xfId="4382" builtinId="8" hidden="1"/>
    <cellStyle name="Lien hypertexte" xfId="4384" builtinId="8" hidden="1"/>
    <cellStyle name="Lien hypertexte" xfId="4386" builtinId="8" hidden="1"/>
    <cellStyle name="Lien hypertexte" xfId="4388" builtinId="8" hidden="1"/>
    <cellStyle name="Lien hypertexte" xfId="4390" builtinId="8" hidden="1"/>
    <cellStyle name="Lien hypertexte" xfId="4392" builtinId="8" hidden="1"/>
    <cellStyle name="Lien hypertexte" xfId="4394" builtinId="8" hidden="1"/>
    <cellStyle name="Lien hypertexte" xfId="4396" builtinId="8" hidden="1"/>
    <cellStyle name="Lien hypertexte" xfId="4398" builtinId="8" hidden="1"/>
    <cellStyle name="Lien hypertexte" xfId="4400" builtinId="8" hidden="1"/>
    <cellStyle name="Lien hypertexte" xfId="4402" builtinId="8" hidden="1"/>
    <cellStyle name="Lien hypertexte" xfId="4404" builtinId="8" hidden="1"/>
    <cellStyle name="Lien hypertexte" xfId="4406" builtinId="8" hidden="1"/>
    <cellStyle name="Lien hypertexte" xfId="4408" builtinId="8" hidden="1"/>
    <cellStyle name="Lien hypertexte" xfId="4410" builtinId="8" hidden="1"/>
    <cellStyle name="Lien hypertexte" xfId="4412" builtinId="8" hidden="1"/>
    <cellStyle name="Lien hypertexte" xfId="4414" builtinId="8" hidden="1"/>
    <cellStyle name="Lien hypertexte" xfId="4416" builtinId="8" hidden="1"/>
    <cellStyle name="Lien hypertexte" xfId="4418" builtinId="8" hidden="1"/>
    <cellStyle name="Lien hypertexte" xfId="4420" builtinId="8" hidden="1"/>
    <cellStyle name="Lien hypertexte" xfId="4422" builtinId="8" hidden="1"/>
    <cellStyle name="Lien hypertexte" xfId="4424" builtinId="8" hidden="1"/>
    <cellStyle name="Lien hypertexte" xfId="4426" builtinId="8" hidden="1"/>
    <cellStyle name="Lien hypertexte" xfId="4428" builtinId="8" hidden="1"/>
    <cellStyle name="Lien hypertexte" xfId="4430" builtinId="8" hidden="1"/>
    <cellStyle name="Lien hypertexte" xfId="4432" builtinId="8" hidden="1"/>
    <cellStyle name="Lien hypertexte" xfId="4434" builtinId="8" hidden="1"/>
    <cellStyle name="Lien hypertexte" xfId="4436" builtinId="8" hidden="1"/>
    <cellStyle name="Lien hypertexte" xfId="4438" builtinId="8" hidden="1"/>
    <cellStyle name="Lien hypertexte" xfId="4440" builtinId="8" hidden="1"/>
    <cellStyle name="Lien hypertexte" xfId="4442" builtinId="8" hidden="1"/>
    <cellStyle name="Lien hypertexte" xfId="4444" builtinId="8" hidden="1"/>
    <cellStyle name="Lien hypertexte" xfId="4446" builtinId="8" hidden="1"/>
    <cellStyle name="Lien hypertexte" xfId="4448" builtinId="8" hidden="1"/>
    <cellStyle name="Lien hypertexte" xfId="4450" builtinId="8" hidden="1"/>
    <cellStyle name="Lien hypertexte" xfId="4452" builtinId="8" hidden="1"/>
    <cellStyle name="Lien hypertexte" xfId="4454" builtinId="8" hidden="1"/>
    <cellStyle name="Lien hypertexte" xfId="4456" builtinId="8" hidden="1"/>
    <cellStyle name="Lien hypertexte" xfId="4458" builtinId="8" hidden="1"/>
    <cellStyle name="Lien hypertexte" xfId="4460" builtinId="8" hidden="1"/>
    <cellStyle name="Lien hypertexte" xfId="4462" builtinId="8" hidden="1"/>
    <cellStyle name="Lien hypertexte" xfId="4464" builtinId="8" hidden="1"/>
    <cellStyle name="Lien hypertexte" xfId="4466" builtinId="8" hidden="1"/>
    <cellStyle name="Lien hypertexte" xfId="4468" builtinId="8" hidden="1"/>
    <cellStyle name="Lien hypertexte" xfId="4470" builtinId="8" hidden="1"/>
    <cellStyle name="Lien hypertexte" xfId="4472" builtinId="8" hidden="1"/>
    <cellStyle name="Lien hypertexte" xfId="4474" builtinId="8" hidden="1"/>
    <cellStyle name="Lien hypertexte" xfId="4476" builtinId="8" hidden="1"/>
    <cellStyle name="Lien hypertexte" xfId="4478" builtinId="8" hidden="1"/>
    <cellStyle name="Lien hypertexte" xfId="4480" builtinId="8" hidden="1"/>
    <cellStyle name="Lien hypertexte" xfId="4482" builtinId="8" hidden="1"/>
    <cellStyle name="Lien hypertexte" xfId="4484" builtinId="8" hidden="1"/>
    <cellStyle name="Lien hypertexte" xfId="4486" builtinId="8" hidden="1"/>
    <cellStyle name="Lien hypertexte" xfId="4488" builtinId="8" hidden="1"/>
    <cellStyle name="Lien hypertexte" xfId="4490" builtinId="8" hidden="1"/>
    <cellStyle name="Lien hypertexte" xfId="4492" builtinId="8" hidden="1"/>
    <cellStyle name="Lien hypertexte" xfId="4494" builtinId="8" hidden="1"/>
    <cellStyle name="Lien hypertexte" xfId="4496" builtinId="8" hidden="1"/>
    <cellStyle name="Lien hypertexte" xfId="4498" builtinId="8" hidden="1"/>
    <cellStyle name="Lien hypertexte" xfId="4500" builtinId="8" hidden="1"/>
    <cellStyle name="Lien hypertexte" xfId="4502" builtinId="8" hidden="1"/>
    <cellStyle name="Lien hypertexte" xfId="4504" builtinId="8" hidden="1"/>
    <cellStyle name="Lien hypertexte" xfId="4506" builtinId="8" hidden="1"/>
    <cellStyle name="Lien hypertexte" xfId="4508" builtinId="8" hidden="1"/>
    <cellStyle name="Lien hypertexte" xfId="4510" builtinId="8" hidden="1"/>
    <cellStyle name="Lien hypertexte" xfId="4512" builtinId="8" hidden="1"/>
    <cellStyle name="Lien hypertexte" xfId="4514" builtinId="8" hidden="1"/>
    <cellStyle name="Lien hypertexte" xfId="4516" builtinId="8" hidden="1"/>
    <cellStyle name="Lien hypertexte" xfId="4518" builtinId="8" hidden="1"/>
    <cellStyle name="Lien hypertexte" xfId="4520" builtinId="8" hidden="1"/>
    <cellStyle name="Lien hypertexte" xfId="4522" builtinId="8" hidden="1"/>
    <cellStyle name="Lien hypertexte" xfId="4524" builtinId="8" hidden="1"/>
    <cellStyle name="Lien hypertexte" xfId="4526" builtinId="8" hidden="1"/>
    <cellStyle name="Lien hypertexte" xfId="4528" builtinId="8" hidden="1"/>
    <cellStyle name="Lien hypertexte" xfId="4530" builtinId="8" hidden="1"/>
    <cellStyle name="Lien hypertexte" xfId="4532" builtinId="8" hidden="1"/>
    <cellStyle name="Lien hypertexte" xfId="4534" builtinId="8" hidden="1"/>
    <cellStyle name="Lien hypertexte" xfId="4536" builtinId="8" hidden="1"/>
    <cellStyle name="Lien hypertexte" xfId="4538" builtinId="8" hidden="1"/>
    <cellStyle name="Lien hypertexte" xfId="4540" builtinId="8" hidden="1"/>
    <cellStyle name="Lien hypertexte" xfId="4542" builtinId="8" hidden="1"/>
    <cellStyle name="Lien hypertexte" xfId="4544" builtinId="8" hidden="1"/>
    <cellStyle name="Lien hypertexte" xfId="4546" builtinId="8" hidden="1"/>
    <cellStyle name="Lien hypertexte" xfId="4548" builtinId="8" hidden="1"/>
    <cellStyle name="Lien hypertexte" xfId="4550" builtinId="8" hidden="1"/>
    <cellStyle name="Lien hypertexte" xfId="4552" builtinId="8" hidden="1"/>
    <cellStyle name="Lien hypertexte" xfId="4554" builtinId="8" hidden="1"/>
    <cellStyle name="Lien hypertexte" xfId="4556" builtinId="8" hidden="1"/>
    <cellStyle name="Lien hypertexte" xfId="4558" builtinId="8" hidden="1"/>
    <cellStyle name="Lien hypertexte" xfId="4560" builtinId="8" hidden="1"/>
    <cellStyle name="Lien hypertexte" xfId="4562" builtinId="8" hidden="1"/>
    <cellStyle name="Lien hypertexte" xfId="4564" builtinId="8" hidden="1"/>
    <cellStyle name="Lien hypertexte" xfId="4566" builtinId="8" hidden="1"/>
    <cellStyle name="Lien hypertexte" xfId="4568" builtinId="8" hidden="1"/>
    <cellStyle name="Lien hypertexte" xfId="4570" builtinId="8" hidden="1"/>
    <cellStyle name="Lien hypertexte" xfId="4572" builtinId="8" hidden="1"/>
    <cellStyle name="Lien hypertexte" xfId="4574" builtinId="8" hidden="1"/>
    <cellStyle name="Lien hypertexte" xfId="4576" builtinId="8" hidden="1"/>
    <cellStyle name="Lien hypertexte" xfId="4578" builtinId="8" hidden="1"/>
    <cellStyle name="Lien hypertexte" xfId="4580" builtinId="8" hidden="1"/>
    <cellStyle name="Lien hypertexte" xfId="4582" builtinId="8" hidden="1"/>
    <cellStyle name="Lien hypertexte" xfId="4584" builtinId="8" hidden="1"/>
    <cellStyle name="Lien hypertexte" xfId="4586" builtinId="8" hidden="1"/>
    <cellStyle name="Lien hypertexte" xfId="4588" builtinId="8" hidden="1"/>
    <cellStyle name="Lien hypertexte" xfId="4590" builtinId="8" hidden="1"/>
    <cellStyle name="Lien hypertexte" xfId="4592" builtinId="8" hidden="1"/>
    <cellStyle name="Lien hypertexte" xfId="4594" builtinId="8" hidden="1"/>
    <cellStyle name="Lien hypertexte" xfId="4596" builtinId="8" hidden="1"/>
    <cellStyle name="Lien hypertexte" xfId="4598" builtinId="8" hidden="1"/>
    <cellStyle name="Lien hypertexte" xfId="4600" builtinId="8" hidden="1"/>
    <cellStyle name="Lien hypertexte" xfId="4602" builtinId="8" hidden="1"/>
    <cellStyle name="Lien hypertexte" xfId="4604" builtinId="8" hidden="1"/>
    <cellStyle name="Lien hypertexte" xfId="4606" builtinId="8" hidden="1"/>
    <cellStyle name="Lien hypertexte" xfId="4608" builtinId="8" hidden="1"/>
    <cellStyle name="Lien hypertexte" xfId="4610" builtinId="8" hidden="1"/>
    <cellStyle name="Lien hypertexte" xfId="4612" builtinId="8" hidden="1"/>
    <cellStyle name="Lien hypertexte" xfId="4614" builtinId="8" hidden="1"/>
    <cellStyle name="Lien hypertexte" xfId="4616" builtinId="8" hidden="1"/>
    <cellStyle name="Lien hypertexte" xfId="4618" builtinId="8" hidden="1"/>
    <cellStyle name="Lien hypertexte" xfId="4620" builtinId="8" hidden="1"/>
    <cellStyle name="Lien hypertexte" xfId="4622" builtinId="8" hidden="1"/>
    <cellStyle name="Lien hypertexte" xfId="4624" builtinId="8" hidden="1"/>
    <cellStyle name="Lien hypertexte" xfId="4626" builtinId="8" hidden="1"/>
    <cellStyle name="Lien hypertexte" xfId="4628" builtinId="8" hidden="1"/>
    <cellStyle name="Lien hypertexte" xfId="4630" builtinId="8" hidden="1"/>
    <cellStyle name="Lien hypertexte" xfId="4632" builtinId="8" hidden="1"/>
    <cellStyle name="Lien hypertexte" xfId="4634" builtinId="8" hidden="1"/>
    <cellStyle name="Lien hypertexte" xfId="4636" builtinId="8" hidden="1"/>
    <cellStyle name="Lien hypertexte" xfId="4638" builtinId="8" hidden="1"/>
    <cellStyle name="Lien hypertexte" xfId="4640" builtinId="8" hidden="1"/>
    <cellStyle name="Lien hypertexte" xfId="4642" builtinId="8" hidden="1"/>
    <cellStyle name="Lien hypertexte" xfId="4644" builtinId="8" hidden="1"/>
    <cellStyle name="Lien hypertexte" xfId="4646" builtinId="8" hidden="1"/>
    <cellStyle name="Lien hypertexte" xfId="4648" builtinId="8" hidden="1"/>
    <cellStyle name="Lien hypertexte" xfId="4650" builtinId="8" hidden="1"/>
    <cellStyle name="Lien hypertexte" xfId="4652" builtinId="8" hidden="1"/>
    <cellStyle name="Lien hypertexte" xfId="4654" builtinId="8" hidden="1"/>
    <cellStyle name="Lien hypertexte" xfId="4656" builtinId="8" hidden="1"/>
    <cellStyle name="Lien hypertexte" xfId="4658" builtinId="8" hidden="1"/>
    <cellStyle name="Lien hypertexte" xfId="4660" builtinId="8" hidden="1"/>
    <cellStyle name="Lien hypertexte" xfId="4662" builtinId="8" hidden="1"/>
    <cellStyle name="Lien hypertexte" xfId="4664" builtinId="8" hidden="1"/>
    <cellStyle name="Lien hypertexte" xfId="4666" builtinId="8" hidden="1"/>
    <cellStyle name="Lien hypertexte" xfId="4668" builtinId="8" hidden="1"/>
    <cellStyle name="Lien hypertexte" xfId="4670" builtinId="8" hidden="1"/>
    <cellStyle name="Lien hypertexte" xfId="4672" builtinId="8" hidden="1"/>
    <cellStyle name="Lien hypertexte" xfId="4674" builtinId="8" hidden="1"/>
    <cellStyle name="Lien hypertexte" xfId="4676" builtinId="8" hidden="1"/>
    <cellStyle name="Lien hypertexte" xfId="4678" builtinId="8" hidden="1"/>
    <cellStyle name="Lien hypertexte" xfId="4680" builtinId="8" hidden="1"/>
    <cellStyle name="Lien hypertexte" xfId="4682" builtinId="8" hidden="1"/>
    <cellStyle name="Lien hypertexte" xfId="4684" builtinId="8" hidden="1"/>
    <cellStyle name="Lien hypertexte" xfId="4686" builtinId="8" hidden="1"/>
    <cellStyle name="Lien hypertexte" xfId="4688" builtinId="8" hidden="1"/>
    <cellStyle name="Lien hypertexte" xfId="4690" builtinId="8" hidden="1"/>
    <cellStyle name="Lien hypertexte" xfId="4692" builtinId="8" hidden="1"/>
    <cellStyle name="Lien hypertexte" xfId="4694" builtinId="8" hidden="1"/>
    <cellStyle name="Lien hypertexte" xfId="4696" builtinId="8" hidden="1"/>
    <cellStyle name="Lien hypertexte" xfId="4698" builtinId="8" hidden="1"/>
    <cellStyle name="Lien hypertexte" xfId="4700" builtinId="8" hidden="1"/>
    <cellStyle name="Lien hypertexte" xfId="4702" builtinId="8" hidden="1"/>
    <cellStyle name="Lien hypertexte" xfId="4704" builtinId="8" hidden="1"/>
    <cellStyle name="Lien hypertexte" xfId="4706" builtinId="8" hidden="1"/>
    <cellStyle name="Lien hypertexte" xfId="4708" builtinId="8" hidden="1"/>
    <cellStyle name="Lien hypertexte" xfId="4710" builtinId="8" hidden="1"/>
    <cellStyle name="Lien hypertexte" xfId="4712" builtinId="8" hidden="1"/>
    <cellStyle name="Lien hypertexte" xfId="4714" builtinId="8" hidden="1"/>
    <cellStyle name="Lien hypertexte" xfId="4716" builtinId="8" hidden="1"/>
    <cellStyle name="Lien hypertexte" xfId="4718" builtinId="8" hidden="1"/>
    <cellStyle name="Lien hypertexte" xfId="4720" builtinId="8" hidden="1"/>
    <cellStyle name="Lien hypertexte" xfId="4722" builtinId="8" hidden="1"/>
    <cellStyle name="Lien hypertexte" xfId="4724" builtinId="8" hidden="1"/>
    <cellStyle name="Lien hypertexte" xfId="4726" builtinId="8" hidden="1"/>
    <cellStyle name="Lien hypertexte" xfId="4728" builtinId="8" hidden="1"/>
    <cellStyle name="Lien hypertexte" xfId="4730" builtinId="8" hidden="1"/>
    <cellStyle name="Lien hypertexte" xfId="4732" builtinId="8" hidden="1"/>
    <cellStyle name="Lien hypertexte" xfId="4734" builtinId="8" hidden="1"/>
    <cellStyle name="Lien hypertexte" xfId="4736" builtinId="8" hidden="1"/>
    <cellStyle name="Lien hypertexte" xfId="4738" builtinId="8" hidden="1"/>
    <cellStyle name="Lien hypertexte" xfId="4740" builtinId="8" hidden="1"/>
    <cellStyle name="Lien hypertexte" xfId="4742" builtinId="8" hidden="1"/>
    <cellStyle name="Lien hypertexte" xfId="4744" builtinId="8" hidden="1"/>
    <cellStyle name="Lien hypertexte" xfId="4746" builtinId="8" hidden="1"/>
    <cellStyle name="Lien hypertexte" xfId="4748" builtinId="8" hidden="1"/>
    <cellStyle name="Lien hypertexte" xfId="4750" builtinId="8" hidden="1"/>
    <cellStyle name="Lien hypertexte" xfId="4752" builtinId="8" hidden="1"/>
    <cellStyle name="Lien hypertexte" xfId="4754" builtinId="8" hidden="1"/>
    <cellStyle name="Lien hypertexte" xfId="4756" builtinId="8" hidden="1"/>
    <cellStyle name="Lien hypertexte" xfId="4758" builtinId="8" hidden="1"/>
    <cellStyle name="Lien hypertexte" xfId="4760" builtinId="8" hidden="1"/>
    <cellStyle name="Lien hypertexte" xfId="4762" builtinId="8" hidden="1"/>
    <cellStyle name="Lien hypertexte" xfId="4764" builtinId="8" hidden="1"/>
    <cellStyle name="Lien hypertexte" xfId="4766" builtinId="8" hidden="1"/>
    <cellStyle name="Lien hypertexte" xfId="4768" builtinId="8" hidden="1"/>
    <cellStyle name="Lien hypertexte" xfId="4770" builtinId="8" hidden="1"/>
    <cellStyle name="Lien hypertexte" xfId="4772" builtinId="8" hidden="1"/>
    <cellStyle name="Lien hypertexte" xfId="4774" builtinId="8" hidden="1"/>
    <cellStyle name="Lien hypertexte" xfId="4776" builtinId="8" hidden="1"/>
    <cellStyle name="Lien hypertexte" xfId="4778" builtinId="8" hidden="1"/>
    <cellStyle name="Lien hypertexte" xfId="4780" builtinId="8" hidden="1"/>
    <cellStyle name="Lien hypertexte" xfId="4782" builtinId="8" hidden="1"/>
    <cellStyle name="Lien hypertexte" xfId="4784" builtinId="8" hidden="1"/>
    <cellStyle name="Lien hypertexte" xfId="4786" builtinId="8" hidden="1"/>
    <cellStyle name="Lien hypertexte" xfId="4788" builtinId="8" hidden="1"/>
    <cellStyle name="Lien hypertexte" xfId="4790" builtinId="8" hidden="1"/>
    <cellStyle name="Lien hypertexte" xfId="4792" builtinId="8" hidden="1"/>
    <cellStyle name="Lien hypertexte" xfId="4794" builtinId="8" hidden="1"/>
    <cellStyle name="Lien hypertexte" xfId="4796" builtinId="8" hidden="1"/>
    <cellStyle name="Lien hypertexte" xfId="4798" builtinId="8" hidden="1"/>
    <cellStyle name="Lien hypertexte" xfId="4800" builtinId="8" hidden="1"/>
    <cellStyle name="Lien hypertexte" xfId="4802" builtinId="8" hidden="1"/>
    <cellStyle name="Lien hypertexte" xfId="4804" builtinId="8" hidden="1"/>
    <cellStyle name="Lien hypertexte" xfId="4806" builtinId="8" hidden="1"/>
    <cellStyle name="Lien hypertexte" xfId="4808" builtinId="8" hidden="1"/>
    <cellStyle name="Lien hypertexte" xfId="4810" builtinId="8" hidden="1"/>
    <cellStyle name="Lien hypertexte" xfId="4812" builtinId="8" hidden="1"/>
    <cellStyle name="Lien hypertexte" xfId="4814" builtinId="8" hidden="1"/>
    <cellStyle name="Lien hypertexte" xfId="4816" builtinId="8" hidden="1"/>
    <cellStyle name="Lien hypertexte" xfId="4818" builtinId="8" hidden="1"/>
    <cellStyle name="Lien hypertexte" xfId="4820" builtinId="8" hidden="1"/>
    <cellStyle name="Lien hypertexte" xfId="4822" builtinId="8" hidden="1"/>
    <cellStyle name="Lien hypertexte" xfId="4824" builtinId="8" hidden="1"/>
    <cellStyle name="Lien hypertexte" xfId="4826" builtinId="8" hidden="1"/>
    <cellStyle name="Lien hypertexte" xfId="4828" builtinId="8" hidden="1"/>
    <cellStyle name="Lien hypertexte" xfId="4830" builtinId="8" hidden="1"/>
    <cellStyle name="Lien hypertexte" xfId="4832" builtinId="8" hidden="1"/>
    <cellStyle name="Lien hypertexte" xfId="4834" builtinId="8" hidden="1"/>
    <cellStyle name="Lien hypertexte" xfId="4836" builtinId="8" hidden="1"/>
    <cellStyle name="Lien hypertexte" xfId="4838" builtinId="8" hidden="1"/>
    <cellStyle name="Lien hypertexte" xfId="4840" builtinId="8" hidden="1"/>
    <cellStyle name="Lien hypertexte" xfId="4842" builtinId="8" hidden="1"/>
    <cellStyle name="Lien hypertexte" xfId="4844" builtinId="8" hidden="1"/>
    <cellStyle name="Lien hypertexte" xfId="4846" builtinId="8" hidden="1"/>
    <cellStyle name="Lien hypertexte" xfId="4848" builtinId="8" hidden="1"/>
    <cellStyle name="Lien hypertexte" xfId="4850" builtinId="8" hidden="1"/>
    <cellStyle name="Lien hypertexte" xfId="4852" builtinId="8" hidden="1"/>
    <cellStyle name="Lien hypertexte" xfId="4854" builtinId="8" hidden="1"/>
    <cellStyle name="Lien hypertexte" xfId="4856" builtinId="8" hidden="1"/>
    <cellStyle name="Lien hypertexte" xfId="4858" builtinId="8" hidden="1"/>
    <cellStyle name="Lien hypertexte" xfId="4860" builtinId="8" hidden="1"/>
    <cellStyle name="Lien hypertexte" xfId="4862" builtinId="8" hidden="1"/>
    <cellStyle name="Lien hypertexte" xfId="4864" builtinId="8" hidden="1"/>
    <cellStyle name="Lien hypertexte" xfId="4866" builtinId="8" hidden="1"/>
    <cellStyle name="Lien hypertexte" xfId="4868" builtinId="8" hidden="1"/>
    <cellStyle name="Lien hypertexte" xfId="4870" builtinId="8" hidden="1"/>
    <cellStyle name="Lien hypertexte" xfId="4872" builtinId="8" hidden="1"/>
    <cellStyle name="Lien hypertexte" xfId="4874" builtinId="8" hidden="1"/>
    <cellStyle name="Lien hypertexte" xfId="4876" builtinId="8" hidden="1"/>
    <cellStyle name="Lien hypertexte" xfId="4878" builtinId="8" hidden="1"/>
    <cellStyle name="Lien hypertexte" xfId="4880" builtinId="8" hidden="1"/>
    <cellStyle name="Lien hypertexte" xfId="4882" builtinId="8" hidden="1"/>
    <cellStyle name="Lien hypertexte" xfId="4884" builtinId="8" hidden="1"/>
    <cellStyle name="Lien hypertexte" xfId="4886" builtinId="8" hidden="1"/>
    <cellStyle name="Lien hypertexte" xfId="4888" builtinId="8" hidden="1"/>
    <cellStyle name="Lien hypertexte" xfId="4890" builtinId="8" hidden="1"/>
    <cellStyle name="Lien hypertexte" xfId="4892" builtinId="8" hidden="1"/>
    <cellStyle name="Lien hypertexte" xfId="4894" builtinId="8" hidden="1"/>
    <cellStyle name="Lien hypertexte" xfId="4896" builtinId="8" hidden="1"/>
    <cellStyle name="Lien hypertexte" xfId="4898" builtinId="8" hidden="1"/>
    <cellStyle name="Lien hypertexte" xfId="4900" builtinId="8" hidden="1"/>
    <cellStyle name="Lien hypertexte" xfId="4902" builtinId="8" hidden="1"/>
    <cellStyle name="Lien hypertexte" xfId="4904" builtinId="8" hidden="1"/>
    <cellStyle name="Lien hypertexte" xfId="4906" builtinId="8" hidden="1"/>
    <cellStyle name="Lien hypertexte" xfId="4908" builtinId="8" hidden="1"/>
    <cellStyle name="Lien hypertexte" xfId="4910" builtinId="8" hidden="1"/>
    <cellStyle name="Lien hypertexte" xfId="4912" builtinId="8" hidden="1"/>
    <cellStyle name="Lien hypertexte" xfId="4914" builtinId="8" hidden="1"/>
    <cellStyle name="Lien hypertexte" xfId="4916" builtinId="8" hidden="1"/>
    <cellStyle name="Lien hypertexte" xfId="4918" builtinId="8" hidden="1"/>
    <cellStyle name="Lien hypertexte" xfId="4920" builtinId="8" hidden="1"/>
    <cellStyle name="Lien hypertexte" xfId="4922" builtinId="8" hidden="1"/>
    <cellStyle name="Lien hypertexte" xfId="4924" builtinId="8" hidden="1"/>
    <cellStyle name="Lien hypertexte" xfId="4926" builtinId="8" hidden="1"/>
    <cellStyle name="Lien hypertexte" xfId="4928" builtinId="8" hidden="1"/>
    <cellStyle name="Lien hypertexte" xfId="4930" builtinId="8" hidden="1"/>
    <cellStyle name="Lien hypertexte" xfId="4932" builtinId="8" hidden="1"/>
    <cellStyle name="Lien hypertexte" xfId="4934" builtinId="8" hidden="1"/>
    <cellStyle name="Lien hypertexte" xfId="4936" builtinId="8" hidden="1"/>
    <cellStyle name="Lien hypertexte" xfId="4938" builtinId="8" hidden="1"/>
    <cellStyle name="Lien hypertexte" xfId="4940" builtinId="8" hidden="1"/>
    <cellStyle name="Lien hypertexte" xfId="4942" builtinId="8" hidden="1"/>
    <cellStyle name="Lien hypertexte" xfId="4944" builtinId="8" hidden="1"/>
    <cellStyle name="Lien hypertexte" xfId="4946" builtinId="8" hidden="1"/>
    <cellStyle name="Lien hypertexte" xfId="4948" builtinId="8" hidden="1"/>
    <cellStyle name="Lien hypertexte" xfId="4950" builtinId="8" hidden="1"/>
    <cellStyle name="Lien hypertexte" xfId="4952" builtinId="8" hidden="1"/>
    <cellStyle name="Lien hypertexte" xfId="4954" builtinId="8" hidden="1"/>
    <cellStyle name="Lien hypertexte" xfId="4956" builtinId="8" hidden="1"/>
    <cellStyle name="Lien hypertexte" xfId="4958" builtinId="8" hidden="1"/>
    <cellStyle name="Lien hypertexte" xfId="4960" builtinId="8" hidden="1"/>
    <cellStyle name="Lien hypertexte" xfId="4962" builtinId="8" hidden="1"/>
    <cellStyle name="Lien hypertexte" xfId="4964" builtinId="8" hidden="1"/>
    <cellStyle name="Lien hypertexte" xfId="4966" builtinId="8" hidden="1"/>
    <cellStyle name="Lien hypertexte" xfId="4968" builtinId="8" hidden="1"/>
    <cellStyle name="Lien hypertexte" xfId="4970" builtinId="8" hidden="1"/>
    <cellStyle name="Lien hypertexte" xfId="4972" builtinId="8" hidden="1"/>
    <cellStyle name="Lien hypertexte" xfId="4974" builtinId="8" hidden="1"/>
    <cellStyle name="Lien hypertexte" xfId="4976" builtinId="8" hidden="1"/>
    <cellStyle name="Lien hypertexte" xfId="4978" builtinId="8" hidden="1"/>
    <cellStyle name="Lien hypertexte" xfId="4980" builtinId="8" hidden="1"/>
    <cellStyle name="Lien hypertexte" xfId="4982" builtinId="8" hidden="1"/>
    <cellStyle name="Lien hypertexte" xfId="4984" builtinId="8" hidden="1"/>
    <cellStyle name="Lien hypertexte" xfId="4986" builtinId="8" hidden="1"/>
    <cellStyle name="Lien hypertexte" xfId="4988" builtinId="8" hidden="1"/>
    <cellStyle name="Lien hypertexte" xfId="4990" builtinId="8" hidden="1"/>
    <cellStyle name="Lien hypertexte" xfId="4992" builtinId="8" hidden="1"/>
    <cellStyle name="Lien hypertexte" xfId="4994" builtinId="8" hidden="1"/>
    <cellStyle name="Lien hypertexte" xfId="4996" builtinId="8" hidden="1"/>
    <cellStyle name="Lien hypertexte" xfId="4998" builtinId="8" hidden="1"/>
    <cellStyle name="Lien hypertexte" xfId="5000" builtinId="8" hidden="1"/>
    <cellStyle name="Lien hypertexte" xfId="5002" builtinId="8" hidden="1"/>
    <cellStyle name="Lien hypertexte" xfId="5004" builtinId="8" hidden="1"/>
    <cellStyle name="Lien hypertexte" xfId="5006" builtinId="8" hidden="1"/>
    <cellStyle name="Lien hypertexte" xfId="5008" builtinId="8" hidden="1"/>
    <cellStyle name="Lien hypertexte" xfId="5010" builtinId="8" hidden="1"/>
    <cellStyle name="Lien hypertexte" xfId="5012" builtinId="8" hidden="1"/>
    <cellStyle name="Lien hypertexte" xfId="5014" builtinId="8" hidden="1"/>
    <cellStyle name="Lien hypertexte" xfId="5016" builtinId="8" hidden="1"/>
    <cellStyle name="Lien hypertexte" xfId="5018" builtinId="8" hidden="1"/>
    <cellStyle name="Lien hypertexte" xfId="5020" builtinId="8" hidden="1"/>
    <cellStyle name="Lien hypertexte" xfId="5022" builtinId="8" hidden="1"/>
    <cellStyle name="Lien hypertexte" xfId="5024" builtinId="8" hidden="1"/>
    <cellStyle name="Lien hypertexte" xfId="5026" builtinId="8" hidden="1"/>
    <cellStyle name="Lien hypertexte" xfId="5028" builtinId="8" hidden="1"/>
    <cellStyle name="Lien hypertexte" xfId="5030" builtinId="8" hidden="1"/>
    <cellStyle name="Lien hypertexte" xfId="5032" builtinId="8" hidden="1"/>
    <cellStyle name="Lien hypertexte" xfId="5034" builtinId="8" hidden="1"/>
    <cellStyle name="Lien hypertexte" xfId="5036" builtinId="8" hidden="1"/>
    <cellStyle name="Lien hypertexte" xfId="5038" builtinId="8" hidden="1"/>
    <cellStyle name="Lien hypertexte" xfId="5040" builtinId="8" hidden="1"/>
    <cellStyle name="Lien hypertexte" xfId="5042" builtinId="8" hidden="1"/>
    <cellStyle name="Lien hypertexte" xfId="5044" builtinId="8" hidden="1"/>
    <cellStyle name="Lien hypertexte" xfId="5046" builtinId="8" hidden="1"/>
    <cellStyle name="Lien hypertexte" xfId="5048" builtinId="8" hidden="1"/>
    <cellStyle name="Lien hypertexte" xfId="5050" builtinId="8" hidden="1"/>
    <cellStyle name="Lien hypertexte" xfId="5052" builtinId="8" hidden="1"/>
    <cellStyle name="Lien hypertexte" xfId="5054" builtinId="8" hidden="1"/>
    <cellStyle name="Lien hypertexte" xfId="5056" builtinId="8" hidden="1"/>
    <cellStyle name="Lien hypertexte" xfId="5058" builtinId="8" hidden="1"/>
    <cellStyle name="Lien hypertexte" xfId="5060" builtinId="8" hidden="1"/>
    <cellStyle name="Lien hypertexte" xfId="5062" builtinId="8" hidden="1"/>
    <cellStyle name="Lien hypertexte" xfId="5064" builtinId="8" hidden="1"/>
    <cellStyle name="Lien hypertexte" xfId="5066" builtinId="8" hidden="1"/>
    <cellStyle name="Lien hypertexte" xfId="5068" builtinId="8" hidden="1"/>
    <cellStyle name="Lien hypertexte" xfId="5070" builtinId="8" hidden="1"/>
    <cellStyle name="Lien hypertexte" xfId="5072" builtinId="8" hidden="1"/>
    <cellStyle name="Lien hypertexte" xfId="5074" builtinId="8" hidden="1"/>
    <cellStyle name="Lien hypertexte" xfId="5076" builtinId="8" hidden="1"/>
    <cellStyle name="Lien hypertexte" xfId="5078" builtinId="8" hidden="1"/>
    <cellStyle name="Lien hypertexte" xfId="5080" builtinId="8" hidden="1"/>
    <cellStyle name="Lien hypertexte" xfId="5082" builtinId="8" hidden="1"/>
    <cellStyle name="Lien hypertexte" xfId="5084" builtinId="8" hidden="1"/>
    <cellStyle name="Lien hypertexte" xfId="5086" builtinId="8" hidden="1"/>
    <cellStyle name="Lien hypertexte" xfId="5088" builtinId="8" hidden="1"/>
    <cellStyle name="Lien hypertexte" xfId="5090" builtinId="8" hidden="1"/>
    <cellStyle name="Lien hypertexte" xfId="5092" builtinId="8" hidden="1"/>
    <cellStyle name="Lien hypertexte" xfId="5094" builtinId="8" hidden="1"/>
    <cellStyle name="Lien hypertexte" xfId="5096" builtinId="8" hidden="1"/>
    <cellStyle name="Lien hypertexte" xfId="5098" builtinId="8" hidden="1"/>
    <cellStyle name="Lien hypertexte" xfId="5100" builtinId="8" hidden="1"/>
    <cellStyle name="Lien hypertexte" xfId="5102" builtinId="8" hidden="1"/>
    <cellStyle name="Lien hypertexte" xfId="5104" builtinId="8" hidden="1"/>
    <cellStyle name="Lien hypertexte" xfId="5106" builtinId="8" hidden="1"/>
    <cellStyle name="Lien hypertexte" xfId="5108" builtinId="8" hidden="1"/>
    <cellStyle name="Lien hypertexte" xfId="5110" builtinId="8" hidden="1"/>
    <cellStyle name="Lien hypertexte" xfId="5112" builtinId="8" hidden="1"/>
    <cellStyle name="Lien hypertexte" xfId="5114" builtinId="8" hidden="1"/>
    <cellStyle name="Lien hypertexte" xfId="5116" builtinId="8" hidden="1"/>
    <cellStyle name="Lien hypertexte" xfId="5118" builtinId="8" hidden="1"/>
    <cellStyle name="Lien hypertexte" xfId="5120" builtinId="8" hidden="1"/>
    <cellStyle name="Lien hypertexte" xfId="5122" builtinId="8" hidden="1"/>
    <cellStyle name="Lien hypertexte" xfId="5124" builtinId="8" hidden="1"/>
    <cellStyle name="Lien hypertexte" xfId="5126" builtinId="8" hidden="1"/>
    <cellStyle name="Lien hypertexte" xfId="5128" builtinId="8" hidden="1"/>
    <cellStyle name="Lien hypertexte" xfId="5130" builtinId="8" hidden="1"/>
    <cellStyle name="Lien hypertexte" xfId="5132" builtinId="8" hidden="1"/>
    <cellStyle name="Lien hypertexte" xfId="5134" builtinId="8" hidden="1"/>
    <cellStyle name="Lien hypertexte" xfId="5136" builtinId="8" hidden="1"/>
    <cellStyle name="Lien hypertexte" xfId="5138" builtinId="8" hidden="1"/>
    <cellStyle name="Lien hypertexte" xfId="5140" builtinId="8" hidden="1"/>
    <cellStyle name="Lien hypertexte" xfId="5142" builtinId="8" hidden="1"/>
    <cellStyle name="Lien hypertexte" xfId="5144" builtinId="8" hidden="1"/>
    <cellStyle name="Lien hypertexte" xfId="5146" builtinId="8" hidden="1"/>
    <cellStyle name="Lien hypertexte" xfId="5148" builtinId="8" hidden="1"/>
    <cellStyle name="Lien hypertexte" xfId="5150" builtinId="8" hidden="1"/>
    <cellStyle name="Lien hypertexte" xfId="5152" builtinId="8" hidden="1"/>
    <cellStyle name="Lien hypertexte" xfId="5154" builtinId="8" hidden="1"/>
    <cellStyle name="Lien hypertexte" xfId="5156" builtinId="8" hidden="1"/>
    <cellStyle name="Lien hypertexte" xfId="5158" builtinId="8" hidden="1"/>
    <cellStyle name="Lien hypertexte" xfId="5160" builtinId="8" hidden="1"/>
    <cellStyle name="Lien hypertexte" xfId="5162" builtinId="8" hidden="1"/>
    <cellStyle name="Lien hypertexte" xfId="5164" builtinId="8" hidden="1"/>
    <cellStyle name="Lien hypertexte" xfId="5166" builtinId="8" hidden="1"/>
    <cellStyle name="Lien hypertexte" xfId="5168" builtinId="8" hidden="1"/>
    <cellStyle name="Lien hypertexte" xfId="5170" builtinId="8" hidden="1"/>
    <cellStyle name="Lien hypertexte" xfId="5172" builtinId="8" hidden="1"/>
    <cellStyle name="Lien hypertexte" xfId="5174" builtinId="8" hidden="1"/>
    <cellStyle name="Lien hypertexte" xfId="5176" builtinId="8" hidden="1"/>
    <cellStyle name="Lien hypertexte" xfId="5178" builtinId="8" hidden="1"/>
    <cellStyle name="Lien hypertexte" xfId="5180" builtinId="8" hidden="1"/>
    <cellStyle name="Lien hypertexte" xfId="5182" builtinId="8" hidden="1"/>
    <cellStyle name="Lien hypertexte" xfId="5184" builtinId="8" hidden="1"/>
    <cellStyle name="Lien hypertexte" xfId="5186" builtinId="8" hidden="1"/>
    <cellStyle name="Lien hypertexte" xfId="5188" builtinId="8" hidden="1"/>
    <cellStyle name="Lien hypertexte" xfId="5190" builtinId="8" hidden="1"/>
    <cellStyle name="Lien hypertexte" xfId="5192" builtinId="8" hidden="1"/>
    <cellStyle name="Lien hypertexte" xfId="5194" builtinId="8" hidden="1"/>
    <cellStyle name="Lien hypertexte" xfId="5196" builtinId="8" hidden="1"/>
    <cellStyle name="Lien hypertexte" xfId="5198" builtinId="8" hidden="1"/>
    <cellStyle name="Lien hypertexte" xfId="5200" builtinId="8" hidden="1"/>
    <cellStyle name="Lien hypertexte" xfId="5202" builtinId="8" hidden="1"/>
    <cellStyle name="Lien hypertexte" xfId="5204" builtinId="8" hidden="1"/>
    <cellStyle name="Lien hypertexte" xfId="5206" builtinId="8" hidden="1"/>
    <cellStyle name="Lien hypertexte" xfId="5208" builtinId="8" hidden="1"/>
    <cellStyle name="Lien hypertexte" xfId="5210" builtinId="8" hidden="1"/>
    <cellStyle name="Lien hypertexte" xfId="5212" builtinId="8" hidden="1"/>
    <cellStyle name="Lien hypertexte" xfId="5214" builtinId="8" hidden="1"/>
    <cellStyle name="Lien hypertexte" xfId="5216" builtinId="8" hidden="1"/>
    <cellStyle name="Lien hypertexte" xfId="5218" builtinId="8" hidden="1"/>
    <cellStyle name="Lien hypertexte" xfId="5220" builtinId="8" hidden="1"/>
    <cellStyle name="Lien hypertexte" xfId="5222" builtinId="8" hidden="1"/>
    <cellStyle name="Lien hypertexte" xfId="5224" builtinId="8" hidden="1"/>
    <cellStyle name="Lien hypertexte" xfId="5226" builtinId="8" hidden="1"/>
    <cellStyle name="Lien hypertexte" xfId="5228" builtinId="8" hidden="1"/>
    <cellStyle name="Lien hypertexte" xfId="5230" builtinId="8" hidden="1"/>
    <cellStyle name="Lien hypertexte" xfId="5232" builtinId="8" hidden="1"/>
    <cellStyle name="Lien hypertexte" xfId="5234" builtinId="8" hidden="1"/>
    <cellStyle name="Lien hypertexte" xfId="5236" builtinId="8" hidden="1"/>
    <cellStyle name="Lien hypertexte" xfId="5238" builtinId="8" hidden="1"/>
    <cellStyle name="Lien hypertexte" xfId="5240" builtinId="8" hidden="1"/>
    <cellStyle name="Lien hypertexte" xfId="5242" builtinId="8" hidden="1"/>
    <cellStyle name="Lien hypertexte" xfId="5244" builtinId="8" hidden="1"/>
    <cellStyle name="Lien hypertexte" xfId="5246" builtinId="8" hidden="1"/>
    <cellStyle name="Lien hypertexte" xfId="5248" builtinId="8" hidden="1"/>
    <cellStyle name="Lien hypertexte" xfId="5250" builtinId="8" hidden="1"/>
    <cellStyle name="Lien hypertexte" xfId="5252" builtinId="8" hidden="1"/>
    <cellStyle name="Lien hypertexte" xfId="5254" builtinId="8" hidden="1"/>
    <cellStyle name="Lien hypertexte" xfId="5256" builtinId="8" hidden="1"/>
    <cellStyle name="Lien hypertexte" xfId="5258" builtinId="8" hidden="1"/>
    <cellStyle name="Lien hypertexte" xfId="5260" builtinId="8" hidden="1"/>
    <cellStyle name="Lien hypertexte" xfId="5262" builtinId="8" hidden="1"/>
    <cellStyle name="Lien hypertexte" xfId="5264" builtinId="8" hidden="1"/>
    <cellStyle name="Lien hypertexte" xfId="5266" builtinId="8" hidden="1"/>
    <cellStyle name="Lien hypertexte" xfId="5268" builtinId="8" hidden="1"/>
    <cellStyle name="Lien hypertexte" xfId="5270" builtinId="8" hidden="1"/>
    <cellStyle name="Lien hypertexte" xfId="5272" builtinId="8" hidden="1"/>
    <cellStyle name="Lien hypertexte" xfId="5274" builtinId="8" hidden="1"/>
    <cellStyle name="Lien hypertexte" xfId="5276" builtinId="8" hidden="1"/>
    <cellStyle name="Lien hypertexte" xfId="5278" builtinId="8" hidden="1"/>
    <cellStyle name="Lien hypertexte" xfId="5280" builtinId="8" hidden="1"/>
    <cellStyle name="Lien hypertexte" xfId="5282" builtinId="8" hidden="1"/>
    <cellStyle name="Lien hypertexte" xfId="5284" builtinId="8" hidden="1"/>
    <cellStyle name="Lien hypertexte" xfId="5286" builtinId="8" hidden="1"/>
    <cellStyle name="Lien hypertexte" xfId="5288" builtinId="8" hidden="1"/>
    <cellStyle name="Lien hypertexte" xfId="5290" builtinId="8" hidden="1"/>
    <cellStyle name="Lien hypertexte" xfId="5292" builtinId="8" hidden="1"/>
    <cellStyle name="Lien hypertexte" xfId="5294" builtinId="8" hidden="1"/>
    <cellStyle name="Lien hypertexte" xfId="5296" builtinId="8" hidden="1"/>
    <cellStyle name="Lien hypertexte" xfId="5298" builtinId="8" hidden="1"/>
    <cellStyle name="Lien hypertexte" xfId="5300" builtinId="8" hidden="1"/>
    <cellStyle name="Lien hypertexte" xfId="5302" builtinId="8" hidden="1"/>
    <cellStyle name="Lien hypertexte" xfId="5304" builtinId="8" hidden="1"/>
    <cellStyle name="Lien hypertexte" xfId="5306" builtinId="8" hidden="1"/>
    <cellStyle name="Lien hypertexte" xfId="5308" builtinId="8" hidden="1"/>
    <cellStyle name="Lien hypertexte" xfId="5310" builtinId="8" hidden="1"/>
    <cellStyle name="Lien hypertexte" xfId="5312" builtinId="8" hidden="1"/>
    <cellStyle name="Lien hypertexte" xfId="5314" builtinId="8" hidden="1"/>
    <cellStyle name="Lien hypertexte" xfId="5316" builtinId="8" hidden="1"/>
    <cellStyle name="Lien hypertexte" xfId="5318" builtinId="8" hidden="1"/>
    <cellStyle name="Lien hypertexte" xfId="5320" builtinId="8" hidden="1"/>
    <cellStyle name="Lien hypertexte" xfId="5322" builtinId="8" hidden="1"/>
    <cellStyle name="Lien hypertexte" xfId="5324" builtinId="8" hidden="1"/>
    <cellStyle name="Lien hypertexte" xfId="5326" builtinId="8" hidden="1"/>
    <cellStyle name="Lien hypertexte" xfId="5328" builtinId="8" hidden="1"/>
    <cellStyle name="Lien hypertexte" xfId="5330" builtinId="8" hidden="1"/>
    <cellStyle name="Lien hypertexte" xfId="5332" builtinId="8" hidden="1"/>
    <cellStyle name="Lien hypertexte" xfId="5334" builtinId="8" hidden="1"/>
    <cellStyle name="Lien hypertexte" xfId="5336" builtinId="8" hidden="1"/>
    <cellStyle name="Lien hypertexte" xfId="5338" builtinId="8" hidden="1"/>
    <cellStyle name="Lien hypertexte" xfId="5340" builtinId="8" hidden="1"/>
    <cellStyle name="Lien hypertexte" xfId="5342" builtinId="8" hidden="1"/>
    <cellStyle name="Lien hypertexte" xfId="5344" builtinId="8" hidden="1"/>
    <cellStyle name="Lien hypertexte" xfId="5346" builtinId="8" hidden="1"/>
    <cellStyle name="Lien hypertexte" xfId="5348" builtinId="8" hidden="1"/>
    <cellStyle name="Lien hypertexte" xfId="5350" builtinId="8" hidden="1"/>
    <cellStyle name="Lien hypertexte" xfId="5352" builtinId="8" hidden="1"/>
    <cellStyle name="Lien hypertexte" xfId="5354" builtinId="8" hidden="1"/>
    <cellStyle name="Lien hypertexte" xfId="5356" builtinId="8" hidden="1"/>
    <cellStyle name="Lien hypertexte" xfId="5358" builtinId="8" hidden="1"/>
    <cellStyle name="Lien hypertexte" xfId="5360" builtinId="8" hidden="1"/>
    <cellStyle name="Lien hypertexte" xfId="5362" builtinId="8" hidden="1"/>
    <cellStyle name="Lien hypertexte" xfId="5364" builtinId="8" hidden="1"/>
    <cellStyle name="Lien hypertexte" xfId="5366" builtinId="8" hidden="1"/>
    <cellStyle name="Lien hypertexte" xfId="5368" builtinId="8" hidden="1"/>
    <cellStyle name="Lien hypertexte" xfId="5370" builtinId="8" hidden="1"/>
    <cellStyle name="Lien hypertexte" xfId="5372" builtinId="8" hidden="1"/>
    <cellStyle name="Lien hypertexte" xfId="5374" builtinId="8" hidden="1"/>
    <cellStyle name="Lien hypertexte" xfId="5376" builtinId="8" hidden="1"/>
    <cellStyle name="Lien hypertexte" xfId="5378" builtinId="8" hidden="1"/>
    <cellStyle name="Lien hypertexte" xfId="5380" builtinId="8" hidden="1"/>
    <cellStyle name="Lien hypertexte" xfId="5382" builtinId="8" hidden="1"/>
    <cellStyle name="Lien hypertexte" xfId="5384" builtinId="8" hidden="1"/>
    <cellStyle name="Lien hypertexte" xfId="5386" builtinId="8" hidden="1"/>
    <cellStyle name="Lien hypertexte" xfId="5388" builtinId="8" hidden="1"/>
    <cellStyle name="Lien hypertexte" xfId="5390" builtinId="8" hidden="1"/>
    <cellStyle name="Lien hypertexte" xfId="5392" builtinId="8" hidden="1"/>
    <cellStyle name="Lien hypertexte" xfId="5394" builtinId="8" hidden="1"/>
    <cellStyle name="Lien hypertexte" xfId="5396" builtinId="8" hidden="1"/>
    <cellStyle name="Lien hypertexte" xfId="5398" builtinId="8" hidden="1"/>
    <cellStyle name="Lien hypertexte" xfId="5400" builtinId="8" hidden="1"/>
    <cellStyle name="Lien hypertexte" xfId="5402" builtinId="8" hidden="1"/>
    <cellStyle name="Lien hypertexte" xfId="5404" builtinId="8" hidden="1"/>
    <cellStyle name="Lien hypertexte" xfId="5406" builtinId="8" hidden="1"/>
    <cellStyle name="Lien hypertexte" xfId="5408" builtinId="8" hidden="1"/>
    <cellStyle name="Lien hypertexte" xfId="5410" builtinId="8" hidden="1"/>
    <cellStyle name="Lien hypertexte" xfId="5412" builtinId="8" hidden="1"/>
    <cellStyle name="Lien hypertexte" xfId="5414" builtinId="8" hidden="1"/>
    <cellStyle name="Lien hypertexte" xfId="5416" builtinId="8" hidden="1"/>
    <cellStyle name="Lien hypertexte" xfId="5418" builtinId="8" hidden="1"/>
    <cellStyle name="Lien hypertexte" xfId="5420" builtinId="8" hidden="1"/>
    <cellStyle name="Lien hypertexte" xfId="5422" builtinId="8" hidden="1"/>
    <cellStyle name="Lien hypertexte" xfId="5424" builtinId="8" hidden="1"/>
    <cellStyle name="Lien hypertexte" xfId="5426" builtinId="8" hidden="1"/>
    <cellStyle name="Lien hypertexte" xfId="5428" builtinId="8" hidden="1"/>
    <cellStyle name="Lien hypertexte" xfId="5430" builtinId="8" hidden="1"/>
    <cellStyle name="Lien hypertexte" xfId="5432" builtinId="8" hidden="1"/>
    <cellStyle name="Lien hypertexte" xfId="5434" builtinId="8" hidden="1"/>
    <cellStyle name="Lien hypertexte" xfId="5436" builtinId="8" hidden="1"/>
    <cellStyle name="Lien hypertexte" xfId="5438" builtinId="8" hidden="1"/>
    <cellStyle name="Lien hypertexte" xfId="5440" builtinId="8" hidden="1"/>
    <cellStyle name="Lien hypertexte" xfId="5442" builtinId="8" hidden="1"/>
    <cellStyle name="Lien hypertexte" xfId="5444" builtinId="8" hidden="1"/>
    <cellStyle name="Lien hypertexte" xfId="5446" builtinId="8" hidden="1"/>
    <cellStyle name="Lien hypertexte" xfId="5448" builtinId="8" hidden="1"/>
    <cellStyle name="Lien hypertexte" xfId="5450" builtinId="8" hidden="1"/>
    <cellStyle name="Lien hypertexte" xfId="5452" builtinId="8" hidden="1"/>
    <cellStyle name="Lien hypertexte" xfId="5454" builtinId="8" hidden="1"/>
    <cellStyle name="Lien hypertexte" xfId="5456" builtinId="8" hidden="1"/>
    <cellStyle name="Lien hypertexte" xfId="5458" builtinId="8" hidden="1"/>
    <cellStyle name="Lien hypertexte" xfId="5460" builtinId="8" hidden="1"/>
    <cellStyle name="Lien hypertexte" xfId="5462" builtinId="8" hidden="1"/>
    <cellStyle name="Lien hypertexte" xfId="5464" builtinId="8" hidden="1"/>
    <cellStyle name="Lien hypertexte" xfId="5466" builtinId="8" hidden="1"/>
    <cellStyle name="Lien hypertexte" xfId="5468" builtinId="8" hidden="1"/>
    <cellStyle name="Lien hypertexte" xfId="5470" builtinId="8" hidden="1"/>
    <cellStyle name="Lien hypertexte" xfId="5472" builtinId="8" hidden="1"/>
    <cellStyle name="Lien hypertexte" xfId="5474" builtinId="8" hidden="1"/>
    <cellStyle name="Lien hypertexte" xfId="5476" builtinId="8" hidden="1"/>
    <cellStyle name="Lien hypertexte" xfId="5478" builtinId="8" hidden="1"/>
    <cellStyle name="Lien hypertexte" xfId="5480" builtinId="8" hidden="1"/>
    <cellStyle name="Lien hypertexte" xfId="5482" builtinId="8" hidden="1"/>
    <cellStyle name="Lien hypertexte" xfId="5484" builtinId="8" hidden="1"/>
    <cellStyle name="Lien hypertexte" xfId="5486" builtinId="8" hidden="1"/>
    <cellStyle name="Lien hypertexte" xfId="5488" builtinId="8" hidden="1"/>
    <cellStyle name="Lien hypertexte" xfId="5490" builtinId="8" hidden="1"/>
    <cellStyle name="Lien hypertexte" xfId="5492" builtinId="8" hidden="1"/>
    <cellStyle name="Lien hypertexte" xfId="5494" builtinId="8" hidden="1"/>
    <cellStyle name="Lien hypertexte" xfId="5496" builtinId="8" hidden="1"/>
    <cellStyle name="Lien hypertexte" xfId="5498" builtinId="8" hidden="1"/>
    <cellStyle name="Lien hypertexte" xfId="5500" builtinId="8" hidden="1"/>
    <cellStyle name="Lien hypertexte" xfId="5502" builtinId="8" hidden="1"/>
    <cellStyle name="Lien hypertexte" xfId="5504" builtinId="8" hidden="1"/>
    <cellStyle name="Lien hypertexte" xfId="5506" builtinId="8" hidden="1"/>
    <cellStyle name="Lien hypertexte" xfId="5508" builtinId="8" hidden="1"/>
    <cellStyle name="Lien hypertexte" xfId="5510" builtinId="8" hidden="1"/>
    <cellStyle name="Lien hypertexte" xfId="5512" builtinId="8" hidden="1"/>
    <cellStyle name="Lien hypertexte" xfId="5514" builtinId="8" hidden="1"/>
    <cellStyle name="Lien hypertexte" xfId="5516" builtinId="8" hidden="1"/>
    <cellStyle name="Lien hypertexte" xfId="5518" builtinId="8" hidden="1"/>
    <cellStyle name="Lien hypertexte" xfId="5520" builtinId="8" hidden="1"/>
    <cellStyle name="Lien hypertexte" xfId="5522" builtinId="8" hidden="1"/>
    <cellStyle name="Lien hypertexte" xfId="5524" builtinId="8" hidden="1"/>
    <cellStyle name="Lien hypertexte" xfId="5526" builtinId="8" hidden="1"/>
    <cellStyle name="Lien hypertexte" xfId="5528" builtinId="8" hidden="1"/>
    <cellStyle name="Lien hypertexte" xfId="5530" builtinId="8" hidden="1"/>
    <cellStyle name="Lien hypertexte" xfId="5532" builtinId="8" hidden="1"/>
    <cellStyle name="Lien hypertexte" xfId="5534" builtinId="8" hidden="1"/>
    <cellStyle name="Lien hypertexte" xfId="5536" builtinId="8" hidden="1"/>
    <cellStyle name="Lien hypertexte" xfId="5538" builtinId="8" hidden="1"/>
    <cellStyle name="Lien hypertexte" xfId="5540" builtinId="8" hidden="1"/>
    <cellStyle name="Lien hypertexte" xfId="5542" builtinId="8" hidden="1"/>
    <cellStyle name="Lien hypertexte" xfId="5544" builtinId="8" hidden="1"/>
    <cellStyle name="Lien hypertexte" xfId="5546" builtinId="8" hidden="1"/>
    <cellStyle name="Lien hypertexte" xfId="5548" builtinId="8" hidden="1"/>
    <cellStyle name="Lien hypertexte" xfId="5550" builtinId="8" hidden="1"/>
    <cellStyle name="Lien hypertexte" xfId="5552" builtinId="8" hidden="1"/>
    <cellStyle name="Lien hypertexte" xfId="5554" builtinId="8" hidden="1"/>
    <cellStyle name="Lien hypertexte" xfId="5556" builtinId="8" hidden="1"/>
    <cellStyle name="Lien hypertexte" xfId="5558" builtinId="8" hidden="1"/>
    <cellStyle name="Lien hypertexte" xfId="5560" builtinId="8" hidden="1"/>
    <cellStyle name="Lien hypertexte" xfId="5562" builtinId="8" hidden="1"/>
    <cellStyle name="Lien hypertexte" xfId="5564" builtinId="8" hidden="1"/>
    <cellStyle name="Lien hypertexte" xfId="5566" builtinId="8" hidden="1"/>
    <cellStyle name="Lien hypertexte" xfId="5568" builtinId="8" hidden="1"/>
    <cellStyle name="Lien hypertexte" xfId="5570" builtinId="8" hidden="1"/>
    <cellStyle name="Lien hypertexte" xfId="5572" builtinId="8" hidden="1"/>
    <cellStyle name="Lien hypertexte" xfId="5574" builtinId="8" hidden="1"/>
    <cellStyle name="Lien hypertexte" xfId="5576" builtinId="8" hidden="1"/>
    <cellStyle name="Lien hypertexte" xfId="5578" builtinId="8" hidden="1"/>
    <cellStyle name="Lien hypertexte" xfId="5580" builtinId="8" hidden="1"/>
    <cellStyle name="Lien hypertexte" xfId="5582" builtinId="8" hidden="1"/>
    <cellStyle name="Lien hypertexte" xfId="5584" builtinId="8" hidden="1"/>
    <cellStyle name="Lien hypertexte" xfId="5586" builtinId="8" hidden="1"/>
    <cellStyle name="Lien hypertexte" xfId="5588" builtinId="8" hidden="1"/>
    <cellStyle name="Lien hypertexte" xfId="5590" builtinId="8" hidden="1"/>
    <cellStyle name="Lien hypertexte" xfId="5592" builtinId="8" hidden="1"/>
    <cellStyle name="Lien hypertexte" xfId="5594" builtinId="8" hidden="1"/>
    <cellStyle name="Lien hypertexte" xfId="5596" builtinId="8" hidden="1"/>
    <cellStyle name="Lien hypertexte" xfId="5598" builtinId="8" hidden="1"/>
    <cellStyle name="Lien hypertexte" xfId="5600" builtinId="8" hidden="1"/>
    <cellStyle name="Lien hypertexte" xfId="5602" builtinId="8" hidden="1"/>
    <cellStyle name="Lien hypertexte" xfId="5604" builtinId="8" hidden="1"/>
    <cellStyle name="Lien hypertexte" xfId="5606" builtinId="8" hidden="1"/>
    <cellStyle name="Lien hypertexte" xfId="5608" builtinId="8" hidden="1"/>
    <cellStyle name="Lien hypertexte" xfId="5610" builtinId="8" hidden="1"/>
    <cellStyle name="Lien hypertexte" xfId="5612" builtinId="8" hidden="1"/>
    <cellStyle name="Lien hypertexte" xfId="5614" builtinId="8" hidden="1"/>
    <cellStyle name="Lien hypertexte" xfId="5616" builtinId="8" hidden="1"/>
    <cellStyle name="Lien hypertexte" xfId="5618" builtinId="8" hidden="1"/>
    <cellStyle name="Lien hypertexte" xfId="5620" builtinId="8" hidden="1"/>
    <cellStyle name="Lien hypertexte" xfId="5622" builtinId="8" hidden="1"/>
    <cellStyle name="Lien hypertexte" xfId="5624" builtinId="8" hidden="1"/>
    <cellStyle name="Lien hypertexte" xfId="5626" builtinId="8" hidden="1"/>
    <cellStyle name="Lien hypertexte" xfId="5628" builtinId="8" hidden="1"/>
    <cellStyle name="Lien hypertexte" xfId="5630" builtinId="8" hidden="1"/>
    <cellStyle name="Lien hypertexte" xfId="5632" builtinId="8" hidden="1"/>
    <cellStyle name="Lien hypertexte" xfId="5634" builtinId="8" hidden="1"/>
    <cellStyle name="Lien hypertexte" xfId="5636" builtinId="8" hidden="1"/>
    <cellStyle name="Lien hypertexte" xfId="5638" builtinId="8" hidden="1"/>
    <cellStyle name="Lien hypertexte" xfId="5640" builtinId="8" hidden="1"/>
    <cellStyle name="Lien hypertexte" xfId="5642" builtinId="8" hidden="1"/>
    <cellStyle name="Lien hypertexte" xfId="5644" builtinId="8" hidden="1"/>
    <cellStyle name="Lien hypertexte" xfId="5646" builtinId="8" hidden="1"/>
    <cellStyle name="Lien hypertexte" xfId="5648" builtinId="8" hidden="1"/>
    <cellStyle name="Lien hypertexte" xfId="5650" builtinId="8" hidden="1"/>
    <cellStyle name="Lien hypertexte" xfId="5652" builtinId="8" hidden="1"/>
    <cellStyle name="Lien hypertexte" xfId="5654" builtinId="8" hidden="1"/>
    <cellStyle name="Lien hypertexte" xfId="5656" builtinId="8" hidden="1"/>
    <cellStyle name="Lien hypertexte" xfId="5658" builtinId="8" hidden="1"/>
    <cellStyle name="Lien hypertexte" xfId="5660" builtinId="8" hidden="1"/>
    <cellStyle name="Lien hypertexte" xfId="5662" builtinId="8" hidden="1"/>
    <cellStyle name="Lien hypertexte" xfId="5664" builtinId="8" hidden="1"/>
    <cellStyle name="Lien hypertexte" xfId="5666" builtinId="8" hidden="1"/>
    <cellStyle name="Lien hypertexte" xfId="5668" builtinId="8" hidden="1"/>
    <cellStyle name="Lien hypertexte" xfId="5670" builtinId="8" hidden="1"/>
    <cellStyle name="Lien hypertexte" xfId="5672" builtinId="8" hidden="1"/>
    <cellStyle name="Lien hypertexte" xfId="5674" builtinId="8" hidden="1"/>
    <cellStyle name="Lien hypertexte" xfId="5676" builtinId="8" hidden="1"/>
    <cellStyle name="Lien hypertexte" xfId="5678" builtinId="8" hidden="1"/>
    <cellStyle name="Lien hypertexte" xfId="5680" builtinId="8" hidden="1"/>
    <cellStyle name="Lien hypertexte" xfId="5682" builtinId="8" hidden="1"/>
    <cellStyle name="Lien hypertexte" xfId="5684" builtinId="8" hidden="1"/>
    <cellStyle name="Lien hypertexte" xfId="5686" builtinId="8" hidden="1"/>
    <cellStyle name="Lien hypertexte" xfId="5688" builtinId="8" hidden="1"/>
    <cellStyle name="Lien hypertexte" xfId="5690" builtinId="8" hidden="1"/>
    <cellStyle name="Lien hypertexte" xfId="5692" builtinId="8" hidden="1"/>
    <cellStyle name="Lien hypertexte" xfId="5694" builtinId="8" hidden="1"/>
    <cellStyle name="Lien hypertexte" xfId="5696" builtinId="8" hidden="1"/>
    <cellStyle name="Lien hypertexte" xfId="5698" builtinId="8" hidden="1"/>
    <cellStyle name="Lien hypertexte" xfId="5700" builtinId="8" hidden="1"/>
    <cellStyle name="Lien hypertexte" xfId="5702" builtinId="8" hidden="1"/>
    <cellStyle name="Lien hypertexte" xfId="5704" builtinId="8" hidden="1"/>
    <cellStyle name="Lien hypertexte" xfId="5706" builtinId="8" hidden="1"/>
    <cellStyle name="Lien hypertexte" xfId="5708" builtinId="8" hidden="1"/>
    <cellStyle name="Lien hypertexte" xfId="5710" builtinId="8" hidden="1"/>
    <cellStyle name="Lien hypertexte" xfId="5712" builtinId="8" hidden="1"/>
    <cellStyle name="Lien hypertexte" xfId="5714" builtinId="8" hidden="1"/>
    <cellStyle name="Lien hypertexte" xfId="5716" builtinId="8" hidden="1"/>
    <cellStyle name="Lien hypertexte" xfId="5718" builtinId="8" hidden="1"/>
    <cellStyle name="Lien hypertexte" xfId="5720" builtinId="8" hidden="1"/>
    <cellStyle name="Lien hypertexte" xfId="5722" builtinId="8" hidden="1"/>
    <cellStyle name="Lien hypertexte" xfId="5724" builtinId="8" hidden="1"/>
    <cellStyle name="Lien hypertexte" xfId="5726" builtinId="8" hidden="1"/>
    <cellStyle name="Lien hypertexte" xfId="5728" builtinId="8" hidden="1"/>
    <cellStyle name="Lien hypertexte" xfId="5730" builtinId="8" hidden="1"/>
    <cellStyle name="Lien hypertexte" xfId="5732" builtinId="8" hidden="1"/>
    <cellStyle name="Lien hypertexte" xfId="5734" builtinId="8" hidden="1"/>
    <cellStyle name="Lien hypertexte" xfId="5736" builtinId="8" hidden="1"/>
    <cellStyle name="Lien hypertexte" xfId="5738" builtinId="8" hidden="1"/>
    <cellStyle name="Lien hypertexte" xfId="5740" builtinId="8" hidden="1"/>
    <cellStyle name="Lien hypertexte" xfId="5742" builtinId="8" hidden="1"/>
    <cellStyle name="Lien hypertexte" xfId="5744" builtinId="8" hidden="1"/>
    <cellStyle name="Lien hypertexte" xfId="5746" builtinId="8" hidden="1"/>
    <cellStyle name="Lien hypertexte" xfId="5748" builtinId="8" hidden="1"/>
    <cellStyle name="Lien hypertexte" xfId="5750" builtinId="8" hidden="1"/>
    <cellStyle name="Lien hypertexte" xfId="5752" builtinId="8" hidden="1"/>
    <cellStyle name="Lien hypertexte" xfId="5754" builtinId="8" hidden="1"/>
    <cellStyle name="Lien hypertexte" xfId="5756" builtinId="8" hidden="1"/>
    <cellStyle name="Lien hypertexte" xfId="5758" builtinId="8" hidden="1"/>
    <cellStyle name="Lien hypertexte" xfId="5760" builtinId="8" hidden="1"/>
    <cellStyle name="Lien hypertexte" xfId="5762" builtinId="8" hidden="1"/>
    <cellStyle name="Lien hypertexte" xfId="5764" builtinId="8" hidden="1"/>
    <cellStyle name="Lien hypertexte" xfId="5766" builtinId="8" hidden="1"/>
    <cellStyle name="Lien hypertexte" xfId="5768" builtinId="8" hidden="1"/>
    <cellStyle name="Lien hypertexte" xfId="5770" builtinId="8" hidden="1"/>
    <cellStyle name="Lien hypertexte" xfId="5772" builtinId="8" hidden="1"/>
    <cellStyle name="Lien hypertexte" xfId="5774" builtinId="8" hidden="1"/>
    <cellStyle name="Lien hypertexte" xfId="5776" builtinId="8" hidden="1"/>
    <cellStyle name="Lien hypertexte" xfId="5778" builtinId="8" hidden="1"/>
    <cellStyle name="Lien hypertexte" xfId="5780" builtinId="8" hidden="1"/>
    <cellStyle name="Lien hypertexte" xfId="5782" builtinId="8" hidden="1"/>
    <cellStyle name="Lien hypertexte" xfId="5784" builtinId="8" hidden="1"/>
    <cellStyle name="Lien hypertexte" xfId="5786" builtinId="8" hidden="1"/>
    <cellStyle name="Lien hypertexte" xfId="5788" builtinId="8" hidden="1"/>
    <cellStyle name="Lien hypertexte" xfId="5790" builtinId="8" hidden="1"/>
    <cellStyle name="Lien hypertexte" xfId="5792" builtinId="8" hidden="1"/>
    <cellStyle name="Lien hypertexte" xfId="5794" builtinId="8" hidden="1"/>
    <cellStyle name="Lien hypertexte" xfId="5796" builtinId="8" hidden="1"/>
    <cellStyle name="Lien hypertexte" xfId="5798" builtinId="8" hidden="1"/>
    <cellStyle name="Lien hypertexte" xfId="5800" builtinId="8" hidden="1"/>
    <cellStyle name="Lien hypertexte" xfId="5802" builtinId="8" hidden="1"/>
    <cellStyle name="Lien hypertexte" xfId="5804" builtinId="8" hidden="1"/>
    <cellStyle name="Lien hypertexte" xfId="5806" builtinId="8" hidden="1"/>
    <cellStyle name="Lien hypertexte" xfId="5808" builtinId="8" hidden="1"/>
    <cellStyle name="Lien hypertexte" xfId="5810" builtinId="8" hidden="1"/>
    <cellStyle name="Lien hypertexte" xfId="5812" builtinId="8" hidden="1"/>
    <cellStyle name="Lien hypertexte" xfId="5814" builtinId="8" hidden="1"/>
    <cellStyle name="Lien hypertexte" xfId="5816" builtinId="8" hidden="1"/>
    <cellStyle name="Lien hypertexte" xfId="5818" builtinId="8" hidden="1"/>
    <cellStyle name="Lien hypertexte" xfId="5820" builtinId="8" hidden="1"/>
    <cellStyle name="Lien hypertexte" xfId="5822" builtinId="8" hidden="1"/>
    <cellStyle name="Lien hypertexte" xfId="5824" builtinId="8" hidden="1"/>
    <cellStyle name="Lien hypertexte" xfId="5826" builtinId="8" hidden="1"/>
    <cellStyle name="Lien hypertexte" xfId="5828" builtinId="8" hidden="1"/>
    <cellStyle name="Lien hypertexte" xfId="5830" builtinId="8" hidden="1"/>
    <cellStyle name="Lien hypertexte" xfId="5832" builtinId="8" hidden="1"/>
    <cellStyle name="Lien hypertexte" xfId="5834" builtinId="8" hidden="1"/>
    <cellStyle name="Lien hypertexte" xfId="5836" builtinId="8" hidden="1"/>
    <cellStyle name="Lien hypertexte" xfId="5838" builtinId="8" hidden="1"/>
    <cellStyle name="Lien hypertexte" xfId="5840" builtinId="8" hidden="1"/>
    <cellStyle name="Lien hypertexte" xfId="5842" builtinId="8" hidden="1"/>
    <cellStyle name="Lien hypertexte" xfId="5844" builtinId="8" hidden="1"/>
    <cellStyle name="Lien hypertexte" xfId="5846" builtinId="8" hidden="1"/>
    <cellStyle name="Lien hypertexte" xfId="5848" builtinId="8" hidden="1"/>
    <cellStyle name="Lien hypertexte" xfId="5850" builtinId="8" hidden="1"/>
    <cellStyle name="Lien hypertexte" xfId="5852" builtinId="8" hidden="1"/>
    <cellStyle name="Lien hypertexte" xfId="5854" builtinId="8" hidden="1"/>
    <cellStyle name="Lien hypertexte" xfId="5856" builtinId="8" hidden="1"/>
    <cellStyle name="Lien hypertexte" xfId="5858" builtinId="8" hidden="1"/>
    <cellStyle name="Lien hypertexte" xfId="5860" builtinId="8" hidden="1"/>
    <cellStyle name="Lien hypertexte" xfId="5862" builtinId="8" hidden="1"/>
    <cellStyle name="Lien hypertexte" xfId="5864" builtinId="8" hidden="1"/>
    <cellStyle name="Lien hypertexte" xfId="5866" builtinId="8" hidden="1"/>
    <cellStyle name="Lien hypertexte" xfId="5868" builtinId="8" hidden="1"/>
    <cellStyle name="Lien hypertexte" xfId="5870" builtinId="8" hidden="1"/>
    <cellStyle name="Lien hypertexte" xfId="5872" builtinId="8" hidden="1"/>
    <cellStyle name="Lien hypertexte" xfId="5874" builtinId="8" hidden="1"/>
    <cellStyle name="Lien hypertexte" xfId="5876" builtinId="8" hidden="1"/>
    <cellStyle name="Lien hypertexte" xfId="5878" builtinId="8" hidden="1"/>
    <cellStyle name="Lien hypertexte" xfId="5880" builtinId="8" hidden="1"/>
    <cellStyle name="Lien hypertexte" xfId="5882" builtinId="8" hidden="1"/>
    <cellStyle name="Lien hypertexte" xfId="5884" builtinId="8" hidden="1"/>
    <cellStyle name="Lien hypertexte" xfId="5886" builtinId="8" hidden="1"/>
    <cellStyle name="Lien hypertexte" xfId="5888" builtinId="8" hidden="1"/>
    <cellStyle name="Lien hypertexte" xfId="5890" builtinId="8" hidden="1"/>
    <cellStyle name="Lien hypertexte" xfId="5892" builtinId="8" hidden="1"/>
    <cellStyle name="Lien hypertexte" xfId="5894" builtinId="8" hidden="1"/>
    <cellStyle name="Lien hypertexte" xfId="5896" builtinId="8" hidden="1"/>
    <cellStyle name="Lien hypertexte" xfId="5898" builtinId="8" hidden="1"/>
    <cellStyle name="Lien hypertexte" xfId="5900" builtinId="8" hidden="1"/>
    <cellStyle name="Lien hypertexte" xfId="5902" builtinId="8" hidden="1"/>
    <cellStyle name="Lien hypertexte" xfId="5904" builtinId="8" hidden="1"/>
    <cellStyle name="Lien hypertexte" xfId="5906" builtinId="8" hidden="1"/>
    <cellStyle name="Lien hypertexte" xfId="5908" builtinId="8" hidden="1"/>
    <cellStyle name="Lien hypertexte" xfId="5910" builtinId="8" hidden="1"/>
    <cellStyle name="Lien hypertexte" xfId="5912" builtinId="8" hidden="1"/>
    <cellStyle name="Lien hypertexte" xfId="5914" builtinId="8" hidden="1"/>
    <cellStyle name="Lien hypertexte" xfId="5916" builtinId="8" hidden="1"/>
    <cellStyle name="Lien hypertexte" xfId="5918" builtinId="8" hidden="1"/>
    <cellStyle name="Lien hypertexte" xfId="5920" builtinId="8" hidden="1"/>
    <cellStyle name="Lien hypertexte" xfId="5922" builtinId="8" hidden="1"/>
    <cellStyle name="Lien hypertexte" xfId="5924" builtinId="8" hidden="1"/>
    <cellStyle name="Lien hypertexte" xfId="5926" builtinId="8" hidden="1"/>
    <cellStyle name="Lien hypertexte" xfId="5928" builtinId="8" hidden="1"/>
    <cellStyle name="Lien hypertexte" xfId="5930" builtinId="8" hidden="1"/>
    <cellStyle name="Lien hypertexte" xfId="5932" builtinId="8" hidden="1"/>
    <cellStyle name="Lien hypertexte" xfId="5934" builtinId="8" hidden="1"/>
    <cellStyle name="Lien hypertexte" xfId="5936" builtinId="8" hidden="1"/>
    <cellStyle name="Lien hypertexte" xfId="5938" builtinId="8" hidden="1"/>
    <cellStyle name="Lien hypertexte" xfId="5940" builtinId="8" hidden="1"/>
    <cellStyle name="Lien hypertexte" xfId="5942" builtinId="8" hidden="1"/>
    <cellStyle name="Lien hypertexte" xfId="5944" builtinId="8" hidden="1"/>
    <cellStyle name="Lien hypertexte" xfId="5946" builtinId="8" hidden="1"/>
    <cellStyle name="Lien hypertexte" xfId="5948" builtinId="8" hidden="1"/>
    <cellStyle name="Lien hypertexte" xfId="5950" builtinId="8" hidden="1"/>
    <cellStyle name="Lien hypertexte" xfId="5952" builtinId="8" hidden="1"/>
    <cellStyle name="Lien hypertexte" xfId="5954" builtinId="8" hidden="1"/>
    <cellStyle name="Lien hypertexte" xfId="5956" builtinId="8" hidden="1"/>
    <cellStyle name="Lien hypertexte" xfId="5958" builtinId="8" hidden="1"/>
    <cellStyle name="Lien hypertexte" xfId="5960" builtinId="8" hidden="1"/>
    <cellStyle name="Lien hypertexte" xfId="5962" builtinId="8" hidden="1"/>
    <cellStyle name="Lien hypertexte" xfId="5964" builtinId="8" hidden="1"/>
    <cellStyle name="Lien hypertexte" xfId="5966" builtinId="8" hidden="1"/>
    <cellStyle name="Lien hypertexte" xfId="5968" builtinId="8" hidden="1"/>
    <cellStyle name="Lien hypertexte" xfId="5970" builtinId="8" hidden="1"/>
    <cellStyle name="Lien hypertexte" xfId="5972" builtinId="8" hidden="1"/>
    <cellStyle name="Lien hypertexte" xfId="5974" builtinId="8" hidden="1"/>
    <cellStyle name="Lien hypertexte" xfId="5976" builtinId="8" hidden="1"/>
    <cellStyle name="Lien hypertexte" xfId="5978" builtinId="8" hidden="1"/>
    <cellStyle name="Lien hypertexte" xfId="5980" builtinId="8" hidden="1"/>
    <cellStyle name="Lien hypertexte" xfId="5982" builtinId="8" hidden="1"/>
    <cellStyle name="Lien hypertexte" xfId="5984" builtinId="8" hidden="1"/>
    <cellStyle name="Lien hypertexte" xfId="5986" builtinId="8" hidden="1"/>
    <cellStyle name="Lien hypertexte" xfId="5988" builtinId="8" hidden="1"/>
    <cellStyle name="Lien hypertexte" xfId="5990" builtinId="8" hidden="1"/>
    <cellStyle name="Lien hypertexte" xfId="5992" builtinId="8" hidden="1"/>
    <cellStyle name="Lien hypertexte" xfId="5994" builtinId="8" hidden="1"/>
    <cellStyle name="Lien hypertexte" xfId="5996" builtinId="8" hidden="1"/>
    <cellStyle name="Lien hypertexte" xfId="5998" builtinId="8" hidden="1"/>
    <cellStyle name="Lien hypertexte" xfId="6000" builtinId="8" hidden="1"/>
    <cellStyle name="Lien hypertexte" xfId="6002" builtinId="8" hidden="1"/>
    <cellStyle name="Lien hypertexte" xfId="6004" builtinId="8" hidden="1"/>
    <cellStyle name="Lien hypertexte" xfId="6006" builtinId="8" hidden="1"/>
    <cellStyle name="Lien hypertexte" xfId="6008" builtinId="8" hidden="1"/>
    <cellStyle name="Lien hypertexte" xfId="6010" builtinId="8" hidden="1"/>
    <cellStyle name="Lien hypertexte" xfId="6012" builtinId="8" hidden="1"/>
    <cellStyle name="Lien hypertexte" xfId="6014" builtinId="8" hidden="1"/>
    <cellStyle name="Lien hypertexte" xfId="6016" builtinId="8" hidden="1"/>
    <cellStyle name="Lien hypertexte" xfId="6018" builtinId="8" hidden="1"/>
    <cellStyle name="Lien hypertexte" xfId="6020" builtinId="8" hidden="1"/>
    <cellStyle name="Lien hypertexte" xfId="6022" builtinId="8" hidden="1"/>
    <cellStyle name="Lien hypertexte" xfId="6024" builtinId="8" hidden="1"/>
    <cellStyle name="Lien hypertexte" xfId="6026" builtinId="8" hidden="1"/>
    <cellStyle name="Lien hypertexte" xfId="6028" builtinId="8" hidden="1"/>
    <cellStyle name="Lien hypertexte" xfId="6030" builtinId="8" hidden="1"/>
    <cellStyle name="Lien hypertexte" xfId="6032" builtinId="8" hidden="1"/>
    <cellStyle name="Lien hypertexte" xfId="6034" builtinId="8" hidden="1"/>
    <cellStyle name="Lien hypertexte" xfId="6036" builtinId="8" hidden="1"/>
    <cellStyle name="Lien hypertexte" xfId="6038" builtinId="8" hidden="1"/>
    <cellStyle name="Lien hypertexte" xfId="6040" builtinId="8" hidden="1"/>
    <cellStyle name="Lien hypertexte" xfId="6042" builtinId="8" hidden="1"/>
    <cellStyle name="Lien hypertexte" xfId="6044" builtinId="8" hidden="1"/>
    <cellStyle name="Lien hypertexte" xfId="6046" builtinId="8" hidden="1"/>
    <cellStyle name="Lien hypertexte" xfId="6048" builtinId="8" hidden="1"/>
    <cellStyle name="Lien hypertexte" xfId="6050" builtinId="8" hidden="1"/>
    <cellStyle name="Lien hypertexte" xfId="6052" builtinId="8" hidden="1"/>
    <cellStyle name="Lien hypertexte" xfId="6054" builtinId="8" hidden="1"/>
    <cellStyle name="Lien hypertexte" xfId="6056" builtinId="8" hidden="1"/>
    <cellStyle name="Lien hypertexte" xfId="6058" builtinId="8" hidden="1"/>
    <cellStyle name="Lien hypertexte" xfId="6060" builtinId="8" hidden="1"/>
    <cellStyle name="Lien hypertexte" xfId="6062" builtinId="8" hidden="1"/>
    <cellStyle name="Lien hypertexte" xfId="6064" builtinId="8" hidden="1"/>
    <cellStyle name="Lien hypertexte" xfId="6066" builtinId="8" hidden="1"/>
    <cellStyle name="Lien hypertexte" xfId="6068" builtinId="8" hidden="1"/>
    <cellStyle name="Lien hypertexte" xfId="6070" builtinId="8" hidden="1"/>
    <cellStyle name="Lien hypertexte" xfId="6072" builtinId="8" hidden="1"/>
    <cellStyle name="Lien hypertexte" xfId="6074" builtinId="8" hidden="1"/>
    <cellStyle name="Lien hypertexte" xfId="6076" builtinId="8" hidden="1"/>
    <cellStyle name="Lien hypertexte" xfId="6078" builtinId="8" hidden="1"/>
    <cellStyle name="Lien hypertexte" xfId="6080" builtinId="8" hidden="1"/>
    <cellStyle name="Lien hypertexte" xfId="6082" builtinId="8" hidden="1"/>
    <cellStyle name="Lien hypertexte" xfId="6084" builtinId="8" hidden="1"/>
    <cellStyle name="Lien hypertexte" xfId="6086" builtinId="8" hidden="1"/>
    <cellStyle name="Lien hypertexte" xfId="6088" builtinId="8" hidden="1"/>
    <cellStyle name="Lien hypertexte" xfId="6090" builtinId="8" hidden="1"/>
    <cellStyle name="Lien hypertexte" xfId="6092" builtinId="8" hidden="1"/>
    <cellStyle name="Lien hypertexte" xfId="6094" builtinId="8" hidden="1"/>
    <cellStyle name="Lien hypertexte" xfId="6096" builtinId="8" hidden="1"/>
    <cellStyle name="Lien hypertexte" xfId="6098" builtinId="8" hidden="1"/>
    <cellStyle name="Lien hypertexte" xfId="6100" builtinId="8" hidden="1"/>
    <cellStyle name="Lien hypertexte" xfId="6102" builtinId="8" hidden="1"/>
    <cellStyle name="Lien hypertexte" xfId="6104" builtinId="8" hidden="1"/>
    <cellStyle name="Lien hypertexte" xfId="6106" builtinId="8" hidden="1"/>
    <cellStyle name="Lien hypertexte" xfId="6108" builtinId="8" hidden="1"/>
    <cellStyle name="Lien hypertexte" xfId="6110" builtinId="8" hidden="1"/>
    <cellStyle name="Lien hypertexte" xfId="6112" builtinId="8" hidden="1"/>
    <cellStyle name="Lien hypertexte" xfId="6114" builtinId="8" hidden="1"/>
    <cellStyle name="Lien hypertexte" xfId="6116" builtinId="8" hidden="1"/>
    <cellStyle name="Lien hypertexte" xfId="6118" builtinId="8" hidden="1"/>
    <cellStyle name="Lien hypertexte" xfId="6120" builtinId="8" hidden="1"/>
    <cellStyle name="Lien hypertexte" xfId="6122" builtinId="8" hidden="1"/>
    <cellStyle name="Lien hypertexte" xfId="6124" builtinId="8" hidden="1"/>
    <cellStyle name="Lien hypertexte" xfId="6126" builtinId="8" hidden="1"/>
    <cellStyle name="Lien hypertexte" xfId="6128" builtinId="8" hidden="1"/>
    <cellStyle name="Lien hypertexte" xfId="6130" builtinId="8" hidden="1"/>
    <cellStyle name="Lien hypertexte" xfId="6132" builtinId="8" hidden="1"/>
    <cellStyle name="Lien hypertexte" xfId="6134" builtinId="8" hidden="1"/>
    <cellStyle name="Lien hypertexte" xfId="6136" builtinId="8" hidden="1"/>
    <cellStyle name="Lien hypertexte" xfId="6138" builtinId="8" hidden="1"/>
    <cellStyle name="Lien hypertexte" xfId="6140" builtinId="8" hidden="1"/>
    <cellStyle name="Lien hypertexte" xfId="6142" builtinId="8" hidden="1"/>
    <cellStyle name="Lien hypertexte" xfId="6144" builtinId="8" hidden="1"/>
    <cellStyle name="Lien hypertexte" xfId="6146" builtinId="8" hidden="1"/>
    <cellStyle name="Lien hypertexte" xfId="6148" builtinId="8" hidden="1"/>
    <cellStyle name="Lien hypertexte" xfId="6150" builtinId="8" hidden="1"/>
    <cellStyle name="Lien hypertexte" xfId="6152" builtinId="8" hidden="1"/>
    <cellStyle name="Lien hypertexte" xfId="6154" builtinId="8" hidden="1"/>
    <cellStyle name="Lien hypertexte" xfId="6156" builtinId="8" hidden="1"/>
    <cellStyle name="Lien hypertexte" xfId="6158" builtinId="8" hidden="1"/>
    <cellStyle name="Lien hypertexte" xfId="6160" builtinId="8" hidden="1"/>
    <cellStyle name="Lien hypertexte" xfId="6162" builtinId="8" hidden="1"/>
    <cellStyle name="Lien hypertexte" xfId="6164" builtinId="8" hidden="1"/>
    <cellStyle name="Lien hypertexte" xfId="6166" builtinId="8" hidden="1"/>
    <cellStyle name="Lien hypertexte" xfId="6168" builtinId="8" hidden="1"/>
    <cellStyle name="Lien hypertexte" xfId="6170" builtinId="8" hidden="1"/>
    <cellStyle name="Lien hypertexte" xfId="6172" builtinId="8" hidden="1"/>
    <cellStyle name="Lien hypertexte" xfId="6174" builtinId="8" hidden="1"/>
    <cellStyle name="Lien hypertexte" xfId="6176" builtinId="8" hidden="1"/>
    <cellStyle name="Lien hypertexte" xfId="6178" builtinId="8" hidden="1"/>
    <cellStyle name="Lien hypertexte" xfId="6180" builtinId="8" hidden="1"/>
    <cellStyle name="Lien hypertexte" xfId="6182" builtinId="8" hidden="1"/>
    <cellStyle name="Lien hypertexte" xfId="6184" builtinId="8" hidden="1"/>
    <cellStyle name="Lien hypertexte" xfId="6186" builtinId="8" hidden="1"/>
    <cellStyle name="Lien hypertexte" xfId="6188" builtinId="8" hidden="1"/>
    <cellStyle name="Lien hypertexte" xfId="6190" builtinId="8" hidden="1"/>
    <cellStyle name="Lien hypertexte" xfId="6192" builtinId="8" hidden="1"/>
    <cellStyle name="Lien hypertexte" xfId="6194" builtinId="8" hidden="1"/>
    <cellStyle name="Lien hypertexte" xfId="6196" builtinId="8" hidden="1"/>
    <cellStyle name="Lien hypertexte" xfId="6198" builtinId="8" hidden="1"/>
    <cellStyle name="Lien hypertexte" xfId="6200" builtinId="8" hidden="1"/>
    <cellStyle name="Lien hypertexte" xfId="6202" builtinId="8" hidden="1"/>
    <cellStyle name="Lien hypertexte" xfId="6204" builtinId="8" hidden="1"/>
    <cellStyle name="Lien hypertexte" xfId="6206" builtinId="8" hidden="1"/>
    <cellStyle name="Lien hypertexte" xfId="6208" builtinId="8" hidden="1"/>
    <cellStyle name="Lien hypertexte" xfId="6210" builtinId="8" hidden="1"/>
    <cellStyle name="Lien hypertexte" xfId="6212" builtinId="8" hidden="1"/>
    <cellStyle name="Lien hypertexte" xfId="6214" builtinId="8" hidden="1"/>
    <cellStyle name="Lien hypertexte" xfId="6216" builtinId="8" hidden="1"/>
    <cellStyle name="Lien hypertexte" xfId="6218" builtinId="8" hidden="1"/>
    <cellStyle name="Lien hypertexte" xfId="6220" builtinId="8" hidden="1"/>
    <cellStyle name="Lien hypertexte" xfId="6222" builtinId="8" hidden="1"/>
    <cellStyle name="Lien hypertexte" xfId="6224" builtinId="8" hidden="1"/>
    <cellStyle name="Lien hypertexte" xfId="6226" builtinId="8" hidden="1"/>
    <cellStyle name="Lien hypertexte" xfId="6228" builtinId="8" hidden="1"/>
    <cellStyle name="Lien hypertexte" xfId="6230" builtinId="8" hidden="1"/>
    <cellStyle name="Lien hypertexte" xfId="6232" builtinId="8" hidden="1"/>
    <cellStyle name="Lien hypertexte" xfId="6234" builtinId="8" hidden="1"/>
    <cellStyle name="Lien hypertexte" xfId="6236" builtinId="8" hidden="1"/>
    <cellStyle name="Lien hypertexte" xfId="6238" builtinId="8" hidden="1"/>
    <cellStyle name="Lien hypertexte" xfId="6240" builtinId="8" hidden="1"/>
    <cellStyle name="Lien hypertexte" xfId="6242" builtinId="8" hidden="1"/>
    <cellStyle name="Lien hypertexte" xfId="6244" builtinId="8" hidden="1"/>
    <cellStyle name="Lien hypertexte" xfId="6246" builtinId="8" hidden="1"/>
    <cellStyle name="Lien hypertexte" xfId="6248" builtinId="8" hidden="1"/>
    <cellStyle name="Lien hypertexte" xfId="6250" builtinId="8" hidden="1"/>
    <cellStyle name="Lien hypertexte" xfId="6252" builtinId="8" hidden="1"/>
    <cellStyle name="Lien hypertexte" xfId="6254" builtinId="8" hidden="1"/>
    <cellStyle name="Lien hypertexte" xfId="6256" builtinId="8" hidden="1"/>
    <cellStyle name="Lien hypertexte" xfId="6258" builtinId="8" hidden="1"/>
    <cellStyle name="Lien hypertexte" xfId="6260" builtinId="8" hidden="1"/>
    <cellStyle name="Lien hypertexte" xfId="6262" builtinId="8" hidden="1"/>
    <cellStyle name="Lien hypertexte" xfId="6264" builtinId="8" hidden="1"/>
    <cellStyle name="Lien hypertexte" xfId="6266" builtinId="8" hidden="1"/>
    <cellStyle name="Lien hypertexte" xfId="6268" builtinId="8" hidden="1"/>
    <cellStyle name="Lien hypertexte" xfId="6270" builtinId="8" hidden="1"/>
    <cellStyle name="Lien hypertexte" xfId="6272" builtinId="8" hidden="1"/>
    <cellStyle name="Lien hypertexte" xfId="6274" builtinId="8" hidden="1"/>
    <cellStyle name="Lien hypertexte" xfId="6276" builtinId="8" hidden="1"/>
    <cellStyle name="Lien hypertexte" xfId="6278" builtinId="8" hidden="1"/>
    <cellStyle name="Lien hypertexte" xfId="6280" builtinId="8" hidden="1"/>
    <cellStyle name="Lien hypertexte" xfId="6282" builtinId="8" hidden="1"/>
    <cellStyle name="Lien hypertexte" xfId="6284" builtinId="8" hidden="1"/>
    <cellStyle name="Lien hypertexte" xfId="6286" builtinId="8" hidden="1"/>
    <cellStyle name="Lien hypertexte" xfId="6288" builtinId="8" hidden="1"/>
    <cellStyle name="Lien hypertexte" xfId="6290" builtinId="8" hidden="1"/>
    <cellStyle name="Lien hypertexte" xfId="6292" builtinId="8" hidden="1"/>
    <cellStyle name="Lien hypertexte" xfId="6294" builtinId="8" hidden="1"/>
    <cellStyle name="Lien hypertexte" xfId="6296" builtinId="8" hidden="1"/>
    <cellStyle name="Lien hypertexte" xfId="6298" builtinId="8" hidden="1"/>
    <cellStyle name="Lien hypertexte" xfId="6300" builtinId="8" hidden="1"/>
    <cellStyle name="Lien hypertexte" xfId="6302" builtinId="8" hidden="1"/>
    <cellStyle name="Lien hypertexte" xfId="6304" builtinId="8" hidden="1"/>
    <cellStyle name="Lien hypertexte" xfId="6306" builtinId="8" hidden="1"/>
    <cellStyle name="Lien hypertexte" xfId="6308" builtinId="8" hidden="1"/>
    <cellStyle name="Lien hypertexte" xfId="6310" builtinId="8" hidden="1"/>
    <cellStyle name="Lien hypertexte" xfId="6312" builtinId="8" hidden="1"/>
    <cellStyle name="Lien hypertexte" xfId="6314" builtinId="8" hidden="1"/>
    <cellStyle name="Lien hypertexte" xfId="6316" builtinId="8" hidden="1"/>
    <cellStyle name="Lien hypertexte" xfId="6318" builtinId="8" hidden="1"/>
    <cellStyle name="Lien hypertexte" xfId="6320" builtinId="8" hidden="1"/>
    <cellStyle name="Lien hypertexte" xfId="6322" builtinId="8" hidden="1"/>
    <cellStyle name="Lien hypertexte" xfId="6324" builtinId="8" hidden="1"/>
    <cellStyle name="Lien hypertexte" xfId="6326" builtinId="8" hidden="1"/>
    <cellStyle name="Lien hypertexte" xfId="6328" builtinId="8" hidden="1"/>
    <cellStyle name="Lien hypertexte" xfId="6330" builtinId="8" hidden="1"/>
    <cellStyle name="Lien hypertexte" xfId="6332" builtinId="8" hidden="1"/>
    <cellStyle name="Lien hypertexte" xfId="6334" builtinId="8" hidden="1"/>
    <cellStyle name="Lien hypertexte" xfId="6336" builtinId="8" hidden="1"/>
    <cellStyle name="Lien hypertexte" xfId="6338" builtinId="8" hidden="1"/>
    <cellStyle name="Lien hypertexte" xfId="6340" builtinId="8" hidden="1"/>
    <cellStyle name="Lien hypertexte" xfId="6342" builtinId="8" hidden="1"/>
    <cellStyle name="Lien hypertexte" xfId="6344" builtinId="8" hidden="1"/>
    <cellStyle name="Lien hypertexte" xfId="6346" builtinId="8" hidden="1"/>
    <cellStyle name="Lien hypertexte" xfId="6348" builtinId="8" hidden="1"/>
    <cellStyle name="Lien hypertexte" xfId="6350" builtinId="8" hidden="1"/>
    <cellStyle name="Lien hypertexte" xfId="6352" builtinId="8" hidden="1"/>
    <cellStyle name="Lien hypertexte" xfId="6354" builtinId="8" hidden="1"/>
    <cellStyle name="Lien hypertexte" xfId="6356" builtinId="8" hidden="1"/>
    <cellStyle name="Lien hypertexte" xfId="6358" builtinId="8" hidden="1"/>
    <cellStyle name="Lien hypertexte" xfId="6360" builtinId="8" hidden="1"/>
    <cellStyle name="Lien hypertexte" xfId="6362" builtinId="8" hidden="1"/>
    <cellStyle name="Lien hypertexte" xfId="6364" builtinId="8" hidden="1"/>
    <cellStyle name="Lien hypertexte" xfId="6366" builtinId="8" hidden="1"/>
    <cellStyle name="Lien hypertexte" xfId="6368" builtinId="8" hidden="1"/>
    <cellStyle name="Lien hypertexte" xfId="6370" builtinId="8" hidden="1"/>
    <cellStyle name="Lien hypertexte" xfId="6372" builtinId="8" hidden="1"/>
    <cellStyle name="Lien hypertexte" xfId="6374" builtinId="8" hidden="1"/>
    <cellStyle name="Lien hypertexte" xfId="6376" builtinId="8" hidden="1"/>
    <cellStyle name="Lien hypertexte" xfId="6378" builtinId="8" hidden="1"/>
    <cellStyle name="Lien hypertexte" xfId="6380" builtinId="8" hidden="1"/>
    <cellStyle name="Lien hypertexte" xfId="6382" builtinId="8" hidden="1"/>
    <cellStyle name="Lien hypertexte" xfId="6384" builtinId="8" hidden="1"/>
    <cellStyle name="Lien hypertexte" xfId="6386" builtinId="8" hidden="1"/>
    <cellStyle name="Lien hypertexte" xfId="6388" builtinId="8" hidden="1"/>
    <cellStyle name="Lien hypertexte" xfId="6390" builtinId="8" hidden="1"/>
    <cellStyle name="Lien hypertexte" xfId="6392" builtinId="8" hidden="1"/>
    <cellStyle name="Lien hypertexte" xfId="6394" builtinId="8" hidden="1"/>
    <cellStyle name="Lien hypertexte" xfId="6396" builtinId="8" hidden="1"/>
    <cellStyle name="Lien hypertexte" xfId="6398" builtinId="8" hidden="1"/>
    <cellStyle name="Lien hypertexte" xfId="6400" builtinId="8" hidden="1"/>
    <cellStyle name="Lien hypertexte" xfId="6402" builtinId="8" hidden="1"/>
    <cellStyle name="Lien hypertexte" xfId="6404" builtinId="8" hidden="1"/>
    <cellStyle name="Lien hypertexte" xfId="6406" builtinId="8" hidden="1"/>
    <cellStyle name="Lien hypertexte" xfId="6408" builtinId="8" hidden="1"/>
    <cellStyle name="Lien hypertexte" xfId="6410" builtinId="8" hidden="1"/>
    <cellStyle name="Lien hypertexte" xfId="6412" builtinId="8" hidden="1"/>
    <cellStyle name="Lien hypertexte" xfId="6414" builtinId="8" hidden="1"/>
    <cellStyle name="Lien hypertexte" xfId="6416" builtinId="8" hidden="1"/>
    <cellStyle name="Lien hypertexte" xfId="6418" builtinId="8" hidden="1"/>
    <cellStyle name="Lien hypertexte" xfId="6420" builtinId="8" hidden="1"/>
    <cellStyle name="Lien hypertexte" xfId="6422" builtinId="8" hidden="1"/>
    <cellStyle name="Lien hypertexte" xfId="6424" builtinId="8" hidden="1"/>
    <cellStyle name="Lien hypertexte" xfId="6426" builtinId="8" hidden="1"/>
    <cellStyle name="Lien hypertexte" xfId="6428" builtinId="8" hidden="1"/>
    <cellStyle name="Lien hypertexte" xfId="6430" builtinId="8" hidden="1"/>
    <cellStyle name="Lien hypertexte" xfId="6432" builtinId="8" hidden="1"/>
    <cellStyle name="Lien hypertexte" xfId="6434" builtinId="8" hidden="1"/>
    <cellStyle name="Lien hypertexte" xfId="6436" builtinId="8" hidden="1"/>
    <cellStyle name="Lien hypertexte" xfId="6438" builtinId="8" hidden="1"/>
    <cellStyle name="Lien hypertexte" xfId="6440" builtinId="8" hidden="1"/>
    <cellStyle name="Lien hypertexte" xfId="6442" builtinId="8" hidden="1"/>
    <cellStyle name="Lien hypertexte" xfId="6444" builtinId="8" hidden="1"/>
    <cellStyle name="Lien hypertexte" xfId="6446" builtinId="8" hidden="1"/>
    <cellStyle name="Lien hypertexte" xfId="6448" builtinId="8" hidden="1"/>
    <cellStyle name="Lien hypertexte" xfId="6450" builtinId="8" hidden="1"/>
    <cellStyle name="Lien hypertexte" xfId="6452" builtinId="8" hidden="1"/>
    <cellStyle name="Lien hypertexte" xfId="6454" builtinId="8" hidden="1"/>
    <cellStyle name="Lien hypertexte" xfId="6456" builtinId="8" hidden="1"/>
    <cellStyle name="Lien hypertexte" xfId="6458" builtinId="8" hidden="1"/>
    <cellStyle name="Lien hypertexte" xfId="6460" builtinId="8" hidden="1"/>
    <cellStyle name="Lien hypertexte" xfId="6462" builtinId="8" hidden="1"/>
    <cellStyle name="Lien hypertexte" xfId="6464" builtinId="8" hidden="1"/>
    <cellStyle name="Lien hypertexte" xfId="6466" builtinId="8" hidden="1"/>
    <cellStyle name="Lien hypertexte" xfId="6468" builtinId="8" hidden="1"/>
    <cellStyle name="Lien hypertexte" xfId="6470" builtinId="8" hidden="1"/>
    <cellStyle name="Lien hypertexte" xfId="6472" builtinId="8" hidden="1"/>
    <cellStyle name="Lien hypertexte" xfId="6474" builtinId="8" hidden="1"/>
    <cellStyle name="Lien hypertexte" xfId="6476" builtinId="8" hidden="1"/>
    <cellStyle name="Lien hypertexte" xfId="6478" builtinId="8" hidden="1"/>
    <cellStyle name="Lien hypertexte" xfId="6480" builtinId="8" hidden="1"/>
    <cellStyle name="Lien hypertexte" xfId="6482" builtinId="8" hidden="1"/>
    <cellStyle name="Lien hypertexte" xfId="6484" builtinId="8" hidden="1"/>
    <cellStyle name="Lien hypertexte" xfId="6486" builtinId="8" hidden="1"/>
    <cellStyle name="Lien hypertexte" xfId="6488" builtinId="8" hidden="1"/>
    <cellStyle name="Lien hypertexte" xfId="6490" builtinId="8" hidden="1"/>
    <cellStyle name="Lien hypertexte" xfId="6492" builtinId="8" hidden="1"/>
    <cellStyle name="Lien hypertexte" xfId="6494" builtinId="8" hidden="1"/>
    <cellStyle name="Lien hypertexte" xfId="6496" builtinId="8" hidden="1"/>
    <cellStyle name="Lien hypertexte" xfId="6498" builtinId="8" hidden="1"/>
    <cellStyle name="Lien hypertexte" xfId="6500" builtinId="8" hidden="1"/>
    <cellStyle name="Lien hypertexte" xfId="6502" builtinId="8" hidden="1"/>
    <cellStyle name="Lien hypertexte" xfId="6504" builtinId="8" hidden="1"/>
    <cellStyle name="Lien hypertexte" xfId="6506" builtinId="8" hidden="1"/>
    <cellStyle name="Lien hypertexte" xfId="6508" builtinId="8" hidden="1"/>
    <cellStyle name="Lien hypertexte" xfId="6510" builtinId="8" hidden="1"/>
    <cellStyle name="Lien hypertexte" xfId="6512" builtinId="8" hidden="1"/>
    <cellStyle name="Lien hypertexte" xfId="6514" builtinId="8" hidden="1"/>
    <cellStyle name="Lien hypertexte" xfId="6516" builtinId="8" hidden="1"/>
    <cellStyle name="Lien hypertexte" xfId="6518" builtinId="8" hidden="1"/>
    <cellStyle name="Lien hypertexte" xfId="6520" builtinId="8" hidden="1"/>
    <cellStyle name="Lien hypertexte" xfId="6522" builtinId="8" hidden="1"/>
    <cellStyle name="Lien hypertexte" xfId="6524" builtinId="8" hidden="1"/>
    <cellStyle name="Lien hypertexte" xfId="6526" builtinId="8" hidden="1"/>
    <cellStyle name="Lien hypertexte" xfId="6528" builtinId="8" hidden="1"/>
    <cellStyle name="Lien hypertexte" xfId="6530" builtinId="8" hidden="1"/>
    <cellStyle name="Lien hypertexte" xfId="6532" builtinId="8" hidden="1"/>
    <cellStyle name="Lien hypertexte" xfId="6534" builtinId="8" hidden="1"/>
    <cellStyle name="Lien hypertexte" xfId="6536" builtinId="8" hidden="1"/>
    <cellStyle name="Lien hypertexte" xfId="6538" builtinId="8" hidden="1"/>
    <cellStyle name="Lien hypertexte" xfId="6540" builtinId="8" hidden="1"/>
    <cellStyle name="Lien hypertexte" xfId="6542" builtinId="8" hidden="1"/>
    <cellStyle name="Lien hypertexte" xfId="6544" builtinId="8" hidden="1"/>
    <cellStyle name="Lien hypertexte" xfId="6546" builtinId="8" hidden="1"/>
    <cellStyle name="Lien hypertexte" xfId="6548" builtinId="8" hidden="1"/>
    <cellStyle name="Lien hypertexte" xfId="6550" builtinId="8" hidden="1"/>
    <cellStyle name="Lien hypertexte" xfId="6552" builtinId="8" hidden="1"/>
    <cellStyle name="Lien hypertexte" xfId="6554" builtinId="8" hidden="1"/>
    <cellStyle name="Lien hypertexte" xfId="6556" builtinId="8" hidden="1"/>
    <cellStyle name="Lien hypertexte" xfId="6558" builtinId="8" hidden="1"/>
    <cellStyle name="Lien hypertexte" xfId="6560" builtinId="8" hidden="1"/>
    <cellStyle name="Lien hypertexte" xfId="6562" builtinId="8" hidden="1"/>
    <cellStyle name="Lien hypertexte" xfId="6564" builtinId="8" hidden="1"/>
    <cellStyle name="Lien hypertexte" xfId="6566" builtinId="8" hidden="1"/>
    <cellStyle name="Lien hypertexte" xfId="6568" builtinId="8" hidden="1"/>
    <cellStyle name="Lien hypertexte" xfId="6570" builtinId="8" hidden="1"/>
    <cellStyle name="Lien hypertexte" xfId="6572" builtinId="8" hidden="1"/>
    <cellStyle name="Lien hypertexte" xfId="6574" builtinId="8" hidden="1"/>
    <cellStyle name="Lien hypertexte" xfId="6576" builtinId="8" hidden="1"/>
    <cellStyle name="Lien hypertexte" xfId="6578" builtinId="8" hidden="1"/>
    <cellStyle name="Lien hypertexte" xfId="6580" builtinId="8" hidden="1"/>
    <cellStyle name="Lien hypertexte" xfId="6582" builtinId="8" hidden="1"/>
    <cellStyle name="Lien hypertexte" xfId="6584" builtinId="8" hidden="1"/>
    <cellStyle name="Lien hypertexte" xfId="6586" builtinId="8" hidden="1"/>
    <cellStyle name="Lien hypertexte" xfId="6588" builtinId="8" hidden="1"/>
    <cellStyle name="Lien hypertexte" xfId="6590" builtinId="8" hidden="1"/>
    <cellStyle name="Lien hypertexte" xfId="6592" builtinId="8" hidden="1"/>
    <cellStyle name="Lien hypertexte" xfId="6594" builtinId="8" hidden="1"/>
    <cellStyle name="Lien hypertexte" xfId="6596" builtinId="8" hidden="1"/>
    <cellStyle name="Lien hypertexte" xfId="6598" builtinId="8" hidden="1"/>
    <cellStyle name="Lien hypertexte" xfId="6600" builtinId="8" hidden="1"/>
    <cellStyle name="Lien hypertexte" xfId="6602" builtinId="8" hidden="1"/>
    <cellStyle name="Lien hypertexte" xfId="6604" builtinId="8" hidden="1"/>
    <cellStyle name="Lien hypertexte" xfId="6606" builtinId="8" hidden="1"/>
    <cellStyle name="Lien hypertexte" xfId="6608" builtinId="8" hidden="1"/>
    <cellStyle name="Lien hypertexte" xfId="6610" builtinId="8" hidden="1"/>
    <cellStyle name="Lien hypertexte" xfId="6612" builtinId="8" hidden="1"/>
    <cellStyle name="Lien hypertexte" xfId="6614" builtinId="8" hidden="1"/>
    <cellStyle name="Lien hypertexte" xfId="6616" builtinId="8" hidden="1"/>
    <cellStyle name="Lien hypertexte" xfId="6618" builtinId="8" hidden="1"/>
    <cellStyle name="Lien hypertexte" xfId="6620" builtinId="8" hidden="1"/>
    <cellStyle name="Lien hypertexte" xfId="6622" builtinId="8" hidden="1"/>
    <cellStyle name="Lien hypertexte" xfId="6624" builtinId="8" hidden="1"/>
    <cellStyle name="Lien hypertexte" xfId="6626" builtinId="8" hidden="1"/>
    <cellStyle name="Lien hypertexte" xfId="6628" builtinId="8" hidden="1"/>
    <cellStyle name="Lien hypertexte" xfId="6630" builtinId="8" hidden="1"/>
    <cellStyle name="Lien hypertexte" xfId="6632" builtinId="8" hidden="1"/>
    <cellStyle name="Lien hypertexte" xfId="6634" builtinId="8" hidden="1"/>
    <cellStyle name="Lien hypertexte" xfId="6636" builtinId="8" hidden="1"/>
    <cellStyle name="Lien hypertexte" xfId="6638" builtinId="8" hidden="1"/>
    <cellStyle name="Lien hypertexte" xfId="6640" builtinId="8" hidden="1"/>
    <cellStyle name="Lien hypertexte" xfId="6642" builtinId="8" hidden="1"/>
    <cellStyle name="Lien hypertexte" xfId="6644" builtinId="8" hidden="1"/>
    <cellStyle name="Lien hypertexte" xfId="6646" builtinId="8" hidden="1"/>
    <cellStyle name="Lien hypertexte" xfId="6648" builtinId="8" hidden="1"/>
    <cellStyle name="Lien hypertexte" xfId="6650" builtinId="8" hidden="1"/>
    <cellStyle name="Lien hypertexte" xfId="6652" builtinId="8" hidden="1"/>
    <cellStyle name="Lien hypertexte" xfId="6654" builtinId="8" hidden="1"/>
    <cellStyle name="Lien hypertexte" xfId="6656" builtinId="8" hidden="1"/>
    <cellStyle name="Lien hypertexte" xfId="6658" builtinId="8" hidden="1"/>
    <cellStyle name="Lien hypertexte" xfId="6660" builtinId="8" hidden="1"/>
    <cellStyle name="Lien hypertexte" xfId="6662" builtinId="8" hidden="1"/>
    <cellStyle name="Lien hypertexte" xfId="6664" builtinId="8" hidden="1"/>
    <cellStyle name="Lien hypertexte" xfId="6666" builtinId="8" hidden="1"/>
    <cellStyle name="Lien hypertexte" xfId="6668" builtinId="8" hidden="1"/>
    <cellStyle name="Lien hypertexte" xfId="6670" builtinId="8" hidden="1"/>
    <cellStyle name="Lien hypertexte" xfId="6672" builtinId="8" hidden="1"/>
    <cellStyle name="Lien hypertexte" xfId="6674" builtinId="8" hidden="1"/>
    <cellStyle name="Lien hypertexte" xfId="6676" builtinId="8" hidden="1"/>
    <cellStyle name="Lien hypertexte" xfId="6678" builtinId="8" hidden="1"/>
    <cellStyle name="Lien hypertexte" xfId="6680" builtinId="8" hidden="1"/>
    <cellStyle name="Lien hypertexte" xfId="6682" builtinId="8" hidden="1"/>
    <cellStyle name="Lien hypertexte" xfId="6684" builtinId="8" hidden="1"/>
    <cellStyle name="Lien hypertexte" xfId="6686" builtinId="8" hidden="1"/>
    <cellStyle name="Lien hypertexte" xfId="6688" builtinId="8" hidden="1"/>
    <cellStyle name="Lien hypertexte" xfId="6690" builtinId="8" hidden="1"/>
    <cellStyle name="Lien hypertexte" xfId="6692" builtinId="8" hidden="1"/>
    <cellStyle name="Lien hypertexte" xfId="6694" builtinId="8" hidden="1"/>
    <cellStyle name="Lien hypertexte" xfId="6696" builtinId="8" hidden="1"/>
    <cellStyle name="Lien hypertexte" xfId="6698" builtinId="8" hidden="1"/>
    <cellStyle name="Lien hypertexte" xfId="6700" builtinId="8" hidden="1"/>
    <cellStyle name="Lien hypertexte" xfId="6702" builtinId="8" hidden="1"/>
    <cellStyle name="Lien hypertexte" xfId="6704" builtinId="8" hidden="1"/>
    <cellStyle name="Lien hypertexte" xfId="6706" builtinId="8" hidden="1"/>
    <cellStyle name="Lien hypertexte" xfId="6708" builtinId="8" hidden="1"/>
    <cellStyle name="Lien hypertexte" xfId="6710" builtinId="8" hidden="1"/>
    <cellStyle name="Lien hypertexte" xfId="6712" builtinId="8" hidden="1"/>
    <cellStyle name="Lien hypertexte" xfId="6714" builtinId="8" hidden="1"/>
    <cellStyle name="Lien hypertexte" xfId="6716" builtinId="8" hidden="1"/>
    <cellStyle name="Lien hypertexte" xfId="6718" builtinId="8" hidden="1"/>
    <cellStyle name="Lien hypertexte" xfId="6720" builtinId="8" hidden="1"/>
    <cellStyle name="Lien hypertexte" xfId="6722" builtinId="8" hidden="1"/>
    <cellStyle name="Lien hypertexte" xfId="6724" builtinId="8" hidden="1"/>
    <cellStyle name="Lien hypertexte" xfId="6726" builtinId="8" hidden="1"/>
    <cellStyle name="Lien hypertexte" xfId="6728" builtinId="8" hidden="1"/>
    <cellStyle name="Lien hypertexte" xfId="6730" builtinId="8" hidden="1"/>
    <cellStyle name="Lien hypertexte" xfId="6732" builtinId="8" hidden="1"/>
    <cellStyle name="Lien hypertexte" xfId="6734" builtinId="8" hidden="1"/>
    <cellStyle name="Lien hypertexte" xfId="6736" builtinId="8" hidden="1"/>
    <cellStyle name="Lien hypertexte" xfId="6738" builtinId="8" hidden="1"/>
    <cellStyle name="Lien hypertexte" xfId="6740" builtinId="8" hidden="1"/>
    <cellStyle name="Lien hypertexte" xfId="6742" builtinId="8" hidden="1"/>
    <cellStyle name="Lien hypertexte" xfId="6744" builtinId="8" hidden="1"/>
    <cellStyle name="Lien hypertexte" xfId="6746" builtinId="8" hidden="1"/>
    <cellStyle name="Lien hypertexte" xfId="6748" builtinId="8" hidden="1"/>
    <cellStyle name="Lien hypertexte" xfId="6750" builtinId="8" hidden="1"/>
    <cellStyle name="Lien hypertexte" xfId="6752" builtinId="8" hidden="1"/>
    <cellStyle name="Lien hypertexte" xfId="6754" builtinId="8" hidden="1"/>
    <cellStyle name="Lien hypertexte" xfId="6756" builtinId="8" hidden="1"/>
    <cellStyle name="Lien hypertexte" xfId="6758" builtinId="8" hidden="1"/>
    <cellStyle name="Lien hypertexte" xfId="6760" builtinId="8" hidden="1"/>
    <cellStyle name="Lien hypertexte" xfId="6762" builtinId="8" hidden="1"/>
    <cellStyle name="Lien hypertexte" xfId="6764" builtinId="8" hidden="1"/>
    <cellStyle name="Lien hypertexte" xfId="6766" builtinId="8" hidden="1"/>
    <cellStyle name="Lien hypertexte" xfId="6768" builtinId="8" hidden="1"/>
    <cellStyle name="Lien hypertexte" xfId="6770" builtinId="8" hidden="1"/>
    <cellStyle name="Lien hypertexte" xfId="6772" builtinId="8" hidden="1"/>
    <cellStyle name="Lien hypertexte" xfId="6774" builtinId="8" hidden="1"/>
    <cellStyle name="Lien hypertexte" xfId="6776" builtinId="8" hidden="1"/>
    <cellStyle name="Lien hypertexte" xfId="6778" builtinId="8" hidden="1"/>
    <cellStyle name="Lien hypertexte" xfId="6780" builtinId="8" hidden="1"/>
    <cellStyle name="Lien hypertexte" xfId="6782" builtinId="8" hidden="1"/>
    <cellStyle name="Lien hypertexte" xfId="6784" builtinId="8" hidden="1"/>
    <cellStyle name="Lien hypertexte" xfId="6786" builtinId="8" hidden="1"/>
    <cellStyle name="Lien hypertexte" xfId="6788" builtinId="8" hidden="1"/>
    <cellStyle name="Lien hypertexte" xfId="6790" builtinId="8" hidden="1"/>
    <cellStyle name="Lien hypertexte" xfId="6792" builtinId="8" hidden="1"/>
    <cellStyle name="Lien hypertexte" xfId="6794" builtinId="8" hidden="1"/>
    <cellStyle name="Lien hypertexte" xfId="6796" builtinId="8" hidden="1"/>
    <cellStyle name="Lien hypertexte" xfId="6798" builtinId="8" hidden="1"/>
    <cellStyle name="Lien hypertexte" xfId="6800" builtinId="8" hidden="1"/>
    <cellStyle name="Lien hypertexte" xfId="6802" builtinId="8" hidden="1"/>
    <cellStyle name="Lien hypertexte" xfId="6804" builtinId="8" hidden="1"/>
    <cellStyle name="Lien hypertexte" xfId="6806" builtinId="8" hidden="1"/>
    <cellStyle name="Lien hypertexte" xfId="6808" builtinId="8" hidden="1"/>
    <cellStyle name="Lien hypertexte" xfId="6810" builtinId="8" hidden="1"/>
    <cellStyle name="Lien hypertexte" xfId="6812" builtinId="8" hidden="1"/>
    <cellStyle name="Lien hypertexte" xfId="6814" builtinId="8" hidden="1"/>
    <cellStyle name="Lien hypertexte" xfId="6816" builtinId="8" hidden="1"/>
    <cellStyle name="Lien hypertexte" xfId="6818" builtinId="8" hidden="1"/>
    <cellStyle name="Lien hypertexte" xfId="6820" builtinId="8" hidden="1"/>
    <cellStyle name="Lien hypertexte" xfId="6822" builtinId="8" hidden="1"/>
    <cellStyle name="Lien hypertexte" xfId="6824" builtinId="8" hidden="1"/>
    <cellStyle name="Lien hypertexte" xfId="6826" builtinId="8" hidden="1"/>
    <cellStyle name="Lien hypertexte" xfId="6828" builtinId="8" hidden="1"/>
    <cellStyle name="Lien hypertexte" xfId="6830" builtinId="8" hidden="1"/>
    <cellStyle name="Lien hypertexte" xfId="6832" builtinId="8" hidden="1"/>
    <cellStyle name="Lien hypertexte" xfId="6834" builtinId="8" hidden="1"/>
    <cellStyle name="Lien hypertexte" xfId="6836" builtinId="8" hidden="1"/>
    <cellStyle name="Lien hypertexte" xfId="6838" builtinId="8" hidden="1"/>
    <cellStyle name="Lien hypertexte" xfId="6840" builtinId="8" hidden="1"/>
    <cellStyle name="Lien hypertexte" xfId="6842" builtinId="8" hidden="1"/>
    <cellStyle name="Lien hypertexte" xfId="6844" builtinId="8" hidden="1"/>
    <cellStyle name="Lien hypertexte" xfId="6846" builtinId="8" hidden="1"/>
    <cellStyle name="Lien hypertexte" xfId="6848" builtinId="8" hidden="1"/>
    <cellStyle name="Lien hypertexte" xfId="6850" builtinId="8" hidden="1"/>
    <cellStyle name="Lien hypertexte" xfId="6852" builtinId="8" hidden="1"/>
    <cellStyle name="Lien hypertexte" xfId="6854" builtinId="8" hidden="1"/>
    <cellStyle name="Lien hypertexte" xfId="6856" builtinId="8" hidden="1"/>
    <cellStyle name="Lien hypertexte" xfId="6858" builtinId="8" hidden="1"/>
    <cellStyle name="Lien hypertexte" xfId="6860" builtinId="8" hidden="1"/>
    <cellStyle name="Lien hypertexte" xfId="6862" builtinId="8" hidden="1"/>
    <cellStyle name="Lien hypertexte" xfId="6864" builtinId="8" hidden="1"/>
    <cellStyle name="Lien hypertexte" xfId="6866" builtinId="8" hidden="1"/>
    <cellStyle name="Lien hypertexte" xfId="6868" builtinId="8" hidden="1"/>
    <cellStyle name="Lien hypertexte" xfId="6870" builtinId="8" hidden="1"/>
    <cellStyle name="Lien hypertexte" xfId="6872" builtinId="8" hidden="1"/>
    <cellStyle name="Lien hypertexte" xfId="6874" builtinId="8" hidden="1"/>
    <cellStyle name="Lien hypertexte" xfId="6876" builtinId="8" hidden="1"/>
    <cellStyle name="Lien hypertexte" xfId="6878" builtinId="8" hidden="1"/>
    <cellStyle name="Lien hypertexte" xfId="6880" builtinId="8" hidden="1"/>
    <cellStyle name="Lien hypertexte" xfId="6882" builtinId="8" hidden="1"/>
    <cellStyle name="Lien hypertexte" xfId="6884" builtinId="8" hidden="1"/>
    <cellStyle name="Lien hypertexte" xfId="6886" builtinId="8" hidden="1"/>
    <cellStyle name="Lien hypertexte" xfId="6888" builtinId="8" hidden="1"/>
    <cellStyle name="Lien hypertexte" xfId="6890" builtinId="8" hidden="1"/>
    <cellStyle name="Lien hypertexte" xfId="6892" builtinId="8" hidden="1"/>
    <cellStyle name="Lien hypertexte" xfId="6894" builtinId="8" hidden="1"/>
    <cellStyle name="Lien hypertexte" xfId="6896" builtinId="8" hidden="1"/>
    <cellStyle name="Lien hypertexte" xfId="6898" builtinId="8" hidden="1"/>
    <cellStyle name="Lien hypertexte" xfId="6900" builtinId="8" hidden="1"/>
    <cellStyle name="Lien hypertexte" xfId="6902" builtinId="8" hidden="1"/>
    <cellStyle name="Lien hypertexte" xfId="6904" builtinId="8" hidden="1"/>
    <cellStyle name="Lien hypertexte" xfId="6906" builtinId="8" hidden="1"/>
    <cellStyle name="Lien hypertexte" xfId="6908" builtinId="8" hidden="1"/>
    <cellStyle name="Lien hypertexte" xfId="6910" builtinId="8" hidden="1"/>
    <cellStyle name="Lien hypertexte" xfId="6912" builtinId="8" hidden="1"/>
    <cellStyle name="Lien hypertexte" xfId="6914" builtinId="8" hidden="1"/>
    <cellStyle name="Lien hypertexte" xfId="6916" builtinId="8" hidden="1"/>
    <cellStyle name="Lien hypertexte" xfId="6918" builtinId="8" hidden="1"/>
    <cellStyle name="Lien hypertexte" xfId="6920" builtinId="8" hidden="1"/>
    <cellStyle name="Lien hypertexte" xfId="6922" builtinId="8" hidden="1"/>
    <cellStyle name="Lien hypertexte" xfId="6924" builtinId="8" hidden="1"/>
    <cellStyle name="Lien hypertexte" xfId="6926" builtinId="8" hidden="1"/>
    <cellStyle name="Lien hypertexte" xfId="6928" builtinId="8" hidden="1"/>
    <cellStyle name="Lien hypertexte" xfId="6930" builtinId="8" hidden="1"/>
    <cellStyle name="Lien hypertexte" xfId="6932" builtinId="8" hidden="1"/>
    <cellStyle name="Lien hypertexte" xfId="6934" builtinId="8" hidden="1"/>
    <cellStyle name="Lien hypertexte" xfId="6936" builtinId="8" hidden="1"/>
    <cellStyle name="Lien hypertexte" xfId="6938" builtinId="8" hidden="1"/>
    <cellStyle name="Lien hypertexte" xfId="6940" builtinId="8" hidden="1"/>
    <cellStyle name="Lien hypertexte" xfId="6942" builtinId="8" hidden="1"/>
    <cellStyle name="Lien hypertexte" xfId="6944" builtinId="8" hidden="1"/>
    <cellStyle name="Lien hypertexte" xfId="6946" builtinId="8" hidden="1"/>
    <cellStyle name="Lien hypertexte" xfId="6948" builtinId="8" hidden="1"/>
    <cellStyle name="Lien hypertexte" xfId="6950" builtinId="8" hidden="1"/>
    <cellStyle name="Lien hypertexte" xfId="6952" builtinId="8" hidden="1"/>
    <cellStyle name="Lien hypertexte" xfId="6954" builtinId="8" hidden="1"/>
    <cellStyle name="Lien hypertexte" xfId="6956" builtinId="8" hidden="1"/>
    <cellStyle name="Lien hypertexte" xfId="6958" builtinId="8" hidden="1"/>
    <cellStyle name="Lien hypertexte" xfId="6960" builtinId="8" hidden="1"/>
    <cellStyle name="Lien hypertexte" xfId="6962" builtinId="8" hidden="1"/>
    <cellStyle name="Lien hypertexte" xfId="6964" builtinId="8" hidden="1"/>
    <cellStyle name="Lien hypertexte" xfId="6966" builtinId="8" hidden="1"/>
    <cellStyle name="Lien hypertexte" xfId="6968" builtinId="8" hidden="1"/>
    <cellStyle name="Lien hypertexte" xfId="6970" builtinId="8" hidden="1"/>
    <cellStyle name="Lien hypertexte" xfId="6972" builtinId="8" hidden="1"/>
    <cellStyle name="Lien hypertexte" xfId="6974" builtinId="8" hidden="1"/>
    <cellStyle name="Lien hypertexte" xfId="6976" builtinId="8" hidden="1"/>
    <cellStyle name="Lien hypertexte" xfId="6978" builtinId="8" hidden="1"/>
    <cellStyle name="Lien hypertexte" xfId="6980" builtinId="8" hidden="1"/>
    <cellStyle name="Lien hypertexte" xfId="6982" builtinId="8" hidden="1"/>
    <cellStyle name="Lien hypertexte" xfId="6984" builtinId="8" hidden="1"/>
    <cellStyle name="Lien hypertexte" xfId="6986" builtinId="8" hidden="1"/>
    <cellStyle name="Lien hypertexte" xfId="6988" builtinId="8" hidden="1"/>
    <cellStyle name="Lien hypertexte" xfId="6990" builtinId="8" hidden="1"/>
    <cellStyle name="Lien hypertexte" xfId="6992" builtinId="8" hidden="1"/>
    <cellStyle name="Lien hypertexte" xfId="6994" builtinId="8" hidden="1"/>
    <cellStyle name="Lien hypertexte" xfId="6996" builtinId="8" hidden="1"/>
    <cellStyle name="Lien hypertexte" xfId="6998" builtinId="8" hidden="1"/>
    <cellStyle name="Lien hypertexte" xfId="7000" builtinId="8" hidden="1"/>
    <cellStyle name="Lien hypertexte" xfId="7002" builtinId="8" hidden="1"/>
    <cellStyle name="Lien hypertexte" xfId="7004" builtinId="8" hidden="1"/>
    <cellStyle name="Lien hypertexte" xfId="7006" builtinId="8" hidden="1"/>
    <cellStyle name="Lien hypertexte" xfId="7008" builtinId="8" hidden="1"/>
    <cellStyle name="Lien hypertexte" xfId="7010" builtinId="8" hidden="1"/>
    <cellStyle name="Lien hypertexte" xfId="7012" builtinId="8" hidden="1"/>
    <cellStyle name="Lien hypertexte" xfId="7014" builtinId="8" hidden="1"/>
    <cellStyle name="Lien hypertexte" xfId="7016" builtinId="8" hidden="1"/>
    <cellStyle name="Lien hypertexte" xfId="7018" builtinId="8" hidden="1"/>
    <cellStyle name="Lien hypertexte" xfId="7020" builtinId="8" hidden="1"/>
    <cellStyle name="Lien hypertexte" xfId="7022" builtinId="8" hidden="1"/>
    <cellStyle name="Lien hypertexte" xfId="7024" builtinId="8" hidden="1"/>
    <cellStyle name="Lien hypertexte" xfId="7026" builtinId="8" hidden="1"/>
    <cellStyle name="Lien hypertexte" xfId="7028" builtinId="8" hidden="1"/>
    <cellStyle name="Lien hypertexte" xfId="7030" builtinId="8" hidden="1"/>
    <cellStyle name="Lien hypertexte" xfId="7032" builtinId="8" hidden="1"/>
    <cellStyle name="Lien hypertexte" xfId="7034" builtinId="8" hidden="1"/>
    <cellStyle name="Lien hypertexte" xfId="7036" builtinId="8" hidden="1"/>
    <cellStyle name="Lien hypertexte" xfId="7038" builtinId="8" hidden="1"/>
    <cellStyle name="Lien hypertexte" xfId="7040" builtinId="8" hidden="1"/>
    <cellStyle name="Lien hypertexte" xfId="7042" builtinId="8" hidden="1"/>
    <cellStyle name="Lien hypertexte" xfId="7044" builtinId="8" hidden="1"/>
    <cellStyle name="Lien hypertexte" xfId="7046" builtinId="8" hidden="1"/>
    <cellStyle name="Lien hypertexte" xfId="7048" builtinId="8" hidden="1"/>
    <cellStyle name="Lien hypertexte" xfId="7050" builtinId="8" hidden="1"/>
    <cellStyle name="Lien hypertexte" xfId="7052" builtinId="8" hidden="1"/>
    <cellStyle name="Lien hypertexte" xfId="7054" builtinId="8" hidden="1"/>
    <cellStyle name="Lien hypertexte" xfId="7056" builtinId="8" hidden="1"/>
    <cellStyle name="Lien hypertexte" xfId="7058" builtinId="8" hidden="1"/>
    <cellStyle name="Lien hypertexte" xfId="7060" builtinId="8" hidden="1"/>
    <cellStyle name="Lien hypertexte" xfId="7062" builtinId="8" hidden="1"/>
    <cellStyle name="Lien hypertexte" xfId="7064" builtinId="8" hidden="1"/>
    <cellStyle name="Lien hypertexte" xfId="7066" builtinId="8" hidden="1"/>
    <cellStyle name="Lien hypertexte" xfId="7068" builtinId="8" hidden="1"/>
    <cellStyle name="Lien hypertexte" xfId="7070" builtinId="8" hidden="1"/>
    <cellStyle name="Lien hypertexte" xfId="7072" builtinId="8" hidden="1"/>
    <cellStyle name="Lien hypertexte" xfId="7074" builtinId="8" hidden="1"/>
    <cellStyle name="Lien hypertexte" xfId="7076" builtinId="8" hidden="1"/>
    <cellStyle name="Lien hypertexte" xfId="7078" builtinId="8" hidden="1"/>
    <cellStyle name="Lien hypertexte" xfId="7080" builtinId="8" hidden="1"/>
    <cellStyle name="Lien hypertexte" xfId="7082" builtinId="8" hidden="1"/>
    <cellStyle name="Lien hypertexte" xfId="7084" builtinId="8" hidden="1"/>
    <cellStyle name="Lien hypertexte" xfId="7086" builtinId="8" hidden="1"/>
    <cellStyle name="Lien hypertexte" xfId="7088" builtinId="8" hidden="1"/>
    <cellStyle name="Lien hypertexte" xfId="7090" builtinId="8" hidden="1"/>
    <cellStyle name="Lien hypertexte" xfId="7092" builtinId="8" hidden="1"/>
    <cellStyle name="Lien hypertexte" xfId="7094" builtinId="8" hidden="1"/>
    <cellStyle name="Lien hypertexte" xfId="7096" builtinId="8" hidden="1"/>
    <cellStyle name="Lien hypertexte" xfId="7098" builtinId="8" hidden="1"/>
    <cellStyle name="Lien hypertexte" xfId="7100" builtinId="8" hidden="1"/>
    <cellStyle name="Lien hypertexte" xfId="7102" builtinId="8" hidden="1"/>
    <cellStyle name="Lien hypertexte" xfId="7104" builtinId="8" hidden="1"/>
    <cellStyle name="Lien hypertexte" xfId="7106" builtinId="8" hidden="1"/>
    <cellStyle name="Lien hypertexte" xfId="7108" builtinId="8" hidden="1"/>
    <cellStyle name="Lien hypertexte" xfId="7110" builtinId="8" hidden="1"/>
    <cellStyle name="Lien hypertexte" xfId="7112" builtinId="8" hidden="1"/>
    <cellStyle name="Lien hypertexte" xfId="7114" builtinId="8" hidden="1"/>
    <cellStyle name="Lien hypertexte" xfId="7116" builtinId="8" hidden="1"/>
    <cellStyle name="Lien hypertexte" xfId="7118" builtinId="8" hidden="1"/>
    <cellStyle name="Lien hypertexte" xfId="7120" builtinId="8" hidden="1"/>
    <cellStyle name="Lien hypertexte" xfId="7122" builtinId="8" hidden="1"/>
    <cellStyle name="Lien hypertexte" xfId="7124" builtinId="8" hidden="1"/>
    <cellStyle name="Lien hypertexte" xfId="7126" builtinId="8" hidden="1"/>
    <cellStyle name="Lien hypertexte" xfId="7128" builtinId="8" hidden="1"/>
    <cellStyle name="Lien hypertexte" xfId="7130" builtinId="8" hidden="1"/>
    <cellStyle name="Lien hypertexte" xfId="7132" builtinId="8" hidden="1"/>
    <cellStyle name="Lien hypertexte" xfId="7134" builtinId="8" hidden="1"/>
    <cellStyle name="Lien hypertexte" xfId="7136" builtinId="8" hidden="1"/>
    <cellStyle name="Lien hypertexte" xfId="7138" builtinId="8" hidden="1"/>
    <cellStyle name="Lien hypertexte" xfId="7140" builtinId="8" hidden="1"/>
    <cellStyle name="Lien hypertexte" xfId="7142" builtinId="8" hidden="1"/>
    <cellStyle name="Lien hypertexte" xfId="7144" builtinId="8" hidden="1"/>
    <cellStyle name="Lien hypertexte" xfId="7146" builtinId="8" hidden="1"/>
    <cellStyle name="Lien hypertexte" xfId="7148" builtinId="8" hidden="1"/>
    <cellStyle name="Lien hypertexte" xfId="7150" builtinId="8" hidden="1"/>
    <cellStyle name="Lien hypertexte" xfId="7152" builtinId="8" hidden="1"/>
    <cellStyle name="Lien hypertexte" xfId="7154" builtinId="8" hidden="1"/>
    <cellStyle name="Lien hypertexte" xfId="7156" builtinId="8" hidden="1"/>
    <cellStyle name="Lien hypertexte" xfId="7158" builtinId="8" hidden="1"/>
    <cellStyle name="Lien hypertexte" xfId="7160" builtinId="8" hidden="1"/>
    <cellStyle name="Lien hypertexte" xfId="7162" builtinId="8" hidden="1"/>
    <cellStyle name="Lien hypertexte" xfId="7164" builtinId="8" hidden="1"/>
    <cellStyle name="Lien hypertexte" xfId="7166" builtinId="8" hidden="1"/>
    <cellStyle name="Lien hypertexte" xfId="7168" builtinId="8" hidden="1"/>
    <cellStyle name="Lien hypertexte" xfId="7170" builtinId="8" hidden="1"/>
    <cellStyle name="Lien hypertexte" xfId="7172" builtinId="8" hidden="1"/>
    <cellStyle name="Lien hypertexte" xfId="7174" builtinId="8" hidden="1"/>
    <cellStyle name="Lien hypertexte" xfId="7176" builtinId="8" hidden="1"/>
    <cellStyle name="Lien hypertexte" xfId="7178" builtinId="8" hidden="1"/>
    <cellStyle name="Lien hypertexte" xfId="7180" builtinId="8" hidden="1"/>
    <cellStyle name="Lien hypertexte" xfId="7182" builtinId="8" hidden="1"/>
    <cellStyle name="Lien hypertexte" xfId="7184" builtinId="8" hidden="1"/>
    <cellStyle name="Lien hypertexte" xfId="7186" builtinId="8" hidden="1"/>
    <cellStyle name="Lien hypertexte" xfId="7188" builtinId="8" hidden="1"/>
    <cellStyle name="Lien hypertexte" xfId="7190" builtinId="8" hidden="1"/>
    <cellStyle name="Lien hypertexte" xfId="7192" builtinId="8" hidden="1"/>
    <cellStyle name="Lien hypertexte" xfId="7194" builtinId="8" hidden="1"/>
    <cellStyle name="Lien hypertexte" xfId="7196" builtinId="8" hidden="1"/>
    <cellStyle name="Lien hypertexte" xfId="7198" builtinId="8" hidden="1"/>
    <cellStyle name="Lien hypertexte" xfId="7200" builtinId="8" hidden="1"/>
    <cellStyle name="Lien hypertexte" xfId="7202" builtinId="8" hidden="1"/>
    <cellStyle name="Lien hypertexte" xfId="7204" builtinId="8" hidden="1"/>
    <cellStyle name="Lien hypertexte" xfId="7206" builtinId="8" hidden="1"/>
    <cellStyle name="Lien hypertexte" xfId="7208" builtinId="8" hidden="1"/>
    <cellStyle name="Lien hypertexte" xfId="7210" builtinId="8" hidden="1"/>
    <cellStyle name="Lien hypertexte" xfId="7212" builtinId="8" hidden="1"/>
    <cellStyle name="Lien hypertexte" xfId="7214" builtinId="8" hidden="1"/>
    <cellStyle name="Lien hypertexte" xfId="7216" builtinId="8" hidden="1"/>
    <cellStyle name="Lien hypertexte" xfId="7218" builtinId="8" hidden="1"/>
    <cellStyle name="Lien hypertexte" xfId="7220" builtinId="8" hidden="1"/>
    <cellStyle name="Lien hypertexte" xfId="7222" builtinId="8" hidden="1"/>
    <cellStyle name="Lien hypertexte" xfId="7224" builtinId="8" hidden="1"/>
    <cellStyle name="Lien hypertexte" xfId="7226" builtinId="8" hidden="1"/>
    <cellStyle name="Lien hypertexte" xfId="7228" builtinId="8" hidden="1"/>
    <cellStyle name="Lien hypertexte" xfId="7230" builtinId="8" hidden="1"/>
    <cellStyle name="Lien hypertexte" xfId="7232" builtinId="8" hidden="1"/>
    <cellStyle name="Lien hypertexte" xfId="7234" builtinId="8" hidden="1"/>
    <cellStyle name="Lien hypertexte" xfId="7236" builtinId="8" hidden="1"/>
    <cellStyle name="Lien hypertexte" xfId="7238" builtinId="8" hidden="1"/>
    <cellStyle name="Lien hypertexte" xfId="7240" builtinId="8" hidden="1"/>
    <cellStyle name="Lien hypertexte" xfId="7242" builtinId="8" hidden="1"/>
    <cellStyle name="Lien hypertexte" xfId="7244" builtinId="8" hidden="1"/>
    <cellStyle name="Lien hypertexte" xfId="7246" builtinId="8" hidden="1"/>
    <cellStyle name="Lien hypertexte" xfId="7248" builtinId="8" hidden="1"/>
    <cellStyle name="Lien hypertexte" xfId="7250" builtinId="8" hidden="1"/>
    <cellStyle name="Lien hypertexte" xfId="7252" builtinId="8" hidden="1"/>
    <cellStyle name="Lien hypertexte" xfId="7254" builtinId="8" hidden="1"/>
    <cellStyle name="Lien hypertexte" xfId="7256" builtinId="8" hidden="1"/>
    <cellStyle name="Lien hypertexte" xfId="7258" builtinId="8" hidden="1"/>
    <cellStyle name="Lien hypertexte" xfId="7260" builtinId="8" hidden="1"/>
    <cellStyle name="Lien hypertexte" xfId="7262" builtinId="8" hidden="1"/>
    <cellStyle name="Lien hypertexte" xfId="7264" builtinId="8" hidden="1"/>
    <cellStyle name="Lien hypertexte" xfId="7266" builtinId="8" hidden="1"/>
    <cellStyle name="Lien hypertexte" xfId="7268" builtinId="8" hidden="1"/>
    <cellStyle name="Lien hypertexte" xfId="7270" builtinId="8" hidden="1"/>
    <cellStyle name="Lien hypertexte" xfId="7272" builtinId="8" hidden="1"/>
    <cellStyle name="Lien hypertexte" xfId="7274" builtinId="8" hidden="1"/>
    <cellStyle name="Lien hypertexte" xfId="7276" builtinId="8" hidden="1"/>
    <cellStyle name="Lien hypertexte" xfId="7278" builtinId="8" hidden="1"/>
    <cellStyle name="Lien hypertexte" xfId="7280" builtinId="8" hidden="1"/>
    <cellStyle name="Lien hypertexte" xfId="7282" builtinId="8" hidden="1"/>
    <cellStyle name="Lien hypertexte" xfId="7284" builtinId="8" hidden="1"/>
    <cellStyle name="Lien hypertexte" xfId="7286" builtinId="8" hidden="1"/>
    <cellStyle name="Lien hypertexte" xfId="7288" builtinId="8" hidden="1"/>
    <cellStyle name="Lien hypertexte" xfId="7290" builtinId="8" hidden="1"/>
    <cellStyle name="Lien hypertexte" xfId="7292" builtinId="8" hidden="1"/>
    <cellStyle name="Lien hypertexte" xfId="7294" builtinId="8" hidden="1"/>
    <cellStyle name="Lien hypertexte" xfId="7296" builtinId="8" hidden="1"/>
    <cellStyle name="Lien hypertexte" xfId="7298" builtinId="8" hidden="1"/>
    <cellStyle name="Lien hypertexte" xfId="7300" builtinId="8" hidden="1"/>
    <cellStyle name="Lien hypertexte" xfId="7302" builtinId="8" hidden="1"/>
    <cellStyle name="Lien hypertexte" xfId="7304" builtinId="8" hidden="1"/>
    <cellStyle name="Lien hypertexte" xfId="7306" builtinId="8" hidden="1"/>
    <cellStyle name="Lien hypertexte" xfId="7308" builtinId="8" hidden="1"/>
    <cellStyle name="Lien hypertexte" xfId="7310" builtinId="8" hidden="1"/>
    <cellStyle name="Lien hypertexte" xfId="7312" builtinId="8" hidden="1"/>
    <cellStyle name="Lien hypertexte" xfId="7314" builtinId="8" hidden="1"/>
    <cellStyle name="Lien hypertexte" xfId="7316" builtinId="8" hidden="1"/>
    <cellStyle name="Lien hypertexte" xfId="7318" builtinId="8" hidden="1"/>
    <cellStyle name="Lien hypertexte" xfId="7320" builtinId="8" hidden="1"/>
    <cellStyle name="Lien hypertexte" xfId="7322" builtinId="8" hidden="1"/>
    <cellStyle name="Lien hypertexte" xfId="7324" builtinId="8" hidden="1"/>
    <cellStyle name="Lien hypertexte" xfId="7326" builtinId="8" hidden="1"/>
    <cellStyle name="Lien hypertexte" xfId="7328" builtinId="8" hidden="1"/>
    <cellStyle name="Lien hypertexte" xfId="7330" builtinId="8" hidden="1"/>
    <cellStyle name="Lien hypertexte" xfId="7332" builtinId="8" hidden="1"/>
    <cellStyle name="Lien hypertexte" xfId="7334" builtinId="8" hidden="1"/>
    <cellStyle name="Lien hypertexte" xfId="7336" builtinId="8" hidden="1"/>
    <cellStyle name="Lien hypertexte" xfId="7338" builtinId="8" hidden="1"/>
    <cellStyle name="Lien hypertexte" xfId="7340" builtinId="8" hidden="1"/>
    <cellStyle name="Lien hypertexte" xfId="7342" builtinId="8" hidden="1"/>
    <cellStyle name="Lien hypertexte" xfId="7344" builtinId="8" hidden="1"/>
    <cellStyle name="Lien hypertexte" xfId="7346" builtinId="8" hidden="1"/>
    <cellStyle name="Lien hypertexte" xfId="7348" builtinId="8" hidden="1"/>
    <cellStyle name="Lien hypertexte" xfId="7350" builtinId="8" hidden="1"/>
    <cellStyle name="Lien hypertexte" xfId="7352" builtinId="8" hidden="1"/>
    <cellStyle name="Lien hypertexte" xfId="7354" builtinId="8" hidden="1"/>
    <cellStyle name="Lien hypertexte" xfId="7356" builtinId="8" hidden="1"/>
    <cellStyle name="Lien hypertexte" xfId="7358" builtinId="8" hidden="1"/>
    <cellStyle name="Lien hypertexte" xfId="7360" builtinId="8" hidden="1"/>
    <cellStyle name="Lien hypertexte" xfId="7362" builtinId="8" hidden="1"/>
    <cellStyle name="Lien hypertexte" xfId="7364" builtinId="8" hidden="1"/>
    <cellStyle name="Lien hypertexte" xfId="7366" builtinId="8" hidden="1"/>
    <cellStyle name="Lien hypertexte" xfId="7368" builtinId="8" hidden="1"/>
    <cellStyle name="Lien hypertexte" xfId="7370" builtinId="8" hidden="1"/>
    <cellStyle name="Lien hypertexte" xfId="7372" builtinId="8" hidden="1"/>
    <cellStyle name="Lien hypertexte" xfId="7374" builtinId="8" hidden="1"/>
    <cellStyle name="Lien hypertexte" xfId="7376" builtinId="8" hidden="1"/>
    <cellStyle name="Lien hypertexte" xfId="7378" builtinId="8" hidden="1"/>
    <cellStyle name="Lien hypertexte" xfId="7380" builtinId="8" hidden="1"/>
    <cellStyle name="Lien hypertexte" xfId="7382" builtinId="8" hidden="1"/>
    <cellStyle name="Lien hypertexte" xfId="7384" builtinId="8" hidden="1"/>
    <cellStyle name="Lien hypertexte" xfId="7386" builtinId="8" hidden="1"/>
    <cellStyle name="Lien hypertexte" xfId="7388" builtinId="8" hidden="1"/>
    <cellStyle name="Lien hypertexte" xfId="7390" builtinId="8" hidden="1"/>
    <cellStyle name="Lien hypertexte" xfId="7392" builtinId="8" hidden="1"/>
    <cellStyle name="Lien hypertexte" xfId="7394" builtinId="8" hidden="1"/>
    <cellStyle name="Lien hypertexte" xfId="7396" builtinId="8" hidden="1"/>
    <cellStyle name="Lien hypertexte" xfId="7398" builtinId="8" hidden="1"/>
    <cellStyle name="Lien hypertexte" xfId="7400" builtinId="8" hidden="1"/>
    <cellStyle name="Lien hypertexte" xfId="7402" builtinId="8" hidden="1"/>
    <cellStyle name="Lien hypertexte" xfId="7404" builtinId="8" hidden="1"/>
    <cellStyle name="Lien hypertexte" xfId="7406" builtinId="8" hidden="1"/>
    <cellStyle name="Lien hypertexte" xfId="7408" builtinId="8" hidden="1"/>
    <cellStyle name="Lien hypertexte" xfId="7410" builtinId="8" hidden="1"/>
    <cellStyle name="Lien hypertexte" xfId="7412" builtinId="8" hidden="1"/>
    <cellStyle name="Lien hypertexte" xfId="7414" builtinId="8" hidden="1"/>
    <cellStyle name="Lien hypertexte" xfId="7416" builtinId="8" hidden="1"/>
    <cellStyle name="Lien hypertexte" xfId="7418" builtinId="8" hidden="1"/>
    <cellStyle name="Lien hypertexte" xfId="7420" builtinId="8" hidden="1"/>
    <cellStyle name="Lien hypertexte" xfId="7422" builtinId="8" hidden="1"/>
    <cellStyle name="Lien hypertexte" xfId="7424" builtinId="8" hidden="1"/>
    <cellStyle name="Lien hypertexte" xfId="7426" builtinId="8" hidden="1"/>
    <cellStyle name="Lien hypertexte" xfId="7428" builtinId="8" hidden="1"/>
    <cellStyle name="Lien hypertexte" xfId="7430" builtinId="8" hidden="1"/>
    <cellStyle name="Lien hypertexte" xfId="7432" builtinId="8" hidden="1"/>
    <cellStyle name="Lien hypertexte" xfId="7434" builtinId="8" hidden="1"/>
    <cellStyle name="Lien hypertexte" xfId="7436" builtinId="8" hidden="1"/>
    <cellStyle name="Lien hypertexte" xfId="7438" builtinId="8" hidden="1"/>
    <cellStyle name="Lien hypertexte" xfId="7440" builtinId="8" hidden="1"/>
    <cellStyle name="Lien hypertexte" xfId="7442" builtinId="8" hidden="1"/>
    <cellStyle name="Lien hypertexte" xfId="7444" builtinId="8" hidden="1"/>
    <cellStyle name="Lien hypertexte" xfId="7446" builtinId="8" hidden="1"/>
    <cellStyle name="Lien hypertexte" xfId="7448" builtinId="8" hidden="1"/>
    <cellStyle name="Lien hypertexte" xfId="7450" builtinId="8" hidden="1"/>
    <cellStyle name="Lien hypertexte" xfId="7452" builtinId="8" hidden="1"/>
    <cellStyle name="Lien hypertexte" xfId="7454" builtinId="8" hidden="1"/>
    <cellStyle name="Lien hypertexte" xfId="7456" builtinId="8" hidden="1"/>
    <cellStyle name="Lien hypertexte" xfId="7458" builtinId="8" hidden="1"/>
    <cellStyle name="Lien hypertexte" xfId="7460" builtinId="8" hidden="1"/>
    <cellStyle name="Lien hypertexte" xfId="7462" builtinId="8" hidden="1"/>
    <cellStyle name="Lien hypertexte" xfId="7464" builtinId="8" hidden="1"/>
    <cellStyle name="Lien hypertexte" xfId="7466" builtinId="8" hidden="1"/>
    <cellStyle name="Lien hypertexte" xfId="7468" builtinId="8" hidden="1"/>
    <cellStyle name="Lien hypertexte" xfId="7470" builtinId="8" hidden="1"/>
    <cellStyle name="Lien hypertexte" xfId="7472" builtinId="8" hidden="1"/>
    <cellStyle name="Lien hypertexte" xfId="7474" builtinId="8" hidden="1"/>
    <cellStyle name="Lien hypertexte" xfId="7476" builtinId="8" hidden="1"/>
    <cellStyle name="Lien hypertexte" xfId="7478" builtinId="8" hidden="1"/>
    <cellStyle name="Lien hypertexte" xfId="7480" builtinId="8" hidden="1"/>
    <cellStyle name="Lien hypertexte" xfId="7482" builtinId="8" hidden="1"/>
    <cellStyle name="Lien hypertexte" xfId="7484" builtinId="8" hidden="1"/>
    <cellStyle name="Lien hypertexte" xfId="7486" builtinId="8" hidden="1"/>
    <cellStyle name="Lien hypertexte" xfId="7488" builtinId="8" hidden="1"/>
    <cellStyle name="Lien hypertexte" xfId="7490" builtinId="8" hidden="1"/>
    <cellStyle name="Lien hypertexte" xfId="7492" builtinId="8" hidden="1"/>
    <cellStyle name="Lien hypertexte" xfId="7494" builtinId="8" hidden="1"/>
    <cellStyle name="Lien hypertexte" xfId="7496" builtinId="8" hidden="1"/>
    <cellStyle name="Lien hypertexte" xfId="7498" builtinId="8" hidden="1"/>
    <cellStyle name="Lien hypertexte" xfId="7500" builtinId="8" hidden="1"/>
    <cellStyle name="Lien hypertexte" xfId="7502" builtinId="8" hidden="1"/>
    <cellStyle name="Lien hypertexte" xfId="7504" builtinId="8" hidden="1"/>
    <cellStyle name="Lien hypertexte" xfId="7506" builtinId="8" hidden="1"/>
    <cellStyle name="Lien hypertexte" xfId="7508" builtinId="8" hidden="1"/>
    <cellStyle name="Lien hypertexte" xfId="7510" builtinId="8" hidden="1"/>
    <cellStyle name="Lien hypertexte" xfId="7512" builtinId="8" hidden="1"/>
    <cellStyle name="Lien hypertexte" xfId="7514" builtinId="8" hidden="1"/>
    <cellStyle name="Lien hypertexte" xfId="7516" builtinId="8" hidden="1"/>
    <cellStyle name="Lien hypertexte" xfId="7518" builtinId="8" hidden="1"/>
    <cellStyle name="Lien hypertexte" xfId="7520" builtinId="8" hidden="1"/>
    <cellStyle name="Lien hypertexte" xfId="7522" builtinId="8" hidden="1"/>
    <cellStyle name="Lien hypertexte" xfId="7524" builtinId="8" hidden="1"/>
    <cellStyle name="Lien hypertexte" xfId="7526" builtinId="8" hidden="1"/>
    <cellStyle name="Lien hypertexte" xfId="7528" builtinId="8" hidden="1"/>
    <cellStyle name="Lien hypertexte" xfId="7530" builtinId="8" hidden="1"/>
    <cellStyle name="Lien hypertexte" xfId="7532" builtinId="8" hidden="1"/>
    <cellStyle name="Lien hypertexte" xfId="7534" builtinId="8" hidden="1"/>
    <cellStyle name="Lien hypertexte" xfId="7536" builtinId="8" hidden="1"/>
    <cellStyle name="Lien hypertexte" xfId="7538" builtinId="8" hidden="1"/>
    <cellStyle name="Lien hypertexte" xfId="7540" builtinId="8" hidden="1"/>
    <cellStyle name="Lien hypertexte" xfId="7542" builtinId="8" hidden="1"/>
    <cellStyle name="Lien hypertexte" xfId="7544" builtinId="8" hidden="1"/>
    <cellStyle name="Lien hypertexte" xfId="7546" builtinId="8" hidden="1"/>
    <cellStyle name="Lien hypertexte" xfId="7548" builtinId="8" hidden="1"/>
    <cellStyle name="Lien hypertexte" xfId="7550" builtinId="8" hidden="1"/>
    <cellStyle name="Lien hypertexte" xfId="7552" builtinId="8" hidden="1"/>
    <cellStyle name="Lien hypertexte" xfId="7554" builtinId="8" hidden="1"/>
    <cellStyle name="Lien hypertexte" xfId="7556" builtinId="8" hidden="1"/>
    <cellStyle name="Lien hypertexte" xfId="7558" builtinId="8" hidden="1"/>
    <cellStyle name="Lien hypertexte" xfId="7560" builtinId="8" hidden="1"/>
    <cellStyle name="Lien hypertexte" xfId="7562" builtinId="8" hidden="1"/>
    <cellStyle name="Lien hypertexte" xfId="7564" builtinId="8" hidden="1"/>
    <cellStyle name="Lien hypertexte" xfId="7566" builtinId="8" hidden="1"/>
    <cellStyle name="Lien hypertexte" xfId="7568" builtinId="8" hidden="1"/>
    <cellStyle name="Lien hypertexte" xfId="7570" builtinId="8" hidden="1"/>
    <cellStyle name="Lien hypertexte" xfId="7572" builtinId="8" hidden="1"/>
    <cellStyle name="Lien hypertexte" xfId="7574" builtinId="8" hidden="1"/>
    <cellStyle name="Lien hypertexte" xfId="7576" builtinId="8" hidden="1"/>
    <cellStyle name="Lien hypertexte" xfId="7578" builtinId="8" hidden="1"/>
    <cellStyle name="Lien hypertexte" xfId="7580" builtinId="8" hidden="1"/>
    <cellStyle name="Lien hypertexte" xfId="7582" builtinId="8" hidden="1"/>
    <cellStyle name="Lien hypertexte" xfId="7584" builtinId="8" hidden="1"/>
    <cellStyle name="Lien hypertexte" xfId="7586" builtinId="8" hidden="1"/>
    <cellStyle name="Lien hypertexte" xfId="7588" builtinId="8" hidden="1"/>
    <cellStyle name="Lien hypertexte" xfId="7590" builtinId="8" hidden="1"/>
    <cellStyle name="Lien hypertexte" xfId="7592" builtinId="8" hidden="1"/>
    <cellStyle name="Lien hypertexte" xfId="7594" builtinId="8" hidden="1"/>
    <cellStyle name="Lien hypertexte" xfId="7596" builtinId="8" hidden="1"/>
    <cellStyle name="Lien hypertexte" xfId="7598" builtinId="8" hidden="1"/>
    <cellStyle name="Lien hypertexte" xfId="7600" builtinId="8" hidden="1"/>
    <cellStyle name="Lien hypertexte" xfId="7602" builtinId="8" hidden="1"/>
    <cellStyle name="Lien hypertexte" xfId="7604" builtinId="8" hidden="1"/>
    <cellStyle name="Lien hypertexte" xfId="7606" builtinId="8" hidden="1"/>
    <cellStyle name="Lien hypertexte" xfId="7608" builtinId="8" hidden="1"/>
    <cellStyle name="Lien hypertexte" xfId="7610" builtinId="8" hidden="1"/>
    <cellStyle name="Lien hypertexte" xfId="7612" builtinId="8" hidden="1"/>
    <cellStyle name="Lien hypertexte" xfId="7614" builtinId="8" hidden="1"/>
    <cellStyle name="Lien hypertexte" xfId="7616" builtinId="8" hidden="1"/>
    <cellStyle name="Lien hypertexte" xfId="7618" builtinId="8" hidden="1"/>
    <cellStyle name="Lien hypertexte" xfId="7620" builtinId="8" hidden="1"/>
    <cellStyle name="Lien hypertexte" xfId="7622" builtinId="8" hidden="1"/>
    <cellStyle name="Lien hypertexte" xfId="7624" builtinId="8" hidden="1"/>
    <cellStyle name="Lien hypertexte" xfId="7626" builtinId="8" hidden="1"/>
    <cellStyle name="Lien hypertexte" xfId="7628" builtinId="8" hidden="1"/>
    <cellStyle name="Lien hypertexte" xfId="7630" builtinId="8" hidden="1"/>
    <cellStyle name="Lien hypertexte" xfId="7632" builtinId="8" hidden="1"/>
    <cellStyle name="Lien hypertexte" xfId="7634" builtinId="8" hidden="1"/>
    <cellStyle name="Lien hypertexte" xfId="7636" builtinId="8" hidden="1"/>
    <cellStyle name="Lien hypertexte" xfId="7638" builtinId="8" hidden="1"/>
    <cellStyle name="Lien hypertexte" xfId="7640" builtinId="8" hidden="1"/>
    <cellStyle name="Lien hypertexte" xfId="7642" builtinId="8" hidden="1"/>
    <cellStyle name="Lien hypertexte" xfId="7644" builtinId="8" hidden="1"/>
    <cellStyle name="Lien hypertexte" xfId="7646" builtinId="8" hidden="1"/>
    <cellStyle name="Lien hypertexte" xfId="7648" builtinId="8" hidden="1"/>
    <cellStyle name="Lien hypertexte" xfId="7650" builtinId="8" hidden="1"/>
    <cellStyle name="Lien hypertexte" xfId="7652" builtinId="8" hidden="1"/>
    <cellStyle name="Lien hypertexte" xfId="7654" builtinId="8" hidden="1"/>
    <cellStyle name="Lien hypertexte" xfId="7656" builtinId="8" hidden="1"/>
    <cellStyle name="Lien hypertexte" xfId="7658" builtinId="8" hidden="1"/>
    <cellStyle name="Lien hypertexte" xfId="7660" builtinId="8" hidden="1"/>
    <cellStyle name="Lien hypertexte" xfId="7662" builtinId="8" hidden="1"/>
    <cellStyle name="Lien hypertexte" xfId="7664" builtinId="8" hidden="1"/>
    <cellStyle name="Lien hypertexte" xfId="7666" builtinId="8" hidden="1"/>
    <cellStyle name="Lien hypertexte" xfId="7668" builtinId="8" hidden="1"/>
    <cellStyle name="Lien hypertexte" xfId="7670" builtinId="8" hidden="1"/>
    <cellStyle name="Lien hypertexte" xfId="7672" builtinId="8" hidden="1"/>
    <cellStyle name="Lien hypertexte" xfId="7674" builtinId="8" hidden="1"/>
    <cellStyle name="Lien hypertexte" xfId="7676" builtinId="8" hidden="1"/>
    <cellStyle name="Lien hypertexte" xfId="7678" builtinId="8" hidden="1"/>
    <cellStyle name="Lien hypertexte" xfId="7680" builtinId="8" hidden="1"/>
    <cellStyle name="Lien hypertexte" xfId="7682" builtinId="8" hidden="1"/>
    <cellStyle name="Lien hypertexte" xfId="7684" builtinId="8" hidden="1"/>
    <cellStyle name="Lien hypertexte" xfId="7686" builtinId="8" hidden="1"/>
    <cellStyle name="Lien hypertexte" xfId="7688" builtinId="8" hidden="1"/>
    <cellStyle name="Lien hypertexte" xfId="7690" builtinId="8" hidden="1"/>
    <cellStyle name="Lien hypertexte" xfId="7692" builtinId="8" hidden="1"/>
    <cellStyle name="Lien hypertexte" xfId="7694" builtinId="8" hidden="1"/>
    <cellStyle name="Lien hypertexte" xfId="7696" builtinId="8" hidden="1"/>
    <cellStyle name="Lien hypertexte" xfId="7698" builtinId="8" hidden="1"/>
    <cellStyle name="Lien hypertexte" xfId="7700" builtinId="8" hidden="1"/>
    <cellStyle name="Lien hypertexte" xfId="7702" builtinId="8" hidden="1"/>
    <cellStyle name="Lien hypertexte" xfId="7704" builtinId="8" hidden="1"/>
    <cellStyle name="Lien hypertexte" xfId="7706" builtinId="8" hidden="1"/>
    <cellStyle name="Lien hypertexte" xfId="7708" builtinId="8" hidden="1"/>
    <cellStyle name="Lien hypertexte" xfId="7710" builtinId="8" hidden="1"/>
    <cellStyle name="Lien hypertexte" xfId="7712" builtinId="8" hidden="1"/>
    <cellStyle name="Lien hypertexte" xfId="7714" builtinId="8" hidden="1"/>
    <cellStyle name="Lien hypertexte" xfId="7716" builtinId="8" hidden="1"/>
    <cellStyle name="Lien hypertexte" xfId="7718" builtinId="8" hidden="1"/>
    <cellStyle name="Lien hypertexte" xfId="7720" builtinId="8" hidden="1"/>
    <cellStyle name="Lien hypertexte" xfId="7722" builtinId="8" hidden="1"/>
    <cellStyle name="Lien hypertexte" xfId="7724" builtinId="8" hidden="1"/>
    <cellStyle name="Lien hypertexte" xfId="7727" builtinId="8" hidden="1"/>
    <cellStyle name="Lien hypertexte" xfId="7729" builtinId="8" hidden="1"/>
    <cellStyle name="Lien hypertexte" xfId="7731" builtinId="8" hidden="1"/>
    <cellStyle name="Lien hypertexte" xfId="7733" builtinId="8" hidden="1"/>
    <cellStyle name="Lien hypertexte" xfId="7735" builtinId="8" hidden="1"/>
    <cellStyle name="Lien hypertexte" xfId="7737" builtinId="8" hidden="1"/>
    <cellStyle name="Lien hypertexte" xfId="7739" builtinId="8" hidden="1"/>
    <cellStyle name="Lien hypertexte" xfId="7741" builtinId="8" hidden="1"/>
    <cellStyle name="Lien hypertexte" xfId="7743" builtinId="8" hidden="1"/>
    <cellStyle name="Lien hypertexte" xfId="7745" builtinId="8" hidden="1"/>
    <cellStyle name="Lien hypertexte" xfId="7747" builtinId="8" hidden="1"/>
    <cellStyle name="Lien hypertexte" xfId="7749" builtinId="8" hidden="1"/>
    <cellStyle name="Lien hypertexte" xfId="7752" builtinId="8" hidden="1"/>
    <cellStyle name="Lien hypertexte" xfId="7754" builtinId="8" hidden="1"/>
    <cellStyle name="Lien hypertexte" xfId="7756" builtinId="8" hidden="1"/>
    <cellStyle name="Lien hypertexte" xfId="7758" builtinId="8" hidden="1"/>
    <cellStyle name="Lien hypertexte" xfId="7760" builtinId="8" hidden="1"/>
    <cellStyle name="Lien hypertexte" xfId="7762" builtinId="8" hidden="1"/>
    <cellStyle name="Lien hypertexte" xfId="7764" builtinId="8" hidden="1"/>
    <cellStyle name="Lien hypertexte" xfId="7766" builtinId="8" hidden="1"/>
    <cellStyle name="Lien hypertexte" xfId="7768" builtinId="8" hidden="1"/>
    <cellStyle name="Lien hypertexte" xfId="7770" builtinId="8" hidden="1"/>
    <cellStyle name="Lien hypertexte" xfId="7772" builtinId="8" hidden="1"/>
    <cellStyle name="Lien hypertexte" xfId="7774" builtinId="8" hidden="1"/>
    <cellStyle name="Lien hypertexte" xfId="7776" builtinId="8" hidden="1"/>
    <cellStyle name="Lien hypertexte" xfId="7778" builtinId="8" hidden="1"/>
    <cellStyle name="Lien hypertexte" xfId="7780" builtinId="8" hidden="1"/>
    <cellStyle name="Lien hypertexte" xfId="7782" builtinId="8" hidden="1"/>
    <cellStyle name="Lien hypertexte" xfId="7784" builtinId="8" hidden="1"/>
    <cellStyle name="Lien hypertexte" xfId="7786" builtinId="8" hidden="1"/>
    <cellStyle name="Lien hypertexte" xfId="7788" builtinId="8" hidden="1"/>
    <cellStyle name="Lien hypertexte" xfId="7790" builtinId="8" hidden="1"/>
    <cellStyle name="Lien hypertexte" xfId="7793" builtinId="8" hidden="1"/>
    <cellStyle name="Lien hypertexte" xfId="7795" builtinId="8" hidden="1"/>
    <cellStyle name="Lien hypertexte" xfId="7797" builtinId="8" hidden="1"/>
    <cellStyle name="Lien hypertexte" xfId="7799" builtinId="8" hidden="1"/>
    <cellStyle name="Lien hypertexte" xfId="7801" builtinId="8" hidden="1"/>
    <cellStyle name="Lien hypertexte" xfId="7803" builtinId="8" hidden="1"/>
    <cellStyle name="Lien hypertexte" xfId="7805" builtinId="8" hidden="1"/>
    <cellStyle name="Lien hypertexte" xfId="7807" builtinId="8" hidden="1"/>
    <cellStyle name="Lien hypertexte" xfId="7809" builtinId="8" hidden="1"/>
    <cellStyle name="Lien hypertexte" xfId="7811" builtinId="8" hidden="1"/>
    <cellStyle name="Lien hypertexte" xfId="7813" builtinId="8" hidden="1"/>
    <cellStyle name="Lien hypertexte" xfId="7815" builtinId="8" hidden="1"/>
    <cellStyle name="Lien hypertexte" xfId="7817" builtinId="8" hidden="1"/>
    <cellStyle name="Lien hypertexte" xfId="7819" builtinId="8" hidden="1"/>
    <cellStyle name="Lien hypertexte" xfId="7821" builtinId="8" hidden="1"/>
    <cellStyle name="Lien hypertexte" xfId="7823" builtinId="8" hidden="1"/>
    <cellStyle name="Lien hypertexte" xfId="7825" builtinId="8" hidden="1"/>
    <cellStyle name="Lien hypertexte" xfId="7827" builtinId="8" hidden="1"/>
    <cellStyle name="Lien hypertexte" xfId="7829" builtinId="8" hidden="1"/>
    <cellStyle name="Lien hypertexte" xfId="7831" builtinId="8" hidden="1"/>
    <cellStyle name="Lien hypertexte" xfId="7833" builtinId="8" hidden="1"/>
    <cellStyle name="Lien hypertexte" xfId="7835" builtinId="8" hidden="1"/>
    <cellStyle name="Lien hypertexte" xfId="7837" builtinId="8" hidden="1"/>
    <cellStyle name="Lien hypertexte" xfId="7839" builtinId="8" hidden="1"/>
    <cellStyle name="Lien hypertexte" xfId="7841" builtinId="8" hidden="1"/>
    <cellStyle name="Lien hypertexte" xfId="7843" builtinId="8" hidden="1"/>
    <cellStyle name="Lien hypertexte" xfId="7846" builtinId="8" hidden="1"/>
    <cellStyle name="Lien hypertexte" xfId="7848" builtinId="8" hidden="1"/>
    <cellStyle name="Lien hypertexte" xfId="7850" builtinId="8" hidden="1"/>
    <cellStyle name="Lien hypertexte" xfId="7852" builtinId="8" hidden="1"/>
    <cellStyle name="Lien hypertexte" xfId="7854" builtinId="8" hidden="1"/>
    <cellStyle name="Lien hypertexte" xfId="7856" builtinId="8" hidden="1"/>
    <cellStyle name="Lien hypertexte" xfId="7858" builtinId="8" hidden="1"/>
    <cellStyle name="Lien hypertexte" xfId="7860" builtinId="8" hidden="1"/>
    <cellStyle name="Lien hypertexte" xfId="7862" builtinId="8" hidden="1"/>
    <cellStyle name="Lien hypertexte" xfId="7864" builtinId="8" hidden="1"/>
    <cellStyle name="Lien hypertexte" xfId="7866" builtinId="8" hidden="1"/>
    <cellStyle name="Lien hypertexte" xfId="7868" builtinId="8" hidden="1"/>
    <cellStyle name="Lien hypertexte" xfId="7870" builtinId="8" hidden="1"/>
    <cellStyle name="Lien hypertexte" xfId="7872" builtinId="8" hidden="1"/>
    <cellStyle name="Lien hypertexte" xfId="7874" builtinId="8" hidden="1"/>
    <cellStyle name="Lien hypertexte" xfId="7876" builtinId="8" hidden="1"/>
    <cellStyle name="Lien hypertexte" xfId="7878" builtinId="8" hidden="1"/>
    <cellStyle name="Lien hypertexte" xfId="7880" builtinId="8" hidden="1"/>
    <cellStyle name="Lien hypertexte" xfId="7882" builtinId="8" hidden="1"/>
    <cellStyle name="Lien hypertexte" xfId="7884" builtinId="8" hidden="1"/>
    <cellStyle name="Lien hypertexte" xfId="7886" builtinId="8" hidden="1"/>
    <cellStyle name="Lien hypertexte" xfId="7888" builtinId="8" hidden="1"/>
    <cellStyle name="Lien hypertexte" xfId="7890" builtinId="8" hidden="1"/>
    <cellStyle name="Lien hypertexte" xfId="7892" builtinId="8" hidden="1"/>
    <cellStyle name="Lien hypertexte" xfId="7894" builtinId="8" hidden="1"/>
    <cellStyle name="Lien hypertexte" xfId="7896" builtinId="8" hidden="1"/>
    <cellStyle name="Lien hypertexte" xfId="7898" builtinId="8" hidden="1"/>
    <cellStyle name="Lien hypertexte" xfId="7900" builtinId="8" hidden="1"/>
    <cellStyle name="Lien hypertexte" xfId="7902" builtinId="8" hidden="1"/>
    <cellStyle name="Lien hypertexte" xfId="7904" builtinId="8" hidden="1"/>
    <cellStyle name="Lien hypertexte" xfId="7906" builtinId="8" hidden="1"/>
    <cellStyle name="Lien hypertexte" xfId="7908" builtinId="8" hidden="1"/>
    <cellStyle name="Lien hypertexte" xfId="7910" builtinId="8" hidden="1"/>
    <cellStyle name="Lien hypertexte" xfId="7912" builtinId="8" hidden="1"/>
    <cellStyle name="Lien hypertexte" xfId="7914" builtinId="8" hidden="1"/>
    <cellStyle name="Lien hypertexte" xfId="7916" builtinId="8" hidden="1"/>
    <cellStyle name="Lien hypertexte" xfId="7918" builtinId="8" hidden="1"/>
    <cellStyle name="Lien hypertexte" xfId="7920" builtinId="8" hidden="1"/>
    <cellStyle name="Lien hypertexte" xfId="7922" builtinId="8" hidden="1"/>
    <cellStyle name="Lien hypertexte" xfId="7924" builtinId="8" hidden="1"/>
    <cellStyle name="Lien hypertexte" xfId="7926" builtinId="8" hidden="1"/>
    <cellStyle name="Lien hypertexte" xfId="7928" builtinId="8" hidden="1"/>
    <cellStyle name="Lien hypertexte" xfId="7930" builtinId="8" hidden="1"/>
    <cellStyle name="Lien hypertexte" xfId="7932" builtinId="8" hidden="1"/>
    <cellStyle name="Lien hypertexte" xfId="7934" builtinId="8" hidden="1"/>
    <cellStyle name="Lien hypertexte" xfId="7936" builtinId="8" hidden="1"/>
    <cellStyle name="Lien hypertexte" xfId="7938" builtinId="8" hidden="1"/>
    <cellStyle name="Lien hypertexte" xfId="7940" builtinId="8" hidden="1"/>
    <cellStyle name="Lien hypertexte" xfId="7942" builtinId="8" hidden="1"/>
    <cellStyle name="Lien hypertexte" xfId="7944" builtinId="8" hidden="1"/>
    <cellStyle name="Lien hypertexte" xfId="7946" builtinId="8" hidden="1"/>
    <cellStyle name="Lien hypertexte" xfId="7948" builtinId="8" hidden="1"/>
    <cellStyle name="Lien hypertexte" xfId="7950" builtinId="8" hidden="1"/>
    <cellStyle name="Lien hypertexte" xfId="7952" builtinId="8" hidden="1"/>
    <cellStyle name="Lien hypertexte" xfId="7954" builtinId="8" hidden="1"/>
    <cellStyle name="Lien hypertexte" xfId="7956" builtinId="8" hidden="1"/>
    <cellStyle name="Lien hypertexte" xfId="7958" builtinId="8" hidden="1"/>
    <cellStyle name="Lien hypertexte" xfId="7960" builtinId="8" hidden="1"/>
    <cellStyle name="Lien hypertexte" xfId="7962" builtinId="8" hidden="1"/>
    <cellStyle name="Lien hypertexte" xfId="7964" builtinId="8" hidden="1"/>
    <cellStyle name="Lien hypertexte" xfId="7966" builtinId="8" hidden="1"/>
    <cellStyle name="Lien hypertexte" xfId="7968" builtinId="8" hidden="1"/>
    <cellStyle name="Lien hypertexte" xfId="7970" builtinId="8" hidden="1"/>
    <cellStyle name="Lien hypertexte" xfId="7972" builtinId="8" hidden="1"/>
    <cellStyle name="Lien hypertexte" xfId="7974" builtinId="8" hidden="1"/>
    <cellStyle name="Lien hypertexte" xfId="7976" builtinId="8" hidden="1"/>
    <cellStyle name="Lien hypertexte" xfId="7978" builtinId="8" hidden="1"/>
    <cellStyle name="Lien hypertexte" xfId="7980" builtinId="8" hidden="1"/>
    <cellStyle name="Lien hypertexte" xfId="7982" builtinId="8" hidden="1"/>
    <cellStyle name="Lien hypertexte" xfId="7984" builtinId="8" hidden="1"/>
    <cellStyle name="Lien hypertexte" xfId="7986" builtinId="8" hidden="1"/>
    <cellStyle name="Lien hypertexte" xfId="7988" builtinId="8" hidden="1"/>
    <cellStyle name="Lien hypertexte" xfId="7990" builtinId="8" hidden="1"/>
    <cellStyle name="Lien hypertexte" xfId="7992" builtinId="8" hidden="1"/>
    <cellStyle name="Lien hypertexte" xfId="7994" builtinId="8" hidden="1"/>
    <cellStyle name="Lien hypertexte" xfId="7996" builtinId="8" hidden="1"/>
    <cellStyle name="Lien hypertexte" xfId="7998" builtinId="8" hidden="1"/>
    <cellStyle name="Lien hypertexte" xfId="8000" builtinId="8" hidden="1"/>
    <cellStyle name="Lien hypertexte" xfId="8002" builtinId="8" hidden="1"/>
    <cellStyle name="Lien hypertexte" xfId="8004" builtinId="8" hidden="1"/>
    <cellStyle name="Lien hypertexte" xfId="8006" builtinId="8" hidden="1"/>
    <cellStyle name="Lien hypertexte" xfId="8008" builtinId="8" hidden="1"/>
    <cellStyle name="Lien hypertexte" xfId="8010" builtinId="8" hidden="1"/>
    <cellStyle name="Lien hypertexte" xfId="8012" builtinId="8" hidden="1"/>
    <cellStyle name="Lien hypertexte" xfId="8014" builtinId="8" hidden="1"/>
    <cellStyle name="Lien hypertexte" xfId="8016" builtinId="8" hidden="1"/>
    <cellStyle name="Lien hypertexte" xfId="8018" builtinId="8" hidden="1"/>
    <cellStyle name="Lien hypertexte" xfId="8020" builtinId="8" hidden="1"/>
    <cellStyle name="Lien hypertexte" xfId="8022" builtinId="8" hidden="1"/>
    <cellStyle name="Lien hypertexte" xfId="8024" builtinId="8" hidden="1"/>
    <cellStyle name="Lien hypertexte" xfId="8026" builtinId="8" hidden="1"/>
    <cellStyle name="Lien hypertexte" xfId="8028" builtinId="8" hidden="1"/>
    <cellStyle name="Lien hypertexte" xfId="8030" builtinId="8" hidden="1"/>
    <cellStyle name="Lien hypertexte" xfId="8032" builtinId="8" hidden="1"/>
    <cellStyle name="Lien hypertexte" xfId="8034" builtinId="8" hidden="1"/>
    <cellStyle name="Lien hypertexte" xfId="8036" builtinId="8" hidden="1"/>
    <cellStyle name="Lien hypertexte" xfId="8038" builtinId="8" hidden="1"/>
    <cellStyle name="Lien hypertexte" xfId="8040" builtinId="8" hidden="1"/>
    <cellStyle name="Lien hypertexte" xfId="8042" builtinId="8" hidden="1"/>
    <cellStyle name="Lien hypertexte" xfId="8044" builtinId="8" hidden="1"/>
    <cellStyle name="Lien hypertexte" xfId="8046" builtinId="8" hidden="1"/>
    <cellStyle name="Lien hypertexte" xfId="8048" builtinId="8" hidden="1"/>
    <cellStyle name="Lien hypertexte" xfId="8050" builtinId="8" hidden="1"/>
    <cellStyle name="Lien hypertexte" xfId="8052" builtinId="8" hidden="1"/>
    <cellStyle name="Lien hypertexte" xfId="8054" builtinId="8" hidden="1"/>
    <cellStyle name="Lien hypertexte" xfId="8056" builtinId="8" hidden="1"/>
    <cellStyle name="Lien hypertexte" xfId="8058" builtinId="8" hidden="1"/>
    <cellStyle name="Lien hypertexte" xfId="8060" builtinId="8" hidden="1"/>
    <cellStyle name="Lien hypertexte" xfId="8062" builtinId="8" hidden="1"/>
    <cellStyle name="Lien hypertexte" xfId="8064" builtinId="8" hidden="1"/>
    <cellStyle name="Lien hypertexte" xfId="8066" builtinId="8" hidden="1"/>
    <cellStyle name="Lien hypertexte" xfId="8068" builtinId="8" hidden="1"/>
    <cellStyle name="Lien hypertexte" xfId="8070" builtinId="8" hidden="1"/>
    <cellStyle name="Lien hypertexte" xfId="8072" builtinId="8" hidden="1"/>
    <cellStyle name="Lien hypertexte" xfId="8074" builtinId="8" hidden="1"/>
    <cellStyle name="Lien hypertexte" xfId="8076" builtinId="8" hidden="1"/>
    <cellStyle name="Lien hypertexte" xfId="8078" builtinId="8" hidden="1"/>
    <cellStyle name="Lien hypertexte" xfId="8080" builtinId="8" hidden="1"/>
    <cellStyle name="Lien hypertexte" xfId="8082" builtinId="8" hidden="1"/>
    <cellStyle name="Lien hypertexte" xfId="8084" builtinId="8" hidden="1"/>
    <cellStyle name="Lien hypertexte" xfId="8086" builtinId="8" hidden="1"/>
    <cellStyle name="Lien hypertexte" xfId="8088" builtinId="8" hidden="1"/>
    <cellStyle name="Lien hypertexte" xfId="8090" builtinId="8" hidden="1"/>
    <cellStyle name="Lien hypertexte" xfId="8092" builtinId="8" hidden="1"/>
    <cellStyle name="Lien hypertexte" xfId="8094" builtinId="8" hidden="1"/>
    <cellStyle name="Lien hypertexte" xfId="8096" builtinId="8" hidden="1"/>
    <cellStyle name="Lien hypertexte" xfId="8098" builtinId="8" hidden="1"/>
    <cellStyle name="Lien hypertexte" xfId="8100" builtinId="8" hidden="1"/>
    <cellStyle name="Lien hypertexte" xfId="8102" builtinId="8" hidden="1"/>
    <cellStyle name="Lien hypertexte" xfId="8104" builtinId="8" hidden="1"/>
    <cellStyle name="Lien hypertexte" xfId="8106" builtinId="8" hidden="1"/>
    <cellStyle name="Lien hypertexte" xfId="8108" builtinId="8" hidden="1"/>
    <cellStyle name="Lien hypertexte" xfId="8110" builtinId="8" hidden="1"/>
    <cellStyle name="Lien hypertexte" xfId="8112" builtinId="8" hidden="1"/>
    <cellStyle name="Lien hypertexte" xfId="8114" builtinId="8" hidden="1"/>
    <cellStyle name="Lien hypertexte" xfId="8116" builtinId="8" hidden="1"/>
    <cellStyle name="Lien hypertexte" xfId="8118" builtinId="8" hidden="1"/>
    <cellStyle name="Lien hypertexte" xfId="8120" builtinId="8" hidden="1"/>
    <cellStyle name="Lien hypertexte" xfId="8122" builtinId="8" hidden="1"/>
    <cellStyle name="Lien hypertexte" xfId="8124" builtinId="8" hidden="1"/>
    <cellStyle name="Lien hypertexte" xfId="8126" builtinId="8" hidden="1"/>
    <cellStyle name="Lien hypertexte" xfId="8128" builtinId="8" hidden="1"/>
    <cellStyle name="Lien hypertexte" xfId="8130" builtinId="8" hidden="1"/>
    <cellStyle name="Lien hypertexte" xfId="8132" builtinId="8" hidden="1"/>
    <cellStyle name="Lien hypertexte" xfId="8134" builtinId="8" hidden="1"/>
    <cellStyle name="Lien hypertexte" xfId="8136" builtinId="8" hidden="1"/>
    <cellStyle name="Lien hypertexte" xfId="8138" builtinId="8" hidden="1"/>
    <cellStyle name="Lien hypertexte" xfId="8140" builtinId="8" hidden="1"/>
    <cellStyle name="Lien hypertexte" xfId="8142" builtinId="8" hidden="1"/>
    <cellStyle name="Lien hypertexte" xfId="8144" builtinId="8" hidden="1"/>
    <cellStyle name="Lien hypertexte" xfId="8146" builtinId="8" hidden="1"/>
    <cellStyle name="Lien hypertexte" xfId="8148" builtinId="8" hidden="1"/>
    <cellStyle name="Lien hypertexte" xfId="8150" builtinId="8" hidden="1"/>
    <cellStyle name="Lien hypertexte" xfId="8152" builtinId="8" hidden="1"/>
    <cellStyle name="Lien hypertexte" xfId="8154" builtinId="8" hidden="1"/>
    <cellStyle name="Lien hypertexte" xfId="8156" builtinId="8" hidden="1"/>
    <cellStyle name="Lien hypertexte" xfId="8158" builtinId="8" hidden="1"/>
    <cellStyle name="Lien hypertexte" xfId="8160" builtinId="8" hidden="1"/>
    <cellStyle name="Lien hypertexte" xfId="8162" builtinId="8" hidden="1"/>
    <cellStyle name="Lien hypertexte" xfId="8164" builtinId="8" hidden="1"/>
    <cellStyle name="Lien hypertexte" xfId="8166" builtinId="8" hidden="1"/>
    <cellStyle name="Lien hypertexte" xfId="8168" builtinId="8" hidden="1"/>
    <cellStyle name="Lien hypertexte" xfId="8170" builtinId="8" hidden="1"/>
    <cellStyle name="Lien hypertexte" xfId="8172" builtinId="8" hidden="1"/>
    <cellStyle name="Lien hypertexte" xfId="8174" builtinId="8" hidden="1"/>
    <cellStyle name="Lien hypertexte" xfId="8176" builtinId="8" hidden="1"/>
    <cellStyle name="Lien hypertexte" xfId="8178" builtinId="8" hidden="1"/>
    <cellStyle name="Lien hypertexte" xfId="8180" builtinId="8" hidden="1"/>
    <cellStyle name="Lien hypertexte" xfId="8182" builtinId="8" hidden="1"/>
    <cellStyle name="Lien hypertexte" xfId="8184" builtinId="8" hidden="1"/>
    <cellStyle name="Lien hypertexte" xfId="8186" builtinId="8" hidden="1"/>
    <cellStyle name="Lien hypertexte" xfId="8188" builtinId="8" hidden="1"/>
    <cellStyle name="Lien hypertexte" xfId="8190" builtinId="8" hidden="1"/>
    <cellStyle name="Lien hypertexte" xfId="8192" builtinId="8" hidden="1"/>
    <cellStyle name="Lien hypertexte" xfId="8194" builtinId="8" hidden="1"/>
    <cellStyle name="Lien hypertexte" xfId="8196" builtinId="8" hidden="1"/>
    <cellStyle name="Lien hypertexte" xfId="8198" builtinId="8" hidden="1"/>
    <cellStyle name="Lien hypertexte" xfId="8200" builtinId="8" hidden="1"/>
    <cellStyle name="Lien hypertexte" xfId="8202" builtinId="8" hidden="1"/>
    <cellStyle name="Lien hypertexte" xfId="8204" builtinId="8" hidden="1"/>
    <cellStyle name="Lien hypertexte" xfId="8206" builtinId="8" hidden="1"/>
    <cellStyle name="Lien hypertexte" xfId="8208" builtinId="8" hidden="1"/>
    <cellStyle name="Lien hypertexte" xfId="8210" builtinId="8" hidden="1"/>
    <cellStyle name="Lien hypertexte" xfId="8212" builtinId="8" hidden="1"/>
    <cellStyle name="Lien hypertexte" xfId="8214" builtinId="8" hidden="1"/>
    <cellStyle name="Lien hypertexte" xfId="8216" builtinId="8" hidden="1"/>
    <cellStyle name="Lien hypertexte" xfId="8218" builtinId="8" hidden="1"/>
    <cellStyle name="Lien hypertexte" xfId="8220" builtinId="8" hidden="1"/>
    <cellStyle name="Lien hypertexte" xfId="8222" builtinId="8" hidden="1"/>
    <cellStyle name="Lien hypertexte" xfId="8224" builtinId="8" hidden="1"/>
    <cellStyle name="Lien hypertexte" xfId="8226" builtinId="8" hidden="1"/>
    <cellStyle name="Lien hypertexte" xfId="8228" builtinId="8" hidden="1"/>
    <cellStyle name="Lien hypertexte" xfId="8230" builtinId="8" hidden="1"/>
    <cellStyle name="Lien hypertexte" xfId="8232" builtinId="8" hidden="1"/>
    <cellStyle name="Lien hypertexte" xfId="8234" builtinId="8" hidden="1"/>
    <cellStyle name="Lien hypertexte" xfId="8236" builtinId="8" hidden="1"/>
    <cellStyle name="Lien hypertexte" xfId="8238" builtinId="8" hidden="1"/>
    <cellStyle name="Lien hypertexte" xfId="8240" builtinId="8" hidden="1"/>
    <cellStyle name="Lien hypertexte" xfId="8242" builtinId="8" hidden="1"/>
    <cellStyle name="Lien hypertexte" xfId="8244" builtinId="8" hidden="1"/>
    <cellStyle name="Lien hypertexte" xfId="8246" builtinId="8" hidden="1"/>
    <cellStyle name="Lien hypertexte" xfId="8248" builtinId="8" hidden="1"/>
    <cellStyle name="Lien hypertexte" xfId="8250" builtinId="8" hidden="1"/>
    <cellStyle name="Lien hypertexte" xfId="8252" builtinId="8" hidden="1"/>
    <cellStyle name="Lien hypertexte" xfId="8254" builtinId="8" hidden="1"/>
    <cellStyle name="Lien hypertexte" xfId="8256" builtinId="8" hidden="1"/>
    <cellStyle name="Lien hypertexte" xfId="8258" builtinId="8" hidden="1"/>
    <cellStyle name="Lien hypertexte" xfId="8260" builtinId="8" hidden="1"/>
    <cellStyle name="Lien hypertexte" xfId="8262" builtinId="8" hidden="1"/>
    <cellStyle name="Lien hypertexte" xfId="8264" builtinId="8" hidden="1"/>
    <cellStyle name="Lien hypertexte" xfId="8266" builtinId="8" hidden="1"/>
    <cellStyle name="Lien hypertexte" xfId="8268" builtinId="8" hidden="1"/>
    <cellStyle name="Lien hypertexte" xfId="8270" builtinId="8" hidden="1"/>
    <cellStyle name="Lien hypertexte" xfId="8272" builtinId="8" hidden="1"/>
    <cellStyle name="Lien hypertexte" xfId="8274" builtinId="8" hidden="1"/>
    <cellStyle name="Lien hypertexte" xfId="8276" builtinId="8" hidden="1"/>
    <cellStyle name="Lien hypertexte" xfId="8278" builtinId="8" hidden="1"/>
    <cellStyle name="Lien hypertexte" xfId="8280" builtinId="8" hidden="1"/>
    <cellStyle name="Lien hypertexte" xfId="8282" builtinId="8" hidden="1"/>
    <cellStyle name="Lien hypertexte" xfId="8284" builtinId="8" hidden="1"/>
    <cellStyle name="Lien hypertexte" xfId="8286" builtinId="8" hidden="1"/>
    <cellStyle name="Lien hypertexte" xfId="8288" builtinId="8" hidden="1"/>
    <cellStyle name="Lien hypertexte" xfId="8290" builtinId="8" hidden="1"/>
    <cellStyle name="Lien hypertexte" xfId="8292" builtinId="8" hidden="1"/>
    <cellStyle name="Lien hypertexte" xfId="8294" builtinId="8" hidden="1"/>
    <cellStyle name="Lien hypertexte" xfId="8296" builtinId="8" hidden="1"/>
    <cellStyle name="Lien hypertexte" xfId="8298" builtinId="8" hidden="1"/>
    <cellStyle name="Lien hypertexte" xfId="8300" builtinId="8" hidden="1"/>
    <cellStyle name="Lien hypertexte" xfId="8302" builtinId="8" hidden="1"/>
    <cellStyle name="Lien hypertexte" xfId="8304" builtinId="8" hidden="1"/>
    <cellStyle name="Lien hypertexte" xfId="8306" builtinId="8" hidden="1"/>
    <cellStyle name="Lien hypertexte" xfId="8308" builtinId="8" hidden="1"/>
    <cellStyle name="Lien hypertexte" xfId="8310" builtinId="8" hidden="1"/>
    <cellStyle name="Lien hypertexte" xfId="8312" builtinId="8" hidden="1"/>
    <cellStyle name="Lien hypertexte" xfId="8314" builtinId="8" hidden="1"/>
    <cellStyle name="Lien hypertexte" xfId="8316" builtinId="8" hidden="1"/>
    <cellStyle name="Lien hypertexte" xfId="8318" builtinId="8" hidden="1"/>
    <cellStyle name="Lien hypertexte" xfId="8320" builtinId="8" hidden="1"/>
    <cellStyle name="Lien hypertexte" xfId="8322" builtinId="8" hidden="1"/>
    <cellStyle name="Lien hypertexte" xfId="8324" builtinId="8" hidden="1"/>
    <cellStyle name="Lien hypertexte" xfId="8326" builtinId="8" hidden="1"/>
    <cellStyle name="Lien hypertexte" xfId="8328" builtinId="8" hidden="1"/>
    <cellStyle name="Lien hypertexte" xfId="8330" builtinId="8" hidden="1"/>
    <cellStyle name="Lien hypertexte" xfId="8332" builtinId="8" hidden="1"/>
    <cellStyle name="Lien hypertexte" xfId="8334" builtinId="8" hidden="1"/>
    <cellStyle name="Lien hypertexte" xfId="8336" builtinId="8" hidden="1"/>
    <cellStyle name="Lien hypertexte" xfId="8338" builtinId="8" hidden="1"/>
    <cellStyle name="Lien hypertexte" xfId="8340" builtinId="8" hidden="1"/>
    <cellStyle name="Lien hypertexte" xfId="8342" builtinId="8" hidden="1"/>
    <cellStyle name="Lien hypertexte" xfId="8344" builtinId="8" hidden="1"/>
    <cellStyle name="Lien hypertexte" xfId="8346" builtinId="8" hidden="1"/>
    <cellStyle name="Lien hypertexte" xfId="8348" builtinId="8" hidden="1"/>
    <cellStyle name="Lien hypertexte" xfId="8350" builtinId="8" hidden="1"/>
    <cellStyle name="Lien hypertexte" xfId="8352" builtinId="8" hidden="1"/>
    <cellStyle name="Lien hypertexte" xfId="8354" builtinId="8" hidden="1"/>
    <cellStyle name="Lien hypertexte" xfId="8356" builtinId="8" hidden="1"/>
    <cellStyle name="Lien hypertexte" xfId="8358" builtinId="8" hidden="1"/>
    <cellStyle name="Lien hypertexte" xfId="8360" builtinId="8" hidden="1"/>
    <cellStyle name="Lien hypertexte" xfId="8362" builtinId="8" hidden="1"/>
    <cellStyle name="Lien hypertexte" xfId="8364" builtinId="8" hidden="1"/>
    <cellStyle name="Lien hypertexte" xfId="8366" builtinId="8" hidden="1"/>
    <cellStyle name="Lien hypertexte" xfId="8368" builtinId="8" hidden="1"/>
    <cellStyle name="Lien hypertexte" xfId="8370" builtinId="8" hidden="1"/>
    <cellStyle name="Lien hypertexte" xfId="8372" builtinId="8" hidden="1"/>
    <cellStyle name="Lien hypertexte" xfId="8374" builtinId="8" hidden="1"/>
    <cellStyle name="Lien hypertexte" xfId="8376" builtinId="8" hidden="1"/>
    <cellStyle name="Lien hypertexte" xfId="8378" builtinId="8" hidden="1"/>
    <cellStyle name="Lien hypertexte" xfId="8380" builtinId="8" hidden="1"/>
    <cellStyle name="Lien hypertexte" xfId="8382" builtinId="8" hidden="1"/>
    <cellStyle name="Lien hypertexte" xfId="8384" builtinId="8" hidden="1"/>
    <cellStyle name="Lien hypertexte" xfId="8386" builtinId="8" hidden="1"/>
    <cellStyle name="Lien hypertexte" xfId="8388" builtinId="8" hidden="1"/>
    <cellStyle name="Lien hypertexte" xfId="8390" builtinId="8" hidden="1"/>
    <cellStyle name="Lien hypertexte" xfId="8392" builtinId="8" hidden="1"/>
    <cellStyle name="Lien hypertexte" xfId="8394" builtinId="8" hidden="1"/>
    <cellStyle name="Lien hypertexte" xfId="8396" builtinId="8" hidden="1"/>
    <cellStyle name="Lien hypertexte" xfId="8398" builtinId="8" hidden="1"/>
    <cellStyle name="Lien hypertexte" xfId="8400" builtinId="8" hidden="1"/>
    <cellStyle name="Lien hypertexte" xfId="8402" builtinId="8" hidden="1"/>
    <cellStyle name="Lien hypertexte" xfId="8404" builtinId="8" hidden="1"/>
    <cellStyle name="Lien hypertexte" xfId="8406" builtinId="8" hidden="1"/>
    <cellStyle name="Lien hypertexte" xfId="8408" builtinId="8" hidden="1"/>
    <cellStyle name="Lien hypertexte" xfId="8410" builtinId="8" hidden="1"/>
    <cellStyle name="Lien hypertexte" xfId="8412" builtinId="8" hidden="1"/>
    <cellStyle name="Lien hypertexte" xfId="8414" builtinId="8" hidden="1"/>
    <cellStyle name="Lien hypertexte" xfId="8416" builtinId="8" hidden="1"/>
    <cellStyle name="Lien hypertexte" xfId="8418" builtinId="8" hidden="1"/>
    <cellStyle name="Lien hypertexte" xfId="8420" builtinId="8" hidden="1"/>
    <cellStyle name="Lien hypertexte" xfId="8422" builtinId="8" hidden="1"/>
    <cellStyle name="Lien hypertexte" xfId="8424" builtinId="8" hidden="1"/>
    <cellStyle name="Lien hypertexte" xfId="8426" builtinId="8" hidden="1"/>
    <cellStyle name="Lien hypertexte" xfId="8428" builtinId="8" hidden="1"/>
    <cellStyle name="Lien hypertexte" xfId="8430" builtinId="8" hidden="1"/>
    <cellStyle name="Lien hypertexte" xfId="8432" builtinId="8" hidden="1"/>
    <cellStyle name="Lien hypertexte" xfId="8434" builtinId="8" hidden="1"/>
    <cellStyle name="Lien hypertexte" xfId="8436" builtinId="8" hidden="1"/>
    <cellStyle name="Lien hypertexte" xfId="8438" builtinId="8" hidden="1"/>
    <cellStyle name="Lien hypertexte" xfId="8440" builtinId="8" hidden="1"/>
    <cellStyle name="Lien hypertexte" xfId="8442" builtinId="8" hidden="1"/>
    <cellStyle name="Lien hypertexte" xfId="8444" builtinId="8" hidden="1"/>
    <cellStyle name="Lien hypertexte" xfId="8446" builtinId="8" hidden="1"/>
    <cellStyle name="Lien hypertexte" xfId="8448" builtinId="8" hidden="1"/>
    <cellStyle name="Lien hypertexte" xfId="8450" builtinId="8" hidden="1"/>
    <cellStyle name="Lien hypertexte" xfId="8452" builtinId="8" hidden="1"/>
    <cellStyle name="Lien hypertexte" xfId="8454" builtinId="8" hidden="1"/>
    <cellStyle name="Lien hypertexte" xfId="8456" builtinId="8" hidden="1"/>
    <cellStyle name="Lien hypertexte" xfId="8458" builtinId="8" hidden="1"/>
    <cellStyle name="Lien hypertexte" xfId="8460" builtinId="8" hidden="1"/>
    <cellStyle name="Lien hypertexte" xfId="8462" builtinId="8" hidden="1"/>
    <cellStyle name="Lien hypertexte" xfId="8464" builtinId="8" hidden="1"/>
    <cellStyle name="Lien hypertexte" xfId="8466" builtinId="8" hidden="1"/>
    <cellStyle name="Lien hypertexte" xfId="8468" builtinId="8" hidden="1"/>
    <cellStyle name="Lien hypertexte" xfId="8470" builtinId="8" hidden="1"/>
    <cellStyle name="Lien hypertexte" xfId="8472" builtinId="8" hidden="1"/>
    <cellStyle name="Lien hypertexte" xfId="8474" builtinId="8" hidden="1"/>
    <cellStyle name="Lien hypertexte" xfId="8476" builtinId="8" hidden="1"/>
    <cellStyle name="Lien hypertexte" xfId="8478" builtinId="8" hidden="1"/>
    <cellStyle name="Lien hypertexte" xfId="8480" builtinId="8" hidden="1"/>
    <cellStyle name="Lien hypertexte" xfId="8482" builtinId="8" hidden="1"/>
    <cellStyle name="Lien hypertexte" xfId="8484" builtinId="8" hidden="1"/>
    <cellStyle name="Lien hypertexte" xfId="8486" builtinId="8" hidden="1"/>
    <cellStyle name="Lien hypertexte" xfId="8488" builtinId="8" hidden="1"/>
    <cellStyle name="Lien hypertexte" xfId="8490" builtinId="8" hidden="1"/>
    <cellStyle name="Lien hypertexte" xfId="8492" builtinId="8" hidden="1"/>
    <cellStyle name="Lien hypertexte" xfId="8494" builtinId="8" hidden="1"/>
    <cellStyle name="Lien hypertexte" xfId="8496" builtinId="8" hidden="1"/>
    <cellStyle name="Lien hypertexte" xfId="8498" builtinId="8" hidden="1"/>
    <cellStyle name="Lien hypertexte" xfId="8500" builtinId="8" hidden="1"/>
    <cellStyle name="Lien hypertexte" xfId="8502" builtinId="8" hidden="1"/>
    <cellStyle name="Lien hypertexte" xfId="8504" builtinId="8" hidden="1"/>
    <cellStyle name="Lien hypertexte" xfId="8506" builtinId="8" hidden="1"/>
    <cellStyle name="Lien hypertexte" xfId="8508" builtinId="8" hidden="1"/>
    <cellStyle name="Lien hypertexte" xfId="8510" builtinId="8" hidden="1"/>
    <cellStyle name="Lien hypertexte" xfId="8512" builtinId="8" hidden="1"/>
    <cellStyle name="Lien hypertexte" xfId="8514" builtinId="8" hidden="1"/>
    <cellStyle name="Lien hypertexte" xfId="8516" builtinId="8" hidden="1"/>
    <cellStyle name="Lien hypertexte" xfId="8518" builtinId="8" hidden="1"/>
    <cellStyle name="Lien hypertexte" xfId="8520" builtinId="8" hidden="1"/>
    <cellStyle name="Lien hypertexte" xfId="8522" builtinId="8" hidden="1"/>
    <cellStyle name="Lien hypertexte" xfId="8524" builtinId="8" hidden="1"/>
    <cellStyle name="Lien hypertexte" xfId="8526" builtinId="8" hidden="1"/>
    <cellStyle name="Lien hypertexte" xfId="8528" builtinId="8" hidden="1"/>
    <cellStyle name="Lien hypertexte" xfId="8530" builtinId="8" hidden="1"/>
    <cellStyle name="Lien hypertexte" xfId="8532" builtinId="8" hidden="1"/>
    <cellStyle name="Lien hypertexte" xfId="8534" builtinId="8" hidden="1"/>
    <cellStyle name="Lien hypertexte" xfId="8536" builtinId="8" hidden="1"/>
    <cellStyle name="Lien hypertexte" xfId="8538" builtinId="8" hidden="1"/>
    <cellStyle name="Lien hypertexte" xfId="8540" builtinId="8" hidden="1"/>
    <cellStyle name="Lien hypertexte" xfId="8542" builtinId="8" hidden="1"/>
    <cellStyle name="Lien hypertexte" xfId="8544" builtinId="8" hidden="1"/>
    <cellStyle name="Lien hypertexte" xfId="8546" builtinId="8" hidden="1"/>
    <cellStyle name="Lien hypertexte" xfId="8548" builtinId="8" hidden="1"/>
    <cellStyle name="Lien hypertexte" xfId="8550" builtinId="8" hidden="1"/>
    <cellStyle name="Lien hypertexte" xfId="8552" builtinId="8" hidden="1"/>
    <cellStyle name="Lien hypertexte" xfId="8554" builtinId="8" hidden="1"/>
    <cellStyle name="Lien hypertexte" xfId="8556" builtinId="8" hidden="1"/>
    <cellStyle name="Lien hypertexte" xfId="8558" builtinId="8" hidden="1"/>
    <cellStyle name="Lien hypertexte" xfId="8560" builtinId="8" hidden="1"/>
    <cellStyle name="Lien hypertexte" xfId="8562" builtinId="8" hidden="1"/>
    <cellStyle name="Lien hypertexte" xfId="8564" builtinId="8" hidden="1"/>
    <cellStyle name="Lien hypertexte" xfId="8566" builtinId="8" hidden="1"/>
    <cellStyle name="Lien hypertexte" xfId="8568" builtinId="8" hidden="1"/>
    <cellStyle name="Lien hypertexte" xfId="8570" builtinId="8" hidden="1"/>
    <cellStyle name="Lien hypertexte" xfId="8572" builtinId="8" hidden="1"/>
    <cellStyle name="Lien hypertexte" xfId="8574" builtinId="8" hidden="1"/>
    <cellStyle name="Lien hypertexte" xfId="8576" builtinId="8" hidden="1"/>
    <cellStyle name="Lien hypertexte" xfId="8578" builtinId="8" hidden="1"/>
    <cellStyle name="Lien hypertexte" xfId="8580" builtinId="8" hidden="1"/>
    <cellStyle name="Lien hypertexte" xfId="8582" builtinId="8" hidden="1"/>
    <cellStyle name="Lien hypertexte" xfId="8584" builtinId="8" hidden="1"/>
    <cellStyle name="Lien hypertexte" xfId="8586" builtinId="8" hidden="1"/>
    <cellStyle name="Lien hypertexte" xfId="8588" builtinId="8" hidden="1"/>
    <cellStyle name="Lien hypertexte" xfId="8590" builtinId="8" hidden="1"/>
    <cellStyle name="Lien hypertexte" xfId="8592" builtinId="8" hidden="1"/>
    <cellStyle name="Lien hypertexte" xfId="8594" builtinId="8" hidden="1"/>
    <cellStyle name="Lien hypertexte" xfId="8596" builtinId="8" hidden="1"/>
    <cellStyle name="Lien hypertexte" xfId="8598" builtinId="8" hidden="1"/>
    <cellStyle name="Lien hypertexte" xfId="8600" builtinId="8" hidden="1"/>
    <cellStyle name="Lien hypertexte" xfId="8602" builtinId="8" hidden="1"/>
    <cellStyle name="Lien hypertexte" xfId="8604" builtinId="8" hidden="1"/>
    <cellStyle name="Lien hypertexte" xfId="8606" builtinId="8" hidden="1"/>
    <cellStyle name="Lien hypertexte" xfId="8608" builtinId="8" hidden="1"/>
    <cellStyle name="Lien hypertexte" xfId="8610" builtinId="8" hidden="1"/>
    <cellStyle name="Lien hypertexte" xfId="8612" builtinId="8" hidden="1"/>
    <cellStyle name="Lien hypertexte" xfId="8614" builtinId="8" hidden="1"/>
    <cellStyle name="Lien hypertexte" xfId="8616" builtinId="8" hidden="1"/>
    <cellStyle name="Lien hypertexte" xfId="8618" builtinId="8" hidden="1"/>
    <cellStyle name="Lien hypertexte" xfId="8620" builtinId="8" hidden="1"/>
    <cellStyle name="Lien hypertexte" xfId="8622" builtinId="8" hidden="1"/>
    <cellStyle name="Lien hypertexte" xfId="8624" builtinId="8" hidden="1"/>
    <cellStyle name="Lien hypertexte" xfId="8626" builtinId="8" hidden="1"/>
    <cellStyle name="Lien hypertexte" xfId="8628" builtinId="8" hidden="1"/>
    <cellStyle name="Lien hypertexte" xfId="8630" builtinId="8" hidden="1"/>
    <cellStyle name="Lien hypertexte" xfId="8632" builtinId="8" hidden="1"/>
    <cellStyle name="Lien hypertexte" xfId="8634" builtinId="8" hidden="1"/>
    <cellStyle name="Lien hypertexte" xfId="8636" builtinId="8" hidden="1"/>
    <cellStyle name="Lien hypertexte" xfId="8638" builtinId="8" hidden="1"/>
    <cellStyle name="Lien hypertexte" xfId="8640" builtinId="8" hidden="1"/>
    <cellStyle name="Lien hypertexte" xfId="8642" builtinId="8" hidden="1"/>
    <cellStyle name="Lien hypertexte" xfId="8644" builtinId="8" hidden="1"/>
    <cellStyle name="Lien hypertexte" xfId="8646" builtinId="8" hidden="1"/>
    <cellStyle name="Lien hypertexte" xfId="8648" builtinId="8" hidden="1"/>
    <cellStyle name="Lien hypertexte" xfId="8650" builtinId="8" hidden="1"/>
    <cellStyle name="Lien hypertexte" xfId="8652" builtinId="8" hidden="1"/>
    <cellStyle name="Lien hypertexte" xfId="8654" builtinId="8" hidden="1"/>
    <cellStyle name="Lien hypertexte" xfId="8656" builtinId="8" hidden="1"/>
    <cellStyle name="Lien hypertexte" xfId="8658" builtinId="8" hidden="1"/>
    <cellStyle name="Lien hypertexte" xfId="8660" builtinId="8" hidden="1"/>
    <cellStyle name="Lien hypertexte" xfId="8662" builtinId="8" hidden="1"/>
    <cellStyle name="Lien hypertexte" xfId="8664" builtinId="8" hidden="1"/>
    <cellStyle name="Lien hypertexte" xfId="8666" builtinId="8" hidden="1"/>
    <cellStyle name="Lien hypertexte" xfId="8668" builtinId="8" hidden="1"/>
    <cellStyle name="Lien hypertexte" xfId="8670" builtinId="8" hidden="1"/>
    <cellStyle name="Lien hypertexte" xfId="8672" builtinId="8" hidden="1"/>
    <cellStyle name="Lien hypertexte" xfId="8674" builtinId="8" hidden="1"/>
    <cellStyle name="Lien hypertexte" xfId="8676" builtinId="8" hidden="1"/>
    <cellStyle name="Lien hypertexte" xfId="8678" builtinId="8" hidden="1"/>
    <cellStyle name="Lien hypertexte" xfId="8680" builtinId="8" hidden="1"/>
    <cellStyle name="Lien hypertexte" xfId="8682" builtinId="8" hidden="1"/>
    <cellStyle name="Lien hypertexte" xfId="8684" builtinId="8" hidden="1"/>
    <cellStyle name="Lien hypertexte" xfId="8686" builtinId="8" hidden="1"/>
    <cellStyle name="Lien hypertexte" xfId="8688" builtinId="8" hidden="1"/>
    <cellStyle name="Lien hypertexte" xfId="8690" builtinId="8" hidden="1"/>
    <cellStyle name="Lien hypertexte" xfId="8692" builtinId="8" hidden="1"/>
    <cellStyle name="Lien hypertexte" xfId="8694" builtinId="8" hidden="1"/>
    <cellStyle name="Lien hypertexte" xfId="8696" builtinId="8" hidden="1"/>
    <cellStyle name="Lien hypertexte" xfId="8698" builtinId="8" hidden="1"/>
    <cellStyle name="Lien hypertexte" xfId="8700" builtinId="8" hidden="1"/>
    <cellStyle name="Lien hypertexte" xfId="8702" builtinId="8" hidden="1"/>
    <cellStyle name="Lien hypertexte" xfId="8704" builtinId="8" hidden="1"/>
    <cellStyle name="Lien hypertexte" xfId="8706" builtinId="8" hidden="1"/>
    <cellStyle name="Lien hypertexte" xfId="8708" builtinId="8" hidden="1"/>
    <cellStyle name="Lien hypertexte" xfId="8710" builtinId="8" hidden="1"/>
    <cellStyle name="Lien hypertexte" xfId="8712" builtinId="8" hidden="1"/>
    <cellStyle name="Lien hypertexte" xfId="8714" builtinId="8" hidden="1"/>
    <cellStyle name="Lien hypertexte" xfId="8716" builtinId="8" hidden="1"/>
    <cellStyle name="Lien hypertexte" xfId="8718" builtinId="8" hidden="1"/>
    <cellStyle name="Lien hypertexte" xfId="8720" builtinId="8" hidden="1"/>
    <cellStyle name="Lien hypertexte" xfId="8722" builtinId="8" hidden="1"/>
    <cellStyle name="Lien hypertexte" xfId="8724" builtinId="8" hidden="1"/>
    <cellStyle name="Lien hypertexte" xfId="8726" builtinId="8" hidden="1"/>
    <cellStyle name="Lien hypertexte" xfId="8728" builtinId="8" hidden="1"/>
    <cellStyle name="Lien hypertexte" xfId="8730" builtinId="8" hidden="1"/>
    <cellStyle name="Lien hypertexte" xfId="8732" builtinId="8" hidden="1"/>
    <cellStyle name="Lien hypertexte" xfId="8734" builtinId="8" hidden="1"/>
    <cellStyle name="Lien hypertexte" xfId="8736" builtinId="8" hidden="1"/>
    <cellStyle name="Lien hypertexte" xfId="8738" builtinId="8" hidden="1"/>
    <cellStyle name="Lien hypertexte" xfId="8740" builtinId="8" hidden="1"/>
    <cellStyle name="Lien hypertexte" xfId="8742" builtinId="8" hidden="1"/>
    <cellStyle name="Lien hypertexte" xfId="8744" builtinId="8" hidden="1"/>
    <cellStyle name="Lien hypertexte" xfId="8746" builtinId="8" hidden="1"/>
    <cellStyle name="Lien hypertexte" xfId="8748" builtinId="8" hidden="1"/>
    <cellStyle name="Lien hypertexte" xfId="8750" builtinId="8" hidden="1"/>
    <cellStyle name="Lien hypertexte" xfId="8752" builtinId="8" hidden="1"/>
    <cellStyle name="Lien hypertexte" xfId="8754" builtinId="8" hidden="1"/>
    <cellStyle name="Lien hypertexte" xfId="8756" builtinId="8" hidden="1"/>
    <cellStyle name="Lien hypertexte" xfId="8758" builtinId="8" hidden="1"/>
    <cellStyle name="Lien hypertexte" xfId="8760" builtinId="8" hidden="1"/>
    <cellStyle name="Lien hypertexte" xfId="8762" builtinId="8" hidden="1"/>
    <cellStyle name="Lien hypertexte" xfId="8764" builtinId="8" hidden="1"/>
    <cellStyle name="Lien hypertexte" xfId="8766" builtinId="8" hidden="1"/>
    <cellStyle name="Lien hypertexte" xfId="8768" builtinId="8" hidden="1"/>
    <cellStyle name="Lien hypertexte" xfId="8770" builtinId="8" hidden="1"/>
    <cellStyle name="Lien hypertexte" xfId="8772" builtinId="8" hidden="1"/>
    <cellStyle name="Lien hypertexte" xfId="8774" builtinId="8" hidden="1"/>
    <cellStyle name="Lien hypertexte" xfId="8776" builtinId="8" hidden="1"/>
    <cellStyle name="Lien hypertexte" xfId="8778" builtinId="8" hidden="1"/>
    <cellStyle name="Lien hypertexte" xfId="8780" builtinId="8" hidden="1"/>
    <cellStyle name="Lien hypertexte" xfId="8782" builtinId="8" hidden="1"/>
    <cellStyle name="Lien hypertexte" xfId="8784" builtinId="8" hidden="1"/>
    <cellStyle name="Lien hypertexte" xfId="8786" builtinId="8" hidden="1"/>
    <cellStyle name="Lien hypertexte" xfId="8788" builtinId="8" hidden="1"/>
    <cellStyle name="Lien hypertexte" xfId="8790" builtinId="8" hidden="1"/>
    <cellStyle name="Lien hypertexte" xfId="8792" builtinId="8" hidden="1"/>
    <cellStyle name="Lien hypertexte" xfId="8794" builtinId="8" hidden="1"/>
    <cellStyle name="Lien hypertexte" xfId="8796" builtinId="8" hidden="1"/>
    <cellStyle name="Lien hypertexte" xfId="8798" builtinId="8" hidden="1"/>
    <cellStyle name="Lien hypertexte" xfId="8800" builtinId="8" hidden="1"/>
    <cellStyle name="Lien hypertexte" xfId="8802" builtinId="8" hidden="1"/>
    <cellStyle name="Lien hypertexte" xfId="8804" builtinId="8" hidden="1"/>
    <cellStyle name="Lien hypertexte" xfId="8806" builtinId="8" hidden="1"/>
    <cellStyle name="Lien hypertexte" xfId="8808" builtinId="8" hidden="1"/>
    <cellStyle name="Lien hypertexte" xfId="8810" builtinId="8" hidden="1"/>
    <cellStyle name="Lien hypertexte" xfId="8812" builtinId="8" hidden="1"/>
    <cellStyle name="Lien hypertexte" xfId="8814" builtinId="8" hidden="1"/>
    <cellStyle name="Lien hypertexte" xfId="8816" builtinId="8" hidden="1"/>
    <cellStyle name="Lien hypertexte" xfId="8818" builtinId="8" hidden="1"/>
    <cellStyle name="Lien hypertexte" xfId="8820" builtinId="8" hidden="1"/>
    <cellStyle name="Lien hypertexte" xfId="8822" builtinId="8" hidden="1"/>
    <cellStyle name="Lien hypertexte" xfId="8824" builtinId="8" hidden="1"/>
    <cellStyle name="Lien hypertexte" xfId="8826" builtinId="8" hidden="1"/>
    <cellStyle name="Lien hypertexte" xfId="8828" builtinId="8" hidden="1"/>
    <cellStyle name="Lien hypertexte" xfId="8830" builtinId="8" hidden="1"/>
    <cellStyle name="Lien hypertexte" xfId="8832" builtinId="8" hidden="1"/>
    <cellStyle name="Lien hypertexte" xfId="8834" builtinId="8" hidden="1"/>
    <cellStyle name="Lien hypertexte" xfId="8836" builtinId="8" hidden="1"/>
    <cellStyle name="Lien hypertexte" xfId="8838" builtinId="8" hidden="1"/>
    <cellStyle name="Lien hypertexte" xfId="8840" builtinId="8" hidden="1"/>
    <cellStyle name="Lien hypertexte" xfId="8842" builtinId="8" hidden="1"/>
    <cellStyle name="Lien hypertexte" xfId="8844" builtinId="8" hidden="1"/>
    <cellStyle name="Lien hypertexte" xfId="8846" builtinId="8" hidden="1"/>
    <cellStyle name="Lien hypertexte" xfId="8848" builtinId="8" hidden="1"/>
    <cellStyle name="Lien hypertexte" xfId="8850" builtinId="8" hidden="1"/>
    <cellStyle name="Lien hypertexte" xfId="8852" builtinId="8" hidden="1"/>
    <cellStyle name="Lien hypertexte" xfId="8854" builtinId="8" hidden="1"/>
    <cellStyle name="Lien hypertexte" xfId="8856" builtinId="8" hidden="1"/>
    <cellStyle name="Lien hypertexte" xfId="8858" builtinId="8" hidden="1"/>
    <cellStyle name="Lien hypertexte" xfId="8860" builtinId="8" hidden="1"/>
    <cellStyle name="Lien hypertexte" xfId="8862" builtinId="8" hidden="1"/>
    <cellStyle name="Lien hypertexte" xfId="8864" builtinId="8" hidden="1"/>
    <cellStyle name="Lien hypertexte" xfId="8866" builtinId="8" hidden="1"/>
    <cellStyle name="Lien hypertexte" xfId="8868" builtinId="8" hidden="1"/>
    <cellStyle name="Lien hypertexte" xfId="8870" builtinId="8" hidden="1"/>
    <cellStyle name="Lien hypertexte" xfId="8872" builtinId="8" hidden="1"/>
    <cellStyle name="Lien hypertexte" xfId="8874" builtinId="8" hidden="1"/>
    <cellStyle name="Lien hypertexte" xfId="8876" builtinId="8" hidden="1"/>
    <cellStyle name="Lien hypertexte" xfId="8878" builtinId="8" hidden="1"/>
    <cellStyle name="Lien hypertexte" xfId="8880" builtinId="8" hidden="1"/>
    <cellStyle name="Lien hypertexte" xfId="8882" builtinId="8" hidden="1"/>
    <cellStyle name="Lien hypertexte" xfId="8884" builtinId="8" hidden="1"/>
    <cellStyle name="Lien hypertexte" xfId="8886" builtinId="8" hidden="1"/>
    <cellStyle name="Lien hypertexte" xfId="8888" builtinId="8" hidden="1"/>
    <cellStyle name="Lien hypertexte" xfId="8890" builtinId="8" hidden="1"/>
    <cellStyle name="Lien hypertexte" xfId="8892" builtinId="8" hidden="1"/>
    <cellStyle name="Lien hypertexte" xfId="8894" builtinId="8" hidden="1"/>
    <cellStyle name="Lien hypertexte" xfId="8896" builtinId="8" hidden="1"/>
    <cellStyle name="Lien hypertexte" xfId="8898" builtinId="8" hidden="1"/>
    <cellStyle name="Lien hypertexte" xfId="8900" builtinId="8" hidden="1"/>
    <cellStyle name="Lien hypertexte" xfId="8902" builtinId="8" hidden="1"/>
    <cellStyle name="Lien hypertexte" xfId="8904" builtinId="8" hidden="1"/>
    <cellStyle name="Lien hypertexte" xfId="8906" builtinId="8" hidden="1"/>
    <cellStyle name="Lien hypertexte" xfId="8908" builtinId="8" hidden="1"/>
    <cellStyle name="Lien hypertexte" xfId="8910" builtinId="8" hidden="1"/>
    <cellStyle name="Lien hypertexte" xfId="8912" builtinId="8" hidden="1"/>
    <cellStyle name="Lien hypertexte" xfId="8914" builtinId="8" hidden="1"/>
    <cellStyle name="Lien hypertexte" xfId="8916" builtinId="8" hidden="1"/>
    <cellStyle name="Lien hypertexte" xfId="8918" builtinId="8" hidden="1"/>
    <cellStyle name="Lien hypertexte" xfId="8920" builtinId="8" hidden="1"/>
    <cellStyle name="Lien hypertexte" xfId="8922" builtinId="8" hidden="1"/>
    <cellStyle name="Lien hypertexte" xfId="8924" builtinId="8" hidden="1"/>
    <cellStyle name="Lien hypertexte" xfId="8926" builtinId="8" hidden="1"/>
    <cellStyle name="Lien hypertexte" xfId="8928" builtinId="8" hidden="1"/>
    <cellStyle name="Lien hypertexte" xfId="8930" builtinId="8" hidden="1"/>
    <cellStyle name="Lien hypertexte" xfId="8932" builtinId="8" hidden="1"/>
    <cellStyle name="Lien hypertexte" xfId="8934" builtinId="8" hidden="1"/>
    <cellStyle name="Lien hypertexte" xfId="8936" builtinId="8" hidden="1"/>
    <cellStyle name="Lien hypertexte" xfId="8938" builtinId="8" hidden="1"/>
    <cellStyle name="Lien hypertexte" xfId="8940" builtinId="8" hidden="1"/>
    <cellStyle name="Lien hypertexte" xfId="8942" builtinId="8" hidden="1"/>
    <cellStyle name="Lien hypertexte" xfId="8944" builtinId="8" hidden="1"/>
    <cellStyle name="Lien hypertexte" xfId="8946" builtinId="8" hidden="1"/>
    <cellStyle name="Lien hypertexte" xfId="8948" builtinId="8" hidden="1"/>
    <cellStyle name="Lien hypertexte" xfId="8950" builtinId="8" hidden="1"/>
    <cellStyle name="Lien hypertexte" xfId="8952" builtinId="8" hidden="1"/>
    <cellStyle name="Lien hypertexte" xfId="8954" builtinId="8" hidden="1"/>
    <cellStyle name="Lien hypertexte" xfId="8956" builtinId="8" hidden="1"/>
    <cellStyle name="Lien hypertexte" xfId="8958" builtinId="8" hidden="1"/>
    <cellStyle name="Lien hypertexte" xfId="8960" builtinId="8" hidden="1"/>
    <cellStyle name="Lien hypertexte" xfId="8962" builtinId="8" hidden="1"/>
    <cellStyle name="Lien hypertexte" xfId="8964" builtinId="8" hidden="1"/>
    <cellStyle name="Lien hypertexte" xfId="8966" builtinId="8" hidden="1"/>
    <cellStyle name="Lien hypertexte" xfId="8968" builtinId="8" hidden="1"/>
    <cellStyle name="Lien hypertexte" xfId="8970" builtinId="8" hidden="1"/>
    <cellStyle name="Lien hypertexte" xfId="8972" builtinId="8" hidden="1"/>
    <cellStyle name="Lien hypertexte" xfId="8974" builtinId="8" hidden="1"/>
    <cellStyle name="Lien hypertexte" xfId="8976" builtinId="8" hidden="1"/>
    <cellStyle name="Lien hypertexte" xfId="8978" builtinId="8" hidden="1"/>
    <cellStyle name="Lien hypertexte" xfId="8980" builtinId="8" hidden="1"/>
    <cellStyle name="Lien hypertexte" xfId="8983" builtinId="8" hidden="1"/>
    <cellStyle name="Lien hypertexte" xfId="8985" builtinId="8" hidden="1"/>
    <cellStyle name="Lien hypertexte" xfId="8987" builtinId="8" hidden="1"/>
    <cellStyle name="Lien hypertexte" xfId="8989" builtinId="8" hidden="1"/>
    <cellStyle name="Lien hypertexte" xfId="8991" builtinId="8" hidden="1"/>
    <cellStyle name="Lien hypertexte" xfId="8993" builtinId="8" hidden="1"/>
    <cellStyle name="Lien hypertexte" xfId="8995" builtinId="8" hidden="1"/>
    <cellStyle name="Lien hypertexte" xfId="8997" builtinId="8" hidden="1"/>
    <cellStyle name="Lien hypertexte" xfId="8999" builtinId="8" hidden="1"/>
    <cellStyle name="Lien hypertexte" xfId="9001" builtinId="8" hidden="1"/>
    <cellStyle name="Lien hypertexte" xfId="9003" builtinId="8" hidden="1"/>
    <cellStyle name="Lien hypertexte" xfId="9005" builtinId="8" hidden="1"/>
    <cellStyle name="Lien hypertexte" xfId="9007" builtinId="8" hidden="1"/>
    <cellStyle name="Lien hypertexte" xfId="9009" builtinId="8" hidden="1"/>
    <cellStyle name="Lien hypertexte" xfId="9011" builtinId="8" hidden="1"/>
    <cellStyle name="Lien hypertexte" xfId="9013" builtinId="8" hidden="1"/>
    <cellStyle name="Lien hypertexte" xfId="9015" builtinId="8" hidden="1"/>
    <cellStyle name="Lien hypertexte" xfId="9017" builtinId="8" hidden="1"/>
    <cellStyle name="Lien hypertexte" xfId="9019" builtinId="8" hidden="1"/>
    <cellStyle name="Lien hypertexte" xfId="9021" builtinId="8" hidden="1"/>
    <cellStyle name="Lien hypertexte" xfId="9023" builtinId="8" hidden="1"/>
    <cellStyle name="Lien hypertexte" xfId="9025" builtinId="8" hidden="1"/>
    <cellStyle name="Lien hypertexte" xfId="9027" builtinId="8" hidden="1"/>
    <cellStyle name="Lien hypertexte" xfId="9029" builtinId="8" hidden="1"/>
    <cellStyle name="Lien hypertexte" xfId="9031" builtinId="8" hidden="1"/>
    <cellStyle name="Lien hypertexte" xfId="9033" builtinId="8" hidden="1"/>
    <cellStyle name="Lien hypertexte" xfId="9035" builtinId="8" hidden="1"/>
    <cellStyle name="Lien hypertexte" xfId="9037" builtinId="8" hidden="1"/>
    <cellStyle name="Lien hypertexte" xfId="9039" builtinId="8" hidden="1"/>
    <cellStyle name="Lien hypertexte" xfId="9041" builtinId="8" hidden="1"/>
    <cellStyle name="Lien hypertexte" xfId="9043" builtinId="8" hidden="1"/>
    <cellStyle name="Lien hypertexte" xfId="9045" builtinId="8" hidden="1"/>
    <cellStyle name="Lien hypertexte" xfId="9047" builtinId="8" hidden="1"/>
    <cellStyle name="Lien hypertexte" xfId="9049" builtinId="8" hidden="1"/>
    <cellStyle name="Lien hypertexte" xfId="9051" builtinId="8" hidden="1"/>
    <cellStyle name="Lien hypertexte" xfId="9053" builtinId="8" hidden="1"/>
    <cellStyle name="Lien hypertexte" xfId="9055" builtinId="8" hidden="1"/>
    <cellStyle name="Lien hypertexte" xfId="9057" builtinId="8" hidden="1"/>
    <cellStyle name="Lien hypertexte" xfId="9059" builtinId="8" hidden="1"/>
    <cellStyle name="Lien hypertexte" xfId="9061" builtinId="8" hidden="1"/>
    <cellStyle name="Lien hypertexte" xfId="9063" builtinId="8" hidden="1"/>
    <cellStyle name="Lien hypertexte" xfId="9065" builtinId="8" hidden="1"/>
    <cellStyle name="Lien hypertexte" xfId="9067" builtinId="8" hidden="1"/>
    <cellStyle name="Lien hypertexte" xfId="9069" builtinId="8" hidden="1"/>
    <cellStyle name="Lien hypertexte" xfId="9071" builtinId="8" hidden="1"/>
    <cellStyle name="Lien hypertexte" xfId="9073" builtinId="8" hidden="1"/>
    <cellStyle name="Lien hypertexte" xfId="9075" builtinId="8" hidden="1"/>
    <cellStyle name="Lien hypertexte" xfId="9077" builtinId="8" hidden="1"/>
    <cellStyle name="Lien hypertexte" xfId="9079" builtinId="8" hidden="1"/>
    <cellStyle name="Lien hypertexte" xfId="9081" builtinId="8" hidden="1"/>
    <cellStyle name="Lien hypertexte" xfId="9083" builtinId="8" hidden="1"/>
    <cellStyle name="Lien hypertexte" xfId="9085" builtinId="8" hidden="1"/>
    <cellStyle name="Lien hypertexte" xfId="9087" builtinId="8" hidden="1"/>
    <cellStyle name="Lien hypertexte" xfId="9089" builtinId="8" hidden="1"/>
    <cellStyle name="Lien hypertexte" xfId="9091" builtinId="8" hidden="1"/>
    <cellStyle name="Lien hypertexte" xfId="9093" builtinId="8" hidden="1"/>
    <cellStyle name="Lien hypertexte" xfId="9095" builtinId="8" hidden="1"/>
    <cellStyle name="Lien hypertexte" xfId="9097" builtinId="8" hidden="1"/>
    <cellStyle name="Lien hypertexte" xfId="9099" builtinId="8" hidden="1"/>
    <cellStyle name="Lien hypertexte" xfId="9101" builtinId="8" hidden="1"/>
    <cellStyle name="Lien hypertexte" xfId="9103" builtinId="8" hidden="1"/>
    <cellStyle name="Lien hypertexte" xfId="9105" builtinId="8" hidden="1"/>
    <cellStyle name="Lien hypertexte" xfId="9107" builtinId="8" hidden="1"/>
    <cellStyle name="Lien hypertexte" xfId="9109" builtinId="8" hidden="1"/>
    <cellStyle name="Lien hypertexte" xfId="9111" builtinId="8" hidden="1"/>
    <cellStyle name="Lien hypertexte" xfId="9113" builtinId="8" hidden="1"/>
    <cellStyle name="Lien hypertexte" xfId="9115" builtinId="8" hidden="1"/>
    <cellStyle name="Lien hypertexte" xfId="9117" builtinId="8" hidden="1"/>
    <cellStyle name="Lien hypertexte" xfId="9119" builtinId="8" hidden="1"/>
    <cellStyle name="Lien hypertexte" xfId="9121" builtinId="8" hidden="1"/>
    <cellStyle name="Lien hypertexte" xfId="9123" builtinId="8" hidden="1"/>
    <cellStyle name="Lien hypertexte" xfId="9125" builtinId="8" hidden="1"/>
    <cellStyle name="Lien hypertexte" xfId="9127" builtinId="8" hidden="1"/>
    <cellStyle name="Lien hypertexte" xfId="9129" builtinId="8" hidden="1"/>
    <cellStyle name="Lien hypertexte" xfId="9131" builtinId="8" hidden="1"/>
    <cellStyle name="Lien hypertexte" xfId="9133" builtinId="8" hidden="1"/>
    <cellStyle name="Lien hypertexte" xfId="9135" builtinId="8" hidden="1"/>
    <cellStyle name="Lien hypertexte" xfId="9137" builtinId="8" hidden="1"/>
    <cellStyle name="Lien hypertexte" xfId="9139" builtinId="8" hidden="1"/>
    <cellStyle name="Lien hypertexte" xfId="9141" builtinId="8" hidden="1"/>
    <cellStyle name="Lien hypertexte" xfId="9143" builtinId="8" hidden="1"/>
    <cellStyle name="Lien hypertexte" xfId="9145" builtinId="8" hidden="1"/>
    <cellStyle name="Lien hypertexte" xfId="9147" builtinId="8" hidden="1"/>
    <cellStyle name="Lien hypertexte" xfId="9149" builtinId="8" hidden="1"/>
    <cellStyle name="Lien hypertexte" xfId="9151" builtinId="8" hidden="1"/>
    <cellStyle name="Lien hypertexte" xfId="9153" builtinId="8" hidden="1"/>
    <cellStyle name="Lien hypertexte" xfId="9155" builtinId="8" hidden="1"/>
    <cellStyle name="Lien hypertexte" xfId="9157" builtinId="8" hidden="1"/>
    <cellStyle name="Lien hypertexte" xfId="9159" builtinId="8" hidden="1"/>
    <cellStyle name="Lien hypertexte" xfId="9161" builtinId="8" hidden="1"/>
    <cellStyle name="Lien hypertexte" xfId="9163" builtinId="8" hidden="1"/>
    <cellStyle name="Lien hypertexte" xfId="9165" builtinId="8" hidden="1"/>
    <cellStyle name="Lien hypertexte" xfId="9167" builtinId="8" hidden="1"/>
    <cellStyle name="Lien hypertexte" xfId="9169" builtinId="8" hidden="1"/>
    <cellStyle name="Lien hypertexte" xfId="9171" builtinId="8" hidden="1"/>
    <cellStyle name="Lien hypertexte" xfId="9173" builtinId="8" hidden="1"/>
    <cellStyle name="Lien hypertexte" xfId="9175" builtinId="8" hidden="1"/>
    <cellStyle name="Lien hypertexte" xfId="9177" builtinId="8" hidden="1"/>
    <cellStyle name="Lien hypertexte" xfId="9179" builtinId="8" hidden="1"/>
    <cellStyle name="Lien hypertexte" xfId="9181" builtinId="8" hidden="1"/>
    <cellStyle name="Lien hypertexte" xfId="9183" builtinId="8" hidden="1"/>
    <cellStyle name="Lien hypertexte" xfId="9185" builtinId="8" hidden="1"/>
    <cellStyle name="Lien hypertexte" xfId="9187" builtinId="8" hidden="1"/>
    <cellStyle name="Lien hypertexte" xfId="9189" builtinId="8" hidden="1"/>
    <cellStyle name="Lien hypertexte" xfId="9191" builtinId="8" hidden="1"/>
    <cellStyle name="Lien hypertexte" xfId="9193" builtinId="8" hidden="1"/>
    <cellStyle name="Lien hypertexte" xfId="9195" builtinId="8" hidden="1"/>
    <cellStyle name="Lien hypertexte" xfId="9197" builtinId="8" hidden="1"/>
    <cellStyle name="Lien hypertexte" xfId="9199" builtinId="8" hidden="1"/>
    <cellStyle name="Lien hypertexte" xfId="9201" builtinId="8" hidden="1"/>
    <cellStyle name="Lien hypertexte" xfId="9203" builtinId="8" hidden="1"/>
    <cellStyle name="Lien hypertexte" xfId="9205" builtinId="8" hidden="1"/>
    <cellStyle name="Lien hypertexte" xfId="9207" builtinId="8" hidden="1"/>
    <cellStyle name="Lien hypertexte" xfId="9209" builtinId="8" hidden="1"/>
    <cellStyle name="Lien hypertexte" xfId="9211" builtinId="8" hidden="1"/>
    <cellStyle name="Lien hypertexte" xfId="9213" builtinId="8" hidden="1"/>
    <cellStyle name="Lien hypertexte" xfId="9215" builtinId="8" hidden="1"/>
    <cellStyle name="Lien hypertexte" xfId="9217" builtinId="8" hidden="1"/>
    <cellStyle name="Lien hypertexte" xfId="9219" builtinId="8" hidden="1"/>
    <cellStyle name="Lien hypertexte" xfId="9221" builtinId="8" hidden="1"/>
    <cellStyle name="Lien hypertexte" xfId="9223" builtinId="8" hidden="1"/>
    <cellStyle name="Lien hypertexte" xfId="9225" builtinId="8" hidden="1"/>
    <cellStyle name="Lien hypertexte" xfId="9227" builtinId="8" hidden="1"/>
    <cellStyle name="Lien hypertexte" xfId="9229" builtinId="8" hidden="1"/>
    <cellStyle name="Lien hypertexte" xfId="9231" builtinId="8" hidden="1"/>
    <cellStyle name="Lien hypertexte" xfId="9233" builtinId="8" hidden="1"/>
    <cellStyle name="Lien hypertexte" xfId="9235" builtinId="8" hidden="1"/>
    <cellStyle name="Lien hypertexte" xfId="9237" builtinId="8" hidden="1"/>
    <cellStyle name="Lien hypertexte" xfId="9239" builtinId="8" hidden="1"/>
    <cellStyle name="Lien hypertexte" xfId="9241" builtinId="8" hidden="1"/>
    <cellStyle name="Lien hypertexte" xfId="9243" builtinId="8" hidden="1"/>
    <cellStyle name="Lien hypertexte" xfId="9245" builtinId="8" hidden="1"/>
    <cellStyle name="Lien hypertexte" xfId="9247" builtinId="8" hidden="1"/>
    <cellStyle name="Lien hypertexte" xfId="9249" builtinId="8" hidden="1"/>
    <cellStyle name="Lien hypertexte" xfId="9251" builtinId="8" hidden="1"/>
    <cellStyle name="Lien hypertexte" xfId="9253" builtinId="8" hidden="1"/>
    <cellStyle name="Lien hypertexte" xfId="9255" builtinId="8" hidden="1"/>
    <cellStyle name="Lien hypertexte" xfId="9257" builtinId="8" hidden="1"/>
    <cellStyle name="Lien hypertexte" xfId="9259" builtinId="8" hidden="1"/>
    <cellStyle name="Lien hypertexte" xfId="9261" builtinId="8" hidden="1"/>
    <cellStyle name="Lien hypertexte" xfId="9263" builtinId="8" hidden="1"/>
    <cellStyle name="Lien hypertexte" xfId="9265" builtinId="8" hidden="1"/>
    <cellStyle name="Lien hypertexte" xfId="9267" builtinId="8" hidden="1"/>
    <cellStyle name="Lien hypertexte" xfId="9269" builtinId="8" hidden="1"/>
    <cellStyle name="Lien hypertexte" xfId="9271" builtinId="8" hidden="1"/>
    <cellStyle name="Lien hypertexte" xfId="9273" builtinId="8" hidden="1"/>
    <cellStyle name="Lien hypertexte" xfId="9275" builtinId="8" hidden="1"/>
    <cellStyle name="Lien hypertexte" xfId="9277" builtinId="8" hidden="1"/>
    <cellStyle name="Lien hypertexte" xfId="9279" builtinId="8" hidden="1"/>
    <cellStyle name="Lien hypertexte" xfId="9281" builtinId="8" hidden="1"/>
    <cellStyle name="Lien hypertexte" xfId="9283" builtinId="8" hidden="1"/>
    <cellStyle name="Lien hypertexte" xfId="9285" builtinId="8" hidden="1"/>
    <cellStyle name="Lien hypertexte" xfId="9287" builtinId="8" hidden="1"/>
    <cellStyle name="Lien hypertexte" xfId="9289" builtinId="8" hidden="1"/>
    <cellStyle name="Lien hypertexte" xfId="9291" builtinId="8" hidden="1"/>
    <cellStyle name="Lien hypertexte" xfId="9293" builtinId="8" hidden="1"/>
    <cellStyle name="Lien hypertexte" xfId="9295" builtinId="8" hidden="1"/>
    <cellStyle name="Lien hypertexte" xfId="9297" builtinId="8" hidden="1"/>
    <cellStyle name="Lien hypertexte" xfId="9299" builtinId="8" hidden="1"/>
    <cellStyle name="Lien hypertexte" xfId="9301" builtinId="8" hidden="1"/>
    <cellStyle name="Lien hypertexte" xfId="9303" builtinId="8" hidden="1"/>
    <cellStyle name="Lien hypertexte" xfId="9305" builtinId="8" hidden="1"/>
    <cellStyle name="Lien hypertexte" xfId="9307" builtinId="8" hidden="1"/>
    <cellStyle name="Lien hypertexte" xfId="9309" builtinId="8" hidden="1"/>
    <cellStyle name="Lien hypertexte" xfId="9311" builtinId="8" hidden="1"/>
    <cellStyle name="Lien hypertexte" xfId="9313" builtinId="8" hidden="1"/>
    <cellStyle name="Lien hypertexte" xfId="9315" builtinId="8" hidden="1"/>
    <cellStyle name="Lien hypertexte" xfId="9317" builtinId="8" hidden="1"/>
    <cellStyle name="Lien hypertexte" xfId="9319" builtinId="8" hidden="1"/>
    <cellStyle name="Lien hypertexte" xfId="9321" builtinId="8" hidden="1"/>
    <cellStyle name="Lien hypertexte" xfId="9323" builtinId="8" hidden="1"/>
    <cellStyle name="Lien hypertexte" xfId="9325" builtinId="8" hidden="1"/>
    <cellStyle name="Lien hypertexte" xfId="9327" builtinId="8" hidden="1"/>
    <cellStyle name="Lien hypertexte" xfId="9329" builtinId="8" hidden="1"/>
    <cellStyle name="Lien hypertexte" xfId="9331" builtinId="8" hidden="1"/>
    <cellStyle name="Lien hypertexte" xfId="9333" builtinId="8" hidden="1"/>
    <cellStyle name="Lien hypertexte" xfId="9335" builtinId="8" hidden="1"/>
    <cellStyle name="Lien hypertexte" xfId="9337" builtinId="8" hidden="1"/>
    <cellStyle name="Lien hypertexte" xfId="9339" builtinId="8" hidden="1"/>
    <cellStyle name="Lien hypertexte" xfId="9341" builtinId="8" hidden="1"/>
    <cellStyle name="Lien hypertexte" xfId="9343" builtinId="8" hidden="1"/>
    <cellStyle name="Lien hypertexte" xfId="9345" builtinId="8" hidden="1"/>
    <cellStyle name="Lien hypertexte" xfId="9347" builtinId="8" hidden="1"/>
    <cellStyle name="Lien hypertexte" xfId="9349" builtinId="8" hidden="1"/>
    <cellStyle name="Lien hypertexte" xfId="9351" builtinId="8" hidden="1"/>
    <cellStyle name="Lien hypertexte" xfId="9353" builtinId="8" hidden="1"/>
    <cellStyle name="Lien hypertexte" xfId="9355" builtinId="8" hidden="1"/>
    <cellStyle name="Lien hypertexte" xfId="9357" builtinId="8" hidden="1"/>
    <cellStyle name="Lien hypertexte" xfId="9359" builtinId="8" hidden="1"/>
    <cellStyle name="Lien hypertexte" xfId="9361" builtinId="8" hidden="1"/>
    <cellStyle name="Lien hypertexte" xfId="9363" builtinId="8" hidden="1"/>
    <cellStyle name="Lien hypertexte" xfId="9365" builtinId="8" hidden="1"/>
    <cellStyle name="Lien hypertexte" xfId="9367" builtinId="8" hidden="1"/>
    <cellStyle name="Lien hypertexte" xfId="9369" builtinId="8" hidden="1"/>
    <cellStyle name="Lien hypertexte" xfId="9371" builtinId="8" hidden="1"/>
    <cellStyle name="Lien hypertexte" xfId="9373" builtinId="8" hidden="1"/>
    <cellStyle name="Lien hypertexte" xfId="9375" builtinId="8" hidden="1"/>
    <cellStyle name="Lien hypertexte" xfId="9377" builtinId="8" hidden="1"/>
    <cellStyle name="Lien hypertexte" xfId="9379" builtinId="8" hidden="1"/>
    <cellStyle name="Lien hypertexte" xfId="9381" builtinId="8" hidden="1"/>
    <cellStyle name="Lien hypertexte" xfId="9383" builtinId="8" hidden="1"/>
    <cellStyle name="Lien hypertexte" xfId="9385" builtinId="8" hidden="1"/>
    <cellStyle name="Lien hypertexte" xfId="9387" builtinId="8" hidden="1"/>
    <cellStyle name="Lien hypertexte" xfId="9389" builtinId="8" hidden="1"/>
    <cellStyle name="Lien hypertexte" xfId="9391" builtinId="8" hidden="1"/>
    <cellStyle name="Lien hypertexte" xfId="9393" builtinId="8" hidden="1"/>
    <cellStyle name="Lien hypertexte" xfId="9395" builtinId="8" hidden="1"/>
    <cellStyle name="Lien hypertexte" xfId="9397" builtinId="8" hidden="1"/>
    <cellStyle name="Lien hypertexte" xfId="9399" builtinId="8" hidden="1"/>
    <cellStyle name="Lien hypertexte" xfId="9401" builtinId="8" hidden="1"/>
    <cellStyle name="Lien hypertexte" xfId="9403" builtinId="8" hidden="1"/>
    <cellStyle name="Lien hypertexte" xfId="9405" builtinId="8" hidden="1"/>
    <cellStyle name="Lien hypertexte" xfId="9407" builtinId="8" hidden="1"/>
    <cellStyle name="Lien hypertexte" xfId="9409" builtinId="8" hidden="1"/>
    <cellStyle name="Lien hypertexte" xfId="9411" builtinId="8" hidden="1"/>
    <cellStyle name="Lien hypertexte" xfId="9413" builtinId="8" hidden="1"/>
    <cellStyle name="Lien hypertexte" xfId="9415" builtinId="8" hidden="1"/>
    <cellStyle name="Lien hypertexte" xfId="9417" builtinId="8" hidden="1"/>
    <cellStyle name="Lien hypertexte" xfId="9419" builtinId="8" hidden="1"/>
    <cellStyle name="Lien hypertexte" xfId="9421" builtinId="8" hidden="1"/>
    <cellStyle name="Lien hypertexte" xfId="9423" builtinId="8" hidden="1"/>
    <cellStyle name="Lien hypertexte" xfId="9425" builtinId="8" hidden="1"/>
    <cellStyle name="Lien hypertexte" xfId="9427" builtinId="8" hidden="1"/>
    <cellStyle name="Lien hypertexte" xfId="9429" builtinId="8" hidden="1"/>
    <cellStyle name="Lien hypertexte" xfId="9431" builtinId="8" hidden="1"/>
    <cellStyle name="Lien hypertexte" xfId="9433" builtinId="8" hidden="1"/>
    <cellStyle name="Lien hypertexte" xfId="9435" builtinId="8" hidden="1"/>
    <cellStyle name="Lien hypertexte" xfId="9437" builtinId="8" hidden="1"/>
    <cellStyle name="Lien hypertexte" xfId="9439" builtinId="8" hidden="1"/>
    <cellStyle name="Lien hypertexte" xfId="9441" builtinId="8" hidden="1"/>
    <cellStyle name="Lien hypertexte" xfId="9443" builtinId="8" hidden="1"/>
    <cellStyle name="Lien hypertexte" xfId="9445" builtinId="8" hidden="1"/>
    <cellStyle name="Lien hypertexte" xfId="9447" builtinId="8" hidden="1"/>
    <cellStyle name="Lien hypertexte" xfId="9449" builtinId="8" hidden="1"/>
    <cellStyle name="Lien hypertexte" xfId="9451" builtinId="8" hidden="1"/>
    <cellStyle name="Lien hypertexte" xfId="9453" builtinId="8" hidden="1"/>
    <cellStyle name="Lien hypertexte" xfId="9455" builtinId="8" hidden="1"/>
    <cellStyle name="Lien hypertexte" xfId="9457" builtinId="8" hidden="1"/>
    <cellStyle name="Lien hypertexte" xfId="9459" builtinId="8" hidden="1"/>
    <cellStyle name="Lien hypertexte" xfId="9461" builtinId="8" hidden="1"/>
    <cellStyle name="Lien hypertexte" xfId="9463" builtinId="8" hidden="1"/>
    <cellStyle name="Lien hypertexte" xfId="9465" builtinId="8" hidden="1"/>
    <cellStyle name="Lien hypertexte" xfId="9467" builtinId="8" hidden="1"/>
    <cellStyle name="Lien hypertexte" xfId="9469" builtinId="8" hidden="1"/>
    <cellStyle name="Lien hypertexte" xfId="9471" builtinId="8" hidden="1"/>
    <cellStyle name="Lien hypertexte" xfId="9473" builtinId="8" hidden="1"/>
    <cellStyle name="Lien hypertexte" xfId="9475" builtinId="8" hidden="1"/>
    <cellStyle name="Lien hypertexte" xfId="9477" builtinId="8" hidden="1"/>
    <cellStyle name="Lien hypertexte" xfId="9479" builtinId="8" hidden="1"/>
    <cellStyle name="Lien hypertexte" xfId="9481" builtinId="8" hidden="1"/>
    <cellStyle name="Lien hypertexte" xfId="9483" builtinId="8" hidden="1"/>
    <cellStyle name="Lien hypertexte" xfId="9485" builtinId="8" hidden="1"/>
    <cellStyle name="Lien hypertexte" xfId="9487" builtinId="8" hidden="1"/>
    <cellStyle name="Lien hypertexte" xfId="9489" builtinId="8" hidden="1"/>
    <cellStyle name="Lien hypertexte" xfId="9491" builtinId="8" hidden="1"/>
    <cellStyle name="Lien hypertexte" xfId="9493" builtinId="8" hidden="1"/>
    <cellStyle name="Lien hypertexte" xfId="9495" builtinId="8" hidden="1"/>
    <cellStyle name="Lien hypertexte" xfId="9497" builtinId="8" hidden="1"/>
    <cellStyle name="Lien hypertexte" xfId="9499" builtinId="8" hidden="1"/>
    <cellStyle name="Lien hypertexte" xfId="9501" builtinId="8" hidden="1"/>
    <cellStyle name="Lien hypertexte" xfId="9503" builtinId="8" hidden="1"/>
    <cellStyle name="Lien hypertexte" xfId="9505" builtinId="8" hidden="1"/>
    <cellStyle name="Lien hypertexte" xfId="9507" builtinId="8" hidden="1"/>
    <cellStyle name="Lien hypertexte" xfId="9509" builtinId="8" hidden="1"/>
    <cellStyle name="Lien hypertexte" xfId="9511" builtinId="8" hidden="1"/>
    <cellStyle name="Lien hypertexte" xfId="9513" builtinId="8" hidden="1"/>
    <cellStyle name="Lien hypertexte" xfId="9515" builtinId="8" hidden="1"/>
    <cellStyle name="Lien hypertexte" xfId="9517" builtinId="8" hidden="1"/>
    <cellStyle name="Lien hypertexte" xfId="9519" builtinId="8" hidden="1"/>
    <cellStyle name="Lien hypertexte" xfId="9521" builtinId="8" hidden="1"/>
    <cellStyle name="Lien hypertexte" xfId="9523" builtinId="8" hidden="1"/>
    <cellStyle name="Lien hypertexte" xfId="9525" builtinId="8" hidden="1"/>
    <cellStyle name="Lien hypertexte" xfId="9527" builtinId="8" hidden="1"/>
    <cellStyle name="Lien hypertexte" xfId="9529" builtinId="8" hidden="1"/>
    <cellStyle name="Lien hypertexte" xfId="9531" builtinId="8" hidden="1"/>
    <cellStyle name="Lien hypertexte" xfId="9533" builtinId="8" hidden="1"/>
    <cellStyle name="Lien hypertexte" xfId="9535" builtinId="8" hidden="1"/>
    <cellStyle name="Lien hypertexte" xfId="9537" builtinId="8" hidden="1"/>
    <cellStyle name="Lien hypertexte" xfId="9539" builtinId="8" hidden="1"/>
    <cellStyle name="Lien hypertexte" xfId="9541" builtinId="8" hidden="1"/>
    <cellStyle name="Lien hypertexte" xfId="9543" builtinId="8" hidden="1"/>
    <cellStyle name="Lien hypertexte" xfId="9545" builtinId="8" hidden="1"/>
    <cellStyle name="Lien hypertexte" xfId="9547" builtinId="8" hidden="1"/>
    <cellStyle name="Lien hypertexte" xfId="9549" builtinId="8" hidden="1"/>
    <cellStyle name="Lien hypertexte" xfId="9551" builtinId="8" hidden="1"/>
    <cellStyle name="Lien hypertexte" xfId="9553" builtinId="8" hidden="1"/>
    <cellStyle name="Lien hypertexte" xfId="9555" builtinId="8" hidden="1"/>
    <cellStyle name="Lien hypertexte" xfId="9557" builtinId="8" hidden="1"/>
    <cellStyle name="Lien hypertexte" xfId="9559" builtinId="8" hidden="1"/>
    <cellStyle name="Lien hypertexte" xfId="9561" builtinId="8" hidden="1"/>
    <cellStyle name="Lien hypertexte" xfId="9563" builtinId="8" hidden="1"/>
    <cellStyle name="Lien hypertexte" xfId="9565" builtinId="8" hidden="1"/>
    <cellStyle name="Lien hypertexte" xfId="9567" builtinId="8" hidden="1"/>
    <cellStyle name="Lien hypertexte" xfId="9569" builtinId="8" hidden="1"/>
    <cellStyle name="Lien hypertexte" xfId="9571" builtinId="8" hidden="1"/>
    <cellStyle name="Lien hypertexte" xfId="9573" builtinId="8" hidden="1"/>
    <cellStyle name="Lien hypertexte" xfId="9575" builtinId="8" hidden="1"/>
    <cellStyle name="Lien hypertexte" xfId="9577" builtinId="8" hidden="1"/>
    <cellStyle name="Lien hypertexte" xfId="9579" builtinId="8" hidden="1"/>
    <cellStyle name="Lien hypertexte" xfId="9581" builtinId="8" hidden="1"/>
    <cellStyle name="Lien hypertexte" xfId="9583" builtinId="8" hidden="1"/>
    <cellStyle name="Lien hypertexte" xfId="9585" builtinId="8" hidden="1"/>
    <cellStyle name="Lien hypertexte" xfId="9587" builtinId="8" hidden="1"/>
    <cellStyle name="Lien hypertexte" xfId="9589" builtinId="8" hidden="1"/>
    <cellStyle name="Lien hypertexte" xfId="9591" builtinId="8" hidden="1"/>
    <cellStyle name="Lien hypertexte" xfId="9593" builtinId="8" hidden="1"/>
    <cellStyle name="Lien hypertexte" xfId="9595" builtinId="8" hidden="1"/>
    <cellStyle name="Lien hypertexte" xfId="9597" builtinId="8" hidden="1"/>
    <cellStyle name="Lien hypertexte" xfId="9599" builtinId="8" hidden="1"/>
    <cellStyle name="Lien hypertexte" xfId="9601" builtinId="8" hidden="1"/>
    <cellStyle name="Lien hypertexte" xfId="9603" builtinId="8" hidden="1"/>
    <cellStyle name="Lien hypertexte" xfId="9605" builtinId="8" hidden="1"/>
    <cellStyle name="Lien hypertexte" xfId="9607" builtinId="8" hidden="1"/>
    <cellStyle name="Lien hypertexte" xfId="9609" builtinId="8" hidden="1"/>
    <cellStyle name="Lien hypertexte" xfId="9611" builtinId="8" hidden="1"/>
    <cellStyle name="Lien hypertexte" xfId="9613" builtinId="8" hidden="1"/>
    <cellStyle name="Lien hypertexte" xfId="9615" builtinId="8" hidden="1"/>
    <cellStyle name="Lien hypertexte" xfId="9617" builtinId="8" hidden="1"/>
    <cellStyle name="Lien hypertexte" xfId="9619" builtinId="8" hidden="1"/>
    <cellStyle name="Lien hypertexte" xfId="9621" builtinId="8" hidden="1"/>
    <cellStyle name="Lien hypertexte" xfId="9623" builtinId="8" hidden="1"/>
    <cellStyle name="Lien hypertexte" xfId="9625" builtinId="8" hidden="1"/>
    <cellStyle name="Lien hypertexte" xfId="9627" builtinId="8" hidden="1"/>
    <cellStyle name="Lien hypertexte" xfId="9629" builtinId="8" hidden="1"/>
    <cellStyle name="Lien hypertexte" xfId="9631" builtinId="8" hidden="1"/>
    <cellStyle name="Lien hypertexte" xfId="9633" builtinId="8" hidden="1"/>
    <cellStyle name="Lien hypertexte" xfId="9635" builtinId="8" hidden="1"/>
    <cellStyle name="Lien hypertexte" xfId="9637" builtinId="8" hidden="1"/>
    <cellStyle name="Lien hypertexte" xfId="9639" builtinId="8" hidden="1"/>
    <cellStyle name="Lien hypertexte" xfId="9641" builtinId="8" hidden="1"/>
    <cellStyle name="Lien hypertexte" xfId="9643" builtinId="8" hidden="1"/>
    <cellStyle name="Lien hypertexte" xfId="9645" builtinId="8" hidden="1"/>
    <cellStyle name="Lien hypertexte" xfId="9647" builtinId="8" hidden="1"/>
    <cellStyle name="Lien hypertexte" xfId="9649" builtinId="8" hidden="1"/>
    <cellStyle name="Lien hypertexte" xfId="9651" builtinId="8" hidden="1"/>
    <cellStyle name="Lien hypertexte" xfId="9653" builtinId="8" hidden="1"/>
    <cellStyle name="Lien hypertexte" xfId="9655" builtinId="8" hidden="1"/>
    <cellStyle name="Lien hypertexte" xfId="9657" builtinId="8" hidden="1"/>
    <cellStyle name="Lien hypertexte" xfId="9659" builtinId="8" hidden="1"/>
    <cellStyle name="Lien hypertexte" xfId="9661" builtinId="8" hidden="1"/>
    <cellStyle name="Lien hypertexte" xfId="9663" builtinId="8" hidden="1"/>
    <cellStyle name="Lien hypertexte" xfId="9665" builtinId="8" hidden="1"/>
    <cellStyle name="Lien hypertexte" xfId="9667" builtinId="8" hidden="1"/>
    <cellStyle name="Lien hypertexte" xfId="9669" builtinId="8" hidden="1"/>
    <cellStyle name="Lien hypertexte" xfId="9671" builtinId="8" hidden="1"/>
    <cellStyle name="Lien hypertexte" xfId="9673" builtinId="8" hidden="1"/>
    <cellStyle name="Lien hypertexte" xfId="9675" builtinId="8" hidden="1"/>
    <cellStyle name="Lien hypertexte" xfId="9677" builtinId="8" hidden="1"/>
    <cellStyle name="Lien hypertexte" xfId="9679" builtinId="8" hidden="1"/>
    <cellStyle name="Lien hypertexte" xfId="9681" builtinId="8" hidden="1"/>
    <cellStyle name="Lien hypertexte" xfId="9683" builtinId="8" hidden="1"/>
    <cellStyle name="Lien hypertexte" xfId="9685" builtinId="8" hidden="1"/>
    <cellStyle name="Lien hypertexte" xfId="9687" builtinId="8" hidden="1"/>
    <cellStyle name="Lien hypertexte" xfId="9689" builtinId="8" hidden="1"/>
    <cellStyle name="Lien hypertexte" xfId="9691" builtinId="8" hidden="1"/>
    <cellStyle name="Lien hypertexte" xfId="9693" builtinId="8" hidden="1"/>
    <cellStyle name="Lien hypertexte" xfId="9695" builtinId="8" hidden="1"/>
    <cellStyle name="Lien hypertexte" xfId="9697" builtinId="8" hidden="1"/>
    <cellStyle name="Lien hypertexte" xfId="9699" builtinId="8" hidden="1"/>
    <cellStyle name="Lien hypertexte" xfId="9701" builtinId="8" hidden="1"/>
    <cellStyle name="Lien hypertexte" xfId="9703" builtinId="8" hidden="1"/>
    <cellStyle name="Lien hypertexte" xfId="9705" builtinId="8" hidden="1"/>
    <cellStyle name="Lien hypertexte" xfId="9707" builtinId="8" hidden="1"/>
    <cellStyle name="Lien hypertexte" xfId="9709" builtinId="8" hidden="1"/>
    <cellStyle name="Lien hypertexte" xfId="9711" builtinId="8" hidden="1"/>
    <cellStyle name="Lien hypertexte" xfId="9713" builtinId="8" hidden="1"/>
    <cellStyle name="Lien hypertexte" xfId="9715" builtinId="8" hidden="1"/>
    <cellStyle name="Lien hypertexte" xfId="9717" builtinId="8" hidden="1"/>
    <cellStyle name="Lien hypertexte" xfId="9719" builtinId="8" hidden="1"/>
    <cellStyle name="Lien hypertexte" xfId="9721" builtinId="8" hidden="1"/>
    <cellStyle name="Lien hypertexte" xfId="9723" builtinId="8" hidden="1"/>
    <cellStyle name="Lien hypertexte" xfId="9725" builtinId="8" hidden="1"/>
    <cellStyle name="Lien hypertexte" xfId="9727" builtinId="8" hidden="1"/>
    <cellStyle name="Lien hypertexte" xfId="9729" builtinId="8" hidden="1"/>
    <cellStyle name="Lien hypertexte" xfId="9731" builtinId="8" hidden="1"/>
    <cellStyle name="Lien hypertexte" xfId="9733" builtinId="8" hidden="1"/>
    <cellStyle name="Lien hypertexte" xfId="9735" builtinId="8" hidden="1"/>
    <cellStyle name="Lien hypertexte" xfId="9737" builtinId="8" hidden="1"/>
    <cellStyle name="Lien hypertexte" xfId="9739" builtinId="8" hidden="1"/>
    <cellStyle name="Lien hypertexte" xfId="9741" builtinId="8" hidden="1"/>
    <cellStyle name="Lien hypertexte" xfId="9743" builtinId="8" hidden="1"/>
    <cellStyle name="Lien hypertexte" xfId="9745" builtinId="8" hidden="1"/>
    <cellStyle name="Lien hypertexte" xfId="9747" builtinId="8" hidden="1"/>
    <cellStyle name="Lien hypertexte" xfId="9749" builtinId="8" hidden="1"/>
    <cellStyle name="Lien hypertexte" xfId="9751" builtinId="8" hidden="1"/>
    <cellStyle name="Lien hypertexte" xfId="9753" builtinId="8" hidden="1"/>
    <cellStyle name="Lien hypertexte" xfId="9755" builtinId="8" hidden="1"/>
    <cellStyle name="Lien hypertexte" xfId="9757" builtinId="8" hidden="1"/>
    <cellStyle name="Lien hypertexte" xfId="9759" builtinId="8" hidden="1"/>
    <cellStyle name="Lien hypertexte" xfId="9761" builtinId="8" hidden="1"/>
    <cellStyle name="Lien hypertexte" xfId="9763" builtinId="8" hidden="1"/>
    <cellStyle name="Lien hypertexte" xfId="9765" builtinId="8" hidden="1"/>
    <cellStyle name="Lien hypertexte" xfId="9767" builtinId="8" hidden="1"/>
    <cellStyle name="Lien hypertexte" xfId="9769" builtinId="8" hidden="1"/>
    <cellStyle name="Lien hypertexte" xfId="9771" builtinId="8" hidden="1"/>
    <cellStyle name="Lien hypertexte" xfId="9773" builtinId="8" hidden="1"/>
    <cellStyle name="Lien hypertexte" xfId="9775" builtinId="8" hidden="1"/>
    <cellStyle name="Lien hypertexte" xfId="9777" builtinId="8" hidden="1"/>
    <cellStyle name="Lien hypertexte" xfId="9779" builtinId="8" hidden="1"/>
    <cellStyle name="Lien hypertexte" xfId="9781" builtinId="8" hidden="1"/>
    <cellStyle name="Lien hypertexte" xfId="9783" builtinId="8" hidden="1"/>
    <cellStyle name="Lien hypertexte" xfId="9785" builtinId="8" hidden="1"/>
    <cellStyle name="Lien hypertexte" xfId="9787" builtinId="8" hidden="1"/>
    <cellStyle name="Lien hypertexte" xfId="9789" builtinId="8" hidden="1"/>
    <cellStyle name="Lien hypertexte" xfId="9791" builtinId="8" hidden="1"/>
    <cellStyle name="Lien hypertexte" xfId="9793" builtinId="8" hidden="1"/>
    <cellStyle name="Lien hypertexte" xfId="9795" builtinId="8" hidden="1"/>
    <cellStyle name="Lien hypertexte" xfId="9797" builtinId="8" hidden="1"/>
    <cellStyle name="Lien hypertexte" xfId="9799" builtinId="8" hidden="1"/>
    <cellStyle name="Lien hypertexte" xfId="9801" builtinId="8" hidden="1"/>
    <cellStyle name="Lien hypertexte" xfId="9803" builtinId="8" hidden="1"/>
    <cellStyle name="Lien hypertexte" xfId="9805" builtinId="8" hidden="1"/>
    <cellStyle name="Lien hypertexte" xfId="9807" builtinId="8" hidden="1"/>
    <cellStyle name="Lien hypertexte" xfId="9809" builtinId="8" hidden="1"/>
    <cellStyle name="Lien hypertexte" xfId="9811" builtinId="8" hidden="1"/>
    <cellStyle name="Lien hypertexte" xfId="9813" builtinId="8" hidden="1"/>
    <cellStyle name="Lien hypertexte" xfId="9815" builtinId="8" hidden="1"/>
    <cellStyle name="Lien hypertexte" xfId="9817" builtinId="8" hidden="1"/>
    <cellStyle name="Lien hypertexte" xfId="9819" builtinId="8" hidden="1"/>
    <cellStyle name="Lien hypertexte" xfId="9821" builtinId="8" hidden="1"/>
    <cellStyle name="Lien hypertexte" xfId="9823" builtinId="8" hidden="1"/>
    <cellStyle name="Lien hypertexte" xfId="9825" builtinId="8" hidden="1"/>
    <cellStyle name="Lien hypertexte" xfId="9827" builtinId="8" hidden="1"/>
    <cellStyle name="Lien hypertexte" xfId="9829" builtinId="8" hidden="1"/>
    <cellStyle name="Lien hypertexte" xfId="9831" builtinId="8" hidden="1"/>
    <cellStyle name="Lien hypertexte" xfId="9833" builtinId="8" hidden="1"/>
    <cellStyle name="Lien hypertexte" xfId="9835" builtinId="8" hidden="1"/>
    <cellStyle name="Lien hypertexte" xfId="9837" builtinId="8" hidden="1"/>
    <cellStyle name="Lien hypertexte" xfId="9839" builtinId="8" hidden="1"/>
    <cellStyle name="Lien hypertexte" xfId="9841" builtinId="8" hidden="1"/>
    <cellStyle name="Lien hypertexte" xfId="9843" builtinId="8" hidden="1"/>
    <cellStyle name="Lien hypertexte" xfId="9845" builtinId="8" hidden="1"/>
    <cellStyle name="Lien hypertexte" xfId="9847" builtinId="8" hidden="1"/>
    <cellStyle name="Lien hypertexte" xfId="9849" builtinId="8" hidden="1"/>
    <cellStyle name="Lien hypertexte" xfId="9851" builtinId="8" hidden="1"/>
    <cellStyle name="Lien hypertexte" xfId="9853" builtinId="8" hidden="1"/>
    <cellStyle name="Lien hypertexte" xfId="9855" builtinId="8" hidden="1"/>
    <cellStyle name="Lien hypertexte" xfId="9857" builtinId="8" hidden="1"/>
    <cellStyle name="Lien hypertexte" xfId="9859" builtinId="8" hidden="1"/>
    <cellStyle name="Lien hypertexte" xfId="9861" builtinId="8" hidden="1"/>
    <cellStyle name="Lien hypertexte" xfId="9863" builtinId="8" hidden="1"/>
    <cellStyle name="Lien hypertexte" xfId="9865" builtinId="8" hidden="1"/>
    <cellStyle name="Lien hypertexte" xfId="9867" builtinId="8" hidden="1"/>
    <cellStyle name="Lien hypertexte" xfId="9869" builtinId="8" hidden="1"/>
    <cellStyle name="Lien hypertexte" xfId="9871" builtinId="8" hidden="1"/>
    <cellStyle name="Lien hypertexte" xfId="9873" builtinId="8" hidden="1"/>
    <cellStyle name="Lien hypertexte" xfId="9875" builtinId="8" hidden="1"/>
    <cellStyle name="Lien hypertexte" xfId="9877" builtinId="8" hidden="1"/>
    <cellStyle name="Lien hypertexte" xfId="9879" builtinId="8" hidden="1"/>
    <cellStyle name="Lien hypertexte" xfId="9881" builtinId="8" hidden="1"/>
    <cellStyle name="Lien hypertexte" xfId="9883" builtinId="8" hidden="1"/>
    <cellStyle name="Lien hypertexte" xfId="9885" builtinId="8" hidden="1"/>
    <cellStyle name="Lien hypertexte" xfId="9887" builtinId="8" hidden="1"/>
    <cellStyle name="Lien hypertexte" xfId="9889" builtinId="8" hidden="1"/>
    <cellStyle name="Lien hypertexte" xfId="9891" builtinId="8" hidden="1"/>
    <cellStyle name="Lien hypertexte" xfId="9893" builtinId="8" hidden="1"/>
    <cellStyle name="Lien hypertexte" xfId="9895" builtinId="8" hidden="1"/>
    <cellStyle name="Lien hypertexte" xfId="9897" builtinId="8" hidden="1"/>
    <cellStyle name="Lien hypertexte" xfId="9899" builtinId="8" hidden="1"/>
    <cellStyle name="Lien hypertexte" xfId="9901" builtinId="8" hidden="1"/>
    <cellStyle name="Lien hypertexte" xfId="9903" builtinId="8" hidden="1"/>
    <cellStyle name="Lien hypertexte" xfId="9905" builtinId="8" hidden="1"/>
    <cellStyle name="Lien hypertexte" xfId="9907" builtinId="8" hidden="1"/>
    <cellStyle name="Lien hypertexte" xfId="9909" builtinId="8" hidden="1"/>
    <cellStyle name="Lien hypertexte" xfId="9911" builtinId="8" hidden="1"/>
    <cellStyle name="Lien hypertexte" xfId="9913" builtinId="8" hidden="1"/>
    <cellStyle name="Lien hypertexte" xfId="9915" builtinId="8" hidden="1"/>
    <cellStyle name="Lien hypertexte" xfId="9917" builtinId="8" hidden="1"/>
    <cellStyle name="Lien hypertexte" xfId="9919" builtinId="8" hidden="1"/>
    <cellStyle name="Lien hypertexte" xfId="9921" builtinId="8" hidden="1"/>
    <cellStyle name="Lien hypertexte" xfId="9923" builtinId="8" hidden="1"/>
    <cellStyle name="Lien hypertexte" xfId="9925" builtinId="8" hidden="1"/>
    <cellStyle name="Lien hypertexte" xfId="9927" builtinId="8" hidden="1"/>
    <cellStyle name="Lien hypertexte" xfId="9929" builtinId="8" hidden="1"/>
    <cellStyle name="Lien hypertexte" xfId="9931" builtinId="8" hidden="1"/>
    <cellStyle name="Lien hypertexte" xfId="9933" builtinId="8" hidden="1"/>
    <cellStyle name="Lien hypertexte" xfId="9935" builtinId="8" hidden="1"/>
    <cellStyle name="Lien hypertexte" xfId="9937" builtinId="8" hidden="1"/>
    <cellStyle name="Lien hypertexte" xfId="9939" builtinId="8" hidden="1"/>
    <cellStyle name="Lien hypertexte" xfId="9941" builtinId="8" hidden="1"/>
    <cellStyle name="Lien hypertexte" xfId="9943" builtinId="8" hidden="1"/>
    <cellStyle name="Lien hypertexte" xfId="9945" builtinId="8" hidden="1"/>
    <cellStyle name="Lien hypertexte" xfId="9947" builtinId="8" hidden="1"/>
    <cellStyle name="Lien hypertexte" xfId="9949" builtinId="8" hidden="1"/>
    <cellStyle name="Lien hypertexte" xfId="9951" builtinId="8" hidden="1"/>
    <cellStyle name="Lien hypertexte" xfId="9953" builtinId="8" hidden="1"/>
    <cellStyle name="Lien hypertexte" xfId="9955" builtinId="8" hidden="1"/>
    <cellStyle name="Lien hypertexte" xfId="9957" builtinId="8" hidden="1"/>
    <cellStyle name="Lien hypertexte" xfId="9959" builtinId="8" hidden="1"/>
    <cellStyle name="Lien hypertexte" xfId="9961" builtinId="8" hidden="1"/>
    <cellStyle name="Lien hypertexte" xfId="9963" builtinId="8" hidden="1"/>
    <cellStyle name="Lien hypertexte" xfId="9965" builtinId="8" hidden="1"/>
    <cellStyle name="Lien hypertexte" xfId="9967" builtinId="8" hidden="1"/>
    <cellStyle name="Lien hypertexte" xfId="9969" builtinId="8" hidden="1"/>
    <cellStyle name="Lien hypertexte" xfId="9971" builtinId="8" hidden="1"/>
    <cellStyle name="Lien hypertexte" xfId="9973" builtinId="8" hidden="1"/>
    <cellStyle name="Lien hypertexte" xfId="9975" builtinId="8" hidden="1"/>
    <cellStyle name="Lien hypertexte" xfId="9977" builtinId="8" hidden="1"/>
    <cellStyle name="Lien hypertexte" xfId="9979" builtinId="8" hidden="1"/>
    <cellStyle name="Lien hypertexte" xfId="9981" builtinId="8" hidden="1"/>
    <cellStyle name="Lien hypertexte" xfId="9983" builtinId="8" hidden="1"/>
    <cellStyle name="Lien hypertexte" xfId="9985" builtinId="8" hidden="1"/>
    <cellStyle name="Lien hypertexte" xfId="9987" builtinId="8" hidden="1"/>
    <cellStyle name="Lien hypertexte" xfId="9989" builtinId="8" hidden="1"/>
    <cellStyle name="Lien hypertexte" xfId="9991" builtinId="8" hidden="1"/>
    <cellStyle name="Lien hypertexte" xfId="9993" builtinId="8" hidden="1"/>
    <cellStyle name="Lien hypertexte" xfId="9995" builtinId="8" hidden="1"/>
    <cellStyle name="Lien hypertexte" xfId="9997" builtinId="8" hidden="1"/>
    <cellStyle name="Lien hypertexte" xfId="9999" builtinId="8" hidden="1"/>
    <cellStyle name="Lien hypertexte" xfId="10001" builtinId="8" hidden="1"/>
    <cellStyle name="Lien hypertexte" xfId="10003" builtinId="8" hidden="1"/>
    <cellStyle name="Lien hypertexte" xfId="10005" builtinId="8" hidden="1"/>
    <cellStyle name="Lien hypertexte" xfId="10007" builtinId="8" hidden="1"/>
    <cellStyle name="Lien hypertexte" xfId="10009" builtinId="8" hidden="1"/>
    <cellStyle name="Lien hypertexte" xfId="10011" builtinId="8" hidden="1"/>
    <cellStyle name="Lien hypertexte" xfId="10013" builtinId="8" hidden="1"/>
    <cellStyle name="Lien hypertexte" xfId="10015" builtinId="8" hidden="1"/>
    <cellStyle name="Lien hypertexte" xfId="10017" builtinId="8" hidden="1"/>
    <cellStyle name="Lien hypertexte" xfId="10019" builtinId="8" hidden="1"/>
    <cellStyle name="Lien hypertexte" xfId="10021" builtinId="8" hidden="1"/>
    <cellStyle name="Lien hypertexte" xfId="10023" builtinId="8" hidden="1"/>
    <cellStyle name="Lien hypertexte" xfId="10025" builtinId="8" hidden="1"/>
    <cellStyle name="Lien hypertexte" xfId="10027" builtinId="8" hidden="1"/>
    <cellStyle name="Lien hypertexte" xfId="10029" builtinId="8" hidden="1"/>
    <cellStyle name="Lien hypertexte" xfId="10031" builtinId="8" hidden="1"/>
    <cellStyle name="Lien hypertexte" xfId="10033" builtinId="8" hidden="1"/>
    <cellStyle name="Lien hypertexte" xfId="10035" builtinId="8" hidden="1"/>
    <cellStyle name="Lien hypertexte" xfId="10037" builtinId="8" hidden="1"/>
    <cellStyle name="Lien hypertexte" xfId="10039" builtinId="8" hidden="1"/>
    <cellStyle name="Lien hypertexte" xfId="10041" builtinId="8" hidden="1"/>
    <cellStyle name="Lien hypertexte" xfId="10043" builtinId="8" hidden="1"/>
    <cellStyle name="Lien hypertexte" xfId="10045" builtinId="8" hidden="1"/>
    <cellStyle name="Lien hypertexte" xfId="10047" builtinId="8" hidden="1"/>
    <cellStyle name="Lien hypertexte" xfId="10049" builtinId="8" hidden="1"/>
    <cellStyle name="Lien hypertexte" xfId="10051" builtinId="8" hidden="1"/>
    <cellStyle name="Lien hypertexte" xfId="10053" builtinId="8" hidden="1"/>
    <cellStyle name="Lien hypertexte" xfId="10055" builtinId="8" hidden="1"/>
    <cellStyle name="Lien hypertexte" xfId="10057" builtinId="8" hidden="1"/>
    <cellStyle name="Lien hypertexte" xfId="10059" builtinId="8" hidden="1"/>
    <cellStyle name="Lien hypertexte" xfId="10061" builtinId="8" hidden="1"/>
    <cellStyle name="Lien hypertexte" xfId="10063" builtinId="8" hidden="1"/>
    <cellStyle name="Lien hypertexte" xfId="10065" builtinId="8" hidden="1"/>
    <cellStyle name="Lien hypertexte" xfId="10067" builtinId="8" hidden="1"/>
    <cellStyle name="Lien hypertexte" xfId="10069" builtinId="8" hidden="1"/>
    <cellStyle name="Lien hypertexte" xfId="10071" builtinId="8" hidden="1"/>
    <cellStyle name="Lien hypertexte" xfId="10073" builtinId="8" hidden="1"/>
    <cellStyle name="Lien hypertexte" xfId="10075" builtinId="8" hidden="1"/>
    <cellStyle name="Lien hypertexte" xfId="10077" builtinId="8" hidden="1"/>
    <cellStyle name="Lien hypertexte" xfId="10079" builtinId="8" hidden="1"/>
    <cellStyle name="Lien hypertexte" xfId="10081" builtinId="8" hidden="1"/>
    <cellStyle name="Lien hypertexte" xfId="10083" builtinId="8" hidden="1"/>
    <cellStyle name="Lien hypertexte" xfId="10085" builtinId="8" hidden="1"/>
    <cellStyle name="Lien hypertexte" xfId="10087" builtinId="8" hidden="1"/>
    <cellStyle name="Lien hypertexte" xfId="10089" builtinId="8" hidden="1"/>
    <cellStyle name="Lien hypertexte" xfId="10091" builtinId="8" hidden="1"/>
    <cellStyle name="Lien hypertexte" xfId="10093" builtinId="8" hidden="1"/>
    <cellStyle name="Lien hypertexte" xfId="10095" builtinId="8" hidden="1"/>
    <cellStyle name="Lien hypertexte" xfId="10097" builtinId="8" hidden="1"/>
    <cellStyle name="Lien hypertexte" xfId="10099" builtinId="8" hidden="1"/>
    <cellStyle name="Lien hypertexte" xfId="10101" builtinId="8" hidden="1"/>
    <cellStyle name="Lien hypertexte" xfId="10103" builtinId="8" hidden="1"/>
    <cellStyle name="Lien hypertexte" xfId="10105" builtinId="8" hidden="1"/>
    <cellStyle name="Lien hypertexte" xfId="10107" builtinId="8" hidden="1"/>
    <cellStyle name="Lien hypertexte" xfId="10109" builtinId="8" hidden="1"/>
    <cellStyle name="Lien hypertexte" xfId="10111" builtinId="8" hidden="1"/>
    <cellStyle name="Lien hypertexte" xfId="10113" builtinId="8" hidden="1"/>
    <cellStyle name="Lien hypertexte" xfId="10115" builtinId="8" hidden="1"/>
    <cellStyle name="Lien hypertexte" xfId="10117" builtinId="8" hidden="1"/>
    <cellStyle name="Lien hypertexte" xfId="10119" builtinId="8" hidden="1"/>
    <cellStyle name="Lien hypertexte" xfId="10121" builtinId="8" hidden="1"/>
    <cellStyle name="Lien hypertexte" xfId="10123" builtinId="8" hidden="1"/>
    <cellStyle name="Lien hypertexte" xfId="10125" builtinId="8" hidden="1"/>
    <cellStyle name="Lien hypertexte" xfId="10127" builtinId="8" hidden="1"/>
    <cellStyle name="Lien hypertexte" xfId="10129" builtinId="8" hidden="1"/>
    <cellStyle name="Lien hypertexte" xfId="10131" builtinId="8" hidden="1"/>
    <cellStyle name="Lien hypertexte" xfId="10133" builtinId="8" hidden="1"/>
    <cellStyle name="Lien hypertexte" xfId="10135" builtinId="8" hidden="1"/>
    <cellStyle name="Lien hypertexte" xfId="10137" builtinId="8" hidden="1"/>
    <cellStyle name="Lien hypertexte" xfId="10139" builtinId="8" hidden="1"/>
    <cellStyle name="Lien hypertexte" xfId="10141" builtinId="8" hidden="1"/>
    <cellStyle name="Lien hypertexte" xfId="10143" builtinId="8" hidden="1"/>
    <cellStyle name="Lien hypertexte" xfId="10145" builtinId="8" hidden="1"/>
    <cellStyle name="Lien hypertexte" xfId="10147" builtinId="8" hidden="1"/>
    <cellStyle name="Lien hypertexte" xfId="10149" builtinId="8" hidden="1"/>
    <cellStyle name="Lien hypertexte" xfId="10151" builtinId="8" hidden="1"/>
    <cellStyle name="Lien hypertexte" xfId="10153" builtinId="8" hidden="1"/>
    <cellStyle name="Lien hypertexte" xfId="10155" builtinId="8" hidden="1"/>
    <cellStyle name="Lien hypertexte" xfId="10157" builtinId="8" hidden="1"/>
    <cellStyle name="Lien hypertexte" xfId="10159" builtinId="8" hidden="1"/>
    <cellStyle name="Lien hypertexte" xfId="10161" builtinId="8" hidden="1"/>
    <cellStyle name="Lien hypertexte" xfId="10163" builtinId="8" hidden="1"/>
    <cellStyle name="Lien hypertexte" xfId="10165" builtinId="8" hidden="1"/>
    <cellStyle name="Lien hypertexte" xfId="10167" builtinId="8" hidden="1"/>
    <cellStyle name="Lien hypertexte" xfId="10169" builtinId="8" hidden="1"/>
    <cellStyle name="Lien hypertexte" xfId="10171" builtinId="8" hidden="1"/>
    <cellStyle name="Lien hypertexte" xfId="10173" builtinId="8" hidden="1"/>
    <cellStyle name="Lien hypertexte" xfId="10175" builtinId="8" hidden="1"/>
    <cellStyle name="Lien hypertexte" xfId="10177" builtinId="8" hidden="1"/>
    <cellStyle name="Lien hypertexte" xfId="10179" builtinId="8" hidden="1"/>
    <cellStyle name="Lien hypertexte" xfId="10181" builtinId="8" hidden="1"/>
    <cellStyle name="Lien hypertexte" xfId="10183" builtinId="8" hidden="1"/>
    <cellStyle name="Lien hypertexte" xfId="10185" builtinId="8" hidden="1"/>
    <cellStyle name="Lien hypertexte" xfId="10187" builtinId="8" hidden="1"/>
    <cellStyle name="Lien hypertexte" xfId="10189" builtinId="8" hidden="1"/>
    <cellStyle name="Lien hypertexte" xfId="10191" builtinId="8" hidden="1"/>
    <cellStyle name="Lien hypertexte" xfId="10193" builtinId="8" hidden="1"/>
    <cellStyle name="Lien hypertexte" xfId="10195" builtinId="8" hidden="1"/>
    <cellStyle name="Lien hypertexte" xfId="10197" builtinId="8" hidden="1"/>
    <cellStyle name="Lien hypertexte" xfId="10199" builtinId="8" hidden="1"/>
    <cellStyle name="Lien hypertexte" xfId="10201" builtinId="8" hidden="1"/>
    <cellStyle name="Lien hypertexte" xfId="10203" builtinId="8" hidden="1"/>
    <cellStyle name="Lien hypertexte" xfId="10205" builtinId="8" hidden="1"/>
    <cellStyle name="Lien hypertexte" xfId="10207" builtinId="8" hidden="1"/>
    <cellStyle name="Lien hypertexte" xfId="10209" builtinId="8" hidden="1"/>
    <cellStyle name="Lien hypertexte" xfId="10211" builtinId="8" hidden="1"/>
    <cellStyle name="Lien hypertexte" xfId="10213" builtinId="8" hidden="1"/>
    <cellStyle name="Lien hypertexte" xfId="10215" builtinId="8" hidden="1"/>
    <cellStyle name="Lien hypertexte" xfId="10217" builtinId="8" hidden="1"/>
    <cellStyle name="Lien hypertexte" xfId="10219" builtinId="8" hidden="1"/>
    <cellStyle name="Lien hypertexte" xfId="10221" builtinId="8" hidden="1"/>
    <cellStyle name="Lien hypertexte" xfId="10223" builtinId="8" hidden="1"/>
    <cellStyle name="Lien hypertexte" xfId="10225" builtinId="8" hidden="1"/>
    <cellStyle name="Lien hypertexte" xfId="10227" builtinId="8" hidden="1"/>
    <cellStyle name="Lien hypertexte" xfId="10229" builtinId="8" hidden="1"/>
    <cellStyle name="Lien hypertexte" xfId="10231" builtinId="8" hidden="1"/>
    <cellStyle name="Lien hypertexte" xfId="10233" builtinId="8" hidden="1"/>
    <cellStyle name="Lien hypertexte" xfId="10235" builtinId="8" hidden="1"/>
    <cellStyle name="Lien hypertexte" xfId="10237" builtinId="8" hidden="1"/>
    <cellStyle name="Lien hypertexte" xfId="10239" builtinId="8" hidden="1"/>
    <cellStyle name="Lien hypertexte" xfId="10241" builtinId="8" hidden="1"/>
    <cellStyle name="Lien hypertexte" xfId="10243" builtinId="8" hidden="1"/>
    <cellStyle name="Lien hypertexte" xfId="10245" builtinId="8" hidden="1"/>
    <cellStyle name="Lien hypertexte" xfId="10247" builtinId="8" hidden="1"/>
    <cellStyle name="Lien hypertexte" xfId="10249" builtinId="8" hidden="1"/>
    <cellStyle name="Lien hypertexte" xfId="10251" builtinId="8" hidden="1"/>
    <cellStyle name="Lien hypertexte" xfId="10253" builtinId="8" hidden="1"/>
    <cellStyle name="Lien hypertexte" xfId="10255" builtinId="8" hidden="1"/>
    <cellStyle name="Lien hypertexte" xfId="10257" builtinId="8" hidden="1"/>
    <cellStyle name="Lien hypertexte" xfId="10259" builtinId="8" hidden="1"/>
    <cellStyle name="Lien hypertexte" xfId="10261" builtinId="8" hidden="1"/>
    <cellStyle name="Lien hypertexte" xfId="10263" builtinId="8" hidden="1"/>
    <cellStyle name="Lien hypertexte" xfId="10265" builtinId="8" hidden="1"/>
    <cellStyle name="Lien hypertexte" xfId="10267" builtinId="8" hidden="1"/>
    <cellStyle name="Lien hypertexte" xfId="10269" builtinId="8" hidden="1"/>
    <cellStyle name="Lien hypertexte" xfId="10271" builtinId="8" hidden="1"/>
    <cellStyle name="Lien hypertexte" xfId="10273" builtinId="8" hidden="1"/>
    <cellStyle name="Lien hypertexte" xfId="10275" builtinId="8" hidden="1"/>
    <cellStyle name="Lien hypertexte" xfId="10277" builtinId="8" hidden="1"/>
    <cellStyle name="Lien hypertexte" xfId="10279" builtinId="8" hidden="1"/>
    <cellStyle name="Lien hypertexte" xfId="10281" builtinId="8" hidden="1"/>
    <cellStyle name="Lien hypertexte" xfId="10283" builtinId="8" hidden="1"/>
    <cellStyle name="Lien hypertexte" xfId="10285" builtinId="8" hidden="1"/>
    <cellStyle name="Lien hypertexte" xfId="10287" builtinId="8" hidden="1"/>
    <cellStyle name="Lien hypertexte" xfId="10289" builtinId="8" hidden="1"/>
    <cellStyle name="Lien hypertexte" xfId="10291" builtinId="8" hidden="1"/>
    <cellStyle name="Lien hypertexte" xfId="10293" builtinId="8" hidden="1"/>
    <cellStyle name="Lien hypertexte" xfId="10295" builtinId="8" hidden="1"/>
    <cellStyle name="Lien hypertexte" xfId="10297" builtinId="8" hidden="1"/>
    <cellStyle name="Lien hypertexte" xfId="10299" builtinId="8" hidden="1"/>
    <cellStyle name="Lien hypertexte" xfId="10301" builtinId="8" hidden="1"/>
    <cellStyle name="Lien hypertexte" xfId="10303" builtinId="8" hidden="1"/>
    <cellStyle name="Lien hypertexte" xfId="10305" builtinId="8" hidden="1"/>
    <cellStyle name="Lien hypertexte" xfId="10307" builtinId="8" hidden="1"/>
    <cellStyle name="Lien hypertexte" xfId="10309" builtinId="8" hidden="1"/>
    <cellStyle name="Lien hypertexte" xfId="10311" builtinId="8" hidden="1"/>
    <cellStyle name="Lien hypertexte" xfId="10313" builtinId="8" hidden="1"/>
    <cellStyle name="Lien hypertexte" xfId="10315" builtinId="8" hidden="1"/>
    <cellStyle name="Lien hypertexte" xfId="10317" builtinId="8" hidden="1"/>
    <cellStyle name="Lien hypertexte" xfId="10319" builtinId="8" hidden="1"/>
    <cellStyle name="Lien hypertexte" xfId="10321" builtinId="8" hidden="1"/>
    <cellStyle name="Lien hypertexte" xfId="10323" builtinId="8" hidden="1"/>
    <cellStyle name="Lien hypertexte" xfId="10325" builtinId="8" hidden="1"/>
    <cellStyle name="Lien hypertexte" xfId="10327" builtinId="8" hidden="1"/>
    <cellStyle name="Lien hypertexte" xfId="10329" builtinId="8" hidden="1"/>
    <cellStyle name="Lien hypertexte" xfId="10331" builtinId="8" hidden="1"/>
    <cellStyle name="Lien hypertexte" xfId="10333" builtinId="8" hidden="1"/>
    <cellStyle name="Lien hypertexte" xfId="10335" builtinId="8" hidden="1"/>
    <cellStyle name="Lien hypertexte" xfId="10337" builtinId="8" hidden="1"/>
    <cellStyle name="Lien hypertexte" xfId="10339" builtinId="8" hidden="1"/>
    <cellStyle name="Lien hypertexte" xfId="10341" builtinId="8" hidden="1"/>
    <cellStyle name="Lien hypertexte" xfId="10343" builtinId="8" hidden="1"/>
    <cellStyle name="Lien hypertexte" xfId="10345" builtinId="8" hidden="1"/>
    <cellStyle name="Lien hypertexte" xfId="10347" builtinId="8" hidden="1"/>
    <cellStyle name="Lien hypertexte" xfId="10349" builtinId="8" hidden="1"/>
    <cellStyle name="Lien hypertexte" xfId="10351" builtinId="8" hidden="1"/>
    <cellStyle name="Lien hypertexte" xfId="10353" builtinId="8" hidden="1"/>
    <cellStyle name="Lien hypertexte" xfId="10355" builtinId="8" hidden="1"/>
    <cellStyle name="Lien hypertexte" xfId="10357" builtinId="8" hidden="1"/>
    <cellStyle name="Lien hypertexte" xfId="10359" builtinId="8" hidden="1"/>
    <cellStyle name="Lien hypertexte" xfId="10361" builtinId="8" hidden="1"/>
    <cellStyle name="Lien hypertexte" xfId="10363" builtinId="8" hidden="1"/>
    <cellStyle name="Lien hypertexte" xfId="10365" builtinId="8" hidden="1"/>
    <cellStyle name="Lien hypertexte" xfId="10367" builtinId="8" hidden="1"/>
    <cellStyle name="Lien hypertexte" xfId="10369" builtinId="8" hidden="1"/>
    <cellStyle name="Lien hypertexte" xfId="10371" builtinId="8" hidden="1"/>
    <cellStyle name="Lien hypertexte" xfId="10373" builtinId="8" hidden="1"/>
    <cellStyle name="Lien hypertexte" xfId="10375" builtinId="8" hidden="1"/>
    <cellStyle name="Lien hypertexte" xfId="10377" builtinId="8" hidden="1"/>
    <cellStyle name="Lien hypertexte" xfId="10379" builtinId="8" hidden="1"/>
    <cellStyle name="Lien hypertexte" xfId="10381" builtinId="8" hidden="1"/>
    <cellStyle name="Lien hypertexte" xfId="10383" builtinId="8" hidden="1"/>
    <cellStyle name="Lien hypertexte" xfId="10385" builtinId="8" hidden="1"/>
    <cellStyle name="Lien hypertexte" xfId="10387" builtinId="8" hidden="1"/>
    <cellStyle name="Lien hypertexte" xfId="10389" builtinId="8" hidden="1"/>
    <cellStyle name="Lien hypertexte" xfId="10391" builtinId="8" hidden="1"/>
    <cellStyle name="Lien hypertexte" xfId="10393" builtinId="8" hidden="1"/>
    <cellStyle name="Lien hypertexte" xfId="10395" builtinId="8" hidden="1"/>
    <cellStyle name="Lien hypertexte" xfId="10397" builtinId="8" hidden="1"/>
    <cellStyle name="Lien hypertexte" xfId="10399" builtinId="8" hidden="1"/>
    <cellStyle name="Lien hypertexte" xfId="10401" builtinId="8" hidden="1"/>
    <cellStyle name="Lien hypertexte" xfId="10403" builtinId="8" hidden="1"/>
    <cellStyle name="Lien hypertexte" xfId="10405" builtinId="8" hidden="1"/>
    <cellStyle name="Lien hypertexte" xfId="10407" builtinId="8" hidden="1"/>
    <cellStyle name="Lien hypertexte" xfId="10409" builtinId="8" hidden="1"/>
    <cellStyle name="Lien hypertexte" xfId="10411" builtinId="8" hidden="1"/>
    <cellStyle name="Lien hypertexte" xfId="10413" builtinId="8" hidden="1"/>
    <cellStyle name="Lien hypertexte" xfId="10415" builtinId="8" hidden="1"/>
    <cellStyle name="Lien hypertexte" xfId="10417" builtinId="8" hidden="1"/>
    <cellStyle name="Lien hypertexte" xfId="10419" builtinId="8" hidden="1"/>
    <cellStyle name="Lien hypertexte" xfId="10421" builtinId="8" hidden="1"/>
    <cellStyle name="Lien hypertexte" xfId="10423" builtinId="8" hidden="1"/>
    <cellStyle name="Lien hypertexte" xfId="10425" builtinId="8" hidden="1"/>
    <cellStyle name="Lien hypertexte" xfId="10427" builtinId="8" hidden="1"/>
    <cellStyle name="Lien hypertexte" xfId="10429" builtinId="8" hidden="1"/>
    <cellStyle name="Lien hypertexte" xfId="10431" builtinId="8" hidden="1"/>
    <cellStyle name="Lien hypertexte" xfId="10433" builtinId="8" hidden="1"/>
    <cellStyle name="Lien hypertexte" xfId="10435" builtinId="8" hidden="1"/>
    <cellStyle name="Lien hypertexte" xfId="10437" builtinId="8" hidden="1"/>
    <cellStyle name="Lien hypertexte" xfId="10439" builtinId="8" hidden="1"/>
    <cellStyle name="Lien hypertexte" xfId="10441" builtinId="8" hidden="1"/>
    <cellStyle name="Lien hypertexte" xfId="10443" builtinId="8" hidden="1"/>
    <cellStyle name="Lien hypertexte" xfId="10445" builtinId="8" hidden="1"/>
    <cellStyle name="Lien hypertexte" xfId="10447" builtinId="8" hidden="1"/>
    <cellStyle name="Lien hypertexte" xfId="10449" builtinId="8" hidden="1"/>
    <cellStyle name="Lien hypertexte" xfId="10451" builtinId="8" hidden="1"/>
    <cellStyle name="Lien hypertexte" xfId="10453" builtinId="8" hidden="1"/>
    <cellStyle name="Lien hypertexte" xfId="10455" builtinId="8" hidden="1"/>
    <cellStyle name="Lien hypertexte" xfId="10457" builtinId="8" hidden="1"/>
    <cellStyle name="Lien hypertexte" xfId="10459" builtinId="8" hidden="1"/>
    <cellStyle name="Lien hypertexte" xfId="10461" builtinId="8" hidden="1"/>
    <cellStyle name="Lien hypertexte" xfId="10463" builtinId="8" hidden="1"/>
    <cellStyle name="Lien hypertexte" xfId="10465" builtinId="8" hidden="1"/>
    <cellStyle name="Lien hypertexte" xfId="10467" builtinId="8" hidden="1"/>
    <cellStyle name="Lien hypertexte" xfId="10469" builtinId="8" hidden="1"/>
    <cellStyle name="Lien hypertexte" xfId="10471" builtinId="8" hidden="1"/>
    <cellStyle name="Lien hypertexte" xfId="10473" builtinId="8" hidden="1"/>
    <cellStyle name="Lien hypertexte" xfId="10475" builtinId="8" hidden="1"/>
    <cellStyle name="Lien hypertexte" xfId="10477" builtinId="8" hidden="1"/>
    <cellStyle name="Lien hypertexte" xfId="10479" builtinId="8" hidden="1"/>
    <cellStyle name="Lien hypertexte" xfId="10481" builtinId="8" hidden="1"/>
    <cellStyle name="Lien hypertexte" xfId="10483" builtinId="8" hidden="1"/>
    <cellStyle name="Lien hypertexte" xfId="10485" builtinId="8" hidden="1"/>
    <cellStyle name="Lien hypertexte" xfId="10487" builtinId="8" hidden="1"/>
    <cellStyle name="Lien hypertexte" xfId="10489" builtinId="8" hidden="1"/>
    <cellStyle name="Lien hypertexte" xfId="10491" builtinId="8" hidden="1"/>
    <cellStyle name="Lien hypertexte" xfId="10493" builtinId="8" hidden="1"/>
    <cellStyle name="Lien hypertexte" xfId="10495" builtinId="8" hidden="1"/>
    <cellStyle name="Lien hypertexte" xfId="10497" builtinId="8" hidden="1"/>
    <cellStyle name="Lien hypertexte" xfId="10499" builtinId="8" hidden="1"/>
    <cellStyle name="Lien hypertexte" xfId="10501" builtinId="8" hidden="1"/>
    <cellStyle name="Lien hypertexte" xfId="10503" builtinId="8" hidden="1"/>
    <cellStyle name="Lien hypertexte" xfId="10505" builtinId="8" hidden="1"/>
    <cellStyle name="Lien hypertexte" xfId="10507" builtinId="8" hidden="1"/>
    <cellStyle name="Lien hypertexte" xfId="10509" builtinId="8" hidden="1"/>
    <cellStyle name="Lien hypertexte" xfId="10511" builtinId="8" hidden="1"/>
    <cellStyle name="Lien hypertexte" xfId="10513" builtinId="8" hidden="1"/>
    <cellStyle name="Lien hypertexte" xfId="10515" builtinId="8" hidden="1"/>
    <cellStyle name="Lien hypertexte" xfId="10517" builtinId="8" hidden="1"/>
    <cellStyle name="Lien hypertexte" xfId="10519" builtinId="8" hidden="1"/>
    <cellStyle name="Lien hypertexte" xfId="10521" builtinId="8" hidden="1"/>
    <cellStyle name="Lien hypertexte" xfId="10523" builtinId="8" hidden="1"/>
    <cellStyle name="Lien hypertexte" xfId="10525" builtinId="8" hidden="1"/>
    <cellStyle name="Lien hypertexte" xfId="10527" builtinId="8" hidden="1"/>
    <cellStyle name="Lien hypertexte" xfId="10529" builtinId="8" hidden="1"/>
    <cellStyle name="Lien hypertexte" xfId="10531" builtinId="8" hidden="1"/>
    <cellStyle name="Lien hypertexte" xfId="10533" builtinId="8" hidden="1"/>
    <cellStyle name="Lien hypertexte" xfId="10535" builtinId="8" hidden="1"/>
    <cellStyle name="Lien hypertexte" xfId="10537" builtinId="8" hidden="1"/>
    <cellStyle name="Lien hypertexte" xfId="10539" builtinId="8" hidden="1"/>
    <cellStyle name="Lien hypertexte" xfId="10541" builtinId="8" hidden="1"/>
    <cellStyle name="Lien hypertexte" xfId="10543" builtinId="8" hidden="1"/>
    <cellStyle name="Lien hypertexte" xfId="10545" builtinId="8" hidden="1"/>
    <cellStyle name="Lien hypertexte" xfId="10547" builtinId="8" hidden="1"/>
    <cellStyle name="Lien hypertexte" xfId="10549" builtinId="8" hidden="1"/>
    <cellStyle name="Lien hypertexte" xfId="10551" builtinId="8" hidden="1"/>
    <cellStyle name="Lien hypertexte" xfId="10553" builtinId="8" hidden="1"/>
    <cellStyle name="Lien hypertexte" xfId="10555" builtinId="8" hidden="1"/>
    <cellStyle name="Lien hypertexte" xfId="10557" builtinId="8" hidden="1"/>
    <cellStyle name="Lien hypertexte" xfId="10559" builtinId="8" hidden="1"/>
    <cellStyle name="Lien hypertexte" xfId="10561" builtinId="8" hidden="1"/>
    <cellStyle name="Lien hypertexte" xfId="10563" builtinId="8" hidden="1"/>
    <cellStyle name="Lien hypertexte" xfId="10565" builtinId="8" hidden="1"/>
    <cellStyle name="Lien hypertexte" xfId="10567" builtinId="8" hidden="1"/>
    <cellStyle name="Lien hypertexte" xfId="10569" builtinId="8" hidden="1"/>
    <cellStyle name="Lien hypertexte" xfId="10571" builtinId="8" hidden="1"/>
    <cellStyle name="Lien hypertexte" xfId="10573" builtinId="8" hidden="1"/>
    <cellStyle name="Lien hypertexte" xfId="10575" builtinId="8" hidden="1"/>
    <cellStyle name="Lien hypertexte" xfId="10577" builtinId="8" hidden="1"/>
    <cellStyle name="Lien hypertexte" xfId="10579" builtinId="8" hidden="1"/>
    <cellStyle name="Lien hypertexte" xfId="10581" builtinId="8" hidden="1"/>
    <cellStyle name="Lien hypertexte" xfId="10583" builtinId="8" hidden="1"/>
    <cellStyle name="Lien hypertexte" xfId="10585" builtinId="8" hidden="1"/>
    <cellStyle name="Lien hypertexte" xfId="10587" builtinId="8" hidden="1"/>
    <cellStyle name="Lien hypertexte" xfId="10589" builtinId="8" hidden="1"/>
    <cellStyle name="Lien hypertexte" xfId="10591" builtinId="8" hidden="1"/>
    <cellStyle name="Lien hypertexte" xfId="10593" builtinId="8" hidden="1"/>
    <cellStyle name="Lien hypertexte" xfId="10595" builtinId="8" hidden="1"/>
    <cellStyle name="Lien hypertexte" xfId="10597" builtinId="8" hidden="1"/>
    <cellStyle name="Lien hypertexte" xfId="10599" builtinId="8" hidden="1"/>
    <cellStyle name="Lien hypertexte" xfId="10601" builtinId="8" hidden="1"/>
    <cellStyle name="Lien hypertexte" xfId="10603" builtinId="8" hidden="1"/>
    <cellStyle name="Lien hypertexte" xfId="10605" builtinId="8" hidden="1"/>
    <cellStyle name="Lien hypertexte" xfId="10607" builtinId="8" hidden="1"/>
    <cellStyle name="Lien hypertexte" xfId="10609" builtinId="8" hidden="1"/>
    <cellStyle name="Lien hypertexte" xfId="10611" builtinId="8" hidden="1"/>
    <cellStyle name="Lien hypertexte" xfId="10613" builtinId="8" hidden="1"/>
    <cellStyle name="Lien hypertexte" xfId="10615" builtinId="8" hidden="1"/>
    <cellStyle name="Lien hypertexte" xfId="10617" builtinId="8" hidden="1"/>
    <cellStyle name="Lien hypertexte" xfId="10619" builtinId="8" hidden="1"/>
    <cellStyle name="Lien hypertexte" xfId="10621" builtinId="8" hidden="1"/>
    <cellStyle name="Lien hypertexte" xfId="10623" builtinId="8" hidden="1"/>
    <cellStyle name="Lien hypertexte" xfId="10625" builtinId="8" hidden="1"/>
    <cellStyle name="Lien hypertexte" xfId="10627" builtinId="8" hidden="1"/>
    <cellStyle name="Lien hypertexte" xfId="10629" builtinId="8" hidden="1"/>
    <cellStyle name="Lien hypertexte" xfId="10631" builtinId="8" hidden="1"/>
    <cellStyle name="Lien hypertexte" xfId="10633" builtinId="8" hidden="1"/>
    <cellStyle name="Lien hypertexte" xfId="10635" builtinId="8" hidden="1"/>
    <cellStyle name="Lien hypertexte" xfId="10637" builtinId="8" hidden="1"/>
    <cellStyle name="Lien hypertexte" xfId="10639" builtinId="8" hidden="1"/>
    <cellStyle name="Lien hypertexte" xfId="10641" builtinId="8" hidden="1"/>
    <cellStyle name="Lien hypertexte" xfId="10643" builtinId="8" hidden="1"/>
    <cellStyle name="Lien hypertexte" xfId="10645" builtinId="8" hidden="1"/>
    <cellStyle name="Lien hypertexte" xfId="10647" builtinId="8" hidden="1"/>
    <cellStyle name="Lien hypertexte" xfId="10649" builtinId="8" hidden="1"/>
    <cellStyle name="Lien hypertexte" xfId="10651" builtinId="8" hidden="1"/>
    <cellStyle name="Lien hypertexte" xfId="10653" builtinId="8" hidden="1"/>
    <cellStyle name="Lien hypertexte" xfId="10655" builtinId="8" hidden="1"/>
    <cellStyle name="Lien hypertexte" xfId="10657" builtinId="8" hidden="1"/>
    <cellStyle name="Lien hypertexte" xfId="10659" builtinId="8" hidden="1"/>
    <cellStyle name="Lien hypertexte" xfId="10661" builtinId="8" hidden="1"/>
    <cellStyle name="Lien hypertexte" xfId="10663" builtinId="8" hidden="1"/>
    <cellStyle name="Lien hypertexte" xfId="10665" builtinId="8" hidden="1"/>
    <cellStyle name="Lien hypertexte" xfId="10667" builtinId="8" hidden="1"/>
    <cellStyle name="Lien hypertexte" xfId="10669" builtinId="8" hidden="1"/>
    <cellStyle name="Lien hypertexte" xfId="10671" builtinId="8" hidden="1"/>
    <cellStyle name="Lien hypertexte" xfId="10673" builtinId="8" hidden="1"/>
    <cellStyle name="Lien hypertexte" xfId="10675" builtinId="8" hidden="1"/>
    <cellStyle name="Lien hypertexte" xfId="10677" builtinId="8" hidden="1"/>
    <cellStyle name="Lien hypertexte" xfId="10679" builtinId="8" hidden="1"/>
    <cellStyle name="Lien hypertexte" xfId="10681" builtinId="8" hidden="1"/>
    <cellStyle name="Lien hypertexte" xfId="10683" builtinId="8" hidden="1"/>
    <cellStyle name="Lien hypertexte" xfId="10685" builtinId="8" hidden="1"/>
    <cellStyle name="Lien hypertexte" xfId="10687" builtinId="8" hidden="1"/>
    <cellStyle name="Lien hypertexte" xfId="10689" builtinId="8" hidden="1"/>
    <cellStyle name="Lien hypertexte" xfId="10691" builtinId="8" hidden="1"/>
    <cellStyle name="Lien hypertexte" xfId="10693" builtinId="8" hidden="1"/>
    <cellStyle name="Lien hypertexte" xfId="10695" builtinId="8" hidden="1"/>
    <cellStyle name="Lien hypertexte" xfId="10697" builtinId="8" hidden="1"/>
    <cellStyle name="Lien hypertexte" xfId="10699" builtinId="8" hidden="1"/>
    <cellStyle name="Lien hypertexte" xfId="10701" builtinId="8" hidden="1"/>
    <cellStyle name="Lien hypertexte" xfId="10703" builtinId="8" hidden="1"/>
    <cellStyle name="Lien hypertexte" xfId="10705" builtinId="8" hidden="1"/>
    <cellStyle name="Lien hypertexte" xfId="10707" builtinId="8" hidden="1"/>
    <cellStyle name="Lien hypertexte" xfId="10709" builtinId="8" hidden="1"/>
    <cellStyle name="Lien hypertexte" xfId="10711" builtinId="8" hidden="1"/>
    <cellStyle name="Lien hypertexte" xfId="10713" builtinId="8" hidden="1"/>
    <cellStyle name="Lien hypertexte" xfId="10715" builtinId="8" hidden="1"/>
    <cellStyle name="Lien hypertexte" xfId="10717" builtinId="8" hidden="1"/>
    <cellStyle name="Lien hypertexte" xfId="10719" builtinId="8" hidden="1"/>
    <cellStyle name="Lien hypertexte" xfId="10721" builtinId="8" hidden="1"/>
    <cellStyle name="Lien hypertexte" xfId="10723" builtinId="8" hidden="1"/>
    <cellStyle name="Lien hypertexte" xfId="10725" builtinId="8" hidden="1"/>
    <cellStyle name="Lien hypertexte" xfId="10727" builtinId="8" hidden="1"/>
    <cellStyle name="Lien hypertexte" xfId="10729" builtinId="8" hidden="1"/>
    <cellStyle name="Lien hypertexte" xfId="10731" builtinId="8" hidden="1"/>
    <cellStyle name="Lien hypertexte" xfId="10733" builtinId="8" hidden="1"/>
    <cellStyle name="Lien hypertexte" xfId="10735" builtinId="8" hidden="1"/>
    <cellStyle name="Lien hypertexte" xfId="10737" builtinId="8" hidden="1"/>
    <cellStyle name="Lien hypertexte" xfId="10739" builtinId="8" hidden="1"/>
    <cellStyle name="Lien hypertexte" xfId="10741" builtinId="8" hidden="1"/>
    <cellStyle name="Lien hypertexte" xfId="10743" builtinId="8" hidden="1"/>
    <cellStyle name="Lien hypertexte" xfId="10745" builtinId="8" hidden="1"/>
    <cellStyle name="Lien hypertexte" xfId="10747" builtinId="8" hidden="1"/>
    <cellStyle name="Lien hypertexte" xfId="10749" builtinId="8" hidden="1"/>
    <cellStyle name="Lien hypertexte" xfId="10751" builtinId="8" hidden="1"/>
    <cellStyle name="Lien hypertexte" xfId="10753" builtinId="8" hidden="1"/>
    <cellStyle name="Lien hypertexte" xfId="10755" builtinId="8" hidden="1"/>
    <cellStyle name="Lien hypertexte" xfId="10757" builtinId="8" hidden="1"/>
    <cellStyle name="Lien hypertexte" xfId="10759" builtinId="8" hidden="1"/>
    <cellStyle name="Lien hypertexte" xfId="10761" builtinId="8" hidden="1"/>
    <cellStyle name="Lien hypertexte" xfId="10763" builtinId="8" hidden="1"/>
    <cellStyle name="Lien hypertexte" xfId="10765" builtinId="8" hidden="1"/>
    <cellStyle name="Lien hypertexte" xfId="10767" builtinId="8" hidden="1"/>
    <cellStyle name="Lien hypertexte" xfId="10769" builtinId="8" hidden="1"/>
    <cellStyle name="Lien hypertexte" xfId="10771" builtinId="8" hidden="1"/>
    <cellStyle name="Lien hypertexte" xfId="10773" builtinId="8" hidden="1"/>
    <cellStyle name="Lien hypertexte" xfId="10775" builtinId="8" hidden="1"/>
    <cellStyle name="Lien hypertexte" xfId="10777" builtinId="8" hidden="1"/>
    <cellStyle name="Lien hypertexte" xfId="10779" builtinId="8" hidden="1"/>
    <cellStyle name="Lien hypertexte" xfId="10781" builtinId="8" hidden="1"/>
    <cellStyle name="Lien hypertexte" xfId="10783" builtinId="8" hidden="1"/>
    <cellStyle name="Lien hypertexte" xfId="10785" builtinId="8" hidden="1"/>
    <cellStyle name="Lien hypertexte" xfId="10787" builtinId="8" hidden="1"/>
    <cellStyle name="Lien hypertexte" xfId="10789" builtinId="8" hidden="1"/>
    <cellStyle name="Lien hypertexte" xfId="10791" builtinId="8" hidden="1"/>
    <cellStyle name="Lien hypertexte" xfId="10793" builtinId="8" hidden="1"/>
    <cellStyle name="Lien hypertexte" xfId="10795" builtinId="8" hidden="1"/>
    <cellStyle name="Lien hypertexte" xfId="10797" builtinId="8" hidden="1"/>
    <cellStyle name="Lien hypertexte" xfId="10799" builtinId="8" hidden="1"/>
    <cellStyle name="Lien hypertexte" xfId="10801" builtinId="8" hidden="1"/>
    <cellStyle name="Lien hypertexte" xfId="10803" builtinId="8" hidden="1"/>
    <cellStyle name="Lien hypertexte" xfId="10805" builtinId="8" hidden="1"/>
    <cellStyle name="Lien hypertexte" xfId="10807" builtinId="8" hidden="1"/>
    <cellStyle name="Lien hypertexte" xfId="10809" builtinId="8" hidden="1"/>
    <cellStyle name="Lien hypertexte" xfId="10811" builtinId="8" hidden="1"/>
    <cellStyle name="Lien hypertexte" xfId="10813" builtinId="8" hidden="1"/>
    <cellStyle name="Lien hypertexte" xfId="10815" builtinId="8" hidden="1"/>
    <cellStyle name="Lien hypertexte" xfId="10817" builtinId="8" hidden="1"/>
    <cellStyle name="Lien hypertexte" xfId="10819" builtinId="8" hidden="1"/>
    <cellStyle name="Lien hypertexte" xfId="10821" builtinId="8" hidden="1"/>
    <cellStyle name="Lien hypertexte" xfId="10823" builtinId="8" hidden="1"/>
    <cellStyle name="Lien hypertexte" xfId="10825" builtinId="8" hidden="1"/>
    <cellStyle name="Lien hypertexte" xfId="10827" builtinId="8" hidden="1"/>
    <cellStyle name="Lien hypertexte" xfId="10829" builtinId="8" hidden="1"/>
    <cellStyle name="Lien hypertexte" xfId="10831" builtinId="8" hidden="1"/>
    <cellStyle name="Lien hypertexte" xfId="10833" builtinId="8" hidden="1"/>
    <cellStyle name="Lien hypertexte" xfId="10835" builtinId="8" hidden="1"/>
    <cellStyle name="Lien hypertexte" xfId="10837" builtinId="8" hidden="1"/>
    <cellStyle name="Lien hypertexte" xfId="10839" builtinId="8" hidden="1"/>
    <cellStyle name="Lien hypertexte" xfId="10841" builtinId="8" hidden="1"/>
    <cellStyle name="Lien hypertexte" xfId="10843" builtinId="8" hidden="1"/>
    <cellStyle name="Lien hypertexte" xfId="10845" builtinId="8" hidden="1"/>
    <cellStyle name="Lien hypertexte" xfId="10847" builtinId="8" hidden="1"/>
    <cellStyle name="Lien hypertexte" xfId="10849" builtinId="8" hidden="1"/>
    <cellStyle name="Lien hypertexte" xfId="10851" builtinId="8" hidden="1"/>
    <cellStyle name="Lien hypertexte" xfId="10853" builtinId="8" hidden="1"/>
    <cellStyle name="Lien hypertexte" xfId="10855" builtinId="8" hidden="1"/>
    <cellStyle name="Lien hypertexte" xfId="10857" builtinId="8" hidden="1"/>
    <cellStyle name="Lien hypertexte" xfId="10859" builtinId="8" hidden="1"/>
    <cellStyle name="Lien hypertexte" xfId="10861" builtinId="8" hidden="1"/>
    <cellStyle name="Lien hypertexte" xfId="10863" builtinId="8" hidden="1"/>
    <cellStyle name="Lien hypertexte" xfId="10865" builtinId="8" hidden="1"/>
    <cellStyle name="Lien hypertexte" xfId="10867" builtinId="8" hidden="1"/>
    <cellStyle name="Lien hypertexte" xfId="10869" builtinId="8" hidden="1"/>
    <cellStyle name="Lien hypertexte" xfId="10871" builtinId="8" hidden="1"/>
    <cellStyle name="Lien hypertexte" xfId="10873" builtinId="8" hidden="1"/>
    <cellStyle name="Lien hypertexte" xfId="10875" builtinId="8" hidden="1"/>
    <cellStyle name="Lien hypertexte" xfId="10877" builtinId="8" hidden="1"/>
    <cellStyle name="Lien hypertexte" xfId="10879" builtinId="8" hidden="1"/>
    <cellStyle name="Lien hypertexte" xfId="10881" builtinId="8" hidden="1"/>
    <cellStyle name="Lien hypertexte" xfId="10883" builtinId="8" hidden="1"/>
    <cellStyle name="Lien hypertexte" xfId="10885" builtinId="8" hidden="1"/>
    <cellStyle name="Lien hypertexte" xfId="10887" builtinId="8" hidden="1"/>
    <cellStyle name="Lien hypertexte" xfId="10889" builtinId="8" hidden="1"/>
    <cellStyle name="Lien hypertexte" xfId="10891" builtinId="8" hidden="1"/>
    <cellStyle name="Lien hypertexte" xfId="10893" builtinId="8" hidden="1"/>
    <cellStyle name="Lien hypertexte" xfId="10895" builtinId="8" hidden="1"/>
    <cellStyle name="Lien hypertexte" xfId="10897" builtinId="8" hidden="1"/>
    <cellStyle name="Lien hypertexte" xfId="10899" builtinId="8" hidden="1"/>
    <cellStyle name="Lien hypertexte" xfId="10901" builtinId="8" hidden="1"/>
    <cellStyle name="Lien hypertexte" xfId="10903" builtinId="8" hidden="1"/>
    <cellStyle name="Lien hypertexte" xfId="10905" builtinId="8" hidden="1"/>
    <cellStyle name="Lien hypertexte" xfId="10907" builtinId="8" hidden="1"/>
    <cellStyle name="Lien hypertexte" xfId="10909" builtinId="8" hidden="1"/>
    <cellStyle name="Lien hypertexte" xfId="10911" builtinId="8" hidden="1"/>
    <cellStyle name="Lien hypertexte" xfId="10913" builtinId="8" hidden="1"/>
    <cellStyle name="Lien hypertexte" xfId="10915" builtinId="8" hidden="1"/>
    <cellStyle name="Lien hypertexte" xfId="10917" builtinId="8" hidden="1"/>
    <cellStyle name="Lien hypertexte" xfId="10919" builtinId="8" hidden="1"/>
    <cellStyle name="Lien hypertexte" xfId="10921" builtinId="8" hidden="1"/>
    <cellStyle name="Lien hypertexte" xfId="10923" builtinId="8" hidden="1"/>
    <cellStyle name="Lien hypertexte" xfId="10925" builtinId="8" hidden="1"/>
    <cellStyle name="Lien hypertexte" xfId="10927" builtinId="8" hidden="1"/>
    <cellStyle name="Lien hypertexte" xfId="10929" builtinId="8" hidden="1"/>
    <cellStyle name="Lien hypertexte" xfId="10931" builtinId="8" hidden="1"/>
    <cellStyle name="Lien hypertexte" xfId="10933" builtinId="8" hidden="1"/>
    <cellStyle name="Lien hypertexte" xfId="10935" builtinId="8" hidden="1"/>
    <cellStyle name="Lien hypertexte" xfId="10937" builtinId="8" hidden="1"/>
    <cellStyle name="Lien hypertexte" xfId="10939" builtinId="8" hidden="1"/>
    <cellStyle name="Lien hypertexte" xfId="10941" builtinId="8" hidden="1"/>
    <cellStyle name="Lien hypertexte" xfId="10943" builtinId="8" hidden="1"/>
    <cellStyle name="Lien hypertexte" xfId="10945" builtinId="8" hidden="1"/>
    <cellStyle name="Lien hypertexte" xfId="10947" builtinId="8" hidden="1"/>
    <cellStyle name="Lien hypertexte" xfId="10949" builtinId="8" hidden="1"/>
    <cellStyle name="Lien hypertexte" xfId="10951" builtinId="8" hidden="1"/>
    <cellStyle name="Lien hypertexte" xfId="10953" builtinId="8" hidden="1"/>
    <cellStyle name="Lien hypertexte" xfId="10955" builtinId="8" hidden="1"/>
    <cellStyle name="Lien hypertexte" xfId="10957" builtinId="8" hidden="1"/>
    <cellStyle name="Lien hypertexte" xfId="10959" builtinId="8" hidden="1"/>
    <cellStyle name="Lien hypertexte" xfId="10961" builtinId="8" hidden="1"/>
    <cellStyle name="Lien hypertexte" xfId="10963" builtinId="8" hidden="1"/>
    <cellStyle name="Lien hypertexte" xfId="10965" builtinId="8" hidden="1"/>
    <cellStyle name="Lien hypertexte" xfId="10967" builtinId="8" hidden="1"/>
    <cellStyle name="Lien hypertexte" xfId="10969" builtinId="8" hidden="1"/>
    <cellStyle name="Lien hypertexte" xfId="10971" builtinId="8" hidden="1"/>
    <cellStyle name="Lien hypertexte" xfId="10973" builtinId="8" hidden="1"/>
    <cellStyle name="Lien hypertexte" xfId="10975" builtinId="8" hidden="1"/>
    <cellStyle name="Lien hypertexte" xfId="10977" builtinId="8" hidden="1"/>
    <cellStyle name="Lien hypertexte" xfId="10979" builtinId="8" hidden="1"/>
    <cellStyle name="Lien hypertexte" xfId="10981" builtinId="8" hidden="1"/>
    <cellStyle name="Lien hypertexte" xfId="10983" builtinId="8" hidden="1"/>
    <cellStyle name="Lien hypertexte" xfId="10985" builtinId="8" hidden="1"/>
    <cellStyle name="Lien hypertexte" xfId="10987" builtinId="8" hidden="1"/>
    <cellStyle name="Lien hypertexte" xfId="10989" builtinId="8" hidden="1"/>
    <cellStyle name="Lien hypertexte" xfId="10991" builtinId="8" hidden="1"/>
    <cellStyle name="Lien hypertexte" xfId="10993" builtinId="8" hidden="1"/>
    <cellStyle name="Lien hypertexte" xfId="10995" builtinId="8" hidden="1"/>
    <cellStyle name="Lien hypertexte" xfId="10997" builtinId="8" hidden="1"/>
    <cellStyle name="Lien hypertexte" xfId="10999" builtinId="8" hidden="1"/>
    <cellStyle name="Lien hypertexte" xfId="11001" builtinId="8" hidden="1"/>
    <cellStyle name="Lien hypertexte" xfId="11003" builtinId="8" hidden="1"/>
    <cellStyle name="Lien hypertexte" xfId="11005" builtinId="8" hidden="1"/>
    <cellStyle name="Lien hypertexte" xfId="11007" builtinId="8" hidden="1"/>
    <cellStyle name="Lien hypertexte" xfId="11009" builtinId="8" hidden="1"/>
    <cellStyle name="Lien hypertexte" xfId="11011" builtinId="8" hidden="1"/>
    <cellStyle name="Lien hypertexte" xfId="11013" builtinId="8" hidden="1"/>
    <cellStyle name="Lien hypertexte" xfId="11015" builtinId="8" hidden="1"/>
    <cellStyle name="Lien hypertexte" xfId="11017" builtinId="8" hidden="1"/>
    <cellStyle name="Lien hypertexte" xfId="11019" builtinId="8" hidden="1"/>
    <cellStyle name="Lien hypertexte" xfId="11021" builtinId="8" hidden="1"/>
    <cellStyle name="Lien hypertexte" xfId="11023" builtinId="8" hidden="1"/>
    <cellStyle name="Lien hypertexte" xfId="11025" builtinId="8" hidden="1"/>
    <cellStyle name="Lien hypertexte" xfId="11027" builtinId="8" hidden="1"/>
    <cellStyle name="Lien hypertexte" xfId="11029" builtinId="8" hidden="1"/>
    <cellStyle name="Lien hypertexte" xfId="11031" builtinId="8" hidden="1"/>
    <cellStyle name="Lien hypertexte" xfId="11033" builtinId="8" hidden="1"/>
    <cellStyle name="Lien hypertexte" xfId="11035" builtinId="8" hidden="1"/>
    <cellStyle name="Lien hypertexte" xfId="11037" builtinId="8" hidden="1"/>
    <cellStyle name="Lien hypertexte" xfId="11039" builtinId="8" hidden="1"/>
    <cellStyle name="Lien hypertexte" xfId="11041" builtinId="8" hidden="1"/>
    <cellStyle name="Lien hypertexte" xfId="11043" builtinId="8" hidden="1"/>
    <cellStyle name="Lien hypertexte" xfId="11045" builtinId="8" hidden="1"/>
    <cellStyle name="Lien hypertexte" xfId="11047" builtinId="8" hidden="1"/>
    <cellStyle name="Lien hypertexte" xfId="11049" builtinId="8" hidden="1"/>
    <cellStyle name="Lien hypertexte" xfId="11051" builtinId="8" hidden="1"/>
    <cellStyle name="Lien hypertexte" xfId="11053" builtinId="8" hidden="1"/>
    <cellStyle name="Lien hypertexte" xfId="11055" builtinId="8" hidden="1"/>
    <cellStyle name="Lien hypertexte" xfId="11057" builtinId="8" hidden="1"/>
    <cellStyle name="Lien hypertexte" xfId="11059" builtinId="8" hidden="1"/>
    <cellStyle name="Lien hypertexte" xfId="11061" builtinId="8" hidden="1"/>
    <cellStyle name="Lien hypertexte" xfId="11063" builtinId="8" hidden="1"/>
    <cellStyle name="Lien hypertexte" xfId="11065" builtinId="8" hidden="1"/>
    <cellStyle name="Lien hypertexte" xfId="11067" builtinId="8" hidden="1"/>
    <cellStyle name="Lien hypertexte" xfId="11069" builtinId="8" hidden="1"/>
    <cellStyle name="Lien hypertexte" xfId="11071" builtinId="8" hidden="1"/>
    <cellStyle name="Lien hypertexte" xfId="11073" builtinId="8" hidden="1"/>
    <cellStyle name="Lien hypertexte" xfId="11075" builtinId="8" hidden="1"/>
    <cellStyle name="Lien hypertexte" xfId="11077" builtinId="8" hidden="1"/>
    <cellStyle name="Lien hypertexte" xfId="11079" builtinId="8" hidden="1"/>
    <cellStyle name="Lien hypertexte" xfId="11081" builtinId="8" hidden="1"/>
    <cellStyle name="Lien hypertexte" xfId="11083" builtinId="8" hidden="1"/>
    <cellStyle name="Lien hypertexte" xfId="11085" builtinId="8" hidden="1"/>
    <cellStyle name="Lien hypertexte" xfId="11087" builtinId="8" hidden="1"/>
    <cellStyle name="Lien hypertexte" xfId="11089" builtinId="8" hidden="1"/>
    <cellStyle name="Lien hypertexte" xfId="11091" builtinId="8" hidden="1"/>
    <cellStyle name="Lien hypertexte" xfId="11093" builtinId="8" hidden="1"/>
    <cellStyle name="Lien hypertexte" xfId="11095" builtinId="8" hidden="1"/>
    <cellStyle name="Lien hypertexte" xfId="11097" builtinId="8" hidden="1"/>
    <cellStyle name="Lien hypertexte" xfId="11099" builtinId="8" hidden="1"/>
    <cellStyle name="Lien hypertexte" xfId="11101" builtinId="8" hidden="1"/>
    <cellStyle name="Lien hypertexte" xfId="11103" builtinId="8" hidden="1"/>
    <cellStyle name="Lien hypertexte" xfId="11105" builtinId="8" hidden="1"/>
    <cellStyle name="Lien hypertexte" xfId="11107" builtinId="8" hidden="1"/>
    <cellStyle name="Lien hypertexte" xfId="11109" builtinId="8" hidden="1"/>
    <cellStyle name="Lien hypertexte" xfId="11111" builtinId="8" hidden="1"/>
    <cellStyle name="Lien hypertexte" xfId="11113" builtinId="8" hidden="1"/>
    <cellStyle name="Lien hypertexte" xfId="11115" builtinId="8" hidden="1"/>
    <cellStyle name="Lien hypertexte" xfId="11117" builtinId="8" hidden="1"/>
    <cellStyle name="Lien hypertexte" xfId="11119" builtinId="8" hidden="1"/>
    <cellStyle name="Lien hypertexte" xfId="11121" builtinId="8" hidden="1"/>
    <cellStyle name="Lien hypertexte" xfId="11123" builtinId="8" hidden="1"/>
    <cellStyle name="Lien hypertexte" xfId="11125" builtinId="8" hidden="1"/>
    <cellStyle name="Lien hypertexte" xfId="11127" builtinId="8" hidden="1"/>
    <cellStyle name="Lien hypertexte" xfId="11129" builtinId="8" hidden="1"/>
    <cellStyle name="Lien hypertexte" xfId="11131" builtinId="8" hidden="1"/>
    <cellStyle name="Lien hypertexte" xfId="11133" builtinId="8" hidden="1"/>
    <cellStyle name="Lien hypertexte" xfId="11135" builtinId="8" hidden="1"/>
    <cellStyle name="Lien hypertexte" xfId="11137" builtinId="8" hidden="1"/>
    <cellStyle name="Lien hypertexte" xfId="11139" builtinId="8" hidden="1"/>
    <cellStyle name="Lien hypertexte" xfId="11141" builtinId="8" hidden="1"/>
    <cellStyle name="Lien hypertexte" xfId="11143" builtinId="8" hidden="1"/>
    <cellStyle name="Lien hypertexte" xfId="11145" builtinId="8" hidden="1"/>
    <cellStyle name="Lien hypertexte" xfId="11147" builtinId="8" hidden="1"/>
    <cellStyle name="Lien hypertexte" xfId="11149" builtinId="8" hidden="1"/>
    <cellStyle name="Lien hypertexte" xfId="11151" builtinId="8" hidden="1"/>
    <cellStyle name="Lien hypertexte" xfId="11153" builtinId="8" hidden="1"/>
    <cellStyle name="Lien hypertexte" xfId="11155" builtinId="8" hidden="1"/>
    <cellStyle name="Lien hypertexte" xfId="11157" builtinId="8" hidden="1"/>
    <cellStyle name="Lien hypertexte" xfId="11159" builtinId="8" hidden="1"/>
    <cellStyle name="Lien hypertexte" xfId="11161" builtinId="8" hidden="1"/>
    <cellStyle name="Lien hypertexte" xfId="11163" builtinId="8" hidden="1"/>
    <cellStyle name="Lien hypertexte" xfId="11165" builtinId="8" hidden="1"/>
    <cellStyle name="Lien hypertexte" xfId="11167" builtinId="8" hidden="1"/>
    <cellStyle name="Lien hypertexte" xfId="11169" builtinId="8" hidden="1"/>
    <cellStyle name="Lien hypertexte" xfId="11171" builtinId="8" hidden="1"/>
    <cellStyle name="Lien hypertexte" xfId="11173" builtinId="8" hidden="1"/>
    <cellStyle name="Lien hypertexte" xfId="11175" builtinId="8" hidden="1"/>
    <cellStyle name="Lien hypertexte" xfId="11177" builtinId="8" hidden="1"/>
    <cellStyle name="Lien hypertexte" xfId="11179" builtinId="8" hidden="1"/>
    <cellStyle name="Lien hypertexte" xfId="11181" builtinId="8" hidden="1"/>
    <cellStyle name="Lien hypertexte" xfId="11183" builtinId="8" hidden="1"/>
    <cellStyle name="Lien hypertexte" xfId="11185" builtinId="8" hidden="1"/>
    <cellStyle name="Lien hypertexte" xfId="11187" builtinId="8" hidden="1"/>
    <cellStyle name="Lien hypertexte" xfId="11189" builtinId="8" hidden="1"/>
    <cellStyle name="Lien hypertexte" xfId="11191" builtinId="8" hidden="1"/>
    <cellStyle name="Lien hypertexte" xfId="11193" builtinId="8" hidden="1"/>
    <cellStyle name="Lien hypertexte" xfId="11195" builtinId="8" hidden="1"/>
    <cellStyle name="Lien hypertexte" xfId="11197" builtinId="8" hidden="1"/>
    <cellStyle name="Lien hypertexte" xfId="11199" builtinId="8" hidden="1"/>
    <cellStyle name="Lien hypertexte" xfId="11201" builtinId="8" hidden="1"/>
    <cellStyle name="Lien hypertexte" xfId="11203" builtinId="8" hidden="1"/>
    <cellStyle name="Lien hypertexte" xfId="11205" builtinId="8" hidden="1"/>
    <cellStyle name="Lien hypertexte" xfId="11207" builtinId="8" hidden="1"/>
    <cellStyle name="Lien hypertexte" xfId="11209" builtinId="8" hidden="1"/>
    <cellStyle name="Lien hypertexte" xfId="11211" builtinId="8" hidden="1"/>
    <cellStyle name="Lien hypertexte" xfId="11213" builtinId="8" hidden="1"/>
    <cellStyle name="Lien hypertexte" xfId="11215" builtinId="8" hidden="1"/>
    <cellStyle name="Lien hypertexte" xfId="11217" builtinId="8" hidden="1"/>
    <cellStyle name="Lien hypertexte" xfId="11219" builtinId="8" hidden="1"/>
    <cellStyle name="Lien hypertexte" xfId="11221" builtinId="8" hidden="1"/>
    <cellStyle name="Lien hypertexte" xfId="11223" builtinId="8" hidden="1"/>
    <cellStyle name="Lien hypertexte" xfId="11225" builtinId="8" hidden="1"/>
    <cellStyle name="Lien hypertexte" xfId="11227" builtinId="8" hidden="1"/>
    <cellStyle name="Lien hypertexte" xfId="11229" builtinId="8" hidden="1"/>
    <cellStyle name="Lien hypertexte" xfId="11231" builtinId="8" hidden="1"/>
    <cellStyle name="Lien hypertexte" xfId="11233" builtinId="8" hidden="1"/>
    <cellStyle name="Lien hypertexte" xfId="11235" builtinId="8" hidden="1"/>
    <cellStyle name="Lien hypertexte" xfId="11237" builtinId="8" hidden="1"/>
    <cellStyle name="Lien hypertexte" xfId="11239" builtinId="8" hidden="1"/>
    <cellStyle name="Lien hypertexte" xfId="11241" builtinId="8" hidden="1"/>
    <cellStyle name="Lien hypertexte" xfId="11243" builtinId="8" hidden="1"/>
    <cellStyle name="Lien hypertexte" xfId="11245" builtinId="8" hidden="1"/>
    <cellStyle name="Lien hypertexte" xfId="11247" builtinId="8" hidden="1"/>
    <cellStyle name="Lien hypertexte" xfId="11249" builtinId="8" hidden="1"/>
    <cellStyle name="Lien hypertexte" xfId="11251" builtinId="8" hidden="1"/>
    <cellStyle name="Lien hypertexte" xfId="11253" builtinId="8" hidden="1"/>
    <cellStyle name="Lien hypertexte" xfId="11255" builtinId="8" hidden="1"/>
    <cellStyle name="Lien hypertexte" xfId="11257" builtinId="8" hidden="1"/>
    <cellStyle name="Lien hypertexte" xfId="11259" builtinId="8" hidden="1"/>
    <cellStyle name="Lien hypertexte" xfId="11261" builtinId="8" hidden="1"/>
    <cellStyle name="Lien hypertexte" xfId="11263" builtinId="8" hidden="1"/>
    <cellStyle name="Lien hypertexte" xfId="11265" builtinId="8" hidden="1"/>
    <cellStyle name="Lien hypertexte" xfId="11267" builtinId="8" hidden="1"/>
    <cellStyle name="Lien hypertexte" xfId="11269" builtinId="8" hidden="1"/>
    <cellStyle name="Lien hypertexte" xfId="11271" builtinId="8" hidden="1"/>
    <cellStyle name="Lien hypertexte" xfId="11273" builtinId="8" hidden="1"/>
    <cellStyle name="Lien hypertexte" xfId="11275" builtinId="8" hidden="1"/>
    <cellStyle name="Lien hypertexte" xfId="11277" builtinId="8" hidden="1"/>
    <cellStyle name="Lien hypertexte" xfId="11279" builtinId="8" hidden="1"/>
    <cellStyle name="Lien hypertexte" xfId="11281" builtinId="8" hidden="1"/>
    <cellStyle name="Lien hypertexte" xfId="11283" builtinId="8" hidden="1"/>
    <cellStyle name="Lien hypertexte" xfId="11285" builtinId="8" hidden="1"/>
    <cellStyle name="Lien hypertexte" xfId="11287" builtinId="8" hidden="1"/>
    <cellStyle name="Lien hypertexte" xfId="11289" builtinId="8" hidden="1"/>
    <cellStyle name="Lien hypertexte" xfId="11291" builtinId="8" hidden="1"/>
    <cellStyle name="Lien hypertexte" xfId="11293" builtinId="8" hidden="1"/>
    <cellStyle name="Lien hypertexte" xfId="11295" builtinId="8" hidden="1"/>
    <cellStyle name="Lien hypertexte" xfId="11297" builtinId="8" hidden="1"/>
    <cellStyle name="Lien hypertexte" xfId="11299" builtinId="8" hidden="1"/>
    <cellStyle name="Lien hypertexte" xfId="11301" builtinId="8" hidden="1"/>
    <cellStyle name="Lien hypertexte" xfId="11303" builtinId="8" hidden="1"/>
    <cellStyle name="Lien hypertexte" xfId="11305" builtinId="8" hidden="1"/>
    <cellStyle name="Lien hypertexte" xfId="11307" builtinId="8" hidden="1"/>
    <cellStyle name="Lien hypertexte" xfId="11309" builtinId="8" hidden="1"/>
    <cellStyle name="Lien hypertexte" xfId="11311" builtinId="8" hidden="1"/>
    <cellStyle name="Lien hypertexte" xfId="11313" builtinId="8" hidden="1"/>
    <cellStyle name="Lien hypertexte" xfId="11315" builtinId="8" hidden="1"/>
    <cellStyle name="Lien hypertexte" xfId="11317" builtinId="8" hidden="1"/>
    <cellStyle name="Lien hypertexte" xfId="11319" builtinId="8" hidden="1"/>
    <cellStyle name="Lien hypertexte" xfId="11321" builtinId="8" hidden="1"/>
    <cellStyle name="Lien hypertexte" xfId="11323" builtinId="8" hidden="1"/>
    <cellStyle name="Lien hypertexte" xfId="11325" builtinId="8" hidden="1"/>
    <cellStyle name="Lien hypertexte" xfId="11327" builtinId="8" hidden="1"/>
    <cellStyle name="Lien hypertexte" xfId="11329" builtinId="8" hidden="1"/>
    <cellStyle name="Lien hypertexte" xfId="11331" builtinId="8" hidden="1"/>
    <cellStyle name="Lien hypertexte" xfId="11333" builtinId="8" hidden="1"/>
    <cellStyle name="Lien hypertexte" xfId="11335" builtinId="8" hidden="1"/>
    <cellStyle name="Lien hypertexte" xfId="11337" builtinId="8" hidden="1"/>
    <cellStyle name="Lien hypertexte" xfId="11339" builtinId="8" hidden="1"/>
    <cellStyle name="Lien hypertexte" xfId="11341" builtinId="8" hidden="1"/>
    <cellStyle name="Lien hypertexte" xfId="11343" builtinId="8" hidden="1"/>
    <cellStyle name="Lien hypertexte" xfId="11345" builtinId="8" hidden="1"/>
    <cellStyle name="Lien hypertexte" xfId="11347" builtinId="8" hidden="1"/>
    <cellStyle name="Lien hypertexte" xfId="11349" builtinId="8" hidden="1"/>
    <cellStyle name="Lien hypertexte" xfId="11351" builtinId="8" hidden="1"/>
    <cellStyle name="Lien hypertexte" xfId="11353" builtinId="8" hidden="1"/>
    <cellStyle name="Lien hypertexte" xfId="11355" builtinId="8" hidden="1"/>
    <cellStyle name="Lien hypertexte" xfId="11357" builtinId="8" hidden="1"/>
    <cellStyle name="Lien hypertexte" xfId="11359" builtinId="8" hidden="1"/>
    <cellStyle name="Lien hypertexte" xfId="11361" builtinId="8" hidden="1"/>
    <cellStyle name="Lien hypertexte" xfId="11363" builtinId="8" hidden="1"/>
    <cellStyle name="Lien hypertexte" xfId="11365" builtinId="8" hidden="1"/>
    <cellStyle name="Lien hypertexte" xfId="11367" builtinId="8" hidden="1"/>
    <cellStyle name="Lien hypertexte" xfId="11369" builtinId="8" hidden="1"/>
    <cellStyle name="Lien hypertexte" xfId="11371" builtinId="8" hidden="1"/>
    <cellStyle name="Lien hypertexte" xfId="11373" builtinId="8" hidden="1"/>
    <cellStyle name="Lien hypertexte" xfId="11375" builtinId="8" hidden="1"/>
    <cellStyle name="Lien hypertexte" xfId="11377" builtinId="8" hidden="1"/>
    <cellStyle name="Lien hypertexte" xfId="11379" builtinId="8" hidden="1"/>
    <cellStyle name="Lien hypertexte" xfId="11381" builtinId="8" hidden="1"/>
    <cellStyle name="Lien hypertexte" xfId="11383" builtinId="8" hidden="1"/>
    <cellStyle name="Lien hypertexte" xfId="11385" builtinId="8" hidden="1"/>
    <cellStyle name="Lien hypertexte" xfId="11387" builtinId="8" hidden="1"/>
    <cellStyle name="Lien hypertexte" xfId="11389" builtinId="8" hidden="1"/>
    <cellStyle name="Lien hypertexte" xfId="11391" builtinId="8" hidden="1"/>
    <cellStyle name="Lien hypertexte" xfId="11393" builtinId="8" hidden="1"/>
    <cellStyle name="Lien hypertexte" xfId="11395" builtinId="8" hidden="1"/>
    <cellStyle name="Lien hypertexte" xfId="11397" builtinId="8" hidden="1"/>
    <cellStyle name="Lien hypertexte" xfId="11399" builtinId="8" hidden="1"/>
    <cellStyle name="Lien hypertexte" xfId="11401" builtinId="8" hidden="1"/>
    <cellStyle name="Lien hypertexte" xfId="11403" builtinId="8" hidden="1"/>
    <cellStyle name="Lien hypertexte" xfId="11405" builtinId="8" hidden="1"/>
    <cellStyle name="Lien hypertexte" xfId="11407" builtinId="8" hidden="1"/>
    <cellStyle name="Lien hypertexte" xfId="11409" builtinId="8" hidden="1"/>
    <cellStyle name="Lien hypertexte" xfId="11411" builtinId="8" hidden="1"/>
    <cellStyle name="Lien hypertexte" xfId="11413" builtinId="8" hidden="1"/>
    <cellStyle name="Lien hypertexte" xfId="11415" builtinId="8" hidden="1"/>
    <cellStyle name="Lien hypertexte" xfId="11417" builtinId="8" hidden="1"/>
    <cellStyle name="Lien hypertexte" xfId="11419" builtinId="8" hidden="1"/>
    <cellStyle name="Lien hypertexte" xfId="11421" builtinId="8" hidden="1"/>
    <cellStyle name="Lien hypertexte" xfId="11423" builtinId="8" hidden="1"/>
    <cellStyle name="Lien hypertexte" xfId="11425" builtinId="8" hidden="1"/>
    <cellStyle name="Lien hypertexte" xfId="11427" builtinId="8" hidden="1"/>
    <cellStyle name="Lien hypertexte" xfId="11429" builtinId="8" hidden="1"/>
    <cellStyle name="Lien hypertexte" xfId="11431" builtinId="8" hidden="1"/>
    <cellStyle name="Lien hypertexte" xfId="11433" builtinId="8" hidden="1"/>
    <cellStyle name="Lien hypertexte" xfId="11435" builtinId="8" hidden="1"/>
    <cellStyle name="Lien hypertexte" xfId="11437" builtinId="8" hidden="1"/>
    <cellStyle name="Lien hypertexte" xfId="11439" builtinId="8" hidden="1"/>
    <cellStyle name="Lien hypertexte" xfId="11441" builtinId="8" hidden="1"/>
    <cellStyle name="Lien hypertexte" xfId="11443" builtinId="8" hidden="1"/>
    <cellStyle name="Lien hypertexte" xfId="11445" builtinId="8" hidden="1"/>
    <cellStyle name="Lien hypertexte" xfId="11447" builtinId="8" hidden="1"/>
    <cellStyle name="Lien hypertexte" xfId="11449" builtinId="8" hidden="1"/>
    <cellStyle name="Lien hypertexte" xfId="11451" builtinId="8" hidden="1"/>
    <cellStyle name="Lien hypertexte" xfId="11453" builtinId="8" hidden="1"/>
    <cellStyle name="Lien hypertexte" xfId="11455" builtinId="8" hidden="1"/>
    <cellStyle name="Lien hypertexte" xfId="11457" builtinId="8" hidden="1"/>
    <cellStyle name="Lien hypertexte" xfId="11459" builtinId="8" hidden="1"/>
    <cellStyle name="Lien hypertexte" xfId="11461" builtinId="8" hidden="1"/>
    <cellStyle name="Lien hypertexte" xfId="11463" builtinId="8" hidden="1"/>
    <cellStyle name="Lien hypertexte" xfId="11465" builtinId="8" hidden="1"/>
    <cellStyle name="Lien hypertexte" xfId="11467" builtinId="8" hidden="1"/>
    <cellStyle name="Lien hypertexte" xfId="11469" builtinId="8" hidden="1"/>
    <cellStyle name="Lien hypertexte" xfId="11471" builtinId="8" hidden="1"/>
    <cellStyle name="Lien hypertexte" xfId="11473" builtinId="8" hidden="1"/>
    <cellStyle name="Lien hypertexte" xfId="11475" builtinId="8" hidden="1"/>
    <cellStyle name="Lien hypertexte" xfId="11477" builtinId="8" hidden="1"/>
    <cellStyle name="Lien hypertexte" xfId="11479" builtinId="8" hidden="1"/>
    <cellStyle name="Lien hypertexte" xfId="11481" builtinId="8" hidden="1"/>
    <cellStyle name="Lien hypertexte" xfId="11483" builtinId="8" hidden="1"/>
    <cellStyle name="Lien hypertexte" xfId="11485" builtinId="8" hidden="1"/>
    <cellStyle name="Lien hypertexte" xfId="11487" builtinId="8" hidden="1"/>
    <cellStyle name="Lien hypertexte" xfId="11489" builtinId="8" hidden="1"/>
    <cellStyle name="Lien hypertexte" xfId="11491" builtinId="8" hidden="1"/>
    <cellStyle name="Lien hypertexte" xfId="11493" builtinId="8" hidden="1"/>
    <cellStyle name="Lien hypertexte" xfId="11495" builtinId="8" hidden="1"/>
    <cellStyle name="Lien hypertexte" xfId="11497" builtinId="8" hidden="1"/>
    <cellStyle name="Lien hypertexte" xfId="11499" builtinId="8" hidden="1"/>
    <cellStyle name="Lien hypertexte" xfId="11501" builtinId="8" hidden="1"/>
    <cellStyle name="Lien hypertexte" xfId="11503" builtinId="8" hidden="1"/>
    <cellStyle name="Lien hypertexte" xfId="11505" builtinId="8" hidden="1"/>
    <cellStyle name="Lien hypertexte" xfId="11507" builtinId="8" hidden="1"/>
    <cellStyle name="Lien hypertexte" xfId="11509" builtinId="8" hidden="1"/>
    <cellStyle name="Lien hypertexte" xfId="11511" builtinId="8" hidden="1"/>
    <cellStyle name="Lien hypertexte" xfId="11513" builtinId="8" hidden="1"/>
    <cellStyle name="Lien hypertexte" xfId="11515" builtinId="8" hidden="1"/>
    <cellStyle name="Lien hypertexte" xfId="11517" builtinId="8" hidden="1"/>
    <cellStyle name="Lien hypertexte" xfId="11519" builtinId="8" hidden="1"/>
    <cellStyle name="Lien hypertexte" xfId="11521" builtinId="8" hidden="1"/>
    <cellStyle name="Lien hypertexte" xfId="11523" builtinId="8" hidden="1"/>
    <cellStyle name="Lien hypertexte" xfId="11525" builtinId="8" hidden="1"/>
    <cellStyle name="Lien hypertexte" xfId="11527" builtinId="8" hidden="1"/>
    <cellStyle name="Lien hypertexte" xfId="11529" builtinId="8" hidden="1"/>
    <cellStyle name="Lien hypertexte" xfId="11531" builtinId="8" hidden="1"/>
    <cellStyle name="Lien hypertexte" xfId="11533" builtinId="8" hidden="1"/>
    <cellStyle name="Lien hypertexte" xfId="11535" builtinId="8" hidden="1"/>
    <cellStyle name="Lien hypertexte" xfId="11537" builtinId="8" hidden="1"/>
    <cellStyle name="Lien hypertexte" xfId="11539" builtinId="8" hidden="1"/>
    <cellStyle name="Lien hypertexte" xfId="11541" builtinId="8" hidden="1"/>
    <cellStyle name="Lien hypertexte" xfId="11543" builtinId="8" hidden="1"/>
    <cellStyle name="Lien hypertexte" xfId="11545" builtinId="8" hidden="1"/>
    <cellStyle name="Lien hypertexte" xfId="11547" builtinId="8" hidden="1"/>
    <cellStyle name="Lien hypertexte" xfId="11549" builtinId="8" hidden="1"/>
    <cellStyle name="Lien hypertexte" xfId="11551" builtinId="8" hidden="1"/>
    <cellStyle name="Lien hypertexte" xfId="11553" builtinId="8" hidden="1"/>
    <cellStyle name="Lien hypertexte" xfId="11555" builtinId="8" hidden="1"/>
    <cellStyle name="Lien hypertexte" xfId="11557" builtinId="8" hidden="1"/>
    <cellStyle name="Lien hypertexte" xfId="11559" builtinId="8" hidden="1"/>
    <cellStyle name="Lien hypertexte" xfId="11561" builtinId="8" hidden="1"/>
    <cellStyle name="Lien hypertexte" xfId="11563" builtinId="8" hidden="1"/>
    <cellStyle name="Lien hypertexte" xfId="11565" builtinId="8" hidden="1"/>
    <cellStyle name="Lien hypertexte" xfId="11567" builtinId="8" hidden="1"/>
    <cellStyle name="Lien hypertexte" xfId="11569" builtinId="8" hidden="1"/>
    <cellStyle name="Lien hypertexte" xfId="11571" builtinId="8" hidden="1"/>
    <cellStyle name="Lien hypertexte" xfId="11573" builtinId="8" hidden="1"/>
    <cellStyle name="Lien hypertexte" xfId="11575" builtinId="8" hidden="1"/>
    <cellStyle name="Lien hypertexte" xfId="11577" builtinId="8" hidden="1"/>
    <cellStyle name="Lien hypertexte" xfId="11579" builtinId="8" hidden="1"/>
    <cellStyle name="Lien hypertexte" xfId="11581" builtinId="8" hidden="1"/>
    <cellStyle name="Lien hypertexte" xfId="11583" builtinId="8" hidden="1"/>
    <cellStyle name="Lien hypertexte" xfId="11585" builtinId="8" hidden="1"/>
    <cellStyle name="Lien hypertexte" xfId="11587" builtinId="8" hidden="1"/>
    <cellStyle name="Lien hypertexte" xfId="11589" builtinId="8" hidden="1"/>
    <cellStyle name="Lien hypertexte" xfId="11591" builtinId="8" hidden="1"/>
    <cellStyle name="Lien hypertexte" xfId="11593" builtinId="8" hidden="1"/>
    <cellStyle name="Lien hypertexte" xfId="11595" builtinId="8" hidden="1"/>
    <cellStyle name="Lien hypertexte" xfId="11597" builtinId="8" hidden="1"/>
    <cellStyle name="Lien hypertexte" xfId="11599" builtinId="8" hidden="1"/>
    <cellStyle name="Lien hypertexte" xfId="11601" builtinId="8" hidden="1"/>
    <cellStyle name="Lien hypertexte" xfId="11603" builtinId="8" hidden="1"/>
    <cellStyle name="Lien hypertexte" xfId="11605" builtinId="8" hidden="1"/>
    <cellStyle name="Lien hypertexte" xfId="11607" builtinId="8" hidden="1"/>
    <cellStyle name="Lien hypertexte" xfId="11609" builtinId="8" hidden="1"/>
    <cellStyle name="Lien hypertexte" xfId="11611" builtinId="8" hidden="1"/>
    <cellStyle name="Lien hypertexte" xfId="11613" builtinId="8" hidden="1"/>
    <cellStyle name="Lien hypertexte" xfId="11615" builtinId="8" hidden="1"/>
    <cellStyle name="Lien hypertexte" xfId="11617" builtinId="8" hidden="1"/>
    <cellStyle name="Lien hypertexte" xfId="11619" builtinId="8" hidden="1"/>
    <cellStyle name="Lien hypertexte" xfId="11621" builtinId="8" hidden="1"/>
    <cellStyle name="Lien hypertexte" xfId="11623" builtinId="8" hidden="1"/>
    <cellStyle name="Lien hypertexte" xfId="11625" builtinId="8" hidden="1"/>
    <cellStyle name="Lien hypertexte" xfId="11627" builtinId="8" hidden="1"/>
    <cellStyle name="Lien hypertexte" xfId="11629" builtinId="8" hidden="1"/>
    <cellStyle name="Lien hypertexte" xfId="11631" builtinId="8" hidden="1"/>
    <cellStyle name="Lien hypertexte" xfId="11633" builtinId="8" hidden="1"/>
    <cellStyle name="Lien hypertexte" xfId="11635" builtinId="8" hidden="1"/>
    <cellStyle name="Lien hypertexte" xfId="11637" builtinId="8" hidden="1"/>
    <cellStyle name="Lien hypertexte" xfId="11639" builtinId="8" hidden="1"/>
    <cellStyle name="Lien hypertexte" xfId="11641" builtinId="8" hidden="1"/>
    <cellStyle name="Lien hypertexte" xfId="11643" builtinId="8" hidden="1"/>
    <cellStyle name="Lien hypertexte" xfId="11645" builtinId="8" hidden="1"/>
    <cellStyle name="Lien hypertexte" xfId="11647" builtinId="8" hidden="1"/>
    <cellStyle name="Lien hypertexte" xfId="11649" builtinId="8" hidden="1"/>
    <cellStyle name="Lien hypertexte" xfId="11651" builtinId="8" hidden="1"/>
    <cellStyle name="Lien hypertexte" xfId="11653" builtinId="8" hidden="1"/>
    <cellStyle name="Lien hypertexte" xfId="11655" builtinId="8" hidden="1"/>
    <cellStyle name="Lien hypertexte" xfId="11657" builtinId="8" hidden="1"/>
    <cellStyle name="Lien hypertexte" xfId="11659" builtinId="8" hidden="1"/>
    <cellStyle name="Lien hypertexte" xfId="11661" builtinId="8" hidden="1"/>
    <cellStyle name="Lien hypertexte" xfId="11663" builtinId="8" hidden="1"/>
    <cellStyle name="Lien hypertexte" xfId="11665" builtinId="8" hidden="1"/>
    <cellStyle name="Lien hypertexte" xfId="11667" builtinId="8" hidden="1"/>
    <cellStyle name="Lien hypertexte" xfId="11669" builtinId="8" hidden="1"/>
    <cellStyle name="Lien hypertexte" xfId="11671" builtinId="8" hidden="1"/>
    <cellStyle name="Lien hypertexte" xfId="11673" builtinId="8" hidden="1"/>
    <cellStyle name="Lien hypertexte" xfId="11675" builtinId="8" hidden="1"/>
    <cellStyle name="Lien hypertexte" xfId="11677" builtinId="8" hidden="1"/>
    <cellStyle name="Lien hypertexte" xfId="11679" builtinId="8" hidden="1"/>
    <cellStyle name="Lien hypertexte" xfId="11681" builtinId="8" hidden="1"/>
    <cellStyle name="Lien hypertexte" xfId="11683" builtinId="8" hidden="1"/>
    <cellStyle name="Lien hypertexte" xfId="11685" builtinId="8" hidden="1"/>
    <cellStyle name="Lien hypertexte" xfId="11687" builtinId="8" hidden="1"/>
    <cellStyle name="Lien hypertexte" xfId="11689" builtinId="8" hidden="1"/>
    <cellStyle name="Lien hypertexte" xfId="11691" builtinId="8" hidden="1"/>
    <cellStyle name="Lien hypertexte" xfId="11693" builtinId="8" hidden="1"/>
    <cellStyle name="Lien hypertexte" xfId="11695" builtinId="8" hidden="1"/>
    <cellStyle name="Lien hypertexte" xfId="11697" builtinId="8" hidden="1"/>
    <cellStyle name="Lien hypertexte" xfId="11699" builtinId="8" hidden="1"/>
    <cellStyle name="Lien hypertexte" xfId="11701" builtinId="8" hidden="1"/>
    <cellStyle name="Lien hypertexte" xfId="11703" builtinId="8" hidden="1"/>
    <cellStyle name="Lien hypertexte" xfId="11705" builtinId="8" hidden="1"/>
    <cellStyle name="Lien hypertexte" xfId="11707" builtinId="8" hidden="1"/>
    <cellStyle name="Lien hypertexte" xfId="11709" builtinId="8" hidden="1"/>
    <cellStyle name="Lien hypertexte" xfId="11711" builtinId="8" hidden="1"/>
    <cellStyle name="Lien hypertexte" xfId="11713" builtinId="8" hidden="1"/>
    <cellStyle name="Lien hypertexte" xfId="11715" builtinId="8" hidden="1"/>
    <cellStyle name="Lien hypertexte" xfId="11717" builtinId="8" hidden="1"/>
    <cellStyle name="Lien hypertexte" xfId="11719" builtinId="8" hidden="1"/>
    <cellStyle name="Lien hypertexte" xfId="11721" builtinId="8" hidden="1"/>
    <cellStyle name="Lien hypertexte" xfId="11723" builtinId="8" hidden="1"/>
    <cellStyle name="Lien hypertexte" xfId="11725" builtinId="8" hidden="1"/>
    <cellStyle name="Lien hypertexte" xfId="11727" builtinId="8" hidden="1"/>
    <cellStyle name="Lien hypertexte" xfId="11729" builtinId="8" hidden="1"/>
    <cellStyle name="Lien hypertexte" xfId="11731" builtinId="8" hidden="1"/>
    <cellStyle name="Lien hypertexte" xfId="11733" builtinId="8" hidden="1"/>
    <cellStyle name="Lien hypertexte" xfId="11735" builtinId="8" hidden="1"/>
    <cellStyle name="Lien hypertexte" xfId="11737" builtinId="8" hidden="1"/>
    <cellStyle name="Lien hypertexte" xfId="11739" builtinId="8" hidden="1"/>
    <cellStyle name="Lien hypertexte" xfId="11741" builtinId="8" hidden="1"/>
    <cellStyle name="Lien hypertexte" xfId="11743" builtinId="8" hidden="1"/>
    <cellStyle name="Lien hypertexte" xfId="11745" builtinId="8" hidden="1"/>
    <cellStyle name="Lien hypertexte" xfId="11747" builtinId="8" hidden="1"/>
    <cellStyle name="Lien hypertexte" xfId="11749" builtinId="8" hidden="1"/>
    <cellStyle name="Lien hypertexte" xfId="11751" builtinId="8" hidden="1"/>
    <cellStyle name="Lien hypertexte" xfId="11753" builtinId="8" hidden="1"/>
    <cellStyle name="Lien hypertexte" xfId="11755" builtinId="8" hidden="1"/>
    <cellStyle name="Lien hypertexte" xfId="11757" builtinId="8" hidden="1"/>
    <cellStyle name="Lien hypertexte" xfId="11759" builtinId="8" hidden="1"/>
    <cellStyle name="Lien hypertexte" xfId="11761" builtinId="8" hidden="1"/>
    <cellStyle name="Lien hypertexte" xfId="11763" builtinId="8" hidden="1"/>
    <cellStyle name="Lien hypertexte" xfId="11765" builtinId="8" hidden="1"/>
    <cellStyle name="Lien hypertexte" xfId="11767" builtinId="8" hidden="1"/>
    <cellStyle name="Lien hypertexte" xfId="11769" builtinId="8" hidden="1"/>
    <cellStyle name="Lien hypertexte" xfId="11771" builtinId="8" hidden="1"/>
    <cellStyle name="Lien hypertexte" xfId="11773" builtinId="8" hidden="1"/>
    <cellStyle name="Lien hypertexte" xfId="11775" builtinId="8" hidden="1"/>
    <cellStyle name="Lien hypertexte" xfId="11777" builtinId="8" hidden="1"/>
    <cellStyle name="Lien hypertexte" xfId="11779" builtinId="8" hidden="1"/>
    <cellStyle name="Lien hypertexte" xfId="11781" builtinId="8" hidden="1"/>
    <cellStyle name="Lien hypertexte" xfId="11783" builtinId="8" hidden="1"/>
    <cellStyle name="Lien hypertexte" xfId="11785" builtinId="8" hidden="1"/>
    <cellStyle name="Lien hypertexte" xfId="11787" builtinId="8" hidden="1"/>
    <cellStyle name="Lien hypertexte" xfId="11789" builtinId="8" hidden="1"/>
    <cellStyle name="Lien hypertexte" xfId="11791" builtinId="8" hidden="1"/>
    <cellStyle name="Lien hypertexte" xfId="11793" builtinId="8" hidden="1"/>
    <cellStyle name="Lien hypertexte" xfId="11795" builtinId="8" hidden="1"/>
    <cellStyle name="Lien hypertexte" xfId="11797" builtinId="8" hidden="1"/>
    <cellStyle name="Lien hypertexte" xfId="11799" builtinId="8" hidden="1"/>
    <cellStyle name="Lien hypertexte" xfId="11801" builtinId="8" hidden="1"/>
    <cellStyle name="Lien hypertexte" xfId="11803" builtinId="8" hidden="1"/>
    <cellStyle name="Lien hypertexte" xfId="11805" builtinId="8" hidden="1"/>
    <cellStyle name="Lien hypertexte" xfId="11807" builtinId="8" hidden="1"/>
    <cellStyle name="Lien hypertexte" xfId="11809" builtinId="8" hidden="1"/>
    <cellStyle name="Lien hypertexte" xfId="11811" builtinId="8" hidden="1"/>
    <cellStyle name="Lien hypertexte" xfId="11813" builtinId="8" hidden="1"/>
    <cellStyle name="Lien hypertexte" xfId="11815" builtinId="8" hidden="1"/>
    <cellStyle name="Lien hypertexte" xfId="11817" builtinId="8" hidden="1"/>
    <cellStyle name="Lien hypertexte" xfId="11819" builtinId="8" hidden="1"/>
    <cellStyle name="Lien hypertexte" xfId="11821" builtinId="8" hidden="1"/>
    <cellStyle name="Lien hypertexte" xfId="11823" builtinId="8" hidden="1"/>
    <cellStyle name="Lien hypertexte" xfId="11825" builtinId="8" hidden="1"/>
    <cellStyle name="Lien hypertexte" xfId="11827" builtinId="8" hidden="1"/>
    <cellStyle name="Lien hypertexte" xfId="11829" builtinId="8" hidden="1"/>
    <cellStyle name="Lien hypertexte" xfId="11831" builtinId="8" hidden="1"/>
    <cellStyle name="Lien hypertexte" xfId="11833" builtinId="8" hidden="1"/>
    <cellStyle name="Lien hypertexte" xfId="11835" builtinId="8" hidden="1"/>
    <cellStyle name="Lien hypertexte" xfId="11837" builtinId="8" hidden="1"/>
    <cellStyle name="Lien hypertexte" xfId="11839" builtinId="8" hidden="1"/>
    <cellStyle name="Lien hypertexte" xfId="11841" builtinId="8" hidden="1"/>
    <cellStyle name="Lien hypertexte" xfId="11843" builtinId="8" hidden="1"/>
    <cellStyle name="Lien hypertexte" xfId="11845" builtinId="8" hidden="1"/>
    <cellStyle name="Lien hypertexte" xfId="11847" builtinId="8" hidden="1"/>
    <cellStyle name="Lien hypertexte" xfId="11849" builtinId="8" hidden="1"/>
    <cellStyle name="Lien hypertexte" xfId="11851" builtinId="8" hidden="1"/>
    <cellStyle name="Lien hypertexte" xfId="11853" builtinId="8" hidden="1"/>
    <cellStyle name="Lien hypertexte" xfId="11855" builtinId="8" hidden="1"/>
    <cellStyle name="Lien hypertexte" xfId="11857" builtinId="8" hidden="1"/>
    <cellStyle name="Lien hypertexte" xfId="11859" builtinId="8" hidden="1"/>
    <cellStyle name="Lien hypertexte" xfId="11861" builtinId="8" hidden="1"/>
    <cellStyle name="Lien hypertexte" xfId="11863" builtinId="8" hidden="1"/>
    <cellStyle name="Lien hypertexte" xfId="11865" builtinId="8" hidden="1"/>
    <cellStyle name="Lien hypertexte" xfId="11867" builtinId="8" hidden="1"/>
    <cellStyle name="Lien hypertexte" xfId="11869" builtinId="8" hidden="1"/>
    <cellStyle name="Lien hypertexte" xfId="11871" builtinId="8" hidden="1"/>
    <cellStyle name="Lien hypertexte" xfId="11873" builtinId="8" hidden="1"/>
    <cellStyle name="Lien hypertexte" xfId="11875" builtinId="8" hidden="1"/>
    <cellStyle name="Lien hypertexte" xfId="11877" builtinId="8" hidden="1"/>
    <cellStyle name="Lien hypertexte" xfId="11879" builtinId="8" hidden="1"/>
    <cellStyle name="Lien hypertexte" xfId="11881" builtinId="8" hidden="1"/>
    <cellStyle name="Lien hypertexte" xfId="11883" builtinId="8" hidden="1"/>
    <cellStyle name="Lien hypertexte" xfId="11885" builtinId="8" hidden="1"/>
    <cellStyle name="Lien hypertexte" xfId="11887" builtinId="8" hidden="1"/>
    <cellStyle name="Lien hypertexte" xfId="11889" builtinId="8" hidden="1"/>
    <cellStyle name="Lien hypertexte" xfId="11891" builtinId="8" hidden="1"/>
    <cellStyle name="Lien hypertexte" xfId="11893" builtinId="8" hidden="1"/>
    <cellStyle name="Lien hypertexte" xfId="11895" builtinId="8" hidden="1"/>
    <cellStyle name="Lien hypertexte" xfId="11897" builtinId="8" hidden="1"/>
    <cellStyle name="Lien hypertexte" xfId="11899" builtinId="8" hidden="1"/>
    <cellStyle name="Lien hypertexte" xfId="11901" builtinId="8" hidden="1"/>
    <cellStyle name="Lien hypertexte" xfId="11903" builtinId="8" hidden="1"/>
    <cellStyle name="Lien hypertexte" xfId="11905" builtinId="8" hidden="1"/>
    <cellStyle name="Lien hypertexte" xfId="11907" builtinId="8" hidden="1"/>
    <cellStyle name="Lien hypertexte" xfId="11909" builtinId="8" hidden="1"/>
    <cellStyle name="Lien hypertexte" xfId="11911" builtinId="8" hidden="1"/>
    <cellStyle name="Lien hypertexte" xfId="11913" builtinId="8" hidden="1"/>
    <cellStyle name="Lien hypertexte" xfId="11915" builtinId="8" hidden="1"/>
    <cellStyle name="Lien hypertexte" xfId="11917" builtinId="8" hidden="1"/>
    <cellStyle name="Lien hypertexte" xfId="11919" builtinId="8" hidden="1"/>
    <cellStyle name="Lien hypertexte" xfId="11921" builtinId="8" hidden="1"/>
    <cellStyle name="Lien hypertexte" xfId="11923" builtinId="8" hidden="1"/>
    <cellStyle name="Lien hypertexte" xfId="11925" builtinId="8" hidden="1"/>
    <cellStyle name="Lien hypertexte" xfId="11927" builtinId="8" hidden="1"/>
    <cellStyle name="Lien hypertexte" xfId="11929" builtinId="8" hidden="1"/>
    <cellStyle name="Lien hypertexte" xfId="11931" builtinId="8" hidden="1"/>
    <cellStyle name="Lien hypertexte" xfId="11933" builtinId="8" hidden="1"/>
    <cellStyle name="Lien hypertexte" xfId="11935" builtinId="8" hidden="1"/>
    <cellStyle name="Lien hypertexte" xfId="11937" builtinId="8" hidden="1"/>
    <cellStyle name="Lien hypertexte" xfId="11939" builtinId="8" hidden="1"/>
    <cellStyle name="Lien hypertexte" xfId="11941" builtinId="8" hidden="1"/>
    <cellStyle name="Lien hypertexte" xfId="11943" builtinId="8" hidden="1"/>
    <cellStyle name="Lien hypertexte" xfId="11945" builtinId="8" hidden="1"/>
    <cellStyle name="Lien hypertexte" xfId="11947" builtinId="8" hidden="1"/>
    <cellStyle name="Lien hypertexte" xfId="11949" builtinId="8" hidden="1"/>
    <cellStyle name="Lien hypertexte" xfId="11951" builtinId="8" hidden="1"/>
    <cellStyle name="Lien hypertexte" xfId="11953" builtinId="8" hidden="1"/>
    <cellStyle name="Lien hypertexte" xfId="11955" builtinId="8" hidden="1"/>
    <cellStyle name="Lien hypertexte" xfId="11957" builtinId="8" hidden="1"/>
    <cellStyle name="Lien hypertexte" xfId="11959" builtinId="8" hidden="1"/>
    <cellStyle name="Lien hypertexte" xfId="11961" builtinId="8" hidden="1"/>
    <cellStyle name="Lien hypertexte" xfId="11963" builtinId="8" hidden="1"/>
    <cellStyle name="Lien hypertexte" xfId="11965" builtinId="8" hidden="1"/>
    <cellStyle name="Lien hypertexte" xfId="11967" builtinId="8" hidden="1"/>
    <cellStyle name="Lien hypertexte" xfId="11969" builtinId="8" hidden="1"/>
    <cellStyle name="Lien hypertexte" xfId="11971" builtinId="8" hidden="1"/>
    <cellStyle name="Lien hypertexte" xfId="11973" builtinId="8" hidden="1"/>
    <cellStyle name="Lien hypertexte" xfId="11975" builtinId="8" hidden="1"/>
    <cellStyle name="Lien hypertexte" xfId="11977" builtinId="8" hidden="1"/>
    <cellStyle name="Lien hypertexte" xfId="11979" builtinId="8" hidden="1"/>
    <cellStyle name="Lien hypertexte" xfId="11981" builtinId="8" hidden="1"/>
    <cellStyle name="Lien hypertexte" xfId="11983" builtinId="8" hidden="1"/>
    <cellStyle name="Lien hypertexte" xfId="11985" builtinId="8" hidden="1"/>
    <cellStyle name="Lien hypertexte" xfId="11987" builtinId="8" hidden="1"/>
    <cellStyle name="Lien hypertexte" xfId="11989" builtinId="8" hidden="1"/>
    <cellStyle name="Lien hypertexte" xfId="11991" builtinId="8" hidden="1"/>
    <cellStyle name="Lien hypertexte" xfId="11993" builtinId="8" hidden="1"/>
    <cellStyle name="Lien hypertexte" xfId="11995" builtinId="8" hidden="1"/>
    <cellStyle name="Lien hypertexte" xfId="11997" builtinId="8" hidden="1"/>
    <cellStyle name="Lien hypertexte" xfId="11999" builtinId="8" hidden="1"/>
    <cellStyle name="Lien hypertexte" xfId="12001" builtinId="8" hidden="1"/>
    <cellStyle name="Lien hypertexte" xfId="12003" builtinId="8" hidden="1"/>
    <cellStyle name="Lien hypertexte" xfId="12005" builtinId="8" hidden="1"/>
    <cellStyle name="Lien hypertexte" xfId="12007" builtinId="8" hidden="1"/>
    <cellStyle name="Lien hypertexte" xfId="12009" builtinId="8" hidden="1"/>
    <cellStyle name="Lien hypertexte" xfId="12011" builtinId="8" hidden="1"/>
    <cellStyle name="Lien hypertexte" xfId="12013" builtinId="8" hidden="1"/>
    <cellStyle name="Lien hypertexte" xfId="12015" builtinId="8" hidden="1"/>
    <cellStyle name="Lien hypertexte" xfId="12017" builtinId="8" hidden="1"/>
    <cellStyle name="Lien hypertexte" xfId="12019" builtinId="8" hidden="1"/>
    <cellStyle name="Lien hypertexte" xfId="12021" builtinId="8" hidden="1"/>
    <cellStyle name="Lien hypertexte" xfId="12023" builtinId="8" hidden="1"/>
    <cellStyle name="Lien hypertexte" xfId="12025" builtinId="8" hidden="1"/>
    <cellStyle name="Lien hypertexte" xfId="12027" builtinId="8" hidden="1"/>
    <cellStyle name="Lien hypertexte" xfId="12029" builtinId="8" hidden="1"/>
    <cellStyle name="Lien hypertexte" xfId="12031" builtinId="8" hidden="1"/>
    <cellStyle name="Lien hypertexte" xfId="12033" builtinId="8" hidden="1"/>
    <cellStyle name="Lien hypertexte" xfId="12035" builtinId="8" hidden="1"/>
    <cellStyle name="Lien hypertexte" xfId="12037" builtinId="8" hidden="1"/>
    <cellStyle name="Lien hypertexte" xfId="12039" builtinId="8" hidden="1"/>
    <cellStyle name="Lien hypertexte" xfId="12041" builtinId="8" hidden="1"/>
    <cellStyle name="Lien hypertexte" xfId="12043" builtinId="8" hidden="1"/>
    <cellStyle name="Lien hypertexte" xfId="12045" builtinId="8" hidden="1"/>
    <cellStyle name="Lien hypertexte" xfId="12047" builtinId="8" hidden="1"/>
    <cellStyle name="Lien hypertexte" xfId="12049" builtinId="8" hidden="1"/>
    <cellStyle name="Lien hypertexte" xfId="12051" builtinId="8" hidden="1"/>
    <cellStyle name="Lien hypertexte" xfId="12053" builtinId="8" hidden="1"/>
    <cellStyle name="Lien hypertexte" xfId="12055" builtinId="8" hidden="1"/>
    <cellStyle name="Lien hypertexte" xfId="12057" builtinId="8" hidden="1"/>
    <cellStyle name="Lien hypertexte" xfId="12059" builtinId="8" hidden="1"/>
    <cellStyle name="Lien hypertexte" xfId="12061" builtinId="8" hidden="1"/>
    <cellStyle name="Lien hypertexte" xfId="12063" builtinId="8" hidden="1"/>
    <cellStyle name="Lien hypertexte" xfId="12065" builtinId="8" hidden="1"/>
    <cellStyle name="Lien hypertexte" xfId="12067" builtinId="8" hidden="1"/>
    <cellStyle name="Lien hypertexte" xfId="12069" builtinId="8" hidden="1"/>
    <cellStyle name="Lien hypertexte" xfId="12071" builtinId="8" hidden="1"/>
    <cellStyle name="Lien hypertexte" xfId="12073" builtinId="8" hidden="1"/>
    <cellStyle name="Lien hypertexte" xfId="12075" builtinId="8" hidden="1"/>
    <cellStyle name="Lien hypertexte" xfId="12077" builtinId="8" hidden="1"/>
    <cellStyle name="Lien hypertexte" xfId="12079" builtinId="8" hidden="1"/>
    <cellStyle name="Lien hypertexte" xfId="12081" builtinId="8" hidden="1"/>
    <cellStyle name="Lien hypertexte" xfId="12083" builtinId="8" hidden="1"/>
    <cellStyle name="Lien hypertexte" xfId="12085" builtinId="8" hidden="1"/>
    <cellStyle name="Lien hypertexte" xfId="12087" builtinId="8" hidden="1"/>
    <cellStyle name="Lien hypertexte" xfId="12089" builtinId="8" hidden="1"/>
    <cellStyle name="Lien hypertexte" xfId="12091" builtinId="8" hidden="1"/>
    <cellStyle name="Lien hypertexte" xfId="12093" builtinId="8" hidden="1"/>
    <cellStyle name="Lien hypertexte" xfId="12095" builtinId="8" hidden="1"/>
    <cellStyle name="Lien hypertexte" xfId="12097" builtinId="8" hidden="1"/>
    <cellStyle name="Lien hypertexte" xfId="12099" builtinId="8" hidden="1"/>
    <cellStyle name="Lien hypertexte" xfId="12101" builtinId="8" hidden="1"/>
    <cellStyle name="Lien hypertexte" xfId="12103" builtinId="8" hidden="1"/>
    <cellStyle name="Lien hypertexte" xfId="12105" builtinId="8" hidden="1"/>
    <cellStyle name="Lien hypertexte" xfId="12107" builtinId="8" hidden="1"/>
    <cellStyle name="Lien hypertexte" xfId="12109" builtinId="8" hidden="1"/>
    <cellStyle name="Lien hypertexte" xfId="12111" builtinId="8" hidden="1"/>
    <cellStyle name="Lien hypertexte" xfId="12113" builtinId="8" hidden="1"/>
    <cellStyle name="Lien hypertexte" xfId="12115" builtinId="8" hidden="1"/>
    <cellStyle name="Lien hypertexte" xfId="12117" builtinId="8" hidden="1"/>
    <cellStyle name="Lien hypertexte" xfId="12119" builtinId="8" hidden="1"/>
    <cellStyle name="Lien hypertexte" xfId="12121" builtinId="8" hidden="1"/>
    <cellStyle name="Lien hypertexte" xfId="12123" builtinId="8" hidden="1"/>
    <cellStyle name="Lien hypertexte" xfId="12125" builtinId="8" hidden="1"/>
    <cellStyle name="Lien hypertexte" xfId="12127" builtinId="8" hidden="1"/>
    <cellStyle name="Lien hypertexte" xfId="12129" builtinId="8" hidden="1"/>
    <cellStyle name="Lien hypertexte" xfId="12131" builtinId="8" hidden="1"/>
    <cellStyle name="Lien hypertexte" xfId="12133" builtinId="8" hidden="1"/>
    <cellStyle name="Lien hypertexte" xfId="12135" builtinId="8" hidden="1"/>
    <cellStyle name="Lien hypertexte" xfId="12137" builtinId="8" hidden="1"/>
    <cellStyle name="Lien hypertexte" xfId="12139" builtinId="8" hidden="1"/>
    <cellStyle name="Lien hypertexte" xfId="12141" builtinId="8" hidden="1"/>
    <cellStyle name="Lien hypertexte" xfId="12143" builtinId="8" hidden="1"/>
    <cellStyle name="Lien hypertexte" xfId="12145" builtinId="8" hidden="1"/>
    <cellStyle name="Lien hypertexte" xfId="12147" builtinId="8" hidden="1"/>
    <cellStyle name="Lien hypertexte" xfId="12149" builtinId="8" hidden="1"/>
    <cellStyle name="Lien hypertexte" xfId="12151" builtinId="8" hidden="1"/>
    <cellStyle name="Lien hypertexte" xfId="12153" builtinId="8" hidden="1"/>
    <cellStyle name="Lien hypertexte" xfId="12155" builtinId="8" hidden="1"/>
    <cellStyle name="Lien hypertexte" xfId="12157" builtinId="8" hidden="1"/>
    <cellStyle name="Lien hypertexte" xfId="12159" builtinId="8" hidden="1"/>
    <cellStyle name="Lien hypertexte" xfId="12161" builtinId="8" hidden="1"/>
    <cellStyle name="Lien hypertexte" xfId="12163" builtinId="8" hidden="1"/>
    <cellStyle name="Lien hypertexte" xfId="12165" builtinId="8" hidden="1"/>
    <cellStyle name="Lien hypertexte" xfId="12167" builtinId="8" hidden="1"/>
    <cellStyle name="Lien hypertexte" xfId="12169" builtinId="8" hidden="1"/>
    <cellStyle name="Lien hypertexte" xfId="12171" builtinId="8" hidden="1"/>
    <cellStyle name="Lien hypertexte" xfId="12173" builtinId="8" hidden="1"/>
    <cellStyle name="Lien hypertexte" xfId="12175" builtinId="8" hidden="1"/>
    <cellStyle name="Lien hypertexte" xfId="12177" builtinId="8" hidden="1"/>
    <cellStyle name="Lien hypertexte" xfId="12179" builtinId="8" hidden="1"/>
    <cellStyle name="Lien hypertexte" xfId="12181" builtinId="8" hidden="1"/>
    <cellStyle name="Lien hypertexte" xfId="12183" builtinId="8" hidden="1"/>
    <cellStyle name="Lien hypertexte" xfId="12185" builtinId="8" hidden="1"/>
    <cellStyle name="Lien hypertexte" xfId="12187" builtinId="8" hidden="1"/>
    <cellStyle name="Lien hypertexte" xfId="12189" builtinId="8" hidden="1"/>
    <cellStyle name="Lien hypertexte" xfId="12191" builtinId="8" hidden="1"/>
    <cellStyle name="Lien hypertexte" xfId="12193" builtinId="8" hidden="1"/>
    <cellStyle name="Lien hypertexte" xfId="12195" builtinId="8" hidden="1"/>
    <cellStyle name="Lien hypertexte" xfId="12197" builtinId="8" hidden="1"/>
    <cellStyle name="Lien hypertexte" xfId="12199" builtinId="8" hidden="1"/>
    <cellStyle name="Lien hypertexte" xfId="12201" builtinId="8" hidden="1"/>
    <cellStyle name="Lien hypertexte" xfId="12203" builtinId="8" hidden="1"/>
    <cellStyle name="Lien hypertexte" xfId="12205" builtinId="8" hidden="1"/>
    <cellStyle name="Lien hypertexte" xfId="12207" builtinId="8" hidden="1"/>
    <cellStyle name="Lien hypertexte" xfId="12209" builtinId="8" hidden="1"/>
    <cellStyle name="Lien hypertexte" xfId="12211" builtinId="8" hidden="1"/>
    <cellStyle name="Lien hypertexte" xfId="12213" builtinId="8" hidden="1"/>
    <cellStyle name="Lien hypertexte" xfId="12215" builtinId="8" hidden="1"/>
    <cellStyle name="Lien hypertexte" xfId="12217" builtinId="8" hidden="1"/>
    <cellStyle name="Lien hypertexte" xfId="12219" builtinId="8" hidden="1"/>
    <cellStyle name="Lien hypertexte" xfId="12221" builtinId="8" hidden="1"/>
    <cellStyle name="Lien hypertexte" xfId="12223" builtinId="8" hidden="1"/>
    <cellStyle name="Lien hypertexte" xfId="12225" builtinId="8" hidden="1"/>
    <cellStyle name="Lien hypertexte" xfId="12227" builtinId="8" hidden="1"/>
    <cellStyle name="Lien hypertexte" xfId="12229" builtinId="8" hidden="1"/>
    <cellStyle name="Lien hypertexte" xfId="12231" builtinId="8" hidden="1"/>
    <cellStyle name="Lien hypertexte" xfId="12233" builtinId="8" hidden="1"/>
    <cellStyle name="Lien hypertexte" xfId="12235" builtinId="8" hidden="1"/>
    <cellStyle name="Lien hypertexte" xfId="12237" builtinId="8" hidden="1"/>
    <cellStyle name="Lien hypertexte" xfId="12239" builtinId="8" hidden="1"/>
    <cellStyle name="Lien hypertexte" xfId="12241" builtinId="8" hidden="1"/>
    <cellStyle name="Lien hypertexte" xfId="12243" builtinId="8" hidden="1"/>
    <cellStyle name="Lien hypertexte" xfId="12245" builtinId="8" hidden="1"/>
    <cellStyle name="Lien hypertexte" xfId="12247" builtinId="8" hidden="1"/>
    <cellStyle name="Lien hypertexte" xfId="12249" builtinId="8" hidden="1"/>
    <cellStyle name="Lien hypertexte" xfId="12251" builtinId="8" hidden="1"/>
    <cellStyle name="Lien hypertexte" xfId="12253" builtinId="8" hidden="1"/>
    <cellStyle name="Lien hypertexte" xfId="12255" builtinId="8" hidden="1"/>
    <cellStyle name="Lien hypertexte" xfId="12257" builtinId="8" hidden="1"/>
    <cellStyle name="Lien hypertexte" xfId="12259" builtinId="8" hidden="1"/>
    <cellStyle name="Lien hypertexte" xfId="12261" builtinId="8" hidden="1"/>
    <cellStyle name="Lien hypertexte" xfId="12263" builtinId="8" hidden="1"/>
    <cellStyle name="Lien hypertexte" xfId="12265" builtinId="8" hidden="1"/>
    <cellStyle name="Lien hypertexte" xfId="12267" builtinId="8" hidden="1"/>
    <cellStyle name="Lien hypertexte" xfId="12269" builtinId="8" hidden="1"/>
    <cellStyle name="Lien hypertexte" xfId="12271" builtinId="8" hidden="1"/>
    <cellStyle name="Lien hypertexte" xfId="12273" builtinId="8" hidden="1"/>
    <cellStyle name="Lien hypertexte" xfId="12275" builtinId="8" hidden="1"/>
    <cellStyle name="Lien hypertexte" xfId="12277" builtinId="8" hidden="1"/>
    <cellStyle name="Lien hypertexte" xfId="12279" builtinId="8" hidden="1"/>
    <cellStyle name="Lien hypertexte" xfId="12281" builtinId="8" hidden="1"/>
    <cellStyle name="Lien hypertexte" xfId="12283" builtinId="8" hidden="1"/>
    <cellStyle name="Lien hypertexte" xfId="12285" builtinId="8" hidden="1"/>
    <cellStyle name="Lien hypertexte" xfId="12287" builtinId="8" hidden="1"/>
    <cellStyle name="Lien hypertexte" xfId="12289" builtinId="8" hidden="1"/>
    <cellStyle name="Lien hypertexte" xfId="12291" builtinId="8" hidden="1"/>
    <cellStyle name="Lien hypertexte" xfId="12293" builtinId="8" hidden="1"/>
    <cellStyle name="Lien hypertexte" xfId="12295" builtinId="8" hidden="1"/>
    <cellStyle name="Lien hypertexte" xfId="12297" builtinId="8" hidden="1"/>
    <cellStyle name="Lien hypertexte" xfId="12299" builtinId="8" hidden="1"/>
    <cellStyle name="Lien hypertexte" xfId="12301" builtinId="8" hidden="1"/>
    <cellStyle name="Lien hypertexte" xfId="12303" builtinId="8" hidden="1"/>
    <cellStyle name="Lien hypertexte" xfId="12305" builtinId="8" hidden="1"/>
    <cellStyle name="Lien hypertexte" xfId="12307" builtinId="8" hidden="1"/>
    <cellStyle name="Lien hypertexte" xfId="12309" builtinId="8" hidden="1"/>
    <cellStyle name="Lien hypertexte" xfId="12311" builtinId="8" hidden="1"/>
    <cellStyle name="Lien hypertexte" xfId="12313" builtinId="8" hidden="1"/>
    <cellStyle name="Lien hypertexte" xfId="12315" builtinId="8" hidden="1"/>
    <cellStyle name="Lien hypertexte" xfId="12317" builtinId="8" hidden="1"/>
    <cellStyle name="Lien hypertexte" xfId="12319" builtinId="8" hidden="1"/>
    <cellStyle name="Lien hypertexte" xfId="12321" builtinId="8" hidden="1"/>
    <cellStyle name="Lien hypertexte" xfId="12323" builtinId="8" hidden="1"/>
    <cellStyle name="Lien hypertexte" xfId="12325" builtinId="8" hidden="1"/>
    <cellStyle name="Lien hypertexte" xfId="12327" builtinId="8" hidden="1"/>
    <cellStyle name="Lien hypertexte" xfId="12329" builtinId="8" hidden="1"/>
    <cellStyle name="Lien hypertexte" xfId="12331" builtinId="8" hidden="1"/>
    <cellStyle name="Lien hypertexte" xfId="12333" builtinId="8" hidden="1"/>
    <cellStyle name="Lien hypertexte" xfId="12335" builtinId="8" hidden="1"/>
    <cellStyle name="Lien hypertexte" xfId="12337" builtinId="8" hidden="1"/>
    <cellStyle name="Lien hypertexte" xfId="12339" builtinId="8" hidden="1"/>
    <cellStyle name="Lien hypertexte" xfId="12341" builtinId="8" hidden="1"/>
    <cellStyle name="Lien hypertexte" xfId="12343" builtinId="8" hidden="1"/>
    <cellStyle name="Lien hypertexte" xfId="12345" builtinId="8" hidden="1"/>
    <cellStyle name="Lien hypertexte" xfId="12347" builtinId="8" hidden="1"/>
    <cellStyle name="Lien hypertexte" xfId="12349" builtinId="8" hidden="1"/>
    <cellStyle name="Lien hypertexte" xfId="12351" builtinId="8" hidden="1"/>
    <cellStyle name="Lien hypertexte" xfId="12353" builtinId="8" hidden="1"/>
    <cellStyle name="Lien hypertexte" xfId="12355" builtinId="8" hidden="1"/>
    <cellStyle name="Lien hypertexte" xfId="12357" builtinId="8" hidden="1"/>
    <cellStyle name="Lien hypertexte" xfId="12359" builtinId="8" hidden="1"/>
    <cellStyle name="Lien hypertexte" xfId="12361" builtinId="8" hidden="1"/>
    <cellStyle name="Lien hypertexte" xfId="12363" builtinId="8" hidden="1"/>
    <cellStyle name="Lien hypertexte" xfId="12365" builtinId="8" hidden="1"/>
    <cellStyle name="Lien hypertexte" xfId="12367" builtinId="8" hidden="1"/>
    <cellStyle name="Lien hypertexte" xfId="12369" builtinId="8" hidden="1"/>
    <cellStyle name="Lien hypertexte" xfId="12371" builtinId="8" hidden="1"/>
    <cellStyle name="Lien hypertexte" xfId="12373" builtinId="8" hidden="1"/>
    <cellStyle name="Lien hypertexte" xfId="12375" builtinId="8" hidden="1"/>
    <cellStyle name="Lien hypertexte" xfId="12377" builtinId="8" hidden="1"/>
    <cellStyle name="Lien hypertexte" xfId="12379" builtinId="8" hidden="1"/>
    <cellStyle name="Lien hypertexte" xfId="12381" builtinId="8" hidden="1"/>
    <cellStyle name="Lien hypertexte" xfId="12383" builtinId="8" hidden="1"/>
    <cellStyle name="Lien hypertexte" xfId="12385" builtinId="8" hidden="1"/>
    <cellStyle name="Lien hypertexte" xfId="12387" builtinId="8" hidden="1"/>
    <cellStyle name="Lien hypertexte" xfId="12389" builtinId="8" hidden="1"/>
    <cellStyle name="Lien hypertexte" xfId="12391" builtinId="8" hidden="1"/>
    <cellStyle name="Lien hypertexte" xfId="12393" builtinId="8" hidden="1"/>
    <cellStyle name="Lien hypertexte" xfId="12395" builtinId="8" hidden="1"/>
    <cellStyle name="Lien hypertexte" xfId="12397" builtinId="8" hidden="1"/>
    <cellStyle name="Lien hypertexte" xfId="12399" builtinId="8" hidden="1"/>
    <cellStyle name="Lien hypertexte" xfId="12401" builtinId="8" hidden="1"/>
    <cellStyle name="Lien hypertexte" xfId="12403" builtinId="8" hidden="1"/>
    <cellStyle name="Lien hypertexte" xfId="12405" builtinId="8" hidden="1"/>
    <cellStyle name="Lien hypertexte" xfId="12407" builtinId="8" hidden="1"/>
    <cellStyle name="Lien hypertexte" xfId="12409" builtinId="8" hidden="1"/>
    <cellStyle name="Lien hypertexte" xfId="12411" builtinId="8" hidden="1"/>
    <cellStyle name="Lien hypertexte" xfId="12413" builtinId="8" hidden="1"/>
    <cellStyle name="Lien hypertexte" xfId="12415" builtinId="8" hidden="1"/>
    <cellStyle name="Lien hypertexte" xfId="12417" builtinId="8" hidden="1"/>
    <cellStyle name="Lien hypertexte" xfId="12419" builtinId="8" hidden="1"/>
    <cellStyle name="Lien hypertexte" xfId="12421" builtinId="8" hidden="1"/>
    <cellStyle name="Lien hypertexte" xfId="12423" builtinId="8" hidden="1"/>
    <cellStyle name="Lien hypertexte" xfId="12425" builtinId="8" hidden="1"/>
    <cellStyle name="Lien hypertexte" xfId="12427" builtinId="8" hidden="1"/>
    <cellStyle name="Lien hypertexte" xfId="12429" builtinId="8" hidden="1"/>
    <cellStyle name="Lien hypertexte" xfId="12431" builtinId="8" hidden="1"/>
    <cellStyle name="Lien hypertexte" xfId="12433" builtinId="8" hidden="1"/>
    <cellStyle name="Lien hypertexte" xfId="12435" builtinId="8" hidden="1"/>
    <cellStyle name="Lien hypertexte" xfId="12437" builtinId="8" hidden="1"/>
    <cellStyle name="Lien hypertexte" xfId="12439" builtinId="8" hidden="1"/>
    <cellStyle name="Lien hypertexte" xfId="12441" builtinId="8" hidden="1"/>
    <cellStyle name="Lien hypertexte" xfId="12443" builtinId="8" hidden="1"/>
    <cellStyle name="Lien hypertexte" xfId="12445" builtinId="8" hidden="1"/>
    <cellStyle name="Lien hypertexte" xfId="12447" builtinId="8" hidden="1"/>
    <cellStyle name="Lien hypertexte" xfId="12449" builtinId="8" hidden="1"/>
    <cellStyle name="Lien hypertexte" xfId="12451" builtinId="8" hidden="1"/>
    <cellStyle name="Lien hypertexte" xfId="12453" builtinId="8" hidden="1"/>
    <cellStyle name="Lien hypertexte" xfId="12455" builtinId="8" hidden="1"/>
    <cellStyle name="Lien hypertexte" xfId="12457" builtinId="8" hidden="1"/>
    <cellStyle name="Lien hypertexte" xfId="12459" builtinId="8" hidden="1"/>
    <cellStyle name="Lien hypertexte" xfId="12461" builtinId="8" hidden="1"/>
    <cellStyle name="Lien hypertexte" xfId="12463" builtinId="8" hidden="1"/>
    <cellStyle name="Lien hypertexte" xfId="12465" builtinId="8" hidden="1"/>
    <cellStyle name="Lien hypertexte" xfId="12467" builtinId="8" hidden="1"/>
    <cellStyle name="Lien hypertexte" xfId="12469" builtinId="8" hidden="1"/>
    <cellStyle name="Lien hypertexte" xfId="12471" builtinId="8" hidden="1"/>
    <cellStyle name="Lien hypertexte" xfId="12473" builtinId="8" hidden="1"/>
    <cellStyle name="Lien hypertexte" xfId="12475" builtinId="8" hidden="1"/>
    <cellStyle name="Lien hypertexte" xfId="12477" builtinId="8" hidden="1"/>
    <cellStyle name="Lien hypertexte" xfId="12479" builtinId="8" hidden="1"/>
    <cellStyle name="Lien hypertexte" xfId="12481" builtinId="8" hidden="1"/>
    <cellStyle name="Lien hypertexte" xfId="12483" builtinId="8" hidden="1"/>
    <cellStyle name="Lien hypertexte" xfId="12485" builtinId="8" hidden="1"/>
    <cellStyle name="Lien hypertexte" xfId="12487" builtinId="8" hidden="1"/>
    <cellStyle name="Lien hypertexte" xfId="12489" builtinId="8" hidden="1"/>
    <cellStyle name="Lien hypertexte" xfId="12491" builtinId="8" hidden="1"/>
    <cellStyle name="Lien hypertexte" xfId="12493" builtinId="8" hidden="1"/>
    <cellStyle name="Lien hypertexte" xfId="12495" builtinId="8" hidden="1"/>
    <cellStyle name="Lien hypertexte" xfId="12497" builtinId="8" hidden="1"/>
    <cellStyle name="Lien hypertexte" xfId="12499" builtinId="8" hidden="1"/>
    <cellStyle name="Lien hypertexte" xfId="12501" builtinId="8" hidden="1"/>
    <cellStyle name="Lien hypertexte" xfId="12503" builtinId="8" hidden="1"/>
    <cellStyle name="Lien hypertexte" xfId="12505" builtinId="8" hidden="1"/>
    <cellStyle name="Lien hypertexte" xfId="12507" builtinId="8" hidden="1"/>
    <cellStyle name="Lien hypertexte" xfId="12509" builtinId="8" hidden="1"/>
    <cellStyle name="Lien hypertexte" xfId="12511" builtinId="8" hidden="1"/>
    <cellStyle name="Lien hypertexte" xfId="12513" builtinId="8" hidden="1"/>
    <cellStyle name="Lien hypertexte" xfId="12515" builtinId="8" hidden="1"/>
    <cellStyle name="Lien hypertexte" xfId="12517" builtinId="8" hidden="1"/>
    <cellStyle name="Lien hypertexte" xfId="12519" builtinId="8" hidden="1"/>
    <cellStyle name="Lien hypertexte" xfId="12521" builtinId="8" hidden="1"/>
    <cellStyle name="Lien hypertexte" xfId="12523" builtinId="8" hidden="1"/>
    <cellStyle name="Lien hypertexte" xfId="12525" builtinId="8" hidden="1"/>
    <cellStyle name="Lien hypertexte" xfId="12527" builtinId="8" hidden="1"/>
    <cellStyle name="Lien hypertexte" xfId="12529" builtinId="8" hidden="1"/>
    <cellStyle name="Lien hypertexte" xfId="12531" builtinId="8" hidden="1"/>
    <cellStyle name="Lien hypertexte" xfId="12533" builtinId="8" hidden="1"/>
    <cellStyle name="Lien hypertexte" xfId="12535" builtinId="8" hidden="1"/>
    <cellStyle name="Lien hypertexte" xfId="12537" builtinId="8" hidden="1"/>
    <cellStyle name="Lien hypertexte" xfId="12539" builtinId="8" hidden="1"/>
    <cellStyle name="Lien hypertexte" xfId="12541" builtinId="8" hidden="1"/>
    <cellStyle name="Lien hypertexte" xfId="12543" builtinId="8" hidden="1"/>
    <cellStyle name="Lien hypertexte" xfId="12545" builtinId="8" hidden="1"/>
    <cellStyle name="Lien hypertexte" xfId="12547" builtinId="8" hidden="1"/>
    <cellStyle name="Lien hypertexte" xfId="12549" builtinId="8" hidden="1"/>
    <cellStyle name="Lien hypertexte" xfId="12551" builtinId="8" hidden="1"/>
    <cellStyle name="Lien hypertexte" xfId="12553" builtinId="8" hidden="1"/>
    <cellStyle name="Lien hypertexte" xfId="12555" builtinId="8" hidden="1"/>
    <cellStyle name="Lien hypertexte" xfId="12557" builtinId="8" hidden="1"/>
    <cellStyle name="Lien hypertexte" xfId="12559" builtinId="8" hidden="1"/>
    <cellStyle name="Lien hypertexte" xfId="12561" builtinId="8" hidden="1"/>
    <cellStyle name="Lien hypertexte" xfId="12563" builtinId="8" hidden="1"/>
    <cellStyle name="Lien hypertexte" xfId="12565" builtinId="8" hidden="1"/>
    <cellStyle name="Lien hypertexte" xfId="12567" builtinId="8" hidden="1"/>
    <cellStyle name="Lien hypertexte" xfId="12569" builtinId="8" hidden="1"/>
    <cellStyle name="Lien hypertexte" xfId="12571" builtinId="8" hidden="1"/>
    <cellStyle name="Lien hypertexte" xfId="12573" builtinId="8" hidden="1"/>
    <cellStyle name="Lien hypertexte" xfId="12575" builtinId="8" hidden="1"/>
    <cellStyle name="Lien hypertexte" xfId="12577" builtinId="8" hidden="1"/>
    <cellStyle name="Lien hypertexte" xfId="12579" builtinId="8" hidden="1"/>
    <cellStyle name="Lien hypertexte" xfId="12581" builtinId="8" hidden="1"/>
    <cellStyle name="Lien hypertexte" xfId="12583" builtinId="8" hidden="1"/>
    <cellStyle name="Lien hypertexte" xfId="12585" builtinId="8" hidden="1"/>
    <cellStyle name="Lien hypertexte" xfId="12587" builtinId="8" hidden="1"/>
    <cellStyle name="Lien hypertexte" xfId="12589" builtinId="8" hidden="1"/>
    <cellStyle name="Lien hypertexte" xfId="12591" builtinId="8" hidden="1"/>
    <cellStyle name="Lien hypertexte" xfId="12593" builtinId="8" hidden="1"/>
    <cellStyle name="Lien hypertexte" xfId="12595" builtinId="8" hidden="1"/>
    <cellStyle name="Lien hypertexte" xfId="12597" builtinId="8" hidden="1"/>
    <cellStyle name="Lien hypertexte" xfId="12599" builtinId="8" hidden="1"/>
    <cellStyle name="Lien hypertexte" xfId="12601" builtinId="8" hidden="1"/>
    <cellStyle name="Lien hypertexte" xfId="12603" builtinId="8" hidden="1"/>
    <cellStyle name="Lien hypertexte" xfId="12605" builtinId="8" hidden="1"/>
    <cellStyle name="Lien hypertexte" xfId="12607" builtinId="8" hidden="1"/>
    <cellStyle name="Lien hypertexte" xfId="12609" builtinId="8" hidden="1"/>
    <cellStyle name="Lien hypertexte" xfId="12611" builtinId="8" hidden="1"/>
    <cellStyle name="Lien hypertexte" xfId="12613" builtinId="8" hidden="1"/>
    <cellStyle name="Lien hypertexte" xfId="12615" builtinId="8" hidden="1"/>
    <cellStyle name="Lien hypertexte" xfId="12617" builtinId="8" hidden="1"/>
    <cellStyle name="Lien hypertexte" xfId="12619" builtinId="8" hidden="1"/>
    <cellStyle name="Lien hypertexte" xfId="12621" builtinId="8" hidden="1"/>
    <cellStyle name="Lien hypertexte" xfId="12623" builtinId="8" hidden="1"/>
    <cellStyle name="Lien hypertexte" xfId="12625" builtinId="8" hidden="1"/>
    <cellStyle name="Lien hypertexte" xfId="12627" builtinId="8" hidden="1"/>
    <cellStyle name="Lien hypertexte" xfId="12629" builtinId="8" hidden="1"/>
    <cellStyle name="Lien hypertexte" xfId="12631" builtinId="8" hidden="1"/>
    <cellStyle name="Lien hypertexte" xfId="12633" builtinId="8" hidden="1"/>
    <cellStyle name="Lien hypertexte" xfId="12635" builtinId="8" hidden="1"/>
    <cellStyle name="Lien hypertexte" xfId="12637" builtinId="8" hidden="1"/>
    <cellStyle name="Lien hypertexte" xfId="12639" builtinId="8" hidden="1"/>
    <cellStyle name="Lien hypertexte" xfId="12641" builtinId="8" hidden="1"/>
    <cellStyle name="Lien hypertexte" xfId="12643" builtinId="8" hidden="1"/>
    <cellStyle name="Lien hypertexte" xfId="12645" builtinId="8" hidden="1"/>
    <cellStyle name="Lien hypertexte" xfId="12647" builtinId="8" hidden="1"/>
    <cellStyle name="Lien hypertexte" xfId="12649" builtinId="8" hidden="1"/>
    <cellStyle name="Lien hypertexte" xfId="12651" builtinId="8" hidden="1"/>
    <cellStyle name="Lien hypertexte" xfId="12653" builtinId="8" hidden="1"/>
    <cellStyle name="Lien hypertexte" xfId="12655" builtinId="8" hidden="1"/>
    <cellStyle name="Lien hypertexte" xfId="12657" builtinId="8" hidden="1"/>
    <cellStyle name="Lien hypertexte" xfId="12659" builtinId="8" hidden="1"/>
    <cellStyle name="Lien hypertexte" xfId="12661" builtinId="8" hidden="1"/>
    <cellStyle name="Lien hypertexte" xfId="12663" builtinId="8" hidden="1"/>
    <cellStyle name="Lien hypertexte" xfId="12665" builtinId="8" hidden="1"/>
    <cellStyle name="Lien hypertexte" xfId="12667" builtinId="8" hidden="1"/>
    <cellStyle name="Lien hypertexte" xfId="12669" builtinId="8" hidden="1"/>
    <cellStyle name="Lien hypertexte" xfId="12671" builtinId="8" hidden="1"/>
    <cellStyle name="Lien hypertexte" xfId="12673" builtinId="8" hidden="1"/>
    <cellStyle name="Lien hypertexte" xfId="12675" builtinId="8" hidden="1"/>
    <cellStyle name="Lien hypertexte" xfId="12677" builtinId="8" hidden="1"/>
    <cellStyle name="Lien hypertexte" xfId="12679" builtinId="8" hidden="1"/>
    <cellStyle name="Lien hypertexte" xfId="12681" builtinId="8" hidden="1"/>
    <cellStyle name="Lien hypertexte" xfId="12683" builtinId="8" hidden="1"/>
    <cellStyle name="Lien hypertexte" xfId="12685" builtinId="8" hidden="1"/>
    <cellStyle name="Lien hypertexte" xfId="12687" builtinId="8" hidden="1"/>
    <cellStyle name="Lien hypertexte" xfId="12689" builtinId="8" hidden="1"/>
    <cellStyle name="Lien hypertexte" xfId="12691" builtinId="8" hidden="1"/>
    <cellStyle name="Lien hypertexte" xfId="12693" builtinId="8" hidden="1"/>
    <cellStyle name="Lien hypertexte" xfId="12695" builtinId="8" hidden="1"/>
    <cellStyle name="Lien hypertexte" xfId="12697" builtinId="8" hidden="1"/>
    <cellStyle name="Lien hypertexte" xfId="12699" builtinId="8" hidden="1"/>
    <cellStyle name="Lien hypertexte" xfId="12701" builtinId="8" hidden="1"/>
    <cellStyle name="Lien hypertexte" xfId="12703" builtinId="8" hidden="1"/>
    <cellStyle name="Lien hypertexte" xfId="12705" builtinId="8" hidden="1"/>
    <cellStyle name="Lien hypertexte" xfId="12707" builtinId="8" hidden="1"/>
    <cellStyle name="Lien hypertexte" xfId="12709" builtinId="8" hidden="1"/>
    <cellStyle name="Lien hypertexte" xfId="12711" builtinId="8" hidden="1"/>
    <cellStyle name="Lien hypertexte" xfId="12713" builtinId="8" hidden="1"/>
    <cellStyle name="Lien hypertexte" xfId="12715" builtinId="8" hidden="1"/>
    <cellStyle name="Lien hypertexte" xfId="12717" builtinId="8" hidden="1"/>
    <cellStyle name="Lien hypertexte" xfId="12719" builtinId="8" hidden="1"/>
    <cellStyle name="Lien hypertexte" xfId="12721" builtinId="8" hidden="1"/>
    <cellStyle name="Lien hypertexte" xfId="12723" builtinId="8" hidden="1"/>
    <cellStyle name="Lien hypertexte" xfId="12725" builtinId="8" hidden="1"/>
    <cellStyle name="Lien hypertexte" xfId="12727" builtinId="8" hidden="1"/>
    <cellStyle name="Lien hypertexte" xfId="12729" builtinId="8" hidden="1"/>
    <cellStyle name="Lien hypertexte" xfId="12731" builtinId="8" hidden="1"/>
    <cellStyle name="Lien hypertexte" xfId="12733" builtinId="8" hidden="1"/>
    <cellStyle name="Lien hypertexte" xfId="12735" builtinId="8" hidden="1"/>
    <cellStyle name="Lien hypertexte" xfId="12737" builtinId="8" hidden="1"/>
    <cellStyle name="Lien hypertexte" xfId="12739" builtinId="8" hidden="1"/>
    <cellStyle name="Lien hypertexte" xfId="12741" builtinId="8" hidden="1"/>
    <cellStyle name="Lien hypertexte" xfId="12743" builtinId="8" hidden="1"/>
    <cellStyle name="Lien hypertexte" xfId="12745" builtinId="8" hidden="1"/>
    <cellStyle name="Lien hypertexte" xfId="12747" builtinId="8" hidden="1"/>
    <cellStyle name="Lien hypertexte" xfId="12749" builtinId="8" hidden="1"/>
    <cellStyle name="Lien hypertexte" xfId="12751" builtinId="8" hidden="1"/>
    <cellStyle name="Lien hypertexte" xfId="12753" builtinId="8" hidden="1"/>
    <cellStyle name="Lien hypertexte" xfId="12755" builtinId="8" hidden="1"/>
    <cellStyle name="Lien hypertexte" xfId="12757" builtinId="8" hidden="1"/>
    <cellStyle name="Lien hypertexte" xfId="12759" builtinId="8" hidden="1"/>
    <cellStyle name="Lien hypertexte" xfId="12761" builtinId="8" hidden="1"/>
    <cellStyle name="Lien hypertexte" xfId="12763" builtinId="8" hidden="1"/>
    <cellStyle name="Lien hypertexte" xfId="12765" builtinId="8" hidden="1"/>
    <cellStyle name="Lien hypertexte" xfId="12767" builtinId="8" hidden="1"/>
    <cellStyle name="Lien hypertexte" xfId="12769" builtinId="8" hidden="1"/>
    <cellStyle name="Lien hypertexte" xfId="12771" builtinId="8" hidden="1"/>
    <cellStyle name="Lien hypertexte" xfId="12773" builtinId="8" hidden="1"/>
    <cellStyle name="Lien hypertexte" xfId="12775" builtinId="8" hidden="1"/>
    <cellStyle name="Lien hypertexte" xfId="12777" builtinId="8" hidden="1"/>
    <cellStyle name="Lien hypertexte" xfId="12779" builtinId="8" hidden="1"/>
    <cellStyle name="Lien hypertexte" xfId="12781" builtinId="8" hidden="1"/>
    <cellStyle name="Lien hypertexte" xfId="12783" builtinId="8" hidden="1"/>
    <cellStyle name="Lien hypertexte" xfId="12785" builtinId="8" hidden="1"/>
    <cellStyle name="Lien hypertexte" xfId="12787" builtinId="8" hidden="1"/>
    <cellStyle name="Lien hypertexte" xfId="12789" builtinId="8" hidden="1"/>
    <cellStyle name="Lien hypertexte" xfId="12791" builtinId="8" hidden="1"/>
    <cellStyle name="Lien hypertexte" xfId="12793" builtinId="8" hidden="1"/>
    <cellStyle name="Lien hypertexte" xfId="12795" builtinId="8" hidden="1"/>
    <cellStyle name="Lien hypertexte" xfId="12797" builtinId="8" hidden="1"/>
    <cellStyle name="Lien hypertexte" xfId="12799" builtinId="8" hidden="1"/>
    <cellStyle name="Lien hypertexte" xfId="12801" builtinId="8" hidden="1"/>
    <cellStyle name="Lien hypertexte" xfId="12803" builtinId="8" hidden="1"/>
    <cellStyle name="Lien hypertexte" xfId="12805" builtinId="8" hidden="1"/>
    <cellStyle name="Lien hypertexte" xfId="12807" builtinId="8" hidden="1"/>
    <cellStyle name="Lien hypertexte" xfId="12809" builtinId="8" hidden="1"/>
    <cellStyle name="Lien hypertexte" xfId="12811" builtinId="8" hidden="1"/>
    <cellStyle name="Lien hypertexte" xfId="12813" builtinId="8" hidden="1"/>
    <cellStyle name="Lien hypertexte" xfId="12815" builtinId="8" hidden="1"/>
    <cellStyle name="Lien hypertexte" xfId="12817" builtinId="8" hidden="1"/>
    <cellStyle name="Lien hypertexte" xfId="12819" builtinId="8" hidden="1"/>
    <cellStyle name="Lien hypertexte" xfId="12821" builtinId="8" hidden="1"/>
    <cellStyle name="Lien hypertexte" xfId="12823" builtinId="8" hidden="1"/>
    <cellStyle name="Lien hypertexte" xfId="12825" builtinId="8" hidden="1"/>
    <cellStyle name="Lien hypertexte" xfId="12827" builtinId="8" hidden="1"/>
    <cellStyle name="Lien hypertexte" xfId="12829" builtinId="8" hidden="1"/>
    <cellStyle name="Lien hypertexte" xfId="12831" builtinId="8" hidden="1"/>
    <cellStyle name="Lien hypertexte" xfId="12833" builtinId="8" hidden="1"/>
    <cellStyle name="Lien hypertexte" xfId="12835" builtinId="8" hidden="1"/>
    <cellStyle name="Lien hypertexte" xfId="12837" builtinId="8" hidden="1"/>
    <cellStyle name="Lien hypertexte" xfId="12839" builtinId="8" hidden="1"/>
    <cellStyle name="Lien hypertexte" xfId="12841" builtinId="8" hidden="1"/>
    <cellStyle name="Lien hypertexte" xfId="12843" builtinId="8" hidden="1"/>
    <cellStyle name="Lien hypertexte" xfId="12845" builtinId="8" hidden="1"/>
    <cellStyle name="Lien hypertexte" xfId="12847" builtinId="8" hidden="1"/>
    <cellStyle name="Lien hypertexte" xfId="12849" builtinId="8" hidden="1"/>
    <cellStyle name="Lien hypertexte" xfId="12851" builtinId="8" hidden="1"/>
    <cellStyle name="Lien hypertexte" xfId="12853" builtinId="8" hidden="1"/>
    <cellStyle name="Lien hypertexte" xfId="12855" builtinId="8" hidden="1"/>
    <cellStyle name="Lien hypertexte" xfId="12857" builtinId="8" hidden="1"/>
    <cellStyle name="Lien hypertexte" xfId="12859" builtinId="8" hidden="1"/>
    <cellStyle name="Lien hypertexte" xfId="12861" builtinId="8" hidden="1"/>
    <cellStyle name="Lien hypertexte" xfId="12863" builtinId="8" hidden="1"/>
    <cellStyle name="Lien hypertexte" xfId="12865" builtinId="8" hidden="1"/>
    <cellStyle name="Lien hypertexte" xfId="12867" builtinId="8" hidden="1"/>
    <cellStyle name="Lien hypertexte" xfId="12869" builtinId="8" hidden="1"/>
    <cellStyle name="Lien hypertexte" xfId="12871" builtinId="8" hidden="1"/>
    <cellStyle name="Lien hypertexte" xfId="12873" builtinId="8" hidden="1"/>
    <cellStyle name="Lien hypertexte" xfId="12875" builtinId="8" hidden="1"/>
    <cellStyle name="Lien hypertexte" xfId="12877" builtinId="8" hidden="1"/>
    <cellStyle name="Lien hypertexte" xfId="12879" builtinId="8" hidden="1"/>
    <cellStyle name="Lien hypertexte" xfId="12881" builtinId="8" hidden="1"/>
    <cellStyle name="Lien hypertexte" xfId="12883" builtinId="8" hidden="1"/>
    <cellStyle name="Lien hypertexte" xfId="12885" builtinId="8" hidden="1"/>
    <cellStyle name="Lien hypertexte" xfId="12887" builtinId="8" hidden="1"/>
    <cellStyle name="Lien hypertexte" xfId="12889" builtinId="8" hidden="1"/>
    <cellStyle name="Lien hypertexte" xfId="12891" builtinId="8" hidden="1"/>
    <cellStyle name="Lien hypertexte" xfId="12893" builtinId="8" hidden="1"/>
    <cellStyle name="Lien hypertexte" xfId="12895" builtinId="8" hidden="1"/>
    <cellStyle name="Lien hypertexte" xfId="12897" builtinId="8" hidden="1"/>
    <cellStyle name="Lien hypertexte" xfId="12899" builtinId="8" hidden="1"/>
    <cellStyle name="Lien hypertexte" xfId="12901" builtinId="8" hidden="1"/>
    <cellStyle name="Lien hypertexte" xfId="12903" builtinId="8" hidden="1"/>
    <cellStyle name="Lien hypertexte" xfId="12905" builtinId="8" hidden="1"/>
    <cellStyle name="Lien hypertexte" xfId="12907" builtinId="8" hidden="1"/>
    <cellStyle name="Lien hypertexte" xfId="12909" builtinId="8" hidden="1"/>
    <cellStyle name="Lien hypertexte" xfId="12911" builtinId="8" hidden="1"/>
    <cellStyle name="Lien hypertexte" xfId="12913" builtinId="8" hidden="1"/>
    <cellStyle name="Lien hypertexte" xfId="12915" builtinId="8" hidden="1"/>
    <cellStyle name="Lien hypertexte" xfId="12917" builtinId="8" hidden="1"/>
    <cellStyle name="Lien hypertexte" xfId="12919" builtinId="8" hidden="1"/>
    <cellStyle name="Lien hypertexte" xfId="12921" builtinId="8" hidden="1"/>
    <cellStyle name="Lien hypertexte" xfId="12923" builtinId="8" hidden="1"/>
    <cellStyle name="Lien hypertexte" xfId="12925" builtinId="8" hidden="1"/>
    <cellStyle name="Lien hypertexte" xfId="12927" builtinId="8" hidden="1"/>
    <cellStyle name="Lien hypertexte" xfId="12929" builtinId="8" hidden="1"/>
    <cellStyle name="Lien hypertexte" xfId="12931" builtinId="8" hidden="1"/>
    <cellStyle name="Lien hypertexte" xfId="12933" builtinId="8" hidden="1"/>
    <cellStyle name="Lien hypertexte" xfId="12935" builtinId="8" hidden="1"/>
    <cellStyle name="Lien hypertexte" xfId="12937" builtinId="8" hidden="1"/>
    <cellStyle name="Lien hypertexte" xfId="12939" builtinId="8" hidden="1"/>
    <cellStyle name="Lien hypertexte" xfId="12941" builtinId="8" hidden="1"/>
    <cellStyle name="Lien hypertexte" xfId="12943" builtinId="8" hidden="1"/>
    <cellStyle name="Lien hypertexte" xfId="12945" builtinId="8" hidden="1"/>
    <cellStyle name="Lien hypertexte" xfId="12947" builtinId="8" hidden="1"/>
    <cellStyle name="Lien hypertexte" xfId="12949" builtinId="8" hidden="1"/>
    <cellStyle name="Lien hypertexte" xfId="12951" builtinId="8" hidden="1"/>
    <cellStyle name="Lien hypertexte" xfId="12953" builtinId="8" hidden="1"/>
    <cellStyle name="Lien hypertexte" xfId="12955" builtinId="8" hidden="1"/>
    <cellStyle name="Lien hypertexte" xfId="12957" builtinId="8" hidden="1"/>
    <cellStyle name="Lien hypertexte" xfId="12959" builtinId="8" hidden="1"/>
    <cellStyle name="Lien hypertexte" xfId="12961" builtinId="8" hidden="1"/>
    <cellStyle name="Lien hypertexte" xfId="12963" builtinId="8" hidden="1"/>
    <cellStyle name="Lien hypertexte" xfId="12965" builtinId="8" hidden="1"/>
    <cellStyle name="Lien hypertexte" xfId="12967" builtinId="8" hidden="1"/>
    <cellStyle name="Lien hypertexte" xfId="12969" builtinId="8" hidden="1"/>
    <cellStyle name="Lien hypertexte" xfId="12971" builtinId="8" hidden="1"/>
    <cellStyle name="Lien hypertexte" xfId="12973" builtinId="8" hidden="1"/>
    <cellStyle name="Lien hypertexte" xfId="12975" builtinId="8" hidden="1"/>
    <cellStyle name="Lien hypertexte" xfId="12977" builtinId="8" hidden="1"/>
    <cellStyle name="Lien hypertexte" xfId="12979" builtinId="8" hidden="1"/>
    <cellStyle name="Lien hypertexte" xfId="12981" builtinId="8" hidden="1"/>
    <cellStyle name="Lien hypertexte" xfId="12983" builtinId="8" hidden="1"/>
    <cellStyle name="Lien hypertexte" xfId="12985" builtinId="8" hidden="1"/>
    <cellStyle name="Lien hypertexte" xfId="12987" builtinId="8" hidden="1"/>
    <cellStyle name="Lien hypertexte" xfId="12989" builtinId="8" hidden="1"/>
    <cellStyle name="Lien hypertexte" xfId="12991" builtinId="8" hidden="1"/>
    <cellStyle name="Lien hypertexte" xfId="12993" builtinId="8" hidden="1"/>
    <cellStyle name="Lien hypertexte" xfId="12995" builtinId="8" hidden="1"/>
    <cellStyle name="Lien hypertexte" xfId="12997" builtinId="8" hidden="1"/>
    <cellStyle name="Lien hypertexte" xfId="12999" builtinId="8" hidden="1"/>
    <cellStyle name="Lien hypertexte" xfId="13001" builtinId="8" hidden="1"/>
    <cellStyle name="Lien hypertexte" xfId="13003" builtinId="8" hidden="1"/>
    <cellStyle name="Lien hypertexte" xfId="13005" builtinId="8" hidden="1"/>
    <cellStyle name="Lien hypertexte" xfId="13007" builtinId="8" hidden="1"/>
    <cellStyle name="Lien hypertexte" xfId="13009" builtinId="8" hidden="1"/>
    <cellStyle name="Lien hypertexte" xfId="13011" builtinId="8" hidden="1"/>
    <cellStyle name="Lien hypertexte" xfId="13013" builtinId="8" hidden="1"/>
    <cellStyle name="Lien hypertexte" xfId="13015" builtinId="8" hidden="1"/>
    <cellStyle name="Lien hypertexte" xfId="13017" builtinId="8" hidden="1"/>
    <cellStyle name="Lien hypertexte" xfId="13019" builtinId="8" hidden="1"/>
    <cellStyle name="Lien hypertexte" xfId="13021" builtinId="8" hidden="1"/>
    <cellStyle name="Lien hypertexte" xfId="13023" builtinId="8" hidden="1"/>
    <cellStyle name="Lien hypertexte" xfId="13025" builtinId="8" hidden="1"/>
    <cellStyle name="Lien hypertexte" xfId="13027" builtinId="8" hidden="1"/>
    <cellStyle name="Lien hypertexte" xfId="13029" builtinId="8" hidden="1"/>
    <cellStyle name="Lien hypertexte" xfId="13031" builtinId="8" hidden="1"/>
    <cellStyle name="Lien hypertexte" xfId="13033" builtinId="8" hidden="1"/>
    <cellStyle name="Lien hypertexte" xfId="13035" builtinId="8" hidden="1"/>
    <cellStyle name="Lien hypertexte" xfId="13037" builtinId="8" hidden="1"/>
    <cellStyle name="Lien hypertexte" xfId="13039" builtinId="8" hidden="1"/>
    <cellStyle name="Lien hypertexte" xfId="13041" builtinId="8" hidden="1"/>
    <cellStyle name="Lien hypertexte" xfId="13043" builtinId="8" hidden="1"/>
    <cellStyle name="Lien hypertexte" xfId="13045" builtinId="8" hidden="1"/>
    <cellStyle name="Lien hypertexte" xfId="13047" builtinId="8" hidden="1"/>
    <cellStyle name="Lien hypertexte" xfId="13049" builtinId="8" hidden="1"/>
    <cellStyle name="Lien hypertexte" xfId="13051" builtinId="8" hidden="1"/>
    <cellStyle name="Lien hypertexte" xfId="13053" builtinId="8" hidden="1"/>
    <cellStyle name="Lien hypertexte" xfId="13055" builtinId="8" hidden="1"/>
    <cellStyle name="Lien hypertexte" xfId="13057" builtinId="8" hidden="1"/>
    <cellStyle name="Lien hypertexte" xfId="13059" builtinId="8" hidden="1"/>
    <cellStyle name="Lien hypertexte" xfId="13061" builtinId="8" hidden="1"/>
    <cellStyle name="Lien hypertexte" xfId="13063" builtinId="8" hidden="1"/>
    <cellStyle name="Lien hypertexte" xfId="13065" builtinId="8" hidden="1"/>
    <cellStyle name="Lien hypertexte" xfId="13067" builtinId="8" hidden="1"/>
    <cellStyle name="Lien hypertexte" xfId="13069" builtinId="8" hidden="1"/>
    <cellStyle name="Lien hypertexte" xfId="13071" builtinId="8" hidden="1"/>
    <cellStyle name="Lien hypertexte" xfId="13073" builtinId="8" hidden="1"/>
    <cellStyle name="Lien hypertexte" xfId="13075" builtinId="8" hidden="1"/>
    <cellStyle name="Lien hypertexte" xfId="13077" builtinId="8" hidden="1"/>
    <cellStyle name="Lien hypertexte" xfId="13079" builtinId="8" hidden="1"/>
    <cellStyle name="Lien hypertexte" xfId="13081" builtinId="8" hidden="1"/>
    <cellStyle name="Lien hypertexte" xfId="13083" builtinId="8" hidden="1"/>
    <cellStyle name="Lien hypertexte" xfId="13085" builtinId="8" hidden="1"/>
    <cellStyle name="Lien hypertexte" xfId="13087" builtinId="8" hidden="1"/>
    <cellStyle name="Lien hypertexte" xfId="13089" builtinId="8" hidden="1"/>
    <cellStyle name="Lien hypertexte" xfId="13091" builtinId="8" hidden="1"/>
    <cellStyle name="Lien hypertexte" xfId="13093" builtinId="8" hidden="1"/>
    <cellStyle name="Lien hypertexte" xfId="13095" builtinId="8" hidden="1"/>
    <cellStyle name="Lien hypertexte" xfId="13097" builtinId="8" hidden="1"/>
    <cellStyle name="Lien hypertexte" xfId="13099" builtinId="8" hidden="1"/>
    <cellStyle name="Lien hypertexte" xfId="13101" builtinId="8" hidden="1"/>
    <cellStyle name="Lien hypertexte" xfId="13103" builtinId="8" hidden="1"/>
    <cellStyle name="Lien hypertexte" xfId="13105" builtinId="8" hidden="1"/>
    <cellStyle name="Lien hypertexte" xfId="13107" builtinId="8" hidden="1"/>
    <cellStyle name="Lien hypertexte" xfId="13109" builtinId="8" hidden="1"/>
    <cellStyle name="Lien hypertexte" xfId="13111" builtinId="8" hidden="1"/>
    <cellStyle name="Lien hypertexte" xfId="13113" builtinId="8" hidden="1"/>
    <cellStyle name="Lien hypertexte" xfId="13115" builtinId="8" hidden="1"/>
    <cellStyle name="Lien hypertexte" xfId="13117" builtinId="8" hidden="1"/>
    <cellStyle name="Lien hypertexte" xfId="13119" builtinId="8" hidden="1"/>
    <cellStyle name="Lien hypertexte" xfId="13121" builtinId="8" hidden="1"/>
    <cellStyle name="Lien hypertexte" xfId="13123" builtinId="8" hidden="1"/>
    <cellStyle name="Lien hypertexte" xfId="13125" builtinId="8" hidden="1"/>
    <cellStyle name="Lien hypertexte" xfId="13127" builtinId="8" hidden="1"/>
    <cellStyle name="Lien hypertexte" xfId="13129" builtinId="8" hidden="1"/>
    <cellStyle name="Lien hypertexte" xfId="13131" builtinId="8" hidden="1"/>
    <cellStyle name="Lien hypertexte" xfId="13133" builtinId="8" hidden="1"/>
    <cellStyle name="Lien hypertexte" xfId="13135" builtinId="8" hidden="1"/>
    <cellStyle name="Lien hypertexte" xfId="13137" builtinId="8" hidden="1"/>
    <cellStyle name="Lien hypertexte" xfId="13139" builtinId="8" hidden="1"/>
    <cellStyle name="Lien hypertexte" xfId="13141" builtinId="8" hidden="1"/>
    <cellStyle name="Lien hypertexte" xfId="13143" builtinId="8" hidden="1"/>
    <cellStyle name="Lien hypertexte" xfId="13145" builtinId="8" hidden="1"/>
    <cellStyle name="Lien hypertexte" xfId="13147" builtinId="8" hidden="1"/>
    <cellStyle name="Lien hypertexte" xfId="13149" builtinId="8" hidden="1"/>
    <cellStyle name="Lien hypertexte" xfId="13151" builtinId="8" hidden="1"/>
    <cellStyle name="Lien hypertexte" xfId="13153" builtinId="8" hidden="1"/>
    <cellStyle name="Lien hypertexte" xfId="13155" builtinId="8" hidden="1"/>
    <cellStyle name="Lien hypertexte" xfId="13157" builtinId="8" hidden="1"/>
    <cellStyle name="Lien hypertexte" xfId="13159" builtinId="8" hidden="1"/>
    <cellStyle name="Lien hypertexte" xfId="13161" builtinId="8" hidden="1"/>
    <cellStyle name="Lien hypertexte" xfId="13163" builtinId="8" hidden="1"/>
    <cellStyle name="Lien hypertexte" xfId="13165" builtinId="8" hidden="1"/>
    <cellStyle name="Lien hypertexte" xfId="13167" builtinId="8" hidden="1"/>
    <cellStyle name="Lien hypertexte" xfId="13169" builtinId="8" hidden="1"/>
    <cellStyle name="Lien hypertexte" xfId="13171" builtinId="8" hidden="1"/>
    <cellStyle name="Lien hypertexte" xfId="13173" builtinId="8" hidden="1"/>
    <cellStyle name="Lien hypertexte" xfId="13175" builtinId="8" hidden="1"/>
    <cellStyle name="Lien hypertexte" xfId="13177" builtinId="8" hidden="1"/>
    <cellStyle name="Lien hypertexte" xfId="13179" builtinId="8" hidden="1"/>
    <cellStyle name="Lien hypertexte" xfId="13181" builtinId="8" hidden="1"/>
    <cellStyle name="Lien hypertexte" xfId="13183" builtinId="8" hidden="1"/>
    <cellStyle name="Lien hypertexte" xfId="13185" builtinId="8" hidden="1"/>
    <cellStyle name="Lien hypertexte" xfId="13187" builtinId="8" hidden="1"/>
    <cellStyle name="Lien hypertexte" xfId="13189" builtinId="8" hidden="1"/>
    <cellStyle name="Lien hypertexte" xfId="13191" builtinId="8" hidden="1"/>
    <cellStyle name="Lien hypertexte" xfId="13193" builtinId="8" hidden="1"/>
    <cellStyle name="Lien hypertexte" xfId="13195" builtinId="8" hidden="1"/>
    <cellStyle name="Lien hypertexte" xfId="13197" builtinId="8" hidden="1"/>
    <cellStyle name="Lien hypertexte" xfId="13199" builtinId="8" hidden="1"/>
    <cellStyle name="Lien hypertexte" xfId="13201" builtinId="8" hidden="1"/>
    <cellStyle name="Lien hypertexte" xfId="13203" builtinId="8" hidden="1"/>
    <cellStyle name="Lien hypertexte" xfId="13205" builtinId="8" hidden="1"/>
    <cellStyle name="Lien hypertexte" xfId="13207" builtinId="8" hidden="1"/>
    <cellStyle name="Lien hypertexte" xfId="13209" builtinId="8" hidden="1"/>
    <cellStyle name="Lien hypertexte" xfId="13211" builtinId="8" hidden="1"/>
    <cellStyle name="Lien hypertexte" xfId="13213" builtinId="8" hidden="1"/>
    <cellStyle name="Lien hypertexte" xfId="13215" builtinId="8" hidden="1"/>
    <cellStyle name="Lien hypertexte" xfId="13217" builtinId="8" hidden="1"/>
    <cellStyle name="Lien hypertexte" xfId="13219" builtinId="8" hidden="1"/>
    <cellStyle name="Lien hypertexte" xfId="13221" builtinId="8" hidden="1"/>
    <cellStyle name="Lien hypertexte" xfId="13223" builtinId="8" hidden="1"/>
    <cellStyle name="Lien hypertexte" xfId="13225" builtinId="8" hidden="1"/>
    <cellStyle name="Lien hypertexte" xfId="13227" builtinId="8" hidden="1"/>
    <cellStyle name="Lien hypertexte" xfId="13229" builtinId="8" hidden="1"/>
    <cellStyle name="Lien hypertexte" xfId="13231" builtinId="8" hidden="1"/>
    <cellStyle name="Lien hypertexte" xfId="13233" builtinId="8" hidden="1"/>
    <cellStyle name="Lien hypertexte" xfId="13235" builtinId="8" hidden="1"/>
    <cellStyle name="Lien hypertexte" xfId="13237" builtinId="8" hidden="1"/>
    <cellStyle name="Lien hypertexte" xfId="13239" builtinId="8" hidden="1"/>
    <cellStyle name="Lien hypertexte" xfId="13241" builtinId="8" hidden="1"/>
    <cellStyle name="Lien hypertexte" xfId="13243" builtinId="8" hidden="1"/>
    <cellStyle name="Lien hypertexte" xfId="13245" builtinId="8" hidden="1"/>
    <cellStyle name="Lien hypertexte" xfId="13247" builtinId="8" hidden="1"/>
    <cellStyle name="Lien hypertexte" xfId="13249" builtinId="8" hidden="1"/>
    <cellStyle name="Lien hypertexte" xfId="13251" builtinId="8" hidden="1"/>
    <cellStyle name="Lien hypertexte" xfId="13253" builtinId="8" hidden="1"/>
    <cellStyle name="Lien hypertexte" xfId="13255" builtinId="8" hidden="1"/>
    <cellStyle name="Lien hypertexte" xfId="13257" builtinId="8" hidden="1"/>
    <cellStyle name="Lien hypertexte" xfId="13259" builtinId="8" hidden="1"/>
    <cellStyle name="Lien hypertexte" xfId="13261" builtinId="8" hidden="1"/>
    <cellStyle name="Lien hypertexte" xfId="13263" builtinId="8" hidden="1"/>
    <cellStyle name="Lien hypertexte" xfId="13265" builtinId="8" hidden="1"/>
    <cellStyle name="Lien hypertexte" xfId="13267" builtinId="8" hidden="1"/>
    <cellStyle name="Lien hypertexte" xfId="13269" builtinId="8" hidden="1"/>
    <cellStyle name="Lien hypertexte" xfId="13271" builtinId="8" hidden="1"/>
    <cellStyle name="Lien hypertexte" xfId="13273" builtinId="8" hidden="1"/>
    <cellStyle name="Lien hypertexte" xfId="13275" builtinId="8" hidden="1"/>
    <cellStyle name="Lien hypertexte" xfId="13277" builtinId="8" hidden="1"/>
    <cellStyle name="Lien hypertexte" xfId="13279" builtinId="8" hidden="1"/>
    <cellStyle name="Lien hypertexte" xfId="13281" builtinId="8" hidden="1"/>
    <cellStyle name="Lien hypertexte" xfId="13283" builtinId="8" hidden="1"/>
    <cellStyle name="Lien hypertexte" xfId="13285" builtinId="8" hidden="1"/>
    <cellStyle name="Lien hypertexte" xfId="13287" builtinId="8" hidden="1"/>
    <cellStyle name="Lien hypertexte" xfId="13289" builtinId="8" hidden="1"/>
    <cellStyle name="Lien hypertexte" xfId="13291" builtinId="8" hidden="1"/>
    <cellStyle name="Lien hypertexte" xfId="13293" builtinId="8" hidden="1"/>
    <cellStyle name="Lien hypertexte" xfId="13295" builtinId="8" hidden="1"/>
    <cellStyle name="Lien hypertexte" xfId="13297" builtinId="8" hidden="1"/>
    <cellStyle name="Lien hypertexte" xfId="13299" builtinId="8" hidden="1"/>
    <cellStyle name="Lien hypertexte" xfId="13301" builtinId="8" hidden="1"/>
    <cellStyle name="Lien hypertexte" xfId="13303" builtinId="8" hidden="1"/>
    <cellStyle name="Lien hypertexte" xfId="13305" builtinId="8" hidden="1"/>
    <cellStyle name="Lien hypertexte" xfId="13307" builtinId="8" hidden="1"/>
    <cellStyle name="Lien hypertexte" xfId="13309" builtinId="8" hidden="1"/>
    <cellStyle name="Lien hypertexte" xfId="13311" builtinId="8" hidden="1"/>
    <cellStyle name="Lien hypertexte" xfId="13313" builtinId="8" hidden="1"/>
    <cellStyle name="Lien hypertexte" xfId="13315" builtinId="8" hidden="1"/>
    <cellStyle name="Lien hypertexte" xfId="13317" builtinId="8" hidden="1"/>
    <cellStyle name="Lien hypertexte" xfId="13319" builtinId="8" hidden="1"/>
    <cellStyle name="Lien hypertexte" xfId="13321" builtinId="8" hidden="1"/>
    <cellStyle name="Lien hypertexte" xfId="13323" builtinId="8" hidden="1"/>
    <cellStyle name="Lien hypertexte" xfId="13325" builtinId="8" hidden="1"/>
    <cellStyle name="Lien hypertexte" xfId="13327" builtinId="8" hidden="1"/>
    <cellStyle name="Lien hypertexte" xfId="13329" builtinId="8" hidden="1"/>
    <cellStyle name="Lien hypertexte" xfId="13331" builtinId="8" hidden="1"/>
    <cellStyle name="Lien hypertexte" xfId="13333" builtinId="8" hidden="1"/>
    <cellStyle name="Lien hypertexte" xfId="13335" builtinId="8" hidden="1"/>
    <cellStyle name="Lien hypertexte" xfId="13337" builtinId="8" hidden="1"/>
    <cellStyle name="Lien hypertexte" xfId="13339" builtinId="8" hidden="1"/>
    <cellStyle name="Lien hypertexte" xfId="13341" builtinId="8" hidden="1"/>
    <cellStyle name="Lien hypertexte" xfId="13343" builtinId="8" hidden="1"/>
    <cellStyle name="Lien hypertexte" xfId="13345" builtinId="8" hidden="1"/>
    <cellStyle name="Lien hypertexte" xfId="13347" builtinId="8" hidden="1"/>
    <cellStyle name="Lien hypertexte" xfId="13349" builtinId="8" hidden="1"/>
    <cellStyle name="Lien hypertexte" xfId="13351" builtinId="8" hidden="1"/>
    <cellStyle name="Lien hypertexte" xfId="13353" builtinId="8" hidden="1"/>
    <cellStyle name="Lien hypertexte" xfId="13355" builtinId="8" hidden="1"/>
    <cellStyle name="Lien hypertexte" xfId="13357" builtinId="8" hidden="1"/>
    <cellStyle name="Lien hypertexte" xfId="13359" builtinId="8" hidden="1"/>
    <cellStyle name="Lien hypertexte" xfId="13361" builtinId="8" hidden="1"/>
    <cellStyle name="Lien hypertexte" xfId="13363" builtinId="8" hidden="1"/>
    <cellStyle name="Lien hypertexte" xfId="13365" builtinId="8" hidden="1"/>
    <cellStyle name="Lien hypertexte" xfId="13367" builtinId="8" hidden="1"/>
    <cellStyle name="Lien hypertexte" xfId="13369" builtinId="8" hidden="1"/>
    <cellStyle name="Lien hypertexte" xfId="13371" builtinId="8" hidden="1"/>
    <cellStyle name="Lien hypertexte" xfId="13373" builtinId="8" hidden="1"/>
    <cellStyle name="Lien hypertexte" xfId="13375" builtinId="8" hidden="1"/>
    <cellStyle name="Lien hypertexte" xfId="13377" builtinId="8" hidden="1"/>
    <cellStyle name="Lien hypertexte" xfId="13379" builtinId="8" hidden="1"/>
    <cellStyle name="Lien hypertexte" xfId="13381" builtinId="8" hidden="1"/>
    <cellStyle name="Lien hypertexte" xfId="13383" builtinId="8" hidden="1"/>
    <cellStyle name="Lien hypertexte" xfId="13385" builtinId="8" hidden="1"/>
    <cellStyle name="Lien hypertexte" xfId="13387" builtinId="8" hidden="1"/>
    <cellStyle name="Lien hypertexte" xfId="13389" builtinId="8" hidden="1"/>
    <cellStyle name="Lien hypertexte" xfId="13391" builtinId="8" hidden="1"/>
    <cellStyle name="Lien hypertexte" xfId="13393" builtinId="8" hidden="1"/>
    <cellStyle name="Lien hypertexte" xfId="13395" builtinId="8" hidden="1"/>
    <cellStyle name="Lien hypertexte" xfId="13397" builtinId="8" hidden="1"/>
    <cellStyle name="Lien hypertexte" xfId="13399" builtinId="8" hidden="1"/>
    <cellStyle name="Lien hypertexte" xfId="13401" builtinId="8" hidden="1"/>
    <cellStyle name="Lien hypertexte" xfId="13403" builtinId="8" hidden="1"/>
    <cellStyle name="Lien hypertexte" xfId="13405" builtinId="8" hidden="1"/>
    <cellStyle name="Lien hypertexte" xfId="13407" builtinId="8" hidden="1"/>
    <cellStyle name="Lien hypertexte" xfId="13409" builtinId="8" hidden="1"/>
    <cellStyle name="Lien hypertexte" xfId="13411" builtinId="8" hidden="1"/>
    <cellStyle name="Lien hypertexte" xfId="13413" builtinId="8" hidden="1"/>
    <cellStyle name="Lien hypertexte" xfId="13415" builtinId="8" hidden="1"/>
    <cellStyle name="Lien hypertexte" xfId="13417" builtinId="8" hidden="1"/>
    <cellStyle name="Lien hypertexte" xfId="13419" builtinId="8" hidden="1"/>
    <cellStyle name="Lien hypertexte" xfId="13421" builtinId="8" hidden="1"/>
    <cellStyle name="Lien hypertexte" xfId="13423" builtinId="8" hidden="1"/>
    <cellStyle name="Lien hypertexte" xfId="13425" builtinId="8" hidden="1"/>
    <cellStyle name="Lien hypertexte" xfId="13427" builtinId="8" hidden="1"/>
    <cellStyle name="Lien hypertexte" xfId="13429" builtinId="8" hidden="1"/>
    <cellStyle name="Lien hypertexte" xfId="13431" builtinId="8" hidden="1"/>
    <cellStyle name="Lien hypertexte" xfId="13433" builtinId="8" hidden="1"/>
    <cellStyle name="Lien hypertexte" xfId="13435" builtinId="8" hidden="1"/>
    <cellStyle name="Lien hypertexte" xfId="13437" builtinId="8" hidden="1"/>
    <cellStyle name="Lien hypertexte" xfId="13439" builtinId="8" hidden="1"/>
    <cellStyle name="Lien hypertexte" xfId="13441" builtinId="8" hidden="1"/>
    <cellStyle name="Lien hypertexte" xfId="13443" builtinId="8" hidden="1"/>
    <cellStyle name="Lien hypertexte" xfId="13445" builtinId="8" hidden="1"/>
    <cellStyle name="Lien hypertexte" xfId="13447" builtinId="8" hidden="1"/>
    <cellStyle name="Lien hypertexte" xfId="13449" builtinId="8" hidden="1"/>
    <cellStyle name="Lien hypertexte" xfId="13451" builtinId="8" hidden="1"/>
    <cellStyle name="Lien hypertexte" xfId="13453" builtinId="8" hidden="1"/>
    <cellStyle name="Lien hypertexte" xfId="13455" builtinId="8" hidden="1"/>
    <cellStyle name="Lien hypertexte" xfId="13457" builtinId="8" hidden="1"/>
    <cellStyle name="Lien hypertexte" xfId="13459" builtinId="8" hidden="1"/>
    <cellStyle name="Lien hypertexte" xfId="13461" builtinId="8" hidden="1"/>
    <cellStyle name="Lien hypertexte" xfId="13463" builtinId="8" hidden="1"/>
    <cellStyle name="Lien hypertexte" xfId="13465" builtinId="8" hidden="1"/>
    <cellStyle name="Lien hypertexte" xfId="13467" builtinId="8" hidden="1"/>
    <cellStyle name="Lien hypertexte" xfId="13469" builtinId="8" hidden="1"/>
    <cellStyle name="Lien hypertexte" xfId="13471" builtinId="8" hidden="1"/>
    <cellStyle name="Lien hypertexte" xfId="13473" builtinId="8" hidden="1"/>
    <cellStyle name="Lien hypertexte" xfId="13475" builtinId="8" hidden="1"/>
    <cellStyle name="Lien hypertexte" xfId="13477" builtinId="8" hidden="1"/>
    <cellStyle name="Lien hypertexte" xfId="13479" builtinId="8" hidden="1"/>
    <cellStyle name="Lien hypertexte" xfId="13481" builtinId="8" hidden="1"/>
    <cellStyle name="Lien hypertexte" xfId="13483" builtinId="8" hidden="1"/>
    <cellStyle name="Lien hypertexte" xfId="13485" builtinId="8" hidden="1"/>
    <cellStyle name="Lien hypertexte" xfId="13487" builtinId="8" hidden="1"/>
    <cellStyle name="Lien hypertexte" xfId="13489" builtinId="8" hidden="1"/>
    <cellStyle name="Lien hypertexte" xfId="13491" builtinId="8" hidden="1"/>
    <cellStyle name="Lien hypertexte" xfId="13493" builtinId="8" hidden="1"/>
    <cellStyle name="Lien hypertexte" xfId="13495" builtinId="8" hidden="1"/>
    <cellStyle name="Lien hypertexte" xfId="13497" builtinId="8" hidden="1"/>
    <cellStyle name="Lien hypertexte" xfId="13499" builtinId="8" hidden="1"/>
    <cellStyle name="Lien hypertexte" xfId="13501" builtinId="8" hidden="1"/>
    <cellStyle name="Lien hypertexte" xfId="13503" builtinId="8" hidden="1"/>
    <cellStyle name="Lien hypertexte" xfId="13505" builtinId="8" hidden="1"/>
    <cellStyle name="Lien hypertexte" xfId="13507" builtinId="8" hidden="1"/>
    <cellStyle name="Lien hypertexte" xfId="13509" builtinId="8" hidden="1"/>
    <cellStyle name="Lien hypertexte" xfId="13511" builtinId="8" hidden="1"/>
    <cellStyle name="Lien hypertexte" xfId="13513" builtinId="8" hidden="1"/>
    <cellStyle name="Lien hypertexte" xfId="13515" builtinId="8" hidden="1"/>
    <cellStyle name="Lien hypertexte" xfId="13517" builtinId="8" hidden="1"/>
    <cellStyle name="Lien hypertexte" xfId="13519" builtinId="8" hidden="1"/>
    <cellStyle name="Lien hypertexte" xfId="13521" builtinId="8" hidden="1"/>
    <cellStyle name="Lien hypertexte" xfId="13523" builtinId="8" hidden="1"/>
    <cellStyle name="Lien hypertexte" xfId="13525" builtinId="8" hidden="1"/>
    <cellStyle name="Lien hypertexte" xfId="13527" builtinId="8" hidden="1"/>
    <cellStyle name="Lien hypertexte" xfId="13529" builtinId="8" hidden="1"/>
    <cellStyle name="Lien hypertexte" xfId="13531" builtinId="8" hidden="1"/>
    <cellStyle name="Lien hypertexte" xfId="13533" builtinId="8" hidden="1"/>
    <cellStyle name="Lien hypertexte" xfId="13535" builtinId="8" hidden="1"/>
    <cellStyle name="Lien hypertexte" xfId="13537" builtinId="8" hidden="1"/>
    <cellStyle name="Lien hypertexte" xfId="13539" builtinId="8" hidden="1"/>
    <cellStyle name="Lien hypertexte" xfId="13541" builtinId="8" hidden="1"/>
    <cellStyle name="Lien hypertexte" xfId="13543" builtinId="8" hidden="1"/>
    <cellStyle name="Lien hypertexte" xfId="13545" builtinId="8" hidden="1"/>
    <cellStyle name="Lien hypertexte" xfId="13547" builtinId="8" hidden="1"/>
    <cellStyle name="Lien hypertexte" xfId="13549" builtinId="8" hidden="1"/>
    <cellStyle name="Lien hypertexte" xfId="13551" builtinId="8" hidden="1"/>
    <cellStyle name="Lien hypertexte" xfId="13553" builtinId="8" hidden="1"/>
    <cellStyle name="Lien hypertexte" xfId="13555" builtinId="8" hidden="1"/>
    <cellStyle name="Lien hypertexte" xfId="13557" builtinId="8" hidden="1"/>
    <cellStyle name="Lien hypertexte" xfId="13559" builtinId="8" hidden="1"/>
    <cellStyle name="Lien hypertexte" xfId="13561" builtinId="8" hidden="1"/>
    <cellStyle name="Lien hypertexte" xfId="13563" builtinId="8" hidden="1"/>
    <cellStyle name="Lien hypertexte" xfId="13565" builtinId="8" hidden="1"/>
    <cellStyle name="Lien hypertexte" xfId="13567" builtinId="8" hidden="1"/>
    <cellStyle name="Lien hypertexte" xfId="13569" builtinId="8" hidden="1"/>
    <cellStyle name="Lien hypertexte" xfId="13571" builtinId="8" hidden="1"/>
    <cellStyle name="Lien hypertexte" xfId="13573" builtinId="8" hidden="1"/>
    <cellStyle name="Lien hypertexte" xfId="13575" builtinId="8" hidden="1"/>
    <cellStyle name="Lien hypertexte" xfId="13577" builtinId="8" hidden="1"/>
    <cellStyle name="Lien hypertexte" xfId="13579" builtinId="8" hidden="1"/>
    <cellStyle name="Lien hypertexte" xfId="13581" builtinId="8" hidden="1"/>
    <cellStyle name="Lien hypertexte" xfId="13583" builtinId="8" hidden="1"/>
    <cellStyle name="Lien hypertexte" xfId="13585" builtinId="8" hidden="1"/>
    <cellStyle name="Lien hypertexte" xfId="13587" builtinId="8" hidden="1"/>
    <cellStyle name="Lien hypertexte" xfId="13589" builtinId="8" hidden="1"/>
    <cellStyle name="Lien hypertexte" xfId="13591" builtinId="8" hidden="1"/>
    <cellStyle name="Lien hypertexte" xfId="13593" builtinId="8" hidden="1"/>
    <cellStyle name="Lien hypertexte" xfId="13595" builtinId="8" hidden="1"/>
    <cellStyle name="Lien hypertexte" xfId="13597" builtinId="8" hidden="1"/>
    <cellStyle name="Lien hypertexte" xfId="13599" builtinId="8" hidden="1"/>
    <cellStyle name="Lien hypertexte" xfId="13601" builtinId="8" hidden="1"/>
    <cellStyle name="Lien hypertexte" xfId="13603" builtinId="8" hidden="1"/>
    <cellStyle name="Lien hypertexte" xfId="13605" builtinId="8" hidden="1"/>
    <cellStyle name="Lien hypertexte" xfId="13607" builtinId="8" hidden="1"/>
    <cellStyle name="Lien hypertexte" xfId="13609" builtinId="8" hidden="1"/>
    <cellStyle name="Lien hypertexte" xfId="13611" builtinId="8" hidden="1"/>
    <cellStyle name="Lien hypertexte" xfId="13613" builtinId="8" hidden="1"/>
    <cellStyle name="Lien hypertexte" xfId="13615" builtinId="8" hidden="1"/>
    <cellStyle name="Lien hypertexte" xfId="13617" builtinId="8" hidden="1"/>
    <cellStyle name="Lien hypertexte" xfId="13619" builtinId="8" hidden="1"/>
    <cellStyle name="Lien hypertexte" xfId="13621" builtinId="8" hidden="1"/>
    <cellStyle name="Lien hypertexte" xfId="13623" builtinId="8" hidden="1"/>
    <cellStyle name="Lien hypertexte" xfId="13625" builtinId="8" hidden="1"/>
    <cellStyle name="Lien hypertexte" xfId="13627" builtinId="8" hidden="1"/>
    <cellStyle name="Lien hypertexte" xfId="13629" builtinId="8" hidden="1"/>
    <cellStyle name="Lien hypertexte" xfId="13631" builtinId="8" hidden="1"/>
    <cellStyle name="Lien hypertexte" xfId="13633" builtinId="8" hidden="1"/>
    <cellStyle name="Lien hypertexte" xfId="13635" builtinId="8" hidden="1"/>
    <cellStyle name="Lien hypertexte" xfId="13637" builtinId="8" hidden="1"/>
    <cellStyle name="Lien hypertexte" xfId="13639" builtinId="8" hidden="1"/>
    <cellStyle name="Lien hypertexte" xfId="13641" builtinId="8" hidden="1"/>
    <cellStyle name="Lien hypertexte" xfId="13643" builtinId="8" hidden="1"/>
    <cellStyle name="Lien hypertexte" xfId="13645" builtinId="8" hidden="1"/>
    <cellStyle name="Lien hypertexte" xfId="13647" builtinId="8" hidden="1"/>
    <cellStyle name="Lien hypertexte" xfId="13649" builtinId="8" hidden="1"/>
    <cellStyle name="Lien hypertexte" xfId="13651" builtinId="8" hidden="1"/>
    <cellStyle name="Lien hypertexte" xfId="13653" builtinId="8" hidden="1"/>
    <cellStyle name="Lien hypertexte" xfId="13655" builtinId="8" hidden="1"/>
    <cellStyle name="Lien hypertexte" xfId="13657" builtinId="8" hidden="1"/>
    <cellStyle name="Lien hypertexte" xfId="13659" builtinId="8" hidden="1"/>
    <cellStyle name="Lien hypertexte" xfId="13661" builtinId="8" hidden="1"/>
    <cellStyle name="Lien hypertexte" xfId="13663" builtinId="8" hidden="1"/>
    <cellStyle name="Lien hypertexte" xfId="13665" builtinId="8" hidden="1"/>
    <cellStyle name="Lien hypertexte" xfId="13667" builtinId="8" hidden="1"/>
    <cellStyle name="Lien hypertexte" xfId="13669" builtinId="8" hidden="1"/>
    <cellStyle name="Lien hypertexte" xfId="13671" builtinId="8" hidden="1"/>
    <cellStyle name="Lien hypertexte" xfId="13673" builtinId="8" hidden="1"/>
    <cellStyle name="Lien hypertexte" xfId="13675" builtinId="8" hidden="1"/>
    <cellStyle name="Lien hypertexte" xfId="13677" builtinId="8" hidden="1"/>
    <cellStyle name="Lien hypertexte" xfId="13679" builtinId="8" hidden="1"/>
    <cellStyle name="Lien hypertexte" xfId="13681" builtinId="8" hidden="1"/>
    <cellStyle name="Lien hypertexte" xfId="13683" builtinId="8" hidden="1"/>
    <cellStyle name="Lien hypertexte" xfId="13685" builtinId="8" hidden="1"/>
    <cellStyle name="Lien hypertexte" xfId="13687" builtinId="8" hidden="1"/>
    <cellStyle name="Lien hypertexte" xfId="13689" builtinId="8" hidden="1"/>
    <cellStyle name="Lien hypertexte" xfId="13691" builtinId="8" hidden="1"/>
    <cellStyle name="Lien hypertexte" xfId="13693" builtinId="8" hidden="1"/>
    <cellStyle name="Lien hypertexte" xfId="13695" builtinId="8" hidden="1"/>
    <cellStyle name="Lien hypertexte" xfId="13697" builtinId="8" hidden="1"/>
    <cellStyle name="Lien hypertexte" xfId="13699" builtinId="8" hidden="1"/>
    <cellStyle name="Lien hypertexte" xfId="13701" builtinId="8" hidden="1"/>
    <cellStyle name="Lien hypertexte" xfId="13703" builtinId="8" hidden="1"/>
    <cellStyle name="Lien hypertexte" xfId="13705" builtinId="8" hidden="1"/>
    <cellStyle name="Lien hypertexte" xfId="13707" builtinId="8" hidden="1"/>
    <cellStyle name="Lien hypertexte" xfId="13709" builtinId="8" hidden="1"/>
    <cellStyle name="Lien hypertexte" xfId="13711" builtinId="8" hidden="1"/>
    <cellStyle name="Lien hypertexte" xfId="13713" builtinId="8" hidden="1"/>
    <cellStyle name="Lien hypertexte" xfId="13715" builtinId="8" hidden="1"/>
    <cellStyle name="Lien hypertexte" xfId="13717" builtinId="8" hidden="1"/>
    <cellStyle name="Lien hypertexte" xfId="13719" builtinId="8" hidden="1"/>
    <cellStyle name="Lien hypertexte" xfId="13721" builtinId="8" hidden="1"/>
    <cellStyle name="Lien hypertexte" xfId="13723" builtinId="8" hidden="1"/>
    <cellStyle name="Lien hypertexte" xfId="13725" builtinId="8" hidden="1"/>
    <cellStyle name="Lien hypertexte" xfId="13727" builtinId="8" hidden="1"/>
    <cellStyle name="Lien hypertexte" xfId="13729" builtinId="8" hidden="1"/>
    <cellStyle name="Lien hypertexte" xfId="13731" builtinId="8" hidden="1"/>
    <cellStyle name="Lien hypertexte" xfId="13733" builtinId="8" hidden="1"/>
    <cellStyle name="Lien hypertexte" xfId="13735" builtinId="8" hidden="1"/>
    <cellStyle name="Lien hypertexte" xfId="13737" builtinId="8" hidden="1"/>
    <cellStyle name="Lien hypertexte" xfId="13739" builtinId="8" hidden="1"/>
    <cellStyle name="Lien hypertexte" xfId="13741" builtinId="8" hidden="1"/>
    <cellStyle name="Lien hypertexte" xfId="13743" builtinId="8" hidden="1"/>
    <cellStyle name="Lien hypertexte" xfId="13745" builtinId="8" hidden="1"/>
    <cellStyle name="Lien hypertexte" xfId="13747" builtinId="8" hidden="1"/>
    <cellStyle name="Lien hypertexte" xfId="13749" builtinId="8" hidden="1"/>
    <cellStyle name="Lien hypertexte" xfId="13751" builtinId="8" hidden="1"/>
    <cellStyle name="Lien hypertexte" xfId="13753" builtinId="8" hidden="1"/>
    <cellStyle name="Lien hypertexte" xfId="13755" builtinId="8" hidden="1"/>
    <cellStyle name="Lien hypertexte" xfId="13757" builtinId="8" hidden="1"/>
    <cellStyle name="Lien hypertexte" xfId="13759" builtinId="8" hidden="1"/>
    <cellStyle name="Lien hypertexte" xfId="13761" builtinId="8" hidden="1"/>
    <cellStyle name="Lien hypertexte" xfId="13763" builtinId="8" hidden="1"/>
    <cellStyle name="Lien hypertexte" xfId="13765" builtinId="8" hidden="1"/>
    <cellStyle name="Lien hypertexte" xfId="13767" builtinId="8" hidden="1"/>
    <cellStyle name="Lien hypertexte" xfId="13769" builtinId="8" hidden="1"/>
    <cellStyle name="Lien hypertexte" xfId="13771" builtinId="8" hidden="1"/>
    <cellStyle name="Lien hypertexte" xfId="13773" builtinId="8" hidden="1"/>
    <cellStyle name="Lien hypertexte" xfId="13775" builtinId="8" hidden="1"/>
    <cellStyle name="Lien hypertexte" xfId="13777" builtinId="8" hidden="1"/>
    <cellStyle name="Lien hypertexte" xfId="13779" builtinId="8" hidden="1"/>
    <cellStyle name="Lien hypertexte" xfId="13781" builtinId="8" hidden="1"/>
    <cellStyle name="Lien hypertexte" xfId="13783" builtinId="8" hidden="1"/>
    <cellStyle name="Lien hypertexte" xfId="13785" builtinId="8" hidden="1"/>
    <cellStyle name="Lien hypertexte" xfId="13787" builtinId="8" hidden="1"/>
    <cellStyle name="Lien hypertexte" xfId="13789" builtinId="8" hidden="1"/>
    <cellStyle name="Lien hypertexte" xfId="13791" builtinId="8" hidden="1"/>
    <cellStyle name="Lien hypertexte" xfId="13793" builtinId="8" hidden="1"/>
    <cellStyle name="Lien hypertexte" xfId="13795" builtinId="8" hidden="1"/>
    <cellStyle name="Lien hypertexte" xfId="13797" builtinId="8" hidden="1"/>
    <cellStyle name="Lien hypertexte" xfId="13799" builtinId="8" hidden="1"/>
    <cellStyle name="Lien hypertexte" xfId="13801" builtinId="8" hidden="1"/>
    <cellStyle name="Lien hypertexte" xfId="13803" builtinId="8" hidden="1"/>
    <cellStyle name="Lien hypertexte" xfId="13805" builtinId="8" hidden="1"/>
    <cellStyle name="Lien hypertexte" xfId="13807" builtinId="8" hidden="1"/>
    <cellStyle name="Lien hypertexte" xfId="13809" builtinId="8" hidden="1"/>
    <cellStyle name="Lien hypertexte" xfId="13811" builtinId="8" hidden="1"/>
    <cellStyle name="Lien hypertexte" xfId="13813" builtinId="8" hidden="1"/>
    <cellStyle name="Lien hypertexte" xfId="13815" builtinId="8" hidden="1"/>
    <cellStyle name="Lien hypertexte" xfId="13817" builtinId="8" hidden="1"/>
    <cellStyle name="Lien hypertexte" xfId="13819" builtinId="8" hidden="1"/>
    <cellStyle name="Lien hypertexte" xfId="13821" builtinId="8" hidden="1"/>
    <cellStyle name="Lien hypertexte" xfId="13823" builtinId="8" hidden="1"/>
    <cellStyle name="Lien hypertexte" xfId="13825" builtinId="8" hidden="1"/>
    <cellStyle name="Lien hypertexte" xfId="13827" builtinId="8" hidden="1"/>
    <cellStyle name="Lien hypertexte" xfId="13829" builtinId="8" hidden="1"/>
    <cellStyle name="Lien hypertexte" xfId="13831" builtinId="8" hidden="1"/>
    <cellStyle name="Lien hypertexte" xfId="13833" builtinId="8" hidden="1"/>
    <cellStyle name="Lien hypertexte" xfId="13835" builtinId="8" hidden="1"/>
    <cellStyle name="Lien hypertexte" xfId="13837" builtinId="8" hidden="1"/>
    <cellStyle name="Lien hypertexte" xfId="13839" builtinId="8" hidden="1"/>
    <cellStyle name="Lien hypertexte" xfId="13841" builtinId="8" hidden="1"/>
    <cellStyle name="Lien hypertexte" xfId="13843" builtinId="8" hidden="1"/>
    <cellStyle name="Lien hypertexte" xfId="13845" builtinId="8" hidden="1"/>
    <cellStyle name="Lien hypertexte" xfId="13847" builtinId="8" hidden="1"/>
    <cellStyle name="Lien hypertexte" xfId="13849" builtinId="8" hidden="1"/>
    <cellStyle name="Lien hypertexte" xfId="13851" builtinId="8" hidden="1"/>
    <cellStyle name="Lien hypertexte" xfId="13853" builtinId="8" hidden="1"/>
    <cellStyle name="Lien hypertexte" xfId="13855" builtinId="8" hidden="1"/>
    <cellStyle name="Lien hypertexte" xfId="13857" builtinId="8" hidden="1"/>
    <cellStyle name="Lien hypertexte" xfId="13859" builtinId="8" hidden="1"/>
    <cellStyle name="Lien hypertexte" xfId="13861" builtinId="8" hidden="1"/>
    <cellStyle name="Lien hypertexte" xfId="13863" builtinId="8" hidden="1"/>
    <cellStyle name="Lien hypertexte" xfId="13865" builtinId="8" hidden="1"/>
    <cellStyle name="Lien hypertexte" xfId="13867" builtinId="8" hidden="1"/>
    <cellStyle name="Lien hypertexte" xfId="13869" builtinId="8" hidden="1"/>
    <cellStyle name="Lien hypertexte" xfId="13871" builtinId="8" hidden="1"/>
    <cellStyle name="Lien hypertexte" xfId="13873" builtinId="8" hidden="1"/>
    <cellStyle name="Lien hypertexte" xfId="13875" builtinId="8" hidden="1"/>
    <cellStyle name="Lien hypertexte" xfId="13877" builtinId="8" hidden="1"/>
    <cellStyle name="Lien hypertexte" xfId="13879" builtinId="8" hidden="1"/>
    <cellStyle name="Lien hypertexte" xfId="13881" builtinId="8" hidden="1"/>
    <cellStyle name="Lien hypertexte" xfId="13883" builtinId="8" hidden="1"/>
    <cellStyle name="Lien hypertexte" xfId="13885" builtinId="8" hidden="1"/>
    <cellStyle name="Lien hypertexte" xfId="13887" builtinId="8" hidden="1"/>
    <cellStyle name="Lien hypertexte" xfId="13889" builtinId="8" hidden="1"/>
    <cellStyle name="Lien hypertexte" xfId="13891" builtinId="8" hidden="1"/>
    <cellStyle name="Lien hypertexte" xfId="13893" builtinId="8" hidden="1"/>
    <cellStyle name="Lien hypertexte" xfId="13895" builtinId="8" hidden="1"/>
    <cellStyle name="Lien hypertexte" xfId="13897" builtinId="8" hidden="1"/>
    <cellStyle name="Lien hypertexte" xfId="13899" builtinId="8" hidden="1"/>
    <cellStyle name="Lien hypertexte" xfId="13901" builtinId="8" hidden="1"/>
    <cellStyle name="Lien hypertexte" xfId="13903" builtinId="8" hidden="1"/>
    <cellStyle name="Lien hypertexte" xfId="13905" builtinId="8" hidden="1"/>
    <cellStyle name="Lien hypertexte" xfId="13907" builtinId="8" hidden="1"/>
    <cellStyle name="Lien hypertexte" xfId="13909" builtinId="8" hidden="1"/>
    <cellStyle name="Lien hypertexte" xfId="13911" builtinId="8" hidden="1"/>
    <cellStyle name="Lien hypertexte" xfId="13913" builtinId="8" hidden="1"/>
    <cellStyle name="Lien hypertexte" xfId="13915" builtinId="8" hidden="1"/>
    <cellStyle name="Lien hypertexte" xfId="13917" builtinId="8" hidden="1"/>
    <cellStyle name="Lien hypertexte" xfId="13919" builtinId="8" hidden="1"/>
    <cellStyle name="Lien hypertexte" xfId="13921" builtinId="8" hidden="1"/>
    <cellStyle name="Lien hypertexte" xfId="13923" builtinId="8" hidden="1"/>
    <cellStyle name="Lien hypertexte" xfId="13925" builtinId="8" hidden="1"/>
    <cellStyle name="Lien hypertexte" xfId="13927" builtinId="8" hidden="1"/>
    <cellStyle name="Lien hypertexte" xfId="13929" builtinId="8" hidden="1"/>
    <cellStyle name="Lien hypertexte" xfId="13931" builtinId="8" hidden="1"/>
    <cellStyle name="Lien hypertexte" xfId="13933" builtinId="8" hidden="1"/>
    <cellStyle name="Lien hypertexte" xfId="13935" builtinId="8" hidden="1"/>
    <cellStyle name="Lien hypertexte" xfId="13937" builtinId="8" hidden="1"/>
    <cellStyle name="Lien hypertexte" xfId="13939" builtinId="8" hidden="1"/>
    <cellStyle name="Lien hypertexte" xfId="13941" builtinId="8" hidden="1"/>
    <cellStyle name="Lien hypertexte" xfId="13943" builtinId="8" hidden="1"/>
    <cellStyle name="Lien hypertexte" xfId="13945" builtinId="8" hidden="1"/>
    <cellStyle name="Lien hypertexte" xfId="13947" builtinId="8" hidden="1"/>
    <cellStyle name="Lien hypertexte" xfId="13949" builtinId="8" hidden="1"/>
    <cellStyle name="Lien hypertexte" xfId="13951" builtinId="8" hidden="1"/>
    <cellStyle name="Lien hypertexte" xfId="13953" builtinId="8" hidden="1"/>
    <cellStyle name="Lien hypertexte" xfId="13955" builtinId="8" hidden="1"/>
    <cellStyle name="Lien hypertexte" xfId="13957" builtinId="8" hidden="1"/>
    <cellStyle name="Lien hypertexte" xfId="13959" builtinId="8" hidden="1"/>
    <cellStyle name="Lien hypertexte" xfId="13961" builtinId="8" hidden="1"/>
    <cellStyle name="Lien hypertexte" xfId="13963" builtinId="8" hidden="1"/>
    <cellStyle name="Lien hypertexte" xfId="13965" builtinId="8" hidden="1"/>
    <cellStyle name="Lien hypertexte" xfId="13967" builtinId="8" hidden="1"/>
    <cellStyle name="Lien hypertexte" xfId="13969" builtinId="8" hidden="1"/>
    <cellStyle name="Lien hypertexte" xfId="13971" builtinId="8" hidden="1"/>
    <cellStyle name="Lien hypertexte" xfId="13973" builtinId="8" hidden="1"/>
    <cellStyle name="Lien hypertexte" xfId="13975" builtinId="8" hidden="1"/>
    <cellStyle name="Lien hypertexte" xfId="13977" builtinId="8" hidden="1"/>
    <cellStyle name="Lien hypertexte" xfId="13979" builtinId="8" hidden="1"/>
    <cellStyle name="Lien hypertexte" xfId="13981" builtinId="8" hidden="1"/>
    <cellStyle name="Lien hypertexte" xfId="13983" builtinId="8" hidden="1"/>
    <cellStyle name="Lien hypertexte" xfId="13985" builtinId="8" hidden="1"/>
    <cellStyle name="Lien hypertexte" xfId="13987" builtinId="8" hidden="1"/>
    <cellStyle name="Lien hypertexte" xfId="13989" builtinId="8" hidden="1"/>
    <cellStyle name="Lien hypertexte" xfId="13991" builtinId="8" hidden="1"/>
    <cellStyle name="Lien hypertexte" xfId="13993" builtinId="8" hidden="1"/>
    <cellStyle name="Lien hypertexte" xfId="13995" builtinId="8" hidden="1"/>
    <cellStyle name="Lien hypertexte" xfId="13997" builtinId="8" hidden="1"/>
    <cellStyle name="Lien hypertexte" xfId="13999" builtinId="8" hidden="1"/>
    <cellStyle name="Lien hypertexte" xfId="14001" builtinId="8" hidden="1"/>
    <cellStyle name="Lien hypertexte" xfId="14003" builtinId="8" hidden="1"/>
    <cellStyle name="Lien hypertexte" xfId="14005" builtinId="8" hidden="1"/>
    <cellStyle name="Lien hypertexte" xfId="14007" builtinId="8" hidden="1"/>
    <cellStyle name="Lien hypertexte" xfId="14009" builtinId="8" hidden="1"/>
    <cellStyle name="Lien hypertexte" xfId="14011" builtinId="8" hidden="1"/>
    <cellStyle name="Lien hypertexte" xfId="14013" builtinId="8" hidden="1"/>
    <cellStyle name="Lien hypertexte" xfId="14015" builtinId="8" hidden="1"/>
    <cellStyle name="Lien hypertexte" xfId="14017" builtinId="8" hidden="1"/>
    <cellStyle name="Lien hypertexte" xfId="14019" builtinId="8" hidden="1"/>
    <cellStyle name="Lien hypertexte" xfId="14021" builtinId="8" hidden="1"/>
    <cellStyle name="Lien hypertexte" xfId="14023" builtinId="8" hidden="1"/>
    <cellStyle name="Lien hypertexte" xfId="14025" builtinId="8" hidden="1"/>
    <cellStyle name="Lien hypertexte" xfId="14027" builtinId="8" hidden="1"/>
    <cellStyle name="Lien hypertexte" xfId="14029" builtinId="8" hidden="1"/>
    <cellStyle name="Lien hypertexte" xfId="14031" builtinId="8" hidden="1"/>
    <cellStyle name="Lien hypertexte" xfId="14033" builtinId="8" hidden="1"/>
    <cellStyle name="Lien hypertexte" xfId="14035" builtinId="8" hidden="1"/>
    <cellStyle name="Lien hypertexte" xfId="14037" builtinId="8" hidden="1"/>
    <cellStyle name="Lien hypertexte" xfId="14039" builtinId="8" hidden="1"/>
    <cellStyle name="Lien hypertexte" xfId="14041" builtinId="8" hidden="1"/>
    <cellStyle name="Lien hypertexte" xfId="14043" builtinId="8" hidden="1"/>
    <cellStyle name="Lien hypertexte" xfId="14045" builtinId="8" hidden="1"/>
    <cellStyle name="Lien hypertexte" xfId="14047" builtinId="8" hidden="1"/>
    <cellStyle name="Lien hypertexte" xfId="14049" builtinId="8" hidden="1"/>
    <cellStyle name="Lien hypertexte" xfId="14051" builtinId="8" hidden="1"/>
    <cellStyle name="Lien hypertexte" xfId="14053" builtinId="8" hidden="1"/>
    <cellStyle name="Lien hypertexte" xfId="14055" builtinId="8" hidden="1"/>
    <cellStyle name="Lien hypertexte" xfId="14057" builtinId="8" hidden="1"/>
    <cellStyle name="Lien hypertexte" xfId="14059" builtinId="8" hidden="1"/>
    <cellStyle name="Lien hypertexte" xfId="14061" builtinId="8" hidden="1"/>
    <cellStyle name="Lien hypertexte" xfId="14063" builtinId="8" hidden="1"/>
    <cellStyle name="Lien hypertexte" xfId="14065" builtinId="8" hidden="1"/>
    <cellStyle name="Lien hypertexte" xfId="14067" builtinId="8" hidden="1"/>
    <cellStyle name="Lien hypertexte" xfId="14069" builtinId="8" hidden="1"/>
    <cellStyle name="Lien hypertexte" xfId="14071" builtinId="8" hidden="1"/>
    <cellStyle name="Lien hypertexte" xfId="14073" builtinId="8" hidden="1"/>
    <cellStyle name="Lien hypertexte" xfId="14075" builtinId="8" hidden="1"/>
    <cellStyle name="Lien hypertexte" xfId="14077" builtinId="8" hidden="1"/>
    <cellStyle name="Lien hypertexte" xfId="14079" builtinId="8" hidden="1"/>
    <cellStyle name="Lien hypertexte" xfId="14081" builtinId="8" hidden="1"/>
    <cellStyle name="Lien hypertexte" xfId="14083" builtinId="8" hidden="1"/>
    <cellStyle name="Lien hypertexte" xfId="14085" builtinId="8" hidden="1"/>
    <cellStyle name="Lien hypertexte" xfId="14087" builtinId="8" hidden="1"/>
    <cellStyle name="Lien hypertexte" xfId="14089" builtinId="8" hidden="1"/>
    <cellStyle name="Lien hypertexte" xfId="14091" builtinId="8" hidden="1"/>
    <cellStyle name="Lien hypertexte" xfId="14093" builtinId="8" hidden="1"/>
    <cellStyle name="Lien hypertexte" xfId="14095" builtinId="8" hidden="1"/>
    <cellStyle name="Lien hypertexte" xfId="14097" builtinId="8" hidden="1"/>
    <cellStyle name="Lien hypertexte" xfId="14099" builtinId="8" hidden="1"/>
    <cellStyle name="Lien hypertexte" xfId="14101" builtinId="8" hidden="1"/>
    <cellStyle name="Lien hypertexte" xfId="14103" builtinId="8" hidden="1"/>
    <cellStyle name="Lien hypertexte" xfId="14105" builtinId="8" hidden="1"/>
    <cellStyle name="Lien hypertexte" xfId="14107" builtinId="8" hidden="1"/>
    <cellStyle name="Lien hypertexte" xfId="14109" builtinId="8" hidden="1"/>
    <cellStyle name="Lien hypertexte" xfId="14111" builtinId="8" hidden="1"/>
    <cellStyle name="Lien hypertexte" xfId="14113" builtinId="8" hidden="1"/>
    <cellStyle name="Lien hypertexte" xfId="14115" builtinId="8" hidden="1"/>
    <cellStyle name="Lien hypertexte" xfId="14117" builtinId="8" hidden="1"/>
    <cellStyle name="Lien hypertexte" xfId="14119" builtinId="8" hidden="1"/>
    <cellStyle name="Lien hypertexte" xfId="14121" builtinId="8" hidden="1"/>
    <cellStyle name="Lien hypertexte" xfId="14123" builtinId="8" hidden="1"/>
    <cellStyle name="Lien hypertexte" xfId="14125" builtinId="8" hidden="1"/>
    <cellStyle name="Lien hypertexte" xfId="14127" builtinId="8" hidden="1"/>
    <cellStyle name="Lien hypertexte" xfId="14129" builtinId="8" hidden="1"/>
    <cellStyle name="Lien hypertexte" xfId="14131" builtinId="8" hidden="1"/>
    <cellStyle name="Lien hypertexte" xfId="14133" builtinId="8" hidden="1"/>
    <cellStyle name="Lien hypertexte" xfId="14135" builtinId="8" hidden="1"/>
    <cellStyle name="Lien hypertexte" xfId="14137" builtinId="8" hidden="1"/>
    <cellStyle name="Lien hypertexte" xfId="14139" builtinId="8" hidden="1"/>
    <cellStyle name="Lien hypertexte" xfId="14141" builtinId="8" hidden="1"/>
    <cellStyle name="Lien hypertexte" xfId="14143" builtinId="8" hidden="1"/>
    <cellStyle name="Lien hypertexte" xfId="14145" builtinId="8" hidden="1"/>
    <cellStyle name="Lien hypertexte" xfId="14147" builtinId="8" hidden="1"/>
    <cellStyle name="Lien hypertexte" xfId="14149" builtinId="8" hidden="1"/>
    <cellStyle name="Lien hypertexte" xfId="14151" builtinId="8" hidden="1"/>
    <cellStyle name="Lien hypertexte" xfId="14153" builtinId="8" hidden="1"/>
    <cellStyle name="Lien hypertexte" xfId="14155" builtinId="8" hidden="1"/>
    <cellStyle name="Lien hypertexte" xfId="14157" builtinId="8" hidden="1"/>
    <cellStyle name="Lien hypertexte" xfId="14159" builtinId="8" hidden="1"/>
    <cellStyle name="Lien hypertexte" xfId="14161" builtinId="8" hidden="1"/>
    <cellStyle name="Lien hypertexte" xfId="14163" builtinId="8" hidden="1"/>
    <cellStyle name="Lien hypertexte" xfId="14165" builtinId="8" hidden="1"/>
    <cellStyle name="Lien hypertexte" xfId="14167" builtinId="8" hidden="1"/>
    <cellStyle name="Lien hypertexte" xfId="14169" builtinId="8" hidden="1"/>
    <cellStyle name="Lien hypertexte" xfId="14171" builtinId="8" hidden="1"/>
    <cellStyle name="Lien hypertexte" xfId="14173" builtinId="8" hidden="1"/>
    <cellStyle name="Lien hypertexte" xfId="14175" builtinId="8" hidden="1"/>
    <cellStyle name="Lien hypertexte" xfId="14177" builtinId="8" hidden="1"/>
    <cellStyle name="Lien hypertexte" xfId="14179" builtinId="8" hidden="1"/>
    <cellStyle name="Lien hypertexte" xfId="14181" builtinId="8" hidden="1"/>
    <cellStyle name="Lien hypertexte" xfId="14183" builtinId="8" hidden="1"/>
    <cellStyle name="Lien hypertexte" xfId="14185" builtinId="8" hidden="1"/>
    <cellStyle name="Lien hypertexte" xfId="14187" builtinId="8" hidden="1"/>
    <cellStyle name="Lien hypertexte" xfId="14189" builtinId="8" hidden="1"/>
    <cellStyle name="Lien hypertexte" xfId="14191" builtinId="8" hidden="1"/>
    <cellStyle name="Lien hypertexte" xfId="14193" builtinId="8" hidden="1"/>
    <cellStyle name="Lien hypertexte" xfId="14195" builtinId="8" hidden="1"/>
    <cellStyle name="Lien hypertexte" xfId="14197" builtinId="8" hidden="1"/>
    <cellStyle name="Lien hypertexte" xfId="14199" builtinId="8" hidden="1"/>
    <cellStyle name="Lien hypertexte" xfId="14201" builtinId="8" hidden="1"/>
    <cellStyle name="Lien hypertexte" xfId="14203" builtinId="8" hidden="1"/>
    <cellStyle name="Lien hypertexte" xfId="14205" builtinId="8" hidden="1"/>
    <cellStyle name="Lien hypertexte" xfId="14207" builtinId="8" hidden="1"/>
    <cellStyle name="Lien hypertexte" xfId="14209" builtinId="8" hidden="1"/>
    <cellStyle name="Lien hypertexte" xfId="14211" builtinId="8" hidden="1"/>
    <cellStyle name="Lien hypertexte" xfId="14213" builtinId="8" hidden="1"/>
    <cellStyle name="Lien hypertexte" xfId="14215" builtinId="8" hidden="1"/>
    <cellStyle name="Lien hypertexte" xfId="14217" builtinId="8" hidden="1"/>
    <cellStyle name="Lien hypertexte" xfId="14219" builtinId="8" hidden="1"/>
    <cellStyle name="Lien hypertexte" xfId="14221" builtinId="8" hidden="1"/>
    <cellStyle name="Lien hypertexte" xfId="14223" builtinId="8" hidden="1"/>
    <cellStyle name="Lien hypertexte" xfId="14225" builtinId="8" hidden="1"/>
    <cellStyle name="Lien hypertexte" xfId="14227" builtinId="8" hidden="1"/>
    <cellStyle name="Lien hypertexte" xfId="14229" builtinId="8" hidden="1"/>
    <cellStyle name="Lien hypertexte" xfId="14231" builtinId="8" hidden="1"/>
    <cellStyle name="Lien hypertexte" xfId="14233" builtinId="8" hidden="1"/>
    <cellStyle name="Lien hypertexte" xfId="14235" builtinId="8" hidden="1"/>
    <cellStyle name="Lien hypertexte" xfId="14237" builtinId="8" hidden="1"/>
    <cellStyle name="Lien hypertexte" xfId="14239" builtinId="8" hidden="1"/>
    <cellStyle name="Lien hypertexte" xfId="14241" builtinId="8" hidden="1"/>
    <cellStyle name="Lien hypertexte" xfId="14243" builtinId="8" hidden="1"/>
    <cellStyle name="Lien hypertexte" xfId="14245" builtinId="8" hidden="1"/>
    <cellStyle name="Lien hypertexte" xfId="14247" builtinId="8" hidden="1"/>
    <cellStyle name="Lien hypertexte" xfId="14249" builtinId="8" hidden="1"/>
    <cellStyle name="Lien hypertexte" xfId="14251" builtinId="8" hidden="1"/>
    <cellStyle name="Lien hypertexte" xfId="14253" builtinId="8" hidden="1"/>
    <cellStyle name="Lien hypertexte" xfId="14255" builtinId="8" hidden="1"/>
    <cellStyle name="Lien hypertexte" xfId="14257" builtinId="8" hidden="1"/>
    <cellStyle name="Lien hypertexte" xfId="14259" builtinId="8" hidden="1"/>
    <cellStyle name="Lien hypertexte" xfId="14261" builtinId="8" hidden="1"/>
    <cellStyle name="Lien hypertexte" xfId="14263" builtinId="8" hidden="1"/>
    <cellStyle name="Lien hypertexte" xfId="14265" builtinId="8" hidden="1"/>
    <cellStyle name="Lien hypertexte" xfId="14267" builtinId="8" hidden="1"/>
    <cellStyle name="Lien hypertexte" xfId="14269" builtinId="8" hidden="1"/>
    <cellStyle name="Lien hypertexte" xfId="14271" builtinId="8" hidden="1"/>
    <cellStyle name="Lien hypertexte" xfId="14273" builtinId="8" hidden="1"/>
    <cellStyle name="Lien hypertexte" xfId="14275" builtinId="8" hidden="1"/>
    <cellStyle name="Lien hypertexte" xfId="14277" builtinId="8" hidden="1"/>
    <cellStyle name="Lien hypertexte" xfId="14279" builtinId="8" hidden="1"/>
    <cellStyle name="Lien hypertexte" xfId="14281" builtinId="8" hidden="1"/>
    <cellStyle name="Lien hypertexte" xfId="14283" builtinId="8" hidden="1"/>
    <cellStyle name="Lien hypertexte" xfId="14285" builtinId="8" hidden="1"/>
    <cellStyle name="Lien hypertexte" xfId="14287" builtinId="8" hidden="1"/>
    <cellStyle name="Lien hypertexte" xfId="14289" builtinId="8" hidden="1"/>
    <cellStyle name="Lien hypertexte" xfId="14291" builtinId="8" hidden="1"/>
    <cellStyle name="Lien hypertexte" xfId="14293" builtinId="8" hidden="1"/>
    <cellStyle name="Lien hypertexte" xfId="14295" builtinId="8" hidden="1"/>
    <cellStyle name="Lien hypertexte" xfId="14297" builtinId="8" hidden="1"/>
    <cellStyle name="Lien hypertexte" xfId="14299" builtinId="8" hidden="1"/>
    <cellStyle name="Lien hypertexte" xfId="14301" builtinId="8" hidden="1"/>
    <cellStyle name="Lien hypertexte" xfId="14303" builtinId="8" hidden="1"/>
    <cellStyle name="Lien hypertexte" xfId="14305" builtinId="8" hidden="1"/>
    <cellStyle name="Lien hypertexte" xfId="14307" builtinId="8" hidden="1"/>
    <cellStyle name="Lien hypertexte" xfId="14309" builtinId="8" hidden="1"/>
    <cellStyle name="Lien hypertexte" xfId="14311" builtinId="8" hidden="1"/>
    <cellStyle name="Lien hypertexte" xfId="14313" builtinId="8" hidden="1"/>
    <cellStyle name="Lien hypertexte" xfId="14315" builtinId="8" hidden="1"/>
    <cellStyle name="Lien hypertexte" xfId="14317" builtinId="8" hidden="1"/>
    <cellStyle name="Lien hypertexte" xfId="14319" builtinId="8" hidden="1"/>
    <cellStyle name="Lien hypertexte" xfId="14321" builtinId="8" hidden="1"/>
    <cellStyle name="Lien hypertexte" xfId="14323" builtinId="8" hidden="1"/>
    <cellStyle name="Lien hypertexte" xfId="14325" builtinId="8" hidden="1"/>
    <cellStyle name="Lien hypertexte" xfId="14327" builtinId="8" hidden="1"/>
    <cellStyle name="Lien hypertexte" xfId="14329" builtinId="8" hidden="1"/>
    <cellStyle name="Lien hypertexte" xfId="14331" builtinId="8" hidden="1"/>
    <cellStyle name="Lien hypertexte" xfId="14333" builtinId="8" hidden="1"/>
    <cellStyle name="Lien hypertexte" xfId="14335" builtinId="8" hidden="1"/>
    <cellStyle name="Lien hypertexte" xfId="14337" builtinId="8" hidden="1"/>
    <cellStyle name="Lien hypertexte" xfId="14339" builtinId="8" hidden="1"/>
    <cellStyle name="Lien hypertexte" xfId="14341" builtinId="8" hidden="1"/>
    <cellStyle name="Lien hypertexte" xfId="14343" builtinId="8" hidden="1"/>
    <cellStyle name="Lien hypertexte" xfId="14345" builtinId="8" hidden="1"/>
    <cellStyle name="Lien hypertexte" xfId="14347" builtinId="8" hidden="1"/>
    <cellStyle name="Lien hypertexte" xfId="14349" builtinId="8" hidden="1"/>
    <cellStyle name="Lien hypertexte" xfId="14351" builtinId="8" hidden="1"/>
    <cellStyle name="Lien hypertexte" xfId="14353" builtinId="8" hidden="1"/>
    <cellStyle name="Lien hypertexte" xfId="14355" builtinId="8" hidden="1"/>
    <cellStyle name="Lien hypertexte" xfId="14357" builtinId="8" hidden="1"/>
    <cellStyle name="Lien hypertexte" xfId="14359" builtinId="8" hidden="1"/>
    <cellStyle name="Lien hypertexte" xfId="14361" builtinId="8" hidden="1"/>
    <cellStyle name="Lien hypertexte" xfId="14363" builtinId="8" hidden="1"/>
    <cellStyle name="Lien hypertexte" xfId="14365" builtinId="8" hidden="1"/>
    <cellStyle name="Lien hypertexte" xfId="14367" builtinId="8" hidden="1"/>
    <cellStyle name="Lien hypertexte" xfId="14369" builtinId="8" hidden="1"/>
    <cellStyle name="Lien hypertexte" xfId="14371" builtinId="8" hidden="1"/>
    <cellStyle name="Lien hypertexte" xfId="14373" builtinId="8" hidden="1"/>
    <cellStyle name="Lien hypertexte" xfId="14375" builtinId="8" hidden="1"/>
    <cellStyle name="Lien hypertexte" xfId="14377" builtinId="8" hidden="1"/>
    <cellStyle name="Lien hypertexte" xfId="14379" builtinId="8" hidden="1"/>
    <cellStyle name="Lien hypertexte" xfId="14381" builtinId="8" hidden="1"/>
    <cellStyle name="Lien hypertexte" xfId="14383" builtinId="8" hidden="1"/>
    <cellStyle name="Lien hypertexte" xfId="14385" builtinId="8" hidden="1"/>
    <cellStyle name="Lien hypertexte" xfId="14387" builtinId="8" hidden="1"/>
    <cellStyle name="Lien hypertexte" xfId="14389" builtinId="8" hidden="1"/>
    <cellStyle name="Lien hypertexte" xfId="14391" builtinId="8" hidden="1"/>
    <cellStyle name="Lien hypertexte" xfId="14393" builtinId="8" hidden="1"/>
    <cellStyle name="Lien hypertexte" xfId="14395" builtinId="8" hidden="1"/>
    <cellStyle name="Lien hypertexte" xfId="14397" builtinId="8" hidden="1"/>
    <cellStyle name="Lien hypertexte" xfId="14399" builtinId="8" hidden="1"/>
    <cellStyle name="Lien hypertexte" xfId="14401" builtinId="8" hidden="1"/>
    <cellStyle name="Lien hypertexte" xfId="14403" builtinId="8" hidden="1"/>
    <cellStyle name="Lien hypertexte" xfId="14405" builtinId="8" hidden="1"/>
    <cellStyle name="Lien hypertexte" xfId="14407" builtinId="8" hidden="1"/>
    <cellStyle name="Lien hypertexte" xfId="14409" builtinId="8" hidden="1"/>
    <cellStyle name="Lien hypertexte" xfId="14411" builtinId="8" hidden="1"/>
    <cellStyle name="Lien hypertexte" xfId="14413" builtinId="8" hidden="1"/>
    <cellStyle name="Lien hypertexte" xfId="14415" builtinId="8" hidden="1"/>
    <cellStyle name="Lien hypertexte" xfId="14417" builtinId="8" hidden="1"/>
    <cellStyle name="Lien hypertexte" xfId="14419" builtinId="8" hidden="1"/>
    <cellStyle name="Lien hypertexte" xfId="14421" builtinId="8" hidden="1"/>
    <cellStyle name="Lien hypertexte" xfId="14423" builtinId="8" hidden="1"/>
    <cellStyle name="Lien hypertexte" xfId="14425" builtinId="8" hidden="1"/>
    <cellStyle name="Lien hypertexte" xfId="14427" builtinId="8" hidden="1"/>
    <cellStyle name="Lien hypertexte" xfId="14429" builtinId="8" hidden="1"/>
    <cellStyle name="Lien hypertexte" xfId="14431" builtinId="8" hidden="1"/>
    <cellStyle name="Lien hypertexte" xfId="14433" builtinId="8" hidden="1"/>
    <cellStyle name="Lien hypertexte" xfId="14435" builtinId="8" hidden="1"/>
    <cellStyle name="Lien hypertexte" xfId="14437" builtinId="8" hidden="1"/>
    <cellStyle name="Lien hypertexte" xfId="14439" builtinId="8" hidden="1"/>
    <cellStyle name="Lien hypertexte" xfId="14441" builtinId="8" hidden="1"/>
    <cellStyle name="Lien hypertexte" xfId="14443" builtinId="8" hidden="1"/>
    <cellStyle name="Lien hypertexte" xfId="14445" builtinId="8" hidden="1"/>
    <cellStyle name="Lien hypertexte" xfId="14447" builtinId="8" hidden="1"/>
    <cellStyle name="Lien hypertexte" xfId="14449" builtinId="8" hidden="1"/>
    <cellStyle name="Lien hypertexte" xfId="14451" builtinId="8" hidden="1"/>
    <cellStyle name="Lien hypertexte" xfId="14453" builtinId="8" hidden="1"/>
    <cellStyle name="Lien hypertexte" xfId="14455" builtinId="8" hidden="1"/>
    <cellStyle name="Lien hypertexte" xfId="14457" builtinId="8" hidden="1"/>
    <cellStyle name="Lien hypertexte" xfId="14459" builtinId="8" hidden="1"/>
    <cellStyle name="Lien hypertexte" xfId="14461" builtinId="8" hidden="1"/>
    <cellStyle name="Lien hypertexte" xfId="14463" builtinId="8" hidden="1"/>
    <cellStyle name="Lien hypertexte" xfId="14465" builtinId="8" hidden="1"/>
    <cellStyle name="Lien hypertexte" xfId="14467" builtinId="8" hidden="1"/>
    <cellStyle name="Lien hypertexte" xfId="14469" builtinId="8" hidden="1"/>
    <cellStyle name="Lien hypertexte" xfId="14471" builtinId="8" hidden="1"/>
    <cellStyle name="Lien hypertexte" xfId="14473" builtinId="8" hidden="1"/>
    <cellStyle name="Lien hypertexte" xfId="14475" builtinId="8" hidden="1"/>
    <cellStyle name="Lien hypertexte" xfId="14477" builtinId="8" hidden="1"/>
    <cellStyle name="Lien hypertexte" xfId="14479" builtinId="8" hidden="1"/>
    <cellStyle name="Lien hypertexte" xfId="14481" builtinId="8" hidden="1"/>
    <cellStyle name="Lien hypertexte" xfId="14483" builtinId="8" hidden="1"/>
    <cellStyle name="Lien hypertexte" xfId="14485" builtinId="8" hidden="1"/>
    <cellStyle name="Lien hypertexte" xfId="14487" builtinId="8" hidden="1"/>
    <cellStyle name="Lien hypertexte" xfId="14489" builtinId="8" hidden="1"/>
    <cellStyle name="Lien hypertexte" xfId="14491" builtinId="8" hidden="1"/>
    <cellStyle name="Lien hypertexte" xfId="14493" builtinId="8" hidden="1"/>
    <cellStyle name="Lien hypertexte" xfId="14495" builtinId="8" hidden="1"/>
    <cellStyle name="Lien hypertexte" xfId="14497" builtinId="8" hidden="1"/>
    <cellStyle name="Lien hypertexte" xfId="14499" builtinId="8" hidden="1"/>
    <cellStyle name="Lien hypertexte" xfId="14501" builtinId="8" hidden="1"/>
    <cellStyle name="Lien hypertexte" xfId="14503" builtinId="8" hidden="1"/>
    <cellStyle name="Lien hypertexte" xfId="14505" builtinId="8" hidden="1"/>
    <cellStyle name="Lien hypertexte" xfId="14507" builtinId="8" hidden="1"/>
    <cellStyle name="Lien hypertexte" xfId="14509" builtinId="8" hidden="1"/>
    <cellStyle name="Lien hypertexte" xfId="14511" builtinId="8" hidden="1"/>
    <cellStyle name="Lien hypertexte" xfId="14513" builtinId="8" hidden="1"/>
    <cellStyle name="Lien hypertexte" xfId="14515" builtinId="8" hidden="1"/>
    <cellStyle name="Lien hypertexte" xfId="14517" builtinId="8" hidden="1"/>
    <cellStyle name="Lien hypertexte" xfId="14519" builtinId="8" hidden="1"/>
    <cellStyle name="Lien hypertexte" xfId="14521" builtinId="8" hidden="1"/>
    <cellStyle name="Lien hypertexte" xfId="14523" builtinId="8" hidden="1"/>
    <cellStyle name="Lien hypertexte" xfId="14525" builtinId="8" hidden="1"/>
    <cellStyle name="Lien hypertexte" xfId="14527" builtinId="8" hidden="1"/>
    <cellStyle name="Lien hypertexte" xfId="14529" builtinId="8" hidden="1"/>
    <cellStyle name="Lien hypertexte" xfId="14531" builtinId="8" hidden="1"/>
    <cellStyle name="Lien hypertexte" xfId="14533" builtinId="8" hidden="1"/>
    <cellStyle name="Lien hypertexte" xfId="14535" builtinId="8" hidden="1"/>
    <cellStyle name="Lien hypertexte" xfId="14537" builtinId="8" hidden="1"/>
    <cellStyle name="Lien hypertexte" xfId="14539" builtinId="8" hidden="1"/>
    <cellStyle name="Lien hypertexte" xfId="14541" builtinId="8" hidden="1"/>
    <cellStyle name="Lien hypertexte" xfId="14543" builtinId="8" hidden="1"/>
    <cellStyle name="Lien hypertexte" xfId="14545" builtinId="8" hidden="1"/>
    <cellStyle name="Lien hypertexte" xfId="14547" builtinId="8" hidden="1"/>
    <cellStyle name="Lien hypertexte" xfId="14549" builtinId="8" hidden="1"/>
    <cellStyle name="Lien hypertexte" xfId="14551" builtinId="8" hidden="1"/>
    <cellStyle name="Lien hypertexte" xfId="14553" builtinId="8" hidden="1"/>
    <cellStyle name="Lien hypertexte" xfId="14555" builtinId="8" hidden="1"/>
    <cellStyle name="Lien hypertexte" xfId="14557" builtinId="8" hidden="1"/>
    <cellStyle name="Lien hypertexte" xfId="14559" builtinId="8" hidden="1"/>
    <cellStyle name="Lien hypertexte" xfId="14561" builtinId="8" hidden="1"/>
    <cellStyle name="Lien hypertexte" xfId="14563" builtinId="8" hidden="1"/>
    <cellStyle name="Lien hypertexte" xfId="14565" builtinId="8" hidden="1"/>
    <cellStyle name="Lien hypertexte" xfId="14567" builtinId="8" hidden="1"/>
    <cellStyle name="Lien hypertexte" xfId="14569" builtinId="8" hidden="1"/>
    <cellStyle name="Lien hypertexte" xfId="14571" builtinId="8" hidden="1"/>
    <cellStyle name="Lien hypertexte" xfId="14573" builtinId="8" hidden="1"/>
    <cellStyle name="Lien hypertexte" xfId="14575" builtinId="8" hidden="1"/>
    <cellStyle name="Lien hypertexte" xfId="14577" builtinId="8" hidden="1"/>
    <cellStyle name="Lien hypertexte" xfId="14579" builtinId="8" hidden="1"/>
    <cellStyle name="Lien hypertexte" xfId="14581" builtinId="8" hidden="1"/>
    <cellStyle name="Lien hypertexte" xfId="14583" builtinId="8" hidden="1"/>
    <cellStyle name="Lien hypertexte" xfId="14585" builtinId="8" hidden="1"/>
    <cellStyle name="Lien hypertexte" xfId="14587" builtinId="8" hidden="1"/>
    <cellStyle name="Lien hypertexte" xfId="14589" builtinId="8" hidden="1"/>
    <cellStyle name="Lien hypertexte" xfId="14591" builtinId="8" hidden="1"/>
    <cellStyle name="Lien hypertexte" xfId="14593" builtinId="8" hidden="1"/>
    <cellStyle name="Lien hypertexte" xfId="14595" builtinId="8" hidden="1"/>
    <cellStyle name="Lien hypertexte" xfId="14597" builtinId="8" hidden="1"/>
    <cellStyle name="Lien hypertexte" xfId="14599" builtinId="8" hidden="1"/>
    <cellStyle name="Lien hypertexte" xfId="14601" builtinId="8" hidden="1"/>
    <cellStyle name="Lien hypertexte" xfId="14603" builtinId="8" hidden="1"/>
    <cellStyle name="Lien hypertexte" xfId="14605" builtinId="8" hidden="1"/>
    <cellStyle name="Lien hypertexte" xfId="14607" builtinId="8" hidden="1"/>
    <cellStyle name="Lien hypertexte" xfId="14609" builtinId="8" hidden="1"/>
    <cellStyle name="Lien hypertexte" xfId="14611" builtinId="8" hidden="1"/>
    <cellStyle name="Lien hypertexte" xfId="14613" builtinId="8" hidden="1"/>
    <cellStyle name="Lien hypertexte" xfId="14615" builtinId="8" hidden="1"/>
    <cellStyle name="Lien hypertexte" xfId="14617" builtinId="8" hidden="1"/>
    <cellStyle name="Lien hypertexte" xfId="14619" builtinId="8" hidden="1"/>
    <cellStyle name="Lien hypertexte" xfId="14621" builtinId="8" hidden="1"/>
    <cellStyle name="Lien hypertexte" xfId="14623" builtinId="8" hidden="1"/>
    <cellStyle name="Lien hypertexte" xfId="14625" builtinId="8" hidden="1"/>
    <cellStyle name="Lien hypertexte" xfId="14627" builtinId="8" hidden="1"/>
    <cellStyle name="Lien hypertexte" xfId="14629" builtinId="8" hidden="1"/>
    <cellStyle name="Lien hypertexte" xfId="14631" builtinId="8" hidden="1"/>
    <cellStyle name="Lien hypertexte" xfId="14633" builtinId="8" hidden="1"/>
    <cellStyle name="Lien hypertexte" xfId="14635" builtinId="8" hidden="1"/>
    <cellStyle name="Lien hypertexte" xfId="14637" builtinId="8" hidden="1"/>
    <cellStyle name="Lien hypertexte" xfId="14639" builtinId="8" hidden="1"/>
    <cellStyle name="Lien hypertexte" xfId="14641" builtinId="8" hidden="1"/>
    <cellStyle name="Lien hypertexte" xfId="14643" builtinId="8" hidden="1"/>
    <cellStyle name="Lien hypertexte" xfId="14645" builtinId="8" hidden="1"/>
    <cellStyle name="Lien hypertexte" xfId="14647" builtinId="8" hidden="1"/>
    <cellStyle name="Lien hypertexte" xfId="14649" builtinId="8" hidden="1"/>
    <cellStyle name="Lien hypertexte" xfId="14651" builtinId="8" hidden="1"/>
    <cellStyle name="Lien hypertexte" xfId="14653" builtinId="8" hidden="1"/>
    <cellStyle name="Lien hypertexte" xfId="14655" builtinId="8" hidden="1"/>
    <cellStyle name="Lien hypertexte" xfId="14657" builtinId="8" hidden="1"/>
    <cellStyle name="Lien hypertexte" xfId="14659" builtinId="8" hidden="1"/>
    <cellStyle name="Lien hypertexte" xfId="14661" builtinId="8" hidden="1"/>
    <cellStyle name="Lien hypertexte" xfId="14663" builtinId="8" hidden="1"/>
    <cellStyle name="Lien hypertexte" xfId="14665" builtinId="8" hidden="1"/>
    <cellStyle name="Lien hypertexte" xfId="14667" builtinId="8" hidden="1"/>
    <cellStyle name="Lien hypertexte" xfId="14669" builtinId="8" hidden="1"/>
    <cellStyle name="Lien hypertexte" xfId="14671" builtinId="8" hidden="1"/>
    <cellStyle name="Lien hypertexte" xfId="14673" builtinId="8" hidden="1"/>
    <cellStyle name="Lien hypertexte" xfId="14675" builtinId="8" hidden="1"/>
    <cellStyle name="Lien hypertexte" xfId="14677" builtinId="8" hidden="1"/>
    <cellStyle name="Lien hypertexte" xfId="14679" builtinId="8" hidden="1"/>
    <cellStyle name="Lien hypertexte" xfId="14681" builtinId="8" hidden="1"/>
    <cellStyle name="Lien hypertexte" xfId="14683" builtinId="8" hidden="1"/>
    <cellStyle name="Lien hypertexte" xfId="14685" builtinId="8" hidden="1"/>
    <cellStyle name="Lien hypertexte" xfId="14687" builtinId="8" hidden="1"/>
    <cellStyle name="Lien hypertexte" xfId="14689" builtinId="8" hidden="1"/>
    <cellStyle name="Lien hypertexte" xfId="14691" builtinId="8" hidden="1"/>
    <cellStyle name="Lien hypertexte" xfId="14693" builtinId="8" hidden="1"/>
    <cellStyle name="Lien hypertexte" xfId="14695" builtinId="8" hidden="1"/>
    <cellStyle name="Lien hypertexte" xfId="14697" builtinId="8" hidden="1"/>
    <cellStyle name="Lien hypertexte" xfId="14699" builtinId="8" hidden="1"/>
    <cellStyle name="Lien hypertexte" xfId="14701" builtinId="8" hidden="1"/>
    <cellStyle name="Lien hypertexte" xfId="14703" builtinId="8" hidden="1"/>
    <cellStyle name="Lien hypertexte" xfId="14705" builtinId="8" hidden="1"/>
    <cellStyle name="Lien hypertexte" xfId="14707" builtinId="8" hidden="1"/>
    <cellStyle name="Lien hypertexte" xfId="14709" builtinId="8" hidden="1"/>
    <cellStyle name="Lien hypertexte" xfId="14711" builtinId="8" hidden="1"/>
    <cellStyle name="Lien hypertexte" xfId="14713" builtinId="8" hidden="1"/>
    <cellStyle name="Lien hypertexte" xfId="14715" builtinId="8" hidden="1"/>
    <cellStyle name="Lien hypertexte" xfId="14717" builtinId="8" hidden="1"/>
    <cellStyle name="Lien hypertexte" xfId="14719" builtinId="8" hidden="1"/>
    <cellStyle name="Lien hypertexte" xfId="14721" builtinId="8" hidden="1"/>
    <cellStyle name="Lien hypertexte" xfId="14723" builtinId="8" hidden="1"/>
    <cellStyle name="Lien hypertexte" xfId="14725" builtinId="8" hidden="1"/>
    <cellStyle name="Lien hypertexte" xfId="14727" builtinId="8" hidden="1"/>
    <cellStyle name="Lien hypertexte" xfId="14729" builtinId="8" hidden="1"/>
    <cellStyle name="Lien hypertexte" xfId="14731" builtinId="8" hidden="1"/>
    <cellStyle name="Lien hypertexte" xfId="14733" builtinId="8" hidden="1"/>
    <cellStyle name="Lien hypertexte" xfId="14735" builtinId="8" hidden="1"/>
    <cellStyle name="Lien hypertexte" xfId="14737" builtinId="8" hidden="1"/>
    <cellStyle name="Lien hypertexte" xfId="14739" builtinId="8" hidden="1"/>
    <cellStyle name="Lien hypertexte" xfId="14741" builtinId="8" hidden="1"/>
    <cellStyle name="Lien hypertexte" xfId="14743" builtinId="8" hidden="1"/>
    <cellStyle name="Lien hypertexte" xfId="14745" builtinId="8" hidden="1"/>
    <cellStyle name="Lien hypertexte" xfId="14747" builtinId="8" hidden="1"/>
    <cellStyle name="Lien hypertexte" xfId="14749" builtinId="8" hidden="1"/>
    <cellStyle name="Lien hypertexte" xfId="14751" builtinId="8" hidden="1"/>
    <cellStyle name="Lien hypertexte" xfId="14753" builtinId="8" hidden="1"/>
    <cellStyle name="Lien hypertexte" xfId="14755" builtinId="8" hidden="1"/>
    <cellStyle name="Lien hypertexte" xfId="14757" builtinId="8" hidden="1"/>
    <cellStyle name="Lien hypertexte" xfId="14759" builtinId="8" hidden="1"/>
    <cellStyle name="Lien hypertexte" xfId="14761" builtinId="8" hidden="1"/>
    <cellStyle name="Lien hypertexte" xfId="14763" builtinId="8" hidden="1"/>
    <cellStyle name="Lien hypertexte" xfId="14765" builtinId="8" hidden="1"/>
    <cellStyle name="Lien hypertexte" xfId="14767" builtinId="8" hidden="1"/>
    <cellStyle name="Lien hypertexte" xfId="14769" builtinId="8" hidden="1"/>
    <cellStyle name="Lien hypertexte" xfId="14771" builtinId="8" hidden="1"/>
    <cellStyle name="Lien hypertexte" xfId="14773" builtinId="8" hidden="1"/>
    <cellStyle name="Lien hypertexte" xfId="14775" builtinId="8" hidden="1"/>
    <cellStyle name="Lien hypertexte" xfId="14777" builtinId="8" hidden="1"/>
    <cellStyle name="Lien hypertexte" xfId="14779" builtinId="8" hidden="1"/>
    <cellStyle name="Lien hypertexte" xfId="14781" builtinId="8" hidden="1"/>
    <cellStyle name="Lien hypertexte" xfId="14783" builtinId="8" hidden="1"/>
    <cellStyle name="Lien hypertexte" xfId="14785" builtinId="8" hidden="1"/>
    <cellStyle name="Lien hypertexte" xfId="14787" builtinId="8" hidden="1"/>
    <cellStyle name="Lien hypertexte" xfId="14789" builtinId="8" hidden="1"/>
    <cellStyle name="Lien hypertexte" xfId="14791" builtinId="8" hidden="1"/>
    <cellStyle name="Lien hypertexte" xfId="14793" builtinId="8" hidden="1"/>
    <cellStyle name="Lien hypertexte" xfId="14795" builtinId="8" hidden="1"/>
    <cellStyle name="Lien hypertexte" xfId="14797" builtinId="8" hidden="1"/>
    <cellStyle name="Lien hypertexte" xfId="14799" builtinId="8" hidden="1"/>
    <cellStyle name="Lien hypertexte" xfId="14801" builtinId="8" hidden="1"/>
    <cellStyle name="Lien hypertexte" xfId="14803" builtinId="8" hidden="1"/>
    <cellStyle name="Lien hypertexte" xfId="14805" builtinId="8" hidden="1"/>
    <cellStyle name="Lien hypertexte" xfId="14807" builtinId="8" hidden="1"/>
    <cellStyle name="Lien hypertexte" xfId="14809" builtinId="8" hidden="1"/>
    <cellStyle name="Lien hypertexte" xfId="14811" builtinId="8" hidden="1"/>
    <cellStyle name="Lien hypertexte" xfId="14813" builtinId="8" hidden="1"/>
    <cellStyle name="Lien hypertexte" xfId="14815" builtinId="8" hidden="1"/>
    <cellStyle name="Lien hypertexte" xfId="14817" builtinId="8" hidden="1"/>
    <cellStyle name="Lien hypertexte" xfId="14819" builtinId="8" hidden="1"/>
    <cellStyle name="Lien hypertexte" xfId="14821" builtinId="8" hidden="1"/>
    <cellStyle name="Lien hypertexte" xfId="14823" builtinId="8" hidden="1"/>
    <cellStyle name="Lien hypertexte" xfId="14825" builtinId="8" hidden="1"/>
    <cellStyle name="Lien hypertexte" xfId="14827" builtinId="8" hidden="1"/>
    <cellStyle name="Lien hypertexte" xfId="14829" builtinId="8" hidden="1"/>
    <cellStyle name="Lien hypertexte" xfId="14831" builtinId="8" hidden="1"/>
    <cellStyle name="Lien hypertexte" xfId="14833" builtinId="8" hidden="1"/>
    <cellStyle name="Lien hypertexte" xfId="14835" builtinId="8" hidden="1"/>
    <cellStyle name="Lien hypertexte" xfId="14837" builtinId="8" hidden="1"/>
    <cellStyle name="Lien hypertexte" xfId="14839" builtinId="8" hidden="1"/>
    <cellStyle name="Lien hypertexte" xfId="14841" builtinId="8" hidden="1"/>
    <cellStyle name="Lien hypertexte" xfId="14843" builtinId="8" hidden="1"/>
    <cellStyle name="Lien hypertexte" xfId="14845" builtinId="8" hidden="1"/>
    <cellStyle name="Lien hypertexte" xfId="14847" builtinId="8" hidden="1"/>
    <cellStyle name="Lien hypertexte" xfId="14849" builtinId="8" hidden="1"/>
    <cellStyle name="Lien hypertexte" xfId="14851" builtinId="8" hidden="1"/>
    <cellStyle name="Lien hypertexte" xfId="14853" builtinId="8" hidden="1"/>
    <cellStyle name="Lien hypertexte" xfId="14855" builtinId="8" hidden="1"/>
    <cellStyle name="Lien hypertexte" xfId="14857" builtinId="8" hidden="1"/>
    <cellStyle name="Lien hypertexte" xfId="14859" builtinId="8" hidden="1"/>
    <cellStyle name="Lien hypertexte" xfId="14861" builtinId="8" hidden="1"/>
    <cellStyle name="Lien hypertexte" xfId="14863" builtinId="8" hidden="1"/>
    <cellStyle name="Lien hypertexte" xfId="14865" builtinId="8" hidden="1"/>
    <cellStyle name="Lien hypertexte" xfId="14867" builtinId="8" hidden="1"/>
    <cellStyle name="Lien hypertexte" xfId="14869" builtinId="8" hidden="1"/>
    <cellStyle name="Lien hypertexte" xfId="14871" builtinId="8" hidden="1"/>
    <cellStyle name="Lien hypertexte" xfId="14873" builtinId="8" hidden="1"/>
    <cellStyle name="Lien hypertexte" xfId="14875" builtinId="8" hidden="1"/>
    <cellStyle name="Lien hypertexte" xfId="14877" builtinId="8" hidden="1"/>
    <cellStyle name="Lien hypertexte" xfId="14879" builtinId="8" hidden="1"/>
    <cellStyle name="Lien hypertexte" xfId="14881" builtinId="8" hidden="1"/>
    <cellStyle name="Lien hypertexte" xfId="14883" builtinId="8" hidden="1"/>
    <cellStyle name="Lien hypertexte" xfId="14885" builtinId="8" hidden="1"/>
    <cellStyle name="Lien hypertexte" xfId="14887" builtinId="8" hidden="1"/>
    <cellStyle name="Lien hypertexte" xfId="14889" builtinId="8" hidden="1"/>
    <cellStyle name="Lien hypertexte" xfId="14891" builtinId="8" hidden="1"/>
    <cellStyle name="Lien hypertexte" xfId="14893" builtinId="8" hidden="1"/>
    <cellStyle name="Lien hypertexte" xfId="14895" builtinId="8" hidden="1"/>
    <cellStyle name="Lien hypertexte" xfId="14897" builtinId="8" hidden="1"/>
    <cellStyle name="Lien hypertexte" xfId="14899" builtinId="8" hidden="1"/>
    <cellStyle name="Lien hypertexte" xfId="14901" builtinId="8" hidden="1"/>
    <cellStyle name="Lien hypertexte" xfId="14903" builtinId="8" hidden="1"/>
    <cellStyle name="Lien hypertexte" xfId="14905" builtinId="8" hidden="1"/>
    <cellStyle name="Lien hypertexte" xfId="14907" builtinId="8" hidden="1"/>
    <cellStyle name="Lien hypertexte" xfId="14909" builtinId="8" hidden="1"/>
    <cellStyle name="Lien hypertexte" xfId="14911" builtinId="8" hidden="1"/>
    <cellStyle name="Lien hypertexte" xfId="14913" builtinId="8" hidden="1"/>
    <cellStyle name="Lien hypertexte" xfId="14915" builtinId="8" hidden="1"/>
    <cellStyle name="Lien hypertexte" xfId="14917" builtinId="8" hidden="1"/>
    <cellStyle name="Lien hypertexte" xfId="14919" builtinId="8" hidden="1"/>
    <cellStyle name="Lien hypertexte" xfId="14921" builtinId="8" hidden="1"/>
    <cellStyle name="Lien hypertexte" xfId="14923" builtinId="8" hidden="1"/>
    <cellStyle name="Lien hypertexte" xfId="14925" builtinId="8" hidden="1"/>
    <cellStyle name="Lien hypertexte" xfId="14927" builtinId="8" hidden="1"/>
    <cellStyle name="Lien hypertexte" xfId="14929" builtinId="8" hidden="1"/>
    <cellStyle name="Lien hypertexte" xfId="14931" builtinId="8" hidden="1"/>
    <cellStyle name="Lien hypertexte" xfId="14933" builtinId="8" hidden="1"/>
    <cellStyle name="Lien hypertexte" xfId="14935" builtinId="8" hidden="1"/>
    <cellStyle name="Lien hypertexte" xfId="14937" builtinId="8" hidden="1"/>
    <cellStyle name="Lien hypertexte" xfId="14939" builtinId="8" hidden="1"/>
    <cellStyle name="Lien hypertexte" xfId="14941" builtinId="8" hidden="1"/>
    <cellStyle name="Lien hypertexte" xfId="14943" builtinId="8" hidden="1"/>
    <cellStyle name="Lien hypertexte" xfId="14945" builtinId="8" hidden="1"/>
    <cellStyle name="Lien hypertexte" xfId="14947" builtinId="8" hidden="1"/>
    <cellStyle name="Lien hypertexte" xfId="14949" builtinId="8" hidden="1"/>
    <cellStyle name="Lien hypertexte" xfId="14951" builtinId="8" hidden="1"/>
    <cellStyle name="Lien hypertexte" xfId="14953" builtinId="8" hidden="1"/>
    <cellStyle name="Lien hypertexte" xfId="14955" builtinId="8" hidden="1"/>
    <cellStyle name="Lien hypertexte" xfId="14957" builtinId="8" hidden="1"/>
    <cellStyle name="Lien hypertexte" xfId="14959" builtinId="8" hidden="1"/>
    <cellStyle name="Lien hypertexte" xfId="14961" builtinId="8" hidden="1"/>
    <cellStyle name="Lien hypertexte" xfId="14963" builtinId="8" hidden="1"/>
    <cellStyle name="Lien hypertexte" xfId="14965" builtinId="8" hidden="1"/>
    <cellStyle name="Lien hypertexte" xfId="14967" builtinId="8" hidden="1"/>
    <cellStyle name="Lien hypertexte" xfId="14969" builtinId="8" hidden="1"/>
    <cellStyle name="Lien hypertexte" xfId="14971" builtinId="8" hidden="1"/>
    <cellStyle name="Lien hypertexte" xfId="14973" builtinId="8" hidden="1"/>
    <cellStyle name="Lien hypertexte" xfId="14975" builtinId="8" hidden="1"/>
    <cellStyle name="Lien hypertexte" xfId="14977" builtinId="8" hidden="1"/>
    <cellStyle name="Lien hypertexte" xfId="14979" builtinId="8" hidden="1"/>
    <cellStyle name="Lien hypertexte" xfId="14981" builtinId="8" hidden="1"/>
    <cellStyle name="Lien hypertexte" xfId="14983" builtinId="8" hidden="1"/>
    <cellStyle name="Lien hypertexte" xfId="14985" builtinId="8" hidden="1"/>
    <cellStyle name="Lien hypertexte" xfId="14987" builtinId="8" hidden="1"/>
    <cellStyle name="Lien hypertexte" xfId="14989" builtinId="8" hidden="1"/>
    <cellStyle name="Lien hypertexte" xfId="14991" builtinId="8" hidden="1"/>
    <cellStyle name="Lien hypertexte" xfId="14993" builtinId="8" hidden="1"/>
    <cellStyle name="Lien hypertexte" xfId="14995" builtinId="8" hidden="1"/>
    <cellStyle name="Lien hypertexte" xfId="14997" builtinId="8" hidden="1"/>
    <cellStyle name="Lien hypertexte" xfId="14999" builtinId="8" hidden="1"/>
    <cellStyle name="Lien hypertexte" xfId="15001" builtinId="8" hidden="1"/>
    <cellStyle name="Lien hypertexte" xfId="15003" builtinId="8" hidden="1"/>
    <cellStyle name="Lien hypertexte" xfId="15005" builtinId="8" hidden="1"/>
    <cellStyle name="Lien hypertexte" xfId="15007" builtinId="8" hidden="1"/>
    <cellStyle name="Lien hypertexte" xfId="15009" builtinId="8" hidden="1"/>
    <cellStyle name="Lien hypertexte" xfId="15011" builtinId="8" hidden="1"/>
    <cellStyle name="Lien hypertexte" xfId="15013" builtinId="8" hidden="1"/>
    <cellStyle name="Lien hypertexte" xfId="15015" builtinId="8" hidden="1"/>
    <cellStyle name="Lien hypertexte" xfId="15017" builtinId="8" hidden="1"/>
    <cellStyle name="Lien hypertexte" xfId="15019" builtinId="8" hidden="1"/>
    <cellStyle name="Lien hypertexte" xfId="15021" builtinId="8" hidden="1"/>
    <cellStyle name="Lien hypertexte" xfId="15023" builtinId="8" hidden="1"/>
    <cellStyle name="Lien hypertexte" xfId="15025" builtinId="8" hidden="1"/>
    <cellStyle name="Lien hypertexte" xfId="15027" builtinId="8" hidden="1"/>
    <cellStyle name="Lien hypertexte" xfId="15029" builtinId="8" hidden="1"/>
    <cellStyle name="Lien hypertexte" xfId="15031" builtinId="8" hidden="1"/>
    <cellStyle name="Lien hypertexte" xfId="15033" builtinId="8" hidden="1"/>
    <cellStyle name="Lien hypertexte" xfId="15035" builtinId="8" hidden="1"/>
    <cellStyle name="Lien hypertexte" xfId="15037" builtinId="8" hidden="1"/>
    <cellStyle name="Lien hypertexte" xfId="15039" builtinId="8" hidden="1"/>
    <cellStyle name="Lien hypertexte" xfId="15041" builtinId="8" hidden="1"/>
    <cellStyle name="Lien hypertexte" xfId="15043" builtinId="8" hidden="1"/>
    <cellStyle name="Lien hypertexte" xfId="15045" builtinId="8" hidden="1"/>
    <cellStyle name="Lien hypertexte" xfId="15047" builtinId="8" hidden="1"/>
    <cellStyle name="Lien hypertexte" xfId="15049" builtinId="8" hidden="1"/>
    <cellStyle name="Lien hypertexte" xfId="15051" builtinId="8" hidden="1"/>
    <cellStyle name="Lien hypertexte" xfId="15053" builtinId="8" hidden="1"/>
    <cellStyle name="Lien hypertexte" xfId="15055" builtinId="8" hidden="1"/>
    <cellStyle name="Lien hypertexte" xfId="15057" builtinId="8" hidden="1"/>
    <cellStyle name="Lien hypertexte" xfId="15059" builtinId="8" hidden="1"/>
    <cellStyle name="Lien hypertexte" xfId="15061" builtinId="8" hidden="1"/>
    <cellStyle name="Lien hypertexte" xfId="15063" builtinId="8" hidden="1"/>
    <cellStyle name="Lien hypertexte" xfId="15065" builtinId="8" hidden="1"/>
    <cellStyle name="Lien hypertexte" xfId="15067" builtinId="8" hidden="1"/>
    <cellStyle name="Lien hypertexte" xfId="15069" builtinId="8" hidden="1"/>
    <cellStyle name="Lien hypertexte" xfId="15071" builtinId="8" hidden="1"/>
    <cellStyle name="Lien hypertexte" xfId="15073" builtinId="8" hidden="1"/>
    <cellStyle name="Lien hypertexte" xfId="15075" builtinId="8" hidden="1"/>
    <cellStyle name="Lien hypertexte" xfId="15077" builtinId="8" hidden="1"/>
    <cellStyle name="Lien hypertexte" xfId="15079" builtinId="8" hidden="1"/>
    <cellStyle name="Lien hypertexte" xfId="15081" builtinId="8" hidden="1"/>
    <cellStyle name="Lien hypertexte" xfId="15083" builtinId="8" hidden="1"/>
    <cellStyle name="Lien hypertexte" xfId="15085" builtinId="8" hidden="1"/>
    <cellStyle name="Lien hypertexte" xfId="15087" builtinId="8" hidden="1"/>
    <cellStyle name="Lien hypertexte" xfId="15089" builtinId="8" hidden="1"/>
    <cellStyle name="Lien hypertexte" xfId="15091" builtinId="8" hidden="1"/>
    <cellStyle name="Lien hypertexte" xfId="15093" builtinId="8" hidden="1"/>
    <cellStyle name="Lien hypertexte" xfId="15095" builtinId="8" hidden="1"/>
    <cellStyle name="Lien hypertexte" xfId="15097" builtinId="8" hidden="1"/>
    <cellStyle name="Lien hypertexte" xfId="15099" builtinId="8" hidden="1"/>
    <cellStyle name="Lien hypertexte" xfId="15101" builtinId="8" hidden="1"/>
    <cellStyle name="Lien hypertexte" xfId="15103" builtinId="8" hidden="1"/>
    <cellStyle name="Lien hypertexte" xfId="15105" builtinId="8" hidden="1"/>
    <cellStyle name="Lien hypertexte" xfId="15107" builtinId="8" hidden="1"/>
    <cellStyle name="Lien hypertexte" xfId="15109" builtinId="8" hidden="1"/>
    <cellStyle name="Lien hypertexte" xfId="15111" builtinId="8" hidden="1"/>
    <cellStyle name="Lien hypertexte" xfId="15113" builtinId="8" hidden="1"/>
    <cellStyle name="Lien hypertexte" xfId="15115" builtinId="8" hidden="1"/>
    <cellStyle name="Lien hypertexte" xfId="15117" builtinId="8" hidden="1"/>
    <cellStyle name="Lien hypertexte" xfId="15119" builtinId="8" hidden="1"/>
    <cellStyle name="Lien hypertexte" xfId="15121" builtinId="8" hidden="1"/>
    <cellStyle name="Lien hypertexte" xfId="15123" builtinId="8" hidden="1"/>
    <cellStyle name="Lien hypertexte" xfId="15125" builtinId="8" hidden="1"/>
    <cellStyle name="Lien hypertexte" xfId="15127" builtinId="8" hidden="1"/>
    <cellStyle name="Lien hypertexte" xfId="15129" builtinId="8" hidden="1"/>
    <cellStyle name="Lien hypertexte" xfId="15131" builtinId="8" hidden="1"/>
    <cellStyle name="Lien hypertexte" xfId="15133" builtinId="8" hidden="1"/>
    <cellStyle name="Lien hypertexte" xfId="15135" builtinId="8" hidden="1"/>
    <cellStyle name="Lien hypertexte" xfId="15137" builtinId="8" hidden="1"/>
    <cellStyle name="Lien hypertexte" xfId="15139" builtinId="8" hidden="1"/>
    <cellStyle name="Lien hypertexte" xfId="15141" builtinId="8" hidden="1"/>
    <cellStyle name="Lien hypertexte" xfId="15143" builtinId="8" hidden="1"/>
    <cellStyle name="Lien hypertexte" xfId="15145" builtinId="8" hidden="1"/>
    <cellStyle name="Lien hypertexte" xfId="15147" builtinId="8" hidden="1"/>
    <cellStyle name="Lien hypertexte" xfId="15149" builtinId="8" hidden="1"/>
    <cellStyle name="Lien hypertexte" xfId="15151" builtinId="8" hidden="1"/>
    <cellStyle name="Lien hypertexte" xfId="15153" builtinId="8" hidden="1"/>
    <cellStyle name="Lien hypertexte" xfId="15155" builtinId="8" hidden="1"/>
    <cellStyle name="Lien hypertexte" xfId="15157" builtinId="8" hidden="1"/>
    <cellStyle name="Lien hypertexte" xfId="15159" builtinId="8" hidden="1"/>
    <cellStyle name="Lien hypertexte" xfId="15161" builtinId="8" hidden="1"/>
    <cellStyle name="Lien hypertexte" xfId="15163" builtinId="8" hidden="1"/>
    <cellStyle name="Lien hypertexte" xfId="15165" builtinId="8" hidden="1"/>
    <cellStyle name="Lien hypertexte" xfId="15167" builtinId="8" hidden="1"/>
    <cellStyle name="Lien hypertexte" xfId="15169" builtinId="8" hidden="1"/>
    <cellStyle name="Lien hypertexte" xfId="15171" builtinId="8" hidden="1"/>
    <cellStyle name="Lien hypertexte" xfId="15173" builtinId="8" hidden="1"/>
    <cellStyle name="Lien hypertexte" xfId="15175" builtinId="8" hidden="1"/>
    <cellStyle name="Lien hypertexte" xfId="15177" builtinId="8" hidden="1"/>
    <cellStyle name="Lien hypertexte" xfId="15179" builtinId="8" hidden="1"/>
    <cellStyle name="Lien hypertexte" xfId="15181" builtinId="8" hidden="1"/>
    <cellStyle name="Lien hypertexte" xfId="15183" builtinId="8" hidden="1"/>
    <cellStyle name="Lien hypertexte" xfId="15185" builtinId="8" hidden="1"/>
    <cellStyle name="Lien hypertexte" xfId="15187" builtinId="8" hidden="1"/>
    <cellStyle name="Lien hypertexte" xfId="15189" builtinId="8" hidden="1"/>
    <cellStyle name="Lien hypertexte" xfId="15191" builtinId="8" hidden="1"/>
    <cellStyle name="Lien hypertexte" xfId="15193" builtinId="8" hidden="1"/>
    <cellStyle name="Lien hypertexte" xfId="15195" builtinId="8" hidden="1"/>
    <cellStyle name="Lien hypertexte" xfId="15197" builtinId="8" hidden="1"/>
    <cellStyle name="Lien hypertexte" xfId="15199" builtinId="8" hidden="1"/>
    <cellStyle name="Lien hypertexte" xfId="15201" builtinId="8" hidden="1"/>
    <cellStyle name="Lien hypertexte" xfId="15203" builtinId="8" hidden="1"/>
    <cellStyle name="Lien hypertexte" xfId="15205" builtinId="8" hidden="1"/>
    <cellStyle name="Lien hypertexte" xfId="15207" builtinId="8" hidden="1"/>
    <cellStyle name="Lien hypertexte" xfId="15209" builtinId="8" hidden="1"/>
    <cellStyle name="Lien hypertexte" xfId="15211" builtinId="8" hidden="1"/>
    <cellStyle name="Lien hypertexte" xfId="15213" builtinId="8" hidden="1"/>
    <cellStyle name="Lien hypertexte" xfId="15215" builtinId="8" hidden="1"/>
    <cellStyle name="Lien hypertexte" xfId="15217" builtinId="8" hidden="1"/>
    <cellStyle name="Lien hypertexte" xfId="15219" builtinId="8" hidden="1"/>
    <cellStyle name="Lien hypertexte" xfId="15221" builtinId="8" hidden="1"/>
    <cellStyle name="Lien hypertexte" xfId="15223" builtinId="8" hidden="1"/>
    <cellStyle name="Lien hypertexte" xfId="15225" builtinId="8" hidden="1"/>
    <cellStyle name="Lien hypertexte" xfId="15227" builtinId="8" hidden="1"/>
    <cellStyle name="Lien hypertexte" xfId="15229" builtinId="8" hidden="1"/>
    <cellStyle name="Lien hypertexte" xfId="15231" builtinId="8" hidden="1"/>
    <cellStyle name="Lien hypertexte" xfId="15233" builtinId="8" hidden="1"/>
    <cellStyle name="Lien hypertexte" xfId="15235" builtinId="8" hidden="1"/>
    <cellStyle name="Lien hypertexte" xfId="15237" builtinId="8" hidden="1"/>
    <cellStyle name="Lien hypertexte" xfId="15239" builtinId="8" hidden="1"/>
    <cellStyle name="Lien hypertexte" xfId="15241" builtinId="8" hidden="1"/>
    <cellStyle name="Lien hypertexte" xfId="15243" builtinId="8" hidden="1"/>
    <cellStyle name="Lien hypertexte" xfId="15245" builtinId="8" hidden="1"/>
    <cellStyle name="Lien hypertexte" xfId="15247" builtinId="8" hidden="1"/>
    <cellStyle name="Lien hypertexte" xfId="15249" builtinId="8" hidden="1"/>
    <cellStyle name="Lien hypertexte" xfId="15251" builtinId="8" hidden="1"/>
    <cellStyle name="Lien hypertexte" xfId="15253" builtinId="8" hidden="1"/>
    <cellStyle name="Lien hypertexte" xfId="15255" builtinId="8" hidden="1"/>
    <cellStyle name="Lien hypertexte" xfId="15257" builtinId="8" hidden="1"/>
    <cellStyle name="Lien hypertexte" xfId="15259" builtinId="8" hidden="1"/>
    <cellStyle name="Lien hypertexte" xfId="15261" builtinId="8" hidden="1"/>
    <cellStyle name="Lien hypertexte" xfId="15263" builtinId="8" hidden="1"/>
    <cellStyle name="Lien hypertexte" xfId="15265" builtinId="8" hidden="1"/>
    <cellStyle name="Lien hypertexte" xfId="15267" builtinId="8" hidden="1"/>
    <cellStyle name="Lien hypertexte" xfId="15269" builtinId="8" hidden="1"/>
    <cellStyle name="Lien hypertexte" xfId="15271" builtinId="8" hidden="1"/>
    <cellStyle name="Lien hypertexte" xfId="15273" builtinId="8" hidden="1"/>
    <cellStyle name="Lien hypertexte" xfId="15275" builtinId="8" hidden="1"/>
    <cellStyle name="Lien hypertexte" xfId="15277" builtinId="8" hidden="1"/>
    <cellStyle name="Lien hypertexte" xfId="15279" builtinId="8" hidden="1"/>
    <cellStyle name="Lien hypertexte" xfId="15281" builtinId="8" hidden="1"/>
    <cellStyle name="Lien hypertexte" xfId="15283" builtinId="8" hidden="1"/>
    <cellStyle name="Lien hypertexte" xfId="15285" builtinId="8" hidden="1"/>
    <cellStyle name="Lien hypertexte" xfId="15287" builtinId="8" hidden="1"/>
    <cellStyle name="Lien hypertexte" xfId="15289" builtinId="8" hidden="1"/>
    <cellStyle name="Lien hypertexte" xfId="15291" builtinId="8" hidden="1"/>
    <cellStyle name="Lien hypertexte" xfId="15293" builtinId="8" hidden="1"/>
    <cellStyle name="Lien hypertexte" xfId="15295" builtinId="8" hidden="1"/>
    <cellStyle name="Lien hypertexte" xfId="15297" builtinId="8" hidden="1"/>
    <cellStyle name="Lien hypertexte" xfId="15299" builtinId="8" hidden="1"/>
    <cellStyle name="Lien hypertexte" xfId="15301" builtinId="8" hidden="1"/>
    <cellStyle name="Lien hypertexte" xfId="15303" builtinId="8" hidden="1"/>
    <cellStyle name="Lien hypertexte" xfId="15305" builtinId="8" hidden="1"/>
    <cellStyle name="Lien hypertexte" xfId="15307" builtinId="8" hidden="1"/>
    <cellStyle name="Lien hypertexte" xfId="15309" builtinId="8" hidden="1"/>
    <cellStyle name="Lien hypertexte" xfId="15311" builtinId="8" hidden="1"/>
    <cellStyle name="Lien hypertexte" xfId="15313" builtinId="8" hidden="1"/>
    <cellStyle name="Lien hypertexte" xfId="15315" builtinId="8" hidden="1"/>
    <cellStyle name="Lien hypertexte" xfId="15317" builtinId="8" hidden="1"/>
    <cellStyle name="Lien hypertexte" xfId="15319" builtinId="8" hidden="1"/>
    <cellStyle name="Lien hypertexte" xfId="15321" builtinId="8" hidden="1"/>
    <cellStyle name="Lien hypertexte" xfId="15323" builtinId="8" hidden="1"/>
    <cellStyle name="Lien hypertexte" xfId="15325" builtinId="8" hidden="1"/>
    <cellStyle name="Lien hypertexte" xfId="15327" builtinId="8" hidden="1"/>
    <cellStyle name="Lien hypertexte" xfId="15329" builtinId="8" hidden="1"/>
    <cellStyle name="Lien hypertexte" xfId="15331" builtinId="8" hidden="1"/>
    <cellStyle name="Lien hypertexte" xfId="15333" builtinId="8" hidden="1"/>
    <cellStyle name="Lien hypertexte" xfId="15335" builtinId="8" hidden="1"/>
    <cellStyle name="Lien hypertexte" xfId="15337" builtinId="8" hidden="1"/>
    <cellStyle name="Lien hypertexte" xfId="15339" builtinId="8" hidden="1"/>
    <cellStyle name="Lien hypertexte" xfId="15341" builtinId="8" hidden="1"/>
    <cellStyle name="Lien hypertexte" xfId="15343" builtinId="8" hidden="1"/>
    <cellStyle name="Lien hypertexte" xfId="15345" builtinId="8" hidden="1"/>
    <cellStyle name="Lien hypertexte" xfId="15347" builtinId="8" hidden="1"/>
    <cellStyle name="Lien hypertexte" xfId="15349" builtinId="8" hidden="1"/>
    <cellStyle name="Lien hypertexte" xfId="15351" builtinId="8" hidden="1"/>
    <cellStyle name="Lien hypertexte" xfId="15353" builtinId="8" hidden="1"/>
    <cellStyle name="Lien hypertexte" xfId="15355" builtinId="8" hidden="1"/>
    <cellStyle name="Lien hypertexte" xfId="15357" builtinId="8" hidden="1"/>
    <cellStyle name="Lien hypertexte" xfId="15359" builtinId="8" hidden="1"/>
    <cellStyle name="Lien hypertexte" xfId="15361" builtinId="8" hidden="1"/>
    <cellStyle name="Lien hypertexte" xfId="15363" builtinId="8" hidden="1"/>
    <cellStyle name="Lien hypertexte" xfId="15365" builtinId="8" hidden="1"/>
    <cellStyle name="Lien hypertexte" xfId="15367" builtinId="8" hidden="1"/>
    <cellStyle name="Lien hypertexte" xfId="15369" builtinId="8" hidden="1"/>
    <cellStyle name="Lien hypertexte" xfId="15371" builtinId="8" hidden="1"/>
    <cellStyle name="Lien hypertexte" xfId="15373" builtinId="8" hidden="1"/>
    <cellStyle name="Lien hypertexte" xfId="15375" builtinId="8" hidden="1"/>
    <cellStyle name="Lien hypertexte" xfId="15377" builtinId="8" hidden="1"/>
    <cellStyle name="Lien hypertexte" xfId="15379" builtinId="8" hidden="1"/>
    <cellStyle name="Lien hypertexte" xfId="15381" builtinId="8" hidden="1"/>
    <cellStyle name="Lien hypertexte" xfId="15383" builtinId="8" hidden="1"/>
    <cellStyle name="Lien hypertexte" xfId="15385" builtinId="8" hidden="1"/>
    <cellStyle name="Lien hypertexte" xfId="15387" builtinId="8" hidden="1"/>
    <cellStyle name="Lien hypertexte" xfId="15389" builtinId="8" hidden="1"/>
    <cellStyle name="Lien hypertexte" xfId="15391" builtinId="8" hidden="1"/>
    <cellStyle name="Lien hypertexte" xfId="15393" builtinId="8" hidden="1"/>
    <cellStyle name="Lien hypertexte" xfId="15395" builtinId="8" hidden="1"/>
    <cellStyle name="Lien hypertexte" xfId="15397" builtinId="8" hidden="1"/>
    <cellStyle name="Lien hypertexte" xfId="15399" builtinId="8" hidden="1"/>
    <cellStyle name="Lien hypertexte" xfId="15401" builtinId="8" hidden="1"/>
    <cellStyle name="Lien hypertexte" xfId="15403" builtinId="8" hidden="1"/>
    <cellStyle name="Lien hypertexte" xfId="15405" builtinId="8" hidden="1"/>
    <cellStyle name="Lien hypertexte" xfId="15407" builtinId="8" hidden="1"/>
    <cellStyle name="Lien hypertexte" xfId="15409" builtinId="8" hidden="1"/>
    <cellStyle name="Lien hypertexte" xfId="15411" builtinId="8" hidden="1"/>
    <cellStyle name="Lien hypertexte" xfId="15413" builtinId="8" hidden="1"/>
    <cellStyle name="Lien hypertexte" xfId="15415" builtinId="8" hidden="1"/>
    <cellStyle name="Lien hypertexte" xfId="15417" builtinId="8" hidden="1"/>
    <cellStyle name="Lien hypertexte" xfId="15419" builtinId="8" hidden="1"/>
    <cellStyle name="Lien hypertexte" xfId="15421" builtinId="8" hidden="1"/>
    <cellStyle name="Lien hypertexte" xfId="15423" builtinId="8" hidden="1"/>
    <cellStyle name="Lien hypertexte" xfId="15425" builtinId="8" hidden="1"/>
    <cellStyle name="Lien hypertexte" xfId="15427" builtinId="8" hidden="1"/>
    <cellStyle name="Lien hypertexte" xfId="15429" builtinId="8" hidden="1"/>
    <cellStyle name="Lien hypertexte" xfId="15431" builtinId="8" hidden="1"/>
    <cellStyle name="Lien hypertexte" xfId="15433" builtinId="8" hidden="1"/>
    <cellStyle name="Lien hypertexte" xfId="15435" builtinId="8" hidden="1"/>
    <cellStyle name="Lien hypertexte" xfId="15437" builtinId="8" hidden="1"/>
    <cellStyle name="Lien hypertexte" xfId="15439" builtinId="8" hidden="1"/>
    <cellStyle name="Lien hypertexte" xfId="15441" builtinId="8" hidden="1"/>
    <cellStyle name="Lien hypertexte" xfId="15443" builtinId="8" hidden="1"/>
    <cellStyle name="Lien hypertexte" xfId="15445" builtinId="8" hidden="1"/>
    <cellStyle name="Lien hypertexte" xfId="15447" builtinId="8" hidden="1"/>
    <cellStyle name="Lien hypertexte" xfId="15449" builtinId="8" hidden="1"/>
    <cellStyle name="Lien hypertexte" xfId="15451" builtinId="8" hidden="1"/>
    <cellStyle name="Lien hypertexte" xfId="15453" builtinId="8" hidden="1"/>
    <cellStyle name="Lien hypertexte" xfId="15455" builtinId="8" hidden="1"/>
    <cellStyle name="Lien hypertexte" xfId="15457" builtinId="8" hidden="1"/>
    <cellStyle name="Lien hypertexte" xfId="15459" builtinId="8" hidden="1"/>
    <cellStyle name="Lien hypertexte" xfId="15461" builtinId="8" hidden="1"/>
    <cellStyle name="Lien hypertexte" xfId="15463" builtinId="8" hidden="1"/>
    <cellStyle name="Lien hypertexte" xfId="15465" builtinId="8" hidden="1"/>
    <cellStyle name="Lien hypertexte" xfId="15467" builtinId="8" hidden="1"/>
    <cellStyle name="Lien hypertexte" xfId="15469" builtinId="8" hidden="1"/>
    <cellStyle name="Lien hypertexte" xfId="15471" builtinId="8" hidden="1"/>
    <cellStyle name="Lien hypertexte" xfId="15473" builtinId="8" hidden="1"/>
    <cellStyle name="Lien hypertexte" xfId="15475" builtinId="8" hidden="1"/>
    <cellStyle name="Lien hypertexte" xfId="15477" builtinId="8" hidden="1"/>
    <cellStyle name="Lien hypertexte" xfId="15479" builtinId="8" hidden="1"/>
    <cellStyle name="Lien hypertexte" xfId="15481" builtinId="8" hidden="1"/>
    <cellStyle name="Lien hypertexte" xfId="15483" builtinId="8" hidden="1"/>
    <cellStyle name="Lien hypertexte" xfId="15485" builtinId="8" hidden="1"/>
    <cellStyle name="Lien hypertexte" xfId="15487" builtinId="8" hidden="1"/>
    <cellStyle name="Lien hypertexte" xfId="15489" builtinId="8" hidden="1"/>
    <cellStyle name="Lien hypertexte" xfId="15491" builtinId="8" hidden="1"/>
    <cellStyle name="Lien hypertexte" xfId="15493" builtinId="8" hidden="1"/>
    <cellStyle name="Lien hypertexte" xfId="15495" builtinId="8" hidden="1"/>
    <cellStyle name="Lien hypertexte" xfId="15497" builtinId="8" hidden="1"/>
    <cellStyle name="Lien hypertexte" xfId="15499" builtinId="8" hidden="1"/>
    <cellStyle name="Lien hypertexte" xfId="15501" builtinId="8" hidden="1"/>
    <cellStyle name="Lien hypertexte" xfId="15503" builtinId="8" hidden="1"/>
    <cellStyle name="Lien hypertexte" xfId="15505" builtinId="8" hidden="1"/>
    <cellStyle name="Lien hypertexte" xfId="15507" builtinId="8" hidden="1"/>
    <cellStyle name="Lien hypertexte" xfId="15509" builtinId="8" hidden="1"/>
    <cellStyle name="Lien hypertexte" xfId="15511" builtinId="8" hidden="1"/>
    <cellStyle name="Lien hypertexte" xfId="15513" builtinId="8" hidden="1"/>
    <cellStyle name="Lien hypertexte" xfId="15515" builtinId="8" hidden="1"/>
    <cellStyle name="Lien hypertexte" xfId="15517" builtinId="8" hidden="1"/>
    <cellStyle name="Lien hypertexte" xfId="15519" builtinId="8" hidden="1"/>
    <cellStyle name="Lien hypertexte" xfId="15521" builtinId="8" hidden="1"/>
    <cellStyle name="Lien hypertexte" xfId="15523" builtinId="8" hidden="1"/>
    <cellStyle name="Lien hypertexte" xfId="15525" builtinId="8" hidden="1"/>
    <cellStyle name="Lien hypertexte" xfId="15527" builtinId="8" hidden="1"/>
    <cellStyle name="Lien hypertexte" xfId="15529" builtinId="8" hidden="1"/>
    <cellStyle name="Lien hypertexte" xfId="15531" builtinId="8" hidden="1"/>
    <cellStyle name="Lien hypertexte" xfId="15533" builtinId="8" hidden="1"/>
    <cellStyle name="Lien hypertexte" xfId="15535" builtinId="8" hidden="1"/>
    <cellStyle name="Lien hypertexte" xfId="15537" builtinId="8" hidden="1"/>
    <cellStyle name="Lien hypertexte" xfId="15539" builtinId="8" hidden="1"/>
    <cellStyle name="Lien hypertexte" xfId="15541" builtinId="8" hidden="1"/>
    <cellStyle name="Lien hypertexte" xfId="15543" builtinId="8" hidden="1"/>
    <cellStyle name="Lien hypertexte" xfId="15545" builtinId="8" hidden="1"/>
    <cellStyle name="Lien hypertexte" xfId="15547" builtinId="8" hidden="1"/>
    <cellStyle name="Lien hypertexte" xfId="15549" builtinId="8" hidden="1"/>
    <cellStyle name="Lien hypertexte" xfId="15551" builtinId="8" hidden="1"/>
    <cellStyle name="Lien hypertexte" xfId="15553" builtinId="8" hidden="1"/>
    <cellStyle name="Lien hypertexte" xfId="15555" builtinId="8" hidden="1"/>
    <cellStyle name="Lien hypertexte" xfId="15557" builtinId="8" hidden="1"/>
    <cellStyle name="Lien hypertexte" xfId="15559" builtinId="8" hidden="1"/>
    <cellStyle name="Lien hypertexte" xfId="15561" builtinId="8" hidden="1"/>
    <cellStyle name="Lien hypertexte" xfId="15563" builtinId="8" hidden="1"/>
    <cellStyle name="Lien hypertexte" xfId="15565" builtinId="8" hidden="1"/>
    <cellStyle name="Lien hypertexte" xfId="15567" builtinId="8" hidden="1"/>
    <cellStyle name="Lien hypertexte" xfId="15569" builtinId="8" hidden="1"/>
    <cellStyle name="Lien hypertexte" xfId="15571" builtinId="8" hidden="1"/>
    <cellStyle name="Lien hypertexte" xfId="15573" builtinId="8" hidden="1"/>
    <cellStyle name="Lien hypertexte" xfId="15575" builtinId="8" hidden="1"/>
    <cellStyle name="Lien hypertexte" xfId="15577" builtinId="8" hidden="1"/>
    <cellStyle name="Lien hypertexte" xfId="15579" builtinId="8" hidden="1"/>
    <cellStyle name="Lien hypertexte" xfId="15581" builtinId="8" hidden="1"/>
    <cellStyle name="Lien hypertexte" xfId="15583" builtinId="8" hidden="1"/>
    <cellStyle name="Lien hypertexte" xfId="15585" builtinId="8" hidden="1"/>
    <cellStyle name="Lien hypertexte" xfId="15587" builtinId="8" hidden="1"/>
    <cellStyle name="Lien hypertexte" xfId="15589" builtinId="8" hidden="1"/>
    <cellStyle name="Lien hypertexte" xfId="15591" builtinId="8" hidden="1"/>
    <cellStyle name="Lien hypertexte" xfId="15593" builtinId="8" hidden="1"/>
    <cellStyle name="Lien hypertexte" xfId="15595" builtinId="8" hidden="1"/>
    <cellStyle name="Lien hypertexte" xfId="15597" builtinId="8" hidden="1"/>
    <cellStyle name="Lien hypertexte" xfId="15599" builtinId="8" hidden="1"/>
    <cellStyle name="Lien hypertexte" xfId="15601" builtinId="8" hidden="1"/>
    <cellStyle name="Lien hypertexte" xfId="15603" builtinId="8" hidden="1"/>
    <cellStyle name="Lien hypertexte" xfId="15605" builtinId="8" hidden="1"/>
    <cellStyle name="Lien hypertexte" xfId="15607" builtinId="8" hidden="1"/>
    <cellStyle name="Lien hypertexte" xfId="15609" builtinId="8" hidden="1"/>
    <cellStyle name="Lien hypertexte" xfId="15611" builtinId="8" hidden="1"/>
    <cellStyle name="Lien hypertexte" xfId="15613" builtinId="8" hidden="1"/>
    <cellStyle name="Lien hypertexte" xfId="15615" builtinId="8" hidden="1"/>
    <cellStyle name="Lien hypertexte" xfId="15617" builtinId="8" hidden="1"/>
    <cellStyle name="Lien hypertexte" xfId="15619" builtinId="8" hidden="1"/>
    <cellStyle name="Lien hypertexte" xfId="15621" builtinId="8" hidden="1"/>
    <cellStyle name="Lien hypertexte" xfId="15623" builtinId="8" hidden="1"/>
    <cellStyle name="Lien hypertexte" xfId="15625" builtinId="8" hidden="1"/>
    <cellStyle name="Lien hypertexte" xfId="15627" builtinId="8" hidden="1"/>
    <cellStyle name="Lien hypertexte" xfId="15629" builtinId="8" hidden="1"/>
    <cellStyle name="Lien hypertexte" xfId="15631" builtinId="8" hidden="1"/>
    <cellStyle name="Lien hypertexte" xfId="15633" builtinId="8" hidden="1"/>
    <cellStyle name="Lien hypertexte" xfId="15635" builtinId="8" hidden="1"/>
    <cellStyle name="Lien hypertexte" xfId="15637" builtinId="8" hidden="1"/>
    <cellStyle name="Lien hypertexte" xfId="15639" builtinId="8" hidden="1"/>
    <cellStyle name="Lien hypertexte" xfId="15641" builtinId="8" hidden="1"/>
    <cellStyle name="Lien hypertexte" xfId="15643" builtinId="8" hidden="1"/>
    <cellStyle name="Lien hypertexte" xfId="15645" builtinId="8" hidden="1"/>
    <cellStyle name="Lien hypertexte" xfId="15647" builtinId="8" hidden="1"/>
    <cellStyle name="Lien hypertexte" xfId="15649" builtinId="8" hidden="1"/>
    <cellStyle name="Lien hypertexte" xfId="15651" builtinId="8" hidden="1"/>
    <cellStyle name="Lien hypertexte" xfId="15653" builtinId="8" hidden="1"/>
    <cellStyle name="Lien hypertexte" xfId="15655" builtinId="8" hidden="1"/>
    <cellStyle name="Lien hypertexte" xfId="15657" builtinId="8" hidden="1"/>
    <cellStyle name="Lien hypertexte" xfId="15659" builtinId="8" hidden="1"/>
    <cellStyle name="Lien hypertexte" xfId="15661" builtinId="8" hidden="1"/>
    <cellStyle name="Lien hypertexte" xfId="15663" builtinId="8" hidden="1"/>
    <cellStyle name="Lien hypertexte" xfId="15665" builtinId="8" hidden="1"/>
    <cellStyle name="Lien hypertexte" xfId="15667" builtinId="8" hidden="1"/>
    <cellStyle name="Lien hypertexte" xfId="15669" builtinId="8" hidden="1"/>
    <cellStyle name="Lien hypertexte" xfId="15671" builtinId="8" hidden="1"/>
    <cellStyle name="Lien hypertexte" xfId="15673" builtinId="8" hidden="1"/>
    <cellStyle name="Lien hypertexte" xfId="15675" builtinId="8" hidden="1"/>
    <cellStyle name="Lien hypertexte" xfId="15677" builtinId="8" hidden="1"/>
    <cellStyle name="Lien hypertexte" xfId="15679" builtinId="8" hidden="1"/>
    <cellStyle name="Lien hypertexte" xfId="15681" builtinId="8" hidden="1"/>
    <cellStyle name="Lien hypertexte" xfId="15683" builtinId="8" hidden="1"/>
    <cellStyle name="Lien hypertexte" xfId="15685" builtinId="8" hidden="1"/>
    <cellStyle name="Lien hypertexte" xfId="15687" builtinId="8" hidden="1"/>
    <cellStyle name="Lien hypertexte" xfId="15689" builtinId="8" hidden="1"/>
    <cellStyle name="Lien hypertexte" xfId="15691" builtinId="8" hidden="1"/>
    <cellStyle name="Lien hypertexte" xfId="15693" builtinId="8" hidden="1"/>
    <cellStyle name="Lien hypertexte" xfId="15695" builtinId="8" hidden="1"/>
    <cellStyle name="Lien hypertexte" xfId="15697" builtinId="8" hidden="1"/>
    <cellStyle name="Lien hypertexte" xfId="15699" builtinId="8" hidden="1"/>
    <cellStyle name="Lien hypertexte" xfId="15701" builtinId="8" hidden="1"/>
    <cellStyle name="Lien hypertexte" xfId="15703" builtinId="8" hidden="1"/>
    <cellStyle name="Lien hypertexte" xfId="15705" builtinId="8" hidden="1"/>
    <cellStyle name="Lien hypertexte" xfId="15707" builtinId="8" hidden="1"/>
    <cellStyle name="Lien hypertexte" xfId="15709" builtinId="8" hidden="1"/>
    <cellStyle name="Lien hypertexte" xfId="15711" builtinId="8" hidden="1"/>
    <cellStyle name="Lien hypertexte" xfId="15713" builtinId="8" hidden="1"/>
    <cellStyle name="Lien hypertexte" xfId="15715" builtinId="8" hidden="1"/>
    <cellStyle name="Lien hypertexte" xfId="15717" builtinId="8" hidden="1"/>
    <cellStyle name="Lien hypertexte" xfId="15719" builtinId="8" hidden="1"/>
    <cellStyle name="Lien hypertexte" xfId="15721" builtinId="8" hidden="1"/>
    <cellStyle name="Lien hypertexte" xfId="15723" builtinId="8" hidden="1"/>
    <cellStyle name="Lien hypertexte" xfId="15725" builtinId="8" hidden="1"/>
    <cellStyle name="Lien hypertexte" xfId="15727" builtinId="8" hidden="1"/>
    <cellStyle name="Lien hypertexte" xfId="15729" builtinId="8" hidden="1"/>
    <cellStyle name="Lien hypertexte" xfId="15731" builtinId="8" hidden="1"/>
    <cellStyle name="Lien hypertexte" xfId="15733" builtinId="8" hidden="1"/>
    <cellStyle name="Lien hypertexte" xfId="15735" builtinId="8" hidden="1"/>
    <cellStyle name="Lien hypertexte" xfId="15737" builtinId="8" hidden="1"/>
    <cellStyle name="Lien hypertexte" xfId="15739" builtinId="8" hidden="1"/>
    <cellStyle name="Lien hypertexte" xfId="15741" builtinId="8" hidden="1"/>
    <cellStyle name="Lien hypertexte" xfId="15743" builtinId="8" hidden="1"/>
    <cellStyle name="Lien hypertexte" xfId="15745" builtinId="8" hidden="1"/>
    <cellStyle name="Lien hypertexte" xfId="15747" builtinId="8" hidden="1"/>
    <cellStyle name="Lien hypertexte" xfId="15749" builtinId="8" hidden="1"/>
    <cellStyle name="Lien hypertexte" xfId="15751" builtinId="8" hidden="1"/>
    <cellStyle name="Lien hypertexte" xfId="15753" builtinId="8" hidden="1"/>
    <cellStyle name="Lien hypertexte" xfId="15755" builtinId="8" hidden="1"/>
    <cellStyle name="Lien hypertexte" xfId="15757" builtinId="8" hidden="1"/>
    <cellStyle name="Lien hypertexte" xfId="15759" builtinId="8" hidden="1"/>
    <cellStyle name="Lien hypertexte" xfId="15761" builtinId="8" hidden="1"/>
    <cellStyle name="Lien hypertexte" xfId="15763" builtinId="8" hidden="1"/>
    <cellStyle name="Lien hypertexte" xfId="15765" builtinId="8" hidden="1"/>
    <cellStyle name="Lien hypertexte" xfId="15767" builtinId="8" hidden="1"/>
    <cellStyle name="Lien hypertexte" xfId="15769" builtinId="8" hidden="1"/>
    <cellStyle name="Lien hypertexte" xfId="15771" builtinId="8" hidden="1"/>
    <cellStyle name="Lien hypertexte" xfId="15773" builtinId="8" hidden="1"/>
    <cellStyle name="Lien hypertexte" xfId="15775" builtinId="8" hidden="1"/>
    <cellStyle name="Lien hypertexte" xfId="15777" builtinId="8" hidden="1"/>
    <cellStyle name="Lien hypertexte" xfId="15779" builtinId="8" hidden="1"/>
    <cellStyle name="Lien hypertexte" xfId="15781" builtinId="8" hidden="1"/>
    <cellStyle name="Lien hypertexte" xfId="15783" builtinId="8" hidden="1"/>
    <cellStyle name="Lien hypertexte" xfId="15785" builtinId="8" hidden="1"/>
    <cellStyle name="Lien hypertexte" xfId="15787" builtinId="8" hidden="1"/>
    <cellStyle name="Lien hypertexte" xfId="15789" builtinId="8" hidden="1"/>
    <cellStyle name="Lien hypertexte" xfId="15791" builtinId="8" hidden="1"/>
    <cellStyle name="Lien hypertexte" xfId="15793" builtinId="8" hidden="1"/>
    <cellStyle name="Lien hypertexte" xfId="15795" builtinId="8" hidden="1"/>
    <cellStyle name="Lien hypertexte" xfId="15797" builtinId="8" hidden="1"/>
    <cellStyle name="Lien hypertexte" xfId="15799" builtinId="8" hidden="1"/>
    <cellStyle name="Lien hypertexte" xfId="15801" builtinId="8" hidden="1"/>
    <cellStyle name="Lien hypertexte" xfId="15803" builtinId="8" hidden="1"/>
    <cellStyle name="Lien hypertexte" xfId="15805" builtinId="8" hidden="1"/>
    <cellStyle name="Lien hypertexte" xfId="15807" builtinId="8" hidden="1"/>
    <cellStyle name="Lien hypertexte" xfId="15809" builtinId="8" hidden="1"/>
    <cellStyle name="Lien hypertexte" xfId="15811" builtinId="8" hidden="1"/>
    <cellStyle name="Lien hypertexte" xfId="15813" builtinId="8" hidden="1"/>
    <cellStyle name="Lien hypertexte" xfId="15815" builtinId="8" hidden="1"/>
    <cellStyle name="Lien hypertexte" xfId="15817" builtinId="8" hidden="1"/>
    <cellStyle name="Lien hypertexte" xfId="15819" builtinId="8" hidden="1"/>
    <cellStyle name="Lien hypertexte" xfId="15821" builtinId="8" hidden="1"/>
    <cellStyle name="Lien hypertexte" xfId="15823" builtinId="8" hidden="1"/>
    <cellStyle name="Lien hypertexte" xfId="15825" builtinId="8" hidden="1"/>
    <cellStyle name="Lien hypertexte" xfId="15827" builtinId="8" hidden="1"/>
    <cellStyle name="Lien hypertexte" xfId="15829" builtinId="8" hidden="1"/>
    <cellStyle name="Lien hypertexte" xfId="15831" builtinId="8" hidden="1"/>
    <cellStyle name="Lien hypertexte" xfId="15833" builtinId="8" hidden="1"/>
    <cellStyle name="Lien hypertexte" xfId="15835" builtinId="8" hidden="1"/>
    <cellStyle name="Lien hypertexte" xfId="15837" builtinId="8" hidden="1"/>
    <cellStyle name="Lien hypertexte" xfId="15839" builtinId="8" hidden="1"/>
    <cellStyle name="Lien hypertexte" xfId="15841" builtinId="8" hidden="1"/>
    <cellStyle name="Lien hypertexte" xfId="15843" builtinId="8" hidden="1"/>
    <cellStyle name="Lien hypertexte" xfId="15845" builtinId="8" hidden="1"/>
    <cellStyle name="Lien hypertexte" xfId="15847" builtinId="8" hidden="1"/>
    <cellStyle name="Lien hypertexte" xfId="15849" builtinId="8" hidden="1"/>
    <cellStyle name="Lien hypertexte" xfId="15851" builtinId="8" hidden="1"/>
    <cellStyle name="Lien hypertexte" xfId="15853" builtinId="8" hidden="1"/>
    <cellStyle name="Lien hypertexte" xfId="15855" builtinId="8" hidden="1"/>
    <cellStyle name="Lien hypertexte" xfId="15857" builtinId="8" hidden="1"/>
    <cellStyle name="Lien hypertexte" xfId="15859" builtinId="8" hidden="1"/>
    <cellStyle name="Lien hypertexte" xfId="15861" builtinId="8" hidden="1"/>
    <cellStyle name="Lien hypertexte" xfId="15863" builtinId="8" hidden="1"/>
    <cellStyle name="Lien hypertexte" xfId="15865" builtinId="8" hidden="1"/>
    <cellStyle name="Lien hypertexte" xfId="15867" builtinId="8" hidden="1"/>
    <cellStyle name="Lien hypertexte" xfId="15869" builtinId="8" hidden="1"/>
    <cellStyle name="Lien hypertexte" xfId="15871" builtinId="8" hidden="1"/>
    <cellStyle name="Lien hypertexte" xfId="15873" builtinId="8" hidden="1"/>
    <cellStyle name="Lien hypertexte" xfId="15875" builtinId="8" hidden="1"/>
    <cellStyle name="Lien hypertexte" xfId="15877" builtinId="8" hidden="1"/>
    <cellStyle name="Lien hypertexte" xfId="15879" builtinId="8" hidden="1"/>
    <cellStyle name="Lien hypertexte" xfId="15881" builtinId="8" hidden="1"/>
    <cellStyle name="Lien hypertexte" xfId="15883" builtinId="8" hidden="1"/>
    <cellStyle name="Lien hypertexte" xfId="15885" builtinId="8" hidden="1"/>
    <cellStyle name="Lien hypertexte" xfId="15887" builtinId="8" hidden="1"/>
    <cellStyle name="Lien hypertexte" xfId="15889" builtinId="8" hidden="1"/>
    <cellStyle name="Lien hypertexte" xfId="15891" builtinId="8" hidden="1"/>
    <cellStyle name="Lien hypertexte" xfId="15893" builtinId="8" hidden="1"/>
    <cellStyle name="Lien hypertexte" xfId="15895" builtinId="8" hidden="1"/>
    <cellStyle name="Lien hypertexte" xfId="15897" builtinId="8" hidden="1"/>
    <cellStyle name="Lien hypertexte" xfId="15899" builtinId="8" hidden="1"/>
    <cellStyle name="Lien hypertexte" xfId="15901" builtinId="8" hidden="1"/>
    <cellStyle name="Lien hypertexte" xfId="15903" builtinId="8" hidden="1"/>
    <cellStyle name="Lien hypertexte" xfId="15905" builtinId="8" hidden="1"/>
    <cellStyle name="Lien hypertexte" xfId="15907" builtinId="8" hidden="1"/>
    <cellStyle name="Lien hypertexte" xfId="15909" builtinId="8" hidden="1"/>
    <cellStyle name="Lien hypertexte" xfId="15911" builtinId="8" hidden="1"/>
    <cellStyle name="Lien hypertexte" xfId="15913" builtinId="8" hidden="1"/>
    <cellStyle name="Lien hypertexte" xfId="15915" builtinId="8" hidden="1"/>
    <cellStyle name="Lien hypertexte" xfId="15917" builtinId="8" hidden="1"/>
    <cellStyle name="Lien hypertexte" xfId="15919" builtinId="8" hidden="1"/>
    <cellStyle name="Lien hypertexte" xfId="15921" builtinId="8" hidden="1"/>
    <cellStyle name="Lien hypertexte" xfId="15923" builtinId="8" hidden="1"/>
    <cellStyle name="Lien hypertexte" xfId="15925" builtinId="8" hidden="1"/>
    <cellStyle name="Lien hypertexte" xfId="15927" builtinId="8" hidden="1"/>
    <cellStyle name="Lien hypertexte" xfId="15929" builtinId="8" hidden="1"/>
    <cellStyle name="Lien hypertexte" xfId="15931" builtinId="8" hidden="1"/>
    <cellStyle name="Lien hypertexte" xfId="15933" builtinId="8" hidden="1"/>
    <cellStyle name="Lien hypertexte" xfId="15935" builtinId="8" hidden="1"/>
    <cellStyle name="Lien hypertexte" xfId="15937" builtinId="8" hidden="1"/>
    <cellStyle name="Lien hypertexte" xfId="15939" builtinId="8" hidden="1"/>
    <cellStyle name="Lien hypertexte" xfId="15941" builtinId="8" hidden="1"/>
    <cellStyle name="Lien hypertexte" xfId="15943" builtinId="8" hidden="1"/>
    <cellStyle name="Lien hypertexte" xfId="15945" builtinId="8" hidden="1"/>
    <cellStyle name="Lien hypertexte" xfId="15947" builtinId="8" hidden="1"/>
    <cellStyle name="Lien hypertexte" xfId="15949" builtinId="8" hidden="1"/>
    <cellStyle name="Lien hypertexte" xfId="15951" builtinId="8" hidden="1"/>
    <cellStyle name="Lien hypertexte" xfId="15953" builtinId="8" hidden="1"/>
    <cellStyle name="Lien hypertexte" xfId="15955" builtinId="8" hidden="1"/>
    <cellStyle name="Lien hypertexte" xfId="15957" builtinId="8" hidden="1"/>
    <cellStyle name="Lien hypertexte" xfId="15959" builtinId="8" hidden="1"/>
    <cellStyle name="Lien hypertexte" xfId="15961" builtinId="8" hidden="1"/>
    <cellStyle name="Lien hypertexte" xfId="15963" builtinId="8" hidden="1"/>
    <cellStyle name="Lien hypertexte" xfId="15965" builtinId="8" hidden="1"/>
    <cellStyle name="Lien hypertexte" xfId="15967" builtinId="8" hidden="1"/>
    <cellStyle name="Lien hypertexte" xfId="15969" builtinId="8" hidden="1"/>
    <cellStyle name="Lien hypertexte" xfId="15971" builtinId="8" hidden="1"/>
    <cellStyle name="Lien hypertexte" xfId="15973" builtinId="8" hidden="1"/>
    <cellStyle name="Lien hypertexte" xfId="15975" builtinId="8" hidden="1"/>
    <cellStyle name="Lien hypertexte" xfId="15977" builtinId="8" hidden="1"/>
    <cellStyle name="Lien hypertexte" xfId="15979" builtinId="8" hidden="1"/>
    <cellStyle name="Lien hypertexte" xfId="15981" builtinId="8" hidden="1"/>
    <cellStyle name="Lien hypertexte" xfId="15983" builtinId="8" hidden="1"/>
    <cellStyle name="Lien hypertexte" xfId="15985" builtinId="8" hidden="1"/>
    <cellStyle name="Lien hypertexte" xfId="15987" builtinId="8" hidden="1"/>
    <cellStyle name="Lien hypertexte" xfId="15989" builtinId="8" hidden="1"/>
    <cellStyle name="Lien hypertexte" xfId="15991" builtinId="8" hidden="1"/>
    <cellStyle name="Lien hypertexte" xfId="15993" builtinId="8" hidden="1"/>
    <cellStyle name="Lien hypertexte" xfId="15995" builtinId="8" hidden="1"/>
    <cellStyle name="Lien hypertexte" xfId="15997" builtinId="8" hidden="1"/>
    <cellStyle name="Lien hypertexte" xfId="15999" builtinId="8" hidden="1"/>
    <cellStyle name="Lien hypertexte" xfId="16001" builtinId="8" hidden="1"/>
    <cellStyle name="Lien hypertexte" xfId="16003" builtinId="8" hidden="1"/>
    <cellStyle name="Lien hypertexte" xfId="16005" builtinId="8" hidden="1"/>
    <cellStyle name="Lien hypertexte" xfId="16007" builtinId="8" hidden="1"/>
    <cellStyle name="Lien hypertexte" xfId="16009" builtinId="8" hidden="1"/>
    <cellStyle name="Lien hypertexte" xfId="16011" builtinId="8" hidden="1"/>
    <cellStyle name="Lien hypertexte" xfId="16013" builtinId="8" hidden="1"/>
    <cellStyle name="Lien hypertexte" xfId="16015" builtinId="8" hidden="1"/>
    <cellStyle name="Lien hypertexte" xfId="16017" builtinId="8" hidden="1"/>
    <cellStyle name="Lien hypertexte" xfId="16019" builtinId="8" hidden="1"/>
    <cellStyle name="Lien hypertexte" xfId="16021" builtinId="8" hidden="1"/>
    <cellStyle name="Lien hypertexte" xfId="16023" builtinId="8" hidden="1"/>
    <cellStyle name="Lien hypertexte" xfId="16025" builtinId="8" hidden="1"/>
    <cellStyle name="Lien hypertexte" xfId="16027" builtinId="8" hidden="1"/>
    <cellStyle name="Lien hypertexte" xfId="16029" builtinId="8" hidden="1"/>
    <cellStyle name="Lien hypertexte" xfId="16031" builtinId="8" hidden="1"/>
    <cellStyle name="Lien hypertexte" xfId="16033" builtinId="8" hidden="1"/>
    <cellStyle name="Lien hypertexte" xfId="16035" builtinId="8" hidden="1"/>
    <cellStyle name="Lien hypertexte" xfId="16037" builtinId="8" hidden="1"/>
    <cellStyle name="Lien hypertexte" xfId="16039" builtinId="8" hidden="1"/>
    <cellStyle name="Lien hypertexte" xfId="16041" builtinId="8" hidden="1"/>
    <cellStyle name="Lien hypertexte" xfId="16043" builtinId="8" hidden="1"/>
    <cellStyle name="Lien hypertexte" xfId="16045" builtinId="8" hidden="1"/>
    <cellStyle name="Lien hypertexte" xfId="16047" builtinId="8" hidden="1"/>
    <cellStyle name="Lien hypertexte" xfId="16049" builtinId="8" hidden="1"/>
    <cellStyle name="Lien hypertexte" xfId="16051" builtinId="8" hidden="1"/>
    <cellStyle name="Lien hypertexte" xfId="16053" builtinId="8" hidden="1"/>
    <cellStyle name="Lien hypertexte" xfId="16055" builtinId="8" hidden="1"/>
    <cellStyle name="Lien hypertexte" xfId="16057" builtinId="8" hidden="1"/>
    <cellStyle name="Lien hypertexte" xfId="16059" builtinId="8" hidden="1"/>
    <cellStyle name="Lien hypertexte" xfId="16061" builtinId="8" hidden="1"/>
    <cellStyle name="Lien hypertexte" xfId="16063" builtinId="8" hidden="1"/>
    <cellStyle name="Lien hypertexte" xfId="16065" builtinId="8" hidden="1"/>
    <cellStyle name="Lien hypertexte" xfId="16067" builtinId="8" hidden="1"/>
    <cellStyle name="Lien hypertexte" xfId="16069" builtinId="8" hidden="1"/>
    <cellStyle name="Lien hypertexte" xfId="16071" builtinId="8" hidden="1"/>
    <cellStyle name="Lien hypertexte" xfId="16073" builtinId="8" hidden="1"/>
    <cellStyle name="Lien hypertexte" xfId="16075" builtinId="8" hidden="1"/>
    <cellStyle name="Lien hypertexte" xfId="16077" builtinId="8" hidden="1"/>
    <cellStyle name="Lien hypertexte" xfId="16079" builtinId="8" hidden="1"/>
    <cellStyle name="Lien hypertexte" xfId="16081" builtinId="8" hidden="1"/>
    <cellStyle name="Lien hypertexte" xfId="16083" builtinId="8" hidden="1"/>
    <cellStyle name="Lien hypertexte" xfId="16085" builtinId="8" hidden="1"/>
    <cellStyle name="Lien hypertexte" xfId="16087" builtinId="8" hidden="1"/>
    <cellStyle name="Lien hypertexte" xfId="16089" builtinId="8" hidden="1"/>
    <cellStyle name="Lien hypertexte" xfId="16091" builtinId="8" hidden="1"/>
    <cellStyle name="Lien hypertexte" xfId="16093" builtinId="8" hidden="1"/>
    <cellStyle name="Lien hypertexte" xfId="16095" builtinId="8" hidden="1"/>
    <cellStyle name="Lien hypertexte" xfId="16097" builtinId="8" hidden="1"/>
    <cellStyle name="Lien hypertexte" xfId="16099" builtinId="8" hidden="1"/>
    <cellStyle name="Lien hypertexte" xfId="16101" builtinId="8" hidden="1"/>
    <cellStyle name="Lien hypertexte" xfId="16103" builtinId="8" hidden="1"/>
    <cellStyle name="Lien hypertexte" xfId="16105" builtinId="8" hidden="1"/>
    <cellStyle name="Lien hypertexte" xfId="16107" builtinId="8" hidden="1"/>
    <cellStyle name="Lien hypertexte" xfId="16109" builtinId="8" hidden="1"/>
    <cellStyle name="Lien hypertexte" xfId="16111" builtinId="8" hidden="1"/>
    <cellStyle name="Lien hypertexte" xfId="16113" builtinId="8" hidden="1"/>
    <cellStyle name="Lien hypertexte" xfId="16115" builtinId="8" hidden="1"/>
    <cellStyle name="Lien hypertexte" xfId="16117" builtinId="8" hidden="1"/>
    <cellStyle name="Lien hypertexte" xfId="16119" builtinId="8" hidden="1"/>
    <cellStyle name="Lien hypertexte" xfId="16121" builtinId="8" hidden="1"/>
    <cellStyle name="Lien hypertexte" xfId="16123" builtinId="8" hidden="1"/>
    <cellStyle name="Lien hypertexte" xfId="16125" builtinId="8" hidden="1"/>
    <cellStyle name="Lien hypertexte" xfId="16127" builtinId="8" hidden="1"/>
    <cellStyle name="Lien hypertexte" xfId="16129" builtinId="8" hidden="1"/>
    <cellStyle name="Lien hypertexte" xfId="16131" builtinId="8" hidden="1"/>
    <cellStyle name="Lien hypertexte" xfId="16133" builtinId="8" hidden="1"/>
    <cellStyle name="Lien hypertexte" xfId="16135" builtinId="8" hidden="1"/>
    <cellStyle name="Lien hypertexte" xfId="16137" builtinId="8" hidden="1"/>
    <cellStyle name="Lien hypertexte" xfId="16139" builtinId="8" hidden="1"/>
    <cellStyle name="Lien hypertexte" xfId="16141" builtinId="8" hidden="1"/>
    <cellStyle name="Lien hypertexte" xfId="16143" builtinId="8" hidden="1"/>
    <cellStyle name="Lien hypertexte" xfId="16145" builtinId="8" hidden="1"/>
    <cellStyle name="Lien hypertexte" xfId="16147" builtinId="8" hidden="1"/>
    <cellStyle name="Lien hypertexte" xfId="16149" builtinId="8" hidden="1"/>
    <cellStyle name="Lien hypertexte" xfId="16151" builtinId="8" hidden="1"/>
    <cellStyle name="Lien hypertexte" xfId="16153" builtinId="8" hidden="1"/>
    <cellStyle name="Lien hypertexte" xfId="16155" builtinId="8" hidden="1"/>
    <cellStyle name="Lien hypertexte" xfId="16157" builtinId="8" hidden="1"/>
    <cellStyle name="Lien hypertexte" xfId="16159" builtinId="8" hidden="1"/>
    <cellStyle name="Lien hypertexte" xfId="16161" builtinId="8" hidden="1"/>
    <cellStyle name="Lien hypertexte" xfId="16163" builtinId="8" hidden="1"/>
    <cellStyle name="Lien hypertexte" xfId="16165" builtinId="8" hidden="1"/>
    <cellStyle name="Lien hypertexte" xfId="16167" builtinId="8" hidden="1"/>
    <cellStyle name="Lien hypertexte" xfId="16169" builtinId="8" hidden="1"/>
    <cellStyle name="Lien hypertexte" xfId="16171" builtinId="8" hidden="1"/>
    <cellStyle name="Lien hypertexte" xfId="16173" builtinId="8" hidden="1"/>
    <cellStyle name="Lien hypertexte" xfId="16175" builtinId="8" hidden="1"/>
    <cellStyle name="Lien hypertexte" xfId="16177" builtinId="8" hidden="1"/>
    <cellStyle name="Lien hypertexte" xfId="16179" builtinId="8" hidden="1"/>
    <cellStyle name="Lien hypertexte" xfId="16181" builtinId="8" hidden="1"/>
    <cellStyle name="Lien hypertexte" xfId="16183" builtinId="8" hidden="1"/>
    <cellStyle name="Lien hypertexte" xfId="16185" builtinId="8" hidden="1"/>
    <cellStyle name="Lien hypertexte" xfId="16187" builtinId="8" hidden="1"/>
    <cellStyle name="Lien hypertexte" xfId="16189" builtinId="8" hidden="1"/>
    <cellStyle name="Lien hypertexte" xfId="16191" builtinId="8" hidden="1"/>
    <cellStyle name="Lien hypertexte" xfId="16193" builtinId="8" hidden="1"/>
    <cellStyle name="Lien hypertexte" xfId="16195" builtinId="8" hidden="1"/>
    <cellStyle name="Lien hypertexte" xfId="16197" builtinId="8" hidden="1"/>
    <cellStyle name="Lien hypertexte" xfId="16199" builtinId="8" hidden="1"/>
    <cellStyle name="Lien hypertexte" xfId="16201" builtinId="8" hidden="1"/>
    <cellStyle name="Lien hypertexte" xfId="16203" builtinId="8" hidden="1"/>
    <cellStyle name="Lien hypertexte" xfId="16205" builtinId="8" hidden="1"/>
    <cellStyle name="Lien hypertexte" xfId="16207" builtinId="8" hidden="1"/>
    <cellStyle name="Lien hypertexte" xfId="16209" builtinId="8" hidden="1"/>
    <cellStyle name="Lien hypertexte" xfId="16211" builtinId="8" hidden="1"/>
    <cellStyle name="Lien hypertexte" xfId="16213" builtinId="8" hidden="1"/>
    <cellStyle name="Lien hypertexte" xfId="16215" builtinId="8" hidden="1"/>
    <cellStyle name="Lien hypertexte" xfId="16217" builtinId="8" hidden="1"/>
    <cellStyle name="Lien hypertexte" xfId="16219" builtinId="8" hidden="1"/>
    <cellStyle name="Lien hypertexte" xfId="16221" builtinId="8" hidden="1"/>
    <cellStyle name="Lien hypertexte" xfId="16223" builtinId="8" hidden="1"/>
    <cellStyle name="Lien hypertexte" xfId="16225" builtinId="8" hidden="1"/>
    <cellStyle name="Lien hypertexte" xfId="16227" builtinId="8" hidden="1"/>
    <cellStyle name="Lien hypertexte" xfId="16229" builtinId="8" hidden="1"/>
    <cellStyle name="Lien hypertexte" xfId="16231" builtinId="8" hidden="1"/>
    <cellStyle name="Lien hypertexte" xfId="16233" builtinId="8" hidden="1"/>
    <cellStyle name="Lien hypertexte" xfId="16235" builtinId="8" hidden="1"/>
    <cellStyle name="Lien hypertexte" xfId="16237" builtinId="8" hidden="1"/>
    <cellStyle name="Lien hypertexte" xfId="16239" builtinId="8" hidden="1"/>
    <cellStyle name="Lien hypertexte" xfId="16241" builtinId="8" hidden="1"/>
    <cellStyle name="Lien hypertexte" xfId="16243" builtinId="8" hidden="1"/>
    <cellStyle name="Lien hypertexte" xfId="16245" builtinId="8" hidden="1"/>
    <cellStyle name="Lien hypertexte" xfId="16247" builtinId="8" hidden="1"/>
    <cellStyle name="Lien hypertexte" xfId="16249" builtinId="8" hidden="1"/>
    <cellStyle name="Lien hypertexte" xfId="16251" builtinId="8" hidden="1"/>
    <cellStyle name="Lien hypertexte" xfId="16253" builtinId="8" hidden="1"/>
    <cellStyle name="Lien hypertexte" xfId="16255" builtinId="8" hidden="1"/>
    <cellStyle name="Lien hypertexte" xfId="16257" builtinId="8" hidden="1"/>
    <cellStyle name="Lien hypertexte" xfId="16259" builtinId="8" hidden="1"/>
    <cellStyle name="Lien hypertexte" xfId="16261" builtinId="8" hidden="1"/>
    <cellStyle name="Lien hypertexte" xfId="16263" builtinId="8" hidden="1"/>
    <cellStyle name="Lien hypertexte" xfId="16265" builtinId="8" hidden="1"/>
    <cellStyle name="Lien hypertexte" xfId="16267" builtinId="8" hidden="1"/>
    <cellStyle name="Lien hypertexte" xfId="16269" builtinId="8" hidden="1"/>
    <cellStyle name="Lien hypertexte" xfId="16271" builtinId="8" hidden="1"/>
    <cellStyle name="Lien hypertexte" xfId="16273" builtinId="8" hidden="1"/>
    <cellStyle name="Lien hypertexte" xfId="16275" builtinId="8" hidden="1"/>
    <cellStyle name="Lien hypertexte" xfId="16277" builtinId="8" hidden="1"/>
    <cellStyle name="Lien hypertexte" xfId="16279" builtinId="8" hidden="1"/>
    <cellStyle name="Lien hypertexte" xfId="16281" builtinId="8" hidden="1"/>
    <cellStyle name="Lien hypertexte" xfId="16283" builtinId="8" hidden="1"/>
    <cellStyle name="Lien hypertexte" xfId="16285" builtinId="8" hidden="1"/>
    <cellStyle name="Lien hypertexte" xfId="16287" builtinId="8" hidden="1"/>
    <cellStyle name="Lien hypertexte" xfId="16289" builtinId="8" hidden="1"/>
    <cellStyle name="Lien hypertexte" xfId="16291" builtinId="8" hidden="1"/>
    <cellStyle name="Lien hypertexte" xfId="16293" builtinId="8" hidden="1"/>
    <cellStyle name="Lien hypertexte" xfId="16295" builtinId="8" hidden="1"/>
    <cellStyle name="Lien hypertexte" xfId="16297" builtinId="8" hidden="1"/>
    <cellStyle name="Lien hypertexte" xfId="16299" builtinId="8" hidden="1"/>
    <cellStyle name="Lien hypertexte" xfId="16301" builtinId="8" hidden="1"/>
    <cellStyle name="Lien hypertexte" xfId="16303" builtinId="8" hidden="1"/>
    <cellStyle name="Lien hypertexte" xfId="16305" builtinId="8" hidden="1"/>
    <cellStyle name="Lien hypertexte" xfId="16307" builtinId="8" hidden="1"/>
    <cellStyle name="Lien hypertexte" xfId="16309" builtinId="8" hidden="1"/>
    <cellStyle name="Lien hypertexte" xfId="16311" builtinId="8" hidden="1"/>
    <cellStyle name="Lien hypertexte" xfId="16313" builtinId="8" hidden="1"/>
    <cellStyle name="Lien hypertexte" xfId="16315" builtinId="8" hidden="1"/>
    <cellStyle name="Lien hypertexte" xfId="16317" builtinId="8" hidden="1"/>
    <cellStyle name="Lien hypertexte" xfId="16319" builtinId="8" hidden="1"/>
    <cellStyle name="Lien hypertexte" xfId="16321" builtinId="8" hidden="1"/>
    <cellStyle name="Lien hypertexte" xfId="16323" builtinId="8" hidden="1"/>
    <cellStyle name="Lien hypertexte" xfId="16325" builtinId="8" hidden="1"/>
    <cellStyle name="Lien hypertexte" xfId="16327" builtinId="8" hidden="1"/>
    <cellStyle name="Lien hypertexte" xfId="16329" builtinId="8" hidden="1"/>
    <cellStyle name="Lien hypertexte" xfId="16331" builtinId="8" hidden="1"/>
    <cellStyle name="Lien hypertexte" xfId="16333" builtinId="8" hidden="1"/>
    <cellStyle name="Lien hypertexte" xfId="16335" builtinId="8" hidden="1"/>
    <cellStyle name="Lien hypertexte" xfId="16337" builtinId="8" hidden="1"/>
    <cellStyle name="Lien hypertexte" xfId="16339" builtinId="8" hidden="1"/>
    <cellStyle name="Lien hypertexte" xfId="16341" builtinId="8" hidden="1"/>
    <cellStyle name="Lien hypertexte" xfId="16343" builtinId="8" hidden="1"/>
    <cellStyle name="Lien hypertexte" xfId="16345" builtinId="8" hidden="1"/>
    <cellStyle name="Lien hypertexte" xfId="16347" builtinId="8" hidden="1"/>
    <cellStyle name="Lien hypertexte" xfId="16349" builtinId="8" hidden="1"/>
    <cellStyle name="Lien hypertexte" xfId="16351" builtinId="8" hidden="1"/>
    <cellStyle name="Lien hypertexte" xfId="16353" builtinId="8" hidden="1"/>
    <cellStyle name="Lien hypertexte" xfId="16355" builtinId="8" hidden="1"/>
    <cellStyle name="Lien hypertexte" xfId="16357" builtinId="8" hidden="1"/>
    <cellStyle name="Lien hypertexte" xfId="16359" builtinId="8" hidden="1"/>
    <cellStyle name="Lien hypertexte" xfId="16361" builtinId="8" hidden="1"/>
    <cellStyle name="Lien hypertexte" xfId="16363" builtinId="8" hidden="1"/>
    <cellStyle name="Lien hypertexte" xfId="16365" builtinId="8" hidden="1"/>
    <cellStyle name="Lien hypertexte" xfId="16367" builtinId="8" hidden="1"/>
    <cellStyle name="Lien hypertexte" xfId="16369" builtinId="8" hidden="1"/>
    <cellStyle name="Lien hypertexte" xfId="16371" builtinId="8" hidden="1"/>
    <cellStyle name="Lien hypertexte" xfId="16373" builtinId="8" hidden="1"/>
    <cellStyle name="Lien hypertexte" xfId="16375" builtinId="8" hidden="1"/>
    <cellStyle name="Lien hypertexte" xfId="16377" builtinId="8" hidden="1"/>
    <cellStyle name="Lien hypertexte" xfId="16379" builtinId="8" hidden="1"/>
    <cellStyle name="Lien hypertexte" xfId="16381" builtinId="8" hidden="1"/>
    <cellStyle name="Lien hypertexte" xfId="16383" builtinId="8" hidden="1"/>
    <cellStyle name="Lien hypertexte" xfId="16385" builtinId="8" hidden="1"/>
    <cellStyle name="Lien hypertexte" xfId="16387" builtinId="8" hidden="1"/>
    <cellStyle name="Lien hypertexte" xfId="16389" builtinId="8" hidden="1"/>
    <cellStyle name="Lien hypertexte" xfId="16391" builtinId="8" hidden="1"/>
    <cellStyle name="Lien hypertexte" xfId="16393" builtinId="8" hidden="1"/>
    <cellStyle name="Lien hypertexte" xfId="16395" builtinId="8" hidden="1"/>
    <cellStyle name="Lien hypertexte" xfId="16397" builtinId="8" hidden="1"/>
    <cellStyle name="Lien hypertexte" xfId="16399" builtinId="8" hidden="1"/>
    <cellStyle name="Lien hypertexte" xfId="16401" builtinId="8" hidden="1"/>
    <cellStyle name="Lien hypertexte" xfId="16403" builtinId="8" hidden="1"/>
    <cellStyle name="Lien hypertexte" xfId="16405" builtinId="8" hidden="1"/>
    <cellStyle name="Lien hypertexte" xfId="16407" builtinId="8" hidden="1"/>
    <cellStyle name="Lien hypertexte" xfId="16409" builtinId="8" hidden="1"/>
    <cellStyle name="Lien hypertexte" xfId="16411" builtinId="8" hidden="1"/>
    <cellStyle name="Lien hypertexte" xfId="16413" builtinId="8" hidden="1"/>
    <cellStyle name="Lien hypertexte" xfId="16415" builtinId="8" hidden="1"/>
    <cellStyle name="Lien hypertexte" xfId="16417" builtinId="8" hidden="1"/>
    <cellStyle name="Lien hypertexte" xfId="16419" builtinId="8" hidden="1"/>
    <cellStyle name="Lien hypertexte" xfId="16421" builtinId="8" hidden="1"/>
    <cellStyle name="Lien hypertexte" xfId="16423" builtinId="8" hidden="1"/>
    <cellStyle name="Lien hypertexte" xfId="16425" builtinId="8" hidden="1"/>
    <cellStyle name="Lien hypertexte" xfId="16427" builtinId="8" hidden="1"/>
    <cellStyle name="Lien hypertexte" xfId="16429" builtinId="8" hidden="1"/>
    <cellStyle name="Lien hypertexte" xfId="16431" builtinId="8" hidden="1"/>
    <cellStyle name="Lien hypertexte" xfId="16433" builtinId="8" hidden="1"/>
    <cellStyle name="Lien hypertexte" xfId="16435" builtinId="8" hidden="1"/>
    <cellStyle name="Lien hypertexte" xfId="16437" builtinId="8" hidden="1"/>
    <cellStyle name="Lien hypertexte" xfId="16439" builtinId="8" hidden="1"/>
    <cellStyle name="Lien hypertexte" xfId="16441" builtinId="8" hidden="1"/>
    <cellStyle name="Lien hypertexte" xfId="16443" builtinId="8" hidden="1"/>
    <cellStyle name="Lien hypertexte" xfId="16445" builtinId="8" hidden="1"/>
    <cellStyle name="Lien hypertexte" xfId="16447" builtinId="8" hidden="1"/>
    <cellStyle name="Lien hypertexte" xfId="16449" builtinId="8" hidden="1"/>
    <cellStyle name="Lien hypertexte" xfId="16451" builtinId="8" hidden="1"/>
    <cellStyle name="Lien hypertexte" xfId="16453" builtinId="8" hidden="1"/>
    <cellStyle name="Lien hypertexte" xfId="16455" builtinId="8" hidden="1"/>
    <cellStyle name="Lien hypertexte" xfId="16457" builtinId="8" hidden="1"/>
    <cellStyle name="Lien hypertexte" xfId="16459" builtinId="8" hidden="1"/>
    <cellStyle name="Lien hypertexte" xfId="16461" builtinId="8" hidden="1"/>
    <cellStyle name="Lien hypertexte" xfId="16463" builtinId="8" hidden="1"/>
    <cellStyle name="Lien hypertexte" xfId="16465" builtinId="8" hidden="1"/>
    <cellStyle name="Lien hypertexte" xfId="16467" builtinId="8" hidden="1"/>
    <cellStyle name="Lien hypertexte" xfId="16469" builtinId="8" hidden="1"/>
    <cellStyle name="Lien hypertexte" xfId="16471" builtinId="8" hidden="1"/>
    <cellStyle name="Lien hypertexte" xfId="16473" builtinId="8" hidden="1"/>
    <cellStyle name="Lien hypertexte" xfId="16475" builtinId="8" hidden="1"/>
    <cellStyle name="Lien hypertexte" xfId="16477" builtinId="8" hidden="1"/>
    <cellStyle name="Lien hypertexte" xfId="16479" builtinId="8" hidden="1"/>
    <cellStyle name="Lien hypertexte" xfId="16481" builtinId="8" hidden="1"/>
    <cellStyle name="Lien hypertexte" xfId="16483" builtinId="8" hidden="1"/>
    <cellStyle name="Lien hypertexte" xfId="16485" builtinId="8" hidden="1"/>
    <cellStyle name="Lien hypertexte" xfId="16487" builtinId="8" hidden="1"/>
    <cellStyle name="Lien hypertexte" xfId="16489" builtinId="8" hidden="1"/>
    <cellStyle name="Lien hypertexte" xfId="16491" builtinId="8" hidden="1"/>
    <cellStyle name="Lien hypertexte" xfId="16493" builtinId="8" hidden="1"/>
    <cellStyle name="Lien hypertexte" xfId="16495" builtinId="8" hidden="1"/>
    <cellStyle name="Lien hypertexte" xfId="16497" builtinId="8" hidden="1"/>
    <cellStyle name="Lien hypertexte" xfId="16499" builtinId="8" hidden="1"/>
    <cellStyle name="Lien hypertexte" xfId="16501" builtinId="8" hidden="1"/>
    <cellStyle name="Lien hypertexte" xfId="16503" builtinId="8" hidden="1"/>
    <cellStyle name="Lien hypertexte" xfId="16505" builtinId="8" hidden="1"/>
    <cellStyle name="Lien hypertexte" xfId="16507" builtinId="8" hidden="1"/>
    <cellStyle name="Lien hypertexte" xfId="16509" builtinId="8" hidden="1"/>
    <cellStyle name="Lien hypertexte" xfId="16511" builtinId="8" hidden="1"/>
    <cellStyle name="Lien hypertexte" xfId="16513" builtinId="8" hidden="1"/>
    <cellStyle name="Lien hypertexte" xfId="16515" builtinId="8" hidden="1"/>
    <cellStyle name="Lien hypertexte" xfId="16517" builtinId="8" hidden="1"/>
    <cellStyle name="Lien hypertexte" xfId="16519" builtinId="8" hidden="1"/>
    <cellStyle name="Lien hypertexte" xfId="16521" builtinId="8" hidden="1"/>
    <cellStyle name="Lien hypertexte" xfId="16523" builtinId="8" hidden="1"/>
    <cellStyle name="Lien hypertexte" xfId="16525" builtinId="8" hidden="1"/>
    <cellStyle name="Lien hypertexte" xfId="16527" builtinId="8" hidden="1"/>
    <cellStyle name="Lien hypertexte" xfId="16529" builtinId="8" hidden="1"/>
    <cellStyle name="Lien hypertexte" xfId="16531" builtinId="8" hidden="1"/>
    <cellStyle name="Lien hypertexte" xfId="16533" builtinId="8" hidden="1"/>
    <cellStyle name="Lien hypertexte" xfId="16535" builtinId="8" hidden="1"/>
    <cellStyle name="Lien hypertexte" xfId="16537" builtinId="8" hidden="1"/>
    <cellStyle name="Lien hypertexte" xfId="16539" builtinId="8" hidden="1"/>
    <cellStyle name="Lien hypertexte" xfId="16541" builtinId="8" hidden="1"/>
    <cellStyle name="Lien hypertexte" xfId="16543" builtinId="8" hidden="1"/>
    <cellStyle name="Lien hypertexte" xfId="16545" builtinId="8" hidden="1"/>
    <cellStyle name="Lien hypertexte" xfId="16547" builtinId="8" hidden="1"/>
    <cellStyle name="Lien hypertexte" xfId="16549" builtinId="8" hidden="1"/>
    <cellStyle name="Lien hypertexte" xfId="16551" builtinId="8" hidden="1"/>
    <cellStyle name="Lien hypertexte" xfId="16553" builtinId="8" hidden="1"/>
    <cellStyle name="Lien hypertexte" xfId="16555" builtinId="8" hidden="1"/>
    <cellStyle name="Lien hypertexte" xfId="16557" builtinId="8" hidden="1"/>
    <cellStyle name="Lien hypertexte" xfId="16559" builtinId="8" hidden="1"/>
    <cellStyle name="Lien hypertexte" xfId="16561" builtinId="8" hidden="1"/>
    <cellStyle name="Lien hypertexte" xfId="16563" builtinId="8" hidden="1"/>
    <cellStyle name="Lien hypertexte" xfId="16565" builtinId="8" hidden="1"/>
    <cellStyle name="Lien hypertexte" xfId="16567" builtinId="8" hidden="1"/>
    <cellStyle name="Lien hypertexte" xfId="16569" builtinId="8" hidden="1"/>
    <cellStyle name="Lien hypertexte" xfId="16571" builtinId="8" hidden="1"/>
    <cellStyle name="Lien hypertexte" xfId="16573" builtinId="8" hidden="1"/>
    <cellStyle name="Lien hypertexte" xfId="16575" builtinId="8" hidden="1"/>
    <cellStyle name="Lien hypertexte" xfId="16577" builtinId="8" hidden="1"/>
    <cellStyle name="Lien hypertexte" xfId="16579" builtinId="8" hidden="1"/>
    <cellStyle name="Lien hypertexte" xfId="16581" builtinId="8" hidden="1"/>
    <cellStyle name="Lien hypertexte" xfId="16583" builtinId="8" hidden="1"/>
    <cellStyle name="Lien hypertexte" xfId="16585" builtinId="8" hidden="1"/>
    <cellStyle name="Lien hypertexte" xfId="16587" builtinId="8" hidden="1"/>
    <cellStyle name="Lien hypertexte" xfId="16589" builtinId="8" hidden="1"/>
    <cellStyle name="Lien hypertexte" xfId="16591" builtinId="8" hidden="1"/>
    <cellStyle name="Lien hypertexte" xfId="16593" builtinId="8" hidden="1"/>
    <cellStyle name="Lien hypertexte" xfId="16595" builtinId="8" hidden="1"/>
    <cellStyle name="Lien hypertexte" xfId="16597" builtinId="8" hidden="1"/>
    <cellStyle name="Lien hypertexte" xfId="16599" builtinId="8" hidden="1"/>
    <cellStyle name="Lien hypertexte" xfId="16601" builtinId="8" hidden="1"/>
    <cellStyle name="Lien hypertexte" xfId="16603" builtinId="8" hidden="1"/>
    <cellStyle name="Lien hypertexte" xfId="16605" builtinId="8" hidden="1"/>
    <cellStyle name="Lien hypertexte" xfId="16607" builtinId="8" hidden="1"/>
    <cellStyle name="Lien hypertexte" xfId="16609" builtinId="8" hidden="1"/>
    <cellStyle name="Lien hypertexte" xfId="16611" builtinId="8" hidden="1"/>
    <cellStyle name="Lien hypertexte" xfId="16613" builtinId="8" hidden="1"/>
    <cellStyle name="Lien hypertexte" xfId="16615" builtinId="8" hidden="1"/>
    <cellStyle name="Lien hypertexte" xfId="16617" builtinId="8" hidden="1"/>
    <cellStyle name="Lien hypertexte" xfId="16619" builtinId="8" hidden="1"/>
    <cellStyle name="Lien hypertexte" xfId="16621" builtinId="8" hidden="1"/>
    <cellStyle name="Lien hypertexte" xfId="16623" builtinId="8" hidden="1"/>
    <cellStyle name="Lien hypertexte" xfId="16625" builtinId="8" hidden="1"/>
    <cellStyle name="Lien hypertexte" xfId="16627" builtinId="8" hidden="1"/>
    <cellStyle name="Lien hypertexte" xfId="16629" builtinId="8" hidden="1"/>
    <cellStyle name="Lien hypertexte" xfId="16631" builtinId="8" hidden="1"/>
    <cellStyle name="Lien hypertexte" xfId="16633" builtinId="8" hidden="1"/>
    <cellStyle name="Lien hypertexte" xfId="16635" builtinId="8" hidden="1"/>
    <cellStyle name="Lien hypertexte" xfId="16637" builtinId="8" hidden="1"/>
    <cellStyle name="Lien hypertexte" xfId="16639" builtinId="8" hidden="1"/>
    <cellStyle name="Lien hypertexte" xfId="16641" builtinId="8" hidden="1"/>
    <cellStyle name="Lien hypertexte" xfId="16643" builtinId="8" hidden="1"/>
    <cellStyle name="Lien hypertexte" xfId="16645" builtinId="8" hidden="1"/>
    <cellStyle name="Lien hypertexte" xfId="16647" builtinId="8" hidden="1"/>
    <cellStyle name="Lien hypertexte" xfId="16649" builtinId="8" hidden="1"/>
    <cellStyle name="Lien hypertexte" xfId="16651" builtinId="8" hidden="1"/>
    <cellStyle name="Lien hypertexte" xfId="16653" builtinId="8" hidden="1"/>
    <cellStyle name="Lien hypertexte" xfId="16655" builtinId="8" hidden="1"/>
    <cellStyle name="Lien hypertexte" xfId="16657" builtinId="8" hidden="1"/>
    <cellStyle name="Lien hypertexte" xfId="16659" builtinId="8" hidden="1"/>
    <cellStyle name="Lien hypertexte" xfId="16661" builtinId="8" hidden="1"/>
    <cellStyle name="Lien hypertexte" xfId="16663" builtinId="8" hidden="1"/>
    <cellStyle name="Lien hypertexte" xfId="16665" builtinId="8" hidden="1"/>
    <cellStyle name="Lien hypertexte" xfId="16667" builtinId="8" hidden="1"/>
    <cellStyle name="Lien hypertexte" xfId="16669" builtinId="8" hidden="1"/>
    <cellStyle name="Lien hypertexte" xfId="16671" builtinId="8" hidden="1"/>
    <cellStyle name="Lien hypertexte" xfId="16673" builtinId="8" hidden="1"/>
    <cellStyle name="Lien hypertexte" xfId="16675" builtinId="8" hidden="1"/>
    <cellStyle name="Lien hypertexte" xfId="16677" builtinId="8" hidden="1"/>
    <cellStyle name="Lien hypertexte" xfId="16679" builtinId="8" hidden="1"/>
    <cellStyle name="Lien hypertexte" xfId="16681" builtinId="8" hidden="1"/>
    <cellStyle name="Lien hypertexte" xfId="16683" builtinId="8" hidden="1"/>
    <cellStyle name="Lien hypertexte" xfId="16685" builtinId="8" hidden="1"/>
    <cellStyle name="Lien hypertexte" xfId="16687" builtinId="8" hidden="1"/>
    <cellStyle name="Lien hypertexte" xfId="16689" builtinId="8" hidden="1"/>
    <cellStyle name="Lien hypertexte" xfId="16691" builtinId="8" hidden="1"/>
    <cellStyle name="Lien hypertexte" xfId="16693" builtinId="8" hidden="1"/>
    <cellStyle name="Lien hypertexte" xfId="16695" builtinId="8" hidden="1"/>
    <cellStyle name="Lien hypertexte" xfId="16697" builtinId="8" hidden="1"/>
    <cellStyle name="Lien hypertexte" xfId="16699" builtinId="8" hidden="1"/>
    <cellStyle name="Lien hypertexte" xfId="16701" builtinId="8" hidden="1"/>
    <cellStyle name="Lien hypertexte" xfId="16703" builtinId="8" hidden="1"/>
    <cellStyle name="Lien hypertexte" xfId="16705" builtinId="8" hidden="1"/>
    <cellStyle name="Lien hypertexte" xfId="16707" builtinId="8" hidden="1"/>
    <cellStyle name="Lien hypertexte" xfId="16709" builtinId="8" hidden="1"/>
    <cellStyle name="Lien hypertexte" xfId="16711" builtinId="8" hidden="1"/>
    <cellStyle name="Lien hypertexte" xfId="16713" builtinId="8" hidden="1"/>
    <cellStyle name="Lien hypertexte" xfId="16715" builtinId="8" hidden="1"/>
    <cellStyle name="Lien hypertexte" xfId="16717" builtinId="8" hidden="1"/>
    <cellStyle name="Lien hypertexte" xfId="16719" builtinId="8" hidden="1"/>
    <cellStyle name="Lien hypertexte" xfId="16721" builtinId="8" hidden="1"/>
    <cellStyle name="Lien hypertexte" xfId="16723" builtinId="8" hidden="1"/>
    <cellStyle name="Lien hypertexte" xfId="16725" builtinId="8" hidden="1"/>
    <cellStyle name="Lien hypertexte" xfId="16727" builtinId="8" hidden="1"/>
    <cellStyle name="Lien hypertexte" xfId="16729" builtinId="8" hidden="1"/>
    <cellStyle name="Lien hypertexte" xfId="16731" builtinId="8" hidden="1"/>
    <cellStyle name="Lien hypertexte" xfId="16733" builtinId="8" hidden="1"/>
    <cellStyle name="Lien hypertexte" xfId="16735" builtinId="8" hidden="1"/>
    <cellStyle name="Lien hypertexte" xfId="16737" builtinId="8" hidden="1"/>
    <cellStyle name="Lien hypertexte" xfId="16739" builtinId="8" hidden="1"/>
    <cellStyle name="Lien hypertexte" xfId="16741" builtinId="8" hidden="1"/>
    <cellStyle name="Lien hypertexte" xfId="16743" builtinId="8" hidden="1"/>
    <cellStyle name="Lien hypertexte" xfId="16745" builtinId="8" hidden="1"/>
    <cellStyle name="Lien hypertexte" xfId="16747" builtinId="8" hidden="1"/>
    <cellStyle name="Lien hypertexte" xfId="16749" builtinId="8" hidden="1"/>
    <cellStyle name="Lien hypertexte" xfId="16751" builtinId="8" hidden="1"/>
    <cellStyle name="Lien hypertexte" xfId="16753" builtinId="8" hidden="1"/>
    <cellStyle name="Lien hypertexte" xfId="16755" builtinId="8" hidden="1"/>
    <cellStyle name="Lien hypertexte" xfId="16757" builtinId="8" hidden="1"/>
    <cellStyle name="Lien hypertexte" xfId="16759" builtinId="8" hidden="1"/>
    <cellStyle name="Lien hypertexte" xfId="16761" builtinId="8" hidden="1"/>
    <cellStyle name="Lien hypertexte" xfId="16763" builtinId="8" hidden="1"/>
    <cellStyle name="Lien hypertexte" xfId="16765" builtinId="8" hidden="1"/>
    <cellStyle name="Lien hypertexte" xfId="16767" builtinId="8" hidden="1"/>
    <cellStyle name="Lien hypertexte" xfId="16769" builtinId="8" hidden="1"/>
    <cellStyle name="Lien hypertexte" xfId="16771" builtinId="8" hidden="1"/>
    <cellStyle name="Lien hypertexte" xfId="16773" builtinId="8" hidden="1"/>
    <cellStyle name="Lien hypertexte" xfId="16775" builtinId="8" hidden="1"/>
    <cellStyle name="Lien hypertexte" xfId="16777" builtinId="8" hidden="1"/>
    <cellStyle name="Lien hypertexte" xfId="16779" builtinId="8" hidden="1"/>
    <cellStyle name="Lien hypertexte" xfId="16781" builtinId="8" hidden="1"/>
    <cellStyle name="Lien hypertexte" xfId="16783" builtinId="8" hidden="1"/>
    <cellStyle name="Lien hypertexte" xfId="16785" builtinId="8" hidden="1"/>
    <cellStyle name="Lien hypertexte" xfId="16787" builtinId="8" hidden="1"/>
    <cellStyle name="Lien hypertexte" xfId="16789" builtinId="8" hidden="1"/>
    <cellStyle name="Lien hypertexte" xfId="16791" builtinId="8" hidden="1"/>
    <cellStyle name="Lien hypertexte" xfId="16793" builtinId="8" hidden="1"/>
    <cellStyle name="Lien hypertexte" xfId="16795" builtinId="8" hidden="1"/>
    <cellStyle name="Lien hypertexte" xfId="16797" builtinId="8" hidden="1"/>
    <cellStyle name="Lien hypertexte" xfId="16799" builtinId="8" hidden="1"/>
    <cellStyle name="Lien hypertexte" xfId="16801" builtinId="8" hidden="1"/>
    <cellStyle name="Lien hypertexte" xfId="16803" builtinId="8" hidden="1"/>
    <cellStyle name="Lien hypertexte" xfId="16805" builtinId="8" hidden="1"/>
    <cellStyle name="Lien hypertexte" xfId="16807" builtinId="8" hidden="1"/>
    <cellStyle name="Lien hypertexte" xfId="16809" builtinId="8" hidden="1"/>
    <cellStyle name="Lien hypertexte" xfId="16811" builtinId="8" hidden="1"/>
    <cellStyle name="Lien hypertexte" xfId="16813" builtinId="8" hidden="1"/>
    <cellStyle name="Lien hypertexte" xfId="16815" builtinId="8" hidden="1"/>
    <cellStyle name="Lien hypertexte" xfId="16817" builtinId="8" hidden="1"/>
    <cellStyle name="Lien hypertexte" xfId="16819" builtinId="8" hidden="1"/>
    <cellStyle name="Lien hypertexte" xfId="16821" builtinId="8" hidden="1"/>
    <cellStyle name="Lien hypertexte" xfId="16823" builtinId="8" hidden="1"/>
    <cellStyle name="Lien hypertexte" xfId="16825" builtinId="8" hidden="1"/>
    <cellStyle name="Lien hypertexte" xfId="16827" builtinId="8" hidden="1"/>
    <cellStyle name="Lien hypertexte" xfId="16829" builtinId="8" hidden="1"/>
    <cellStyle name="Lien hypertexte" xfId="16831" builtinId="8" hidden="1"/>
    <cellStyle name="Lien hypertexte" xfId="16833" builtinId="8" hidden="1"/>
    <cellStyle name="Lien hypertexte" xfId="16835" builtinId="8" hidden="1"/>
    <cellStyle name="Lien hypertexte" xfId="16837" builtinId="8" hidden="1"/>
    <cellStyle name="Lien hypertexte" xfId="16839" builtinId="8" hidden="1"/>
    <cellStyle name="Lien hypertexte" xfId="16841" builtinId="8" hidden="1"/>
    <cellStyle name="Lien hypertexte" xfId="16843" builtinId="8" hidden="1"/>
    <cellStyle name="Lien hypertexte" xfId="16845" builtinId="8" hidden="1"/>
    <cellStyle name="Lien hypertexte" xfId="16847" builtinId="8" hidden="1"/>
    <cellStyle name="Lien hypertexte" xfId="16849" builtinId="8" hidden="1"/>
    <cellStyle name="Lien hypertexte" xfId="16851" builtinId="8" hidden="1"/>
    <cellStyle name="Lien hypertexte" xfId="16853" builtinId="8" hidden="1"/>
    <cellStyle name="Lien hypertexte" xfId="16855" builtinId="8" hidden="1"/>
    <cellStyle name="Lien hypertexte" xfId="16857" builtinId="8" hidden="1"/>
    <cellStyle name="Lien hypertexte" xfId="16859" builtinId="8" hidden="1"/>
    <cellStyle name="Lien hypertexte" xfId="16861" builtinId="8" hidden="1"/>
    <cellStyle name="Lien hypertexte" xfId="16863" builtinId="8" hidden="1"/>
    <cellStyle name="Lien hypertexte" xfId="16865" builtinId="8" hidden="1"/>
    <cellStyle name="Lien hypertexte" xfId="16867" builtinId="8" hidden="1"/>
    <cellStyle name="Lien hypertexte" xfId="16869" builtinId="8" hidden="1"/>
    <cellStyle name="Lien hypertexte" xfId="16871" builtinId="8" hidden="1"/>
    <cellStyle name="Lien hypertexte" xfId="16873" builtinId="8" hidden="1"/>
    <cellStyle name="Lien hypertexte" xfId="16875" builtinId="8" hidden="1"/>
    <cellStyle name="Lien hypertexte" xfId="16877" builtinId="8" hidden="1"/>
    <cellStyle name="Lien hypertexte" xfId="16879" builtinId="8" hidden="1"/>
    <cellStyle name="Lien hypertexte" xfId="16881" builtinId="8" hidden="1"/>
    <cellStyle name="Lien hypertexte" xfId="16883" builtinId="8" hidden="1"/>
    <cellStyle name="Lien hypertexte" xfId="16885" builtinId="8" hidden="1"/>
    <cellStyle name="Lien hypertexte" xfId="16887" builtinId="8" hidden="1"/>
    <cellStyle name="Lien hypertexte" xfId="16889" builtinId="8" hidden="1"/>
    <cellStyle name="Lien hypertexte" xfId="16891" builtinId="8" hidden="1"/>
    <cellStyle name="Lien hypertexte" xfId="16893" builtinId="8" hidden="1"/>
    <cellStyle name="Lien hypertexte" xfId="16895" builtinId="8" hidden="1"/>
    <cellStyle name="Lien hypertexte" xfId="16897" builtinId="8" hidden="1"/>
    <cellStyle name="Lien hypertexte" xfId="16899" builtinId="8" hidden="1"/>
    <cellStyle name="Lien hypertexte" xfId="16901" builtinId="8" hidden="1"/>
    <cellStyle name="Lien hypertexte" xfId="16903" builtinId="8" hidden="1"/>
    <cellStyle name="Lien hypertexte" xfId="16905" builtinId="8" hidden="1"/>
    <cellStyle name="Lien hypertexte" xfId="16907" builtinId="8" hidden="1"/>
    <cellStyle name="Lien hypertexte" xfId="16909" builtinId="8" hidden="1"/>
    <cellStyle name="Lien hypertexte" xfId="16911" builtinId="8" hidden="1"/>
    <cellStyle name="Lien hypertexte" xfId="16913" builtinId="8" hidden="1"/>
    <cellStyle name="Lien hypertexte" xfId="16915" builtinId="8" hidden="1"/>
    <cellStyle name="Lien hypertexte" xfId="16917" builtinId="8" hidden="1"/>
    <cellStyle name="Lien hypertexte" xfId="16919" builtinId="8" hidden="1"/>
    <cellStyle name="Lien hypertexte" xfId="16921" builtinId="8" hidden="1"/>
    <cellStyle name="Lien hypertexte" xfId="16923" builtinId="8" hidden="1"/>
    <cellStyle name="Lien hypertexte" xfId="16925" builtinId="8" hidden="1"/>
    <cellStyle name="Lien hypertexte" xfId="16927" builtinId="8" hidden="1"/>
    <cellStyle name="Lien hypertexte" xfId="16929" builtinId="8" hidden="1"/>
    <cellStyle name="Lien hypertexte" xfId="16931" builtinId="8" hidden="1"/>
    <cellStyle name="Lien hypertexte" xfId="16933" builtinId="8" hidden="1"/>
    <cellStyle name="Lien hypertexte" xfId="16935" builtinId="8" hidden="1"/>
    <cellStyle name="Lien hypertexte" xfId="16937" builtinId="8" hidden="1"/>
    <cellStyle name="Lien hypertexte" xfId="16939" builtinId="8" hidden="1"/>
    <cellStyle name="Lien hypertexte" xfId="16941" builtinId="8" hidden="1"/>
    <cellStyle name="Lien hypertexte" xfId="16943" builtinId="8" hidden="1"/>
    <cellStyle name="Lien hypertexte" xfId="16945" builtinId="8" hidden="1"/>
    <cellStyle name="Lien hypertexte" xfId="16947" builtinId="8" hidden="1"/>
    <cellStyle name="Lien hypertexte" xfId="16949" builtinId="8" hidden="1"/>
    <cellStyle name="Lien hypertexte" xfId="16951" builtinId="8" hidden="1"/>
    <cellStyle name="Lien hypertexte" xfId="16953" builtinId="8" hidden="1"/>
    <cellStyle name="Lien hypertexte" xfId="16955" builtinId="8" hidden="1"/>
    <cellStyle name="Lien hypertexte" xfId="16957" builtinId="8" hidden="1"/>
    <cellStyle name="Lien hypertexte" xfId="16959" builtinId="8" hidden="1"/>
    <cellStyle name="Lien hypertexte" xfId="16961" builtinId="8" hidden="1"/>
    <cellStyle name="Lien hypertexte" xfId="16963" builtinId="8" hidden="1"/>
    <cellStyle name="Lien hypertexte" xfId="16965" builtinId="8" hidden="1"/>
    <cellStyle name="Lien hypertexte" xfId="16967" builtinId="8" hidden="1"/>
    <cellStyle name="Lien hypertexte" xfId="16969" builtinId="8" hidden="1"/>
    <cellStyle name="Lien hypertexte" xfId="16971" builtinId="8" hidden="1"/>
    <cellStyle name="Lien hypertexte" xfId="16973" builtinId="8" hidden="1"/>
    <cellStyle name="Lien hypertexte" xfId="16975" builtinId="8" hidden="1"/>
    <cellStyle name="Lien hypertexte" xfId="16977" builtinId="8" hidden="1"/>
    <cellStyle name="Lien hypertexte" xfId="16979" builtinId="8" hidden="1"/>
    <cellStyle name="Lien hypertexte" xfId="16981" builtinId="8" hidden="1"/>
    <cellStyle name="Lien hypertexte" xfId="16983" builtinId="8" hidden="1"/>
    <cellStyle name="Lien hypertexte" xfId="16985" builtinId="8" hidden="1"/>
    <cellStyle name="Lien hypertexte" xfId="16987" builtinId="8" hidden="1"/>
    <cellStyle name="Lien hypertexte" xfId="16989" builtinId="8" hidden="1"/>
    <cellStyle name="Lien hypertexte" xfId="16991" builtinId="8" hidden="1"/>
    <cellStyle name="Lien hypertexte" xfId="16993" builtinId="8" hidden="1"/>
    <cellStyle name="Lien hypertexte" xfId="16995" builtinId="8" hidden="1"/>
    <cellStyle name="Lien hypertexte" xfId="16997" builtinId="8" hidden="1"/>
    <cellStyle name="Lien hypertexte" xfId="16999" builtinId="8" hidden="1"/>
    <cellStyle name="Lien hypertexte" xfId="17001" builtinId="8" hidden="1"/>
    <cellStyle name="Lien hypertexte" xfId="17003" builtinId="8" hidden="1"/>
    <cellStyle name="Lien hypertexte" xfId="17005" builtinId="8" hidden="1"/>
    <cellStyle name="Lien hypertexte" xfId="17007" builtinId="8" hidden="1"/>
    <cellStyle name="Lien hypertexte" xfId="17009" builtinId="8" hidden="1"/>
    <cellStyle name="Lien hypertexte" xfId="17011" builtinId="8" hidden="1"/>
    <cellStyle name="Lien hypertexte" xfId="17013" builtinId="8" hidden="1"/>
    <cellStyle name="Lien hypertexte" xfId="17015" builtinId="8" hidden="1"/>
    <cellStyle name="Lien hypertexte" xfId="17017" builtinId="8" hidden="1"/>
    <cellStyle name="Lien hypertexte" xfId="17019" builtinId="8" hidden="1"/>
    <cellStyle name="Lien hypertexte" xfId="17021" builtinId="8" hidden="1"/>
    <cellStyle name="Lien hypertexte" xfId="17023" builtinId="8" hidden="1"/>
    <cellStyle name="Lien hypertexte" xfId="17025" builtinId="8" hidden="1"/>
    <cellStyle name="Lien hypertexte" xfId="17027" builtinId="8" hidden="1"/>
    <cellStyle name="Lien hypertexte" xfId="17029" builtinId="8" hidden="1"/>
    <cellStyle name="Lien hypertexte" xfId="17031" builtinId="8" hidden="1"/>
    <cellStyle name="Lien hypertexte" xfId="17033" builtinId="8" hidden="1"/>
    <cellStyle name="Lien hypertexte" xfId="17035" builtinId="8" hidden="1"/>
    <cellStyle name="Lien hypertexte" xfId="17037" builtinId="8" hidden="1"/>
    <cellStyle name="Lien hypertexte" xfId="17039" builtinId="8" hidden="1"/>
    <cellStyle name="Lien hypertexte" xfId="17041" builtinId="8" hidden="1"/>
    <cellStyle name="Lien hypertexte" xfId="17043" builtinId="8" hidden="1"/>
    <cellStyle name="Lien hypertexte" xfId="17045" builtinId="8" hidden="1"/>
    <cellStyle name="Lien hypertexte" xfId="17047" builtinId="8" hidden="1"/>
    <cellStyle name="Lien hypertexte" xfId="17049" builtinId="8" hidden="1"/>
    <cellStyle name="Lien hypertexte" xfId="17051" builtinId="8" hidden="1"/>
    <cellStyle name="Lien hypertexte" xfId="17053" builtinId="8" hidden="1"/>
    <cellStyle name="Lien hypertexte" xfId="17055" builtinId="8" hidden="1"/>
    <cellStyle name="Lien hypertexte" xfId="17057" builtinId="8" hidden="1"/>
    <cellStyle name="Lien hypertexte" xfId="17059" builtinId="8" hidden="1"/>
    <cellStyle name="Lien hypertexte" xfId="17061" builtinId="8" hidden="1"/>
    <cellStyle name="Lien hypertexte" xfId="17063" builtinId="8" hidden="1"/>
    <cellStyle name="Lien hypertexte" xfId="17065" builtinId="8" hidden="1"/>
    <cellStyle name="Lien hypertexte" xfId="17067" builtinId="8" hidden="1"/>
    <cellStyle name="Lien hypertexte" xfId="17069" builtinId="8" hidden="1"/>
    <cellStyle name="Lien hypertexte" xfId="17071" builtinId="8" hidden="1"/>
    <cellStyle name="Lien hypertexte" xfId="17073" builtinId="8" hidden="1"/>
    <cellStyle name="Lien hypertexte" xfId="17075" builtinId="8" hidden="1"/>
    <cellStyle name="Lien hypertexte" xfId="17077" builtinId="8" hidden="1"/>
    <cellStyle name="Lien hypertexte" xfId="17079" builtinId="8" hidden="1"/>
    <cellStyle name="Lien hypertexte" xfId="17081" builtinId="8" hidden="1"/>
    <cellStyle name="Lien hypertexte" xfId="17083" builtinId="8" hidden="1"/>
    <cellStyle name="Lien hypertexte" xfId="17085" builtinId="8" hidden="1"/>
    <cellStyle name="Lien hypertexte" xfId="17087" builtinId="8" hidden="1"/>
    <cellStyle name="Lien hypertexte" xfId="17089" builtinId="8" hidden="1"/>
    <cellStyle name="Lien hypertexte" xfId="17091" builtinId="8" hidden="1"/>
    <cellStyle name="Lien hypertexte" xfId="17093" builtinId="8" hidden="1"/>
    <cellStyle name="Lien hypertexte" xfId="17095" builtinId="8" hidden="1"/>
    <cellStyle name="Lien hypertexte" xfId="17097" builtinId="8" hidden="1"/>
    <cellStyle name="Lien hypertexte" xfId="17099" builtinId="8" hidden="1"/>
    <cellStyle name="Lien hypertexte" xfId="17101" builtinId="8" hidden="1"/>
    <cellStyle name="Lien hypertexte" xfId="17103" builtinId="8" hidden="1"/>
    <cellStyle name="Lien hypertexte" xfId="17105" builtinId="8" hidden="1"/>
    <cellStyle name="Lien hypertexte" xfId="17107" builtinId="8" hidden="1"/>
    <cellStyle name="Lien hypertexte" xfId="17109" builtinId="8" hidden="1"/>
    <cellStyle name="Lien hypertexte" xfId="17111" builtinId="8" hidden="1"/>
    <cellStyle name="Lien hypertexte" xfId="17113" builtinId="8" hidden="1"/>
    <cellStyle name="Lien hypertexte" xfId="17115" builtinId="8" hidden="1"/>
    <cellStyle name="Lien hypertexte" xfId="17117" builtinId="8" hidden="1"/>
    <cellStyle name="Lien hypertexte" xfId="17119" builtinId="8" hidden="1"/>
    <cellStyle name="Lien hypertexte" xfId="17121" builtinId="8" hidden="1"/>
    <cellStyle name="Lien hypertexte" xfId="17123" builtinId="8" hidden="1"/>
    <cellStyle name="Lien hypertexte" xfId="17125" builtinId="8" hidden="1"/>
    <cellStyle name="Lien hypertexte" xfId="17127" builtinId="8" hidden="1"/>
    <cellStyle name="Lien hypertexte" xfId="17129" builtinId="8" hidden="1"/>
    <cellStyle name="Lien hypertexte" xfId="17131" builtinId="8" hidden="1"/>
    <cellStyle name="Lien hypertexte" xfId="17133" builtinId="8" hidden="1"/>
    <cellStyle name="Lien hypertexte" xfId="17135" builtinId="8" hidden="1"/>
    <cellStyle name="Lien hypertexte" xfId="17137" builtinId="8" hidden="1"/>
    <cellStyle name="Lien hypertexte" xfId="17139" builtinId="8" hidden="1"/>
    <cellStyle name="Lien hypertexte" xfId="17141" builtinId="8" hidden="1"/>
    <cellStyle name="Lien hypertexte" xfId="17143" builtinId="8" hidden="1"/>
    <cellStyle name="Lien hypertexte" xfId="17145" builtinId="8" hidden="1"/>
    <cellStyle name="Lien hypertexte" xfId="17147" builtinId="8" hidden="1"/>
    <cellStyle name="Lien hypertexte" xfId="17149" builtinId="8" hidden="1"/>
    <cellStyle name="Lien hypertexte" xfId="17151" builtinId="8" hidden="1"/>
    <cellStyle name="Lien hypertexte" xfId="17153" builtinId="8" hidden="1"/>
    <cellStyle name="Lien hypertexte" xfId="17155" builtinId="8" hidden="1"/>
    <cellStyle name="Lien hypertexte" xfId="17157" builtinId="8" hidden="1"/>
    <cellStyle name="Lien hypertexte" xfId="17159" builtinId="8" hidden="1"/>
    <cellStyle name="Lien hypertexte" xfId="17161" builtinId="8" hidden="1"/>
    <cellStyle name="Lien hypertexte" xfId="17163" builtinId="8" hidden="1"/>
    <cellStyle name="Lien hypertexte" xfId="17165" builtinId="8" hidden="1"/>
    <cellStyle name="Lien hypertexte" xfId="17167" builtinId="8" hidden="1"/>
    <cellStyle name="Lien hypertexte" xfId="17169" builtinId="8" hidden="1"/>
    <cellStyle name="Lien hypertexte" xfId="17171" builtinId="8" hidden="1"/>
    <cellStyle name="Lien hypertexte" xfId="17173" builtinId="8" hidden="1"/>
    <cellStyle name="Lien hypertexte" xfId="17175" builtinId="8" hidden="1"/>
    <cellStyle name="Lien hypertexte" xfId="17177" builtinId="8" hidden="1"/>
    <cellStyle name="Lien hypertexte" xfId="17179" builtinId="8" hidden="1"/>
    <cellStyle name="Lien hypertexte" xfId="17181" builtinId="8" hidden="1"/>
    <cellStyle name="Lien hypertexte" xfId="17183" builtinId="8" hidden="1"/>
    <cellStyle name="Lien hypertexte" xfId="17185" builtinId="8" hidden="1"/>
    <cellStyle name="Lien hypertexte" xfId="17187" builtinId="8" hidden="1"/>
    <cellStyle name="Lien hypertexte" xfId="17189" builtinId="8" hidden="1"/>
    <cellStyle name="Lien hypertexte" xfId="17191" builtinId="8" hidden="1"/>
    <cellStyle name="Lien hypertexte" xfId="17193" builtinId="8" hidden="1"/>
    <cellStyle name="Lien hypertexte" xfId="17195" builtinId="8" hidden="1"/>
    <cellStyle name="Lien hypertexte" xfId="17197" builtinId="8" hidden="1"/>
    <cellStyle name="Lien hypertexte" xfId="17199" builtinId="8" hidden="1"/>
    <cellStyle name="Lien hypertexte" xfId="17201" builtinId="8" hidden="1"/>
    <cellStyle name="Lien hypertexte" xfId="17203" builtinId="8" hidden="1"/>
    <cellStyle name="Lien hypertexte" xfId="17205" builtinId="8" hidden="1"/>
    <cellStyle name="Lien hypertexte" xfId="17207" builtinId="8" hidden="1"/>
    <cellStyle name="Lien hypertexte" xfId="17209" builtinId="8" hidden="1"/>
    <cellStyle name="Lien hypertexte" xfId="17211" builtinId="8" hidden="1"/>
    <cellStyle name="Lien hypertexte" xfId="17213" builtinId="8" hidden="1"/>
    <cellStyle name="Lien hypertexte" xfId="17215" builtinId="8" hidden="1"/>
    <cellStyle name="Lien hypertexte" xfId="17217" builtinId="8" hidden="1"/>
    <cellStyle name="Lien hypertexte" xfId="17219" builtinId="8" hidden="1"/>
    <cellStyle name="Lien hypertexte" xfId="17221" builtinId="8" hidden="1"/>
    <cellStyle name="Lien hypertexte" xfId="17223" builtinId="8" hidden="1"/>
    <cellStyle name="Lien hypertexte" xfId="17225" builtinId="8" hidden="1"/>
    <cellStyle name="Lien hypertexte" xfId="17227" builtinId="8" hidden="1"/>
    <cellStyle name="Lien hypertexte" xfId="17229" builtinId="8" hidden="1"/>
    <cellStyle name="Lien hypertexte" xfId="17231" builtinId="8" hidden="1"/>
    <cellStyle name="Lien hypertexte" xfId="17233" builtinId="8" hidden="1"/>
    <cellStyle name="Lien hypertexte" xfId="17235" builtinId="8" hidden="1"/>
    <cellStyle name="Lien hypertexte" xfId="17237" builtinId="8" hidden="1"/>
    <cellStyle name="Lien hypertexte" xfId="17239" builtinId="8" hidden="1"/>
    <cellStyle name="Lien hypertexte" xfId="17241" builtinId="8" hidden="1"/>
    <cellStyle name="Lien hypertexte" xfId="17243" builtinId="8" hidden="1"/>
    <cellStyle name="Lien hypertexte" xfId="17245" builtinId="8" hidden="1"/>
    <cellStyle name="Lien hypertexte" xfId="17247" builtinId="8" hidden="1"/>
    <cellStyle name="Lien hypertexte" xfId="17249" builtinId="8" hidden="1"/>
    <cellStyle name="Lien hypertexte" xfId="17251" builtinId="8" hidden="1"/>
    <cellStyle name="Lien hypertexte" xfId="17253" builtinId="8" hidden="1"/>
    <cellStyle name="Lien hypertexte" xfId="17255" builtinId="8" hidden="1"/>
    <cellStyle name="Lien hypertexte" xfId="17257" builtinId="8" hidden="1"/>
    <cellStyle name="Lien hypertexte" xfId="17259" builtinId="8" hidden="1"/>
    <cellStyle name="Lien hypertexte" xfId="17261" builtinId="8" hidden="1"/>
    <cellStyle name="Lien hypertexte" xfId="17263" builtinId="8" hidden="1"/>
    <cellStyle name="Lien hypertexte" xfId="17265" builtinId="8" hidden="1"/>
    <cellStyle name="Lien hypertexte" xfId="17267" builtinId="8" hidden="1"/>
    <cellStyle name="Lien hypertexte" xfId="17269" builtinId="8" hidden="1"/>
    <cellStyle name="Lien hypertexte" xfId="17271" builtinId="8" hidden="1"/>
    <cellStyle name="Lien hypertexte" xfId="17273" builtinId="8" hidden="1"/>
    <cellStyle name="Lien hypertexte" xfId="17275" builtinId="8" hidden="1"/>
    <cellStyle name="Lien hypertexte" xfId="17277" builtinId="8" hidden="1"/>
    <cellStyle name="Lien hypertexte" xfId="17279" builtinId="8" hidden="1"/>
    <cellStyle name="Lien hypertexte" xfId="17281" builtinId="8" hidden="1"/>
    <cellStyle name="Lien hypertexte" xfId="17283" builtinId="8" hidden="1"/>
    <cellStyle name="Lien hypertexte" xfId="17285" builtinId="8" hidden="1"/>
    <cellStyle name="Lien hypertexte" xfId="17287" builtinId="8" hidden="1"/>
    <cellStyle name="Lien hypertexte" xfId="17289" builtinId="8" hidden="1"/>
    <cellStyle name="Lien hypertexte" xfId="17291" builtinId="8" hidden="1"/>
    <cellStyle name="Lien hypertexte" xfId="17293" builtinId="8" hidden="1"/>
    <cellStyle name="Lien hypertexte" xfId="17295" builtinId="8" hidden="1"/>
    <cellStyle name="Lien hypertexte" xfId="17297" builtinId="8" hidden="1"/>
    <cellStyle name="Lien hypertexte" xfId="17299" builtinId="8" hidden="1"/>
    <cellStyle name="Lien hypertexte" xfId="17301" builtinId="8" hidden="1"/>
    <cellStyle name="Lien hypertexte" xfId="17303" builtinId="8" hidden="1"/>
    <cellStyle name="Lien hypertexte" xfId="17305" builtinId="8" hidden="1"/>
    <cellStyle name="Lien hypertexte" xfId="17307" builtinId="8" hidden="1"/>
    <cellStyle name="Lien hypertexte" xfId="17309" builtinId="8" hidden="1"/>
    <cellStyle name="Lien hypertexte" xfId="17311" builtinId="8" hidden="1"/>
    <cellStyle name="Lien hypertexte" xfId="17313" builtinId="8" hidden="1"/>
    <cellStyle name="Lien hypertexte" xfId="17315" builtinId="8" hidden="1"/>
    <cellStyle name="Lien hypertexte" xfId="17317" builtinId="8" hidden="1"/>
    <cellStyle name="Lien hypertexte" xfId="17319" builtinId="8" hidden="1"/>
    <cellStyle name="Lien hypertexte" xfId="17321" builtinId="8" hidden="1"/>
    <cellStyle name="Lien hypertexte" xfId="17323" builtinId="8" hidden="1"/>
    <cellStyle name="Lien hypertexte" xfId="17325" builtinId="8" hidden="1"/>
    <cellStyle name="Lien hypertexte" xfId="17327" builtinId="8" hidden="1"/>
    <cellStyle name="Lien hypertexte" xfId="17329" builtinId="8" hidden="1"/>
    <cellStyle name="Lien hypertexte" xfId="17331" builtinId="8" hidden="1"/>
    <cellStyle name="Lien hypertexte" xfId="17333" builtinId="8" hidden="1"/>
    <cellStyle name="Lien hypertexte" xfId="17335" builtinId="8" hidden="1"/>
    <cellStyle name="Lien hypertexte" xfId="17337" builtinId="8" hidden="1"/>
    <cellStyle name="Lien hypertexte" xfId="17339" builtinId="8" hidden="1"/>
    <cellStyle name="Lien hypertexte" xfId="17341" builtinId="8" hidden="1"/>
    <cellStyle name="Lien hypertexte" xfId="17343" builtinId="8" hidden="1"/>
    <cellStyle name="Lien hypertexte" xfId="17345" builtinId="8" hidden="1"/>
    <cellStyle name="Lien hypertexte" xfId="17347" builtinId="8" hidden="1"/>
    <cellStyle name="Lien hypertexte" xfId="17349" builtinId="8" hidden="1"/>
    <cellStyle name="Lien hypertexte" xfId="17351" builtinId="8" hidden="1"/>
    <cellStyle name="Lien hypertexte" xfId="17353" builtinId="8" hidden="1"/>
    <cellStyle name="Lien hypertexte" xfId="17355" builtinId="8" hidden="1"/>
    <cellStyle name="Lien hypertexte" xfId="17357" builtinId="8" hidden="1"/>
    <cellStyle name="Lien hypertexte" xfId="17359" builtinId="8" hidden="1"/>
    <cellStyle name="Lien hypertexte" xfId="17361" builtinId="8" hidden="1"/>
    <cellStyle name="Lien hypertexte" xfId="17363" builtinId="8" hidden="1"/>
    <cellStyle name="Lien hypertexte" xfId="17365" builtinId="8" hidden="1"/>
    <cellStyle name="Lien hypertexte" xfId="17367" builtinId="8" hidden="1"/>
    <cellStyle name="Lien hypertexte" xfId="17369" builtinId="8" hidden="1"/>
    <cellStyle name="Lien hypertexte" xfId="17371" builtinId="8" hidden="1"/>
    <cellStyle name="Lien hypertexte" xfId="17373" builtinId="8" hidden="1"/>
    <cellStyle name="Lien hypertexte" xfId="17375" builtinId="8" hidden="1"/>
    <cellStyle name="Lien hypertexte" xfId="17377" builtinId="8" hidden="1"/>
    <cellStyle name="Lien hypertexte" xfId="17379" builtinId="8" hidden="1"/>
    <cellStyle name="Lien hypertexte" xfId="17381" builtinId="8" hidden="1"/>
    <cellStyle name="Lien hypertexte" xfId="17383" builtinId="8" hidden="1"/>
    <cellStyle name="Lien hypertexte" xfId="17385" builtinId="8" hidden="1"/>
    <cellStyle name="Lien hypertexte" xfId="17387" builtinId="8" hidden="1"/>
    <cellStyle name="Lien hypertexte" xfId="17389" builtinId="8" hidden="1"/>
    <cellStyle name="Lien hypertexte" xfId="17391" builtinId="8" hidden="1"/>
    <cellStyle name="Lien hypertexte" xfId="17393" builtinId="8" hidden="1"/>
    <cellStyle name="Lien hypertexte" xfId="17395" builtinId="8" hidden="1"/>
    <cellStyle name="Lien hypertexte" xfId="17397" builtinId="8" hidden="1"/>
    <cellStyle name="Lien hypertexte" xfId="17399" builtinId="8" hidden="1"/>
    <cellStyle name="Lien hypertexte" xfId="17401" builtinId="8" hidden="1"/>
    <cellStyle name="Lien hypertexte" xfId="17403" builtinId="8" hidden="1"/>
    <cellStyle name="Lien hypertexte" xfId="17405" builtinId="8" hidden="1"/>
    <cellStyle name="Lien hypertexte" xfId="17407" builtinId="8" hidden="1"/>
    <cellStyle name="Lien hypertexte" xfId="17409" builtinId="8" hidden="1"/>
    <cellStyle name="Lien hypertexte" xfId="17411" builtinId="8" hidden="1"/>
    <cellStyle name="Lien hypertexte" xfId="17413" builtinId="8" hidden="1"/>
    <cellStyle name="Lien hypertexte" xfId="17415" builtinId="8" hidden="1"/>
    <cellStyle name="Lien hypertexte" xfId="17417" builtinId="8" hidden="1"/>
    <cellStyle name="Lien hypertexte" xfId="17419" builtinId="8" hidden="1"/>
    <cellStyle name="Lien hypertexte" xfId="17421" builtinId="8" hidden="1"/>
    <cellStyle name="Lien hypertexte" xfId="17423" builtinId="8" hidden="1"/>
    <cellStyle name="Lien hypertexte" xfId="17425" builtinId="8" hidden="1"/>
    <cellStyle name="Lien hypertexte" xfId="17427" builtinId="8" hidden="1"/>
    <cellStyle name="Lien hypertexte" xfId="17429" builtinId="8" hidden="1"/>
    <cellStyle name="Lien hypertexte" xfId="17431" builtinId="8" hidden="1"/>
    <cellStyle name="Lien hypertexte" xfId="17433" builtinId="8" hidden="1"/>
    <cellStyle name="Lien hypertexte" xfId="17435" builtinId="8" hidden="1"/>
    <cellStyle name="Lien hypertexte" xfId="17437" builtinId="8" hidden="1"/>
    <cellStyle name="Lien hypertexte" xfId="17439" builtinId="8" hidden="1"/>
    <cellStyle name="Lien hypertexte" xfId="17441" builtinId="8" hidden="1"/>
    <cellStyle name="Lien hypertexte" xfId="17443" builtinId="8" hidden="1"/>
    <cellStyle name="Lien hypertexte" xfId="17445" builtinId="8" hidden="1"/>
    <cellStyle name="Lien hypertexte" xfId="17447" builtinId="8" hidden="1"/>
    <cellStyle name="Lien hypertexte" xfId="17449" builtinId="8" hidden="1"/>
    <cellStyle name="Lien hypertexte" xfId="17451" builtinId="8" hidden="1"/>
    <cellStyle name="Lien hypertexte" xfId="17453" builtinId="8" hidden="1"/>
    <cellStyle name="Lien hypertexte" xfId="17455" builtinId="8" hidden="1"/>
    <cellStyle name="Lien hypertexte" xfId="17457" builtinId="8" hidden="1"/>
    <cellStyle name="Lien hypertexte" xfId="17459" builtinId="8" hidden="1"/>
    <cellStyle name="Lien hypertexte" xfId="17461" builtinId="8" hidden="1"/>
    <cellStyle name="Lien hypertexte" xfId="17463" builtinId="8" hidden="1"/>
    <cellStyle name="Lien hypertexte" xfId="17465" builtinId="8" hidden="1"/>
    <cellStyle name="Lien hypertexte" xfId="17467" builtinId="8" hidden="1"/>
    <cellStyle name="Lien hypertexte" xfId="17469" builtinId="8" hidden="1"/>
    <cellStyle name="Lien hypertexte" xfId="17471" builtinId="8" hidden="1"/>
    <cellStyle name="Lien hypertexte" xfId="17473" builtinId="8" hidden="1"/>
    <cellStyle name="Lien hypertexte" xfId="17475" builtinId="8" hidden="1"/>
    <cellStyle name="Lien hypertexte" xfId="17477" builtinId="8" hidden="1"/>
    <cellStyle name="Lien hypertexte" xfId="17479" builtinId="8" hidden="1"/>
    <cellStyle name="Lien hypertexte" xfId="17481" builtinId="8" hidden="1"/>
    <cellStyle name="Lien hypertexte" xfId="17483" builtinId="8" hidden="1"/>
    <cellStyle name="Lien hypertexte" xfId="17485" builtinId="8" hidden="1"/>
    <cellStyle name="Lien hypertexte" xfId="17487" builtinId="8" hidden="1"/>
    <cellStyle name="Lien hypertexte" xfId="17489" builtinId="8" hidden="1"/>
    <cellStyle name="Lien hypertexte" xfId="17491" builtinId="8" hidden="1"/>
    <cellStyle name="Lien hypertexte" xfId="17493" builtinId="8" hidden="1"/>
    <cellStyle name="Lien hypertexte" xfId="17495" builtinId="8" hidden="1"/>
    <cellStyle name="Lien hypertexte" xfId="17497" builtinId="8" hidden="1"/>
    <cellStyle name="Lien hypertexte" xfId="17499" builtinId="8" hidden="1"/>
    <cellStyle name="Lien hypertexte" xfId="17501" builtinId="8" hidden="1"/>
    <cellStyle name="Lien hypertexte" xfId="17503" builtinId="8" hidden="1"/>
    <cellStyle name="Lien hypertexte" xfId="17505" builtinId="8" hidden="1"/>
    <cellStyle name="Lien hypertexte" xfId="17507" builtinId="8" hidden="1"/>
    <cellStyle name="Lien hypertexte" xfId="17509" builtinId="8" hidden="1"/>
    <cellStyle name="Lien hypertexte" xfId="17511" builtinId="8" hidden="1"/>
    <cellStyle name="Lien hypertexte" xfId="17513" builtinId="8" hidden="1"/>
    <cellStyle name="Lien hypertexte" xfId="17515" builtinId="8" hidden="1"/>
    <cellStyle name="Lien hypertexte" xfId="17517" builtinId="8" hidden="1"/>
    <cellStyle name="Lien hypertexte" xfId="17519" builtinId="8" hidden="1"/>
    <cellStyle name="Lien hypertexte" xfId="17521" builtinId="8" hidden="1"/>
    <cellStyle name="Lien hypertexte" xfId="17523" builtinId="8" hidden="1"/>
    <cellStyle name="Lien hypertexte" xfId="17525" builtinId="8" hidden="1"/>
    <cellStyle name="Lien hypertexte" xfId="17527" builtinId="8" hidden="1"/>
    <cellStyle name="Lien hypertexte" xfId="17529" builtinId="8" hidden="1"/>
    <cellStyle name="Lien hypertexte" xfId="17531" builtinId="8" hidden="1"/>
    <cellStyle name="Lien hypertexte" xfId="17533" builtinId="8" hidden="1"/>
    <cellStyle name="Lien hypertexte" xfId="17535" builtinId="8" hidden="1"/>
    <cellStyle name="Lien hypertexte" xfId="17537" builtinId="8" hidden="1"/>
    <cellStyle name="Lien hypertexte" xfId="17539" builtinId="8" hidden="1"/>
    <cellStyle name="Lien hypertexte" xfId="17541" builtinId="8" hidden="1"/>
    <cellStyle name="Lien hypertexte" xfId="17543" builtinId="8" hidden="1"/>
    <cellStyle name="Lien hypertexte" xfId="17545" builtinId="8" hidden="1"/>
    <cellStyle name="Lien hypertexte" xfId="17547" builtinId="8" hidden="1"/>
    <cellStyle name="Lien hypertexte" xfId="17549" builtinId="8" hidden="1"/>
    <cellStyle name="Lien hypertexte" xfId="17551" builtinId="8" hidden="1"/>
    <cellStyle name="Lien hypertexte" xfId="17553" builtinId="8" hidden="1"/>
    <cellStyle name="Lien hypertexte" xfId="17555" builtinId="8" hidden="1"/>
    <cellStyle name="Lien hypertexte" xfId="17557" builtinId="8" hidden="1"/>
    <cellStyle name="Lien hypertexte" xfId="17559" builtinId="8" hidden="1"/>
    <cellStyle name="Lien hypertexte" xfId="17561" builtinId="8" hidden="1"/>
    <cellStyle name="Lien hypertexte" xfId="17563" builtinId="8" hidden="1"/>
    <cellStyle name="Lien hypertexte" xfId="17565" builtinId="8" hidden="1"/>
    <cellStyle name="Lien hypertexte" xfId="17567" builtinId="8" hidden="1"/>
    <cellStyle name="Lien hypertexte" xfId="17569" builtinId="8" hidden="1"/>
    <cellStyle name="Lien hypertexte" xfId="17571" builtinId="8" hidden="1"/>
    <cellStyle name="Lien hypertexte" xfId="17573" builtinId="8" hidden="1"/>
    <cellStyle name="Lien hypertexte" xfId="17575" builtinId="8" hidden="1"/>
    <cellStyle name="Lien hypertexte" xfId="17577" builtinId="8" hidden="1"/>
    <cellStyle name="Lien hypertexte" xfId="17579" builtinId="8" hidden="1"/>
    <cellStyle name="Lien hypertexte" xfId="17581" builtinId="8" hidden="1"/>
    <cellStyle name="Lien hypertexte" xfId="17583" builtinId="8" hidden="1"/>
    <cellStyle name="Lien hypertexte" xfId="17585" builtinId="8" hidden="1"/>
    <cellStyle name="Lien hypertexte" xfId="17587" builtinId="8" hidden="1"/>
    <cellStyle name="Lien hypertexte" xfId="17589" builtinId="8" hidden="1"/>
    <cellStyle name="Lien hypertexte" xfId="17591" builtinId="8" hidden="1"/>
    <cellStyle name="Lien hypertexte" xfId="17593" builtinId="8" hidden="1"/>
    <cellStyle name="Lien hypertexte" xfId="17595" builtinId="8" hidden="1"/>
    <cellStyle name="Lien hypertexte" xfId="17597" builtinId="8" hidden="1"/>
    <cellStyle name="Lien hypertexte" xfId="17599" builtinId="8" hidden="1"/>
    <cellStyle name="Lien hypertexte" xfId="17601" builtinId="8" hidden="1"/>
    <cellStyle name="Lien hypertexte" xfId="17603" builtinId="8" hidden="1"/>
    <cellStyle name="Lien hypertexte" xfId="17605" builtinId="8" hidden="1"/>
    <cellStyle name="Lien hypertexte" xfId="17607" builtinId="8" hidden="1"/>
    <cellStyle name="Lien hypertexte" xfId="17609" builtinId="8" hidden="1"/>
    <cellStyle name="Lien hypertexte" xfId="17611" builtinId="8" hidden="1"/>
    <cellStyle name="Lien hypertexte" xfId="17613" builtinId="8" hidden="1"/>
    <cellStyle name="Lien hypertexte" xfId="17615" builtinId="8" hidden="1"/>
    <cellStyle name="Lien hypertexte" xfId="17617" builtinId="8" hidden="1"/>
    <cellStyle name="Lien hypertexte" xfId="17619" builtinId="8" hidden="1"/>
    <cellStyle name="Lien hypertexte" xfId="17621" builtinId="8" hidden="1"/>
    <cellStyle name="Lien hypertexte" xfId="17623" builtinId="8" hidden="1"/>
    <cellStyle name="Lien hypertexte" xfId="17625" builtinId="8" hidden="1"/>
    <cellStyle name="Lien hypertexte" xfId="17627" builtinId="8" hidden="1"/>
    <cellStyle name="Lien hypertexte" xfId="17629" builtinId="8" hidden="1"/>
    <cellStyle name="Lien hypertexte" xfId="17631" builtinId="8" hidden="1"/>
    <cellStyle name="Lien hypertexte" xfId="17633" builtinId="8" hidden="1"/>
    <cellStyle name="Lien hypertexte" xfId="17635" builtinId="8" hidden="1"/>
    <cellStyle name="Lien hypertexte" xfId="17637" builtinId="8" hidden="1"/>
    <cellStyle name="Lien hypertexte" xfId="17639" builtinId="8" hidden="1"/>
    <cellStyle name="Lien hypertexte" xfId="17641" builtinId="8" hidden="1"/>
    <cellStyle name="Lien hypertexte" xfId="17643" builtinId="8" hidden="1"/>
    <cellStyle name="Lien hypertexte" xfId="17645" builtinId="8" hidden="1"/>
    <cellStyle name="Lien hypertexte" xfId="17647" builtinId="8" hidden="1"/>
    <cellStyle name="Lien hypertexte" xfId="17649" builtinId="8" hidden="1"/>
    <cellStyle name="Lien hypertexte" xfId="17651" builtinId="8" hidden="1"/>
    <cellStyle name="Lien hypertexte" xfId="17653" builtinId="8" hidden="1"/>
    <cellStyle name="Lien hypertexte" xfId="17655" builtinId="8" hidden="1"/>
    <cellStyle name="Lien hypertexte" xfId="17657" builtinId="8" hidden="1"/>
    <cellStyle name="Lien hypertexte" xfId="17659" builtinId="8" hidden="1"/>
    <cellStyle name="Lien hypertexte" xfId="17661" builtinId="8" hidden="1"/>
    <cellStyle name="Lien hypertexte" xfId="17663" builtinId="8" hidden="1"/>
    <cellStyle name="Lien hypertexte" xfId="17665" builtinId="8" hidden="1"/>
    <cellStyle name="Lien hypertexte" xfId="17667" builtinId="8" hidden="1"/>
    <cellStyle name="Lien hypertexte" xfId="17669" builtinId="8" hidden="1"/>
    <cellStyle name="Lien hypertexte" xfId="17671" builtinId="8" hidden="1"/>
    <cellStyle name="Lien hypertexte" xfId="17673" builtinId="8" hidden="1"/>
    <cellStyle name="Lien hypertexte" xfId="17675" builtinId="8" hidden="1"/>
    <cellStyle name="Lien hypertexte" xfId="17677" builtinId="8" hidden="1"/>
    <cellStyle name="Lien hypertexte" xfId="17679" builtinId="8" hidden="1"/>
    <cellStyle name="Lien hypertexte" xfId="17681" builtinId="8" hidden="1"/>
    <cellStyle name="Lien hypertexte" xfId="17683" builtinId="8" hidden="1"/>
    <cellStyle name="Lien hypertexte" xfId="17685" builtinId="8" hidden="1"/>
    <cellStyle name="Lien hypertexte" xfId="17687" builtinId="8" hidden="1"/>
    <cellStyle name="Lien hypertexte" xfId="17689" builtinId="8" hidden="1"/>
    <cellStyle name="Lien hypertexte" xfId="17691" builtinId="8" hidden="1"/>
    <cellStyle name="Lien hypertexte" xfId="17693" builtinId="8" hidden="1"/>
    <cellStyle name="Lien hypertexte" xfId="17695" builtinId="8" hidden="1"/>
    <cellStyle name="Lien hypertexte" xfId="17697" builtinId="8" hidden="1"/>
    <cellStyle name="Lien hypertexte" xfId="17699" builtinId="8" hidden="1"/>
    <cellStyle name="Lien hypertexte" xfId="17701" builtinId="8" hidden="1"/>
    <cellStyle name="Lien hypertexte" xfId="17703" builtinId="8" hidden="1"/>
    <cellStyle name="Lien hypertexte" xfId="17705" builtinId="8" hidden="1"/>
    <cellStyle name="Lien hypertexte" xfId="17707" builtinId="8" hidden="1"/>
    <cellStyle name="Lien hypertexte" xfId="17709" builtinId="8" hidden="1"/>
    <cellStyle name="Lien hypertexte" xfId="17711" builtinId="8" hidden="1"/>
    <cellStyle name="Lien hypertexte" xfId="17713" builtinId="8" hidden="1"/>
    <cellStyle name="Lien hypertexte" xfId="17715" builtinId="8" hidden="1"/>
    <cellStyle name="Lien hypertexte" xfId="17717" builtinId="8" hidden="1"/>
    <cellStyle name="Lien hypertexte" xfId="17719" builtinId="8" hidden="1"/>
    <cellStyle name="Lien hypertexte" xfId="17721" builtinId="8" hidden="1"/>
    <cellStyle name="Lien hypertexte" xfId="17723" builtinId="8" hidden="1"/>
    <cellStyle name="Lien hypertexte" xfId="17725" builtinId="8" hidden="1"/>
    <cellStyle name="Lien hypertexte" xfId="17727" builtinId="8" hidden="1"/>
    <cellStyle name="Lien hypertexte" xfId="17729" builtinId="8" hidden="1"/>
    <cellStyle name="Lien hypertexte" xfId="17731" builtinId="8" hidden="1"/>
    <cellStyle name="Lien hypertexte" xfId="17733" builtinId="8" hidden="1"/>
    <cellStyle name="Lien hypertexte" xfId="17735" builtinId="8" hidden="1"/>
    <cellStyle name="Lien hypertexte" xfId="17737" builtinId="8" hidden="1"/>
    <cellStyle name="Lien hypertexte" xfId="17739" builtinId="8" hidden="1"/>
    <cellStyle name="Lien hypertexte" xfId="17741" builtinId="8" hidden="1"/>
    <cellStyle name="Lien hypertexte" xfId="17743" builtinId="8" hidden="1"/>
    <cellStyle name="Lien hypertexte" xfId="17745" builtinId="8" hidden="1"/>
    <cellStyle name="Lien hypertexte" xfId="17747" builtinId="8" hidden="1"/>
    <cellStyle name="Lien hypertexte" xfId="17749" builtinId="8" hidden="1"/>
    <cellStyle name="Lien hypertexte" xfId="17751" builtinId="8" hidden="1"/>
    <cellStyle name="Lien hypertexte" xfId="17753" builtinId="8" hidden="1"/>
    <cellStyle name="Lien hypertexte" xfId="17755" builtinId="8" hidden="1"/>
    <cellStyle name="Lien hypertexte" xfId="17757" builtinId="8" hidden="1"/>
    <cellStyle name="Lien hypertexte" xfId="17759" builtinId="8" hidden="1"/>
    <cellStyle name="Lien hypertexte" xfId="17761" builtinId="8" hidden="1"/>
    <cellStyle name="Lien hypertexte" xfId="17763" builtinId="8" hidden="1"/>
    <cellStyle name="Lien hypertexte" xfId="17765" builtinId="8" hidden="1"/>
    <cellStyle name="Lien hypertexte" xfId="17767" builtinId="8" hidden="1"/>
    <cellStyle name="Lien hypertexte" xfId="17769" builtinId="8" hidden="1"/>
    <cellStyle name="Lien hypertexte" xfId="17771" builtinId="8" hidden="1"/>
    <cellStyle name="Lien hypertexte" xfId="17773" builtinId="8" hidden="1"/>
    <cellStyle name="Lien hypertexte" xfId="17775" builtinId="8" hidden="1"/>
    <cellStyle name="Lien hypertexte" xfId="17777" builtinId="8" hidden="1"/>
    <cellStyle name="Lien hypertexte" xfId="17779" builtinId="8" hidden="1"/>
    <cellStyle name="Lien hypertexte" xfId="17781" builtinId="8" hidden="1"/>
    <cellStyle name="Lien hypertexte" xfId="17783" builtinId="8" hidden="1"/>
    <cellStyle name="Lien hypertexte" xfId="17785" builtinId="8" hidden="1"/>
    <cellStyle name="Lien hypertexte" xfId="17787" builtinId="8" hidden="1"/>
    <cellStyle name="Lien hypertexte" xfId="17789" builtinId="8" hidden="1"/>
    <cellStyle name="Lien hypertexte" xfId="17791" builtinId="8" hidden="1"/>
    <cellStyle name="Lien hypertexte" xfId="17793" builtinId="8" hidden="1"/>
    <cellStyle name="Lien hypertexte" xfId="17795" builtinId="8" hidden="1"/>
    <cellStyle name="Lien hypertexte" xfId="17797" builtinId="8" hidden="1"/>
    <cellStyle name="Lien hypertexte" xfId="17799" builtinId="8" hidden="1"/>
    <cellStyle name="Lien hypertexte" xfId="17801" builtinId="8" hidden="1"/>
    <cellStyle name="Lien hypertexte" xfId="17803" builtinId="8" hidden="1"/>
    <cellStyle name="Lien hypertexte" xfId="17805" builtinId="8" hidden="1"/>
    <cellStyle name="Lien hypertexte" xfId="17807" builtinId="8" hidden="1"/>
    <cellStyle name="Lien hypertexte" xfId="17809" builtinId="8" hidden="1"/>
    <cellStyle name="Lien hypertexte" xfId="17811" builtinId="8" hidden="1"/>
    <cellStyle name="Lien hypertexte" xfId="17813" builtinId="8" hidden="1"/>
    <cellStyle name="Lien hypertexte" xfId="17815" builtinId="8" hidden="1"/>
    <cellStyle name="Lien hypertexte" xfId="17817" builtinId="8" hidden="1"/>
    <cellStyle name="Lien hypertexte" xfId="17819" builtinId="8" hidden="1"/>
    <cellStyle name="Lien hypertexte" xfId="17821" builtinId="8" hidden="1"/>
    <cellStyle name="Lien hypertexte" xfId="17823" builtinId="8" hidden="1"/>
    <cellStyle name="Lien hypertexte" xfId="17825" builtinId="8" hidden="1"/>
    <cellStyle name="Lien hypertexte" xfId="17827" builtinId="8" hidden="1"/>
    <cellStyle name="Lien hypertexte" xfId="17829" builtinId="8" hidden="1"/>
    <cellStyle name="Lien hypertexte" xfId="17831" builtinId="8" hidden="1"/>
    <cellStyle name="Lien hypertexte" xfId="17833" builtinId="8" hidden="1"/>
    <cellStyle name="Lien hypertexte" xfId="17836" builtinId="8" hidden="1"/>
    <cellStyle name="Lien hypertexte" xfId="17838" builtinId="8" hidden="1"/>
    <cellStyle name="Lien hypertexte" xfId="17840" builtinId="8" hidden="1"/>
    <cellStyle name="Lien hypertexte" xfId="17842" builtinId="8" hidden="1"/>
    <cellStyle name="Lien hypertexte" xfId="17844" builtinId="8" hidden="1"/>
    <cellStyle name="Lien hypertexte" xfId="17846" builtinId="8" hidden="1"/>
    <cellStyle name="Lien hypertexte" xfId="17848" builtinId="8" hidden="1"/>
    <cellStyle name="Lien hypertexte" xfId="17850" builtinId="8" hidden="1"/>
    <cellStyle name="Lien hypertexte" xfId="17852" builtinId="8" hidden="1"/>
    <cellStyle name="Lien hypertexte" xfId="17854" builtinId="8" hidden="1"/>
    <cellStyle name="Lien hypertexte" xfId="17856" builtinId="8" hidden="1"/>
    <cellStyle name="Lien hypertexte" xfId="17858" builtinId="8" hidden="1"/>
    <cellStyle name="Lien hypertexte" xfId="17860" builtinId="8" hidden="1"/>
    <cellStyle name="Lien hypertexte" xfId="17862" builtinId="8" hidden="1"/>
    <cellStyle name="Lien hypertexte" xfId="17864" builtinId="8" hidden="1"/>
    <cellStyle name="Lien hypertexte" xfId="17866" builtinId="8" hidden="1"/>
    <cellStyle name="Lien hypertexte" xfId="17868" builtinId="8" hidden="1"/>
    <cellStyle name="Lien hypertexte" xfId="17870" builtinId="8" hidden="1"/>
    <cellStyle name="Lien hypertexte" xfId="17872" builtinId="8" hidden="1"/>
    <cellStyle name="Lien hypertexte" xfId="17874" builtinId="8" hidden="1"/>
    <cellStyle name="Lien hypertexte" xfId="17876" builtinId="8" hidden="1"/>
    <cellStyle name="Lien hypertexte" xfId="17878" builtinId="8" hidden="1"/>
    <cellStyle name="Lien hypertexte" xfId="17880" builtinId="8" hidden="1"/>
    <cellStyle name="Lien hypertexte" xfId="17882" builtinId="8" hidden="1"/>
    <cellStyle name="Lien hypertexte" xfId="17884" builtinId="8" hidden="1"/>
    <cellStyle name="Lien hypertexte" xfId="17886" builtinId="8" hidden="1"/>
    <cellStyle name="Lien hypertexte" xfId="17888" builtinId="8" hidden="1"/>
    <cellStyle name="Lien hypertexte" xfId="17890" builtinId="8" hidden="1"/>
    <cellStyle name="Lien hypertexte" xfId="17892" builtinId="8" hidden="1"/>
    <cellStyle name="Lien hypertexte" xfId="17894" builtinId="8" hidden="1"/>
    <cellStyle name="Lien hypertexte" xfId="17896" builtinId="8" hidden="1"/>
    <cellStyle name="Lien hypertexte" xfId="17898" builtinId="8" hidden="1"/>
    <cellStyle name="Lien hypertexte" xfId="17900" builtinId="8" hidden="1"/>
    <cellStyle name="Lien hypertexte" xfId="17902" builtinId="8" hidden="1"/>
    <cellStyle name="Lien hypertexte" xfId="17904" builtinId="8" hidden="1"/>
    <cellStyle name="Lien hypertexte" xfId="17906" builtinId="8" hidden="1"/>
    <cellStyle name="Lien hypertexte" xfId="17908" builtinId="8" hidden="1"/>
    <cellStyle name="Lien hypertexte" xfId="17910" builtinId="8" hidden="1"/>
    <cellStyle name="Lien hypertexte" xfId="17912" builtinId="8" hidden="1"/>
    <cellStyle name="Lien hypertexte" xfId="17914" builtinId="8" hidden="1"/>
    <cellStyle name="Lien hypertexte" xfId="17916" builtinId="8" hidden="1"/>
    <cellStyle name="Lien hypertexte" xfId="17918" builtinId="8" hidden="1"/>
    <cellStyle name="Lien hypertexte" xfId="17920" builtinId="8" hidden="1"/>
    <cellStyle name="Lien hypertexte" xfId="17922" builtinId="8" hidden="1"/>
    <cellStyle name="Lien hypertexte" xfId="17924" builtinId="8" hidden="1"/>
    <cellStyle name="Lien hypertexte" xfId="17926" builtinId="8" hidden="1"/>
    <cellStyle name="Lien hypertexte" xfId="17928" builtinId="8" hidden="1"/>
    <cellStyle name="Lien hypertexte" xfId="17930" builtinId="8" hidden="1"/>
    <cellStyle name="Lien hypertexte" xfId="17932" builtinId="8" hidden="1"/>
    <cellStyle name="Lien hypertexte" xfId="17934" builtinId="8" hidden="1"/>
    <cellStyle name="Lien hypertexte" xfId="17936" builtinId="8" hidden="1"/>
    <cellStyle name="Lien hypertexte" xfId="17938" builtinId="8" hidden="1"/>
    <cellStyle name="Lien hypertexte" xfId="17940" builtinId="8" hidden="1"/>
    <cellStyle name="Lien hypertexte" xfId="17942" builtinId="8" hidden="1"/>
    <cellStyle name="Lien hypertexte" xfId="17944" builtinId="8" hidden="1"/>
    <cellStyle name="Lien hypertexte" xfId="17946" builtinId="8" hidden="1"/>
    <cellStyle name="Lien hypertexte" xfId="17948" builtinId="8" hidden="1"/>
    <cellStyle name="Lien hypertexte" xfId="17950" builtinId="8" hidden="1"/>
    <cellStyle name="Lien hypertexte" xfId="17952" builtinId="8" hidden="1"/>
    <cellStyle name="Lien hypertexte" xfId="17954" builtinId="8" hidden="1"/>
    <cellStyle name="Lien hypertexte" xfId="17956" builtinId="8" hidden="1"/>
    <cellStyle name="Lien hypertexte" xfId="17958" builtinId="8" hidden="1"/>
    <cellStyle name="Lien hypertexte" xfId="17960" builtinId="8" hidden="1"/>
    <cellStyle name="Lien hypertexte" xfId="17962" builtinId="8" hidden="1"/>
    <cellStyle name="Lien hypertexte" xfId="17964" builtinId="8" hidden="1"/>
    <cellStyle name="Lien hypertexte" xfId="17966" builtinId="8" hidden="1"/>
    <cellStyle name="Lien hypertexte" xfId="17968" builtinId="8" hidden="1"/>
    <cellStyle name="Lien hypertexte" xfId="17970" builtinId="8" hidden="1"/>
    <cellStyle name="Lien hypertexte" xfId="17972" builtinId="8" hidden="1"/>
    <cellStyle name="Lien hypertexte" xfId="17974" builtinId="8" hidden="1"/>
    <cellStyle name="Lien hypertexte" xfId="17976" builtinId="8" hidden="1"/>
    <cellStyle name="Lien hypertexte" xfId="17978" builtinId="8" hidden="1"/>
    <cellStyle name="Lien hypertexte" xfId="17980" builtinId="8" hidden="1"/>
    <cellStyle name="Lien hypertexte" xfId="17982" builtinId="8" hidden="1"/>
    <cellStyle name="Lien hypertexte" xfId="17984" builtinId="8" hidden="1"/>
    <cellStyle name="Lien hypertexte" xfId="17986" builtinId="8" hidden="1"/>
    <cellStyle name="Lien hypertexte" xfId="17988" builtinId="8" hidden="1"/>
    <cellStyle name="Lien hypertexte" xfId="17990" builtinId="8" hidden="1"/>
    <cellStyle name="Lien hypertexte" xfId="17992" builtinId="8" hidden="1"/>
    <cellStyle name="Lien hypertexte" xfId="17994" builtinId="8" hidden="1"/>
    <cellStyle name="Lien hypertexte" xfId="17996" builtinId="8" hidden="1"/>
    <cellStyle name="Lien hypertexte" xfId="17998" builtinId="8" hidden="1"/>
    <cellStyle name="Lien hypertexte" xfId="18000" builtinId="8" hidden="1"/>
    <cellStyle name="Lien hypertexte" xfId="18002" builtinId="8" hidden="1"/>
    <cellStyle name="Lien hypertexte" xfId="18004" builtinId="8" hidden="1"/>
    <cellStyle name="Lien hypertexte" xfId="18006" builtinId="8" hidden="1"/>
    <cellStyle name="Lien hypertexte" xfId="18008" builtinId="8" hidden="1"/>
    <cellStyle name="Lien hypertexte" xfId="18010" builtinId="8" hidden="1"/>
    <cellStyle name="Lien hypertexte" xfId="18012" builtinId="8" hidden="1"/>
    <cellStyle name="Lien hypertexte" xfId="18014" builtinId="8" hidden="1"/>
    <cellStyle name="Lien hypertexte" xfId="18016" builtinId="8" hidden="1"/>
    <cellStyle name="Lien hypertexte" xfId="18018" builtinId="8" hidden="1"/>
    <cellStyle name="Lien hypertexte" xfId="18020" builtinId="8" hidden="1"/>
    <cellStyle name="Lien hypertexte" xfId="18022" builtinId="8" hidden="1"/>
    <cellStyle name="Lien hypertexte" xfId="18024" builtinId="8" hidden="1"/>
    <cellStyle name="Lien hypertexte" xfId="18026" builtinId="8" hidden="1"/>
    <cellStyle name="Lien hypertexte" xfId="18028" builtinId="8" hidden="1"/>
    <cellStyle name="Lien hypertexte" xfId="18030" builtinId="8" hidden="1"/>
    <cellStyle name="Lien hypertexte" xfId="18032" builtinId="8" hidden="1"/>
    <cellStyle name="Lien hypertexte" xfId="18034" builtinId="8" hidden="1"/>
    <cellStyle name="Lien hypertexte" xfId="18036" builtinId="8" hidden="1"/>
    <cellStyle name="Lien hypertexte" xfId="18038" builtinId="8" hidden="1"/>
    <cellStyle name="Lien hypertexte" xfId="18040" builtinId="8" hidden="1"/>
    <cellStyle name="Lien hypertexte" xfId="18042" builtinId="8" hidden="1"/>
    <cellStyle name="Lien hypertexte" xfId="18044" builtinId="8" hidden="1"/>
    <cellStyle name="Lien hypertexte" xfId="18046" builtinId="8" hidden="1"/>
    <cellStyle name="Lien hypertexte" xfId="18048" builtinId="8" hidden="1"/>
    <cellStyle name="Lien hypertexte" xfId="18050" builtinId="8" hidden="1"/>
    <cellStyle name="Lien hypertexte" xfId="18052" builtinId="8" hidden="1"/>
    <cellStyle name="Lien hypertexte" xfId="18054" builtinId="8" hidden="1"/>
    <cellStyle name="Lien hypertexte" xfId="18056" builtinId="8" hidden="1"/>
    <cellStyle name="Lien hypertexte" xfId="18058" builtinId="8" hidden="1"/>
    <cellStyle name="Lien hypertexte" xfId="18060" builtinId="8" hidden="1"/>
    <cellStyle name="Lien hypertexte" xfId="18062" builtinId="8" hidden="1"/>
    <cellStyle name="Lien hypertexte" xfId="18064" builtinId="8" hidden="1"/>
    <cellStyle name="Lien hypertexte" xfId="18066" builtinId="8" hidden="1"/>
    <cellStyle name="Lien hypertexte" xfId="18068" builtinId="8" hidden="1"/>
    <cellStyle name="Lien hypertexte" xfId="18070" builtinId="8" hidden="1"/>
    <cellStyle name="Lien hypertexte" xfId="18072" builtinId="8" hidden="1"/>
    <cellStyle name="Lien hypertexte" xfId="18074" builtinId="8" hidden="1"/>
    <cellStyle name="Lien hypertexte" xfId="18076" builtinId="8" hidden="1"/>
    <cellStyle name="Lien hypertexte" xfId="18078" builtinId="8" hidden="1"/>
    <cellStyle name="Lien hypertexte" xfId="18080" builtinId="8" hidden="1"/>
    <cellStyle name="Lien hypertexte" xfId="18082" builtinId="8" hidden="1"/>
    <cellStyle name="Lien hypertexte" xfId="18084" builtinId="8" hidden="1"/>
    <cellStyle name="Lien hypertexte" xfId="18086" builtinId="8" hidden="1"/>
    <cellStyle name="Lien hypertexte" xfId="18088" builtinId="8" hidden="1"/>
    <cellStyle name="Lien hypertexte" xfId="18090" builtinId="8" hidden="1"/>
    <cellStyle name="Lien hypertexte" xfId="18092" builtinId="8" hidden="1"/>
    <cellStyle name="Lien hypertexte" xfId="18094" builtinId="8" hidden="1"/>
    <cellStyle name="Lien hypertexte" xfId="18096" builtinId="8" hidden="1"/>
    <cellStyle name="Lien hypertexte" xfId="18098" builtinId="8" hidden="1"/>
    <cellStyle name="Lien hypertexte" xfId="18100" builtinId="8" hidden="1"/>
    <cellStyle name="Lien hypertexte" xfId="18102" builtinId="8" hidden="1"/>
    <cellStyle name="Lien hypertexte" xfId="18104" builtinId="8" hidden="1"/>
    <cellStyle name="Lien hypertexte" xfId="18106" builtinId="8" hidden="1"/>
    <cellStyle name="Lien hypertexte" xfId="18108" builtinId="8" hidden="1"/>
    <cellStyle name="Lien hypertexte" xfId="18110" builtinId="8" hidden="1"/>
    <cellStyle name="Lien hypertexte" xfId="18112" builtinId="8" hidden="1"/>
    <cellStyle name="Lien hypertexte" xfId="18114" builtinId="8" hidden="1"/>
    <cellStyle name="Lien hypertexte" xfId="18116" builtinId="8" hidden="1"/>
    <cellStyle name="Lien hypertexte" xfId="18118" builtinId="8" hidden="1"/>
    <cellStyle name="Lien hypertexte" xfId="18120" builtinId="8" hidden="1"/>
    <cellStyle name="Lien hypertexte" xfId="18122" builtinId="8" hidden="1"/>
    <cellStyle name="Lien hypertexte" xfId="18124" builtinId="8" hidden="1"/>
    <cellStyle name="Lien hypertexte" xfId="18126" builtinId="8" hidden="1"/>
    <cellStyle name="Lien hypertexte" xfId="18128" builtinId="8" hidden="1"/>
    <cellStyle name="Lien hypertexte" xfId="18130" builtinId="8" hidden="1"/>
    <cellStyle name="Lien hypertexte" xfId="18132" builtinId="8" hidden="1"/>
    <cellStyle name="Lien hypertexte" xfId="18134" builtinId="8" hidden="1"/>
    <cellStyle name="Lien hypertexte" xfId="18136" builtinId="8" hidden="1"/>
    <cellStyle name="Lien hypertexte" xfId="18138" builtinId="8" hidden="1"/>
    <cellStyle name="Lien hypertexte" xfId="18140" builtinId="8" hidden="1"/>
    <cellStyle name="Lien hypertexte" xfId="18142" builtinId="8" hidden="1"/>
    <cellStyle name="Lien hypertexte" xfId="18144" builtinId="8" hidden="1"/>
    <cellStyle name="Lien hypertexte" xfId="18146" builtinId="8" hidden="1"/>
    <cellStyle name="Lien hypertexte" xfId="18148" builtinId="8" hidden="1"/>
    <cellStyle name="Lien hypertexte" xfId="18150" builtinId="8" hidden="1"/>
    <cellStyle name="Lien hypertexte" xfId="18152" builtinId="8" hidden="1"/>
    <cellStyle name="Lien hypertexte" xfId="18154" builtinId="8" hidden="1"/>
    <cellStyle name="Lien hypertexte" xfId="18156" builtinId="8" hidden="1"/>
    <cellStyle name="Lien hypertexte" xfId="18158" builtinId="8" hidden="1"/>
    <cellStyle name="Lien hypertexte" xfId="18160" builtinId="8" hidden="1"/>
    <cellStyle name="Lien hypertexte" xfId="18162" builtinId="8" hidden="1"/>
    <cellStyle name="Lien hypertexte" xfId="18164" builtinId="8" hidden="1"/>
    <cellStyle name="Lien hypertexte" xfId="18166" builtinId="8" hidden="1"/>
    <cellStyle name="Lien hypertexte" xfId="18168" builtinId="8" hidden="1"/>
    <cellStyle name="Lien hypertexte" xfId="18170" builtinId="8" hidden="1"/>
    <cellStyle name="Lien hypertexte" xfId="18172" builtinId="8" hidden="1"/>
    <cellStyle name="Lien hypertexte" xfId="18174" builtinId="8" hidden="1"/>
    <cellStyle name="Lien hypertexte" xfId="18176" builtinId="8" hidden="1"/>
    <cellStyle name="Lien hypertexte" xfId="18178" builtinId="8" hidden="1"/>
    <cellStyle name="Lien hypertexte" xfId="18180" builtinId="8" hidden="1"/>
    <cellStyle name="Lien hypertexte" xfId="18182" builtinId="8" hidden="1"/>
    <cellStyle name="Lien hypertexte" xfId="18184" builtinId="8" hidden="1"/>
    <cellStyle name="Lien hypertexte" xfId="18186" builtinId="8" hidden="1"/>
    <cellStyle name="Lien hypertexte" xfId="18188" builtinId="8" hidden="1"/>
    <cellStyle name="Lien hypertexte" xfId="18190" builtinId="8" hidden="1"/>
    <cellStyle name="Lien hypertexte" xfId="18192" builtinId="8" hidden="1"/>
    <cellStyle name="Lien hypertexte" xfId="18194" builtinId="8" hidden="1"/>
    <cellStyle name="Lien hypertexte" xfId="18196" builtinId="8" hidden="1"/>
    <cellStyle name="Lien hypertexte" xfId="18198" builtinId="8" hidden="1"/>
    <cellStyle name="Lien hypertexte" xfId="18200" builtinId="8" hidden="1"/>
    <cellStyle name="Lien hypertexte" xfId="18202" builtinId="8" hidden="1"/>
    <cellStyle name="Lien hypertexte" xfId="18204" builtinId="8" hidden="1"/>
    <cellStyle name="Lien hypertexte" xfId="18206" builtinId="8" hidden="1"/>
    <cellStyle name="Lien hypertexte" xfId="18208" builtinId="8" hidden="1"/>
    <cellStyle name="Lien hypertexte" xfId="18210" builtinId="8" hidden="1"/>
    <cellStyle name="Lien hypertexte" xfId="18212" builtinId="8" hidden="1"/>
    <cellStyle name="Lien hypertexte" xfId="18214" builtinId="8" hidden="1"/>
    <cellStyle name="Lien hypertexte" xfId="18216" builtinId="8" hidden="1"/>
    <cellStyle name="Lien hypertexte" xfId="18218" builtinId="8" hidden="1"/>
    <cellStyle name="Lien hypertexte" xfId="18220" builtinId="8" hidden="1"/>
    <cellStyle name="Lien hypertexte" xfId="18222" builtinId="8" hidden="1"/>
    <cellStyle name="Lien hypertexte" xfId="18224" builtinId="8" hidden="1"/>
    <cellStyle name="Lien hypertexte" xfId="18226" builtinId="8" hidden="1"/>
    <cellStyle name="Lien hypertexte" xfId="18228" builtinId="8" hidden="1"/>
    <cellStyle name="Lien hypertexte" xfId="18230" builtinId="8" hidden="1"/>
    <cellStyle name="Lien hypertexte" xfId="18232" builtinId="8" hidden="1"/>
    <cellStyle name="Lien hypertexte" xfId="18234" builtinId="8" hidden="1"/>
    <cellStyle name="Lien hypertexte" xfId="18236" builtinId="8" hidden="1"/>
    <cellStyle name="Lien hypertexte" xfId="18238" builtinId="8" hidden="1"/>
    <cellStyle name="Lien hypertexte" xfId="18240" builtinId="8" hidden="1"/>
    <cellStyle name="Lien hypertexte" xfId="18242" builtinId="8" hidden="1"/>
    <cellStyle name="Lien hypertexte" xfId="18244" builtinId="8" hidden="1"/>
    <cellStyle name="Lien hypertexte" xfId="18246" builtinId="8" hidden="1"/>
    <cellStyle name="Lien hypertexte" xfId="18248" builtinId="8" hidden="1"/>
    <cellStyle name="Lien hypertexte" xfId="18250" builtinId="8" hidden="1"/>
    <cellStyle name="Lien hypertexte" xfId="18252" builtinId="8" hidden="1"/>
    <cellStyle name="Lien hypertexte" xfId="18254" builtinId="8" hidden="1"/>
    <cellStyle name="Lien hypertexte" xfId="18256" builtinId="8" hidden="1"/>
    <cellStyle name="Lien hypertexte" xfId="18258" builtinId="8" hidden="1"/>
    <cellStyle name="Lien hypertexte" xfId="18260" builtinId="8" hidden="1"/>
    <cellStyle name="Lien hypertexte" xfId="18262" builtinId="8" hidden="1"/>
    <cellStyle name="Lien hypertexte" xfId="18264" builtinId="8" hidden="1"/>
    <cellStyle name="Lien hypertexte" xfId="18266" builtinId="8" hidden="1"/>
    <cellStyle name="Lien hypertexte" xfId="18268" builtinId="8" hidden="1"/>
    <cellStyle name="Lien hypertexte" xfId="18270" builtinId="8" hidden="1"/>
    <cellStyle name="Lien hypertexte" xfId="18272" builtinId="8" hidden="1"/>
    <cellStyle name="Lien hypertexte" xfId="18274" builtinId="8" hidden="1"/>
    <cellStyle name="Lien hypertexte" xfId="18276" builtinId="8" hidden="1"/>
    <cellStyle name="Lien hypertexte" xfId="18278" builtinId="8" hidden="1"/>
    <cellStyle name="Lien hypertexte" xfId="18280" builtinId="8" hidden="1"/>
    <cellStyle name="Lien hypertexte" xfId="18282" builtinId="8" hidden="1"/>
    <cellStyle name="Lien hypertexte" xfId="18284" builtinId="8" hidden="1"/>
    <cellStyle name="Lien hypertexte" xfId="18286" builtinId="8" hidden="1"/>
    <cellStyle name="Lien hypertexte" xfId="18288" builtinId="8" hidden="1"/>
    <cellStyle name="Lien hypertexte" xfId="18290" builtinId="8" hidden="1"/>
    <cellStyle name="Lien hypertexte" xfId="18292" builtinId="8" hidden="1"/>
    <cellStyle name="Lien hypertexte" xfId="18294" builtinId="8" hidden="1"/>
    <cellStyle name="Lien hypertexte" xfId="18296" builtinId="8" hidden="1"/>
    <cellStyle name="Lien hypertexte" xfId="18298" builtinId="8" hidden="1"/>
    <cellStyle name="Lien hypertexte" xfId="18300" builtinId="8" hidden="1"/>
    <cellStyle name="Lien hypertexte" xfId="18302" builtinId="8" hidden="1"/>
    <cellStyle name="Lien hypertexte" xfId="18304" builtinId="8" hidden="1"/>
    <cellStyle name="Lien hypertexte" xfId="18306" builtinId="8" hidden="1"/>
    <cellStyle name="Lien hypertexte" xfId="18308" builtinId="8" hidden="1"/>
    <cellStyle name="Lien hypertexte" xfId="18310" builtinId="8" hidden="1"/>
    <cellStyle name="Lien hypertexte" xfId="18312" builtinId="8" hidden="1"/>
    <cellStyle name="Lien hypertexte" xfId="18314" builtinId="8" hidden="1"/>
    <cellStyle name="Lien hypertexte" xfId="18316" builtinId="8" hidden="1"/>
    <cellStyle name="Lien hypertexte" xfId="18318" builtinId="8" hidden="1"/>
    <cellStyle name="Lien hypertexte" xfId="18320" builtinId="8" hidden="1"/>
    <cellStyle name="Lien hypertexte" xfId="18322" builtinId="8" hidden="1"/>
    <cellStyle name="Lien hypertexte" xfId="18324" builtinId="8" hidden="1"/>
    <cellStyle name="Lien hypertexte" xfId="18326" builtinId="8" hidden="1"/>
    <cellStyle name="Lien hypertexte" xfId="18328" builtinId="8" hidden="1"/>
    <cellStyle name="Lien hypertexte" xfId="18330" builtinId="8" hidden="1"/>
    <cellStyle name="Lien hypertexte" xfId="18332" builtinId="8" hidden="1"/>
    <cellStyle name="Lien hypertexte" xfId="18334" builtinId="8" hidden="1"/>
    <cellStyle name="Lien hypertexte" xfId="18336" builtinId="8" hidden="1"/>
    <cellStyle name="Lien hypertexte" xfId="18338" builtinId="8" hidden="1"/>
    <cellStyle name="Lien hypertexte" xfId="18340" builtinId="8" hidden="1"/>
    <cellStyle name="Lien hypertexte" xfId="18342" builtinId="8" hidden="1"/>
    <cellStyle name="Lien hypertexte" xfId="18344" builtinId="8" hidden="1"/>
    <cellStyle name="Lien hypertexte" xfId="18346" builtinId="8" hidden="1"/>
    <cellStyle name="Lien hypertexte" xfId="18348" builtinId="8" hidden="1"/>
    <cellStyle name="Lien hypertexte" xfId="18350" builtinId="8" hidden="1"/>
    <cellStyle name="Lien hypertexte" xfId="18352" builtinId="8" hidden="1"/>
    <cellStyle name="Lien hypertexte" xfId="18354" builtinId="8" hidden="1"/>
    <cellStyle name="Lien hypertexte" xfId="18356" builtinId="8" hidden="1"/>
    <cellStyle name="Lien hypertexte" xfId="18358" builtinId="8" hidden="1"/>
    <cellStyle name="Lien hypertexte" xfId="18360" builtinId="8" hidden="1"/>
    <cellStyle name="Lien hypertexte" xfId="18362" builtinId="8" hidden="1"/>
    <cellStyle name="Lien hypertexte" xfId="18364" builtinId="8" hidden="1"/>
    <cellStyle name="Lien hypertexte" xfId="18366" builtinId="8" hidden="1"/>
    <cellStyle name="Lien hypertexte" xfId="18368" builtinId="8" hidden="1"/>
    <cellStyle name="Lien hypertexte" xfId="18370" builtinId="8" hidden="1"/>
    <cellStyle name="Lien hypertexte" xfId="18372" builtinId="8" hidden="1"/>
    <cellStyle name="Lien hypertexte" xfId="18374" builtinId="8" hidden="1"/>
    <cellStyle name="Lien hypertexte" xfId="18376" builtinId="8" hidden="1"/>
    <cellStyle name="Lien hypertexte" xfId="18378" builtinId="8" hidden="1"/>
    <cellStyle name="Lien hypertexte" xfId="18380" builtinId="8" hidden="1"/>
    <cellStyle name="Lien hypertexte" xfId="18382" builtinId="8" hidden="1"/>
    <cellStyle name="Lien hypertexte" xfId="18384" builtinId="8" hidden="1"/>
    <cellStyle name="Lien hypertexte" xfId="18386" builtinId="8" hidden="1"/>
    <cellStyle name="Lien hypertexte" xfId="18388" builtinId="8" hidden="1"/>
    <cellStyle name="Lien hypertexte" xfId="18390" builtinId="8" hidden="1"/>
    <cellStyle name="Lien hypertexte" xfId="18392" builtinId="8" hidden="1"/>
    <cellStyle name="Lien hypertexte" xfId="18394" builtinId="8" hidden="1"/>
    <cellStyle name="Lien hypertexte" xfId="18396" builtinId="8" hidden="1"/>
    <cellStyle name="Lien hypertexte" xfId="18398" builtinId="8" hidden="1"/>
    <cellStyle name="Lien hypertexte" xfId="18400" builtinId="8" hidden="1"/>
    <cellStyle name="Lien hypertexte" xfId="18402" builtinId="8" hidden="1"/>
    <cellStyle name="Lien hypertexte" xfId="18404" builtinId="8" hidden="1"/>
    <cellStyle name="Lien hypertexte" xfId="18406" builtinId="8" hidden="1"/>
    <cellStyle name="Lien hypertexte" xfId="18408" builtinId="8" hidden="1"/>
    <cellStyle name="Lien hypertexte" xfId="18410" builtinId="8" hidden="1"/>
    <cellStyle name="Lien hypertexte" xfId="18412" builtinId="8" hidden="1"/>
    <cellStyle name="Lien hypertexte" xfId="18414" builtinId="8" hidden="1"/>
    <cellStyle name="Lien hypertexte" xfId="18416" builtinId="8" hidden="1"/>
    <cellStyle name="Lien hypertexte" xfId="18418" builtinId="8" hidden="1"/>
    <cellStyle name="Lien hypertexte" xfId="18420" builtinId="8" hidden="1"/>
    <cellStyle name="Lien hypertexte" xfId="18422" builtinId="8" hidden="1"/>
    <cellStyle name="Lien hypertexte" xfId="18424" builtinId="8" hidden="1"/>
    <cellStyle name="Lien hypertexte" xfId="18426" builtinId="8" hidden="1"/>
    <cellStyle name="Lien hypertexte" xfId="18428" builtinId="8" hidden="1"/>
    <cellStyle name="Lien hypertexte" xfId="18430" builtinId="8" hidden="1"/>
    <cellStyle name="Lien hypertexte" xfId="18432" builtinId="8" hidden="1"/>
    <cellStyle name="Lien hypertexte" xfId="18434" builtinId="8" hidden="1"/>
    <cellStyle name="Lien hypertexte" xfId="18436" builtinId="8" hidden="1"/>
    <cellStyle name="Lien hypertexte" xfId="18438" builtinId="8" hidden="1"/>
    <cellStyle name="Lien hypertexte" xfId="18440" builtinId="8" hidden="1"/>
    <cellStyle name="Lien hypertexte" xfId="18442" builtinId="8" hidden="1"/>
    <cellStyle name="Lien hypertexte" xfId="18444" builtinId="8" hidden="1"/>
    <cellStyle name="Lien hypertexte" xfId="18446" builtinId="8" hidden="1"/>
    <cellStyle name="Lien hypertexte" xfId="18448" builtinId="8" hidden="1"/>
    <cellStyle name="Lien hypertexte" xfId="18450" builtinId="8" hidden="1"/>
    <cellStyle name="Lien hypertexte" xfId="18452" builtinId="8" hidden="1"/>
    <cellStyle name="Lien hypertexte" xfId="18454" builtinId="8" hidden="1"/>
    <cellStyle name="Lien hypertexte" xfId="18456" builtinId="8" hidden="1"/>
    <cellStyle name="Lien hypertexte" xfId="18458" builtinId="8" hidden="1"/>
    <cellStyle name="Lien hypertexte" xfId="18460" builtinId="8" hidden="1"/>
    <cellStyle name="Lien hypertexte" xfId="18462" builtinId="8" hidden="1"/>
    <cellStyle name="Lien hypertexte" xfId="18464" builtinId="8" hidden="1"/>
    <cellStyle name="Lien hypertexte" xfId="18466" builtinId="8" hidden="1"/>
    <cellStyle name="Lien hypertexte" xfId="18468" builtinId="8" hidden="1"/>
    <cellStyle name="Lien hypertexte" xfId="18470" builtinId="8" hidden="1"/>
    <cellStyle name="Lien hypertexte" xfId="18472" builtinId="8" hidden="1"/>
    <cellStyle name="Lien hypertexte" xfId="18474" builtinId="8" hidden="1"/>
    <cellStyle name="Lien hypertexte" xfId="18476" builtinId="8" hidden="1"/>
    <cellStyle name="Lien hypertexte" xfId="18478" builtinId="8" hidden="1"/>
    <cellStyle name="Lien hypertexte" xfId="18480" builtinId="8" hidden="1"/>
    <cellStyle name="Lien hypertexte" xfId="18482" builtinId="8" hidden="1"/>
    <cellStyle name="Lien hypertexte" xfId="18484" builtinId="8" hidden="1"/>
    <cellStyle name="Lien hypertexte" xfId="18486" builtinId="8" hidden="1"/>
    <cellStyle name="Lien hypertexte" xfId="18488" builtinId="8" hidden="1"/>
    <cellStyle name="Lien hypertexte" xfId="18490" builtinId="8" hidden="1"/>
    <cellStyle name="Lien hypertexte" xfId="18492" builtinId="8" hidden="1"/>
    <cellStyle name="Lien hypertexte" xfId="18494" builtinId="8" hidden="1"/>
    <cellStyle name="Lien hypertexte" xfId="18496" builtinId="8" hidden="1"/>
    <cellStyle name="Lien hypertexte" xfId="18498" builtinId="8" hidden="1"/>
    <cellStyle name="Lien hypertexte" xfId="18500" builtinId="8" hidden="1"/>
    <cellStyle name="Lien hypertexte" xfId="18502" builtinId="8" hidden="1"/>
    <cellStyle name="Lien hypertexte" xfId="18504" builtinId="8" hidden="1"/>
    <cellStyle name="Lien hypertexte" xfId="18506" builtinId="8" hidden="1"/>
    <cellStyle name="Lien hypertexte" xfId="18508" builtinId="8" hidden="1"/>
    <cellStyle name="Lien hypertexte" xfId="18510" builtinId="8" hidden="1"/>
    <cellStyle name="Lien hypertexte" xfId="18512" builtinId="8" hidden="1"/>
    <cellStyle name="Lien hypertexte" xfId="18514" builtinId="8" hidden="1"/>
    <cellStyle name="Lien hypertexte" xfId="18516" builtinId="8" hidden="1"/>
    <cellStyle name="Lien hypertexte" xfId="18518" builtinId="8" hidden="1"/>
    <cellStyle name="Lien hypertexte" xfId="18520" builtinId="8" hidden="1"/>
    <cellStyle name="Lien hypertexte" xfId="18522" builtinId="8" hidden="1"/>
    <cellStyle name="Lien hypertexte" xfId="18524" builtinId="8" hidden="1"/>
    <cellStyle name="Lien hypertexte" xfId="18526" builtinId="8" hidden="1"/>
    <cellStyle name="Lien hypertexte" xfId="18528" builtinId="8" hidden="1"/>
    <cellStyle name="Lien hypertexte" xfId="18530" builtinId="8" hidden="1"/>
    <cellStyle name="Lien hypertexte" xfId="18532" builtinId="8" hidden="1"/>
    <cellStyle name="Lien hypertexte" xfId="18534" builtinId="8" hidden="1"/>
    <cellStyle name="Lien hypertexte" xfId="18536" builtinId="8" hidden="1"/>
    <cellStyle name="Lien hypertexte" xfId="18538" builtinId="8" hidden="1"/>
    <cellStyle name="Lien hypertexte" xfId="18540" builtinId="8" hidden="1"/>
    <cellStyle name="Lien hypertexte" xfId="18542" builtinId="8" hidden="1"/>
    <cellStyle name="Lien hypertexte" xfId="18544" builtinId="8" hidden="1"/>
    <cellStyle name="Lien hypertexte" xfId="18546" builtinId="8" hidden="1"/>
    <cellStyle name="Lien hypertexte" xfId="18548" builtinId="8" hidden="1"/>
    <cellStyle name="Lien hypertexte" xfId="18550" builtinId="8" hidden="1"/>
    <cellStyle name="Lien hypertexte" xfId="18552" builtinId="8" hidden="1"/>
    <cellStyle name="Lien hypertexte" xfId="18554" builtinId="8" hidden="1"/>
    <cellStyle name="Lien hypertexte" xfId="18556" builtinId="8" hidden="1"/>
    <cellStyle name="Lien hypertexte" xfId="18558" builtinId="8" hidden="1"/>
    <cellStyle name="Lien hypertexte" xfId="18560" builtinId="8" hidden="1"/>
    <cellStyle name="Lien hypertexte" xfId="18562" builtinId="8" hidden="1"/>
    <cellStyle name="Lien hypertexte" xfId="18564" builtinId="8" hidden="1"/>
    <cellStyle name="Lien hypertexte" xfId="18566" builtinId="8" hidden="1"/>
    <cellStyle name="Lien hypertexte" xfId="18568" builtinId="8" hidden="1"/>
    <cellStyle name="Lien hypertexte" xfId="18570" builtinId="8" hidden="1"/>
    <cellStyle name="Lien hypertexte" xfId="18572" builtinId="8" hidden="1"/>
    <cellStyle name="Lien hypertexte" xfId="18574" builtinId="8" hidden="1"/>
    <cellStyle name="Lien hypertexte" xfId="18576" builtinId="8" hidden="1"/>
    <cellStyle name="Lien hypertexte" xfId="18578" builtinId="8" hidden="1"/>
    <cellStyle name="Lien hypertexte" xfId="18580" builtinId="8" hidden="1"/>
    <cellStyle name="Lien hypertexte" xfId="18582" builtinId="8" hidden="1"/>
    <cellStyle name="Lien hypertexte" xfId="18584" builtinId="8" hidden="1"/>
    <cellStyle name="Lien hypertexte" xfId="18586" builtinId="8" hidden="1"/>
    <cellStyle name="Lien hypertexte" xfId="18588" builtinId="8" hidden="1"/>
    <cellStyle name="Lien hypertexte" xfId="18590" builtinId="8" hidden="1"/>
    <cellStyle name="Lien hypertexte" xfId="18592" builtinId="8" hidden="1"/>
    <cellStyle name="Lien hypertexte" xfId="18594" builtinId="8" hidden="1"/>
    <cellStyle name="Lien hypertexte" xfId="18596" builtinId="8" hidden="1"/>
    <cellStyle name="Lien hypertexte" xfId="18598" builtinId="8" hidden="1"/>
    <cellStyle name="Lien hypertexte" xfId="18600" builtinId="8" hidden="1"/>
    <cellStyle name="Lien hypertexte" xfId="18602" builtinId="8" hidden="1"/>
    <cellStyle name="Lien hypertexte" xfId="18604" builtinId="8" hidden="1"/>
    <cellStyle name="Lien hypertexte" xfId="18606" builtinId="8" hidden="1"/>
    <cellStyle name="Lien hypertexte" xfId="18608" builtinId="8" hidden="1"/>
    <cellStyle name="Lien hypertexte" xfId="18610" builtinId="8" hidden="1"/>
    <cellStyle name="Lien hypertexte" xfId="18612" builtinId="8" hidden="1"/>
    <cellStyle name="Lien hypertexte" xfId="18614" builtinId="8" hidden="1"/>
    <cellStyle name="Lien hypertexte" xfId="18616" builtinId="8" hidden="1"/>
    <cellStyle name="Lien hypertexte" xfId="18618" builtinId="8" hidden="1"/>
    <cellStyle name="Lien hypertexte" xfId="18620" builtinId="8" hidden="1"/>
    <cellStyle name="Lien hypertexte" xfId="18622" builtinId="8" hidden="1"/>
    <cellStyle name="Lien hypertexte" xfId="18624" builtinId="8" hidden="1"/>
    <cellStyle name="Lien hypertexte" xfId="18626" builtinId="8" hidden="1"/>
    <cellStyle name="Lien hypertexte" xfId="18628" builtinId="8" hidden="1"/>
    <cellStyle name="Lien hypertexte" xfId="18630" builtinId="8" hidden="1"/>
    <cellStyle name="Lien hypertexte" xfId="18632" builtinId="8" hidden="1"/>
    <cellStyle name="Lien hypertexte" xfId="18634" builtinId="8" hidden="1"/>
    <cellStyle name="Lien hypertexte" xfId="18636" builtinId="8" hidden="1"/>
    <cellStyle name="Lien hypertexte" xfId="18638" builtinId="8" hidden="1"/>
    <cellStyle name="Lien hypertexte" xfId="18640" builtinId="8" hidden="1"/>
    <cellStyle name="Lien hypertexte" xfId="18642" builtinId="8" hidden="1"/>
    <cellStyle name="Lien hypertexte" xfId="18644" builtinId="8" hidden="1"/>
    <cellStyle name="Lien hypertexte" xfId="18646" builtinId="8" hidden="1"/>
    <cellStyle name="Lien hypertexte" xfId="18648" builtinId="8" hidden="1"/>
    <cellStyle name="Lien hypertexte" xfId="18650" builtinId="8" hidden="1"/>
    <cellStyle name="Lien hypertexte" xfId="18652" builtinId="8" hidden="1"/>
    <cellStyle name="Lien hypertexte" xfId="18654" builtinId="8" hidden="1"/>
    <cellStyle name="Lien hypertexte" xfId="18656" builtinId="8" hidden="1"/>
    <cellStyle name="Lien hypertexte" xfId="18658" builtinId="8" hidden="1"/>
    <cellStyle name="Lien hypertexte" xfId="18660" builtinId="8" hidden="1"/>
    <cellStyle name="Lien hypertexte" xfId="18662" builtinId="8" hidden="1"/>
    <cellStyle name="Lien hypertexte" xfId="18664" builtinId="8" hidden="1"/>
    <cellStyle name="Lien hypertexte" xfId="18666" builtinId="8" hidden="1"/>
    <cellStyle name="Lien hypertexte" xfId="18668" builtinId="8" hidden="1"/>
    <cellStyle name="Lien hypertexte" xfId="18670" builtinId="8" hidden="1"/>
    <cellStyle name="Lien hypertexte" xfId="18672" builtinId="8" hidden="1"/>
    <cellStyle name="Lien hypertexte" xfId="18674" builtinId="8" hidden="1"/>
    <cellStyle name="Lien hypertexte" xfId="18676" builtinId="8" hidden="1"/>
    <cellStyle name="Lien hypertexte" xfId="18678" builtinId="8" hidden="1"/>
    <cellStyle name="Lien hypertexte" xfId="18680" builtinId="8" hidden="1"/>
    <cellStyle name="Lien hypertexte" xfId="18682" builtinId="8" hidden="1"/>
    <cellStyle name="Lien hypertexte" xfId="18684" builtinId="8" hidden="1"/>
    <cellStyle name="Lien hypertexte" xfId="18686" builtinId="8" hidden="1"/>
    <cellStyle name="Lien hypertexte" xfId="18688" builtinId="8" hidden="1"/>
    <cellStyle name="Lien hypertexte" xfId="18690" builtinId="8" hidden="1"/>
    <cellStyle name="Lien hypertexte" xfId="18692" builtinId="8" hidden="1"/>
    <cellStyle name="Lien hypertexte" xfId="18694" builtinId="8" hidden="1"/>
    <cellStyle name="Lien hypertexte" xfId="18696" builtinId="8" hidden="1"/>
    <cellStyle name="Lien hypertexte" xfId="18698" builtinId="8" hidden="1"/>
    <cellStyle name="Lien hypertexte" xfId="18700" builtinId="8" hidden="1"/>
    <cellStyle name="Lien hypertexte" xfId="18702" builtinId="8" hidden="1"/>
    <cellStyle name="Lien hypertexte" xfId="18704" builtinId="8" hidden="1"/>
    <cellStyle name="Lien hypertexte" xfId="18706" builtinId="8" hidden="1"/>
    <cellStyle name="Lien hypertexte" xfId="18708" builtinId="8" hidden="1"/>
    <cellStyle name="Lien hypertexte" xfId="18710" builtinId="8" hidden="1"/>
    <cellStyle name="Lien hypertexte" xfId="18712" builtinId="8" hidden="1"/>
    <cellStyle name="Lien hypertexte" xfId="18714" builtinId="8" hidden="1"/>
    <cellStyle name="Lien hypertexte" xfId="18716" builtinId="8" hidden="1"/>
    <cellStyle name="Lien hypertexte" xfId="18718" builtinId="8" hidden="1"/>
    <cellStyle name="Lien hypertexte" xfId="18720" builtinId="8" hidden="1"/>
    <cellStyle name="Lien hypertexte" xfId="18722" builtinId="8" hidden="1"/>
    <cellStyle name="Lien hypertexte" xfId="18724" builtinId="8" hidden="1"/>
    <cellStyle name="Lien hypertexte" xfId="18726" builtinId="8" hidden="1"/>
    <cellStyle name="Lien hypertexte" xfId="18728" builtinId="8" hidden="1"/>
    <cellStyle name="Lien hypertexte" xfId="18730" builtinId="8" hidden="1"/>
    <cellStyle name="Lien hypertexte" xfId="18732" builtinId="8" hidden="1"/>
    <cellStyle name="Lien hypertexte" xfId="18734" builtinId="8" hidden="1"/>
    <cellStyle name="Lien hypertexte" xfId="18736" builtinId="8" hidden="1"/>
    <cellStyle name="Lien hypertexte" xfId="18738" builtinId="8" hidden="1"/>
    <cellStyle name="Lien hypertexte" xfId="18740" builtinId="8" hidden="1"/>
    <cellStyle name="Lien hypertexte" xfId="18742" builtinId="8" hidden="1"/>
    <cellStyle name="Lien hypertexte" xfId="18744" builtinId="8" hidden="1"/>
    <cellStyle name="Lien hypertexte" xfId="18746" builtinId="8" hidden="1"/>
    <cellStyle name="Lien hypertexte" xfId="18748" builtinId="8" hidden="1"/>
    <cellStyle name="Lien hypertexte" xfId="18750" builtinId="8" hidden="1"/>
    <cellStyle name="Lien hypertexte" xfId="18752" builtinId="8" hidden="1"/>
    <cellStyle name="Lien hypertexte" xfId="18754" builtinId="8" hidden="1"/>
    <cellStyle name="Lien hypertexte" xfId="18756" builtinId="8" hidden="1"/>
    <cellStyle name="Lien hypertexte" xfId="18758" builtinId="8" hidden="1"/>
    <cellStyle name="Lien hypertexte" xfId="18760" builtinId="8" hidden="1"/>
    <cellStyle name="Lien hypertexte" xfId="18762" builtinId="8" hidden="1"/>
    <cellStyle name="Lien hypertexte" xfId="18764" builtinId="8" hidden="1"/>
    <cellStyle name="Lien hypertexte" xfId="18766" builtinId="8" hidden="1"/>
    <cellStyle name="Lien hypertexte" xfId="18768" builtinId="8" hidden="1"/>
    <cellStyle name="Lien hypertexte" xfId="18770" builtinId="8" hidden="1"/>
    <cellStyle name="Lien hypertexte" xfId="18772" builtinId="8" hidden="1"/>
    <cellStyle name="Lien hypertexte" xfId="18774" builtinId="8" hidden="1"/>
    <cellStyle name="Lien hypertexte" xfId="18776" builtinId="8" hidden="1"/>
    <cellStyle name="Lien hypertexte" xfId="18778" builtinId="8" hidden="1"/>
    <cellStyle name="Lien hypertexte" xfId="18780" builtinId="8" hidden="1"/>
    <cellStyle name="Lien hypertexte" xfId="18782" builtinId="8" hidden="1"/>
    <cellStyle name="Lien hypertexte" xfId="18784" builtinId="8" hidden="1"/>
    <cellStyle name="Lien hypertexte" xfId="18786" builtinId="8" hidden="1"/>
    <cellStyle name="Lien hypertexte" xfId="18788" builtinId="8" hidden="1"/>
    <cellStyle name="Lien hypertexte" xfId="18790" builtinId="8" hidden="1"/>
    <cellStyle name="Lien hypertexte" xfId="18792" builtinId="8" hidden="1"/>
    <cellStyle name="Lien hypertexte" xfId="18794" builtinId="8" hidden="1"/>
    <cellStyle name="Lien hypertexte" xfId="18796" builtinId="8" hidden="1"/>
    <cellStyle name="Lien hypertexte" xfId="18798" builtinId="8" hidden="1"/>
    <cellStyle name="Lien hypertexte" xfId="18800" builtinId="8" hidden="1"/>
    <cellStyle name="Lien hypertexte" xfId="18802" builtinId="8" hidden="1"/>
    <cellStyle name="Lien hypertexte" xfId="18804" builtinId="8" hidden="1"/>
    <cellStyle name="Lien hypertexte" xfId="18806" builtinId="8" hidden="1"/>
    <cellStyle name="Lien hypertexte" xfId="18808" builtinId="8" hidden="1"/>
    <cellStyle name="Lien hypertexte" xfId="18810" builtinId="8" hidden="1"/>
    <cellStyle name="Lien hypertexte" xfId="18812" builtinId="8" hidden="1"/>
    <cellStyle name="Lien hypertexte" xfId="18814" builtinId="8" hidden="1"/>
    <cellStyle name="Lien hypertexte" xfId="18816" builtinId="8" hidden="1"/>
    <cellStyle name="Lien hypertexte" xfId="18818" builtinId="8" hidden="1"/>
    <cellStyle name="Lien hypertexte" xfId="18820" builtinId="8" hidden="1"/>
    <cellStyle name="Lien hypertexte" xfId="18822" builtinId="8" hidden="1"/>
    <cellStyle name="Lien hypertexte" xfId="18824" builtinId="8" hidden="1"/>
    <cellStyle name="Lien hypertexte" xfId="18826" builtinId="8" hidden="1"/>
    <cellStyle name="Lien hypertexte" xfId="18828" builtinId="8" hidden="1"/>
    <cellStyle name="Lien hypertexte" xfId="18830" builtinId="8" hidden="1"/>
    <cellStyle name="Lien hypertexte" xfId="18832" builtinId="8" hidden="1"/>
    <cellStyle name="Lien hypertexte" xfId="18834" builtinId="8" hidden="1"/>
    <cellStyle name="Lien hypertexte" xfId="18836" builtinId="8" hidden="1"/>
    <cellStyle name="Lien hypertexte" xfId="18838" builtinId="8" hidden="1"/>
    <cellStyle name="Lien hypertexte" xfId="18840" builtinId="8" hidden="1"/>
    <cellStyle name="Lien hypertexte" xfId="18842" builtinId="8" hidden="1"/>
    <cellStyle name="Lien hypertexte" xfId="18844" builtinId="8" hidden="1"/>
    <cellStyle name="Lien hypertexte" xfId="18846" builtinId="8" hidden="1"/>
    <cellStyle name="Lien hypertexte" xfId="18848" builtinId="8" hidden="1"/>
    <cellStyle name="Lien hypertexte" xfId="18850" builtinId="8" hidden="1"/>
    <cellStyle name="Lien hypertexte" xfId="18852" builtinId="8" hidden="1"/>
    <cellStyle name="Lien hypertexte" xfId="18854" builtinId="8" hidden="1"/>
    <cellStyle name="Lien hypertexte" xfId="18856" builtinId="8" hidden="1"/>
    <cellStyle name="Lien hypertexte" xfId="18858" builtinId="8" hidden="1"/>
    <cellStyle name="Lien hypertexte" xfId="18860" builtinId="8" hidden="1"/>
    <cellStyle name="Lien hypertexte" xfId="18862" builtinId="8" hidden="1"/>
    <cellStyle name="Lien hypertexte" xfId="18864" builtinId="8" hidden="1"/>
    <cellStyle name="Lien hypertexte" xfId="18866" builtinId="8" hidden="1"/>
    <cellStyle name="Lien hypertexte" xfId="18868" builtinId="8" hidden="1"/>
    <cellStyle name="Lien hypertexte" xfId="18870" builtinId="8" hidden="1"/>
    <cellStyle name="Lien hypertexte" xfId="18872" builtinId="8" hidden="1"/>
    <cellStyle name="Lien hypertexte" xfId="18874" builtinId="8" hidden="1"/>
    <cellStyle name="Lien hypertexte" xfId="18876" builtinId="8" hidden="1"/>
    <cellStyle name="Lien hypertexte" xfId="18878" builtinId="8" hidden="1"/>
    <cellStyle name="Lien hypertexte" xfId="18880" builtinId="8" hidden="1"/>
    <cellStyle name="Lien hypertexte" xfId="18882" builtinId="8" hidden="1"/>
    <cellStyle name="Lien hypertexte" xfId="18884" builtinId="8" hidden="1"/>
    <cellStyle name="Lien hypertexte" xfId="18886" builtinId="8" hidden="1"/>
    <cellStyle name="Lien hypertexte" xfId="18888" builtinId="8" hidden="1"/>
    <cellStyle name="Lien hypertexte" xfId="18890" builtinId="8" hidden="1"/>
    <cellStyle name="Lien hypertexte" xfId="18892" builtinId="8" hidden="1"/>
    <cellStyle name="Lien hypertexte" xfId="18894" builtinId="8" hidden="1"/>
    <cellStyle name="Lien hypertexte" xfId="18896" builtinId="8" hidden="1"/>
    <cellStyle name="Lien hypertexte" xfId="18898" builtinId="8" hidden="1"/>
    <cellStyle name="Lien hypertexte" xfId="18900" builtinId="8" hidden="1"/>
    <cellStyle name="Lien hypertexte" xfId="18902" builtinId="8" hidden="1"/>
    <cellStyle name="Lien hypertexte" xfId="18904" builtinId="8" hidden="1"/>
    <cellStyle name="Lien hypertexte" xfId="18906" builtinId="8" hidden="1"/>
    <cellStyle name="Lien hypertexte" xfId="18908" builtinId="8" hidden="1"/>
    <cellStyle name="Lien hypertexte" xfId="18910" builtinId="8" hidden="1"/>
    <cellStyle name="Lien hypertexte" xfId="18912" builtinId="8" hidden="1"/>
    <cellStyle name="Lien hypertexte" xfId="18914" builtinId="8" hidden="1"/>
    <cellStyle name="Lien hypertexte" xfId="18916" builtinId="8" hidden="1"/>
    <cellStyle name="Lien hypertexte" xfId="18918" builtinId="8" hidden="1"/>
    <cellStyle name="Lien hypertexte" xfId="18920" builtinId="8" hidden="1"/>
    <cellStyle name="Lien hypertexte" xfId="18922" builtinId="8" hidden="1"/>
    <cellStyle name="Lien hypertexte" xfId="18924" builtinId="8" hidden="1"/>
    <cellStyle name="Lien hypertexte" xfId="18926" builtinId="8" hidden="1"/>
    <cellStyle name="Lien hypertexte" xfId="18928" builtinId="8" hidden="1"/>
    <cellStyle name="Lien hypertexte" xfId="18930" builtinId="8" hidden="1"/>
    <cellStyle name="Lien hypertexte" xfId="18932" builtinId="8" hidden="1"/>
    <cellStyle name="Lien hypertexte" xfId="18934" builtinId="8" hidden="1"/>
    <cellStyle name="Lien hypertexte" xfId="18936" builtinId="8" hidden="1"/>
    <cellStyle name="Lien hypertexte" xfId="18938" builtinId="8" hidden="1"/>
    <cellStyle name="Lien hypertexte" xfId="18940" builtinId="8" hidden="1"/>
    <cellStyle name="Lien hypertexte" xfId="18942" builtinId="8" hidden="1"/>
    <cellStyle name="Lien hypertexte" xfId="18944" builtinId="8" hidden="1"/>
    <cellStyle name="Lien hypertexte" xfId="18946" builtinId="8" hidden="1"/>
    <cellStyle name="Lien hypertexte" xfId="18948" builtinId="8" hidden="1"/>
    <cellStyle name="Lien hypertexte" xfId="18950" builtinId="8" hidden="1"/>
    <cellStyle name="Lien hypertexte" xfId="18952" builtinId="8" hidden="1"/>
    <cellStyle name="Lien hypertexte" xfId="18954" builtinId="8" hidden="1"/>
    <cellStyle name="Lien hypertexte" xfId="18956" builtinId="8" hidden="1"/>
    <cellStyle name="Lien hypertexte" xfId="18958" builtinId="8" hidden="1"/>
    <cellStyle name="Lien hypertexte" xfId="18960" builtinId="8" hidden="1"/>
    <cellStyle name="Lien hypertexte" xfId="18962" builtinId="8" hidden="1"/>
    <cellStyle name="Lien hypertexte" xfId="18964" builtinId="8" hidden="1"/>
    <cellStyle name="Lien hypertexte" xfId="18966" builtinId="8" hidden="1"/>
    <cellStyle name="Lien hypertexte" xfId="18968" builtinId="8" hidden="1"/>
    <cellStyle name="Lien hypertexte" xfId="18970" builtinId="8" hidden="1"/>
    <cellStyle name="Lien hypertexte" xfId="18972" builtinId="8" hidden="1"/>
    <cellStyle name="Lien hypertexte" xfId="18974" builtinId="8" hidden="1"/>
    <cellStyle name="Lien hypertexte" xfId="18976" builtinId="8" hidden="1"/>
    <cellStyle name="Lien hypertexte" xfId="18978" builtinId="8" hidden="1"/>
    <cellStyle name="Lien hypertexte" xfId="18980" builtinId="8" hidden="1"/>
    <cellStyle name="Lien hypertexte" xfId="18982" builtinId="8" hidden="1"/>
    <cellStyle name="Lien hypertexte" xfId="18984" builtinId="8" hidden="1"/>
    <cellStyle name="Lien hypertexte" xfId="18986" builtinId="8" hidden="1"/>
    <cellStyle name="Lien hypertexte" xfId="18988" builtinId="8" hidden="1"/>
    <cellStyle name="Lien hypertexte" xfId="18990" builtinId="8" hidden="1"/>
    <cellStyle name="Lien hypertexte" xfId="18992" builtinId="8" hidden="1"/>
    <cellStyle name="Lien hypertexte" xfId="18994" builtinId="8" hidden="1"/>
    <cellStyle name="Lien hypertexte" xfId="18996" builtinId="8" hidden="1"/>
    <cellStyle name="Lien hypertexte" xfId="18998" builtinId="8" hidden="1"/>
    <cellStyle name="Lien hypertexte" xfId="19000" builtinId="8" hidden="1"/>
    <cellStyle name="Lien hypertexte" xfId="19002" builtinId="8" hidden="1"/>
    <cellStyle name="Lien hypertexte" xfId="19004" builtinId="8" hidden="1"/>
    <cellStyle name="Lien hypertexte" xfId="19006" builtinId="8" hidden="1"/>
    <cellStyle name="Lien hypertexte" xfId="19008" builtinId="8" hidden="1"/>
    <cellStyle name="Lien hypertexte" xfId="19010" builtinId="8" hidden="1"/>
    <cellStyle name="Lien hypertexte" xfId="19012" builtinId="8" hidden="1"/>
    <cellStyle name="Lien hypertexte" xfId="19014" builtinId="8" hidden="1"/>
    <cellStyle name="Lien hypertexte" xfId="19016" builtinId="8" hidden="1"/>
    <cellStyle name="Lien hypertexte" xfId="19018" builtinId="8" hidden="1"/>
    <cellStyle name="Lien hypertexte" xfId="19020" builtinId="8" hidden="1"/>
    <cellStyle name="Lien hypertexte" xfId="19022" builtinId="8" hidden="1"/>
    <cellStyle name="Lien hypertexte" xfId="19024" builtinId="8" hidden="1"/>
    <cellStyle name="Lien hypertexte" xfId="19026" builtinId="8" hidden="1"/>
    <cellStyle name="Lien hypertexte" xfId="19028" builtinId="8" hidden="1"/>
    <cellStyle name="Lien hypertexte" xfId="19030" builtinId="8" hidden="1"/>
    <cellStyle name="Lien hypertexte" xfId="19032" builtinId="8" hidden="1"/>
    <cellStyle name="Lien hypertexte" xfId="19034" builtinId="8" hidden="1"/>
    <cellStyle name="Lien hypertexte" xfId="19036" builtinId="8" hidden="1"/>
    <cellStyle name="Lien hypertexte" xfId="19038" builtinId="8" hidden="1"/>
    <cellStyle name="Lien hypertexte" xfId="19040" builtinId="8" hidden="1"/>
    <cellStyle name="Lien hypertexte" xfId="19042" builtinId="8" hidden="1"/>
    <cellStyle name="Lien hypertexte" xfId="19044" builtinId="8" hidden="1"/>
    <cellStyle name="Lien hypertexte" xfId="19046" builtinId="8" hidden="1"/>
    <cellStyle name="Lien hypertexte" xfId="19048" builtinId="8" hidden="1"/>
    <cellStyle name="Lien hypertexte" xfId="19050" builtinId="8" hidden="1"/>
    <cellStyle name="Lien hypertexte" xfId="19052" builtinId="8" hidden="1"/>
    <cellStyle name="Lien hypertexte" xfId="19054" builtinId="8" hidden="1"/>
    <cellStyle name="Lien hypertexte" xfId="19056" builtinId="8" hidden="1"/>
    <cellStyle name="Lien hypertexte" xfId="19058" builtinId="8" hidden="1"/>
    <cellStyle name="Lien hypertexte" xfId="19060" builtinId="8" hidden="1"/>
    <cellStyle name="Lien hypertexte" xfId="19062" builtinId="8" hidden="1"/>
    <cellStyle name="Lien hypertexte" xfId="19064" builtinId="8" hidden="1"/>
    <cellStyle name="Lien hypertexte" xfId="19066" builtinId="8" hidden="1"/>
    <cellStyle name="Lien hypertexte" xfId="19068" builtinId="8" hidden="1"/>
    <cellStyle name="Lien hypertexte" xfId="19070" builtinId="8" hidden="1"/>
    <cellStyle name="Lien hypertexte" xfId="19072" builtinId="8" hidden="1"/>
    <cellStyle name="Lien hypertexte" xfId="19074" builtinId="8" hidden="1"/>
    <cellStyle name="Lien hypertexte" xfId="19076" builtinId="8" hidden="1"/>
    <cellStyle name="Lien hypertexte" xfId="19078" builtinId="8" hidden="1"/>
    <cellStyle name="Lien hypertexte" xfId="19080" builtinId="8" hidden="1"/>
    <cellStyle name="Lien hypertexte" xfId="19082" builtinId="8" hidden="1"/>
    <cellStyle name="Lien hypertexte" xfId="19084" builtinId="8" hidden="1"/>
    <cellStyle name="Lien hypertexte" xfId="19086" builtinId="8" hidden="1"/>
    <cellStyle name="Lien hypertexte" xfId="19088" builtinId="8" hidden="1"/>
    <cellStyle name="Lien hypertexte" xfId="19090" builtinId="8" hidden="1"/>
    <cellStyle name="Lien hypertexte" xfId="19092" builtinId="8" hidden="1"/>
    <cellStyle name="Lien hypertexte" xfId="19094" builtinId="8" hidden="1"/>
    <cellStyle name="Lien hypertexte" xfId="19096" builtinId="8" hidden="1"/>
    <cellStyle name="Lien hypertexte" xfId="19098" builtinId="8" hidden="1"/>
    <cellStyle name="Lien hypertexte" xfId="19100" builtinId="8" hidden="1"/>
    <cellStyle name="Lien hypertexte" xfId="19102" builtinId="8" hidden="1"/>
    <cellStyle name="Lien hypertexte" xfId="19104" builtinId="8" hidden="1"/>
    <cellStyle name="Lien hypertexte" xfId="19106" builtinId="8" hidden="1"/>
    <cellStyle name="Lien hypertexte" xfId="19108" builtinId="8" hidden="1"/>
    <cellStyle name="Lien hypertexte" xfId="19110" builtinId="8" hidden="1"/>
    <cellStyle name="Lien hypertexte" xfId="19112" builtinId="8" hidden="1"/>
    <cellStyle name="Lien hypertexte" xfId="19114" builtinId="8" hidden="1"/>
    <cellStyle name="Lien hypertexte" xfId="19116" builtinId="8" hidden="1"/>
    <cellStyle name="Lien hypertexte" xfId="19118" builtinId="8" hidden="1"/>
    <cellStyle name="Lien hypertexte" xfId="19120" builtinId="8" hidden="1"/>
    <cellStyle name="Lien hypertexte" xfId="19122" builtinId="8" hidden="1"/>
    <cellStyle name="Lien hypertexte" xfId="19124" builtinId="8" hidden="1"/>
    <cellStyle name="Lien hypertexte" xfId="19126" builtinId="8" hidden="1"/>
    <cellStyle name="Lien hypertexte" xfId="19128" builtinId="8" hidden="1"/>
    <cellStyle name="Lien hypertexte" xfId="19130" builtinId="8" hidden="1"/>
    <cellStyle name="Lien hypertexte" xfId="19132" builtinId="8" hidden="1"/>
    <cellStyle name="Lien hypertexte" xfId="19134" builtinId="8" hidden="1"/>
    <cellStyle name="Lien hypertexte" xfId="19136" builtinId="8" hidden="1"/>
    <cellStyle name="Lien hypertexte" xfId="19138" builtinId="8" hidden="1"/>
    <cellStyle name="Lien hypertexte" xfId="19140" builtinId="8" hidden="1"/>
    <cellStyle name="Lien hypertexte" xfId="19142" builtinId="8" hidden="1"/>
    <cellStyle name="Lien hypertexte" xfId="19144" builtinId="8" hidden="1"/>
    <cellStyle name="Lien hypertexte" xfId="19146" builtinId="8" hidden="1"/>
    <cellStyle name="Lien hypertexte" xfId="19148" builtinId="8" hidden="1"/>
    <cellStyle name="Lien hypertexte" xfId="19150" builtinId="8" hidden="1"/>
    <cellStyle name="Lien hypertexte" xfId="19152" builtinId="8" hidden="1"/>
    <cellStyle name="Lien hypertexte" xfId="19154" builtinId="8" hidden="1"/>
    <cellStyle name="Lien hypertexte" xfId="19156" builtinId="8" hidden="1"/>
    <cellStyle name="Lien hypertexte" xfId="19158" builtinId="8" hidden="1"/>
    <cellStyle name="Lien hypertexte" xfId="19160" builtinId="8" hidden="1"/>
    <cellStyle name="Lien hypertexte" xfId="19162" builtinId="8" hidden="1"/>
    <cellStyle name="Lien hypertexte" xfId="19164" builtinId="8" hidden="1"/>
    <cellStyle name="Lien hypertexte" xfId="19166" builtinId="8" hidden="1"/>
    <cellStyle name="Lien hypertexte" xfId="19168" builtinId="8" hidden="1"/>
    <cellStyle name="Lien hypertexte" xfId="19170" builtinId="8" hidden="1"/>
    <cellStyle name="Lien hypertexte" xfId="19172" builtinId="8" hidden="1"/>
    <cellStyle name="Lien hypertexte" xfId="19174" builtinId="8" hidden="1"/>
    <cellStyle name="Lien hypertexte" xfId="19176" builtinId="8" hidden="1"/>
    <cellStyle name="Lien hypertexte" xfId="19178" builtinId="8" hidden="1"/>
    <cellStyle name="Lien hypertexte" xfId="19180" builtinId="8" hidden="1"/>
    <cellStyle name="Lien hypertexte" xfId="19182" builtinId="8" hidden="1"/>
    <cellStyle name="Lien hypertexte" xfId="19184" builtinId="8" hidden="1"/>
    <cellStyle name="Lien hypertexte" xfId="19186" builtinId="8" hidden="1"/>
    <cellStyle name="Lien hypertexte" xfId="19188" builtinId="8" hidden="1"/>
    <cellStyle name="Lien hypertexte" xfId="19190" builtinId="8" hidden="1"/>
    <cellStyle name="Lien hypertexte" xfId="19192" builtinId="8" hidden="1"/>
    <cellStyle name="Lien hypertexte" xfId="19194" builtinId="8" hidden="1"/>
    <cellStyle name="Lien hypertexte" xfId="19196" builtinId="8" hidden="1"/>
    <cellStyle name="Lien hypertexte" xfId="19198" builtinId="8" hidden="1"/>
    <cellStyle name="Lien hypertexte" xfId="19200" builtinId="8" hidden="1"/>
    <cellStyle name="Lien hypertexte" xfId="19202" builtinId="8" hidden="1"/>
    <cellStyle name="Lien hypertexte" xfId="19204" builtinId="8" hidden="1"/>
    <cellStyle name="Lien hypertexte" xfId="19206" builtinId="8" hidden="1"/>
    <cellStyle name="Lien hypertexte" xfId="19208" builtinId="8" hidden="1"/>
    <cellStyle name="Lien hypertexte" xfId="19210" builtinId="8" hidden="1"/>
    <cellStyle name="Lien hypertexte" xfId="19212" builtinId="8" hidden="1"/>
    <cellStyle name="Lien hypertexte" xfId="19214" builtinId="8" hidden="1"/>
    <cellStyle name="Lien hypertexte" xfId="19216" builtinId="8" hidden="1"/>
    <cellStyle name="Lien hypertexte" xfId="19218" builtinId="8" hidden="1"/>
    <cellStyle name="Lien hypertexte" xfId="19220" builtinId="8" hidden="1"/>
    <cellStyle name="Lien hypertexte" xfId="19222" builtinId="8" hidden="1"/>
    <cellStyle name="Lien hypertexte" xfId="19224" builtinId="8" hidden="1"/>
    <cellStyle name="Lien hypertexte" xfId="19226" builtinId="8" hidden="1"/>
    <cellStyle name="Lien hypertexte" xfId="19228" builtinId="8" hidden="1"/>
    <cellStyle name="Lien hypertexte" xfId="19230" builtinId="8" hidden="1"/>
    <cellStyle name="Lien hypertexte" xfId="19232" builtinId="8" hidden="1"/>
    <cellStyle name="Lien hypertexte" xfId="19234" builtinId="8" hidden="1"/>
    <cellStyle name="Lien hypertexte" xfId="19236" builtinId="8" hidden="1"/>
    <cellStyle name="Lien hypertexte" xfId="19238" builtinId="8" hidden="1"/>
    <cellStyle name="Lien hypertexte" xfId="19240" builtinId="8" hidden="1"/>
    <cellStyle name="Lien hypertexte" xfId="19242" builtinId="8" hidden="1"/>
    <cellStyle name="Lien hypertexte" xfId="19244" builtinId="8" hidden="1"/>
    <cellStyle name="Lien hypertexte" xfId="19246" builtinId="8" hidden="1"/>
    <cellStyle name="Lien hypertexte" xfId="19248" builtinId="8" hidden="1"/>
    <cellStyle name="Lien hypertexte" xfId="19250" builtinId="8" hidden="1"/>
    <cellStyle name="Lien hypertexte" xfId="19252" builtinId="8" hidden="1"/>
    <cellStyle name="Lien hypertexte" xfId="19254" builtinId="8" hidden="1"/>
    <cellStyle name="Lien hypertexte" xfId="19256" builtinId="8" hidden="1"/>
    <cellStyle name="Lien hypertexte" xfId="19258" builtinId="8" hidden="1"/>
    <cellStyle name="Lien hypertexte" xfId="19260" builtinId="8" hidden="1"/>
    <cellStyle name="Lien hypertexte" xfId="19262" builtinId="8" hidden="1"/>
    <cellStyle name="Lien hypertexte" xfId="19264" builtinId="8" hidden="1"/>
    <cellStyle name="Lien hypertexte" xfId="19266" builtinId="8" hidden="1"/>
    <cellStyle name="Lien hypertexte" xfId="19268" builtinId="8" hidden="1"/>
    <cellStyle name="Lien hypertexte" xfId="19270" builtinId="8" hidden="1"/>
    <cellStyle name="Lien hypertexte" xfId="19272" builtinId="8" hidden="1"/>
    <cellStyle name="Lien hypertexte" xfId="19274" builtinId="8" hidden="1"/>
    <cellStyle name="Lien hypertexte" xfId="19276" builtinId="8" hidden="1"/>
    <cellStyle name="Lien hypertexte" xfId="19278" builtinId="8" hidden="1"/>
    <cellStyle name="Lien hypertexte" xfId="19280" builtinId="8" hidden="1"/>
    <cellStyle name="Lien hypertexte" xfId="19282" builtinId="8" hidden="1"/>
    <cellStyle name="Lien hypertexte" xfId="19284" builtinId="8" hidden="1"/>
    <cellStyle name="Lien hypertexte" xfId="19286" builtinId="8" hidden="1"/>
    <cellStyle name="Lien hypertexte" xfId="19288" builtinId="8" hidden="1"/>
    <cellStyle name="Lien hypertexte" xfId="19290" builtinId="8" hidden="1"/>
    <cellStyle name="Lien hypertexte" xfId="19292" builtinId="8" hidden="1"/>
    <cellStyle name="Lien hypertexte" xfId="19294" builtinId="8" hidden="1"/>
    <cellStyle name="Lien hypertexte" xfId="19296" builtinId="8" hidden="1"/>
    <cellStyle name="Lien hypertexte" xfId="19298" builtinId="8" hidden="1"/>
    <cellStyle name="Lien hypertexte" xfId="19300" builtinId="8" hidden="1"/>
    <cellStyle name="Lien hypertexte" xfId="19302" builtinId="8" hidden="1"/>
    <cellStyle name="Lien hypertexte" xfId="19304" builtinId="8" hidden="1"/>
    <cellStyle name="Lien hypertexte" xfId="19306" builtinId="8" hidden="1"/>
    <cellStyle name="Lien hypertexte" xfId="19308" builtinId="8" hidden="1"/>
    <cellStyle name="Lien hypertexte" xfId="19310" builtinId="8" hidden="1"/>
    <cellStyle name="Lien hypertexte" xfId="19312" builtinId="8" hidden="1"/>
    <cellStyle name="Lien hypertexte" xfId="19314" builtinId="8" hidden="1"/>
    <cellStyle name="Lien hypertexte" xfId="19316" builtinId="8" hidden="1"/>
    <cellStyle name="Lien hypertexte" xfId="19318" builtinId="8" hidden="1"/>
    <cellStyle name="Lien hypertexte" xfId="19320" builtinId="8" hidden="1"/>
    <cellStyle name="Lien hypertexte" xfId="19322" builtinId="8" hidden="1"/>
    <cellStyle name="Lien hypertexte" xfId="19324" builtinId="8" hidden="1"/>
    <cellStyle name="Lien hypertexte" xfId="19326" builtinId="8" hidden="1"/>
    <cellStyle name="Lien hypertexte" xfId="19328" builtinId="8" hidden="1"/>
    <cellStyle name="Lien hypertexte" xfId="19330" builtinId="8" hidden="1"/>
    <cellStyle name="Lien hypertexte" xfId="19332" builtinId="8" hidden="1"/>
    <cellStyle name="Lien hypertexte" xfId="19334" builtinId="8" hidden="1"/>
    <cellStyle name="Lien hypertexte" xfId="19336" builtinId="8" hidden="1"/>
    <cellStyle name="Lien hypertexte" xfId="19338" builtinId="8" hidden="1"/>
    <cellStyle name="Lien hypertexte" xfId="19340" builtinId="8" hidden="1"/>
    <cellStyle name="Lien hypertexte" xfId="19342" builtinId="8" hidden="1"/>
    <cellStyle name="Lien hypertexte" xfId="19344" builtinId="8" hidden="1"/>
    <cellStyle name="Lien hypertexte" xfId="19346" builtinId="8" hidden="1"/>
    <cellStyle name="Lien hypertexte" xfId="19348" builtinId="8" hidden="1"/>
    <cellStyle name="Lien hypertexte" xfId="19350" builtinId="8" hidden="1"/>
    <cellStyle name="Lien hypertexte" xfId="19352" builtinId="8" hidden="1"/>
    <cellStyle name="Lien hypertexte" xfId="19354" builtinId="8" hidden="1"/>
    <cellStyle name="Lien hypertexte" xfId="19356" builtinId="8" hidden="1"/>
    <cellStyle name="Lien hypertexte" xfId="19358" builtinId="8" hidden="1"/>
    <cellStyle name="Lien hypertexte" xfId="19360" builtinId="8" hidden="1"/>
    <cellStyle name="Lien hypertexte" xfId="19362" builtinId="8" hidden="1"/>
    <cellStyle name="Lien hypertexte" xfId="19364" builtinId="8" hidden="1"/>
    <cellStyle name="Lien hypertexte" xfId="19366" builtinId="8" hidden="1"/>
    <cellStyle name="Lien hypertexte" xfId="19368" builtinId="8" hidden="1"/>
    <cellStyle name="Lien hypertexte" xfId="19370" builtinId="8" hidden="1"/>
    <cellStyle name="Lien hypertexte" xfId="19372" builtinId="8" hidden="1"/>
    <cellStyle name="Lien hypertexte" xfId="19374" builtinId="8" hidden="1"/>
    <cellStyle name="Lien hypertexte" xfId="19376" builtinId="8" hidden="1"/>
    <cellStyle name="Lien hypertexte" xfId="19378" builtinId="8" hidden="1"/>
    <cellStyle name="Lien hypertexte" xfId="19380" builtinId="8" hidden="1"/>
    <cellStyle name="Lien hypertexte" xfId="19382" builtinId="8" hidden="1"/>
    <cellStyle name="Lien hypertexte" xfId="19384" builtinId="8" hidden="1"/>
    <cellStyle name="Lien hypertexte" xfId="19386" builtinId="8" hidden="1"/>
    <cellStyle name="Lien hypertexte" xfId="19388" builtinId="8" hidden="1"/>
    <cellStyle name="Lien hypertexte" xfId="19390" builtinId="8" hidden="1"/>
    <cellStyle name="Lien hypertexte" xfId="19392" builtinId="8" hidden="1"/>
    <cellStyle name="Lien hypertexte" xfId="19394" builtinId="8" hidden="1"/>
    <cellStyle name="Lien hypertexte" xfId="19396" builtinId="8" hidden="1"/>
    <cellStyle name="Lien hypertexte" xfId="19398" builtinId="8" hidden="1"/>
    <cellStyle name="Lien hypertexte" xfId="19400" builtinId="8" hidden="1"/>
    <cellStyle name="Lien hypertexte" xfId="19402" builtinId="8" hidden="1"/>
    <cellStyle name="Lien hypertexte" xfId="19404" builtinId="8" hidden="1"/>
    <cellStyle name="Lien hypertexte" xfId="19406" builtinId="8" hidden="1"/>
    <cellStyle name="Lien hypertexte" xfId="19408" builtinId="8" hidden="1"/>
    <cellStyle name="Lien hypertexte" xfId="19410" builtinId="8" hidden="1"/>
    <cellStyle name="Lien hypertexte" xfId="19412" builtinId="8" hidden="1"/>
    <cellStyle name="Lien hypertexte" xfId="19414" builtinId="8" hidden="1"/>
    <cellStyle name="Lien hypertexte" xfId="19416" builtinId="8" hidden="1"/>
    <cellStyle name="Lien hypertexte" xfId="19418" builtinId="8" hidden="1"/>
    <cellStyle name="Lien hypertexte" xfId="19420" builtinId="8" hidden="1"/>
    <cellStyle name="Lien hypertexte" xfId="19422" builtinId="8" hidden="1"/>
    <cellStyle name="Lien hypertexte" xfId="19424" builtinId="8" hidden="1"/>
    <cellStyle name="Lien hypertexte" xfId="19426" builtinId="8" hidden="1"/>
    <cellStyle name="Lien hypertexte" xfId="19428" builtinId="8" hidden="1"/>
    <cellStyle name="Lien hypertexte" xfId="19430" builtinId="8" hidden="1"/>
    <cellStyle name="Lien hypertexte" xfId="19432" builtinId="8" hidden="1"/>
    <cellStyle name="Lien hypertexte" xfId="19434" builtinId="8" hidden="1"/>
    <cellStyle name="Lien hypertexte" xfId="19436" builtinId="8" hidden="1"/>
    <cellStyle name="Lien hypertexte" xfId="19438" builtinId="8" hidden="1"/>
    <cellStyle name="Lien hypertexte" xfId="19440" builtinId="8" hidden="1"/>
    <cellStyle name="Lien hypertexte" xfId="19442" builtinId="8" hidden="1"/>
    <cellStyle name="Lien hypertexte" xfId="19444" builtinId="8" hidden="1"/>
    <cellStyle name="Lien hypertexte" xfId="19446" builtinId="8" hidden="1"/>
    <cellStyle name="Lien hypertexte" xfId="19448" builtinId="8" hidden="1"/>
    <cellStyle name="Lien hypertexte" xfId="19450" builtinId="8" hidden="1"/>
    <cellStyle name="Lien hypertexte" xfId="19452" builtinId="8" hidden="1"/>
    <cellStyle name="Lien hypertexte" xfId="19454" builtinId="8" hidden="1"/>
    <cellStyle name="Lien hypertexte" xfId="19456" builtinId="8" hidden="1"/>
    <cellStyle name="Lien hypertexte" xfId="19458" builtinId="8" hidden="1"/>
    <cellStyle name="Lien hypertexte" xfId="19460" builtinId="8" hidden="1"/>
    <cellStyle name="Lien hypertexte" xfId="19462" builtinId="8" hidden="1"/>
    <cellStyle name="Lien hypertexte" xfId="19464" builtinId="8" hidden="1"/>
    <cellStyle name="Lien hypertexte" xfId="19466" builtinId="8" hidden="1"/>
    <cellStyle name="Lien hypertexte" xfId="19468" builtinId="8" hidden="1"/>
    <cellStyle name="Lien hypertexte" xfId="19470" builtinId="8" hidden="1"/>
    <cellStyle name="Lien hypertexte" xfId="19472" builtinId="8" hidden="1"/>
    <cellStyle name="Lien hypertexte" xfId="19474" builtinId="8" hidden="1"/>
    <cellStyle name="Lien hypertexte" xfId="19476" builtinId="8" hidden="1"/>
    <cellStyle name="Lien hypertexte" xfId="19478" builtinId="8" hidden="1"/>
    <cellStyle name="Lien hypertexte" xfId="19480" builtinId="8" hidden="1"/>
    <cellStyle name="Lien hypertexte" xfId="19482" builtinId="8" hidden="1"/>
    <cellStyle name="Lien hypertexte" xfId="19484" builtinId="8" hidden="1"/>
    <cellStyle name="Lien hypertexte" xfId="19486" builtinId="8" hidden="1"/>
    <cellStyle name="Lien hypertexte" xfId="19488" builtinId="8" hidden="1"/>
    <cellStyle name="Lien hypertexte" xfId="19490" builtinId="8" hidden="1"/>
    <cellStyle name="Lien hypertexte" xfId="19492" builtinId="8" hidden="1"/>
    <cellStyle name="Lien hypertexte" xfId="19494" builtinId="8" hidden="1"/>
    <cellStyle name="Lien hypertexte" xfId="19496" builtinId="8" hidden="1"/>
    <cellStyle name="Lien hypertexte" xfId="19498" builtinId="8" hidden="1"/>
    <cellStyle name="Lien hypertexte" xfId="19500" builtinId="8" hidden="1"/>
    <cellStyle name="Lien hypertexte" xfId="19502" builtinId="8" hidden="1"/>
    <cellStyle name="Lien hypertexte" xfId="19504" builtinId="8" hidden="1"/>
    <cellStyle name="Lien hypertexte" xfId="19506" builtinId="8" hidden="1"/>
    <cellStyle name="Lien hypertexte" xfId="19508" builtinId="8" hidden="1"/>
    <cellStyle name="Lien hypertexte" xfId="19510" builtinId="8" hidden="1"/>
    <cellStyle name="Lien hypertexte" xfId="19512" builtinId="8" hidden="1"/>
    <cellStyle name="Lien hypertexte" xfId="19514" builtinId="8" hidden="1"/>
    <cellStyle name="Lien hypertexte" xfId="19516" builtinId="8" hidden="1"/>
    <cellStyle name="Lien hypertexte" xfId="19518" builtinId="8" hidden="1"/>
    <cellStyle name="Lien hypertexte" xfId="19520" builtinId="8" hidden="1"/>
    <cellStyle name="Lien hypertexte" xfId="19522" builtinId="8" hidden="1"/>
    <cellStyle name="Lien hypertexte" xfId="19524" builtinId="8" hidden="1"/>
    <cellStyle name="Lien hypertexte" xfId="19526" builtinId="8" hidden="1"/>
    <cellStyle name="Lien hypertexte" xfId="19528" builtinId="8" hidden="1"/>
    <cellStyle name="Lien hypertexte" xfId="19530" builtinId="8" hidden="1"/>
    <cellStyle name="Lien hypertexte" xfId="19532" builtinId="8" hidden="1"/>
    <cellStyle name="Lien hypertexte" xfId="19534" builtinId="8" hidden="1"/>
    <cellStyle name="Lien hypertexte" xfId="19536" builtinId="8" hidden="1"/>
    <cellStyle name="Lien hypertexte" xfId="19538" builtinId="8" hidden="1"/>
    <cellStyle name="Lien hypertexte" xfId="19540" builtinId="8" hidden="1"/>
    <cellStyle name="Lien hypertexte" xfId="19542" builtinId="8" hidden="1"/>
    <cellStyle name="Lien hypertexte" xfId="19544" builtinId="8" hidden="1"/>
    <cellStyle name="Lien hypertexte" xfId="19546" builtinId="8" hidden="1"/>
    <cellStyle name="Lien hypertexte" xfId="19548" builtinId="8" hidden="1"/>
    <cellStyle name="Lien hypertexte" xfId="19550" builtinId="8" hidden="1"/>
    <cellStyle name="Lien hypertexte" xfId="19552" builtinId="8" hidden="1"/>
    <cellStyle name="Lien hypertexte" xfId="19554" builtinId="8" hidden="1"/>
    <cellStyle name="Lien hypertexte" xfId="19556" builtinId="8" hidden="1"/>
    <cellStyle name="Lien hypertexte" xfId="19558" builtinId="8" hidden="1"/>
    <cellStyle name="Lien hypertexte" xfId="19560" builtinId="8" hidden="1"/>
    <cellStyle name="Lien hypertexte" xfId="19562" builtinId="8" hidden="1"/>
    <cellStyle name="Lien hypertexte" xfId="19564" builtinId="8" hidden="1"/>
    <cellStyle name="Lien hypertexte" xfId="19566" builtinId="8" hidden="1"/>
    <cellStyle name="Lien hypertexte" xfId="19568" builtinId="8" hidden="1"/>
    <cellStyle name="Lien hypertexte" xfId="19570" builtinId="8" hidden="1"/>
    <cellStyle name="Lien hypertexte" xfId="19572" builtinId="8" hidden="1"/>
    <cellStyle name="Lien hypertexte" xfId="19574" builtinId="8" hidden="1"/>
    <cellStyle name="Lien hypertexte" xfId="19576" builtinId="8" hidden="1"/>
    <cellStyle name="Lien hypertexte" xfId="19578" builtinId="8" hidden="1"/>
    <cellStyle name="Lien hypertexte" xfId="19580" builtinId="8" hidden="1"/>
    <cellStyle name="Lien hypertexte" xfId="19582" builtinId="8" hidden="1"/>
    <cellStyle name="Lien hypertexte" xfId="19584" builtinId="8" hidden="1"/>
    <cellStyle name="Lien hypertexte" xfId="19586" builtinId="8" hidden="1"/>
    <cellStyle name="Lien hypertexte" xfId="19588" builtinId="8" hidden="1"/>
    <cellStyle name="Lien hypertexte" xfId="19590" builtinId="8" hidden="1"/>
    <cellStyle name="Lien hypertexte" xfId="19592" builtinId="8" hidden="1"/>
    <cellStyle name="Lien hypertexte" xfId="19594" builtinId="8" hidden="1"/>
    <cellStyle name="Lien hypertexte" xfId="19596" builtinId="8" hidden="1"/>
    <cellStyle name="Lien hypertexte" xfId="19598" builtinId="8" hidden="1"/>
    <cellStyle name="Lien hypertexte" xfId="19600" builtinId="8" hidden="1"/>
    <cellStyle name="Lien hypertexte" xfId="19602" builtinId="8" hidden="1"/>
    <cellStyle name="Lien hypertexte" xfId="19604" builtinId="8" hidden="1"/>
    <cellStyle name="Lien hypertexte" xfId="19606" builtinId="8" hidden="1"/>
    <cellStyle name="Lien hypertexte" xfId="19608" builtinId="8" hidden="1"/>
    <cellStyle name="Lien hypertexte" xfId="19610" builtinId="8" hidden="1"/>
    <cellStyle name="Lien hypertexte" xfId="19612" builtinId="8" hidden="1"/>
    <cellStyle name="Lien hypertexte" xfId="19614" builtinId="8" hidden="1"/>
    <cellStyle name="Lien hypertexte" xfId="19616" builtinId="8" hidden="1"/>
    <cellStyle name="Lien hypertexte" xfId="19618" builtinId="8" hidden="1"/>
    <cellStyle name="Lien hypertexte" xfId="19620" builtinId="8" hidden="1"/>
    <cellStyle name="Lien hypertexte" xfId="19622" builtinId="8" hidden="1"/>
    <cellStyle name="Lien hypertexte" xfId="19624" builtinId="8" hidden="1"/>
    <cellStyle name="Lien hypertexte" xfId="19626" builtinId="8" hidden="1"/>
    <cellStyle name="Lien hypertexte" xfId="19628" builtinId="8" hidden="1"/>
    <cellStyle name="Lien hypertexte" xfId="19630" builtinId="8" hidden="1"/>
    <cellStyle name="Lien hypertexte" xfId="19632" builtinId="8" hidden="1"/>
    <cellStyle name="Lien hypertexte" xfId="19634" builtinId="8" hidden="1"/>
    <cellStyle name="Lien hypertexte" xfId="19636" builtinId="8" hidden="1"/>
    <cellStyle name="Lien hypertexte" xfId="19638" builtinId="8" hidden="1"/>
    <cellStyle name="Lien hypertexte" xfId="19640" builtinId="8" hidden="1"/>
    <cellStyle name="Lien hypertexte" xfId="19642" builtinId="8" hidden="1"/>
    <cellStyle name="Lien hypertexte" xfId="19644" builtinId="8" hidden="1"/>
    <cellStyle name="Lien hypertexte" xfId="19646" builtinId="8" hidden="1"/>
    <cellStyle name="Lien hypertexte" xfId="19648" builtinId="8" hidden="1"/>
    <cellStyle name="Lien hypertexte" xfId="19650" builtinId="8" hidden="1"/>
    <cellStyle name="Lien hypertexte" xfId="19652" builtinId="8" hidden="1"/>
    <cellStyle name="Lien hypertexte" xfId="19654" builtinId="8" hidden="1"/>
    <cellStyle name="Lien hypertexte" xfId="19656" builtinId="8" hidden="1"/>
    <cellStyle name="Lien hypertexte" xfId="19658" builtinId="8" hidden="1"/>
    <cellStyle name="Lien hypertexte" xfId="19660" builtinId="8" hidden="1"/>
    <cellStyle name="Lien hypertexte" xfId="19662" builtinId="8" hidden="1"/>
    <cellStyle name="Lien hypertexte" xfId="19664" builtinId="8" hidden="1"/>
    <cellStyle name="Lien hypertexte" xfId="19666" builtinId="8" hidden="1"/>
    <cellStyle name="Lien hypertexte" xfId="19668" builtinId="8" hidden="1"/>
    <cellStyle name="Lien hypertexte" xfId="19670" builtinId="8" hidden="1"/>
    <cellStyle name="Lien hypertexte" xfId="19672" builtinId="8" hidden="1"/>
    <cellStyle name="Lien hypertexte" xfId="19674" builtinId="8" hidden="1"/>
    <cellStyle name="Lien hypertexte" xfId="19676" builtinId="8" hidden="1"/>
    <cellStyle name="Lien hypertexte" xfId="19678" builtinId="8" hidden="1"/>
    <cellStyle name="Lien hypertexte" xfId="19680" builtinId="8" hidden="1"/>
    <cellStyle name="Lien hypertexte" xfId="19682" builtinId="8" hidden="1"/>
    <cellStyle name="Lien hypertexte" xfId="19684" builtinId="8" hidden="1"/>
    <cellStyle name="Lien hypertexte" xfId="19686" builtinId="8" hidden="1"/>
    <cellStyle name="Lien hypertexte" xfId="19688" builtinId="8" hidden="1"/>
    <cellStyle name="Lien hypertexte" xfId="19690" builtinId="8" hidden="1"/>
    <cellStyle name="Lien hypertexte" xfId="19692" builtinId="8" hidden="1"/>
    <cellStyle name="Lien hypertexte" xfId="19694" builtinId="8" hidden="1"/>
    <cellStyle name="Lien hypertexte" xfId="19696" builtinId="8" hidden="1"/>
    <cellStyle name="Lien hypertexte" xfId="19698" builtinId="8" hidden="1"/>
    <cellStyle name="Lien hypertexte" xfId="19700" builtinId="8" hidden="1"/>
    <cellStyle name="Lien hypertexte" xfId="19702" builtinId="8" hidden="1"/>
    <cellStyle name="Lien hypertexte" xfId="19704" builtinId="8" hidden="1"/>
    <cellStyle name="Lien hypertexte" xfId="19706" builtinId="8" hidden="1"/>
    <cellStyle name="Lien hypertexte" xfId="19708" builtinId="8" hidden="1"/>
    <cellStyle name="Lien hypertexte" xfId="19710" builtinId="8" hidden="1"/>
    <cellStyle name="Lien hypertexte" xfId="19712" builtinId="8" hidden="1"/>
    <cellStyle name="Lien hypertexte" xfId="19714" builtinId="8" hidden="1"/>
    <cellStyle name="Lien hypertexte" xfId="19716" builtinId="8" hidden="1"/>
    <cellStyle name="Lien hypertexte" xfId="19718" builtinId="8" hidden="1"/>
    <cellStyle name="Lien hypertexte" xfId="19720" builtinId="8" hidden="1"/>
    <cellStyle name="Lien hypertexte" xfId="19722" builtinId="8" hidden="1"/>
    <cellStyle name="Lien hypertexte" xfId="19724" builtinId="8" hidden="1"/>
    <cellStyle name="Lien hypertexte" xfId="19726" builtinId="8" hidden="1"/>
    <cellStyle name="Lien hypertexte" xfId="19728" builtinId="8" hidden="1"/>
    <cellStyle name="Lien hypertexte" xfId="19730" builtinId="8" hidden="1"/>
    <cellStyle name="Lien hypertexte" xfId="19732" builtinId="8" hidden="1"/>
    <cellStyle name="Lien hypertexte" xfId="19734" builtinId="8" hidden="1"/>
    <cellStyle name="Lien hypertexte" xfId="19736" builtinId="8" hidden="1"/>
    <cellStyle name="Lien hypertexte" xfId="19738" builtinId="8" hidden="1"/>
    <cellStyle name="Lien hypertexte" xfId="19740" builtinId="8" hidden="1"/>
    <cellStyle name="Lien hypertexte" xfId="19742" builtinId="8" hidden="1"/>
    <cellStyle name="Lien hypertexte" xfId="19744" builtinId="8" hidden="1"/>
    <cellStyle name="Lien hypertexte" xfId="19746" builtinId="8" hidden="1"/>
    <cellStyle name="Lien hypertexte" xfId="19748" builtinId="8" hidden="1"/>
    <cellStyle name="Lien hypertexte" xfId="19750" builtinId="8" hidden="1"/>
    <cellStyle name="Lien hypertexte" xfId="19752" builtinId="8" hidden="1"/>
    <cellStyle name="Lien hypertexte" xfId="19754" builtinId="8" hidden="1"/>
    <cellStyle name="Lien hypertexte" xfId="19756" builtinId="8" hidden="1"/>
    <cellStyle name="Lien hypertexte" xfId="19758" builtinId="8" hidden="1"/>
    <cellStyle name="Lien hypertexte" xfId="19760" builtinId="8" hidden="1"/>
    <cellStyle name="Lien hypertexte" xfId="19762" builtinId="8" hidden="1"/>
    <cellStyle name="Lien hypertexte" xfId="19764" builtinId="8" hidden="1"/>
    <cellStyle name="Lien hypertexte" xfId="19766" builtinId="8" hidden="1"/>
    <cellStyle name="Lien hypertexte" xfId="19768" builtinId="8" hidden="1"/>
    <cellStyle name="Lien hypertexte" xfId="19770" builtinId="8" hidden="1"/>
    <cellStyle name="Lien hypertexte" xfId="19772" builtinId="8" hidden="1"/>
    <cellStyle name="Lien hypertexte" xfId="19774" builtinId="8" hidden="1"/>
    <cellStyle name="Lien hypertexte" xfId="19776" builtinId="8" hidden="1"/>
    <cellStyle name="Lien hypertexte" xfId="19778" builtinId="8" hidden="1"/>
    <cellStyle name="Lien hypertexte" xfId="19780" builtinId="8" hidden="1"/>
    <cellStyle name="Lien hypertexte" xfId="19782" builtinId="8" hidden="1"/>
    <cellStyle name="Lien hypertexte" xfId="19784" builtinId="8" hidden="1"/>
    <cellStyle name="Lien hypertexte" xfId="19786" builtinId="8" hidden="1"/>
    <cellStyle name="Lien hypertexte" xfId="19788" builtinId="8" hidden="1"/>
    <cellStyle name="Lien hypertexte" xfId="19790" builtinId="8" hidden="1"/>
    <cellStyle name="Lien hypertexte" xfId="19792" builtinId="8" hidden="1"/>
    <cellStyle name="Lien hypertexte" xfId="19794" builtinId="8" hidden="1"/>
    <cellStyle name="Lien hypertexte" xfId="19796" builtinId="8" hidden="1"/>
    <cellStyle name="Lien hypertexte" xfId="19798" builtinId="8" hidden="1"/>
    <cellStyle name="Lien hypertexte" xfId="19800" builtinId="8" hidden="1"/>
    <cellStyle name="Lien hypertexte" xfId="19802" builtinId="8" hidden="1"/>
    <cellStyle name="Lien hypertexte" xfId="19804" builtinId="8" hidden="1"/>
    <cellStyle name="Lien hypertexte" xfId="19806" builtinId="8" hidden="1"/>
    <cellStyle name="Lien hypertexte" xfId="19808" builtinId="8" hidden="1"/>
    <cellStyle name="Lien hypertexte" xfId="19810" builtinId="8" hidden="1"/>
    <cellStyle name="Lien hypertexte" xfId="19812" builtinId="8" hidden="1"/>
    <cellStyle name="Lien hypertexte" xfId="19814" builtinId="8" hidden="1"/>
    <cellStyle name="Lien hypertexte" xfId="19816" builtinId="8" hidden="1"/>
    <cellStyle name="Lien hypertexte" xfId="19818" builtinId="8" hidden="1"/>
    <cellStyle name="Lien hypertexte" xfId="19820" builtinId="8" hidden="1"/>
    <cellStyle name="Lien hypertexte" xfId="19822" builtinId="8" hidden="1"/>
    <cellStyle name="Lien hypertexte" xfId="19824" builtinId="8" hidden="1"/>
    <cellStyle name="Lien hypertexte" xfId="19826" builtinId="8" hidden="1"/>
    <cellStyle name="Lien hypertexte" xfId="19828" builtinId="8" hidden="1"/>
    <cellStyle name="Lien hypertexte" xfId="19830" builtinId="8" hidden="1"/>
    <cellStyle name="Lien hypertexte" xfId="19832" builtinId="8" hidden="1"/>
    <cellStyle name="Lien hypertexte" xfId="19834" builtinId="8" hidden="1"/>
    <cellStyle name="Lien hypertexte" xfId="19836" builtinId="8" hidden="1"/>
    <cellStyle name="Lien hypertexte" xfId="19838" builtinId="8" hidden="1"/>
    <cellStyle name="Lien hypertexte" xfId="19840" builtinId="8" hidden="1"/>
    <cellStyle name="Lien hypertexte" xfId="19842" builtinId="8" hidden="1"/>
    <cellStyle name="Lien hypertexte" xfId="19844" builtinId="8" hidden="1"/>
    <cellStyle name="Lien hypertexte" xfId="19846" builtinId="8" hidden="1"/>
    <cellStyle name="Lien hypertexte" xfId="19848" builtinId="8" hidden="1"/>
    <cellStyle name="Lien hypertexte" xfId="19850" builtinId="8" hidden="1"/>
    <cellStyle name="Lien hypertexte" xfId="19852" builtinId="8" hidden="1"/>
    <cellStyle name="Lien hypertexte" xfId="19854" builtinId="8" hidden="1"/>
    <cellStyle name="Lien hypertexte" xfId="19856" builtinId="8" hidden="1"/>
    <cellStyle name="Lien hypertexte" xfId="19858" builtinId="8" hidden="1"/>
    <cellStyle name="Lien hypertexte" xfId="19860" builtinId="8" hidden="1"/>
    <cellStyle name="Lien hypertexte" xfId="19862" builtinId="8" hidden="1"/>
    <cellStyle name="Lien hypertexte" xfId="19864" builtinId="8" hidden="1"/>
    <cellStyle name="Lien hypertexte" xfId="19866" builtinId="8" hidden="1"/>
    <cellStyle name="Lien hypertexte" xfId="19868" builtinId="8" hidden="1"/>
    <cellStyle name="Lien hypertexte" xfId="19870" builtinId="8" hidden="1"/>
    <cellStyle name="Lien hypertexte" xfId="19872" builtinId="8" hidden="1"/>
    <cellStyle name="Lien hypertexte" xfId="19874" builtinId="8" hidden="1"/>
    <cellStyle name="Lien hypertexte" xfId="19876" builtinId="8" hidden="1"/>
    <cellStyle name="Lien hypertexte" xfId="19878" builtinId="8" hidden="1"/>
    <cellStyle name="Lien hypertexte" xfId="19880" builtinId="8" hidden="1"/>
    <cellStyle name="Lien hypertexte" xfId="19882" builtinId="8" hidden="1"/>
    <cellStyle name="Lien hypertexte" xfId="19884" builtinId="8" hidden="1"/>
    <cellStyle name="Lien hypertexte" xfId="19886" builtinId="8" hidden="1"/>
    <cellStyle name="Lien hypertexte" xfId="19888" builtinId="8" hidden="1"/>
    <cellStyle name="Lien hypertexte" xfId="19890" builtinId="8" hidden="1"/>
    <cellStyle name="Lien hypertexte" xfId="19892" builtinId="8" hidden="1"/>
    <cellStyle name="Lien hypertexte" xfId="19894" builtinId="8" hidden="1"/>
    <cellStyle name="Lien hypertexte" xfId="19896" builtinId="8" hidden="1"/>
    <cellStyle name="Lien hypertexte" xfId="19898" builtinId="8" hidden="1"/>
    <cellStyle name="Lien hypertexte" xfId="19900" builtinId="8" hidden="1"/>
    <cellStyle name="Lien hypertexte" xfId="19902" builtinId="8" hidden="1"/>
    <cellStyle name="Lien hypertexte" xfId="19904" builtinId="8" hidden="1"/>
    <cellStyle name="Lien hypertexte" xfId="19906" builtinId="8" hidden="1"/>
    <cellStyle name="Lien hypertexte" xfId="19908" builtinId="8" hidden="1"/>
    <cellStyle name="Lien hypertexte" xfId="19910" builtinId="8" hidden="1"/>
    <cellStyle name="Lien hypertexte" xfId="19912" builtinId="8" hidden="1"/>
    <cellStyle name="Lien hypertexte" xfId="19914" builtinId="8" hidden="1"/>
    <cellStyle name="Lien hypertexte" xfId="19916" builtinId="8" hidden="1"/>
    <cellStyle name="Lien hypertexte" xfId="19918" builtinId="8" hidden="1"/>
    <cellStyle name="Lien hypertexte" xfId="19920" builtinId="8" hidden="1"/>
    <cellStyle name="Lien hypertexte" xfId="19922" builtinId="8" hidden="1"/>
    <cellStyle name="Lien hypertexte" xfId="19924" builtinId="8" hidden="1"/>
    <cellStyle name="Lien hypertexte" xfId="19926" builtinId="8" hidden="1"/>
    <cellStyle name="Lien hypertexte" xfId="19928" builtinId="8" hidden="1"/>
    <cellStyle name="Lien hypertexte" xfId="19930" builtinId="8" hidden="1"/>
    <cellStyle name="Lien hypertexte" xfId="19932" builtinId="8" hidden="1"/>
    <cellStyle name="Lien hypertexte" xfId="19934" builtinId="8" hidden="1"/>
    <cellStyle name="Lien hypertexte" xfId="19936" builtinId="8" hidden="1"/>
    <cellStyle name="Lien hypertexte" xfId="19938" builtinId="8" hidden="1"/>
    <cellStyle name="Lien hypertexte" xfId="19940" builtinId="8" hidden="1"/>
    <cellStyle name="Lien hypertexte" xfId="19942" builtinId="8" hidden="1"/>
    <cellStyle name="Lien hypertexte" xfId="19944" builtinId="8" hidden="1"/>
    <cellStyle name="Lien hypertexte" xfId="19946" builtinId="8" hidden="1"/>
    <cellStyle name="Lien hypertexte" xfId="19948" builtinId="8" hidden="1"/>
    <cellStyle name="Lien hypertexte" xfId="19950" builtinId="8" hidden="1"/>
    <cellStyle name="Lien hypertexte" xfId="19952" builtinId="8" hidden="1"/>
    <cellStyle name="Lien hypertexte" xfId="19954" builtinId="8" hidden="1"/>
    <cellStyle name="Lien hypertexte" xfId="19956" builtinId="8" hidden="1"/>
    <cellStyle name="Lien hypertexte" xfId="19958" builtinId="8" hidden="1"/>
    <cellStyle name="Lien hypertexte" xfId="19960" builtinId="8" hidden="1"/>
    <cellStyle name="Lien hypertexte" xfId="19962" builtinId="8" hidden="1"/>
    <cellStyle name="Lien hypertexte" xfId="19964" builtinId="8" hidden="1"/>
    <cellStyle name="Lien hypertexte" xfId="19966" builtinId="8" hidden="1"/>
    <cellStyle name="Lien hypertexte" xfId="19968" builtinId="8" hidden="1"/>
    <cellStyle name="Lien hypertexte" xfId="19970" builtinId="8" hidden="1"/>
    <cellStyle name="Lien hypertexte" xfId="19972" builtinId="8" hidden="1"/>
    <cellStyle name="Lien hypertexte" xfId="19974" builtinId="8" hidden="1"/>
    <cellStyle name="Lien hypertexte" xfId="19976" builtinId="8" hidden="1"/>
    <cellStyle name="Lien hypertexte" xfId="19978" builtinId="8" hidden="1"/>
    <cellStyle name="Lien hypertexte" xfId="19980" builtinId="8" hidden="1"/>
    <cellStyle name="Lien hypertexte" xfId="19982" builtinId="8" hidden="1"/>
    <cellStyle name="Lien hypertexte" xfId="19984" builtinId="8" hidden="1"/>
    <cellStyle name="Lien hypertexte" xfId="19986" builtinId="8" hidden="1"/>
    <cellStyle name="Lien hypertexte" xfId="19988" builtinId="8" hidden="1"/>
    <cellStyle name="Lien hypertexte" xfId="19990" builtinId="8" hidden="1"/>
    <cellStyle name="Lien hypertexte" xfId="19992" builtinId="8" hidden="1"/>
    <cellStyle name="Lien hypertexte" xfId="19994" builtinId="8" hidden="1"/>
    <cellStyle name="Lien hypertexte" xfId="19996" builtinId="8" hidden="1"/>
    <cellStyle name="Lien hypertexte" xfId="19998" builtinId="8" hidden="1"/>
    <cellStyle name="Lien hypertexte" xfId="20000" builtinId="8" hidden="1"/>
    <cellStyle name="Lien hypertexte" xfId="20002" builtinId="8" hidden="1"/>
    <cellStyle name="Lien hypertexte" xfId="20004" builtinId="8" hidden="1"/>
    <cellStyle name="Lien hypertexte" xfId="20006" builtinId="8" hidden="1"/>
    <cellStyle name="Lien hypertexte" xfId="20008" builtinId="8" hidden="1"/>
    <cellStyle name="Lien hypertexte" xfId="20010" builtinId="8" hidden="1"/>
    <cellStyle name="Lien hypertexte" xfId="20012" builtinId="8" hidden="1"/>
    <cellStyle name="Lien hypertexte" xfId="20014" builtinId="8" hidden="1"/>
    <cellStyle name="Lien hypertexte" xfId="20016" builtinId="8" hidden="1"/>
    <cellStyle name="Lien hypertexte" xfId="20018" builtinId="8" hidden="1"/>
    <cellStyle name="Lien hypertexte" xfId="20020" builtinId="8" hidden="1"/>
    <cellStyle name="Lien hypertexte" xfId="20022" builtinId="8" hidden="1"/>
    <cellStyle name="Lien hypertexte" xfId="20024" builtinId="8" hidden="1"/>
    <cellStyle name="Lien hypertexte" xfId="20026" builtinId="8" hidden="1"/>
    <cellStyle name="Lien hypertexte" xfId="20028" builtinId="8" hidden="1"/>
    <cellStyle name="Lien hypertexte" xfId="20030" builtinId="8" hidden="1"/>
    <cellStyle name="Lien hypertexte" xfId="20032" builtinId="8" hidden="1"/>
    <cellStyle name="Lien hypertexte" xfId="20034" builtinId="8" hidden="1"/>
    <cellStyle name="Lien hypertexte" xfId="20036" builtinId="8" hidden="1"/>
    <cellStyle name="Lien hypertexte" xfId="20038" builtinId="8" hidden="1"/>
    <cellStyle name="Lien hypertexte" xfId="20040" builtinId="8" hidden="1"/>
    <cellStyle name="Lien hypertexte" xfId="20042" builtinId="8" hidden="1"/>
    <cellStyle name="Lien hypertexte" xfId="20044" builtinId="8" hidden="1"/>
    <cellStyle name="Lien hypertexte" xfId="20046" builtinId="8" hidden="1"/>
    <cellStyle name="Lien hypertexte" xfId="20048" builtinId="8" hidden="1"/>
    <cellStyle name="Lien hypertexte" xfId="20050" builtinId="8" hidden="1"/>
    <cellStyle name="Lien hypertexte" xfId="20052" builtinId="8" hidden="1"/>
    <cellStyle name="Lien hypertexte" xfId="20054" builtinId="8" hidden="1"/>
    <cellStyle name="Lien hypertexte" xfId="20056" builtinId="8" hidden="1"/>
    <cellStyle name="Lien hypertexte" xfId="20058" builtinId="8" hidden="1"/>
    <cellStyle name="Lien hypertexte" xfId="20060" builtinId="8" hidden="1"/>
    <cellStyle name="Lien hypertexte" xfId="20062" builtinId="8" hidden="1"/>
    <cellStyle name="Lien hypertexte" xfId="20064" builtinId="8" hidden="1"/>
    <cellStyle name="Lien hypertexte" xfId="20066" builtinId="8" hidden="1"/>
    <cellStyle name="Lien hypertexte" xfId="20068" builtinId="8" hidden="1"/>
    <cellStyle name="Lien hypertexte" xfId="20070" builtinId="8" hidden="1"/>
    <cellStyle name="Lien hypertexte" xfId="20072" builtinId="8" hidden="1"/>
    <cellStyle name="Lien hypertexte" xfId="20074" builtinId="8" hidden="1"/>
    <cellStyle name="Lien hypertexte" xfId="20076" builtinId="8" hidden="1"/>
    <cellStyle name="Lien hypertexte" xfId="20078" builtinId="8" hidden="1"/>
    <cellStyle name="Lien hypertexte" xfId="20080" builtinId="8" hidden="1"/>
    <cellStyle name="Lien hypertexte" xfId="20082" builtinId="8" hidden="1"/>
    <cellStyle name="Lien hypertexte" xfId="20084" builtinId="8" hidden="1"/>
    <cellStyle name="Lien hypertexte" xfId="20086" builtinId="8" hidden="1"/>
    <cellStyle name="Lien hypertexte" xfId="20088" builtinId="8" hidden="1"/>
    <cellStyle name="Lien hypertexte" xfId="20090" builtinId="8" hidden="1"/>
    <cellStyle name="Lien hypertexte" xfId="20092" builtinId="8" hidden="1"/>
    <cellStyle name="Lien hypertexte" xfId="20094" builtinId="8" hidden="1"/>
    <cellStyle name="Lien hypertexte" xfId="20096" builtinId="8" hidden="1"/>
    <cellStyle name="Lien hypertexte" xfId="20098" builtinId="8" hidden="1"/>
    <cellStyle name="Lien hypertexte" xfId="20100" builtinId="8" hidden="1"/>
    <cellStyle name="Lien hypertexte" xfId="20102" builtinId="8" hidden="1"/>
    <cellStyle name="Lien hypertexte" xfId="20104" builtinId="8" hidden="1"/>
    <cellStyle name="Lien hypertexte" xfId="20106" builtinId="8" hidden="1"/>
    <cellStyle name="Lien hypertexte" xfId="20108" builtinId="8" hidden="1"/>
    <cellStyle name="Lien hypertexte" xfId="20110" builtinId="8" hidden="1"/>
    <cellStyle name="Lien hypertexte" xfId="20112" builtinId="8" hidden="1"/>
    <cellStyle name="Lien hypertexte" xfId="20114" builtinId="8" hidden="1"/>
    <cellStyle name="Lien hypertexte" xfId="20116" builtinId="8" hidden="1"/>
    <cellStyle name="Lien hypertexte" xfId="20118" builtinId="8" hidden="1"/>
    <cellStyle name="Lien hypertexte" xfId="20120" builtinId="8" hidden="1"/>
    <cellStyle name="Lien hypertexte" xfId="20122" builtinId="8" hidden="1"/>
    <cellStyle name="Lien hypertexte" xfId="20124" builtinId="8" hidden="1"/>
    <cellStyle name="Lien hypertexte" xfId="20126" builtinId="8" hidden="1"/>
    <cellStyle name="Lien hypertexte" xfId="20128" builtinId="8" hidden="1"/>
    <cellStyle name="Lien hypertexte" xfId="20130" builtinId="8" hidden="1"/>
    <cellStyle name="Lien hypertexte" xfId="20132" builtinId="8" hidden="1"/>
    <cellStyle name="Lien hypertexte" xfId="20134" builtinId="8" hidden="1"/>
    <cellStyle name="Lien hypertexte" xfId="20136" builtinId="8" hidden="1"/>
    <cellStyle name="Lien hypertexte" xfId="20138" builtinId="8" hidden="1"/>
    <cellStyle name="Lien hypertexte" xfId="20140" builtinId="8" hidden="1"/>
    <cellStyle name="Lien hypertexte" xfId="20142" builtinId="8" hidden="1"/>
    <cellStyle name="Lien hypertexte" xfId="20144" builtinId="8" hidden="1"/>
    <cellStyle name="Lien hypertexte" xfId="20146" builtinId="8" hidden="1"/>
    <cellStyle name="Lien hypertexte" xfId="20148" builtinId="8" hidden="1"/>
    <cellStyle name="Lien hypertexte" xfId="20150" builtinId="8" hidden="1"/>
    <cellStyle name="Lien hypertexte" xfId="20152" builtinId="8" hidden="1"/>
    <cellStyle name="Lien hypertexte" xfId="20154" builtinId="8" hidden="1"/>
    <cellStyle name="Lien hypertexte" xfId="20156" builtinId="8" hidden="1"/>
    <cellStyle name="Lien hypertexte" xfId="20158" builtinId="8" hidden="1"/>
    <cellStyle name="Lien hypertexte" xfId="20160" builtinId="8" hidden="1"/>
    <cellStyle name="Lien hypertexte" xfId="20162" builtinId="8" hidden="1"/>
    <cellStyle name="Lien hypertexte" xfId="20164" builtinId="8" hidden="1"/>
    <cellStyle name="Lien hypertexte" xfId="20166" builtinId="8" hidden="1"/>
    <cellStyle name="Lien hypertexte" xfId="20168" builtinId="8" hidden="1"/>
    <cellStyle name="Lien hypertexte" xfId="20170" builtinId="8" hidden="1"/>
    <cellStyle name="Lien hypertexte" xfId="20172" builtinId="8" hidden="1"/>
    <cellStyle name="Lien hypertexte" xfId="20174" builtinId="8" hidden="1"/>
    <cellStyle name="Lien hypertexte" xfId="20176" builtinId="8" hidden="1"/>
    <cellStyle name="Lien hypertexte" xfId="20178" builtinId="8" hidden="1"/>
    <cellStyle name="Lien hypertexte" xfId="20180" builtinId="8" hidden="1"/>
    <cellStyle name="Lien hypertexte" xfId="20182" builtinId="8" hidden="1"/>
    <cellStyle name="Lien hypertexte" xfId="20184" builtinId="8" hidden="1"/>
    <cellStyle name="Lien hypertexte" xfId="20186" builtinId="8" hidden="1"/>
    <cellStyle name="Lien hypertexte" xfId="20188" builtinId="8" hidden="1"/>
    <cellStyle name="Lien hypertexte" xfId="20190" builtinId="8" hidden="1"/>
    <cellStyle name="Lien hypertexte" xfId="20192" builtinId="8" hidden="1"/>
    <cellStyle name="Lien hypertexte" xfId="20194" builtinId="8" hidden="1"/>
    <cellStyle name="Lien hypertexte" xfId="20196" builtinId="8" hidden="1"/>
    <cellStyle name="Lien hypertexte" xfId="20198" builtinId="8" hidden="1"/>
    <cellStyle name="Lien hypertexte" xfId="20200" builtinId="8" hidden="1"/>
    <cellStyle name="Lien hypertexte" xfId="20202" builtinId="8" hidden="1"/>
    <cellStyle name="Lien hypertexte" xfId="20204" builtinId="8" hidden="1"/>
    <cellStyle name="Lien hypertexte" xfId="20206" builtinId="8" hidden="1"/>
    <cellStyle name="Lien hypertexte" xfId="20208" builtinId="8" hidden="1"/>
    <cellStyle name="Lien hypertexte" xfId="20210" builtinId="8" hidden="1"/>
    <cellStyle name="Lien hypertexte" xfId="20212" builtinId="8" hidden="1"/>
    <cellStyle name="Lien hypertexte" xfId="20214" builtinId="8" hidden="1"/>
    <cellStyle name="Lien hypertexte" xfId="20216" builtinId="8" hidden="1"/>
    <cellStyle name="Lien hypertexte" xfId="20218" builtinId="8" hidden="1"/>
    <cellStyle name="Lien hypertexte" xfId="20220" builtinId="8" hidden="1"/>
    <cellStyle name="Lien hypertexte" xfId="20222" builtinId="8" hidden="1"/>
    <cellStyle name="Lien hypertexte" xfId="20224" builtinId="8" hidden="1"/>
    <cellStyle name="Lien hypertexte" xfId="20226" builtinId="8" hidden="1"/>
    <cellStyle name="Lien hypertexte" xfId="20228" builtinId="8" hidden="1"/>
    <cellStyle name="Lien hypertexte" xfId="20230" builtinId="8" hidden="1"/>
    <cellStyle name="Lien hypertexte" xfId="20232" builtinId="8" hidden="1"/>
    <cellStyle name="Lien hypertexte" xfId="20234" builtinId="8" hidden="1"/>
    <cellStyle name="Lien hypertexte" xfId="20236" builtinId="8" hidden="1"/>
    <cellStyle name="Lien hypertexte" xfId="20238" builtinId="8" hidden="1"/>
    <cellStyle name="Lien hypertexte" xfId="20240" builtinId="8" hidden="1"/>
    <cellStyle name="Lien hypertexte" xfId="20242" builtinId="8" hidden="1"/>
    <cellStyle name="Lien hypertexte" xfId="20244" builtinId="8" hidden="1"/>
    <cellStyle name="Lien hypertexte" xfId="20246" builtinId="8" hidden="1"/>
    <cellStyle name="Lien hypertexte" xfId="20248" builtinId="8" hidden="1"/>
    <cellStyle name="Lien hypertexte" xfId="20250" builtinId="8" hidden="1"/>
    <cellStyle name="Lien hypertexte" xfId="20252" builtinId="8" hidden="1"/>
    <cellStyle name="Lien hypertexte" xfId="20254" builtinId="8" hidden="1"/>
    <cellStyle name="Lien hypertexte" xfId="20256" builtinId="8" hidden="1"/>
    <cellStyle name="Lien hypertexte" xfId="20258" builtinId="8" hidden="1"/>
    <cellStyle name="Lien hypertexte" xfId="20260" builtinId="8" hidden="1"/>
    <cellStyle name="Lien hypertexte" xfId="20262" builtinId="8" hidden="1"/>
    <cellStyle name="Lien hypertexte" xfId="20264" builtinId="8" hidden="1"/>
    <cellStyle name="Lien hypertexte" xfId="20266" builtinId="8" hidden="1"/>
    <cellStyle name="Lien hypertexte" xfId="20268" builtinId="8" hidden="1"/>
    <cellStyle name="Lien hypertexte" xfId="20270" builtinId="8" hidden="1"/>
    <cellStyle name="Lien hypertexte" xfId="20272" builtinId="8" hidden="1"/>
    <cellStyle name="Lien hypertexte" xfId="20274" builtinId="8" hidden="1"/>
    <cellStyle name="Lien hypertexte" xfId="20276" builtinId="8" hidden="1"/>
    <cellStyle name="Lien hypertexte" xfId="20278" builtinId="8" hidden="1"/>
    <cellStyle name="Lien hypertexte" xfId="20280" builtinId="8" hidden="1"/>
    <cellStyle name="Lien hypertexte" xfId="20282" builtinId="8" hidden="1"/>
    <cellStyle name="Lien hypertexte" xfId="20284" builtinId="8" hidden="1"/>
    <cellStyle name="Lien hypertexte" xfId="20286" builtinId="8" hidden="1"/>
    <cellStyle name="Lien hypertexte" xfId="20288" builtinId="8" hidden="1"/>
    <cellStyle name="Lien hypertexte" xfId="20290" builtinId="8" hidden="1"/>
    <cellStyle name="Lien hypertexte" xfId="20292" builtinId="8" hidden="1"/>
    <cellStyle name="Lien hypertexte" xfId="20294" builtinId="8" hidden="1"/>
    <cellStyle name="Lien hypertexte" xfId="20296" builtinId="8" hidden="1"/>
    <cellStyle name="Lien hypertexte" xfId="20298" builtinId="8" hidden="1"/>
    <cellStyle name="Lien hypertexte" xfId="20300" builtinId="8" hidden="1"/>
    <cellStyle name="Lien hypertexte" xfId="20302" builtinId="8" hidden="1"/>
    <cellStyle name="Lien hypertexte" xfId="20304" builtinId="8" hidden="1"/>
    <cellStyle name="Lien hypertexte" xfId="20306" builtinId="8" hidden="1"/>
    <cellStyle name="Lien hypertexte" xfId="20308" builtinId="8" hidden="1"/>
    <cellStyle name="Lien hypertexte" xfId="20310" builtinId="8" hidden="1"/>
    <cellStyle name="Lien hypertexte" xfId="20312" builtinId="8" hidden="1"/>
    <cellStyle name="Lien hypertexte" xfId="20314" builtinId="8" hidden="1"/>
    <cellStyle name="Lien hypertexte" xfId="20316" builtinId="8" hidden="1"/>
    <cellStyle name="Lien hypertexte" xfId="20318" builtinId="8" hidden="1"/>
    <cellStyle name="Lien hypertexte" xfId="20320" builtinId="8" hidden="1"/>
    <cellStyle name="Lien hypertexte" xfId="20322" builtinId="8" hidden="1"/>
    <cellStyle name="Lien hypertexte" xfId="20324" builtinId="8" hidden="1"/>
    <cellStyle name="Lien hypertexte" xfId="20326" builtinId="8" hidden="1"/>
    <cellStyle name="Lien hypertexte" xfId="20328" builtinId="8" hidden="1"/>
    <cellStyle name="Lien hypertexte" xfId="20330" builtinId="8" hidden="1"/>
    <cellStyle name="Lien hypertexte" xfId="20332" builtinId="8" hidden="1"/>
    <cellStyle name="Lien hypertexte" xfId="20334" builtinId="8" hidden="1"/>
    <cellStyle name="Lien hypertexte" xfId="20336" builtinId="8" hidden="1"/>
    <cellStyle name="Lien hypertexte" xfId="20338" builtinId="8" hidden="1"/>
    <cellStyle name="Lien hypertexte" xfId="20340" builtinId="8" hidden="1"/>
    <cellStyle name="Lien hypertexte" xfId="20342" builtinId="8" hidden="1"/>
    <cellStyle name="Lien hypertexte" xfId="20344" builtinId="8" hidden="1"/>
    <cellStyle name="Lien hypertexte" xfId="20346" builtinId="8" hidden="1"/>
    <cellStyle name="Lien hypertexte" xfId="20348" builtinId="8" hidden="1"/>
    <cellStyle name="Lien hypertexte" xfId="20350" builtinId="8" hidden="1"/>
    <cellStyle name="Lien hypertexte" xfId="20352" builtinId="8" hidden="1"/>
    <cellStyle name="Lien hypertexte" xfId="20354" builtinId="8" hidden="1"/>
    <cellStyle name="Lien hypertexte" xfId="20356" builtinId="8" hidden="1"/>
    <cellStyle name="Lien hypertexte" xfId="20358" builtinId="8" hidden="1"/>
    <cellStyle name="Lien hypertexte" xfId="20360" builtinId="8" hidden="1"/>
    <cellStyle name="Lien hypertexte" xfId="20362" builtinId="8" hidden="1"/>
    <cellStyle name="Lien hypertexte" xfId="20364" builtinId="8" hidden="1"/>
    <cellStyle name="Lien hypertexte" xfId="20366" builtinId="8" hidden="1"/>
    <cellStyle name="Lien hypertexte" xfId="20368" builtinId="8" hidden="1"/>
    <cellStyle name="Lien hypertexte" xfId="20370" builtinId="8" hidden="1"/>
    <cellStyle name="Lien hypertexte" xfId="20372" builtinId="8" hidden="1"/>
    <cellStyle name="Lien hypertexte" xfId="20374" builtinId="8" hidden="1"/>
    <cellStyle name="Lien hypertexte" xfId="20376" builtinId="8" hidden="1"/>
    <cellStyle name="Lien hypertexte" xfId="20378" builtinId="8" hidden="1"/>
    <cellStyle name="Lien hypertexte" xfId="20380" builtinId="8" hidden="1"/>
    <cellStyle name="Lien hypertexte" xfId="20382" builtinId="8" hidden="1"/>
    <cellStyle name="Lien hypertexte" xfId="20384" builtinId="8" hidden="1"/>
    <cellStyle name="Lien hypertexte" xfId="20386" builtinId="8" hidden="1"/>
    <cellStyle name="Lien hypertexte" xfId="20388" builtinId="8" hidden="1"/>
    <cellStyle name="Lien hypertexte" xfId="20390" builtinId="8" hidden="1"/>
    <cellStyle name="Lien hypertexte" xfId="20392" builtinId="8" hidden="1"/>
    <cellStyle name="Lien hypertexte" xfId="20394" builtinId="8" hidden="1"/>
    <cellStyle name="Lien hypertexte" xfId="20396" builtinId="8" hidden="1"/>
    <cellStyle name="Lien hypertexte" xfId="20398" builtinId="8" hidden="1"/>
    <cellStyle name="Lien hypertexte" xfId="20400" builtinId="8" hidden="1"/>
    <cellStyle name="Lien hypertexte" xfId="20402" builtinId="8" hidden="1"/>
    <cellStyle name="Lien hypertexte" xfId="20404" builtinId="8" hidden="1"/>
    <cellStyle name="Lien hypertexte" xfId="20406" builtinId="8" hidden="1"/>
    <cellStyle name="Lien hypertexte" xfId="20408" builtinId="8" hidden="1"/>
    <cellStyle name="Lien hypertexte" xfId="20410" builtinId="8" hidden="1"/>
    <cellStyle name="Lien hypertexte" xfId="20412" builtinId="8" hidden="1"/>
    <cellStyle name="Lien hypertexte" xfId="20414" builtinId="8" hidden="1"/>
    <cellStyle name="Lien hypertexte" xfId="20416" builtinId="8" hidden="1"/>
    <cellStyle name="Lien hypertexte" xfId="20418" builtinId="8" hidden="1"/>
    <cellStyle name="Lien hypertexte" xfId="20420" builtinId="8" hidden="1"/>
    <cellStyle name="Lien hypertexte" xfId="20422" builtinId="8" hidden="1"/>
    <cellStyle name="Lien hypertexte" xfId="20424" builtinId="8" hidden="1"/>
    <cellStyle name="Lien hypertexte" xfId="20426" builtinId="8" hidden="1"/>
    <cellStyle name="Lien hypertexte" xfId="20428" builtinId="8" hidden="1"/>
    <cellStyle name="Lien hypertexte" xfId="20430" builtinId="8" hidden="1"/>
    <cellStyle name="Lien hypertexte" xfId="20432" builtinId="8" hidden="1"/>
    <cellStyle name="Lien hypertexte" xfId="20434" builtinId="8" hidden="1"/>
    <cellStyle name="Lien hypertexte" xfId="20436" builtinId="8" hidden="1"/>
    <cellStyle name="Lien hypertexte" xfId="20438" builtinId="8" hidden="1"/>
    <cellStyle name="Lien hypertexte" xfId="20440" builtinId="8" hidden="1"/>
    <cellStyle name="Lien hypertexte" xfId="20442" builtinId="8" hidden="1"/>
    <cellStyle name="Lien hypertexte" xfId="20444" builtinId="8" hidden="1"/>
    <cellStyle name="Lien hypertexte" xfId="20446" builtinId="8" hidden="1"/>
    <cellStyle name="Lien hypertexte" xfId="20448" builtinId="8" hidden="1"/>
    <cellStyle name="Lien hypertexte" xfId="20450" builtinId="8" hidden="1"/>
    <cellStyle name="Lien hypertexte" xfId="20452" builtinId="8" hidden="1"/>
    <cellStyle name="Lien hypertexte" xfId="20454" builtinId="8" hidden="1"/>
    <cellStyle name="Lien hypertexte" xfId="20456" builtinId="8" hidden="1"/>
    <cellStyle name="Lien hypertexte" xfId="20458" builtinId="8" hidden="1"/>
    <cellStyle name="Lien hypertexte" xfId="20460" builtinId="8" hidden="1"/>
    <cellStyle name="Lien hypertexte" xfId="20462" builtinId="8" hidden="1"/>
    <cellStyle name="Lien hypertexte" xfId="20464" builtinId="8" hidden="1"/>
    <cellStyle name="Lien hypertexte" xfId="20466" builtinId="8" hidden="1"/>
    <cellStyle name="Lien hypertexte" xfId="20468" builtinId="8" hidden="1"/>
    <cellStyle name="Lien hypertexte" xfId="20470" builtinId="8" hidden="1"/>
    <cellStyle name="Lien hypertexte" xfId="20472" builtinId="8" hidden="1"/>
    <cellStyle name="Lien hypertexte" xfId="20474" builtinId="8" hidden="1"/>
    <cellStyle name="Lien hypertexte" xfId="20476" builtinId="8" hidden="1"/>
    <cellStyle name="Lien hypertexte" xfId="20478" builtinId="8" hidden="1"/>
    <cellStyle name="Lien hypertexte" xfId="20480" builtinId="8" hidden="1"/>
    <cellStyle name="Lien hypertexte" xfId="20482" builtinId="8" hidden="1"/>
    <cellStyle name="Lien hypertexte" xfId="20484" builtinId="8" hidden="1"/>
    <cellStyle name="Lien hypertexte" xfId="20486" builtinId="8" hidden="1"/>
    <cellStyle name="Lien hypertexte" xfId="20488" builtinId="8" hidden="1"/>
    <cellStyle name="Lien hypertexte" xfId="20490" builtinId="8" hidden="1"/>
    <cellStyle name="Lien hypertexte" xfId="20492" builtinId="8" hidden="1"/>
    <cellStyle name="Lien hypertexte" xfId="20494" builtinId="8" hidden="1"/>
    <cellStyle name="Lien hypertexte" xfId="20496" builtinId="8" hidden="1"/>
    <cellStyle name="Lien hypertexte" xfId="20498" builtinId="8" hidden="1"/>
    <cellStyle name="Lien hypertexte" xfId="20500" builtinId="8" hidden="1"/>
    <cellStyle name="Lien hypertexte" xfId="20502" builtinId="8" hidden="1"/>
    <cellStyle name="Lien hypertexte" xfId="20504" builtinId="8" hidden="1"/>
    <cellStyle name="Lien hypertexte" xfId="20506" builtinId="8" hidden="1"/>
    <cellStyle name="Lien hypertexte" xfId="20508" builtinId="8" hidden="1"/>
    <cellStyle name="Lien hypertexte" xfId="20510" builtinId="8" hidden="1"/>
    <cellStyle name="Lien hypertexte" xfId="20512" builtinId="8" hidden="1"/>
    <cellStyle name="Lien hypertexte" xfId="20514" builtinId="8" hidden="1"/>
    <cellStyle name="Lien hypertexte" xfId="20516" builtinId="8" hidden="1"/>
    <cellStyle name="Lien hypertexte" xfId="20518" builtinId="8" hidden="1"/>
    <cellStyle name="Lien hypertexte" xfId="20520" builtinId="8" hidden="1"/>
    <cellStyle name="Lien hypertexte" xfId="20522" builtinId="8" hidden="1"/>
    <cellStyle name="Lien hypertexte" xfId="20524" builtinId="8" hidden="1"/>
    <cellStyle name="Lien hypertexte" xfId="20526" builtinId="8" hidden="1"/>
    <cellStyle name="Lien hypertexte" xfId="20528" builtinId="8" hidden="1"/>
    <cellStyle name="Lien hypertexte" xfId="20530" builtinId="8" hidden="1"/>
    <cellStyle name="Lien hypertexte" xfId="20532" builtinId="8" hidden="1"/>
    <cellStyle name="Lien hypertexte" xfId="20534" builtinId="8" hidden="1"/>
    <cellStyle name="Lien hypertexte" xfId="20536" builtinId="8" hidden="1"/>
    <cellStyle name="Lien hypertexte" xfId="20538" builtinId="8" hidden="1"/>
    <cellStyle name="Lien hypertexte" xfId="20540" builtinId="8" hidden="1"/>
    <cellStyle name="Lien hypertexte" xfId="20542" builtinId="8" hidden="1"/>
    <cellStyle name="Lien hypertexte" xfId="20544" builtinId="8" hidden="1"/>
    <cellStyle name="Lien hypertexte" xfId="20546" builtinId="8" hidden="1"/>
    <cellStyle name="Lien hypertexte" xfId="20548" builtinId="8" hidden="1"/>
    <cellStyle name="Lien hypertexte" xfId="20550" builtinId="8" hidden="1"/>
    <cellStyle name="Lien hypertexte" xfId="20552" builtinId="8" hidden="1"/>
    <cellStyle name="Lien hypertexte" xfId="20554" builtinId="8" hidden="1"/>
    <cellStyle name="Lien hypertexte" xfId="20556" builtinId="8" hidden="1"/>
    <cellStyle name="Lien hypertexte" xfId="20558" builtinId="8" hidden="1"/>
    <cellStyle name="Lien hypertexte" xfId="20560" builtinId="8" hidden="1"/>
    <cellStyle name="Lien hypertexte" xfId="20562" builtinId="8" hidden="1"/>
    <cellStyle name="Lien hypertexte" xfId="20564" builtinId="8" hidden="1"/>
    <cellStyle name="Lien hypertexte" xfId="20566" builtinId="8" hidden="1"/>
    <cellStyle name="Lien hypertexte" xfId="20568" builtinId="8" hidden="1"/>
    <cellStyle name="Lien hypertexte" xfId="20570" builtinId="8" hidden="1"/>
    <cellStyle name="Lien hypertexte" xfId="20572" builtinId="8" hidden="1"/>
    <cellStyle name="Lien hypertexte" xfId="20574" builtinId="8" hidden="1"/>
    <cellStyle name="Lien hypertexte" xfId="20576" builtinId="8" hidden="1"/>
    <cellStyle name="Lien hypertexte" xfId="20578" builtinId="8" hidden="1"/>
    <cellStyle name="Lien hypertexte" xfId="20580" builtinId="8" hidden="1"/>
    <cellStyle name="Lien hypertexte" xfId="20582" builtinId="8" hidden="1"/>
    <cellStyle name="Lien hypertexte" xfId="20584" builtinId="8" hidden="1"/>
    <cellStyle name="Lien hypertexte" xfId="20586" builtinId="8" hidden="1"/>
    <cellStyle name="Lien hypertexte" xfId="20588" builtinId="8" hidden="1"/>
    <cellStyle name="Lien hypertexte" xfId="20590" builtinId="8" hidden="1"/>
    <cellStyle name="Lien hypertexte" xfId="20592" builtinId="8" hidden="1"/>
    <cellStyle name="Lien hypertexte" xfId="20594" builtinId="8" hidden="1"/>
    <cellStyle name="Lien hypertexte" xfId="20596" builtinId="8" hidden="1"/>
    <cellStyle name="Lien hypertexte" xfId="20598" builtinId="8" hidden="1"/>
    <cellStyle name="Lien hypertexte" xfId="20600" builtinId="8" hidden="1"/>
    <cellStyle name="Lien hypertexte" xfId="20602" builtinId="8" hidden="1"/>
    <cellStyle name="Lien hypertexte" xfId="20604" builtinId="8" hidden="1"/>
    <cellStyle name="Lien hypertexte" xfId="20606" builtinId="8" hidden="1"/>
    <cellStyle name="Lien hypertexte" xfId="20608" builtinId="8" hidden="1"/>
    <cellStyle name="Lien hypertexte" xfId="20610" builtinId="8" hidden="1"/>
    <cellStyle name="Lien hypertexte" xfId="20612" builtinId="8" hidden="1"/>
    <cellStyle name="Lien hypertexte" xfId="20614" builtinId="8" hidden="1"/>
    <cellStyle name="Lien hypertexte" xfId="20616" builtinId="8" hidden="1"/>
    <cellStyle name="Lien hypertexte" xfId="20618" builtinId="8" hidden="1"/>
    <cellStyle name="Lien hypertexte" xfId="20620" builtinId="8" hidden="1"/>
    <cellStyle name="Lien hypertexte" xfId="20622" builtinId="8" hidden="1"/>
    <cellStyle name="Lien hypertexte" xfId="20624" builtinId="8" hidden="1"/>
    <cellStyle name="Lien hypertexte" xfId="20626" builtinId="8" hidden="1"/>
    <cellStyle name="Lien hypertexte" xfId="20628" builtinId="8" hidden="1"/>
    <cellStyle name="Lien hypertexte" xfId="20630" builtinId="8" hidden="1"/>
    <cellStyle name="Lien hypertexte" xfId="20632" builtinId="8" hidden="1"/>
    <cellStyle name="Lien hypertexte" xfId="20634" builtinId="8" hidden="1"/>
    <cellStyle name="Lien hypertexte" xfId="20636" builtinId="8" hidden="1"/>
    <cellStyle name="Lien hypertexte" xfId="20638" builtinId="8" hidden="1"/>
    <cellStyle name="Lien hypertexte" xfId="20640" builtinId="8" hidden="1"/>
    <cellStyle name="Lien hypertexte" xfId="20642" builtinId="8" hidden="1"/>
    <cellStyle name="Lien hypertexte" xfId="20644" builtinId="8" hidden="1"/>
    <cellStyle name="Lien hypertexte" xfId="20646" builtinId="8" hidden="1"/>
    <cellStyle name="Lien hypertexte" xfId="20648" builtinId="8" hidden="1"/>
    <cellStyle name="Lien hypertexte" xfId="20650" builtinId="8" hidden="1"/>
    <cellStyle name="Lien hypertexte" xfId="20652" builtinId="8" hidden="1"/>
    <cellStyle name="Lien hypertexte" xfId="20654" builtinId="8" hidden="1"/>
    <cellStyle name="Lien hypertexte" xfId="20656" builtinId="8" hidden="1"/>
    <cellStyle name="Lien hypertexte" xfId="20658" builtinId="8" hidden="1"/>
    <cellStyle name="Lien hypertexte" xfId="20660" builtinId="8" hidden="1"/>
    <cellStyle name="Lien hypertexte" xfId="20662" builtinId="8" hidden="1"/>
    <cellStyle name="Lien hypertexte" xfId="20664" builtinId="8" hidden="1"/>
    <cellStyle name="Lien hypertexte" xfId="20666" builtinId="8" hidden="1"/>
    <cellStyle name="Lien hypertexte" xfId="20668" builtinId="8" hidden="1"/>
    <cellStyle name="Lien hypertexte" xfId="20670" builtinId="8" hidden="1"/>
    <cellStyle name="Lien hypertexte" xfId="20672" builtinId="8" hidden="1"/>
    <cellStyle name="Lien hypertexte" xfId="20674" builtinId="8" hidden="1"/>
    <cellStyle name="Lien hypertexte" xfId="20676" builtinId="8" hidden="1"/>
    <cellStyle name="Lien hypertexte" xfId="20678" builtinId="8" hidden="1"/>
    <cellStyle name="Lien hypertexte" xfId="20680" builtinId="8" hidden="1"/>
    <cellStyle name="Lien hypertexte" xfId="20682" builtinId="8" hidden="1"/>
    <cellStyle name="Lien hypertexte" xfId="20684" builtinId="8" hidden="1"/>
    <cellStyle name="Lien hypertexte" xfId="20686" builtinId="8" hidden="1"/>
    <cellStyle name="Lien hypertexte" xfId="20688" builtinId="8" hidden="1"/>
    <cellStyle name="Lien hypertexte" xfId="20690" builtinId="8" hidden="1"/>
    <cellStyle name="Lien hypertexte" xfId="20692" builtinId="8" hidden="1"/>
    <cellStyle name="Lien hypertexte" xfId="20694" builtinId="8" hidden="1"/>
    <cellStyle name="Lien hypertexte" xfId="20696" builtinId="8" hidden="1"/>
    <cellStyle name="Lien hypertexte" xfId="20698" builtinId="8" hidden="1"/>
    <cellStyle name="Lien hypertexte" xfId="20700" builtinId="8" hidden="1"/>
    <cellStyle name="Lien hypertexte" xfId="20702" builtinId="8" hidden="1"/>
    <cellStyle name="Lien hypertexte" xfId="20704" builtinId="8" hidden="1"/>
    <cellStyle name="Lien hypertexte" xfId="20706" builtinId="8" hidden="1"/>
    <cellStyle name="Lien hypertexte" xfId="20708" builtinId="8" hidden="1"/>
    <cellStyle name="Lien hypertexte" xfId="20710" builtinId="8" hidden="1"/>
    <cellStyle name="Lien hypertexte" xfId="20712" builtinId="8" hidden="1"/>
    <cellStyle name="Lien hypertexte" xfId="20714" builtinId="8" hidden="1"/>
    <cellStyle name="Lien hypertexte" xfId="20716" builtinId="8" hidden="1"/>
    <cellStyle name="Lien hypertexte" xfId="20718" builtinId="8" hidden="1"/>
    <cellStyle name="Lien hypertexte" xfId="20720" builtinId="8" hidden="1"/>
    <cellStyle name="Lien hypertexte" xfId="20722" builtinId="8" hidden="1"/>
    <cellStyle name="Lien hypertexte" xfId="20724" builtinId="8" hidden="1"/>
    <cellStyle name="Lien hypertexte" xfId="20726" builtinId="8" hidden="1"/>
    <cellStyle name="Lien hypertexte" xfId="20728" builtinId="8" hidden="1"/>
    <cellStyle name="Lien hypertexte" xfId="20730" builtinId="8" hidden="1"/>
    <cellStyle name="Lien hypertexte" xfId="20732" builtinId="8" hidden="1"/>
    <cellStyle name="Lien hypertexte" xfId="20734" builtinId="8" hidden="1"/>
    <cellStyle name="Lien hypertexte" xfId="20736" builtinId="8" hidden="1"/>
    <cellStyle name="Lien hypertexte" xfId="20738" builtinId="8" hidden="1"/>
    <cellStyle name="Lien hypertexte" xfId="20740" builtinId="8" hidden="1"/>
    <cellStyle name="Lien hypertexte" xfId="20742" builtinId="8" hidden="1"/>
    <cellStyle name="Lien hypertexte" xfId="20744" builtinId="8" hidden="1"/>
    <cellStyle name="Lien hypertexte" xfId="20746" builtinId="8" hidden="1"/>
    <cellStyle name="Lien hypertexte" xfId="20748" builtinId="8" hidden="1"/>
    <cellStyle name="Lien hypertexte" xfId="20750" builtinId="8" hidden="1"/>
    <cellStyle name="Lien hypertexte" xfId="20752" builtinId="8" hidden="1"/>
    <cellStyle name="Lien hypertexte" xfId="20754" builtinId="8" hidden="1"/>
    <cellStyle name="Lien hypertexte" xfId="20756" builtinId="8" hidden="1"/>
    <cellStyle name="Lien hypertexte" xfId="20758" builtinId="8" hidden="1"/>
    <cellStyle name="Lien hypertexte" xfId="20760" builtinId="8" hidden="1"/>
    <cellStyle name="Lien hypertexte" xfId="20762" builtinId="8" hidden="1"/>
    <cellStyle name="Lien hypertexte" xfId="20764" builtinId="8" hidden="1"/>
    <cellStyle name="Lien hypertexte" xfId="20766" builtinId="8" hidden="1"/>
    <cellStyle name="Lien hypertexte" xfId="20768" builtinId="8" hidden="1"/>
    <cellStyle name="Lien hypertexte" xfId="20770" builtinId="8" hidden="1"/>
    <cellStyle name="Lien hypertexte" xfId="20772" builtinId="8" hidden="1"/>
    <cellStyle name="Lien hypertexte" xfId="20774" builtinId="8" hidden="1"/>
    <cellStyle name="Lien hypertexte" xfId="20776" builtinId="8" hidden="1"/>
    <cellStyle name="Lien hypertexte" xfId="20778" builtinId="8" hidden="1"/>
    <cellStyle name="Lien hypertexte" xfId="20780" builtinId="8" hidden="1"/>
    <cellStyle name="Lien hypertexte" xfId="20782" builtinId="8" hidden="1"/>
    <cellStyle name="Lien hypertexte" xfId="20784" builtinId="8" hidden="1"/>
    <cellStyle name="Lien hypertexte" xfId="20786" builtinId="8" hidden="1"/>
    <cellStyle name="Lien hypertexte" xfId="20788" builtinId="8" hidden="1"/>
    <cellStyle name="Lien hypertexte" xfId="20790" builtinId="8" hidden="1"/>
    <cellStyle name="Lien hypertexte" xfId="20792" builtinId="8" hidden="1"/>
    <cellStyle name="Lien hypertexte" xfId="20794" builtinId="8" hidden="1"/>
    <cellStyle name="Lien hypertexte" xfId="20796" builtinId="8" hidden="1"/>
    <cellStyle name="Lien hypertexte" xfId="20798" builtinId="8" hidden="1"/>
    <cellStyle name="Lien hypertexte" xfId="20800" builtinId="8" hidden="1"/>
    <cellStyle name="Lien hypertexte" xfId="20802" builtinId="8" hidden="1"/>
    <cellStyle name="Lien hypertexte" xfId="20804" builtinId="8" hidden="1"/>
    <cellStyle name="Lien hypertexte" xfId="20806" builtinId="8" hidden="1"/>
    <cellStyle name="Lien hypertexte" xfId="20808" builtinId="8" hidden="1"/>
    <cellStyle name="Lien hypertexte" xfId="20810" builtinId="8" hidden="1"/>
    <cellStyle name="Lien hypertexte" xfId="20812" builtinId="8" hidden="1"/>
    <cellStyle name="Lien hypertexte" xfId="20814" builtinId="8" hidden="1"/>
    <cellStyle name="Lien hypertexte" xfId="20816" builtinId="8" hidden="1"/>
    <cellStyle name="Lien hypertexte" xfId="20818" builtinId="8" hidden="1"/>
    <cellStyle name="Lien hypertexte" xfId="20820" builtinId="8" hidden="1"/>
    <cellStyle name="Lien hypertexte" xfId="20822" builtinId="8" hidden="1"/>
    <cellStyle name="Lien hypertexte" xfId="20824" builtinId="8" hidden="1"/>
    <cellStyle name="Lien hypertexte" xfId="20826" builtinId="8" hidden="1"/>
    <cellStyle name="Lien hypertexte" xfId="20828" builtinId="8" hidden="1"/>
    <cellStyle name="Lien hypertexte" xfId="20830" builtinId="8" hidden="1"/>
    <cellStyle name="Lien hypertexte" xfId="20832" builtinId="8" hidden="1"/>
    <cellStyle name="Lien hypertexte" xfId="20834" builtinId="8" hidden="1"/>
    <cellStyle name="Lien hypertexte" xfId="20836" builtinId="8" hidden="1"/>
    <cellStyle name="Lien hypertexte" xfId="20838" builtinId="8" hidden="1"/>
    <cellStyle name="Lien hypertexte" xfId="20840" builtinId="8" hidden="1"/>
    <cellStyle name="Lien hypertexte" xfId="20842" builtinId="8" hidden="1"/>
    <cellStyle name="Lien hypertexte" xfId="20844" builtinId="8" hidden="1"/>
    <cellStyle name="Lien hypertexte" xfId="20846" builtinId="8" hidden="1"/>
    <cellStyle name="Lien hypertexte" xfId="20848" builtinId="8" hidden="1"/>
    <cellStyle name="Lien hypertexte" xfId="20850" builtinId="8" hidden="1"/>
    <cellStyle name="Lien hypertexte" xfId="20852" builtinId="8" hidden="1"/>
    <cellStyle name="Lien hypertexte" xfId="20854" builtinId="8" hidden="1"/>
    <cellStyle name="Lien hypertexte" xfId="20856" builtinId="8" hidden="1"/>
    <cellStyle name="Lien hypertexte" xfId="20858" builtinId="8" hidden="1"/>
    <cellStyle name="Lien hypertexte" xfId="20860" builtinId="8" hidden="1"/>
    <cellStyle name="Lien hypertexte" xfId="20862" builtinId="8" hidden="1"/>
    <cellStyle name="Lien hypertexte" xfId="20864" builtinId="8" hidden="1"/>
    <cellStyle name="Lien hypertexte" xfId="20866" builtinId="8" hidden="1"/>
    <cellStyle name="Lien hypertexte" xfId="20868" builtinId="8" hidden="1"/>
    <cellStyle name="Lien hypertexte" xfId="20870" builtinId="8" hidden="1"/>
    <cellStyle name="Lien hypertexte" xfId="20872" builtinId="8" hidden="1"/>
    <cellStyle name="Lien hypertexte" xfId="20874" builtinId="8" hidden="1"/>
    <cellStyle name="Lien hypertexte" xfId="20876" builtinId="8" hidden="1"/>
    <cellStyle name="Lien hypertexte" xfId="20878" builtinId="8" hidden="1"/>
    <cellStyle name="Lien hypertexte" xfId="20880" builtinId="8" hidden="1"/>
    <cellStyle name="Lien hypertexte" xfId="20882" builtinId="8" hidden="1"/>
    <cellStyle name="Lien hypertexte" xfId="20884" builtinId="8" hidden="1"/>
    <cellStyle name="Lien hypertexte" xfId="20886" builtinId="8" hidden="1"/>
    <cellStyle name="Lien hypertexte" xfId="20888" builtinId="8" hidden="1"/>
    <cellStyle name="Lien hypertexte" xfId="20890" builtinId="8" hidden="1"/>
    <cellStyle name="Lien hypertexte" xfId="20892" builtinId="8" hidden="1"/>
    <cellStyle name="Lien hypertexte" xfId="20894" builtinId="8" hidden="1"/>
    <cellStyle name="Lien hypertexte" xfId="20896" builtinId="8" hidden="1"/>
    <cellStyle name="Lien hypertexte" xfId="20898" builtinId="8" hidden="1"/>
    <cellStyle name="Lien hypertexte" xfId="20900" builtinId="8" hidden="1"/>
    <cellStyle name="Lien hypertexte" xfId="20902" builtinId="8" hidden="1"/>
    <cellStyle name="Lien hypertexte" xfId="20904" builtinId="8" hidden="1"/>
    <cellStyle name="Lien hypertexte" xfId="20906" builtinId="8" hidden="1"/>
    <cellStyle name="Lien hypertexte" xfId="20908" builtinId="8" hidden="1"/>
    <cellStyle name="Lien hypertexte" xfId="20910" builtinId="8" hidden="1"/>
    <cellStyle name="Lien hypertexte" xfId="20912" builtinId="8" hidden="1"/>
    <cellStyle name="Lien hypertexte" xfId="20914" builtinId="8" hidden="1"/>
    <cellStyle name="Lien hypertexte" xfId="20916" builtinId="8" hidden="1"/>
    <cellStyle name="Lien hypertexte" xfId="20918" builtinId="8" hidden="1"/>
    <cellStyle name="Lien hypertexte" xfId="20920" builtinId="8" hidden="1"/>
    <cellStyle name="Lien hypertexte" xfId="20922" builtinId="8" hidden="1"/>
    <cellStyle name="Lien hypertexte" xfId="20924" builtinId="8" hidden="1"/>
    <cellStyle name="Lien hypertexte" xfId="20926" builtinId="8" hidden="1"/>
    <cellStyle name="Lien hypertexte" xfId="20928" builtinId="8" hidden="1"/>
    <cellStyle name="Lien hypertexte" xfId="20930" builtinId="8" hidden="1"/>
    <cellStyle name="Lien hypertexte" xfId="20932" builtinId="8" hidden="1"/>
    <cellStyle name="Lien hypertexte" xfId="20934" builtinId="8" hidden="1"/>
    <cellStyle name="Lien hypertexte" xfId="20936" builtinId="8" hidden="1"/>
    <cellStyle name="Lien hypertexte" xfId="20938" builtinId="8" hidden="1"/>
    <cellStyle name="Lien hypertexte" xfId="20940" builtinId="8" hidden="1"/>
    <cellStyle name="Lien hypertexte" xfId="20942" builtinId="8" hidden="1"/>
    <cellStyle name="Lien hypertexte" xfId="20944" builtinId="8" hidden="1"/>
    <cellStyle name="Lien hypertexte" xfId="20946" builtinId="8" hidden="1"/>
    <cellStyle name="Lien hypertexte" xfId="20948" builtinId="8" hidden="1"/>
    <cellStyle name="Lien hypertexte" xfId="20950" builtinId="8" hidden="1"/>
    <cellStyle name="Lien hypertexte" xfId="20952" builtinId="8" hidden="1"/>
    <cellStyle name="Lien hypertexte" xfId="20954" builtinId="8" hidden="1"/>
    <cellStyle name="Lien hypertexte" xfId="20956" builtinId="8" hidden="1"/>
    <cellStyle name="Lien hypertexte" xfId="20958" builtinId="8" hidden="1"/>
    <cellStyle name="Lien hypertexte" xfId="20960" builtinId="8" hidden="1"/>
    <cellStyle name="Lien hypertexte" xfId="20962" builtinId="8" hidden="1"/>
    <cellStyle name="Lien hypertexte" xfId="20964" builtinId="8" hidden="1"/>
    <cellStyle name="Lien hypertexte" xfId="20966" builtinId="8" hidden="1"/>
    <cellStyle name="Lien hypertexte" xfId="20968" builtinId="8" hidden="1"/>
    <cellStyle name="Lien hypertexte" xfId="20970" builtinId="8" hidden="1"/>
    <cellStyle name="Lien hypertexte" xfId="20972" builtinId="8" hidden="1"/>
    <cellStyle name="Lien hypertexte" xfId="20974" builtinId="8" hidden="1"/>
    <cellStyle name="Lien hypertexte" xfId="20976" builtinId="8" hidden="1"/>
    <cellStyle name="Lien hypertexte" xfId="20978" builtinId="8" hidden="1"/>
    <cellStyle name="Lien hypertexte" xfId="20980" builtinId="8" hidden="1"/>
    <cellStyle name="Lien hypertexte" xfId="20982" builtinId="8" hidden="1"/>
    <cellStyle name="Lien hypertexte" xfId="20984" builtinId="8" hidden="1"/>
    <cellStyle name="Lien hypertexte" xfId="20986" builtinId="8" hidden="1"/>
    <cellStyle name="Lien hypertexte" xfId="20988" builtinId="8" hidden="1"/>
    <cellStyle name="Lien hypertexte" xfId="20990" builtinId="8" hidden="1"/>
    <cellStyle name="Lien hypertexte" xfId="20992" builtinId="8" hidden="1"/>
    <cellStyle name="Lien hypertexte" xfId="20994" builtinId="8" hidden="1"/>
    <cellStyle name="Lien hypertexte" xfId="20996" builtinId="8" hidden="1"/>
    <cellStyle name="Lien hypertexte" xfId="20998" builtinId="8" hidden="1"/>
    <cellStyle name="Lien hypertexte" xfId="21000" builtinId="8" hidden="1"/>
    <cellStyle name="Lien hypertexte" xfId="21002" builtinId="8" hidden="1"/>
    <cellStyle name="Lien hypertexte" xfId="21004" builtinId="8" hidden="1"/>
    <cellStyle name="Lien hypertexte" xfId="21006" builtinId="8" hidden="1"/>
    <cellStyle name="Lien hypertexte" xfId="21008" builtinId="8" hidden="1"/>
    <cellStyle name="Lien hypertexte" xfId="21010" builtinId="8" hidden="1"/>
    <cellStyle name="Lien hypertexte" xfId="21012" builtinId="8" hidden="1"/>
    <cellStyle name="Lien hypertexte" xfId="21014" builtinId="8" hidden="1"/>
    <cellStyle name="Lien hypertexte" xfId="21016" builtinId="8" hidden="1"/>
    <cellStyle name="Lien hypertexte" xfId="21018" builtinId="8" hidden="1"/>
    <cellStyle name="Lien hypertexte" xfId="21020" builtinId="8" hidden="1"/>
    <cellStyle name="Lien hypertexte" xfId="21022" builtinId="8" hidden="1"/>
    <cellStyle name="Lien hypertexte" xfId="21024" builtinId="8" hidden="1"/>
    <cellStyle name="Lien hypertexte" xfId="21026" builtinId="8" hidden="1"/>
    <cellStyle name="Lien hypertexte" xfId="21028" builtinId="8" hidden="1"/>
    <cellStyle name="Lien hypertexte" xfId="21030" builtinId="8" hidden="1"/>
    <cellStyle name="Lien hypertexte" xfId="21032" builtinId="8" hidden="1"/>
    <cellStyle name="Lien hypertexte" xfId="21034" builtinId="8" hidden="1"/>
    <cellStyle name="Lien hypertexte" xfId="21036" builtinId="8" hidden="1"/>
    <cellStyle name="Lien hypertexte" xfId="21038" builtinId="8" hidden="1"/>
    <cellStyle name="Lien hypertexte" xfId="21040" builtinId="8" hidden="1"/>
    <cellStyle name="Lien hypertexte" xfId="21042" builtinId="8" hidden="1"/>
    <cellStyle name="Lien hypertexte" xfId="21044" builtinId="8" hidden="1"/>
    <cellStyle name="Lien hypertexte" xfId="21046" builtinId="8" hidden="1"/>
    <cellStyle name="Lien hypertexte" xfId="21048" builtinId="8" hidden="1"/>
    <cellStyle name="Lien hypertexte" xfId="21050" builtinId="8" hidden="1"/>
    <cellStyle name="Lien hypertexte" xfId="21052" builtinId="8" hidden="1"/>
    <cellStyle name="Lien hypertexte" xfId="21054" builtinId="8" hidden="1"/>
    <cellStyle name="Lien hypertexte" xfId="21056" builtinId="8" hidden="1"/>
    <cellStyle name="Lien hypertexte" xfId="21058" builtinId="8" hidden="1"/>
    <cellStyle name="Lien hypertexte" xfId="21060" builtinId="8" hidden="1"/>
    <cellStyle name="Lien hypertexte" xfId="21062" builtinId="8" hidden="1"/>
    <cellStyle name="Lien hypertexte" xfId="21064" builtinId="8" hidden="1"/>
    <cellStyle name="Lien hypertexte" xfId="21066" builtinId="8" hidden="1"/>
    <cellStyle name="Lien hypertexte" xfId="21068" builtinId="8" hidden="1"/>
    <cellStyle name="Lien hypertexte" xfId="21070" builtinId="8" hidden="1"/>
    <cellStyle name="Lien hypertexte" xfId="21072" builtinId="8" hidden="1"/>
    <cellStyle name="Lien hypertexte" xfId="21074" builtinId="8" hidden="1"/>
    <cellStyle name="Lien hypertexte" xfId="21076" builtinId="8" hidden="1"/>
    <cellStyle name="Lien hypertexte" xfId="21078" builtinId="8" hidden="1"/>
    <cellStyle name="Lien hypertexte" xfId="21080" builtinId="8" hidden="1"/>
    <cellStyle name="Lien hypertexte" xfId="21082" builtinId="8" hidden="1"/>
    <cellStyle name="Lien hypertexte" xfId="21084" builtinId="8" hidden="1"/>
    <cellStyle name="Lien hypertexte" xfId="21086" builtinId="8" hidden="1"/>
    <cellStyle name="Lien hypertexte" xfId="21088" builtinId="8" hidden="1"/>
    <cellStyle name="Lien hypertexte" xfId="21090" builtinId="8" hidden="1"/>
    <cellStyle name="Lien hypertexte" xfId="21092" builtinId="8" hidden="1"/>
    <cellStyle name="Lien hypertexte" xfId="21094" builtinId="8" hidden="1"/>
    <cellStyle name="Lien hypertexte" xfId="21096" builtinId="8" hidden="1"/>
    <cellStyle name="Lien hypertexte" xfId="21098" builtinId="8" hidden="1"/>
    <cellStyle name="Lien hypertexte" xfId="21100" builtinId="8" hidden="1"/>
    <cellStyle name="Lien hypertexte" xfId="21102" builtinId="8" hidden="1"/>
    <cellStyle name="Lien hypertexte" xfId="21104" builtinId="8" hidden="1"/>
    <cellStyle name="Lien hypertexte" xfId="21106" builtinId="8" hidden="1"/>
    <cellStyle name="Lien hypertexte" xfId="21108" builtinId="8" hidden="1"/>
    <cellStyle name="Lien hypertexte" xfId="21110" builtinId="8" hidden="1"/>
    <cellStyle name="Lien hypertexte" xfId="21112" builtinId="8" hidden="1"/>
    <cellStyle name="Lien hypertexte" xfId="21114" builtinId="8" hidden="1"/>
    <cellStyle name="Lien hypertexte" xfId="21116" builtinId="8" hidden="1"/>
    <cellStyle name="Lien hypertexte" xfId="21118" builtinId="8" hidden="1"/>
    <cellStyle name="Lien hypertexte" xfId="21120" builtinId="8" hidden="1"/>
    <cellStyle name="Lien hypertexte" xfId="21122" builtinId="8" hidden="1"/>
    <cellStyle name="Lien hypertexte" xfId="21124" builtinId="8" hidden="1"/>
    <cellStyle name="Lien hypertexte" xfId="21126" builtinId="8" hidden="1"/>
    <cellStyle name="Lien hypertexte" xfId="21128" builtinId="8" hidden="1"/>
    <cellStyle name="Lien hypertexte" xfId="21130" builtinId="8" hidden="1"/>
    <cellStyle name="Lien hypertexte" xfId="21132" builtinId="8" hidden="1"/>
    <cellStyle name="Lien hypertexte" xfId="21134" builtinId="8" hidden="1"/>
    <cellStyle name="Lien hypertexte" xfId="21136" builtinId="8" hidden="1"/>
    <cellStyle name="Lien hypertexte" xfId="21138" builtinId="8" hidden="1"/>
    <cellStyle name="Lien hypertexte" xfId="21140" builtinId="8" hidden="1"/>
    <cellStyle name="Lien hypertexte" xfId="21142" builtinId="8" hidden="1"/>
    <cellStyle name="Lien hypertexte" xfId="21144" builtinId="8" hidden="1"/>
    <cellStyle name="Lien hypertexte" xfId="21146" builtinId="8" hidden="1"/>
    <cellStyle name="Lien hypertexte" xfId="21148" builtinId="8" hidden="1"/>
    <cellStyle name="Lien hypertexte" xfId="21150" builtinId="8" hidden="1"/>
    <cellStyle name="Lien hypertexte" xfId="21152" builtinId="8" hidden="1"/>
    <cellStyle name="Lien hypertexte" xfId="21154" builtinId="8" hidden="1"/>
    <cellStyle name="Lien hypertexte" xfId="21156" builtinId="8" hidden="1"/>
    <cellStyle name="Lien hypertexte" xfId="21158" builtinId="8" hidden="1"/>
    <cellStyle name="Lien hypertexte" xfId="21160" builtinId="8" hidden="1"/>
    <cellStyle name="Lien hypertexte" xfId="21162" builtinId="8" hidden="1"/>
    <cellStyle name="Lien hypertexte" xfId="21164" builtinId="8" hidden="1"/>
    <cellStyle name="Lien hypertexte" xfId="21166" builtinId="8" hidden="1"/>
    <cellStyle name="Lien hypertexte" xfId="21168" builtinId="8" hidden="1"/>
    <cellStyle name="Lien hypertexte" xfId="21170" builtinId="8" hidden="1"/>
    <cellStyle name="Lien hypertexte" xfId="21172" builtinId="8" hidden="1"/>
    <cellStyle name="Lien hypertexte" xfId="21174" builtinId="8" hidden="1"/>
    <cellStyle name="Lien hypertexte" xfId="21176" builtinId="8" hidden="1"/>
    <cellStyle name="Lien hypertexte" xfId="21178" builtinId="8" hidden="1"/>
    <cellStyle name="Lien hypertexte" xfId="21180" builtinId="8" hidden="1"/>
    <cellStyle name="Lien hypertexte" xfId="21182" builtinId="8" hidden="1"/>
    <cellStyle name="Lien hypertexte" xfId="21184" builtinId="8" hidden="1"/>
    <cellStyle name="Lien hypertexte" xfId="21186" builtinId="8" hidden="1"/>
    <cellStyle name="Lien hypertexte" xfId="21188" builtinId="8" hidden="1"/>
    <cellStyle name="Lien hypertexte" xfId="21190" builtinId="8" hidden="1"/>
    <cellStyle name="Lien hypertexte" xfId="21192" builtinId="8" hidden="1"/>
    <cellStyle name="Lien hypertexte" xfId="21194" builtinId="8" hidden="1"/>
    <cellStyle name="Lien hypertexte" xfId="21196" builtinId="8" hidden="1"/>
    <cellStyle name="Lien hypertexte" xfId="21198" builtinId="8" hidden="1"/>
    <cellStyle name="Lien hypertexte" xfId="21200" builtinId="8" hidden="1"/>
    <cellStyle name="Lien hypertexte" xfId="21202" builtinId="8" hidden="1"/>
    <cellStyle name="Lien hypertexte" xfId="21204" builtinId="8" hidden="1"/>
    <cellStyle name="Lien hypertexte" xfId="21206" builtinId="8" hidden="1"/>
    <cellStyle name="Lien hypertexte" xfId="21208" builtinId="8" hidden="1"/>
    <cellStyle name="Lien hypertexte" xfId="21210" builtinId="8" hidden="1"/>
    <cellStyle name="Lien hypertexte" xfId="21212" builtinId="8" hidden="1"/>
    <cellStyle name="Lien hypertexte" xfId="21214" builtinId="8" hidden="1"/>
    <cellStyle name="Lien hypertexte" xfId="21216" builtinId="8" hidden="1"/>
    <cellStyle name="Lien hypertexte" xfId="21218" builtinId="8" hidden="1"/>
    <cellStyle name="Lien hypertexte" xfId="21220" builtinId="8" hidden="1"/>
    <cellStyle name="Lien hypertexte" xfId="21222" builtinId="8" hidden="1"/>
    <cellStyle name="Lien hypertexte" xfId="21224" builtinId="8" hidden="1"/>
    <cellStyle name="Lien hypertexte" xfId="21226" builtinId="8" hidden="1"/>
    <cellStyle name="Lien hypertexte" xfId="21228" builtinId="8" hidden="1"/>
    <cellStyle name="Lien hypertexte" xfId="21230" builtinId="8" hidden="1"/>
    <cellStyle name="Lien hypertexte" xfId="21232" builtinId="8" hidden="1"/>
    <cellStyle name="Lien hypertexte" xfId="21234" builtinId="8" hidden="1"/>
    <cellStyle name="Lien hypertexte" xfId="21236" builtinId="8" hidden="1"/>
    <cellStyle name="Lien hypertexte" xfId="21238" builtinId="8" hidden="1"/>
    <cellStyle name="Lien hypertexte" xfId="21240" builtinId="8" hidden="1"/>
    <cellStyle name="Lien hypertexte" xfId="21242" builtinId="8" hidden="1"/>
    <cellStyle name="Lien hypertexte" xfId="21244" builtinId="8" hidden="1"/>
    <cellStyle name="Lien hypertexte" xfId="21246" builtinId="8" hidden="1"/>
    <cellStyle name="Lien hypertexte" xfId="21248" builtinId="8" hidden="1"/>
    <cellStyle name="Lien hypertexte" xfId="21250" builtinId="8" hidden="1"/>
    <cellStyle name="Lien hypertexte" xfId="21252" builtinId="8" hidden="1"/>
    <cellStyle name="Lien hypertexte" xfId="21254" builtinId="8" hidden="1"/>
    <cellStyle name="Lien hypertexte" xfId="21256" builtinId="8" hidden="1"/>
    <cellStyle name="Lien hypertexte" xfId="21258" builtinId="8" hidden="1"/>
    <cellStyle name="Lien hypertexte" xfId="21260" builtinId="8" hidden="1"/>
    <cellStyle name="Lien hypertexte" xfId="21262" builtinId="8" hidden="1"/>
    <cellStyle name="Lien hypertexte" xfId="21264" builtinId="8" hidden="1"/>
    <cellStyle name="Lien hypertexte" xfId="21266" builtinId="8" hidden="1"/>
    <cellStyle name="Lien hypertexte" xfId="21268" builtinId="8" hidden="1"/>
    <cellStyle name="Lien hypertexte" xfId="21270" builtinId="8" hidden="1"/>
    <cellStyle name="Lien hypertexte" xfId="21272" builtinId="8" hidden="1"/>
    <cellStyle name="Lien hypertexte" xfId="21274" builtinId="8" hidden="1"/>
    <cellStyle name="Lien hypertexte" xfId="21276" builtinId="8" hidden="1"/>
    <cellStyle name="Lien hypertexte" xfId="21278" builtinId="8" hidden="1"/>
    <cellStyle name="Lien hypertexte" xfId="21280" builtinId="8" hidden="1"/>
    <cellStyle name="Lien hypertexte" xfId="21282" builtinId="8" hidden="1"/>
    <cellStyle name="Lien hypertexte" xfId="21284" builtinId="8" hidden="1"/>
    <cellStyle name="Lien hypertexte" xfId="21286" builtinId="8" hidden="1"/>
    <cellStyle name="Lien hypertexte" xfId="21288" builtinId="8" hidden="1"/>
    <cellStyle name="Lien hypertexte" xfId="21290" builtinId="8" hidden="1"/>
    <cellStyle name="Lien hypertexte" xfId="21292" builtinId="8" hidden="1"/>
    <cellStyle name="Lien hypertexte" xfId="21294" builtinId="8" hidden="1"/>
    <cellStyle name="Lien hypertexte" xfId="21296" builtinId="8" hidden="1"/>
    <cellStyle name="Lien hypertexte" xfId="21298" builtinId="8" hidden="1"/>
    <cellStyle name="Lien hypertexte" xfId="21300" builtinId="8" hidden="1"/>
    <cellStyle name="Lien hypertexte" xfId="21302" builtinId="8" hidden="1"/>
    <cellStyle name="Lien hypertexte" xfId="21304" builtinId="8" hidden="1"/>
    <cellStyle name="Lien hypertexte" xfId="21306" builtinId="8" hidden="1"/>
    <cellStyle name="Lien hypertexte" xfId="21308" builtinId="8" hidden="1"/>
    <cellStyle name="Lien hypertexte" xfId="21310" builtinId="8" hidden="1"/>
    <cellStyle name="Lien hypertexte" xfId="21312" builtinId="8" hidden="1"/>
    <cellStyle name="Lien hypertexte" xfId="21314" builtinId="8" hidden="1"/>
    <cellStyle name="Lien hypertexte" xfId="21316" builtinId="8" hidden="1"/>
    <cellStyle name="Lien hypertexte" xfId="21318" builtinId="8" hidden="1"/>
    <cellStyle name="Lien hypertexte" xfId="21320" builtinId="8" hidden="1"/>
    <cellStyle name="Lien hypertexte" xfId="21322" builtinId="8" hidden="1"/>
    <cellStyle name="Lien hypertexte" xfId="21324" builtinId="8" hidden="1"/>
    <cellStyle name="Lien hypertexte" xfId="21326" builtinId="8" hidden="1"/>
    <cellStyle name="Lien hypertexte" xfId="21328" builtinId="8" hidden="1"/>
    <cellStyle name="Lien hypertexte" xfId="21330" builtinId="8" hidden="1"/>
    <cellStyle name="Lien hypertexte" xfId="21332" builtinId="8" hidden="1"/>
    <cellStyle name="Lien hypertexte" xfId="21334" builtinId="8" hidden="1"/>
    <cellStyle name="Lien hypertexte" xfId="21336" builtinId="8" hidden="1"/>
    <cellStyle name="Lien hypertexte" xfId="21338" builtinId="8" hidden="1"/>
    <cellStyle name="Lien hypertexte" xfId="21340" builtinId="8" hidden="1"/>
    <cellStyle name="Lien hypertexte" xfId="21342" builtinId="8" hidden="1"/>
    <cellStyle name="Lien hypertexte" xfId="21344" builtinId="8" hidden="1"/>
    <cellStyle name="Lien hypertexte" xfId="21346" builtinId="8" hidden="1"/>
    <cellStyle name="Lien hypertexte" xfId="21348" builtinId="8" hidden="1"/>
    <cellStyle name="Lien hypertexte" xfId="21350" builtinId="8" hidden="1"/>
    <cellStyle name="Lien hypertexte" xfId="21352" builtinId="8" hidden="1"/>
    <cellStyle name="Lien hypertexte" xfId="21354" builtinId="8" hidden="1"/>
    <cellStyle name="Lien hypertexte" xfId="21356" builtinId="8" hidden="1"/>
    <cellStyle name="Lien hypertexte" xfId="21358" builtinId="8" hidden="1"/>
    <cellStyle name="Lien hypertexte" xfId="21360" builtinId="8" hidden="1"/>
    <cellStyle name="Lien hypertexte" xfId="21362" builtinId="8" hidden="1"/>
    <cellStyle name="Lien hypertexte" xfId="21364" builtinId="8" hidden="1"/>
    <cellStyle name="Lien hypertexte" xfId="21366" builtinId="8" hidden="1"/>
    <cellStyle name="Lien hypertexte" xfId="21368" builtinId="8" hidden="1"/>
    <cellStyle name="Lien hypertexte" xfId="21370" builtinId="8" hidden="1"/>
    <cellStyle name="Lien hypertexte" xfId="21372" builtinId="8" hidden="1"/>
    <cellStyle name="Lien hypertexte" xfId="21374" builtinId="8" hidden="1"/>
    <cellStyle name="Lien hypertexte" xfId="21376" builtinId="8" hidden="1"/>
    <cellStyle name="Lien hypertexte" xfId="21378" builtinId="8" hidden="1"/>
    <cellStyle name="Lien hypertexte" xfId="21380" builtinId="8" hidden="1"/>
    <cellStyle name="Lien hypertexte" xfId="21382" builtinId="8" hidden="1"/>
    <cellStyle name="Lien hypertexte" xfId="21384" builtinId="8" hidden="1"/>
    <cellStyle name="Lien hypertexte" xfId="21386" builtinId="8" hidden="1"/>
    <cellStyle name="Lien hypertexte" xfId="21388" builtinId="8" hidden="1"/>
    <cellStyle name="Lien hypertexte" xfId="21390" builtinId="8" hidden="1"/>
    <cellStyle name="Lien hypertexte" xfId="21392" builtinId="8" hidden="1"/>
    <cellStyle name="Lien hypertexte" xfId="21394" builtinId="8" hidden="1"/>
    <cellStyle name="Lien hypertexte" xfId="21396" builtinId="8" hidden="1"/>
    <cellStyle name="Lien hypertexte" xfId="21398" builtinId="8" hidden="1"/>
    <cellStyle name="Lien hypertexte" xfId="21400" builtinId="8" hidden="1"/>
    <cellStyle name="Lien hypertexte" xfId="21402" builtinId="8" hidden="1"/>
    <cellStyle name="Lien hypertexte" xfId="21404" builtinId="8" hidden="1"/>
    <cellStyle name="Lien hypertexte" xfId="21406" builtinId="8" hidden="1"/>
    <cellStyle name="Lien hypertexte" xfId="21408" builtinId="8" hidden="1"/>
    <cellStyle name="Lien hypertexte" xfId="21410" builtinId="8" hidden="1"/>
    <cellStyle name="Lien hypertexte" xfId="21412" builtinId="8" hidden="1"/>
    <cellStyle name="Lien hypertexte" xfId="21414" builtinId="8" hidden="1"/>
    <cellStyle name="Lien hypertexte" xfId="21416" builtinId="8" hidden="1"/>
    <cellStyle name="Lien hypertexte" xfId="21418" builtinId="8" hidden="1"/>
    <cellStyle name="Lien hypertexte" xfId="21420" builtinId="8" hidden="1"/>
    <cellStyle name="Lien hypertexte" xfId="21422" builtinId="8" hidden="1"/>
    <cellStyle name="Lien hypertexte" xfId="21424" builtinId="8" hidden="1"/>
    <cellStyle name="Lien hypertexte" xfId="21426" builtinId="8" hidden="1"/>
    <cellStyle name="Lien hypertexte" xfId="21428" builtinId="8" hidden="1"/>
    <cellStyle name="Lien hypertexte" xfId="21430" builtinId="8" hidden="1"/>
    <cellStyle name="Lien hypertexte" xfId="21432" builtinId="8" hidden="1"/>
    <cellStyle name="Lien hypertexte" xfId="21434" builtinId="8" hidden="1"/>
    <cellStyle name="Lien hypertexte" xfId="21436" builtinId="8" hidden="1"/>
    <cellStyle name="Lien hypertexte" xfId="21438" builtinId="8" hidden="1"/>
    <cellStyle name="Lien hypertexte" xfId="21440" builtinId="8" hidden="1"/>
    <cellStyle name="Lien hypertexte" xfId="21442" builtinId="8" hidden="1"/>
    <cellStyle name="Lien hypertexte" xfId="21444" builtinId="8" hidden="1"/>
    <cellStyle name="Lien hypertexte" xfId="21446" builtinId="8" hidden="1"/>
    <cellStyle name="Lien hypertexte" xfId="21448" builtinId="8" hidden="1"/>
    <cellStyle name="Lien hypertexte" xfId="21450" builtinId="8" hidden="1"/>
    <cellStyle name="Lien hypertexte" xfId="21452" builtinId="8" hidden="1"/>
    <cellStyle name="Lien hypertexte" xfId="21454" builtinId="8" hidden="1"/>
    <cellStyle name="Lien hypertexte" xfId="21456" builtinId="8" hidden="1"/>
    <cellStyle name="Lien hypertexte" xfId="21458" builtinId="8" hidden="1"/>
    <cellStyle name="Lien hypertexte" xfId="21460" builtinId="8" hidden="1"/>
    <cellStyle name="Lien hypertexte" xfId="21462" builtinId="8" hidden="1"/>
    <cellStyle name="Lien hypertexte" xfId="21464" builtinId="8" hidden="1"/>
    <cellStyle name="Lien hypertexte" xfId="21466" builtinId="8" hidden="1"/>
    <cellStyle name="Lien hypertexte" xfId="21468" builtinId="8" hidden="1"/>
    <cellStyle name="Lien hypertexte" xfId="21470" builtinId="8" hidden="1"/>
    <cellStyle name="Lien hypertexte" xfId="21472" builtinId="8" hidden="1"/>
    <cellStyle name="Lien hypertexte" xfId="21474" builtinId="8" hidden="1"/>
    <cellStyle name="Lien hypertexte" xfId="21476" builtinId="8" hidden="1"/>
    <cellStyle name="Lien hypertexte" xfId="21478" builtinId="8" hidden="1"/>
    <cellStyle name="Lien hypertexte" xfId="21480" builtinId="8" hidden="1"/>
    <cellStyle name="Lien hypertexte" xfId="21482" builtinId="8" hidden="1"/>
    <cellStyle name="Lien hypertexte" xfId="21484" builtinId="8" hidden="1"/>
    <cellStyle name="Lien hypertexte" xfId="21486" builtinId="8" hidden="1"/>
    <cellStyle name="Lien hypertexte" xfId="21488" builtinId="8" hidden="1"/>
    <cellStyle name="Lien hypertexte" xfId="21490" builtinId="8" hidden="1"/>
    <cellStyle name="Lien hypertexte" xfId="21492" builtinId="8" hidden="1"/>
    <cellStyle name="Lien hypertexte" xfId="21494" builtinId="8" hidden="1"/>
    <cellStyle name="Lien hypertexte" xfId="21496" builtinId="8" hidden="1"/>
    <cellStyle name="Lien hypertexte" xfId="21498" builtinId="8" hidden="1"/>
    <cellStyle name="Lien hypertexte" xfId="21500" builtinId="8" hidden="1"/>
    <cellStyle name="Lien hypertexte" xfId="21502" builtinId="8" hidden="1"/>
    <cellStyle name="Lien hypertexte" xfId="21504" builtinId="8" hidden="1"/>
    <cellStyle name="Lien hypertexte" xfId="21506" builtinId="8" hidden="1"/>
    <cellStyle name="Lien hypertexte" xfId="21508" builtinId="8" hidden="1"/>
    <cellStyle name="Lien hypertexte" xfId="21510" builtinId="8" hidden="1"/>
    <cellStyle name="Lien hypertexte" xfId="21512" builtinId="8" hidden="1"/>
    <cellStyle name="Lien hypertexte" xfId="21514" builtinId="8" hidden="1"/>
    <cellStyle name="Lien hypertexte" xfId="21516" builtinId="8" hidden="1"/>
    <cellStyle name="Lien hypertexte" xfId="21518" builtinId="8" hidden="1"/>
    <cellStyle name="Lien hypertexte" xfId="21520" builtinId="8" hidden="1"/>
    <cellStyle name="Lien hypertexte" xfId="21522" builtinId="8" hidden="1"/>
    <cellStyle name="Lien hypertexte" xfId="21524" builtinId="8" hidden="1"/>
    <cellStyle name="Lien hypertexte" xfId="21526" builtinId="8" hidden="1"/>
    <cellStyle name="Lien hypertexte" xfId="21528" builtinId="8" hidden="1"/>
    <cellStyle name="Lien hypertexte" xfId="21530" builtinId="8" hidden="1"/>
    <cellStyle name="Lien hypertexte" xfId="21532" builtinId="8" hidden="1"/>
    <cellStyle name="Lien hypertexte" xfId="21534" builtinId="8" hidden="1"/>
    <cellStyle name="Lien hypertexte" xfId="21536" builtinId="8" hidden="1"/>
    <cellStyle name="Lien hypertexte" xfId="21538" builtinId="8" hidden="1"/>
    <cellStyle name="Lien hypertexte" xfId="21540" builtinId="8" hidden="1"/>
    <cellStyle name="Lien hypertexte" xfId="21542" builtinId="8" hidden="1"/>
    <cellStyle name="Lien hypertexte" xfId="21544" builtinId="8" hidden="1"/>
    <cellStyle name="Lien hypertexte" xfId="21546" builtinId="8" hidden="1"/>
    <cellStyle name="Lien hypertexte" xfId="21548" builtinId="8" hidden="1"/>
    <cellStyle name="Lien hypertexte" xfId="21550" builtinId="8" hidden="1"/>
    <cellStyle name="Lien hypertexte" xfId="21552" builtinId="8" hidden="1"/>
    <cellStyle name="Lien hypertexte" xfId="21554" builtinId="8" hidden="1"/>
    <cellStyle name="Lien hypertexte" xfId="21556" builtinId="8" hidden="1"/>
    <cellStyle name="Lien hypertexte" xfId="21558" builtinId="8" hidden="1"/>
    <cellStyle name="Lien hypertexte" xfId="21560" builtinId="8" hidden="1"/>
    <cellStyle name="Lien hypertexte" xfId="21562" builtinId="8" hidden="1"/>
    <cellStyle name="Lien hypertexte" xfId="21564" builtinId="8" hidden="1"/>
    <cellStyle name="Lien hypertexte" xfId="21566" builtinId="8" hidden="1"/>
    <cellStyle name="Lien hypertexte" xfId="21568" builtinId="8" hidden="1"/>
    <cellStyle name="Lien hypertexte" xfId="21570" builtinId="8" hidden="1"/>
    <cellStyle name="Lien hypertexte" xfId="21572" builtinId="8" hidden="1"/>
    <cellStyle name="Lien hypertexte" xfId="21574" builtinId="8" hidden="1"/>
    <cellStyle name="Lien hypertexte" xfId="21576" builtinId="8" hidden="1"/>
    <cellStyle name="Lien hypertexte" xfId="21578" builtinId="8" hidden="1"/>
    <cellStyle name="Lien hypertexte" xfId="21580" builtinId="8" hidden="1"/>
    <cellStyle name="Lien hypertexte" xfId="21582" builtinId="8" hidden="1"/>
    <cellStyle name="Lien hypertexte" xfId="21584" builtinId="8" hidden="1"/>
    <cellStyle name="Lien hypertexte" xfId="21586" builtinId="8" hidden="1"/>
    <cellStyle name="Lien hypertexte" xfId="21588" builtinId="8" hidden="1"/>
    <cellStyle name="Lien hypertexte" xfId="21590" builtinId="8" hidden="1"/>
    <cellStyle name="Lien hypertexte" xfId="21592" builtinId="8" hidden="1"/>
    <cellStyle name="Lien hypertexte" xfId="21594" builtinId="8" hidden="1"/>
    <cellStyle name="Lien hypertexte" xfId="21596" builtinId="8" hidden="1"/>
    <cellStyle name="Lien hypertexte" xfId="21598" builtinId="8" hidden="1"/>
    <cellStyle name="Lien hypertexte" xfId="21600" builtinId="8" hidden="1"/>
    <cellStyle name="Lien hypertexte" xfId="21602" builtinId="8" hidden="1"/>
    <cellStyle name="Lien hypertexte" xfId="21604" builtinId="8" hidden="1"/>
    <cellStyle name="Lien hypertexte" xfId="21606" builtinId="8" hidden="1"/>
    <cellStyle name="Lien hypertexte" xfId="21608" builtinId="8" hidden="1"/>
    <cellStyle name="Lien hypertexte" xfId="21610" builtinId="8" hidden="1"/>
    <cellStyle name="Lien hypertexte" xfId="21612" builtinId="8" hidden="1"/>
    <cellStyle name="Lien hypertexte" xfId="21614" builtinId="8" hidden="1"/>
    <cellStyle name="Lien hypertexte" xfId="21616" builtinId="8" hidden="1"/>
    <cellStyle name="Lien hypertexte" xfId="21618" builtinId="8" hidden="1"/>
    <cellStyle name="Lien hypertexte" xfId="21620" builtinId="8" hidden="1"/>
    <cellStyle name="Lien hypertexte" xfId="21622" builtinId="8" hidden="1"/>
    <cellStyle name="Lien hypertexte" xfId="21624" builtinId="8" hidden="1"/>
    <cellStyle name="Lien hypertexte" xfId="21626" builtinId="8" hidden="1"/>
    <cellStyle name="Lien hypertexte" xfId="21628" builtinId="8" hidden="1"/>
    <cellStyle name="Lien hypertexte" xfId="21630" builtinId="8" hidden="1"/>
    <cellStyle name="Lien hypertexte" xfId="21632" builtinId="8" hidden="1"/>
    <cellStyle name="Lien hypertexte" xfId="21634" builtinId="8" hidden="1"/>
    <cellStyle name="Lien hypertexte" xfId="21636" builtinId="8" hidden="1"/>
    <cellStyle name="Lien hypertexte" xfId="21638" builtinId="8" hidden="1"/>
    <cellStyle name="Lien hypertexte" xfId="21640" builtinId="8" hidden="1"/>
    <cellStyle name="Lien hypertexte" xfId="21642" builtinId="8" hidden="1"/>
    <cellStyle name="Lien hypertexte" xfId="21644" builtinId="8" hidden="1"/>
    <cellStyle name="Lien hypertexte" xfId="21646" builtinId="8" hidden="1"/>
    <cellStyle name="Lien hypertexte" xfId="21648" builtinId="8" hidden="1"/>
    <cellStyle name="Lien hypertexte" xfId="21650" builtinId="8" hidden="1"/>
    <cellStyle name="Lien hypertexte" xfId="21652" builtinId="8" hidden="1"/>
    <cellStyle name="Lien hypertexte" xfId="21654" builtinId="8" hidden="1"/>
    <cellStyle name="Lien hypertexte" xfId="21656" builtinId="8" hidden="1"/>
    <cellStyle name="Lien hypertexte" xfId="21658" builtinId="8" hidden="1"/>
    <cellStyle name="Lien hypertexte" xfId="21660" builtinId="8" hidden="1"/>
    <cellStyle name="Lien hypertexte" xfId="21662" builtinId="8" hidden="1"/>
    <cellStyle name="Lien hypertexte" xfId="21664" builtinId="8" hidden="1"/>
    <cellStyle name="Lien hypertexte" xfId="21666" builtinId="8" hidden="1"/>
    <cellStyle name="Lien hypertexte" xfId="21668" builtinId="8" hidden="1"/>
    <cellStyle name="Lien hypertexte" xfId="21670" builtinId="8" hidden="1"/>
    <cellStyle name="Lien hypertexte" xfId="21672" builtinId="8" hidden="1"/>
    <cellStyle name="Lien hypertexte" xfId="21674" builtinId="8" hidden="1"/>
    <cellStyle name="Lien hypertexte" xfId="21676" builtinId="8" hidden="1"/>
    <cellStyle name="Lien hypertexte" xfId="21678" builtinId="8" hidden="1"/>
    <cellStyle name="Lien hypertexte" xfId="21680" builtinId="8" hidden="1"/>
    <cellStyle name="Lien hypertexte" xfId="21682" builtinId="8" hidden="1"/>
    <cellStyle name="Lien hypertexte" xfId="21684" builtinId="8" hidden="1"/>
    <cellStyle name="Lien hypertexte" xfId="21686" builtinId="8" hidden="1"/>
    <cellStyle name="Lien hypertexte" xfId="21688" builtinId="8" hidden="1"/>
    <cellStyle name="Lien hypertexte" xfId="21690" builtinId="8" hidden="1"/>
    <cellStyle name="Lien hypertexte" xfId="21692" builtinId="8" hidden="1"/>
    <cellStyle name="Lien hypertexte" xfId="21694" builtinId="8" hidden="1"/>
    <cellStyle name="Lien hypertexte" xfId="21696" builtinId="8" hidden="1"/>
    <cellStyle name="Lien hypertexte" xfId="21698" builtinId="8" hidden="1"/>
    <cellStyle name="Lien hypertexte" xfId="21700" builtinId="8" hidden="1"/>
    <cellStyle name="Lien hypertexte" xfId="21702" builtinId="8" hidden="1"/>
    <cellStyle name="Lien hypertexte" xfId="21704" builtinId="8" hidden="1"/>
    <cellStyle name="Lien hypertexte" xfId="21706" builtinId="8" hidden="1"/>
    <cellStyle name="Lien hypertexte" xfId="21708" builtinId="8" hidden="1"/>
    <cellStyle name="Lien hypertexte" xfId="21710" builtinId="8" hidden="1"/>
    <cellStyle name="Lien hypertexte" xfId="21712" builtinId="8" hidden="1"/>
    <cellStyle name="Lien hypertexte" xfId="21714" builtinId="8" hidden="1"/>
    <cellStyle name="Lien hypertexte" xfId="21716" builtinId="8" hidden="1"/>
    <cellStyle name="Lien hypertexte" xfId="21718" builtinId="8" hidden="1"/>
    <cellStyle name="Lien hypertexte" xfId="21720" builtinId="8" hidden="1"/>
    <cellStyle name="Lien hypertexte" xfId="21722" builtinId="8" hidden="1"/>
    <cellStyle name="Lien hypertexte" xfId="21724" builtinId="8" hidden="1"/>
    <cellStyle name="Lien hypertexte" xfId="21726" builtinId="8" hidden="1"/>
    <cellStyle name="Lien hypertexte" xfId="21728" builtinId="8" hidden="1"/>
    <cellStyle name="Lien hypertexte" xfId="21730" builtinId="8" hidden="1"/>
    <cellStyle name="Lien hypertexte" xfId="21732" builtinId="8" hidden="1"/>
    <cellStyle name="Lien hypertexte" xfId="21734" builtinId="8" hidden="1"/>
    <cellStyle name="Lien hypertexte" xfId="21736" builtinId="8" hidden="1"/>
    <cellStyle name="Lien hypertexte" xfId="21738" builtinId="8" hidden="1"/>
    <cellStyle name="Lien hypertexte" xfId="21740" builtinId="8" hidden="1"/>
    <cellStyle name="Lien hypertexte" xfId="21742" builtinId="8" hidden="1"/>
    <cellStyle name="Lien hypertexte" xfId="21744" builtinId="8" hidden="1"/>
    <cellStyle name="Lien hypertexte" xfId="21746" builtinId="8" hidden="1"/>
    <cellStyle name="Lien hypertexte" xfId="21748" builtinId="8" hidden="1"/>
    <cellStyle name="Lien hypertexte" xfId="21750" builtinId="8" hidden="1"/>
    <cellStyle name="Lien hypertexte" xfId="21752" builtinId="8" hidden="1"/>
    <cellStyle name="Lien hypertexte" xfId="21754" builtinId="8" hidden="1"/>
    <cellStyle name="Lien hypertexte" xfId="21756" builtinId="8" hidden="1"/>
    <cellStyle name="Lien hypertexte" xfId="21758" builtinId="8" hidden="1"/>
    <cellStyle name="Lien hypertexte" xfId="21760" builtinId="8" hidden="1"/>
    <cellStyle name="Lien hypertexte" xfId="21762" builtinId="8" hidden="1"/>
    <cellStyle name="Lien hypertexte" xfId="21764" builtinId="8" hidden="1"/>
    <cellStyle name="Lien hypertexte" xfId="21766" builtinId="8" hidden="1"/>
    <cellStyle name="Lien hypertexte" xfId="21768" builtinId="8" hidden="1"/>
    <cellStyle name="Lien hypertexte" xfId="21770" builtinId="8" hidden="1"/>
    <cellStyle name="Lien hypertexte" xfId="21772" builtinId="8" hidden="1"/>
    <cellStyle name="Lien hypertexte" xfId="21774" builtinId="8" hidden="1"/>
    <cellStyle name="Lien hypertexte" xfId="21776" builtinId="8" hidden="1"/>
    <cellStyle name="Lien hypertexte" xfId="21778" builtinId="8" hidden="1"/>
    <cellStyle name="Lien hypertexte" xfId="21780" builtinId="8" hidden="1"/>
    <cellStyle name="Lien hypertexte" xfId="21782" builtinId="8" hidden="1"/>
    <cellStyle name="Lien hypertexte" xfId="21784" builtinId="8" hidden="1"/>
    <cellStyle name="Lien hypertexte" xfId="21786" builtinId="8" hidden="1"/>
    <cellStyle name="Lien hypertexte" xfId="21788" builtinId="8" hidden="1"/>
    <cellStyle name="Lien hypertexte" xfId="21790" builtinId="8" hidden="1"/>
    <cellStyle name="Lien hypertexte" xfId="21792" builtinId="8" hidden="1"/>
    <cellStyle name="Lien hypertexte" xfId="21794" builtinId="8" hidden="1"/>
    <cellStyle name="Lien hypertexte" xfId="21796" builtinId="8" hidden="1"/>
    <cellStyle name="Lien hypertexte" xfId="21798" builtinId="8" hidden="1"/>
    <cellStyle name="Lien hypertexte" xfId="21800" builtinId="8" hidden="1"/>
    <cellStyle name="Lien hypertexte" xfId="21802" builtinId="8" hidden="1"/>
    <cellStyle name="Lien hypertexte" xfId="21804" builtinId="8" hidden="1"/>
    <cellStyle name="Lien hypertexte" xfId="21806" builtinId="8" hidden="1"/>
    <cellStyle name="Lien hypertexte" xfId="21808" builtinId="8" hidden="1"/>
    <cellStyle name="Lien hypertexte" xfId="21810" builtinId="8" hidden="1"/>
    <cellStyle name="Lien hypertexte" xfId="21812" builtinId="8" hidden="1"/>
    <cellStyle name="Lien hypertexte" xfId="21814" builtinId="8" hidden="1"/>
    <cellStyle name="Lien hypertexte" xfId="21816" builtinId="8" hidden="1"/>
    <cellStyle name="Lien hypertexte" xfId="21818" builtinId="8" hidden="1"/>
    <cellStyle name="Lien hypertexte" xfId="21820" builtinId="8" hidden="1"/>
    <cellStyle name="Lien hypertexte" xfId="21822" builtinId="8" hidden="1"/>
    <cellStyle name="Lien hypertexte" xfId="21824" builtinId="8" hidden="1"/>
    <cellStyle name="Lien hypertexte" xfId="21826" builtinId="8" hidden="1"/>
    <cellStyle name="Lien hypertexte" xfId="21828" builtinId="8" hidden="1"/>
    <cellStyle name="Lien hypertexte" xfId="21830" builtinId="8" hidden="1"/>
    <cellStyle name="Lien hypertexte" xfId="21832" builtinId="8" hidden="1"/>
    <cellStyle name="Lien hypertexte" xfId="21834" builtinId="8" hidden="1"/>
    <cellStyle name="Lien hypertexte" xfId="21836" builtinId="8" hidden="1"/>
    <cellStyle name="Lien hypertexte" xfId="21838" builtinId="8" hidden="1"/>
    <cellStyle name="Lien hypertexte" xfId="21840" builtinId="8" hidden="1"/>
    <cellStyle name="Lien hypertexte" xfId="21842" builtinId="8" hidden="1"/>
    <cellStyle name="Lien hypertexte" xfId="21844" builtinId="8" hidden="1"/>
    <cellStyle name="Lien hypertexte" xfId="21846" builtinId="8" hidden="1"/>
    <cellStyle name="Lien hypertexte" xfId="21848" builtinId="8" hidden="1"/>
    <cellStyle name="Lien hypertexte" xfId="21850" builtinId="8" hidden="1"/>
    <cellStyle name="Lien hypertexte" xfId="21852" builtinId="8" hidden="1"/>
    <cellStyle name="Lien hypertexte" xfId="21854" builtinId="8" hidden="1"/>
    <cellStyle name="Lien hypertexte" xfId="21856" builtinId="8" hidden="1"/>
    <cellStyle name="Lien hypertexte" xfId="21858" builtinId="8" hidden="1"/>
    <cellStyle name="Lien hypertexte" xfId="21860" builtinId="8" hidden="1"/>
    <cellStyle name="Lien hypertexte" xfId="21862" builtinId="8" hidden="1"/>
    <cellStyle name="Lien hypertexte" xfId="21864" builtinId="8" hidden="1"/>
    <cellStyle name="Lien hypertexte" xfId="21866" builtinId="8" hidden="1"/>
    <cellStyle name="Lien hypertexte" xfId="21868" builtinId="8" hidden="1"/>
    <cellStyle name="Lien hypertexte" xfId="21870" builtinId="8" hidden="1"/>
    <cellStyle name="Lien hypertexte" xfId="21872" builtinId="8" hidden="1"/>
    <cellStyle name="Lien hypertexte" xfId="21874" builtinId="8" hidden="1"/>
    <cellStyle name="Lien hypertexte" xfId="21876" builtinId="8" hidden="1"/>
    <cellStyle name="Lien hypertexte" xfId="21878" builtinId="8" hidden="1"/>
    <cellStyle name="Lien hypertexte" xfId="21880" builtinId="8" hidden="1"/>
    <cellStyle name="Lien hypertexte" xfId="21882" builtinId="8" hidden="1"/>
    <cellStyle name="Lien hypertexte" xfId="21884" builtinId="8" hidden="1"/>
    <cellStyle name="Lien hypertexte" xfId="21886" builtinId="8" hidden="1"/>
    <cellStyle name="Lien hypertexte" xfId="21888" builtinId="8" hidden="1"/>
    <cellStyle name="Lien hypertexte" xfId="21890" builtinId="8" hidden="1"/>
    <cellStyle name="Lien hypertexte" xfId="21892" builtinId="8" hidden="1"/>
    <cellStyle name="Lien hypertexte" xfId="21894" builtinId="8" hidden="1"/>
    <cellStyle name="Lien hypertexte" xfId="21896" builtinId="8" hidden="1"/>
    <cellStyle name="Lien hypertexte" xfId="21898" builtinId="8" hidden="1"/>
    <cellStyle name="Lien hypertexte" xfId="21900" builtinId="8" hidden="1"/>
    <cellStyle name="Lien hypertexte" xfId="21902" builtinId="8" hidden="1"/>
    <cellStyle name="Lien hypertexte" xfId="21904" builtinId="8" hidden="1"/>
    <cellStyle name="Lien hypertexte" xfId="21906" builtinId="8" hidden="1"/>
    <cellStyle name="Lien hypertexte" xfId="21908" builtinId="8" hidden="1"/>
    <cellStyle name="Lien hypertexte" xfId="21910" builtinId="8" hidden="1"/>
    <cellStyle name="Lien hypertexte" xfId="21912" builtinId="8" hidden="1"/>
    <cellStyle name="Lien hypertexte" xfId="21914" builtinId="8" hidden="1"/>
    <cellStyle name="Lien hypertexte" xfId="21916" builtinId="8" hidden="1"/>
    <cellStyle name="Lien hypertexte" xfId="21918" builtinId="8" hidden="1"/>
    <cellStyle name="Lien hypertexte" xfId="21920" builtinId="8" hidden="1"/>
    <cellStyle name="Lien hypertexte" xfId="21922" builtinId="8" hidden="1"/>
    <cellStyle name="Lien hypertexte" xfId="21924" builtinId="8" hidden="1"/>
    <cellStyle name="Lien hypertexte" xfId="21926" builtinId="8" hidden="1"/>
    <cellStyle name="Lien hypertexte" xfId="21928" builtinId="8" hidden="1"/>
    <cellStyle name="Lien hypertexte" xfId="21930" builtinId="8" hidden="1"/>
    <cellStyle name="Lien hypertexte" xfId="21932" builtinId="8" hidden="1"/>
    <cellStyle name="Lien hypertexte" xfId="21934" builtinId="8" hidden="1"/>
    <cellStyle name="Lien hypertexte" xfId="21936" builtinId="8" hidden="1"/>
    <cellStyle name="Lien hypertexte" xfId="21938" builtinId="8" hidden="1"/>
    <cellStyle name="Lien hypertexte" xfId="21940" builtinId="8" hidden="1"/>
    <cellStyle name="Lien hypertexte" xfId="21942" builtinId="8" hidden="1"/>
    <cellStyle name="Lien hypertexte" xfId="21944" builtinId="8" hidden="1"/>
    <cellStyle name="Lien hypertexte" xfId="21946" builtinId="8" hidden="1"/>
    <cellStyle name="Lien hypertexte" xfId="21948" builtinId="8" hidden="1"/>
    <cellStyle name="Lien hypertexte" xfId="21950" builtinId="8" hidden="1"/>
    <cellStyle name="Lien hypertexte" xfId="21952" builtinId="8" hidden="1"/>
    <cellStyle name="Lien hypertexte" xfId="21954" builtinId="8" hidden="1"/>
    <cellStyle name="Lien hypertexte" xfId="21956" builtinId="8" hidden="1"/>
    <cellStyle name="Lien hypertexte" xfId="21958" builtinId="8" hidden="1"/>
    <cellStyle name="Lien hypertexte" xfId="21960" builtinId="8" hidden="1"/>
    <cellStyle name="Lien hypertexte" xfId="21962" builtinId="8" hidden="1"/>
    <cellStyle name="Lien hypertexte" xfId="21964" builtinId="8" hidden="1"/>
    <cellStyle name="Lien hypertexte" xfId="21966" builtinId="8" hidden="1"/>
    <cellStyle name="Lien hypertexte" xfId="21968" builtinId="8" hidden="1"/>
    <cellStyle name="Lien hypertexte" xfId="21970" builtinId="8" hidden="1"/>
    <cellStyle name="Lien hypertexte" xfId="21972" builtinId="8" hidden="1"/>
    <cellStyle name="Lien hypertexte" xfId="21974" builtinId="8" hidden="1"/>
    <cellStyle name="Lien hypertexte" xfId="21976" builtinId="8" hidden="1"/>
    <cellStyle name="Lien hypertexte" xfId="21978" builtinId="8" hidden="1"/>
    <cellStyle name="Lien hypertexte" xfId="21980" builtinId="8" hidden="1"/>
    <cellStyle name="Lien hypertexte" xfId="21982" builtinId="8" hidden="1"/>
    <cellStyle name="Lien hypertexte" xfId="21984" builtinId="8" hidden="1"/>
    <cellStyle name="Lien hypertexte" xfId="21986" builtinId="8" hidden="1"/>
    <cellStyle name="Lien hypertexte" xfId="21988" builtinId="8" hidden="1"/>
    <cellStyle name="Lien hypertexte" xfId="21990" builtinId="8" hidden="1"/>
    <cellStyle name="Lien hypertexte" xfId="21992" builtinId="8" hidden="1"/>
    <cellStyle name="Lien hypertexte" xfId="21994" builtinId="8" hidden="1"/>
    <cellStyle name="Lien hypertexte" xfId="21996" builtinId="8" hidden="1"/>
    <cellStyle name="Lien hypertexte" xfId="21998" builtinId="8" hidden="1"/>
    <cellStyle name="Lien hypertexte" xfId="22000" builtinId="8" hidden="1"/>
    <cellStyle name="Lien hypertexte" xfId="22002" builtinId="8" hidden="1"/>
    <cellStyle name="Lien hypertexte" xfId="22004" builtinId="8" hidden="1"/>
    <cellStyle name="Lien hypertexte" xfId="22006" builtinId="8" hidden="1"/>
    <cellStyle name="Lien hypertexte" xfId="22008" builtinId="8" hidden="1"/>
    <cellStyle name="Lien hypertexte" xfId="22010" builtinId="8" hidden="1"/>
    <cellStyle name="Lien hypertexte" xfId="22012" builtinId="8" hidden="1"/>
    <cellStyle name="Lien hypertexte" xfId="22014" builtinId="8" hidden="1"/>
    <cellStyle name="Lien hypertexte" xfId="22016" builtinId="8" hidden="1"/>
    <cellStyle name="Lien hypertexte" xfId="22018" builtinId="8" hidden="1"/>
    <cellStyle name="Lien hypertexte" xfId="22020" builtinId="8" hidden="1"/>
    <cellStyle name="Lien hypertexte" xfId="22022" builtinId="8" hidden="1"/>
    <cellStyle name="Lien hypertexte" xfId="22024" builtinId="8" hidden="1"/>
    <cellStyle name="Lien hypertexte" xfId="22026" builtinId="8" hidden="1"/>
    <cellStyle name="Lien hypertexte" xfId="22028" builtinId="8" hidden="1"/>
    <cellStyle name="Lien hypertexte" xfId="22030" builtinId="8" hidden="1"/>
    <cellStyle name="Lien hypertexte" xfId="22032" builtinId="8" hidden="1"/>
    <cellStyle name="Lien hypertexte" xfId="22034" builtinId="8" hidden="1"/>
    <cellStyle name="Lien hypertexte" xfId="22036" builtinId="8" hidden="1"/>
    <cellStyle name="Lien hypertexte" xfId="22038" builtinId="8" hidden="1"/>
    <cellStyle name="Lien hypertexte" xfId="22040" builtinId="8" hidden="1"/>
    <cellStyle name="Lien hypertexte" xfId="22042" builtinId="8" hidden="1"/>
    <cellStyle name="Lien hypertexte" xfId="22044" builtinId="8" hidden="1"/>
    <cellStyle name="Lien hypertexte" xfId="22046" builtinId="8" hidden="1"/>
    <cellStyle name="Lien hypertexte" xfId="22048" builtinId="8" hidden="1"/>
    <cellStyle name="Lien hypertexte" xfId="22050" builtinId="8" hidden="1"/>
    <cellStyle name="Lien hypertexte" xfId="22052" builtinId="8" hidden="1"/>
    <cellStyle name="Lien hypertexte" xfId="22054" builtinId="8" hidden="1"/>
    <cellStyle name="Lien hypertexte" xfId="22056" builtinId="8" hidden="1"/>
    <cellStyle name="Lien hypertexte" xfId="22058" builtinId="8" hidden="1"/>
    <cellStyle name="Lien hypertexte" xfId="22060" builtinId="8" hidden="1"/>
    <cellStyle name="Lien hypertexte" xfId="22062" builtinId="8" hidden="1"/>
    <cellStyle name="Lien hypertexte" xfId="22064" builtinId="8" hidden="1"/>
    <cellStyle name="Lien hypertexte" xfId="22066" builtinId="8" hidden="1"/>
    <cellStyle name="Lien hypertexte" xfId="22068" builtinId="8" hidden="1"/>
    <cellStyle name="Lien hypertexte" xfId="22070" builtinId="8" hidden="1"/>
    <cellStyle name="Lien hypertexte" xfId="22072" builtinId="8" hidden="1"/>
    <cellStyle name="Lien hypertexte" xfId="22074" builtinId="8" hidden="1"/>
    <cellStyle name="Lien hypertexte" xfId="22076" builtinId="8" hidden="1"/>
    <cellStyle name="Lien hypertexte" xfId="22078" builtinId="8" hidden="1"/>
    <cellStyle name="Lien hypertexte" xfId="22080" builtinId="8" hidden="1"/>
    <cellStyle name="Lien hypertexte" xfId="22082" builtinId="8" hidden="1"/>
    <cellStyle name="Lien hypertexte" xfId="22084" builtinId="8" hidden="1"/>
    <cellStyle name="Lien hypertexte" xfId="22086" builtinId="8" hidden="1"/>
    <cellStyle name="Lien hypertexte" xfId="22088" builtinId="8" hidden="1"/>
    <cellStyle name="Lien hypertexte" xfId="22090" builtinId="8" hidden="1"/>
    <cellStyle name="Lien hypertexte" xfId="22092" builtinId="8" hidden="1"/>
    <cellStyle name="Lien hypertexte" xfId="22094" builtinId="8" hidden="1"/>
    <cellStyle name="Lien hypertexte" xfId="22096" builtinId="8" hidden="1"/>
    <cellStyle name="Lien hypertexte" xfId="22098" builtinId="8" hidden="1"/>
    <cellStyle name="Lien hypertexte" xfId="22100" builtinId="8" hidden="1"/>
    <cellStyle name="Lien hypertexte" xfId="22102" builtinId="8" hidden="1"/>
    <cellStyle name="Lien hypertexte" xfId="22104" builtinId="8" hidden="1"/>
    <cellStyle name="Lien hypertexte" xfId="22106" builtinId="8" hidden="1"/>
    <cellStyle name="Lien hypertexte" xfId="22108" builtinId="8" hidden="1"/>
    <cellStyle name="Lien hypertexte" xfId="22110" builtinId="8" hidden="1"/>
    <cellStyle name="Lien hypertexte" xfId="22112" builtinId="8" hidden="1"/>
    <cellStyle name="Lien hypertexte" xfId="22114" builtinId="8" hidden="1"/>
    <cellStyle name="Lien hypertexte" xfId="22116" builtinId="8" hidden="1"/>
    <cellStyle name="Lien hypertexte" xfId="22118" builtinId="8" hidden="1"/>
    <cellStyle name="Lien hypertexte" xfId="22120" builtinId="8" hidden="1"/>
    <cellStyle name="Lien hypertexte" xfId="22122" builtinId="8" hidden="1"/>
    <cellStyle name="Lien hypertexte" xfId="22124" builtinId="8" hidden="1"/>
    <cellStyle name="Lien hypertexte" xfId="22126" builtinId="8" hidden="1"/>
    <cellStyle name="Lien hypertexte" xfId="22128" builtinId="8" hidden="1"/>
    <cellStyle name="Lien hypertexte" xfId="22130" builtinId="8" hidden="1"/>
    <cellStyle name="Lien hypertexte" xfId="22132" builtinId="8" hidden="1"/>
    <cellStyle name="Lien hypertexte" xfId="22134" builtinId="8" hidden="1"/>
    <cellStyle name="Lien hypertexte" xfId="22136" builtinId="8" hidden="1"/>
    <cellStyle name="Lien hypertexte" xfId="22138" builtinId="8" hidden="1"/>
    <cellStyle name="Lien hypertexte" xfId="22140" builtinId="8" hidden="1"/>
    <cellStyle name="Lien hypertexte" xfId="22142" builtinId="8" hidden="1"/>
    <cellStyle name="Lien hypertexte" xfId="22144" builtinId="8" hidden="1"/>
    <cellStyle name="Lien hypertexte" xfId="22146" builtinId="8" hidden="1"/>
    <cellStyle name="Lien hypertexte" xfId="22148" builtinId="8" hidden="1"/>
    <cellStyle name="Lien hypertexte" xfId="22150" builtinId="8" hidden="1"/>
    <cellStyle name="Lien hypertexte" xfId="22152" builtinId="8" hidden="1"/>
    <cellStyle name="Lien hypertexte" xfId="22154" builtinId="8" hidden="1"/>
    <cellStyle name="Lien hypertexte" xfId="22156" builtinId="8" hidden="1"/>
    <cellStyle name="Lien hypertexte" xfId="22158" builtinId="8" hidden="1"/>
    <cellStyle name="Lien hypertexte" xfId="22160" builtinId="8" hidden="1"/>
    <cellStyle name="Lien hypertexte" xfId="22162" builtinId="8" hidden="1"/>
    <cellStyle name="Lien hypertexte" xfId="22164" builtinId="8" hidden="1"/>
    <cellStyle name="Lien hypertexte" xfId="22166" builtinId="8" hidden="1"/>
    <cellStyle name="Lien hypertexte" xfId="22168" builtinId="8" hidden="1"/>
    <cellStyle name="Lien hypertexte" xfId="22170" builtinId="8" hidden="1"/>
    <cellStyle name="Lien hypertexte" xfId="22172" builtinId="8" hidden="1"/>
    <cellStyle name="Lien hypertexte" xfId="22174" builtinId="8" hidden="1"/>
    <cellStyle name="Lien hypertexte" xfId="22176" builtinId="8" hidden="1"/>
    <cellStyle name="Lien hypertexte" xfId="22178" builtinId="8" hidden="1"/>
    <cellStyle name="Lien hypertexte" xfId="22180" builtinId="8" hidden="1"/>
    <cellStyle name="Lien hypertexte" xfId="22182" builtinId="8" hidden="1"/>
    <cellStyle name="Lien hypertexte" xfId="22184" builtinId="8" hidden="1"/>
    <cellStyle name="Lien hypertexte" xfId="22186" builtinId="8" hidden="1"/>
    <cellStyle name="Lien hypertexte" xfId="22188" builtinId="8" hidden="1"/>
    <cellStyle name="Lien hypertexte" xfId="22190" builtinId="8" hidden="1"/>
    <cellStyle name="Lien hypertexte" xfId="22192" builtinId="8" hidden="1"/>
    <cellStyle name="Lien hypertexte" xfId="22194" builtinId="8" hidden="1"/>
    <cellStyle name="Lien hypertexte" xfId="22196" builtinId="8" hidden="1"/>
    <cellStyle name="Lien hypertexte" xfId="22198" builtinId="8" hidden="1"/>
    <cellStyle name="Lien hypertexte" xfId="22200" builtinId="8" hidden="1"/>
    <cellStyle name="Lien hypertexte" xfId="22202" builtinId="8" hidden="1"/>
    <cellStyle name="Lien hypertexte" xfId="22204" builtinId="8" hidden="1"/>
    <cellStyle name="Lien hypertexte" xfId="22206" builtinId="8" hidden="1"/>
    <cellStyle name="Lien hypertexte" xfId="22208" builtinId="8" hidden="1"/>
    <cellStyle name="Lien hypertexte" xfId="22210" builtinId="8" hidden="1"/>
    <cellStyle name="Lien hypertexte" xfId="22212" builtinId="8" hidden="1"/>
    <cellStyle name="Lien hypertexte" xfId="22214" builtinId="8" hidden="1"/>
    <cellStyle name="Lien hypertexte" xfId="22216" builtinId="8" hidden="1"/>
    <cellStyle name="Lien hypertexte" xfId="22218" builtinId="8" hidden="1"/>
    <cellStyle name="Lien hypertexte" xfId="22220" builtinId="8" hidden="1"/>
    <cellStyle name="Lien hypertexte" xfId="22222" builtinId="8" hidden="1"/>
    <cellStyle name="Lien hypertexte" xfId="22224" builtinId="8" hidden="1"/>
    <cellStyle name="Lien hypertexte" xfId="22226" builtinId="8" hidden="1"/>
    <cellStyle name="Lien hypertexte" xfId="22228" builtinId="8" hidden="1"/>
    <cellStyle name="Lien hypertexte" xfId="22230" builtinId="8" hidden="1"/>
    <cellStyle name="Lien hypertexte" xfId="22232" builtinId="8" hidden="1"/>
    <cellStyle name="Lien hypertexte" xfId="22234" builtinId="8" hidden="1"/>
    <cellStyle name="Lien hypertexte" xfId="22236" builtinId="8" hidden="1"/>
    <cellStyle name="Lien hypertexte" xfId="22238" builtinId="8" hidden="1"/>
    <cellStyle name="Lien hypertexte" xfId="22240" builtinId="8" hidden="1"/>
    <cellStyle name="Lien hypertexte" xfId="22242" builtinId="8" hidden="1"/>
    <cellStyle name="Lien hypertexte" xfId="22244" builtinId="8" hidden="1"/>
    <cellStyle name="Lien hypertexte" xfId="22246" builtinId="8" hidden="1"/>
    <cellStyle name="Lien hypertexte" xfId="22248" builtinId="8" hidden="1"/>
    <cellStyle name="Lien hypertexte" xfId="22250" builtinId="8" hidden="1"/>
    <cellStyle name="Lien hypertexte" xfId="22252" builtinId="8" hidden="1"/>
    <cellStyle name="Lien hypertexte" xfId="22254" builtinId="8" hidden="1"/>
    <cellStyle name="Lien hypertexte" xfId="22256" builtinId="8" hidden="1"/>
    <cellStyle name="Lien hypertexte" xfId="22258" builtinId="8" hidden="1"/>
    <cellStyle name="Lien hypertexte" xfId="22260" builtinId="8" hidden="1"/>
    <cellStyle name="Lien hypertexte" xfId="22262" builtinId="8" hidden="1"/>
    <cellStyle name="Lien hypertexte" xfId="22264" builtinId="8" hidden="1"/>
    <cellStyle name="Lien hypertexte" xfId="22266" builtinId="8" hidden="1"/>
    <cellStyle name="Lien hypertexte" xfId="22268" builtinId="8" hidden="1"/>
    <cellStyle name="Lien hypertexte" xfId="22270" builtinId="8" hidden="1"/>
    <cellStyle name="Lien hypertexte" xfId="22272" builtinId="8" hidden="1"/>
    <cellStyle name="Lien hypertexte" xfId="22274" builtinId="8" hidden="1"/>
    <cellStyle name="Lien hypertexte" xfId="22276" builtinId="8" hidden="1"/>
    <cellStyle name="Lien hypertexte" xfId="22278" builtinId="8" hidden="1"/>
    <cellStyle name="Lien hypertexte" xfId="22280" builtinId="8" hidden="1"/>
    <cellStyle name="Lien hypertexte" xfId="22282" builtinId="8" hidden="1"/>
    <cellStyle name="Lien hypertexte" xfId="22284" builtinId="8" hidden="1"/>
    <cellStyle name="Lien hypertexte" xfId="22286" builtinId="8" hidden="1"/>
    <cellStyle name="Lien hypertexte" xfId="22288" builtinId="8" hidden="1"/>
    <cellStyle name="Lien hypertexte" xfId="22290" builtinId="8" hidden="1"/>
    <cellStyle name="Lien hypertexte" xfId="22292" builtinId="8" hidden="1"/>
    <cellStyle name="Lien hypertexte" xfId="22294" builtinId="8" hidden="1"/>
    <cellStyle name="Lien hypertexte" xfId="22296" builtinId="8" hidden="1"/>
    <cellStyle name="Lien hypertexte" xfId="22298" builtinId="8" hidden="1"/>
    <cellStyle name="Lien hypertexte" xfId="22300" builtinId="8" hidden="1"/>
    <cellStyle name="Lien hypertexte" xfId="22302" builtinId="8" hidden="1"/>
    <cellStyle name="Lien hypertexte" xfId="22304" builtinId="8" hidden="1"/>
    <cellStyle name="Lien hypertexte" xfId="22306" builtinId="8" hidden="1"/>
    <cellStyle name="Lien hypertexte" xfId="22308" builtinId="8" hidden="1"/>
    <cellStyle name="Lien hypertexte" xfId="22310" builtinId="8" hidden="1"/>
    <cellStyle name="Lien hypertexte" xfId="22312" builtinId="8" hidden="1"/>
    <cellStyle name="Lien hypertexte" xfId="22314" builtinId="8" hidden="1"/>
    <cellStyle name="Lien hypertexte" xfId="22316" builtinId="8" hidden="1"/>
    <cellStyle name="Lien hypertexte" xfId="22318" builtinId="8" hidden="1"/>
    <cellStyle name="Lien hypertexte" xfId="22320" builtinId="8" hidden="1"/>
    <cellStyle name="Lien hypertexte" xfId="22322" builtinId="8" hidden="1"/>
    <cellStyle name="Lien hypertexte" xfId="22324" builtinId="8" hidden="1"/>
    <cellStyle name="Lien hypertexte" xfId="22326" builtinId="8" hidden="1"/>
    <cellStyle name="Lien hypertexte" xfId="22328" builtinId="8" hidden="1"/>
    <cellStyle name="Lien hypertexte" xfId="22330" builtinId="8" hidden="1"/>
    <cellStyle name="Lien hypertexte" xfId="22332" builtinId="8" hidden="1"/>
    <cellStyle name="Lien hypertexte" xfId="22334" builtinId="8" hidden="1"/>
    <cellStyle name="Lien hypertexte" xfId="22336" builtinId="8" hidden="1"/>
    <cellStyle name="Lien hypertexte" xfId="22338" builtinId="8" hidden="1"/>
    <cellStyle name="Lien hypertexte" xfId="22340" builtinId="8" hidden="1"/>
    <cellStyle name="Lien hypertexte" xfId="22342" builtinId="8" hidden="1"/>
    <cellStyle name="Lien hypertexte" xfId="22344" builtinId="8" hidden="1"/>
    <cellStyle name="Lien hypertexte" xfId="22346" builtinId="8" hidden="1"/>
    <cellStyle name="Lien hypertexte" xfId="22348" builtinId="8" hidden="1"/>
    <cellStyle name="Lien hypertexte" xfId="22350" builtinId="8" hidden="1"/>
    <cellStyle name="Lien hypertexte" xfId="22352" builtinId="8" hidden="1"/>
    <cellStyle name="Lien hypertexte" xfId="22354" builtinId="8" hidden="1"/>
    <cellStyle name="Lien hypertexte" xfId="22356" builtinId="8" hidden="1"/>
    <cellStyle name="Lien hypertexte" xfId="22358" builtinId="8" hidden="1"/>
    <cellStyle name="Lien hypertexte" xfId="22360" builtinId="8" hidden="1"/>
    <cellStyle name="Lien hypertexte" xfId="22362" builtinId="8" hidden="1"/>
    <cellStyle name="Lien hypertexte" xfId="22364" builtinId="8" hidden="1"/>
    <cellStyle name="Lien hypertexte" xfId="22366" builtinId="8" hidden="1"/>
    <cellStyle name="Lien hypertexte" xfId="22368" builtinId="8" hidden="1"/>
    <cellStyle name="Lien hypertexte" xfId="22370" builtinId="8" hidden="1"/>
    <cellStyle name="Lien hypertexte" xfId="22372" builtinId="8" hidden="1"/>
    <cellStyle name="Lien hypertexte" xfId="22374" builtinId="8" hidden="1"/>
    <cellStyle name="Lien hypertexte" xfId="22376" builtinId="8" hidden="1"/>
    <cellStyle name="Lien hypertexte" xfId="22378" builtinId="8" hidden="1"/>
    <cellStyle name="Lien hypertexte" xfId="22380" builtinId="8" hidden="1"/>
    <cellStyle name="Lien hypertexte" xfId="22382" builtinId="8" hidden="1"/>
    <cellStyle name="Lien hypertexte" xfId="22384" builtinId="8" hidden="1"/>
    <cellStyle name="Lien hypertexte" xfId="22386" builtinId="8" hidden="1"/>
    <cellStyle name="Lien hypertexte" xfId="22388" builtinId="8" hidden="1"/>
    <cellStyle name="Lien hypertexte" xfId="22390" builtinId="8" hidden="1"/>
    <cellStyle name="Lien hypertexte" xfId="22392" builtinId="8" hidden="1"/>
    <cellStyle name="Lien hypertexte" xfId="22394" builtinId="8" hidden="1"/>
    <cellStyle name="Lien hypertexte" xfId="22396" builtinId="8" hidden="1"/>
    <cellStyle name="Lien hypertexte" xfId="22398" builtinId="8" hidden="1"/>
    <cellStyle name="Lien hypertexte" xfId="22400" builtinId="8" hidden="1"/>
    <cellStyle name="Lien hypertexte" xfId="22402" builtinId="8" hidden="1"/>
    <cellStyle name="Lien hypertexte" xfId="22404" builtinId="8" hidden="1"/>
    <cellStyle name="Lien hypertexte" xfId="22406" builtinId="8" hidden="1"/>
    <cellStyle name="Lien hypertexte" xfId="22408" builtinId="8" hidden="1"/>
    <cellStyle name="Lien hypertexte" xfId="22410" builtinId="8" hidden="1"/>
    <cellStyle name="Lien hypertexte" xfId="22412" builtinId="8" hidden="1"/>
    <cellStyle name="Lien hypertexte" xfId="22414" builtinId="8" hidden="1"/>
    <cellStyle name="Lien hypertexte" xfId="22416" builtinId="8" hidden="1"/>
    <cellStyle name="Lien hypertexte" xfId="22418" builtinId="8" hidden="1"/>
    <cellStyle name="Lien hypertexte" xfId="22420" builtinId="8" hidden="1"/>
    <cellStyle name="Lien hypertexte" xfId="22422" builtinId="8" hidden="1"/>
    <cellStyle name="Lien hypertexte" xfId="22424" builtinId="8" hidden="1"/>
    <cellStyle name="Lien hypertexte" xfId="22426" builtinId="8" hidden="1"/>
    <cellStyle name="Lien hypertexte" xfId="22428" builtinId="8" hidden="1"/>
    <cellStyle name="Lien hypertexte" xfId="22430" builtinId="8" hidden="1"/>
    <cellStyle name="Lien hypertexte" xfId="22432" builtinId="8" hidden="1"/>
    <cellStyle name="Lien hypertexte" xfId="22434" builtinId="8" hidden="1"/>
    <cellStyle name="Lien hypertexte" xfId="22436" builtinId="8" hidden="1"/>
    <cellStyle name="Lien hypertexte" xfId="22438" builtinId="8" hidden="1"/>
    <cellStyle name="Lien hypertexte" xfId="22440" builtinId="8" hidden="1"/>
    <cellStyle name="Lien hypertexte" xfId="22442" builtinId="8" hidden="1"/>
    <cellStyle name="Lien hypertexte" xfId="22444" builtinId="8" hidden="1"/>
    <cellStyle name="Lien hypertexte" xfId="22446" builtinId="8" hidden="1"/>
    <cellStyle name="Lien hypertexte" xfId="22448" builtinId="8" hidden="1"/>
    <cellStyle name="Lien hypertexte" xfId="22450" builtinId="8" hidden="1"/>
    <cellStyle name="Lien hypertexte" xfId="22452" builtinId="8" hidden="1"/>
    <cellStyle name="Lien hypertexte" xfId="22454" builtinId="8" hidden="1"/>
    <cellStyle name="Lien hypertexte" xfId="22456" builtinId="8" hidden="1"/>
    <cellStyle name="Lien hypertexte" xfId="22458" builtinId="8" hidden="1"/>
    <cellStyle name="Lien hypertexte" xfId="22460" builtinId="8" hidden="1"/>
    <cellStyle name="Lien hypertexte" xfId="22462" builtinId="8" hidden="1"/>
    <cellStyle name="Lien hypertexte" xfId="22464" builtinId="8" hidden="1"/>
    <cellStyle name="Lien hypertexte" xfId="22466" builtinId="8" hidden="1"/>
    <cellStyle name="Lien hypertexte" xfId="22468" builtinId="8" hidden="1"/>
    <cellStyle name="Lien hypertexte" xfId="22470" builtinId="8" hidden="1"/>
    <cellStyle name="Lien hypertexte" xfId="22472" builtinId="8" hidden="1"/>
    <cellStyle name="Lien hypertexte" xfId="22474" builtinId="8" hidden="1"/>
    <cellStyle name="Lien hypertexte" xfId="22476" builtinId="8" hidden="1"/>
    <cellStyle name="Lien hypertexte" xfId="22478" builtinId="8" hidden="1"/>
    <cellStyle name="Lien hypertexte" xfId="22480" builtinId="8" hidden="1"/>
    <cellStyle name="Lien hypertexte" xfId="22482" builtinId="8" hidden="1"/>
    <cellStyle name="Lien hypertexte" xfId="22484" builtinId="8" hidden="1"/>
    <cellStyle name="Lien hypertexte" xfId="22486" builtinId="8" hidden="1"/>
    <cellStyle name="Lien hypertexte" xfId="22488" builtinId="8" hidden="1"/>
    <cellStyle name="Lien hypertexte" xfId="22490" builtinId="8" hidden="1"/>
    <cellStyle name="Lien hypertexte" xfId="22492" builtinId="8" hidden="1"/>
    <cellStyle name="Lien hypertexte" xfId="22494" builtinId="8" hidden="1"/>
    <cellStyle name="Lien hypertexte" xfId="22496" builtinId="8" hidden="1"/>
    <cellStyle name="Lien hypertexte" xfId="22498" builtinId="8" hidden="1"/>
    <cellStyle name="Lien hypertexte" xfId="22500" builtinId="8" hidden="1"/>
    <cellStyle name="Lien hypertexte" xfId="22502" builtinId="8" hidden="1"/>
    <cellStyle name="Lien hypertexte" xfId="22504" builtinId="8" hidden="1"/>
    <cellStyle name="Lien hypertexte" xfId="22506" builtinId="8" hidden="1"/>
    <cellStyle name="Lien hypertexte" xfId="22508" builtinId="8" hidden="1"/>
    <cellStyle name="Lien hypertexte" xfId="22510" builtinId="8" hidden="1"/>
    <cellStyle name="Lien hypertexte" xfId="22512" builtinId="8" hidden="1"/>
    <cellStyle name="Lien hypertexte" xfId="22514" builtinId="8" hidden="1"/>
    <cellStyle name="Lien hypertexte" xfId="22516" builtinId="8" hidden="1"/>
    <cellStyle name="Lien hypertexte" xfId="22518" builtinId="8" hidden="1"/>
    <cellStyle name="Lien hypertexte" xfId="22520" builtinId="8" hidden="1"/>
    <cellStyle name="Lien hypertexte" xfId="22522" builtinId="8" hidden="1"/>
    <cellStyle name="Lien hypertexte" xfId="22524" builtinId="8" hidden="1"/>
    <cellStyle name="Lien hypertexte" xfId="22526" builtinId="8" hidden="1"/>
    <cellStyle name="Lien hypertexte" xfId="22528" builtinId="8" hidden="1"/>
    <cellStyle name="Lien hypertexte" xfId="22530" builtinId="8" hidden="1"/>
    <cellStyle name="Lien hypertexte" xfId="22532" builtinId="8" hidden="1"/>
    <cellStyle name="Lien hypertexte" xfId="22534" builtinId="8" hidden="1"/>
    <cellStyle name="Lien hypertexte" xfId="22536" builtinId="8" hidden="1"/>
    <cellStyle name="Lien hypertexte" xfId="22538" builtinId="8" hidden="1"/>
    <cellStyle name="Lien hypertexte" xfId="22540" builtinId="8" hidden="1"/>
    <cellStyle name="Lien hypertexte" xfId="22542" builtinId="8" hidden="1"/>
    <cellStyle name="Lien hypertexte" xfId="22544" builtinId="8" hidden="1"/>
    <cellStyle name="Lien hypertexte" xfId="22546" builtinId="8" hidden="1"/>
    <cellStyle name="Lien hypertexte" xfId="22548" builtinId="8" hidden="1"/>
    <cellStyle name="Lien hypertexte" xfId="22550" builtinId="8" hidden="1"/>
    <cellStyle name="Lien hypertexte" xfId="22552" builtinId="8" hidden="1"/>
    <cellStyle name="Lien hypertexte" xfId="22554" builtinId="8" hidden="1"/>
    <cellStyle name="Lien hypertexte" xfId="22556" builtinId="8" hidden="1"/>
    <cellStyle name="Lien hypertexte" xfId="22558" builtinId="8" hidden="1"/>
    <cellStyle name="Lien hypertexte" xfId="22560" builtinId="8" hidden="1"/>
    <cellStyle name="Lien hypertexte" xfId="22562" builtinId="8" hidden="1"/>
    <cellStyle name="Lien hypertexte" xfId="22564" builtinId="8" hidden="1"/>
    <cellStyle name="Lien hypertexte" xfId="22566" builtinId="8" hidden="1"/>
    <cellStyle name="Lien hypertexte" xfId="22568" builtinId="8" hidden="1"/>
    <cellStyle name="Lien hypertexte" xfId="22570" builtinId="8" hidden="1"/>
    <cellStyle name="Lien hypertexte" xfId="22572" builtinId="8" hidden="1"/>
    <cellStyle name="Lien hypertexte" xfId="22574" builtinId="8" hidden="1"/>
    <cellStyle name="Lien hypertexte" xfId="22576" builtinId="8" hidden="1"/>
    <cellStyle name="Lien hypertexte" xfId="22578" builtinId="8" hidden="1"/>
    <cellStyle name="Lien hypertexte" xfId="22580" builtinId="8" hidden="1"/>
    <cellStyle name="Lien hypertexte" xfId="22582" builtinId="8" hidden="1"/>
    <cellStyle name="Lien hypertexte" xfId="22584" builtinId="8" hidden="1"/>
    <cellStyle name="Lien hypertexte" xfId="22586" builtinId="8" hidden="1"/>
    <cellStyle name="Lien hypertexte" xfId="22588" builtinId="8" hidden="1"/>
    <cellStyle name="Lien hypertexte" xfId="22590" builtinId="8" hidden="1"/>
    <cellStyle name="Lien hypertexte" xfId="22592" builtinId="8" hidden="1"/>
    <cellStyle name="Lien hypertexte" xfId="22594" builtinId="8" hidden="1"/>
    <cellStyle name="Lien hypertexte" xfId="22596" builtinId="8" hidden="1"/>
    <cellStyle name="Lien hypertexte" xfId="22598" builtinId="8" hidden="1"/>
    <cellStyle name="Lien hypertexte" xfId="22600" builtinId="8" hidden="1"/>
    <cellStyle name="Lien hypertexte" xfId="22602" builtinId="8" hidden="1"/>
    <cellStyle name="Lien hypertexte" xfId="22604" builtinId="8" hidden="1"/>
    <cellStyle name="Lien hypertexte" xfId="22606" builtinId="8" hidden="1"/>
    <cellStyle name="Lien hypertexte" xfId="22608" builtinId="8" hidden="1"/>
    <cellStyle name="Lien hypertexte" xfId="22610" builtinId="8" hidden="1"/>
    <cellStyle name="Lien hypertexte" xfId="22612" builtinId="8" hidden="1"/>
    <cellStyle name="Lien hypertexte" xfId="22614" builtinId="8" hidden="1"/>
    <cellStyle name="Lien hypertexte" xfId="22616" builtinId="8" hidden="1"/>
    <cellStyle name="Lien hypertexte" xfId="22618" builtinId="8" hidden="1"/>
    <cellStyle name="Lien hypertexte" xfId="22620" builtinId="8" hidden="1"/>
    <cellStyle name="Lien hypertexte" xfId="22622" builtinId="8" hidden="1"/>
    <cellStyle name="Lien hypertexte" xfId="22624" builtinId="8" hidden="1"/>
    <cellStyle name="Lien hypertexte" xfId="22626" builtinId="8" hidden="1"/>
    <cellStyle name="Lien hypertexte" xfId="22628" builtinId="8" hidden="1"/>
    <cellStyle name="Lien hypertexte" xfId="22630" builtinId="8" hidden="1"/>
    <cellStyle name="Lien hypertexte" xfId="22632" builtinId="8" hidden="1"/>
    <cellStyle name="Lien hypertexte" xfId="22634" builtinId="8" hidden="1"/>
    <cellStyle name="Lien hypertexte" xfId="22636" builtinId="8" hidden="1"/>
    <cellStyle name="Lien hypertexte" xfId="22638" builtinId="8" hidden="1"/>
    <cellStyle name="Lien hypertexte" xfId="22640" builtinId="8" hidden="1"/>
    <cellStyle name="Lien hypertexte" xfId="22642" builtinId="8" hidden="1"/>
    <cellStyle name="Lien hypertexte" xfId="22644" builtinId="8" hidden="1"/>
    <cellStyle name="Lien hypertexte" xfId="22646" builtinId="8" hidden="1"/>
    <cellStyle name="Lien hypertexte" xfId="22648" builtinId="8" hidden="1"/>
    <cellStyle name="Lien hypertexte" xfId="22650" builtinId="8" hidden="1"/>
    <cellStyle name="Lien hypertexte" xfId="22652" builtinId="8" hidden="1"/>
    <cellStyle name="Lien hypertexte" xfId="22654" builtinId="8" hidden="1"/>
    <cellStyle name="Lien hypertexte" xfId="22656" builtinId="8" hidden="1"/>
    <cellStyle name="Lien hypertexte" xfId="22658" builtinId="8" hidden="1"/>
    <cellStyle name="Lien hypertexte" xfId="22660" builtinId="8" hidden="1"/>
    <cellStyle name="Lien hypertexte" xfId="22662" builtinId="8" hidden="1"/>
    <cellStyle name="Lien hypertexte" xfId="22664" builtinId="8" hidden="1"/>
    <cellStyle name="Lien hypertexte" xfId="22666" builtinId="8" hidden="1"/>
    <cellStyle name="Lien hypertexte" xfId="22668" builtinId="8" hidden="1"/>
    <cellStyle name="Lien hypertexte" xfId="22670" builtinId="8" hidden="1"/>
    <cellStyle name="Lien hypertexte" xfId="22672" builtinId="8" hidden="1"/>
    <cellStyle name="Lien hypertexte" xfId="22674" builtinId="8" hidden="1"/>
    <cellStyle name="Lien hypertexte" xfId="22676" builtinId="8" hidden="1"/>
    <cellStyle name="Lien hypertexte" xfId="22678" builtinId="8" hidden="1"/>
    <cellStyle name="Lien hypertexte" xfId="22680" builtinId="8" hidden="1"/>
    <cellStyle name="Lien hypertexte" xfId="22682" builtinId="8" hidden="1"/>
    <cellStyle name="Lien hypertexte" xfId="22684" builtinId="8" hidden="1"/>
    <cellStyle name="Lien hypertexte" xfId="22686" builtinId="8" hidden="1"/>
    <cellStyle name="Lien hypertexte" xfId="22688" builtinId="8" hidden="1"/>
    <cellStyle name="Lien hypertexte" xfId="22690" builtinId="8" hidden="1"/>
    <cellStyle name="Lien hypertexte" xfId="22692" builtinId="8" hidden="1"/>
    <cellStyle name="Lien hypertexte" xfId="22694" builtinId="8" hidden="1"/>
    <cellStyle name="Lien hypertexte" xfId="22696" builtinId="8" hidden="1"/>
    <cellStyle name="Lien hypertexte" xfId="22698" builtinId="8" hidden="1"/>
    <cellStyle name="Lien hypertexte" xfId="22700" builtinId="8" hidden="1"/>
    <cellStyle name="Lien hypertexte" xfId="22702" builtinId="8" hidden="1"/>
    <cellStyle name="Lien hypertexte" xfId="22704" builtinId="8" hidden="1"/>
    <cellStyle name="Lien hypertexte" xfId="22706" builtinId="8" hidden="1"/>
    <cellStyle name="Lien hypertexte" xfId="22708" builtinId="8" hidden="1"/>
    <cellStyle name="Lien hypertexte" xfId="22710" builtinId="8" hidden="1"/>
    <cellStyle name="Lien hypertexte" xfId="22712" builtinId="8" hidden="1"/>
    <cellStyle name="Lien hypertexte" xfId="22714" builtinId="8" hidden="1"/>
    <cellStyle name="Lien hypertexte" xfId="22716" builtinId="8" hidden="1"/>
    <cellStyle name="Lien hypertexte" xfId="22718" builtinId="8" hidden="1"/>
    <cellStyle name="Lien hypertexte" xfId="22720" builtinId="8" hidden="1"/>
    <cellStyle name="Lien hypertexte" xfId="22722" builtinId="8" hidden="1"/>
    <cellStyle name="Lien hypertexte" xfId="22724" builtinId="8" hidden="1"/>
    <cellStyle name="Lien hypertexte" xfId="22726" builtinId="8" hidden="1"/>
    <cellStyle name="Lien hypertexte" xfId="22728" builtinId="8" hidden="1"/>
    <cellStyle name="Lien hypertexte" xfId="22730" builtinId="8" hidden="1"/>
    <cellStyle name="Lien hypertexte" xfId="22732" builtinId="8" hidden="1"/>
    <cellStyle name="Lien hypertexte" xfId="22734" builtinId="8" hidden="1"/>
    <cellStyle name="Lien hypertexte" xfId="22736" builtinId="8" hidden="1"/>
    <cellStyle name="Lien hypertexte" xfId="22738" builtinId="8" hidden="1"/>
    <cellStyle name="Lien hypertexte" xfId="22740" builtinId="8" hidden="1"/>
    <cellStyle name="Lien hypertexte" xfId="22742" builtinId="8" hidden="1"/>
    <cellStyle name="Lien hypertexte" xfId="22744" builtinId="8" hidden="1"/>
    <cellStyle name="Lien hypertexte" xfId="22746" builtinId="8" hidden="1"/>
    <cellStyle name="Lien hypertexte" xfId="22748" builtinId="8" hidden="1"/>
    <cellStyle name="Lien hypertexte" xfId="22750" builtinId="8" hidden="1"/>
    <cellStyle name="Lien hypertexte" xfId="22752" builtinId="8" hidden="1"/>
    <cellStyle name="Lien hypertexte" xfId="22754" builtinId="8" hidden="1"/>
    <cellStyle name="Lien hypertexte" xfId="22756" builtinId="8" hidden="1"/>
    <cellStyle name="Lien hypertexte" xfId="22758" builtinId="8" hidden="1"/>
    <cellStyle name="Lien hypertexte" xfId="22760" builtinId="8" hidden="1"/>
    <cellStyle name="Lien hypertexte" xfId="22762" builtinId="8" hidden="1"/>
    <cellStyle name="Lien hypertexte" xfId="22764" builtinId="8" hidden="1"/>
    <cellStyle name="Lien hypertexte" xfId="22766" builtinId="8" hidden="1"/>
    <cellStyle name="Lien hypertexte" xfId="22768" builtinId="8" hidden="1"/>
    <cellStyle name="Lien hypertexte" xfId="22770" builtinId="8" hidden="1"/>
    <cellStyle name="Lien hypertexte" xfId="22772" builtinId="8" hidden="1"/>
    <cellStyle name="Lien hypertexte" xfId="22774" builtinId="8" hidden="1"/>
    <cellStyle name="Lien hypertexte" xfId="22776" builtinId="8" hidden="1"/>
    <cellStyle name="Lien hypertexte" xfId="22778" builtinId="8" hidden="1"/>
    <cellStyle name="Lien hypertexte" xfId="22780" builtinId="8" hidden="1"/>
    <cellStyle name="Lien hypertexte" xfId="22782" builtinId="8" hidden="1"/>
    <cellStyle name="Lien hypertexte" xfId="22784" builtinId="8" hidden="1"/>
    <cellStyle name="Lien hypertexte" xfId="22786" builtinId="8" hidden="1"/>
    <cellStyle name="Lien hypertexte" xfId="22788" builtinId="8" hidden="1"/>
    <cellStyle name="Lien hypertexte" xfId="22790" builtinId="8" hidden="1"/>
    <cellStyle name="Lien hypertexte" xfId="22792" builtinId="8" hidden="1"/>
    <cellStyle name="Lien hypertexte" xfId="22794" builtinId="8" hidden="1"/>
    <cellStyle name="Lien hypertexte" xfId="22796" builtinId="8" hidden="1"/>
    <cellStyle name="Lien hypertexte" xfId="22798" builtinId="8" hidden="1"/>
    <cellStyle name="Lien hypertexte" xfId="22800" builtinId="8" hidden="1"/>
    <cellStyle name="Lien hypertexte" xfId="22802" builtinId="8" hidden="1"/>
    <cellStyle name="Lien hypertexte" xfId="22804" builtinId="8" hidden="1"/>
    <cellStyle name="Lien hypertexte" xfId="22806" builtinId="8" hidden="1"/>
    <cellStyle name="Lien hypertexte" xfId="22808" builtinId="8" hidden="1"/>
    <cellStyle name="Lien hypertexte" xfId="22810" builtinId="8" hidden="1"/>
    <cellStyle name="Lien hypertexte" xfId="22812" builtinId="8" hidden="1"/>
    <cellStyle name="Lien hypertexte" xfId="22814" builtinId="8" hidden="1"/>
    <cellStyle name="Lien hypertexte" xfId="22816" builtinId="8" hidden="1"/>
    <cellStyle name="Lien hypertexte" xfId="22818" builtinId="8" hidden="1"/>
    <cellStyle name="Lien hypertexte" xfId="22820" builtinId="8" hidden="1"/>
    <cellStyle name="Lien hypertexte" xfId="22822" builtinId="8" hidden="1"/>
    <cellStyle name="Lien hypertexte" xfId="22824" builtinId="8" hidden="1"/>
    <cellStyle name="Lien hypertexte" xfId="22826" builtinId="8" hidden="1"/>
    <cellStyle name="Lien hypertexte" xfId="22828" builtinId="8" hidden="1"/>
    <cellStyle name="Lien hypertexte" xfId="22830" builtinId="8" hidden="1"/>
    <cellStyle name="Lien hypertexte" xfId="22832" builtinId="8" hidden="1"/>
    <cellStyle name="Lien hypertexte" xfId="22834" builtinId="8" hidden="1"/>
    <cellStyle name="Lien hypertexte" xfId="22836" builtinId="8" hidden="1"/>
    <cellStyle name="Lien hypertexte" xfId="22838" builtinId="8" hidden="1"/>
    <cellStyle name="Lien hypertexte" xfId="22840" builtinId="8" hidden="1"/>
    <cellStyle name="Lien hypertexte" xfId="22842" builtinId="8" hidden="1"/>
    <cellStyle name="Lien hypertexte" xfId="22844" builtinId="8" hidden="1"/>
    <cellStyle name="Lien hypertexte" xfId="22846" builtinId="8" hidden="1"/>
    <cellStyle name="Lien hypertexte" xfId="22848" builtinId="8" hidden="1"/>
    <cellStyle name="Lien hypertexte" xfId="22850" builtinId="8" hidden="1"/>
    <cellStyle name="Lien hypertexte" xfId="22852" builtinId="8" hidden="1"/>
    <cellStyle name="Lien hypertexte" xfId="22854" builtinId="8" hidden="1"/>
    <cellStyle name="Lien hypertexte" xfId="22856" builtinId="8" hidden="1"/>
    <cellStyle name="Lien hypertexte" xfId="22858" builtinId="8" hidden="1"/>
    <cellStyle name="Lien hypertexte" xfId="22860" builtinId="8" hidden="1"/>
    <cellStyle name="Lien hypertexte" xfId="22862" builtinId="8" hidden="1"/>
    <cellStyle name="Lien hypertexte" xfId="22864" builtinId="8" hidden="1"/>
    <cellStyle name="Lien hypertexte" xfId="22866" builtinId="8" hidden="1"/>
    <cellStyle name="Lien hypertexte" xfId="22868" builtinId="8" hidden="1"/>
    <cellStyle name="Lien hypertexte" xfId="22870" builtinId="8" hidden="1"/>
    <cellStyle name="Lien hypertexte" xfId="22872" builtinId="8" hidden="1"/>
    <cellStyle name="Lien hypertexte" xfId="22874" builtinId="8" hidden="1"/>
    <cellStyle name="Lien hypertexte" xfId="22876" builtinId="8" hidden="1"/>
    <cellStyle name="Lien hypertexte" xfId="22878" builtinId="8" hidden="1"/>
    <cellStyle name="Lien hypertexte" xfId="22880" builtinId="8" hidden="1"/>
    <cellStyle name="Lien hypertexte" xfId="22882" builtinId="8" hidden="1"/>
    <cellStyle name="Lien hypertexte" xfId="22884" builtinId="8" hidden="1"/>
    <cellStyle name="Lien hypertexte" xfId="22886" builtinId="8" hidden="1"/>
    <cellStyle name="Lien hypertexte" xfId="22888" builtinId="8" hidden="1"/>
    <cellStyle name="Lien hypertexte" xfId="22890" builtinId="8" hidden="1"/>
    <cellStyle name="Lien hypertexte" xfId="22892" builtinId="8" hidden="1"/>
    <cellStyle name="Lien hypertexte" xfId="22894" builtinId="8" hidden="1"/>
    <cellStyle name="Lien hypertexte" xfId="22896" builtinId="8" hidden="1"/>
    <cellStyle name="Lien hypertexte" xfId="22898" builtinId="8" hidden="1"/>
    <cellStyle name="Lien hypertexte" xfId="22900" builtinId="8" hidden="1"/>
    <cellStyle name="Lien hypertexte" xfId="22902" builtinId="8" hidden="1"/>
    <cellStyle name="Lien hypertexte" xfId="22904" builtinId="8" hidden="1"/>
    <cellStyle name="Lien hypertexte" xfId="22906" builtinId="8" hidden="1"/>
    <cellStyle name="Lien hypertexte" xfId="22908" builtinId="8" hidden="1"/>
    <cellStyle name="Lien hypertexte" xfId="22910" builtinId="8" hidden="1"/>
    <cellStyle name="Lien hypertexte" xfId="22912" builtinId="8" hidden="1"/>
    <cellStyle name="Lien hypertexte" xfId="22914" builtinId="8" hidden="1"/>
    <cellStyle name="Lien hypertexte" xfId="22916" builtinId="8" hidden="1"/>
    <cellStyle name="Lien hypertexte" xfId="22918" builtinId="8" hidden="1"/>
    <cellStyle name="Lien hypertexte" xfId="22920" builtinId="8" hidden="1"/>
    <cellStyle name="Lien hypertexte" xfId="22922" builtinId="8" hidden="1"/>
    <cellStyle name="Lien hypertexte" xfId="22924" builtinId="8" hidden="1"/>
    <cellStyle name="Lien hypertexte" xfId="22926" builtinId="8" hidden="1"/>
    <cellStyle name="Lien hypertexte" xfId="22928" builtinId="8" hidden="1"/>
    <cellStyle name="Lien hypertexte" xfId="22930" builtinId="8" hidden="1"/>
    <cellStyle name="Lien hypertexte" xfId="22932" builtinId="8" hidden="1"/>
    <cellStyle name="Lien hypertexte" xfId="22934" builtinId="8" hidden="1"/>
    <cellStyle name="Lien hypertexte" xfId="22936" builtinId="8" hidden="1"/>
    <cellStyle name="Lien hypertexte" xfId="22938" builtinId="8" hidden="1"/>
    <cellStyle name="Lien hypertexte" xfId="22940" builtinId="8" hidden="1"/>
    <cellStyle name="Lien hypertexte" xfId="22942" builtinId="8" hidden="1"/>
    <cellStyle name="Lien hypertexte" xfId="22944" builtinId="8" hidden="1"/>
    <cellStyle name="Lien hypertexte" xfId="22946" builtinId="8" hidden="1"/>
    <cellStyle name="Lien hypertexte" xfId="22948" builtinId="8" hidden="1"/>
    <cellStyle name="Lien hypertexte" xfId="22950" builtinId="8" hidden="1"/>
    <cellStyle name="Lien hypertexte" xfId="22952" builtinId="8" hidden="1"/>
    <cellStyle name="Lien hypertexte" xfId="22954" builtinId="8" hidden="1"/>
    <cellStyle name="Lien hypertexte" xfId="22956" builtinId="8" hidden="1"/>
    <cellStyle name="Lien hypertexte" xfId="22958" builtinId="8" hidden="1"/>
    <cellStyle name="Lien hypertexte" xfId="22960" builtinId="8" hidden="1"/>
    <cellStyle name="Lien hypertexte" xfId="22962" builtinId="8" hidden="1"/>
    <cellStyle name="Lien hypertexte" xfId="22964" builtinId="8" hidden="1"/>
    <cellStyle name="Lien hypertexte" xfId="22966" builtinId="8" hidden="1"/>
    <cellStyle name="Lien hypertexte" xfId="22968" builtinId="8" hidden="1"/>
    <cellStyle name="Lien hypertexte" xfId="22970" builtinId="8" hidden="1"/>
    <cellStyle name="Lien hypertexte" xfId="22972" builtinId="8" hidden="1"/>
    <cellStyle name="Lien hypertexte" xfId="22974" builtinId="8" hidden="1"/>
    <cellStyle name="Lien hypertexte" xfId="22976" builtinId="8" hidden="1"/>
    <cellStyle name="Lien hypertexte" xfId="22978" builtinId="8" hidden="1"/>
    <cellStyle name="Lien hypertexte" xfId="22980" builtinId="8" hidden="1"/>
    <cellStyle name="Lien hypertexte" xfId="22982" builtinId="8" hidden="1"/>
    <cellStyle name="Lien hypertexte" xfId="22984" builtinId="8" hidden="1"/>
    <cellStyle name="Lien hypertexte" xfId="22986" builtinId="8" hidden="1"/>
    <cellStyle name="Lien hypertexte" xfId="22988" builtinId="8" hidden="1"/>
    <cellStyle name="Lien hypertexte" xfId="22990" builtinId="8" hidden="1"/>
    <cellStyle name="Lien hypertexte" xfId="22992" builtinId="8" hidden="1"/>
    <cellStyle name="Lien hypertexte" xfId="22994" builtinId="8" hidden="1"/>
    <cellStyle name="Lien hypertexte" xfId="22996" builtinId="8" hidden="1"/>
    <cellStyle name="Lien hypertexte" xfId="22998" builtinId="8" hidden="1"/>
    <cellStyle name="Lien hypertexte" xfId="23000" builtinId="8" hidden="1"/>
    <cellStyle name="Lien hypertexte" xfId="23002" builtinId="8" hidden="1"/>
    <cellStyle name="Lien hypertexte" xfId="23004" builtinId="8" hidden="1"/>
    <cellStyle name="Lien hypertexte" xfId="23006" builtinId="8" hidden="1"/>
    <cellStyle name="Lien hypertexte" xfId="23008" builtinId="8" hidden="1"/>
    <cellStyle name="Lien hypertexte" xfId="23010" builtinId="8" hidden="1"/>
    <cellStyle name="Lien hypertexte" xfId="23012" builtinId="8" hidden="1"/>
    <cellStyle name="Lien hypertexte" xfId="23014" builtinId="8" hidden="1"/>
    <cellStyle name="Lien hypertexte" xfId="23016" builtinId="8" hidden="1"/>
    <cellStyle name="Lien hypertexte" xfId="23018" builtinId="8" hidden="1"/>
    <cellStyle name="Lien hypertexte" xfId="23020" builtinId="8" hidden="1"/>
    <cellStyle name="Lien hypertexte" xfId="23022" builtinId="8" hidden="1"/>
    <cellStyle name="Lien hypertexte" xfId="23024" builtinId="8" hidden="1"/>
    <cellStyle name="Lien hypertexte" xfId="23026" builtinId="8" hidden="1"/>
    <cellStyle name="Lien hypertexte" xfId="23028" builtinId="8" hidden="1"/>
    <cellStyle name="Lien hypertexte" xfId="23030" builtinId="8" hidden="1"/>
    <cellStyle name="Lien hypertexte" xfId="23032" builtinId="8" hidden="1"/>
    <cellStyle name="Lien hypertexte" xfId="23034" builtinId="8" hidden="1"/>
    <cellStyle name="Lien hypertexte" xfId="23036" builtinId="8" hidden="1"/>
    <cellStyle name="Lien hypertexte" xfId="23038" builtinId="8" hidden="1"/>
    <cellStyle name="Lien hypertexte" xfId="23040" builtinId="8" hidden="1"/>
    <cellStyle name="Lien hypertexte" xfId="23042" builtinId="8" hidden="1"/>
    <cellStyle name="Lien hypertexte" xfId="23044" builtinId="8" hidden="1"/>
    <cellStyle name="Lien hypertexte" xfId="23046" builtinId="8" hidden="1"/>
    <cellStyle name="Lien hypertexte" xfId="23048" builtinId="8" hidden="1"/>
    <cellStyle name="Lien hypertexte" xfId="23050" builtinId="8" hidden="1"/>
    <cellStyle name="Lien hypertexte" xfId="23052" builtinId="8" hidden="1"/>
    <cellStyle name="Lien hypertexte" xfId="23054" builtinId="8" hidden="1"/>
    <cellStyle name="Lien hypertexte" xfId="23056" builtinId="8" hidden="1"/>
    <cellStyle name="Lien hypertexte" xfId="23058" builtinId="8" hidden="1"/>
    <cellStyle name="Lien hypertexte" xfId="23060" builtinId="8" hidden="1"/>
    <cellStyle name="Lien hypertexte" xfId="23062" builtinId="8" hidden="1"/>
    <cellStyle name="Lien hypertexte" xfId="23064" builtinId="8" hidden="1"/>
    <cellStyle name="Lien hypertexte" xfId="23066" builtinId="8" hidden="1"/>
    <cellStyle name="Lien hypertexte" xfId="23068" builtinId="8" hidden="1"/>
    <cellStyle name="Lien hypertexte" xfId="23070" builtinId="8" hidden="1"/>
    <cellStyle name="Lien hypertexte" xfId="23072" builtinId="8" hidden="1"/>
    <cellStyle name="Lien hypertexte" xfId="23074" builtinId="8" hidden="1"/>
    <cellStyle name="Lien hypertexte" xfId="23076" builtinId="8" hidden="1"/>
    <cellStyle name="Lien hypertexte" xfId="23078" builtinId="8" hidden="1"/>
    <cellStyle name="Lien hypertexte" xfId="23080" builtinId="8" hidden="1"/>
    <cellStyle name="Lien hypertexte" xfId="23082" builtinId="8" hidden="1"/>
    <cellStyle name="Lien hypertexte" xfId="23084" builtinId="8" hidden="1"/>
    <cellStyle name="Lien hypertexte" xfId="23086" builtinId="8" hidden="1"/>
    <cellStyle name="Lien hypertexte" xfId="23088" builtinId="8" hidden="1"/>
    <cellStyle name="Lien hypertexte" xfId="23090" builtinId="8" hidden="1"/>
    <cellStyle name="Lien hypertexte" xfId="23092" builtinId="8" hidden="1"/>
    <cellStyle name="Lien hypertexte" xfId="23094" builtinId="8" hidden="1"/>
    <cellStyle name="Lien hypertexte" xfId="23096" builtinId="8" hidden="1"/>
    <cellStyle name="Lien hypertexte" xfId="23098" builtinId="8" hidden="1"/>
    <cellStyle name="Lien hypertexte" xfId="23100" builtinId="8" hidden="1"/>
    <cellStyle name="Lien hypertexte" xfId="23102" builtinId="8" hidden="1"/>
    <cellStyle name="Lien hypertexte" xfId="23104" builtinId="8" hidden="1"/>
    <cellStyle name="Lien hypertexte" xfId="23106" builtinId="8" hidden="1"/>
    <cellStyle name="Lien hypertexte" xfId="23108" builtinId="8" hidden="1"/>
    <cellStyle name="Lien hypertexte" xfId="23110" builtinId="8" hidden="1"/>
    <cellStyle name="Lien hypertexte" xfId="23112" builtinId="8" hidden="1"/>
    <cellStyle name="Lien hypertexte" xfId="23114" builtinId="8" hidden="1"/>
    <cellStyle name="Lien hypertexte" xfId="23116" builtinId="8" hidden="1"/>
    <cellStyle name="Lien hypertexte" xfId="23118" builtinId="8" hidden="1"/>
    <cellStyle name="Lien hypertexte" xfId="23120" builtinId="8" hidden="1"/>
    <cellStyle name="Lien hypertexte" xfId="23122" builtinId="8" hidden="1"/>
    <cellStyle name="Lien hypertexte" xfId="23124" builtinId="8" hidden="1"/>
    <cellStyle name="Lien hypertexte" xfId="23126" builtinId="8" hidden="1"/>
    <cellStyle name="Lien hypertexte" xfId="23128" builtinId="8" hidden="1"/>
    <cellStyle name="Lien hypertexte" xfId="23130" builtinId="8" hidden="1"/>
    <cellStyle name="Lien hypertexte" xfId="23132" builtinId="8" hidden="1"/>
    <cellStyle name="Lien hypertexte" xfId="23134" builtinId="8" hidden="1"/>
    <cellStyle name="Lien hypertexte" xfId="23136" builtinId="8" hidden="1"/>
    <cellStyle name="Lien hypertexte" xfId="23138" builtinId="8" hidden="1"/>
    <cellStyle name="Lien hypertexte" xfId="23140" builtinId="8" hidden="1"/>
    <cellStyle name="Lien hypertexte" xfId="23142" builtinId="8" hidden="1"/>
    <cellStyle name="Lien hypertexte" xfId="23144" builtinId="8" hidden="1"/>
    <cellStyle name="Lien hypertexte" xfId="23146" builtinId="8" hidden="1"/>
    <cellStyle name="Lien hypertexte" xfId="23148" builtinId="8" hidden="1"/>
    <cellStyle name="Lien hypertexte" xfId="23150" builtinId="8" hidden="1"/>
    <cellStyle name="Lien hypertexte" xfId="23152" builtinId="8" hidden="1"/>
    <cellStyle name="Lien hypertexte" xfId="23154" builtinId="8" hidden="1"/>
    <cellStyle name="Lien hypertexte" xfId="23156" builtinId="8" hidden="1"/>
    <cellStyle name="Lien hypertexte" xfId="23158" builtinId="8" hidden="1"/>
    <cellStyle name="Lien hypertexte" xfId="23160" builtinId="8" hidden="1"/>
    <cellStyle name="Lien hypertexte" xfId="23162" builtinId="8" hidden="1"/>
    <cellStyle name="Lien hypertexte" xfId="23164" builtinId="8" hidden="1"/>
    <cellStyle name="Lien hypertexte" xfId="23166" builtinId="8" hidden="1"/>
    <cellStyle name="Lien hypertexte" xfId="23168" builtinId="8" hidden="1"/>
    <cellStyle name="Lien hypertexte" xfId="23170" builtinId="8" hidden="1"/>
    <cellStyle name="Lien hypertexte" xfId="23172" builtinId="8" hidden="1"/>
    <cellStyle name="Lien hypertexte" xfId="23174" builtinId="8" hidden="1"/>
    <cellStyle name="Lien hypertexte" xfId="23176" builtinId="8" hidden="1"/>
    <cellStyle name="Lien hypertexte" xfId="23178" builtinId="8" hidden="1"/>
    <cellStyle name="Lien hypertexte" xfId="23180" builtinId="8" hidden="1"/>
    <cellStyle name="Lien hypertexte" xfId="23182" builtinId="8" hidden="1"/>
    <cellStyle name="Lien hypertexte" xfId="23184" builtinId="8" hidden="1"/>
    <cellStyle name="Lien hypertexte" xfId="23186" builtinId="8" hidden="1"/>
    <cellStyle name="Lien hypertexte" xfId="23188" builtinId="8" hidden="1"/>
    <cellStyle name="Lien hypertexte" xfId="23190" builtinId="8" hidden="1"/>
    <cellStyle name="Lien hypertexte" xfId="23192" builtinId="8" hidden="1"/>
    <cellStyle name="Lien hypertexte" xfId="23194" builtinId="8" hidden="1"/>
    <cellStyle name="Lien hypertexte" xfId="23196" builtinId="8" hidden="1"/>
    <cellStyle name="Lien hypertexte" xfId="23198" builtinId="8" hidden="1"/>
    <cellStyle name="Lien hypertexte" xfId="23200" builtinId="8" hidden="1"/>
    <cellStyle name="Lien hypertexte" xfId="23202" builtinId="8" hidden="1"/>
    <cellStyle name="Lien hypertexte" xfId="23204" builtinId="8" hidden="1"/>
    <cellStyle name="Lien hypertexte" xfId="23206" builtinId="8" hidden="1"/>
    <cellStyle name="Lien hypertexte" xfId="23208" builtinId="8" hidden="1"/>
    <cellStyle name="Lien hypertexte" xfId="23210" builtinId="8" hidden="1"/>
    <cellStyle name="Lien hypertexte" xfId="23212" builtinId="8" hidden="1"/>
    <cellStyle name="Lien hypertexte" xfId="23214" builtinId="8" hidden="1"/>
    <cellStyle name="Lien hypertexte" xfId="23216" builtinId="8" hidden="1"/>
    <cellStyle name="Lien hypertexte" xfId="23218" builtinId="8" hidden="1"/>
    <cellStyle name="Lien hypertexte" xfId="23220" builtinId="8" hidden="1"/>
    <cellStyle name="Lien hypertexte" xfId="23222" builtinId="8" hidden="1"/>
    <cellStyle name="Lien hypertexte" xfId="23224" builtinId="8" hidden="1"/>
    <cellStyle name="Lien hypertexte" xfId="23226" builtinId="8" hidden="1"/>
    <cellStyle name="Lien hypertexte" xfId="23228" builtinId="8" hidden="1"/>
    <cellStyle name="Lien hypertexte" xfId="23230" builtinId="8" hidden="1"/>
    <cellStyle name="Lien hypertexte" xfId="23232" builtinId="8" hidden="1"/>
    <cellStyle name="Lien hypertexte" xfId="23234" builtinId="8" hidden="1"/>
    <cellStyle name="Lien hypertexte" xfId="23236" builtinId="8" hidden="1"/>
    <cellStyle name="Lien hypertexte" xfId="23238" builtinId="8" hidden="1"/>
    <cellStyle name="Lien hypertexte" xfId="23240" builtinId="8" hidden="1"/>
    <cellStyle name="Lien hypertexte" xfId="23242" builtinId="8" hidden="1"/>
    <cellStyle name="Lien hypertexte" xfId="23244" builtinId="8" hidden="1"/>
    <cellStyle name="Lien hypertexte" xfId="23246" builtinId="8" hidden="1"/>
    <cellStyle name="Lien hypertexte" xfId="23248" builtinId="8" hidden="1"/>
    <cellStyle name="Lien hypertexte" xfId="23250" builtinId="8" hidden="1"/>
    <cellStyle name="Lien hypertexte" xfId="23252" builtinId="8" hidden="1"/>
    <cellStyle name="Lien hypertexte" xfId="23254" builtinId="8" hidden="1"/>
    <cellStyle name="Lien hypertexte" xfId="23256" builtinId="8" hidden="1"/>
    <cellStyle name="Lien hypertexte" xfId="23258" builtinId="8" hidden="1"/>
    <cellStyle name="Lien hypertexte" xfId="23260" builtinId="8" hidden="1"/>
    <cellStyle name="Lien hypertexte" xfId="23262" builtinId="8" hidden="1"/>
    <cellStyle name="Lien hypertexte" xfId="23264" builtinId="8" hidden="1"/>
    <cellStyle name="Lien hypertexte" xfId="23266" builtinId="8" hidden="1"/>
    <cellStyle name="Lien hypertexte" xfId="23268" builtinId="8" hidden="1"/>
    <cellStyle name="Lien hypertexte" xfId="23270" builtinId="8" hidden="1"/>
    <cellStyle name="Lien hypertexte" xfId="23272" builtinId="8" hidden="1"/>
    <cellStyle name="Lien hypertexte" xfId="23274" builtinId="8" hidden="1"/>
    <cellStyle name="Lien hypertexte" xfId="23276" builtinId="8" hidden="1"/>
    <cellStyle name="Lien hypertexte" xfId="23278" builtinId="8" hidden="1"/>
    <cellStyle name="Lien hypertexte" xfId="23280" builtinId="8" hidden="1"/>
    <cellStyle name="Lien hypertexte" xfId="23282" builtinId="8" hidden="1"/>
    <cellStyle name="Lien hypertexte" xfId="23284" builtinId="8" hidden="1"/>
    <cellStyle name="Lien hypertexte" xfId="23286" builtinId="8" hidden="1"/>
    <cellStyle name="Lien hypertexte" xfId="23288" builtinId="8" hidden="1"/>
    <cellStyle name="Lien hypertexte" xfId="23290" builtinId="8" hidden="1"/>
    <cellStyle name="Lien hypertexte" xfId="23292" builtinId="8" hidden="1"/>
    <cellStyle name="Lien hypertexte" xfId="23294" builtinId="8" hidden="1"/>
    <cellStyle name="Lien hypertexte" xfId="23296" builtinId="8" hidden="1"/>
    <cellStyle name="Lien hypertexte" xfId="23298" builtinId="8" hidden="1"/>
    <cellStyle name="Lien hypertexte" xfId="23300" builtinId="8" hidden="1"/>
    <cellStyle name="Lien hypertexte" xfId="23302" builtinId="8" hidden="1"/>
    <cellStyle name="Lien hypertexte" xfId="23304" builtinId="8" hidden="1"/>
    <cellStyle name="Lien hypertexte" xfId="23306" builtinId="8" hidden="1"/>
    <cellStyle name="Lien hypertexte" xfId="23308" builtinId="8" hidden="1"/>
    <cellStyle name="Lien hypertexte" xfId="23310" builtinId="8" hidden="1"/>
    <cellStyle name="Lien hypertexte" xfId="23312" builtinId="8" hidden="1"/>
    <cellStyle name="Lien hypertexte" xfId="23314" builtinId="8" hidden="1"/>
    <cellStyle name="Lien hypertexte" xfId="23316" builtinId="8" hidden="1"/>
    <cellStyle name="Lien hypertexte" xfId="23318" builtinId="8" hidden="1"/>
    <cellStyle name="Lien hypertexte" xfId="23320" builtinId="8" hidden="1"/>
    <cellStyle name="Lien hypertexte" xfId="23322" builtinId="8" hidden="1"/>
    <cellStyle name="Lien hypertexte" xfId="23324" builtinId="8" hidden="1"/>
    <cellStyle name="Lien hypertexte" xfId="23326" builtinId="8" hidden="1"/>
    <cellStyle name="Lien hypertexte" xfId="23328" builtinId="8" hidden="1"/>
    <cellStyle name="Lien hypertexte" xfId="23330" builtinId="8" hidden="1"/>
    <cellStyle name="Lien hypertexte" xfId="23332" builtinId="8" hidden="1"/>
    <cellStyle name="Lien hypertexte" xfId="23334" builtinId="8" hidden="1"/>
    <cellStyle name="Lien hypertexte" xfId="23336" builtinId="8" hidden="1"/>
    <cellStyle name="Lien hypertexte" xfId="23338" builtinId="8" hidden="1"/>
    <cellStyle name="Lien hypertexte" xfId="23340" builtinId="8" hidden="1"/>
    <cellStyle name="Lien hypertexte" xfId="23342" builtinId="8" hidden="1"/>
    <cellStyle name="Lien hypertexte" xfId="23344" builtinId="8" hidden="1"/>
    <cellStyle name="Lien hypertexte" xfId="23346" builtinId="8" hidden="1"/>
    <cellStyle name="Lien hypertexte" xfId="23348" builtinId="8" hidden="1"/>
    <cellStyle name="Lien hypertexte" xfId="23350" builtinId="8" hidden="1"/>
    <cellStyle name="Lien hypertexte" xfId="23352" builtinId="8" hidden="1"/>
    <cellStyle name="Lien hypertexte" xfId="23354" builtinId="8" hidden="1"/>
    <cellStyle name="Lien hypertexte" xfId="23356" builtinId="8" hidden="1"/>
    <cellStyle name="Lien hypertexte" xfId="23358" builtinId="8" hidden="1"/>
    <cellStyle name="Lien hypertexte" xfId="23360" builtinId="8" hidden="1"/>
    <cellStyle name="Lien hypertexte" xfId="23362" builtinId="8" hidden="1"/>
    <cellStyle name="Lien hypertexte" xfId="23364" builtinId="8" hidden="1"/>
    <cellStyle name="Lien hypertexte" xfId="23366" builtinId="8" hidden="1"/>
    <cellStyle name="Lien hypertexte" xfId="23368" builtinId="8" hidden="1"/>
    <cellStyle name="Lien hypertexte" xfId="23370" builtinId="8" hidden="1"/>
    <cellStyle name="Lien hypertexte" xfId="23372" builtinId="8" hidden="1"/>
    <cellStyle name="Lien hypertexte" xfId="23374" builtinId="8" hidden="1"/>
    <cellStyle name="Lien hypertexte" xfId="23376" builtinId="8" hidden="1"/>
    <cellStyle name="Lien hypertexte" xfId="23378" builtinId="8" hidden="1"/>
    <cellStyle name="Lien hypertexte" xfId="23380" builtinId="8" hidden="1"/>
    <cellStyle name="Lien hypertexte" xfId="23382" builtinId="8" hidden="1"/>
    <cellStyle name="Lien hypertexte" xfId="23384" builtinId="8" hidden="1"/>
    <cellStyle name="Lien hypertexte" xfId="23386" builtinId="8" hidden="1"/>
    <cellStyle name="Lien hypertexte" xfId="23388" builtinId="8" hidden="1"/>
    <cellStyle name="Lien hypertexte" xfId="23390" builtinId="8" hidden="1"/>
    <cellStyle name="Lien hypertexte" xfId="23392" builtinId="8" hidden="1"/>
    <cellStyle name="Lien hypertexte" xfId="23394" builtinId="8" hidden="1"/>
    <cellStyle name="Lien hypertexte" xfId="23396" builtinId="8" hidden="1"/>
    <cellStyle name="Lien hypertexte" xfId="23398" builtinId="8" hidden="1"/>
    <cellStyle name="Lien hypertexte" xfId="23400" builtinId="8" hidden="1"/>
    <cellStyle name="Lien hypertexte" xfId="23402" builtinId="8" hidden="1"/>
    <cellStyle name="Lien hypertexte" xfId="23404" builtinId="8" hidden="1"/>
    <cellStyle name="Lien hypertexte" xfId="23406" builtinId="8" hidden="1"/>
    <cellStyle name="Lien hypertexte" xfId="23408" builtinId="8" hidden="1"/>
    <cellStyle name="Lien hypertexte" xfId="23410" builtinId="8" hidden="1"/>
    <cellStyle name="Lien hypertexte" xfId="23412" builtinId="8" hidden="1"/>
    <cellStyle name="Lien hypertexte" xfId="23414" builtinId="8" hidden="1"/>
    <cellStyle name="Lien hypertexte" xfId="23416" builtinId="8" hidden="1"/>
    <cellStyle name="Lien hypertexte" xfId="23418" builtinId="8" hidden="1"/>
    <cellStyle name="Lien hypertexte" xfId="23420" builtinId="8" hidden="1"/>
    <cellStyle name="Lien hypertexte" xfId="23422" builtinId="8" hidden="1"/>
    <cellStyle name="Lien hypertexte" xfId="23424" builtinId="8" hidden="1"/>
    <cellStyle name="Lien hypertexte" xfId="23426" builtinId="8" hidden="1"/>
    <cellStyle name="Lien hypertexte" xfId="23428" builtinId="8" hidden="1"/>
    <cellStyle name="Lien hypertexte" xfId="23430" builtinId="8" hidden="1"/>
    <cellStyle name="Lien hypertexte" xfId="23432" builtinId="8" hidden="1"/>
    <cellStyle name="Lien hypertexte" xfId="23434" builtinId="8" hidden="1"/>
    <cellStyle name="Lien hypertexte" xfId="23436" builtinId="8" hidden="1"/>
    <cellStyle name="Lien hypertexte" xfId="23438" builtinId="8" hidden="1"/>
    <cellStyle name="Lien hypertexte" xfId="23440" builtinId="8" hidden="1"/>
    <cellStyle name="Lien hypertexte" xfId="23442" builtinId="8" hidden="1"/>
    <cellStyle name="Lien hypertexte" xfId="23444" builtinId="8" hidden="1"/>
    <cellStyle name="Lien hypertexte" xfId="23446" builtinId="8" hidden="1"/>
    <cellStyle name="Lien hypertexte" xfId="23448" builtinId="8" hidden="1"/>
    <cellStyle name="Lien hypertexte" xfId="23450" builtinId="8" hidden="1"/>
    <cellStyle name="Lien hypertexte" xfId="23452" builtinId="8" hidden="1"/>
    <cellStyle name="Lien hypertexte" xfId="23454" builtinId="8" hidden="1"/>
    <cellStyle name="Lien hypertexte" xfId="23456" builtinId="8" hidden="1"/>
    <cellStyle name="Lien hypertexte" xfId="23458" builtinId="8" hidden="1"/>
    <cellStyle name="Lien hypertexte" xfId="23460" builtinId="8" hidden="1"/>
    <cellStyle name="Lien hypertexte" xfId="23462" builtinId="8" hidden="1"/>
    <cellStyle name="Lien hypertexte" xfId="23464" builtinId="8" hidden="1"/>
    <cellStyle name="Lien hypertexte" xfId="23466" builtinId="8" hidden="1"/>
    <cellStyle name="Lien hypertexte" xfId="23468" builtinId="8" hidden="1"/>
    <cellStyle name="Lien hypertexte" xfId="23470" builtinId="8" hidden="1"/>
    <cellStyle name="Lien hypertexte" xfId="23472" builtinId="8" hidden="1"/>
    <cellStyle name="Lien hypertexte" xfId="23474" builtinId="8" hidden="1"/>
    <cellStyle name="Lien hypertexte" xfId="23476" builtinId="8" hidden="1"/>
    <cellStyle name="Lien hypertexte" xfId="23478" builtinId="8" hidden="1"/>
    <cellStyle name="Lien hypertexte" xfId="23480" builtinId="8" hidden="1"/>
    <cellStyle name="Lien hypertexte" xfId="23482" builtinId="8" hidden="1"/>
    <cellStyle name="Lien hypertexte" xfId="23484" builtinId="8" hidden="1"/>
    <cellStyle name="Lien hypertexte" xfId="23486" builtinId="8" hidden="1"/>
    <cellStyle name="Lien hypertexte" xfId="23488" builtinId="8" hidden="1"/>
    <cellStyle name="Lien hypertexte" xfId="23490" builtinId="8" hidden="1"/>
    <cellStyle name="Lien hypertexte" xfId="23492" builtinId="8" hidden="1"/>
    <cellStyle name="Lien hypertexte" xfId="23494" builtinId="8" hidden="1"/>
    <cellStyle name="Lien hypertexte" xfId="23496" builtinId="8" hidden="1"/>
    <cellStyle name="Lien hypertexte" xfId="23498" builtinId="8" hidden="1"/>
    <cellStyle name="Lien hypertexte" xfId="23500" builtinId="8" hidden="1"/>
    <cellStyle name="Lien hypertexte" xfId="23502" builtinId="8" hidden="1"/>
    <cellStyle name="Lien hypertexte" xfId="23504" builtinId="8" hidden="1"/>
    <cellStyle name="Lien hypertexte" xfId="23506" builtinId="8" hidden="1"/>
    <cellStyle name="Lien hypertexte" xfId="23508" builtinId="8" hidden="1"/>
    <cellStyle name="Lien hypertexte" xfId="23510" builtinId="8" hidden="1"/>
    <cellStyle name="Lien hypertexte" xfId="23512" builtinId="8" hidden="1"/>
    <cellStyle name="Lien hypertexte" xfId="23514" builtinId="8" hidden="1"/>
    <cellStyle name="Lien hypertexte" xfId="23516" builtinId="8" hidden="1"/>
    <cellStyle name="Lien hypertexte" xfId="23518" builtinId="8" hidden="1"/>
    <cellStyle name="Lien hypertexte" xfId="23520" builtinId="8" hidden="1"/>
    <cellStyle name="Lien hypertexte" xfId="23522" builtinId="8" hidden="1"/>
    <cellStyle name="Lien hypertexte" xfId="23524" builtinId="8" hidden="1"/>
    <cellStyle name="Lien hypertexte" xfId="23526" builtinId="8" hidden="1"/>
    <cellStyle name="Lien hypertexte" xfId="23528" builtinId="8" hidden="1"/>
    <cellStyle name="Lien hypertexte" xfId="23530" builtinId="8" hidden="1"/>
    <cellStyle name="Lien hypertexte" xfId="23532" builtinId="8" hidden="1"/>
    <cellStyle name="Lien hypertexte" xfId="23534" builtinId="8" hidden="1"/>
    <cellStyle name="Lien hypertexte" xfId="23536" builtinId="8" hidden="1"/>
    <cellStyle name="Lien hypertexte" xfId="23538" builtinId="8" hidden="1"/>
    <cellStyle name="Lien hypertexte" xfId="23540" builtinId="8" hidden="1"/>
    <cellStyle name="Lien hypertexte" xfId="23542" builtinId="8" hidden="1"/>
    <cellStyle name="Lien hypertexte" xfId="23544" builtinId="8" hidden="1"/>
    <cellStyle name="Lien hypertexte" xfId="23546" builtinId="8" hidden="1"/>
    <cellStyle name="Lien hypertexte" xfId="23548" builtinId="8" hidden="1"/>
    <cellStyle name="Lien hypertexte" xfId="23550" builtinId="8" hidden="1"/>
    <cellStyle name="Lien hypertexte" xfId="23552" builtinId="8" hidden="1"/>
    <cellStyle name="Lien hypertexte" xfId="23554" builtinId="8" hidden="1"/>
    <cellStyle name="Lien hypertexte" xfId="23556" builtinId="8" hidden="1"/>
    <cellStyle name="Lien hypertexte" xfId="23558" builtinId="8" hidden="1"/>
    <cellStyle name="Lien hypertexte" xfId="23560" builtinId="8" hidden="1"/>
    <cellStyle name="Lien hypertexte" xfId="23562" builtinId="8" hidden="1"/>
    <cellStyle name="Lien hypertexte" xfId="23564" builtinId="8" hidden="1"/>
    <cellStyle name="Lien hypertexte" xfId="23566" builtinId="8" hidden="1"/>
    <cellStyle name="Lien hypertexte" xfId="23568" builtinId="8" hidden="1"/>
    <cellStyle name="Lien hypertexte" xfId="23570" builtinId="8" hidden="1"/>
    <cellStyle name="Lien hypertexte" xfId="23572" builtinId="8" hidden="1"/>
    <cellStyle name="Lien hypertexte" xfId="23574" builtinId="8" hidden="1"/>
    <cellStyle name="Lien hypertexte" xfId="23576" builtinId="8" hidden="1"/>
    <cellStyle name="Lien hypertexte" xfId="23578" builtinId="8" hidden="1"/>
    <cellStyle name="Lien hypertexte" xfId="23580" builtinId="8" hidden="1"/>
    <cellStyle name="Lien hypertexte" xfId="23582" builtinId="8" hidden="1"/>
    <cellStyle name="Lien hypertexte" xfId="23584" builtinId="8" hidden="1"/>
    <cellStyle name="Lien hypertexte" xfId="23586" builtinId="8" hidden="1"/>
    <cellStyle name="Lien hypertexte" xfId="23588" builtinId="8" hidden="1"/>
    <cellStyle name="Lien hypertexte" xfId="23590" builtinId="8" hidden="1"/>
    <cellStyle name="Lien hypertexte" xfId="23592" builtinId="8" hidden="1"/>
    <cellStyle name="Lien hypertexte" xfId="23594" builtinId="8" hidden="1"/>
    <cellStyle name="Lien hypertexte" xfId="23596" builtinId="8" hidden="1"/>
    <cellStyle name="Lien hypertexte" xfId="23598" builtinId="8" hidden="1"/>
    <cellStyle name="Lien hypertexte" xfId="23600" builtinId="8" hidden="1"/>
    <cellStyle name="Lien hypertexte" xfId="23602" builtinId="8" hidden="1"/>
    <cellStyle name="Lien hypertexte" xfId="23604" builtinId="8" hidden="1"/>
    <cellStyle name="Lien hypertexte" xfId="23606" builtinId="8" hidden="1"/>
    <cellStyle name="Lien hypertexte" xfId="23608" builtinId="8" hidden="1"/>
    <cellStyle name="Lien hypertexte" xfId="23610" builtinId="8" hidden="1"/>
    <cellStyle name="Lien hypertexte" xfId="23612" builtinId="8" hidden="1"/>
    <cellStyle name="Lien hypertexte" xfId="23614" builtinId="8" hidden="1"/>
    <cellStyle name="Lien hypertexte" xfId="23616" builtinId="8" hidden="1"/>
    <cellStyle name="Lien hypertexte" xfId="23618" builtinId="8" hidden="1"/>
    <cellStyle name="Lien hypertexte" xfId="23620" builtinId="8" hidden="1"/>
    <cellStyle name="Lien hypertexte" xfId="23622" builtinId="8" hidden="1"/>
    <cellStyle name="Lien hypertexte" xfId="23624" builtinId="8" hidden="1"/>
    <cellStyle name="Lien hypertexte" xfId="23626" builtinId="8" hidden="1"/>
    <cellStyle name="Lien hypertexte" xfId="23628" builtinId="8" hidden="1"/>
    <cellStyle name="Lien hypertexte" xfId="23630" builtinId="8" hidden="1"/>
    <cellStyle name="Lien hypertexte" xfId="23632" builtinId="8" hidden="1"/>
    <cellStyle name="Lien hypertexte" xfId="23634" builtinId="8" hidden="1"/>
    <cellStyle name="Lien hypertexte" xfId="23636" builtinId="8" hidden="1"/>
    <cellStyle name="Lien hypertexte" xfId="23638" builtinId="8" hidden="1"/>
    <cellStyle name="Lien hypertexte" xfId="23640" builtinId="8" hidden="1"/>
    <cellStyle name="Lien hypertexte" xfId="23642" builtinId="8" hidden="1"/>
    <cellStyle name="Lien hypertexte" xfId="23644" builtinId="8" hidden="1"/>
    <cellStyle name="Lien hypertexte" xfId="23646" builtinId="8" hidden="1"/>
    <cellStyle name="Lien hypertexte" xfId="23648" builtinId="8" hidden="1"/>
    <cellStyle name="Lien hypertexte" xfId="23650" builtinId="8" hidden="1"/>
    <cellStyle name="Lien hypertexte" xfId="23652" builtinId="8" hidden="1"/>
    <cellStyle name="Lien hypertexte" xfId="23654" builtinId="8" hidden="1"/>
    <cellStyle name="Lien hypertexte" xfId="23656" builtinId="8" hidden="1"/>
    <cellStyle name="Lien hypertexte" xfId="23658" builtinId="8" hidden="1"/>
    <cellStyle name="Lien hypertexte" xfId="23660" builtinId="8" hidden="1"/>
    <cellStyle name="Lien hypertexte" xfId="23662" builtinId="8" hidden="1"/>
    <cellStyle name="Lien hypertexte" xfId="23664" builtinId="8" hidden="1"/>
    <cellStyle name="Lien hypertexte" xfId="23666" builtinId="8" hidden="1"/>
    <cellStyle name="Lien hypertexte" xfId="23668" builtinId="8" hidden="1"/>
    <cellStyle name="Lien hypertexte" xfId="23670" builtinId="8" hidden="1"/>
    <cellStyle name="Lien hypertexte" xfId="23672" builtinId="8" hidden="1"/>
    <cellStyle name="Lien hypertexte" xfId="23674" builtinId="8" hidden="1"/>
    <cellStyle name="Lien hypertexte" xfId="23676" builtinId="8" hidden="1"/>
    <cellStyle name="Lien hypertexte" xfId="23678" builtinId="8" hidden="1"/>
    <cellStyle name="Lien hypertexte" xfId="23680" builtinId="8" hidden="1"/>
    <cellStyle name="Lien hypertexte" xfId="23682" builtinId="8" hidden="1"/>
    <cellStyle name="Lien hypertexte" xfId="23684" builtinId="8" hidden="1"/>
    <cellStyle name="Lien hypertexte" xfId="23686" builtinId="8" hidden="1"/>
    <cellStyle name="Lien hypertexte" xfId="23688" builtinId="8" hidden="1"/>
    <cellStyle name="Lien hypertexte" xfId="23690" builtinId="8" hidden="1"/>
    <cellStyle name="Lien hypertexte" xfId="23692" builtinId="8" hidden="1"/>
    <cellStyle name="Lien hypertexte" xfId="23694" builtinId="8" hidden="1"/>
    <cellStyle name="Lien hypertexte" xfId="23696" builtinId="8" hidden="1"/>
    <cellStyle name="Lien hypertexte" xfId="23698" builtinId="8" hidden="1"/>
    <cellStyle name="Lien hypertexte" xfId="23700" builtinId="8" hidden="1"/>
    <cellStyle name="Lien hypertexte" xfId="23702" builtinId="8" hidden="1"/>
    <cellStyle name="Lien hypertexte" xfId="23704" builtinId="8" hidden="1"/>
    <cellStyle name="Lien hypertexte" xfId="23706" builtinId="8" hidden="1"/>
    <cellStyle name="Lien hypertexte" xfId="23708" builtinId="8" hidden="1"/>
    <cellStyle name="Lien hypertexte" xfId="23710" builtinId="8" hidden="1"/>
    <cellStyle name="Lien hypertexte" xfId="23712" builtinId="8" hidden="1"/>
    <cellStyle name="Lien hypertexte" xfId="23714" builtinId="8" hidden="1"/>
    <cellStyle name="Lien hypertexte" xfId="23716" builtinId="8" hidden="1"/>
    <cellStyle name="Lien hypertexte" xfId="23718" builtinId="8" hidden="1"/>
    <cellStyle name="Lien hypertexte" xfId="23720" builtinId="8" hidden="1"/>
    <cellStyle name="Lien hypertexte" xfId="23722" builtinId="8" hidden="1"/>
    <cellStyle name="Lien hypertexte" xfId="23724" builtinId="8" hidden="1"/>
    <cellStyle name="Lien hypertexte" xfId="23726" builtinId="8" hidden="1"/>
    <cellStyle name="Lien hypertexte" xfId="23728" builtinId="8" hidden="1"/>
    <cellStyle name="Lien hypertexte" xfId="23730" builtinId="8" hidden="1"/>
    <cellStyle name="Lien hypertexte" xfId="23732" builtinId="8" hidden="1"/>
    <cellStyle name="Lien hypertexte" xfId="23734" builtinId="8" hidden="1"/>
    <cellStyle name="Lien hypertexte" xfId="23736" builtinId="8" hidden="1"/>
    <cellStyle name="Lien hypertexte" xfId="23738" builtinId="8" hidden="1"/>
    <cellStyle name="Lien hypertexte" xfId="23740" builtinId="8" hidden="1"/>
    <cellStyle name="Lien hypertexte" xfId="23742" builtinId="8" hidden="1"/>
    <cellStyle name="Lien hypertexte" xfId="23744" builtinId="8" hidden="1"/>
    <cellStyle name="Lien hypertexte" xfId="23746" builtinId="8" hidden="1"/>
    <cellStyle name="Lien hypertexte" xfId="23748" builtinId="8" hidden="1"/>
    <cellStyle name="Lien hypertexte" xfId="23750" builtinId="8" hidden="1"/>
    <cellStyle name="Lien hypertexte" xfId="23752" builtinId="8" hidden="1"/>
    <cellStyle name="Lien hypertexte" xfId="23754" builtinId="8" hidden="1"/>
    <cellStyle name="Lien hypertexte" xfId="23756" builtinId="8" hidden="1"/>
    <cellStyle name="Lien hypertexte" xfId="23758" builtinId="8" hidden="1"/>
    <cellStyle name="Lien hypertexte" xfId="23760" builtinId="8" hidden="1"/>
    <cellStyle name="Lien hypertexte" xfId="23762" builtinId="8" hidden="1"/>
    <cellStyle name="Lien hypertexte" xfId="23764" builtinId="8" hidden="1"/>
    <cellStyle name="Lien hypertexte" xfId="23766" builtinId="8" hidden="1"/>
    <cellStyle name="Lien hypertexte" xfId="23768" builtinId="8" hidden="1"/>
    <cellStyle name="Lien hypertexte" xfId="23770" builtinId="8" hidden="1"/>
    <cellStyle name="Lien hypertexte" xfId="23772" builtinId="8" hidden="1"/>
    <cellStyle name="Lien hypertexte" xfId="23774" builtinId="8" hidden="1"/>
    <cellStyle name="Lien hypertexte" xfId="23776" builtinId="8" hidden="1"/>
    <cellStyle name="Lien hypertexte" xfId="23778" builtinId="8" hidden="1"/>
    <cellStyle name="Lien hypertexte" xfId="23780" builtinId="8" hidden="1"/>
    <cellStyle name="Lien hypertexte" xfId="23782" builtinId="8" hidden="1"/>
    <cellStyle name="Lien hypertexte" xfId="23784" builtinId="8" hidden="1"/>
    <cellStyle name="Lien hypertexte" xfId="23786" builtinId="8" hidden="1"/>
    <cellStyle name="Lien hypertexte" xfId="23788" builtinId="8" hidden="1"/>
    <cellStyle name="Lien hypertexte" xfId="23790" builtinId="8" hidden="1"/>
    <cellStyle name="Lien hypertexte" xfId="23792" builtinId="8" hidden="1"/>
    <cellStyle name="Lien hypertexte" xfId="23794" builtinId="8" hidden="1"/>
    <cellStyle name="Lien hypertexte" xfId="23796" builtinId="8" hidden="1"/>
    <cellStyle name="Lien hypertexte" xfId="23798" builtinId="8" hidden="1"/>
    <cellStyle name="Lien hypertexte" xfId="23800" builtinId="8" hidden="1"/>
    <cellStyle name="Lien hypertexte" xfId="23802" builtinId="8" hidden="1"/>
    <cellStyle name="Lien hypertexte" xfId="23804" builtinId="8" hidden="1"/>
    <cellStyle name="Lien hypertexte" xfId="23806" builtinId="8" hidden="1"/>
    <cellStyle name="Lien hypertexte" xfId="23808" builtinId="8" hidden="1"/>
    <cellStyle name="Lien hypertexte" xfId="23810" builtinId="8" hidden="1"/>
    <cellStyle name="Lien hypertexte" xfId="23812" builtinId="8" hidden="1"/>
    <cellStyle name="Lien hypertexte" xfId="23814" builtinId="8" hidden="1"/>
    <cellStyle name="Lien hypertexte" xfId="23816" builtinId="8" hidden="1"/>
    <cellStyle name="Lien hypertexte" xfId="23818" builtinId="8" hidden="1"/>
    <cellStyle name="Lien hypertexte" xfId="23820" builtinId="8" hidden="1"/>
    <cellStyle name="Lien hypertexte" xfId="23822" builtinId="8" hidden="1"/>
    <cellStyle name="Lien hypertexte" xfId="23824" builtinId="8" hidden="1"/>
    <cellStyle name="Lien hypertexte" xfId="23826" builtinId="8" hidden="1"/>
    <cellStyle name="Lien hypertexte" xfId="23828" builtinId="8" hidden="1"/>
    <cellStyle name="Lien hypertexte" xfId="23830" builtinId="8" hidden="1"/>
    <cellStyle name="Lien hypertexte" xfId="23832" builtinId="8" hidden="1"/>
    <cellStyle name="Lien hypertexte" xfId="23834" builtinId="8" hidden="1"/>
    <cellStyle name="Lien hypertexte" xfId="23836" builtinId="8" hidden="1"/>
    <cellStyle name="Lien hypertexte" xfId="23838" builtinId="8" hidden="1"/>
    <cellStyle name="Lien hypertexte" xfId="23840" builtinId="8" hidden="1"/>
    <cellStyle name="Lien hypertexte" xfId="23842" builtinId="8" hidden="1"/>
    <cellStyle name="Lien hypertexte" xfId="23844" builtinId="8" hidden="1"/>
    <cellStyle name="Lien hypertexte" xfId="23846" builtinId="8" hidden="1"/>
    <cellStyle name="Lien hypertexte" xfId="23848" builtinId="8" hidden="1"/>
    <cellStyle name="Lien hypertexte" xfId="23850" builtinId="8" hidden="1"/>
    <cellStyle name="Lien hypertexte" xfId="23852" builtinId="8" hidden="1"/>
    <cellStyle name="Lien hypertexte" xfId="23854" builtinId="8" hidden="1"/>
    <cellStyle name="Lien hypertexte" xfId="23856" builtinId="8" hidden="1"/>
    <cellStyle name="Lien hypertexte" xfId="23858" builtinId="8" hidden="1"/>
    <cellStyle name="Lien hypertexte" xfId="23860" builtinId="8" hidden="1"/>
    <cellStyle name="Lien hypertexte" xfId="23862" builtinId="8" hidden="1"/>
    <cellStyle name="Lien hypertexte" xfId="23864" builtinId="8" hidden="1"/>
    <cellStyle name="Lien hypertexte" xfId="23866" builtinId="8" hidden="1"/>
    <cellStyle name="Lien hypertexte" xfId="23868" builtinId="8" hidden="1"/>
    <cellStyle name="Lien hypertexte" xfId="23870" builtinId="8" hidden="1"/>
    <cellStyle name="Lien hypertexte" xfId="23872" builtinId="8" hidden="1"/>
    <cellStyle name="Lien hypertexte" xfId="23874" builtinId="8" hidden="1"/>
    <cellStyle name="Lien hypertexte" xfId="23876" builtinId="8" hidden="1"/>
    <cellStyle name="Lien hypertexte" xfId="23878" builtinId="8" hidden="1"/>
    <cellStyle name="Lien hypertexte" xfId="23880" builtinId="8" hidden="1"/>
    <cellStyle name="Lien hypertexte" xfId="23882" builtinId="8" hidden="1"/>
    <cellStyle name="Lien hypertexte" xfId="23884" builtinId="8" hidden="1"/>
    <cellStyle name="Lien hypertexte" xfId="23886" builtinId="8" hidden="1"/>
    <cellStyle name="Lien hypertexte" xfId="23888" builtinId="8" hidden="1"/>
    <cellStyle name="Lien hypertexte" xfId="23890" builtinId="8" hidden="1"/>
    <cellStyle name="Lien hypertexte" xfId="23892" builtinId="8" hidden="1"/>
    <cellStyle name="Lien hypertexte" xfId="23894" builtinId="8" hidden="1"/>
    <cellStyle name="Lien hypertexte" xfId="23896" builtinId="8" hidden="1"/>
    <cellStyle name="Lien hypertexte" xfId="23898" builtinId="8" hidden="1"/>
    <cellStyle name="Lien hypertexte" xfId="23900" builtinId="8" hidden="1"/>
    <cellStyle name="Lien hypertexte" xfId="23902" builtinId="8" hidden="1"/>
    <cellStyle name="Lien hypertexte" xfId="23904" builtinId="8" hidden="1"/>
    <cellStyle name="Lien hypertexte" xfId="23906" builtinId="8" hidden="1"/>
    <cellStyle name="Lien hypertexte" xfId="23908" builtinId="8" hidden="1"/>
    <cellStyle name="Lien hypertexte" xfId="23910" builtinId="8" hidden="1"/>
    <cellStyle name="Lien hypertexte" xfId="23912" builtinId="8" hidden="1"/>
    <cellStyle name="Lien hypertexte" xfId="23914" builtinId="8" hidden="1"/>
    <cellStyle name="Lien hypertexte" xfId="23916" builtinId="8" hidden="1"/>
    <cellStyle name="Lien hypertexte" xfId="23918" builtinId="8" hidden="1"/>
    <cellStyle name="Lien hypertexte" xfId="23920" builtinId="8" hidden="1"/>
    <cellStyle name="Lien hypertexte" xfId="23922" builtinId="8" hidden="1"/>
    <cellStyle name="Lien hypertexte" xfId="23924" builtinId="8" hidden="1"/>
    <cellStyle name="Lien hypertexte" xfId="23926" builtinId="8" hidden="1"/>
    <cellStyle name="Lien hypertexte" xfId="23928" builtinId="8" hidden="1"/>
    <cellStyle name="Lien hypertexte" xfId="23930" builtinId="8" hidden="1"/>
    <cellStyle name="Lien hypertexte" xfId="23932" builtinId="8" hidden="1"/>
    <cellStyle name="Lien hypertexte" xfId="23934" builtinId="8" hidden="1"/>
    <cellStyle name="Lien hypertexte" xfId="23936" builtinId="8" hidden="1"/>
    <cellStyle name="Lien hypertexte" xfId="23938" builtinId="8" hidden="1"/>
    <cellStyle name="Lien hypertexte" xfId="23940" builtinId="8" hidden="1"/>
    <cellStyle name="Lien hypertexte" xfId="23942" builtinId="8" hidden="1"/>
    <cellStyle name="Lien hypertexte" xfId="23944" builtinId="8" hidden="1"/>
    <cellStyle name="Lien hypertexte" xfId="23946" builtinId="8" hidden="1"/>
    <cellStyle name="Lien hypertexte" xfId="23948" builtinId="8" hidden="1"/>
    <cellStyle name="Lien hypertexte" xfId="23950" builtinId="8" hidden="1"/>
    <cellStyle name="Lien hypertexte" xfId="23952" builtinId="8" hidden="1"/>
    <cellStyle name="Lien hypertexte" xfId="23954" builtinId="8" hidden="1"/>
    <cellStyle name="Lien hypertexte" xfId="23956" builtinId="8" hidden="1"/>
    <cellStyle name="Lien hypertexte" xfId="23958" builtinId="8" hidden="1"/>
    <cellStyle name="Lien hypertexte" xfId="23960" builtinId="8" hidden="1"/>
    <cellStyle name="Lien hypertexte" xfId="23962" builtinId="8" hidden="1"/>
    <cellStyle name="Lien hypertexte" xfId="23964" builtinId="8" hidden="1"/>
    <cellStyle name="Lien hypertexte" xfId="23966" builtinId="8" hidden="1"/>
    <cellStyle name="Lien hypertexte" xfId="23968" builtinId="8" hidden="1"/>
    <cellStyle name="Lien hypertexte" xfId="23970" builtinId="8" hidden="1"/>
    <cellStyle name="Lien hypertexte" xfId="23972" builtinId="8" hidden="1"/>
    <cellStyle name="Lien hypertexte" xfId="23974" builtinId="8" hidden="1"/>
    <cellStyle name="Lien hypertexte" xfId="23976" builtinId="8" hidden="1"/>
    <cellStyle name="Lien hypertexte" xfId="23978" builtinId="8" hidden="1"/>
    <cellStyle name="Lien hypertexte" xfId="23980" builtinId="8" hidden="1"/>
    <cellStyle name="Lien hypertexte" xfId="23982" builtinId="8" hidden="1"/>
    <cellStyle name="Lien hypertexte" xfId="23984" builtinId="8" hidden="1"/>
    <cellStyle name="Lien hypertexte" xfId="23986" builtinId="8" hidden="1"/>
    <cellStyle name="Lien hypertexte" xfId="23988" builtinId="8" hidden="1"/>
    <cellStyle name="Lien hypertexte" xfId="23990" builtinId="8" hidden="1"/>
    <cellStyle name="Lien hypertexte" xfId="23992" builtinId="8" hidden="1"/>
    <cellStyle name="Lien hypertexte" xfId="23994" builtinId="8" hidden="1"/>
    <cellStyle name="Lien hypertexte" xfId="23996" builtinId="8" hidden="1"/>
    <cellStyle name="Lien hypertexte" xfId="23998" builtinId="8" hidden="1"/>
    <cellStyle name="Lien hypertexte" xfId="24000" builtinId="8" hidden="1"/>
    <cellStyle name="Lien hypertexte" xfId="24002" builtinId="8" hidden="1"/>
    <cellStyle name="Lien hypertexte" xfId="24004" builtinId="8" hidden="1"/>
    <cellStyle name="Lien hypertexte" xfId="24006" builtinId="8" hidden="1"/>
    <cellStyle name="Lien hypertexte" xfId="24008" builtinId="8" hidden="1"/>
    <cellStyle name="Lien hypertexte" xfId="24010" builtinId="8" hidden="1"/>
    <cellStyle name="Lien hypertexte" xfId="24012" builtinId="8" hidden="1"/>
    <cellStyle name="Lien hypertexte" xfId="24014" builtinId="8" hidden="1"/>
    <cellStyle name="Lien hypertexte" xfId="24016" builtinId="8" hidden="1"/>
    <cellStyle name="Lien hypertexte" xfId="24018" builtinId="8" hidden="1"/>
    <cellStyle name="Lien hypertexte" xfId="24020" builtinId="8" hidden="1"/>
    <cellStyle name="Lien hypertexte" xfId="24022" builtinId="8" hidden="1"/>
    <cellStyle name="Lien hypertexte" xfId="24024" builtinId="8" hidden="1"/>
    <cellStyle name="Lien hypertexte" xfId="24026" builtinId="8" hidden="1"/>
    <cellStyle name="Lien hypertexte" xfId="24028" builtinId="8" hidden="1"/>
    <cellStyle name="Lien hypertexte" xfId="24030" builtinId="8" hidden="1"/>
    <cellStyle name="Lien hypertexte" xfId="24032" builtinId="8" hidden="1"/>
    <cellStyle name="Lien hypertexte" xfId="24034" builtinId="8" hidden="1"/>
    <cellStyle name="Lien hypertexte" xfId="24036" builtinId="8" hidden="1"/>
    <cellStyle name="Lien hypertexte" xfId="24038" builtinId="8" hidden="1"/>
    <cellStyle name="Lien hypertexte" xfId="24040" builtinId="8" hidden="1"/>
    <cellStyle name="Lien hypertexte" xfId="24042" builtinId="8" hidden="1"/>
    <cellStyle name="Lien hypertexte" xfId="24044" builtinId="8" hidden="1"/>
    <cellStyle name="Lien hypertexte" xfId="24046" builtinId="8" hidden="1"/>
    <cellStyle name="Lien hypertexte" xfId="24048" builtinId="8" hidden="1"/>
    <cellStyle name="Lien hypertexte" xfId="24050" builtinId="8" hidden="1"/>
    <cellStyle name="Lien hypertexte" xfId="24052" builtinId="8" hidden="1"/>
    <cellStyle name="Lien hypertexte" xfId="24054" builtinId="8" hidden="1"/>
    <cellStyle name="Lien hypertexte" xfId="24056" builtinId="8" hidden="1"/>
    <cellStyle name="Lien hypertexte" xfId="24058" builtinId="8" hidden="1"/>
    <cellStyle name="Lien hypertexte" xfId="24060" builtinId="8" hidden="1"/>
    <cellStyle name="Lien hypertexte" xfId="24062" builtinId="8" hidden="1"/>
    <cellStyle name="Lien hypertexte" xfId="24064" builtinId="8" hidden="1"/>
    <cellStyle name="Lien hypertexte" xfId="24066" builtinId="8" hidden="1"/>
    <cellStyle name="Lien hypertexte" xfId="24068" builtinId="8" hidden="1"/>
    <cellStyle name="Lien hypertexte" xfId="24070" builtinId="8" hidden="1"/>
    <cellStyle name="Lien hypertexte" xfId="24072" builtinId="8" hidden="1"/>
    <cellStyle name="Lien hypertexte" xfId="24074" builtinId="8" hidden="1"/>
    <cellStyle name="Lien hypertexte" xfId="24076" builtinId="8" hidden="1"/>
    <cellStyle name="Lien hypertexte" xfId="24078" builtinId="8" hidden="1"/>
    <cellStyle name="Lien hypertexte" xfId="24080" builtinId="8" hidden="1"/>
    <cellStyle name="Lien hypertexte" xfId="24082" builtinId="8" hidden="1"/>
    <cellStyle name="Lien hypertexte" xfId="24084" builtinId="8" hidden="1"/>
    <cellStyle name="Lien hypertexte" xfId="24086" builtinId="8" hidden="1"/>
    <cellStyle name="Lien hypertexte" xfId="24088" builtinId="8" hidden="1"/>
    <cellStyle name="Lien hypertexte" xfId="24090" builtinId="8" hidden="1"/>
    <cellStyle name="Lien hypertexte" xfId="24092" builtinId="8" hidden="1"/>
    <cellStyle name="Lien hypertexte" xfId="24094" builtinId="8" hidden="1"/>
    <cellStyle name="Lien hypertexte" xfId="24096" builtinId="8" hidden="1"/>
    <cellStyle name="Lien hypertexte" xfId="24098" builtinId="8" hidden="1"/>
    <cellStyle name="Lien hypertexte" xfId="24100" builtinId="8" hidden="1"/>
    <cellStyle name="Lien hypertexte" xfId="24102" builtinId="8" hidden="1"/>
    <cellStyle name="Lien hypertexte" xfId="24104" builtinId="8" hidden="1"/>
    <cellStyle name="Lien hypertexte" xfId="24106" builtinId="8" hidden="1"/>
    <cellStyle name="Lien hypertexte" xfId="24108" builtinId="8" hidden="1"/>
    <cellStyle name="Lien hypertexte" xfId="24110" builtinId="8" hidden="1"/>
    <cellStyle name="Lien hypertexte" xfId="24112" builtinId="8" hidden="1"/>
    <cellStyle name="Lien hypertexte" xfId="24114" builtinId="8" hidden="1"/>
    <cellStyle name="Lien hypertexte" xfId="24116" builtinId="8" hidden="1"/>
    <cellStyle name="Lien hypertexte" xfId="24118" builtinId="8" hidden="1"/>
    <cellStyle name="Lien hypertexte" xfId="24120" builtinId="8" hidden="1"/>
    <cellStyle name="Lien hypertexte" xfId="24122" builtinId="8" hidden="1"/>
    <cellStyle name="Lien hypertexte" xfId="24124" builtinId="8" hidden="1"/>
    <cellStyle name="Lien hypertexte" xfId="24126" builtinId="8" hidden="1"/>
    <cellStyle name="Lien hypertexte" xfId="24128" builtinId="8" hidden="1"/>
    <cellStyle name="Lien hypertexte" xfId="24130" builtinId="8" hidden="1"/>
    <cellStyle name="Lien hypertexte" xfId="24132" builtinId="8" hidden="1"/>
    <cellStyle name="Lien hypertexte" xfId="24134" builtinId="8" hidden="1"/>
    <cellStyle name="Lien hypertexte" xfId="24136" builtinId="8" hidden="1"/>
    <cellStyle name="Lien hypertexte" xfId="24138" builtinId="8" hidden="1"/>
    <cellStyle name="Lien hypertexte" xfId="24140" builtinId="8" hidden="1"/>
    <cellStyle name="Lien hypertexte" xfId="24142" builtinId="8" hidden="1"/>
    <cellStyle name="Lien hypertexte" xfId="24144" builtinId="8" hidden="1"/>
    <cellStyle name="Lien hypertexte" xfId="24146" builtinId="8" hidden="1"/>
    <cellStyle name="Lien hypertexte" xfId="24148" builtinId="8" hidden="1"/>
    <cellStyle name="Lien hypertexte" xfId="24150" builtinId="8" hidden="1"/>
    <cellStyle name="Lien hypertexte" xfId="24152" builtinId="8" hidden="1"/>
    <cellStyle name="Lien hypertexte" xfId="24154" builtinId="8" hidden="1"/>
    <cellStyle name="Lien hypertexte" xfId="24156" builtinId="8" hidden="1"/>
    <cellStyle name="Lien hypertexte" xfId="24158" builtinId="8" hidden="1"/>
    <cellStyle name="Lien hypertexte" xfId="24160" builtinId="8" hidden="1"/>
    <cellStyle name="Lien hypertexte" xfId="24162" builtinId="8" hidden="1"/>
    <cellStyle name="Lien hypertexte" xfId="24164" builtinId="8" hidden="1"/>
    <cellStyle name="Lien hypertexte" xfId="24166" builtinId="8" hidden="1"/>
    <cellStyle name="Lien hypertexte" xfId="24168" builtinId="8" hidden="1"/>
    <cellStyle name="Lien hypertexte" xfId="24170" builtinId="8" hidden="1"/>
    <cellStyle name="Lien hypertexte" xfId="24172" builtinId="8" hidden="1"/>
    <cellStyle name="Lien hypertexte" xfId="24174" builtinId="8" hidden="1"/>
    <cellStyle name="Lien hypertexte" xfId="24176" builtinId="8" hidden="1"/>
    <cellStyle name="Lien hypertexte" xfId="24178" builtinId="8" hidden="1"/>
    <cellStyle name="Lien hypertexte" xfId="24180" builtinId="8" hidden="1"/>
    <cellStyle name="Lien hypertexte" xfId="24182" builtinId="8" hidden="1"/>
    <cellStyle name="Lien hypertexte" xfId="24184" builtinId="8" hidden="1"/>
    <cellStyle name="Lien hypertexte" xfId="24186" builtinId="8" hidden="1"/>
    <cellStyle name="Lien hypertexte" xfId="24188" builtinId="8" hidden="1"/>
    <cellStyle name="Lien hypertexte" xfId="24190" builtinId="8" hidden="1"/>
    <cellStyle name="Lien hypertexte" xfId="24192" builtinId="8" hidden="1"/>
    <cellStyle name="Lien hypertexte" xfId="24194" builtinId="8" hidden="1"/>
    <cellStyle name="Lien hypertexte" xfId="24196" builtinId="8" hidden="1"/>
    <cellStyle name="Lien hypertexte" xfId="24198" builtinId="8" hidden="1"/>
    <cellStyle name="Lien hypertexte" xfId="24200" builtinId="8" hidden="1"/>
    <cellStyle name="Lien hypertexte" xfId="24202" builtinId="8" hidden="1"/>
    <cellStyle name="Lien hypertexte" xfId="24204" builtinId="8" hidden="1"/>
    <cellStyle name="Lien hypertexte" xfId="24206" builtinId="8" hidden="1"/>
    <cellStyle name="Lien hypertexte" xfId="24208" builtinId="8" hidden="1"/>
    <cellStyle name="Lien hypertexte" xfId="24210" builtinId="8" hidden="1"/>
    <cellStyle name="Lien hypertexte" xfId="24212" builtinId="8" hidden="1"/>
    <cellStyle name="Lien hypertexte" xfId="24214" builtinId="8" hidden="1"/>
    <cellStyle name="Lien hypertexte" xfId="24216" builtinId="8" hidden="1"/>
    <cellStyle name="Lien hypertexte" xfId="24218" builtinId="8" hidden="1"/>
    <cellStyle name="Lien hypertexte" xfId="24220" builtinId="8" hidden="1"/>
    <cellStyle name="Lien hypertexte" xfId="24222" builtinId="8" hidden="1"/>
    <cellStyle name="Lien hypertexte" xfId="24224" builtinId="8" hidden="1"/>
    <cellStyle name="Lien hypertexte" xfId="24226" builtinId="8" hidden="1"/>
    <cellStyle name="Lien hypertexte" xfId="24228" builtinId="8" hidden="1"/>
    <cellStyle name="Lien hypertexte" xfId="24230" builtinId="8" hidden="1"/>
    <cellStyle name="Lien hypertexte" xfId="24232" builtinId="8" hidden="1"/>
    <cellStyle name="Lien hypertexte" xfId="24234" builtinId="8" hidden="1"/>
    <cellStyle name="Lien hypertexte" xfId="24236" builtinId="8" hidden="1"/>
    <cellStyle name="Lien hypertexte" xfId="24238" builtinId="8" hidden="1"/>
    <cellStyle name="Lien hypertexte" xfId="24240" builtinId="8" hidden="1"/>
    <cellStyle name="Lien hypertexte" xfId="24242" builtinId="8" hidden="1"/>
    <cellStyle name="Lien hypertexte" xfId="24244" builtinId="8" hidden="1"/>
    <cellStyle name="Lien hypertexte" xfId="24246" builtinId="8" hidden="1"/>
    <cellStyle name="Lien hypertexte" xfId="24248" builtinId="8" hidden="1"/>
    <cellStyle name="Lien hypertexte" xfId="24250" builtinId="8" hidden="1"/>
    <cellStyle name="Lien hypertexte" xfId="24252" builtinId="8" hidden="1"/>
    <cellStyle name="Lien hypertexte" xfId="24254" builtinId="8" hidden="1"/>
    <cellStyle name="Lien hypertexte" xfId="24256" builtinId="8" hidden="1"/>
    <cellStyle name="Lien hypertexte" xfId="24258" builtinId="8" hidden="1"/>
    <cellStyle name="Lien hypertexte" xfId="24260" builtinId="8" hidden="1"/>
    <cellStyle name="Lien hypertexte" xfId="24262" builtinId="8" hidden="1"/>
    <cellStyle name="Lien hypertexte" xfId="24264" builtinId="8" hidden="1"/>
    <cellStyle name="Lien hypertexte" xfId="24266" builtinId="8" hidden="1"/>
    <cellStyle name="Lien hypertexte" xfId="24268" builtinId="8" hidden="1"/>
    <cellStyle name="Lien hypertexte" xfId="24270" builtinId="8" hidden="1"/>
    <cellStyle name="Lien hypertexte" xfId="24272" builtinId="8" hidden="1"/>
    <cellStyle name="Lien hypertexte" xfId="24274" builtinId="8" hidden="1"/>
    <cellStyle name="Lien hypertexte" xfId="24276" builtinId="8" hidden="1"/>
    <cellStyle name="Lien hypertexte" xfId="24278" builtinId="8" hidden="1"/>
    <cellStyle name="Lien hypertexte" xfId="24280" builtinId="8" hidden="1"/>
    <cellStyle name="Lien hypertexte" xfId="24282" builtinId="8" hidden="1"/>
    <cellStyle name="Lien hypertexte" xfId="24284" builtinId="8" hidden="1"/>
    <cellStyle name="Lien hypertexte" xfId="24286" builtinId="8" hidden="1"/>
    <cellStyle name="Lien hypertexte" xfId="24288" builtinId="8" hidden="1"/>
    <cellStyle name="Lien hypertexte" xfId="24290" builtinId="8" hidden="1"/>
    <cellStyle name="Lien hypertexte" xfId="24292" builtinId="8" hidden="1"/>
    <cellStyle name="Lien hypertexte" xfId="24294" builtinId="8" hidden="1"/>
    <cellStyle name="Lien hypertexte" xfId="24296" builtinId="8" hidden="1"/>
    <cellStyle name="Lien hypertexte" xfId="24298" builtinId="8" hidden="1"/>
    <cellStyle name="Lien hypertexte" xfId="24300" builtinId="8" hidden="1"/>
    <cellStyle name="Lien hypertexte" xfId="24302" builtinId="8" hidden="1"/>
    <cellStyle name="Lien hypertexte" xfId="24304" builtinId="8" hidden="1"/>
    <cellStyle name="Lien hypertexte" xfId="24306" builtinId="8" hidden="1"/>
    <cellStyle name="Lien hypertexte" xfId="24308" builtinId="8" hidden="1"/>
    <cellStyle name="Lien hypertexte" xfId="24310" builtinId="8" hidden="1"/>
    <cellStyle name="Lien hypertexte" xfId="24312" builtinId="8" hidden="1"/>
    <cellStyle name="Lien hypertexte" xfId="24314" builtinId="8" hidden="1"/>
    <cellStyle name="Lien hypertexte" xfId="24316" builtinId="8" hidden="1"/>
    <cellStyle name="Lien hypertexte" xfId="24318" builtinId="8" hidden="1"/>
    <cellStyle name="Lien hypertexte" xfId="24320" builtinId="8" hidden="1"/>
    <cellStyle name="Lien hypertexte" xfId="24322" builtinId="8" hidden="1"/>
    <cellStyle name="Lien hypertexte" xfId="24324" builtinId="8" hidden="1"/>
    <cellStyle name="Lien hypertexte" xfId="24326" builtinId="8" hidden="1"/>
    <cellStyle name="Lien hypertexte" xfId="24328" builtinId="8" hidden="1"/>
    <cellStyle name="Lien hypertexte" xfId="24330" builtinId="8" hidden="1"/>
    <cellStyle name="Lien hypertexte" xfId="24332" builtinId="8" hidden="1"/>
    <cellStyle name="Lien hypertexte" xfId="24334" builtinId="8" hidden="1"/>
    <cellStyle name="Lien hypertexte" xfId="24336" builtinId="8" hidden="1"/>
    <cellStyle name="Lien hypertexte" xfId="24338" builtinId="8" hidden="1"/>
    <cellStyle name="Lien hypertexte" xfId="24340" builtinId="8" hidden="1"/>
    <cellStyle name="Lien hypertexte" xfId="24342" builtinId="8" hidden="1"/>
    <cellStyle name="Lien hypertexte" xfId="24344" builtinId="8" hidden="1"/>
    <cellStyle name="Lien hypertexte" xfId="24346" builtinId="8" hidden="1"/>
    <cellStyle name="Lien hypertexte" xfId="24348" builtinId="8" hidden="1"/>
    <cellStyle name="Lien hypertexte" xfId="24350" builtinId="8" hidden="1"/>
    <cellStyle name="Lien hypertexte" xfId="24352" builtinId="8" hidden="1"/>
    <cellStyle name="Lien hypertexte" xfId="24354" builtinId="8" hidden="1"/>
    <cellStyle name="Lien hypertexte" xfId="24356" builtinId="8" hidden="1"/>
    <cellStyle name="Lien hypertexte" xfId="24358" builtinId="8" hidden="1"/>
    <cellStyle name="Lien hypertexte" xfId="24360" builtinId="8" hidden="1"/>
    <cellStyle name="Lien hypertexte" xfId="24362" builtinId="8" hidden="1"/>
    <cellStyle name="Lien hypertexte" xfId="24364" builtinId="8" hidden="1"/>
    <cellStyle name="Lien hypertexte" xfId="24366" builtinId="8" hidden="1"/>
    <cellStyle name="Lien hypertexte" xfId="24368" builtinId="8" hidden="1"/>
    <cellStyle name="Lien hypertexte" xfId="24370" builtinId="8" hidden="1"/>
    <cellStyle name="Lien hypertexte" xfId="24372" builtinId="8" hidden="1"/>
    <cellStyle name="Lien hypertexte" xfId="24374" builtinId="8" hidden="1"/>
    <cellStyle name="Lien hypertexte" xfId="24376" builtinId="8" hidden="1"/>
    <cellStyle name="Lien hypertexte" xfId="24378" builtinId="8" hidden="1"/>
    <cellStyle name="Lien hypertexte" xfId="24380" builtinId="8" hidden="1"/>
    <cellStyle name="Lien hypertexte" xfId="24382" builtinId="8" hidden="1"/>
    <cellStyle name="Lien hypertexte" xfId="24384" builtinId="8" hidden="1"/>
    <cellStyle name="Lien hypertexte" xfId="24386" builtinId="8" hidden="1"/>
    <cellStyle name="Lien hypertexte" xfId="24388" builtinId="8" hidden="1"/>
    <cellStyle name="Lien hypertexte" xfId="24390" builtinId="8" hidden="1"/>
    <cellStyle name="Lien hypertexte" xfId="24392" builtinId="8" hidden="1"/>
    <cellStyle name="Lien hypertexte" xfId="24394" builtinId="8" hidden="1"/>
    <cellStyle name="Lien hypertexte" xfId="24396" builtinId="8" hidden="1"/>
    <cellStyle name="Lien hypertexte" xfId="24398" builtinId="8" hidden="1"/>
    <cellStyle name="Lien hypertexte" xfId="24400" builtinId="8" hidden="1"/>
    <cellStyle name="Lien hypertexte" xfId="24402" builtinId="8" hidden="1"/>
    <cellStyle name="Lien hypertexte" xfId="24404" builtinId="8" hidden="1"/>
    <cellStyle name="Lien hypertexte" xfId="24406" builtinId="8" hidden="1"/>
    <cellStyle name="Lien hypertexte" xfId="24408" builtinId="8" hidden="1"/>
    <cellStyle name="Lien hypertexte" xfId="24410" builtinId="8" hidden="1"/>
    <cellStyle name="Lien hypertexte" xfId="24412" builtinId="8" hidden="1"/>
    <cellStyle name="Lien hypertexte" xfId="24414" builtinId="8" hidden="1"/>
    <cellStyle name="Lien hypertexte" xfId="24416" builtinId="8" hidden="1"/>
    <cellStyle name="Lien hypertexte" xfId="24418" builtinId="8" hidden="1"/>
    <cellStyle name="Lien hypertexte" xfId="24420" builtinId="8" hidden="1"/>
    <cellStyle name="Lien hypertexte" xfId="24422" builtinId="8" hidden="1"/>
    <cellStyle name="Lien hypertexte" xfId="24424" builtinId="8" hidden="1"/>
    <cellStyle name="Lien hypertexte" xfId="24426" builtinId="8" hidden="1"/>
    <cellStyle name="Lien hypertexte" xfId="24428" builtinId="8" hidden="1"/>
    <cellStyle name="Lien hypertexte" xfId="24430" builtinId="8" hidden="1"/>
    <cellStyle name="Lien hypertexte" xfId="24432" builtinId="8" hidden="1"/>
    <cellStyle name="Lien hypertexte" xfId="24434" builtinId="8" hidden="1"/>
    <cellStyle name="Lien hypertexte" xfId="24436" builtinId="8" hidden="1"/>
    <cellStyle name="Lien hypertexte" xfId="24438" builtinId="8" hidden="1"/>
    <cellStyle name="Lien hypertexte" xfId="24440" builtinId="8" hidden="1"/>
    <cellStyle name="Lien hypertexte" xfId="24442" builtinId="8" hidden="1"/>
    <cellStyle name="Lien hypertexte" xfId="24444" builtinId="8" hidden="1"/>
    <cellStyle name="Lien hypertexte" xfId="24446" builtinId="8" hidden="1"/>
    <cellStyle name="Lien hypertexte" xfId="24448" builtinId="8" hidden="1"/>
    <cellStyle name="Lien hypertexte" xfId="24450" builtinId="8" hidden="1"/>
    <cellStyle name="Lien hypertexte" xfId="24452" builtinId="8" hidden="1"/>
    <cellStyle name="Lien hypertexte" xfId="24454" builtinId="8" hidden="1"/>
    <cellStyle name="Lien hypertexte" xfId="24456" builtinId="8" hidden="1"/>
    <cellStyle name="Lien hypertexte" xfId="24458" builtinId="8" hidden="1"/>
    <cellStyle name="Lien hypertexte" xfId="24460" builtinId="8" hidden="1"/>
    <cellStyle name="Lien hypertexte" xfId="24462" builtinId="8" hidden="1"/>
    <cellStyle name="Lien hypertexte" xfId="24464" builtinId="8" hidden="1"/>
    <cellStyle name="Lien hypertexte" xfId="24466" builtinId="8" hidden="1"/>
    <cellStyle name="Lien hypertexte" xfId="24468" builtinId="8" hidden="1"/>
    <cellStyle name="Lien hypertexte" xfId="24470" builtinId="8" hidden="1"/>
    <cellStyle name="Lien hypertexte" xfId="24472" builtinId="8" hidden="1"/>
    <cellStyle name="Lien hypertexte" xfId="24474" builtinId="8" hidden="1"/>
    <cellStyle name="Lien hypertexte" xfId="24476" builtinId="8" hidden="1"/>
    <cellStyle name="Lien hypertexte" xfId="24478" builtinId="8" hidden="1"/>
    <cellStyle name="Lien hypertexte" xfId="24480" builtinId="8" hidden="1"/>
    <cellStyle name="Lien hypertexte" xfId="24482" builtinId="8" hidden="1"/>
    <cellStyle name="Lien hypertexte" xfId="24484" builtinId="8" hidden="1"/>
    <cellStyle name="Lien hypertexte" xfId="24486" builtinId="8" hidden="1"/>
    <cellStyle name="Lien hypertexte" xfId="24488" builtinId="8" hidden="1"/>
    <cellStyle name="Lien hypertexte" xfId="24490" builtinId="8" hidden="1"/>
    <cellStyle name="Lien hypertexte" xfId="24492" builtinId="8" hidden="1"/>
    <cellStyle name="Lien hypertexte" xfId="24494" builtinId="8" hidden="1"/>
    <cellStyle name="Lien hypertexte" xfId="24496" builtinId="8" hidden="1"/>
    <cellStyle name="Lien hypertexte" xfId="24498" builtinId="8" hidden="1"/>
    <cellStyle name="Lien hypertexte" xfId="24500" builtinId="8" hidden="1"/>
    <cellStyle name="Lien hypertexte" xfId="24502" builtinId="8" hidden="1"/>
    <cellStyle name="Lien hypertexte" xfId="24504" builtinId="8" hidden="1"/>
    <cellStyle name="Lien hypertexte" xfId="24506" builtinId="8" hidden="1"/>
    <cellStyle name="Lien hypertexte" xfId="24508" builtinId="8" hidden="1"/>
    <cellStyle name="Lien hypertexte" xfId="24510" builtinId="8" hidden="1"/>
    <cellStyle name="Lien hypertexte" xfId="24512" builtinId="8" hidden="1"/>
    <cellStyle name="Lien hypertexte" xfId="24514" builtinId="8" hidden="1"/>
    <cellStyle name="Lien hypertexte" xfId="24516" builtinId="8" hidden="1"/>
    <cellStyle name="Lien hypertexte" xfId="24518" builtinId="8" hidden="1"/>
    <cellStyle name="Lien hypertexte" xfId="24520" builtinId="8" hidden="1"/>
    <cellStyle name="Lien hypertexte" xfId="24522" builtinId="8" hidden="1"/>
    <cellStyle name="Lien hypertexte" xfId="24524" builtinId="8" hidden="1"/>
    <cellStyle name="Lien hypertexte" xfId="24526" builtinId="8" hidden="1"/>
    <cellStyle name="Lien hypertexte" xfId="24528" builtinId="8" hidden="1"/>
    <cellStyle name="Lien hypertexte" xfId="24530" builtinId="8" hidden="1"/>
    <cellStyle name="Lien hypertexte" xfId="24532" builtinId="8" hidden="1"/>
    <cellStyle name="Lien hypertexte" xfId="24534" builtinId="8" hidden="1"/>
    <cellStyle name="Lien hypertexte" xfId="24536" builtinId="8" hidden="1"/>
    <cellStyle name="Lien hypertexte" xfId="24538" builtinId="8" hidden="1"/>
    <cellStyle name="Lien hypertexte" xfId="24540" builtinId="8" hidden="1"/>
    <cellStyle name="Lien hypertexte" xfId="24542" builtinId="8" hidden="1"/>
    <cellStyle name="Lien hypertexte" xfId="24544" builtinId="8" hidden="1"/>
    <cellStyle name="Lien hypertexte" xfId="24546" builtinId="8" hidden="1"/>
    <cellStyle name="Lien hypertexte" xfId="24548" builtinId="8" hidden="1"/>
    <cellStyle name="Lien hypertexte" xfId="24550" builtinId="8" hidden="1"/>
    <cellStyle name="Lien hypertexte" xfId="24552" builtinId="8" hidden="1"/>
    <cellStyle name="Lien hypertexte" xfId="24554" builtinId="8" hidden="1"/>
    <cellStyle name="Lien hypertexte" xfId="24556" builtinId="8" hidden="1"/>
    <cellStyle name="Lien hypertexte" xfId="24558" builtinId="8" hidden="1"/>
    <cellStyle name="Lien hypertexte" xfId="24560" builtinId="8" hidden="1"/>
    <cellStyle name="Lien hypertexte" xfId="24562" builtinId="8" hidden="1"/>
    <cellStyle name="Lien hypertexte" xfId="24564" builtinId="8" hidden="1"/>
    <cellStyle name="Lien hypertexte" xfId="24566" builtinId="8" hidden="1"/>
    <cellStyle name="Lien hypertexte" xfId="24568" builtinId="8" hidden="1"/>
    <cellStyle name="Lien hypertexte" xfId="24570" builtinId="8" hidden="1"/>
    <cellStyle name="Lien hypertexte" xfId="24572" builtinId="8" hidden="1"/>
    <cellStyle name="Lien hypertexte" xfId="24574" builtinId="8" hidden="1"/>
    <cellStyle name="Lien hypertexte" xfId="24576" builtinId="8" hidden="1"/>
    <cellStyle name="Lien hypertexte" xfId="24578" builtinId="8" hidden="1"/>
    <cellStyle name="Lien hypertexte" xfId="24580" builtinId="8" hidden="1"/>
    <cellStyle name="Lien hypertexte" xfId="24582" builtinId="8" hidden="1"/>
    <cellStyle name="Lien hypertexte" xfId="24584" builtinId="8" hidden="1"/>
    <cellStyle name="Lien hypertexte" xfId="24586" builtinId="8" hidden="1"/>
    <cellStyle name="Lien hypertexte" xfId="24588" builtinId="8" hidden="1"/>
    <cellStyle name="Lien hypertexte" xfId="24590" builtinId="8" hidden="1"/>
    <cellStyle name="Lien hypertexte" xfId="24592" builtinId="8" hidden="1"/>
    <cellStyle name="Lien hypertexte" xfId="24594" builtinId="8" hidden="1"/>
    <cellStyle name="Lien hypertexte" xfId="24596" builtinId="8" hidden="1"/>
    <cellStyle name="Lien hypertexte" xfId="24598" builtinId="8" hidden="1"/>
    <cellStyle name="Lien hypertexte" xfId="24600" builtinId="8" hidden="1"/>
    <cellStyle name="Lien hypertexte" xfId="24602" builtinId="8" hidden="1"/>
    <cellStyle name="Lien hypertexte" xfId="24604" builtinId="8" hidden="1"/>
    <cellStyle name="Lien hypertexte" xfId="24606" builtinId="8" hidden="1"/>
    <cellStyle name="Lien hypertexte" xfId="24608" builtinId="8" hidden="1"/>
    <cellStyle name="Lien hypertexte" xfId="24610" builtinId="8" hidden="1"/>
    <cellStyle name="Lien hypertexte" xfId="24612" builtinId="8" hidden="1"/>
    <cellStyle name="Lien hypertexte" xfId="24614" builtinId="8" hidden="1"/>
    <cellStyle name="Lien hypertexte" xfId="24616" builtinId="8" hidden="1"/>
    <cellStyle name="Lien hypertexte" xfId="24618" builtinId="8" hidden="1"/>
    <cellStyle name="Lien hypertexte" xfId="24620" builtinId="8" hidden="1"/>
    <cellStyle name="Lien hypertexte" xfId="24622" builtinId="8" hidden="1"/>
    <cellStyle name="Lien hypertexte" xfId="24624" builtinId="8" hidden="1"/>
    <cellStyle name="Lien hypertexte" xfId="24626" builtinId="8" hidden="1"/>
    <cellStyle name="Lien hypertexte" xfId="24628" builtinId="8" hidden="1"/>
    <cellStyle name="Lien hypertexte" xfId="24630" builtinId="8" hidden="1"/>
    <cellStyle name="Lien hypertexte" xfId="24632" builtinId="8" hidden="1"/>
    <cellStyle name="Lien hypertexte" xfId="24634" builtinId="8" hidden="1"/>
    <cellStyle name="Lien hypertexte" xfId="24636" builtinId="8" hidden="1"/>
    <cellStyle name="Lien hypertexte" xfId="24638" builtinId="8" hidden="1"/>
    <cellStyle name="Lien hypertexte" xfId="24640" builtinId="8" hidden="1"/>
    <cellStyle name="Lien hypertexte" xfId="24642" builtinId="8" hidden="1"/>
    <cellStyle name="Lien hypertexte" xfId="24644" builtinId="8" hidden="1"/>
    <cellStyle name="Lien hypertexte" xfId="24646" builtinId="8" hidden="1"/>
    <cellStyle name="Lien hypertexte" xfId="24648" builtinId="8" hidden="1"/>
    <cellStyle name="Lien hypertexte" xfId="24650" builtinId="8" hidden="1"/>
    <cellStyle name="Lien hypertexte" xfId="24652" builtinId="8" hidden="1"/>
    <cellStyle name="Lien hypertexte" xfId="24654" builtinId="8" hidden="1"/>
    <cellStyle name="Lien hypertexte" xfId="24656" builtinId="8" hidden="1"/>
    <cellStyle name="Lien hypertexte" xfId="24658" builtinId="8" hidden="1"/>
    <cellStyle name="Lien hypertexte" xfId="24660" builtinId="8" hidden="1"/>
    <cellStyle name="Lien hypertexte" xfId="24662" builtinId="8" hidden="1"/>
    <cellStyle name="Lien hypertexte" xfId="24664" builtinId="8" hidden="1"/>
    <cellStyle name="Lien hypertexte" xfId="24666" builtinId="8" hidden="1"/>
    <cellStyle name="Lien hypertexte" xfId="24668" builtinId="8" hidden="1"/>
    <cellStyle name="Lien hypertexte" xfId="24670" builtinId="8" hidden="1"/>
    <cellStyle name="Lien hypertexte" xfId="24672" builtinId="8" hidden="1"/>
    <cellStyle name="Lien hypertexte" xfId="24674" builtinId="8" hidden="1"/>
    <cellStyle name="Lien hypertexte" xfId="24676" builtinId="8" hidden="1"/>
    <cellStyle name="Lien hypertexte" xfId="24678" builtinId="8" hidden="1"/>
    <cellStyle name="Lien hypertexte" xfId="24680" builtinId="8" hidden="1"/>
    <cellStyle name="Lien hypertexte" xfId="24682" builtinId="8" hidden="1"/>
    <cellStyle name="Lien hypertexte" xfId="24684" builtinId="8" hidden="1"/>
    <cellStyle name="Lien hypertexte" xfId="24686" builtinId="8" hidden="1"/>
    <cellStyle name="Lien hypertexte" xfId="24688" builtinId="8" hidden="1"/>
    <cellStyle name="Lien hypertexte" xfId="24690" builtinId="8" hidden="1"/>
    <cellStyle name="Lien hypertexte" xfId="24692" builtinId="8" hidden="1"/>
    <cellStyle name="Lien hypertexte" xfId="24694" builtinId="8" hidden="1"/>
    <cellStyle name="Lien hypertexte" xfId="24696" builtinId="8" hidden="1"/>
    <cellStyle name="Lien hypertexte" xfId="24698" builtinId="8" hidden="1"/>
    <cellStyle name="Lien hypertexte" xfId="24700" builtinId="8" hidden="1"/>
    <cellStyle name="Lien hypertexte" xfId="24702" builtinId="8" hidden="1"/>
    <cellStyle name="Lien hypertexte" xfId="24704" builtinId="8" hidden="1"/>
    <cellStyle name="Lien hypertexte" xfId="24706" builtinId="8" hidden="1"/>
    <cellStyle name="Lien hypertexte" xfId="24708" builtinId="8" hidden="1"/>
    <cellStyle name="Lien hypertexte" xfId="24710" builtinId="8" hidden="1"/>
    <cellStyle name="Lien hypertexte" xfId="24712" builtinId="8" hidden="1"/>
    <cellStyle name="Lien hypertexte" xfId="24714" builtinId="8" hidden="1"/>
    <cellStyle name="Lien hypertexte" xfId="24716" builtinId="8" hidden="1"/>
    <cellStyle name="Lien hypertexte" xfId="24718" builtinId="8" hidden="1"/>
    <cellStyle name="Lien hypertexte" xfId="24720" builtinId="8" hidden="1"/>
    <cellStyle name="Lien hypertexte" xfId="24722" builtinId="8" hidden="1"/>
    <cellStyle name="Lien hypertexte" xfId="24724" builtinId="8" hidden="1"/>
    <cellStyle name="Lien hypertexte" xfId="24726" builtinId="8" hidden="1"/>
    <cellStyle name="Lien hypertexte" xfId="24728" builtinId="8" hidden="1"/>
    <cellStyle name="Lien hypertexte" xfId="24730" builtinId="8" hidden="1"/>
    <cellStyle name="Lien hypertexte" xfId="24732" builtinId="8" hidden="1"/>
    <cellStyle name="Lien hypertexte" xfId="24734" builtinId="8" hidden="1"/>
    <cellStyle name="Lien hypertexte" xfId="24736" builtinId="8" hidden="1"/>
    <cellStyle name="Lien hypertexte" xfId="24738" builtinId="8" hidden="1"/>
    <cellStyle name="Lien hypertexte" xfId="24740" builtinId="8" hidden="1"/>
    <cellStyle name="Lien hypertexte" xfId="24742" builtinId="8" hidden="1"/>
    <cellStyle name="Lien hypertexte" xfId="24744" builtinId="8" hidden="1"/>
    <cellStyle name="Lien hypertexte" xfId="24746" builtinId="8" hidden="1"/>
    <cellStyle name="Lien hypertexte" xfId="24748" builtinId="8" hidden="1"/>
    <cellStyle name="Lien hypertexte" xfId="24750" builtinId="8" hidden="1"/>
    <cellStyle name="Lien hypertexte" xfId="24752" builtinId="8" hidden="1"/>
    <cellStyle name="Lien hypertexte" xfId="24754" builtinId="8" hidden="1"/>
    <cellStyle name="Lien hypertexte" xfId="24756" builtinId="8" hidden="1"/>
    <cellStyle name="Lien hypertexte" xfId="24758" builtinId="8" hidden="1"/>
    <cellStyle name="Lien hypertexte" xfId="24760" builtinId="8" hidden="1"/>
    <cellStyle name="Lien hypertexte" xfId="24762" builtinId="8" hidden="1"/>
    <cellStyle name="Lien hypertexte" xfId="24764" builtinId="8" hidden="1"/>
    <cellStyle name="Lien hypertexte" xfId="24766" builtinId="8" hidden="1"/>
    <cellStyle name="Lien hypertexte" xfId="24768" builtinId="8" hidden="1"/>
    <cellStyle name="Lien hypertexte" xfId="24770" builtinId="8" hidden="1"/>
    <cellStyle name="Lien hypertexte" xfId="24772" builtinId="8" hidden="1"/>
    <cellStyle name="Lien hypertexte" xfId="24774" builtinId="8" hidden="1"/>
    <cellStyle name="Lien hypertexte" xfId="24776" builtinId="8" hidden="1"/>
    <cellStyle name="Lien hypertexte" xfId="24778" builtinId="8" hidden="1"/>
    <cellStyle name="Lien hypertexte" xfId="24780" builtinId="8" hidden="1"/>
    <cellStyle name="Lien hypertexte" xfId="24782" builtinId="8" hidden="1"/>
    <cellStyle name="Lien hypertexte" xfId="24784" builtinId="8" hidden="1"/>
    <cellStyle name="Lien hypertexte" xfId="24786" builtinId="8" hidden="1"/>
    <cellStyle name="Lien hypertexte" xfId="24788" builtinId="8" hidden="1"/>
    <cellStyle name="Lien hypertexte" xfId="24790" builtinId="8" hidden="1"/>
    <cellStyle name="Lien hypertexte" xfId="24792" builtinId="8" hidden="1"/>
    <cellStyle name="Lien hypertexte" xfId="24794" builtinId="8" hidden="1"/>
    <cellStyle name="Lien hypertexte" xfId="24796" builtinId="8" hidden="1"/>
    <cellStyle name="Lien hypertexte" xfId="24798" builtinId="8" hidden="1"/>
    <cellStyle name="Lien hypertexte" xfId="24800" builtinId="8" hidden="1"/>
    <cellStyle name="Lien hypertexte" xfId="24802" builtinId="8" hidden="1"/>
    <cellStyle name="Lien hypertexte" xfId="24804" builtinId="8" hidden="1"/>
    <cellStyle name="Lien hypertexte" xfId="24806" builtinId="8" hidden="1"/>
    <cellStyle name="Lien hypertexte" xfId="24808" builtinId="8" hidden="1"/>
    <cellStyle name="Lien hypertexte" xfId="24810" builtinId="8" hidden="1"/>
    <cellStyle name="Lien hypertexte" xfId="24812" builtinId="8" hidden="1"/>
    <cellStyle name="Lien hypertexte" xfId="24814" builtinId="8" hidden="1"/>
    <cellStyle name="Lien hypertexte" xfId="24816" builtinId="8" hidden="1"/>
    <cellStyle name="Lien hypertexte" xfId="24818" builtinId="8" hidden="1"/>
    <cellStyle name="Lien hypertexte" xfId="24820" builtinId="8" hidden="1"/>
    <cellStyle name="Lien hypertexte" xfId="24822" builtinId="8" hidden="1"/>
    <cellStyle name="Lien hypertexte" xfId="24824" builtinId="8" hidden="1"/>
    <cellStyle name="Lien hypertexte" xfId="24826" builtinId="8" hidden="1"/>
    <cellStyle name="Lien hypertexte" xfId="24828" builtinId="8" hidden="1"/>
    <cellStyle name="Lien hypertexte" xfId="24830" builtinId="8" hidden="1"/>
    <cellStyle name="Lien hypertexte" xfId="24832" builtinId="8" hidden="1"/>
    <cellStyle name="Lien hypertexte" xfId="24834" builtinId="8" hidden="1"/>
    <cellStyle name="Lien hypertexte" xfId="24836" builtinId="8" hidden="1"/>
    <cellStyle name="Lien hypertexte" xfId="24838" builtinId="8" hidden="1"/>
    <cellStyle name="Lien hypertexte" xfId="24840" builtinId="8" hidden="1"/>
    <cellStyle name="Lien hypertexte" xfId="24842" builtinId="8" hidden="1"/>
    <cellStyle name="Lien hypertexte" xfId="24844" builtinId="8" hidden="1"/>
    <cellStyle name="Lien hypertexte" xfId="24846" builtinId="8" hidden="1"/>
    <cellStyle name="Lien hypertexte" xfId="24848" builtinId="8" hidden="1"/>
    <cellStyle name="Lien hypertexte" xfId="24850" builtinId="8" hidden="1"/>
    <cellStyle name="Lien hypertexte" xfId="24852" builtinId="8" hidden="1"/>
    <cellStyle name="Lien hypertexte" xfId="24854" builtinId="8" hidden="1"/>
    <cellStyle name="Lien hypertexte" xfId="24856" builtinId="8" hidden="1"/>
    <cellStyle name="Lien hypertexte" xfId="24858" builtinId="8" hidden="1"/>
    <cellStyle name="Lien hypertexte" xfId="24860" builtinId="8" hidden="1"/>
    <cellStyle name="Lien hypertexte" xfId="24862" builtinId="8" hidden="1"/>
    <cellStyle name="Lien hypertexte" xfId="24864" builtinId="8" hidden="1"/>
    <cellStyle name="Lien hypertexte" xfId="24866" builtinId="8" hidden="1"/>
    <cellStyle name="Lien hypertexte" xfId="24868" builtinId="8" hidden="1"/>
    <cellStyle name="Lien hypertexte" xfId="24870" builtinId="8" hidden="1"/>
    <cellStyle name="Lien hypertexte" xfId="24872" builtinId="8" hidden="1"/>
    <cellStyle name="Lien hypertexte" xfId="24874" builtinId="8" hidden="1"/>
    <cellStyle name="Lien hypertexte" xfId="24876" builtinId="8" hidden="1"/>
    <cellStyle name="Lien hypertexte" xfId="24878" builtinId="8" hidden="1"/>
    <cellStyle name="Lien hypertexte" xfId="24880" builtinId="8" hidden="1"/>
    <cellStyle name="Lien hypertexte" xfId="24882" builtinId="8" hidden="1"/>
    <cellStyle name="Lien hypertexte" xfId="24884" builtinId="8" hidden="1"/>
    <cellStyle name="Lien hypertexte" xfId="24886" builtinId="8" hidden="1"/>
    <cellStyle name="Lien hypertexte" xfId="24888" builtinId="8" hidden="1"/>
    <cellStyle name="Lien hypertexte" xfId="24890" builtinId="8" hidden="1"/>
    <cellStyle name="Lien hypertexte" xfId="24892" builtinId="8" hidden="1"/>
    <cellStyle name="Lien hypertexte" xfId="24894" builtinId="8" hidden="1"/>
    <cellStyle name="Lien hypertexte" xfId="24896" builtinId="8" hidden="1"/>
    <cellStyle name="Lien hypertexte" xfId="24898" builtinId="8" hidden="1"/>
    <cellStyle name="Lien hypertexte" xfId="24900" builtinId="8" hidden="1"/>
    <cellStyle name="Lien hypertexte" xfId="24902" builtinId="8" hidden="1"/>
    <cellStyle name="Lien hypertexte" xfId="24904" builtinId="8" hidden="1"/>
    <cellStyle name="Lien hypertexte" xfId="24906" builtinId="8" hidden="1"/>
    <cellStyle name="Lien hypertexte" xfId="24908" builtinId="8" hidden="1"/>
    <cellStyle name="Lien hypertexte" xfId="24910" builtinId="8" hidden="1"/>
    <cellStyle name="Lien hypertexte" xfId="24912" builtinId="8" hidden="1"/>
    <cellStyle name="Lien hypertexte" xfId="24914" builtinId="8" hidden="1"/>
    <cellStyle name="Lien hypertexte" xfId="24916" builtinId="8" hidden="1"/>
    <cellStyle name="Lien hypertexte" xfId="24918" builtinId="8" hidden="1"/>
    <cellStyle name="Lien hypertexte" xfId="24920" builtinId="8" hidden="1"/>
    <cellStyle name="Lien hypertexte" xfId="24922" builtinId="8" hidden="1"/>
    <cellStyle name="Lien hypertexte" xfId="24924" builtinId="8" hidden="1"/>
    <cellStyle name="Lien hypertexte" xfId="24926" builtinId="8" hidden="1"/>
    <cellStyle name="Lien hypertexte" xfId="24928" builtinId="8" hidden="1"/>
    <cellStyle name="Lien hypertexte" xfId="24930" builtinId="8" hidden="1"/>
    <cellStyle name="Lien hypertexte" xfId="24932" builtinId="8" hidden="1"/>
    <cellStyle name="Lien hypertexte" xfId="24934" builtinId="8" hidden="1"/>
    <cellStyle name="Lien hypertexte" xfId="24936" builtinId="8" hidden="1"/>
    <cellStyle name="Lien hypertexte" xfId="24938" builtinId="8" hidden="1"/>
    <cellStyle name="Lien hypertexte" xfId="24940" builtinId="8" hidden="1"/>
    <cellStyle name="Lien hypertexte" xfId="24942" builtinId="8" hidden="1"/>
    <cellStyle name="Lien hypertexte" xfId="24944" builtinId="8" hidden="1"/>
    <cellStyle name="Lien hypertexte" xfId="24946" builtinId="8" hidden="1"/>
    <cellStyle name="Lien hypertexte" xfId="24948" builtinId="8" hidden="1"/>
    <cellStyle name="Lien hypertexte" xfId="24950" builtinId="8" hidden="1"/>
    <cellStyle name="Lien hypertexte" xfId="24952" builtinId="8" hidden="1"/>
    <cellStyle name="Lien hypertexte" xfId="24954" builtinId="8" hidden="1"/>
    <cellStyle name="Lien hypertexte" xfId="24956" builtinId="8" hidden="1"/>
    <cellStyle name="Lien hypertexte" xfId="24958" builtinId="8" hidden="1"/>
    <cellStyle name="Lien hypertexte" xfId="24960" builtinId="8" hidden="1"/>
    <cellStyle name="Lien hypertexte" xfId="24962" builtinId="8" hidden="1"/>
    <cellStyle name="Lien hypertexte" xfId="24964" builtinId="8" hidden="1"/>
    <cellStyle name="Lien hypertexte" xfId="24966" builtinId="8" hidden="1"/>
    <cellStyle name="Lien hypertexte" xfId="24968" builtinId="8" hidden="1"/>
    <cellStyle name="Lien hypertexte" xfId="24970" builtinId="8" hidden="1"/>
    <cellStyle name="Lien hypertexte" xfId="24972" builtinId="8" hidden="1"/>
    <cellStyle name="Lien hypertexte" xfId="24974" builtinId="8" hidden="1"/>
    <cellStyle name="Lien hypertexte" xfId="24976" builtinId="8" hidden="1"/>
    <cellStyle name="Lien hypertexte" xfId="24978" builtinId="8" hidden="1"/>
    <cellStyle name="Lien hypertexte" xfId="24980" builtinId="8" hidden="1"/>
    <cellStyle name="Lien hypertexte" xfId="24982" builtinId="8" hidden="1"/>
    <cellStyle name="Lien hypertexte" xfId="24984" builtinId="8" hidden="1"/>
    <cellStyle name="Lien hypertexte" xfId="24986" builtinId="8" hidden="1"/>
    <cellStyle name="Lien hypertexte" xfId="24988" builtinId="8" hidden="1"/>
    <cellStyle name="Lien hypertexte" xfId="24990" builtinId="8" hidden="1"/>
    <cellStyle name="Lien hypertexte" xfId="24992" builtinId="8" hidden="1"/>
    <cellStyle name="Lien hypertexte" xfId="24994" builtinId="8" hidden="1"/>
    <cellStyle name="Lien hypertexte" xfId="24996" builtinId="8" hidden="1"/>
    <cellStyle name="Lien hypertexte" xfId="24998" builtinId="8" hidden="1"/>
    <cellStyle name="Lien hypertexte" xfId="25000" builtinId="8" hidden="1"/>
    <cellStyle name="Lien hypertexte" xfId="25002" builtinId="8" hidden="1"/>
    <cellStyle name="Lien hypertexte" xfId="25004" builtinId="8" hidden="1"/>
    <cellStyle name="Lien hypertexte" xfId="25006" builtinId="8" hidden="1"/>
    <cellStyle name="Lien hypertexte" xfId="25008" builtinId="8" hidden="1"/>
    <cellStyle name="Lien hypertexte" xfId="25010" builtinId="8" hidden="1"/>
    <cellStyle name="Lien hypertexte" xfId="25012" builtinId="8" hidden="1"/>
    <cellStyle name="Lien hypertexte" xfId="25014" builtinId="8" hidden="1"/>
    <cellStyle name="Lien hypertexte" xfId="25016" builtinId="8" hidden="1"/>
    <cellStyle name="Lien hypertexte" xfId="25018" builtinId="8" hidden="1"/>
    <cellStyle name="Lien hypertexte" xfId="25020" builtinId="8" hidden="1"/>
    <cellStyle name="Lien hypertexte" xfId="25022" builtinId="8" hidden="1"/>
    <cellStyle name="Lien hypertexte" xfId="25024" builtinId="8" hidden="1"/>
    <cellStyle name="Lien hypertexte" xfId="25026" builtinId="8" hidden="1"/>
    <cellStyle name="Lien hypertexte" xfId="25028" builtinId="8" hidden="1"/>
    <cellStyle name="Lien hypertexte" xfId="25030" builtinId="8" hidden="1"/>
    <cellStyle name="Lien hypertexte" xfId="25032" builtinId="8" hidden="1"/>
    <cellStyle name="Lien hypertexte" xfId="25034" builtinId="8" hidden="1"/>
    <cellStyle name="Lien hypertexte" xfId="25036" builtinId="8" hidden="1"/>
    <cellStyle name="Lien hypertexte" xfId="25038" builtinId="8" hidden="1"/>
    <cellStyle name="Lien hypertexte" xfId="25040" builtinId="8" hidden="1"/>
    <cellStyle name="Lien hypertexte" xfId="25042" builtinId="8" hidden="1"/>
    <cellStyle name="Lien hypertexte" xfId="25044" builtinId="8" hidden="1"/>
    <cellStyle name="Lien hypertexte" xfId="25046" builtinId="8" hidden="1"/>
    <cellStyle name="Lien hypertexte" xfId="25048" builtinId="8" hidden="1"/>
    <cellStyle name="Lien hypertexte" xfId="25050" builtinId="8" hidden="1"/>
    <cellStyle name="Lien hypertexte" xfId="25052" builtinId="8" hidden="1"/>
    <cellStyle name="Lien hypertexte" xfId="25054" builtinId="8" hidden="1"/>
    <cellStyle name="Lien hypertexte" xfId="25056" builtinId="8" hidden="1"/>
    <cellStyle name="Lien hypertexte" xfId="25058" builtinId="8" hidden="1"/>
    <cellStyle name="Lien hypertexte" xfId="25060" builtinId="8" hidden="1"/>
    <cellStyle name="Lien hypertexte" xfId="25062" builtinId="8" hidden="1"/>
    <cellStyle name="Lien hypertexte" xfId="25064" builtinId="8" hidden="1"/>
    <cellStyle name="Lien hypertexte" xfId="25066" builtinId="8" hidden="1"/>
    <cellStyle name="Lien hypertexte" xfId="25068" builtinId="8" hidden="1"/>
    <cellStyle name="Lien hypertexte" xfId="25070" builtinId="8" hidden="1"/>
    <cellStyle name="Lien hypertexte" xfId="25072" builtinId="8" hidden="1"/>
    <cellStyle name="Lien hypertexte" xfId="25074" builtinId="8" hidden="1"/>
    <cellStyle name="Lien hypertexte" xfId="25076" builtinId="8" hidden="1"/>
    <cellStyle name="Lien hypertexte" xfId="25078" builtinId="8" hidden="1"/>
    <cellStyle name="Lien hypertexte" xfId="25080" builtinId="8" hidden="1"/>
    <cellStyle name="Lien hypertexte" xfId="25082" builtinId="8" hidden="1"/>
    <cellStyle name="Lien hypertexte" xfId="25084" builtinId="8" hidden="1"/>
    <cellStyle name="Lien hypertexte" xfId="25086" builtinId="8" hidden="1"/>
    <cellStyle name="Lien hypertexte" xfId="25088" builtinId="8" hidden="1"/>
    <cellStyle name="Lien hypertexte" xfId="25090" builtinId="8" hidden="1"/>
    <cellStyle name="Lien hypertexte" xfId="25092" builtinId="8" hidden="1"/>
    <cellStyle name="Lien hypertexte" xfId="25094" builtinId="8" hidden="1"/>
    <cellStyle name="Lien hypertexte" xfId="25096" builtinId="8" hidden="1"/>
    <cellStyle name="Lien hypertexte" xfId="25098" builtinId="8" hidden="1"/>
    <cellStyle name="Lien hypertexte" xfId="25100" builtinId="8" hidden="1"/>
    <cellStyle name="Lien hypertexte" xfId="25102" builtinId="8" hidden="1"/>
    <cellStyle name="Lien hypertexte" xfId="25104" builtinId="8" hidden="1"/>
    <cellStyle name="Lien hypertexte" xfId="25106" builtinId="8" hidden="1"/>
    <cellStyle name="Lien hypertexte" xfId="25108" builtinId="8" hidden="1"/>
    <cellStyle name="Lien hypertexte" xfId="25110" builtinId="8" hidden="1"/>
    <cellStyle name="Lien hypertexte" xfId="25112" builtinId="8" hidden="1"/>
    <cellStyle name="Lien hypertexte" xfId="25114" builtinId="8" hidden="1"/>
    <cellStyle name="Lien hypertexte" xfId="25116" builtinId="8" hidden="1"/>
    <cellStyle name="Lien hypertexte" xfId="25118" builtinId="8" hidden="1"/>
    <cellStyle name="Lien hypertexte" xfId="25120" builtinId="8" hidden="1"/>
    <cellStyle name="Lien hypertexte" xfId="25122" builtinId="8" hidden="1"/>
    <cellStyle name="Lien hypertexte" xfId="25124" builtinId="8" hidden="1"/>
    <cellStyle name="Lien hypertexte" xfId="25126" builtinId="8" hidden="1"/>
    <cellStyle name="Lien hypertexte" xfId="25128" builtinId="8" hidden="1"/>
    <cellStyle name="Lien hypertexte" xfId="25130" builtinId="8" hidden="1"/>
    <cellStyle name="Lien hypertexte" xfId="25132" builtinId="8" hidden="1"/>
    <cellStyle name="Lien hypertexte" xfId="25134" builtinId="8" hidden="1"/>
    <cellStyle name="Lien hypertexte" xfId="25136" builtinId="8" hidden="1"/>
    <cellStyle name="Lien hypertexte" xfId="25138" builtinId="8" hidden="1"/>
    <cellStyle name="Lien hypertexte" xfId="25140" builtinId="8" hidden="1"/>
    <cellStyle name="Lien hypertexte" xfId="25142" builtinId="8" hidden="1"/>
    <cellStyle name="Lien hypertexte" xfId="25144" builtinId="8" hidden="1"/>
    <cellStyle name="Lien hypertexte" xfId="25146" builtinId="8" hidden="1"/>
    <cellStyle name="Lien hypertexte" xfId="25148" builtinId="8" hidden="1"/>
    <cellStyle name="Lien hypertexte" xfId="25150" builtinId="8" hidden="1"/>
    <cellStyle name="Lien hypertexte" xfId="25152" builtinId="8" hidden="1"/>
    <cellStyle name="Lien hypertexte" xfId="25154" builtinId="8" hidden="1"/>
    <cellStyle name="Lien hypertexte" xfId="25156" builtinId="8" hidden="1"/>
    <cellStyle name="Lien hypertexte" xfId="25158" builtinId="8" hidden="1"/>
    <cellStyle name="Lien hypertexte" xfId="25160" builtinId="8" hidden="1"/>
    <cellStyle name="Lien hypertexte" xfId="25162" builtinId="8" hidden="1"/>
    <cellStyle name="Lien hypertexte" xfId="25164" builtinId="8" hidden="1"/>
    <cellStyle name="Lien hypertexte" xfId="25166" builtinId="8" hidden="1"/>
    <cellStyle name="Lien hypertexte" xfId="25168" builtinId="8" hidden="1"/>
    <cellStyle name="Lien hypertexte" xfId="25170" builtinId="8" hidden="1"/>
    <cellStyle name="Lien hypertexte" xfId="25172" builtinId="8" hidden="1"/>
    <cellStyle name="Lien hypertexte" xfId="25174" builtinId="8" hidden="1"/>
    <cellStyle name="Lien hypertexte" xfId="25176" builtinId="8" hidden="1"/>
    <cellStyle name="Lien hypertexte" xfId="25178" builtinId="8" hidden="1"/>
    <cellStyle name="Lien hypertexte" xfId="25180" builtinId="8" hidden="1"/>
    <cellStyle name="Lien hypertexte" xfId="25182" builtinId="8" hidden="1"/>
    <cellStyle name="Lien hypertexte" xfId="25184" builtinId="8" hidden="1"/>
    <cellStyle name="Lien hypertexte" xfId="25186" builtinId="8" hidden="1"/>
    <cellStyle name="Lien hypertexte" xfId="25188" builtinId="8" hidden="1"/>
    <cellStyle name="Lien hypertexte" xfId="25190" builtinId="8" hidden="1"/>
    <cellStyle name="Lien hypertexte" xfId="25192" builtinId="8" hidden="1"/>
    <cellStyle name="Lien hypertexte" xfId="25194" builtinId="8" hidden="1"/>
    <cellStyle name="Lien hypertexte" xfId="25196" builtinId="8" hidden="1"/>
    <cellStyle name="Lien hypertexte" xfId="25198" builtinId="8" hidden="1"/>
    <cellStyle name="Lien hypertexte" xfId="25200" builtinId="8" hidden="1"/>
    <cellStyle name="Lien hypertexte" xfId="25202" builtinId="8" hidden="1"/>
    <cellStyle name="Lien hypertexte" xfId="25204" builtinId="8" hidden="1"/>
    <cellStyle name="Lien hypertexte" xfId="25206" builtinId="8" hidden="1"/>
    <cellStyle name="Lien hypertexte" xfId="25208" builtinId="8" hidden="1"/>
    <cellStyle name="Lien hypertexte" xfId="25210" builtinId="8" hidden="1"/>
    <cellStyle name="Lien hypertexte" xfId="25212" builtinId="8" hidden="1"/>
    <cellStyle name="Lien hypertexte" xfId="25214" builtinId="8" hidden="1"/>
    <cellStyle name="Lien hypertexte" xfId="25216" builtinId="8" hidden="1"/>
    <cellStyle name="Lien hypertexte" xfId="25218" builtinId="8" hidden="1"/>
    <cellStyle name="Lien hypertexte" xfId="25220" builtinId="8" hidden="1"/>
    <cellStyle name="Lien hypertexte" xfId="25222" builtinId="8" hidden="1"/>
    <cellStyle name="Lien hypertexte" xfId="25224" builtinId="8" hidden="1"/>
    <cellStyle name="Lien hypertexte" xfId="25226" builtinId="8" hidden="1"/>
    <cellStyle name="Lien hypertexte" xfId="25228" builtinId="8" hidden="1"/>
    <cellStyle name="Lien hypertexte" xfId="25230" builtinId="8" hidden="1"/>
    <cellStyle name="Lien hypertexte" xfId="25232" builtinId="8" hidden="1"/>
    <cellStyle name="Lien hypertexte" xfId="25234" builtinId="8" hidden="1"/>
    <cellStyle name="Lien hypertexte" xfId="25236" builtinId="8" hidden="1"/>
    <cellStyle name="Lien hypertexte" xfId="25238" builtinId="8" hidden="1"/>
    <cellStyle name="Lien hypertexte" xfId="25240" builtinId="8" hidden="1"/>
    <cellStyle name="Lien hypertexte" xfId="25242" builtinId="8" hidden="1"/>
    <cellStyle name="Lien hypertexte" xfId="25244" builtinId="8" hidden="1"/>
    <cellStyle name="Lien hypertexte" xfId="25246" builtinId="8" hidden="1"/>
    <cellStyle name="Lien hypertexte" xfId="25248" builtinId="8" hidden="1"/>
    <cellStyle name="Lien hypertexte" xfId="25250" builtinId="8" hidden="1"/>
    <cellStyle name="Lien hypertexte" xfId="25252" builtinId="8" hidden="1"/>
    <cellStyle name="Lien hypertexte" xfId="25254" builtinId="8" hidden="1"/>
    <cellStyle name="Lien hypertexte" xfId="25256" builtinId="8" hidden="1"/>
    <cellStyle name="Lien hypertexte" xfId="25258" builtinId="8" hidden="1"/>
    <cellStyle name="Lien hypertexte" xfId="25260" builtinId="8" hidden="1"/>
    <cellStyle name="Lien hypertexte" xfId="25262" builtinId="8" hidden="1"/>
    <cellStyle name="Lien hypertexte" xfId="25264" builtinId="8" hidden="1"/>
    <cellStyle name="Lien hypertexte" xfId="25266" builtinId="8" hidden="1"/>
    <cellStyle name="Lien hypertexte" xfId="25268" builtinId="8" hidden="1"/>
    <cellStyle name="Lien hypertexte" xfId="25270" builtinId="8" hidden="1"/>
    <cellStyle name="Lien hypertexte" xfId="25272" builtinId="8" hidden="1"/>
    <cellStyle name="Lien hypertexte" xfId="25274" builtinId="8" hidden="1"/>
    <cellStyle name="Lien hypertexte" xfId="25276" builtinId="8" hidden="1"/>
    <cellStyle name="Lien hypertexte" xfId="25278" builtinId="8" hidden="1"/>
    <cellStyle name="Lien hypertexte" xfId="25280" builtinId="8" hidden="1"/>
    <cellStyle name="Lien hypertexte" xfId="25282" builtinId="8" hidden="1"/>
    <cellStyle name="Lien hypertexte" xfId="25284" builtinId="8" hidden="1"/>
    <cellStyle name="Lien hypertexte" xfId="25286" builtinId="8" hidden="1"/>
    <cellStyle name="Lien hypertexte" xfId="25288" builtinId="8" hidden="1"/>
    <cellStyle name="Lien hypertexte" xfId="25290" builtinId="8" hidden="1"/>
    <cellStyle name="Lien hypertexte" xfId="25292" builtinId="8" hidden="1"/>
    <cellStyle name="Lien hypertexte" xfId="25294" builtinId="8" hidden="1"/>
    <cellStyle name="Lien hypertexte" xfId="25296" builtinId="8" hidden="1"/>
    <cellStyle name="Lien hypertexte" xfId="25298" builtinId="8" hidden="1"/>
    <cellStyle name="Lien hypertexte" xfId="25300" builtinId="8" hidden="1"/>
    <cellStyle name="Lien hypertexte" xfId="25302" builtinId="8" hidden="1"/>
    <cellStyle name="Lien hypertexte" xfId="25304" builtinId="8" hidden="1"/>
    <cellStyle name="Lien hypertexte" xfId="25306" builtinId="8" hidden="1"/>
    <cellStyle name="Lien hypertexte" xfId="25308" builtinId="8" hidden="1"/>
    <cellStyle name="Lien hypertexte" xfId="25310" builtinId="8" hidden="1"/>
    <cellStyle name="Lien hypertexte" xfId="25312" builtinId="8" hidden="1"/>
    <cellStyle name="Lien hypertexte" xfId="25314" builtinId="8" hidden="1"/>
    <cellStyle name="Lien hypertexte" xfId="25316" builtinId="8" hidden="1"/>
    <cellStyle name="Lien hypertexte" xfId="25318" builtinId="8" hidden="1"/>
    <cellStyle name="Lien hypertexte" xfId="25320" builtinId="8" hidden="1"/>
    <cellStyle name="Lien hypertexte" xfId="25322" builtinId="8" hidden="1"/>
    <cellStyle name="Lien hypertexte" xfId="25324" builtinId="8" hidden="1"/>
    <cellStyle name="Lien hypertexte" xfId="25326" builtinId="8" hidden="1"/>
    <cellStyle name="Lien hypertexte" xfId="25328" builtinId="8" hidden="1"/>
    <cellStyle name="Lien hypertexte" xfId="25330" builtinId="8" hidden="1"/>
    <cellStyle name="Lien hypertexte" xfId="25332" builtinId="8" hidden="1"/>
    <cellStyle name="Lien hypertexte" xfId="25334" builtinId="8" hidden="1"/>
    <cellStyle name="Lien hypertexte" xfId="25336" builtinId="8" hidden="1"/>
    <cellStyle name="Lien hypertexte" xfId="25338" builtinId="8" hidden="1"/>
    <cellStyle name="Lien hypertexte" xfId="25340" builtinId="8" hidden="1"/>
    <cellStyle name="Lien hypertexte" xfId="25342" builtinId="8" hidden="1"/>
    <cellStyle name="Lien hypertexte" xfId="25344" builtinId="8" hidden="1"/>
    <cellStyle name="Lien hypertexte" xfId="25346" builtinId="8" hidden="1"/>
    <cellStyle name="Lien hypertexte" xfId="25348" builtinId="8" hidden="1"/>
    <cellStyle name="Lien hypertexte" xfId="25350" builtinId="8" hidden="1"/>
    <cellStyle name="Lien hypertexte" xfId="25352" builtinId="8" hidden="1"/>
    <cellStyle name="Lien hypertexte" xfId="25354" builtinId="8" hidden="1"/>
    <cellStyle name="Lien hypertexte" xfId="25356" builtinId="8" hidden="1"/>
    <cellStyle name="Lien hypertexte" xfId="25358" builtinId="8" hidden="1"/>
    <cellStyle name="Lien hypertexte" xfId="25360" builtinId="8" hidden="1"/>
    <cellStyle name="Lien hypertexte" xfId="25362" builtinId="8" hidden="1"/>
    <cellStyle name="Lien hypertexte" xfId="25364" builtinId="8" hidden="1"/>
    <cellStyle name="Lien hypertexte" xfId="25366" builtinId="8" hidden="1"/>
    <cellStyle name="Lien hypertexte" xfId="25368" builtinId="8" hidden="1"/>
    <cellStyle name="Lien hypertexte" xfId="25370" builtinId="8" hidden="1"/>
    <cellStyle name="Lien hypertexte" xfId="25372" builtinId="8" hidden="1"/>
    <cellStyle name="Lien hypertexte" xfId="25374" builtinId="8" hidden="1"/>
    <cellStyle name="Lien hypertexte" xfId="25376" builtinId="8" hidden="1"/>
    <cellStyle name="Lien hypertexte" xfId="25378" builtinId="8" hidden="1"/>
    <cellStyle name="Lien hypertexte" xfId="25380" builtinId="8" hidden="1"/>
    <cellStyle name="Lien hypertexte" xfId="25382" builtinId="8" hidden="1"/>
    <cellStyle name="Lien hypertexte" xfId="25384" builtinId="8" hidden="1"/>
    <cellStyle name="Lien hypertexte" xfId="25386" builtinId="8" hidden="1"/>
    <cellStyle name="Lien hypertexte" xfId="25388" builtinId="8" hidden="1"/>
    <cellStyle name="Lien hypertexte" xfId="25390" builtinId="8" hidden="1"/>
    <cellStyle name="Lien hypertexte" xfId="25392" builtinId="8" hidden="1"/>
    <cellStyle name="Lien hypertexte" xfId="25394" builtinId="8" hidden="1"/>
    <cellStyle name="Lien hypertexte" xfId="25396" builtinId="8" hidden="1"/>
    <cellStyle name="Lien hypertexte" xfId="25398" builtinId="8" hidden="1"/>
    <cellStyle name="Lien hypertexte" xfId="25400" builtinId="8" hidden="1"/>
    <cellStyle name="Lien hypertexte" xfId="25402" builtinId="8" hidden="1"/>
    <cellStyle name="Lien hypertexte" xfId="25404" builtinId="8" hidden="1"/>
    <cellStyle name="Lien hypertexte" xfId="25406" builtinId="8" hidden="1"/>
    <cellStyle name="Lien hypertexte" xfId="25408" builtinId="8" hidden="1"/>
    <cellStyle name="Lien hypertexte" xfId="25410" builtinId="8" hidden="1"/>
    <cellStyle name="Lien hypertexte" xfId="25412" builtinId="8" hidden="1"/>
    <cellStyle name="Lien hypertexte" xfId="25414" builtinId="8" hidden="1"/>
    <cellStyle name="Lien hypertexte" xfId="25416" builtinId="8" hidden="1"/>
    <cellStyle name="Lien hypertexte" xfId="25418" builtinId="8" hidden="1"/>
    <cellStyle name="Lien hypertexte" xfId="25420" builtinId="8" hidden="1"/>
    <cellStyle name="Lien hypertexte" xfId="25422" builtinId="8" hidden="1"/>
    <cellStyle name="Lien hypertexte" xfId="25424" builtinId="8" hidden="1"/>
    <cellStyle name="Lien hypertexte" xfId="25426" builtinId="8" hidden="1"/>
    <cellStyle name="Lien hypertexte" xfId="25428" builtinId="8" hidden="1"/>
    <cellStyle name="Lien hypertexte" xfId="25430" builtinId="8" hidden="1"/>
    <cellStyle name="Lien hypertexte" xfId="25432" builtinId="8" hidden="1"/>
    <cellStyle name="Lien hypertexte" xfId="25434" builtinId="8" hidden="1"/>
    <cellStyle name="Lien hypertexte" xfId="25436" builtinId="8" hidden="1"/>
    <cellStyle name="Lien hypertexte" xfId="25438" builtinId="8" hidden="1"/>
    <cellStyle name="Lien hypertexte" xfId="25440" builtinId="8" hidden="1"/>
    <cellStyle name="Lien hypertexte" xfId="25442" builtinId="8" hidden="1"/>
    <cellStyle name="Lien hypertexte" xfId="25444" builtinId="8" hidden="1"/>
    <cellStyle name="Lien hypertexte" xfId="25446" builtinId="8" hidden="1"/>
    <cellStyle name="Lien hypertexte" xfId="25448" builtinId="8" hidden="1"/>
    <cellStyle name="Lien hypertexte" xfId="25450" builtinId="8" hidden="1"/>
    <cellStyle name="Lien hypertexte" xfId="25452" builtinId="8" hidden="1"/>
    <cellStyle name="Lien hypertexte" xfId="25454" builtinId="8" hidden="1"/>
    <cellStyle name="Lien hypertexte" xfId="25456" builtinId="8" hidden="1"/>
    <cellStyle name="Lien hypertexte" xfId="25458" builtinId="8" hidden="1"/>
    <cellStyle name="Lien hypertexte" xfId="25460" builtinId="8" hidden="1"/>
    <cellStyle name="Lien hypertexte" xfId="25462" builtinId="8" hidden="1"/>
    <cellStyle name="Lien hypertexte" xfId="25464" builtinId="8" hidden="1"/>
    <cellStyle name="Lien hypertexte" xfId="25466" builtinId="8" hidden="1"/>
    <cellStyle name="Lien hypertexte" xfId="25468" builtinId="8" hidden="1"/>
    <cellStyle name="Lien hypertexte" xfId="25470" builtinId="8" hidden="1"/>
    <cellStyle name="Lien hypertexte" xfId="25472" builtinId="8" hidden="1"/>
    <cellStyle name="Lien hypertexte" xfId="25474" builtinId="8" hidden="1"/>
    <cellStyle name="Lien hypertexte" xfId="25476" builtinId="8" hidden="1"/>
    <cellStyle name="Lien hypertexte" xfId="25478" builtinId="8" hidden="1"/>
    <cellStyle name="Lien hypertexte" xfId="25480" builtinId="8" hidden="1"/>
    <cellStyle name="Lien hypertexte" xfId="25482" builtinId="8" hidden="1"/>
    <cellStyle name="Lien hypertexte" xfId="25484" builtinId="8" hidden="1"/>
    <cellStyle name="Lien hypertexte" xfId="25486" builtinId="8" hidden="1"/>
    <cellStyle name="Lien hypertexte" xfId="25488" builtinId="8" hidden="1"/>
    <cellStyle name="Lien hypertexte" xfId="25490" builtinId="8" hidden="1"/>
    <cellStyle name="Lien hypertexte" xfId="25492" builtinId="8" hidden="1"/>
    <cellStyle name="Lien hypertexte" xfId="25494" builtinId="8" hidden="1"/>
    <cellStyle name="Lien hypertexte" xfId="25496" builtinId="8" hidden="1"/>
    <cellStyle name="Lien hypertexte" xfId="25498" builtinId="8" hidden="1"/>
    <cellStyle name="Lien hypertexte" xfId="25500" builtinId="8" hidden="1"/>
    <cellStyle name="Lien hypertexte" xfId="25502" builtinId="8" hidden="1"/>
    <cellStyle name="Lien hypertexte" xfId="25504" builtinId="8" hidden="1"/>
    <cellStyle name="Lien hypertexte" xfId="25506" builtinId="8" hidden="1"/>
    <cellStyle name="Lien hypertexte" xfId="25508" builtinId="8" hidden="1"/>
    <cellStyle name="Lien hypertexte" xfId="25510" builtinId="8" hidden="1"/>
    <cellStyle name="Lien hypertexte" xfId="25512" builtinId="8" hidden="1"/>
    <cellStyle name="Lien hypertexte" xfId="25514" builtinId="8" hidden="1"/>
    <cellStyle name="Lien hypertexte" xfId="25516" builtinId="8" hidden="1"/>
    <cellStyle name="Lien hypertexte" xfId="25518" builtinId="8" hidden="1"/>
    <cellStyle name="Lien hypertexte" xfId="25520" builtinId="8" hidden="1"/>
    <cellStyle name="Lien hypertexte" xfId="25522" builtinId="8" hidden="1"/>
    <cellStyle name="Lien hypertexte" xfId="25524" builtinId="8" hidden="1"/>
    <cellStyle name="Lien hypertexte" xfId="25526" builtinId="8" hidden="1"/>
    <cellStyle name="Lien hypertexte" xfId="25528" builtinId="8" hidden="1"/>
    <cellStyle name="Lien hypertexte" xfId="25530" builtinId="8" hidden="1"/>
    <cellStyle name="Lien hypertexte" xfId="25532" builtinId="8" hidden="1"/>
    <cellStyle name="Lien hypertexte" xfId="25534" builtinId="8" hidden="1"/>
    <cellStyle name="Lien hypertexte" xfId="25536" builtinId="8" hidden="1"/>
    <cellStyle name="Lien hypertexte" xfId="25538" builtinId="8" hidden="1"/>
    <cellStyle name="Lien hypertexte" xfId="25540" builtinId="8" hidden="1"/>
    <cellStyle name="Lien hypertexte" xfId="25542" builtinId="8" hidden="1"/>
    <cellStyle name="Lien hypertexte" xfId="25544" builtinId="8" hidden="1"/>
    <cellStyle name="Lien hypertexte" xfId="25546" builtinId="8" hidden="1"/>
    <cellStyle name="Lien hypertexte" xfId="25548" builtinId="8" hidden="1"/>
    <cellStyle name="Lien hypertexte" xfId="25550" builtinId="8" hidden="1"/>
    <cellStyle name="Lien hypertexte" xfId="25552" builtinId="8" hidden="1"/>
    <cellStyle name="Lien hypertexte" xfId="25554" builtinId="8" hidden="1"/>
    <cellStyle name="Lien hypertexte" xfId="25556" builtinId="8" hidden="1"/>
    <cellStyle name="Lien hypertexte" xfId="25558" builtinId="8" hidden="1"/>
    <cellStyle name="Lien hypertexte" xfId="25560" builtinId="8" hidden="1"/>
    <cellStyle name="Lien hypertexte" xfId="25562" builtinId="8" hidden="1"/>
    <cellStyle name="Lien hypertexte" xfId="25564" builtinId="8" hidden="1"/>
    <cellStyle name="Lien hypertexte" xfId="25566" builtinId="8" hidden="1"/>
    <cellStyle name="Lien hypertexte" xfId="25568" builtinId="8" hidden="1"/>
    <cellStyle name="Lien hypertexte" xfId="25570" builtinId="8" hidden="1"/>
    <cellStyle name="Lien hypertexte" xfId="25572" builtinId="8" hidden="1"/>
    <cellStyle name="Lien hypertexte" xfId="25574" builtinId="8" hidden="1"/>
    <cellStyle name="Lien hypertexte" xfId="25576" builtinId="8" hidden="1"/>
    <cellStyle name="Lien hypertexte" xfId="25578" builtinId="8" hidden="1"/>
    <cellStyle name="Lien hypertexte" xfId="25580" builtinId="8" hidden="1"/>
    <cellStyle name="Lien hypertexte" xfId="25582" builtinId="8" hidden="1"/>
    <cellStyle name="Lien hypertexte" xfId="25584" builtinId="8" hidden="1"/>
    <cellStyle name="Lien hypertexte" xfId="25586" builtinId="8" hidden="1"/>
    <cellStyle name="Lien hypertexte" xfId="25588" builtinId="8" hidden="1"/>
    <cellStyle name="Lien hypertexte" xfId="25590" builtinId="8" hidden="1"/>
    <cellStyle name="Lien hypertexte" xfId="25592" builtinId="8" hidden="1"/>
    <cellStyle name="Lien hypertexte" xfId="25594" builtinId="8" hidden="1"/>
    <cellStyle name="Lien hypertexte" xfId="25596" builtinId="8" hidden="1"/>
    <cellStyle name="Lien hypertexte" xfId="25598" builtinId="8" hidden="1"/>
    <cellStyle name="Lien hypertexte" xfId="25600" builtinId="8" hidden="1"/>
    <cellStyle name="Lien hypertexte" xfId="25602" builtinId="8" hidden="1"/>
    <cellStyle name="Lien hypertexte" xfId="25604" builtinId="8" hidden="1"/>
    <cellStyle name="Lien hypertexte" xfId="25606" builtinId="8" hidden="1"/>
    <cellStyle name="Lien hypertexte" xfId="25608" builtinId="8" hidden="1"/>
    <cellStyle name="Lien hypertexte" xfId="25610" builtinId="8" hidden="1"/>
    <cellStyle name="Lien hypertexte" xfId="25612" builtinId="8" hidden="1"/>
    <cellStyle name="Lien hypertexte" xfId="25614" builtinId="8" hidden="1"/>
    <cellStyle name="Lien hypertexte" xfId="25616" builtinId="8" hidden="1"/>
    <cellStyle name="Lien hypertexte" xfId="25618" builtinId="8" hidden="1"/>
    <cellStyle name="Lien hypertexte" xfId="25620" builtinId="8" hidden="1"/>
    <cellStyle name="Lien hypertexte" xfId="25622" builtinId="8" hidden="1"/>
    <cellStyle name="Lien hypertexte" xfId="25624" builtinId="8" hidden="1"/>
    <cellStyle name="Lien hypertexte" xfId="25626" builtinId="8" hidden="1"/>
    <cellStyle name="Lien hypertexte" xfId="25628" builtinId="8" hidden="1"/>
    <cellStyle name="Lien hypertexte" xfId="25630" builtinId="8" hidden="1"/>
    <cellStyle name="Lien hypertexte" xfId="25632" builtinId="8" hidden="1"/>
    <cellStyle name="Lien hypertexte" xfId="25634" builtinId="8" hidden="1"/>
    <cellStyle name="Lien hypertexte" xfId="25636" builtinId="8" hidden="1"/>
    <cellStyle name="Lien hypertexte" xfId="25638" builtinId="8" hidden="1"/>
    <cellStyle name="Lien hypertexte" xfId="25640" builtinId="8" hidden="1"/>
    <cellStyle name="Lien hypertexte" xfId="25642" builtinId="8" hidden="1"/>
    <cellStyle name="Lien hypertexte" xfId="25644" builtinId="8" hidden="1"/>
    <cellStyle name="Lien hypertexte" xfId="25646" builtinId="8" hidden="1"/>
    <cellStyle name="Lien hypertexte" xfId="25648" builtinId="8" hidden="1"/>
    <cellStyle name="Lien hypertexte" xfId="25650" builtinId="8" hidden="1"/>
    <cellStyle name="Lien hypertexte" xfId="25652" builtinId="8" hidden="1"/>
    <cellStyle name="Lien hypertexte" xfId="25654" builtinId="8" hidden="1"/>
    <cellStyle name="Lien hypertexte" xfId="25656" builtinId="8" hidden="1"/>
    <cellStyle name="Lien hypertexte" xfId="25658" builtinId="8" hidden="1"/>
    <cellStyle name="Lien hypertexte" xfId="25660" builtinId="8" hidden="1"/>
    <cellStyle name="Lien hypertexte" xfId="25662" builtinId="8" hidden="1"/>
    <cellStyle name="Lien hypertexte" xfId="25664" builtinId="8" hidden="1"/>
    <cellStyle name="Lien hypertexte" xfId="25666" builtinId="8" hidden="1"/>
    <cellStyle name="Lien hypertexte" xfId="25668" builtinId="8" hidden="1"/>
    <cellStyle name="Lien hypertexte" xfId="25670" builtinId="8" hidden="1"/>
    <cellStyle name="Lien hypertexte" xfId="25672" builtinId="8" hidden="1"/>
    <cellStyle name="Lien hypertexte" xfId="25674" builtinId="8" hidden="1"/>
    <cellStyle name="Lien hypertexte" xfId="25676" builtinId="8" hidden="1"/>
    <cellStyle name="Lien hypertexte" xfId="25678" builtinId="8" hidden="1"/>
    <cellStyle name="Lien hypertexte" xfId="25680" builtinId="8" hidden="1"/>
    <cellStyle name="Lien hypertexte" xfId="25682" builtinId="8" hidden="1"/>
    <cellStyle name="Lien hypertexte" xfId="25684" builtinId="8" hidden="1"/>
    <cellStyle name="Lien hypertexte" xfId="25686" builtinId="8" hidden="1"/>
    <cellStyle name="Lien hypertexte" xfId="25688" builtinId="8" hidden="1"/>
    <cellStyle name="Lien hypertexte" xfId="25690" builtinId="8" hidden="1"/>
    <cellStyle name="Lien hypertexte" xfId="25692" builtinId="8" hidden="1"/>
    <cellStyle name="Lien hypertexte" xfId="25694" builtinId="8" hidden="1"/>
    <cellStyle name="Lien hypertexte" xfId="25696" builtinId="8" hidden="1"/>
    <cellStyle name="Lien hypertexte" xfId="25698" builtinId="8" hidden="1"/>
    <cellStyle name="Lien hypertexte" xfId="25700" builtinId="8" hidden="1"/>
    <cellStyle name="Lien hypertexte" xfId="25702" builtinId="8" hidden="1"/>
    <cellStyle name="Lien hypertexte" xfId="25704" builtinId="8" hidden="1"/>
    <cellStyle name="Lien hypertexte" xfId="25706" builtinId="8" hidden="1"/>
    <cellStyle name="Lien hypertexte" xfId="25708" builtinId="8" hidden="1"/>
    <cellStyle name="Lien hypertexte" xfId="25710" builtinId="8" hidden="1"/>
    <cellStyle name="Lien hypertexte" xfId="25712" builtinId="8" hidden="1"/>
    <cellStyle name="Lien hypertexte" xfId="25714" builtinId="8" hidden="1"/>
    <cellStyle name="Lien hypertexte" xfId="25716" builtinId="8" hidden="1"/>
    <cellStyle name="Lien hypertexte" xfId="25718" builtinId="8" hidden="1"/>
    <cellStyle name="Lien hypertexte" xfId="25720" builtinId="8" hidden="1"/>
    <cellStyle name="Lien hypertexte" xfId="25722" builtinId="8" hidden="1"/>
    <cellStyle name="Lien hypertexte" xfId="25724" builtinId="8" hidden="1"/>
    <cellStyle name="Lien hypertexte" xfId="25726" builtinId="8" hidden="1"/>
    <cellStyle name="Lien hypertexte" xfId="25728" builtinId="8" hidden="1"/>
    <cellStyle name="Lien hypertexte" xfId="25730" builtinId="8" hidden="1"/>
    <cellStyle name="Lien hypertexte" xfId="25732" builtinId="8" hidden="1"/>
    <cellStyle name="Lien hypertexte" xfId="25734" builtinId="8" hidden="1"/>
    <cellStyle name="Lien hypertexte" xfId="25736" builtinId="8" hidden="1"/>
    <cellStyle name="Lien hypertexte" xfId="25738" builtinId="8" hidden="1"/>
    <cellStyle name="Lien hypertexte" xfId="25740" builtinId="8" hidden="1"/>
    <cellStyle name="Lien hypertexte" xfId="25742" builtinId="8" hidden="1"/>
    <cellStyle name="Lien hypertexte" xfId="25744" builtinId="8" hidden="1"/>
    <cellStyle name="Lien hypertexte" xfId="25746" builtinId="8" hidden="1"/>
    <cellStyle name="Lien hypertexte" xfId="25748" builtinId="8" hidden="1"/>
    <cellStyle name="Lien hypertexte" xfId="25750" builtinId="8" hidden="1"/>
    <cellStyle name="Lien hypertexte" xfId="25752" builtinId="8" hidden="1"/>
    <cellStyle name="Lien hypertexte" xfId="25754" builtinId="8" hidden="1"/>
    <cellStyle name="Lien hypertexte" xfId="25756" builtinId="8" hidden="1"/>
    <cellStyle name="Lien hypertexte" xfId="25758" builtinId="8" hidden="1"/>
    <cellStyle name="Lien hypertexte" xfId="25760" builtinId="8" hidden="1"/>
    <cellStyle name="Lien hypertexte" xfId="25762" builtinId="8" hidden="1"/>
    <cellStyle name="Lien hypertexte" xfId="25764" builtinId="8" hidden="1"/>
    <cellStyle name="Lien hypertexte" xfId="25766" builtinId="8" hidden="1"/>
    <cellStyle name="Lien hypertexte" xfId="25768" builtinId="8" hidden="1"/>
    <cellStyle name="Lien hypertexte" xfId="25770" builtinId="8" hidden="1"/>
    <cellStyle name="Lien hypertexte" xfId="25772" builtinId="8" hidden="1"/>
    <cellStyle name="Lien hypertexte" xfId="25774" builtinId="8" hidden="1"/>
    <cellStyle name="Lien hypertexte" xfId="25776" builtinId="8" hidden="1"/>
    <cellStyle name="Lien hypertexte" xfId="25778" builtinId="8" hidden="1"/>
    <cellStyle name="Lien hypertexte" xfId="25780" builtinId="8" hidden="1"/>
    <cellStyle name="Lien hypertexte" xfId="25782" builtinId="8" hidden="1"/>
    <cellStyle name="Lien hypertexte" xfId="25784" builtinId="8" hidden="1"/>
    <cellStyle name="Lien hypertexte" xfId="25786" builtinId="8" hidden="1"/>
    <cellStyle name="Lien hypertexte" xfId="25788" builtinId="8" hidden="1"/>
    <cellStyle name="Lien hypertexte" xfId="25790" builtinId="8" hidden="1"/>
    <cellStyle name="Lien hypertexte" xfId="25792" builtinId="8" hidden="1"/>
    <cellStyle name="Lien hypertexte" xfId="25794" builtinId="8" hidden="1"/>
    <cellStyle name="Lien hypertexte" xfId="25796" builtinId="8" hidden="1"/>
    <cellStyle name="Lien hypertexte" xfId="25798" builtinId="8" hidden="1"/>
    <cellStyle name="Lien hypertexte" xfId="25800" builtinId="8" hidden="1"/>
    <cellStyle name="Lien hypertexte" xfId="25802" builtinId="8" hidden="1"/>
    <cellStyle name="Lien hypertexte" xfId="25804" builtinId="8" hidden="1"/>
    <cellStyle name="Lien hypertexte" xfId="25806" builtinId="8" hidden="1"/>
    <cellStyle name="Lien hypertexte" xfId="25808" builtinId="8" hidden="1"/>
    <cellStyle name="Lien hypertexte" xfId="25810" builtinId="8" hidden="1"/>
    <cellStyle name="Lien hypertexte" xfId="25812" builtinId="8" hidden="1"/>
    <cellStyle name="Lien hypertexte" xfId="25814" builtinId="8" hidden="1"/>
    <cellStyle name="Lien hypertexte" xfId="25816" builtinId="8" hidden="1"/>
    <cellStyle name="Lien hypertexte" xfId="25818" builtinId="8" hidden="1"/>
    <cellStyle name="Lien hypertexte" xfId="25820" builtinId="8" hidden="1"/>
    <cellStyle name="Lien hypertexte" xfId="25822" builtinId="8" hidden="1"/>
    <cellStyle name="Lien hypertexte" xfId="25824" builtinId="8" hidden="1"/>
    <cellStyle name="Lien hypertexte" xfId="25826" builtinId="8" hidden="1"/>
    <cellStyle name="Lien hypertexte" xfId="25828" builtinId="8" hidden="1"/>
    <cellStyle name="Lien hypertexte" xfId="25830" builtinId="8" hidden="1"/>
    <cellStyle name="Lien hypertexte" xfId="25832" builtinId="8" hidden="1"/>
    <cellStyle name="Lien hypertexte" xfId="25834" builtinId="8" hidden="1"/>
    <cellStyle name="Lien hypertexte" xfId="25836" builtinId="8" hidden="1"/>
    <cellStyle name="Lien hypertexte" xfId="25838" builtinId="8" hidden="1"/>
    <cellStyle name="Lien hypertexte" xfId="25840" builtinId="8" hidden="1"/>
    <cellStyle name="Lien hypertexte" xfId="25842" builtinId="8" hidden="1"/>
    <cellStyle name="Lien hypertexte" xfId="25844" builtinId="8" hidden="1"/>
    <cellStyle name="Lien hypertexte" xfId="25846" builtinId="8" hidden="1"/>
    <cellStyle name="Lien hypertexte" xfId="25848" builtinId="8" hidden="1"/>
    <cellStyle name="Lien hypertexte" xfId="25850" builtinId="8" hidden="1"/>
    <cellStyle name="Lien hypertexte" xfId="25852" builtinId="8" hidden="1"/>
    <cellStyle name="Lien hypertexte" xfId="25854" builtinId="8" hidden="1"/>
    <cellStyle name="Lien hypertexte" xfId="25856" builtinId="8" hidden="1"/>
    <cellStyle name="Lien hypertexte" xfId="25858" builtinId="8" hidden="1"/>
    <cellStyle name="Lien hypertexte" xfId="25860" builtinId="8" hidden="1"/>
    <cellStyle name="Lien hypertexte" xfId="25862" builtinId="8" hidden="1"/>
    <cellStyle name="Lien hypertexte" xfId="25864" builtinId="8" hidden="1"/>
    <cellStyle name="Lien hypertexte" xfId="25866" builtinId="8" hidden="1"/>
    <cellStyle name="Lien hypertexte" xfId="25868" builtinId="8" hidden="1"/>
    <cellStyle name="Lien hypertexte" xfId="25870" builtinId="8" hidden="1"/>
    <cellStyle name="Lien hypertexte" xfId="25872" builtinId="8" hidden="1"/>
    <cellStyle name="Lien hypertexte" xfId="25874" builtinId="8" hidden="1"/>
    <cellStyle name="Lien hypertexte" xfId="25876" builtinId="8" hidden="1"/>
    <cellStyle name="Lien hypertexte" xfId="25878" builtinId="8" hidden="1"/>
    <cellStyle name="Lien hypertexte" xfId="25880" builtinId="8" hidden="1"/>
    <cellStyle name="Lien hypertexte" xfId="25882" builtinId="8" hidden="1"/>
    <cellStyle name="Lien hypertexte" xfId="25884" builtinId="8" hidden="1"/>
    <cellStyle name="Lien hypertexte" xfId="25886" builtinId="8" hidden="1"/>
    <cellStyle name="Lien hypertexte" xfId="25888" builtinId="8" hidden="1"/>
    <cellStyle name="Lien hypertexte" xfId="25890" builtinId="8" hidden="1"/>
    <cellStyle name="Lien hypertexte" xfId="25892" builtinId="8" hidden="1"/>
    <cellStyle name="Lien hypertexte" xfId="25894" builtinId="8" hidden="1"/>
    <cellStyle name="Lien hypertexte" xfId="25896" builtinId="8" hidden="1"/>
    <cellStyle name="Lien hypertexte" xfId="25898" builtinId="8" hidden="1"/>
    <cellStyle name="Lien hypertexte" xfId="25900" builtinId="8" hidden="1"/>
    <cellStyle name="Lien hypertexte" xfId="25902" builtinId="8" hidden="1"/>
    <cellStyle name="Lien hypertexte" xfId="25904" builtinId="8" hidden="1"/>
    <cellStyle name="Lien hypertexte" xfId="25906" builtinId="8" hidden="1"/>
    <cellStyle name="Lien hypertexte" xfId="25908" builtinId="8" hidden="1"/>
    <cellStyle name="Lien hypertexte" xfId="25910" builtinId="8" hidden="1"/>
    <cellStyle name="Lien hypertexte" xfId="25912" builtinId="8" hidden="1"/>
    <cellStyle name="Lien hypertexte" xfId="25914" builtinId="8" hidden="1"/>
    <cellStyle name="Lien hypertexte" xfId="25916" builtinId="8" hidden="1"/>
    <cellStyle name="Lien hypertexte" xfId="25918" builtinId="8" hidden="1"/>
    <cellStyle name="Lien hypertexte" xfId="25920" builtinId="8" hidden="1"/>
    <cellStyle name="Lien hypertexte" xfId="25922" builtinId="8" hidden="1"/>
    <cellStyle name="Lien hypertexte" xfId="25924" builtinId="8" hidden="1"/>
    <cellStyle name="Lien hypertexte" xfId="25926" builtinId="8" hidden="1"/>
    <cellStyle name="Lien hypertexte" xfId="25928" builtinId="8" hidden="1"/>
    <cellStyle name="Lien hypertexte" xfId="25930" builtinId="8" hidden="1"/>
    <cellStyle name="Lien hypertexte" xfId="25932" builtinId="8" hidden="1"/>
    <cellStyle name="Lien hypertexte" xfId="25934" builtinId="8" hidden="1"/>
    <cellStyle name="Lien hypertexte" xfId="25936" builtinId="8" hidden="1"/>
    <cellStyle name="Lien hypertexte" xfId="25938" builtinId="8" hidden="1"/>
    <cellStyle name="Lien hypertexte" xfId="25940" builtinId="8" hidden="1"/>
    <cellStyle name="Lien hypertexte" xfId="25942" builtinId="8" hidden="1"/>
    <cellStyle name="Lien hypertexte" xfId="25944" builtinId="8" hidden="1"/>
    <cellStyle name="Lien hypertexte" xfId="25946" builtinId="8" hidden="1"/>
    <cellStyle name="Lien hypertexte" xfId="25948" builtinId="8" hidden="1"/>
    <cellStyle name="Lien hypertexte" xfId="25950" builtinId="8" hidden="1"/>
    <cellStyle name="Lien hypertexte" xfId="25952" builtinId="8" hidden="1"/>
    <cellStyle name="Lien hypertexte" xfId="25954" builtinId="8" hidden="1"/>
    <cellStyle name="Lien hypertexte" xfId="25956" builtinId="8" hidden="1"/>
    <cellStyle name="Lien hypertexte" xfId="25958" builtinId="8" hidden="1"/>
    <cellStyle name="Lien hypertexte" xfId="25960" builtinId="8" hidden="1"/>
    <cellStyle name="Lien hypertexte" xfId="25962" builtinId="8" hidden="1"/>
    <cellStyle name="Lien hypertexte" xfId="25964" builtinId="8" hidden="1"/>
    <cellStyle name="Lien hypertexte" xfId="25966" builtinId="8" hidden="1"/>
    <cellStyle name="Lien hypertexte" xfId="25968" builtinId="8" hidden="1"/>
    <cellStyle name="Lien hypertexte" xfId="25970" builtinId="8" hidden="1"/>
    <cellStyle name="Lien hypertexte" xfId="25972" builtinId="8" hidden="1"/>
    <cellStyle name="Lien hypertexte" xfId="25974" builtinId="8" hidden="1"/>
    <cellStyle name="Lien hypertexte" xfId="25976" builtinId="8" hidden="1"/>
    <cellStyle name="Lien hypertexte" xfId="25978" builtinId="8" hidden="1"/>
    <cellStyle name="Lien hypertexte" xfId="25980" builtinId="8" hidden="1"/>
    <cellStyle name="Lien hypertexte" xfId="25982" builtinId="8" hidden="1"/>
    <cellStyle name="Lien hypertexte" xfId="25984" builtinId="8" hidden="1"/>
    <cellStyle name="Lien hypertexte" xfId="25986" builtinId="8" hidden="1"/>
    <cellStyle name="Lien hypertexte" xfId="25988" builtinId="8" hidden="1"/>
    <cellStyle name="Lien hypertexte" xfId="25990" builtinId="8" hidden="1"/>
    <cellStyle name="Lien hypertexte" xfId="25992" builtinId="8" hidden="1"/>
    <cellStyle name="Lien hypertexte" xfId="25994" builtinId="8" hidden="1"/>
    <cellStyle name="Lien hypertexte" xfId="25996" builtinId="8" hidden="1"/>
    <cellStyle name="Lien hypertexte" xfId="25998" builtinId="8" hidden="1"/>
    <cellStyle name="Lien hypertexte" xfId="26000" builtinId="8" hidden="1"/>
    <cellStyle name="Lien hypertexte" xfId="26002" builtinId="8" hidden="1"/>
    <cellStyle name="Lien hypertexte" xfId="26004" builtinId="8" hidden="1"/>
    <cellStyle name="Lien hypertexte" xfId="26006" builtinId="8" hidden="1"/>
    <cellStyle name="Lien hypertexte" xfId="26008" builtinId="8" hidden="1"/>
    <cellStyle name="Lien hypertexte" xfId="26010" builtinId="8" hidden="1"/>
    <cellStyle name="Lien hypertexte" xfId="26012" builtinId="8" hidden="1"/>
    <cellStyle name="Lien hypertexte" xfId="26014" builtinId="8" hidden="1"/>
    <cellStyle name="Lien hypertexte" xfId="26016" builtinId="8" hidden="1"/>
    <cellStyle name="Lien hypertexte" xfId="26018" builtinId="8" hidden="1"/>
    <cellStyle name="Lien hypertexte" xfId="26020" builtinId="8" hidden="1"/>
    <cellStyle name="Lien hypertexte" xfId="26022" builtinId="8" hidden="1"/>
    <cellStyle name="Lien hypertexte" xfId="26024" builtinId="8" hidden="1"/>
    <cellStyle name="Lien hypertexte" xfId="26026" builtinId="8" hidden="1"/>
    <cellStyle name="Lien hypertexte" xfId="26028" builtinId="8" hidden="1"/>
    <cellStyle name="Lien hypertexte" xfId="26030" builtinId="8" hidden="1"/>
    <cellStyle name="Lien hypertexte" xfId="26032" builtinId="8" hidden="1"/>
    <cellStyle name="Lien hypertexte" xfId="26034" builtinId="8" hidden="1"/>
    <cellStyle name="Lien hypertexte" xfId="26036" builtinId="8" hidden="1"/>
    <cellStyle name="Lien hypertexte" xfId="26038" builtinId="8" hidden="1"/>
    <cellStyle name="Lien hypertexte" xfId="26040" builtinId="8" hidden="1"/>
    <cellStyle name="Lien hypertexte" xfId="26042" builtinId="8" hidden="1"/>
    <cellStyle name="Lien hypertexte" xfId="26044" builtinId="8" hidden="1"/>
    <cellStyle name="Lien hypertexte" xfId="26046" builtinId="8" hidden="1"/>
    <cellStyle name="Lien hypertexte" xfId="26048" builtinId="8" hidden="1"/>
    <cellStyle name="Lien hypertexte" xfId="26050" builtinId="8" hidden="1"/>
    <cellStyle name="Lien hypertexte" xfId="26052" builtinId="8" hidden="1"/>
    <cellStyle name="Lien hypertexte" xfId="26054" builtinId="8" hidden="1"/>
    <cellStyle name="Lien hypertexte" xfId="26056" builtinId="8" hidden="1"/>
    <cellStyle name="Lien hypertexte" xfId="26058" builtinId="8" hidden="1"/>
    <cellStyle name="Lien hypertexte" xfId="26060" builtinId="8" hidden="1"/>
    <cellStyle name="Lien hypertexte" xfId="26062" builtinId="8" hidden="1"/>
    <cellStyle name="Lien hypertexte" xfId="26064" builtinId="8" hidden="1"/>
    <cellStyle name="Lien hypertexte" xfId="26066" builtinId="8" hidden="1"/>
    <cellStyle name="Lien hypertexte" xfId="26068" builtinId="8" hidden="1"/>
    <cellStyle name="Lien hypertexte" xfId="26070" builtinId="8" hidden="1"/>
    <cellStyle name="Lien hypertexte" xfId="26072" builtinId="8" hidden="1"/>
    <cellStyle name="Lien hypertexte" xfId="26074" builtinId="8" hidden="1"/>
    <cellStyle name="Lien hypertexte" xfId="26076" builtinId="8" hidden="1"/>
    <cellStyle name="Lien hypertexte" xfId="26078" builtinId="8" hidden="1"/>
    <cellStyle name="Lien hypertexte" xfId="26080" builtinId="8" hidden="1"/>
    <cellStyle name="Lien hypertexte" xfId="26082" builtinId="8" hidden="1"/>
    <cellStyle name="Lien hypertexte" xfId="26084" builtinId="8" hidden="1"/>
    <cellStyle name="Lien hypertexte" xfId="26086" builtinId="8" hidden="1"/>
    <cellStyle name="Lien hypertexte" xfId="26088" builtinId="8" hidden="1"/>
    <cellStyle name="Lien hypertexte" xfId="26090" builtinId="8" hidden="1"/>
    <cellStyle name="Lien hypertexte" xfId="26092" builtinId="8" hidden="1"/>
    <cellStyle name="Lien hypertexte" xfId="26094" builtinId="8" hidden="1"/>
    <cellStyle name="Lien hypertexte" xfId="26096" builtinId="8" hidden="1"/>
    <cellStyle name="Lien hypertexte" xfId="26098" builtinId="8" hidden="1"/>
    <cellStyle name="Lien hypertexte" xfId="26100" builtinId="8" hidden="1"/>
    <cellStyle name="Lien hypertexte" xfId="26102" builtinId="8" hidden="1"/>
    <cellStyle name="Lien hypertexte" xfId="26104" builtinId="8" hidden="1"/>
    <cellStyle name="Lien hypertexte" xfId="26106" builtinId="8" hidden="1"/>
    <cellStyle name="Lien hypertexte" xfId="26108" builtinId="8" hidden="1"/>
    <cellStyle name="Lien hypertexte" xfId="26110" builtinId="8" hidden="1"/>
    <cellStyle name="Lien hypertexte" xfId="26112" builtinId="8" hidden="1"/>
    <cellStyle name="Lien hypertexte" xfId="26114" builtinId="8" hidden="1"/>
    <cellStyle name="Lien hypertexte" xfId="26116" builtinId="8" hidden="1"/>
    <cellStyle name="Lien hypertexte" xfId="26118" builtinId="8" hidden="1"/>
    <cellStyle name="Lien hypertexte" xfId="26120" builtinId="8" hidden="1"/>
    <cellStyle name="Lien hypertexte" xfId="26122" builtinId="8" hidden="1"/>
    <cellStyle name="Lien hypertexte" xfId="26124" builtinId="8" hidden="1"/>
    <cellStyle name="Lien hypertexte" xfId="26126" builtinId="8" hidden="1"/>
    <cellStyle name="Lien hypertexte" xfId="26128" builtinId="8" hidden="1"/>
    <cellStyle name="Lien hypertexte" xfId="26130" builtinId="8" hidden="1"/>
    <cellStyle name="Lien hypertexte" xfId="26132" builtinId="8" hidden="1"/>
    <cellStyle name="Lien hypertexte" xfId="26134" builtinId="8" hidden="1"/>
    <cellStyle name="Lien hypertexte" xfId="26136" builtinId="8" hidden="1"/>
    <cellStyle name="Lien hypertexte" xfId="26138" builtinId="8" hidden="1"/>
    <cellStyle name="Lien hypertexte" xfId="26140" builtinId="8" hidden="1"/>
    <cellStyle name="Lien hypertexte" xfId="26142" builtinId="8" hidden="1"/>
    <cellStyle name="Lien hypertexte" xfId="26144" builtinId="8" hidden="1"/>
    <cellStyle name="Lien hypertexte" xfId="26146" builtinId="8" hidden="1"/>
    <cellStyle name="Lien hypertexte" xfId="26148" builtinId="8" hidden="1"/>
    <cellStyle name="Lien hypertexte" xfId="26150" builtinId="8" hidden="1"/>
    <cellStyle name="Lien hypertexte" xfId="26152" builtinId="8" hidden="1"/>
    <cellStyle name="Lien hypertexte" xfId="26154" builtinId="8" hidden="1"/>
    <cellStyle name="Lien hypertexte" xfId="26156" builtinId="8" hidden="1"/>
    <cellStyle name="Lien hypertexte" xfId="26158" builtinId="8" hidden="1"/>
    <cellStyle name="Lien hypertexte" xfId="26160" builtinId="8" hidden="1"/>
    <cellStyle name="Lien hypertexte" xfId="26162" builtinId="8" hidden="1"/>
    <cellStyle name="Lien hypertexte" xfId="26164" builtinId="8" hidden="1"/>
    <cellStyle name="Lien hypertexte" xfId="26166" builtinId="8" hidden="1"/>
    <cellStyle name="Lien hypertexte" xfId="26168" builtinId="8" hidden="1"/>
    <cellStyle name="Lien hypertexte" xfId="26170" builtinId="8" hidden="1"/>
    <cellStyle name="Lien hypertexte" xfId="26172" builtinId="8" hidden="1"/>
    <cellStyle name="Lien hypertexte" xfId="26174" builtinId="8" hidden="1"/>
    <cellStyle name="Lien hypertexte" xfId="26176" builtinId="8" hidden="1"/>
    <cellStyle name="Lien hypertexte" xfId="26178" builtinId="8" hidden="1"/>
    <cellStyle name="Lien hypertexte" xfId="26180" builtinId="8" hidden="1"/>
    <cellStyle name="Lien hypertexte" xfId="26182" builtinId="8" hidden="1"/>
    <cellStyle name="Lien hypertexte" xfId="26184" builtinId="8" hidden="1"/>
    <cellStyle name="Lien hypertexte" xfId="26186" builtinId="8" hidden="1"/>
    <cellStyle name="Lien hypertexte" xfId="26188" builtinId="8" hidden="1"/>
    <cellStyle name="Lien hypertexte" xfId="26190" builtinId="8" hidden="1"/>
    <cellStyle name="Lien hypertexte" xfId="26192" builtinId="8" hidden="1"/>
    <cellStyle name="Lien hypertexte" xfId="26194" builtinId="8" hidden="1"/>
    <cellStyle name="Lien hypertexte" xfId="26196" builtinId="8" hidden="1"/>
    <cellStyle name="Lien hypertexte" xfId="26198" builtinId="8" hidden="1"/>
    <cellStyle name="Lien hypertexte" xfId="26200" builtinId="8" hidden="1"/>
    <cellStyle name="Lien hypertexte" xfId="26202" builtinId="8" hidden="1"/>
    <cellStyle name="Lien hypertexte" xfId="26204" builtinId="8" hidden="1"/>
    <cellStyle name="Lien hypertexte" xfId="26206" builtinId="8" hidden="1"/>
    <cellStyle name="Lien hypertexte" xfId="26208" builtinId="8" hidden="1"/>
    <cellStyle name="Lien hypertexte" xfId="26210" builtinId="8" hidden="1"/>
    <cellStyle name="Lien hypertexte" xfId="26212" builtinId="8" hidden="1"/>
    <cellStyle name="Lien hypertexte" xfId="26214" builtinId="8" hidden="1"/>
    <cellStyle name="Lien hypertexte" xfId="26216" builtinId="8" hidden="1"/>
    <cellStyle name="Lien hypertexte" xfId="26218" builtinId="8" hidden="1"/>
    <cellStyle name="Lien hypertexte" xfId="26220" builtinId="8" hidden="1"/>
    <cellStyle name="Lien hypertexte" xfId="26222" builtinId="8" hidden="1"/>
    <cellStyle name="Lien hypertexte" xfId="26224" builtinId="8" hidden="1"/>
    <cellStyle name="Lien hypertexte" xfId="26226" builtinId="8" hidden="1"/>
    <cellStyle name="Lien hypertexte" xfId="26228" builtinId="8" hidden="1"/>
    <cellStyle name="Lien hypertexte" xfId="26230" builtinId="8" hidden="1"/>
    <cellStyle name="Lien hypertexte" xfId="26232" builtinId="8" hidden="1"/>
    <cellStyle name="Lien hypertexte" xfId="26234" builtinId="8" hidden="1"/>
    <cellStyle name="Lien hypertexte" xfId="26236" builtinId="8" hidden="1"/>
    <cellStyle name="Lien hypertexte" xfId="26238" builtinId="8" hidden="1"/>
    <cellStyle name="Lien hypertexte" xfId="26240" builtinId="8" hidden="1"/>
    <cellStyle name="Lien hypertexte" xfId="26242" builtinId="8" hidden="1"/>
    <cellStyle name="Lien hypertexte" xfId="26244" builtinId="8" hidden="1"/>
    <cellStyle name="Lien hypertexte" xfId="26246" builtinId="8" hidden="1"/>
    <cellStyle name="Lien hypertexte" xfId="26248" builtinId="8" hidden="1"/>
    <cellStyle name="Lien hypertexte" xfId="26250" builtinId="8" hidden="1"/>
    <cellStyle name="Lien hypertexte" xfId="26252" builtinId="8" hidden="1"/>
    <cellStyle name="Lien hypertexte" xfId="26254" builtinId="8" hidden="1"/>
    <cellStyle name="Lien hypertexte" xfId="26256" builtinId="8" hidden="1"/>
    <cellStyle name="Lien hypertexte" xfId="26258" builtinId="8" hidden="1"/>
    <cellStyle name="Lien hypertexte" xfId="26260" builtinId="8" hidden="1"/>
    <cellStyle name="Lien hypertexte" xfId="26262" builtinId="8" hidden="1"/>
    <cellStyle name="Lien hypertexte" xfId="26264" builtinId="8" hidden="1"/>
    <cellStyle name="Lien hypertexte" xfId="26266" builtinId="8" hidden="1"/>
    <cellStyle name="Lien hypertexte" xfId="26268" builtinId="8" hidden="1"/>
    <cellStyle name="Lien hypertexte" xfId="26270" builtinId="8" hidden="1"/>
    <cellStyle name="Lien hypertexte" xfId="26272" builtinId="8" hidden="1"/>
    <cellStyle name="Lien hypertexte" xfId="26274" builtinId="8" hidden="1"/>
    <cellStyle name="Lien hypertexte" xfId="26276" builtinId="8" hidden="1"/>
    <cellStyle name="Lien hypertexte" xfId="26278" builtinId="8" hidden="1"/>
    <cellStyle name="Lien hypertexte" xfId="26280" builtinId="8" hidden="1"/>
    <cellStyle name="Lien hypertexte" xfId="26282" builtinId="8" hidden="1"/>
    <cellStyle name="Lien hypertexte" xfId="26284" builtinId="8" hidden="1"/>
    <cellStyle name="Lien hypertexte" xfId="26286" builtinId="8" hidden="1"/>
    <cellStyle name="Lien hypertexte" xfId="26288" builtinId="8" hidden="1"/>
    <cellStyle name="Lien hypertexte" xfId="26290" builtinId="8" hidden="1"/>
    <cellStyle name="Lien hypertexte" xfId="26292" builtinId="8" hidden="1"/>
    <cellStyle name="Lien hypertexte" xfId="26294" builtinId="8" hidden="1"/>
    <cellStyle name="Lien hypertexte" xfId="26296" builtinId="8" hidden="1"/>
    <cellStyle name="Lien hypertexte" xfId="26298" builtinId="8" hidden="1"/>
    <cellStyle name="Lien hypertexte" xfId="26300" builtinId="8" hidden="1"/>
    <cellStyle name="Lien hypertexte" xfId="26302" builtinId="8" hidden="1"/>
    <cellStyle name="Lien hypertexte" xfId="26304" builtinId="8" hidden="1"/>
    <cellStyle name="Lien hypertexte" xfId="26306" builtinId="8" hidden="1"/>
    <cellStyle name="Lien hypertexte" xfId="26308" builtinId="8" hidden="1"/>
    <cellStyle name="Lien hypertexte" xfId="26310" builtinId="8" hidden="1"/>
    <cellStyle name="Lien hypertexte" xfId="26312" builtinId="8" hidden="1"/>
    <cellStyle name="Lien hypertexte" xfId="26314" builtinId="8" hidden="1"/>
    <cellStyle name="Lien hypertexte" xfId="26316" builtinId="8" hidden="1"/>
    <cellStyle name="Lien hypertexte" xfId="26318" builtinId="8" hidden="1"/>
    <cellStyle name="Lien hypertexte" xfId="26320" builtinId="8" hidden="1"/>
    <cellStyle name="Lien hypertexte" xfId="26322" builtinId="8" hidden="1"/>
    <cellStyle name="Lien hypertexte" xfId="26324" builtinId="8" hidden="1"/>
    <cellStyle name="Lien hypertexte" xfId="26326" builtinId="8" hidden="1"/>
    <cellStyle name="Lien hypertexte" xfId="26328" builtinId="8" hidden="1"/>
    <cellStyle name="Lien hypertexte" xfId="26330" builtinId="8" hidden="1"/>
    <cellStyle name="Lien hypertexte" xfId="26332" builtinId="8" hidden="1"/>
    <cellStyle name="Lien hypertexte" xfId="26334" builtinId="8" hidden="1"/>
    <cellStyle name="Lien hypertexte" xfId="26336" builtinId="8" hidden="1"/>
    <cellStyle name="Lien hypertexte" xfId="26338" builtinId="8" hidden="1"/>
    <cellStyle name="Lien hypertexte" xfId="26340" builtinId="8" hidden="1"/>
    <cellStyle name="Lien hypertexte" xfId="26342" builtinId="8" hidden="1"/>
    <cellStyle name="Lien hypertexte" xfId="26344" builtinId="8" hidden="1"/>
    <cellStyle name="Lien hypertexte" xfId="26346" builtinId="8" hidden="1"/>
    <cellStyle name="Lien hypertexte" xfId="26348" builtinId="8" hidden="1"/>
    <cellStyle name="Lien hypertexte" xfId="26350" builtinId="8" hidden="1"/>
    <cellStyle name="Lien hypertexte" xfId="26352" builtinId="8" hidden="1"/>
    <cellStyle name="Lien hypertexte" xfId="26354" builtinId="8" hidden="1"/>
    <cellStyle name="Lien hypertexte" xfId="26356" builtinId="8" hidden="1"/>
    <cellStyle name="Lien hypertexte" xfId="26358" builtinId="8" hidden="1"/>
    <cellStyle name="Lien hypertexte" xfId="26360" builtinId="8" hidden="1"/>
    <cellStyle name="Lien hypertexte" xfId="26362" builtinId="8" hidden="1"/>
    <cellStyle name="Lien hypertexte" xfId="26364" builtinId="8" hidden="1"/>
    <cellStyle name="Lien hypertexte" xfId="26366" builtinId="8" hidden="1"/>
    <cellStyle name="Lien hypertexte" xfId="26368" builtinId="8" hidden="1"/>
    <cellStyle name="Lien hypertexte" xfId="26370" builtinId="8" hidden="1"/>
    <cellStyle name="Lien hypertexte" xfId="26372" builtinId="8" hidden="1"/>
    <cellStyle name="Lien hypertexte" xfId="26374" builtinId="8" hidden="1"/>
    <cellStyle name="Lien hypertexte" xfId="26376" builtinId="8" hidden="1"/>
    <cellStyle name="Lien hypertexte" xfId="26378" builtinId="8" hidden="1"/>
    <cellStyle name="Lien hypertexte" xfId="26380" builtinId="8" hidden="1"/>
    <cellStyle name="Lien hypertexte" xfId="26382" builtinId="8" hidden="1"/>
    <cellStyle name="Lien hypertexte" xfId="26384" builtinId="8" hidden="1"/>
    <cellStyle name="Lien hypertexte" xfId="26386" builtinId="8" hidden="1"/>
    <cellStyle name="Lien hypertexte" xfId="26388" builtinId="8" hidden="1"/>
    <cellStyle name="Lien hypertexte" xfId="26390" builtinId="8" hidden="1"/>
    <cellStyle name="Lien hypertexte" xfId="26392" builtinId="8" hidden="1"/>
    <cellStyle name="Lien hypertexte" xfId="26394" builtinId="8" hidden="1"/>
    <cellStyle name="Lien hypertexte" xfId="26396" builtinId="8" hidden="1"/>
    <cellStyle name="Lien hypertexte" xfId="26398" builtinId="8" hidden="1"/>
    <cellStyle name="Lien hypertexte" xfId="26400" builtinId="8" hidden="1"/>
    <cellStyle name="Lien hypertexte" xfId="26402" builtinId="8" hidden="1"/>
    <cellStyle name="Lien hypertexte" xfId="26404" builtinId="8" hidden="1"/>
    <cellStyle name="Lien hypertexte" xfId="26406" builtinId="8" hidden="1"/>
    <cellStyle name="Lien hypertexte" xfId="26408" builtinId="8" hidden="1"/>
    <cellStyle name="Lien hypertexte" xfId="26410" builtinId="8" hidden="1"/>
    <cellStyle name="Lien hypertexte" xfId="26412" builtinId="8" hidden="1"/>
    <cellStyle name="Lien hypertexte" xfId="26414" builtinId="8" hidden="1"/>
    <cellStyle name="Lien hypertexte" xfId="26416" builtinId="8" hidden="1"/>
    <cellStyle name="Lien hypertexte" xfId="26418" builtinId="8" hidden="1"/>
    <cellStyle name="Lien hypertexte" xfId="26420" builtinId="8" hidden="1"/>
    <cellStyle name="Lien hypertexte" xfId="26422" builtinId="8" hidden="1"/>
    <cellStyle name="Lien hypertexte" xfId="26424" builtinId="8" hidden="1"/>
    <cellStyle name="Lien hypertexte" xfId="26426" builtinId="8" hidden="1"/>
    <cellStyle name="Lien hypertexte" xfId="26428" builtinId="8" hidden="1"/>
    <cellStyle name="Lien hypertexte" xfId="26430" builtinId="8" hidden="1"/>
    <cellStyle name="Lien hypertexte" xfId="26432" builtinId="8" hidden="1"/>
    <cellStyle name="Lien hypertexte" xfId="26434" builtinId="8" hidden="1"/>
    <cellStyle name="Lien hypertexte" xfId="26436" builtinId="8" hidden="1"/>
    <cellStyle name="Lien hypertexte" xfId="26438" builtinId="8" hidden="1"/>
    <cellStyle name="Lien hypertexte" xfId="26440" builtinId="8" hidden="1"/>
    <cellStyle name="Lien hypertexte" xfId="26442" builtinId="8" hidden="1"/>
    <cellStyle name="Lien hypertexte" xfId="26444" builtinId="8" hidden="1"/>
    <cellStyle name="Lien hypertexte" xfId="26446" builtinId="8" hidden="1"/>
    <cellStyle name="Lien hypertexte" xfId="26448" builtinId="8" hidden="1"/>
    <cellStyle name="Lien hypertexte" xfId="26450" builtinId="8" hidden="1"/>
    <cellStyle name="Lien hypertexte" xfId="26452" builtinId="8" hidden="1"/>
    <cellStyle name="Lien hypertexte" xfId="26454" builtinId="8" hidden="1"/>
    <cellStyle name="Lien hypertexte" xfId="26456" builtinId="8" hidden="1"/>
    <cellStyle name="Lien hypertexte" xfId="26458" builtinId="8" hidden="1"/>
    <cellStyle name="Lien hypertexte" xfId="26460" builtinId="8" hidden="1"/>
    <cellStyle name="Lien hypertexte" xfId="26462" builtinId="8" hidden="1"/>
    <cellStyle name="Lien hypertexte" xfId="26464" builtinId="8" hidden="1"/>
    <cellStyle name="Lien hypertexte" xfId="26466" builtinId="8" hidden="1"/>
    <cellStyle name="Lien hypertexte" xfId="26468" builtinId="8" hidden="1"/>
    <cellStyle name="Lien hypertexte" xfId="26470" builtinId="8" hidden="1"/>
    <cellStyle name="Lien hypertexte" xfId="26472" builtinId="8" hidden="1"/>
    <cellStyle name="Lien hypertexte" xfId="26474" builtinId="8" hidden="1"/>
    <cellStyle name="Lien hypertexte" xfId="26476" builtinId="8" hidden="1"/>
    <cellStyle name="Lien hypertexte" xfId="26478" builtinId="8" hidden="1"/>
    <cellStyle name="Lien hypertexte" xfId="26480" builtinId="8" hidden="1"/>
    <cellStyle name="Lien hypertexte" xfId="26482" builtinId="8" hidden="1"/>
    <cellStyle name="Lien hypertexte" xfId="26484" builtinId="8" hidden="1"/>
    <cellStyle name="Lien hypertexte" xfId="26486" builtinId="8" hidden="1"/>
    <cellStyle name="Lien hypertexte" xfId="26488" builtinId="8" hidden="1"/>
    <cellStyle name="Lien hypertexte" xfId="26490" builtinId="8" hidden="1"/>
    <cellStyle name="Lien hypertexte" xfId="26492" builtinId="8" hidden="1"/>
    <cellStyle name="Lien hypertexte" xfId="26494" builtinId="8" hidden="1"/>
    <cellStyle name="Lien hypertexte" xfId="26496" builtinId="8" hidden="1"/>
    <cellStyle name="Lien hypertexte" xfId="26498" builtinId="8" hidden="1"/>
    <cellStyle name="Lien hypertexte" xfId="26500" builtinId="8" hidden="1"/>
    <cellStyle name="Lien hypertexte" xfId="26502" builtinId="8" hidden="1"/>
    <cellStyle name="Lien hypertexte" xfId="26504" builtinId="8" hidden="1"/>
    <cellStyle name="Lien hypertexte" xfId="26506" builtinId="8" hidden="1"/>
    <cellStyle name="Lien hypertexte" xfId="26508" builtinId="8" hidden="1"/>
    <cellStyle name="Lien hypertexte" xfId="26510" builtinId="8" hidden="1"/>
    <cellStyle name="Lien hypertexte" xfId="26512" builtinId="8" hidden="1"/>
    <cellStyle name="Lien hypertexte" xfId="26514" builtinId="8" hidden="1"/>
    <cellStyle name="Lien hypertexte" xfId="26516" builtinId="8" hidden="1"/>
    <cellStyle name="Lien hypertexte" xfId="26518" builtinId="8" hidden="1"/>
    <cellStyle name="Lien hypertexte" xfId="26520" builtinId="8" hidden="1"/>
    <cellStyle name="Lien hypertexte" xfId="26522" builtinId="8" hidden="1"/>
    <cellStyle name="Lien hypertexte" xfId="26524" builtinId="8" hidden="1"/>
    <cellStyle name="Lien hypertexte" xfId="26526" builtinId="8" hidden="1"/>
    <cellStyle name="Lien hypertexte" xfId="26528" builtinId="8" hidden="1"/>
    <cellStyle name="Lien hypertexte" xfId="26530" builtinId="8" hidden="1"/>
    <cellStyle name="Lien hypertexte" xfId="26532" builtinId="8" hidden="1"/>
    <cellStyle name="Lien hypertexte" xfId="26534" builtinId="8" hidden="1"/>
    <cellStyle name="Lien hypertexte" xfId="26536" builtinId="8" hidden="1"/>
    <cellStyle name="Lien hypertexte" xfId="26538" builtinId="8" hidden="1"/>
    <cellStyle name="Lien hypertexte" xfId="26540" builtinId="8" hidden="1"/>
    <cellStyle name="Lien hypertexte" xfId="26542" builtinId="8" hidden="1"/>
    <cellStyle name="Lien hypertexte" xfId="26544" builtinId="8" hidden="1"/>
    <cellStyle name="Lien hypertexte" xfId="26546" builtinId="8" hidden="1"/>
    <cellStyle name="Lien hypertexte" xfId="26548" builtinId="8" hidden="1"/>
    <cellStyle name="Lien hypertexte" xfId="26550" builtinId="8" hidden="1"/>
    <cellStyle name="Lien hypertexte" xfId="26552" builtinId="8" hidden="1"/>
    <cellStyle name="Lien hypertexte" xfId="26554" builtinId="8" hidden="1"/>
    <cellStyle name="Lien hypertexte" xfId="26556" builtinId="8" hidden="1"/>
    <cellStyle name="Lien hypertexte" xfId="26558" builtinId="8" hidden="1"/>
    <cellStyle name="Lien hypertexte" xfId="26560" builtinId="8" hidden="1"/>
    <cellStyle name="Lien hypertexte" xfId="26562" builtinId="8" hidden="1"/>
    <cellStyle name="Lien hypertexte" xfId="26564" builtinId="8" hidden="1"/>
    <cellStyle name="Lien hypertexte" xfId="26566" builtinId="8" hidden="1"/>
    <cellStyle name="Lien hypertexte" xfId="26568" builtinId="8" hidden="1"/>
    <cellStyle name="Lien hypertexte" xfId="26570" builtinId="8" hidden="1"/>
    <cellStyle name="Lien hypertexte" xfId="26572" builtinId="8" hidden="1"/>
    <cellStyle name="Lien hypertexte" xfId="26574" builtinId="8" hidden="1"/>
    <cellStyle name="Lien hypertexte" xfId="26576" builtinId="8" hidden="1"/>
    <cellStyle name="Lien hypertexte" xfId="26578" builtinId="8" hidden="1"/>
    <cellStyle name="Lien hypertexte" xfId="26580" builtinId="8" hidden="1"/>
    <cellStyle name="Lien hypertexte" xfId="26582" builtinId="8" hidden="1"/>
    <cellStyle name="Lien hypertexte" xfId="26584" builtinId="8" hidden="1"/>
    <cellStyle name="Lien hypertexte" xfId="26586" builtinId="8" hidden="1"/>
    <cellStyle name="Lien hypertexte" xfId="26588" builtinId="8" hidden="1"/>
    <cellStyle name="Lien hypertexte" xfId="26590" builtinId="8" hidden="1"/>
    <cellStyle name="Lien hypertexte" xfId="26592" builtinId="8" hidden="1"/>
    <cellStyle name="Lien hypertexte" xfId="26594" builtinId="8" hidden="1"/>
    <cellStyle name="Lien hypertexte" xfId="26596" builtinId="8" hidden="1"/>
    <cellStyle name="Lien hypertexte" xfId="26598" builtinId="8" hidden="1"/>
    <cellStyle name="Lien hypertexte" xfId="26600" builtinId="8" hidden="1"/>
    <cellStyle name="Lien hypertexte" xfId="26602" builtinId="8" hidden="1"/>
    <cellStyle name="Lien hypertexte" xfId="26604" builtinId="8" hidden="1"/>
    <cellStyle name="Lien hypertexte" xfId="26606" builtinId="8" hidden="1"/>
    <cellStyle name="Lien hypertexte" xfId="26608" builtinId="8" hidden="1"/>
    <cellStyle name="Lien hypertexte" xfId="26610" builtinId="8" hidden="1"/>
    <cellStyle name="Lien hypertexte" xfId="26612" builtinId="8" hidden="1"/>
    <cellStyle name="Lien hypertexte" xfId="26614" builtinId="8" hidden="1"/>
    <cellStyle name="Lien hypertexte" xfId="26616" builtinId="8" hidden="1"/>
    <cellStyle name="Lien hypertexte" xfId="26618" builtinId="8" hidden="1"/>
    <cellStyle name="Lien hypertexte" xfId="26620" builtinId="8" hidden="1"/>
    <cellStyle name="Lien hypertexte" xfId="26622" builtinId="8" hidden="1"/>
    <cellStyle name="Lien hypertexte" xfId="26624" builtinId="8" hidden="1"/>
    <cellStyle name="Lien hypertexte" xfId="26626" builtinId="8" hidden="1"/>
    <cellStyle name="Lien hypertexte" xfId="26628" builtinId="8" hidden="1"/>
    <cellStyle name="Lien hypertexte" xfId="26630" builtinId="8" hidden="1"/>
    <cellStyle name="Lien hypertexte" xfId="26632" builtinId="8" hidden="1"/>
    <cellStyle name="Lien hypertexte" xfId="26634" builtinId="8" hidden="1"/>
    <cellStyle name="Lien hypertexte" xfId="26636" builtinId="8" hidden="1"/>
    <cellStyle name="Lien hypertexte" xfId="26638" builtinId="8" hidden="1"/>
    <cellStyle name="Lien hypertexte" xfId="26640" builtinId="8" hidden="1"/>
    <cellStyle name="Lien hypertexte" xfId="26642" builtinId="8" hidden="1"/>
    <cellStyle name="Lien hypertexte" xfId="26644" builtinId="8" hidden="1"/>
    <cellStyle name="Lien hypertexte" xfId="26646" builtinId="8" hidden="1"/>
    <cellStyle name="Lien hypertexte" xfId="26648" builtinId="8" hidden="1"/>
    <cellStyle name="Lien hypertexte" xfId="26650" builtinId="8" hidden="1"/>
    <cellStyle name="Lien hypertexte" xfId="26652" builtinId="8" hidden="1"/>
    <cellStyle name="Lien hypertexte" xfId="26654" builtinId="8" hidden="1"/>
    <cellStyle name="Lien hypertexte" xfId="26656" builtinId="8" hidden="1"/>
    <cellStyle name="Lien hypertexte" xfId="26658" builtinId="8" hidden="1"/>
    <cellStyle name="Lien hypertexte" xfId="26660" builtinId="8" hidden="1"/>
    <cellStyle name="Lien hypertexte" xfId="26662" builtinId="8" hidden="1"/>
    <cellStyle name="Lien hypertexte" xfId="26664" builtinId="8" hidden="1"/>
    <cellStyle name="Lien hypertexte" xfId="26666" builtinId="8" hidden="1"/>
    <cellStyle name="Lien hypertexte" xfId="26668" builtinId="8" hidden="1"/>
    <cellStyle name="Lien hypertexte" xfId="26670" builtinId="8" hidden="1"/>
    <cellStyle name="Lien hypertexte" xfId="26672" builtinId="8" hidden="1"/>
    <cellStyle name="Lien hypertexte" xfId="26674" builtinId="8" hidden="1"/>
    <cellStyle name="Lien hypertexte" xfId="26676" builtinId="8" hidden="1"/>
    <cellStyle name="Lien hypertexte" xfId="26678" builtinId="8" hidden="1"/>
    <cellStyle name="Lien hypertexte" xfId="26680" builtinId="8" hidden="1"/>
    <cellStyle name="Lien hypertexte" xfId="26682" builtinId="8" hidden="1"/>
    <cellStyle name="Lien hypertexte" xfId="26684" builtinId="8" hidden="1"/>
    <cellStyle name="Lien hypertexte" xfId="26686" builtinId="8" hidden="1"/>
    <cellStyle name="Lien hypertexte" xfId="26688" builtinId="8" hidden="1"/>
    <cellStyle name="Lien hypertexte" xfId="26690" builtinId="8" hidden="1"/>
    <cellStyle name="Lien hypertexte" xfId="26692" builtinId="8" hidden="1"/>
    <cellStyle name="Lien hypertexte" xfId="26694" builtinId="8" hidden="1"/>
    <cellStyle name="Lien hypertexte" xfId="26696" builtinId="8" hidden="1"/>
    <cellStyle name="Lien hypertexte" xfId="26698" builtinId="8" hidden="1"/>
    <cellStyle name="Lien hypertexte" xfId="26700" builtinId="8" hidden="1"/>
    <cellStyle name="Lien hypertexte" xfId="26702" builtinId="8" hidden="1"/>
    <cellStyle name="Lien hypertexte" xfId="26704" builtinId="8" hidden="1"/>
    <cellStyle name="Lien hypertexte" xfId="26706" builtinId="8" hidden="1"/>
    <cellStyle name="Lien hypertexte" xfId="26708" builtinId="8" hidden="1"/>
    <cellStyle name="Lien hypertexte" xfId="26710" builtinId="8" hidden="1"/>
    <cellStyle name="Lien hypertexte" xfId="26712" builtinId="8" hidden="1"/>
    <cellStyle name="Lien hypertexte" xfId="26714" builtinId="8" hidden="1"/>
    <cellStyle name="Lien hypertexte" xfId="26716" builtinId="8" hidden="1"/>
    <cellStyle name="Lien hypertexte" xfId="26718" builtinId="8" hidden="1"/>
    <cellStyle name="Lien hypertexte" xfId="26720" builtinId="8" hidden="1"/>
    <cellStyle name="Lien hypertexte" xfId="26722" builtinId="8" hidden="1"/>
    <cellStyle name="Lien hypertexte" xfId="26724" builtinId="8" hidden="1"/>
    <cellStyle name="Lien hypertexte" xfId="26726" builtinId="8" hidden="1"/>
    <cellStyle name="Lien hypertexte" xfId="26728" builtinId="8" hidden="1"/>
    <cellStyle name="Lien hypertexte" xfId="26730" builtinId="8" hidden="1"/>
    <cellStyle name="Lien hypertexte" xfId="26732" builtinId="8" hidden="1"/>
    <cellStyle name="Lien hypertexte" xfId="26734" builtinId="8" hidden="1"/>
    <cellStyle name="Lien hypertexte" xfId="26736" builtinId="8" hidden="1"/>
    <cellStyle name="Lien hypertexte" xfId="26738" builtinId="8" hidden="1"/>
    <cellStyle name="Lien hypertexte" xfId="26740" builtinId="8" hidden="1"/>
    <cellStyle name="Lien hypertexte" xfId="26742" builtinId="8" hidden="1"/>
    <cellStyle name="Lien hypertexte" xfId="26744" builtinId="8" hidden="1"/>
    <cellStyle name="Lien hypertexte" xfId="26746" builtinId="8" hidden="1"/>
    <cellStyle name="Lien hypertexte" xfId="26748" builtinId="8" hidden="1"/>
    <cellStyle name="Lien hypertexte" xfId="26750" builtinId="8" hidden="1"/>
    <cellStyle name="Lien hypertexte" xfId="26752" builtinId="8" hidden="1"/>
    <cellStyle name="Lien hypertexte" xfId="26754" builtinId="8" hidden="1"/>
    <cellStyle name="Lien hypertexte" xfId="26756" builtinId="8" hidden="1"/>
    <cellStyle name="Lien hypertexte" xfId="26758" builtinId="8" hidden="1"/>
    <cellStyle name="Lien hypertexte" xfId="26760" builtinId="8" hidden="1"/>
    <cellStyle name="Lien hypertexte" xfId="26762" builtinId="8" hidden="1"/>
    <cellStyle name="Lien hypertexte" xfId="26764" builtinId="8" hidden="1"/>
    <cellStyle name="Lien hypertexte" xfId="26766" builtinId="8" hidden="1"/>
    <cellStyle name="Lien hypertexte" xfId="26768" builtinId="8" hidden="1"/>
    <cellStyle name="Lien hypertexte" xfId="26770" builtinId="8" hidden="1"/>
    <cellStyle name="Lien hypertexte" xfId="26772" builtinId="8" hidden="1"/>
    <cellStyle name="Lien hypertexte" xfId="26774" builtinId="8" hidden="1"/>
    <cellStyle name="Lien hypertexte" xfId="26776" builtinId="8" hidden="1"/>
    <cellStyle name="Lien hypertexte" xfId="26778" builtinId="8" hidden="1"/>
    <cellStyle name="Lien hypertexte" xfId="26780" builtinId="8" hidden="1"/>
    <cellStyle name="Lien hypertexte" xfId="26782" builtinId="8" hidden="1"/>
    <cellStyle name="Lien hypertexte" xfId="26784" builtinId="8" hidden="1"/>
    <cellStyle name="Lien hypertexte" xfId="26786" builtinId="8" hidden="1"/>
    <cellStyle name="Lien hypertexte" xfId="26788" builtinId="8" hidden="1"/>
    <cellStyle name="Lien hypertexte" xfId="26790" builtinId="8" hidden="1"/>
    <cellStyle name="Lien hypertexte" xfId="26792" builtinId="8" hidden="1"/>
    <cellStyle name="Lien hypertexte" xfId="26794" builtinId="8" hidden="1"/>
    <cellStyle name="Lien hypertexte" xfId="26796" builtinId="8" hidden="1"/>
    <cellStyle name="Lien hypertexte" xfId="26798" builtinId="8" hidden="1"/>
    <cellStyle name="Lien hypertexte" xfId="26800" builtinId="8" hidden="1"/>
    <cellStyle name="Lien hypertexte" xfId="26802" builtinId="8" hidden="1"/>
    <cellStyle name="Lien hypertexte" xfId="26804" builtinId="8" hidden="1"/>
    <cellStyle name="Lien hypertexte" xfId="26806" builtinId="8" hidden="1"/>
    <cellStyle name="Lien hypertexte" xfId="26808" builtinId="8" hidden="1"/>
    <cellStyle name="Lien hypertexte" xfId="26810" builtinId="8" hidden="1"/>
    <cellStyle name="Lien hypertexte" xfId="26812" builtinId="8" hidden="1"/>
    <cellStyle name="Lien hypertexte" xfId="26814" builtinId="8" hidden="1"/>
    <cellStyle name="Lien hypertexte" xfId="26816" builtinId="8" hidden="1"/>
    <cellStyle name="Lien hypertexte" xfId="26818" builtinId="8" hidden="1"/>
    <cellStyle name="Lien hypertexte" xfId="26820" builtinId="8" hidden="1"/>
    <cellStyle name="Lien hypertexte" xfId="26822" builtinId="8" hidden="1"/>
    <cellStyle name="Lien hypertexte" xfId="26824" builtinId="8" hidden="1"/>
    <cellStyle name="Lien hypertexte" xfId="26826" builtinId="8" hidden="1"/>
    <cellStyle name="Lien hypertexte" xfId="26828" builtinId="8" hidden="1"/>
    <cellStyle name="Lien hypertexte" xfId="26830" builtinId="8" hidden="1"/>
    <cellStyle name="Lien hypertexte" xfId="26832" builtinId="8" hidden="1"/>
    <cellStyle name="Lien hypertexte" xfId="26834" builtinId="8" hidden="1"/>
    <cellStyle name="Lien hypertexte" xfId="26836" builtinId="8" hidden="1"/>
    <cellStyle name="Lien hypertexte" xfId="26838" builtinId="8" hidden="1"/>
    <cellStyle name="Lien hypertexte" xfId="26840" builtinId="8" hidden="1"/>
    <cellStyle name="Lien hypertexte" xfId="26842" builtinId="8" hidden="1"/>
    <cellStyle name="Lien hypertexte" xfId="26844" builtinId="8" hidden="1"/>
    <cellStyle name="Lien hypertexte" xfId="26846" builtinId="8" hidden="1"/>
    <cellStyle name="Lien hypertexte" xfId="26848" builtinId="8" hidden="1"/>
    <cellStyle name="Lien hypertexte" xfId="26850" builtinId="8" hidden="1"/>
    <cellStyle name="Lien hypertexte" xfId="26852" builtinId="8" hidden="1"/>
    <cellStyle name="Lien hypertexte" xfId="26854" builtinId="8" hidden="1"/>
    <cellStyle name="Lien hypertexte" xfId="26856" builtinId="8" hidden="1"/>
    <cellStyle name="Lien hypertexte" xfId="26858" builtinId="8" hidden="1"/>
    <cellStyle name="Lien hypertexte" xfId="26860" builtinId="8" hidden="1"/>
    <cellStyle name="Lien hypertexte" xfId="26862" builtinId="8" hidden="1"/>
    <cellStyle name="Lien hypertexte" xfId="26864" builtinId="8" hidden="1"/>
    <cellStyle name="Lien hypertexte" xfId="26866" builtinId="8" hidden="1"/>
    <cellStyle name="Lien hypertexte" xfId="26868" builtinId="8" hidden="1"/>
    <cellStyle name="Lien hypertexte" xfId="26870" builtinId="8" hidden="1"/>
    <cellStyle name="Lien hypertexte" xfId="26872" builtinId="8" hidden="1"/>
    <cellStyle name="Lien hypertexte" xfId="26874" builtinId="8" hidden="1"/>
    <cellStyle name="Lien hypertexte" xfId="26876" builtinId="8" hidden="1"/>
    <cellStyle name="Lien hypertexte" xfId="26878" builtinId="8" hidden="1"/>
    <cellStyle name="Lien hypertexte" xfId="26880" builtinId="8" hidden="1"/>
    <cellStyle name="Lien hypertexte" xfId="26882" builtinId="8" hidden="1"/>
    <cellStyle name="Lien hypertexte" xfId="26884" builtinId="8" hidden="1"/>
    <cellStyle name="Lien hypertexte" xfId="26886" builtinId="8" hidden="1"/>
    <cellStyle name="Lien hypertexte" xfId="26888" builtinId="8" hidden="1"/>
    <cellStyle name="Lien hypertexte" xfId="26890" builtinId="8" hidden="1"/>
    <cellStyle name="Lien hypertexte" xfId="26892" builtinId="8" hidden="1"/>
    <cellStyle name="Lien hypertexte" xfId="26894" builtinId="8" hidden="1"/>
    <cellStyle name="Lien hypertexte" xfId="26896" builtinId="8" hidden="1"/>
    <cellStyle name="Lien hypertexte" xfId="26898" builtinId="8" hidden="1"/>
    <cellStyle name="Lien hypertexte" xfId="26900" builtinId="8" hidden="1"/>
    <cellStyle name="Lien hypertexte" xfId="26902" builtinId="8" hidden="1"/>
    <cellStyle name="Lien hypertexte" xfId="26904" builtinId="8" hidden="1"/>
    <cellStyle name="Lien hypertexte" xfId="26906" builtinId="8" hidden="1"/>
    <cellStyle name="Lien hypertexte" xfId="26908" builtinId="8" hidden="1"/>
    <cellStyle name="Lien hypertexte" xfId="26910" builtinId="8" hidden="1"/>
    <cellStyle name="Lien hypertexte" xfId="26912" builtinId="8" hidden="1"/>
    <cellStyle name="Lien hypertexte" xfId="26914" builtinId="8" hidden="1"/>
    <cellStyle name="Lien hypertexte" xfId="26916" builtinId="8" hidden="1"/>
    <cellStyle name="Lien hypertexte" xfId="26918" builtinId="8" hidden="1"/>
    <cellStyle name="Lien hypertexte" xfId="26920" builtinId="8" hidden="1"/>
    <cellStyle name="Lien hypertexte" xfId="26922" builtinId="8" hidden="1"/>
    <cellStyle name="Lien hypertexte" xfId="26924" builtinId="8" hidden="1"/>
    <cellStyle name="Lien hypertexte" xfId="26926" builtinId="8" hidden="1"/>
    <cellStyle name="Lien hypertexte" xfId="26928" builtinId="8" hidden="1"/>
    <cellStyle name="Lien hypertexte" xfId="26930" builtinId="8" hidden="1"/>
    <cellStyle name="Lien hypertexte" xfId="26932" builtinId="8" hidden="1"/>
    <cellStyle name="Lien hypertexte" xfId="26934" builtinId="8" hidden="1"/>
    <cellStyle name="Lien hypertexte" xfId="26936" builtinId="8" hidden="1"/>
    <cellStyle name="Lien hypertexte" xfId="26938" builtinId="8" hidden="1"/>
    <cellStyle name="Lien hypertexte" xfId="26940" builtinId="8" hidden="1"/>
    <cellStyle name="Lien hypertexte" xfId="26942" builtinId="8" hidden="1"/>
    <cellStyle name="Lien hypertexte" xfId="26944" builtinId="8" hidden="1"/>
    <cellStyle name="Lien hypertexte" xfId="26946" builtinId="8" hidden="1"/>
    <cellStyle name="Lien hypertexte" xfId="26948" builtinId="8" hidden="1"/>
    <cellStyle name="Lien hypertexte" xfId="26950" builtinId="8" hidden="1"/>
    <cellStyle name="Lien hypertexte" xfId="26952" builtinId="8" hidden="1"/>
    <cellStyle name="Lien hypertexte" xfId="26954" builtinId="8" hidden="1"/>
    <cellStyle name="Lien hypertexte" xfId="26956" builtinId="8" hidden="1"/>
    <cellStyle name="Lien hypertexte" xfId="26958" builtinId="8" hidden="1"/>
    <cellStyle name="Lien hypertexte" xfId="26960" builtinId="8" hidden="1"/>
    <cellStyle name="Lien hypertexte" xfId="26962" builtinId="8" hidden="1"/>
    <cellStyle name="Lien hypertexte" xfId="26964" builtinId="8" hidden="1"/>
    <cellStyle name="Lien hypertexte" xfId="26966" builtinId="8" hidden="1"/>
    <cellStyle name="Lien hypertexte" xfId="26968" builtinId="8" hidden="1"/>
    <cellStyle name="Lien hypertexte" xfId="26970" builtinId="8" hidden="1"/>
    <cellStyle name="Lien hypertexte" xfId="26972" builtinId="8" hidden="1"/>
    <cellStyle name="Lien hypertexte" xfId="26974" builtinId="8" hidden="1"/>
    <cellStyle name="Lien hypertexte" xfId="26976" builtinId="8" hidden="1"/>
    <cellStyle name="Lien hypertexte" xfId="26978" builtinId="8" hidden="1"/>
    <cellStyle name="Lien hypertexte" xfId="26980" builtinId="8" hidden="1"/>
    <cellStyle name="Lien hypertexte" xfId="26982" builtinId="8" hidden="1"/>
    <cellStyle name="Lien hypertexte" xfId="26984" builtinId="8" hidden="1"/>
    <cellStyle name="Lien hypertexte" xfId="26986" builtinId="8" hidden="1"/>
    <cellStyle name="Lien hypertexte" xfId="26988" builtinId="8" hidden="1"/>
    <cellStyle name="Lien hypertexte" xfId="26990" builtinId="8" hidden="1"/>
    <cellStyle name="Lien hypertexte" xfId="26992" builtinId="8" hidden="1"/>
    <cellStyle name="Lien hypertexte" xfId="26994" builtinId="8" hidden="1"/>
    <cellStyle name="Lien hypertexte" xfId="26996" builtinId="8" hidden="1"/>
    <cellStyle name="Lien hypertexte" xfId="26998" builtinId="8" hidden="1"/>
    <cellStyle name="Lien hypertexte" xfId="27000" builtinId="8" hidden="1"/>
    <cellStyle name="Lien hypertexte" xfId="27002" builtinId="8" hidden="1"/>
    <cellStyle name="Lien hypertexte" xfId="27004" builtinId="8" hidden="1"/>
    <cellStyle name="Lien hypertexte" xfId="27006" builtinId="8" hidden="1"/>
    <cellStyle name="Lien hypertexte" xfId="27008" builtinId="8" hidden="1"/>
    <cellStyle name="Lien hypertexte" xfId="27010" builtinId="8" hidden="1"/>
    <cellStyle name="Lien hypertexte" xfId="27012" builtinId="8" hidden="1"/>
    <cellStyle name="Lien hypertexte" xfId="27014" builtinId="8" hidden="1"/>
    <cellStyle name="Lien hypertexte" xfId="27016" builtinId="8" hidden="1"/>
    <cellStyle name="Lien hypertexte" xfId="27018" builtinId="8" hidden="1"/>
    <cellStyle name="Lien hypertexte" xfId="27020" builtinId="8" hidden="1"/>
    <cellStyle name="Lien hypertexte" xfId="27022" builtinId="8" hidden="1"/>
    <cellStyle name="Lien hypertexte" xfId="27024" builtinId="8" hidden="1"/>
    <cellStyle name="Lien hypertexte" xfId="27026" builtinId="8" hidden="1"/>
    <cellStyle name="Lien hypertexte" xfId="27028" builtinId="8" hidden="1"/>
    <cellStyle name="Lien hypertexte" xfId="27030" builtinId="8" hidden="1"/>
    <cellStyle name="Lien hypertexte" xfId="27032" builtinId="8" hidden="1"/>
    <cellStyle name="Lien hypertexte" xfId="27034" builtinId="8" hidden="1"/>
    <cellStyle name="Lien hypertexte" xfId="27036" builtinId="8" hidden="1"/>
    <cellStyle name="Lien hypertexte" xfId="27038" builtinId="8" hidden="1"/>
    <cellStyle name="Lien hypertexte" xfId="27040" builtinId="8" hidden="1"/>
    <cellStyle name="Lien hypertexte" xfId="27042" builtinId="8" hidden="1"/>
    <cellStyle name="Lien hypertexte" xfId="27044" builtinId="8" hidden="1"/>
    <cellStyle name="Lien hypertexte" xfId="27046" builtinId="8" hidden="1"/>
    <cellStyle name="Lien hypertexte" xfId="27048" builtinId="8" hidden="1"/>
    <cellStyle name="Lien hypertexte" xfId="27050" builtinId="8" hidden="1"/>
    <cellStyle name="Lien hypertexte" xfId="27052" builtinId="8" hidden="1"/>
    <cellStyle name="Lien hypertexte" xfId="27054" builtinId="8" hidden="1"/>
    <cellStyle name="Lien hypertexte" xfId="27056" builtinId="8" hidden="1"/>
    <cellStyle name="Lien hypertexte" xfId="27058" builtinId="8" hidden="1"/>
    <cellStyle name="Lien hypertexte" xfId="27060" builtinId="8" hidden="1"/>
    <cellStyle name="Lien hypertexte" xfId="27062" builtinId="8" hidden="1"/>
    <cellStyle name="Lien hypertexte" xfId="27064" builtinId="8" hidden="1"/>
    <cellStyle name="Lien hypertexte" xfId="27066" builtinId="8" hidden="1"/>
    <cellStyle name="Lien hypertexte" xfId="27068" builtinId="8" hidden="1"/>
    <cellStyle name="Lien hypertexte" xfId="27070" builtinId="8" hidden="1"/>
    <cellStyle name="Lien hypertexte" xfId="27072" builtinId="8" hidden="1"/>
    <cellStyle name="Lien hypertexte" xfId="27074" builtinId="8" hidden="1"/>
    <cellStyle name="Lien hypertexte" xfId="27076" builtinId="8" hidden="1"/>
    <cellStyle name="Lien hypertexte" xfId="27078" builtinId="8" hidden="1"/>
    <cellStyle name="Lien hypertexte" xfId="27080" builtinId="8" hidden="1"/>
    <cellStyle name="Lien hypertexte" xfId="27082" builtinId="8" hidden="1"/>
    <cellStyle name="Lien hypertexte" xfId="27084" builtinId="8" hidden="1"/>
    <cellStyle name="Lien hypertexte" xfId="27086" builtinId="8" hidden="1"/>
    <cellStyle name="Lien hypertexte" xfId="27088" builtinId="8" hidden="1"/>
    <cellStyle name="Lien hypertexte" xfId="27090" builtinId="8" hidden="1"/>
    <cellStyle name="Lien hypertexte" xfId="27092" builtinId="8" hidden="1"/>
    <cellStyle name="Lien hypertexte" xfId="27094" builtinId="8" hidden="1"/>
    <cellStyle name="Lien hypertexte" xfId="27096" builtinId="8" hidden="1"/>
    <cellStyle name="Lien hypertexte" xfId="27098" builtinId="8" hidden="1"/>
    <cellStyle name="Lien hypertexte" xfId="27100" builtinId="8" hidden="1"/>
    <cellStyle name="Lien hypertexte" xfId="27102" builtinId="8" hidden="1"/>
    <cellStyle name="Lien hypertexte" xfId="27104" builtinId="8" hidden="1"/>
    <cellStyle name="Lien hypertexte" xfId="27106" builtinId="8" hidden="1"/>
    <cellStyle name="Lien hypertexte" xfId="27108" builtinId="8" hidden="1"/>
    <cellStyle name="Lien hypertexte" xfId="27110" builtinId="8" hidden="1"/>
    <cellStyle name="Lien hypertexte" xfId="27112" builtinId="8" hidden="1"/>
    <cellStyle name="Lien hypertexte" xfId="27114" builtinId="8" hidden="1"/>
    <cellStyle name="Lien hypertexte" xfId="27116" builtinId="8" hidden="1"/>
    <cellStyle name="Lien hypertexte" xfId="27118" builtinId="8" hidden="1"/>
    <cellStyle name="Lien hypertexte" xfId="27120" builtinId="8" hidden="1"/>
    <cellStyle name="Lien hypertexte" xfId="27122" builtinId="8" hidden="1"/>
    <cellStyle name="Lien hypertexte" xfId="27124" builtinId="8" hidden="1"/>
    <cellStyle name="Lien hypertexte" xfId="27126" builtinId="8" hidden="1"/>
    <cellStyle name="Lien hypertexte" xfId="27128" builtinId="8" hidden="1"/>
    <cellStyle name="Lien hypertexte" xfId="27130" builtinId="8" hidden="1"/>
    <cellStyle name="Lien hypertexte" xfId="27132" builtinId="8" hidden="1"/>
    <cellStyle name="Lien hypertexte" xfId="27134" builtinId="8" hidden="1"/>
    <cellStyle name="Lien hypertexte" xfId="27136" builtinId="8" hidden="1"/>
    <cellStyle name="Lien hypertexte" xfId="27138" builtinId="8" hidden="1"/>
    <cellStyle name="Lien hypertexte" xfId="27140" builtinId="8" hidden="1"/>
    <cellStyle name="Lien hypertexte" xfId="27142" builtinId="8" hidden="1"/>
    <cellStyle name="Lien hypertexte" xfId="27144" builtinId="8" hidden="1"/>
    <cellStyle name="Lien hypertexte" xfId="27146" builtinId="8" hidden="1"/>
    <cellStyle name="Lien hypertexte" xfId="27148" builtinId="8" hidden="1"/>
    <cellStyle name="Lien hypertexte" xfId="27150" builtinId="8" hidden="1"/>
    <cellStyle name="Lien hypertexte" xfId="27152" builtinId="8" hidden="1"/>
    <cellStyle name="Lien hypertexte" xfId="27154" builtinId="8" hidden="1"/>
    <cellStyle name="Lien hypertexte" xfId="27156" builtinId="8" hidden="1"/>
    <cellStyle name="Lien hypertexte" xfId="27158" builtinId="8" hidden="1"/>
    <cellStyle name="Lien hypertexte" xfId="27160" builtinId="8" hidden="1"/>
    <cellStyle name="Lien hypertexte" xfId="27162" builtinId="8" hidden="1"/>
    <cellStyle name="Lien hypertexte" xfId="27164" builtinId="8" hidden="1"/>
    <cellStyle name="Lien hypertexte" xfId="27166" builtinId="8" hidden="1"/>
    <cellStyle name="Lien hypertexte" xfId="27168" builtinId="8" hidden="1"/>
    <cellStyle name="Lien hypertexte" xfId="27170" builtinId="8" hidden="1"/>
    <cellStyle name="Lien hypertexte" xfId="27172" builtinId="8" hidden="1"/>
    <cellStyle name="Lien hypertexte" xfId="27174" builtinId="8" hidden="1"/>
    <cellStyle name="Lien hypertexte" xfId="27176" builtinId="8" hidden="1"/>
    <cellStyle name="Lien hypertexte" xfId="27178" builtinId="8" hidden="1"/>
    <cellStyle name="Lien hypertexte" xfId="27180" builtinId="8" hidden="1"/>
    <cellStyle name="Lien hypertexte" xfId="27182" builtinId="8" hidden="1"/>
    <cellStyle name="Lien hypertexte" xfId="27184" builtinId="8" hidden="1"/>
    <cellStyle name="Lien hypertexte" xfId="27186" builtinId="8" hidden="1"/>
    <cellStyle name="Lien hypertexte" xfId="27188" builtinId="8" hidden="1"/>
    <cellStyle name="Lien hypertexte" xfId="27190" builtinId="8" hidden="1"/>
    <cellStyle name="Lien hypertexte" xfId="27192" builtinId="8" hidden="1"/>
    <cellStyle name="Lien hypertexte" xfId="27194" builtinId="8" hidden="1"/>
    <cellStyle name="Lien hypertexte" xfId="27196" builtinId="8" hidden="1"/>
    <cellStyle name="Lien hypertexte" xfId="27198" builtinId="8" hidden="1"/>
    <cellStyle name="Lien hypertexte" xfId="27200" builtinId="8" hidden="1"/>
    <cellStyle name="Lien hypertexte" xfId="27202" builtinId="8" hidden="1"/>
    <cellStyle name="Lien hypertexte" xfId="27204" builtinId="8" hidden="1"/>
    <cellStyle name="Lien hypertexte" xfId="27206" builtinId="8" hidden="1"/>
    <cellStyle name="Lien hypertexte" xfId="27208" builtinId="8" hidden="1"/>
    <cellStyle name="Lien hypertexte" xfId="27210" builtinId="8" hidden="1"/>
    <cellStyle name="Lien hypertexte" xfId="27212" builtinId="8" hidden="1"/>
    <cellStyle name="Lien hypertexte" xfId="27214" builtinId="8" hidden="1"/>
    <cellStyle name="Lien hypertexte" xfId="27216" builtinId="8" hidden="1"/>
    <cellStyle name="Lien hypertexte" xfId="27218" builtinId="8" hidden="1"/>
    <cellStyle name="Lien hypertexte" xfId="27220" builtinId="8" hidden="1"/>
    <cellStyle name="Lien hypertexte" xfId="27222" builtinId="8" hidden="1"/>
    <cellStyle name="Lien hypertexte" xfId="27224" builtinId="8" hidden="1"/>
    <cellStyle name="Lien hypertexte" xfId="27226" builtinId="8" hidden="1"/>
    <cellStyle name="Lien hypertexte" xfId="27228" builtinId="8" hidden="1"/>
    <cellStyle name="Lien hypertexte" xfId="27230" builtinId="8" hidden="1"/>
    <cellStyle name="Lien hypertexte" xfId="27232" builtinId="8" hidden="1"/>
    <cellStyle name="Lien hypertexte" xfId="27234" builtinId="8" hidden="1"/>
    <cellStyle name="Lien hypertexte" xfId="27236" builtinId="8" hidden="1"/>
    <cellStyle name="Lien hypertexte" xfId="27238" builtinId="8" hidden="1"/>
    <cellStyle name="Lien hypertexte" xfId="27240" builtinId="8" hidden="1"/>
    <cellStyle name="Lien hypertexte" xfId="27242" builtinId="8" hidden="1"/>
    <cellStyle name="Lien hypertexte" xfId="27244" builtinId="8" hidden="1"/>
    <cellStyle name="Lien hypertexte" xfId="27246" builtinId="8" hidden="1"/>
    <cellStyle name="Lien hypertexte" xfId="27248" builtinId="8" hidden="1"/>
    <cellStyle name="Lien hypertexte" xfId="27250" builtinId="8" hidden="1"/>
    <cellStyle name="Lien hypertexte" xfId="27252" builtinId="8" hidden="1"/>
    <cellStyle name="Lien hypertexte" xfId="27254" builtinId="8" hidden="1"/>
    <cellStyle name="Lien hypertexte" xfId="27256" builtinId="8" hidden="1"/>
    <cellStyle name="Lien hypertexte" xfId="27258" builtinId="8" hidden="1"/>
    <cellStyle name="Lien hypertexte" xfId="27260" builtinId="8" hidden="1"/>
    <cellStyle name="Lien hypertexte" xfId="27262" builtinId="8" hidden="1"/>
    <cellStyle name="Lien hypertexte" xfId="27264" builtinId="8" hidden="1"/>
    <cellStyle name="Lien hypertexte" xfId="27266" builtinId="8" hidden="1"/>
    <cellStyle name="Lien hypertexte" xfId="27268" builtinId="8" hidden="1"/>
    <cellStyle name="Lien hypertexte" xfId="27270" builtinId="8" hidden="1"/>
    <cellStyle name="Lien hypertexte" xfId="27272" builtinId="8" hidden="1"/>
    <cellStyle name="Lien hypertexte" xfId="27274" builtinId="8" hidden="1"/>
    <cellStyle name="Lien hypertexte" xfId="27276" builtinId="8" hidden="1"/>
    <cellStyle name="Lien hypertexte" xfId="27278" builtinId="8" hidden="1"/>
    <cellStyle name="Lien hypertexte" xfId="27280" builtinId="8" hidden="1"/>
    <cellStyle name="Lien hypertexte" xfId="27282" builtinId="8" hidden="1"/>
    <cellStyle name="Lien hypertexte" xfId="27284" builtinId="8" hidden="1"/>
    <cellStyle name="Lien hypertexte" xfId="27286" builtinId="8" hidden="1"/>
    <cellStyle name="Lien hypertexte" xfId="27288" builtinId="8" hidden="1"/>
    <cellStyle name="Lien hypertexte" xfId="27290" builtinId="8" hidden="1"/>
    <cellStyle name="Lien hypertexte" xfId="27292" builtinId="8" hidden="1"/>
    <cellStyle name="Lien hypertexte" xfId="27294" builtinId="8" hidden="1"/>
    <cellStyle name="Lien hypertexte" xfId="27296" builtinId="8" hidden="1"/>
    <cellStyle name="Lien hypertexte" xfId="27298" builtinId="8" hidden="1"/>
    <cellStyle name="Lien hypertexte" xfId="27300" builtinId="8" hidden="1"/>
    <cellStyle name="Lien hypertexte" xfId="27302" builtinId="8" hidden="1"/>
    <cellStyle name="Lien hypertexte" xfId="27304" builtinId="8" hidden="1"/>
    <cellStyle name="Lien hypertexte" xfId="27306" builtinId="8" hidden="1"/>
    <cellStyle name="Lien hypertexte" xfId="27308" builtinId="8" hidden="1"/>
    <cellStyle name="Lien hypertexte" xfId="27310" builtinId="8" hidden="1"/>
    <cellStyle name="Lien hypertexte" xfId="27312" builtinId="8" hidden="1"/>
    <cellStyle name="Lien hypertexte" xfId="27314" builtinId="8" hidden="1"/>
    <cellStyle name="Lien hypertexte" xfId="27316" builtinId="8" hidden="1"/>
    <cellStyle name="Lien hypertexte" xfId="27318" builtinId="8" hidden="1"/>
    <cellStyle name="Lien hypertexte" xfId="27320" builtinId="8" hidden="1"/>
    <cellStyle name="Lien hypertexte" xfId="27322" builtinId="8" hidden="1"/>
    <cellStyle name="Lien hypertexte" xfId="27324" builtinId="8" hidden="1"/>
    <cellStyle name="Lien hypertexte" xfId="27326" builtinId="8" hidden="1"/>
    <cellStyle name="Lien hypertexte" xfId="27328" builtinId="8" hidden="1"/>
    <cellStyle name="Lien hypertexte" xfId="27330" builtinId="8" hidden="1"/>
    <cellStyle name="Lien hypertexte" xfId="27332" builtinId="8" hidden="1"/>
    <cellStyle name="Lien hypertexte" xfId="27334" builtinId="8" hidden="1"/>
    <cellStyle name="Lien hypertexte" xfId="27336" builtinId="8" hidden="1"/>
    <cellStyle name="Lien hypertexte" xfId="27338" builtinId="8" hidden="1"/>
    <cellStyle name="Lien hypertexte" xfId="27340" builtinId="8" hidden="1"/>
    <cellStyle name="Lien hypertexte" xfId="27342" builtinId="8" hidden="1"/>
    <cellStyle name="Lien hypertexte" xfId="27344" builtinId="8" hidden="1"/>
    <cellStyle name="Lien hypertexte" xfId="27346" builtinId="8" hidden="1"/>
    <cellStyle name="Lien hypertexte" xfId="27348" builtinId="8" hidden="1"/>
    <cellStyle name="Lien hypertexte" xfId="27350" builtinId="8" hidden="1"/>
    <cellStyle name="Lien hypertexte" xfId="27352" builtinId="8" hidden="1"/>
    <cellStyle name="Lien hypertexte" xfId="27354" builtinId="8" hidden="1"/>
    <cellStyle name="Lien hypertexte" xfId="27356" builtinId="8" hidden="1"/>
    <cellStyle name="Lien hypertexte" xfId="27358" builtinId="8" hidden="1"/>
    <cellStyle name="Lien hypertexte" xfId="27360" builtinId="8" hidden="1"/>
    <cellStyle name="Lien hypertexte" xfId="27362" builtinId="8" hidden="1"/>
    <cellStyle name="Lien hypertexte" xfId="27364" builtinId="8" hidden="1"/>
    <cellStyle name="Lien hypertexte" xfId="27366" builtinId="8" hidden="1"/>
    <cellStyle name="Lien hypertexte" xfId="27368" builtinId="8" hidden="1"/>
    <cellStyle name="Lien hypertexte" xfId="27370" builtinId="8" hidden="1"/>
    <cellStyle name="Lien hypertexte" xfId="27372" builtinId="8" hidden="1"/>
    <cellStyle name="Lien hypertexte" xfId="27374" builtinId="8" hidden="1"/>
    <cellStyle name="Lien hypertexte" xfId="27376" builtinId="8" hidden="1"/>
    <cellStyle name="Lien hypertexte" xfId="27378" builtinId="8" hidden="1"/>
    <cellStyle name="Lien hypertexte" xfId="27380" builtinId="8" hidden="1"/>
    <cellStyle name="Lien hypertexte" xfId="27382" builtinId="8" hidden="1"/>
    <cellStyle name="Lien hypertexte" xfId="27384" builtinId="8" hidden="1"/>
    <cellStyle name="Lien hypertexte" xfId="27386" builtinId="8" hidden="1"/>
    <cellStyle name="Lien hypertexte" xfId="27388" builtinId="8" hidden="1"/>
    <cellStyle name="Lien hypertexte" xfId="27390" builtinId="8" hidden="1"/>
    <cellStyle name="Lien hypertexte" xfId="27392" builtinId="8" hidden="1"/>
    <cellStyle name="Lien hypertexte" xfId="27394" builtinId="8" hidden="1"/>
    <cellStyle name="Lien hypertexte" xfId="27396" builtinId="8" hidden="1"/>
    <cellStyle name="Lien hypertexte" xfId="27398" builtinId="8" hidden="1"/>
    <cellStyle name="Lien hypertexte" xfId="27400" builtinId="8" hidden="1"/>
    <cellStyle name="Lien hypertexte" xfId="27402" builtinId="8" hidden="1"/>
    <cellStyle name="Lien hypertexte" xfId="27404" builtinId="8" hidden="1"/>
    <cellStyle name="Lien hypertexte" xfId="27406" builtinId="8" hidden="1"/>
    <cellStyle name="Lien hypertexte" xfId="27408" builtinId="8" hidden="1"/>
    <cellStyle name="Lien hypertexte" xfId="27410" builtinId="8" hidden="1"/>
    <cellStyle name="Lien hypertexte" xfId="27412" builtinId="8" hidden="1"/>
    <cellStyle name="Lien hypertexte" xfId="27414" builtinId="8" hidden="1"/>
    <cellStyle name="Lien hypertexte" xfId="27416" builtinId="8" hidden="1"/>
    <cellStyle name="Lien hypertexte" xfId="27418" builtinId="8" hidden="1"/>
    <cellStyle name="Lien hypertexte" xfId="27420" builtinId="8" hidden="1"/>
    <cellStyle name="Lien hypertexte" xfId="27422" builtinId="8" hidden="1"/>
    <cellStyle name="Lien hypertexte" xfId="27424" builtinId="8" hidden="1"/>
    <cellStyle name="Lien hypertexte" xfId="27426" builtinId="8" hidden="1"/>
    <cellStyle name="Lien hypertexte" xfId="27428" builtinId="8" hidden="1"/>
    <cellStyle name="Lien hypertexte" xfId="27430" builtinId="8" hidden="1"/>
    <cellStyle name="Lien hypertexte" xfId="27432" builtinId="8" hidden="1"/>
    <cellStyle name="Lien hypertexte" xfId="27434" builtinId="8" hidden="1"/>
    <cellStyle name="Lien hypertexte" xfId="27436" builtinId="8" hidden="1"/>
    <cellStyle name="Lien hypertexte" xfId="27438" builtinId="8" hidden="1"/>
    <cellStyle name="Lien hypertexte" xfId="27440" builtinId="8" hidden="1"/>
    <cellStyle name="Lien hypertexte" xfId="27442" builtinId="8" hidden="1"/>
    <cellStyle name="Lien hypertexte" xfId="27444" builtinId="8" hidden="1"/>
    <cellStyle name="Lien hypertexte" xfId="27446" builtinId="8" hidden="1"/>
    <cellStyle name="Lien hypertexte" xfId="27448" builtinId="8" hidden="1"/>
    <cellStyle name="Lien hypertexte" xfId="27450" builtinId="8" hidden="1"/>
    <cellStyle name="Lien hypertexte" xfId="27452" builtinId="8" hidden="1"/>
    <cellStyle name="Lien hypertexte" xfId="27454" builtinId="8" hidden="1"/>
    <cellStyle name="Lien hypertexte" xfId="27456" builtinId="8" hidden="1"/>
    <cellStyle name="Lien hypertexte" xfId="27458" builtinId="8" hidden="1"/>
    <cellStyle name="Lien hypertexte" xfId="27460" builtinId="8" hidden="1"/>
    <cellStyle name="Lien hypertexte" xfId="27462" builtinId="8" hidden="1"/>
    <cellStyle name="Lien hypertexte" xfId="27464" builtinId="8" hidden="1"/>
    <cellStyle name="Lien hypertexte" xfId="27466" builtinId="8" hidden="1"/>
    <cellStyle name="Lien hypertexte" xfId="27468" builtinId="8" hidden="1"/>
    <cellStyle name="Lien hypertexte" xfId="27470" builtinId="8" hidden="1"/>
    <cellStyle name="Lien hypertexte" xfId="27472" builtinId="8" hidden="1"/>
    <cellStyle name="Lien hypertexte" xfId="27474" builtinId="8" hidden="1"/>
    <cellStyle name="Lien hypertexte" xfId="27476" builtinId="8" hidden="1"/>
    <cellStyle name="Lien hypertexte" xfId="27478" builtinId="8" hidden="1"/>
    <cellStyle name="Lien hypertexte" xfId="27480" builtinId="8" hidden="1"/>
    <cellStyle name="Lien hypertexte" xfId="27482" builtinId="8" hidden="1"/>
    <cellStyle name="Lien hypertexte" xfId="27484" builtinId="8" hidden="1"/>
    <cellStyle name="Lien hypertexte" xfId="27486" builtinId="8" hidden="1"/>
    <cellStyle name="Lien hypertexte" xfId="27488" builtinId="8" hidden="1"/>
    <cellStyle name="Lien hypertexte" xfId="27490" builtinId="8" hidden="1"/>
    <cellStyle name="Lien hypertexte" xfId="27492" builtinId="8" hidden="1"/>
    <cellStyle name="Lien hypertexte" xfId="27494" builtinId="8" hidden="1"/>
    <cellStyle name="Lien hypertexte" xfId="27496" builtinId="8" hidden="1"/>
    <cellStyle name="Lien hypertexte" xfId="27498" builtinId="8" hidden="1"/>
    <cellStyle name="Lien hypertexte" xfId="27500" builtinId="8" hidden="1"/>
    <cellStyle name="Lien hypertexte" xfId="27502" builtinId="8" hidden="1"/>
    <cellStyle name="Lien hypertexte" xfId="27504" builtinId="8" hidden="1"/>
    <cellStyle name="Lien hypertexte" xfId="27506" builtinId="8" hidden="1"/>
    <cellStyle name="Lien hypertexte" xfId="27508" builtinId="8" hidden="1"/>
    <cellStyle name="Lien hypertexte" xfId="27510" builtinId="8" hidden="1"/>
    <cellStyle name="Lien hypertexte" xfId="27512" builtinId="8" hidden="1"/>
    <cellStyle name="Lien hypertexte" xfId="27514" builtinId="8" hidden="1"/>
    <cellStyle name="Lien hypertexte" xfId="27516" builtinId="8" hidden="1"/>
    <cellStyle name="Lien hypertexte" xfId="27518" builtinId="8" hidden="1"/>
    <cellStyle name="Lien hypertexte" xfId="27520" builtinId="8" hidden="1"/>
    <cellStyle name="Lien hypertexte" xfId="27522" builtinId="8" hidden="1"/>
    <cellStyle name="Lien hypertexte" xfId="27524" builtinId="8" hidden="1"/>
    <cellStyle name="Lien hypertexte" xfId="27526" builtinId="8" hidden="1"/>
    <cellStyle name="Lien hypertexte" xfId="27528" builtinId="8" hidden="1"/>
    <cellStyle name="Lien hypertexte" xfId="27530" builtinId="8" hidden="1"/>
    <cellStyle name="Lien hypertexte" xfId="27532" builtinId="8" hidden="1"/>
    <cellStyle name="Lien hypertexte" xfId="27534" builtinId="8" hidden="1"/>
    <cellStyle name="Lien hypertexte" xfId="27536" builtinId="8" hidden="1"/>
    <cellStyle name="Lien hypertexte" xfId="27538" builtinId="8" hidden="1"/>
    <cellStyle name="Lien hypertexte" xfId="27540" builtinId="8" hidden="1"/>
    <cellStyle name="Lien hypertexte" xfId="27542" builtinId="8" hidden="1"/>
    <cellStyle name="Lien hypertexte" xfId="27544" builtinId="8" hidden="1"/>
    <cellStyle name="Lien hypertexte" xfId="27546" builtinId="8" hidden="1"/>
    <cellStyle name="Lien hypertexte" xfId="27548" builtinId="8" hidden="1"/>
    <cellStyle name="Lien hypertexte" xfId="27550" builtinId="8" hidden="1"/>
    <cellStyle name="Lien hypertexte" xfId="27552" builtinId="8" hidden="1"/>
    <cellStyle name="Lien hypertexte" xfId="27554" builtinId="8" hidden="1"/>
    <cellStyle name="Lien hypertexte" xfId="27556" builtinId="8" hidden="1"/>
    <cellStyle name="Lien hypertexte" xfId="27558" builtinId="8" hidden="1"/>
    <cellStyle name="Lien hypertexte" xfId="27560" builtinId="8" hidden="1"/>
    <cellStyle name="Lien hypertexte" xfId="27562" builtinId="8" hidden="1"/>
    <cellStyle name="Lien hypertexte" xfId="27564" builtinId="8" hidden="1"/>
    <cellStyle name="Lien hypertexte" xfId="27566" builtinId="8" hidden="1"/>
    <cellStyle name="Lien hypertexte" xfId="27568" builtinId="8" hidden="1"/>
    <cellStyle name="Lien hypertexte" xfId="27570" builtinId="8" hidden="1"/>
    <cellStyle name="Lien hypertexte" xfId="27572" builtinId="8" hidden="1"/>
    <cellStyle name="Lien hypertexte" xfId="27574" builtinId="8" hidden="1"/>
    <cellStyle name="Lien hypertexte" xfId="27576" builtinId="8" hidden="1"/>
    <cellStyle name="Lien hypertexte" xfId="27578" builtinId="8" hidden="1"/>
    <cellStyle name="Lien hypertexte" xfId="27580" builtinId="8" hidden="1"/>
    <cellStyle name="Lien hypertexte" xfId="27582" builtinId="8" hidden="1"/>
    <cellStyle name="Lien hypertexte" xfId="27584" builtinId="8" hidden="1"/>
    <cellStyle name="Lien hypertexte" xfId="27586" builtinId="8" hidden="1"/>
    <cellStyle name="Lien hypertexte" xfId="27588" builtinId="8" hidden="1"/>
    <cellStyle name="Lien hypertexte" xfId="27590" builtinId="8" hidden="1"/>
    <cellStyle name="Lien hypertexte" xfId="27592" builtinId="8" hidden="1"/>
    <cellStyle name="Lien hypertexte" xfId="27594" builtinId="8" hidden="1"/>
    <cellStyle name="Lien hypertexte" xfId="27596" builtinId="8" hidden="1"/>
    <cellStyle name="Lien hypertexte" xfId="27598" builtinId="8" hidden="1"/>
    <cellStyle name="Lien hypertexte" xfId="27600" builtinId="8" hidden="1"/>
    <cellStyle name="Lien hypertexte" xfId="27602" builtinId="8" hidden="1"/>
    <cellStyle name="Lien hypertexte" xfId="27604" builtinId="8" hidden="1"/>
    <cellStyle name="Lien hypertexte" xfId="27606" builtinId="8" hidden="1"/>
    <cellStyle name="Lien hypertexte" xfId="27608" builtinId="8" hidden="1"/>
    <cellStyle name="Lien hypertexte" xfId="27610" builtinId="8" hidden="1"/>
    <cellStyle name="Lien hypertexte" xfId="27612" builtinId="8" hidden="1"/>
    <cellStyle name="Lien hypertexte" xfId="27614" builtinId="8" hidden="1"/>
    <cellStyle name="Lien hypertexte" xfId="27616" builtinId="8" hidden="1"/>
    <cellStyle name="Lien hypertexte" xfId="27618" builtinId="8" hidden="1"/>
    <cellStyle name="Lien hypertexte" xfId="27620" builtinId="8" hidden="1"/>
    <cellStyle name="Lien hypertexte" xfId="27622" builtinId="8" hidden="1"/>
    <cellStyle name="Lien hypertexte" xfId="27624" builtinId="8" hidden="1"/>
    <cellStyle name="Lien hypertexte" xfId="27626" builtinId="8" hidden="1"/>
    <cellStyle name="Lien hypertexte" xfId="27628" builtinId="8" hidden="1"/>
    <cellStyle name="Lien hypertexte" xfId="27630" builtinId="8" hidden="1"/>
    <cellStyle name="Lien hypertexte" xfId="27632" builtinId="8" hidden="1"/>
    <cellStyle name="Lien hypertexte" xfId="27634" builtinId="8" hidden="1"/>
    <cellStyle name="Lien hypertexte" xfId="27636" builtinId="8" hidden="1"/>
    <cellStyle name="Lien hypertexte" xfId="27638" builtinId="8" hidden="1"/>
    <cellStyle name="Lien hypertexte" xfId="27640" builtinId="8" hidden="1"/>
    <cellStyle name="Lien hypertexte" xfId="27642" builtinId="8" hidden="1"/>
    <cellStyle name="Lien hypertexte" xfId="27644" builtinId="8" hidden="1"/>
    <cellStyle name="Lien hypertexte" xfId="27646" builtinId="8" hidden="1"/>
    <cellStyle name="Lien hypertexte" xfId="27648" builtinId="8" hidden="1"/>
    <cellStyle name="Lien hypertexte" xfId="27650" builtinId="8" hidden="1"/>
    <cellStyle name="Lien hypertexte" xfId="27652" builtinId="8" hidden="1"/>
    <cellStyle name="Lien hypertexte" xfId="27654" builtinId="8" hidden="1"/>
    <cellStyle name="Lien hypertexte" xfId="27656" builtinId="8" hidden="1"/>
    <cellStyle name="Lien hypertexte" xfId="27658" builtinId="8" hidden="1"/>
    <cellStyle name="Lien hypertexte" xfId="27660" builtinId="8" hidden="1"/>
    <cellStyle name="Lien hypertexte" xfId="27662" builtinId="8" hidden="1"/>
    <cellStyle name="Lien hypertexte" xfId="27664" builtinId="8" hidden="1"/>
    <cellStyle name="Lien hypertexte" xfId="27666" builtinId="8" hidden="1"/>
    <cellStyle name="Lien hypertexte" xfId="27668" builtinId="8" hidden="1"/>
    <cellStyle name="Lien hypertexte" xfId="27670" builtinId="8" hidden="1"/>
    <cellStyle name="Lien hypertexte" xfId="27672" builtinId="8" hidden="1"/>
    <cellStyle name="Lien hypertexte" xfId="27674" builtinId="8" hidden="1"/>
    <cellStyle name="Lien hypertexte" xfId="27676" builtinId="8" hidden="1"/>
    <cellStyle name="Lien hypertexte" xfId="27678" builtinId="8" hidden="1"/>
    <cellStyle name="Lien hypertexte" xfId="27680" builtinId="8" hidden="1"/>
    <cellStyle name="Lien hypertexte" xfId="27682" builtinId="8" hidden="1"/>
    <cellStyle name="Lien hypertexte" xfId="27684" builtinId="8" hidden="1"/>
    <cellStyle name="Lien hypertexte" xfId="27686" builtinId="8" hidden="1"/>
    <cellStyle name="Lien hypertexte" xfId="27688" builtinId="8" hidden="1"/>
    <cellStyle name="Lien hypertexte" xfId="27690" builtinId="8" hidden="1"/>
    <cellStyle name="Lien hypertexte" xfId="27692" builtinId="8" hidden="1"/>
    <cellStyle name="Lien hypertexte" xfId="27694" builtinId="8" hidden="1"/>
    <cellStyle name="Lien hypertexte" xfId="27696" builtinId="8" hidden="1"/>
    <cellStyle name="Lien hypertexte" xfId="27698" builtinId="8" hidden="1"/>
    <cellStyle name="Lien hypertexte" xfId="27700" builtinId="8" hidden="1"/>
    <cellStyle name="Lien hypertexte" xfId="27702" builtinId="8" hidden="1"/>
    <cellStyle name="Lien hypertexte" xfId="27704" builtinId="8" hidden="1"/>
    <cellStyle name="Lien hypertexte" xfId="27706" builtinId="8" hidden="1"/>
    <cellStyle name="Lien hypertexte" xfId="27708" builtinId="8" hidden="1"/>
    <cellStyle name="Lien hypertexte" xfId="27710" builtinId="8" hidden="1"/>
    <cellStyle name="Lien hypertexte" xfId="27712" builtinId="8" hidden="1"/>
    <cellStyle name="Lien hypertexte" xfId="27714" builtinId="8" hidden="1"/>
    <cellStyle name="Lien hypertexte" xfId="27716" builtinId="8" hidden="1"/>
    <cellStyle name="Lien hypertexte" xfId="27718" builtinId="8" hidden="1"/>
    <cellStyle name="Lien hypertexte" xfId="27720" builtinId="8" hidden="1"/>
    <cellStyle name="Lien hypertexte" xfId="27722" builtinId="8" hidden="1"/>
    <cellStyle name="Lien hypertexte" xfId="27724" builtinId="8" hidden="1"/>
    <cellStyle name="Lien hypertexte" xfId="27726" builtinId="8" hidden="1"/>
    <cellStyle name="Lien hypertexte" xfId="27728" builtinId="8" hidden="1"/>
    <cellStyle name="Lien hypertexte" xfId="27730" builtinId="8" hidden="1"/>
    <cellStyle name="Lien hypertexte" xfId="27732" builtinId="8" hidden="1"/>
    <cellStyle name="Lien hypertexte" xfId="27734" builtinId="8" hidden="1"/>
    <cellStyle name="Lien hypertexte" xfId="27736" builtinId="8" hidden="1"/>
    <cellStyle name="Lien hypertexte" xfId="27738" builtinId="8" hidden="1"/>
    <cellStyle name="Lien hypertexte" xfId="27740" builtinId="8" hidden="1"/>
    <cellStyle name="Lien hypertexte" xfId="27742" builtinId="8" hidden="1"/>
    <cellStyle name="Lien hypertexte" xfId="27744" builtinId="8" hidden="1"/>
    <cellStyle name="Lien hypertexte" xfId="27746" builtinId="8" hidden="1"/>
    <cellStyle name="Lien hypertexte" xfId="27748" builtinId="8" hidden="1"/>
    <cellStyle name="Lien hypertexte" xfId="27750" builtinId="8" hidden="1"/>
    <cellStyle name="Lien hypertexte" xfId="27752" builtinId="8" hidden="1"/>
    <cellStyle name="Lien hypertexte" xfId="27754" builtinId="8" hidden="1"/>
    <cellStyle name="Lien hypertexte" xfId="27756" builtinId="8" hidden="1"/>
    <cellStyle name="Lien hypertexte" xfId="27758" builtinId="8" hidden="1"/>
    <cellStyle name="Lien hypertexte" xfId="27760" builtinId="8" hidden="1"/>
    <cellStyle name="Lien hypertexte" xfId="27762" builtinId="8" hidden="1"/>
    <cellStyle name="Lien hypertexte" xfId="27764" builtinId="8" hidden="1"/>
    <cellStyle name="Lien hypertexte" xfId="27766" builtinId="8" hidden="1"/>
    <cellStyle name="Lien hypertexte" xfId="27768" builtinId="8" hidden="1"/>
    <cellStyle name="Lien hypertexte" xfId="27770" builtinId="8" hidden="1"/>
    <cellStyle name="Lien hypertexte" xfId="27772" builtinId="8" hidden="1"/>
    <cellStyle name="Lien hypertexte" xfId="27774" builtinId="8" hidden="1"/>
    <cellStyle name="Lien hypertexte" xfId="27776" builtinId="8" hidden="1"/>
    <cellStyle name="Lien hypertexte" xfId="27778" builtinId="8" hidden="1"/>
    <cellStyle name="Lien hypertexte" xfId="27780" builtinId="8" hidden="1"/>
    <cellStyle name="Lien hypertexte" xfId="27782" builtinId="8" hidden="1"/>
    <cellStyle name="Lien hypertexte" xfId="27784" builtinId="8" hidden="1"/>
    <cellStyle name="Lien hypertexte" xfId="27786" builtinId="8" hidden="1"/>
    <cellStyle name="Lien hypertexte" xfId="27788" builtinId="8" hidden="1"/>
    <cellStyle name="Lien hypertexte" xfId="27790" builtinId="8" hidden="1"/>
    <cellStyle name="Lien hypertexte" xfId="27792" builtinId="8" hidden="1"/>
    <cellStyle name="Lien hypertexte" xfId="27794" builtinId="8" hidden="1"/>
    <cellStyle name="Lien hypertexte" xfId="27796" builtinId="8" hidden="1"/>
    <cellStyle name="Lien hypertexte" xfId="27798" builtinId="8" hidden="1"/>
    <cellStyle name="Lien hypertexte" xfId="27800" builtinId="8" hidden="1"/>
    <cellStyle name="Lien hypertexte" xfId="27802" builtinId="8" hidden="1"/>
    <cellStyle name="Lien hypertexte" xfId="27804" builtinId="8" hidden="1"/>
    <cellStyle name="Lien hypertexte" xfId="27806" builtinId="8" hidden="1"/>
    <cellStyle name="Lien hypertexte" xfId="27808" builtinId="8" hidden="1"/>
    <cellStyle name="Lien hypertexte" xfId="27810" builtinId="8" hidden="1"/>
    <cellStyle name="Lien hypertexte" xfId="27812" builtinId="8" hidden="1"/>
    <cellStyle name="Lien hypertexte" xfId="27814" builtinId="8" hidden="1"/>
    <cellStyle name="Lien hypertexte" xfId="27816" builtinId="8" hidden="1"/>
    <cellStyle name="Lien hypertexte" xfId="27818" builtinId="8" hidden="1"/>
    <cellStyle name="Lien hypertexte" xfId="27820" builtinId="8" hidden="1"/>
    <cellStyle name="Lien hypertexte" xfId="27822" builtinId="8" hidden="1"/>
    <cellStyle name="Lien hypertexte" xfId="27824" builtinId="8" hidden="1"/>
    <cellStyle name="Lien hypertexte" xfId="27826" builtinId="8" hidden="1"/>
    <cellStyle name="Lien hypertexte" xfId="27828" builtinId="8" hidden="1"/>
    <cellStyle name="Lien hypertexte" xfId="27830" builtinId="8" hidden="1"/>
    <cellStyle name="Lien hypertexte" xfId="27832" builtinId="8" hidden="1"/>
    <cellStyle name="Lien hypertexte" xfId="27834" builtinId="8" hidden="1"/>
    <cellStyle name="Lien hypertexte" xfId="27836" builtinId="8" hidden="1"/>
    <cellStyle name="Lien hypertexte" xfId="27838" builtinId="8" hidden="1"/>
    <cellStyle name="Lien hypertexte" xfId="27840" builtinId="8" hidden="1"/>
    <cellStyle name="Lien hypertexte" xfId="27842" builtinId="8" hidden="1"/>
    <cellStyle name="Lien hypertexte" xfId="27844" builtinId="8" hidden="1"/>
    <cellStyle name="Lien hypertexte" xfId="27846" builtinId="8" hidden="1"/>
    <cellStyle name="Lien hypertexte" xfId="27848" builtinId="8" hidden="1"/>
    <cellStyle name="Lien hypertexte" xfId="27850" builtinId="8" hidden="1"/>
    <cellStyle name="Lien hypertexte" xfId="27852" builtinId="8" hidden="1"/>
    <cellStyle name="Lien hypertexte" xfId="27854" builtinId="8" hidden="1"/>
    <cellStyle name="Lien hypertexte" xfId="27856" builtinId="8" hidden="1"/>
    <cellStyle name="Lien hypertexte" xfId="27858" builtinId="8" hidden="1"/>
    <cellStyle name="Lien hypertexte" xfId="27860" builtinId="8" hidden="1"/>
    <cellStyle name="Lien hypertexte" xfId="27862" builtinId="8" hidden="1"/>
    <cellStyle name="Lien hypertexte" xfId="27864" builtinId="8" hidden="1"/>
    <cellStyle name="Lien hypertexte" xfId="27866" builtinId="8" hidden="1"/>
    <cellStyle name="Lien hypertexte" xfId="27868" builtinId="8" hidden="1"/>
    <cellStyle name="Lien hypertexte" xfId="27870" builtinId="8" hidden="1"/>
    <cellStyle name="Lien hypertexte" xfId="27872" builtinId="8" hidden="1"/>
    <cellStyle name="Lien hypertexte" xfId="27874" builtinId="8" hidden="1"/>
    <cellStyle name="Lien hypertexte" xfId="27876" builtinId="8" hidden="1"/>
    <cellStyle name="Lien hypertexte" xfId="27878" builtinId="8" hidden="1"/>
    <cellStyle name="Lien hypertexte" xfId="27880" builtinId="8" hidden="1"/>
    <cellStyle name="Lien hypertexte" xfId="27882" builtinId="8" hidden="1"/>
    <cellStyle name="Lien hypertexte" xfId="27884" builtinId="8" hidden="1"/>
    <cellStyle name="Lien hypertexte" xfId="27886" builtinId="8" hidden="1"/>
    <cellStyle name="Lien hypertexte" xfId="27888" builtinId="8" hidden="1"/>
    <cellStyle name="Lien hypertexte" xfId="27890" builtinId="8" hidden="1"/>
    <cellStyle name="Lien hypertexte" xfId="27892" builtinId="8" hidden="1"/>
    <cellStyle name="Lien hypertexte" xfId="27894" builtinId="8" hidden="1"/>
    <cellStyle name="Lien hypertexte" xfId="27896" builtinId="8" hidden="1"/>
    <cellStyle name="Lien hypertexte" xfId="27898" builtinId="8" hidden="1"/>
    <cellStyle name="Lien hypertexte" xfId="27900" builtinId="8" hidden="1"/>
    <cellStyle name="Lien hypertexte" xfId="27902" builtinId="8" hidden="1"/>
    <cellStyle name="Lien hypertexte" xfId="27904" builtinId="8" hidden="1"/>
    <cellStyle name="Lien hypertexte" xfId="27906" builtinId="8" hidden="1"/>
    <cellStyle name="Lien hypertexte" xfId="27908" builtinId="8" hidden="1"/>
    <cellStyle name="Lien hypertexte" xfId="27910" builtinId="8" hidden="1"/>
    <cellStyle name="Lien hypertexte" xfId="27912" builtinId="8" hidden="1"/>
    <cellStyle name="Lien hypertexte" xfId="27914" builtinId="8" hidden="1"/>
    <cellStyle name="Lien hypertexte" xfId="27916" builtinId="8" hidden="1"/>
    <cellStyle name="Lien hypertexte" xfId="27918" builtinId="8" hidden="1"/>
    <cellStyle name="Lien hypertexte" xfId="27920" builtinId="8" hidden="1"/>
    <cellStyle name="Lien hypertexte" xfId="27922" builtinId="8" hidden="1"/>
    <cellStyle name="Lien hypertexte" xfId="27924" builtinId="8" hidden="1"/>
    <cellStyle name="Lien hypertexte" xfId="27926" builtinId="8" hidden="1"/>
    <cellStyle name="Lien hypertexte" xfId="27928" builtinId="8" hidden="1"/>
    <cellStyle name="Lien hypertexte" xfId="27930" builtinId="8" hidden="1"/>
    <cellStyle name="Lien hypertexte" xfId="27932" builtinId="8" hidden="1"/>
    <cellStyle name="Lien hypertexte" xfId="27934" builtinId="8" hidden="1"/>
    <cellStyle name="Lien hypertexte" xfId="27936" builtinId="8" hidden="1"/>
    <cellStyle name="Lien hypertexte" xfId="27938" builtinId="8" hidden="1"/>
    <cellStyle name="Lien hypertexte" xfId="27940" builtinId="8" hidden="1"/>
    <cellStyle name="Lien hypertexte" xfId="27942" builtinId="8" hidden="1"/>
    <cellStyle name="Lien hypertexte" xfId="27944" builtinId="8" hidden="1"/>
    <cellStyle name="Lien hypertexte" xfId="27946" builtinId="8" hidden="1"/>
    <cellStyle name="Lien hypertexte" xfId="27948" builtinId="8" hidden="1"/>
    <cellStyle name="Lien hypertexte" xfId="27950" builtinId="8" hidden="1"/>
    <cellStyle name="Lien hypertexte" xfId="27952" builtinId="8" hidden="1"/>
    <cellStyle name="Lien hypertexte" xfId="27954" builtinId="8" hidden="1"/>
    <cellStyle name="Lien hypertexte" xfId="27956" builtinId="8" hidden="1"/>
    <cellStyle name="Lien hypertexte" xfId="27958" builtinId="8" hidden="1"/>
    <cellStyle name="Lien hypertexte" xfId="27960" builtinId="8" hidden="1"/>
    <cellStyle name="Lien hypertexte" xfId="27962" builtinId="8" hidden="1"/>
    <cellStyle name="Lien hypertexte" xfId="27964" builtinId="8" hidden="1"/>
    <cellStyle name="Lien hypertexte" xfId="27966" builtinId="8" hidden="1"/>
    <cellStyle name="Lien hypertexte" xfId="27968" builtinId="8" hidden="1"/>
    <cellStyle name="Lien hypertexte" xfId="27970" builtinId="8" hidden="1"/>
    <cellStyle name="Lien hypertexte" xfId="27972" builtinId="8" hidden="1"/>
    <cellStyle name="Lien hypertexte" xfId="27974" builtinId="8" hidden="1"/>
    <cellStyle name="Lien hypertexte" xfId="27976" builtinId="8" hidden="1"/>
    <cellStyle name="Lien hypertexte" xfId="27978" builtinId="8" hidden="1"/>
    <cellStyle name="Lien hypertexte" xfId="27980" builtinId="8" hidden="1"/>
    <cellStyle name="Lien hypertexte" xfId="27982" builtinId="8" hidden="1"/>
    <cellStyle name="Lien hypertexte" xfId="27984" builtinId="8" hidden="1"/>
    <cellStyle name="Lien hypertexte" xfId="27986" builtinId="8" hidden="1"/>
    <cellStyle name="Lien hypertexte" xfId="27988" builtinId="8" hidden="1"/>
    <cellStyle name="Lien hypertexte" xfId="27990" builtinId="8" hidden="1"/>
    <cellStyle name="Lien hypertexte" xfId="27992" builtinId="8" hidden="1"/>
    <cellStyle name="Lien hypertexte" xfId="27994" builtinId="8" hidden="1"/>
    <cellStyle name="Lien hypertexte" xfId="27996" builtinId="8" hidden="1"/>
    <cellStyle name="Lien hypertexte" xfId="27998" builtinId="8" hidden="1"/>
    <cellStyle name="Lien hypertexte" xfId="28000" builtinId="8" hidden="1"/>
    <cellStyle name="Lien hypertexte" xfId="28002" builtinId="8" hidden="1"/>
    <cellStyle name="Lien hypertexte" xfId="28004" builtinId="8" hidden="1"/>
    <cellStyle name="Lien hypertexte" xfId="28006" builtinId="8" hidden="1"/>
    <cellStyle name="Lien hypertexte" xfId="28008" builtinId="8" hidden="1"/>
    <cellStyle name="Lien hypertexte" xfId="28010" builtinId="8" hidden="1"/>
    <cellStyle name="Lien hypertexte" xfId="28012" builtinId="8" hidden="1"/>
    <cellStyle name="Lien hypertexte" xfId="28014" builtinId="8" hidden="1"/>
    <cellStyle name="Lien hypertexte" xfId="28016" builtinId="8" hidden="1"/>
    <cellStyle name="Lien hypertexte" xfId="28018" builtinId="8" hidden="1"/>
    <cellStyle name="Lien hypertexte" xfId="28020" builtinId="8" hidden="1"/>
    <cellStyle name="Lien hypertexte" xfId="28022" builtinId="8" hidden="1"/>
    <cellStyle name="Lien hypertexte" xfId="28024" builtinId="8" hidden="1"/>
    <cellStyle name="Lien hypertexte" xfId="28026" builtinId="8" hidden="1"/>
    <cellStyle name="Lien hypertexte" xfId="28028" builtinId="8" hidden="1"/>
    <cellStyle name="Lien hypertexte" xfId="28030" builtinId="8" hidden="1"/>
    <cellStyle name="Lien hypertexte" xfId="28032" builtinId="8" hidden="1"/>
    <cellStyle name="Lien hypertexte" xfId="28034" builtinId="8" hidden="1"/>
    <cellStyle name="Lien hypertexte" xfId="28036" builtinId="8" hidden="1"/>
    <cellStyle name="Lien hypertexte" xfId="28038" builtinId="8" hidden="1"/>
    <cellStyle name="Lien hypertexte" xfId="28040" builtinId="8" hidden="1"/>
    <cellStyle name="Lien hypertexte" xfId="28042" builtinId="8" hidden="1"/>
    <cellStyle name="Lien hypertexte" xfId="28044" builtinId="8" hidden="1"/>
    <cellStyle name="Lien hypertexte" xfId="28046" builtinId="8" hidden="1"/>
    <cellStyle name="Lien hypertexte" xfId="28048" builtinId="8" hidden="1"/>
    <cellStyle name="Lien hypertexte" xfId="28050" builtinId="8" hidden="1"/>
    <cellStyle name="Lien hypertexte" xfId="28052" builtinId="8" hidden="1"/>
    <cellStyle name="Lien hypertexte" xfId="28054" builtinId="8" hidden="1"/>
    <cellStyle name="Lien hypertexte" xfId="28056" builtinId="8" hidden="1"/>
    <cellStyle name="Lien hypertexte" xfId="28058" builtinId="8" hidden="1"/>
    <cellStyle name="Lien hypertexte" xfId="28060" builtinId="8" hidden="1"/>
    <cellStyle name="Lien hypertexte" xfId="28062" builtinId="8" hidden="1"/>
    <cellStyle name="Lien hypertexte" xfId="28064" builtinId="8" hidden="1"/>
    <cellStyle name="Lien hypertexte" xfId="28066" builtinId="8" hidden="1"/>
    <cellStyle name="Lien hypertexte" xfId="28068" builtinId="8" hidden="1"/>
    <cellStyle name="Lien hypertexte" xfId="28070" builtinId="8" hidden="1"/>
    <cellStyle name="Lien hypertexte" xfId="28072" builtinId="8" hidden="1"/>
    <cellStyle name="Lien hypertexte" xfId="28074" builtinId="8" hidden="1"/>
    <cellStyle name="Lien hypertexte" xfId="28076" builtinId="8" hidden="1"/>
    <cellStyle name="Lien hypertexte" xfId="28078" builtinId="8" hidden="1"/>
    <cellStyle name="Lien hypertexte" xfId="28080" builtinId="8" hidden="1"/>
    <cellStyle name="Lien hypertexte" xfId="28082" builtinId="8" hidden="1"/>
    <cellStyle name="Lien hypertexte" xfId="28084" builtinId="8" hidden="1"/>
    <cellStyle name="Lien hypertexte" xfId="28086" builtinId="8" hidden="1"/>
    <cellStyle name="Lien hypertexte" xfId="28088" builtinId="8" hidden="1"/>
    <cellStyle name="Lien hypertexte" xfId="28090" builtinId="8" hidden="1"/>
    <cellStyle name="Lien hypertexte" xfId="28092" builtinId="8" hidden="1"/>
    <cellStyle name="Lien hypertexte" xfId="28094" builtinId="8" hidden="1"/>
    <cellStyle name="Lien hypertexte" xfId="28096" builtinId="8" hidden="1"/>
    <cellStyle name="Lien hypertexte" xfId="28098" builtinId="8" hidden="1"/>
    <cellStyle name="Lien hypertexte" xfId="28100" builtinId="8" hidden="1"/>
    <cellStyle name="Lien hypertexte" xfId="28102" builtinId="8" hidden="1"/>
    <cellStyle name="Lien hypertexte" xfId="28104" builtinId="8" hidden="1"/>
    <cellStyle name="Lien hypertexte" xfId="28106" builtinId="8" hidden="1"/>
    <cellStyle name="Lien hypertexte" xfId="28108" builtinId="8" hidden="1"/>
    <cellStyle name="Lien hypertexte" xfId="28110" builtinId="8" hidden="1"/>
    <cellStyle name="Lien hypertexte" xfId="28112" builtinId="8" hidden="1"/>
    <cellStyle name="Lien hypertexte" xfId="28114" builtinId="8" hidden="1"/>
    <cellStyle name="Lien hypertexte" xfId="28116" builtinId="8" hidden="1"/>
    <cellStyle name="Lien hypertexte" xfId="28118" builtinId="8" hidden="1"/>
    <cellStyle name="Lien hypertexte" xfId="28120" builtinId="8" hidden="1"/>
    <cellStyle name="Lien hypertexte" xfId="28122" builtinId="8" hidden="1"/>
    <cellStyle name="Lien hypertexte" xfId="28124" builtinId="8" hidden="1"/>
    <cellStyle name="Lien hypertexte" xfId="28126" builtinId="8" hidden="1"/>
    <cellStyle name="Lien hypertexte" xfId="28128" builtinId="8" hidden="1"/>
    <cellStyle name="Lien hypertexte" xfId="28130" builtinId="8" hidden="1"/>
    <cellStyle name="Lien hypertexte" xfId="28132" builtinId="8" hidden="1"/>
    <cellStyle name="Lien hypertexte" xfId="28134" builtinId="8" hidden="1"/>
    <cellStyle name="Lien hypertexte" xfId="28136" builtinId="8" hidden="1"/>
    <cellStyle name="Lien hypertexte" xfId="28138" builtinId="8" hidden="1"/>
    <cellStyle name="Lien hypertexte" xfId="28140" builtinId="8" hidden="1"/>
    <cellStyle name="Lien hypertexte" xfId="28142" builtinId="8" hidden="1"/>
    <cellStyle name="Lien hypertexte" xfId="28144" builtinId="8" hidden="1"/>
    <cellStyle name="Lien hypertexte" xfId="28146" builtinId="8" hidden="1"/>
    <cellStyle name="Lien hypertexte" xfId="28148" builtinId="8" hidden="1"/>
    <cellStyle name="Lien hypertexte" xfId="28150" builtinId="8" hidden="1"/>
    <cellStyle name="Lien hypertexte" xfId="28152" builtinId="8" hidden="1"/>
    <cellStyle name="Lien hypertexte" xfId="28154" builtinId="8" hidden="1"/>
    <cellStyle name="Lien hypertexte" xfId="28156" builtinId="8" hidden="1"/>
    <cellStyle name="Lien hypertexte" xfId="28158" builtinId="8" hidden="1"/>
    <cellStyle name="Lien hypertexte" xfId="28160" builtinId="8" hidden="1"/>
    <cellStyle name="Lien hypertexte" xfId="28162" builtinId="8" hidden="1"/>
    <cellStyle name="Lien hypertexte" xfId="28164" builtinId="8" hidden="1"/>
    <cellStyle name="Lien hypertexte" xfId="28166" builtinId="8" hidden="1"/>
    <cellStyle name="Lien hypertexte" xfId="28168" builtinId="8" hidden="1"/>
    <cellStyle name="Lien hypertexte" xfId="28170" builtinId="8" hidden="1"/>
    <cellStyle name="Lien hypertexte" xfId="28172" builtinId="8" hidden="1"/>
    <cellStyle name="Lien hypertexte" xfId="28174" builtinId="8" hidden="1"/>
    <cellStyle name="Lien hypertexte" xfId="28176" builtinId="8" hidden="1"/>
    <cellStyle name="Lien hypertexte" xfId="28178" builtinId="8" hidden="1"/>
    <cellStyle name="Lien hypertexte" xfId="28180" builtinId="8" hidden="1"/>
    <cellStyle name="Lien hypertexte" xfId="28182" builtinId="8" hidden="1"/>
    <cellStyle name="Lien hypertexte" xfId="28184" builtinId="8" hidden="1"/>
    <cellStyle name="Lien hypertexte" xfId="28186" builtinId="8" hidden="1"/>
    <cellStyle name="Lien hypertexte" xfId="28188" builtinId="8" hidden="1"/>
    <cellStyle name="Lien hypertexte" xfId="28190" builtinId="8" hidden="1"/>
    <cellStyle name="Lien hypertexte" xfId="28192" builtinId="8" hidden="1"/>
    <cellStyle name="Lien hypertexte" xfId="28194" builtinId="8" hidden="1"/>
    <cellStyle name="Lien hypertexte" xfId="28196" builtinId="8" hidden="1"/>
    <cellStyle name="Lien hypertexte" xfId="28198" builtinId="8" hidden="1"/>
    <cellStyle name="Lien hypertexte" xfId="28200" builtinId="8" hidden="1"/>
    <cellStyle name="Lien hypertexte" xfId="28202" builtinId="8" hidden="1"/>
    <cellStyle name="Lien hypertexte" xfId="28204" builtinId="8" hidden="1"/>
    <cellStyle name="Lien hypertexte" xfId="28206" builtinId="8" hidden="1"/>
    <cellStyle name="Lien hypertexte" xfId="28208" builtinId="8" hidden="1"/>
    <cellStyle name="Lien hypertexte" xfId="28210" builtinId="8" hidden="1"/>
    <cellStyle name="Lien hypertexte" xfId="28212" builtinId="8" hidden="1"/>
    <cellStyle name="Lien hypertexte" xfId="28214" builtinId="8" hidden="1"/>
    <cellStyle name="Lien hypertexte" xfId="28216" builtinId="8" hidden="1"/>
    <cellStyle name="Lien hypertexte" xfId="28218" builtinId="8" hidden="1"/>
    <cellStyle name="Lien hypertexte" xfId="28220" builtinId="8" hidden="1"/>
    <cellStyle name="Lien hypertexte" xfId="28222" builtinId="8" hidden="1"/>
    <cellStyle name="Lien hypertexte" xfId="28224" builtinId="8" hidden="1"/>
    <cellStyle name="Lien hypertexte" xfId="28226" builtinId="8" hidden="1"/>
    <cellStyle name="Lien hypertexte" xfId="28228" builtinId="8" hidden="1"/>
    <cellStyle name="Lien hypertexte" xfId="28230" builtinId="8" hidden="1"/>
    <cellStyle name="Lien hypertexte" xfId="28232" builtinId="8" hidden="1"/>
    <cellStyle name="Lien hypertexte" xfId="28234" builtinId="8" hidden="1"/>
    <cellStyle name="Lien hypertexte" xfId="28236" builtinId="8" hidden="1"/>
    <cellStyle name="Lien hypertexte" xfId="28238" builtinId="8" hidden="1"/>
    <cellStyle name="Lien hypertexte" xfId="28240" builtinId="8" hidden="1"/>
    <cellStyle name="Lien hypertexte" xfId="28242" builtinId="8" hidden="1"/>
    <cellStyle name="Lien hypertexte" xfId="28244" builtinId="8" hidden="1"/>
    <cellStyle name="Lien hypertexte" xfId="28246" builtinId="8" hidden="1"/>
    <cellStyle name="Lien hypertexte" xfId="28248" builtinId="8" hidden="1"/>
    <cellStyle name="Lien hypertexte" xfId="28250" builtinId="8" hidden="1"/>
    <cellStyle name="Lien hypertexte" xfId="28252" builtinId="8" hidden="1"/>
    <cellStyle name="Lien hypertexte" xfId="28254" builtinId="8" hidden="1"/>
    <cellStyle name="Lien hypertexte" xfId="28256" builtinId="8" hidden="1"/>
    <cellStyle name="Lien hypertexte" xfId="28258" builtinId="8" hidden="1"/>
    <cellStyle name="Lien hypertexte" xfId="28260" builtinId="8" hidden="1"/>
    <cellStyle name="Lien hypertexte" xfId="28262" builtinId="8" hidden="1"/>
    <cellStyle name="Lien hypertexte" xfId="28264" builtinId="8" hidden="1"/>
    <cellStyle name="Lien hypertexte" xfId="28266" builtinId="8" hidden="1"/>
    <cellStyle name="Lien hypertexte" xfId="28268" builtinId="8" hidden="1"/>
    <cellStyle name="Lien hypertexte" xfId="28270" builtinId="8" hidden="1"/>
    <cellStyle name="Lien hypertexte" xfId="28272" builtinId="8" hidden="1"/>
    <cellStyle name="Lien hypertexte" xfId="28274" builtinId="8" hidden="1"/>
    <cellStyle name="Lien hypertexte" xfId="28276" builtinId="8" hidden="1"/>
    <cellStyle name="Lien hypertexte" xfId="28278" builtinId="8" hidden="1"/>
    <cellStyle name="Lien hypertexte" xfId="28280" builtinId="8" hidden="1"/>
    <cellStyle name="Lien hypertexte" xfId="28282" builtinId="8" hidden="1"/>
    <cellStyle name="Lien hypertexte" xfId="28284" builtinId="8" hidden="1"/>
    <cellStyle name="Lien hypertexte" xfId="28286" builtinId="8" hidden="1"/>
    <cellStyle name="Lien hypertexte" xfId="28288" builtinId="8" hidden="1"/>
    <cellStyle name="Lien hypertexte" xfId="28290" builtinId="8" hidden="1"/>
    <cellStyle name="Lien hypertexte" xfId="28292" builtinId="8" hidden="1"/>
    <cellStyle name="Lien hypertexte" xfId="28294" builtinId="8" hidden="1"/>
    <cellStyle name="Lien hypertexte" xfId="28296" builtinId="8" hidden="1"/>
    <cellStyle name="Lien hypertexte" xfId="28298" builtinId="8" hidden="1"/>
    <cellStyle name="Lien hypertexte" xfId="28300" builtinId="8" hidden="1"/>
    <cellStyle name="Lien hypertexte" xfId="28302" builtinId="8" hidden="1"/>
    <cellStyle name="Lien hypertexte" xfId="28304" builtinId="8" hidden="1"/>
    <cellStyle name="Lien hypertexte" xfId="28306" builtinId="8" hidden="1"/>
    <cellStyle name="Lien hypertexte" xfId="28308" builtinId="8" hidden="1"/>
    <cellStyle name="Lien hypertexte" xfId="28310" builtinId="8" hidden="1"/>
    <cellStyle name="Lien hypertexte" xfId="28312" builtinId="8" hidden="1"/>
    <cellStyle name="Lien hypertexte" xfId="28314" builtinId="8" hidden="1"/>
    <cellStyle name="Lien hypertexte" xfId="28316" builtinId="8" hidden="1"/>
    <cellStyle name="Lien hypertexte" xfId="28318" builtinId="8" hidden="1"/>
    <cellStyle name="Lien hypertexte" xfId="28320" builtinId="8" hidden="1"/>
    <cellStyle name="Lien hypertexte" xfId="28322" builtinId="8" hidden="1"/>
    <cellStyle name="Lien hypertexte" xfId="28324" builtinId="8" hidden="1"/>
    <cellStyle name="Lien hypertexte" xfId="28326" builtinId="8" hidden="1"/>
    <cellStyle name="Lien hypertexte" xfId="28328" builtinId="8" hidden="1"/>
    <cellStyle name="Lien hypertexte" xfId="28330" builtinId="8" hidden="1"/>
    <cellStyle name="Lien hypertexte" xfId="28332" builtinId="8" hidden="1"/>
    <cellStyle name="Lien hypertexte" xfId="28334" builtinId="8" hidden="1"/>
    <cellStyle name="Lien hypertexte" xfId="28336" builtinId="8" hidden="1"/>
    <cellStyle name="Lien hypertexte" xfId="28338" builtinId="8" hidden="1"/>
    <cellStyle name="Lien hypertexte" xfId="28340" builtinId="8" hidden="1"/>
    <cellStyle name="Lien hypertexte" xfId="28342" builtinId="8" hidden="1"/>
    <cellStyle name="Lien hypertexte" xfId="28344" builtinId="8" hidden="1"/>
    <cellStyle name="Lien hypertexte" xfId="28346" builtinId="8" hidden="1"/>
    <cellStyle name="Lien hypertexte" xfId="28348" builtinId="8" hidden="1"/>
    <cellStyle name="Lien hypertexte" xfId="28350" builtinId="8" hidden="1"/>
    <cellStyle name="Lien hypertexte" xfId="28352" builtinId="8" hidden="1"/>
    <cellStyle name="Lien hypertexte" xfId="28354" builtinId="8" hidden="1"/>
    <cellStyle name="Lien hypertexte" xfId="28356" builtinId="8" hidden="1"/>
    <cellStyle name="Lien hypertexte" xfId="28358" builtinId="8" hidden="1"/>
    <cellStyle name="Lien hypertexte" xfId="28360" builtinId="8" hidden="1"/>
    <cellStyle name="Lien hypertexte" xfId="28362" builtinId="8" hidden="1"/>
    <cellStyle name="Lien hypertexte" xfId="28364" builtinId="8" hidden="1"/>
    <cellStyle name="Lien hypertexte" xfId="28366" builtinId="8" hidden="1"/>
    <cellStyle name="Lien hypertexte" xfId="28368" builtinId="8" hidden="1"/>
    <cellStyle name="Lien hypertexte" xfId="28370" builtinId="8" hidden="1"/>
    <cellStyle name="Lien hypertexte" xfId="28372" builtinId="8" hidden="1"/>
    <cellStyle name="Lien hypertexte" xfId="28374" builtinId="8" hidden="1"/>
    <cellStyle name="Lien hypertexte" xfId="28376" builtinId="8" hidden="1"/>
    <cellStyle name="Lien hypertexte" xfId="28378" builtinId="8" hidden="1"/>
    <cellStyle name="Lien hypertexte" xfId="28380" builtinId="8" hidden="1"/>
    <cellStyle name="Lien hypertexte" xfId="28382" builtinId="8" hidden="1"/>
    <cellStyle name="Lien hypertexte" xfId="28384" builtinId="8" hidden="1"/>
    <cellStyle name="Lien hypertexte" xfId="28386" builtinId="8" hidden="1"/>
    <cellStyle name="Lien hypertexte" xfId="28388" builtinId="8" hidden="1"/>
    <cellStyle name="Lien hypertexte" xfId="28390" builtinId="8" hidden="1"/>
    <cellStyle name="Lien hypertexte" xfId="28392" builtinId="8" hidden="1"/>
    <cellStyle name="Lien hypertexte" xfId="28394" builtinId="8" hidden="1"/>
    <cellStyle name="Lien hypertexte" xfId="28396" builtinId="8" hidden="1"/>
    <cellStyle name="Lien hypertexte" xfId="28398" builtinId="8" hidden="1"/>
    <cellStyle name="Lien hypertexte" xfId="28400" builtinId="8" hidden="1"/>
    <cellStyle name="Lien hypertexte" xfId="28402" builtinId="8" hidden="1"/>
    <cellStyle name="Lien hypertexte" xfId="28404" builtinId="8" hidden="1"/>
    <cellStyle name="Lien hypertexte" xfId="28406" builtinId="8" hidden="1"/>
    <cellStyle name="Lien hypertexte" xfId="28408" builtinId="8" hidden="1"/>
    <cellStyle name="Lien hypertexte" xfId="28410" builtinId="8" hidden="1"/>
    <cellStyle name="Lien hypertexte" xfId="28412" builtinId="8" hidden="1"/>
    <cellStyle name="Lien hypertexte" xfId="28414" builtinId="8" hidden="1"/>
    <cellStyle name="Lien hypertexte" xfId="28416" builtinId="8" hidden="1"/>
    <cellStyle name="Lien hypertexte" xfId="28418" builtinId="8" hidden="1"/>
    <cellStyle name="Lien hypertexte" xfId="28420" builtinId="8" hidden="1"/>
    <cellStyle name="Lien hypertexte" xfId="28422" builtinId="8" hidden="1"/>
    <cellStyle name="Lien hypertexte" xfId="28424" builtinId="8" hidden="1"/>
    <cellStyle name="Lien hypertexte" xfId="28426" builtinId="8" hidden="1"/>
    <cellStyle name="Lien hypertexte" xfId="28428" builtinId="8" hidden="1"/>
    <cellStyle name="Lien hypertexte" xfId="28430" builtinId="8" hidden="1"/>
    <cellStyle name="Lien hypertexte" xfId="28432" builtinId="8" hidden="1"/>
    <cellStyle name="Lien hypertexte" xfId="28434" builtinId="8" hidden="1"/>
    <cellStyle name="Lien hypertexte" xfId="28436" builtinId="8" hidden="1"/>
    <cellStyle name="Lien hypertexte" xfId="28438" builtinId="8" hidden="1"/>
    <cellStyle name="Lien hypertexte" xfId="28440" builtinId="8" hidden="1"/>
    <cellStyle name="Lien hypertexte" xfId="28442" builtinId="8" hidden="1"/>
    <cellStyle name="Lien hypertexte" xfId="28444" builtinId="8" hidden="1"/>
    <cellStyle name="Lien hypertexte" xfId="28446" builtinId="8" hidden="1"/>
    <cellStyle name="Lien hypertexte" xfId="28448" builtinId="8" hidden="1"/>
    <cellStyle name="Lien hypertexte" xfId="28450" builtinId="8" hidden="1"/>
    <cellStyle name="Lien hypertexte" xfId="28452" builtinId="8" hidden="1"/>
    <cellStyle name="Lien hypertexte" xfId="28454" builtinId="8" hidden="1"/>
    <cellStyle name="Lien hypertexte" xfId="28456" builtinId="8" hidden="1"/>
    <cellStyle name="Lien hypertexte" xfId="28458" builtinId="8" hidden="1"/>
    <cellStyle name="Lien hypertexte" xfId="28460" builtinId="8" hidden="1"/>
    <cellStyle name="Lien hypertexte" xfId="28462" builtinId="8" hidden="1"/>
    <cellStyle name="Lien hypertexte" xfId="28464" builtinId="8" hidden="1"/>
    <cellStyle name="Lien hypertexte" xfId="28466" builtinId="8" hidden="1"/>
    <cellStyle name="Lien hypertexte" xfId="28468" builtinId="8" hidden="1"/>
    <cellStyle name="Lien hypertexte" xfId="28470" builtinId="8" hidden="1"/>
    <cellStyle name="Lien hypertexte" xfId="28472" builtinId="8" hidden="1"/>
    <cellStyle name="Lien hypertexte" xfId="28474" builtinId="8" hidden="1"/>
    <cellStyle name="Lien hypertexte" xfId="28476" builtinId="8" hidden="1"/>
    <cellStyle name="Lien hypertexte" xfId="28478" builtinId="8" hidden="1"/>
    <cellStyle name="Lien hypertexte" xfId="28480" builtinId="8" hidden="1"/>
    <cellStyle name="Lien hypertexte" xfId="28482" builtinId="8" hidden="1"/>
    <cellStyle name="Lien hypertexte" xfId="28484" builtinId="8" hidden="1"/>
    <cellStyle name="Lien hypertexte" xfId="28486" builtinId="8" hidden="1"/>
    <cellStyle name="Lien hypertexte" xfId="28488" builtinId="8" hidden="1"/>
    <cellStyle name="Lien hypertexte" xfId="28490" builtinId="8" hidden="1"/>
    <cellStyle name="Lien hypertexte" xfId="28492" builtinId="8" hidden="1"/>
    <cellStyle name="Lien hypertexte" xfId="28494" builtinId="8" hidden="1"/>
    <cellStyle name="Lien hypertexte" xfId="28496" builtinId="8" hidden="1"/>
    <cellStyle name="Lien hypertexte" xfId="28498" builtinId="8" hidden="1"/>
    <cellStyle name="Lien hypertexte" xfId="28500" builtinId="8" hidden="1"/>
    <cellStyle name="Lien hypertexte" xfId="28502" builtinId="8" hidden="1"/>
    <cellStyle name="Lien hypertexte" xfId="28504" builtinId="8" hidden="1"/>
    <cellStyle name="Lien hypertexte" xfId="28506" builtinId="8" hidden="1"/>
    <cellStyle name="Lien hypertexte" xfId="28508" builtinId="8" hidden="1"/>
    <cellStyle name="Lien hypertexte" xfId="28510" builtinId="8" hidden="1"/>
    <cellStyle name="Lien hypertexte" xfId="28512" builtinId="8" hidden="1"/>
    <cellStyle name="Lien hypertexte" xfId="28514" builtinId="8" hidden="1"/>
    <cellStyle name="Lien hypertexte" xfId="28516" builtinId="8" hidden="1"/>
    <cellStyle name="Lien hypertexte" xfId="28518" builtinId="8" hidden="1"/>
    <cellStyle name="Lien hypertexte" xfId="28520" builtinId="8" hidden="1"/>
    <cellStyle name="Lien hypertexte" xfId="28522" builtinId="8" hidden="1"/>
    <cellStyle name="Lien hypertexte" xfId="28524" builtinId="8" hidden="1"/>
    <cellStyle name="Lien hypertexte" xfId="28526" builtinId="8" hidden="1"/>
    <cellStyle name="Lien hypertexte" xfId="28528" builtinId="8" hidden="1"/>
    <cellStyle name="Lien hypertexte" xfId="28530" builtinId="8" hidden="1"/>
    <cellStyle name="Lien hypertexte" xfId="28532" builtinId="8" hidden="1"/>
    <cellStyle name="Lien hypertexte" xfId="28534" builtinId="8" hidden="1"/>
    <cellStyle name="Lien hypertexte" xfId="28536" builtinId="8" hidden="1"/>
    <cellStyle name="Lien hypertexte" xfId="28538" builtinId="8" hidden="1"/>
    <cellStyle name="Lien hypertexte" xfId="28540" builtinId="8" hidden="1"/>
    <cellStyle name="Lien hypertexte" xfId="28542" builtinId="8" hidden="1"/>
    <cellStyle name="Lien hypertexte" xfId="28544" builtinId="8" hidden="1"/>
    <cellStyle name="Lien hypertexte" xfId="28546" builtinId="8" hidden="1"/>
    <cellStyle name="Lien hypertexte" xfId="28548" builtinId="8" hidden="1"/>
    <cellStyle name="Lien hypertexte" xfId="28550" builtinId="8" hidden="1"/>
    <cellStyle name="Lien hypertexte" xfId="28552" builtinId="8" hidden="1"/>
    <cellStyle name="Lien hypertexte" xfId="28554" builtinId="8" hidden="1"/>
    <cellStyle name="Lien hypertexte" xfId="28556" builtinId="8" hidden="1"/>
    <cellStyle name="Lien hypertexte" xfId="28558" builtinId="8" hidden="1"/>
    <cellStyle name="Lien hypertexte" xfId="28560" builtinId="8" hidden="1"/>
    <cellStyle name="Lien hypertexte" xfId="28562" builtinId="8" hidden="1"/>
    <cellStyle name="Lien hypertexte" xfId="28564" builtinId="8" hidden="1"/>
    <cellStyle name="Lien hypertexte" xfId="28566" builtinId="8" hidden="1"/>
    <cellStyle name="Lien hypertexte" xfId="28568" builtinId="8" hidden="1"/>
    <cellStyle name="Lien hypertexte" xfId="28570" builtinId="8" hidden="1"/>
    <cellStyle name="Lien hypertexte" xfId="28572" builtinId="8" hidden="1"/>
    <cellStyle name="Lien hypertexte" xfId="28574" builtinId="8" hidden="1"/>
    <cellStyle name="Lien hypertexte" xfId="28576" builtinId="8" hidden="1"/>
    <cellStyle name="Lien hypertexte" xfId="28578" builtinId="8" hidden="1"/>
    <cellStyle name="Lien hypertexte" xfId="28580" builtinId="8" hidden="1"/>
    <cellStyle name="Lien hypertexte" xfId="28582" builtinId="8" hidden="1"/>
    <cellStyle name="Lien hypertexte" xfId="28584" builtinId="8" hidden="1"/>
    <cellStyle name="Lien hypertexte" xfId="28586" builtinId="8" hidden="1"/>
    <cellStyle name="Lien hypertexte" xfId="28588" builtinId="8" hidden="1"/>
    <cellStyle name="Lien hypertexte" xfId="28590" builtinId="8" hidden="1"/>
    <cellStyle name="Lien hypertexte" xfId="28592" builtinId="8" hidden="1"/>
    <cellStyle name="Lien hypertexte" xfId="28594" builtinId="8" hidden="1"/>
    <cellStyle name="Lien hypertexte" xfId="28596" builtinId="8" hidden="1"/>
    <cellStyle name="Lien hypertexte" xfId="28598" builtinId="8" hidden="1"/>
    <cellStyle name="Lien hypertexte" xfId="28600" builtinId="8" hidden="1"/>
    <cellStyle name="Lien hypertexte" xfId="28602" builtinId="8" hidden="1"/>
    <cellStyle name="Lien hypertexte" xfId="28604" builtinId="8" hidden="1"/>
    <cellStyle name="Lien hypertexte" xfId="28606" builtinId="8" hidden="1"/>
    <cellStyle name="Lien hypertexte" xfId="28608" builtinId="8" hidden="1"/>
    <cellStyle name="Lien hypertexte" xfId="28610" builtinId="8" hidden="1"/>
    <cellStyle name="Lien hypertexte" xfId="28612" builtinId="8" hidden="1"/>
    <cellStyle name="Lien hypertexte" xfId="28614" builtinId="8" hidden="1"/>
    <cellStyle name="Lien hypertexte" xfId="28616" builtinId="8" hidden="1"/>
    <cellStyle name="Lien hypertexte" xfId="28618" builtinId="8" hidden="1"/>
    <cellStyle name="Lien hypertexte" xfId="28620" builtinId="8" hidden="1"/>
    <cellStyle name="Lien hypertexte" xfId="28622" builtinId="8" hidden="1"/>
    <cellStyle name="Lien hypertexte" xfId="28624" builtinId="8" hidden="1"/>
    <cellStyle name="Lien hypertexte" xfId="28626" builtinId="8" hidden="1"/>
    <cellStyle name="Lien hypertexte" xfId="28628" builtinId="8" hidden="1"/>
    <cellStyle name="Lien hypertexte" xfId="28630" builtinId="8" hidden="1"/>
    <cellStyle name="Lien hypertexte" xfId="28632" builtinId="8" hidden="1"/>
    <cellStyle name="Lien hypertexte" xfId="28634" builtinId="8" hidden="1"/>
    <cellStyle name="Lien hypertexte" xfId="28636" builtinId="8" hidden="1"/>
    <cellStyle name="Lien hypertexte" xfId="28638" builtinId="8" hidden="1"/>
    <cellStyle name="Lien hypertexte" xfId="28640" builtinId="8" hidden="1"/>
    <cellStyle name="Lien hypertexte" xfId="28642" builtinId="8" hidden="1"/>
    <cellStyle name="Lien hypertexte" xfId="28644" builtinId="8" hidden="1"/>
    <cellStyle name="Lien hypertexte" xfId="28646" builtinId="8" hidden="1"/>
    <cellStyle name="Lien hypertexte" xfId="28648" builtinId="8" hidden="1"/>
    <cellStyle name="Lien hypertexte" xfId="28650" builtinId="8" hidden="1"/>
    <cellStyle name="Lien hypertexte" xfId="28652" builtinId="8" hidden="1"/>
    <cellStyle name="Lien hypertexte" xfId="28654" builtinId="8" hidden="1"/>
    <cellStyle name="Lien hypertexte" xfId="28656" builtinId="8" hidden="1"/>
    <cellStyle name="Lien hypertexte" xfId="28658" builtinId="8" hidden="1"/>
    <cellStyle name="Lien hypertexte" xfId="28660" builtinId="8" hidden="1"/>
    <cellStyle name="Lien hypertexte" xfId="28662" builtinId="8" hidden="1"/>
    <cellStyle name="Lien hypertexte" xfId="28664" builtinId="8" hidden="1"/>
    <cellStyle name="Lien hypertexte" xfId="28666" builtinId="8" hidden="1"/>
    <cellStyle name="Lien hypertexte" xfId="28668" builtinId="8" hidden="1"/>
    <cellStyle name="Lien hypertexte" xfId="28670" builtinId="8" hidden="1"/>
    <cellStyle name="Lien hypertexte" xfId="28672" builtinId="8" hidden="1"/>
    <cellStyle name="Lien hypertexte" xfId="28674" builtinId="8" hidden="1"/>
    <cellStyle name="Lien hypertexte" xfId="28676" builtinId="8" hidden="1"/>
    <cellStyle name="Lien hypertexte" xfId="28678" builtinId="8" hidden="1"/>
    <cellStyle name="Lien hypertexte" xfId="28680" builtinId="8" hidden="1"/>
    <cellStyle name="Lien hypertexte" xfId="28682" builtinId="8" hidden="1"/>
    <cellStyle name="Lien hypertexte" xfId="28684" builtinId="8" hidden="1"/>
    <cellStyle name="Lien hypertexte" xfId="28686" builtinId="8" hidden="1"/>
    <cellStyle name="Lien hypertexte" xfId="28688" builtinId="8" hidden="1"/>
    <cellStyle name="Lien hypertexte" xfId="28690" builtinId="8" hidden="1"/>
    <cellStyle name="Lien hypertexte" xfId="28692" builtinId="8" hidden="1"/>
    <cellStyle name="Lien hypertexte" xfId="28694" builtinId="8" hidden="1"/>
    <cellStyle name="Lien hypertexte" xfId="28696" builtinId="8" hidden="1"/>
    <cellStyle name="Lien hypertexte" xfId="28698" builtinId="8" hidden="1"/>
    <cellStyle name="Lien hypertexte" xfId="28700" builtinId="8" hidden="1"/>
    <cellStyle name="Lien hypertexte" xfId="28702" builtinId="8" hidden="1"/>
    <cellStyle name="Lien hypertexte" xfId="28704" builtinId="8" hidden="1"/>
    <cellStyle name="Lien hypertexte" xfId="28706" builtinId="8" hidden="1"/>
    <cellStyle name="Lien hypertexte" xfId="28708" builtinId="8" hidden="1"/>
    <cellStyle name="Lien hypertexte" xfId="28710" builtinId="8" hidden="1"/>
    <cellStyle name="Lien hypertexte" xfId="28712" builtinId="8" hidden="1"/>
    <cellStyle name="Lien hypertexte" xfId="28714" builtinId="8" hidden="1"/>
    <cellStyle name="Lien hypertexte" xfId="28716" builtinId="8" hidden="1"/>
    <cellStyle name="Lien hypertexte" xfId="28718" builtinId="8" hidden="1"/>
    <cellStyle name="Lien hypertexte" xfId="28720" builtinId="8" hidden="1"/>
    <cellStyle name="Lien hypertexte" xfId="28722" builtinId="8" hidden="1"/>
    <cellStyle name="Lien hypertexte" xfId="28724" builtinId="8" hidden="1"/>
    <cellStyle name="Lien hypertexte" xfId="28726" builtinId="8" hidden="1"/>
    <cellStyle name="Lien hypertexte" xfId="28728" builtinId="8" hidden="1"/>
    <cellStyle name="Lien hypertexte" xfId="28730" builtinId="8" hidden="1"/>
    <cellStyle name="Lien hypertexte" xfId="28732" builtinId="8" hidden="1"/>
    <cellStyle name="Lien hypertexte" xfId="28734" builtinId="8" hidden="1"/>
    <cellStyle name="Lien hypertexte" xfId="28736" builtinId="8" hidden="1"/>
    <cellStyle name="Lien hypertexte" xfId="28738" builtinId="8" hidden="1"/>
    <cellStyle name="Lien hypertexte" xfId="28740" builtinId="8" hidden="1"/>
    <cellStyle name="Lien hypertexte" xfId="28742" builtinId="8" hidden="1"/>
    <cellStyle name="Lien hypertexte" xfId="28744" builtinId="8" hidden="1"/>
    <cellStyle name="Lien hypertexte" xfId="28746" builtinId="8" hidden="1"/>
    <cellStyle name="Lien hypertexte" xfId="28748" builtinId="8" hidden="1"/>
    <cellStyle name="Lien hypertexte" xfId="28750" builtinId="8" hidden="1"/>
    <cellStyle name="Lien hypertexte" xfId="28752" builtinId="8" hidden="1"/>
    <cellStyle name="Lien hypertexte" xfId="28754" builtinId="8" hidden="1"/>
    <cellStyle name="Lien hypertexte" xfId="28756" builtinId="8" hidden="1"/>
    <cellStyle name="Lien hypertexte" xfId="28758" builtinId="8" hidden="1"/>
    <cellStyle name="Lien hypertexte" xfId="28760" builtinId="8" hidden="1"/>
    <cellStyle name="Lien hypertexte" xfId="28762" builtinId="8" hidden="1"/>
    <cellStyle name="Lien hypertexte" xfId="28764" builtinId="8" hidden="1"/>
    <cellStyle name="Lien hypertexte" xfId="28766" builtinId="8" hidden="1"/>
    <cellStyle name="Lien hypertexte" xfId="28768" builtinId="8" hidden="1"/>
    <cellStyle name="Lien hypertexte" xfId="28770" builtinId="8" hidden="1"/>
    <cellStyle name="Lien hypertexte" xfId="28772" builtinId="8" hidden="1"/>
    <cellStyle name="Lien hypertexte" xfId="28774" builtinId="8" hidden="1"/>
    <cellStyle name="Lien hypertexte" xfId="28776" builtinId="8" hidden="1"/>
    <cellStyle name="Lien hypertexte" xfId="28778" builtinId="8" hidden="1"/>
    <cellStyle name="Lien hypertexte" xfId="28780" builtinId="8" hidden="1"/>
    <cellStyle name="Lien hypertexte" xfId="28782" builtinId="8" hidden="1"/>
    <cellStyle name="Lien hypertexte" xfId="28784" builtinId="8" hidden="1"/>
    <cellStyle name="Lien hypertexte" xfId="28786" builtinId="8" hidden="1"/>
    <cellStyle name="Lien hypertexte" xfId="28788" builtinId="8" hidden="1"/>
    <cellStyle name="Lien hypertexte" xfId="28790" builtinId="8" hidden="1"/>
    <cellStyle name="Lien hypertexte" xfId="28792" builtinId="8" hidden="1"/>
    <cellStyle name="Lien hypertexte" xfId="28794" builtinId="8" hidden="1"/>
    <cellStyle name="Lien hypertexte" xfId="28796" builtinId="8" hidden="1"/>
    <cellStyle name="Lien hypertexte" xfId="28798" builtinId="8" hidden="1"/>
    <cellStyle name="Lien hypertexte" xfId="28800" builtinId="8" hidden="1"/>
    <cellStyle name="Lien hypertexte" xfId="28802" builtinId="8" hidden="1"/>
    <cellStyle name="Lien hypertexte" xfId="28804" builtinId="8" hidden="1"/>
    <cellStyle name="Lien hypertexte" xfId="28806" builtinId="8" hidden="1"/>
    <cellStyle name="Lien hypertexte" xfId="28808" builtinId="8" hidden="1"/>
    <cellStyle name="Lien hypertexte" xfId="28810" builtinId="8" hidden="1"/>
    <cellStyle name="Lien hypertexte" xfId="28812" builtinId="8" hidden="1"/>
    <cellStyle name="Lien hypertexte" xfId="28814" builtinId="8" hidden="1"/>
    <cellStyle name="Lien hypertexte" xfId="28816" builtinId="8" hidden="1"/>
    <cellStyle name="Lien hypertexte" xfId="28818" builtinId="8" hidden="1"/>
    <cellStyle name="Lien hypertexte" xfId="28820" builtinId="8" hidden="1"/>
    <cellStyle name="Lien hypertexte" xfId="28822" builtinId="8" hidden="1"/>
    <cellStyle name="Lien hypertexte" xfId="28824" builtinId="8" hidden="1"/>
    <cellStyle name="Lien hypertexte" xfId="28826" builtinId="8" hidden="1"/>
    <cellStyle name="Lien hypertexte" xfId="28828" builtinId="8" hidden="1"/>
    <cellStyle name="Lien hypertexte" xfId="28830" builtinId="8" hidden="1"/>
    <cellStyle name="Lien hypertexte" xfId="28832" builtinId="8" hidden="1"/>
    <cellStyle name="Lien hypertexte" xfId="28834" builtinId="8" hidden="1"/>
    <cellStyle name="Lien hypertexte" xfId="28836" builtinId="8" hidden="1"/>
    <cellStyle name="Lien hypertexte" xfId="28838" builtinId="8" hidden="1"/>
    <cellStyle name="Lien hypertexte" xfId="28840" builtinId="8" hidden="1"/>
    <cellStyle name="Lien hypertexte" xfId="28842" builtinId="8" hidden="1"/>
    <cellStyle name="Lien hypertexte" xfId="28844" builtinId="8" hidden="1"/>
    <cellStyle name="Lien hypertexte" xfId="28846" builtinId="8" hidden="1"/>
    <cellStyle name="Lien hypertexte" xfId="28848" builtinId="8" hidden="1"/>
    <cellStyle name="Lien hypertexte" xfId="28850" builtinId="8" hidden="1"/>
    <cellStyle name="Lien hypertexte" xfId="28852" builtinId="8" hidden="1"/>
    <cellStyle name="Lien hypertexte" xfId="28854" builtinId="8" hidden="1"/>
    <cellStyle name="Lien hypertexte" xfId="28856" builtinId="8" hidden="1"/>
    <cellStyle name="Lien hypertexte" xfId="28858" builtinId="8" hidden="1"/>
    <cellStyle name="Lien hypertexte" xfId="28860" builtinId="8" hidden="1"/>
    <cellStyle name="Lien hypertexte" xfId="28862" builtinId="8" hidden="1"/>
    <cellStyle name="Lien hypertexte" xfId="28864" builtinId="8" hidden="1"/>
    <cellStyle name="Lien hypertexte" xfId="28866" builtinId="8" hidden="1"/>
    <cellStyle name="Lien hypertexte" xfId="28868" builtinId="8" hidden="1"/>
    <cellStyle name="Lien hypertexte" xfId="28870" builtinId="8" hidden="1"/>
    <cellStyle name="Lien hypertexte" xfId="28872" builtinId="8" hidden="1"/>
    <cellStyle name="Lien hypertexte" xfId="28874" builtinId="8" hidden="1"/>
    <cellStyle name="Lien hypertexte" xfId="28876" builtinId="8" hidden="1"/>
    <cellStyle name="Lien hypertexte" xfId="28878" builtinId="8" hidden="1"/>
    <cellStyle name="Lien hypertexte" xfId="28880" builtinId="8" hidden="1"/>
    <cellStyle name="Lien hypertexte" xfId="28882" builtinId="8" hidden="1"/>
    <cellStyle name="Lien hypertexte" xfId="28884" builtinId="8" hidden="1"/>
    <cellStyle name="Lien hypertexte" xfId="28886" builtinId="8" hidden="1"/>
    <cellStyle name="Lien hypertexte" xfId="28888" builtinId="8" hidden="1"/>
    <cellStyle name="Lien hypertexte" xfId="28890" builtinId="8" hidden="1"/>
    <cellStyle name="Lien hypertexte" xfId="28892" builtinId="8" hidden="1"/>
    <cellStyle name="Lien hypertexte" xfId="28894" builtinId="8" hidden="1"/>
    <cellStyle name="Lien hypertexte" xfId="28896" builtinId="8" hidden="1"/>
    <cellStyle name="Lien hypertexte" xfId="28898" builtinId="8" hidden="1"/>
    <cellStyle name="Lien hypertexte" xfId="28900" builtinId="8" hidden="1"/>
    <cellStyle name="Lien hypertexte" xfId="28902" builtinId="8" hidden="1"/>
    <cellStyle name="Lien hypertexte" xfId="28904" builtinId="8" hidden="1"/>
    <cellStyle name="Lien hypertexte" xfId="28906" builtinId="8" hidden="1"/>
    <cellStyle name="Lien hypertexte" xfId="28908" builtinId="8" hidden="1"/>
    <cellStyle name="Lien hypertexte" xfId="28910" builtinId="8" hidden="1"/>
    <cellStyle name="Lien hypertexte" xfId="28912" builtinId="8" hidden="1"/>
    <cellStyle name="Lien hypertexte" xfId="28914" builtinId="8" hidden="1"/>
    <cellStyle name="Lien hypertexte" xfId="28916" builtinId="8" hidden="1"/>
    <cellStyle name="Lien hypertexte" xfId="28918" builtinId="8" hidden="1"/>
    <cellStyle name="Lien hypertexte" xfId="28920" builtinId="8" hidden="1"/>
    <cellStyle name="Lien hypertexte" xfId="28922" builtinId="8" hidden="1"/>
    <cellStyle name="Lien hypertexte" xfId="28924" builtinId="8" hidden="1"/>
    <cellStyle name="Lien hypertexte" xfId="28926" builtinId="8" hidden="1"/>
    <cellStyle name="Lien hypertexte" xfId="28928" builtinId="8" hidden="1"/>
    <cellStyle name="Lien hypertexte" xfId="28930" builtinId="8" hidden="1"/>
    <cellStyle name="Lien hypertexte" xfId="28932" builtinId="8" hidden="1"/>
    <cellStyle name="Lien hypertexte" xfId="28934" builtinId="8" hidden="1"/>
    <cellStyle name="Lien hypertexte" xfId="28936" builtinId="8" hidden="1"/>
    <cellStyle name="Lien hypertexte" xfId="28938" builtinId="8" hidden="1"/>
    <cellStyle name="Lien hypertexte" xfId="28940" builtinId="8" hidden="1"/>
    <cellStyle name="Lien hypertexte" xfId="28942" builtinId="8" hidden="1"/>
    <cellStyle name="Lien hypertexte" xfId="28944" builtinId="8" hidden="1"/>
    <cellStyle name="Lien hypertexte" xfId="28946" builtinId="8" hidden="1"/>
    <cellStyle name="Lien hypertexte" xfId="28948" builtinId="8" hidden="1"/>
    <cellStyle name="Lien hypertexte" xfId="28950" builtinId="8" hidden="1"/>
    <cellStyle name="Lien hypertexte" xfId="28952" builtinId="8" hidden="1"/>
    <cellStyle name="Lien hypertexte" xfId="28954" builtinId="8" hidden="1"/>
    <cellStyle name="Lien hypertexte" xfId="28956" builtinId="8" hidden="1"/>
    <cellStyle name="Lien hypertexte" xfId="28958" builtinId="8" hidden="1"/>
    <cellStyle name="Lien hypertexte" xfId="28960" builtinId="8" hidden="1"/>
    <cellStyle name="Lien hypertexte" xfId="28962" builtinId="8" hidden="1"/>
    <cellStyle name="Lien hypertexte" xfId="28964" builtinId="8" hidden="1"/>
    <cellStyle name="Lien hypertexte" xfId="28966" builtinId="8" hidden="1"/>
    <cellStyle name="Lien hypertexte" xfId="28968" builtinId="8" hidden="1"/>
    <cellStyle name="Lien hypertexte" xfId="28970" builtinId="8" hidden="1"/>
    <cellStyle name="Lien hypertexte" xfId="28972" builtinId="8" hidden="1"/>
    <cellStyle name="Lien hypertexte" xfId="28974" builtinId="8" hidden="1"/>
    <cellStyle name="Lien hypertexte" xfId="28976" builtinId="8" hidden="1"/>
    <cellStyle name="Lien hypertexte" xfId="28978" builtinId="8" hidden="1"/>
    <cellStyle name="Lien hypertexte" xfId="28980" builtinId="8" hidden="1"/>
    <cellStyle name="Lien hypertexte" xfId="28982" builtinId="8" hidden="1"/>
    <cellStyle name="Lien hypertexte" xfId="28984" builtinId="8" hidden="1"/>
    <cellStyle name="Lien hypertexte" xfId="28986" builtinId="8" hidden="1"/>
    <cellStyle name="Lien hypertexte" xfId="28988" builtinId="8" hidden="1"/>
    <cellStyle name="Lien hypertexte" xfId="28990" builtinId="8" hidden="1"/>
    <cellStyle name="Lien hypertexte" xfId="28992" builtinId="8" hidden="1"/>
    <cellStyle name="Lien hypertexte" xfId="28994" builtinId="8" hidden="1"/>
    <cellStyle name="Lien hypertexte" xfId="28996" builtinId="8" hidden="1"/>
    <cellStyle name="Lien hypertexte" xfId="28998" builtinId="8" hidden="1"/>
    <cellStyle name="Lien hypertexte" xfId="29000" builtinId="8" hidden="1"/>
    <cellStyle name="Lien hypertexte" xfId="29002" builtinId="8" hidden="1"/>
    <cellStyle name="Lien hypertexte" xfId="29004" builtinId="8" hidden="1"/>
    <cellStyle name="Lien hypertexte" xfId="29006" builtinId="8" hidden="1"/>
    <cellStyle name="Lien hypertexte" xfId="29008" builtinId="8" hidden="1"/>
    <cellStyle name="Lien hypertexte" xfId="29010" builtinId="8" hidden="1"/>
    <cellStyle name="Lien hypertexte" xfId="29012" builtinId="8" hidden="1"/>
    <cellStyle name="Lien hypertexte" xfId="29014" builtinId="8" hidden="1"/>
    <cellStyle name="Lien hypertexte" xfId="29016" builtinId="8" hidden="1"/>
    <cellStyle name="Lien hypertexte" xfId="29018" builtinId="8" hidden="1"/>
    <cellStyle name="Lien hypertexte" xfId="29020" builtinId="8" hidden="1"/>
    <cellStyle name="Lien hypertexte" xfId="29022" builtinId="8" hidden="1"/>
    <cellStyle name="Lien hypertexte" xfId="29024" builtinId="8" hidden="1"/>
    <cellStyle name="Lien hypertexte" xfId="29026" builtinId="8" hidden="1"/>
    <cellStyle name="Lien hypertexte" xfId="29028" builtinId="8" hidden="1"/>
    <cellStyle name="Lien hypertexte" xfId="29030" builtinId="8" hidden="1"/>
    <cellStyle name="Lien hypertexte" xfId="29032" builtinId="8" hidden="1"/>
    <cellStyle name="Lien hypertexte" xfId="29034" builtinId="8" hidden="1"/>
    <cellStyle name="Lien hypertexte" xfId="29036" builtinId="8" hidden="1"/>
    <cellStyle name="Lien hypertexte" xfId="29038" builtinId="8" hidden="1"/>
    <cellStyle name="Lien hypertexte" xfId="29040" builtinId="8" hidden="1"/>
    <cellStyle name="Lien hypertexte" xfId="29042" builtinId="8" hidden="1"/>
    <cellStyle name="Lien hypertexte" xfId="29044" builtinId="8" hidden="1"/>
    <cellStyle name="Lien hypertexte" xfId="29046" builtinId="8" hidden="1"/>
    <cellStyle name="Lien hypertexte" xfId="29048" builtinId="8" hidden="1"/>
    <cellStyle name="Lien hypertexte" xfId="29050" builtinId="8" hidden="1"/>
    <cellStyle name="Lien hypertexte" xfId="29052" builtinId="8" hidden="1"/>
    <cellStyle name="Lien hypertexte" xfId="29054" builtinId="8" hidden="1"/>
    <cellStyle name="Lien hypertexte" xfId="29056" builtinId="8" hidden="1"/>
    <cellStyle name="Lien hypertexte" xfId="29058" builtinId="8" hidden="1"/>
    <cellStyle name="Lien hypertexte" xfId="29060" builtinId="8" hidden="1"/>
    <cellStyle name="Lien hypertexte" xfId="29062" builtinId="8" hidden="1"/>
    <cellStyle name="Lien hypertexte" xfId="29064" builtinId="8" hidden="1"/>
    <cellStyle name="Lien hypertexte" xfId="29066" builtinId="8" hidden="1"/>
    <cellStyle name="Lien hypertexte" xfId="29068" builtinId="8" hidden="1"/>
    <cellStyle name="Lien hypertexte" xfId="29070" builtinId="8" hidden="1"/>
    <cellStyle name="Lien hypertexte" xfId="29072" builtinId="8" hidden="1"/>
    <cellStyle name="Lien hypertexte" xfId="29074" builtinId="8" hidden="1"/>
    <cellStyle name="Lien hypertexte" xfId="29076" builtinId="8" hidden="1"/>
    <cellStyle name="Lien hypertexte" xfId="29078" builtinId="8" hidden="1"/>
    <cellStyle name="Lien hypertexte" xfId="29080" builtinId="8" hidden="1"/>
    <cellStyle name="Lien hypertexte" xfId="29082" builtinId="8" hidden="1"/>
    <cellStyle name="Lien hypertexte" xfId="29084" builtinId="8" hidden="1"/>
    <cellStyle name="Lien hypertexte" xfId="29086" builtinId="8" hidden="1"/>
    <cellStyle name="Lien hypertexte" xfId="29088" builtinId="8" hidden="1"/>
    <cellStyle name="Lien hypertexte" xfId="29090" builtinId="8" hidden="1"/>
    <cellStyle name="Lien hypertexte" xfId="29092" builtinId="8" hidden="1"/>
    <cellStyle name="Lien hypertexte" xfId="29094" builtinId="8" hidden="1"/>
    <cellStyle name="Lien hypertexte" xfId="29096" builtinId="8" hidden="1"/>
    <cellStyle name="Lien hypertexte" xfId="29098" builtinId="8" hidden="1"/>
    <cellStyle name="Lien hypertexte" xfId="29100" builtinId="8" hidden="1"/>
    <cellStyle name="Lien hypertexte" xfId="29102" builtinId="8" hidden="1"/>
    <cellStyle name="Lien hypertexte" xfId="29104" builtinId="8" hidden="1"/>
    <cellStyle name="Lien hypertexte" xfId="29106" builtinId="8" hidden="1"/>
    <cellStyle name="Lien hypertexte" xfId="29108" builtinId="8" hidden="1"/>
    <cellStyle name="Lien hypertexte" xfId="29110" builtinId="8" hidden="1"/>
    <cellStyle name="Lien hypertexte" xfId="29112" builtinId="8" hidden="1"/>
    <cellStyle name="Lien hypertexte" xfId="29114" builtinId="8" hidden="1"/>
    <cellStyle name="Lien hypertexte" xfId="29116" builtinId="8" hidden="1"/>
    <cellStyle name="Lien hypertexte" xfId="29118" builtinId="8" hidden="1"/>
    <cellStyle name="Lien hypertexte" xfId="29120" builtinId="8" hidden="1"/>
    <cellStyle name="Lien hypertexte" xfId="29122" builtinId="8" hidden="1"/>
    <cellStyle name="Lien hypertexte" xfId="29124" builtinId="8" hidden="1"/>
    <cellStyle name="Lien hypertexte" xfId="29126" builtinId="8" hidden="1"/>
    <cellStyle name="Lien hypertexte" xfId="29128" builtinId="8" hidden="1"/>
    <cellStyle name="Lien hypertexte" xfId="29130" builtinId="8" hidden="1"/>
    <cellStyle name="Lien hypertexte" xfId="29132" builtinId="8" hidden="1"/>
    <cellStyle name="Lien hypertexte" xfId="29134" builtinId="8" hidden="1"/>
    <cellStyle name="Lien hypertexte" xfId="29136" builtinId="8" hidden="1"/>
    <cellStyle name="Lien hypertexte" xfId="29138" builtinId="8" hidden="1"/>
    <cellStyle name="Lien hypertexte" xfId="29140" builtinId="8" hidden="1"/>
    <cellStyle name="Lien hypertexte" xfId="29142" builtinId="8" hidden="1"/>
    <cellStyle name="Lien hypertexte" xfId="29144" builtinId="8" hidden="1"/>
    <cellStyle name="Lien hypertexte" xfId="29146" builtinId="8" hidden="1"/>
    <cellStyle name="Lien hypertexte" xfId="29148" builtinId="8" hidden="1"/>
    <cellStyle name="Lien hypertexte" xfId="29150" builtinId="8" hidden="1"/>
    <cellStyle name="Lien hypertexte" xfId="29152" builtinId="8" hidden="1"/>
    <cellStyle name="Lien hypertexte" xfId="29154" builtinId="8" hidden="1"/>
    <cellStyle name="Lien hypertexte" xfId="29156" builtinId="8" hidden="1"/>
    <cellStyle name="Lien hypertexte" xfId="29158" builtinId="8" hidden="1"/>
    <cellStyle name="Lien hypertexte" xfId="29160" builtinId="8" hidden="1"/>
    <cellStyle name="Lien hypertexte" xfId="29162" builtinId="8" hidden="1"/>
    <cellStyle name="Lien hypertexte" xfId="29164" builtinId="8" hidden="1"/>
    <cellStyle name="Lien hypertexte" xfId="29166" builtinId="8" hidden="1"/>
    <cellStyle name="Lien hypertexte" xfId="29168" builtinId="8" hidden="1"/>
    <cellStyle name="Lien hypertexte" xfId="29170" builtinId="8" hidden="1"/>
    <cellStyle name="Lien hypertexte" xfId="29172" builtinId="8" hidden="1"/>
    <cellStyle name="Lien hypertexte" xfId="29174" builtinId="8" hidden="1"/>
    <cellStyle name="Lien hypertexte" xfId="29176" builtinId="8" hidden="1"/>
    <cellStyle name="Lien hypertexte" xfId="29178" builtinId="8" hidden="1"/>
    <cellStyle name="Lien hypertexte" xfId="29180" builtinId="8" hidden="1"/>
    <cellStyle name="Lien hypertexte" xfId="29182" builtinId="8" hidden="1"/>
    <cellStyle name="Lien hypertexte" xfId="29184" builtinId="8" hidden="1"/>
    <cellStyle name="Lien hypertexte" xfId="29186" builtinId="8" hidden="1"/>
    <cellStyle name="Lien hypertexte" xfId="29188" builtinId="8" hidden="1"/>
    <cellStyle name="Lien hypertexte" xfId="29190" builtinId="8" hidden="1"/>
    <cellStyle name="Lien hypertexte" xfId="29192" builtinId="8" hidden="1"/>
    <cellStyle name="Lien hypertexte" xfId="29194" builtinId="8" hidden="1"/>
    <cellStyle name="Lien hypertexte" xfId="29196" builtinId="8" hidden="1"/>
    <cellStyle name="Lien hypertexte" xfId="29198" builtinId="8" hidden="1"/>
    <cellStyle name="Lien hypertexte" xfId="29200" builtinId="8" hidden="1"/>
    <cellStyle name="Lien hypertexte" xfId="29202" builtinId="8" hidden="1"/>
    <cellStyle name="Lien hypertexte" xfId="29204" builtinId="8" hidden="1"/>
    <cellStyle name="Lien hypertexte" xfId="29206" builtinId="8" hidden="1"/>
    <cellStyle name="Lien hypertexte" xfId="29208" builtinId="8" hidden="1"/>
    <cellStyle name="Lien hypertexte" xfId="29210" builtinId="8" hidden="1"/>
    <cellStyle name="Lien hypertexte" xfId="29212" builtinId="8" hidden="1"/>
    <cellStyle name="Lien hypertexte" xfId="29214" builtinId="8" hidden="1"/>
    <cellStyle name="Lien hypertexte" xfId="29216" builtinId="8" hidden="1"/>
    <cellStyle name="Lien hypertexte" xfId="29218" builtinId="8" hidden="1"/>
    <cellStyle name="Lien hypertexte" xfId="29220" builtinId="8" hidden="1"/>
    <cellStyle name="Lien hypertexte" xfId="29222" builtinId="8" hidden="1"/>
    <cellStyle name="Lien hypertexte" xfId="29224" builtinId="8" hidden="1"/>
    <cellStyle name="Lien hypertexte" xfId="29226" builtinId="8" hidden="1"/>
    <cellStyle name="Lien hypertexte" xfId="29228" builtinId="8" hidden="1"/>
    <cellStyle name="Lien hypertexte" xfId="29230" builtinId="8" hidden="1"/>
    <cellStyle name="Lien hypertexte" xfId="29232" builtinId="8" hidden="1"/>
    <cellStyle name="Lien hypertexte" xfId="29234" builtinId="8" hidden="1"/>
    <cellStyle name="Lien hypertexte" xfId="29236" builtinId="8" hidden="1"/>
    <cellStyle name="Lien hypertexte" xfId="29238" builtinId="8" hidden="1"/>
    <cellStyle name="Lien hypertexte" xfId="29240" builtinId="8" hidden="1"/>
    <cellStyle name="Lien hypertexte" xfId="29242" builtinId="8" hidden="1"/>
    <cellStyle name="Lien hypertexte" xfId="29244" builtinId="8" hidden="1"/>
    <cellStyle name="Lien hypertexte" xfId="29246" builtinId="8" hidden="1"/>
    <cellStyle name="Lien hypertexte" xfId="29248" builtinId="8" hidden="1"/>
    <cellStyle name="Lien hypertexte" xfId="29250" builtinId="8" hidden="1"/>
    <cellStyle name="Lien hypertexte" xfId="29252" builtinId="8" hidden="1"/>
    <cellStyle name="Lien hypertexte" xfId="29254" builtinId="8" hidden="1"/>
    <cellStyle name="Lien hypertexte" xfId="29256" builtinId="8" hidden="1"/>
    <cellStyle name="Lien hypertexte" xfId="29258" builtinId="8" hidden="1"/>
    <cellStyle name="Lien hypertexte" xfId="29260" builtinId="8" hidden="1"/>
    <cellStyle name="Lien hypertexte" xfId="29262" builtinId="8" hidden="1"/>
    <cellStyle name="Lien hypertexte" xfId="29264" builtinId="8" hidden="1"/>
    <cellStyle name="Lien hypertexte" xfId="29266" builtinId="8" hidden="1"/>
    <cellStyle name="Lien hypertexte" xfId="29268" builtinId="8" hidden="1"/>
    <cellStyle name="Lien hypertexte" xfId="29270" builtinId="8" hidden="1"/>
    <cellStyle name="Lien hypertexte" xfId="29272" builtinId="8" hidden="1"/>
    <cellStyle name="Lien hypertexte" xfId="29274" builtinId="8" hidden="1"/>
    <cellStyle name="Lien hypertexte" xfId="29276" builtinId="8" hidden="1"/>
    <cellStyle name="Lien hypertexte" xfId="29278" builtinId="8" hidden="1"/>
    <cellStyle name="Lien hypertexte" xfId="29280" builtinId="8" hidden="1"/>
    <cellStyle name="Lien hypertexte" xfId="29282" builtinId="8" hidden="1"/>
    <cellStyle name="Lien hypertexte" xfId="29284" builtinId="8" hidden="1"/>
    <cellStyle name="Lien hypertexte" xfId="29286" builtinId="8" hidden="1"/>
    <cellStyle name="Lien hypertexte" xfId="29288" builtinId="8" hidden="1"/>
    <cellStyle name="Lien hypertexte" xfId="29290" builtinId="8" hidden="1"/>
    <cellStyle name="Lien hypertexte" xfId="29292" builtinId="8" hidden="1"/>
    <cellStyle name="Lien hypertexte" xfId="29294" builtinId="8" hidden="1"/>
    <cellStyle name="Lien hypertexte" xfId="29296" builtinId="8" hidden="1"/>
    <cellStyle name="Lien hypertexte" xfId="29298" builtinId="8" hidden="1"/>
    <cellStyle name="Lien hypertexte" xfId="29300" builtinId="8" hidden="1"/>
    <cellStyle name="Lien hypertexte" xfId="29302" builtinId="8" hidden="1"/>
    <cellStyle name="Lien hypertexte" xfId="29304" builtinId="8" hidden="1"/>
    <cellStyle name="Lien hypertexte" xfId="29306" builtinId="8" hidden="1"/>
    <cellStyle name="Lien hypertexte" xfId="29308" builtinId="8" hidden="1"/>
    <cellStyle name="Lien hypertexte" xfId="29310" builtinId="8" hidden="1"/>
    <cellStyle name="Lien hypertexte" xfId="29312" builtinId="8" hidden="1"/>
    <cellStyle name="Lien hypertexte" xfId="29314" builtinId="8" hidden="1"/>
    <cellStyle name="Lien hypertexte" xfId="29316" builtinId="8" hidden="1"/>
    <cellStyle name="Lien hypertexte" xfId="29318" builtinId="8" hidden="1"/>
    <cellStyle name="Lien hypertexte" xfId="29320" builtinId="8" hidden="1"/>
    <cellStyle name="Lien hypertexte" xfId="29322" builtinId="8" hidden="1"/>
    <cellStyle name="Lien hypertexte" xfId="29324" builtinId="8" hidden="1"/>
    <cellStyle name="Lien hypertexte" xfId="29326" builtinId="8" hidden="1"/>
    <cellStyle name="Lien hypertexte" xfId="29328" builtinId="8" hidden="1"/>
    <cellStyle name="Lien hypertexte" xfId="29330" builtinId="8" hidden="1"/>
    <cellStyle name="Lien hypertexte" xfId="29332" builtinId="8" hidden="1"/>
    <cellStyle name="Lien hypertexte" xfId="29334" builtinId="8" hidden="1"/>
    <cellStyle name="Lien hypertexte" xfId="29336" builtinId="8" hidden="1"/>
    <cellStyle name="Lien hypertexte" xfId="29338" builtinId="8" hidden="1"/>
    <cellStyle name="Lien hypertexte" xfId="29340" builtinId="8" hidden="1"/>
    <cellStyle name="Lien hypertexte" xfId="29342" builtinId="8" hidden="1"/>
    <cellStyle name="Lien hypertexte" xfId="29344" builtinId="8" hidden="1"/>
    <cellStyle name="Lien hypertexte" xfId="29346" builtinId="8" hidden="1"/>
    <cellStyle name="Lien hypertexte" xfId="29348" builtinId="8" hidden="1"/>
    <cellStyle name="Lien hypertexte" xfId="29350" builtinId="8" hidden="1"/>
    <cellStyle name="Lien hypertexte" xfId="29352" builtinId="8" hidden="1"/>
    <cellStyle name="Lien hypertexte" xfId="29354" builtinId="8" hidden="1"/>
    <cellStyle name="Lien hypertexte" xfId="29356" builtinId="8" hidden="1"/>
    <cellStyle name="Lien hypertexte" xfId="29358" builtinId="8" hidden="1"/>
    <cellStyle name="Lien hypertexte" xfId="29360" builtinId="8" hidden="1"/>
    <cellStyle name="Lien hypertexte" xfId="29362" builtinId="8" hidden="1"/>
    <cellStyle name="Lien hypertexte" xfId="29364" builtinId="8" hidden="1"/>
    <cellStyle name="Lien hypertexte" xfId="29366" builtinId="8" hidden="1"/>
    <cellStyle name="Lien hypertexte" xfId="29368" builtinId="8" hidden="1"/>
    <cellStyle name="Lien hypertexte" xfId="29370" builtinId="8" hidden="1"/>
    <cellStyle name="Lien hypertexte" xfId="29372" builtinId="8" hidden="1"/>
    <cellStyle name="Lien hypertexte" xfId="29374" builtinId="8" hidden="1"/>
    <cellStyle name="Lien hypertexte" xfId="29376" builtinId="8" hidden="1"/>
    <cellStyle name="Lien hypertexte" xfId="29378" builtinId="8" hidden="1"/>
    <cellStyle name="Lien hypertexte" xfId="29380" builtinId="8" hidden="1"/>
    <cellStyle name="Lien hypertexte" xfId="29382" builtinId="8" hidden="1"/>
    <cellStyle name="Lien hypertexte" xfId="29384" builtinId="8" hidden="1"/>
    <cellStyle name="Lien hypertexte" xfId="29386" builtinId="8" hidden="1"/>
    <cellStyle name="Lien hypertexte" xfId="29388" builtinId="8" hidden="1"/>
    <cellStyle name="Lien hypertexte" xfId="29390" builtinId="8" hidden="1"/>
    <cellStyle name="Lien hypertexte" xfId="29392" builtinId="8" hidden="1"/>
    <cellStyle name="Lien hypertexte" xfId="29394" builtinId="8" hidden="1"/>
    <cellStyle name="Lien hypertexte" xfId="29396" builtinId="8" hidden="1"/>
    <cellStyle name="Lien hypertexte" xfId="29398" builtinId="8" hidden="1"/>
    <cellStyle name="Lien hypertexte" xfId="29400" builtinId="8" hidden="1"/>
    <cellStyle name="Lien hypertexte" xfId="29402" builtinId="8" hidden="1"/>
    <cellStyle name="Lien hypertexte" xfId="29404" builtinId="8" hidden="1"/>
    <cellStyle name="Lien hypertexte" xfId="29406" builtinId="8" hidden="1"/>
    <cellStyle name="Lien hypertexte" xfId="29408" builtinId="8" hidden="1"/>
    <cellStyle name="Lien hypertexte" xfId="29410" builtinId="8" hidden="1"/>
    <cellStyle name="Lien hypertexte" xfId="29412" builtinId="8" hidden="1"/>
    <cellStyle name="Lien hypertexte" xfId="29414" builtinId="8" hidden="1"/>
    <cellStyle name="Lien hypertexte" xfId="29416" builtinId="8" hidden="1"/>
    <cellStyle name="Lien hypertexte" xfId="29418" builtinId="8" hidden="1"/>
    <cellStyle name="Lien hypertexte" xfId="29420" builtinId="8" hidden="1"/>
    <cellStyle name="Lien hypertexte" xfId="29422" builtinId="8" hidden="1"/>
    <cellStyle name="Lien hypertexte" xfId="29424" builtinId="8" hidden="1"/>
    <cellStyle name="Lien hypertexte" xfId="29426" builtinId="8" hidden="1"/>
    <cellStyle name="Lien hypertexte" xfId="29428" builtinId="8" hidden="1"/>
    <cellStyle name="Lien hypertexte" xfId="29430" builtinId="8" hidden="1"/>
    <cellStyle name="Lien hypertexte" xfId="29432" builtinId="8" hidden="1"/>
    <cellStyle name="Lien hypertexte" xfId="29434" builtinId="8" hidden="1"/>
    <cellStyle name="Lien hypertexte" xfId="29436" builtinId="8" hidden="1"/>
    <cellStyle name="Lien hypertexte" xfId="29438" builtinId="8" hidden="1"/>
    <cellStyle name="Lien hypertexte" xfId="29440" builtinId="8" hidden="1"/>
    <cellStyle name="Lien hypertexte" xfId="29442" builtinId="8" hidden="1"/>
    <cellStyle name="Lien hypertexte" xfId="29444" builtinId="8" hidden="1"/>
    <cellStyle name="Lien hypertexte" xfId="29446" builtinId="8" hidden="1"/>
    <cellStyle name="Lien hypertexte" xfId="29448" builtinId="8" hidden="1"/>
    <cellStyle name="Lien hypertexte" xfId="29450" builtinId="8" hidden="1"/>
    <cellStyle name="Lien hypertexte" xfId="29452" builtinId="8" hidden="1"/>
    <cellStyle name="Lien hypertexte" xfId="29454" builtinId="8" hidden="1"/>
    <cellStyle name="Lien hypertexte" xfId="29456" builtinId="8" hidden="1"/>
    <cellStyle name="Lien hypertexte" xfId="29458" builtinId="8" hidden="1"/>
    <cellStyle name="Lien hypertexte" xfId="29460" builtinId="8" hidden="1"/>
    <cellStyle name="Lien hypertexte" xfId="29462" builtinId="8" hidden="1"/>
    <cellStyle name="Lien hypertexte" xfId="29464" builtinId="8" hidden="1"/>
    <cellStyle name="Lien hypertexte" xfId="29466" builtinId="8" hidden="1"/>
    <cellStyle name="Lien hypertexte" xfId="29468" builtinId="8" hidden="1"/>
    <cellStyle name="Lien hypertexte" xfId="29470" builtinId="8" hidden="1"/>
    <cellStyle name="Lien hypertexte" xfId="29472" builtinId="8" hidden="1"/>
    <cellStyle name="Lien hypertexte" xfId="29474" builtinId="8" hidden="1"/>
    <cellStyle name="Lien hypertexte" xfId="29476" builtinId="8" hidden="1"/>
    <cellStyle name="Lien hypertexte" xfId="29478" builtinId="8" hidden="1"/>
    <cellStyle name="Lien hypertexte" xfId="29480" builtinId="8" hidden="1"/>
    <cellStyle name="Lien hypertexte" xfId="29482" builtinId="8" hidden="1"/>
    <cellStyle name="Lien hypertexte" xfId="29484" builtinId="8" hidden="1"/>
    <cellStyle name="Lien hypertexte" xfId="29486" builtinId="8" hidden="1"/>
    <cellStyle name="Lien hypertexte" xfId="29488" builtinId="8" hidden="1"/>
    <cellStyle name="Lien hypertexte" xfId="29490" builtinId="8" hidden="1"/>
    <cellStyle name="Lien hypertexte" xfId="29492" builtinId="8" hidden="1"/>
    <cellStyle name="Lien hypertexte" xfId="29494" builtinId="8" hidden="1"/>
    <cellStyle name="Lien hypertexte" xfId="29496" builtinId="8" hidden="1"/>
    <cellStyle name="Lien hypertexte" xfId="29498" builtinId="8" hidden="1"/>
    <cellStyle name="Lien hypertexte" xfId="29500" builtinId="8" hidden="1"/>
    <cellStyle name="Lien hypertexte" xfId="29502" builtinId="8" hidden="1"/>
    <cellStyle name="Lien hypertexte" xfId="29504" builtinId="8" hidden="1"/>
    <cellStyle name="Lien hypertexte" xfId="29506" builtinId="8" hidden="1"/>
    <cellStyle name="Lien hypertexte" xfId="29508" builtinId="8" hidden="1"/>
    <cellStyle name="Lien hypertexte" xfId="29510" builtinId="8" hidden="1"/>
    <cellStyle name="Lien hypertexte" xfId="29512" builtinId="8" hidden="1"/>
    <cellStyle name="Lien hypertexte" xfId="29514" builtinId="8" hidden="1"/>
    <cellStyle name="Lien hypertexte" xfId="29516" builtinId="8" hidden="1"/>
    <cellStyle name="Lien hypertexte" xfId="29518" builtinId="8" hidden="1"/>
    <cellStyle name="Lien hypertexte" xfId="29520" builtinId="8" hidden="1"/>
    <cellStyle name="Lien hypertexte" xfId="29522" builtinId="8" hidden="1"/>
    <cellStyle name="Lien hypertexte" xfId="29524" builtinId="8" hidden="1"/>
    <cellStyle name="Lien hypertexte" xfId="29526" builtinId="8" hidden="1"/>
    <cellStyle name="Lien hypertexte" xfId="29528" builtinId="8" hidden="1"/>
    <cellStyle name="Lien hypertexte" xfId="29530" builtinId="8" hidden="1"/>
    <cellStyle name="Lien hypertexte" xfId="29532" builtinId="8" hidden="1"/>
    <cellStyle name="Lien hypertexte" xfId="29534" builtinId="8" hidden="1"/>
    <cellStyle name="Lien hypertexte" xfId="29536" builtinId="8" hidden="1"/>
    <cellStyle name="Lien hypertexte" xfId="29538" builtinId="8" hidden="1"/>
    <cellStyle name="Lien hypertexte" xfId="29540" builtinId="8" hidden="1"/>
    <cellStyle name="Lien hypertexte" xfId="29542" builtinId="8" hidden="1"/>
    <cellStyle name="Lien hypertexte" xfId="29544" builtinId="8" hidden="1"/>
    <cellStyle name="Lien hypertexte" xfId="29546" builtinId="8" hidden="1"/>
    <cellStyle name="Lien hypertexte" xfId="29548" builtinId="8" hidden="1"/>
    <cellStyle name="Lien hypertexte" xfId="29550" builtinId="8" hidden="1"/>
    <cellStyle name="Lien hypertexte" xfId="29552" builtinId="8" hidden="1"/>
    <cellStyle name="Lien hypertexte" xfId="29554" builtinId="8" hidden="1"/>
    <cellStyle name="Lien hypertexte" xfId="29556" builtinId="8" hidden="1"/>
    <cellStyle name="Lien hypertexte" xfId="29558" builtinId="8" hidden="1"/>
    <cellStyle name="Lien hypertexte" xfId="29560" builtinId="8" hidden="1"/>
    <cellStyle name="Lien hypertexte" xfId="29562" builtinId="8" hidden="1"/>
    <cellStyle name="Lien hypertexte" xfId="29564" builtinId="8" hidden="1"/>
    <cellStyle name="Lien hypertexte" xfId="29566" builtinId="8" hidden="1"/>
    <cellStyle name="Lien hypertexte" xfId="29568" builtinId="8" hidden="1"/>
    <cellStyle name="Lien hypertexte" xfId="29570" builtinId="8" hidden="1"/>
    <cellStyle name="Lien hypertexte" xfId="29572" builtinId="8" hidden="1"/>
    <cellStyle name="Lien hypertexte" xfId="29574" builtinId="8" hidden="1"/>
    <cellStyle name="Lien hypertexte" xfId="29576" builtinId="8" hidden="1"/>
    <cellStyle name="Lien hypertexte" xfId="29578" builtinId="8" hidden="1"/>
    <cellStyle name="Lien hypertexte" xfId="29580" builtinId="8" hidden="1"/>
    <cellStyle name="Lien hypertexte" xfId="29582" builtinId="8" hidden="1"/>
    <cellStyle name="Lien hypertexte" xfId="29584" builtinId="8" hidden="1"/>
    <cellStyle name="Lien hypertexte" xfId="29586" builtinId="8" hidden="1"/>
    <cellStyle name="Lien hypertexte" xfId="29588" builtinId="8" hidden="1"/>
    <cellStyle name="Lien hypertexte" xfId="29590" builtinId="8" hidden="1"/>
    <cellStyle name="Lien hypertexte" xfId="29592" builtinId="8" hidden="1"/>
    <cellStyle name="Lien hypertexte" xfId="29594" builtinId="8" hidden="1"/>
    <cellStyle name="Lien hypertexte" xfId="29596" builtinId="8" hidden="1"/>
    <cellStyle name="Lien hypertexte" xfId="29598" builtinId="8" hidden="1"/>
    <cellStyle name="Lien hypertexte" xfId="29600" builtinId="8" hidden="1"/>
    <cellStyle name="Lien hypertexte" xfId="29602" builtinId="8" hidden="1"/>
    <cellStyle name="Lien hypertexte" xfId="29604" builtinId="8" hidden="1"/>
    <cellStyle name="Lien hypertexte" xfId="29606" builtinId="8" hidden="1"/>
    <cellStyle name="Lien hypertexte" xfId="29608" builtinId="8" hidden="1"/>
    <cellStyle name="Lien hypertexte" xfId="29610" builtinId="8" hidden="1"/>
    <cellStyle name="Lien hypertexte" xfId="29612" builtinId="8" hidden="1"/>
    <cellStyle name="Lien hypertexte" xfId="29614" builtinId="8" hidden="1"/>
    <cellStyle name="Lien hypertexte" xfId="29616" builtinId="8" hidden="1"/>
    <cellStyle name="Lien hypertexte" xfId="29618" builtinId="8" hidden="1"/>
    <cellStyle name="Lien hypertexte" xfId="29620" builtinId="8" hidden="1"/>
    <cellStyle name="Lien hypertexte" xfId="29622" builtinId="8" hidden="1"/>
    <cellStyle name="Lien hypertexte" xfId="29624" builtinId="8" hidden="1"/>
    <cellStyle name="Lien hypertexte" xfId="29626" builtinId="8" hidden="1"/>
    <cellStyle name="Lien hypertexte" xfId="29628" builtinId="8" hidden="1"/>
    <cellStyle name="Lien hypertexte" xfId="29630" builtinId="8" hidden="1"/>
    <cellStyle name="Lien hypertexte" xfId="29632" builtinId="8" hidden="1"/>
    <cellStyle name="Lien hypertexte" xfId="29634" builtinId="8" hidden="1"/>
    <cellStyle name="Lien hypertexte" xfId="29636" builtinId="8" hidden="1"/>
    <cellStyle name="Lien hypertexte" xfId="29638" builtinId="8" hidden="1"/>
    <cellStyle name="Lien hypertexte" xfId="29640" builtinId="8" hidden="1"/>
    <cellStyle name="Lien hypertexte" xfId="29642" builtinId="8" hidden="1"/>
    <cellStyle name="Lien hypertexte" xfId="29644" builtinId="8" hidden="1"/>
    <cellStyle name="Lien hypertexte" xfId="29646" builtinId="8" hidden="1"/>
    <cellStyle name="Lien hypertexte" xfId="29648" builtinId="8" hidden="1"/>
    <cellStyle name="Lien hypertexte" xfId="29650" builtinId="8" hidden="1"/>
    <cellStyle name="Lien hypertexte" xfId="29652" builtinId="8" hidden="1"/>
    <cellStyle name="Lien hypertexte" xfId="29654" builtinId="8" hidden="1"/>
    <cellStyle name="Lien hypertexte" xfId="29656" builtinId="8" hidden="1"/>
    <cellStyle name="Lien hypertexte" xfId="29658" builtinId="8" hidden="1"/>
    <cellStyle name="Lien hypertexte" xfId="29660" builtinId="8" hidden="1"/>
    <cellStyle name="Lien hypertexte" xfId="29662" builtinId="8" hidden="1"/>
    <cellStyle name="Lien hypertexte" xfId="29664" builtinId="8" hidden="1"/>
    <cellStyle name="Lien hypertexte" xfId="29666" builtinId="8" hidden="1"/>
    <cellStyle name="Lien hypertexte" xfId="29668" builtinId="8" hidden="1"/>
    <cellStyle name="Lien hypertexte" xfId="29670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5" builtinId="9" hidden="1"/>
    <cellStyle name="Lien hypertexte visité" xfId="127" builtinId="9" hidden="1"/>
    <cellStyle name="Lien hypertexte visité" xfId="129" builtinId="9" hidden="1"/>
    <cellStyle name="Lien hypertexte visité" xfId="131" builtinId="9" hidden="1"/>
    <cellStyle name="Lien hypertexte visité" xfId="133" builtinId="9" hidden="1"/>
    <cellStyle name="Lien hypertexte visité" xfId="135" builtinId="9" hidden="1"/>
    <cellStyle name="Lien hypertexte visité" xfId="137" builtinId="9" hidden="1"/>
    <cellStyle name="Lien hypertexte visité" xfId="139" builtinId="9" hidden="1"/>
    <cellStyle name="Lien hypertexte visité" xfId="141" builtinId="9" hidden="1"/>
    <cellStyle name="Lien hypertexte visité" xfId="143" builtinId="9" hidden="1"/>
    <cellStyle name="Lien hypertexte visité" xfId="145" builtinId="9" hidden="1"/>
    <cellStyle name="Lien hypertexte visité" xfId="147" builtinId="9" hidden="1"/>
    <cellStyle name="Lien hypertexte visité" xfId="149" builtinId="9" hidden="1"/>
    <cellStyle name="Lien hypertexte visité" xfId="151" builtinId="9" hidden="1"/>
    <cellStyle name="Lien hypertexte visité" xfId="153" builtinId="9" hidden="1"/>
    <cellStyle name="Lien hypertexte visité" xfId="155" builtinId="9" hidden="1"/>
    <cellStyle name="Lien hypertexte visité" xfId="157" builtinId="9" hidden="1"/>
    <cellStyle name="Lien hypertexte visité" xfId="159" builtinId="9" hidden="1"/>
    <cellStyle name="Lien hypertexte visité" xfId="161" builtinId="9" hidden="1"/>
    <cellStyle name="Lien hypertexte visité" xfId="163" builtinId="9" hidden="1"/>
    <cellStyle name="Lien hypertexte visité" xfId="165" builtinId="9" hidden="1"/>
    <cellStyle name="Lien hypertexte visité" xfId="167" builtinId="9" hidden="1"/>
    <cellStyle name="Lien hypertexte visité" xfId="169" builtinId="9" hidden="1"/>
    <cellStyle name="Lien hypertexte visité" xfId="171" builtinId="9" hidden="1"/>
    <cellStyle name="Lien hypertexte visité" xfId="173" builtinId="9" hidden="1"/>
    <cellStyle name="Lien hypertexte visité" xfId="175" builtinId="9" hidden="1"/>
    <cellStyle name="Lien hypertexte visité" xfId="177" builtinId="9" hidden="1"/>
    <cellStyle name="Lien hypertexte visité" xfId="179" builtinId="9" hidden="1"/>
    <cellStyle name="Lien hypertexte visité" xfId="181" builtinId="9" hidden="1"/>
    <cellStyle name="Lien hypertexte visité" xfId="183" builtinId="9" hidden="1"/>
    <cellStyle name="Lien hypertexte visité" xfId="185" builtinId="9" hidden="1"/>
    <cellStyle name="Lien hypertexte visité" xfId="187" builtinId="9" hidden="1"/>
    <cellStyle name="Lien hypertexte visité" xfId="189" builtinId="9" hidden="1"/>
    <cellStyle name="Lien hypertexte visité" xfId="191" builtinId="9" hidden="1"/>
    <cellStyle name="Lien hypertexte visité" xfId="193" builtinId="9" hidden="1"/>
    <cellStyle name="Lien hypertexte visité" xfId="195" builtinId="9" hidden="1"/>
    <cellStyle name="Lien hypertexte visité" xfId="197" builtinId="9" hidden="1"/>
    <cellStyle name="Lien hypertexte visité" xfId="199" builtinId="9" hidden="1"/>
    <cellStyle name="Lien hypertexte visité" xfId="201" builtinId="9" hidden="1"/>
    <cellStyle name="Lien hypertexte visité" xfId="203" builtinId="9" hidden="1"/>
    <cellStyle name="Lien hypertexte visité" xfId="205" builtinId="9" hidden="1"/>
    <cellStyle name="Lien hypertexte visité" xfId="207" builtinId="9" hidden="1"/>
    <cellStyle name="Lien hypertexte visité" xfId="209" builtinId="9" hidden="1"/>
    <cellStyle name="Lien hypertexte visité" xfId="211" builtinId="9" hidden="1"/>
    <cellStyle name="Lien hypertexte visité" xfId="213" builtinId="9" hidden="1"/>
    <cellStyle name="Lien hypertexte visité" xfId="215" builtinId="9" hidden="1"/>
    <cellStyle name="Lien hypertexte visité" xfId="217" builtinId="9" hidden="1"/>
    <cellStyle name="Lien hypertexte visité" xfId="219" builtinId="9" hidden="1"/>
    <cellStyle name="Lien hypertexte visité" xfId="221" builtinId="9" hidden="1"/>
    <cellStyle name="Lien hypertexte visité" xfId="223" builtinId="9" hidden="1"/>
    <cellStyle name="Lien hypertexte visité" xfId="225" builtinId="9" hidden="1"/>
    <cellStyle name="Lien hypertexte visité" xfId="227" builtinId="9" hidden="1"/>
    <cellStyle name="Lien hypertexte visité" xfId="229" builtinId="9" hidden="1"/>
    <cellStyle name="Lien hypertexte visité" xfId="231" builtinId="9" hidden="1"/>
    <cellStyle name="Lien hypertexte visité" xfId="233" builtinId="9" hidden="1"/>
    <cellStyle name="Lien hypertexte visité" xfId="235" builtinId="9" hidden="1"/>
    <cellStyle name="Lien hypertexte visité" xfId="237" builtinId="9" hidden="1"/>
    <cellStyle name="Lien hypertexte visité" xfId="239" builtinId="9" hidden="1"/>
    <cellStyle name="Lien hypertexte visité" xfId="241" builtinId="9" hidden="1"/>
    <cellStyle name="Lien hypertexte visité" xfId="243" builtinId="9" hidden="1"/>
    <cellStyle name="Lien hypertexte visité" xfId="245" builtinId="9" hidden="1"/>
    <cellStyle name="Lien hypertexte visité" xfId="247" builtinId="9" hidden="1"/>
    <cellStyle name="Lien hypertexte visité" xfId="249" builtinId="9" hidden="1"/>
    <cellStyle name="Lien hypertexte visité" xfId="251" builtinId="9" hidden="1"/>
    <cellStyle name="Lien hypertexte visité" xfId="253" builtinId="9" hidden="1"/>
    <cellStyle name="Lien hypertexte visité" xfId="255" builtinId="9" hidden="1"/>
    <cellStyle name="Lien hypertexte visité" xfId="257" builtinId="9" hidden="1"/>
    <cellStyle name="Lien hypertexte visité" xfId="259" builtinId="9" hidden="1"/>
    <cellStyle name="Lien hypertexte visité" xfId="261" builtinId="9" hidden="1"/>
    <cellStyle name="Lien hypertexte visité" xfId="263" builtinId="9" hidden="1"/>
    <cellStyle name="Lien hypertexte visité" xfId="265" builtinId="9" hidden="1"/>
    <cellStyle name="Lien hypertexte visité" xfId="267" builtinId="9" hidden="1"/>
    <cellStyle name="Lien hypertexte visité" xfId="269" builtinId="9" hidden="1"/>
    <cellStyle name="Lien hypertexte visité" xfId="271" builtinId="9" hidden="1"/>
    <cellStyle name="Lien hypertexte visité" xfId="273" builtinId="9" hidden="1"/>
    <cellStyle name="Lien hypertexte visité" xfId="275" builtinId="9" hidden="1"/>
    <cellStyle name="Lien hypertexte visité" xfId="277" builtinId="9" hidden="1"/>
    <cellStyle name="Lien hypertexte visité" xfId="279" builtinId="9" hidden="1"/>
    <cellStyle name="Lien hypertexte visité" xfId="281" builtinId="9" hidden="1"/>
    <cellStyle name="Lien hypertexte visité" xfId="283" builtinId="9" hidden="1"/>
    <cellStyle name="Lien hypertexte visité" xfId="285" builtinId="9" hidden="1"/>
    <cellStyle name="Lien hypertexte visité" xfId="287" builtinId="9" hidden="1"/>
    <cellStyle name="Lien hypertexte visité" xfId="289" builtinId="9" hidden="1"/>
    <cellStyle name="Lien hypertexte visité" xfId="291" builtinId="9" hidden="1"/>
    <cellStyle name="Lien hypertexte visité" xfId="293" builtinId="9" hidden="1"/>
    <cellStyle name="Lien hypertexte visité" xfId="295" builtinId="9" hidden="1"/>
    <cellStyle name="Lien hypertexte visité" xfId="297" builtinId="9" hidden="1"/>
    <cellStyle name="Lien hypertexte visité" xfId="299" builtinId="9" hidden="1"/>
    <cellStyle name="Lien hypertexte visité" xfId="302" builtinId="9" hidden="1"/>
    <cellStyle name="Lien hypertexte visité" xfId="304" builtinId="9" hidden="1"/>
    <cellStyle name="Lien hypertexte visité" xfId="307" builtinId="9" hidden="1"/>
    <cellStyle name="Lien hypertexte visité" xfId="309" builtinId="9" hidden="1"/>
    <cellStyle name="Lien hypertexte visité" xfId="311" builtinId="9" hidden="1"/>
    <cellStyle name="Lien hypertexte visité" xfId="313" builtinId="9" hidden="1"/>
    <cellStyle name="Lien hypertexte visité" xfId="315" builtinId="9" hidden="1"/>
    <cellStyle name="Lien hypertexte visité" xfId="317" builtinId="9" hidden="1"/>
    <cellStyle name="Lien hypertexte visité" xfId="319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Lien hypertexte visité" xfId="420" builtinId="9" hidden="1"/>
    <cellStyle name="Lien hypertexte visité" xfId="422" builtinId="9" hidden="1"/>
    <cellStyle name="Lien hypertexte visité" xfId="424" builtinId="9" hidden="1"/>
    <cellStyle name="Lien hypertexte visité" xfId="426" builtinId="9" hidden="1"/>
    <cellStyle name="Lien hypertexte visité" xfId="428" builtinId="9" hidden="1"/>
    <cellStyle name="Lien hypertexte visité" xfId="430" builtinId="9" hidden="1"/>
    <cellStyle name="Lien hypertexte visité" xfId="432" builtinId="9" hidden="1"/>
    <cellStyle name="Lien hypertexte visité" xfId="434" builtinId="9" hidden="1"/>
    <cellStyle name="Lien hypertexte visité" xfId="436" builtinId="9" hidden="1"/>
    <cellStyle name="Lien hypertexte visité" xfId="438" builtinId="9" hidden="1"/>
    <cellStyle name="Lien hypertexte visité" xfId="440" builtinId="9" hidden="1"/>
    <cellStyle name="Lien hypertexte visité" xfId="442" builtinId="9" hidden="1"/>
    <cellStyle name="Lien hypertexte visité" xfId="444" builtinId="9" hidden="1"/>
    <cellStyle name="Lien hypertexte visité" xfId="446" builtinId="9" hidden="1"/>
    <cellStyle name="Lien hypertexte visité" xfId="448" builtinId="9" hidden="1"/>
    <cellStyle name="Lien hypertexte visité" xfId="450" builtinId="9" hidden="1"/>
    <cellStyle name="Lien hypertexte visité" xfId="452" builtinId="9" hidden="1"/>
    <cellStyle name="Lien hypertexte visité" xfId="454" builtinId="9" hidden="1"/>
    <cellStyle name="Lien hypertexte visité" xfId="456" builtinId="9" hidden="1"/>
    <cellStyle name="Lien hypertexte visité" xfId="458" builtinId="9" hidden="1"/>
    <cellStyle name="Lien hypertexte visité" xfId="460" builtinId="9" hidden="1"/>
    <cellStyle name="Lien hypertexte visité" xfId="462" builtinId="9" hidden="1"/>
    <cellStyle name="Lien hypertexte visité" xfId="464" builtinId="9" hidden="1"/>
    <cellStyle name="Lien hypertexte visité" xfId="466" builtinId="9" hidden="1"/>
    <cellStyle name="Lien hypertexte visité" xfId="468" builtinId="9" hidden="1"/>
    <cellStyle name="Lien hypertexte visité" xfId="470" builtinId="9" hidden="1"/>
    <cellStyle name="Lien hypertexte visité" xfId="472" builtinId="9" hidden="1"/>
    <cellStyle name="Lien hypertexte visité" xfId="474" builtinId="9" hidden="1"/>
    <cellStyle name="Lien hypertexte visité" xfId="476" builtinId="9" hidden="1"/>
    <cellStyle name="Lien hypertexte visité" xfId="478" builtinId="9" hidden="1"/>
    <cellStyle name="Lien hypertexte visité" xfId="480" builtinId="9" hidden="1"/>
    <cellStyle name="Lien hypertexte visité" xfId="482" builtinId="9" hidden="1"/>
    <cellStyle name="Lien hypertexte visité" xfId="484" builtinId="9" hidden="1"/>
    <cellStyle name="Lien hypertexte visité" xfId="486" builtinId="9" hidden="1"/>
    <cellStyle name="Lien hypertexte visité" xfId="488" builtinId="9" hidden="1"/>
    <cellStyle name="Lien hypertexte visité" xfId="490" builtinId="9" hidden="1"/>
    <cellStyle name="Lien hypertexte visité" xfId="492" builtinId="9" hidden="1"/>
    <cellStyle name="Lien hypertexte visité" xfId="494" builtinId="9" hidden="1"/>
    <cellStyle name="Lien hypertexte visité" xfId="496" builtinId="9" hidden="1"/>
    <cellStyle name="Lien hypertexte visité" xfId="498" builtinId="9" hidden="1"/>
    <cellStyle name="Lien hypertexte visité" xfId="500" builtinId="9" hidden="1"/>
    <cellStyle name="Lien hypertexte visité" xfId="502" builtinId="9" hidden="1"/>
    <cellStyle name="Lien hypertexte visité" xfId="504" builtinId="9" hidden="1"/>
    <cellStyle name="Lien hypertexte visité" xfId="506" builtinId="9" hidden="1"/>
    <cellStyle name="Lien hypertexte visité" xfId="508" builtinId="9" hidden="1"/>
    <cellStyle name="Lien hypertexte visité" xfId="510" builtinId="9" hidden="1"/>
    <cellStyle name="Lien hypertexte visité" xfId="512" builtinId="9" hidden="1"/>
    <cellStyle name="Lien hypertexte visité" xfId="514" builtinId="9" hidden="1"/>
    <cellStyle name="Lien hypertexte visité" xfId="516" builtinId="9" hidden="1"/>
    <cellStyle name="Lien hypertexte visité" xfId="518" builtinId="9" hidden="1"/>
    <cellStyle name="Lien hypertexte visité" xfId="520" builtinId="9" hidden="1"/>
    <cellStyle name="Lien hypertexte visité" xfId="522" builtinId="9" hidden="1"/>
    <cellStyle name="Lien hypertexte visité" xfId="524" builtinId="9" hidden="1"/>
    <cellStyle name="Lien hypertexte visité" xfId="526" builtinId="9" hidden="1"/>
    <cellStyle name="Lien hypertexte visité" xfId="528" builtinId="9" hidden="1"/>
    <cellStyle name="Lien hypertexte visité" xfId="530" builtinId="9" hidden="1"/>
    <cellStyle name="Lien hypertexte visité" xfId="532" builtinId="9" hidden="1"/>
    <cellStyle name="Lien hypertexte visité" xfId="534" builtinId="9" hidden="1"/>
    <cellStyle name="Lien hypertexte visité" xfId="536" builtinId="9" hidden="1"/>
    <cellStyle name="Lien hypertexte visité" xfId="538" builtinId="9" hidden="1"/>
    <cellStyle name="Lien hypertexte visité" xfId="540" builtinId="9" hidden="1"/>
    <cellStyle name="Lien hypertexte visité" xfId="542" builtinId="9" hidden="1"/>
    <cellStyle name="Lien hypertexte visité" xfId="544" builtinId="9" hidden="1"/>
    <cellStyle name="Lien hypertexte visité" xfId="546" builtinId="9" hidden="1"/>
    <cellStyle name="Lien hypertexte visité" xfId="548" builtinId="9" hidden="1"/>
    <cellStyle name="Lien hypertexte visité" xfId="550" builtinId="9" hidden="1"/>
    <cellStyle name="Lien hypertexte visité" xfId="552" builtinId="9" hidden="1"/>
    <cellStyle name="Lien hypertexte visité" xfId="554" builtinId="9" hidden="1"/>
    <cellStyle name="Lien hypertexte visité" xfId="556" builtinId="9" hidden="1"/>
    <cellStyle name="Lien hypertexte visité" xfId="558" builtinId="9" hidden="1"/>
    <cellStyle name="Lien hypertexte visité" xfId="560" builtinId="9" hidden="1"/>
    <cellStyle name="Lien hypertexte visité" xfId="562" builtinId="9" hidden="1"/>
    <cellStyle name="Lien hypertexte visité" xfId="564" builtinId="9" hidden="1"/>
    <cellStyle name="Lien hypertexte visité" xfId="566" builtinId="9" hidden="1"/>
    <cellStyle name="Lien hypertexte visité" xfId="568" builtinId="9" hidden="1"/>
    <cellStyle name="Lien hypertexte visité" xfId="570" builtinId="9" hidden="1"/>
    <cellStyle name="Lien hypertexte visité" xfId="572" builtinId="9" hidden="1"/>
    <cellStyle name="Lien hypertexte visité" xfId="574" builtinId="9" hidden="1"/>
    <cellStyle name="Lien hypertexte visité" xfId="576" builtinId="9" hidden="1"/>
    <cellStyle name="Lien hypertexte visité" xfId="578" builtinId="9" hidden="1"/>
    <cellStyle name="Lien hypertexte visité" xfId="580" builtinId="9" hidden="1"/>
    <cellStyle name="Lien hypertexte visité" xfId="582" builtinId="9" hidden="1"/>
    <cellStyle name="Lien hypertexte visité" xfId="584" builtinId="9" hidden="1"/>
    <cellStyle name="Lien hypertexte visité" xfId="586" builtinId="9" hidden="1"/>
    <cellStyle name="Lien hypertexte visité" xfId="588" builtinId="9" hidden="1"/>
    <cellStyle name="Lien hypertexte visité" xfId="590" builtinId="9" hidden="1"/>
    <cellStyle name="Lien hypertexte visité" xfId="592" builtinId="9" hidden="1"/>
    <cellStyle name="Lien hypertexte visité" xfId="594" builtinId="9" hidden="1"/>
    <cellStyle name="Lien hypertexte visité" xfId="596" builtinId="9" hidden="1"/>
    <cellStyle name="Lien hypertexte visité" xfId="598" builtinId="9" hidden="1"/>
    <cellStyle name="Lien hypertexte visité" xfId="600" builtinId="9" hidden="1"/>
    <cellStyle name="Lien hypertexte visité" xfId="602" builtinId="9" hidden="1"/>
    <cellStyle name="Lien hypertexte visité" xfId="604" builtinId="9" hidden="1"/>
    <cellStyle name="Lien hypertexte visité" xfId="606" builtinId="9" hidden="1"/>
    <cellStyle name="Lien hypertexte visité" xfId="608" builtinId="9" hidden="1"/>
    <cellStyle name="Lien hypertexte visité" xfId="610" builtinId="9" hidden="1"/>
    <cellStyle name="Lien hypertexte visité" xfId="612" builtinId="9" hidden="1"/>
    <cellStyle name="Lien hypertexte visité" xfId="614" builtinId="9" hidden="1"/>
    <cellStyle name="Lien hypertexte visité" xfId="616" builtinId="9" hidden="1"/>
    <cellStyle name="Lien hypertexte visité" xfId="618" builtinId="9" hidden="1"/>
    <cellStyle name="Lien hypertexte visité" xfId="620" builtinId="9" hidden="1"/>
    <cellStyle name="Lien hypertexte visité" xfId="622" builtinId="9" hidden="1"/>
    <cellStyle name="Lien hypertexte visité" xfId="624" builtinId="9" hidden="1"/>
    <cellStyle name="Lien hypertexte visité" xfId="626" builtinId="9" hidden="1"/>
    <cellStyle name="Lien hypertexte visité" xfId="628" builtinId="9" hidden="1"/>
    <cellStyle name="Lien hypertexte visité" xfId="630" builtinId="9" hidden="1"/>
    <cellStyle name="Lien hypertexte visité" xfId="632" builtinId="9" hidden="1"/>
    <cellStyle name="Lien hypertexte visité" xfId="634" builtinId="9" hidden="1"/>
    <cellStyle name="Lien hypertexte visité" xfId="636" builtinId="9" hidden="1"/>
    <cellStyle name="Lien hypertexte visité" xfId="638" builtinId="9" hidden="1"/>
    <cellStyle name="Lien hypertexte visité" xfId="640" builtinId="9" hidden="1"/>
    <cellStyle name="Lien hypertexte visité" xfId="642" builtinId="9" hidden="1"/>
    <cellStyle name="Lien hypertexte visité" xfId="644" builtinId="9" hidden="1"/>
    <cellStyle name="Lien hypertexte visité" xfId="646" builtinId="9" hidden="1"/>
    <cellStyle name="Lien hypertexte visité" xfId="648" builtinId="9" hidden="1"/>
    <cellStyle name="Lien hypertexte visité" xfId="650" builtinId="9" hidden="1"/>
    <cellStyle name="Lien hypertexte visité" xfId="652" builtinId="9" hidden="1"/>
    <cellStyle name="Lien hypertexte visité" xfId="654" builtinId="9" hidden="1"/>
    <cellStyle name="Lien hypertexte visité" xfId="656" builtinId="9" hidden="1"/>
    <cellStyle name="Lien hypertexte visité" xfId="658" builtinId="9" hidden="1"/>
    <cellStyle name="Lien hypertexte visité" xfId="660" builtinId="9" hidden="1"/>
    <cellStyle name="Lien hypertexte visité" xfId="662" builtinId="9" hidden="1"/>
    <cellStyle name="Lien hypertexte visité" xfId="664" builtinId="9" hidden="1"/>
    <cellStyle name="Lien hypertexte visité" xfId="666" builtinId="9" hidden="1"/>
    <cellStyle name="Lien hypertexte visité" xfId="668" builtinId="9" hidden="1"/>
    <cellStyle name="Lien hypertexte visité" xfId="670" builtinId="9" hidden="1"/>
    <cellStyle name="Lien hypertexte visité" xfId="672" builtinId="9" hidden="1"/>
    <cellStyle name="Lien hypertexte visité" xfId="674" builtinId="9" hidden="1"/>
    <cellStyle name="Lien hypertexte visité" xfId="676" builtinId="9" hidden="1"/>
    <cellStyle name="Lien hypertexte visité" xfId="678" builtinId="9" hidden="1"/>
    <cellStyle name="Lien hypertexte visité" xfId="680" builtinId="9" hidden="1"/>
    <cellStyle name="Lien hypertexte visité" xfId="682" builtinId="9" hidden="1"/>
    <cellStyle name="Lien hypertexte visité" xfId="684" builtinId="9" hidden="1"/>
    <cellStyle name="Lien hypertexte visité" xfId="686" builtinId="9" hidden="1"/>
    <cellStyle name="Lien hypertexte visité" xfId="688" builtinId="9" hidden="1"/>
    <cellStyle name="Lien hypertexte visité" xfId="690" builtinId="9" hidden="1"/>
    <cellStyle name="Lien hypertexte visité" xfId="692" builtinId="9" hidden="1"/>
    <cellStyle name="Lien hypertexte visité" xfId="694" builtinId="9" hidden="1"/>
    <cellStyle name="Lien hypertexte visité" xfId="696" builtinId="9" hidden="1"/>
    <cellStyle name="Lien hypertexte visité" xfId="698" builtinId="9" hidden="1"/>
    <cellStyle name="Lien hypertexte visité" xfId="700" builtinId="9" hidden="1"/>
    <cellStyle name="Lien hypertexte visité" xfId="702" builtinId="9" hidden="1"/>
    <cellStyle name="Lien hypertexte visité" xfId="704" builtinId="9" hidden="1"/>
    <cellStyle name="Lien hypertexte visité" xfId="706" builtinId="9" hidden="1"/>
    <cellStyle name="Lien hypertexte visité" xfId="708" builtinId="9" hidden="1"/>
    <cellStyle name="Lien hypertexte visité" xfId="710" builtinId="9" hidden="1"/>
    <cellStyle name="Lien hypertexte visité" xfId="712" builtinId="9" hidden="1"/>
    <cellStyle name="Lien hypertexte visité" xfId="714" builtinId="9" hidden="1"/>
    <cellStyle name="Lien hypertexte visité" xfId="716" builtinId="9" hidden="1"/>
    <cellStyle name="Lien hypertexte visité" xfId="718" builtinId="9" hidden="1"/>
    <cellStyle name="Lien hypertexte visité" xfId="720" builtinId="9" hidden="1"/>
    <cellStyle name="Lien hypertexte visité" xfId="722" builtinId="9" hidden="1"/>
    <cellStyle name="Lien hypertexte visité" xfId="724" builtinId="9" hidden="1"/>
    <cellStyle name="Lien hypertexte visité" xfId="726" builtinId="9" hidden="1"/>
    <cellStyle name="Lien hypertexte visité" xfId="728" builtinId="9" hidden="1"/>
    <cellStyle name="Lien hypertexte visité" xfId="730" builtinId="9" hidden="1"/>
    <cellStyle name="Lien hypertexte visité" xfId="732" builtinId="9" hidden="1"/>
    <cellStyle name="Lien hypertexte visité" xfId="734" builtinId="9" hidden="1"/>
    <cellStyle name="Lien hypertexte visité" xfId="736" builtinId="9" hidden="1"/>
    <cellStyle name="Lien hypertexte visité" xfId="738" builtinId="9" hidden="1"/>
    <cellStyle name="Lien hypertexte visité" xfId="740" builtinId="9" hidden="1"/>
    <cellStyle name="Lien hypertexte visité" xfId="742" builtinId="9" hidden="1"/>
    <cellStyle name="Lien hypertexte visité" xfId="744" builtinId="9" hidden="1"/>
    <cellStyle name="Lien hypertexte visité" xfId="746" builtinId="9" hidden="1"/>
    <cellStyle name="Lien hypertexte visité" xfId="748" builtinId="9" hidden="1"/>
    <cellStyle name="Lien hypertexte visité" xfId="750" builtinId="9" hidden="1"/>
    <cellStyle name="Lien hypertexte visité" xfId="752" builtinId="9" hidden="1"/>
    <cellStyle name="Lien hypertexte visité" xfId="754" builtinId="9" hidden="1"/>
    <cellStyle name="Lien hypertexte visité" xfId="756" builtinId="9" hidden="1"/>
    <cellStyle name="Lien hypertexte visité" xfId="758" builtinId="9" hidden="1"/>
    <cellStyle name="Lien hypertexte visité" xfId="760" builtinId="9" hidden="1"/>
    <cellStyle name="Lien hypertexte visité" xfId="762" builtinId="9" hidden="1"/>
    <cellStyle name="Lien hypertexte visité" xfId="764" builtinId="9" hidden="1"/>
    <cellStyle name="Lien hypertexte visité" xfId="766" builtinId="9" hidden="1"/>
    <cellStyle name="Lien hypertexte visité" xfId="768" builtinId="9" hidden="1"/>
    <cellStyle name="Lien hypertexte visité" xfId="770" builtinId="9" hidden="1"/>
    <cellStyle name="Lien hypertexte visité" xfId="772" builtinId="9" hidden="1"/>
    <cellStyle name="Lien hypertexte visité" xfId="774" builtinId="9" hidden="1"/>
    <cellStyle name="Lien hypertexte visité" xfId="776" builtinId="9" hidden="1"/>
    <cellStyle name="Lien hypertexte visité" xfId="778" builtinId="9" hidden="1"/>
    <cellStyle name="Lien hypertexte visité" xfId="780" builtinId="9" hidden="1"/>
    <cellStyle name="Lien hypertexte visité" xfId="782" builtinId="9" hidden="1"/>
    <cellStyle name="Lien hypertexte visité" xfId="784" builtinId="9" hidden="1"/>
    <cellStyle name="Lien hypertexte visité" xfId="786" builtinId="9" hidden="1"/>
    <cellStyle name="Lien hypertexte visité" xfId="788" builtinId="9" hidden="1"/>
    <cellStyle name="Lien hypertexte visité" xfId="790" builtinId="9" hidden="1"/>
    <cellStyle name="Lien hypertexte visité" xfId="792" builtinId="9" hidden="1"/>
    <cellStyle name="Lien hypertexte visité" xfId="794" builtinId="9" hidden="1"/>
    <cellStyle name="Lien hypertexte visité" xfId="796" builtinId="9" hidden="1"/>
    <cellStyle name="Lien hypertexte visité" xfId="798" builtinId="9" hidden="1"/>
    <cellStyle name="Lien hypertexte visité" xfId="800" builtinId="9" hidden="1"/>
    <cellStyle name="Lien hypertexte visité" xfId="802" builtinId="9" hidden="1"/>
    <cellStyle name="Lien hypertexte visité" xfId="804" builtinId="9" hidden="1"/>
    <cellStyle name="Lien hypertexte visité" xfId="806" builtinId="9" hidden="1"/>
    <cellStyle name="Lien hypertexte visité" xfId="808" builtinId="9" hidden="1"/>
    <cellStyle name="Lien hypertexte visité" xfId="810" builtinId="9" hidden="1"/>
    <cellStyle name="Lien hypertexte visité" xfId="812" builtinId="9" hidden="1"/>
    <cellStyle name="Lien hypertexte visité" xfId="814" builtinId="9" hidden="1"/>
    <cellStyle name="Lien hypertexte visité" xfId="816" builtinId="9" hidden="1"/>
    <cellStyle name="Lien hypertexte visité" xfId="818" builtinId="9" hidden="1"/>
    <cellStyle name="Lien hypertexte visité" xfId="820" builtinId="9" hidden="1"/>
    <cellStyle name="Lien hypertexte visité" xfId="822" builtinId="9" hidden="1"/>
    <cellStyle name="Lien hypertexte visité" xfId="824" builtinId="9" hidden="1"/>
    <cellStyle name="Lien hypertexte visité" xfId="826" builtinId="9" hidden="1"/>
    <cellStyle name="Lien hypertexte visité" xfId="828" builtinId="9" hidden="1"/>
    <cellStyle name="Lien hypertexte visité" xfId="830" builtinId="9" hidden="1"/>
    <cellStyle name="Lien hypertexte visité" xfId="832" builtinId="9" hidden="1"/>
    <cellStyle name="Lien hypertexte visité" xfId="834" builtinId="9" hidden="1"/>
    <cellStyle name="Lien hypertexte visité" xfId="836" builtinId="9" hidden="1"/>
    <cellStyle name="Lien hypertexte visité" xfId="838" builtinId="9" hidden="1"/>
    <cellStyle name="Lien hypertexte visité" xfId="840" builtinId="9" hidden="1"/>
    <cellStyle name="Lien hypertexte visité" xfId="842" builtinId="9" hidden="1"/>
    <cellStyle name="Lien hypertexte visité" xfId="844" builtinId="9" hidden="1"/>
    <cellStyle name="Lien hypertexte visité" xfId="846" builtinId="9" hidden="1"/>
    <cellStyle name="Lien hypertexte visité" xfId="848" builtinId="9" hidden="1"/>
    <cellStyle name="Lien hypertexte visité" xfId="850" builtinId="9" hidden="1"/>
    <cellStyle name="Lien hypertexte visité" xfId="852" builtinId="9" hidden="1"/>
    <cellStyle name="Lien hypertexte visité" xfId="854" builtinId="9" hidden="1"/>
    <cellStyle name="Lien hypertexte visité" xfId="856" builtinId="9" hidden="1"/>
    <cellStyle name="Lien hypertexte visité" xfId="858" builtinId="9" hidden="1"/>
    <cellStyle name="Lien hypertexte visité" xfId="860" builtinId="9" hidden="1"/>
    <cellStyle name="Lien hypertexte visité" xfId="862" builtinId="9" hidden="1"/>
    <cellStyle name="Lien hypertexte visité" xfId="864" builtinId="9" hidden="1"/>
    <cellStyle name="Lien hypertexte visité" xfId="866" builtinId="9" hidden="1"/>
    <cellStyle name="Lien hypertexte visité" xfId="868" builtinId="9" hidden="1"/>
    <cellStyle name="Lien hypertexte visité" xfId="870" builtinId="9" hidden="1"/>
    <cellStyle name="Lien hypertexte visité" xfId="872" builtinId="9" hidden="1"/>
    <cellStyle name="Lien hypertexte visité" xfId="874" builtinId="9" hidden="1"/>
    <cellStyle name="Lien hypertexte visité" xfId="876" builtinId="9" hidden="1"/>
    <cellStyle name="Lien hypertexte visité" xfId="878" builtinId="9" hidden="1"/>
    <cellStyle name="Lien hypertexte visité" xfId="880" builtinId="9" hidden="1"/>
    <cellStyle name="Lien hypertexte visité" xfId="882" builtinId="9" hidden="1"/>
    <cellStyle name="Lien hypertexte visité" xfId="884" builtinId="9" hidden="1"/>
    <cellStyle name="Lien hypertexte visité" xfId="886" builtinId="9" hidden="1"/>
    <cellStyle name="Lien hypertexte visité" xfId="888" builtinId="9" hidden="1"/>
    <cellStyle name="Lien hypertexte visité" xfId="890" builtinId="9" hidden="1"/>
    <cellStyle name="Lien hypertexte visité" xfId="892" builtinId="9" hidden="1"/>
    <cellStyle name="Lien hypertexte visité" xfId="894" builtinId="9" hidden="1"/>
    <cellStyle name="Lien hypertexte visité" xfId="896" builtinId="9" hidden="1"/>
    <cellStyle name="Lien hypertexte visité" xfId="898" builtinId="9" hidden="1"/>
    <cellStyle name="Lien hypertexte visité" xfId="900" builtinId="9" hidden="1"/>
    <cellStyle name="Lien hypertexte visité" xfId="902" builtinId="9" hidden="1"/>
    <cellStyle name="Lien hypertexte visité" xfId="904" builtinId="9" hidden="1"/>
    <cellStyle name="Lien hypertexte visité" xfId="906" builtinId="9" hidden="1"/>
    <cellStyle name="Lien hypertexte visité" xfId="908" builtinId="9" hidden="1"/>
    <cellStyle name="Lien hypertexte visité" xfId="910" builtinId="9" hidden="1"/>
    <cellStyle name="Lien hypertexte visité" xfId="912" builtinId="9" hidden="1"/>
    <cellStyle name="Lien hypertexte visité" xfId="914" builtinId="9" hidden="1"/>
    <cellStyle name="Lien hypertexte visité" xfId="916" builtinId="9" hidden="1"/>
    <cellStyle name="Lien hypertexte visité" xfId="918" builtinId="9" hidden="1"/>
    <cellStyle name="Lien hypertexte visité" xfId="920" builtinId="9" hidden="1"/>
    <cellStyle name="Lien hypertexte visité" xfId="922" builtinId="9" hidden="1"/>
    <cellStyle name="Lien hypertexte visité" xfId="924" builtinId="9" hidden="1"/>
    <cellStyle name="Lien hypertexte visité" xfId="926" builtinId="9" hidden="1"/>
    <cellStyle name="Lien hypertexte visité" xfId="928" builtinId="9" hidden="1"/>
    <cellStyle name="Lien hypertexte visité" xfId="930" builtinId="9" hidden="1"/>
    <cellStyle name="Lien hypertexte visité" xfId="932" builtinId="9" hidden="1"/>
    <cellStyle name="Lien hypertexte visité" xfId="934" builtinId="9" hidden="1"/>
    <cellStyle name="Lien hypertexte visité" xfId="936" builtinId="9" hidden="1"/>
    <cellStyle name="Lien hypertexte visité" xfId="938" builtinId="9" hidden="1"/>
    <cellStyle name="Lien hypertexte visité" xfId="940" builtinId="9" hidden="1"/>
    <cellStyle name="Lien hypertexte visité" xfId="942" builtinId="9" hidden="1"/>
    <cellStyle name="Lien hypertexte visité" xfId="944" builtinId="9" hidden="1"/>
    <cellStyle name="Lien hypertexte visité" xfId="946" builtinId="9" hidden="1"/>
    <cellStyle name="Lien hypertexte visité" xfId="948" builtinId="9" hidden="1"/>
    <cellStyle name="Lien hypertexte visité" xfId="950" builtinId="9" hidden="1"/>
    <cellStyle name="Lien hypertexte visité" xfId="952" builtinId="9" hidden="1"/>
    <cellStyle name="Lien hypertexte visité" xfId="954" builtinId="9" hidden="1"/>
    <cellStyle name="Lien hypertexte visité" xfId="956" builtinId="9" hidden="1"/>
    <cellStyle name="Lien hypertexte visité" xfId="958" builtinId="9" hidden="1"/>
    <cellStyle name="Lien hypertexte visité" xfId="960" builtinId="9" hidden="1"/>
    <cellStyle name="Lien hypertexte visité" xfId="962" builtinId="9" hidden="1"/>
    <cellStyle name="Lien hypertexte visité" xfId="964" builtinId="9" hidden="1"/>
    <cellStyle name="Lien hypertexte visité" xfId="966" builtinId="9" hidden="1"/>
    <cellStyle name="Lien hypertexte visité" xfId="968" builtinId="9" hidden="1"/>
    <cellStyle name="Lien hypertexte visité" xfId="970" builtinId="9" hidden="1"/>
    <cellStyle name="Lien hypertexte visité" xfId="972" builtinId="9" hidden="1"/>
    <cellStyle name="Lien hypertexte visité" xfId="974" builtinId="9" hidden="1"/>
    <cellStyle name="Lien hypertexte visité" xfId="976" builtinId="9" hidden="1"/>
    <cellStyle name="Lien hypertexte visité" xfId="978" builtinId="9" hidden="1"/>
    <cellStyle name="Lien hypertexte visité" xfId="980" builtinId="9" hidden="1"/>
    <cellStyle name="Lien hypertexte visité" xfId="982" builtinId="9" hidden="1"/>
    <cellStyle name="Lien hypertexte visité" xfId="984" builtinId="9" hidden="1"/>
    <cellStyle name="Lien hypertexte visité" xfId="986" builtinId="9" hidden="1"/>
    <cellStyle name="Lien hypertexte visité" xfId="988" builtinId="9" hidden="1"/>
    <cellStyle name="Lien hypertexte visité" xfId="990" builtinId="9" hidden="1"/>
    <cellStyle name="Lien hypertexte visité" xfId="992" builtinId="9" hidden="1"/>
    <cellStyle name="Lien hypertexte visité" xfId="994" builtinId="9" hidden="1"/>
    <cellStyle name="Lien hypertexte visité" xfId="996" builtinId="9" hidden="1"/>
    <cellStyle name="Lien hypertexte visité" xfId="998" builtinId="9" hidden="1"/>
    <cellStyle name="Lien hypertexte visité" xfId="1000" builtinId="9" hidden="1"/>
    <cellStyle name="Lien hypertexte visité" xfId="1002" builtinId="9" hidden="1"/>
    <cellStyle name="Lien hypertexte visité" xfId="1004" builtinId="9" hidden="1"/>
    <cellStyle name="Lien hypertexte visité" xfId="1006" builtinId="9" hidden="1"/>
    <cellStyle name="Lien hypertexte visité" xfId="1008" builtinId="9" hidden="1"/>
    <cellStyle name="Lien hypertexte visité" xfId="1010" builtinId="9" hidden="1"/>
    <cellStyle name="Lien hypertexte visité" xfId="1012" builtinId="9" hidden="1"/>
    <cellStyle name="Lien hypertexte visité" xfId="1014" builtinId="9" hidden="1"/>
    <cellStyle name="Lien hypertexte visité" xfId="1016" builtinId="9" hidden="1"/>
    <cellStyle name="Lien hypertexte visité" xfId="1018" builtinId="9" hidden="1"/>
    <cellStyle name="Lien hypertexte visité" xfId="1020" builtinId="9" hidden="1"/>
    <cellStyle name="Lien hypertexte visité" xfId="1022" builtinId="9" hidden="1"/>
    <cellStyle name="Lien hypertexte visité" xfId="1024" builtinId="9" hidden="1"/>
    <cellStyle name="Lien hypertexte visité" xfId="1026" builtinId="9" hidden="1"/>
    <cellStyle name="Lien hypertexte visité" xfId="1028" builtinId="9" hidden="1"/>
    <cellStyle name="Lien hypertexte visité" xfId="1030" builtinId="9" hidden="1"/>
    <cellStyle name="Lien hypertexte visité" xfId="1032" builtinId="9" hidden="1"/>
    <cellStyle name="Lien hypertexte visité" xfId="1034" builtinId="9" hidden="1"/>
    <cellStyle name="Lien hypertexte visité" xfId="1036" builtinId="9" hidden="1"/>
    <cellStyle name="Lien hypertexte visité" xfId="1038" builtinId="9" hidden="1"/>
    <cellStyle name="Lien hypertexte visité" xfId="1040" builtinId="9" hidden="1"/>
    <cellStyle name="Lien hypertexte visité" xfId="1042" builtinId="9" hidden="1"/>
    <cellStyle name="Lien hypertexte visité" xfId="1044" builtinId="9" hidden="1"/>
    <cellStyle name="Lien hypertexte visité" xfId="1046" builtinId="9" hidden="1"/>
    <cellStyle name="Lien hypertexte visité" xfId="1048" builtinId="9" hidden="1"/>
    <cellStyle name="Lien hypertexte visité" xfId="1050" builtinId="9" hidden="1"/>
    <cellStyle name="Lien hypertexte visité" xfId="1052" builtinId="9" hidden="1"/>
    <cellStyle name="Lien hypertexte visité" xfId="1054" builtinId="9" hidden="1"/>
    <cellStyle name="Lien hypertexte visité" xfId="1056" builtinId="9" hidden="1"/>
    <cellStyle name="Lien hypertexte visité" xfId="1058" builtinId="9" hidden="1"/>
    <cellStyle name="Lien hypertexte visité" xfId="1060" builtinId="9" hidden="1"/>
    <cellStyle name="Lien hypertexte visité" xfId="1062" builtinId="9" hidden="1"/>
    <cellStyle name="Lien hypertexte visité" xfId="1064" builtinId="9" hidden="1"/>
    <cellStyle name="Lien hypertexte visité" xfId="1066" builtinId="9" hidden="1"/>
    <cellStyle name="Lien hypertexte visité" xfId="1068" builtinId="9" hidden="1"/>
    <cellStyle name="Lien hypertexte visité" xfId="1070" builtinId="9" hidden="1"/>
    <cellStyle name="Lien hypertexte visité" xfId="1072" builtinId="9" hidden="1"/>
    <cellStyle name="Lien hypertexte visité" xfId="1074" builtinId="9" hidden="1"/>
    <cellStyle name="Lien hypertexte visité" xfId="1076" builtinId="9" hidden="1"/>
    <cellStyle name="Lien hypertexte visité" xfId="1078" builtinId="9" hidden="1"/>
    <cellStyle name="Lien hypertexte visité" xfId="1080" builtinId="9" hidden="1"/>
    <cellStyle name="Lien hypertexte visité" xfId="1082" builtinId="9" hidden="1"/>
    <cellStyle name="Lien hypertexte visité" xfId="1084" builtinId="9" hidden="1"/>
    <cellStyle name="Lien hypertexte visité" xfId="1086" builtinId="9" hidden="1"/>
    <cellStyle name="Lien hypertexte visité" xfId="1088" builtinId="9" hidden="1"/>
    <cellStyle name="Lien hypertexte visité" xfId="1090" builtinId="9" hidden="1"/>
    <cellStyle name="Lien hypertexte visité" xfId="1092" builtinId="9" hidden="1"/>
    <cellStyle name="Lien hypertexte visité" xfId="1094" builtinId="9" hidden="1"/>
    <cellStyle name="Lien hypertexte visité" xfId="1096" builtinId="9" hidden="1"/>
    <cellStyle name="Lien hypertexte visité" xfId="1098" builtinId="9" hidden="1"/>
    <cellStyle name="Lien hypertexte visité" xfId="1100" builtinId="9" hidden="1"/>
    <cellStyle name="Lien hypertexte visité" xfId="1102" builtinId="9" hidden="1"/>
    <cellStyle name="Lien hypertexte visité" xfId="1104" builtinId="9" hidden="1"/>
    <cellStyle name="Lien hypertexte visité" xfId="1106" builtinId="9" hidden="1"/>
    <cellStyle name="Lien hypertexte visité" xfId="1108" builtinId="9" hidden="1"/>
    <cellStyle name="Lien hypertexte visité" xfId="1110" builtinId="9" hidden="1"/>
    <cellStyle name="Lien hypertexte visité" xfId="1112" builtinId="9" hidden="1"/>
    <cellStyle name="Lien hypertexte visité" xfId="1114" builtinId="9" hidden="1"/>
    <cellStyle name="Lien hypertexte visité" xfId="1116" builtinId="9" hidden="1"/>
    <cellStyle name="Lien hypertexte visité" xfId="1118" builtinId="9" hidden="1"/>
    <cellStyle name="Lien hypertexte visité" xfId="1120" builtinId="9" hidden="1"/>
    <cellStyle name="Lien hypertexte visité" xfId="1122" builtinId="9" hidden="1"/>
    <cellStyle name="Lien hypertexte visité" xfId="1124" builtinId="9" hidden="1"/>
    <cellStyle name="Lien hypertexte visité" xfId="1126" builtinId="9" hidden="1"/>
    <cellStyle name="Lien hypertexte visité" xfId="1128" builtinId="9" hidden="1"/>
    <cellStyle name="Lien hypertexte visité" xfId="1130" builtinId="9" hidden="1"/>
    <cellStyle name="Lien hypertexte visité" xfId="1132" builtinId="9" hidden="1"/>
    <cellStyle name="Lien hypertexte visité" xfId="1134" builtinId="9" hidden="1"/>
    <cellStyle name="Lien hypertexte visité" xfId="1136" builtinId="9" hidden="1"/>
    <cellStyle name="Lien hypertexte visité" xfId="1138" builtinId="9" hidden="1"/>
    <cellStyle name="Lien hypertexte visité" xfId="1140" builtinId="9" hidden="1"/>
    <cellStyle name="Lien hypertexte visité" xfId="1142" builtinId="9" hidden="1"/>
    <cellStyle name="Lien hypertexte visité" xfId="1144" builtinId="9" hidden="1"/>
    <cellStyle name="Lien hypertexte visité" xfId="1146" builtinId="9" hidden="1"/>
    <cellStyle name="Lien hypertexte visité" xfId="1148" builtinId="9" hidden="1"/>
    <cellStyle name="Lien hypertexte visité" xfId="1150" builtinId="9" hidden="1"/>
    <cellStyle name="Lien hypertexte visité" xfId="1152" builtinId="9" hidden="1"/>
    <cellStyle name="Lien hypertexte visité" xfId="1154" builtinId="9" hidden="1"/>
    <cellStyle name="Lien hypertexte visité" xfId="1156" builtinId="9" hidden="1"/>
    <cellStyle name="Lien hypertexte visité" xfId="1158" builtinId="9" hidden="1"/>
    <cellStyle name="Lien hypertexte visité" xfId="1160" builtinId="9" hidden="1"/>
    <cellStyle name="Lien hypertexte visité" xfId="1162" builtinId="9" hidden="1"/>
    <cellStyle name="Lien hypertexte visité" xfId="1164" builtinId="9" hidden="1"/>
    <cellStyle name="Lien hypertexte visité" xfId="1166" builtinId="9" hidden="1"/>
    <cellStyle name="Lien hypertexte visité" xfId="1168" builtinId="9" hidden="1"/>
    <cellStyle name="Lien hypertexte visité" xfId="1170" builtinId="9" hidden="1"/>
    <cellStyle name="Lien hypertexte visité" xfId="1172" builtinId="9" hidden="1"/>
    <cellStyle name="Lien hypertexte visité" xfId="1174" builtinId="9" hidden="1"/>
    <cellStyle name="Lien hypertexte visité" xfId="1176" builtinId="9" hidden="1"/>
    <cellStyle name="Lien hypertexte visité" xfId="1178" builtinId="9" hidden="1"/>
    <cellStyle name="Lien hypertexte visité" xfId="1180" builtinId="9" hidden="1"/>
    <cellStyle name="Lien hypertexte visité" xfId="1182" builtinId="9" hidden="1"/>
    <cellStyle name="Lien hypertexte visité" xfId="1184" builtinId="9" hidden="1"/>
    <cellStyle name="Lien hypertexte visité" xfId="1186" builtinId="9" hidden="1"/>
    <cellStyle name="Lien hypertexte visité" xfId="1188" builtinId="9" hidden="1"/>
    <cellStyle name="Lien hypertexte visité" xfId="1190" builtinId="9" hidden="1"/>
    <cellStyle name="Lien hypertexte visité" xfId="1192" builtinId="9" hidden="1"/>
    <cellStyle name="Lien hypertexte visité" xfId="1194" builtinId="9" hidden="1"/>
    <cellStyle name="Lien hypertexte visité" xfId="1196" builtinId="9" hidden="1"/>
    <cellStyle name="Lien hypertexte visité" xfId="1198" builtinId="9" hidden="1"/>
    <cellStyle name="Lien hypertexte visité" xfId="1200" builtinId="9" hidden="1"/>
    <cellStyle name="Lien hypertexte visité" xfId="1202" builtinId="9" hidden="1"/>
    <cellStyle name="Lien hypertexte visité" xfId="1204" builtinId="9" hidden="1"/>
    <cellStyle name="Lien hypertexte visité" xfId="1206" builtinId="9" hidden="1"/>
    <cellStyle name="Lien hypertexte visité" xfId="1208" builtinId="9" hidden="1"/>
    <cellStyle name="Lien hypertexte visité" xfId="1210" builtinId="9" hidden="1"/>
    <cellStyle name="Lien hypertexte visité" xfId="1212" builtinId="9" hidden="1"/>
    <cellStyle name="Lien hypertexte visité" xfId="1214" builtinId="9" hidden="1"/>
    <cellStyle name="Lien hypertexte visité" xfId="1216" builtinId="9" hidden="1"/>
    <cellStyle name="Lien hypertexte visité" xfId="1218" builtinId="9" hidden="1"/>
    <cellStyle name="Lien hypertexte visité" xfId="1220" builtinId="9" hidden="1"/>
    <cellStyle name="Lien hypertexte visité" xfId="1222" builtinId="9" hidden="1"/>
    <cellStyle name="Lien hypertexte visité" xfId="1224" builtinId="9" hidden="1"/>
    <cellStyle name="Lien hypertexte visité" xfId="1226" builtinId="9" hidden="1"/>
    <cellStyle name="Lien hypertexte visité" xfId="1228" builtinId="9" hidden="1"/>
    <cellStyle name="Lien hypertexte visité" xfId="1230" builtinId="9" hidden="1"/>
    <cellStyle name="Lien hypertexte visité" xfId="1232" builtinId="9" hidden="1"/>
    <cellStyle name="Lien hypertexte visité" xfId="1234" builtinId="9" hidden="1"/>
    <cellStyle name="Lien hypertexte visité" xfId="1236" builtinId="9" hidden="1"/>
    <cellStyle name="Lien hypertexte visité" xfId="1238" builtinId="9" hidden="1"/>
    <cellStyle name="Lien hypertexte visité" xfId="1240" builtinId="9" hidden="1"/>
    <cellStyle name="Lien hypertexte visité" xfId="1242" builtinId="9" hidden="1"/>
    <cellStyle name="Lien hypertexte visité" xfId="1244" builtinId="9" hidden="1"/>
    <cellStyle name="Lien hypertexte visité" xfId="1246" builtinId="9" hidden="1"/>
    <cellStyle name="Lien hypertexte visité" xfId="1248" builtinId="9" hidden="1"/>
    <cellStyle name="Lien hypertexte visité" xfId="1250" builtinId="9" hidden="1"/>
    <cellStyle name="Lien hypertexte visité" xfId="1252" builtinId="9" hidden="1"/>
    <cellStyle name="Lien hypertexte visité" xfId="1254" builtinId="9" hidden="1"/>
    <cellStyle name="Lien hypertexte visité" xfId="1256" builtinId="9" hidden="1"/>
    <cellStyle name="Lien hypertexte visité" xfId="1258" builtinId="9" hidden="1"/>
    <cellStyle name="Lien hypertexte visité" xfId="1260" builtinId="9" hidden="1"/>
    <cellStyle name="Lien hypertexte visité" xfId="1262" builtinId="9" hidden="1"/>
    <cellStyle name="Lien hypertexte visité" xfId="1264" builtinId="9" hidden="1"/>
    <cellStyle name="Lien hypertexte visité" xfId="1266" builtinId="9" hidden="1"/>
    <cellStyle name="Lien hypertexte visité" xfId="1268" builtinId="9" hidden="1"/>
    <cellStyle name="Lien hypertexte visité" xfId="1270" builtinId="9" hidden="1"/>
    <cellStyle name="Lien hypertexte visité" xfId="1272" builtinId="9" hidden="1"/>
    <cellStyle name="Lien hypertexte visité" xfId="1274" builtinId="9" hidden="1"/>
    <cellStyle name="Lien hypertexte visité" xfId="1276" builtinId="9" hidden="1"/>
    <cellStyle name="Lien hypertexte visité" xfId="1278" builtinId="9" hidden="1"/>
    <cellStyle name="Lien hypertexte visité" xfId="1280" builtinId="9" hidden="1"/>
    <cellStyle name="Lien hypertexte visité" xfId="1282" builtinId="9" hidden="1"/>
    <cellStyle name="Lien hypertexte visité" xfId="1284" builtinId="9" hidden="1"/>
    <cellStyle name="Lien hypertexte visité" xfId="1286" builtinId="9" hidden="1"/>
    <cellStyle name="Lien hypertexte visité" xfId="1288" builtinId="9" hidden="1"/>
    <cellStyle name="Lien hypertexte visité" xfId="1290" builtinId="9" hidden="1"/>
    <cellStyle name="Lien hypertexte visité" xfId="1292" builtinId="9" hidden="1"/>
    <cellStyle name="Lien hypertexte visité" xfId="1294" builtinId="9" hidden="1"/>
    <cellStyle name="Lien hypertexte visité" xfId="1296" builtinId="9" hidden="1"/>
    <cellStyle name="Lien hypertexte visité" xfId="1298" builtinId="9" hidden="1"/>
    <cellStyle name="Lien hypertexte visité" xfId="1300" builtinId="9" hidden="1"/>
    <cellStyle name="Lien hypertexte visité" xfId="1302" builtinId="9" hidden="1"/>
    <cellStyle name="Lien hypertexte visité" xfId="1304" builtinId="9" hidden="1"/>
    <cellStyle name="Lien hypertexte visité" xfId="1306" builtinId="9" hidden="1"/>
    <cellStyle name="Lien hypertexte visité" xfId="1308" builtinId="9" hidden="1"/>
    <cellStyle name="Lien hypertexte visité" xfId="1310" builtinId="9" hidden="1"/>
    <cellStyle name="Lien hypertexte visité" xfId="1312" builtinId="9" hidden="1"/>
    <cellStyle name="Lien hypertexte visité" xfId="1314" builtinId="9" hidden="1"/>
    <cellStyle name="Lien hypertexte visité" xfId="1316" builtinId="9" hidden="1"/>
    <cellStyle name="Lien hypertexte visité" xfId="1318" builtinId="9" hidden="1"/>
    <cellStyle name="Lien hypertexte visité" xfId="1320" builtinId="9" hidden="1"/>
    <cellStyle name="Lien hypertexte visité" xfId="1322" builtinId="9" hidden="1"/>
    <cellStyle name="Lien hypertexte visité" xfId="1324" builtinId="9" hidden="1"/>
    <cellStyle name="Lien hypertexte visité" xfId="1326" builtinId="9" hidden="1"/>
    <cellStyle name="Lien hypertexte visité" xfId="1328" builtinId="9" hidden="1"/>
    <cellStyle name="Lien hypertexte visité" xfId="1330" builtinId="9" hidden="1"/>
    <cellStyle name="Lien hypertexte visité" xfId="1332" builtinId="9" hidden="1"/>
    <cellStyle name="Lien hypertexte visité" xfId="1334" builtinId="9" hidden="1"/>
    <cellStyle name="Lien hypertexte visité" xfId="1336" builtinId="9" hidden="1"/>
    <cellStyle name="Lien hypertexte visité" xfId="1338" builtinId="9" hidden="1"/>
    <cellStyle name="Lien hypertexte visité" xfId="1340" builtinId="9" hidden="1"/>
    <cellStyle name="Lien hypertexte visité" xfId="1342" builtinId="9" hidden="1"/>
    <cellStyle name="Lien hypertexte visité" xfId="1344" builtinId="9" hidden="1"/>
    <cellStyle name="Lien hypertexte visité" xfId="1346" builtinId="9" hidden="1"/>
    <cellStyle name="Lien hypertexte visité" xfId="1348" builtinId="9" hidden="1"/>
    <cellStyle name="Lien hypertexte visité" xfId="1350" builtinId="9" hidden="1"/>
    <cellStyle name="Lien hypertexte visité" xfId="1352" builtinId="9" hidden="1"/>
    <cellStyle name="Lien hypertexte visité" xfId="1354" builtinId="9" hidden="1"/>
    <cellStyle name="Lien hypertexte visité" xfId="1356" builtinId="9" hidden="1"/>
    <cellStyle name="Lien hypertexte visité" xfId="1358" builtinId="9" hidden="1"/>
    <cellStyle name="Lien hypertexte visité" xfId="1360" builtinId="9" hidden="1"/>
    <cellStyle name="Lien hypertexte visité" xfId="1362" builtinId="9" hidden="1"/>
    <cellStyle name="Lien hypertexte visité" xfId="1364" builtinId="9" hidden="1"/>
    <cellStyle name="Lien hypertexte visité" xfId="1366" builtinId="9" hidden="1"/>
    <cellStyle name="Lien hypertexte visité" xfId="1368" builtinId="9" hidden="1"/>
    <cellStyle name="Lien hypertexte visité" xfId="1370" builtinId="9" hidden="1"/>
    <cellStyle name="Lien hypertexte visité" xfId="1372" builtinId="9" hidden="1"/>
    <cellStyle name="Lien hypertexte visité" xfId="1374" builtinId="9" hidden="1"/>
    <cellStyle name="Lien hypertexte visité" xfId="1376" builtinId="9" hidden="1"/>
    <cellStyle name="Lien hypertexte visité" xfId="1378" builtinId="9" hidden="1"/>
    <cellStyle name="Lien hypertexte visité" xfId="1380" builtinId="9" hidden="1"/>
    <cellStyle name="Lien hypertexte visité" xfId="1382" builtinId="9" hidden="1"/>
    <cellStyle name="Lien hypertexte visité" xfId="1384" builtinId="9" hidden="1"/>
    <cellStyle name="Lien hypertexte visité" xfId="1386" builtinId="9" hidden="1"/>
    <cellStyle name="Lien hypertexte visité" xfId="1388" builtinId="9" hidden="1"/>
    <cellStyle name="Lien hypertexte visité" xfId="1390" builtinId="9" hidden="1"/>
    <cellStyle name="Lien hypertexte visité" xfId="1392" builtinId="9" hidden="1"/>
    <cellStyle name="Lien hypertexte visité" xfId="1394" builtinId="9" hidden="1"/>
    <cellStyle name="Lien hypertexte visité" xfId="1396" builtinId="9" hidden="1"/>
    <cellStyle name="Lien hypertexte visité" xfId="1398" builtinId="9" hidden="1"/>
    <cellStyle name="Lien hypertexte visité" xfId="1400" builtinId="9" hidden="1"/>
    <cellStyle name="Lien hypertexte visité" xfId="1402" builtinId="9" hidden="1"/>
    <cellStyle name="Lien hypertexte visité" xfId="1404" builtinId="9" hidden="1"/>
    <cellStyle name="Lien hypertexte visité" xfId="1406" builtinId="9" hidden="1"/>
    <cellStyle name="Lien hypertexte visité" xfId="1408" builtinId="9" hidden="1"/>
    <cellStyle name="Lien hypertexte visité" xfId="1410" builtinId="9" hidden="1"/>
    <cellStyle name="Lien hypertexte visité" xfId="1412" builtinId="9" hidden="1"/>
    <cellStyle name="Lien hypertexte visité" xfId="1414" builtinId="9" hidden="1"/>
    <cellStyle name="Lien hypertexte visité" xfId="1416" builtinId="9" hidden="1"/>
    <cellStyle name="Lien hypertexte visité" xfId="1418" builtinId="9" hidden="1"/>
    <cellStyle name="Lien hypertexte visité" xfId="1420" builtinId="9" hidden="1"/>
    <cellStyle name="Lien hypertexte visité" xfId="1422" builtinId="9" hidden="1"/>
    <cellStyle name="Lien hypertexte visité" xfId="1424" builtinId="9" hidden="1"/>
    <cellStyle name="Lien hypertexte visité" xfId="1426" builtinId="9" hidden="1"/>
    <cellStyle name="Lien hypertexte visité" xfId="1428" builtinId="9" hidden="1"/>
    <cellStyle name="Lien hypertexte visité" xfId="1430" builtinId="9" hidden="1"/>
    <cellStyle name="Lien hypertexte visité" xfId="1432" builtinId="9" hidden="1"/>
    <cellStyle name="Lien hypertexte visité" xfId="1434" builtinId="9" hidden="1"/>
    <cellStyle name="Lien hypertexte visité" xfId="1436" builtinId="9" hidden="1"/>
    <cellStyle name="Lien hypertexte visité" xfId="1438" builtinId="9" hidden="1"/>
    <cellStyle name="Lien hypertexte visité" xfId="1440" builtinId="9" hidden="1"/>
    <cellStyle name="Lien hypertexte visité" xfId="1442" builtinId="9" hidden="1"/>
    <cellStyle name="Lien hypertexte visité" xfId="1444" builtinId="9" hidden="1"/>
    <cellStyle name="Lien hypertexte visité" xfId="1446" builtinId="9" hidden="1"/>
    <cellStyle name="Lien hypertexte visité" xfId="1448" builtinId="9" hidden="1"/>
    <cellStyle name="Lien hypertexte visité" xfId="1450" builtinId="9" hidden="1"/>
    <cellStyle name="Lien hypertexte visité" xfId="1452" builtinId="9" hidden="1"/>
    <cellStyle name="Lien hypertexte visité" xfId="1454" builtinId="9" hidden="1"/>
    <cellStyle name="Lien hypertexte visité" xfId="1456" builtinId="9" hidden="1"/>
    <cellStyle name="Lien hypertexte visité" xfId="1458" builtinId="9" hidden="1"/>
    <cellStyle name="Lien hypertexte visité" xfId="1460" builtinId="9" hidden="1"/>
    <cellStyle name="Lien hypertexte visité" xfId="1462" builtinId="9" hidden="1"/>
    <cellStyle name="Lien hypertexte visité" xfId="1464" builtinId="9" hidden="1"/>
    <cellStyle name="Lien hypertexte visité" xfId="1466" builtinId="9" hidden="1"/>
    <cellStyle name="Lien hypertexte visité" xfId="1468" builtinId="9" hidden="1"/>
    <cellStyle name="Lien hypertexte visité" xfId="1470" builtinId="9" hidden="1"/>
    <cellStyle name="Lien hypertexte visité" xfId="1472" builtinId="9" hidden="1"/>
    <cellStyle name="Lien hypertexte visité" xfId="1474" builtinId="9" hidden="1"/>
    <cellStyle name="Lien hypertexte visité" xfId="1476" builtinId="9" hidden="1"/>
    <cellStyle name="Lien hypertexte visité" xfId="1478" builtinId="9" hidden="1"/>
    <cellStyle name="Lien hypertexte visité" xfId="1480" builtinId="9" hidden="1"/>
    <cellStyle name="Lien hypertexte visité" xfId="1482" builtinId="9" hidden="1"/>
    <cellStyle name="Lien hypertexte visité" xfId="1484" builtinId="9" hidden="1"/>
    <cellStyle name="Lien hypertexte visité" xfId="1486" builtinId="9" hidden="1"/>
    <cellStyle name="Lien hypertexte visité" xfId="1488" builtinId="9" hidden="1"/>
    <cellStyle name="Lien hypertexte visité" xfId="1490" builtinId="9" hidden="1"/>
    <cellStyle name="Lien hypertexte visité" xfId="1492" builtinId="9" hidden="1"/>
    <cellStyle name="Lien hypertexte visité" xfId="1494" builtinId="9" hidden="1"/>
    <cellStyle name="Lien hypertexte visité" xfId="1496" builtinId="9" hidden="1"/>
    <cellStyle name="Lien hypertexte visité" xfId="1498" builtinId="9" hidden="1"/>
    <cellStyle name="Lien hypertexte visité" xfId="1500" builtinId="9" hidden="1"/>
    <cellStyle name="Lien hypertexte visité" xfId="1502" builtinId="9" hidden="1"/>
    <cellStyle name="Lien hypertexte visité" xfId="1504" builtinId="9" hidden="1"/>
    <cellStyle name="Lien hypertexte visité" xfId="1506" builtinId="9" hidden="1"/>
    <cellStyle name="Lien hypertexte visité" xfId="1508" builtinId="9" hidden="1"/>
    <cellStyle name="Lien hypertexte visité" xfId="1510" builtinId="9" hidden="1"/>
    <cellStyle name="Lien hypertexte visité" xfId="1512" builtinId="9" hidden="1"/>
    <cellStyle name="Lien hypertexte visité" xfId="1514" builtinId="9" hidden="1"/>
    <cellStyle name="Lien hypertexte visité" xfId="1516" builtinId="9" hidden="1"/>
    <cellStyle name="Lien hypertexte visité" xfId="1518" builtinId="9" hidden="1"/>
    <cellStyle name="Lien hypertexte visité" xfId="1520" builtinId="9" hidden="1"/>
    <cellStyle name="Lien hypertexte visité" xfId="1522" builtinId="9" hidden="1"/>
    <cellStyle name="Lien hypertexte visité" xfId="1524" builtinId="9" hidden="1"/>
    <cellStyle name="Lien hypertexte visité" xfId="1526" builtinId="9" hidden="1"/>
    <cellStyle name="Lien hypertexte visité" xfId="1528" builtinId="9" hidden="1"/>
    <cellStyle name="Lien hypertexte visité" xfId="1530" builtinId="9" hidden="1"/>
    <cellStyle name="Lien hypertexte visité" xfId="1532" builtinId="9" hidden="1"/>
    <cellStyle name="Lien hypertexte visité" xfId="1534" builtinId="9" hidden="1"/>
    <cellStyle name="Lien hypertexte visité" xfId="1536" builtinId="9" hidden="1"/>
    <cellStyle name="Lien hypertexte visité" xfId="1538" builtinId="9" hidden="1"/>
    <cellStyle name="Lien hypertexte visité" xfId="1540" builtinId="9" hidden="1"/>
    <cellStyle name="Lien hypertexte visité" xfId="1542" builtinId="9" hidden="1"/>
    <cellStyle name="Lien hypertexte visité" xfId="1544" builtinId="9" hidden="1"/>
    <cellStyle name="Lien hypertexte visité" xfId="1546" builtinId="9" hidden="1"/>
    <cellStyle name="Lien hypertexte visité" xfId="1548" builtinId="9" hidden="1"/>
    <cellStyle name="Lien hypertexte visité" xfId="1550" builtinId="9" hidden="1"/>
    <cellStyle name="Lien hypertexte visité" xfId="1552" builtinId="9" hidden="1"/>
    <cellStyle name="Lien hypertexte visité" xfId="1554" builtinId="9" hidden="1"/>
    <cellStyle name="Lien hypertexte visité" xfId="1556" builtinId="9" hidden="1"/>
    <cellStyle name="Lien hypertexte visité" xfId="1558" builtinId="9" hidden="1"/>
    <cellStyle name="Lien hypertexte visité" xfId="1560" builtinId="9" hidden="1"/>
    <cellStyle name="Lien hypertexte visité" xfId="1562" builtinId="9" hidden="1"/>
    <cellStyle name="Lien hypertexte visité" xfId="1564" builtinId="9" hidden="1"/>
    <cellStyle name="Lien hypertexte visité" xfId="1566" builtinId="9" hidden="1"/>
    <cellStyle name="Lien hypertexte visité" xfId="1568" builtinId="9" hidden="1"/>
    <cellStyle name="Lien hypertexte visité" xfId="1570" builtinId="9" hidden="1"/>
    <cellStyle name="Lien hypertexte visité" xfId="1572" builtinId="9" hidden="1"/>
    <cellStyle name="Lien hypertexte visité" xfId="1574" builtinId="9" hidden="1"/>
    <cellStyle name="Lien hypertexte visité" xfId="1576" builtinId="9" hidden="1"/>
    <cellStyle name="Lien hypertexte visité" xfId="1578" builtinId="9" hidden="1"/>
    <cellStyle name="Lien hypertexte visité" xfId="1580" builtinId="9" hidden="1"/>
    <cellStyle name="Lien hypertexte visité" xfId="1582" builtinId="9" hidden="1"/>
    <cellStyle name="Lien hypertexte visité" xfId="1584" builtinId="9" hidden="1"/>
    <cellStyle name="Lien hypertexte visité" xfId="1586" builtinId="9" hidden="1"/>
    <cellStyle name="Lien hypertexte visité" xfId="1588" builtinId="9" hidden="1"/>
    <cellStyle name="Lien hypertexte visité" xfId="1590" builtinId="9" hidden="1"/>
    <cellStyle name="Lien hypertexte visité" xfId="1592" builtinId="9" hidden="1"/>
    <cellStyle name="Lien hypertexte visité" xfId="1594" builtinId="9" hidden="1"/>
    <cellStyle name="Lien hypertexte visité" xfId="1596" builtinId="9" hidden="1"/>
    <cellStyle name="Lien hypertexte visité" xfId="1598" builtinId="9" hidden="1"/>
    <cellStyle name="Lien hypertexte visité" xfId="1600" builtinId="9" hidden="1"/>
    <cellStyle name="Lien hypertexte visité" xfId="1602" builtinId="9" hidden="1"/>
    <cellStyle name="Lien hypertexte visité" xfId="1604" builtinId="9" hidden="1"/>
    <cellStyle name="Lien hypertexte visité" xfId="1606" builtinId="9" hidden="1"/>
    <cellStyle name="Lien hypertexte visité" xfId="1608" builtinId="9" hidden="1"/>
    <cellStyle name="Lien hypertexte visité" xfId="1610" builtinId="9" hidden="1"/>
    <cellStyle name="Lien hypertexte visité" xfId="1612" builtinId="9" hidden="1"/>
    <cellStyle name="Lien hypertexte visité" xfId="1614" builtinId="9" hidden="1"/>
    <cellStyle name="Lien hypertexte visité" xfId="1616" builtinId="9" hidden="1"/>
    <cellStyle name="Lien hypertexte visité" xfId="1618" builtinId="9" hidden="1"/>
    <cellStyle name="Lien hypertexte visité" xfId="1620" builtinId="9" hidden="1"/>
    <cellStyle name="Lien hypertexte visité" xfId="1622" builtinId="9" hidden="1"/>
    <cellStyle name="Lien hypertexte visité" xfId="1624" builtinId="9" hidden="1"/>
    <cellStyle name="Lien hypertexte visité" xfId="1626" builtinId="9" hidden="1"/>
    <cellStyle name="Lien hypertexte visité" xfId="1628" builtinId="9" hidden="1"/>
    <cellStyle name="Lien hypertexte visité" xfId="1630" builtinId="9" hidden="1"/>
    <cellStyle name="Lien hypertexte visité" xfId="1632" builtinId="9" hidden="1"/>
    <cellStyle name="Lien hypertexte visité" xfId="1634" builtinId="9" hidden="1"/>
    <cellStyle name="Lien hypertexte visité" xfId="1636" builtinId="9" hidden="1"/>
    <cellStyle name="Lien hypertexte visité" xfId="1638" builtinId="9" hidden="1"/>
    <cellStyle name="Lien hypertexte visité" xfId="1640" builtinId="9" hidden="1"/>
    <cellStyle name="Lien hypertexte visité" xfId="1642" builtinId="9" hidden="1"/>
    <cellStyle name="Lien hypertexte visité" xfId="1644" builtinId="9" hidden="1"/>
    <cellStyle name="Lien hypertexte visité" xfId="1646" builtinId="9" hidden="1"/>
    <cellStyle name="Lien hypertexte visité" xfId="1648" builtinId="9" hidden="1"/>
    <cellStyle name="Lien hypertexte visité" xfId="1650" builtinId="9" hidden="1"/>
    <cellStyle name="Lien hypertexte visité" xfId="1652" builtinId="9" hidden="1"/>
    <cellStyle name="Lien hypertexte visité" xfId="1654" builtinId="9" hidden="1"/>
    <cellStyle name="Lien hypertexte visité" xfId="1656" builtinId="9" hidden="1"/>
    <cellStyle name="Lien hypertexte visité" xfId="1658" builtinId="9" hidden="1"/>
    <cellStyle name="Lien hypertexte visité" xfId="1660" builtinId="9" hidden="1"/>
    <cellStyle name="Lien hypertexte visité" xfId="1662" builtinId="9" hidden="1"/>
    <cellStyle name="Lien hypertexte visité" xfId="1664" builtinId="9" hidden="1"/>
    <cellStyle name="Lien hypertexte visité" xfId="1666" builtinId="9" hidden="1"/>
    <cellStyle name="Lien hypertexte visité" xfId="1668" builtinId="9" hidden="1"/>
    <cellStyle name="Lien hypertexte visité" xfId="1670" builtinId="9" hidden="1"/>
    <cellStyle name="Lien hypertexte visité" xfId="1672" builtinId="9" hidden="1"/>
    <cellStyle name="Lien hypertexte visité" xfId="1674" builtinId="9" hidden="1"/>
    <cellStyle name="Lien hypertexte visité" xfId="1676" builtinId="9" hidden="1"/>
    <cellStyle name="Lien hypertexte visité" xfId="1678" builtinId="9" hidden="1"/>
    <cellStyle name="Lien hypertexte visité" xfId="1680" builtinId="9" hidden="1"/>
    <cellStyle name="Lien hypertexte visité" xfId="1682" builtinId="9" hidden="1"/>
    <cellStyle name="Lien hypertexte visité" xfId="1684" builtinId="9" hidden="1"/>
    <cellStyle name="Lien hypertexte visité" xfId="1686" builtinId="9" hidden="1"/>
    <cellStyle name="Lien hypertexte visité" xfId="1688" builtinId="9" hidden="1"/>
    <cellStyle name="Lien hypertexte visité" xfId="1690" builtinId="9" hidden="1"/>
    <cellStyle name="Lien hypertexte visité" xfId="1692" builtinId="9" hidden="1"/>
    <cellStyle name="Lien hypertexte visité" xfId="1694" builtinId="9" hidden="1"/>
    <cellStyle name="Lien hypertexte visité" xfId="1696" builtinId="9" hidden="1"/>
    <cellStyle name="Lien hypertexte visité" xfId="1698" builtinId="9" hidden="1"/>
    <cellStyle name="Lien hypertexte visité" xfId="1700" builtinId="9" hidden="1"/>
    <cellStyle name="Lien hypertexte visité" xfId="1702" builtinId="9" hidden="1"/>
    <cellStyle name="Lien hypertexte visité" xfId="1704" builtinId="9" hidden="1"/>
    <cellStyle name="Lien hypertexte visité" xfId="1706" builtinId="9" hidden="1"/>
    <cellStyle name="Lien hypertexte visité" xfId="1708" builtinId="9" hidden="1"/>
    <cellStyle name="Lien hypertexte visité" xfId="1710" builtinId="9" hidden="1"/>
    <cellStyle name="Lien hypertexte visité" xfId="1712" builtinId="9" hidden="1"/>
    <cellStyle name="Lien hypertexte visité" xfId="1714" builtinId="9" hidden="1"/>
    <cellStyle name="Lien hypertexte visité" xfId="1716" builtinId="9" hidden="1"/>
    <cellStyle name="Lien hypertexte visité" xfId="1718" builtinId="9" hidden="1"/>
    <cellStyle name="Lien hypertexte visité" xfId="1720" builtinId="9" hidden="1"/>
    <cellStyle name="Lien hypertexte visité" xfId="1722" builtinId="9" hidden="1"/>
    <cellStyle name="Lien hypertexte visité" xfId="1724" builtinId="9" hidden="1"/>
    <cellStyle name="Lien hypertexte visité" xfId="1726" builtinId="9" hidden="1"/>
    <cellStyle name="Lien hypertexte visité" xfId="1728" builtinId="9" hidden="1"/>
    <cellStyle name="Lien hypertexte visité" xfId="1730" builtinId="9" hidden="1"/>
    <cellStyle name="Lien hypertexte visité" xfId="1732" builtinId="9" hidden="1"/>
    <cellStyle name="Lien hypertexte visité" xfId="1734" builtinId="9" hidden="1"/>
    <cellStyle name="Lien hypertexte visité" xfId="1736" builtinId="9" hidden="1"/>
    <cellStyle name="Lien hypertexte visité" xfId="1738" builtinId="9" hidden="1"/>
    <cellStyle name="Lien hypertexte visité" xfId="1740" builtinId="9" hidden="1"/>
    <cellStyle name="Lien hypertexte visité" xfId="1742" builtinId="9" hidden="1"/>
    <cellStyle name="Lien hypertexte visité" xfId="1744" builtinId="9" hidden="1"/>
    <cellStyle name="Lien hypertexte visité" xfId="1746" builtinId="9" hidden="1"/>
    <cellStyle name="Lien hypertexte visité" xfId="1748" builtinId="9" hidden="1"/>
    <cellStyle name="Lien hypertexte visité" xfId="1750" builtinId="9" hidden="1"/>
    <cellStyle name="Lien hypertexte visité" xfId="1752" builtinId="9" hidden="1"/>
    <cellStyle name="Lien hypertexte visité" xfId="1754" builtinId="9" hidden="1"/>
    <cellStyle name="Lien hypertexte visité" xfId="1756" builtinId="9" hidden="1"/>
    <cellStyle name="Lien hypertexte visité" xfId="1758" builtinId="9" hidden="1"/>
    <cellStyle name="Lien hypertexte visité" xfId="1760" builtinId="9" hidden="1"/>
    <cellStyle name="Lien hypertexte visité" xfId="1762" builtinId="9" hidden="1"/>
    <cellStyle name="Lien hypertexte visité" xfId="1764" builtinId="9" hidden="1"/>
    <cellStyle name="Lien hypertexte visité" xfId="1766" builtinId="9" hidden="1"/>
    <cellStyle name="Lien hypertexte visité" xfId="1768" builtinId="9" hidden="1"/>
    <cellStyle name="Lien hypertexte visité" xfId="1770" builtinId="9" hidden="1"/>
    <cellStyle name="Lien hypertexte visité" xfId="1772" builtinId="9" hidden="1"/>
    <cellStyle name="Lien hypertexte visité" xfId="1774" builtinId="9" hidden="1"/>
    <cellStyle name="Lien hypertexte visité" xfId="1776" builtinId="9" hidden="1"/>
    <cellStyle name="Lien hypertexte visité" xfId="1778" builtinId="9" hidden="1"/>
    <cellStyle name="Lien hypertexte visité" xfId="1780" builtinId="9" hidden="1"/>
    <cellStyle name="Lien hypertexte visité" xfId="1782" builtinId="9" hidden="1"/>
    <cellStyle name="Lien hypertexte visité" xfId="1784" builtinId="9" hidden="1"/>
    <cellStyle name="Lien hypertexte visité" xfId="1786" builtinId="9" hidden="1"/>
    <cellStyle name="Lien hypertexte visité" xfId="1788" builtinId="9" hidden="1"/>
    <cellStyle name="Lien hypertexte visité" xfId="1790" builtinId="9" hidden="1"/>
    <cellStyle name="Lien hypertexte visité" xfId="1792" builtinId="9" hidden="1"/>
    <cellStyle name="Lien hypertexte visité" xfId="1794" builtinId="9" hidden="1"/>
    <cellStyle name="Lien hypertexte visité" xfId="1796" builtinId="9" hidden="1"/>
    <cellStyle name="Lien hypertexte visité" xfId="1798" builtinId="9" hidden="1"/>
    <cellStyle name="Lien hypertexte visité" xfId="1800" builtinId="9" hidden="1"/>
    <cellStyle name="Lien hypertexte visité" xfId="1802" builtinId="9" hidden="1"/>
    <cellStyle name="Lien hypertexte visité" xfId="1804" builtinId="9" hidden="1"/>
    <cellStyle name="Lien hypertexte visité" xfId="1806" builtinId="9" hidden="1"/>
    <cellStyle name="Lien hypertexte visité" xfId="1808" builtinId="9" hidden="1"/>
    <cellStyle name="Lien hypertexte visité" xfId="1810" builtinId="9" hidden="1"/>
    <cellStyle name="Lien hypertexte visité" xfId="1812" builtinId="9" hidden="1"/>
    <cellStyle name="Lien hypertexte visité" xfId="1814" builtinId="9" hidden="1"/>
    <cellStyle name="Lien hypertexte visité" xfId="1816" builtinId="9" hidden="1"/>
    <cellStyle name="Lien hypertexte visité" xfId="1818" builtinId="9" hidden="1"/>
    <cellStyle name="Lien hypertexte visité" xfId="1820" builtinId="9" hidden="1"/>
    <cellStyle name="Lien hypertexte visité" xfId="1822" builtinId="9" hidden="1"/>
    <cellStyle name="Lien hypertexte visité" xfId="1824" builtinId="9" hidden="1"/>
    <cellStyle name="Lien hypertexte visité" xfId="1826" builtinId="9" hidden="1"/>
    <cellStyle name="Lien hypertexte visité" xfId="1828" builtinId="9" hidden="1"/>
    <cellStyle name="Lien hypertexte visité" xfId="1830" builtinId="9" hidden="1"/>
    <cellStyle name="Lien hypertexte visité" xfId="1832" builtinId="9" hidden="1"/>
    <cellStyle name="Lien hypertexte visité" xfId="1834" builtinId="9" hidden="1"/>
    <cellStyle name="Lien hypertexte visité" xfId="1836" builtinId="9" hidden="1"/>
    <cellStyle name="Lien hypertexte visité" xfId="1838" builtinId="9" hidden="1"/>
    <cellStyle name="Lien hypertexte visité" xfId="1840" builtinId="9" hidden="1"/>
    <cellStyle name="Lien hypertexte visité" xfId="1842" builtinId="9" hidden="1"/>
    <cellStyle name="Lien hypertexte visité" xfId="1844" builtinId="9" hidden="1"/>
    <cellStyle name="Lien hypertexte visité" xfId="1846" builtinId="9" hidden="1"/>
    <cellStyle name="Lien hypertexte visité" xfId="1848" builtinId="9" hidden="1"/>
    <cellStyle name="Lien hypertexte visité" xfId="1850" builtinId="9" hidden="1"/>
    <cellStyle name="Lien hypertexte visité" xfId="1852" builtinId="9" hidden="1"/>
    <cellStyle name="Lien hypertexte visité" xfId="1854" builtinId="9" hidden="1"/>
    <cellStyle name="Lien hypertexte visité" xfId="1856" builtinId="9" hidden="1"/>
    <cellStyle name="Lien hypertexte visité" xfId="1858" builtinId="9" hidden="1"/>
    <cellStyle name="Lien hypertexte visité" xfId="1860" builtinId="9" hidden="1"/>
    <cellStyle name="Lien hypertexte visité" xfId="1862" builtinId="9" hidden="1"/>
    <cellStyle name="Lien hypertexte visité" xfId="1864" builtinId="9" hidden="1"/>
    <cellStyle name="Lien hypertexte visité" xfId="1866" builtinId="9" hidden="1"/>
    <cellStyle name="Lien hypertexte visité" xfId="1868" builtinId="9" hidden="1"/>
    <cellStyle name="Lien hypertexte visité" xfId="1870" builtinId="9" hidden="1"/>
    <cellStyle name="Lien hypertexte visité" xfId="1872" builtinId="9" hidden="1"/>
    <cellStyle name="Lien hypertexte visité" xfId="1874" builtinId="9" hidden="1"/>
    <cellStyle name="Lien hypertexte visité" xfId="1876" builtinId="9" hidden="1"/>
    <cellStyle name="Lien hypertexte visité" xfId="1878" builtinId="9" hidden="1"/>
    <cellStyle name="Lien hypertexte visité" xfId="1880" builtinId="9" hidden="1"/>
    <cellStyle name="Lien hypertexte visité" xfId="1882" builtinId="9" hidden="1"/>
    <cellStyle name="Lien hypertexte visité" xfId="1884" builtinId="9" hidden="1"/>
    <cellStyle name="Lien hypertexte visité" xfId="1886" builtinId="9" hidden="1"/>
    <cellStyle name="Lien hypertexte visité" xfId="1888" builtinId="9" hidden="1"/>
    <cellStyle name="Lien hypertexte visité" xfId="1890" builtinId="9" hidden="1"/>
    <cellStyle name="Lien hypertexte visité" xfId="1892" builtinId="9" hidden="1"/>
    <cellStyle name="Lien hypertexte visité" xfId="1894" builtinId="9" hidden="1"/>
    <cellStyle name="Lien hypertexte visité" xfId="1896" builtinId="9" hidden="1"/>
    <cellStyle name="Lien hypertexte visité" xfId="1898" builtinId="9" hidden="1"/>
    <cellStyle name="Lien hypertexte visité" xfId="1900" builtinId="9" hidden="1"/>
    <cellStyle name="Lien hypertexte visité" xfId="1902" builtinId="9" hidden="1"/>
    <cellStyle name="Lien hypertexte visité" xfId="1904" builtinId="9" hidden="1"/>
    <cellStyle name="Lien hypertexte visité" xfId="1906" builtinId="9" hidden="1"/>
    <cellStyle name="Lien hypertexte visité" xfId="1908" builtinId="9" hidden="1"/>
    <cellStyle name="Lien hypertexte visité" xfId="1910" builtinId="9" hidden="1"/>
    <cellStyle name="Lien hypertexte visité" xfId="1912" builtinId="9" hidden="1"/>
    <cellStyle name="Lien hypertexte visité" xfId="1914" builtinId="9" hidden="1"/>
    <cellStyle name="Lien hypertexte visité" xfId="1916" builtinId="9" hidden="1"/>
    <cellStyle name="Lien hypertexte visité" xfId="1918" builtinId="9" hidden="1"/>
    <cellStyle name="Lien hypertexte visité" xfId="1920" builtinId="9" hidden="1"/>
    <cellStyle name="Lien hypertexte visité" xfId="1922" builtinId="9" hidden="1"/>
    <cellStyle name="Lien hypertexte visité" xfId="1924" builtinId="9" hidden="1"/>
    <cellStyle name="Lien hypertexte visité" xfId="1926" builtinId="9" hidden="1"/>
    <cellStyle name="Lien hypertexte visité" xfId="1928" builtinId="9" hidden="1"/>
    <cellStyle name="Lien hypertexte visité" xfId="1930" builtinId="9" hidden="1"/>
    <cellStyle name="Lien hypertexte visité" xfId="1932" builtinId="9" hidden="1"/>
    <cellStyle name="Lien hypertexte visité" xfId="1934" builtinId="9" hidden="1"/>
    <cellStyle name="Lien hypertexte visité" xfId="1936" builtinId="9" hidden="1"/>
    <cellStyle name="Lien hypertexte visité" xfId="1938" builtinId="9" hidden="1"/>
    <cellStyle name="Lien hypertexte visité" xfId="1940" builtinId="9" hidden="1"/>
    <cellStyle name="Lien hypertexte visité" xfId="1942" builtinId="9" hidden="1"/>
    <cellStyle name="Lien hypertexte visité" xfId="1944" builtinId="9" hidden="1"/>
    <cellStyle name="Lien hypertexte visité" xfId="1946" builtinId="9" hidden="1"/>
    <cellStyle name="Lien hypertexte visité" xfId="1948" builtinId="9" hidden="1"/>
    <cellStyle name="Lien hypertexte visité" xfId="1950" builtinId="9" hidden="1"/>
    <cellStyle name="Lien hypertexte visité" xfId="1952" builtinId="9" hidden="1"/>
    <cellStyle name="Lien hypertexte visité" xfId="1954" builtinId="9" hidden="1"/>
    <cellStyle name="Lien hypertexte visité" xfId="1956" builtinId="9" hidden="1"/>
    <cellStyle name="Lien hypertexte visité" xfId="1958" builtinId="9" hidden="1"/>
    <cellStyle name="Lien hypertexte visité" xfId="1960" builtinId="9" hidden="1"/>
    <cellStyle name="Lien hypertexte visité" xfId="1962" builtinId="9" hidden="1"/>
    <cellStyle name="Lien hypertexte visité" xfId="1964" builtinId="9" hidden="1"/>
    <cellStyle name="Lien hypertexte visité" xfId="1966" builtinId="9" hidden="1"/>
    <cellStyle name="Lien hypertexte visité" xfId="1968" builtinId="9" hidden="1"/>
    <cellStyle name="Lien hypertexte visité" xfId="1970" builtinId="9" hidden="1"/>
    <cellStyle name="Lien hypertexte visité" xfId="1972" builtinId="9" hidden="1"/>
    <cellStyle name="Lien hypertexte visité" xfId="1974" builtinId="9" hidden="1"/>
    <cellStyle name="Lien hypertexte visité" xfId="1976" builtinId="9" hidden="1"/>
    <cellStyle name="Lien hypertexte visité" xfId="1978" builtinId="9" hidden="1"/>
    <cellStyle name="Lien hypertexte visité" xfId="1980" builtinId="9" hidden="1"/>
    <cellStyle name="Lien hypertexte visité" xfId="1982" builtinId="9" hidden="1"/>
    <cellStyle name="Lien hypertexte visité" xfId="1984" builtinId="9" hidden="1"/>
    <cellStyle name="Lien hypertexte visité" xfId="1986" builtinId="9" hidden="1"/>
    <cellStyle name="Lien hypertexte visité" xfId="1988" builtinId="9" hidden="1"/>
    <cellStyle name="Lien hypertexte visité" xfId="1990" builtinId="9" hidden="1"/>
    <cellStyle name="Lien hypertexte visité" xfId="1992" builtinId="9" hidden="1"/>
    <cellStyle name="Lien hypertexte visité" xfId="1994" builtinId="9" hidden="1"/>
    <cellStyle name="Lien hypertexte visité" xfId="1996" builtinId="9" hidden="1"/>
    <cellStyle name="Lien hypertexte visité" xfId="1998" builtinId="9" hidden="1"/>
    <cellStyle name="Lien hypertexte visité" xfId="2000" builtinId="9" hidden="1"/>
    <cellStyle name="Lien hypertexte visité" xfId="2002" builtinId="9" hidden="1"/>
    <cellStyle name="Lien hypertexte visité" xfId="2004" builtinId="9" hidden="1"/>
    <cellStyle name="Lien hypertexte visité" xfId="2006" builtinId="9" hidden="1"/>
    <cellStyle name="Lien hypertexte visité" xfId="2008" builtinId="9" hidden="1"/>
    <cellStyle name="Lien hypertexte visité" xfId="2010" builtinId="9" hidden="1"/>
    <cellStyle name="Lien hypertexte visité" xfId="2012" builtinId="9" hidden="1"/>
    <cellStyle name="Lien hypertexte visité" xfId="2014" builtinId="9" hidden="1"/>
    <cellStyle name="Lien hypertexte visité" xfId="2016" builtinId="9" hidden="1"/>
    <cellStyle name="Lien hypertexte visité" xfId="2018" builtinId="9" hidden="1"/>
    <cellStyle name="Lien hypertexte visité" xfId="2020" builtinId="9" hidden="1"/>
    <cellStyle name="Lien hypertexte visité" xfId="2022" builtinId="9" hidden="1"/>
    <cellStyle name="Lien hypertexte visité" xfId="2024" builtinId="9" hidden="1"/>
    <cellStyle name="Lien hypertexte visité" xfId="2026" builtinId="9" hidden="1"/>
    <cellStyle name="Lien hypertexte visité" xfId="2028" builtinId="9" hidden="1"/>
    <cellStyle name="Lien hypertexte visité" xfId="2030" builtinId="9" hidden="1"/>
    <cellStyle name="Lien hypertexte visité" xfId="2032" builtinId="9" hidden="1"/>
    <cellStyle name="Lien hypertexte visité" xfId="2034" builtinId="9" hidden="1"/>
    <cellStyle name="Lien hypertexte visité" xfId="2036" builtinId="9" hidden="1"/>
    <cellStyle name="Lien hypertexte visité" xfId="2038" builtinId="9" hidden="1"/>
    <cellStyle name="Lien hypertexte visité" xfId="2040" builtinId="9" hidden="1"/>
    <cellStyle name="Lien hypertexte visité" xfId="2042" builtinId="9" hidden="1"/>
    <cellStyle name="Lien hypertexte visité" xfId="2044" builtinId="9" hidden="1"/>
    <cellStyle name="Lien hypertexte visité" xfId="2046" builtinId="9" hidden="1"/>
    <cellStyle name="Lien hypertexte visité" xfId="2048" builtinId="9" hidden="1"/>
    <cellStyle name="Lien hypertexte visité" xfId="2050" builtinId="9" hidden="1"/>
    <cellStyle name="Lien hypertexte visité" xfId="2052" builtinId="9" hidden="1"/>
    <cellStyle name="Lien hypertexte visité" xfId="2054" builtinId="9" hidden="1"/>
    <cellStyle name="Lien hypertexte visité" xfId="2056" builtinId="9" hidden="1"/>
    <cellStyle name="Lien hypertexte visité" xfId="2058" builtinId="9" hidden="1"/>
    <cellStyle name="Lien hypertexte visité" xfId="2060" builtinId="9" hidden="1"/>
    <cellStyle name="Lien hypertexte visité" xfId="2062" builtinId="9" hidden="1"/>
    <cellStyle name="Lien hypertexte visité" xfId="2064" builtinId="9" hidden="1"/>
    <cellStyle name="Lien hypertexte visité" xfId="2066" builtinId="9" hidden="1"/>
    <cellStyle name="Lien hypertexte visité" xfId="2068" builtinId="9" hidden="1"/>
    <cellStyle name="Lien hypertexte visité" xfId="2070" builtinId="9" hidden="1"/>
    <cellStyle name="Lien hypertexte visité" xfId="2072" builtinId="9" hidden="1"/>
    <cellStyle name="Lien hypertexte visité" xfId="2074" builtinId="9" hidden="1"/>
    <cellStyle name="Lien hypertexte visité" xfId="2076" builtinId="9" hidden="1"/>
    <cellStyle name="Lien hypertexte visité" xfId="2078" builtinId="9" hidden="1"/>
    <cellStyle name="Lien hypertexte visité" xfId="2080" builtinId="9" hidden="1"/>
    <cellStyle name="Lien hypertexte visité" xfId="2082" builtinId="9" hidden="1"/>
    <cellStyle name="Lien hypertexte visité" xfId="2084" builtinId="9" hidden="1"/>
    <cellStyle name="Lien hypertexte visité" xfId="2086" builtinId="9" hidden="1"/>
    <cellStyle name="Lien hypertexte visité" xfId="2088" builtinId="9" hidden="1"/>
    <cellStyle name="Lien hypertexte visité" xfId="2090" builtinId="9" hidden="1"/>
    <cellStyle name="Lien hypertexte visité" xfId="2092" builtinId="9" hidden="1"/>
    <cellStyle name="Lien hypertexte visité" xfId="2094" builtinId="9" hidden="1"/>
    <cellStyle name="Lien hypertexte visité" xfId="2096" builtinId="9" hidden="1"/>
    <cellStyle name="Lien hypertexte visité" xfId="2098" builtinId="9" hidden="1"/>
    <cellStyle name="Lien hypertexte visité" xfId="2100" builtinId="9" hidden="1"/>
    <cellStyle name="Lien hypertexte visité" xfId="2102" builtinId="9" hidden="1"/>
    <cellStyle name="Lien hypertexte visité" xfId="2104" builtinId="9" hidden="1"/>
    <cellStyle name="Lien hypertexte visité" xfId="2106" builtinId="9" hidden="1"/>
    <cellStyle name="Lien hypertexte visité" xfId="2108" builtinId="9" hidden="1"/>
    <cellStyle name="Lien hypertexte visité" xfId="2110" builtinId="9" hidden="1"/>
    <cellStyle name="Lien hypertexte visité" xfId="2112" builtinId="9" hidden="1"/>
    <cellStyle name="Lien hypertexte visité" xfId="2114" builtinId="9" hidden="1"/>
    <cellStyle name="Lien hypertexte visité" xfId="2116" builtinId="9" hidden="1"/>
    <cellStyle name="Lien hypertexte visité" xfId="2118" builtinId="9" hidden="1"/>
    <cellStyle name="Lien hypertexte visité" xfId="2120" builtinId="9" hidden="1"/>
    <cellStyle name="Lien hypertexte visité" xfId="2122" builtinId="9" hidden="1"/>
    <cellStyle name="Lien hypertexte visité" xfId="2124" builtinId="9" hidden="1"/>
    <cellStyle name="Lien hypertexte visité" xfId="2126" builtinId="9" hidden="1"/>
    <cellStyle name="Lien hypertexte visité" xfId="2128" builtinId="9" hidden="1"/>
    <cellStyle name="Lien hypertexte visité" xfId="2130" builtinId="9" hidden="1"/>
    <cellStyle name="Lien hypertexte visité" xfId="2132" builtinId="9" hidden="1"/>
    <cellStyle name="Lien hypertexte visité" xfId="2134" builtinId="9" hidden="1"/>
    <cellStyle name="Lien hypertexte visité" xfId="2136" builtinId="9" hidden="1"/>
    <cellStyle name="Lien hypertexte visité" xfId="2138" builtinId="9" hidden="1"/>
    <cellStyle name="Lien hypertexte visité" xfId="2140" builtinId="9" hidden="1"/>
    <cellStyle name="Lien hypertexte visité" xfId="2142" builtinId="9" hidden="1"/>
    <cellStyle name="Lien hypertexte visité" xfId="2144" builtinId="9" hidden="1"/>
    <cellStyle name="Lien hypertexte visité" xfId="2146" builtinId="9" hidden="1"/>
    <cellStyle name="Lien hypertexte visité" xfId="2148" builtinId="9" hidden="1"/>
    <cellStyle name="Lien hypertexte visité" xfId="2150" builtinId="9" hidden="1"/>
    <cellStyle name="Lien hypertexte visité" xfId="2152" builtinId="9" hidden="1"/>
    <cellStyle name="Lien hypertexte visité" xfId="2154" builtinId="9" hidden="1"/>
    <cellStyle name="Lien hypertexte visité" xfId="2156" builtinId="9" hidden="1"/>
    <cellStyle name="Lien hypertexte visité" xfId="2158" builtinId="9" hidden="1"/>
    <cellStyle name="Lien hypertexte visité" xfId="2160" builtinId="9" hidden="1"/>
    <cellStyle name="Lien hypertexte visité" xfId="2162" builtinId="9" hidden="1"/>
    <cellStyle name="Lien hypertexte visité" xfId="2164" builtinId="9" hidden="1"/>
    <cellStyle name="Lien hypertexte visité" xfId="2166" builtinId="9" hidden="1"/>
    <cellStyle name="Lien hypertexte visité" xfId="2168" builtinId="9" hidden="1"/>
    <cellStyle name="Lien hypertexte visité" xfId="2170" builtinId="9" hidden="1"/>
    <cellStyle name="Lien hypertexte visité" xfId="2172" builtinId="9" hidden="1"/>
    <cellStyle name="Lien hypertexte visité" xfId="2174" builtinId="9" hidden="1"/>
    <cellStyle name="Lien hypertexte visité" xfId="2176" builtinId="9" hidden="1"/>
    <cellStyle name="Lien hypertexte visité" xfId="2178" builtinId="9" hidden="1"/>
    <cellStyle name="Lien hypertexte visité" xfId="2180" builtinId="9" hidden="1"/>
    <cellStyle name="Lien hypertexte visité" xfId="2182" builtinId="9" hidden="1"/>
    <cellStyle name="Lien hypertexte visité" xfId="2184" builtinId="9" hidden="1"/>
    <cellStyle name="Lien hypertexte visité" xfId="2186" builtinId="9" hidden="1"/>
    <cellStyle name="Lien hypertexte visité" xfId="2188" builtinId="9" hidden="1"/>
    <cellStyle name="Lien hypertexte visité" xfId="2190" builtinId="9" hidden="1"/>
    <cellStyle name="Lien hypertexte visité" xfId="2192" builtinId="9" hidden="1"/>
    <cellStyle name="Lien hypertexte visité" xfId="2194" builtinId="9" hidden="1"/>
    <cellStyle name="Lien hypertexte visité" xfId="2196" builtinId="9" hidden="1"/>
    <cellStyle name="Lien hypertexte visité" xfId="2198" builtinId="9" hidden="1"/>
    <cellStyle name="Lien hypertexte visité" xfId="2200" builtinId="9" hidden="1"/>
    <cellStyle name="Lien hypertexte visité" xfId="2202" builtinId="9" hidden="1"/>
    <cellStyle name="Lien hypertexte visité" xfId="2204" builtinId="9" hidden="1"/>
    <cellStyle name="Lien hypertexte visité" xfId="2206" builtinId="9" hidden="1"/>
    <cellStyle name="Lien hypertexte visité" xfId="2208" builtinId="9" hidden="1"/>
    <cellStyle name="Lien hypertexte visité" xfId="2210" builtinId="9" hidden="1"/>
    <cellStyle name="Lien hypertexte visité" xfId="2212" builtinId="9" hidden="1"/>
    <cellStyle name="Lien hypertexte visité" xfId="2214" builtinId="9" hidden="1"/>
    <cellStyle name="Lien hypertexte visité" xfId="2216" builtinId="9" hidden="1"/>
    <cellStyle name="Lien hypertexte visité" xfId="2218" builtinId="9" hidden="1"/>
    <cellStyle name="Lien hypertexte visité" xfId="2220" builtinId="9" hidden="1"/>
    <cellStyle name="Lien hypertexte visité" xfId="2222" builtinId="9" hidden="1"/>
    <cellStyle name="Lien hypertexte visité" xfId="2224" builtinId="9" hidden="1"/>
    <cellStyle name="Lien hypertexte visité" xfId="2226" builtinId="9" hidden="1"/>
    <cellStyle name="Lien hypertexte visité" xfId="2228" builtinId="9" hidden="1"/>
    <cellStyle name="Lien hypertexte visité" xfId="2230" builtinId="9" hidden="1"/>
    <cellStyle name="Lien hypertexte visité" xfId="2232" builtinId="9" hidden="1"/>
    <cellStyle name="Lien hypertexte visité" xfId="2234" builtinId="9" hidden="1"/>
    <cellStyle name="Lien hypertexte visité" xfId="2236" builtinId="9" hidden="1"/>
    <cellStyle name="Lien hypertexte visité" xfId="2238" builtinId="9" hidden="1"/>
    <cellStyle name="Lien hypertexte visité" xfId="2240" builtinId="9" hidden="1"/>
    <cellStyle name="Lien hypertexte visité" xfId="2242" builtinId="9" hidden="1"/>
    <cellStyle name="Lien hypertexte visité" xfId="2244" builtinId="9" hidden="1"/>
    <cellStyle name="Lien hypertexte visité" xfId="2246" builtinId="9" hidden="1"/>
    <cellStyle name="Lien hypertexte visité" xfId="2248" builtinId="9" hidden="1"/>
    <cellStyle name="Lien hypertexte visité" xfId="2250" builtinId="9" hidden="1"/>
    <cellStyle name="Lien hypertexte visité" xfId="2252" builtinId="9" hidden="1"/>
    <cellStyle name="Lien hypertexte visité" xfId="2254" builtinId="9" hidden="1"/>
    <cellStyle name="Lien hypertexte visité" xfId="2256" builtinId="9" hidden="1"/>
    <cellStyle name="Lien hypertexte visité" xfId="2258" builtinId="9" hidden="1"/>
    <cellStyle name="Lien hypertexte visité" xfId="2260" builtinId="9" hidden="1"/>
    <cellStyle name="Lien hypertexte visité" xfId="2262" builtinId="9" hidden="1"/>
    <cellStyle name="Lien hypertexte visité" xfId="2264" builtinId="9" hidden="1"/>
    <cellStyle name="Lien hypertexte visité" xfId="2266" builtinId="9" hidden="1"/>
    <cellStyle name="Lien hypertexte visité" xfId="2268" builtinId="9" hidden="1"/>
    <cellStyle name="Lien hypertexte visité" xfId="2270" builtinId="9" hidden="1"/>
    <cellStyle name="Lien hypertexte visité" xfId="2272" builtinId="9" hidden="1"/>
    <cellStyle name="Lien hypertexte visité" xfId="2274" builtinId="9" hidden="1"/>
    <cellStyle name="Lien hypertexte visité" xfId="2276" builtinId="9" hidden="1"/>
    <cellStyle name="Lien hypertexte visité" xfId="2278" builtinId="9" hidden="1"/>
    <cellStyle name="Lien hypertexte visité" xfId="2280" builtinId="9" hidden="1"/>
    <cellStyle name="Lien hypertexte visité" xfId="2282" builtinId="9" hidden="1"/>
    <cellStyle name="Lien hypertexte visité" xfId="2284" builtinId="9" hidden="1"/>
    <cellStyle name="Lien hypertexte visité" xfId="2286" builtinId="9" hidden="1"/>
    <cellStyle name="Lien hypertexte visité" xfId="2288" builtinId="9" hidden="1"/>
    <cellStyle name="Lien hypertexte visité" xfId="2290" builtinId="9" hidden="1"/>
    <cellStyle name="Lien hypertexte visité" xfId="2292" builtinId="9" hidden="1"/>
    <cellStyle name="Lien hypertexte visité" xfId="2294" builtinId="9" hidden="1"/>
    <cellStyle name="Lien hypertexte visité" xfId="2296" builtinId="9" hidden="1"/>
    <cellStyle name="Lien hypertexte visité" xfId="2298" builtinId="9" hidden="1"/>
    <cellStyle name="Lien hypertexte visité" xfId="2300" builtinId="9" hidden="1"/>
    <cellStyle name="Lien hypertexte visité" xfId="2302" builtinId="9" hidden="1"/>
    <cellStyle name="Lien hypertexte visité" xfId="2304" builtinId="9" hidden="1"/>
    <cellStyle name="Lien hypertexte visité" xfId="2306" builtinId="9" hidden="1"/>
    <cellStyle name="Lien hypertexte visité" xfId="2308" builtinId="9" hidden="1"/>
    <cellStyle name="Lien hypertexte visité" xfId="2310" builtinId="9" hidden="1"/>
    <cellStyle name="Lien hypertexte visité" xfId="2312" builtinId="9" hidden="1"/>
    <cellStyle name="Lien hypertexte visité" xfId="2314" builtinId="9" hidden="1"/>
    <cellStyle name="Lien hypertexte visité" xfId="2316" builtinId="9" hidden="1"/>
    <cellStyle name="Lien hypertexte visité" xfId="2318" builtinId="9" hidden="1"/>
    <cellStyle name="Lien hypertexte visité" xfId="2320" builtinId="9" hidden="1"/>
    <cellStyle name="Lien hypertexte visité" xfId="2322" builtinId="9" hidden="1"/>
    <cellStyle name="Lien hypertexte visité" xfId="2324" builtinId="9" hidden="1"/>
    <cellStyle name="Lien hypertexte visité" xfId="2326" builtinId="9" hidden="1"/>
    <cellStyle name="Lien hypertexte visité" xfId="2328" builtinId="9" hidden="1"/>
    <cellStyle name="Lien hypertexte visité" xfId="2330" builtinId="9" hidden="1"/>
    <cellStyle name="Lien hypertexte visité" xfId="2332" builtinId="9" hidden="1"/>
    <cellStyle name="Lien hypertexte visité" xfId="2334" builtinId="9" hidden="1"/>
    <cellStyle name="Lien hypertexte visité" xfId="2336" builtinId="9" hidden="1"/>
    <cellStyle name="Lien hypertexte visité" xfId="2338" builtinId="9" hidden="1"/>
    <cellStyle name="Lien hypertexte visité" xfId="2340" builtinId="9" hidden="1"/>
    <cellStyle name="Lien hypertexte visité" xfId="2342" builtinId="9" hidden="1"/>
    <cellStyle name="Lien hypertexte visité" xfId="2344" builtinId="9" hidden="1"/>
    <cellStyle name="Lien hypertexte visité" xfId="2346" builtinId="9" hidden="1"/>
    <cellStyle name="Lien hypertexte visité" xfId="2348" builtinId="9" hidden="1"/>
    <cellStyle name="Lien hypertexte visité" xfId="2350" builtinId="9" hidden="1"/>
    <cellStyle name="Lien hypertexte visité" xfId="2352" builtinId="9" hidden="1"/>
    <cellStyle name="Lien hypertexte visité" xfId="2354" builtinId="9" hidden="1"/>
    <cellStyle name="Lien hypertexte visité" xfId="2356" builtinId="9" hidden="1"/>
    <cellStyle name="Lien hypertexte visité" xfId="2358" builtinId="9" hidden="1"/>
    <cellStyle name="Lien hypertexte visité" xfId="2360" builtinId="9" hidden="1"/>
    <cellStyle name="Lien hypertexte visité" xfId="2362" builtinId="9" hidden="1"/>
    <cellStyle name="Lien hypertexte visité" xfId="2364" builtinId="9" hidden="1"/>
    <cellStyle name="Lien hypertexte visité" xfId="2366" builtinId="9" hidden="1"/>
    <cellStyle name="Lien hypertexte visité" xfId="2368" builtinId="9" hidden="1"/>
    <cellStyle name="Lien hypertexte visité" xfId="2370" builtinId="9" hidden="1"/>
    <cellStyle name="Lien hypertexte visité" xfId="2372" builtinId="9" hidden="1"/>
    <cellStyle name="Lien hypertexte visité" xfId="2374" builtinId="9" hidden="1"/>
    <cellStyle name="Lien hypertexte visité" xfId="2376" builtinId="9" hidden="1"/>
    <cellStyle name="Lien hypertexte visité" xfId="2378" builtinId="9" hidden="1"/>
    <cellStyle name="Lien hypertexte visité" xfId="2380" builtinId="9" hidden="1"/>
    <cellStyle name="Lien hypertexte visité" xfId="2382" builtinId="9" hidden="1"/>
    <cellStyle name="Lien hypertexte visité" xfId="2384" builtinId="9" hidden="1"/>
    <cellStyle name="Lien hypertexte visité" xfId="2386" builtinId="9" hidden="1"/>
    <cellStyle name="Lien hypertexte visité" xfId="2388" builtinId="9" hidden="1"/>
    <cellStyle name="Lien hypertexte visité" xfId="2390" builtinId="9" hidden="1"/>
    <cellStyle name="Lien hypertexte visité" xfId="2392" builtinId="9" hidden="1"/>
    <cellStyle name="Lien hypertexte visité" xfId="2394" builtinId="9" hidden="1"/>
    <cellStyle name="Lien hypertexte visité" xfId="2396" builtinId="9" hidden="1"/>
    <cellStyle name="Lien hypertexte visité" xfId="2398" builtinId="9" hidden="1"/>
    <cellStyle name="Lien hypertexte visité" xfId="2400" builtinId="9" hidden="1"/>
    <cellStyle name="Lien hypertexte visité" xfId="2402" builtinId="9" hidden="1"/>
    <cellStyle name="Lien hypertexte visité" xfId="2404" builtinId="9" hidden="1"/>
    <cellStyle name="Lien hypertexte visité" xfId="2406" builtinId="9" hidden="1"/>
    <cellStyle name="Lien hypertexte visité" xfId="2408" builtinId="9" hidden="1"/>
    <cellStyle name="Lien hypertexte visité" xfId="2410" builtinId="9" hidden="1"/>
    <cellStyle name="Lien hypertexte visité" xfId="2412" builtinId="9" hidden="1"/>
    <cellStyle name="Lien hypertexte visité" xfId="2414" builtinId="9" hidden="1"/>
    <cellStyle name="Lien hypertexte visité" xfId="2416" builtinId="9" hidden="1"/>
    <cellStyle name="Lien hypertexte visité" xfId="2418" builtinId="9" hidden="1"/>
    <cellStyle name="Lien hypertexte visité" xfId="2420" builtinId="9" hidden="1"/>
    <cellStyle name="Lien hypertexte visité" xfId="2422" builtinId="9" hidden="1"/>
    <cellStyle name="Lien hypertexte visité" xfId="2424" builtinId="9" hidden="1"/>
    <cellStyle name="Lien hypertexte visité" xfId="2426" builtinId="9" hidden="1"/>
    <cellStyle name="Lien hypertexte visité" xfId="2428" builtinId="9" hidden="1"/>
    <cellStyle name="Lien hypertexte visité" xfId="2430" builtinId="9" hidden="1"/>
    <cellStyle name="Lien hypertexte visité" xfId="2432" builtinId="9" hidden="1"/>
    <cellStyle name="Lien hypertexte visité" xfId="2434" builtinId="9" hidden="1"/>
    <cellStyle name="Lien hypertexte visité" xfId="2436" builtinId="9" hidden="1"/>
    <cellStyle name="Lien hypertexte visité" xfId="2438" builtinId="9" hidden="1"/>
    <cellStyle name="Lien hypertexte visité" xfId="2440" builtinId="9" hidden="1"/>
    <cellStyle name="Lien hypertexte visité" xfId="2442" builtinId="9" hidden="1"/>
    <cellStyle name="Lien hypertexte visité" xfId="2444" builtinId="9" hidden="1"/>
    <cellStyle name="Lien hypertexte visité" xfId="2446" builtinId="9" hidden="1"/>
    <cellStyle name="Lien hypertexte visité" xfId="2448" builtinId="9" hidden="1"/>
    <cellStyle name="Lien hypertexte visité" xfId="2450" builtinId="9" hidden="1"/>
    <cellStyle name="Lien hypertexte visité" xfId="2452" builtinId="9" hidden="1"/>
    <cellStyle name="Lien hypertexte visité" xfId="2454" builtinId="9" hidden="1"/>
    <cellStyle name="Lien hypertexte visité" xfId="2456" builtinId="9" hidden="1"/>
    <cellStyle name="Lien hypertexte visité" xfId="2458" builtinId="9" hidden="1"/>
    <cellStyle name="Lien hypertexte visité" xfId="2460" builtinId="9" hidden="1"/>
    <cellStyle name="Lien hypertexte visité" xfId="2462" builtinId="9" hidden="1"/>
    <cellStyle name="Lien hypertexte visité" xfId="2464" builtinId="9" hidden="1"/>
    <cellStyle name="Lien hypertexte visité" xfId="2466" builtinId="9" hidden="1"/>
    <cellStyle name="Lien hypertexte visité" xfId="2468" builtinId="9" hidden="1"/>
    <cellStyle name="Lien hypertexte visité" xfId="2470" builtinId="9" hidden="1"/>
    <cellStyle name="Lien hypertexte visité" xfId="2472" builtinId="9" hidden="1"/>
    <cellStyle name="Lien hypertexte visité" xfId="2474" builtinId="9" hidden="1"/>
    <cellStyle name="Lien hypertexte visité" xfId="2476" builtinId="9" hidden="1"/>
    <cellStyle name="Lien hypertexte visité" xfId="2478" builtinId="9" hidden="1"/>
    <cellStyle name="Lien hypertexte visité" xfId="2480" builtinId="9" hidden="1"/>
    <cellStyle name="Lien hypertexte visité" xfId="2482" builtinId="9" hidden="1"/>
    <cellStyle name="Lien hypertexte visité" xfId="2484" builtinId="9" hidden="1"/>
    <cellStyle name="Lien hypertexte visité" xfId="2486" builtinId="9" hidden="1"/>
    <cellStyle name="Lien hypertexte visité" xfId="2488" builtinId="9" hidden="1"/>
    <cellStyle name="Lien hypertexte visité" xfId="2490" builtinId="9" hidden="1"/>
    <cellStyle name="Lien hypertexte visité" xfId="2492" builtinId="9" hidden="1"/>
    <cellStyle name="Lien hypertexte visité" xfId="2494" builtinId="9" hidden="1"/>
    <cellStyle name="Lien hypertexte visité" xfId="2496" builtinId="9" hidden="1"/>
    <cellStyle name="Lien hypertexte visité" xfId="2498" builtinId="9" hidden="1"/>
    <cellStyle name="Lien hypertexte visité" xfId="2500" builtinId="9" hidden="1"/>
    <cellStyle name="Lien hypertexte visité" xfId="2502" builtinId="9" hidden="1"/>
    <cellStyle name="Lien hypertexte visité" xfId="2504" builtinId="9" hidden="1"/>
    <cellStyle name="Lien hypertexte visité" xfId="2506" builtinId="9" hidden="1"/>
    <cellStyle name="Lien hypertexte visité" xfId="2508" builtinId="9" hidden="1"/>
    <cellStyle name="Lien hypertexte visité" xfId="2510" builtinId="9" hidden="1"/>
    <cellStyle name="Lien hypertexte visité" xfId="2512" builtinId="9" hidden="1"/>
    <cellStyle name="Lien hypertexte visité" xfId="2514" builtinId="9" hidden="1"/>
    <cellStyle name="Lien hypertexte visité" xfId="2516" builtinId="9" hidden="1"/>
    <cellStyle name="Lien hypertexte visité" xfId="2518" builtinId="9" hidden="1"/>
    <cellStyle name="Lien hypertexte visité" xfId="2520" builtinId="9" hidden="1"/>
    <cellStyle name="Lien hypertexte visité" xfId="2522" builtinId="9" hidden="1"/>
    <cellStyle name="Lien hypertexte visité" xfId="2524" builtinId="9" hidden="1"/>
    <cellStyle name="Lien hypertexte visité" xfId="2526" builtinId="9" hidden="1"/>
    <cellStyle name="Lien hypertexte visité" xfId="2528" builtinId="9" hidden="1"/>
    <cellStyle name="Lien hypertexte visité" xfId="2530" builtinId="9" hidden="1"/>
    <cellStyle name="Lien hypertexte visité" xfId="2532" builtinId="9" hidden="1"/>
    <cellStyle name="Lien hypertexte visité" xfId="2534" builtinId="9" hidden="1"/>
    <cellStyle name="Lien hypertexte visité" xfId="2536" builtinId="9" hidden="1"/>
    <cellStyle name="Lien hypertexte visité" xfId="2538" builtinId="9" hidden="1"/>
    <cellStyle name="Lien hypertexte visité" xfId="2540" builtinId="9" hidden="1"/>
    <cellStyle name="Lien hypertexte visité" xfId="2542" builtinId="9" hidden="1"/>
    <cellStyle name="Lien hypertexte visité" xfId="2544" builtinId="9" hidden="1"/>
    <cellStyle name="Lien hypertexte visité" xfId="2546" builtinId="9" hidden="1"/>
    <cellStyle name="Lien hypertexte visité" xfId="2548" builtinId="9" hidden="1"/>
    <cellStyle name="Lien hypertexte visité" xfId="2550" builtinId="9" hidden="1"/>
    <cellStyle name="Lien hypertexte visité" xfId="2552" builtinId="9" hidden="1"/>
    <cellStyle name="Lien hypertexte visité" xfId="2554" builtinId="9" hidden="1"/>
    <cellStyle name="Lien hypertexte visité" xfId="2556" builtinId="9" hidden="1"/>
    <cellStyle name="Lien hypertexte visité" xfId="2558" builtinId="9" hidden="1"/>
    <cellStyle name="Lien hypertexte visité" xfId="2560" builtinId="9" hidden="1"/>
    <cellStyle name="Lien hypertexte visité" xfId="2562" builtinId="9" hidden="1"/>
    <cellStyle name="Lien hypertexte visité" xfId="2564" builtinId="9" hidden="1"/>
    <cellStyle name="Lien hypertexte visité" xfId="2566" builtinId="9" hidden="1"/>
    <cellStyle name="Lien hypertexte visité" xfId="2568" builtinId="9" hidden="1"/>
    <cellStyle name="Lien hypertexte visité" xfId="2570" builtinId="9" hidden="1"/>
    <cellStyle name="Lien hypertexte visité" xfId="2572" builtinId="9" hidden="1"/>
    <cellStyle name="Lien hypertexte visité" xfId="2574" builtinId="9" hidden="1"/>
    <cellStyle name="Lien hypertexte visité" xfId="2576" builtinId="9" hidden="1"/>
    <cellStyle name="Lien hypertexte visité" xfId="2578" builtinId="9" hidden="1"/>
    <cellStyle name="Lien hypertexte visité" xfId="2580" builtinId="9" hidden="1"/>
    <cellStyle name="Lien hypertexte visité" xfId="2582" builtinId="9" hidden="1"/>
    <cellStyle name="Lien hypertexte visité" xfId="2584" builtinId="9" hidden="1"/>
    <cellStyle name="Lien hypertexte visité" xfId="2586" builtinId="9" hidden="1"/>
    <cellStyle name="Lien hypertexte visité" xfId="2588" builtinId="9" hidden="1"/>
    <cellStyle name="Lien hypertexte visité" xfId="2590" builtinId="9" hidden="1"/>
    <cellStyle name="Lien hypertexte visité" xfId="2592" builtinId="9" hidden="1"/>
    <cellStyle name="Lien hypertexte visité" xfId="2594" builtinId="9" hidden="1"/>
    <cellStyle name="Lien hypertexte visité" xfId="2596" builtinId="9" hidden="1"/>
    <cellStyle name="Lien hypertexte visité" xfId="2598" builtinId="9" hidden="1"/>
    <cellStyle name="Lien hypertexte visité" xfId="2600" builtinId="9" hidden="1"/>
    <cellStyle name="Lien hypertexte visité" xfId="2602" builtinId="9" hidden="1"/>
    <cellStyle name="Lien hypertexte visité" xfId="2604" builtinId="9" hidden="1"/>
    <cellStyle name="Lien hypertexte visité" xfId="2606" builtinId="9" hidden="1"/>
    <cellStyle name="Lien hypertexte visité" xfId="2608" builtinId="9" hidden="1"/>
    <cellStyle name="Lien hypertexte visité" xfId="2610" builtinId="9" hidden="1"/>
    <cellStyle name="Lien hypertexte visité" xfId="2612" builtinId="9" hidden="1"/>
    <cellStyle name="Lien hypertexte visité" xfId="2614" builtinId="9" hidden="1"/>
    <cellStyle name="Lien hypertexte visité" xfId="2616" builtinId="9" hidden="1"/>
    <cellStyle name="Lien hypertexte visité" xfId="2618" builtinId="9" hidden="1"/>
    <cellStyle name="Lien hypertexte visité" xfId="2620" builtinId="9" hidden="1"/>
    <cellStyle name="Lien hypertexte visité" xfId="2622" builtinId="9" hidden="1"/>
    <cellStyle name="Lien hypertexte visité" xfId="2624" builtinId="9" hidden="1"/>
    <cellStyle name="Lien hypertexte visité" xfId="2626" builtinId="9" hidden="1"/>
    <cellStyle name="Lien hypertexte visité" xfId="2628" builtinId="9" hidden="1"/>
    <cellStyle name="Lien hypertexte visité" xfId="2630" builtinId="9" hidden="1"/>
    <cellStyle name="Lien hypertexte visité" xfId="2632" builtinId="9" hidden="1"/>
    <cellStyle name="Lien hypertexte visité" xfId="2634" builtinId="9" hidden="1"/>
    <cellStyle name="Lien hypertexte visité" xfId="2636" builtinId="9" hidden="1"/>
    <cellStyle name="Lien hypertexte visité" xfId="2638" builtinId="9" hidden="1"/>
    <cellStyle name="Lien hypertexte visité" xfId="2640" builtinId="9" hidden="1"/>
    <cellStyle name="Lien hypertexte visité" xfId="2642" builtinId="9" hidden="1"/>
    <cellStyle name="Lien hypertexte visité" xfId="2644" builtinId="9" hidden="1"/>
    <cellStyle name="Lien hypertexte visité" xfId="2646" builtinId="9" hidden="1"/>
    <cellStyle name="Lien hypertexte visité" xfId="2648" builtinId="9" hidden="1"/>
    <cellStyle name="Lien hypertexte visité" xfId="2650" builtinId="9" hidden="1"/>
    <cellStyle name="Lien hypertexte visité" xfId="2652" builtinId="9" hidden="1"/>
    <cellStyle name="Lien hypertexte visité" xfId="2654" builtinId="9" hidden="1"/>
    <cellStyle name="Lien hypertexte visité" xfId="2656" builtinId="9" hidden="1"/>
    <cellStyle name="Lien hypertexte visité" xfId="2658" builtinId="9" hidden="1"/>
    <cellStyle name="Lien hypertexte visité" xfId="2660" builtinId="9" hidden="1"/>
    <cellStyle name="Lien hypertexte visité" xfId="2662" builtinId="9" hidden="1"/>
    <cellStyle name="Lien hypertexte visité" xfId="2664" builtinId="9" hidden="1"/>
    <cellStyle name="Lien hypertexte visité" xfId="2666" builtinId="9" hidden="1"/>
    <cellStyle name="Lien hypertexte visité" xfId="2668" builtinId="9" hidden="1"/>
    <cellStyle name="Lien hypertexte visité" xfId="2670" builtinId="9" hidden="1"/>
    <cellStyle name="Lien hypertexte visité" xfId="2672" builtinId="9" hidden="1"/>
    <cellStyle name="Lien hypertexte visité" xfId="2674" builtinId="9" hidden="1"/>
    <cellStyle name="Lien hypertexte visité" xfId="2676" builtinId="9" hidden="1"/>
    <cellStyle name="Lien hypertexte visité" xfId="2678" builtinId="9" hidden="1"/>
    <cellStyle name="Lien hypertexte visité" xfId="2680" builtinId="9" hidden="1"/>
    <cellStyle name="Lien hypertexte visité" xfId="2682" builtinId="9" hidden="1"/>
    <cellStyle name="Lien hypertexte visité" xfId="2684" builtinId="9" hidden="1"/>
    <cellStyle name="Lien hypertexte visité" xfId="2686" builtinId="9" hidden="1"/>
    <cellStyle name="Lien hypertexte visité" xfId="2688" builtinId="9" hidden="1"/>
    <cellStyle name="Lien hypertexte visité" xfId="2690" builtinId="9" hidden="1"/>
    <cellStyle name="Lien hypertexte visité" xfId="2692" builtinId="9" hidden="1"/>
    <cellStyle name="Lien hypertexte visité" xfId="2694" builtinId="9" hidden="1"/>
    <cellStyle name="Lien hypertexte visité" xfId="2696" builtinId="9" hidden="1"/>
    <cellStyle name="Lien hypertexte visité" xfId="2698" builtinId="9" hidden="1"/>
    <cellStyle name="Lien hypertexte visité" xfId="2700" builtinId="9" hidden="1"/>
    <cellStyle name="Lien hypertexte visité" xfId="2702" builtinId="9" hidden="1"/>
    <cellStyle name="Lien hypertexte visité" xfId="2704" builtinId="9" hidden="1"/>
    <cellStyle name="Lien hypertexte visité" xfId="2706" builtinId="9" hidden="1"/>
    <cellStyle name="Lien hypertexte visité" xfId="2708" builtinId="9" hidden="1"/>
    <cellStyle name="Lien hypertexte visité" xfId="2710" builtinId="9" hidden="1"/>
    <cellStyle name="Lien hypertexte visité" xfId="2712" builtinId="9" hidden="1"/>
    <cellStyle name="Lien hypertexte visité" xfId="2714" builtinId="9" hidden="1"/>
    <cellStyle name="Lien hypertexte visité" xfId="2716" builtinId="9" hidden="1"/>
    <cellStyle name="Lien hypertexte visité" xfId="2718" builtinId="9" hidden="1"/>
    <cellStyle name="Lien hypertexte visité" xfId="2720" builtinId="9" hidden="1"/>
    <cellStyle name="Lien hypertexte visité" xfId="2722" builtinId="9" hidden="1"/>
    <cellStyle name="Lien hypertexte visité" xfId="2724" builtinId="9" hidden="1"/>
    <cellStyle name="Lien hypertexte visité" xfId="2726" builtinId="9" hidden="1"/>
    <cellStyle name="Lien hypertexte visité" xfId="2728" builtinId="9" hidden="1"/>
    <cellStyle name="Lien hypertexte visité" xfId="2730" builtinId="9" hidden="1"/>
    <cellStyle name="Lien hypertexte visité" xfId="2732" builtinId="9" hidden="1"/>
    <cellStyle name="Lien hypertexte visité" xfId="2734" builtinId="9" hidden="1"/>
    <cellStyle name="Lien hypertexte visité" xfId="2736" builtinId="9" hidden="1"/>
    <cellStyle name="Lien hypertexte visité" xfId="2738" builtinId="9" hidden="1"/>
    <cellStyle name="Lien hypertexte visité" xfId="2740" builtinId="9" hidden="1"/>
    <cellStyle name="Lien hypertexte visité" xfId="2742" builtinId="9" hidden="1"/>
    <cellStyle name="Lien hypertexte visité" xfId="2744" builtinId="9" hidden="1"/>
    <cellStyle name="Lien hypertexte visité" xfId="2746" builtinId="9" hidden="1"/>
    <cellStyle name="Lien hypertexte visité" xfId="2748" builtinId="9" hidden="1"/>
    <cellStyle name="Lien hypertexte visité" xfId="2750" builtinId="9" hidden="1"/>
    <cellStyle name="Lien hypertexte visité" xfId="2752" builtinId="9" hidden="1"/>
    <cellStyle name="Lien hypertexte visité" xfId="2754" builtinId="9" hidden="1"/>
    <cellStyle name="Lien hypertexte visité" xfId="2756" builtinId="9" hidden="1"/>
    <cellStyle name="Lien hypertexte visité" xfId="2758" builtinId="9" hidden="1"/>
    <cellStyle name="Lien hypertexte visité" xfId="2760" builtinId="9" hidden="1"/>
    <cellStyle name="Lien hypertexte visité" xfId="2762" builtinId="9" hidden="1"/>
    <cellStyle name="Lien hypertexte visité" xfId="2764" builtinId="9" hidden="1"/>
    <cellStyle name="Lien hypertexte visité" xfId="2766" builtinId="9" hidden="1"/>
    <cellStyle name="Lien hypertexte visité" xfId="2768" builtinId="9" hidden="1"/>
    <cellStyle name="Lien hypertexte visité" xfId="2770" builtinId="9" hidden="1"/>
    <cellStyle name="Lien hypertexte visité" xfId="2772" builtinId="9" hidden="1"/>
    <cellStyle name="Lien hypertexte visité" xfId="2774" builtinId="9" hidden="1"/>
    <cellStyle name="Lien hypertexte visité" xfId="2776" builtinId="9" hidden="1"/>
    <cellStyle name="Lien hypertexte visité" xfId="2778" builtinId="9" hidden="1"/>
    <cellStyle name="Lien hypertexte visité" xfId="2780" builtinId="9" hidden="1"/>
    <cellStyle name="Lien hypertexte visité" xfId="2782" builtinId="9" hidden="1"/>
    <cellStyle name="Lien hypertexte visité" xfId="2784" builtinId="9" hidden="1"/>
    <cellStyle name="Lien hypertexte visité" xfId="2786" builtinId="9" hidden="1"/>
    <cellStyle name="Lien hypertexte visité" xfId="2788" builtinId="9" hidden="1"/>
    <cellStyle name="Lien hypertexte visité" xfId="2790" builtinId="9" hidden="1"/>
    <cellStyle name="Lien hypertexte visité" xfId="2792" builtinId="9" hidden="1"/>
    <cellStyle name="Lien hypertexte visité" xfId="2794" builtinId="9" hidden="1"/>
    <cellStyle name="Lien hypertexte visité" xfId="2796" builtinId="9" hidden="1"/>
    <cellStyle name="Lien hypertexte visité" xfId="2798" builtinId="9" hidden="1"/>
    <cellStyle name="Lien hypertexte visité" xfId="2800" builtinId="9" hidden="1"/>
    <cellStyle name="Lien hypertexte visité" xfId="2802" builtinId="9" hidden="1"/>
    <cellStyle name="Lien hypertexte visité" xfId="2804" builtinId="9" hidden="1"/>
    <cellStyle name="Lien hypertexte visité" xfId="2806" builtinId="9" hidden="1"/>
    <cellStyle name="Lien hypertexte visité" xfId="2808" builtinId="9" hidden="1"/>
    <cellStyle name="Lien hypertexte visité" xfId="2810" builtinId="9" hidden="1"/>
    <cellStyle name="Lien hypertexte visité" xfId="2812" builtinId="9" hidden="1"/>
    <cellStyle name="Lien hypertexte visité" xfId="2814" builtinId="9" hidden="1"/>
    <cellStyle name="Lien hypertexte visité" xfId="2816" builtinId="9" hidden="1"/>
    <cellStyle name="Lien hypertexte visité" xfId="2818" builtinId="9" hidden="1"/>
    <cellStyle name="Lien hypertexte visité" xfId="2820" builtinId="9" hidden="1"/>
    <cellStyle name="Lien hypertexte visité" xfId="2822" builtinId="9" hidden="1"/>
    <cellStyle name="Lien hypertexte visité" xfId="2824" builtinId="9" hidden="1"/>
    <cellStyle name="Lien hypertexte visité" xfId="2826" builtinId="9" hidden="1"/>
    <cellStyle name="Lien hypertexte visité" xfId="2828" builtinId="9" hidden="1"/>
    <cellStyle name="Lien hypertexte visité" xfId="2830" builtinId="9" hidden="1"/>
    <cellStyle name="Lien hypertexte visité" xfId="2832" builtinId="9" hidden="1"/>
    <cellStyle name="Lien hypertexte visité" xfId="2834" builtinId="9" hidden="1"/>
    <cellStyle name="Lien hypertexte visité" xfId="2836" builtinId="9" hidden="1"/>
    <cellStyle name="Lien hypertexte visité" xfId="2838" builtinId="9" hidden="1"/>
    <cellStyle name="Lien hypertexte visité" xfId="2840" builtinId="9" hidden="1"/>
    <cellStyle name="Lien hypertexte visité" xfId="2842" builtinId="9" hidden="1"/>
    <cellStyle name="Lien hypertexte visité" xfId="2844" builtinId="9" hidden="1"/>
    <cellStyle name="Lien hypertexte visité" xfId="2846" builtinId="9" hidden="1"/>
    <cellStyle name="Lien hypertexte visité" xfId="2848" builtinId="9" hidden="1"/>
    <cellStyle name="Lien hypertexte visité" xfId="2850" builtinId="9" hidden="1"/>
    <cellStyle name="Lien hypertexte visité" xfId="2852" builtinId="9" hidden="1"/>
    <cellStyle name="Lien hypertexte visité" xfId="2854" builtinId="9" hidden="1"/>
    <cellStyle name="Lien hypertexte visité" xfId="2856" builtinId="9" hidden="1"/>
    <cellStyle name="Lien hypertexte visité" xfId="2858" builtinId="9" hidden="1"/>
    <cellStyle name="Lien hypertexte visité" xfId="2860" builtinId="9" hidden="1"/>
    <cellStyle name="Lien hypertexte visité" xfId="2862" builtinId="9" hidden="1"/>
    <cellStyle name="Lien hypertexte visité" xfId="2864" builtinId="9" hidden="1"/>
    <cellStyle name="Lien hypertexte visité" xfId="2866" builtinId="9" hidden="1"/>
    <cellStyle name="Lien hypertexte visité" xfId="2868" builtinId="9" hidden="1"/>
    <cellStyle name="Lien hypertexte visité" xfId="2870" builtinId="9" hidden="1"/>
    <cellStyle name="Lien hypertexte visité" xfId="2872" builtinId="9" hidden="1"/>
    <cellStyle name="Lien hypertexte visité" xfId="2874" builtinId="9" hidden="1"/>
    <cellStyle name="Lien hypertexte visité" xfId="2876" builtinId="9" hidden="1"/>
    <cellStyle name="Lien hypertexte visité" xfId="2878" builtinId="9" hidden="1"/>
    <cellStyle name="Lien hypertexte visité" xfId="2880" builtinId="9" hidden="1"/>
    <cellStyle name="Lien hypertexte visité" xfId="2882" builtinId="9" hidden="1"/>
    <cellStyle name="Lien hypertexte visité" xfId="2884" builtinId="9" hidden="1"/>
    <cellStyle name="Lien hypertexte visité" xfId="2886" builtinId="9" hidden="1"/>
    <cellStyle name="Lien hypertexte visité" xfId="2888" builtinId="9" hidden="1"/>
    <cellStyle name="Lien hypertexte visité" xfId="2890" builtinId="9" hidden="1"/>
    <cellStyle name="Lien hypertexte visité" xfId="2892" builtinId="9" hidden="1"/>
    <cellStyle name="Lien hypertexte visité" xfId="2894" builtinId="9" hidden="1"/>
    <cellStyle name="Lien hypertexte visité" xfId="2896" builtinId="9" hidden="1"/>
    <cellStyle name="Lien hypertexte visité" xfId="2898" builtinId="9" hidden="1"/>
    <cellStyle name="Lien hypertexte visité" xfId="2900" builtinId="9" hidden="1"/>
    <cellStyle name="Lien hypertexte visité" xfId="2902" builtinId="9" hidden="1"/>
    <cellStyle name="Lien hypertexte visité" xfId="2904" builtinId="9" hidden="1"/>
    <cellStyle name="Lien hypertexte visité" xfId="2906" builtinId="9" hidden="1"/>
    <cellStyle name="Lien hypertexte visité" xfId="2908" builtinId="9" hidden="1"/>
    <cellStyle name="Lien hypertexte visité" xfId="2910" builtinId="9" hidden="1"/>
    <cellStyle name="Lien hypertexte visité" xfId="2912" builtinId="9" hidden="1"/>
    <cellStyle name="Lien hypertexte visité" xfId="2914" builtinId="9" hidden="1"/>
    <cellStyle name="Lien hypertexte visité" xfId="2916" builtinId="9" hidden="1"/>
    <cellStyle name="Lien hypertexte visité" xfId="2918" builtinId="9" hidden="1"/>
    <cellStyle name="Lien hypertexte visité" xfId="2920" builtinId="9" hidden="1"/>
    <cellStyle name="Lien hypertexte visité" xfId="2922" builtinId="9" hidden="1"/>
    <cellStyle name="Lien hypertexte visité" xfId="2924" builtinId="9" hidden="1"/>
    <cellStyle name="Lien hypertexte visité" xfId="2926" builtinId="9" hidden="1"/>
    <cellStyle name="Lien hypertexte visité" xfId="2928" builtinId="9" hidden="1"/>
    <cellStyle name="Lien hypertexte visité" xfId="2930" builtinId="9" hidden="1"/>
    <cellStyle name="Lien hypertexte visité" xfId="2932" builtinId="9" hidden="1"/>
    <cellStyle name="Lien hypertexte visité" xfId="2934" builtinId="9" hidden="1"/>
    <cellStyle name="Lien hypertexte visité" xfId="2936" builtinId="9" hidden="1"/>
    <cellStyle name="Lien hypertexte visité" xfId="2938" builtinId="9" hidden="1"/>
    <cellStyle name="Lien hypertexte visité" xfId="2940" builtinId="9" hidden="1"/>
    <cellStyle name="Lien hypertexte visité" xfId="2942" builtinId="9" hidden="1"/>
    <cellStyle name="Lien hypertexte visité" xfId="2944" builtinId="9" hidden="1"/>
    <cellStyle name="Lien hypertexte visité" xfId="2946" builtinId="9" hidden="1"/>
    <cellStyle name="Lien hypertexte visité" xfId="2948" builtinId="9" hidden="1"/>
    <cellStyle name="Lien hypertexte visité" xfId="2950" builtinId="9" hidden="1"/>
    <cellStyle name="Lien hypertexte visité" xfId="2952" builtinId="9" hidden="1"/>
    <cellStyle name="Lien hypertexte visité" xfId="2954" builtinId="9" hidden="1"/>
    <cellStyle name="Lien hypertexte visité" xfId="2956" builtinId="9" hidden="1"/>
    <cellStyle name="Lien hypertexte visité" xfId="2958" builtinId="9" hidden="1"/>
    <cellStyle name="Lien hypertexte visité" xfId="2960" builtinId="9" hidden="1"/>
    <cellStyle name="Lien hypertexte visité" xfId="2962" builtinId="9" hidden="1"/>
    <cellStyle name="Lien hypertexte visité" xfId="2964" builtinId="9" hidden="1"/>
    <cellStyle name="Lien hypertexte visité" xfId="2966" builtinId="9" hidden="1"/>
    <cellStyle name="Lien hypertexte visité" xfId="2968" builtinId="9" hidden="1"/>
    <cellStyle name="Lien hypertexte visité" xfId="2970" builtinId="9" hidden="1"/>
    <cellStyle name="Lien hypertexte visité" xfId="2972" builtinId="9" hidden="1"/>
    <cellStyle name="Lien hypertexte visité" xfId="2974" builtinId="9" hidden="1"/>
    <cellStyle name="Lien hypertexte visité" xfId="2976" builtinId="9" hidden="1"/>
    <cellStyle name="Lien hypertexte visité" xfId="2978" builtinId="9" hidden="1"/>
    <cellStyle name="Lien hypertexte visité" xfId="2980" builtinId="9" hidden="1"/>
    <cellStyle name="Lien hypertexte visité" xfId="2982" builtinId="9" hidden="1"/>
    <cellStyle name="Lien hypertexte visité" xfId="2984" builtinId="9" hidden="1"/>
    <cellStyle name="Lien hypertexte visité" xfId="2986" builtinId="9" hidden="1"/>
    <cellStyle name="Lien hypertexte visité" xfId="2988" builtinId="9" hidden="1"/>
    <cellStyle name="Lien hypertexte visité" xfId="2990" builtinId="9" hidden="1"/>
    <cellStyle name="Lien hypertexte visité" xfId="2992" builtinId="9" hidden="1"/>
    <cellStyle name="Lien hypertexte visité" xfId="2994" builtinId="9" hidden="1"/>
    <cellStyle name="Lien hypertexte visité" xfId="2996" builtinId="9" hidden="1"/>
    <cellStyle name="Lien hypertexte visité" xfId="2998" builtinId="9" hidden="1"/>
    <cellStyle name="Lien hypertexte visité" xfId="3000" builtinId="9" hidden="1"/>
    <cellStyle name="Lien hypertexte visité" xfId="3002" builtinId="9" hidden="1"/>
    <cellStyle name="Lien hypertexte visité" xfId="3004" builtinId="9" hidden="1"/>
    <cellStyle name="Lien hypertexte visité" xfId="3006" builtinId="9" hidden="1"/>
    <cellStyle name="Lien hypertexte visité" xfId="3008" builtinId="9" hidden="1"/>
    <cellStyle name="Lien hypertexte visité" xfId="3010" builtinId="9" hidden="1"/>
    <cellStyle name="Lien hypertexte visité" xfId="3012" builtinId="9" hidden="1"/>
    <cellStyle name="Lien hypertexte visité" xfId="3014" builtinId="9" hidden="1"/>
    <cellStyle name="Lien hypertexte visité" xfId="3016" builtinId="9" hidden="1"/>
    <cellStyle name="Lien hypertexte visité" xfId="3018" builtinId="9" hidden="1"/>
    <cellStyle name="Lien hypertexte visité" xfId="3020" builtinId="9" hidden="1"/>
    <cellStyle name="Lien hypertexte visité" xfId="3022" builtinId="9" hidden="1"/>
    <cellStyle name="Lien hypertexte visité" xfId="3024" builtinId="9" hidden="1"/>
    <cellStyle name="Lien hypertexte visité" xfId="3026" builtinId="9" hidden="1"/>
    <cellStyle name="Lien hypertexte visité" xfId="3028" builtinId="9" hidden="1"/>
    <cellStyle name="Lien hypertexte visité" xfId="3030" builtinId="9" hidden="1"/>
    <cellStyle name="Lien hypertexte visité" xfId="3032" builtinId="9" hidden="1"/>
    <cellStyle name="Lien hypertexte visité" xfId="3034" builtinId="9" hidden="1"/>
    <cellStyle name="Lien hypertexte visité" xfId="3036" builtinId="9" hidden="1"/>
    <cellStyle name="Lien hypertexte visité" xfId="3038" builtinId="9" hidden="1"/>
    <cellStyle name="Lien hypertexte visité" xfId="3040" builtinId="9" hidden="1"/>
    <cellStyle name="Lien hypertexte visité" xfId="3042" builtinId="9" hidden="1"/>
    <cellStyle name="Lien hypertexte visité" xfId="3044" builtinId="9" hidden="1"/>
    <cellStyle name="Lien hypertexte visité" xfId="3046" builtinId="9" hidden="1"/>
    <cellStyle name="Lien hypertexte visité" xfId="3048" builtinId="9" hidden="1"/>
    <cellStyle name="Lien hypertexte visité" xfId="3050" builtinId="9" hidden="1"/>
    <cellStyle name="Lien hypertexte visité" xfId="3052" builtinId="9" hidden="1"/>
    <cellStyle name="Lien hypertexte visité" xfId="3054" builtinId="9" hidden="1"/>
    <cellStyle name="Lien hypertexte visité" xfId="3056" builtinId="9" hidden="1"/>
    <cellStyle name="Lien hypertexte visité" xfId="3058" builtinId="9" hidden="1"/>
    <cellStyle name="Lien hypertexte visité" xfId="3060" builtinId="9" hidden="1"/>
    <cellStyle name="Lien hypertexte visité" xfId="3062" builtinId="9" hidden="1"/>
    <cellStyle name="Lien hypertexte visité" xfId="3064" builtinId="9" hidden="1"/>
    <cellStyle name="Lien hypertexte visité" xfId="3066" builtinId="9" hidden="1"/>
    <cellStyle name="Lien hypertexte visité" xfId="3068" builtinId="9" hidden="1"/>
    <cellStyle name="Lien hypertexte visité" xfId="3070" builtinId="9" hidden="1"/>
    <cellStyle name="Lien hypertexte visité" xfId="3072" builtinId="9" hidden="1"/>
    <cellStyle name="Lien hypertexte visité" xfId="3074" builtinId="9" hidden="1"/>
    <cellStyle name="Lien hypertexte visité" xfId="3076" builtinId="9" hidden="1"/>
    <cellStyle name="Lien hypertexte visité" xfId="3078" builtinId="9" hidden="1"/>
    <cellStyle name="Lien hypertexte visité" xfId="3080" builtinId="9" hidden="1"/>
    <cellStyle name="Lien hypertexte visité" xfId="3082" builtinId="9" hidden="1"/>
    <cellStyle name="Lien hypertexte visité" xfId="3084" builtinId="9" hidden="1"/>
    <cellStyle name="Lien hypertexte visité" xfId="3086" builtinId="9" hidden="1"/>
    <cellStyle name="Lien hypertexte visité" xfId="3088" builtinId="9" hidden="1"/>
    <cellStyle name="Lien hypertexte visité" xfId="3090" builtinId="9" hidden="1"/>
    <cellStyle name="Lien hypertexte visité" xfId="3092" builtinId="9" hidden="1"/>
    <cellStyle name="Lien hypertexte visité" xfId="3094" builtinId="9" hidden="1"/>
    <cellStyle name="Lien hypertexte visité" xfId="3096" builtinId="9" hidden="1"/>
    <cellStyle name="Lien hypertexte visité" xfId="3098" builtinId="9" hidden="1"/>
    <cellStyle name="Lien hypertexte visité" xfId="3100" builtinId="9" hidden="1"/>
    <cellStyle name="Lien hypertexte visité" xfId="3102" builtinId="9" hidden="1"/>
    <cellStyle name="Lien hypertexte visité" xfId="3104" builtinId="9" hidden="1"/>
    <cellStyle name="Lien hypertexte visité" xfId="3106" builtinId="9" hidden="1"/>
    <cellStyle name="Lien hypertexte visité" xfId="3108" builtinId="9" hidden="1"/>
    <cellStyle name="Lien hypertexte visité" xfId="3110" builtinId="9" hidden="1"/>
    <cellStyle name="Lien hypertexte visité" xfId="3112" builtinId="9" hidden="1"/>
    <cellStyle name="Lien hypertexte visité" xfId="3114" builtinId="9" hidden="1"/>
    <cellStyle name="Lien hypertexte visité" xfId="3116" builtinId="9" hidden="1"/>
    <cellStyle name="Lien hypertexte visité" xfId="3118" builtinId="9" hidden="1"/>
    <cellStyle name="Lien hypertexte visité" xfId="3120" builtinId="9" hidden="1"/>
    <cellStyle name="Lien hypertexte visité" xfId="3122" builtinId="9" hidden="1"/>
    <cellStyle name="Lien hypertexte visité" xfId="3124" builtinId="9" hidden="1"/>
    <cellStyle name="Lien hypertexte visité" xfId="3126" builtinId="9" hidden="1"/>
    <cellStyle name="Lien hypertexte visité" xfId="3128" builtinId="9" hidden="1"/>
    <cellStyle name="Lien hypertexte visité" xfId="3130" builtinId="9" hidden="1"/>
    <cellStyle name="Lien hypertexte visité" xfId="3132" builtinId="9" hidden="1"/>
    <cellStyle name="Lien hypertexte visité" xfId="3134" builtinId="9" hidden="1"/>
    <cellStyle name="Lien hypertexte visité" xfId="3136" builtinId="9" hidden="1"/>
    <cellStyle name="Lien hypertexte visité" xfId="3138" builtinId="9" hidden="1"/>
    <cellStyle name="Lien hypertexte visité" xfId="3140" builtinId="9" hidden="1"/>
    <cellStyle name="Lien hypertexte visité" xfId="3142" builtinId="9" hidden="1"/>
    <cellStyle name="Lien hypertexte visité" xfId="3144" builtinId="9" hidden="1"/>
    <cellStyle name="Lien hypertexte visité" xfId="3146" builtinId="9" hidden="1"/>
    <cellStyle name="Lien hypertexte visité" xfId="3148" builtinId="9" hidden="1"/>
    <cellStyle name="Lien hypertexte visité" xfId="3150" builtinId="9" hidden="1"/>
    <cellStyle name="Lien hypertexte visité" xfId="3152" builtinId="9" hidden="1"/>
    <cellStyle name="Lien hypertexte visité" xfId="3154" builtinId="9" hidden="1"/>
    <cellStyle name="Lien hypertexte visité" xfId="3156" builtinId="9" hidden="1"/>
    <cellStyle name="Lien hypertexte visité" xfId="3158" builtinId="9" hidden="1"/>
    <cellStyle name="Lien hypertexte visité" xfId="3160" builtinId="9" hidden="1"/>
    <cellStyle name="Lien hypertexte visité" xfId="3162" builtinId="9" hidden="1"/>
    <cellStyle name="Lien hypertexte visité" xfId="3164" builtinId="9" hidden="1"/>
    <cellStyle name="Lien hypertexte visité" xfId="3166" builtinId="9" hidden="1"/>
    <cellStyle name="Lien hypertexte visité" xfId="3168" builtinId="9" hidden="1"/>
    <cellStyle name="Lien hypertexte visité" xfId="3170" builtinId="9" hidden="1"/>
    <cellStyle name="Lien hypertexte visité" xfId="3172" builtinId="9" hidden="1"/>
    <cellStyle name="Lien hypertexte visité" xfId="3174" builtinId="9" hidden="1"/>
    <cellStyle name="Lien hypertexte visité" xfId="3176" builtinId="9" hidden="1"/>
    <cellStyle name="Lien hypertexte visité" xfId="3178" builtinId="9" hidden="1"/>
    <cellStyle name="Lien hypertexte visité" xfId="3180" builtinId="9" hidden="1"/>
    <cellStyle name="Lien hypertexte visité" xfId="3182" builtinId="9" hidden="1"/>
    <cellStyle name="Lien hypertexte visité" xfId="3184" builtinId="9" hidden="1"/>
    <cellStyle name="Lien hypertexte visité" xfId="3186" builtinId="9" hidden="1"/>
    <cellStyle name="Lien hypertexte visité" xfId="3188" builtinId="9" hidden="1"/>
    <cellStyle name="Lien hypertexte visité" xfId="3190" builtinId="9" hidden="1"/>
    <cellStyle name="Lien hypertexte visité" xfId="3192" builtinId="9" hidden="1"/>
    <cellStyle name="Lien hypertexte visité" xfId="3194" builtinId="9" hidden="1"/>
    <cellStyle name="Lien hypertexte visité" xfId="3196" builtinId="9" hidden="1"/>
    <cellStyle name="Lien hypertexte visité" xfId="3198" builtinId="9" hidden="1"/>
    <cellStyle name="Lien hypertexte visité" xfId="3200" builtinId="9" hidden="1"/>
    <cellStyle name="Lien hypertexte visité" xfId="3202" builtinId="9" hidden="1"/>
    <cellStyle name="Lien hypertexte visité" xfId="3204" builtinId="9" hidden="1"/>
    <cellStyle name="Lien hypertexte visité" xfId="3206" builtinId="9" hidden="1"/>
    <cellStyle name="Lien hypertexte visité" xfId="3208" builtinId="9" hidden="1"/>
    <cellStyle name="Lien hypertexte visité" xfId="3210" builtinId="9" hidden="1"/>
    <cellStyle name="Lien hypertexte visité" xfId="3212" builtinId="9" hidden="1"/>
    <cellStyle name="Lien hypertexte visité" xfId="3214" builtinId="9" hidden="1"/>
    <cellStyle name="Lien hypertexte visité" xfId="3216" builtinId="9" hidden="1"/>
    <cellStyle name="Lien hypertexte visité" xfId="3218" builtinId="9" hidden="1"/>
    <cellStyle name="Lien hypertexte visité" xfId="3220" builtinId="9" hidden="1"/>
    <cellStyle name="Lien hypertexte visité" xfId="3222" builtinId="9" hidden="1"/>
    <cellStyle name="Lien hypertexte visité" xfId="3224" builtinId="9" hidden="1"/>
    <cellStyle name="Lien hypertexte visité" xfId="3226" builtinId="9" hidden="1"/>
    <cellStyle name="Lien hypertexte visité" xfId="3228" builtinId="9" hidden="1"/>
    <cellStyle name="Lien hypertexte visité" xfId="3230" builtinId="9" hidden="1"/>
    <cellStyle name="Lien hypertexte visité" xfId="3232" builtinId="9" hidden="1"/>
    <cellStyle name="Lien hypertexte visité" xfId="3234" builtinId="9" hidden="1"/>
    <cellStyle name="Lien hypertexte visité" xfId="3236" builtinId="9" hidden="1"/>
    <cellStyle name="Lien hypertexte visité" xfId="3238" builtinId="9" hidden="1"/>
    <cellStyle name="Lien hypertexte visité" xfId="3240" builtinId="9" hidden="1"/>
    <cellStyle name="Lien hypertexte visité" xfId="3242" builtinId="9" hidden="1"/>
    <cellStyle name="Lien hypertexte visité" xfId="3244" builtinId="9" hidden="1"/>
    <cellStyle name="Lien hypertexte visité" xfId="3246" builtinId="9" hidden="1"/>
    <cellStyle name="Lien hypertexte visité" xfId="3248" builtinId="9" hidden="1"/>
    <cellStyle name="Lien hypertexte visité" xfId="3250" builtinId="9" hidden="1"/>
    <cellStyle name="Lien hypertexte visité" xfId="3252" builtinId="9" hidden="1"/>
    <cellStyle name="Lien hypertexte visité" xfId="3254" builtinId="9" hidden="1"/>
    <cellStyle name="Lien hypertexte visité" xfId="3256" builtinId="9" hidden="1"/>
    <cellStyle name="Lien hypertexte visité" xfId="3258" builtinId="9" hidden="1"/>
    <cellStyle name="Lien hypertexte visité" xfId="3260" builtinId="9" hidden="1"/>
    <cellStyle name="Lien hypertexte visité" xfId="3262" builtinId="9" hidden="1"/>
    <cellStyle name="Lien hypertexte visité" xfId="3264" builtinId="9" hidden="1"/>
    <cellStyle name="Lien hypertexte visité" xfId="3266" builtinId="9" hidden="1"/>
    <cellStyle name="Lien hypertexte visité" xfId="3268" builtinId="9" hidden="1"/>
    <cellStyle name="Lien hypertexte visité" xfId="3270" builtinId="9" hidden="1"/>
    <cellStyle name="Lien hypertexte visité" xfId="3272" builtinId="9" hidden="1"/>
    <cellStyle name="Lien hypertexte visité" xfId="3274" builtinId="9" hidden="1"/>
    <cellStyle name="Lien hypertexte visité" xfId="3276" builtinId="9" hidden="1"/>
    <cellStyle name="Lien hypertexte visité" xfId="3278" builtinId="9" hidden="1"/>
    <cellStyle name="Lien hypertexte visité" xfId="3280" builtinId="9" hidden="1"/>
    <cellStyle name="Lien hypertexte visité" xfId="3282" builtinId="9" hidden="1"/>
    <cellStyle name="Lien hypertexte visité" xfId="3284" builtinId="9" hidden="1"/>
    <cellStyle name="Lien hypertexte visité" xfId="3286" builtinId="9" hidden="1"/>
    <cellStyle name="Lien hypertexte visité" xfId="3288" builtinId="9" hidden="1"/>
    <cellStyle name="Lien hypertexte visité" xfId="3290" builtinId="9" hidden="1"/>
    <cellStyle name="Lien hypertexte visité" xfId="3292" builtinId="9" hidden="1"/>
    <cellStyle name="Lien hypertexte visité" xfId="3294" builtinId="9" hidden="1"/>
    <cellStyle name="Lien hypertexte visité" xfId="3296" builtinId="9" hidden="1"/>
    <cellStyle name="Lien hypertexte visité" xfId="3298" builtinId="9" hidden="1"/>
    <cellStyle name="Lien hypertexte visité" xfId="3300" builtinId="9" hidden="1"/>
    <cellStyle name="Lien hypertexte visité" xfId="3302" builtinId="9" hidden="1"/>
    <cellStyle name="Lien hypertexte visité" xfId="3304" builtinId="9" hidden="1"/>
    <cellStyle name="Lien hypertexte visité" xfId="3306" builtinId="9" hidden="1"/>
    <cellStyle name="Lien hypertexte visité" xfId="3308" builtinId="9" hidden="1"/>
    <cellStyle name="Lien hypertexte visité" xfId="3310" builtinId="9" hidden="1"/>
    <cellStyle name="Lien hypertexte visité" xfId="3312" builtinId="9" hidden="1"/>
    <cellStyle name="Lien hypertexte visité" xfId="3314" builtinId="9" hidden="1"/>
    <cellStyle name="Lien hypertexte visité" xfId="3316" builtinId="9" hidden="1"/>
    <cellStyle name="Lien hypertexte visité" xfId="3318" builtinId="9" hidden="1"/>
    <cellStyle name="Lien hypertexte visité" xfId="3320" builtinId="9" hidden="1"/>
    <cellStyle name="Lien hypertexte visité" xfId="3322" builtinId="9" hidden="1"/>
    <cellStyle name="Lien hypertexte visité" xfId="3324" builtinId="9" hidden="1"/>
    <cellStyle name="Lien hypertexte visité" xfId="3326" builtinId="9" hidden="1"/>
    <cellStyle name="Lien hypertexte visité" xfId="3328" builtinId="9" hidden="1"/>
    <cellStyle name="Lien hypertexte visité" xfId="3330" builtinId="9" hidden="1"/>
    <cellStyle name="Lien hypertexte visité" xfId="3332" builtinId="9" hidden="1"/>
    <cellStyle name="Lien hypertexte visité" xfId="3334" builtinId="9" hidden="1"/>
    <cellStyle name="Lien hypertexte visité" xfId="3336" builtinId="9" hidden="1"/>
    <cellStyle name="Lien hypertexte visité" xfId="3338" builtinId="9" hidden="1"/>
    <cellStyle name="Lien hypertexte visité" xfId="3340" builtinId="9" hidden="1"/>
    <cellStyle name="Lien hypertexte visité" xfId="3342" builtinId="9" hidden="1"/>
    <cellStyle name="Lien hypertexte visité" xfId="3344" builtinId="9" hidden="1"/>
    <cellStyle name="Lien hypertexte visité" xfId="3346" builtinId="9" hidden="1"/>
    <cellStyle name="Lien hypertexte visité" xfId="3348" builtinId="9" hidden="1"/>
    <cellStyle name="Lien hypertexte visité" xfId="3350" builtinId="9" hidden="1"/>
    <cellStyle name="Lien hypertexte visité" xfId="3352" builtinId="9" hidden="1"/>
    <cellStyle name="Lien hypertexte visité" xfId="3354" builtinId="9" hidden="1"/>
    <cellStyle name="Lien hypertexte visité" xfId="3356" builtinId="9" hidden="1"/>
    <cellStyle name="Lien hypertexte visité" xfId="3358" builtinId="9" hidden="1"/>
    <cellStyle name="Lien hypertexte visité" xfId="3360" builtinId="9" hidden="1"/>
    <cellStyle name="Lien hypertexte visité" xfId="3362" builtinId="9" hidden="1"/>
    <cellStyle name="Lien hypertexte visité" xfId="3364" builtinId="9" hidden="1"/>
    <cellStyle name="Lien hypertexte visité" xfId="3366" builtinId="9" hidden="1"/>
    <cellStyle name="Lien hypertexte visité" xfId="3368" builtinId="9" hidden="1"/>
    <cellStyle name="Lien hypertexte visité" xfId="3370" builtinId="9" hidden="1"/>
    <cellStyle name="Lien hypertexte visité" xfId="3372" builtinId="9" hidden="1"/>
    <cellStyle name="Lien hypertexte visité" xfId="3374" builtinId="9" hidden="1"/>
    <cellStyle name="Lien hypertexte visité" xfId="3376" builtinId="9" hidden="1"/>
    <cellStyle name="Lien hypertexte visité" xfId="3378" builtinId="9" hidden="1"/>
    <cellStyle name="Lien hypertexte visité" xfId="3380" builtinId="9" hidden="1"/>
    <cellStyle name="Lien hypertexte visité" xfId="3382" builtinId="9" hidden="1"/>
    <cellStyle name="Lien hypertexte visité" xfId="3384" builtinId="9" hidden="1"/>
    <cellStyle name="Lien hypertexte visité" xfId="3386" builtinId="9" hidden="1"/>
    <cellStyle name="Lien hypertexte visité" xfId="3388" builtinId="9" hidden="1"/>
    <cellStyle name="Lien hypertexte visité" xfId="3390" builtinId="9" hidden="1"/>
    <cellStyle name="Lien hypertexte visité" xfId="3392" builtinId="9" hidden="1"/>
    <cellStyle name="Lien hypertexte visité" xfId="3394" builtinId="9" hidden="1"/>
    <cellStyle name="Lien hypertexte visité" xfId="3396" builtinId="9" hidden="1"/>
    <cellStyle name="Lien hypertexte visité" xfId="3398" builtinId="9" hidden="1"/>
    <cellStyle name="Lien hypertexte visité" xfId="3400" builtinId="9" hidden="1"/>
    <cellStyle name="Lien hypertexte visité" xfId="3402" builtinId="9" hidden="1"/>
    <cellStyle name="Lien hypertexte visité" xfId="3404" builtinId="9" hidden="1"/>
    <cellStyle name="Lien hypertexte visité" xfId="3406" builtinId="9" hidden="1"/>
    <cellStyle name="Lien hypertexte visité" xfId="3408" builtinId="9" hidden="1"/>
    <cellStyle name="Lien hypertexte visité" xfId="3410" builtinId="9" hidden="1"/>
    <cellStyle name="Lien hypertexte visité" xfId="3412" builtinId="9" hidden="1"/>
    <cellStyle name="Lien hypertexte visité" xfId="3414" builtinId="9" hidden="1"/>
    <cellStyle name="Lien hypertexte visité" xfId="3416" builtinId="9" hidden="1"/>
    <cellStyle name="Lien hypertexte visité" xfId="3418" builtinId="9" hidden="1"/>
    <cellStyle name="Lien hypertexte visité" xfId="3420" builtinId="9" hidden="1"/>
    <cellStyle name="Lien hypertexte visité" xfId="3422" builtinId="9" hidden="1"/>
    <cellStyle name="Lien hypertexte visité" xfId="3424" builtinId="9" hidden="1"/>
    <cellStyle name="Lien hypertexte visité" xfId="3426" builtinId="9" hidden="1"/>
    <cellStyle name="Lien hypertexte visité" xfId="3428" builtinId="9" hidden="1"/>
    <cellStyle name="Lien hypertexte visité" xfId="3430" builtinId="9" hidden="1"/>
    <cellStyle name="Lien hypertexte visité" xfId="3432" builtinId="9" hidden="1"/>
    <cellStyle name="Lien hypertexte visité" xfId="3434" builtinId="9" hidden="1"/>
    <cellStyle name="Lien hypertexte visité" xfId="3436" builtinId="9" hidden="1"/>
    <cellStyle name="Lien hypertexte visité" xfId="3438" builtinId="9" hidden="1"/>
    <cellStyle name="Lien hypertexte visité" xfId="3440" builtinId="9" hidden="1"/>
    <cellStyle name="Lien hypertexte visité" xfId="3442" builtinId="9" hidden="1"/>
    <cellStyle name="Lien hypertexte visité" xfId="3444" builtinId="9" hidden="1"/>
    <cellStyle name="Lien hypertexte visité" xfId="3446" builtinId="9" hidden="1"/>
    <cellStyle name="Lien hypertexte visité" xfId="3448" builtinId="9" hidden="1"/>
    <cellStyle name="Lien hypertexte visité" xfId="3450" builtinId="9" hidden="1"/>
    <cellStyle name="Lien hypertexte visité" xfId="3452" builtinId="9" hidden="1"/>
    <cellStyle name="Lien hypertexte visité" xfId="3454" builtinId="9" hidden="1"/>
    <cellStyle name="Lien hypertexte visité" xfId="3456" builtinId="9" hidden="1"/>
    <cellStyle name="Lien hypertexte visité" xfId="3458" builtinId="9" hidden="1"/>
    <cellStyle name="Lien hypertexte visité" xfId="3460" builtinId="9" hidden="1"/>
    <cellStyle name="Lien hypertexte visité" xfId="3462" builtinId="9" hidden="1"/>
    <cellStyle name="Lien hypertexte visité" xfId="3464" builtinId="9" hidden="1"/>
    <cellStyle name="Lien hypertexte visité" xfId="3466" builtinId="9" hidden="1"/>
    <cellStyle name="Lien hypertexte visité" xfId="3468" builtinId="9" hidden="1"/>
    <cellStyle name="Lien hypertexte visité" xfId="3470" builtinId="9" hidden="1"/>
    <cellStyle name="Lien hypertexte visité" xfId="3472" builtinId="9" hidden="1"/>
    <cellStyle name="Lien hypertexte visité" xfId="3474" builtinId="9" hidden="1"/>
    <cellStyle name="Lien hypertexte visité" xfId="3476" builtinId="9" hidden="1"/>
    <cellStyle name="Lien hypertexte visité" xfId="3478" builtinId="9" hidden="1"/>
    <cellStyle name="Lien hypertexte visité" xfId="3480" builtinId="9" hidden="1"/>
    <cellStyle name="Lien hypertexte visité" xfId="3482" builtinId="9" hidden="1"/>
    <cellStyle name="Lien hypertexte visité" xfId="3484" builtinId="9" hidden="1"/>
    <cellStyle name="Lien hypertexte visité" xfId="3486" builtinId="9" hidden="1"/>
    <cellStyle name="Lien hypertexte visité" xfId="3488" builtinId="9" hidden="1"/>
    <cellStyle name="Lien hypertexte visité" xfId="3490" builtinId="9" hidden="1"/>
    <cellStyle name="Lien hypertexte visité" xfId="3492" builtinId="9" hidden="1"/>
    <cellStyle name="Lien hypertexte visité" xfId="3494" builtinId="9" hidden="1"/>
    <cellStyle name="Lien hypertexte visité" xfId="3496" builtinId="9" hidden="1"/>
    <cellStyle name="Lien hypertexte visité" xfId="3498" builtinId="9" hidden="1"/>
    <cellStyle name="Lien hypertexte visité" xfId="3500" builtinId="9" hidden="1"/>
    <cellStyle name="Lien hypertexte visité" xfId="3502" builtinId="9" hidden="1"/>
    <cellStyle name="Lien hypertexte visité" xfId="3504" builtinId="9" hidden="1"/>
    <cellStyle name="Lien hypertexte visité" xfId="3506" builtinId="9" hidden="1"/>
    <cellStyle name="Lien hypertexte visité" xfId="3508" builtinId="9" hidden="1"/>
    <cellStyle name="Lien hypertexte visité" xfId="3510" builtinId="9" hidden="1"/>
    <cellStyle name="Lien hypertexte visité" xfId="3512" builtinId="9" hidden="1"/>
    <cellStyle name="Lien hypertexte visité" xfId="3514" builtinId="9" hidden="1"/>
    <cellStyle name="Lien hypertexte visité" xfId="3516" builtinId="9" hidden="1"/>
    <cellStyle name="Lien hypertexte visité" xfId="3518" builtinId="9" hidden="1"/>
    <cellStyle name="Lien hypertexte visité" xfId="3520" builtinId="9" hidden="1"/>
    <cellStyle name="Lien hypertexte visité" xfId="3522" builtinId="9" hidden="1"/>
    <cellStyle name="Lien hypertexte visité" xfId="3524" builtinId="9" hidden="1"/>
    <cellStyle name="Lien hypertexte visité" xfId="3526" builtinId="9" hidden="1"/>
    <cellStyle name="Lien hypertexte visité" xfId="3528" builtinId="9" hidden="1"/>
    <cellStyle name="Lien hypertexte visité" xfId="3530" builtinId="9" hidden="1"/>
    <cellStyle name="Lien hypertexte visité" xfId="3532" builtinId="9" hidden="1"/>
    <cellStyle name="Lien hypertexte visité" xfId="3534" builtinId="9" hidden="1"/>
    <cellStyle name="Lien hypertexte visité" xfId="3536" builtinId="9" hidden="1"/>
    <cellStyle name="Lien hypertexte visité" xfId="3538" builtinId="9" hidden="1"/>
    <cellStyle name="Lien hypertexte visité" xfId="3540" builtinId="9" hidden="1"/>
    <cellStyle name="Lien hypertexte visité" xfId="3542" builtinId="9" hidden="1"/>
    <cellStyle name="Lien hypertexte visité" xfId="3544" builtinId="9" hidden="1"/>
    <cellStyle name="Lien hypertexte visité" xfId="3546" builtinId="9" hidden="1"/>
    <cellStyle name="Lien hypertexte visité" xfId="3548" builtinId="9" hidden="1"/>
    <cellStyle name="Lien hypertexte visité" xfId="3550" builtinId="9" hidden="1"/>
    <cellStyle name="Lien hypertexte visité" xfId="3552" builtinId="9" hidden="1"/>
    <cellStyle name="Lien hypertexte visité" xfId="3554" builtinId="9" hidden="1"/>
    <cellStyle name="Lien hypertexte visité" xfId="3556" builtinId="9" hidden="1"/>
    <cellStyle name="Lien hypertexte visité" xfId="3558" builtinId="9" hidden="1"/>
    <cellStyle name="Lien hypertexte visité" xfId="3560" builtinId="9" hidden="1"/>
    <cellStyle name="Lien hypertexte visité" xfId="3562" builtinId="9" hidden="1"/>
    <cellStyle name="Lien hypertexte visité" xfId="3564" builtinId="9" hidden="1"/>
    <cellStyle name="Lien hypertexte visité" xfId="3566" builtinId="9" hidden="1"/>
    <cellStyle name="Lien hypertexte visité" xfId="3568" builtinId="9" hidden="1"/>
    <cellStyle name="Lien hypertexte visité" xfId="3570" builtinId="9" hidden="1"/>
    <cellStyle name="Lien hypertexte visité" xfId="3572" builtinId="9" hidden="1"/>
    <cellStyle name="Lien hypertexte visité" xfId="3574" builtinId="9" hidden="1"/>
    <cellStyle name="Lien hypertexte visité" xfId="3576" builtinId="9" hidden="1"/>
    <cellStyle name="Lien hypertexte visité" xfId="3578" builtinId="9" hidden="1"/>
    <cellStyle name="Lien hypertexte visité" xfId="3580" builtinId="9" hidden="1"/>
    <cellStyle name="Lien hypertexte visité" xfId="3582" builtinId="9" hidden="1"/>
    <cellStyle name="Lien hypertexte visité" xfId="3584" builtinId="9" hidden="1"/>
    <cellStyle name="Lien hypertexte visité" xfId="3586" builtinId="9" hidden="1"/>
    <cellStyle name="Lien hypertexte visité" xfId="3588" builtinId="9" hidden="1"/>
    <cellStyle name="Lien hypertexte visité" xfId="3590" builtinId="9" hidden="1"/>
    <cellStyle name="Lien hypertexte visité" xfId="3592" builtinId="9" hidden="1"/>
    <cellStyle name="Lien hypertexte visité" xfId="3594" builtinId="9" hidden="1"/>
    <cellStyle name="Lien hypertexte visité" xfId="3596" builtinId="9" hidden="1"/>
    <cellStyle name="Lien hypertexte visité" xfId="3598" builtinId="9" hidden="1"/>
    <cellStyle name="Lien hypertexte visité" xfId="3600" builtinId="9" hidden="1"/>
    <cellStyle name="Lien hypertexte visité" xfId="3602" builtinId="9" hidden="1"/>
    <cellStyle name="Lien hypertexte visité" xfId="3604" builtinId="9" hidden="1"/>
    <cellStyle name="Lien hypertexte visité" xfId="3606" builtinId="9" hidden="1"/>
    <cellStyle name="Lien hypertexte visité" xfId="3608" builtinId="9" hidden="1"/>
    <cellStyle name="Lien hypertexte visité" xfId="3610" builtinId="9" hidden="1"/>
    <cellStyle name="Lien hypertexte visité" xfId="3612" builtinId="9" hidden="1"/>
    <cellStyle name="Lien hypertexte visité" xfId="3614" builtinId="9" hidden="1"/>
    <cellStyle name="Lien hypertexte visité" xfId="3616" builtinId="9" hidden="1"/>
    <cellStyle name="Lien hypertexte visité" xfId="3618" builtinId="9" hidden="1"/>
    <cellStyle name="Lien hypertexte visité" xfId="3620" builtinId="9" hidden="1"/>
    <cellStyle name="Lien hypertexte visité" xfId="3622" builtinId="9" hidden="1"/>
    <cellStyle name="Lien hypertexte visité" xfId="3624" builtinId="9" hidden="1"/>
    <cellStyle name="Lien hypertexte visité" xfId="3626" builtinId="9" hidden="1"/>
    <cellStyle name="Lien hypertexte visité" xfId="3628" builtinId="9" hidden="1"/>
    <cellStyle name="Lien hypertexte visité" xfId="3630" builtinId="9" hidden="1"/>
    <cellStyle name="Lien hypertexte visité" xfId="3632" builtinId="9" hidden="1"/>
    <cellStyle name="Lien hypertexte visité" xfId="3634" builtinId="9" hidden="1"/>
    <cellStyle name="Lien hypertexte visité" xfId="3636" builtinId="9" hidden="1"/>
    <cellStyle name="Lien hypertexte visité" xfId="3638" builtinId="9" hidden="1"/>
    <cellStyle name="Lien hypertexte visité" xfId="3640" builtinId="9" hidden="1"/>
    <cellStyle name="Lien hypertexte visité" xfId="3642" builtinId="9" hidden="1"/>
    <cellStyle name="Lien hypertexte visité" xfId="3644" builtinId="9" hidden="1"/>
    <cellStyle name="Lien hypertexte visité" xfId="3646" builtinId="9" hidden="1"/>
    <cellStyle name="Lien hypertexte visité" xfId="3648" builtinId="9" hidden="1"/>
    <cellStyle name="Lien hypertexte visité" xfId="3650" builtinId="9" hidden="1"/>
    <cellStyle name="Lien hypertexte visité" xfId="3652" builtinId="9" hidden="1"/>
    <cellStyle name="Lien hypertexte visité" xfId="3654" builtinId="9" hidden="1"/>
    <cellStyle name="Lien hypertexte visité" xfId="3656" builtinId="9" hidden="1"/>
    <cellStyle name="Lien hypertexte visité" xfId="3658" builtinId="9" hidden="1"/>
    <cellStyle name="Lien hypertexte visité" xfId="3660" builtinId="9" hidden="1"/>
    <cellStyle name="Lien hypertexte visité" xfId="3662" builtinId="9" hidden="1"/>
    <cellStyle name="Lien hypertexte visité" xfId="3664" builtinId="9" hidden="1"/>
    <cellStyle name="Lien hypertexte visité" xfId="3666" builtinId="9" hidden="1"/>
    <cellStyle name="Lien hypertexte visité" xfId="3668" builtinId="9" hidden="1"/>
    <cellStyle name="Lien hypertexte visité" xfId="3670" builtinId="9" hidden="1"/>
    <cellStyle name="Lien hypertexte visité" xfId="3672" builtinId="9" hidden="1"/>
    <cellStyle name="Lien hypertexte visité" xfId="3674" builtinId="9" hidden="1"/>
    <cellStyle name="Lien hypertexte visité" xfId="3677" builtinId="9" hidden="1"/>
    <cellStyle name="Lien hypertexte visité" xfId="3679" builtinId="9" hidden="1"/>
    <cellStyle name="Lien hypertexte visité" xfId="3681" builtinId="9" hidden="1"/>
    <cellStyle name="Lien hypertexte visité" xfId="3683" builtinId="9" hidden="1"/>
    <cellStyle name="Lien hypertexte visité" xfId="3685" builtinId="9" hidden="1"/>
    <cellStyle name="Lien hypertexte visité" xfId="3687" builtinId="9" hidden="1"/>
    <cellStyle name="Lien hypertexte visité" xfId="3689" builtinId="9" hidden="1"/>
    <cellStyle name="Lien hypertexte visité" xfId="3691" builtinId="9" hidden="1"/>
    <cellStyle name="Lien hypertexte visité" xfId="3693" builtinId="9" hidden="1"/>
    <cellStyle name="Lien hypertexte visité" xfId="3695" builtinId="9" hidden="1"/>
    <cellStyle name="Lien hypertexte visité" xfId="3697" builtinId="9" hidden="1"/>
    <cellStyle name="Lien hypertexte visité" xfId="3699" builtinId="9" hidden="1"/>
    <cellStyle name="Lien hypertexte visité" xfId="3701" builtinId="9" hidden="1"/>
    <cellStyle name="Lien hypertexte visité" xfId="3703" builtinId="9" hidden="1"/>
    <cellStyle name="Lien hypertexte visité" xfId="3705" builtinId="9" hidden="1"/>
    <cellStyle name="Lien hypertexte visité" xfId="3707" builtinId="9" hidden="1"/>
    <cellStyle name="Lien hypertexte visité" xfId="3709" builtinId="9" hidden="1"/>
    <cellStyle name="Lien hypertexte visité" xfId="3711" builtinId="9" hidden="1"/>
    <cellStyle name="Lien hypertexte visité" xfId="3713" builtinId="9" hidden="1"/>
    <cellStyle name="Lien hypertexte visité" xfId="3715" builtinId="9" hidden="1"/>
    <cellStyle name="Lien hypertexte visité" xfId="3717" builtinId="9" hidden="1"/>
    <cellStyle name="Lien hypertexte visité" xfId="3719" builtinId="9" hidden="1"/>
    <cellStyle name="Lien hypertexte visité" xfId="3721" builtinId="9" hidden="1"/>
    <cellStyle name="Lien hypertexte visité" xfId="3723" builtinId="9" hidden="1"/>
    <cellStyle name="Lien hypertexte visité" xfId="3725" builtinId="9" hidden="1"/>
    <cellStyle name="Lien hypertexte visité" xfId="3727" builtinId="9" hidden="1"/>
    <cellStyle name="Lien hypertexte visité" xfId="3729" builtinId="9" hidden="1"/>
    <cellStyle name="Lien hypertexte visité" xfId="3731" builtinId="9" hidden="1"/>
    <cellStyle name="Lien hypertexte visité" xfId="3733" builtinId="9" hidden="1"/>
    <cellStyle name="Lien hypertexte visité" xfId="3735" builtinId="9" hidden="1"/>
    <cellStyle name="Lien hypertexte visité" xfId="3737" builtinId="9" hidden="1"/>
    <cellStyle name="Lien hypertexte visité" xfId="3739" builtinId="9" hidden="1"/>
    <cellStyle name="Lien hypertexte visité" xfId="3741" builtinId="9" hidden="1"/>
    <cellStyle name="Lien hypertexte visité" xfId="3743" builtinId="9" hidden="1"/>
    <cellStyle name="Lien hypertexte visité" xfId="3745" builtinId="9" hidden="1"/>
    <cellStyle name="Lien hypertexte visité" xfId="3747" builtinId="9" hidden="1"/>
    <cellStyle name="Lien hypertexte visité" xfId="3749" builtinId="9" hidden="1"/>
    <cellStyle name="Lien hypertexte visité" xfId="3751" builtinId="9" hidden="1"/>
    <cellStyle name="Lien hypertexte visité" xfId="3753" builtinId="9" hidden="1"/>
    <cellStyle name="Lien hypertexte visité" xfId="3755" builtinId="9" hidden="1"/>
    <cellStyle name="Lien hypertexte visité" xfId="3757" builtinId="9" hidden="1"/>
    <cellStyle name="Lien hypertexte visité" xfId="3759" builtinId="9" hidden="1"/>
    <cellStyle name="Lien hypertexte visité" xfId="3761" builtinId="9" hidden="1"/>
    <cellStyle name="Lien hypertexte visité" xfId="3763" builtinId="9" hidden="1"/>
    <cellStyle name="Lien hypertexte visité" xfId="3765" builtinId="9" hidden="1"/>
    <cellStyle name="Lien hypertexte visité" xfId="3767" builtinId="9" hidden="1"/>
    <cellStyle name="Lien hypertexte visité" xfId="3769" builtinId="9" hidden="1"/>
    <cellStyle name="Lien hypertexte visité" xfId="3771" builtinId="9" hidden="1"/>
    <cellStyle name="Lien hypertexte visité" xfId="3773" builtinId="9" hidden="1"/>
    <cellStyle name="Lien hypertexte visité" xfId="3775" builtinId="9" hidden="1"/>
    <cellStyle name="Lien hypertexte visité" xfId="3777" builtinId="9" hidden="1"/>
    <cellStyle name="Lien hypertexte visité" xfId="3779" builtinId="9" hidden="1"/>
    <cellStyle name="Lien hypertexte visité" xfId="3781" builtinId="9" hidden="1"/>
    <cellStyle name="Lien hypertexte visité" xfId="3783" builtinId="9" hidden="1"/>
    <cellStyle name="Lien hypertexte visité" xfId="3785" builtinId="9" hidden="1"/>
    <cellStyle name="Lien hypertexte visité" xfId="3787" builtinId="9" hidden="1"/>
    <cellStyle name="Lien hypertexte visité" xfId="3789" builtinId="9" hidden="1"/>
    <cellStyle name="Lien hypertexte visité" xfId="3791" builtinId="9" hidden="1"/>
    <cellStyle name="Lien hypertexte visité" xfId="3793" builtinId="9" hidden="1"/>
    <cellStyle name="Lien hypertexte visité" xfId="3795" builtinId="9" hidden="1"/>
    <cellStyle name="Lien hypertexte visité" xfId="3797" builtinId="9" hidden="1"/>
    <cellStyle name="Lien hypertexte visité" xfId="3799" builtinId="9" hidden="1"/>
    <cellStyle name="Lien hypertexte visité" xfId="3801" builtinId="9" hidden="1"/>
    <cellStyle name="Lien hypertexte visité" xfId="3803" builtinId="9" hidden="1"/>
    <cellStyle name="Lien hypertexte visité" xfId="3805" builtinId="9" hidden="1"/>
    <cellStyle name="Lien hypertexte visité" xfId="3807" builtinId="9" hidden="1"/>
    <cellStyle name="Lien hypertexte visité" xfId="3809" builtinId="9" hidden="1"/>
    <cellStyle name="Lien hypertexte visité" xfId="3811" builtinId="9" hidden="1"/>
    <cellStyle name="Lien hypertexte visité" xfId="3813" builtinId="9" hidden="1"/>
    <cellStyle name="Lien hypertexte visité" xfId="3815" builtinId="9" hidden="1"/>
    <cellStyle name="Lien hypertexte visité" xfId="3817" builtinId="9" hidden="1"/>
    <cellStyle name="Lien hypertexte visité" xfId="3819" builtinId="9" hidden="1"/>
    <cellStyle name="Lien hypertexte visité" xfId="3821" builtinId="9" hidden="1"/>
    <cellStyle name="Lien hypertexte visité" xfId="3823" builtinId="9" hidden="1"/>
    <cellStyle name="Lien hypertexte visité" xfId="3825" builtinId="9" hidden="1"/>
    <cellStyle name="Lien hypertexte visité" xfId="3827" builtinId="9" hidden="1"/>
    <cellStyle name="Lien hypertexte visité" xfId="3829" builtinId="9" hidden="1"/>
    <cellStyle name="Lien hypertexte visité" xfId="3831" builtinId="9" hidden="1"/>
    <cellStyle name="Lien hypertexte visité" xfId="3833" builtinId="9" hidden="1"/>
    <cellStyle name="Lien hypertexte visité" xfId="3835" builtinId="9" hidden="1"/>
    <cellStyle name="Lien hypertexte visité" xfId="3837" builtinId="9" hidden="1"/>
    <cellStyle name="Lien hypertexte visité" xfId="3839" builtinId="9" hidden="1"/>
    <cellStyle name="Lien hypertexte visité" xfId="3841" builtinId="9" hidden="1"/>
    <cellStyle name="Lien hypertexte visité" xfId="3843" builtinId="9" hidden="1"/>
    <cellStyle name="Lien hypertexte visité" xfId="3845" builtinId="9" hidden="1"/>
    <cellStyle name="Lien hypertexte visité" xfId="3847" builtinId="9" hidden="1"/>
    <cellStyle name="Lien hypertexte visité" xfId="3849" builtinId="9" hidden="1"/>
    <cellStyle name="Lien hypertexte visité" xfId="3851" builtinId="9" hidden="1"/>
    <cellStyle name="Lien hypertexte visité" xfId="3853" builtinId="9" hidden="1"/>
    <cellStyle name="Lien hypertexte visité" xfId="3855" builtinId="9" hidden="1"/>
    <cellStyle name="Lien hypertexte visité" xfId="3857" builtinId="9" hidden="1"/>
    <cellStyle name="Lien hypertexte visité" xfId="3859" builtinId="9" hidden="1"/>
    <cellStyle name="Lien hypertexte visité" xfId="3861" builtinId="9" hidden="1"/>
    <cellStyle name="Lien hypertexte visité" xfId="3863" builtinId="9" hidden="1"/>
    <cellStyle name="Lien hypertexte visité" xfId="3865" builtinId="9" hidden="1"/>
    <cellStyle name="Lien hypertexte visité" xfId="3867" builtinId="9" hidden="1"/>
    <cellStyle name="Lien hypertexte visité" xfId="3869" builtinId="9" hidden="1"/>
    <cellStyle name="Lien hypertexte visité" xfId="3871" builtinId="9" hidden="1"/>
    <cellStyle name="Lien hypertexte visité" xfId="3873" builtinId="9" hidden="1"/>
    <cellStyle name="Lien hypertexte visité" xfId="3875" builtinId="9" hidden="1"/>
    <cellStyle name="Lien hypertexte visité" xfId="3877" builtinId="9" hidden="1"/>
    <cellStyle name="Lien hypertexte visité" xfId="3879" builtinId="9" hidden="1"/>
    <cellStyle name="Lien hypertexte visité" xfId="3881" builtinId="9" hidden="1"/>
    <cellStyle name="Lien hypertexte visité" xfId="3883" builtinId="9" hidden="1"/>
    <cellStyle name="Lien hypertexte visité" xfId="3885" builtinId="9" hidden="1"/>
    <cellStyle name="Lien hypertexte visité" xfId="3887" builtinId="9" hidden="1"/>
    <cellStyle name="Lien hypertexte visité" xfId="3889" builtinId="9" hidden="1"/>
    <cellStyle name="Lien hypertexte visité" xfId="3891" builtinId="9" hidden="1"/>
    <cellStyle name="Lien hypertexte visité" xfId="3893" builtinId="9" hidden="1"/>
    <cellStyle name="Lien hypertexte visité" xfId="3895" builtinId="9" hidden="1"/>
    <cellStyle name="Lien hypertexte visité" xfId="3897" builtinId="9" hidden="1"/>
    <cellStyle name="Lien hypertexte visité" xfId="3899" builtinId="9" hidden="1"/>
    <cellStyle name="Lien hypertexte visité" xfId="3901" builtinId="9" hidden="1"/>
    <cellStyle name="Lien hypertexte visité" xfId="3903" builtinId="9" hidden="1"/>
    <cellStyle name="Lien hypertexte visité" xfId="3905" builtinId="9" hidden="1"/>
    <cellStyle name="Lien hypertexte visité" xfId="3907" builtinId="9" hidden="1"/>
    <cellStyle name="Lien hypertexte visité" xfId="3909" builtinId="9" hidden="1"/>
    <cellStyle name="Lien hypertexte visité" xfId="3911" builtinId="9" hidden="1"/>
    <cellStyle name="Lien hypertexte visité" xfId="3913" builtinId="9" hidden="1"/>
    <cellStyle name="Lien hypertexte visité" xfId="3915" builtinId="9" hidden="1"/>
    <cellStyle name="Lien hypertexte visité" xfId="3917" builtinId="9" hidden="1"/>
    <cellStyle name="Lien hypertexte visité" xfId="3919" builtinId="9" hidden="1"/>
    <cellStyle name="Lien hypertexte visité" xfId="3921" builtinId="9" hidden="1"/>
    <cellStyle name="Lien hypertexte visité" xfId="3923" builtinId="9" hidden="1"/>
    <cellStyle name="Lien hypertexte visité" xfId="3925" builtinId="9" hidden="1"/>
    <cellStyle name="Lien hypertexte visité" xfId="3927" builtinId="9" hidden="1"/>
    <cellStyle name="Lien hypertexte visité" xfId="3929" builtinId="9" hidden="1"/>
    <cellStyle name="Lien hypertexte visité" xfId="3931" builtinId="9" hidden="1"/>
    <cellStyle name="Lien hypertexte visité" xfId="3933" builtinId="9" hidden="1"/>
    <cellStyle name="Lien hypertexte visité" xfId="3935" builtinId="9" hidden="1"/>
    <cellStyle name="Lien hypertexte visité" xfId="3937" builtinId="9" hidden="1"/>
    <cellStyle name="Lien hypertexte visité" xfId="3939" builtinId="9" hidden="1"/>
    <cellStyle name="Lien hypertexte visité" xfId="3941" builtinId="9" hidden="1"/>
    <cellStyle name="Lien hypertexte visité" xfId="3943" builtinId="9" hidden="1"/>
    <cellStyle name="Lien hypertexte visité" xfId="3945" builtinId="9" hidden="1"/>
    <cellStyle name="Lien hypertexte visité" xfId="3947" builtinId="9" hidden="1"/>
    <cellStyle name="Lien hypertexte visité" xfId="3949" builtinId="9" hidden="1"/>
    <cellStyle name="Lien hypertexte visité" xfId="3951" builtinId="9" hidden="1"/>
    <cellStyle name="Lien hypertexte visité" xfId="3953" builtinId="9" hidden="1"/>
    <cellStyle name="Lien hypertexte visité" xfId="3955" builtinId="9" hidden="1"/>
    <cellStyle name="Lien hypertexte visité" xfId="3957" builtinId="9" hidden="1"/>
    <cellStyle name="Lien hypertexte visité" xfId="3959" builtinId="9" hidden="1"/>
    <cellStyle name="Lien hypertexte visité" xfId="3961" builtinId="9" hidden="1"/>
    <cellStyle name="Lien hypertexte visité" xfId="3963" builtinId="9" hidden="1"/>
    <cellStyle name="Lien hypertexte visité" xfId="3965" builtinId="9" hidden="1"/>
    <cellStyle name="Lien hypertexte visité" xfId="3967" builtinId="9" hidden="1"/>
    <cellStyle name="Lien hypertexte visité" xfId="3969" builtinId="9" hidden="1"/>
    <cellStyle name="Lien hypertexte visité" xfId="3971" builtinId="9" hidden="1"/>
    <cellStyle name="Lien hypertexte visité" xfId="3973" builtinId="9" hidden="1"/>
    <cellStyle name="Lien hypertexte visité" xfId="3975" builtinId="9" hidden="1"/>
    <cellStyle name="Lien hypertexte visité" xfId="3977" builtinId="9" hidden="1"/>
    <cellStyle name="Lien hypertexte visité" xfId="3979" builtinId="9" hidden="1"/>
    <cellStyle name="Lien hypertexte visité" xfId="3981" builtinId="9" hidden="1"/>
    <cellStyle name="Lien hypertexte visité" xfId="3983" builtinId="9" hidden="1"/>
    <cellStyle name="Lien hypertexte visité" xfId="3985" builtinId="9" hidden="1"/>
    <cellStyle name="Lien hypertexte visité" xfId="3987" builtinId="9" hidden="1"/>
    <cellStyle name="Lien hypertexte visité" xfId="3989" builtinId="9" hidden="1"/>
    <cellStyle name="Lien hypertexte visité" xfId="3991" builtinId="9" hidden="1"/>
    <cellStyle name="Lien hypertexte visité" xfId="3993" builtinId="9" hidden="1"/>
    <cellStyle name="Lien hypertexte visité" xfId="3995" builtinId="9" hidden="1"/>
    <cellStyle name="Lien hypertexte visité" xfId="3997" builtinId="9" hidden="1"/>
    <cellStyle name="Lien hypertexte visité" xfId="3999" builtinId="9" hidden="1"/>
    <cellStyle name="Lien hypertexte visité" xfId="4001" builtinId="9" hidden="1"/>
    <cellStyle name="Lien hypertexte visité" xfId="4003" builtinId="9" hidden="1"/>
    <cellStyle name="Lien hypertexte visité" xfId="4005" builtinId="9" hidden="1"/>
    <cellStyle name="Lien hypertexte visité" xfId="4007" builtinId="9" hidden="1"/>
    <cellStyle name="Lien hypertexte visité" xfId="4009" builtinId="9" hidden="1"/>
    <cellStyle name="Lien hypertexte visité" xfId="4011" builtinId="9" hidden="1"/>
    <cellStyle name="Lien hypertexte visité" xfId="4013" builtinId="9" hidden="1"/>
    <cellStyle name="Lien hypertexte visité" xfId="4015" builtinId="9" hidden="1"/>
    <cellStyle name="Lien hypertexte visité" xfId="4017" builtinId="9" hidden="1"/>
    <cellStyle name="Lien hypertexte visité" xfId="4019" builtinId="9" hidden="1"/>
    <cellStyle name="Lien hypertexte visité" xfId="4021" builtinId="9" hidden="1"/>
    <cellStyle name="Lien hypertexte visité" xfId="4023" builtinId="9" hidden="1"/>
    <cellStyle name="Lien hypertexte visité" xfId="4025" builtinId="9" hidden="1"/>
    <cellStyle name="Lien hypertexte visité" xfId="4027" builtinId="9" hidden="1"/>
    <cellStyle name="Lien hypertexte visité" xfId="4029" builtinId="9" hidden="1"/>
    <cellStyle name="Lien hypertexte visité" xfId="4031" builtinId="9" hidden="1"/>
    <cellStyle name="Lien hypertexte visité" xfId="4033" builtinId="9" hidden="1"/>
    <cellStyle name="Lien hypertexte visité" xfId="4035" builtinId="9" hidden="1"/>
    <cellStyle name="Lien hypertexte visité" xfId="4037" builtinId="9" hidden="1"/>
    <cellStyle name="Lien hypertexte visité" xfId="4039" builtinId="9" hidden="1"/>
    <cellStyle name="Lien hypertexte visité" xfId="4041" builtinId="9" hidden="1"/>
    <cellStyle name="Lien hypertexte visité" xfId="4043" builtinId="9" hidden="1"/>
    <cellStyle name="Lien hypertexte visité" xfId="4045" builtinId="9" hidden="1"/>
    <cellStyle name="Lien hypertexte visité" xfId="4047" builtinId="9" hidden="1"/>
    <cellStyle name="Lien hypertexte visité" xfId="4049" builtinId="9" hidden="1"/>
    <cellStyle name="Lien hypertexte visité" xfId="4051" builtinId="9" hidden="1"/>
    <cellStyle name="Lien hypertexte visité" xfId="4053" builtinId="9" hidden="1"/>
    <cellStyle name="Lien hypertexte visité" xfId="4055" builtinId="9" hidden="1"/>
    <cellStyle name="Lien hypertexte visité" xfId="4057" builtinId="9" hidden="1"/>
    <cellStyle name="Lien hypertexte visité" xfId="4059" builtinId="9" hidden="1"/>
    <cellStyle name="Lien hypertexte visité" xfId="4061" builtinId="9" hidden="1"/>
    <cellStyle name="Lien hypertexte visité" xfId="4063" builtinId="9" hidden="1"/>
    <cellStyle name="Lien hypertexte visité" xfId="4065" builtinId="9" hidden="1"/>
    <cellStyle name="Lien hypertexte visité" xfId="4067" builtinId="9" hidden="1"/>
    <cellStyle name="Lien hypertexte visité" xfId="4069" builtinId="9" hidden="1"/>
    <cellStyle name="Lien hypertexte visité" xfId="4071" builtinId="9" hidden="1"/>
    <cellStyle name="Lien hypertexte visité" xfId="4073" builtinId="9" hidden="1"/>
    <cellStyle name="Lien hypertexte visité" xfId="4075" builtinId="9" hidden="1"/>
    <cellStyle name="Lien hypertexte visité" xfId="4077" builtinId="9" hidden="1"/>
    <cellStyle name="Lien hypertexte visité" xfId="4079" builtinId="9" hidden="1"/>
    <cellStyle name="Lien hypertexte visité" xfId="4081" builtinId="9" hidden="1"/>
    <cellStyle name="Lien hypertexte visité" xfId="4083" builtinId="9" hidden="1"/>
    <cellStyle name="Lien hypertexte visité" xfId="4085" builtinId="9" hidden="1"/>
    <cellStyle name="Lien hypertexte visité" xfId="4087" builtinId="9" hidden="1"/>
    <cellStyle name="Lien hypertexte visité" xfId="4089" builtinId="9" hidden="1"/>
    <cellStyle name="Lien hypertexte visité" xfId="4091" builtinId="9" hidden="1"/>
    <cellStyle name="Lien hypertexte visité" xfId="4093" builtinId="9" hidden="1"/>
    <cellStyle name="Lien hypertexte visité" xfId="4095" builtinId="9" hidden="1"/>
    <cellStyle name="Lien hypertexte visité" xfId="4097" builtinId="9" hidden="1"/>
    <cellStyle name="Lien hypertexte visité" xfId="4099" builtinId="9" hidden="1"/>
    <cellStyle name="Lien hypertexte visité" xfId="4101" builtinId="9" hidden="1"/>
    <cellStyle name="Lien hypertexte visité" xfId="4103" builtinId="9" hidden="1"/>
    <cellStyle name="Lien hypertexte visité" xfId="4105" builtinId="9" hidden="1"/>
    <cellStyle name="Lien hypertexte visité" xfId="4107" builtinId="9" hidden="1"/>
    <cellStyle name="Lien hypertexte visité" xfId="4109" builtinId="9" hidden="1"/>
    <cellStyle name="Lien hypertexte visité" xfId="4111" builtinId="9" hidden="1"/>
    <cellStyle name="Lien hypertexte visité" xfId="4113" builtinId="9" hidden="1"/>
    <cellStyle name="Lien hypertexte visité" xfId="4115" builtinId="9" hidden="1"/>
    <cellStyle name="Lien hypertexte visité" xfId="4117" builtinId="9" hidden="1"/>
    <cellStyle name="Lien hypertexte visité" xfId="4119" builtinId="9" hidden="1"/>
    <cellStyle name="Lien hypertexte visité" xfId="4121" builtinId="9" hidden="1"/>
    <cellStyle name="Lien hypertexte visité" xfId="4123" builtinId="9" hidden="1"/>
    <cellStyle name="Lien hypertexte visité" xfId="4125" builtinId="9" hidden="1"/>
    <cellStyle name="Lien hypertexte visité" xfId="4127" builtinId="9" hidden="1"/>
    <cellStyle name="Lien hypertexte visité" xfId="4129" builtinId="9" hidden="1"/>
    <cellStyle name="Lien hypertexte visité" xfId="4131" builtinId="9" hidden="1"/>
    <cellStyle name="Lien hypertexte visité" xfId="4133" builtinId="9" hidden="1"/>
    <cellStyle name="Lien hypertexte visité" xfId="4135" builtinId="9" hidden="1"/>
    <cellStyle name="Lien hypertexte visité" xfId="4137" builtinId="9" hidden="1"/>
    <cellStyle name="Lien hypertexte visité" xfId="4139" builtinId="9" hidden="1"/>
    <cellStyle name="Lien hypertexte visité" xfId="4141" builtinId="9" hidden="1"/>
    <cellStyle name="Lien hypertexte visité" xfId="4143" builtinId="9" hidden="1"/>
    <cellStyle name="Lien hypertexte visité" xfId="4145" builtinId="9" hidden="1"/>
    <cellStyle name="Lien hypertexte visité" xfId="4147" builtinId="9" hidden="1"/>
    <cellStyle name="Lien hypertexte visité" xfId="4149" builtinId="9" hidden="1"/>
    <cellStyle name="Lien hypertexte visité" xfId="4151" builtinId="9" hidden="1"/>
    <cellStyle name="Lien hypertexte visité" xfId="4153" builtinId="9" hidden="1"/>
    <cellStyle name="Lien hypertexte visité" xfId="4155" builtinId="9" hidden="1"/>
    <cellStyle name="Lien hypertexte visité" xfId="4157" builtinId="9" hidden="1"/>
    <cellStyle name="Lien hypertexte visité" xfId="4159" builtinId="9" hidden="1"/>
    <cellStyle name="Lien hypertexte visité" xfId="4161" builtinId="9" hidden="1"/>
    <cellStyle name="Lien hypertexte visité" xfId="4163" builtinId="9" hidden="1"/>
    <cellStyle name="Lien hypertexte visité" xfId="4165" builtinId="9" hidden="1"/>
    <cellStyle name="Lien hypertexte visité" xfId="4167" builtinId="9" hidden="1"/>
    <cellStyle name="Lien hypertexte visité" xfId="4169" builtinId="9" hidden="1"/>
    <cellStyle name="Lien hypertexte visité" xfId="4171" builtinId="9" hidden="1"/>
    <cellStyle name="Lien hypertexte visité" xfId="4173" builtinId="9" hidden="1"/>
    <cellStyle name="Lien hypertexte visité" xfId="4175" builtinId="9" hidden="1"/>
    <cellStyle name="Lien hypertexte visité" xfId="4177" builtinId="9" hidden="1"/>
    <cellStyle name="Lien hypertexte visité" xfId="4179" builtinId="9" hidden="1"/>
    <cellStyle name="Lien hypertexte visité" xfId="4181" builtinId="9" hidden="1"/>
    <cellStyle name="Lien hypertexte visité" xfId="4183" builtinId="9" hidden="1"/>
    <cellStyle name="Lien hypertexte visité" xfId="4185" builtinId="9" hidden="1"/>
    <cellStyle name="Lien hypertexte visité" xfId="4187" builtinId="9" hidden="1"/>
    <cellStyle name="Lien hypertexte visité" xfId="4189" builtinId="9" hidden="1"/>
    <cellStyle name="Lien hypertexte visité" xfId="4191" builtinId="9" hidden="1"/>
    <cellStyle name="Lien hypertexte visité" xfId="4193" builtinId="9" hidden="1"/>
    <cellStyle name="Lien hypertexte visité" xfId="4195" builtinId="9" hidden="1"/>
    <cellStyle name="Lien hypertexte visité" xfId="4197" builtinId="9" hidden="1"/>
    <cellStyle name="Lien hypertexte visité" xfId="4199" builtinId="9" hidden="1"/>
    <cellStyle name="Lien hypertexte visité" xfId="4201" builtinId="9" hidden="1"/>
    <cellStyle name="Lien hypertexte visité" xfId="4203" builtinId="9" hidden="1"/>
    <cellStyle name="Lien hypertexte visité" xfId="4205" builtinId="9" hidden="1"/>
    <cellStyle name="Lien hypertexte visité" xfId="4207" builtinId="9" hidden="1"/>
    <cellStyle name="Lien hypertexte visité" xfId="4209" builtinId="9" hidden="1"/>
    <cellStyle name="Lien hypertexte visité" xfId="4211" builtinId="9" hidden="1"/>
    <cellStyle name="Lien hypertexte visité" xfId="4213" builtinId="9" hidden="1"/>
    <cellStyle name="Lien hypertexte visité" xfId="4215" builtinId="9" hidden="1"/>
    <cellStyle name="Lien hypertexte visité" xfId="4217" builtinId="9" hidden="1"/>
    <cellStyle name="Lien hypertexte visité" xfId="4219" builtinId="9" hidden="1"/>
    <cellStyle name="Lien hypertexte visité" xfId="4221" builtinId="9" hidden="1"/>
    <cellStyle name="Lien hypertexte visité" xfId="4223" builtinId="9" hidden="1"/>
    <cellStyle name="Lien hypertexte visité" xfId="4225" builtinId="9" hidden="1"/>
    <cellStyle name="Lien hypertexte visité" xfId="4227" builtinId="9" hidden="1"/>
    <cellStyle name="Lien hypertexte visité" xfId="4229" builtinId="9" hidden="1"/>
    <cellStyle name="Lien hypertexte visité" xfId="4231" builtinId="9" hidden="1"/>
    <cellStyle name="Lien hypertexte visité" xfId="4233" builtinId="9" hidden="1"/>
    <cellStyle name="Lien hypertexte visité" xfId="4235" builtinId="9" hidden="1"/>
    <cellStyle name="Lien hypertexte visité" xfId="4237" builtinId="9" hidden="1"/>
    <cellStyle name="Lien hypertexte visité" xfId="4239" builtinId="9" hidden="1"/>
    <cellStyle name="Lien hypertexte visité" xfId="4241" builtinId="9" hidden="1"/>
    <cellStyle name="Lien hypertexte visité" xfId="4243" builtinId="9" hidden="1"/>
    <cellStyle name="Lien hypertexte visité" xfId="4245" builtinId="9" hidden="1"/>
    <cellStyle name="Lien hypertexte visité" xfId="4247" builtinId="9" hidden="1"/>
    <cellStyle name="Lien hypertexte visité" xfId="4249" builtinId="9" hidden="1"/>
    <cellStyle name="Lien hypertexte visité" xfId="4251" builtinId="9" hidden="1"/>
    <cellStyle name="Lien hypertexte visité" xfId="4253" builtinId="9" hidden="1"/>
    <cellStyle name="Lien hypertexte visité" xfId="4255" builtinId="9" hidden="1"/>
    <cellStyle name="Lien hypertexte visité" xfId="4257" builtinId="9" hidden="1"/>
    <cellStyle name="Lien hypertexte visité" xfId="4259" builtinId="9" hidden="1"/>
    <cellStyle name="Lien hypertexte visité" xfId="4261" builtinId="9" hidden="1"/>
    <cellStyle name="Lien hypertexte visité" xfId="4263" builtinId="9" hidden="1"/>
    <cellStyle name="Lien hypertexte visité" xfId="4265" builtinId="9" hidden="1"/>
    <cellStyle name="Lien hypertexte visité" xfId="4267" builtinId="9" hidden="1"/>
    <cellStyle name="Lien hypertexte visité" xfId="4269" builtinId="9" hidden="1"/>
    <cellStyle name="Lien hypertexte visité" xfId="4271" builtinId="9" hidden="1"/>
    <cellStyle name="Lien hypertexte visité" xfId="4273" builtinId="9" hidden="1"/>
    <cellStyle name="Lien hypertexte visité" xfId="4275" builtinId="9" hidden="1"/>
    <cellStyle name="Lien hypertexte visité" xfId="4277" builtinId="9" hidden="1"/>
    <cellStyle name="Lien hypertexte visité" xfId="4279" builtinId="9" hidden="1"/>
    <cellStyle name="Lien hypertexte visité" xfId="4281" builtinId="9" hidden="1"/>
    <cellStyle name="Lien hypertexte visité" xfId="4283" builtinId="9" hidden="1"/>
    <cellStyle name="Lien hypertexte visité" xfId="4285" builtinId="9" hidden="1"/>
    <cellStyle name="Lien hypertexte visité" xfId="4287" builtinId="9" hidden="1"/>
    <cellStyle name="Lien hypertexte visité" xfId="4289" builtinId="9" hidden="1"/>
    <cellStyle name="Lien hypertexte visité" xfId="4291" builtinId="9" hidden="1"/>
    <cellStyle name="Lien hypertexte visité" xfId="4293" builtinId="9" hidden="1"/>
    <cellStyle name="Lien hypertexte visité" xfId="4295" builtinId="9" hidden="1"/>
    <cellStyle name="Lien hypertexte visité" xfId="4297" builtinId="9" hidden="1"/>
    <cellStyle name="Lien hypertexte visité" xfId="4299" builtinId="9" hidden="1"/>
    <cellStyle name="Lien hypertexte visité" xfId="4301" builtinId="9" hidden="1"/>
    <cellStyle name="Lien hypertexte visité" xfId="4303" builtinId="9" hidden="1"/>
    <cellStyle name="Lien hypertexte visité" xfId="4305" builtinId="9" hidden="1"/>
    <cellStyle name="Lien hypertexte visité" xfId="4307" builtinId="9" hidden="1"/>
    <cellStyle name="Lien hypertexte visité" xfId="4309" builtinId="9" hidden="1"/>
    <cellStyle name="Lien hypertexte visité" xfId="4311" builtinId="9" hidden="1"/>
    <cellStyle name="Lien hypertexte visité" xfId="4313" builtinId="9" hidden="1"/>
    <cellStyle name="Lien hypertexte visité" xfId="4315" builtinId="9" hidden="1"/>
    <cellStyle name="Lien hypertexte visité" xfId="4317" builtinId="9" hidden="1"/>
    <cellStyle name="Lien hypertexte visité" xfId="4319" builtinId="9" hidden="1"/>
    <cellStyle name="Lien hypertexte visité" xfId="4321" builtinId="9" hidden="1"/>
    <cellStyle name="Lien hypertexte visité" xfId="4323" builtinId="9" hidden="1"/>
    <cellStyle name="Lien hypertexte visité" xfId="4325" builtinId="9" hidden="1"/>
    <cellStyle name="Lien hypertexte visité" xfId="4327" builtinId="9" hidden="1"/>
    <cellStyle name="Lien hypertexte visité" xfId="4329" builtinId="9" hidden="1"/>
    <cellStyle name="Lien hypertexte visité" xfId="4331" builtinId="9" hidden="1"/>
    <cellStyle name="Lien hypertexte visité" xfId="4333" builtinId="9" hidden="1"/>
    <cellStyle name="Lien hypertexte visité" xfId="4335" builtinId="9" hidden="1"/>
    <cellStyle name="Lien hypertexte visité" xfId="4337" builtinId="9" hidden="1"/>
    <cellStyle name="Lien hypertexte visité" xfId="4339" builtinId="9" hidden="1"/>
    <cellStyle name="Lien hypertexte visité" xfId="4341" builtinId="9" hidden="1"/>
    <cellStyle name="Lien hypertexte visité" xfId="4343" builtinId="9" hidden="1"/>
    <cellStyle name="Lien hypertexte visité" xfId="4345" builtinId="9" hidden="1"/>
    <cellStyle name="Lien hypertexte visité" xfId="4347" builtinId="9" hidden="1"/>
    <cellStyle name="Lien hypertexte visité" xfId="4349" builtinId="9" hidden="1"/>
    <cellStyle name="Lien hypertexte visité" xfId="4351" builtinId="9" hidden="1"/>
    <cellStyle name="Lien hypertexte visité" xfId="4353" builtinId="9" hidden="1"/>
    <cellStyle name="Lien hypertexte visité" xfId="4355" builtinId="9" hidden="1"/>
    <cellStyle name="Lien hypertexte visité" xfId="4357" builtinId="9" hidden="1"/>
    <cellStyle name="Lien hypertexte visité" xfId="4359" builtinId="9" hidden="1"/>
    <cellStyle name="Lien hypertexte visité" xfId="4361" builtinId="9" hidden="1"/>
    <cellStyle name="Lien hypertexte visité" xfId="4363" builtinId="9" hidden="1"/>
    <cellStyle name="Lien hypertexte visité" xfId="4365" builtinId="9" hidden="1"/>
    <cellStyle name="Lien hypertexte visité" xfId="4367" builtinId="9" hidden="1"/>
    <cellStyle name="Lien hypertexte visité" xfId="4369" builtinId="9" hidden="1"/>
    <cellStyle name="Lien hypertexte visité" xfId="4371" builtinId="9" hidden="1"/>
    <cellStyle name="Lien hypertexte visité" xfId="4373" builtinId="9" hidden="1"/>
    <cellStyle name="Lien hypertexte visité" xfId="4375" builtinId="9" hidden="1"/>
    <cellStyle name="Lien hypertexte visité" xfId="4377" builtinId="9" hidden="1"/>
    <cellStyle name="Lien hypertexte visité" xfId="4379" builtinId="9" hidden="1"/>
    <cellStyle name="Lien hypertexte visité" xfId="4381" builtinId="9" hidden="1"/>
    <cellStyle name="Lien hypertexte visité" xfId="4383" builtinId="9" hidden="1"/>
    <cellStyle name="Lien hypertexte visité" xfId="4385" builtinId="9" hidden="1"/>
    <cellStyle name="Lien hypertexte visité" xfId="4387" builtinId="9" hidden="1"/>
    <cellStyle name="Lien hypertexte visité" xfId="4389" builtinId="9" hidden="1"/>
    <cellStyle name="Lien hypertexte visité" xfId="4391" builtinId="9" hidden="1"/>
    <cellStyle name="Lien hypertexte visité" xfId="4393" builtinId="9" hidden="1"/>
    <cellStyle name="Lien hypertexte visité" xfId="4395" builtinId="9" hidden="1"/>
    <cellStyle name="Lien hypertexte visité" xfId="4397" builtinId="9" hidden="1"/>
    <cellStyle name="Lien hypertexte visité" xfId="4399" builtinId="9" hidden="1"/>
    <cellStyle name="Lien hypertexte visité" xfId="4401" builtinId="9" hidden="1"/>
    <cellStyle name="Lien hypertexte visité" xfId="4403" builtinId="9" hidden="1"/>
    <cellStyle name="Lien hypertexte visité" xfId="4405" builtinId="9" hidden="1"/>
    <cellStyle name="Lien hypertexte visité" xfId="4407" builtinId="9" hidden="1"/>
    <cellStyle name="Lien hypertexte visité" xfId="4409" builtinId="9" hidden="1"/>
    <cellStyle name="Lien hypertexte visité" xfId="4411" builtinId="9" hidden="1"/>
    <cellStyle name="Lien hypertexte visité" xfId="4413" builtinId="9" hidden="1"/>
    <cellStyle name="Lien hypertexte visité" xfId="4415" builtinId="9" hidden="1"/>
    <cellStyle name="Lien hypertexte visité" xfId="4417" builtinId="9" hidden="1"/>
    <cellStyle name="Lien hypertexte visité" xfId="4419" builtinId="9" hidden="1"/>
    <cellStyle name="Lien hypertexte visité" xfId="4421" builtinId="9" hidden="1"/>
    <cellStyle name="Lien hypertexte visité" xfId="4423" builtinId="9" hidden="1"/>
    <cellStyle name="Lien hypertexte visité" xfId="4425" builtinId="9" hidden="1"/>
    <cellStyle name="Lien hypertexte visité" xfId="4427" builtinId="9" hidden="1"/>
    <cellStyle name="Lien hypertexte visité" xfId="4429" builtinId="9" hidden="1"/>
    <cellStyle name="Lien hypertexte visité" xfId="4431" builtinId="9" hidden="1"/>
    <cellStyle name="Lien hypertexte visité" xfId="4433" builtinId="9" hidden="1"/>
    <cellStyle name="Lien hypertexte visité" xfId="4435" builtinId="9" hidden="1"/>
    <cellStyle name="Lien hypertexte visité" xfId="4437" builtinId="9" hidden="1"/>
    <cellStyle name="Lien hypertexte visité" xfId="4439" builtinId="9" hidden="1"/>
    <cellStyle name="Lien hypertexte visité" xfId="4441" builtinId="9" hidden="1"/>
    <cellStyle name="Lien hypertexte visité" xfId="4443" builtinId="9" hidden="1"/>
    <cellStyle name="Lien hypertexte visité" xfId="4445" builtinId="9" hidden="1"/>
    <cellStyle name="Lien hypertexte visité" xfId="4447" builtinId="9" hidden="1"/>
    <cellStyle name="Lien hypertexte visité" xfId="4449" builtinId="9" hidden="1"/>
    <cellStyle name="Lien hypertexte visité" xfId="4451" builtinId="9" hidden="1"/>
    <cellStyle name="Lien hypertexte visité" xfId="4453" builtinId="9" hidden="1"/>
    <cellStyle name="Lien hypertexte visité" xfId="4455" builtinId="9" hidden="1"/>
    <cellStyle name="Lien hypertexte visité" xfId="4457" builtinId="9" hidden="1"/>
    <cellStyle name="Lien hypertexte visité" xfId="4459" builtinId="9" hidden="1"/>
    <cellStyle name="Lien hypertexte visité" xfId="4461" builtinId="9" hidden="1"/>
    <cellStyle name="Lien hypertexte visité" xfId="4463" builtinId="9" hidden="1"/>
    <cellStyle name="Lien hypertexte visité" xfId="4465" builtinId="9" hidden="1"/>
    <cellStyle name="Lien hypertexte visité" xfId="4467" builtinId="9" hidden="1"/>
    <cellStyle name="Lien hypertexte visité" xfId="4469" builtinId="9" hidden="1"/>
    <cellStyle name="Lien hypertexte visité" xfId="4471" builtinId="9" hidden="1"/>
    <cellStyle name="Lien hypertexte visité" xfId="4473" builtinId="9" hidden="1"/>
    <cellStyle name="Lien hypertexte visité" xfId="4475" builtinId="9" hidden="1"/>
    <cellStyle name="Lien hypertexte visité" xfId="4477" builtinId="9" hidden="1"/>
    <cellStyle name="Lien hypertexte visité" xfId="4479" builtinId="9" hidden="1"/>
    <cellStyle name="Lien hypertexte visité" xfId="4481" builtinId="9" hidden="1"/>
    <cellStyle name="Lien hypertexte visité" xfId="4483" builtinId="9" hidden="1"/>
    <cellStyle name="Lien hypertexte visité" xfId="4485" builtinId="9" hidden="1"/>
    <cellStyle name="Lien hypertexte visité" xfId="4487" builtinId="9" hidden="1"/>
    <cellStyle name="Lien hypertexte visité" xfId="4489" builtinId="9" hidden="1"/>
    <cellStyle name="Lien hypertexte visité" xfId="4491" builtinId="9" hidden="1"/>
    <cellStyle name="Lien hypertexte visité" xfId="4493" builtinId="9" hidden="1"/>
    <cellStyle name="Lien hypertexte visité" xfId="4495" builtinId="9" hidden="1"/>
    <cellStyle name="Lien hypertexte visité" xfId="4497" builtinId="9" hidden="1"/>
    <cellStyle name="Lien hypertexte visité" xfId="4499" builtinId="9" hidden="1"/>
    <cellStyle name="Lien hypertexte visité" xfId="4501" builtinId="9" hidden="1"/>
    <cellStyle name="Lien hypertexte visité" xfId="4503" builtinId="9" hidden="1"/>
    <cellStyle name="Lien hypertexte visité" xfId="4505" builtinId="9" hidden="1"/>
    <cellStyle name="Lien hypertexte visité" xfId="4507" builtinId="9" hidden="1"/>
    <cellStyle name="Lien hypertexte visité" xfId="4509" builtinId="9" hidden="1"/>
    <cellStyle name="Lien hypertexte visité" xfId="4511" builtinId="9" hidden="1"/>
    <cellStyle name="Lien hypertexte visité" xfId="4513" builtinId="9" hidden="1"/>
    <cellStyle name="Lien hypertexte visité" xfId="4515" builtinId="9" hidden="1"/>
    <cellStyle name="Lien hypertexte visité" xfId="4517" builtinId="9" hidden="1"/>
    <cellStyle name="Lien hypertexte visité" xfId="4519" builtinId="9" hidden="1"/>
    <cellStyle name="Lien hypertexte visité" xfId="4521" builtinId="9" hidden="1"/>
    <cellStyle name="Lien hypertexte visité" xfId="4523" builtinId="9" hidden="1"/>
    <cellStyle name="Lien hypertexte visité" xfId="4525" builtinId="9" hidden="1"/>
    <cellStyle name="Lien hypertexte visité" xfId="4527" builtinId="9" hidden="1"/>
    <cellStyle name="Lien hypertexte visité" xfId="4529" builtinId="9" hidden="1"/>
    <cellStyle name="Lien hypertexte visité" xfId="4531" builtinId="9" hidden="1"/>
    <cellStyle name="Lien hypertexte visité" xfId="4533" builtinId="9" hidden="1"/>
    <cellStyle name="Lien hypertexte visité" xfId="4535" builtinId="9" hidden="1"/>
    <cellStyle name="Lien hypertexte visité" xfId="4537" builtinId="9" hidden="1"/>
    <cellStyle name="Lien hypertexte visité" xfId="4539" builtinId="9" hidden="1"/>
    <cellStyle name="Lien hypertexte visité" xfId="4541" builtinId="9" hidden="1"/>
    <cellStyle name="Lien hypertexte visité" xfId="4543" builtinId="9" hidden="1"/>
    <cellStyle name="Lien hypertexte visité" xfId="4545" builtinId="9" hidden="1"/>
    <cellStyle name="Lien hypertexte visité" xfId="4547" builtinId="9" hidden="1"/>
    <cellStyle name="Lien hypertexte visité" xfId="4549" builtinId="9" hidden="1"/>
    <cellStyle name="Lien hypertexte visité" xfId="4551" builtinId="9" hidden="1"/>
    <cellStyle name="Lien hypertexte visité" xfId="4553" builtinId="9" hidden="1"/>
    <cellStyle name="Lien hypertexte visité" xfId="4555" builtinId="9" hidden="1"/>
    <cellStyle name="Lien hypertexte visité" xfId="4557" builtinId="9" hidden="1"/>
    <cellStyle name="Lien hypertexte visité" xfId="4559" builtinId="9" hidden="1"/>
    <cellStyle name="Lien hypertexte visité" xfId="4561" builtinId="9" hidden="1"/>
    <cellStyle name="Lien hypertexte visité" xfId="4563" builtinId="9" hidden="1"/>
    <cellStyle name="Lien hypertexte visité" xfId="4565" builtinId="9" hidden="1"/>
    <cellStyle name="Lien hypertexte visité" xfId="4567" builtinId="9" hidden="1"/>
    <cellStyle name="Lien hypertexte visité" xfId="4569" builtinId="9" hidden="1"/>
    <cellStyle name="Lien hypertexte visité" xfId="4571" builtinId="9" hidden="1"/>
    <cellStyle name="Lien hypertexte visité" xfId="4573" builtinId="9" hidden="1"/>
    <cellStyle name="Lien hypertexte visité" xfId="4575" builtinId="9" hidden="1"/>
    <cellStyle name="Lien hypertexte visité" xfId="4577" builtinId="9" hidden="1"/>
    <cellStyle name="Lien hypertexte visité" xfId="4579" builtinId="9" hidden="1"/>
    <cellStyle name="Lien hypertexte visité" xfId="4581" builtinId="9" hidden="1"/>
    <cellStyle name="Lien hypertexte visité" xfId="4583" builtinId="9" hidden="1"/>
    <cellStyle name="Lien hypertexte visité" xfId="4585" builtinId="9" hidden="1"/>
    <cellStyle name="Lien hypertexte visité" xfId="4587" builtinId="9" hidden="1"/>
    <cellStyle name="Lien hypertexte visité" xfId="4589" builtinId="9" hidden="1"/>
    <cellStyle name="Lien hypertexte visité" xfId="4591" builtinId="9" hidden="1"/>
    <cellStyle name="Lien hypertexte visité" xfId="4593" builtinId="9" hidden="1"/>
    <cellStyle name="Lien hypertexte visité" xfId="4595" builtinId="9" hidden="1"/>
    <cellStyle name="Lien hypertexte visité" xfId="4597" builtinId="9" hidden="1"/>
    <cellStyle name="Lien hypertexte visité" xfId="4599" builtinId="9" hidden="1"/>
    <cellStyle name="Lien hypertexte visité" xfId="4601" builtinId="9" hidden="1"/>
    <cellStyle name="Lien hypertexte visité" xfId="4603" builtinId="9" hidden="1"/>
    <cellStyle name="Lien hypertexte visité" xfId="4605" builtinId="9" hidden="1"/>
    <cellStyle name="Lien hypertexte visité" xfId="4607" builtinId="9" hidden="1"/>
    <cellStyle name="Lien hypertexte visité" xfId="4609" builtinId="9" hidden="1"/>
    <cellStyle name="Lien hypertexte visité" xfId="4611" builtinId="9" hidden="1"/>
    <cellStyle name="Lien hypertexte visité" xfId="4613" builtinId="9" hidden="1"/>
    <cellStyle name="Lien hypertexte visité" xfId="4615" builtinId="9" hidden="1"/>
    <cellStyle name="Lien hypertexte visité" xfId="4617" builtinId="9" hidden="1"/>
    <cellStyle name="Lien hypertexte visité" xfId="4619" builtinId="9" hidden="1"/>
    <cellStyle name="Lien hypertexte visité" xfId="4621" builtinId="9" hidden="1"/>
    <cellStyle name="Lien hypertexte visité" xfId="4623" builtinId="9" hidden="1"/>
    <cellStyle name="Lien hypertexte visité" xfId="4625" builtinId="9" hidden="1"/>
    <cellStyle name="Lien hypertexte visité" xfId="4627" builtinId="9" hidden="1"/>
    <cellStyle name="Lien hypertexte visité" xfId="4629" builtinId="9" hidden="1"/>
    <cellStyle name="Lien hypertexte visité" xfId="4631" builtinId="9" hidden="1"/>
    <cellStyle name="Lien hypertexte visité" xfId="4633" builtinId="9" hidden="1"/>
    <cellStyle name="Lien hypertexte visité" xfId="4635" builtinId="9" hidden="1"/>
    <cellStyle name="Lien hypertexte visité" xfId="4637" builtinId="9" hidden="1"/>
    <cellStyle name="Lien hypertexte visité" xfId="4639" builtinId="9" hidden="1"/>
    <cellStyle name="Lien hypertexte visité" xfId="4641" builtinId="9" hidden="1"/>
    <cellStyle name="Lien hypertexte visité" xfId="4643" builtinId="9" hidden="1"/>
    <cellStyle name="Lien hypertexte visité" xfId="4645" builtinId="9" hidden="1"/>
    <cellStyle name="Lien hypertexte visité" xfId="4647" builtinId="9" hidden="1"/>
    <cellStyle name="Lien hypertexte visité" xfId="4649" builtinId="9" hidden="1"/>
    <cellStyle name="Lien hypertexte visité" xfId="4651" builtinId="9" hidden="1"/>
    <cellStyle name="Lien hypertexte visité" xfId="4653" builtinId="9" hidden="1"/>
    <cellStyle name="Lien hypertexte visité" xfId="4655" builtinId="9" hidden="1"/>
    <cellStyle name="Lien hypertexte visité" xfId="4657" builtinId="9" hidden="1"/>
    <cellStyle name="Lien hypertexte visité" xfId="4659" builtinId="9" hidden="1"/>
    <cellStyle name="Lien hypertexte visité" xfId="4661" builtinId="9" hidden="1"/>
    <cellStyle name="Lien hypertexte visité" xfId="4663" builtinId="9" hidden="1"/>
    <cellStyle name="Lien hypertexte visité" xfId="4665" builtinId="9" hidden="1"/>
    <cellStyle name="Lien hypertexte visité" xfId="4667" builtinId="9" hidden="1"/>
    <cellStyle name="Lien hypertexte visité" xfId="4669" builtinId="9" hidden="1"/>
    <cellStyle name="Lien hypertexte visité" xfId="4671" builtinId="9" hidden="1"/>
    <cellStyle name="Lien hypertexte visité" xfId="4673" builtinId="9" hidden="1"/>
    <cellStyle name="Lien hypertexte visité" xfId="4675" builtinId="9" hidden="1"/>
    <cellStyle name="Lien hypertexte visité" xfId="4677" builtinId="9" hidden="1"/>
    <cellStyle name="Lien hypertexte visité" xfId="4679" builtinId="9" hidden="1"/>
    <cellStyle name="Lien hypertexte visité" xfId="4681" builtinId="9" hidden="1"/>
    <cellStyle name="Lien hypertexte visité" xfId="4683" builtinId="9" hidden="1"/>
    <cellStyle name="Lien hypertexte visité" xfId="4685" builtinId="9" hidden="1"/>
    <cellStyle name="Lien hypertexte visité" xfId="4687" builtinId="9" hidden="1"/>
    <cellStyle name="Lien hypertexte visité" xfId="4689" builtinId="9" hidden="1"/>
    <cellStyle name="Lien hypertexte visité" xfId="4691" builtinId="9" hidden="1"/>
    <cellStyle name="Lien hypertexte visité" xfId="4693" builtinId="9" hidden="1"/>
    <cellStyle name="Lien hypertexte visité" xfId="4695" builtinId="9" hidden="1"/>
    <cellStyle name="Lien hypertexte visité" xfId="4697" builtinId="9" hidden="1"/>
    <cellStyle name="Lien hypertexte visité" xfId="4699" builtinId="9" hidden="1"/>
    <cellStyle name="Lien hypertexte visité" xfId="4701" builtinId="9" hidden="1"/>
    <cellStyle name="Lien hypertexte visité" xfId="4703" builtinId="9" hidden="1"/>
    <cellStyle name="Lien hypertexte visité" xfId="4705" builtinId="9" hidden="1"/>
    <cellStyle name="Lien hypertexte visité" xfId="4707" builtinId="9" hidden="1"/>
    <cellStyle name="Lien hypertexte visité" xfId="4709" builtinId="9" hidden="1"/>
    <cellStyle name="Lien hypertexte visité" xfId="4711" builtinId="9" hidden="1"/>
    <cellStyle name="Lien hypertexte visité" xfId="4713" builtinId="9" hidden="1"/>
    <cellStyle name="Lien hypertexte visité" xfId="4715" builtinId="9" hidden="1"/>
    <cellStyle name="Lien hypertexte visité" xfId="4717" builtinId="9" hidden="1"/>
    <cellStyle name="Lien hypertexte visité" xfId="4719" builtinId="9" hidden="1"/>
    <cellStyle name="Lien hypertexte visité" xfId="4721" builtinId="9" hidden="1"/>
    <cellStyle name="Lien hypertexte visité" xfId="4723" builtinId="9" hidden="1"/>
    <cellStyle name="Lien hypertexte visité" xfId="4725" builtinId="9" hidden="1"/>
    <cellStyle name="Lien hypertexte visité" xfId="4727" builtinId="9" hidden="1"/>
    <cellStyle name="Lien hypertexte visité" xfId="4729" builtinId="9" hidden="1"/>
    <cellStyle name="Lien hypertexte visité" xfId="4731" builtinId="9" hidden="1"/>
    <cellStyle name="Lien hypertexte visité" xfId="4733" builtinId="9" hidden="1"/>
    <cellStyle name="Lien hypertexte visité" xfId="4735" builtinId="9" hidden="1"/>
    <cellStyle name="Lien hypertexte visité" xfId="4737" builtinId="9" hidden="1"/>
    <cellStyle name="Lien hypertexte visité" xfId="4739" builtinId="9" hidden="1"/>
    <cellStyle name="Lien hypertexte visité" xfId="4741" builtinId="9" hidden="1"/>
    <cellStyle name="Lien hypertexte visité" xfId="4743" builtinId="9" hidden="1"/>
    <cellStyle name="Lien hypertexte visité" xfId="4745" builtinId="9" hidden="1"/>
    <cellStyle name="Lien hypertexte visité" xfId="4747" builtinId="9" hidden="1"/>
    <cellStyle name="Lien hypertexte visité" xfId="4749" builtinId="9" hidden="1"/>
    <cellStyle name="Lien hypertexte visité" xfId="4751" builtinId="9" hidden="1"/>
    <cellStyle name="Lien hypertexte visité" xfId="4753" builtinId="9" hidden="1"/>
    <cellStyle name="Lien hypertexte visité" xfId="4755" builtinId="9" hidden="1"/>
    <cellStyle name="Lien hypertexte visité" xfId="4757" builtinId="9" hidden="1"/>
    <cellStyle name="Lien hypertexte visité" xfId="4759" builtinId="9" hidden="1"/>
    <cellStyle name="Lien hypertexte visité" xfId="4761" builtinId="9" hidden="1"/>
    <cellStyle name="Lien hypertexte visité" xfId="4763" builtinId="9" hidden="1"/>
    <cellStyle name="Lien hypertexte visité" xfId="4765" builtinId="9" hidden="1"/>
    <cellStyle name="Lien hypertexte visité" xfId="4767" builtinId="9" hidden="1"/>
    <cellStyle name="Lien hypertexte visité" xfId="4769" builtinId="9" hidden="1"/>
    <cellStyle name="Lien hypertexte visité" xfId="4771" builtinId="9" hidden="1"/>
    <cellStyle name="Lien hypertexte visité" xfId="4773" builtinId="9" hidden="1"/>
    <cellStyle name="Lien hypertexte visité" xfId="4775" builtinId="9" hidden="1"/>
    <cellStyle name="Lien hypertexte visité" xfId="4777" builtinId="9" hidden="1"/>
    <cellStyle name="Lien hypertexte visité" xfId="4779" builtinId="9" hidden="1"/>
    <cellStyle name="Lien hypertexte visité" xfId="4781" builtinId="9" hidden="1"/>
    <cellStyle name="Lien hypertexte visité" xfId="4783" builtinId="9" hidden="1"/>
    <cellStyle name="Lien hypertexte visité" xfId="4785" builtinId="9" hidden="1"/>
    <cellStyle name="Lien hypertexte visité" xfId="4787" builtinId="9" hidden="1"/>
    <cellStyle name="Lien hypertexte visité" xfId="4789" builtinId="9" hidden="1"/>
    <cellStyle name="Lien hypertexte visité" xfId="4791" builtinId="9" hidden="1"/>
    <cellStyle name="Lien hypertexte visité" xfId="4793" builtinId="9" hidden="1"/>
    <cellStyle name="Lien hypertexte visité" xfId="4795" builtinId="9" hidden="1"/>
    <cellStyle name="Lien hypertexte visité" xfId="4797" builtinId="9" hidden="1"/>
    <cellStyle name="Lien hypertexte visité" xfId="4799" builtinId="9" hidden="1"/>
    <cellStyle name="Lien hypertexte visité" xfId="4801" builtinId="9" hidden="1"/>
    <cellStyle name="Lien hypertexte visité" xfId="4803" builtinId="9" hidden="1"/>
    <cellStyle name="Lien hypertexte visité" xfId="4805" builtinId="9" hidden="1"/>
    <cellStyle name="Lien hypertexte visité" xfId="4807" builtinId="9" hidden="1"/>
    <cellStyle name="Lien hypertexte visité" xfId="4809" builtinId="9" hidden="1"/>
    <cellStyle name="Lien hypertexte visité" xfId="4811" builtinId="9" hidden="1"/>
    <cellStyle name="Lien hypertexte visité" xfId="4813" builtinId="9" hidden="1"/>
    <cellStyle name="Lien hypertexte visité" xfId="4815" builtinId="9" hidden="1"/>
    <cellStyle name="Lien hypertexte visité" xfId="4817" builtinId="9" hidden="1"/>
    <cellStyle name="Lien hypertexte visité" xfId="4819" builtinId="9" hidden="1"/>
    <cellStyle name="Lien hypertexte visité" xfId="4821" builtinId="9" hidden="1"/>
    <cellStyle name="Lien hypertexte visité" xfId="4823" builtinId="9" hidden="1"/>
    <cellStyle name="Lien hypertexte visité" xfId="4825" builtinId="9" hidden="1"/>
    <cellStyle name="Lien hypertexte visité" xfId="4827" builtinId="9" hidden="1"/>
    <cellStyle name="Lien hypertexte visité" xfId="4829" builtinId="9" hidden="1"/>
    <cellStyle name="Lien hypertexte visité" xfId="4831" builtinId="9" hidden="1"/>
    <cellStyle name="Lien hypertexte visité" xfId="4833" builtinId="9" hidden="1"/>
    <cellStyle name="Lien hypertexte visité" xfId="4835" builtinId="9" hidden="1"/>
    <cellStyle name="Lien hypertexte visité" xfId="4837" builtinId="9" hidden="1"/>
    <cellStyle name="Lien hypertexte visité" xfId="4839" builtinId="9" hidden="1"/>
    <cellStyle name="Lien hypertexte visité" xfId="4841" builtinId="9" hidden="1"/>
    <cellStyle name="Lien hypertexte visité" xfId="4843" builtinId="9" hidden="1"/>
    <cellStyle name="Lien hypertexte visité" xfId="4845" builtinId="9" hidden="1"/>
    <cellStyle name="Lien hypertexte visité" xfId="4847" builtinId="9" hidden="1"/>
    <cellStyle name="Lien hypertexte visité" xfId="4849" builtinId="9" hidden="1"/>
    <cellStyle name="Lien hypertexte visité" xfId="4851" builtinId="9" hidden="1"/>
    <cellStyle name="Lien hypertexte visité" xfId="4853" builtinId="9" hidden="1"/>
    <cellStyle name="Lien hypertexte visité" xfId="4855" builtinId="9" hidden="1"/>
    <cellStyle name="Lien hypertexte visité" xfId="4857" builtinId="9" hidden="1"/>
    <cellStyle name="Lien hypertexte visité" xfId="4859" builtinId="9" hidden="1"/>
    <cellStyle name="Lien hypertexte visité" xfId="4861" builtinId="9" hidden="1"/>
    <cellStyle name="Lien hypertexte visité" xfId="4863" builtinId="9" hidden="1"/>
    <cellStyle name="Lien hypertexte visité" xfId="4865" builtinId="9" hidden="1"/>
    <cellStyle name="Lien hypertexte visité" xfId="4867" builtinId="9" hidden="1"/>
    <cellStyle name="Lien hypertexte visité" xfId="4869" builtinId="9" hidden="1"/>
    <cellStyle name="Lien hypertexte visité" xfId="4871" builtinId="9" hidden="1"/>
    <cellStyle name="Lien hypertexte visité" xfId="4873" builtinId="9" hidden="1"/>
    <cellStyle name="Lien hypertexte visité" xfId="4875" builtinId="9" hidden="1"/>
    <cellStyle name="Lien hypertexte visité" xfId="4877" builtinId="9" hidden="1"/>
    <cellStyle name="Lien hypertexte visité" xfId="4879" builtinId="9" hidden="1"/>
    <cellStyle name="Lien hypertexte visité" xfId="4881" builtinId="9" hidden="1"/>
    <cellStyle name="Lien hypertexte visité" xfId="4883" builtinId="9" hidden="1"/>
    <cellStyle name="Lien hypertexte visité" xfId="4885" builtinId="9" hidden="1"/>
    <cellStyle name="Lien hypertexte visité" xfId="4887" builtinId="9" hidden="1"/>
    <cellStyle name="Lien hypertexte visité" xfId="4889" builtinId="9" hidden="1"/>
    <cellStyle name="Lien hypertexte visité" xfId="4891" builtinId="9" hidden="1"/>
    <cellStyle name="Lien hypertexte visité" xfId="4893" builtinId="9" hidden="1"/>
    <cellStyle name="Lien hypertexte visité" xfId="4895" builtinId="9" hidden="1"/>
    <cellStyle name="Lien hypertexte visité" xfId="4897" builtinId="9" hidden="1"/>
    <cellStyle name="Lien hypertexte visité" xfId="4899" builtinId="9" hidden="1"/>
    <cellStyle name="Lien hypertexte visité" xfId="4901" builtinId="9" hidden="1"/>
    <cellStyle name="Lien hypertexte visité" xfId="4903" builtinId="9" hidden="1"/>
    <cellStyle name="Lien hypertexte visité" xfId="4905" builtinId="9" hidden="1"/>
    <cellStyle name="Lien hypertexte visité" xfId="4907" builtinId="9" hidden="1"/>
    <cellStyle name="Lien hypertexte visité" xfId="4909" builtinId="9" hidden="1"/>
    <cellStyle name="Lien hypertexte visité" xfId="4911" builtinId="9" hidden="1"/>
    <cellStyle name="Lien hypertexte visité" xfId="4913" builtinId="9" hidden="1"/>
    <cellStyle name="Lien hypertexte visité" xfId="4915" builtinId="9" hidden="1"/>
    <cellStyle name="Lien hypertexte visité" xfId="4917" builtinId="9" hidden="1"/>
    <cellStyle name="Lien hypertexte visité" xfId="4919" builtinId="9" hidden="1"/>
    <cellStyle name="Lien hypertexte visité" xfId="4921" builtinId="9" hidden="1"/>
    <cellStyle name="Lien hypertexte visité" xfId="4923" builtinId="9" hidden="1"/>
    <cellStyle name="Lien hypertexte visité" xfId="4925" builtinId="9" hidden="1"/>
    <cellStyle name="Lien hypertexte visité" xfId="4927" builtinId="9" hidden="1"/>
    <cellStyle name="Lien hypertexte visité" xfId="4929" builtinId="9" hidden="1"/>
    <cellStyle name="Lien hypertexte visité" xfId="4931" builtinId="9" hidden="1"/>
    <cellStyle name="Lien hypertexte visité" xfId="4933" builtinId="9" hidden="1"/>
    <cellStyle name="Lien hypertexte visité" xfId="4935" builtinId="9" hidden="1"/>
    <cellStyle name="Lien hypertexte visité" xfId="4937" builtinId="9" hidden="1"/>
    <cellStyle name="Lien hypertexte visité" xfId="4939" builtinId="9" hidden="1"/>
    <cellStyle name="Lien hypertexte visité" xfId="4941" builtinId="9" hidden="1"/>
    <cellStyle name="Lien hypertexte visité" xfId="4943" builtinId="9" hidden="1"/>
    <cellStyle name="Lien hypertexte visité" xfId="4945" builtinId="9" hidden="1"/>
    <cellStyle name="Lien hypertexte visité" xfId="4947" builtinId="9" hidden="1"/>
    <cellStyle name="Lien hypertexte visité" xfId="4949" builtinId="9" hidden="1"/>
    <cellStyle name="Lien hypertexte visité" xfId="4951" builtinId="9" hidden="1"/>
    <cellStyle name="Lien hypertexte visité" xfId="4953" builtinId="9" hidden="1"/>
    <cellStyle name="Lien hypertexte visité" xfId="4955" builtinId="9" hidden="1"/>
    <cellStyle name="Lien hypertexte visité" xfId="4957" builtinId="9" hidden="1"/>
    <cellStyle name="Lien hypertexte visité" xfId="4959" builtinId="9" hidden="1"/>
    <cellStyle name="Lien hypertexte visité" xfId="4961" builtinId="9" hidden="1"/>
    <cellStyle name="Lien hypertexte visité" xfId="4963" builtinId="9" hidden="1"/>
    <cellStyle name="Lien hypertexte visité" xfId="4965" builtinId="9" hidden="1"/>
    <cellStyle name="Lien hypertexte visité" xfId="4967" builtinId="9" hidden="1"/>
    <cellStyle name="Lien hypertexte visité" xfId="4969" builtinId="9" hidden="1"/>
    <cellStyle name="Lien hypertexte visité" xfId="4971" builtinId="9" hidden="1"/>
    <cellStyle name="Lien hypertexte visité" xfId="4973" builtinId="9" hidden="1"/>
    <cellStyle name="Lien hypertexte visité" xfId="4975" builtinId="9" hidden="1"/>
    <cellStyle name="Lien hypertexte visité" xfId="4977" builtinId="9" hidden="1"/>
    <cellStyle name="Lien hypertexte visité" xfId="4979" builtinId="9" hidden="1"/>
    <cellStyle name="Lien hypertexte visité" xfId="4981" builtinId="9" hidden="1"/>
    <cellStyle name="Lien hypertexte visité" xfId="4983" builtinId="9" hidden="1"/>
    <cellStyle name="Lien hypertexte visité" xfId="4985" builtinId="9" hidden="1"/>
    <cellStyle name="Lien hypertexte visité" xfId="4987" builtinId="9" hidden="1"/>
    <cellStyle name="Lien hypertexte visité" xfId="4989" builtinId="9" hidden="1"/>
    <cellStyle name="Lien hypertexte visité" xfId="4991" builtinId="9" hidden="1"/>
    <cellStyle name="Lien hypertexte visité" xfId="4993" builtinId="9" hidden="1"/>
    <cellStyle name="Lien hypertexte visité" xfId="4995" builtinId="9" hidden="1"/>
    <cellStyle name="Lien hypertexte visité" xfId="4997" builtinId="9" hidden="1"/>
    <cellStyle name="Lien hypertexte visité" xfId="4999" builtinId="9" hidden="1"/>
    <cellStyle name="Lien hypertexte visité" xfId="5001" builtinId="9" hidden="1"/>
    <cellStyle name="Lien hypertexte visité" xfId="5003" builtinId="9" hidden="1"/>
    <cellStyle name="Lien hypertexte visité" xfId="5005" builtinId="9" hidden="1"/>
    <cellStyle name="Lien hypertexte visité" xfId="5007" builtinId="9" hidden="1"/>
    <cellStyle name="Lien hypertexte visité" xfId="5009" builtinId="9" hidden="1"/>
    <cellStyle name="Lien hypertexte visité" xfId="5011" builtinId="9" hidden="1"/>
    <cellStyle name="Lien hypertexte visité" xfId="5013" builtinId="9" hidden="1"/>
    <cellStyle name="Lien hypertexte visité" xfId="5015" builtinId="9" hidden="1"/>
    <cellStyle name="Lien hypertexte visité" xfId="5017" builtinId="9" hidden="1"/>
    <cellStyle name="Lien hypertexte visité" xfId="5019" builtinId="9" hidden="1"/>
    <cellStyle name="Lien hypertexte visité" xfId="5021" builtinId="9" hidden="1"/>
    <cellStyle name="Lien hypertexte visité" xfId="5023" builtinId="9" hidden="1"/>
    <cellStyle name="Lien hypertexte visité" xfId="5025" builtinId="9" hidden="1"/>
    <cellStyle name="Lien hypertexte visité" xfId="5027" builtinId="9" hidden="1"/>
    <cellStyle name="Lien hypertexte visité" xfId="5029" builtinId="9" hidden="1"/>
    <cellStyle name="Lien hypertexte visité" xfId="5031" builtinId="9" hidden="1"/>
    <cellStyle name="Lien hypertexte visité" xfId="5033" builtinId="9" hidden="1"/>
    <cellStyle name="Lien hypertexte visité" xfId="5035" builtinId="9" hidden="1"/>
    <cellStyle name="Lien hypertexte visité" xfId="5037" builtinId="9" hidden="1"/>
    <cellStyle name="Lien hypertexte visité" xfId="5039" builtinId="9" hidden="1"/>
    <cellStyle name="Lien hypertexte visité" xfId="5041" builtinId="9" hidden="1"/>
    <cellStyle name="Lien hypertexte visité" xfId="5043" builtinId="9" hidden="1"/>
    <cellStyle name="Lien hypertexte visité" xfId="5045" builtinId="9" hidden="1"/>
    <cellStyle name="Lien hypertexte visité" xfId="5047" builtinId="9" hidden="1"/>
    <cellStyle name="Lien hypertexte visité" xfId="5049" builtinId="9" hidden="1"/>
    <cellStyle name="Lien hypertexte visité" xfId="5051" builtinId="9" hidden="1"/>
    <cellStyle name="Lien hypertexte visité" xfId="5053" builtinId="9" hidden="1"/>
    <cellStyle name="Lien hypertexte visité" xfId="5055" builtinId="9" hidden="1"/>
    <cellStyle name="Lien hypertexte visité" xfId="5057" builtinId="9" hidden="1"/>
    <cellStyle name="Lien hypertexte visité" xfId="5059" builtinId="9" hidden="1"/>
    <cellStyle name="Lien hypertexte visité" xfId="5061" builtinId="9" hidden="1"/>
    <cellStyle name="Lien hypertexte visité" xfId="5063" builtinId="9" hidden="1"/>
    <cellStyle name="Lien hypertexte visité" xfId="5065" builtinId="9" hidden="1"/>
    <cellStyle name="Lien hypertexte visité" xfId="5067" builtinId="9" hidden="1"/>
    <cellStyle name="Lien hypertexte visité" xfId="5069" builtinId="9" hidden="1"/>
    <cellStyle name="Lien hypertexte visité" xfId="5071" builtinId="9" hidden="1"/>
    <cellStyle name="Lien hypertexte visité" xfId="5073" builtinId="9" hidden="1"/>
    <cellStyle name="Lien hypertexte visité" xfId="5075" builtinId="9" hidden="1"/>
    <cellStyle name="Lien hypertexte visité" xfId="5077" builtinId="9" hidden="1"/>
    <cellStyle name="Lien hypertexte visité" xfId="5079" builtinId="9" hidden="1"/>
    <cellStyle name="Lien hypertexte visité" xfId="5081" builtinId="9" hidden="1"/>
    <cellStyle name="Lien hypertexte visité" xfId="5083" builtinId="9" hidden="1"/>
    <cellStyle name="Lien hypertexte visité" xfId="5085" builtinId="9" hidden="1"/>
    <cellStyle name="Lien hypertexte visité" xfId="5087" builtinId="9" hidden="1"/>
    <cellStyle name="Lien hypertexte visité" xfId="5089" builtinId="9" hidden="1"/>
    <cellStyle name="Lien hypertexte visité" xfId="5091" builtinId="9" hidden="1"/>
    <cellStyle name="Lien hypertexte visité" xfId="5093" builtinId="9" hidden="1"/>
    <cellStyle name="Lien hypertexte visité" xfId="5095" builtinId="9" hidden="1"/>
    <cellStyle name="Lien hypertexte visité" xfId="5097" builtinId="9" hidden="1"/>
    <cellStyle name="Lien hypertexte visité" xfId="5099" builtinId="9" hidden="1"/>
    <cellStyle name="Lien hypertexte visité" xfId="5101" builtinId="9" hidden="1"/>
    <cellStyle name="Lien hypertexte visité" xfId="5103" builtinId="9" hidden="1"/>
    <cellStyle name="Lien hypertexte visité" xfId="5105" builtinId="9" hidden="1"/>
    <cellStyle name="Lien hypertexte visité" xfId="5107" builtinId="9" hidden="1"/>
    <cellStyle name="Lien hypertexte visité" xfId="5109" builtinId="9" hidden="1"/>
    <cellStyle name="Lien hypertexte visité" xfId="5111" builtinId="9" hidden="1"/>
    <cellStyle name="Lien hypertexte visité" xfId="5113" builtinId="9" hidden="1"/>
    <cellStyle name="Lien hypertexte visité" xfId="5115" builtinId="9" hidden="1"/>
    <cellStyle name="Lien hypertexte visité" xfId="5117" builtinId="9" hidden="1"/>
    <cellStyle name="Lien hypertexte visité" xfId="5119" builtinId="9" hidden="1"/>
    <cellStyle name="Lien hypertexte visité" xfId="5121" builtinId="9" hidden="1"/>
    <cellStyle name="Lien hypertexte visité" xfId="5123" builtinId="9" hidden="1"/>
    <cellStyle name="Lien hypertexte visité" xfId="5125" builtinId="9" hidden="1"/>
    <cellStyle name="Lien hypertexte visité" xfId="5127" builtinId="9" hidden="1"/>
    <cellStyle name="Lien hypertexte visité" xfId="5129" builtinId="9" hidden="1"/>
    <cellStyle name="Lien hypertexte visité" xfId="5131" builtinId="9" hidden="1"/>
    <cellStyle name="Lien hypertexte visité" xfId="5133" builtinId="9" hidden="1"/>
    <cellStyle name="Lien hypertexte visité" xfId="5135" builtinId="9" hidden="1"/>
    <cellStyle name="Lien hypertexte visité" xfId="5137" builtinId="9" hidden="1"/>
    <cellStyle name="Lien hypertexte visité" xfId="5139" builtinId="9" hidden="1"/>
    <cellStyle name="Lien hypertexte visité" xfId="5141" builtinId="9" hidden="1"/>
    <cellStyle name="Lien hypertexte visité" xfId="5143" builtinId="9" hidden="1"/>
    <cellStyle name="Lien hypertexte visité" xfId="5145" builtinId="9" hidden="1"/>
    <cellStyle name="Lien hypertexte visité" xfId="5147" builtinId="9" hidden="1"/>
    <cellStyle name="Lien hypertexte visité" xfId="5149" builtinId="9" hidden="1"/>
    <cellStyle name="Lien hypertexte visité" xfId="5151" builtinId="9" hidden="1"/>
    <cellStyle name="Lien hypertexte visité" xfId="5153" builtinId="9" hidden="1"/>
    <cellStyle name="Lien hypertexte visité" xfId="5155" builtinId="9" hidden="1"/>
    <cellStyle name="Lien hypertexte visité" xfId="5157" builtinId="9" hidden="1"/>
    <cellStyle name="Lien hypertexte visité" xfId="5159" builtinId="9" hidden="1"/>
    <cellStyle name="Lien hypertexte visité" xfId="5161" builtinId="9" hidden="1"/>
    <cellStyle name="Lien hypertexte visité" xfId="5163" builtinId="9" hidden="1"/>
    <cellStyle name="Lien hypertexte visité" xfId="5165" builtinId="9" hidden="1"/>
    <cellStyle name="Lien hypertexte visité" xfId="5167" builtinId="9" hidden="1"/>
    <cellStyle name="Lien hypertexte visité" xfId="5169" builtinId="9" hidden="1"/>
    <cellStyle name="Lien hypertexte visité" xfId="5171" builtinId="9" hidden="1"/>
    <cellStyle name="Lien hypertexte visité" xfId="5173" builtinId="9" hidden="1"/>
    <cellStyle name="Lien hypertexte visité" xfId="5175" builtinId="9" hidden="1"/>
    <cellStyle name="Lien hypertexte visité" xfId="5177" builtinId="9" hidden="1"/>
    <cellStyle name="Lien hypertexte visité" xfId="5179" builtinId="9" hidden="1"/>
    <cellStyle name="Lien hypertexte visité" xfId="5181" builtinId="9" hidden="1"/>
    <cellStyle name="Lien hypertexte visité" xfId="5183" builtinId="9" hidden="1"/>
    <cellStyle name="Lien hypertexte visité" xfId="5185" builtinId="9" hidden="1"/>
    <cellStyle name="Lien hypertexte visité" xfId="5187" builtinId="9" hidden="1"/>
    <cellStyle name="Lien hypertexte visité" xfId="5189" builtinId="9" hidden="1"/>
    <cellStyle name="Lien hypertexte visité" xfId="5191" builtinId="9" hidden="1"/>
    <cellStyle name="Lien hypertexte visité" xfId="5193" builtinId="9" hidden="1"/>
    <cellStyle name="Lien hypertexte visité" xfId="5195" builtinId="9" hidden="1"/>
    <cellStyle name="Lien hypertexte visité" xfId="5197" builtinId="9" hidden="1"/>
    <cellStyle name="Lien hypertexte visité" xfId="5199" builtinId="9" hidden="1"/>
    <cellStyle name="Lien hypertexte visité" xfId="5201" builtinId="9" hidden="1"/>
    <cellStyle name="Lien hypertexte visité" xfId="5203" builtinId="9" hidden="1"/>
    <cellStyle name="Lien hypertexte visité" xfId="5205" builtinId="9" hidden="1"/>
    <cellStyle name="Lien hypertexte visité" xfId="5207" builtinId="9" hidden="1"/>
    <cellStyle name="Lien hypertexte visité" xfId="5209" builtinId="9" hidden="1"/>
    <cellStyle name="Lien hypertexte visité" xfId="5211" builtinId="9" hidden="1"/>
    <cellStyle name="Lien hypertexte visité" xfId="5213" builtinId="9" hidden="1"/>
    <cellStyle name="Lien hypertexte visité" xfId="5215" builtinId="9" hidden="1"/>
    <cellStyle name="Lien hypertexte visité" xfId="5217" builtinId="9" hidden="1"/>
    <cellStyle name="Lien hypertexte visité" xfId="5219" builtinId="9" hidden="1"/>
    <cellStyle name="Lien hypertexte visité" xfId="5221" builtinId="9" hidden="1"/>
    <cellStyle name="Lien hypertexte visité" xfId="5223" builtinId="9" hidden="1"/>
    <cellStyle name="Lien hypertexte visité" xfId="5225" builtinId="9" hidden="1"/>
    <cellStyle name="Lien hypertexte visité" xfId="5227" builtinId="9" hidden="1"/>
    <cellStyle name="Lien hypertexte visité" xfId="5229" builtinId="9" hidden="1"/>
    <cellStyle name="Lien hypertexte visité" xfId="5231" builtinId="9" hidden="1"/>
    <cellStyle name="Lien hypertexte visité" xfId="5233" builtinId="9" hidden="1"/>
    <cellStyle name="Lien hypertexte visité" xfId="5235" builtinId="9" hidden="1"/>
    <cellStyle name="Lien hypertexte visité" xfId="5237" builtinId="9" hidden="1"/>
    <cellStyle name="Lien hypertexte visité" xfId="5239" builtinId="9" hidden="1"/>
    <cellStyle name="Lien hypertexte visité" xfId="5241" builtinId="9" hidden="1"/>
    <cellStyle name="Lien hypertexte visité" xfId="5243" builtinId="9" hidden="1"/>
    <cellStyle name="Lien hypertexte visité" xfId="5245" builtinId="9" hidden="1"/>
    <cellStyle name="Lien hypertexte visité" xfId="5247" builtinId="9" hidden="1"/>
    <cellStyle name="Lien hypertexte visité" xfId="5249" builtinId="9" hidden="1"/>
    <cellStyle name="Lien hypertexte visité" xfId="5251" builtinId="9" hidden="1"/>
    <cellStyle name="Lien hypertexte visité" xfId="5253" builtinId="9" hidden="1"/>
    <cellStyle name="Lien hypertexte visité" xfId="5255" builtinId="9" hidden="1"/>
    <cellStyle name="Lien hypertexte visité" xfId="5257" builtinId="9" hidden="1"/>
    <cellStyle name="Lien hypertexte visité" xfId="5259" builtinId="9" hidden="1"/>
    <cellStyle name="Lien hypertexte visité" xfId="5261" builtinId="9" hidden="1"/>
    <cellStyle name="Lien hypertexte visité" xfId="5263" builtinId="9" hidden="1"/>
    <cellStyle name="Lien hypertexte visité" xfId="5265" builtinId="9" hidden="1"/>
    <cellStyle name="Lien hypertexte visité" xfId="5267" builtinId="9" hidden="1"/>
    <cellStyle name="Lien hypertexte visité" xfId="5269" builtinId="9" hidden="1"/>
    <cellStyle name="Lien hypertexte visité" xfId="5271" builtinId="9" hidden="1"/>
    <cellStyle name="Lien hypertexte visité" xfId="5273" builtinId="9" hidden="1"/>
    <cellStyle name="Lien hypertexte visité" xfId="5275" builtinId="9" hidden="1"/>
    <cellStyle name="Lien hypertexte visité" xfId="5277" builtinId="9" hidden="1"/>
    <cellStyle name="Lien hypertexte visité" xfId="5279" builtinId="9" hidden="1"/>
    <cellStyle name="Lien hypertexte visité" xfId="5281" builtinId="9" hidden="1"/>
    <cellStyle name="Lien hypertexte visité" xfId="5283" builtinId="9" hidden="1"/>
    <cellStyle name="Lien hypertexte visité" xfId="5285" builtinId="9" hidden="1"/>
    <cellStyle name="Lien hypertexte visité" xfId="5287" builtinId="9" hidden="1"/>
    <cellStyle name="Lien hypertexte visité" xfId="5289" builtinId="9" hidden="1"/>
    <cellStyle name="Lien hypertexte visité" xfId="5291" builtinId="9" hidden="1"/>
    <cellStyle name="Lien hypertexte visité" xfId="5293" builtinId="9" hidden="1"/>
    <cellStyle name="Lien hypertexte visité" xfId="5295" builtinId="9" hidden="1"/>
    <cellStyle name="Lien hypertexte visité" xfId="5297" builtinId="9" hidden="1"/>
    <cellStyle name="Lien hypertexte visité" xfId="5299" builtinId="9" hidden="1"/>
    <cellStyle name="Lien hypertexte visité" xfId="5301" builtinId="9" hidden="1"/>
    <cellStyle name="Lien hypertexte visité" xfId="5303" builtinId="9" hidden="1"/>
    <cellStyle name="Lien hypertexte visité" xfId="5305" builtinId="9" hidden="1"/>
    <cellStyle name="Lien hypertexte visité" xfId="5307" builtinId="9" hidden="1"/>
    <cellStyle name="Lien hypertexte visité" xfId="5309" builtinId="9" hidden="1"/>
    <cellStyle name="Lien hypertexte visité" xfId="5311" builtinId="9" hidden="1"/>
    <cellStyle name="Lien hypertexte visité" xfId="5313" builtinId="9" hidden="1"/>
    <cellStyle name="Lien hypertexte visité" xfId="5315" builtinId="9" hidden="1"/>
    <cellStyle name="Lien hypertexte visité" xfId="5317" builtinId="9" hidden="1"/>
    <cellStyle name="Lien hypertexte visité" xfId="5319" builtinId="9" hidden="1"/>
    <cellStyle name="Lien hypertexte visité" xfId="5321" builtinId="9" hidden="1"/>
    <cellStyle name="Lien hypertexte visité" xfId="5323" builtinId="9" hidden="1"/>
    <cellStyle name="Lien hypertexte visité" xfId="5325" builtinId="9" hidden="1"/>
    <cellStyle name="Lien hypertexte visité" xfId="5327" builtinId="9" hidden="1"/>
    <cellStyle name="Lien hypertexte visité" xfId="5329" builtinId="9" hidden="1"/>
    <cellStyle name="Lien hypertexte visité" xfId="5331" builtinId="9" hidden="1"/>
    <cellStyle name="Lien hypertexte visité" xfId="5333" builtinId="9" hidden="1"/>
    <cellStyle name="Lien hypertexte visité" xfId="5335" builtinId="9" hidden="1"/>
    <cellStyle name="Lien hypertexte visité" xfId="5337" builtinId="9" hidden="1"/>
    <cellStyle name="Lien hypertexte visité" xfId="5339" builtinId="9" hidden="1"/>
    <cellStyle name="Lien hypertexte visité" xfId="5341" builtinId="9" hidden="1"/>
    <cellStyle name="Lien hypertexte visité" xfId="5343" builtinId="9" hidden="1"/>
    <cellStyle name="Lien hypertexte visité" xfId="5345" builtinId="9" hidden="1"/>
    <cellStyle name="Lien hypertexte visité" xfId="5347" builtinId="9" hidden="1"/>
    <cellStyle name="Lien hypertexte visité" xfId="5349" builtinId="9" hidden="1"/>
    <cellStyle name="Lien hypertexte visité" xfId="5351" builtinId="9" hidden="1"/>
    <cellStyle name="Lien hypertexte visité" xfId="5353" builtinId="9" hidden="1"/>
    <cellStyle name="Lien hypertexte visité" xfId="5355" builtinId="9" hidden="1"/>
    <cellStyle name="Lien hypertexte visité" xfId="5357" builtinId="9" hidden="1"/>
    <cellStyle name="Lien hypertexte visité" xfId="5359" builtinId="9" hidden="1"/>
    <cellStyle name="Lien hypertexte visité" xfId="5361" builtinId="9" hidden="1"/>
    <cellStyle name="Lien hypertexte visité" xfId="5363" builtinId="9" hidden="1"/>
    <cellStyle name="Lien hypertexte visité" xfId="5365" builtinId="9" hidden="1"/>
    <cellStyle name="Lien hypertexte visité" xfId="5367" builtinId="9" hidden="1"/>
    <cellStyle name="Lien hypertexte visité" xfId="5369" builtinId="9" hidden="1"/>
    <cellStyle name="Lien hypertexte visité" xfId="5371" builtinId="9" hidden="1"/>
    <cellStyle name="Lien hypertexte visité" xfId="5373" builtinId="9" hidden="1"/>
    <cellStyle name="Lien hypertexte visité" xfId="5375" builtinId="9" hidden="1"/>
    <cellStyle name="Lien hypertexte visité" xfId="5377" builtinId="9" hidden="1"/>
    <cellStyle name="Lien hypertexte visité" xfId="5379" builtinId="9" hidden="1"/>
    <cellStyle name="Lien hypertexte visité" xfId="5381" builtinId="9" hidden="1"/>
    <cellStyle name="Lien hypertexte visité" xfId="5383" builtinId="9" hidden="1"/>
    <cellStyle name="Lien hypertexte visité" xfId="5385" builtinId="9" hidden="1"/>
    <cellStyle name="Lien hypertexte visité" xfId="5387" builtinId="9" hidden="1"/>
    <cellStyle name="Lien hypertexte visité" xfId="5389" builtinId="9" hidden="1"/>
    <cellStyle name="Lien hypertexte visité" xfId="5391" builtinId="9" hidden="1"/>
    <cellStyle name="Lien hypertexte visité" xfId="5393" builtinId="9" hidden="1"/>
    <cellStyle name="Lien hypertexte visité" xfId="5395" builtinId="9" hidden="1"/>
    <cellStyle name="Lien hypertexte visité" xfId="5397" builtinId="9" hidden="1"/>
    <cellStyle name="Lien hypertexte visité" xfId="5399" builtinId="9" hidden="1"/>
    <cellStyle name="Lien hypertexte visité" xfId="5401" builtinId="9" hidden="1"/>
    <cellStyle name="Lien hypertexte visité" xfId="5403" builtinId="9" hidden="1"/>
    <cellStyle name="Lien hypertexte visité" xfId="5405" builtinId="9" hidden="1"/>
    <cellStyle name="Lien hypertexte visité" xfId="5407" builtinId="9" hidden="1"/>
    <cellStyle name="Lien hypertexte visité" xfId="5409" builtinId="9" hidden="1"/>
    <cellStyle name="Lien hypertexte visité" xfId="5411" builtinId="9" hidden="1"/>
    <cellStyle name="Lien hypertexte visité" xfId="5413" builtinId="9" hidden="1"/>
    <cellStyle name="Lien hypertexte visité" xfId="5415" builtinId="9" hidden="1"/>
    <cellStyle name="Lien hypertexte visité" xfId="5417" builtinId="9" hidden="1"/>
    <cellStyle name="Lien hypertexte visité" xfId="5419" builtinId="9" hidden="1"/>
    <cellStyle name="Lien hypertexte visité" xfId="5421" builtinId="9" hidden="1"/>
    <cellStyle name="Lien hypertexte visité" xfId="5423" builtinId="9" hidden="1"/>
    <cellStyle name="Lien hypertexte visité" xfId="5425" builtinId="9" hidden="1"/>
    <cellStyle name="Lien hypertexte visité" xfId="5427" builtinId="9" hidden="1"/>
    <cellStyle name="Lien hypertexte visité" xfId="5429" builtinId="9" hidden="1"/>
    <cellStyle name="Lien hypertexte visité" xfId="5431" builtinId="9" hidden="1"/>
    <cellStyle name="Lien hypertexte visité" xfId="5433" builtinId="9" hidden="1"/>
    <cellStyle name="Lien hypertexte visité" xfId="5435" builtinId="9" hidden="1"/>
    <cellStyle name="Lien hypertexte visité" xfId="5437" builtinId="9" hidden="1"/>
    <cellStyle name="Lien hypertexte visité" xfId="5439" builtinId="9" hidden="1"/>
    <cellStyle name="Lien hypertexte visité" xfId="5441" builtinId="9" hidden="1"/>
    <cellStyle name="Lien hypertexte visité" xfId="5443" builtinId="9" hidden="1"/>
    <cellStyle name="Lien hypertexte visité" xfId="5445" builtinId="9" hidden="1"/>
    <cellStyle name="Lien hypertexte visité" xfId="5447" builtinId="9" hidden="1"/>
    <cellStyle name="Lien hypertexte visité" xfId="5449" builtinId="9" hidden="1"/>
    <cellStyle name="Lien hypertexte visité" xfId="5451" builtinId="9" hidden="1"/>
    <cellStyle name="Lien hypertexte visité" xfId="5453" builtinId="9" hidden="1"/>
    <cellStyle name="Lien hypertexte visité" xfId="5455" builtinId="9" hidden="1"/>
    <cellStyle name="Lien hypertexte visité" xfId="5457" builtinId="9" hidden="1"/>
    <cellStyle name="Lien hypertexte visité" xfId="5459" builtinId="9" hidden="1"/>
    <cellStyle name="Lien hypertexte visité" xfId="5461" builtinId="9" hidden="1"/>
    <cellStyle name="Lien hypertexte visité" xfId="5463" builtinId="9" hidden="1"/>
    <cellStyle name="Lien hypertexte visité" xfId="5465" builtinId="9" hidden="1"/>
    <cellStyle name="Lien hypertexte visité" xfId="5467" builtinId="9" hidden="1"/>
    <cellStyle name="Lien hypertexte visité" xfId="5469" builtinId="9" hidden="1"/>
    <cellStyle name="Lien hypertexte visité" xfId="5471" builtinId="9" hidden="1"/>
    <cellStyle name="Lien hypertexte visité" xfId="5473" builtinId="9" hidden="1"/>
    <cellStyle name="Lien hypertexte visité" xfId="5475" builtinId="9" hidden="1"/>
    <cellStyle name="Lien hypertexte visité" xfId="5477" builtinId="9" hidden="1"/>
    <cellStyle name="Lien hypertexte visité" xfId="5479" builtinId="9" hidden="1"/>
    <cellStyle name="Lien hypertexte visité" xfId="5481" builtinId="9" hidden="1"/>
    <cellStyle name="Lien hypertexte visité" xfId="5483" builtinId="9" hidden="1"/>
    <cellStyle name="Lien hypertexte visité" xfId="5485" builtinId="9" hidden="1"/>
    <cellStyle name="Lien hypertexte visité" xfId="5487" builtinId="9" hidden="1"/>
    <cellStyle name="Lien hypertexte visité" xfId="5489" builtinId="9" hidden="1"/>
    <cellStyle name="Lien hypertexte visité" xfId="5491" builtinId="9" hidden="1"/>
    <cellStyle name="Lien hypertexte visité" xfId="5493" builtinId="9" hidden="1"/>
    <cellStyle name="Lien hypertexte visité" xfId="5495" builtinId="9" hidden="1"/>
    <cellStyle name="Lien hypertexte visité" xfId="5497" builtinId="9" hidden="1"/>
    <cellStyle name="Lien hypertexte visité" xfId="5499" builtinId="9" hidden="1"/>
    <cellStyle name="Lien hypertexte visité" xfId="5501" builtinId="9" hidden="1"/>
    <cellStyle name="Lien hypertexte visité" xfId="5503" builtinId="9" hidden="1"/>
    <cellStyle name="Lien hypertexte visité" xfId="5505" builtinId="9" hidden="1"/>
    <cellStyle name="Lien hypertexte visité" xfId="5507" builtinId="9" hidden="1"/>
    <cellStyle name="Lien hypertexte visité" xfId="5509" builtinId="9" hidden="1"/>
    <cellStyle name="Lien hypertexte visité" xfId="5511" builtinId="9" hidden="1"/>
    <cellStyle name="Lien hypertexte visité" xfId="5513" builtinId="9" hidden="1"/>
    <cellStyle name="Lien hypertexte visité" xfId="5515" builtinId="9" hidden="1"/>
    <cellStyle name="Lien hypertexte visité" xfId="5517" builtinId="9" hidden="1"/>
    <cellStyle name="Lien hypertexte visité" xfId="5519" builtinId="9" hidden="1"/>
    <cellStyle name="Lien hypertexte visité" xfId="5521" builtinId="9" hidden="1"/>
    <cellStyle name="Lien hypertexte visité" xfId="5523" builtinId="9" hidden="1"/>
    <cellStyle name="Lien hypertexte visité" xfId="5525" builtinId="9" hidden="1"/>
    <cellStyle name="Lien hypertexte visité" xfId="5527" builtinId="9" hidden="1"/>
    <cellStyle name="Lien hypertexte visité" xfId="5529" builtinId="9" hidden="1"/>
    <cellStyle name="Lien hypertexte visité" xfId="5531" builtinId="9" hidden="1"/>
    <cellStyle name="Lien hypertexte visité" xfId="5533" builtinId="9" hidden="1"/>
    <cellStyle name="Lien hypertexte visité" xfId="5535" builtinId="9" hidden="1"/>
    <cellStyle name="Lien hypertexte visité" xfId="5537" builtinId="9" hidden="1"/>
    <cellStyle name="Lien hypertexte visité" xfId="5539" builtinId="9" hidden="1"/>
    <cellStyle name="Lien hypertexte visité" xfId="5541" builtinId="9" hidden="1"/>
    <cellStyle name="Lien hypertexte visité" xfId="5543" builtinId="9" hidden="1"/>
    <cellStyle name="Lien hypertexte visité" xfId="5545" builtinId="9" hidden="1"/>
    <cellStyle name="Lien hypertexte visité" xfId="5547" builtinId="9" hidden="1"/>
    <cellStyle name="Lien hypertexte visité" xfId="5549" builtinId="9" hidden="1"/>
    <cellStyle name="Lien hypertexte visité" xfId="5551" builtinId="9" hidden="1"/>
    <cellStyle name="Lien hypertexte visité" xfId="5553" builtinId="9" hidden="1"/>
    <cellStyle name="Lien hypertexte visité" xfId="5555" builtinId="9" hidden="1"/>
    <cellStyle name="Lien hypertexte visité" xfId="5557" builtinId="9" hidden="1"/>
    <cellStyle name="Lien hypertexte visité" xfId="5559" builtinId="9" hidden="1"/>
    <cellStyle name="Lien hypertexte visité" xfId="5561" builtinId="9" hidden="1"/>
    <cellStyle name="Lien hypertexte visité" xfId="5563" builtinId="9" hidden="1"/>
    <cellStyle name="Lien hypertexte visité" xfId="5565" builtinId="9" hidden="1"/>
    <cellStyle name="Lien hypertexte visité" xfId="5567" builtinId="9" hidden="1"/>
    <cellStyle name="Lien hypertexte visité" xfId="5569" builtinId="9" hidden="1"/>
    <cellStyle name="Lien hypertexte visité" xfId="5571" builtinId="9" hidden="1"/>
    <cellStyle name="Lien hypertexte visité" xfId="5573" builtinId="9" hidden="1"/>
    <cellStyle name="Lien hypertexte visité" xfId="5575" builtinId="9" hidden="1"/>
    <cellStyle name="Lien hypertexte visité" xfId="5577" builtinId="9" hidden="1"/>
    <cellStyle name="Lien hypertexte visité" xfId="5579" builtinId="9" hidden="1"/>
    <cellStyle name="Lien hypertexte visité" xfId="5581" builtinId="9" hidden="1"/>
    <cellStyle name="Lien hypertexte visité" xfId="5583" builtinId="9" hidden="1"/>
    <cellStyle name="Lien hypertexte visité" xfId="5585" builtinId="9" hidden="1"/>
    <cellStyle name="Lien hypertexte visité" xfId="5587" builtinId="9" hidden="1"/>
    <cellStyle name="Lien hypertexte visité" xfId="5589" builtinId="9" hidden="1"/>
    <cellStyle name="Lien hypertexte visité" xfId="5591" builtinId="9" hidden="1"/>
    <cellStyle name="Lien hypertexte visité" xfId="5593" builtinId="9" hidden="1"/>
    <cellStyle name="Lien hypertexte visité" xfId="5595" builtinId="9" hidden="1"/>
    <cellStyle name="Lien hypertexte visité" xfId="5597" builtinId="9" hidden="1"/>
    <cellStyle name="Lien hypertexte visité" xfId="5599" builtinId="9" hidden="1"/>
    <cellStyle name="Lien hypertexte visité" xfId="5601" builtinId="9" hidden="1"/>
    <cellStyle name="Lien hypertexte visité" xfId="5603" builtinId="9" hidden="1"/>
    <cellStyle name="Lien hypertexte visité" xfId="5605" builtinId="9" hidden="1"/>
    <cellStyle name="Lien hypertexte visité" xfId="5607" builtinId="9" hidden="1"/>
    <cellStyle name="Lien hypertexte visité" xfId="5609" builtinId="9" hidden="1"/>
    <cellStyle name="Lien hypertexte visité" xfId="5611" builtinId="9" hidden="1"/>
    <cellStyle name="Lien hypertexte visité" xfId="5613" builtinId="9" hidden="1"/>
    <cellStyle name="Lien hypertexte visité" xfId="5615" builtinId="9" hidden="1"/>
    <cellStyle name="Lien hypertexte visité" xfId="5617" builtinId="9" hidden="1"/>
    <cellStyle name="Lien hypertexte visité" xfId="5619" builtinId="9" hidden="1"/>
    <cellStyle name="Lien hypertexte visité" xfId="5621" builtinId="9" hidden="1"/>
    <cellStyle name="Lien hypertexte visité" xfId="5623" builtinId="9" hidden="1"/>
    <cellStyle name="Lien hypertexte visité" xfId="5625" builtinId="9" hidden="1"/>
    <cellStyle name="Lien hypertexte visité" xfId="5627" builtinId="9" hidden="1"/>
    <cellStyle name="Lien hypertexte visité" xfId="5629" builtinId="9" hidden="1"/>
    <cellStyle name="Lien hypertexte visité" xfId="5631" builtinId="9" hidden="1"/>
    <cellStyle name="Lien hypertexte visité" xfId="5633" builtinId="9" hidden="1"/>
    <cellStyle name="Lien hypertexte visité" xfId="5635" builtinId="9" hidden="1"/>
    <cellStyle name="Lien hypertexte visité" xfId="5637" builtinId="9" hidden="1"/>
    <cellStyle name="Lien hypertexte visité" xfId="5639" builtinId="9" hidden="1"/>
    <cellStyle name="Lien hypertexte visité" xfId="5641" builtinId="9" hidden="1"/>
    <cellStyle name="Lien hypertexte visité" xfId="5643" builtinId="9" hidden="1"/>
    <cellStyle name="Lien hypertexte visité" xfId="5645" builtinId="9" hidden="1"/>
    <cellStyle name="Lien hypertexte visité" xfId="5647" builtinId="9" hidden="1"/>
    <cellStyle name="Lien hypertexte visité" xfId="5649" builtinId="9" hidden="1"/>
    <cellStyle name="Lien hypertexte visité" xfId="5651" builtinId="9" hidden="1"/>
    <cellStyle name="Lien hypertexte visité" xfId="5653" builtinId="9" hidden="1"/>
    <cellStyle name="Lien hypertexte visité" xfId="5655" builtinId="9" hidden="1"/>
    <cellStyle name="Lien hypertexte visité" xfId="5657" builtinId="9" hidden="1"/>
    <cellStyle name="Lien hypertexte visité" xfId="5659" builtinId="9" hidden="1"/>
    <cellStyle name="Lien hypertexte visité" xfId="5661" builtinId="9" hidden="1"/>
    <cellStyle name="Lien hypertexte visité" xfId="5663" builtinId="9" hidden="1"/>
    <cellStyle name="Lien hypertexte visité" xfId="5665" builtinId="9" hidden="1"/>
    <cellStyle name="Lien hypertexte visité" xfId="5667" builtinId="9" hidden="1"/>
    <cellStyle name="Lien hypertexte visité" xfId="5669" builtinId="9" hidden="1"/>
    <cellStyle name="Lien hypertexte visité" xfId="5671" builtinId="9" hidden="1"/>
    <cellStyle name="Lien hypertexte visité" xfId="5673" builtinId="9" hidden="1"/>
    <cellStyle name="Lien hypertexte visité" xfId="5675" builtinId="9" hidden="1"/>
    <cellStyle name="Lien hypertexte visité" xfId="5677" builtinId="9" hidden="1"/>
    <cellStyle name="Lien hypertexte visité" xfId="5679" builtinId="9" hidden="1"/>
    <cellStyle name="Lien hypertexte visité" xfId="5681" builtinId="9" hidden="1"/>
    <cellStyle name="Lien hypertexte visité" xfId="5683" builtinId="9" hidden="1"/>
    <cellStyle name="Lien hypertexte visité" xfId="5685" builtinId="9" hidden="1"/>
    <cellStyle name="Lien hypertexte visité" xfId="5687" builtinId="9" hidden="1"/>
    <cellStyle name="Lien hypertexte visité" xfId="5689" builtinId="9" hidden="1"/>
    <cellStyle name="Lien hypertexte visité" xfId="5691" builtinId="9" hidden="1"/>
    <cellStyle name="Lien hypertexte visité" xfId="5693" builtinId="9" hidden="1"/>
    <cellStyle name="Lien hypertexte visité" xfId="5695" builtinId="9" hidden="1"/>
    <cellStyle name="Lien hypertexte visité" xfId="5697" builtinId="9" hidden="1"/>
    <cellStyle name="Lien hypertexte visité" xfId="5699" builtinId="9" hidden="1"/>
    <cellStyle name="Lien hypertexte visité" xfId="5701" builtinId="9" hidden="1"/>
    <cellStyle name="Lien hypertexte visité" xfId="5703" builtinId="9" hidden="1"/>
    <cellStyle name="Lien hypertexte visité" xfId="5705" builtinId="9" hidden="1"/>
    <cellStyle name="Lien hypertexte visité" xfId="5707" builtinId="9" hidden="1"/>
    <cellStyle name="Lien hypertexte visité" xfId="5709" builtinId="9" hidden="1"/>
    <cellStyle name="Lien hypertexte visité" xfId="5711" builtinId="9" hidden="1"/>
    <cellStyle name="Lien hypertexte visité" xfId="5713" builtinId="9" hidden="1"/>
    <cellStyle name="Lien hypertexte visité" xfId="5715" builtinId="9" hidden="1"/>
    <cellStyle name="Lien hypertexte visité" xfId="5717" builtinId="9" hidden="1"/>
    <cellStyle name="Lien hypertexte visité" xfId="5719" builtinId="9" hidden="1"/>
    <cellStyle name="Lien hypertexte visité" xfId="5721" builtinId="9" hidden="1"/>
    <cellStyle name="Lien hypertexte visité" xfId="5723" builtinId="9" hidden="1"/>
    <cellStyle name="Lien hypertexte visité" xfId="5725" builtinId="9" hidden="1"/>
    <cellStyle name="Lien hypertexte visité" xfId="5727" builtinId="9" hidden="1"/>
    <cellStyle name="Lien hypertexte visité" xfId="5729" builtinId="9" hidden="1"/>
    <cellStyle name="Lien hypertexte visité" xfId="5731" builtinId="9" hidden="1"/>
    <cellStyle name="Lien hypertexte visité" xfId="5733" builtinId="9" hidden="1"/>
    <cellStyle name="Lien hypertexte visité" xfId="5735" builtinId="9" hidden="1"/>
    <cellStyle name="Lien hypertexte visité" xfId="5737" builtinId="9" hidden="1"/>
    <cellStyle name="Lien hypertexte visité" xfId="5739" builtinId="9" hidden="1"/>
    <cellStyle name="Lien hypertexte visité" xfId="5741" builtinId="9" hidden="1"/>
    <cellStyle name="Lien hypertexte visité" xfId="5743" builtinId="9" hidden="1"/>
    <cellStyle name="Lien hypertexte visité" xfId="5745" builtinId="9" hidden="1"/>
    <cellStyle name="Lien hypertexte visité" xfId="5747" builtinId="9" hidden="1"/>
    <cellStyle name="Lien hypertexte visité" xfId="5749" builtinId="9" hidden="1"/>
    <cellStyle name="Lien hypertexte visité" xfId="5751" builtinId="9" hidden="1"/>
    <cellStyle name="Lien hypertexte visité" xfId="5753" builtinId="9" hidden="1"/>
    <cellStyle name="Lien hypertexte visité" xfId="5755" builtinId="9" hidden="1"/>
    <cellStyle name="Lien hypertexte visité" xfId="5757" builtinId="9" hidden="1"/>
    <cellStyle name="Lien hypertexte visité" xfId="5759" builtinId="9" hidden="1"/>
    <cellStyle name="Lien hypertexte visité" xfId="5761" builtinId="9" hidden="1"/>
    <cellStyle name="Lien hypertexte visité" xfId="5763" builtinId="9" hidden="1"/>
    <cellStyle name="Lien hypertexte visité" xfId="5765" builtinId="9" hidden="1"/>
    <cellStyle name="Lien hypertexte visité" xfId="5767" builtinId="9" hidden="1"/>
    <cellStyle name="Lien hypertexte visité" xfId="5769" builtinId="9" hidden="1"/>
    <cellStyle name="Lien hypertexte visité" xfId="5771" builtinId="9" hidden="1"/>
    <cellStyle name="Lien hypertexte visité" xfId="5773" builtinId="9" hidden="1"/>
    <cellStyle name="Lien hypertexte visité" xfId="5775" builtinId="9" hidden="1"/>
    <cellStyle name="Lien hypertexte visité" xfId="5777" builtinId="9" hidden="1"/>
    <cellStyle name="Lien hypertexte visité" xfId="5779" builtinId="9" hidden="1"/>
    <cellStyle name="Lien hypertexte visité" xfId="5781" builtinId="9" hidden="1"/>
    <cellStyle name="Lien hypertexte visité" xfId="5783" builtinId="9" hidden="1"/>
    <cellStyle name="Lien hypertexte visité" xfId="5785" builtinId="9" hidden="1"/>
    <cellStyle name="Lien hypertexte visité" xfId="5787" builtinId="9" hidden="1"/>
    <cellStyle name="Lien hypertexte visité" xfId="5789" builtinId="9" hidden="1"/>
    <cellStyle name="Lien hypertexte visité" xfId="5791" builtinId="9" hidden="1"/>
    <cellStyle name="Lien hypertexte visité" xfId="5793" builtinId="9" hidden="1"/>
    <cellStyle name="Lien hypertexte visité" xfId="5795" builtinId="9" hidden="1"/>
    <cellStyle name="Lien hypertexte visité" xfId="5797" builtinId="9" hidden="1"/>
    <cellStyle name="Lien hypertexte visité" xfId="5799" builtinId="9" hidden="1"/>
    <cellStyle name="Lien hypertexte visité" xfId="5801" builtinId="9" hidden="1"/>
    <cellStyle name="Lien hypertexte visité" xfId="5803" builtinId="9" hidden="1"/>
    <cellStyle name="Lien hypertexte visité" xfId="5805" builtinId="9" hidden="1"/>
    <cellStyle name="Lien hypertexte visité" xfId="5807" builtinId="9" hidden="1"/>
    <cellStyle name="Lien hypertexte visité" xfId="5809" builtinId="9" hidden="1"/>
    <cellStyle name="Lien hypertexte visité" xfId="5811" builtinId="9" hidden="1"/>
    <cellStyle name="Lien hypertexte visité" xfId="5813" builtinId="9" hidden="1"/>
    <cellStyle name="Lien hypertexte visité" xfId="5815" builtinId="9" hidden="1"/>
    <cellStyle name="Lien hypertexte visité" xfId="5817" builtinId="9" hidden="1"/>
    <cellStyle name="Lien hypertexte visité" xfId="5819" builtinId="9" hidden="1"/>
    <cellStyle name="Lien hypertexte visité" xfId="5821" builtinId="9" hidden="1"/>
    <cellStyle name="Lien hypertexte visité" xfId="5823" builtinId="9" hidden="1"/>
    <cellStyle name="Lien hypertexte visité" xfId="5825" builtinId="9" hidden="1"/>
    <cellStyle name="Lien hypertexte visité" xfId="5827" builtinId="9" hidden="1"/>
    <cellStyle name="Lien hypertexte visité" xfId="5829" builtinId="9" hidden="1"/>
    <cellStyle name="Lien hypertexte visité" xfId="5831" builtinId="9" hidden="1"/>
    <cellStyle name="Lien hypertexte visité" xfId="5833" builtinId="9" hidden="1"/>
    <cellStyle name="Lien hypertexte visité" xfId="5835" builtinId="9" hidden="1"/>
    <cellStyle name="Lien hypertexte visité" xfId="5837" builtinId="9" hidden="1"/>
    <cellStyle name="Lien hypertexte visité" xfId="5839" builtinId="9" hidden="1"/>
    <cellStyle name="Lien hypertexte visité" xfId="5841" builtinId="9" hidden="1"/>
    <cellStyle name="Lien hypertexte visité" xfId="5843" builtinId="9" hidden="1"/>
    <cellStyle name="Lien hypertexte visité" xfId="5845" builtinId="9" hidden="1"/>
    <cellStyle name="Lien hypertexte visité" xfId="5847" builtinId="9" hidden="1"/>
    <cellStyle name="Lien hypertexte visité" xfId="5849" builtinId="9" hidden="1"/>
    <cellStyle name="Lien hypertexte visité" xfId="5851" builtinId="9" hidden="1"/>
    <cellStyle name="Lien hypertexte visité" xfId="5853" builtinId="9" hidden="1"/>
    <cellStyle name="Lien hypertexte visité" xfId="5855" builtinId="9" hidden="1"/>
    <cellStyle name="Lien hypertexte visité" xfId="5857" builtinId="9" hidden="1"/>
    <cellStyle name="Lien hypertexte visité" xfId="5859" builtinId="9" hidden="1"/>
    <cellStyle name="Lien hypertexte visité" xfId="5861" builtinId="9" hidden="1"/>
    <cellStyle name="Lien hypertexte visité" xfId="5863" builtinId="9" hidden="1"/>
    <cellStyle name="Lien hypertexte visité" xfId="5865" builtinId="9" hidden="1"/>
    <cellStyle name="Lien hypertexte visité" xfId="5867" builtinId="9" hidden="1"/>
    <cellStyle name="Lien hypertexte visité" xfId="5869" builtinId="9" hidden="1"/>
    <cellStyle name="Lien hypertexte visité" xfId="5871" builtinId="9" hidden="1"/>
    <cellStyle name="Lien hypertexte visité" xfId="5873" builtinId="9" hidden="1"/>
    <cellStyle name="Lien hypertexte visité" xfId="5875" builtinId="9" hidden="1"/>
    <cellStyle name="Lien hypertexte visité" xfId="5877" builtinId="9" hidden="1"/>
    <cellStyle name="Lien hypertexte visité" xfId="5879" builtinId="9" hidden="1"/>
    <cellStyle name="Lien hypertexte visité" xfId="5881" builtinId="9" hidden="1"/>
    <cellStyle name="Lien hypertexte visité" xfId="5883" builtinId="9" hidden="1"/>
    <cellStyle name="Lien hypertexte visité" xfId="5885" builtinId="9" hidden="1"/>
    <cellStyle name="Lien hypertexte visité" xfId="5887" builtinId="9" hidden="1"/>
    <cellStyle name="Lien hypertexte visité" xfId="5889" builtinId="9" hidden="1"/>
    <cellStyle name="Lien hypertexte visité" xfId="5891" builtinId="9" hidden="1"/>
    <cellStyle name="Lien hypertexte visité" xfId="5893" builtinId="9" hidden="1"/>
    <cellStyle name="Lien hypertexte visité" xfId="5895" builtinId="9" hidden="1"/>
    <cellStyle name="Lien hypertexte visité" xfId="5897" builtinId="9" hidden="1"/>
    <cellStyle name="Lien hypertexte visité" xfId="5899" builtinId="9" hidden="1"/>
    <cellStyle name="Lien hypertexte visité" xfId="5901" builtinId="9" hidden="1"/>
    <cellStyle name="Lien hypertexte visité" xfId="5903" builtinId="9" hidden="1"/>
    <cellStyle name="Lien hypertexte visité" xfId="5905" builtinId="9" hidden="1"/>
    <cellStyle name="Lien hypertexte visité" xfId="5907" builtinId="9" hidden="1"/>
    <cellStyle name="Lien hypertexte visité" xfId="5909" builtinId="9" hidden="1"/>
    <cellStyle name="Lien hypertexte visité" xfId="5911" builtinId="9" hidden="1"/>
    <cellStyle name="Lien hypertexte visité" xfId="5913" builtinId="9" hidden="1"/>
    <cellStyle name="Lien hypertexte visité" xfId="5915" builtinId="9" hidden="1"/>
    <cellStyle name="Lien hypertexte visité" xfId="5917" builtinId="9" hidden="1"/>
    <cellStyle name="Lien hypertexte visité" xfId="5919" builtinId="9" hidden="1"/>
    <cellStyle name="Lien hypertexte visité" xfId="5921" builtinId="9" hidden="1"/>
    <cellStyle name="Lien hypertexte visité" xfId="5923" builtinId="9" hidden="1"/>
    <cellStyle name="Lien hypertexte visité" xfId="5925" builtinId="9" hidden="1"/>
    <cellStyle name="Lien hypertexte visité" xfId="5927" builtinId="9" hidden="1"/>
    <cellStyle name="Lien hypertexte visité" xfId="5929" builtinId="9" hidden="1"/>
    <cellStyle name="Lien hypertexte visité" xfId="5931" builtinId="9" hidden="1"/>
    <cellStyle name="Lien hypertexte visité" xfId="5933" builtinId="9" hidden="1"/>
    <cellStyle name="Lien hypertexte visité" xfId="5935" builtinId="9" hidden="1"/>
    <cellStyle name="Lien hypertexte visité" xfId="5937" builtinId="9" hidden="1"/>
    <cellStyle name="Lien hypertexte visité" xfId="5939" builtinId="9" hidden="1"/>
    <cellStyle name="Lien hypertexte visité" xfId="5941" builtinId="9" hidden="1"/>
    <cellStyle name="Lien hypertexte visité" xfId="5943" builtinId="9" hidden="1"/>
    <cellStyle name="Lien hypertexte visité" xfId="5945" builtinId="9" hidden="1"/>
    <cellStyle name="Lien hypertexte visité" xfId="5947" builtinId="9" hidden="1"/>
    <cellStyle name="Lien hypertexte visité" xfId="5949" builtinId="9" hidden="1"/>
    <cellStyle name="Lien hypertexte visité" xfId="5951" builtinId="9" hidden="1"/>
    <cellStyle name="Lien hypertexte visité" xfId="5953" builtinId="9" hidden="1"/>
    <cellStyle name="Lien hypertexte visité" xfId="5955" builtinId="9" hidden="1"/>
    <cellStyle name="Lien hypertexte visité" xfId="5957" builtinId="9" hidden="1"/>
    <cellStyle name="Lien hypertexte visité" xfId="5959" builtinId="9" hidden="1"/>
    <cellStyle name="Lien hypertexte visité" xfId="5961" builtinId="9" hidden="1"/>
    <cellStyle name="Lien hypertexte visité" xfId="5963" builtinId="9" hidden="1"/>
    <cellStyle name="Lien hypertexte visité" xfId="5965" builtinId="9" hidden="1"/>
    <cellStyle name="Lien hypertexte visité" xfId="5967" builtinId="9" hidden="1"/>
    <cellStyle name="Lien hypertexte visité" xfId="5969" builtinId="9" hidden="1"/>
    <cellStyle name="Lien hypertexte visité" xfId="5971" builtinId="9" hidden="1"/>
    <cellStyle name="Lien hypertexte visité" xfId="5973" builtinId="9" hidden="1"/>
    <cellStyle name="Lien hypertexte visité" xfId="5975" builtinId="9" hidden="1"/>
    <cellStyle name="Lien hypertexte visité" xfId="5977" builtinId="9" hidden="1"/>
    <cellStyle name="Lien hypertexte visité" xfId="5979" builtinId="9" hidden="1"/>
    <cellStyle name="Lien hypertexte visité" xfId="5981" builtinId="9" hidden="1"/>
    <cellStyle name="Lien hypertexte visité" xfId="5983" builtinId="9" hidden="1"/>
    <cellStyle name="Lien hypertexte visité" xfId="5985" builtinId="9" hidden="1"/>
    <cellStyle name="Lien hypertexte visité" xfId="5987" builtinId="9" hidden="1"/>
    <cellStyle name="Lien hypertexte visité" xfId="5989" builtinId="9" hidden="1"/>
    <cellStyle name="Lien hypertexte visité" xfId="5991" builtinId="9" hidden="1"/>
    <cellStyle name="Lien hypertexte visité" xfId="5993" builtinId="9" hidden="1"/>
    <cellStyle name="Lien hypertexte visité" xfId="5995" builtinId="9" hidden="1"/>
    <cellStyle name="Lien hypertexte visité" xfId="5997" builtinId="9" hidden="1"/>
    <cellStyle name="Lien hypertexte visité" xfId="5999" builtinId="9" hidden="1"/>
    <cellStyle name="Lien hypertexte visité" xfId="6001" builtinId="9" hidden="1"/>
    <cellStyle name="Lien hypertexte visité" xfId="6003" builtinId="9" hidden="1"/>
    <cellStyle name="Lien hypertexte visité" xfId="6005" builtinId="9" hidden="1"/>
    <cellStyle name="Lien hypertexte visité" xfId="6007" builtinId="9" hidden="1"/>
    <cellStyle name="Lien hypertexte visité" xfId="6009" builtinId="9" hidden="1"/>
    <cellStyle name="Lien hypertexte visité" xfId="6011" builtinId="9" hidden="1"/>
    <cellStyle name="Lien hypertexte visité" xfId="6013" builtinId="9" hidden="1"/>
    <cellStyle name="Lien hypertexte visité" xfId="6015" builtinId="9" hidden="1"/>
    <cellStyle name="Lien hypertexte visité" xfId="6017" builtinId="9" hidden="1"/>
    <cellStyle name="Lien hypertexte visité" xfId="6019" builtinId="9" hidden="1"/>
    <cellStyle name="Lien hypertexte visité" xfId="6021" builtinId="9" hidden="1"/>
    <cellStyle name="Lien hypertexte visité" xfId="6023" builtinId="9" hidden="1"/>
    <cellStyle name="Lien hypertexte visité" xfId="6025" builtinId="9" hidden="1"/>
    <cellStyle name="Lien hypertexte visité" xfId="6027" builtinId="9" hidden="1"/>
    <cellStyle name="Lien hypertexte visité" xfId="6029" builtinId="9" hidden="1"/>
    <cellStyle name="Lien hypertexte visité" xfId="6031" builtinId="9" hidden="1"/>
    <cellStyle name="Lien hypertexte visité" xfId="6033" builtinId="9" hidden="1"/>
    <cellStyle name="Lien hypertexte visité" xfId="6035" builtinId="9" hidden="1"/>
    <cellStyle name="Lien hypertexte visité" xfId="6037" builtinId="9" hidden="1"/>
    <cellStyle name="Lien hypertexte visité" xfId="6039" builtinId="9" hidden="1"/>
    <cellStyle name="Lien hypertexte visité" xfId="6041" builtinId="9" hidden="1"/>
    <cellStyle name="Lien hypertexte visité" xfId="6043" builtinId="9" hidden="1"/>
    <cellStyle name="Lien hypertexte visité" xfId="6045" builtinId="9" hidden="1"/>
    <cellStyle name="Lien hypertexte visité" xfId="6047" builtinId="9" hidden="1"/>
    <cellStyle name="Lien hypertexte visité" xfId="6049" builtinId="9" hidden="1"/>
    <cellStyle name="Lien hypertexte visité" xfId="6051" builtinId="9" hidden="1"/>
    <cellStyle name="Lien hypertexte visité" xfId="6053" builtinId="9" hidden="1"/>
    <cellStyle name="Lien hypertexte visité" xfId="6055" builtinId="9" hidden="1"/>
    <cellStyle name="Lien hypertexte visité" xfId="6057" builtinId="9" hidden="1"/>
    <cellStyle name="Lien hypertexte visité" xfId="6059" builtinId="9" hidden="1"/>
    <cellStyle name="Lien hypertexte visité" xfId="6061" builtinId="9" hidden="1"/>
    <cellStyle name="Lien hypertexte visité" xfId="6063" builtinId="9" hidden="1"/>
    <cellStyle name="Lien hypertexte visité" xfId="6065" builtinId="9" hidden="1"/>
    <cellStyle name="Lien hypertexte visité" xfId="6067" builtinId="9" hidden="1"/>
    <cellStyle name="Lien hypertexte visité" xfId="6069" builtinId="9" hidden="1"/>
    <cellStyle name="Lien hypertexte visité" xfId="6071" builtinId="9" hidden="1"/>
    <cellStyle name="Lien hypertexte visité" xfId="6073" builtinId="9" hidden="1"/>
    <cellStyle name="Lien hypertexte visité" xfId="6075" builtinId="9" hidden="1"/>
    <cellStyle name="Lien hypertexte visité" xfId="6077" builtinId="9" hidden="1"/>
    <cellStyle name="Lien hypertexte visité" xfId="6079" builtinId="9" hidden="1"/>
    <cellStyle name="Lien hypertexte visité" xfId="6081" builtinId="9" hidden="1"/>
    <cellStyle name="Lien hypertexte visité" xfId="6083" builtinId="9" hidden="1"/>
    <cellStyle name="Lien hypertexte visité" xfId="6085" builtinId="9" hidden="1"/>
    <cellStyle name="Lien hypertexte visité" xfId="6087" builtinId="9" hidden="1"/>
    <cellStyle name="Lien hypertexte visité" xfId="6089" builtinId="9" hidden="1"/>
    <cellStyle name="Lien hypertexte visité" xfId="6091" builtinId="9" hidden="1"/>
    <cellStyle name="Lien hypertexte visité" xfId="6093" builtinId="9" hidden="1"/>
    <cellStyle name="Lien hypertexte visité" xfId="6095" builtinId="9" hidden="1"/>
    <cellStyle name="Lien hypertexte visité" xfId="6097" builtinId="9" hidden="1"/>
    <cellStyle name="Lien hypertexte visité" xfId="6099" builtinId="9" hidden="1"/>
    <cellStyle name="Lien hypertexte visité" xfId="6101" builtinId="9" hidden="1"/>
    <cellStyle name="Lien hypertexte visité" xfId="6103" builtinId="9" hidden="1"/>
    <cellStyle name="Lien hypertexte visité" xfId="6105" builtinId="9" hidden="1"/>
    <cellStyle name="Lien hypertexte visité" xfId="6107" builtinId="9" hidden="1"/>
    <cellStyle name="Lien hypertexte visité" xfId="6109" builtinId="9" hidden="1"/>
    <cellStyle name="Lien hypertexte visité" xfId="6111" builtinId="9" hidden="1"/>
    <cellStyle name="Lien hypertexte visité" xfId="6113" builtinId="9" hidden="1"/>
    <cellStyle name="Lien hypertexte visité" xfId="6115" builtinId="9" hidden="1"/>
    <cellStyle name="Lien hypertexte visité" xfId="6117" builtinId="9" hidden="1"/>
    <cellStyle name="Lien hypertexte visité" xfId="6119" builtinId="9" hidden="1"/>
    <cellStyle name="Lien hypertexte visité" xfId="6121" builtinId="9" hidden="1"/>
    <cellStyle name="Lien hypertexte visité" xfId="6123" builtinId="9" hidden="1"/>
    <cellStyle name="Lien hypertexte visité" xfId="6125" builtinId="9" hidden="1"/>
    <cellStyle name="Lien hypertexte visité" xfId="6127" builtinId="9" hidden="1"/>
    <cellStyle name="Lien hypertexte visité" xfId="6129" builtinId="9" hidden="1"/>
    <cellStyle name="Lien hypertexte visité" xfId="6131" builtinId="9" hidden="1"/>
    <cellStyle name="Lien hypertexte visité" xfId="6133" builtinId="9" hidden="1"/>
    <cellStyle name="Lien hypertexte visité" xfId="6135" builtinId="9" hidden="1"/>
    <cellStyle name="Lien hypertexte visité" xfId="6137" builtinId="9" hidden="1"/>
    <cellStyle name="Lien hypertexte visité" xfId="6139" builtinId="9" hidden="1"/>
    <cellStyle name="Lien hypertexte visité" xfId="6141" builtinId="9" hidden="1"/>
    <cellStyle name="Lien hypertexte visité" xfId="6143" builtinId="9" hidden="1"/>
    <cellStyle name="Lien hypertexte visité" xfId="6145" builtinId="9" hidden="1"/>
    <cellStyle name="Lien hypertexte visité" xfId="6147" builtinId="9" hidden="1"/>
    <cellStyle name="Lien hypertexte visité" xfId="6149" builtinId="9" hidden="1"/>
    <cellStyle name="Lien hypertexte visité" xfId="6151" builtinId="9" hidden="1"/>
    <cellStyle name="Lien hypertexte visité" xfId="6153" builtinId="9" hidden="1"/>
    <cellStyle name="Lien hypertexte visité" xfId="6155" builtinId="9" hidden="1"/>
    <cellStyle name="Lien hypertexte visité" xfId="6157" builtinId="9" hidden="1"/>
    <cellStyle name="Lien hypertexte visité" xfId="6159" builtinId="9" hidden="1"/>
    <cellStyle name="Lien hypertexte visité" xfId="6161" builtinId="9" hidden="1"/>
    <cellStyle name="Lien hypertexte visité" xfId="6163" builtinId="9" hidden="1"/>
    <cellStyle name="Lien hypertexte visité" xfId="6165" builtinId="9" hidden="1"/>
    <cellStyle name="Lien hypertexte visité" xfId="6167" builtinId="9" hidden="1"/>
    <cellStyle name="Lien hypertexte visité" xfId="6169" builtinId="9" hidden="1"/>
    <cellStyle name="Lien hypertexte visité" xfId="6171" builtinId="9" hidden="1"/>
    <cellStyle name="Lien hypertexte visité" xfId="6173" builtinId="9" hidden="1"/>
    <cellStyle name="Lien hypertexte visité" xfId="6175" builtinId="9" hidden="1"/>
    <cellStyle name="Lien hypertexte visité" xfId="6177" builtinId="9" hidden="1"/>
    <cellStyle name="Lien hypertexte visité" xfId="6179" builtinId="9" hidden="1"/>
    <cellStyle name="Lien hypertexte visité" xfId="6181" builtinId="9" hidden="1"/>
    <cellStyle name="Lien hypertexte visité" xfId="6183" builtinId="9" hidden="1"/>
    <cellStyle name="Lien hypertexte visité" xfId="6185" builtinId="9" hidden="1"/>
    <cellStyle name="Lien hypertexte visité" xfId="6187" builtinId="9" hidden="1"/>
    <cellStyle name="Lien hypertexte visité" xfId="6189" builtinId="9" hidden="1"/>
    <cellStyle name="Lien hypertexte visité" xfId="6191" builtinId="9" hidden="1"/>
    <cellStyle name="Lien hypertexte visité" xfId="6193" builtinId="9" hidden="1"/>
    <cellStyle name="Lien hypertexte visité" xfId="6195" builtinId="9" hidden="1"/>
    <cellStyle name="Lien hypertexte visité" xfId="6197" builtinId="9" hidden="1"/>
    <cellStyle name="Lien hypertexte visité" xfId="6199" builtinId="9" hidden="1"/>
    <cellStyle name="Lien hypertexte visité" xfId="6201" builtinId="9" hidden="1"/>
    <cellStyle name="Lien hypertexte visité" xfId="6203" builtinId="9" hidden="1"/>
    <cellStyle name="Lien hypertexte visité" xfId="6205" builtinId="9" hidden="1"/>
    <cellStyle name="Lien hypertexte visité" xfId="6207" builtinId="9" hidden="1"/>
    <cellStyle name="Lien hypertexte visité" xfId="6209" builtinId="9" hidden="1"/>
    <cellStyle name="Lien hypertexte visité" xfId="6211" builtinId="9" hidden="1"/>
    <cellStyle name="Lien hypertexte visité" xfId="6213" builtinId="9" hidden="1"/>
    <cellStyle name="Lien hypertexte visité" xfId="6215" builtinId="9" hidden="1"/>
    <cellStyle name="Lien hypertexte visité" xfId="6217" builtinId="9" hidden="1"/>
    <cellStyle name="Lien hypertexte visité" xfId="6219" builtinId="9" hidden="1"/>
    <cellStyle name="Lien hypertexte visité" xfId="6221" builtinId="9" hidden="1"/>
    <cellStyle name="Lien hypertexte visité" xfId="6223" builtinId="9" hidden="1"/>
    <cellStyle name="Lien hypertexte visité" xfId="6225" builtinId="9" hidden="1"/>
    <cellStyle name="Lien hypertexte visité" xfId="6227" builtinId="9" hidden="1"/>
    <cellStyle name="Lien hypertexte visité" xfId="6229" builtinId="9" hidden="1"/>
    <cellStyle name="Lien hypertexte visité" xfId="6231" builtinId="9" hidden="1"/>
    <cellStyle name="Lien hypertexte visité" xfId="6233" builtinId="9" hidden="1"/>
    <cellStyle name="Lien hypertexte visité" xfId="6235" builtinId="9" hidden="1"/>
    <cellStyle name="Lien hypertexte visité" xfId="6237" builtinId="9" hidden="1"/>
    <cellStyle name="Lien hypertexte visité" xfId="6239" builtinId="9" hidden="1"/>
    <cellStyle name="Lien hypertexte visité" xfId="6241" builtinId="9" hidden="1"/>
    <cellStyle name="Lien hypertexte visité" xfId="6243" builtinId="9" hidden="1"/>
    <cellStyle name="Lien hypertexte visité" xfId="6245" builtinId="9" hidden="1"/>
    <cellStyle name="Lien hypertexte visité" xfId="6247" builtinId="9" hidden="1"/>
    <cellStyle name="Lien hypertexte visité" xfId="6249" builtinId="9" hidden="1"/>
    <cellStyle name="Lien hypertexte visité" xfId="6251" builtinId="9" hidden="1"/>
    <cellStyle name="Lien hypertexte visité" xfId="6253" builtinId="9" hidden="1"/>
    <cellStyle name="Lien hypertexte visité" xfId="6255" builtinId="9" hidden="1"/>
    <cellStyle name="Lien hypertexte visité" xfId="6257" builtinId="9" hidden="1"/>
    <cellStyle name="Lien hypertexte visité" xfId="6259" builtinId="9" hidden="1"/>
    <cellStyle name="Lien hypertexte visité" xfId="6261" builtinId="9" hidden="1"/>
    <cellStyle name="Lien hypertexte visité" xfId="6263" builtinId="9" hidden="1"/>
    <cellStyle name="Lien hypertexte visité" xfId="6265" builtinId="9" hidden="1"/>
    <cellStyle name="Lien hypertexte visité" xfId="6267" builtinId="9" hidden="1"/>
    <cellStyle name="Lien hypertexte visité" xfId="6269" builtinId="9" hidden="1"/>
    <cellStyle name="Lien hypertexte visité" xfId="6271" builtinId="9" hidden="1"/>
    <cellStyle name="Lien hypertexte visité" xfId="6273" builtinId="9" hidden="1"/>
    <cellStyle name="Lien hypertexte visité" xfId="6275" builtinId="9" hidden="1"/>
    <cellStyle name="Lien hypertexte visité" xfId="6277" builtinId="9" hidden="1"/>
    <cellStyle name="Lien hypertexte visité" xfId="6279" builtinId="9" hidden="1"/>
    <cellStyle name="Lien hypertexte visité" xfId="6281" builtinId="9" hidden="1"/>
    <cellStyle name="Lien hypertexte visité" xfId="6283" builtinId="9" hidden="1"/>
    <cellStyle name="Lien hypertexte visité" xfId="6285" builtinId="9" hidden="1"/>
    <cellStyle name="Lien hypertexte visité" xfId="6287" builtinId="9" hidden="1"/>
    <cellStyle name="Lien hypertexte visité" xfId="6289" builtinId="9" hidden="1"/>
    <cellStyle name="Lien hypertexte visité" xfId="6291" builtinId="9" hidden="1"/>
    <cellStyle name="Lien hypertexte visité" xfId="6293" builtinId="9" hidden="1"/>
    <cellStyle name="Lien hypertexte visité" xfId="6295" builtinId="9" hidden="1"/>
    <cellStyle name="Lien hypertexte visité" xfId="6297" builtinId="9" hidden="1"/>
    <cellStyle name="Lien hypertexte visité" xfId="6299" builtinId="9" hidden="1"/>
    <cellStyle name="Lien hypertexte visité" xfId="6301" builtinId="9" hidden="1"/>
    <cellStyle name="Lien hypertexte visité" xfId="6303" builtinId="9" hidden="1"/>
    <cellStyle name="Lien hypertexte visité" xfId="6305" builtinId="9" hidden="1"/>
    <cellStyle name="Lien hypertexte visité" xfId="6307" builtinId="9" hidden="1"/>
    <cellStyle name="Lien hypertexte visité" xfId="6309" builtinId="9" hidden="1"/>
    <cellStyle name="Lien hypertexte visité" xfId="6311" builtinId="9" hidden="1"/>
    <cellStyle name="Lien hypertexte visité" xfId="6313" builtinId="9" hidden="1"/>
    <cellStyle name="Lien hypertexte visité" xfId="6315" builtinId="9" hidden="1"/>
    <cellStyle name="Lien hypertexte visité" xfId="6317" builtinId="9" hidden="1"/>
    <cellStyle name="Lien hypertexte visité" xfId="6319" builtinId="9" hidden="1"/>
    <cellStyle name="Lien hypertexte visité" xfId="6321" builtinId="9" hidden="1"/>
    <cellStyle name="Lien hypertexte visité" xfId="6323" builtinId="9" hidden="1"/>
    <cellStyle name="Lien hypertexte visité" xfId="6325" builtinId="9" hidden="1"/>
    <cellStyle name="Lien hypertexte visité" xfId="6327" builtinId="9" hidden="1"/>
    <cellStyle name="Lien hypertexte visité" xfId="6329" builtinId="9" hidden="1"/>
    <cellStyle name="Lien hypertexte visité" xfId="6331" builtinId="9" hidden="1"/>
    <cellStyle name="Lien hypertexte visité" xfId="6333" builtinId="9" hidden="1"/>
    <cellStyle name="Lien hypertexte visité" xfId="6335" builtinId="9" hidden="1"/>
    <cellStyle name="Lien hypertexte visité" xfId="6337" builtinId="9" hidden="1"/>
    <cellStyle name="Lien hypertexte visité" xfId="6339" builtinId="9" hidden="1"/>
    <cellStyle name="Lien hypertexte visité" xfId="6341" builtinId="9" hidden="1"/>
    <cellStyle name="Lien hypertexte visité" xfId="6343" builtinId="9" hidden="1"/>
    <cellStyle name="Lien hypertexte visité" xfId="6345" builtinId="9" hidden="1"/>
    <cellStyle name="Lien hypertexte visité" xfId="6347" builtinId="9" hidden="1"/>
    <cellStyle name="Lien hypertexte visité" xfId="6349" builtinId="9" hidden="1"/>
    <cellStyle name="Lien hypertexte visité" xfId="6351" builtinId="9" hidden="1"/>
    <cellStyle name="Lien hypertexte visité" xfId="6353" builtinId="9" hidden="1"/>
    <cellStyle name="Lien hypertexte visité" xfId="6355" builtinId="9" hidden="1"/>
    <cellStyle name="Lien hypertexte visité" xfId="6357" builtinId="9" hidden="1"/>
    <cellStyle name="Lien hypertexte visité" xfId="6359" builtinId="9" hidden="1"/>
    <cellStyle name="Lien hypertexte visité" xfId="6361" builtinId="9" hidden="1"/>
    <cellStyle name="Lien hypertexte visité" xfId="6363" builtinId="9" hidden="1"/>
    <cellStyle name="Lien hypertexte visité" xfId="6365" builtinId="9" hidden="1"/>
    <cellStyle name="Lien hypertexte visité" xfId="6367" builtinId="9" hidden="1"/>
    <cellStyle name="Lien hypertexte visité" xfId="6369" builtinId="9" hidden="1"/>
    <cellStyle name="Lien hypertexte visité" xfId="6371" builtinId="9" hidden="1"/>
    <cellStyle name="Lien hypertexte visité" xfId="6373" builtinId="9" hidden="1"/>
    <cellStyle name="Lien hypertexte visité" xfId="6375" builtinId="9" hidden="1"/>
    <cellStyle name="Lien hypertexte visité" xfId="6377" builtinId="9" hidden="1"/>
    <cellStyle name="Lien hypertexte visité" xfId="6379" builtinId="9" hidden="1"/>
    <cellStyle name="Lien hypertexte visité" xfId="6381" builtinId="9" hidden="1"/>
    <cellStyle name="Lien hypertexte visité" xfId="6383" builtinId="9" hidden="1"/>
    <cellStyle name="Lien hypertexte visité" xfId="6385" builtinId="9" hidden="1"/>
    <cellStyle name="Lien hypertexte visité" xfId="6387" builtinId="9" hidden="1"/>
    <cellStyle name="Lien hypertexte visité" xfId="6389" builtinId="9" hidden="1"/>
    <cellStyle name="Lien hypertexte visité" xfId="6391" builtinId="9" hidden="1"/>
    <cellStyle name="Lien hypertexte visité" xfId="6393" builtinId="9" hidden="1"/>
    <cellStyle name="Lien hypertexte visité" xfId="6395" builtinId="9" hidden="1"/>
    <cellStyle name="Lien hypertexte visité" xfId="6397" builtinId="9" hidden="1"/>
    <cellStyle name="Lien hypertexte visité" xfId="6399" builtinId="9" hidden="1"/>
    <cellStyle name="Lien hypertexte visité" xfId="6401" builtinId="9" hidden="1"/>
    <cellStyle name="Lien hypertexte visité" xfId="6403" builtinId="9" hidden="1"/>
    <cellStyle name="Lien hypertexte visité" xfId="6405" builtinId="9" hidden="1"/>
    <cellStyle name="Lien hypertexte visité" xfId="6407" builtinId="9" hidden="1"/>
    <cellStyle name="Lien hypertexte visité" xfId="6409" builtinId="9" hidden="1"/>
    <cellStyle name="Lien hypertexte visité" xfId="6411" builtinId="9" hidden="1"/>
    <cellStyle name="Lien hypertexte visité" xfId="6413" builtinId="9" hidden="1"/>
    <cellStyle name="Lien hypertexte visité" xfId="6415" builtinId="9" hidden="1"/>
    <cellStyle name="Lien hypertexte visité" xfId="6417" builtinId="9" hidden="1"/>
    <cellStyle name="Lien hypertexte visité" xfId="6419" builtinId="9" hidden="1"/>
    <cellStyle name="Lien hypertexte visité" xfId="6421" builtinId="9" hidden="1"/>
    <cellStyle name="Lien hypertexte visité" xfId="6423" builtinId="9" hidden="1"/>
    <cellStyle name="Lien hypertexte visité" xfId="6425" builtinId="9" hidden="1"/>
    <cellStyle name="Lien hypertexte visité" xfId="6427" builtinId="9" hidden="1"/>
    <cellStyle name="Lien hypertexte visité" xfId="6429" builtinId="9" hidden="1"/>
    <cellStyle name="Lien hypertexte visité" xfId="6431" builtinId="9" hidden="1"/>
    <cellStyle name="Lien hypertexte visité" xfId="6433" builtinId="9" hidden="1"/>
    <cellStyle name="Lien hypertexte visité" xfId="6435" builtinId="9" hidden="1"/>
    <cellStyle name="Lien hypertexte visité" xfId="6437" builtinId="9" hidden="1"/>
    <cellStyle name="Lien hypertexte visité" xfId="6439" builtinId="9" hidden="1"/>
    <cellStyle name="Lien hypertexte visité" xfId="6441" builtinId="9" hidden="1"/>
    <cellStyle name="Lien hypertexte visité" xfId="6443" builtinId="9" hidden="1"/>
    <cellStyle name="Lien hypertexte visité" xfId="6445" builtinId="9" hidden="1"/>
    <cellStyle name="Lien hypertexte visité" xfId="6447" builtinId="9" hidden="1"/>
    <cellStyle name="Lien hypertexte visité" xfId="6449" builtinId="9" hidden="1"/>
    <cellStyle name="Lien hypertexte visité" xfId="6451" builtinId="9" hidden="1"/>
    <cellStyle name="Lien hypertexte visité" xfId="6453" builtinId="9" hidden="1"/>
    <cellStyle name="Lien hypertexte visité" xfId="6455" builtinId="9" hidden="1"/>
    <cellStyle name="Lien hypertexte visité" xfId="6457" builtinId="9" hidden="1"/>
    <cellStyle name="Lien hypertexte visité" xfId="6459" builtinId="9" hidden="1"/>
    <cellStyle name="Lien hypertexte visité" xfId="6461" builtinId="9" hidden="1"/>
    <cellStyle name="Lien hypertexte visité" xfId="6463" builtinId="9" hidden="1"/>
    <cellStyle name="Lien hypertexte visité" xfId="6465" builtinId="9" hidden="1"/>
    <cellStyle name="Lien hypertexte visité" xfId="6467" builtinId="9" hidden="1"/>
    <cellStyle name="Lien hypertexte visité" xfId="6469" builtinId="9" hidden="1"/>
    <cellStyle name="Lien hypertexte visité" xfId="6471" builtinId="9" hidden="1"/>
    <cellStyle name="Lien hypertexte visité" xfId="6473" builtinId="9" hidden="1"/>
    <cellStyle name="Lien hypertexte visité" xfId="6475" builtinId="9" hidden="1"/>
    <cellStyle name="Lien hypertexte visité" xfId="6477" builtinId="9" hidden="1"/>
    <cellStyle name="Lien hypertexte visité" xfId="6479" builtinId="9" hidden="1"/>
    <cellStyle name="Lien hypertexte visité" xfId="6481" builtinId="9" hidden="1"/>
    <cellStyle name="Lien hypertexte visité" xfId="6483" builtinId="9" hidden="1"/>
    <cellStyle name="Lien hypertexte visité" xfId="6485" builtinId="9" hidden="1"/>
    <cellStyle name="Lien hypertexte visité" xfId="6487" builtinId="9" hidden="1"/>
    <cellStyle name="Lien hypertexte visité" xfId="6489" builtinId="9" hidden="1"/>
    <cellStyle name="Lien hypertexte visité" xfId="6491" builtinId="9" hidden="1"/>
    <cellStyle name="Lien hypertexte visité" xfId="6493" builtinId="9" hidden="1"/>
    <cellStyle name="Lien hypertexte visité" xfId="6495" builtinId="9" hidden="1"/>
    <cellStyle name="Lien hypertexte visité" xfId="6497" builtinId="9" hidden="1"/>
    <cellStyle name="Lien hypertexte visité" xfId="6499" builtinId="9" hidden="1"/>
    <cellStyle name="Lien hypertexte visité" xfId="6501" builtinId="9" hidden="1"/>
    <cellStyle name="Lien hypertexte visité" xfId="6503" builtinId="9" hidden="1"/>
    <cellStyle name="Lien hypertexte visité" xfId="6505" builtinId="9" hidden="1"/>
    <cellStyle name="Lien hypertexte visité" xfId="6507" builtinId="9" hidden="1"/>
    <cellStyle name="Lien hypertexte visité" xfId="6509" builtinId="9" hidden="1"/>
    <cellStyle name="Lien hypertexte visité" xfId="6511" builtinId="9" hidden="1"/>
    <cellStyle name="Lien hypertexte visité" xfId="6513" builtinId="9" hidden="1"/>
    <cellStyle name="Lien hypertexte visité" xfId="6515" builtinId="9" hidden="1"/>
    <cellStyle name="Lien hypertexte visité" xfId="6517" builtinId="9" hidden="1"/>
    <cellStyle name="Lien hypertexte visité" xfId="6519" builtinId="9" hidden="1"/>
    <cellStyle name="Lien hypertexte visité" xfId="6521" builtinId="9" hidden="1"/>
    <cellStyle name="Lien hypertexte visité" xfId="6523" builtinId="9" hidden="1"/>
    <cellStyle name="Lien hypertexte visité" xfId="6525" builtinId="9" hidden="1"/>
    <cellStyle name="Lien hypertexte visité" xfId="6527" builtinId="9" hidden="1"/>
    <cellStyle name="Lien hypertexte visité" xfId="6529" builtinId="9" hidden="1"/>
    <cellStyle name="Lien hypertexte visité" xfId="6531" builtinId="9" hidden="1"/>
    <cellStyle name="Lien hypertexte visité" xfId="6533" builtinId="9" hidden="1"/>
    <cellStyle name="Lien hypertexte visité" xfId="6535" builtinId="9" hidden="1"/>
    <cellStyle name="Lien hypertexte visité" xfId="6537" builtinId="9" hidden="1"/>
    <cellStyle name="Lien hypertexte visité" xfId="6539" builtinId="9" hidden="1"/>
    <cellStyle name="Lien hypertexte visité" xfId="6541" builtinId="9" hidden="1"/>
    <cellStyle name="Lien hypertexte visité" xfId="6543" builtinId="9" hidden="1"/>
    <cellStyle name="Lien hypertexte visité" xfId="6545" builtinId="9" hidden="1"/>
    <cellStyle name="Lien hypertexte visité" xfId="6547" builtinId="9" hidden="1"/>
    <cellStyle name="Lien hypertexte visité" xfId="6549" builtinId="9" hidden="1"/>
    <cellStyle name="Lien hypertexte visité" xfId="6551" builtinId="9" hidden="1"/>
    <cellStyle name="Lien hypertexte visité" xfId="6553" builtinId="9" hidden="1"/>
    <cellStyle name="Lien hypertexte visité" xfId="6555" builtinId="9" hidden="1"/>
    <cellStyle name="Lien hypertexte visité" xfId="6557" builtinId="9" hidden="1"/>
    <cellStyle name="Lien hypertexte visité" xfId="6559" builtinId="9" hidden="1"/>
    <cellStyle name="Lien hypertexte visité" xfId="6561" builtinId="9" hidden="1"/>
    <cellStyle name="Lien hypertexte visité" xfId="6563" builtinId="9" hidden="1"/>
    <cellStyle name="Lien hypertexte visité" xfId="6565" builtinId="9" hidden="1"/>
    <cellStyle name="Lien hypertexte visité" xfId="6567" builtinId="9" hidden="1"/>
    <cellStyle name="Lien hypertexte visité" xfId="6569" builtinId="9" hidden="1"/>
    <cellStyle name="Lien hypertexte visité" xfId="6571" builtinId="9" hidden="1"/>
    <cellStyle name="Lien hypertexte visité" xfId="6573" builtinId="9" hidden="1"/>
    <cellStyle name="Lien hypertexte visité" xfId="6575" builtinId="9" hidden="1"/>
    <cellStyle name="Lien hypertexte visité" xfId="6577" builtinId="9" hidden="1"/>
    <cellStyle name="Lien hypertexte visité" xfId="6579" builtinId="9" hidden="1"/>
    <cellStyle name="Lien hypertexte visité" xfId="6581" builtinId="9" hidden="1"/>
    <cellStyle name="Lien hypertexte visité" xfId="6583" builtinId="9" hidden="1"/>
    <cellStyle name="Lien hypertexte visité" xfId="6585" builtinId="9" hidden="1"/>
    <cellStyle name="Lien hypertexte visité" xfId="6587" builtinId="9" hidden="1"/>
    <cellStyle name="Lien hypertexte visité" xfId="6589" builtinId="9" hidden="1"/>
    <cellStyle name="Lien hypertexte visité" xfId="6591" builtinId="9" hidden="1"/>
    <cellStyle name="Lien hypertexte visité" xfId="6593" builtinId="9" hidden="1"/>
    <cellStyle name="Lien hypertexte visité" xfId="6595" builtinId="9" hidden="1"/>
    <cellStyle name="Lien hypertexte visité" xfId="6597" builtinId="9" hidden="1"/>
    <cellStyle name="Lien hypertexte visité" xfId="6599" builtinId="9" hidden="1"/>
    <cellStyle name="Lien hypertexte visité" xfId="6601" builtinId="9" hidden="1"/>
    <cellStyle name="Lien hypertexte visité" xfId="6603" builtinId="9" hidden="1"/>
    <cellStyle name="Lien hypertexte visité" xfId="6605" builtinId="9" hidden="1"/>
    <cellStyle name="Lien hypertexte visité" xfId="6607" builtinId="9" hidden="1"/>
    <cellStyle name="Lien hypertexte visité" xfId="6609" builtinId="9" hidden="1"/>
    <cellStyle name="Lien hypertexte visité" xfId="6611" builtinId="9" hidden="1"/>
    <cellStyle name="Lien hypertexte visité" xfId="6613" builtinId="9" hidden="1"/>
    <cellStyle name="Lien hypertexte visité" xfId="6615" builtinId="9" hidden="1"/>
    <cellStyle name="Lien hypertexte visité" xfId="6617" builtinId="9" hidden="1"/>
    <cellStyle name="Lien hypertexte visité" xfId="6619" builtinId="9" hidden="1"/>
    <cellStyle name="Lien hypertexte visité" xfId="6621" builtinId="9" hidden="1"/>
    <cellStyle name="Lien hypertexte visité" xfId="6623" builtinId="9" hidden="1"/>
    <cellStyle name="Lien hypertexte visité" xfId="6625" builtinId="9" hidden="1"/>
    <cellStyle name="Lien hypertexte visité" xfId="6627" builtinId="9" hidden="1"/>
    <cellStyle name="Lien hypertexte visité" xfId="6629" builtinId="9" hidden="1"/>
    <cellStyle name="Lien hypertexte visité" xfId="6631" builtinId="9" hidden="1"/>
    <cellStyle name="Lien hypertexte visité" xfId="6633" builtinId="9" hidden="1"/>
    <cellStyle name="Lien hypertexte visité" xfId="6635" builtinId="9" hidden="1"/>
    <cellStyle name="Lien hypertexte visité" xfId="6637" builtinId="9" hidden="1"/>
    <cellStyle name="Lien hypertexte visité" xfId="6639" builtinId="9" hidden="1"/>
    <cellStyle name="Lien hypertexte visité" xfId="6641" builtinId="9" hidden="1"/>
    <cellStyle name="Lien hypertexte visité" xfId="6643" builtinId="9" hidden="1"/>
    <cellStyle name="Lien hypertexte visité" xfId="6645" builtinId="9" hidden="1"/>
    <cellStyle name="Lien hypertexte visité" xfId="6647" builtinId="9" hidden="1"/>
    <cellStyle name="Lien hypertexte visité" xfId="6649" builtinId="9" hidden="1"/>
    <cellStyle name="Lien hypertexte visité" xfId="6651" builtinId="9" hidden="1"/>
    <cellStyle name="Lien hypertexte visité" xfId="6653" builtinId="9" hidden="1"/>
    <cellStyle name="Lien hypertexte visité" xfId="6655" builtinId="9" hidden="1"/>
    <cellStyle name="Lien hypertexte visité" xfId="6657" builtinId="9" hidden="1"/>
    <cellStyle name="Lien hypertexte visité" xfId="6659" builtinId="9" hidden="1"/>
    <cellStyle name="Lien hypertexte visité" xfId="6661" builtinId="9" hidden="1"/>
    <cellStyle name="Lien hypertexte visité" xfId="6663" builtinId="9" hidden="1"/>
    <cellStyle name="Lien hypertexte visité" xfId="6665" builtinId="9" hidden="1"/>
    <cellStyle name="Lien hypertexte visité" xfId="6667" builtinId="9" hidden="1"/>
    <cellStyle name="Lien hypertexte visité" xfId="6669" builtinId="9" hidden="1"/>
    <cellStyle name="Lien hypertexte visité" xfId="6671" builtinId="9" hidden="1"/>
    <cellStyle name="Lien hypertexte visité" xfId="6673" builtinId="9" hidden="1"/>
    <cellStyle name="Lien hypertexte visité" xfId="6675" builtinId="9" hidden="1"/>
    <cellStyle name="Lien hypertexte visité" xfId="6677" builtinId="9" hidden="1"/>
    <cellStyle name="Lien hypertexte visité" xfId="6679" builtinId="9" hidden="1"/>
    <cellStyle name="Lien hypertexte visité" xfId="6681" builtinId="9" hidden="1"/>
    <cellStyle name="Lien hypertexte visité" xfId="6683" builtinId="9" hidden="1"/>
    <cellStyle name="Lien hypertexte visité" xfId="6685" builtinId="9" hidden="1"/>
    <cellStyle name="Lien hypertexte visité" xfId="6687" builtinId="9" hidden="1"/>
    <cellStyle name="Lien hypertexte visité" xfId="6689" builtinId="9" hidden="1"/>
    <cellStyle name="Lien hypertexte visité" xfId="6691" builtinId="9" hidden="1"/>
    <cellStyle name="Lien hypertexte visité" xfId="6693" builtinId="9" hidden="1"/>
    <cellStyle name="Lien hypertexte visité" xfId="6695" builtinId="9" hidden="1"/>
    <cellStyle name="Lien hypertexte visité" xfId="6697" builtinId="9" hidden="1"/>
    <cellStyle name="Lien hypertexte visité" xfId="6699" builtinId="9" hidden="1"/>
    <cellStyle name="Lien hypertexte visité" xfId="6701" builtinId="9" hidden="1"/>
    <cellStyle name="Lien hypertexte visité" xfId="6703" builtinId="9" hidden="1"/>
    <cellStyle name="Lien hypertexte visité" xfId="6705" builtinId="9" hidden="1"/>
    <cellStyle name="Lien hypertexte visité" xfId="6707" builtinId="9" hidden="1"/>
    <cellStyle name="Lien hypertexte visité" xfId="6709" builtinId="9" hidden="1"/>
    <cellStyle name="Lien hypertexte visité" xfId="6711" builtinId="9" hidden="1"/>
    <cellStyle name="Lien hypertexte visité" xfId="6713" builtinId="9" hidden="1"/>
    <cellStyle name="Lien hypertexte visité" xfId="6715" builtinId="9" hidden="1"/>
    <cellStyle name="Lien hypertexte visité" xfId="6717" builtinId="9" hidden="1"/>
    <cellStyle name="Lien hypertexte visité" xfId="6719" builtinId="9" hidden="1"/>
    <cellStyle name="Lien hypertexte visité" xfId="6721" builtinId="9" hidden="1"/>
    <cellStyle name="Lien hypertexte visité" xfId="6723" builtinId="9" hidden="1"/>
    <cellStyle name="Lien hypertexte visité" xfId="6725" builtinId="9" hidden="1"/>
    <cellStyle name="Lien hypertexte visité" xfId="6727" builtinId="9" hidden="1"/>
    <cellStyle name="Lien hypertexte visité" xfId="6729" builtinId="9" hidden="1"/>
    <cellStyle name="Lien hypertexte visité" xfId="6731" builtinId="9" hidden="1"/>
    <cellStyle name="Lien hypertexte visité" xfId="6733" builtinId="9" hidden="1"/>
    <cellStyle name="Lien hypertexte visité" xfId="6735" builtinId="9" hidden="1"/>
    <cellStyle name="Lien hypertexte visité" xfId="6737" builtinId="9" hidden="1"/>
    <cellStyle name="Lien hypertexte visité" xfId="6739" builtinId="9" hidden="1"/>
    <cellStyle name="Lien hypertexte visité" xfId="6741" builtinId="9" hidden="1"/>
    <cellStyle name="Lien hypertexte visité" xfId="6743" builtinId="9" hidden="1"/>
    <cellStyle name="Lien hypertexte visité" xfId="6745" builtinId="9" hidden="1"/>
    <cellStyle name="Lien hypertexte visité" xfId="6747" builtinId="9" hidden="1"/>
    <cellStyle name="Lien hypertexte visité" xfId="6749" builtinId="9" hidden="1"/>
    <cellStyle name="Lien hypertexte visité" xfId="6751" builtinId="9" hidden="1"/>
    <cellStyle name="Lien hypertexte visité" xfId="6753" builtinId="9" hidden="1"/>
    <cellStyle name="Lien hypertexte visité" xfId="6755" builtinId="9" hidden="1"/>
    <cellStyle name="Lien hypertexte visité" xfId="6757" builtinId="9" hidden="1"/>
    <cellStyle name="Lien hypertexte visité" xfId="6759" builtinId="9" hidden="1"/>
    <cellStyle name="Lien hypertexte visité" xfId="6761" builtinId="9" hidden="1"/>
    <cellStyle name="Lien hypertexte visité" xfId="6763" builtinId="9" hidden="1"/>
    <cellStyle name="Lien hypertexte visité" xfId="6765" builtinId="9" hidden="1"/>
    <cellStyle name="Lien hypertexte visité" xfId="6767" builtinId="9" hidden="1"/>
    <cellStyle name="Lien hypertexte visité" xfId="6769" builtinId="9" hidden="1"/>
    <cellStyle name="Lien hypertexte visité" xfId="6771" builtinId="9" hidden="1"/>
    <cellStyle name="Lien hypertexte visité" xfId="6773" builtinId="9" hidden="1"/>
    <cellStyle name="Lien hypertexte visité" xfId="6775" builtinId="9" hidden="1"/>
    <cellStyle name="Lien hypertexte visité" xfId="6777" builtinId="9" hidden="1"/>
    <cellStyle name="Lien hypertexte visité" xfId="6779" builtinId="9" hidden="1"/>
    <cellStyle name="Lien hypertexte visité" xfId="6781" builtinId="9" hidden="1"/>
    <cellStyle name="Lien hypertexte visité" xfId="6783" builtinId="9" hidden="1"/>
    <cellStyle name="Lien hypertexte visité" xfId="6785" builtinId="9" hidden="1"/>
    <cellStyle name="Lien hypertexte visité" xfId="6787" builtinId="9" hidden="1"/>
    <cellStyle name="Lien hypertexte visité" xfId="6789" builtinId="9" hidden="1"/>
    <cellStyle name="Lien hypertexte visité" xfId="6791" builtinId="9" hidden="1"/>
    <cellStyle name="Lien hypertexte visité" xfId="6793" builtinId="9" hidden="1"/>
    <cellStyle name="Lien hypertexte visité" xfId="6795" builtinId="9" hidden="1"/>
    <cellStyle name="Lien hypertexte visité" xfId="6797" builtinId="9" hidden="1"/>
    <cellStyle name="Lien hypertexte visité" xfId="6799" builtinId="9" hidden="1"/>
    <cellStyle name="Lien hypertexte visité" xfId="6801" builtinId="9" hidden="1"/>
    <cellStyle name="Lien hypertexte visité" xfId="6803" builtinId="9" hidden="1"/>
    <cellStyle name="Lien hypertexte visité" xfId="6805" builtinId="9" hidden="1"/>
    <cellStyle name="Lien hypertexte visité" xfId="6807" builtinId="9" hidden="1"/>
    <cellStyle name="Lien hypertexte visité" xfId="6809" builtinId="9" hidden="1"/>
    <cellStyle name="Lien hypertexte visité" xfId="6811" builtinId="9" hidden="1"/>
    <cellStyle name="Lien hypertexte visité" xfId="6813" builtinId="9" hidden="1"/>
    <cellStyle name="Lien hypertexte visité" xfId="6815" builtinId="9" hidden="1"/>
    <cellStyle name="Lien hypertexte visité" xfId="6817" builtinId="9" hidden="1"/>
    <cellStyle name="Lien hypertexte visité" xfId="6819" builtinId="9" hidden="1"/>
    <cellStyle name="Lien hypertexte visité" xfId="6821" builtinId="9" hidden="1"/>
    <cellStyle name="Lien hypertexte visité" xfId="6823" builtinId="9" hidden="1"/>
    <cellStyle name="Lien hypertexte visité" xfId="6825" builtinId="9" hidden="1"/>
    <cellStyle name="Lien hypertexte visité" xfId="6827" builtinId="9" hidden="1"/>
    <cellStyle name="Lien hypertexte visité" xfId="6829" builtinId="9" hidden="1"/>
    <cellStyle name="Lien hypertexte visité" xfId="6831" builtinId="9" hidden="1"/>
    <cellStyle name="Lien hypertexte visité" xfId="6833" builtinId="9" hidden="1"/>
    <cellStyle name="Lien hypertexte visité" xfId="6835" builtinId="9" hidden="1"/>
    <cellStyle name="Lien hypertexte visité" xfId="6837" builtinId="9" hidden="1"/>
    <cellStyle name="Lien hypertexte visité" xfId="6839" builtinId="9" hidden="1"/>
    <cellStyle name="Lien hypertexte visité" xfId="6841" builtinId="9" hidden="1"/>
    <cellStyle name="Lien hypertexte visité" xfId="6843" builtinId="9" hidden="1"/>
    <cellStyle name="Lien hypertexte visité" xfId="6845" builtinId="9" hidden="1"/>
    <cellStyle name="Lien hypertexte visité" xfId="6847" builtinId="9" hidden="1"/>
    <cellStyle name="Lien hypertexte visité" xfId="6849" builtinId="9" hidden="1"/>
    <cellStyle name="Lien hypertexte visité" xfId="6851" builtinId="9" hidden="1"/>
    <cellStyle name="Lien hypertexte visité" xfId="6853" builtinId="9" hidden="1"/>
    <cellStyle name="Lien hypertexte visité" xfId="6855" builtinId="9" hidden="1"/>
    <cellStyle name="Lien hypertexte visité" xfId="6857" builtinId="9" hidden="1"/>
    <cellStyle name="Lien hypertexte visité" xfId="6859" builtinId="9" hidden="1"/>
    <cellStyle name="Lien hypertexte visité" xfId="6861" builtinId="9" hidden="1"/>
    <cellStyle name="Lien hypertexte visité" xfId="6863" builtinId="9" hidden="1"/>
    <cellStyle name="Lien hypertexte visité" xfId="6865" builtinId="9" hidden="1"/>
    <cellStyle name="Lien hypertexte visité" xfId="6867" builtinId="9" hidden="1"/>
    <cellStyle name="Lien hypertexte visité" xfId="6869" builtinId="9" hidden="1"/>
    <cellStyle name="Lien hypertexte visité" xfId="6871" builtinId="9" hidden="1"/>
    <cellStyle name="Lien hypertexte visité" xfId="6873" builtinId="9" hidden="1"/>
    <cellStyle name="Lien hypertexte visité" xfId="6875" builtinId="9" hidden="1"/>
    <cellStyle name="Lien hypertexte visité" xfId="6877" builtinId="9" hidden="1"/>
    <cellStyle name="Lien hypertexte visité" xfId="6879" builtinId="9" hidden="1"/>
    <cellStyle name="Lien hypertexte visité" xfId="6881" builtinId="9" hidden="1"/>
    <cellStyle name="Lien hypertexte visité" xfId="6883" builtinId="9" hidden="1"/>
    <cellStyle name="Lien hypertexte visité" xfId="6885" builtinId="9" hidden="1"/>
    <cellStyle name="Lien hypertexte visité" xfId="6887" builtinId="9" hidden="1"/>
    <cellStyle name="Lien hypertexte visité" xfId="6889" builtinId="9" hidden="1"/>
    <cellStyle name="Lien hypertexte visité" xfId="6891" builtinId="9" hidden="1"/>
    <cellStyle name="Lien hypertexte visité" xfId="6893" builtinId="9" hidden="1"/>
    <cellStyle name="Lien hypertexte visité" xfId="6895" builtinId="9" hidden="1"/>
    <cellStyle name="Lien hypertexte visité" xfId="6897" builtinId="9" hidden="1"/>
    <cellStyle name="Lien hypertexte visité" xfId="6899" builtinId="9" hidden="1"/>
    <cellStyle name="Lien hypertexte visité" xfId="6901" builtinId="9" hidden="1"/>
    <cellStyle name="Lien hypertexte visité" xfId="6903" builtinId="9" hidden="1"/>
    <cellStyle name="Lien hypertexte visité" xfId="6905" builtinId="9" hidden="1"/>
    <cellStyle name="Lien hypertexte visité" xfId="6907" builtinId="9" hidden="1"/>
    <cellStyle name="Lien hypertexte visité" xfId="6909" builtinId="9" hidden="1"/>
    <cellStyle name="Lien hypertexte visité" xfId="6911" builtinId="9" hidden="1"/>
    <cellStyle name="Lien hypertexte visité" xfId="6913" builtinId="9" hidden="1"/>
    <cellStyle name="Lien hypertexte visité" xfId="6915" builtinId="9" hidden="1"/>
    <cellStyle name="Lien hypertexte visité" xfId="6917" builtinId="9" hidden="1"/>
    <cellStyle name="Lien hypertexte visité" xfId="6919" builtinId="9" hidden="1"/>
    <cellStyle name="Lien hypertexte visité" xfId="6921" builtinId="9" hidden="1"/>
    <cellStyle name="Lien hypertexte visité" xfId="6923" builtinId="9" hidden="1"/>
    <cellStyle name="Lien hypertexte visité" xfId="6925" builtinId="9" hidden="1"/>
    <cellStyle name="Lien hypertexte visité" xfId="6927" builtinId="9" hidden="1"/>
    <cellStyle name="Lien hypertexte visité" xfId="6929" builtinId="9" hidden="1"/>
    <cellStyle name="Lien hypertexte visité" xfId="6931" builtinId="9" hidden="1"/>
    <cellStyle name="Lien hypertexte visité" xfId="6933" builtinId="9" hidden="1"/>
    <cellStyle name="Lien hypertexte visité" xfId="6935" builtinId="9" hidden="1"/>
    <cellStyle name="Lien hypertexte visité" xfId="6937" builtinId="9" hidden="1"/>
    <cellStyle name="Lien hypertexte visité" xfId="6939" builtinId="9" hidden="1"/>
    <cellStyle name="Lien hypertexte visité" xfId="6941" builtinId="9" hidden="1"/>
    <cellStyle name="Lien hypertexte visité" xfId="6943" builtinId="9" hidden="1"/>
    <cellStyle name="Lien hypertexte visité" xfId="6945" builtinId="9" hidden="1"/>
    <cellStyle name="Lien hypertexte visité" xfId="6947" builtinId="9" hidden="1"/>
    <cellStyle name="Lien hypertexte visité" xfId="6949" builtinId="9" hidden="1"/>
    <cellStyle name="Lien hypertexte visité" xfId="6951" builtinId="9" hidden="1"/>
    <cellStyle name="Lien hypertexte visité" xfId="6953" builtinId="9" hidden="1"/>
    <cellStyle name="Lien hypertexte visité" xfId="6955" builtinId="9" hidden="1"/>
    <cellStyle name="Lien hypertexte visité" xfId="6957" builtinId="9" hidden="1"/>
    <cellStyle name="Lien hypertexte visité" xfId="6959" builtinId="9" hidden="1"/>
    <cellStyle name="Lien hypertexte visité" xfId="6961" builtinId="9" hidden="1"/>
    <cellStyle name="Lien hypertexte visité" xfId="6963" builtinId="9" hidden="1"/>
    <cellStyle name="Lien hypertexte visité" xfId="6965" builtinId="9" hidden="1"/>
    <cellStyle name="Lien hypertexte visité" xfId="6967" builtinId="9" hidden="1"/>
    <cellStyle name="Lien hypertexte visité" xfId="6969" builtinId="9" hidden="1"/>
    <cellStyle name="Lien hypertexte visité" xfId="6971" builtinId="9" hidden="1"/>
    <cellStyle name="Lien hypertexte visité" xfId="6973" builtinId="9" hidden="1"/>
    <cellStyle name="Lien hypertexte visité" xfId="6975" builtinId="9" hidden="1"/>
    <cellStyle name="Lien hypertexte visité" xfId="6977" builtinId="9" hidden="1"/>
    <cellStyle name="Lien hypertexte visité" xfId="6979" builtinId="9" hidden="1"/>
    <cellStyle name="Lien hypertexte visité" xfId="6981" builtinId="9" hidden="1"/>
    <cellStyle name="Lien hypertexte visité" xfId="6983" builtinId="9" hidden="1"/>
    <cellStyle name="Lien hypertexte visité" xfId="6985" builtinId="9" hidden="1"/>
    <cellStyle name="Lien hypertexte visité" xfId="6987" builtinId="9" hidden="1"/>
    <cellStyle name="Lien hypertexte visité" xfId="6989" builtinId="9" hidden="1"/>
    <cellStyle name="Lien hypertexte visité" xfId="6991" builtinId="9" hidden="1"/>
    <cellStyle name="Lien hypertexte visité" xfId="6993" builtinId="9" hidden="1"/>
    <cellStyle name="Lien hypertexte visité" xfId="6995" builtinId="9" hidden="1"/>
    <cellStyle name="Lien hypertexte visité" xfId="6997" builtinId="9" hidden="1"/>
    <cellStyle name="Lien hypertexte visité" xfId="6999" builtinId="9" hidden="1"/>
    <cellStyle name="Lien hypertexte visité" xfId="7001" builtinId="9" hidden="1"/>
    <cellStyle name="Lien hypertexte visité" xfId="7003" builtinId="9" hidden="1"/>
    <cellStyle name="Lien hypertexte visité" xfId="7005" builtinId="9" hidden="1"/>
    <cellStyle name="Lien hypertexte visité" xfId="7007" builtinId="9" hidden="1"/>
    <cellStyle name="Lien hypertexte visité" xfId="7009" builtinId="9" hidden="1"/>
    <cellStyle name="Lien hypertexte visité" xfId="7011" builtinId="9" hidden="1"/>
    <cellStyle name="Lien hypertexte visité" xfId="7013" builtinId="9" hidden="1"/>
    <cellStyle name="Lien hypertexte visité" xfId="7015" builtinId="9" hidden="1"/>
    <cellStyle name="Lien hypertexte visité" xfId="7017" builtinId="9" hidden="1"/>
    <cellStyle name="Lien hypertexte visité" xfId="7019" builtinId="9" hidden="1"/>
    <cellStyle name="Lien hypertexte visité" xfId="7021" builtinId="9" hidden="1"/>
    <cellStyle name="Lien hypertexte visité" xfId="7023" builtinId="9" hidden="1"/>
    <cellStyle name="Lien hypertexte visité" xfId="7025" builtinId="9" hidden="1"/>
    <cellStyle name="Lien hypertexte visité" xfId="7027" builtinId="9" hidden="1"/>
    <cellStyle name="Lien hypertexte visité" xfId="7029" builtinId="9" hidden="1"/>
    <cellStyle name="Lien hypertexte visité" xfId="7031" builtinId="9" hidden="1"/>
    <cellStyle name="Lien hypertexte visité" xfId="7033" builtinId="9" hidden="1"/>
    <cellStyle name="Lien hypertexte visité" xfId="7035" builtinId="9" hidden="1"/>
    <cellStyle name="Lien hypertexte visité" xfId="7037" builtinId="9" hidden="1"/>
    <cellStyle name="Lien hypertexte visité" xfId="7039" builtinId="9" hidden="1"/>
    <cellStyle name="Lien hypertexte visité" xfId="7041" builtinId="9" hidden="1"/>
    <cellStyle name="Lien hypertexte visité" xfId="7043" builtinId="9" hidden="1"/>
    <cellStyle name="Lien hypertexte visité" xfId="7045" builtinId="9" hidden="1"/>
    <cellStyle name="Lien hypertexte visité" xfId="7047" builtinId="9" hidden="1"/>
    <cellStyle name="Lien hypertexte visité" xfId="7049" builtinId="9" hidden="1"/>
    <cellStyle name="Lien hypertexte visité" xfId="7051" builtinId="9" hidden="1"/>
    <cellStyle name="Lien hypertexte visité" xfId="7053" builtinId="9" hidden="1"/>
    <cellStyle name="Lien hypertexte visité" xfId="7055" builtinId="9" hidden="1"/>
    <cellStyle name="Lien hypertexte visité" xfId="7057" builtinId="9" hidden="1"/>
    <cellStyle name="Lien hypertexte visité" xfId="7059" builtinId="9" hidden="1"/>
    <cellStyle name="Lien hypertexte visité" xfId="7061" builtinId="9" hidden="1"/>
    <cellStyle name="Lien hypertexte visité" xfId="7063" builtinId="9" hidden="1"/>
    <cellStyle name="Lien hypertexte visité" xfId="7065" builtinId="9" hidden="1"/>
    <cellStyle name="Lien hypertexte visité" xfId="7067" builtinId="9" hidden="1"/>
    <cellStyle name="Lien hypertexte visité" xfId="7069" builtinId="9" hidden="1"/>
    <cellStyle name="Lien hypertexte visité" xfId="7071" builtinId="9" hidden="1"/>
    <cellStyle name="Lien hypertexte visité" xfId="7073" builtinId="9" hidden="1"/>
    <cellStyle name="Lien hypertexte visité" xfId="7075" builtinId="9" hidden="1"/>
    <cellStyle name="Lien hypertexte visité" xfId="7077" builtinId="9" hidden="1"/>
    <cellStyle name="Lien hypertexte visité" xfId="7079" builtinId="9" hidden="1"/>
    <cellStyle name="Lien hypertexte visité" xfId="7081" builtinId="9" hidden="1"/>
    <cellStyle name="Lien hypertexte visité" xfId="7083" builtinId="9" hidden="1"/>
    <cellStyle name="Lien hypertexte visité" xfId="7085" builtinId="9" hidden="1"/>
    <cellStyle name="Lien hypertexte visité" xfId="7087" builtinId="9" hidden="1"/>
    <cellStyle name="Lien hypertexte visité" xfId="7089" builtinId="9" hidden="1"/>
    <cellStyle name="Lien hypertexte visité" xfId="7091" builtinId="9" hidden="1"/>
    <cellStyle name="Lien hypertexte visité" xfId="7093" builtinId="9" hidden="1"/>
    <cellStyle name="Lien hypertexte visité" xfId="7095" builtinId="9" hidden="1"/>
    <cellStyle name="Lien hypertexte visité" xfId="7097" builtinId="9" hidden="1"/>
    <cellStyle name="Lien hypertexte visité" xfId="7099" builtinId="9" hidden="1"/>
    <cellStyle name="Lien hypertexte visité" xfId="7101" builtinId="9" hidden="1"/>
    <cellStyle name="Lien hypertexte visité" xfId="7103" builtinId="9" hidden="1"/>
    <cellStyle name="Lien hypertexte visité" xfId="7105" builtinId="9" hidden="1"/>
    <cellStyle name="Lien hypertexte visité" xfId="7107" builtinId="9" hidden="1"/>
    <cellStyle name="Lien hypertexte visité" xfId="7109" builtinId="9" hidden="1"/>
    <cellStyle name="Lien hypertexte visité" xfId="7111" builtinId="9" hidden="1"/>
    <cellStyle name="Lien hypertexte visité" xfId="7113" builtinId="9" hidden="1"/>
    <cellStyle name="Lien hypertexte visité" xfId="7115" builtinId="9" hidden="1"/>
    <cellStyle name="Lien hypertexte visité" xfId="7117" builtinId="9" hidden="1"/>
    <cellStyle name="Lien hypertexte visité" xfId="7119" builtinId="9" hidden="1"/>
    <cellStyle name="Lien hypertexte visité" xfId="7121" builtinId="9" hidden="1"/>
    <cellStyle name="Lien hypertexte visité" xfId="7123" builtinId="9" hidden="1"/>
    <cellStyle name="Lien hypertexte visité" xfId="7125" builtinId="9" hidden="1"/>
    <cellStyle name="Lien hypertexte visité" xfId="7127" builtinId="9" hidden="1"/>
    <cellStyle name="Lien hypertexte visité" xfId="7129" builtinId="9" hidden="1"/>
    <cellStyle name="Lien hypertexte visité" xfId="7131" builtinId="9" hidden="1"/>
    <cellStyle name="Lien hypertexte visité" xfId="7133" builtinId="9" hidden="1"/>
    <cellStyle name="Lien hypertexte visité" xfId="7135" builtinId="9" hidden="1"/>
    <cellStyle name="Lien hypertexte visité" xfId="7137" builtinId="9" hidden="1"/>
    <cellStyle name="Lien hypertexte visité" xfId="7139" builtinId="9" hidden="1"/>
    <cellStyle name="Lien hypertexte visité" xfId="7141" builtinId="9" hidden="1"/>
    <cellStyle name="Lien hypertexte visité" xfId="7143" builtinId="9" hidden="1"/>
    <cellStyle name="Lien hypertexte visité" xfId="7145" builtinId="9" hidden="1"/>
    <cellStyle name="Lien hypertexte visité" xfId="7147" builtinId="9" hidden="1"/>
    <cellStyle name="Lien hypertexte visité" xfId="7149" builtinId="9" hidden="1"/>
    <cellStyle name="Lien hypertexte visité" xfId="7151" builtinId="9" hidden="1"/>
    <cellStyle name="Lien hypertexte visité" xfId="7153" builtinId="9" hidden="1"/>
    <cellStyle name="Lien hypertexte visité" xfId="7155" builtinId="9" hidden="1"/>
    <cellStyle name="Lien hypertexte visité" xfId="7157" builtinId="9" hidden="1"/>
    <cellStyle name="Lien hypertexte visité" xfId="7159" builtinId="9" hidden="1"/>
    <cellStyle name="Lien hypertexte visité" xfId="7161" builtinId="9" hidden="1"/>
    <cellStyle name="Lien hypertexte visité" xfId="7163" builtinId="9" hidden="1"/>
    <cellStyle name="Lien hypertexte visité" xfId="7165" builtinId="9" hidden="1"/>
    <cellStyle name="Lien hypertexte visité" xfId="7167" builtinId="9" hidden="1"/>
    <cellStyle name="Lien hypertexte visité" xfId="7169" builtinId="9" hidden="1"/>
    <cellStyle name="Lien hypertexte visité" xfId="7171" builtinId="9" hidden="1"/>
    <cellStyle name="Lien hypertexte visité" xfId="7173" builtinId="9" hidden="1"/>
    <cellStyle name="Lien hypertexte visité" xfId="7175" builtinId="9" hidden="1"/>
    <cellStyle name="Lien hypertexte visité" xfId="7177" builtinId="9" hidden="1"/>
    <cellStyle name="Lien hypertexte visité" xfId="7179" builtinId="9" hidden="1"/>
    <cellStyle name="Lien hypertexte visité" xfId="7181" builtinId="9" hidden="1"/>
    <cellStyle name="Lien hypertexte visité" xfId="7183" builtinId="9" hidden="1"/>
    <cellStyle name="Lien hypertexte visité" xfId="7185" builtinId="9" hidden="1"/>
    <cellStyle name="Lien hypertexte visité" xfId="7187" builtinId="9" hidden="1"/>
    <cellStyle name="Lien hypertexte visité" xfId="7189" builtinId="9" hidden="1"/>
    <cellStyle name="Lien hypertexte visité" xfId="7191" builtinId="9" hidden="1"/>
    <cellStyle name="Lien hypertexte visité" xfId="7193" builtinId="9" hidden="1"/>
    <cellStyle name="Lien hypertexte visité" xfId="7195" builtinId="9" hidden="1"/>
    <cellStyle name="Lien hypertexte visité" xfId="7197" builtinId="9" hidden="1"/>
    <cellStyle name="Lien hypertexte visité" xfId="7199" builtinId="9" hidden="1"/>
    <cellStyle name="Lien hypertexte visité" xfId="7201" builtinId="9" hidden="1"/>
    <cellStyle name="Lien hypertexte visité" xfId="7203" builtinId="9" hidden="1"/>
    <cellStyle name="Lien hypertexte visité" xfId="7205" builtinId="9" hidden="1"/>
    <cellStyle name="Lien hypertexte visité" xfId="7207" builtinId="9" hidden="1"/>
    <cellStyle name="Lien hypertexte visité" xfId="7209" builtinId="9" hidden="1"/>
    <cellStyle name="Lien hypertexte visité" xfId="7211" builtinId="9" hidden="1"/>
    <cellStyle name="Lien hypertexte visité" xfId="7213" builtinId="9" hidden="1"/>
    <cellStyle name="Lien hypertexte visité" xfId="7215" builtinId="9" hidden="1"/>
    <cellStyle name="Lien hypertexte visité" xfId="7217" builtinId="9" hidden="1"/>
    <cellStyle name="Lien hypertexte visité" xfId="7219" builtinId="9" hidden="1"/>
    <cellStyle name="Lien hypertexte visité" xfId="7221" builtinId="9" hidden="1"/>
    <cellStyle name="Lien hypertexte visité" xfId="7223" builtinId="9" hidden="1"/>
    <cellStyle name="Lien hypertexte visité" xfId="7225" builtinId="9" hidden="1"/>
    <cellStyle name="Lien hypertexte visité" xfId="7227" builtinId="9" hidden="1"/>
    <cellStyle name="Lien hypertexte visité" xfId="7229" builtinId="9" hidden="1"/>
    <cellStyle name="Lien hypertexte visité" xfId="7231" builtinId="9" hidden="1"/>
    <cellStyle name="Lien hypertexte visité" xfId="7233" builtinId="9" hidden="1"/>
    <cellStyle name="Lien hypertexte visité" xfId="7235" builtinId="9" hidden="1"/>
    <cellStyle name="Lien hypertexte visité" xfId="7237" builtinId="9" hidden="1"/>
    <cellStyle name="Lien hypertexte visité" xfId="7239" builtinId="9" hidden="1"/>
    <cellStyle name="Lien hypertexte visité" xfId="7241" builtinId="9" hidden="1"/>
    <cellStyle name="Lien hypertexte visité" xfId="7243" builtinId="9" hidden="1"/>
    <cellStyle name="Lien hypertexte visité" xfId="7245" builtinId="9" hidden="1"/>
    <cellStyle name="Lien hypertexte visité" xfId="7247" builtinId="9" hidden="1"/>
    <cellStyle name="Lien hypertexte visité" xfId="7249" builtinId="9" hidden="1"/>
    <cellStyle name="Lien hypertexte visité" xfId="7251" builtinId="9" hidden="1"/>
    <cellStyle name="Lien hypertexte visité" xfId="7253" builtinId="9" hidden="1"/>
    <cellStyle name="Lien hypertexte visité" xfId="7255" builtinId="9" hidden="1"/>
    <cellStyle name="Lien hypertexte visité" xfId="7257" builtinId="9" hidden="1"/>
    <cellStyle name="Lien hypertexte visité" xfId="7259" builtinId="9" hidden="1"/>
    <cellStyle name="Lien hypertexte visité" xfId="7261" builtinId="9" hidden="1"/>
    <cellStyle name="Lien hypertexte visité" xfId="7263" builtinId="9" hidden="1"/>
    <cellStyle name="Lien hypertexte visité" xfId="7265" builtinId="9" hidden="1"/>
    <cellStyle name="Lien hypertexte visité" xfId="7267" builtinId="9" hidden="1"/>
    <cellStyle name="Lien hypertexte visité" xfId="7269" builtinId="9" hidden="1"/>
    <cellStyle name="Lien hypertexte visité" xfId="7271" builtinId="9" hidden="1"/>
    <cellStyle name="Lien hypertexte visité" xfId="7273" builtinId="9" hidden="1"/>
    <cellStyle name="Lien hypertexte visité" xfId="7275" builtinId="9" hidden="1"/>
    <cellStyle name="Lien hypertexte visité" xfId="7277" builtinId="9" hidden="1"/>
    <cellStyle name="Lien hypertexte visité" xfId="7279" builtinId="9" hidden="1"/>
    <cellStyle name="Lien hypertexte visité" xfId="7281" builtinId="9" hidden="1"/>
    <cellStyle name="Lien hypertexte visité" xfId="7283" builtinId="9" hidden="1"/>
    <cellStyle name="Lien hypertexte visité" xfId="7285" builtinId="9" hidden="1"/>
    <cellStyle name="Lien hypertexte visité" xfId="7287" builtinId="9" hidden="1"/>
    <cellStyle name="Lien hypertexte visité" xfId="7289" builtinId="9" hidden="1"/>
    <cellStyle name="Lien hypertexte visité" xfId="7291" builtinId="9" hidden="1"/>
    <cellStyle name="Lien hypertexte visité" xfId="7293" builtinId="9" hidden="1"/>
    <cellStyle name="Lien hypertexte visité" xfId="7295" builtinId="9" hidden="1"/>
    <cellStyle name="Lien hypertexte visité" xfId="7297" builtinId="9" hidden="1"/>
    <cellStyle name="Lien hypertexte visité" xfId="7299" builtinId="9" hidden="1"/>
    <cellStyle name="Lien hypertexte visité" xfId="7301" builtinId="9" hidden="1"/>
    <cellStyle name="Lien hypertexte visité" xfId="7303" builtinId="9" hidden="1"/>
    <cellStyle name="Lien hypertexte visité" xfId="7305" builtinId="9" hidden="1"/>
    <cellStyle name="Lien hypertexte visité" xfId="7307" builtinId="9" hidden="1"/>
    <cellStyle name="Lien hypertexte visité" xfId="7309" builtinId="9" hidden="1"/>
    <cellStyle name="Lien hypertexte visité" xfId="7311" builtinId="9" hidden="1"/>
    <cellStyle name="Lien hypertexte visité" xfId="7313" builtinId="9" hidden="1"/>
    <cellStyle name="Lien hypertexte visité" xfId="7315" builtinId="9" hidden="1"/>
    <cellStyle name="Lien hypertexte visité" xfId="7317" builtinId="9" hidden="1"/>
    <cellStyle name="Lien hypertexte visité" xfId="7319" builtinId="9" hidden="1"/>
    <cellStyle name="Lien hypertexte visité" xfId="7321" builtinId="9" hidden="1"/>
    <cellStyle name="Lien hypertexte visité" xfId="7323" builtinId="9" hidden="1"/>
    <cellStyle name="Lien hypertexte visité" xfId="7325" builtinId="9" hidden="1"/>
    <cellStyle name="Lien hypertexte visité" xfId="7327" builtinId="9" hidden="1"/>
    <cellStyle name="Lien hypertexte visité" xfId="7329" builtinId="9" hidden="1"/>
    <cellStyle name="Lien hypertexte visité" xfId="7331" builtinId="9" hidden="1"/>
    <cellStyle name="Lien hypertexte visité" xfId="7333" builtinId="9" hidden="1"/>
    <cellStyle name="Lien hypertexte visité" xfId="7335" builtinId="9" hidden="1"/>
    <cellStyle name="Lien hypertexte visité" xfId="7337" builtinId="9" hidden="1"/>
    <cellStyle name="Lien hypertexte visité" xfId="7339" builtinId="9" hidden="1"/>
    <cellStyle name="Lien hypertexte visité" xfId="7341" builtinId="9" hidden="1"/>
    <cellStyle name="Lien hypertexte visité" xfId="7343" builtinId="9" hidden="1"/>
    <cellStyle name="Lien hypertexte visité" xfId="7345" builtinId="9" hidden="1"/>
    <cellStyle name="Lien hypertexte visité" xfId="7347" builtinId="9" hidden="1"/>
    <cellStyle name="Lien hypertexte visité" xfId="7349" builtinId="9" hidden="1"/>
    <cellStyle name="Lien hypertexte visité" xfId="7351" builtinId="9" hidden="1"/>
    <cellStyle name="Lien hypertexte visité" xfId="7353" builtinId="9" hidden="1"/>
    <cellStyle name="Lien hypertexte visité" xfId="7355" builtinId="9" hidden="1"/>
    <cellStyle name="Lien hypertexte visité" xfId="7357" builtinId="9" hidden="1"/>
    <cellStyle name="Lien hypertexte visité" xfId="7359" builtinId="9" hidden="1"/>
    <cellStyle name="Lien hypertexte visité" xfId="7361" builtinId="9" hidden="1"/>
    <cellStyle name="Lien hypertexte visité" xfId="7363" builtinId="9" hidden="1"/>
    <cellStyle name="Lien hypertexte visité" xfId="7365" builtinId="9" hidden="1"/>
    <cellStyle name="Lien hypertexte visité" xfId="7367" builtinId="9" hidden="1"/>
    <cellStyle name="Lien hypertexte visité" xfId="7369" builtinId="9" hidden="1"/>
    <cellStyle name="Lien hypertexte visité" xfId="7371" builtinId="9" hidden="1"/>
    <cellStyle name="Lien hypertexte visité" xfId="7373" builtinId="9" hidden="1"/>
    <cellStyle name="Lien hypertexte visité" xfId="7375" builtinId="9" hidden="1"/>
    <cellStyle name="Lien hypertexte visité" xfId="7377" builtinId="9" hidden="1"/>
    <cellStyle name="Lien hypertexte visité" xfId="7379" builtinId="9" hidden="1"/>
    <cellStyle name="Lien hypertexte visité" xfId="7381" builtinId="9" hidden="1"/>
    <cellStyle name="Lien hypertexte visité" xfId="7383" builtinId="9" hidden="1"/>
    <cellStyle name="Lien hypertexte visité" xfId="7385" builtinId="9" hidden="1"/>
    <cellStyle name="Lien hypertexte visité" xfId="7387" builtinId="9" hidden="1"/>
    <cellStyle name="Lien hypertexte visité" xfId="7389" builtinId="9" hidden="1"/>
    <cellStyle name="Lien hypertexte visité" xfId="7391" builtinId="9" hidden="1"/>
    <cellStyle name="Lien hypertexte visité" xfId="7393" builtinId="9" hidden="1"/>
    <cellStyle name="Lien hypertexte visité" xfId="7395" builtinId="9" hidden="1"/>
    <cellStyle name="Lien hypertexte visité" xfId="7397" builtinId="9" hidden="1"/>
    <cellStyle name="Lien hypertexte visité" xfId="7399" builtinId="9" hidden="1"/>
    <cellStyle name="Lien hypertexte visité" xfId="7401" builtinId="9" hidden="1"/>
    <cellStyle name="Lien hypertexte visité" xfId="7403" builtinId="9" hidden="1"/>
    <cellStyle name="Lien hypertexte visité" xfId="7405" builtinId="9" hidden="1"/>
    <cellStyle name="Lien hypertexte visité" xfId="7407" builtinId="9" hidden="1"/>
    <cellStyle name="Lien hypertexte visité" xfId="7409" builtinId="9" hidden="1"/>
    <cellStyle name="Lien hypertexte visité" xfId="7411" builtinId="9" hidden="1"/>
    <cellStyle name="Lien hypertexte visité" xfId="7413" builtinId="9" hidden="1"/>
    <cellStyle name="Lien hypertexte visité" xfId="7415" builtinId="9" hidden="1"/>
    <cellStyle name="Lien hypertexte visité" xfId="7417" builtinId="9" hidden="1"/>
    <cellStyle name="Lien hypertexte visité" xfId="7419" builtinId="9" hidden="1"/>
    <cellStyle name="Lien hypertexte visité" xfId="7421" builtinId="9" hidden="1"/>
    <cellStyle name="Lien hypertexte visité" xfId="7423" builtinId="9" hidden="1"/>
    <cellStyle name="Lien hypertexte visité" xfId="7425" builtinId="9" hidden="1"/>
    <cellStyle name="Lien hypertexte visité" xfId="7427" builtinId="9" hidden="1"/>
    <cellStyle name="Lien hypertexte visité" xfId="7429" builtinId="9" hidden="1"/>
    <cellStyle name="Lien hypertexte visité" xfId="7431" builtinId="9" hidden="1"/>
    <cellStyle name="Lien hypertexte visité" xfId="7433" builtinId="9" hidden="1"/>
    <cellStyle name="Lien hypertexte visité" xfId="7435" builtinId="9" hidden="1"/>
    <cellStyle name="Lien hypertexte visité" xfId="7437" builtinId="9" hidden="1"/>
    <cellStyle name="Lien hypertexte visité" xfId="7439" builtinId="9" hidden="1"/>
    <cellStyle name="Lien hypertexte visité" xfId="7441" builtinId="9" hidden="1"/>
    <cellStyle name="Lien hypertexte visité" xfId="7443" builtinId="9" hidden="1"/>
    <cellStyle name="Lien hypertexte visité" xfId="7445" builtinId="9" hidden="1"/>
    <cellStyle name="Lien hypertexte visité" xfId="7447" builtinId="9" hidden="1"/>
    <cellStyle name="Lien hypertexte visité" xfId="7449" builtinId="9" hidden="1"/>
    <cellStyle name="Lien hypertexte visité" xfId="7451" builtinId="9" hidden="1"/>
    <cellStyle name="Lien hypertexte visité" xfId="7453" builtinId="9" hidden="1"/>
    <cellStyle name="Lien hypertexte visité" xfId="7455" builtinId="9" hidden="1"/>
    <cellStyle name="Lien hypertexte visité" xfId="7457" builtinId="9" hidden="1"/>
    <cellStyle name="Lien hypertexte visité" xfId="7459" builtinId="9" hidden="1"/>
    <cellStyle name="Lien hypertexte visité" xfId="7461" builtinId="9" hidden="1"/>
    <cellStyle name="Lien hypertexte visité" xfId="7463" builtinId="9" hidden="1"/>
    <cellStyle name="Lien hypertexte visité" xfId="7465" builtinId="9" hidden="1"/>
    <cellStyle name="Lien hypertexte visité" xfId="7467" builtinId="9" hidden="1"/>
    <cellStyle name="Lien hypertexte visité" xfId="7469" builtinId="9" hidden="1"/>
    <cellStyle name="Lien hypertexte visité" xfId="7471" builtinId="9" hidden="1"/>
    <cellStyle name="Lien hypertexte visité" xfId="7473" builtinId="9" hidden="1"/>
    <cellStyle name="Lien hypertexte visité" xfId="7475" builtinId="9" hidden="1"/>
    <cellStyle name="Lien hypertexte visité" xfId="7477" builtinId="9" hidden="1"/>
    <cellStyle name="Lien hypertexte visité" xfId="7479" builtinId="9" hidden="1"/>
    <cellStyle name="Lien hypertexte visité" xfId="7481" builtinId="9" hidden="1"/>
    <cellStyle name="Lien hypertexte visité" xfId="7483" builtinId="9" hidden="1"/>
    <cellStyle name="Lien hypertexte visité" xfId="7485" builtinId="9" hidden="1"/>
    <cellStyle name="Lien hypertexte visité" xfId="7487" builtinId="9" hidden="1"/>
    <cellStyle name="Lien hypertexte visité" xfId="7489" builtinId="9" hidden="1"/>
    <cellStyle name="Lien hypertexte visité" xfId="7491" builtinId="9" hidden="1"/>
    <cellStyle name="Lien hypertexte visité" xfId="7493" builtinId="9" hidden="1"/>
    <cellStyle name="Lien hypertexte visité" xfId="7495" builtinId="9" hidden="1"/>
    <cellStyle name="Lien hypertexte visité" xfId="7497" builtinId="9" hidden="1"/>
    <cellStyle name="Lien hypertexte visité" xfId="7499" builtinId="9" hidden="1"/>
    <cellStyle name="Lien hypertexte visité" xfId="7501" builtinId="9" hidden="1"/>
    <cellStyle name="Lien hypertexte visité" xfId="7503" builtinId="9" hidden="1"/>
    <cellStyle name="Lien hypertexte visité" xfId="7505" builtinId="9" hidden="1"/>
    <cellStyle name="Lien hypertexte visité" xfId="7507" builtinId="9" hidden="1"/>
    <cellStyle name="Lien hypertexte visité" xfId="7509" builtinId="9" hidden="1"/>
    <cellStyle name="Lien hypertexte visité" xfId="7511" builtinId="9" hidden="1"/>
    <cellStyle name="Lien hypertexte visité" xfId="7513" builtinId="9" hidden="1"/>
    <cellStyle name="Lien hypertexte visité" xfId="7515" builtinId="9" hidden="1"/>
    <cellStyle name="Lien hypertexte visité" xfId="7517" builtinId="9" hidden="1"/>
    <cellStyle name="Lien hypertexte visité" xfId="7519" builtinId="9" hidden="1"/>
    <cellStyle name="Lien hypertexte visité" xfId="7521" builtinId="9" hidden="1"/>
    <cellStyle name="Lien hypertexte visité" xfId="7523" builtinId="9" hidden="1"/>
    <cellStyle name="Lien hypertexte visité" xfId="7525" builtinId="9" hidden="1"/>
    <cellStyle name="Lien hypertexte visité" xfId="7527" builtinId="9" hidden="1"/>
    <cellStyle name="Lien hypertexte visité" xfId="7529" builtinId="9" hidden="1"/>
    <cellStyle name="Lien hypertexte visité" xfId="7531" builtinId="9" hidden="1"/>
    <cellStyle name="Lien hypertexte visité" xfId="7533" builtinId="9" hidden="1"/>
    <cellStyle name="Lien hypertexte visité" xfId="7535" builtinId="9" hidden="1"/>
    <cellStyle name="Lien hypertexte visité" xfId="7537" builtinId="9" hidden="1"/>
    <cellStyle name="Lien hypertexte visité" xfId="7539" builtinId="9" hidden="1"/>
    <cellStyle name="Lien hypertexte visité" xfId="7541" builtinId="9" hidden="1"/>
    <cellStyle name="Lien hypertexte visité" xfId="7543" builtinId="9" hidden="1"/>
    <cellStyle name="Lien hypertexte visité" xfId="7545" builtinId="9" hidden="1"/>
    <cellStyle name="Lien hypertexte visité" xfId="7547" builtinId="9" hidden="1"/>
    <cellStyle name="Lien hypertexte visité" xfId="7549" builtinId="9" hidden="1"/>
    <cellStyle name="Lien hypertexte visité" xfId="7551" builtinId="9" hidden="1"/>
    <cellStyle name="Lien hypertexte visité" xfId="7553" builtinId="9" hidden="1"/>
    <cellStyle name="Lien hypertexte visité" xfId="7555" builtinId="9" hidden="1"/>
    <cellStyle name="Lien hypertexte visité" xfId="7557" builtinId="9" hidden="1"/>
    <cellStyle name="Lien hypertexte visité" xfId="7559" builtinId="9" hidden="1"/>
    <cellStyle name="Lien hypertexte visité" xfId="7561" builtinId="9" hidden="1"/>
    <cellStyle name="Lien hypertexte visité" xfId="7563" builtinId="9" hidden="1"/>
    <cellStyle name="Lien hypertexte visité" xfId="7565" builtinId="9" hidden="1"/>
    <cellStyle name="Lien hypertexte visité" xfId="7567" builtinId="9" hidden="1"/>
    <cellStyle name="Lien hypertexte visité" xfId="7569" builtinId="9" hidden="1"/>
    <cellStyle name="Lien hypertexte visité" xfId="7571" builtinId="9" hidden="1"/>
    <cellStyle name="Lien hypertexte visité" xfId="7573" builtinId="9" hidden="1"/>
    <cellStyle name="Lien hypertexte visité" xfId="7575" builtinId="9" hidden="1"/>
    <cellStyle name="Lien hypertexte visité" xfId="7577" builtinId="9" hidden="1"/>
    <cellStyle name="Lien hypertexte visité" xfId="7579" builtinId="9" hidden="1"/>
    <cellStyle name="Lien hypertexte visité" xfId="7581" builtinId="9" hidden="1"/>
    <cellStyle name="Lien hypertexte visité" xfId="7583" builtinId="9" hidden="1"/>
    <cellStyle name="Lien hypertexte visité" xfId="7585" builtinId="9" hidden="1"/>
    <cellStyle name="Lien hypertexte visité" xfId="7587" builtinId="9" hidden="1"/>
    <cellStyle name="Lien hypertexte visité" xfId="7589" builtinId="9" hidden="1"/>
    <cellStyle name="Lien hypertexte visité" xfId="7591" builtinId="9" hidden="1"/>
    <cellStyle name="Lien hypertexte visité" xfId="7593" builtinId="9" hidden="1"/>
    <cellStyle name="Lien hypertexte visité" xfId="7595" builtinId="9" hidden="1"/>
    <cellStyle name="Lien hypertexte visité" xfId="7597" builtinId="9" hidden="1"/>
    <cellStyle name="Lien hypertexte visité" xfId="7599" builtinId="9" hidden="1"/>
    <cellStyle name="Lien hypertexte visité" xfId="7601" builtinId="9" hidden="1"/>
    <cellStyle name="Lien hypertexte visité" xfId="7603" builtinId="9" hidden="1"/>
    <cellStyle name="Lien hypertexte visité" xfId="7605" builtinId="9" hidden="1"/>
    <cellStyle name="Lien hypertexte visité" xfId="7607" builtinId="9" hidden="1"/>
    <cellStyle name="Lien hypertexte visité" xfId="7609" builtinId="9" hidden="1"/>
    <cellStyle name="Lien hypertexte visité" xfId="7611" builtinId="9" hidden="1"/>
    <cellStyle name="Lien hypertexte visité" xfId="7613" builtinId="9" hidden="1"/>
    <cellStyle name="Lien hypertexte visité" xfId="7615" builtinId="9" hidden="1"/>
    <cellStyle name="Lien hypertexte visité" xfId="7617" builtinId="9" hidden="1"/>
    <cellStyle name="Lien hypertexte visité" xfId="7619" builtinId="9" hidden="1"/>
    <cellStyle name="Lien hypertexte visité" xfId="7621" builtinId="9" hidden="1"/>
    <cellStyle name="Lien hypertexte visité" xfId="7623" builtinId="9" hidden="1"/>
    <cellStyle name="Lien hypertexte visité" xfId="7625" builtinId="9" hidden="1"/>
    <cellStyle name="Lien hypertexte visité" xfId="7627" builtinId="9" hidden="1"/>
    <cellStyle name="Lien hypertexte visité" xfId="7629" builtinId="9" hidden="1"/>
    <cellStyle name="Lien hypertexte visité" xfId="7631" builtinId="9" hidden="1"/>
    <cellStyle name="Lien hypertexte visité" xfId="7633" builtinId="9" hidden="1"/>
    <cellStyle name="Lien hypertexte visité" xfId="7635" builtinId="9" hidden="1"/>
    <cellStyle name="Lien hypertexte visité" xfId="7637" builtinId="9" hidden="1"/>
    <cellStyle name="Lien hypertexte visité" xfId="7639" builtinId="9" hidden="1"/>
    <cellStyle name="Lien hypertexte visité" xfId="7641" builtinId="9" hidden="1"/>
    <cellStyle name="Lien hypertexte visité" xfId="7643" builtinId="9" hidden="1"/>
    <cellStyle name="Lien hypertexte visité" xfId="7645" builtinId="9" hidden="1"/>
    <cellStyle name="Lien hypertexte visité" xfId="7647" builtinId="9" hidden="1"/>
    <cellStyle name="Lien hypertexte visité" xfId="7649" builtinId="9" hidden="1"/>
    <cellStyle name="Lien hypertexte visité" xfId="7651" builtinId="9" hidden="1"/>
    <cellStyle name="Lien hypertexte visité" xfId="7653" builtinId="9" hidden="1"/>
    <cellStyle name="Lien hypertexte visité" xfId="7655" builtinId="9" hidden="1"/>
    <cellStyle name="Lien hypertexte visité" xfId="7657" builtinId="9" hidden="1"/>
    <cellStyle name="Lien hypertexte visité" xfId="7659" builtinId="9" hidden="1"/>
    <cellStyle name="Lien hypertexte visité" xfId="7661" builtinId="9" hidden="1"/>
    <cellStyle name="Lien hypertexte visité" xfId="7663" builtinId="9" hidden="1"/>
    <cellStyle name="Lien hypertexte visité" xfId="7665" builtinId="9" hidden="1"/>
    <cellStyle name="Lien hypertexte visité" xfId="7667" builtinId="9" hidden="1"/>
    <cellStyle name="Lien hypertexte visité" xfId="7669" builtinId="9" hidden="1"/>
    <cellStyle name="Lien hypertexte visité" xfId="7671" builtinId="9" hidden="1"/>
    <cellStyle name="Lien hypertexte visité" xfId="7673" builtinId="9" hidden="1"/>
    <cellStyle name="Lien hypertexte visité" xfId="7675" builtinId="9" hidden="1"/>
    <cellStyle name="Lien hypertexte visité" xfId="7677" builtinId="9" hidden="1"/>
    <cellStyle name="Lien hypertexte visité" xfId="7679" builtinId="9" hidden="1"/>
    <cellStyle name="Lien hypertexte visité" xfId="7681" builtinId="9" hidden="1"/>
    <cellStyle name="Lien hypertexte visité" xfId="7683" builtinId="9" hidden="1"/>
    <cellStyle name="Lien hypertexte visité" xfId="7685" builtinId="9" hidden="1"/>
    <cellStyle name="Lien hypertexte visité" xfId="7687" builtinId="9" hidden="1"/>
    <cellStyle name="Lien hypertexte visité" xfId="7689" builtinId="9" hidden="1"/>
    <cellStyle name="Lien hypertexte visité" xfId="7691" builtinId="9" hidden="1"/>
    <cellStyle name="Lien hypertexte visité" xfId="7693" builtinId="9" hidden="1"/>
    <cellStyle name="Lien hypertexte visité" xfId="7695" builtinId="9" hidden="1"/>
    <cellStyle name="Lien hypertexte visité" xfId="7697" builtinId="9" hidden="1"/>
    <cellStyle name="Lien hypertexte visité" xfId="7699" builtinId="9" hidden="1"/>
    <cellStyle name="Lien hypertexte visité" xfId="7701" builtinId="9" hidden="1"/>
    <cellStyle name="Lien hypertexte visité" xfId="7703" builtinId="9" hidden="1"/>
    <cellStyle name="Lien hypertexte visité" xfId="7705" builtinId="9" hidden="1"/>
    <cellStyle name="Lien hypertexte visité" xfId="7707" builtinId="9" hidden="1"/>
    <cellStyle name="Lien hypertexte visité" xfId="7709" builtinId="9" hidden="1"/>
    <cellStyle name="Lien hypertexte visité" xfId="7711" builtinId="9" hidden="1"/>
    <cellStyle name="Lien hypertexte visité" xfId="7713" builtinId="9" hidden="1"/>
    <cellStyle name="Lien hypertexte visité" xfId="7715" builtinId="9" hidden="1"/>
    <cellStyle name="Lien hypertexte visité" xfId="7717" builtinId="9" hidden="1"/>
    <cellStyle name="Lien hypertexte visité" xfId="7719" builtinId="9" hidden="1"/>
    <cellStyle name="Lien hypertexte visité" xfId="7721" builtinId="9" hidden="1"/>
    <cellStyle name="Lien hypertexte visité" xfId="7723" builtinId="9" hidden="1"/>
    <cellStyle name="Lien hypertexte visité" xfId="7725" builtinId="9" hidden="1"/>
    <cellStyle name="Lien hypertexte visité" xfId="7728" builtinId="9" hidden="1"/>
    <cellStyle name="Lien hypertexte visité" xfId="7730" builtinId="9" hidden="1"/>
    <cellStyle name="Lien hypertexte visité" xfId="7732" builtinId="9" hidden="1"/>
    <cellStyle name="Lien hypertexte visité" xfId="7734" builtinId="9" hidden="1"/>
    <cellStyle name="Lien hypertexte visité" xfId="7736" builtinId="9" hidden="1"/>
    <cellStyle name="Lien hypertexte visité" xfId="7738" builtinId="9" hidden="1"/>
    <cellStyle name="Lien hypertexte visité" xfId="7740" builtinId="9" hidden="1"/>
    <cellStyle name="Lien hypertexte visité" xfId="7742" builtinId="9" hidden="1"/>
    <cellStyle name="Lien hypertexte visité" xfId="7744" builtinId="9" hidden="1"/>
    <cellStyle name="Lien hypertexte visité" xfId="7746" builtinId="9" hidden="1"/>
    <cellStyle name="Lien hypertexte visité" xfId="7748" builtinId="9" hidden="1"/>
    <cellStyle name="Lien hypertexte visité" xfId="7750" builtinId="9" hidden="1"/>
    <cellStyle name="Lien hypertexte visité" xfId="7753" builtinId="9" hidden="1"/>
    <cellStyle name="Lien hypertexte visité" xfId="7755" builtinId="9" hidden="1"/>
    <cellStyle name="Lien hypertexte visité" xfId="7757" builtinId="9" hidden="1"/>
    <cellStyle name="Lien hypertexte visité" xfId="7759" builtinId="9" hidden="1"/>
    <cellStyle name="Lien hypertexte visité" xfId="7761" builtinId="9" hidden="1"/>
    <cellStyle name="Lien hypertexte visité" xfId="7763" builtinId="9" hidden="1"/>
    <cellStyle name="Lien hypertexte visité" xfId="7765" builtinId="9" hidden="1"/>
    <cellStyle name="Lien hypertexte visité" xfId="7767" builtinId="9" hidden="1"/>
    <cellStyle name="Lien hypertexte visité" xfId="7769" builtinId="9" hidden="1"/>
    <cellStyle name="Lien hypertexte visité" xfId="7771" builtinId="9" hidden="1"/>
    <cellStyle name="Lien hypertexte visité" xfId="7773" builtinId="9" hidden="1"/>
    <cellStyle name="Lien hypertexte visité" xfId="7775" builtinId="9" hidden="1"/>
    <cellStyle name="Lien hypertexte visité" xfId="7777" builtinId="9" hidden="1"/>
    <cellStyle name="Lien hypertexte visité" xfId="7779" builtinId="9" hidden="1"/>
    <cellStyle name="Lien hypertexte visité" xfId="7781" builtinId="9" hidden="1"/>
    <cellStyle name="Lien hypertexte visité" xfId="7783" builtinId="9" hidden="1"/>
    <cellStyle name="Lien hypertexte visité" xfId="7785" builtinId="9" hidden="1"/>
    <cellStyle name="Lien hypertexte visité" xfId="7787" builtinId="9" hidden="1"/>
    <cellStyle name="Lien hypertexte visité" xfId="7789" builtinId="9" hidden="1"/>
    <cellStyle name="Lien hypertexte visité" xfId="7791" builtinId="9" hidden="1"/>
    <cellStyle name="Lien hypertexte visité" xfId="7794" builtinId="9" hidden="1"/>
    <cellStyle name="Lien hypertexte visité" xfId="7796" builtinId="9" hidden="1"/>
    <cellStyle name="Lien hypertexte visité" xfId="7798" builtinId="9" hidden="1"/>
    <cellStyle name="Lien hypertexte visité" xfId="7800" builtinId="9" hidden="1"/>
    <cellStyle name="Lien hypertexte visité" xfId="7802" builtinId="9" hidden="1"/>
    <cellStyle name="Lien hypertexte visité" xfId="7804" builtinId="9" hidden="1"/>
    <cellStyle name="Lien hypertexte visité" xfId="7806" builtinId="9" hidden="1"/>
    <cellStyle name="Lien hypertexte visité" xfId="7808" builtinId="9" hidden="1"/>
    <cellStyle name="Lien hypertexte visité" xfId="7810" builtinId="9" hidden="1"/>
    <cellStyle name="Lien hypertexte visité" xfId="7812" builtinId="9" hidden="1"/>
    <cellStyle name="Lien hypertexte visité" xfId="7814" builtinId="9" hidden="1"/>
    <cellStyle name="Lien hypertexte visité" xfId="7816" builtinId="9" hidden="1"/>
    <cellStyle name="Lien hypertexte visité" xfId="7818" builtinId="9" hidden="1"/>
    <cellStyle name="Lien hypertexte visité" xfId="7820" builtinId="9" hidden="1"/>
    <cellStyle name="Lien hypertexte visité" xfId="7822" builtinId="9" hidden="1"/>
    <cellStyle name="Lien hypertexte visité" xfId="7824" builtinId="9" hidden="1"/>
    <cellStyle name="Lien hypertexte visité" xfId="7826" builtinId="9" hidden="1"/>
    <cellStyle name="Lien hypertexte visité" xfId="7828" builtinId="9" hidden="1"/>
    <cellStyle name="Lien hypertexte visité" xfId="7830" builtinId="9" hidden="1"/>
    <cellStyle name="Lien hypertexte visité" xfId="7832" builtinId="9" hidden="1"/>
    <cellStyle name="Lien hypertexte visité" xfId="7834" builtinId="9" hidden="1"/>
    <cellStyle name="Lien hypertexte visité" xfId="7836" builtinId="9" hidden="1"/>
    <cellStyle name="Lien hypertexte visité" xfId="7838" builtinId="9" hidden="1"/>
    <cellStyle name="Lien hypertexte visité" xfId="7840" builtinId="9" hidden="1"/>
    <cellStyle name="Lien hypertexte visité" xfId="7842" builtinId="9" hidden="1"/>
    <cellStyle name="Lien hypertexte visité" xfId="7844" builtinId="9" hidden="1"/>
    <cellStyle name="Lien hypertexte visité" xfId="7847" builtinId="9" hidden="1"/>
    <cellStyle name="Lien hypertexte visité" xfId="7849" builtinId="9" hidden="1"/>
    <cellStyle name="Lien hypertexte visité" xfId="7851" builtinId="9" hidden="1"/>
    <cellStyle name="Lien hypertexte visité" xfId="7853" builtinId="9" hidden="1"/>
    <cellStyle name="Lien hypertexte visité" xfId="7855" builtinId="9" hidden="1"/>
    <cellStyle name="Lien hypertexte visité" xfId="7857" builtinId="9" hidden="1"/>
    <cellStyle name="Lien hypertexte visité" xfId="7859" builtinId="9" hidden="1"/>
    <cellStyle name="Lien hypertexte visité" xfId="7861" builtinId="9" hidden="1"/>
    <cellStyle name="Lien hypertexte visité" xfId="7863" builtinId="9" hidden="1"/>
    <cellStyle name="Lien hypertexte visité" xfId="7865" builtinId="9" hidden="1"/>
    <cellStyle name="Lien hypertexte visité" xfId="7867" builtinId="9" hidden="1"/>
    <cellStyle name="Lien hypertexte visité" xfId="7869" builtinId="9" hidden="1"/>
    <cellStyle name="Lien hypertexte visité" xfId="7871" builtinId="9" hidden="1"/>
    <cellStyle name="Lien hypertexte visité" xfId="7873" builtinId="9" hidden="1"/>
    <cellStyle name="Lien hypertexte visité" xfId="7875" builtinId="9" hidden="1"/>
    <cellStyle name="Lien hypertexte visité" xfId="7877" builtinId="9" hidden="1"/>
    <cellStyle name="Lien hypertexte visité" xfId="7879" builtinId="9" hidden="1"/>
    <cellStyle name="Lien hypertexte visité" xfId="7881" builtinId="9" hidden="1"/>
    <cellStyle name="Lien hypertexte visité" xfId="7883" builtinId="9" hidden="1"/>
    <cellStyle name="Lien hypertexte visité" xfId="7885" builtinId="9" hidden="1"/>
    <cellStyle name="Lien hypertexte visité" xfId="7887" builtinId="9" hidden="1"/>
    <cellStyle name="Lien hypertexte visité" xfId="7889" builtinId="9" hidden="1"/>
    <cellStyle name="Lien hypertexte visité" xfId="7891" builtinId="9" hidden="1"/>
    <cellStyle name="Lien hypertexte visité" xfId="7893" builtinId="9" hidden="1"/>
    <cellStyle name="Lien hypertexte visité" xfId="7895" builtinId="9" hidden="1"/>
    <cellStyle name="Lien hypertexte visité" xfId="7897" builtinId="9" hidden="1"/>
    <cellStyle name="Lien hypertexte visité" xfId="7899" builtinId="9" hidden="1"/>
    <cellStyle name="Lien hypertexte visité" xfId="7901" builtinId="9" hidden="1"/>
    <cellStyle name="Lien hypertexte visité" xfId="7903" builtinId="9" hidden="1"/>
    <cellStyle name="Lien hypertexte visité" xfId="7905" builtinId="9" hidden="1"/>
    <cellStyle name="Lien hypertexte visité" xfId="7907" builtinId="9" hidden="1"/>
    <cellStyle name="Lien hypertexte visité" xfId="7909" builtinId="9" hidden="1"/>
    <cellStyle name="Lien hypertexte visité" xfId="7911" builtinId="9" hidden="1"/>
    <cellStyle name="Lien hypertexte visité" xfId="7913" builtinId="9" hidden="1"/>
    <cellStyle name="Lien hypertexte visité" xfId="7915" builtinId="9" hidden="1"/>
    <cellStyle name="Lien hypertexte visité" xfId="7917" builtinId="9" hidden="1"/>
    <cellStyle name="Lien hypertexte visité" xfId="7919" builtinId="9" hidden="1"/>
    <cellStyle name="Lien hypertexte visité" xfId="7921" builtinId="9" hidden="1"/>
    <cellStyle name="Lien hypertexte visité" xfId="7923" builtinId="9" hidden="1"/>
    <cellStyle name="Lien hypertexte visité" xfId="7925" builtinId="9" hidden="1"/>
    <cellStyle name="Lien hypertexte visité" xfId="7927" builtinId="9" hidden="1"/>
    <cellStyle name="Lien hypertexte visité" xfId="7929" builtinId="9" hidden="1"/>
    <cellStyle name="Lien hypertexte visité" xfId="7931" builtinId="9" hidden="1"/>
    <cellStyle name="Lien hypertexte visité" xfId="7933" builtinId="9" hidden="1"/>
    <cellStyle name="Lien hypertexte visité" xfId="7935" builtinId="9" hidden="1"/>
    <cellStyle name="Lien hypertexte visité" xfId="7937" builtinId="9" hidden="1"/>
    <cellStyle name="Lien hypertexte visité" xfId="7939" builtinId="9" hidden="1"/>
    <cellStyle name="Lien hypertexte visité" xfId="7941" builtinId="9" hidden="1"/>
    <cellStyle name="Lien hypertexte visité" xfId="7943" builtinId="9" hidden="1"/>
    <cellStyle name="Lien hypertexte visité" xfId="7945" builtinId="9" hidden="1"/>
    <cellStyle name="Lien hypertexte visité" xfId="7947" builtinId="9" hidden="1"/>
    <cellStyle name="Lien hypertexte visité" xfId="7949" builtinId="9" hidden="1"/>
    <cellStyle name="Lien hypertexte visité" xfId="7951" builtinId="9" hidden="1"/>
    <cellStyle name="Lien hypertexte visité" xfId="7953" builtinId="9" hidden="1"/>
    <cellStyle name="Lien hypertexte visité" xfId="7955" builtinId="9" hidden="1"/>
    <cellStyle name="Lien hypertexte visité" xfId="7957" builtinId="9" hidden="1"/>
    <cellStyle name="Lien hypertexte visité" xfId="7959" builtinId="9" hidden="1"/>
    <cellStyle name="Lien hypertexte visité" xfId="7961" builtinId="9" hidden="1"/>
    <cellStyle name="Lien hypertexte visité" xfId="7963" builtinId="9" hidden="1"/>
    <cellStyle name="Lien hypertexte visité" xfId="7965" builtinId="9" hidden="1"/>
    <cellStyle name="Lien hypertexte visité" xfId="7967" builtinId="9" hidden="1"/>
    <cellStyle name="Lien hypertexte visité" xfId="7969" builtinId="9" hidden="1"/>
    <cellStyle name="Lien hypertexte visité" xfId="7971" builtinId="9" hidden="1"/>
    <cellStyle name="Lien hypertexte visité" xfId="7973" builtinId="9" hidden="1"/>
    <cellStyle name="Lien hypertexte visité" xfId="7975" builtinId="9" hidden="1"/>
    <cellStyle name="Lien hypertexte visité" xfId="7977" builtinId="9" hidden="1"/>
    <cellStyle name="Lien hypertexte visité" xfId="7979" builtinId="9" hidden="1"/>
    <cellStyle name="Lien hypertexte visité" xfId="7981" builtinId="9" hidden="1"/>
    <cellStyle name="Lien hypertexte visité" xfId="7983" builtinId="9" hidden="1"/>
    <cellStyle name="Lien hypertexte visité" xfId="7985" builtinId="9" hidden="1"/>
    <cellStyle name="Lien hypertexte visité" xfId="7987" builtinId="9" hidden="1"/>
    <cellStyle name="Lien hypertexte visité" xfId="7989" builtinId="9" hidden="1"/>
    <cellStyle name="Lien hypertexte visité" xfId="7991" builtinId="9" hidden="1"/>
    <cellStyle name="Lien hypertexte visité" xfId="7993" builtinId="9" hidden="1"/>
    <cellStyle name="Lien hypertexte visité" xfId="7995" builtinId="9" hidden="1"/>
    <cellStyle name="Lien hypertexte visité" xfId="7997" builtinId="9" hidden="1"/>
    <cellStyle name="Lien hypertexte visité" xfId="7999" builtinId="9" hidden="1"/>
    <cellStyle name="Lien hypertexte visité" xfId="8001" builtinId="9" hidden="1"/>
    <cellStyle name="Lien hypertexte visité" xfId="8003" builtinId="9" hidden="1"/>
    <cellStyle name="Lien hypertexte visité" xfId="8005" builtinId="9" hidden="1"/>
    <cellStyle name="Lien hypertexte visité" xfId="8007" builtinId="9" hidden="1"/>
    <cellStyle name="Lien hypertexte visité" xfId="8009" builtinId="9" hidden="1"/>
    <cellStyle name="Lien hypertexte visité" xfId="8011" builtinId="9" hidden="1"/>
    <cellStyle name="Lien hypertexte visité" xfId="8013" builtinId="9" hidden="1"/>
    <cellStyle name="Lien hypertexte visité" xfId="8015" builtinId="9" hidden="1"/>
    <cellStyle name="Lien hypertexte visité" xfId="8017" builtinId="9" hidden="1"/>
    <cellStyle name="Lien hypertexte visité" xfId="8019" builtinId="9" hidden="1"/>
    <cellStyle name="Lien hypertexte visité" xfId="8021" builtinId="9" hidden="1"/>
    <cellStyle name="Lien hypertexte visité" xfId="8023" builtinId="9" hidden="1"/>
    <cellStyle name="Lien hypertexte visité" xfId="8025" builtinId="9" hidden="1"/>
    <cellStyle name="Lien hypertexte visité" xfId="8027" builtinId="9" hidden="1"/>
    <cellStyle name="Lien hypertexte visité" xfId="8029" builtinId="9" hidden="1"/>
    <cellStyle name="Lien hypertexte visité" xfId="8031" builtinId="9" hidden="1"/>
    <cellStyle name="Lien hypertexte visité" xfId="8033" builtinId="9" hidden="1"/>
    <cellStyle name="Lien hypertexte visité" xfId="8035" builtinId="9" hidden="1"/>
    <cellStyle name="Lien hypertexte visité" xfId="8037" builtinId="9" hidden="1"/>
    <cellStyle name="Lien hypertexte visité" xfId="8039" builtinId="9" hidden="1"/>
    <cellStyle name="Lien hypertexte visité" xfId="8041" builtinId="9" hidden="1"/>
    <cellStyle name="Lien hypertexte visité" xfId="8043" builtinId="9" hidden="1"/>
    <cellStyle name="Lien hypertexte visité" xfId="8045" builtinId="9" hidden="1"/>
    <cellStyle name="Lien hypertexte visité" xfId="8047" builtinId="9" hidden="1"/>
    <cellStyle name="Lien hypertexte visité" xfId="8049" builtinId="9" hidden="1"/>
    <cellStyle name="Lien hypertexte visité" xfId="8051" builtinId="9" hidden="1"/>
    <cellStyle name="Lien hypertexte visité" xfId="8053" builtinId="9" hidden="1"/>
    <cellStyle name="Lien hypertexte visité" xfId="8055" builtinId="9" hidden="1"/>
    <cellStyle name="Lien hypertexte visité" xfId="8057" builtinId="9" hidden="1"/>
    <cellStyle name="Lien hypertexte visité" xfId="8059" builtinId="9" hidden="1"/>
    <cellStyle name="Lien hypertexte visité" xfId="8061" builtinId="9" hidden="1"/>
    <cellStyle name="Lien hypertexte visité" xfId="8063" builtinId="9" hidden="1"/>
    <cellStyle name="Lien hypertexte visité" xfId="8065" builtinId="9" hidden="1"/>
    <cellStyle name="Lien hypertexte visité" xfId="8067" builtinId="9" hidden="1"/>
    <cellStyle name="Lien hypertexte visité" xfId="8069" builtinId="9" hidden="1"/>
    <cellStyle name="Lien hypertexte visité" xfId="8071" builtinId="9" hidden="1"/>
    <cellStyle name="Lien hypertexte visité" xfId="8073" builtinId="9" hidden="1"/>
    <cellStyle name="Lien hypertexte visité" xfId="8075" builtinId="9" hidden="1"/>
    <cellStyle name="Lien hypertexte visité" xfId="8077" builtinId="9" hidden="1"/>
    <cellStyle name="Lien hypertexte visité" xfId="8079" builtinId="9" hidden="1"/>
    <cellStyle name="Lien hypertexte visité" xfId="8081" builtinId="9" hidden="1"/>
    <cellStyle name="Lien hypertexte visité" xfId="8083" builtinId="9" hidden="1"/>
    <cellStyle name="Lien hypertexte visité" xfId="8085" builtinId="9" hidden="1"/>
    <cellStyle name="Lien hypertexte visité" xfId="8087" builtinId="9" hidden="1"/>
    <cellStyle name="Lien hypertexte visité" xfId="8089" builtinId="9" hidden="1"/>
    <cellStyle name="Lien hypertexte visité" xfId="8091" builtinId="9" hidden="1"/>
    <cellStyle name="Lien hypertexte visité" xfId="8093" builtinId="9" hidden="1"/>
    <cellStyle name="Lien hypertexte visité" xfId="8095" builtinId="9" hidden="1"/>
    <cellStyle name="Lien hypertexte visité" xfId="8097" builtinId="9" hidden="1"/>
    <cellStyle name="Lien hypertexte visité" xfId="8099" builtinId="9" hidden="1"/>
    <cellStyle name="Lien hypertexte visité" xfId="8101" builtinId="9" hidden="1"/>
    <cellStyle name="Lien hypertexte visité" xfId="8103" builtinId="9" hidden="1"/>
    <cellStyle name="Lien hypertexte visité" xfId="8105" builtinId="9" hidden="1"/>
    <cellStyle name="Lien hypertexte visité" xfId="8107" builtinId="9" hidden="1"/>
    <cellStyle name="Lien hypertexte visité" xfId="8109" builtinId="9" hidden="1"/>
    <cellStyle name="Lien hypertexte visité" xfId="8111" builtinId="9" hidden="1"/>
    <cellStyle name="Lien hypertexte visité" xfId="8113" builtinId="9" hidden="1"/>
    <cellStyle name="Lien hypertexte visité" xfId="8115" builtinId="9" hidden="1"/>
    <cellStyle name="Lien hypertexte visité" xfId="8117" builtinId="9" hidden="1"/>
    <cellStyle name="Lien hypertexte visité" xfId="8119" builtinId="9" hidden="1"/>
    <cellStyle name="Lien hypertexte visité" xfId="8121" builtinId="9" hidden="1"/>
    <cellStyle name="Lien hypertexte visité" xfId="8123" builtinId="9" hidden="1"/>
    <cellStyle name="Lien hypertexte visité" xfId="8125" builtinId="9" hidden="1"/>
    <cellStyle name="Lien hypertexte visité" xfId="8127" builtinId="9" hidden="1"/>
    <cellStyle name="Lien hypertexte visité" xfId="8129" builtinId="9" hidden="1"/>
    <cellStyle name="Lien hypertexte visité" xfId="8131" builtinId="9" hidden="1"/>
    <cellStyle name="Lien hypertexte visité" xfId="8133" builtinId="9" hidden="1"/>
    <cellStyle name="Lien hypertexte visité" xfId="8135" builtinId="9" hidden="1"/>
    <cellStyle name="Lien hypertexte visité" xfId="8137" builtinId="9" hidden="1"/>
    <cellStyle name="Lien hypertexte visité" xfId="8139" builtinId="9" hidden="1"/>
    <cellStyle name="Lien hypertexte visité" xfId="8141" builtinId="9" hidden="1"/>
    <cellStyle name="Lien hypertexte visité" xfId="8143" builtinId="9" hidden="1"/>
    <cellStyle name="Lien hypertexte visité" xfId="8145" builtinId="9" hidden="1"/>
    <cellStyle name="Lien hypertexte visité" xfId="8147" builtinId="9" hidden="1"/>
    <cellStyle name="Lien hypertexte visité" xfId="8149" builtinId="9" hidden="1"/>
    <cellStyle name="Lien hypertexte visité" xfId="8151" builtinId="9" hidden="1"/>
    <cellStyle name="Lien hypertexte visité" xfId="8153" builtinId="9" hidden="1"/>
    <cellStyle name="Lien hypertexte visité" xfId="8155" builtinId="9" hidden="1"/>
    <cellStyle name="Lien hypertexte visité" xfId="8157" builtinId="9" hidden="1"/>
    <cellStyle name="Lien hypertexte visité" xfId="8159" builtinId="9" hidden="1"/>
    <cellStyle name="Lien hypertexte visité" xfId="8161" builtinId="9" hidden="1"/>
    <cellStyle name="Lien hypertexte visité" xfId="8163" builtinId="9" hidden="1"/>
    <cellStyle name="Lien hypertexte visité" xfId="8165" builtinId="9" hidden="1"/>
    <cellStyle name="Lien hypertexte visité" xfId="8167" builtinId="9" hidden="1"/>
    <cellStyle name="Lien hypertexte visité" xfId="8169" builtinId="9" hidden="1"/>
    <cellStyle name="Lien hypertexte visité" xfId="8171" builtinId="9" hidden="1"/>
    <cellStyle name="Lien hypertexte visité" xfId="8173" builtinId="9" hidden="1"/>
    <cellStyle name="Lien hypertexte visité" xfId="8175" builtinId="9" hidden="1"/>
    <cellStyle name="Lien hypertexte visité" xfId="8177" builtinId="9" hidden="1"/>
    <cellStyle name="Lien hypertexte visité" xfId="8179" builtinId="9" hidden="1"/>
    <cellStyle name="Lien hypertexte visité" xfId="8181" builtinId="9" hidden="1"/>
    <cellStyle name="Lien hypertexte visité" xfId="8183" builtinId="9" hidden="1"/>
    <cellStyle name="Lien hypertexte visité" xfId="8185" builtinId="9" hidden="1"/>
    <cellStyle name="Lien hypertexte visité" xfId="8187" builtinId="9" hidden="1"/>
    <cellStyle name="Lien hypertexte visité" xfId="8189" builtinId="9" hidden="1"/>
    <cellStyle name="Lien hypertexte visité" xfId="8191" builtinId="9" hidden="1"/>
    <cellStyle name="Lien hypertexte visité" xfId="8193" builtinId="9" hidden="1"/>
    <cellStyle name="Lien hypertexte visité" xfId="8195" builtinId="9" hidden="1"/>
    <cellStyle name="Lien hypertexte visité" xfId="8197" builtinId="9" hidden="1"/>
    <cellStyle name="Lien hypertexte visité" xfId="8199" builtinId="9" hidden="1"/>
    <cellStyle name="Lien hypertexte visité" xfId="8201" builtinId="9" hidden="1"/>
    <cellStyle name="Lien hypertexte visité" xfId="8203" builtinId="9" hidden="1"/>
    <cellStyle name="Lien hypertexte visité" xfId="8205" builtinId="9" hidden="1"/>
    <cellStyle name="Lien hypertexte visité" xfId="8207" builtinId="9" hidden="1"/>
    <cellStyle name="Lien hypertexte visité" xfId="8209" builtinId="9" hidden="1"/>
    <cellStyle name="Lien hypertexte visité" xfId="8211" builtinId="9" hidden="1"/>
    <cellStyle name="Lien hypertexte visité" xfId="8213" builtinId="9" hidden="1"/>
    <cellStyle name="Lien hypertexte visité" xfId="8215" builtinId="9" hidden="1"/>
    <cellStyle name="Lien hypertexte visité" xfId="8217" builtinId="9" hidden="1"/>
    <cellStyle name="Lien hypertexte visité" xfId="8219" builtinId="9" hidden="1"/>
    <cellStyle name="Lien hypertexte visité" xfId="8221" builtinId="9" hidden="1"/>
    <cellStyle name="Lien hypertexte visité" xfId="8223" builtinId="9" hidden="1"/>
    <cellStyle name="Lien hypertexte visité" xfId="8225" builtinId="9" hidden="1"/>
    <cellStyle name="Lien hypertexte visité" xfId="8227" builtinId="9" hidden="1"/>
    <cellStyle name="Lien hypertexte visité" xfId="8229" builtinId="9" hidden="1"/>
    <cellStyle name="Lien hypertexte visité" xfId="8231" builtinId="9" hidden="1"/>
    <cellStyle name="Lien hypertexte visité" xfId="8233" builtinId="9" hidden="1"/>
    <cellStyle name="Lien hypertexte visité" xfId="8235" builtinId="9" hidden="1"/>
    <cellStyle name="Lien hypertexte visité" xfId="8237" builtinId="9" hidden="1"/>
    <cellStyle name="Lien hypertexte visité" xfId="8239" builtinId="9" hidden="1"/>
    <cellStyle name="Lien hypertexte visité" xfId="8241" builtinId="9" hidden="1"/>
    <cellStyle name="Lien hypertexte visité" xfId="8243" builtinId="9" hidden="1"/>
    <cellStyle name="Lien hypertexte visité" xfId="8245" builtinId="9" hidden="1"/>
    <cellStyle name="Lien hypertexte visité" xfId="8247" builtinId="9" hidden="1"/>
    <cellStyle name="Lien hypertexte visité" xfId="8249" builtinId="9" hidden="1"/>
    <cellStyle name="Lien hypertexte visité" xfId="8251" builtinId="9" hidden="1"/>
    <cellStyle name="Lien hypertexte visité" xfId="8253" builtinId="9" hidden="1"/>
    <cellStyle name="Lien hypertexte visité" xfId="8255" builtinId="9" hidden="1"/>
    <cellStyle name="Lien hypertexte visité" xfId="8257" builtinId="9" hidden="1"/>
    <cellStyle name="Lien hypertexte visité" xfId="8259" builtinId="9" hidden="1"/>
    <cellStyle name="Lien hypertexte visité" xfId="8261" builtinId="9" hidden="1"/>
    <cellStyle name="Lien hypertexte visité" xfId="8263" builtinId="9" hidden="1"/>
    <cellStyle name="Lien hypertexte visité" xfId="8265" builtinId="9" hidden="1"/>
    <cellStyle name="Lien hypertexte visité" xfId="8267" builtinId="9" hidden="1"/>
    <cellStyle name="Lien hypertexte visité" xfId="8269" builtinId="9" hidden="1"/>
    <cellStyle name="Lien hypertexte visité" xfId="8271" builtinId="9" hidden="1"/>
    <cellStyle name="Lien hypertexte visité" xfId="8273" builtinId="9" hidden="1"/>
    <cellStyle name="Lien hypertexte visité" xfId="8275" builtinId="9" hidden="1"/>
    <cellStyle name="Lien hypertexte visité" xfId="8277" builtinId="9" hidden="1"/>
    <cellStyle name="Lien hypertexte visité" xfId="8279" builtinId="9" hidden="1"/>
    <cellStyle name="Lien hypertexte visité" xfId="8281" builtinId="9" hidden="1"/>
    <cellStyle name="Lien hypertexte visité" xfId="8283" builtinId="9" hidden="1"/>
    <cellStyle name="Lien hypertexte visité" xfId="8285" builtinId="9" hidden="1"/>
    <cellStyle name="Lien hypertexte visité" xfId="8287" builtinId="9" hidden="1"/>
    <cellStyle name="Lien hypertexte visité" xfId="8289" builtinId="9" hidden="1"/>
    <cellStyle name="Lien hypertexte visité" xfId="8291" builtinId="9" hidden="1"/>
    <cellStyle name="Lien hypertexte visité" xfId="8293" builtinId="9" hidden="1"/>
    <cellStyle name="Lien hypertexte visité" xfId="8295" builtinId="9" hidden="1"/>
    <cellStyle name="Lien hypertexte visité" xfId="8297" builtinId="9" hidden="1"/>
    <cellStyle name="Lien hypertexte visité" xfId="8299" builtinId="9" hidden="1"/>
    <cellStyle name="Lien hypertexte visité" xfId="8301" builtinId="9" hidden="1"/>
    <cellStyle name="Lien hypertexte visité" xfId="8303" builtinId="9" hidden="1"/>
    <cellStyle name="Lien hypertexte visité" xfId="8305" builtinId="9" hidden="1"/>
    <cellStyle name="Lien hypertexte visité" xfId="8307" builtinId="9" hidden="1"/>
    <cellStyle name="Lien hypertexte visité" xfId="8309" builtinId="9" hidden="1"/>
    <cellStyle name="Lien hypertexte visité" xfId="8311" builtinId="9" hidden="1"/>
    <cellStyle name="Lien hypertexte visité" xfId="8313" builtinId="9" hidden="1"/>
    <cellStyle name="Lien hypertexte visité" xfId="8315" builtinId="9" hidden="1"/>
    <cellStyle name="Lien hypertexte visité" xfId="8317" builtinId="9" hidden="1"/>
    <cellStyle name="Lien hypertexte visité" xfId="8319" builtinId="9" hidden="1"/>
    <cellStyle name="Lien hypertexte visité" xfId="8321" builtinId="9" hidden="1"/>
    <cellStyle name="Lien hypertexte visité" xfId="8323" builtinId="9" hidden="1"/>
    <cellStyle name="Lien hypertexte visité" xfId="8325" builtinId="9" hidden="1"/>
    <cellStyle name="Lien hypertexte visité" xfId="8327" builtinId="9" hidden="1"/>
    <cellStyle name="Lien hypertexte visité" xfId="8329" builtinId="9" hidden="1"/>
    <cellStyle name="Lien hypertexte visité" xfId="8331" builtinId="9" hidden="1"/>
    <cellStyle name="Lien hypertexte visité" xfId="8333" builtinId="9" hidden="1"/>
    <cellStyle name="Lien hypertexte visité" xfId="8335" builtinId="9" hidden="1"/>
    <cellStyle name="Lien hypertexte visité" xfId="8337" builtinId="9" hidden="1"/>
    <cellStyle name="Lien hypertexte visité" xfId="8339" builtinId="9" hidden="1"/>
    <cellStyle name="Lien hypertexte visité" xfId="8341" builtinId="9" hidden="1"/>
    <cellStyle name="Lien hypertexte visité" xfId="8343" builtinId="9" hidden="1"/>
    <cellStyle name="Lien hypertexte visité" xfId="8345" builtinId="9" hidden="1"/>
    <cellStyle name="Lien hypertexte visité" xfId="8347" builtinId="9" hidden="1"/>
    <cellStyle name="Lien hypertexte visité" xfId="8349" builtinId="9" hidden="1"/>
    <cellStyle name="Lien hypertexte visité" xfId="8351" builtinId="9" hidden="1"/>
    <cellStyle name="Lien hypertexte visité" xfId="8353" builtinId="9" hidden="1"/>
    <cellStyle name="Lien hypertexte visité" xfId="8355" builtinId="9" hidden="1"/>
    <cellStyle name="Lien hypertexte visité" xfId="8357" builtinId="9" hidden="1"/>
    <cellStyle name="Lien hypertexte visité" xfId="8359" builtinId="9" hidden="1"/>
    <cellStyle name="Lien hypertexte visité" xfId="8361" builtinId="9" hidden="1"/>
    <cellStyle name="Lien hypertexte visité" xfId="8363" builtinId="9" hidden="1"/>
    <cellStyle name="Lien hypertexte visité" xfId="8365" builtinId="9" hidden="1"/>
    <cellStyle name="Lien hypertexte visité" xfId="8367" builtinId="9" hidden="1"/>
    <cellStyle name="Lien hypertexte visité" xfId="8369" builtinId="9" hidden="1"/>
    <cellStyle name="Lien hypertexte visité" xfId="8371" builtinId="9" hidden="1"/>
    <cellStyle name="Lien hypertexte visité" xfId="8373" builtinId="9" hidden="1"/>
    <cellStyle name="Lien hypertexte visité" xfId="8375" builtinId="9" hidden="1"/>
    <cellStyle name="Lien hypertexte visité" xfId="8377" builtinId="9" hidden="1"/>
    <cellStyle name="Lien hypertexte visité" xfId="8379" builtinId="9" hidden="1"/>
    <cellStyle name="Lien hypertexte visité" xfId="8381" builtinId="9" hidden="1"/>
    <cellStyle name="Lien hypertexte visité" xfId="8383" builtinId="9" hidden="1"/>
    <cellStyle name="Lien hypertexte visité" xfId="8385" builtinId="9" hidden="1"/>
    <cellStyle name="Lien hypertexte visité" xfId="8387" builtinId="9" hidden="1"/>
    <cellStyle name="Lien hypertexte visité" xfId="8389" builtinId="9" hidden="1"/>
    <cellStyle name="Lien hypertexte visité" xfId="8391" builtinId="9" hidden="1"/>
    <cellStyle name="Lien hypertexte visité" xfId="8393" builtinId="9" hidden="1"/>
    <cellStyle name="Lien hypertexte visité" xfId="8395" builtinId="9" hidden="1"/>
    <cellStyle name="Lien hypertexte visité" xfId="8397" builtinId="9" hidden="1"/>
    <cellStyle name="Lien hypertexte visité" xfId="8399" builtinId="9" hidden="1"/>
    <cellStyle name="Lien hypertexte visité" xfId="8401" builtinId="9" hidden="1"/>
    <cellStyle name="Lien hypertexte visité" xfId="8403" builtinId="9" hidden="1"/>
    <cellStyle name="Lien hypertexte visité" xfId="8405" builtinId="9" hidden="1"/>
    <cellStyle name="Lien hypertexte visité" xfId="8407" builtinId="9" hidden="1"/>
    <cellStyle name="Lien hypertexte visité" xfId="8409" builtinId="9" hidden="1"/>
    <cellStyle name="Lien hypertexte visité" xfId="8411" builtinId="9" hidden="1"/>
    <cellStyle name="Lien hypertexte visité" xfId="8413" builtinId="9" hidden="1"/>
    <cellStyle name="Lien hypertexte visité" xfId="8415" builtinId="9" hidden="1"/>
    <cellStyle name="Lien hypertexte visité" xfId="8417" builtinId="9" hidden="1"/>
    <cellStyle name="Lien hypertexte visité" xfId="8419" builtinId="9" hidden="1"/>
    <cellStyle name="Lien hypertexte visité" xfId="8421" builtinId="9" hidden="1"/>
    <cellStyle name="Lien hypertexte visité" xfId="8423" builtinId="9" hidden="1"/>
    <cellStyle name="Lien hypertexte visité" xfId="8425" builtinId="9" hidden="1"/>
    <cellStyle name="Lien hypertexte visité" xfId="8427" builtinId="9" hidden="1"/>
    <cellStyle name="Lien hypertexte visité" xfId="8429" builtinId="9" hidden="1"/>
    <cellStyle name="Lien hypertexte visité" xfId="8431" builtinId="9" hidden="1"/>
    <cellStyle name="Lien hypertexte visité" xfId="8433" builtinId="9" hidden="1"/>
    <cellStyle name="Lien hypertexte visité" xfId="8435" builtinId="9" hidden="1"/>
    <cellStyle name="Lien hypertexte visité" xfId="8437" builtinId="9" hidden="1"/>
    <cellStyle name="Lien hypertexte visité" xfId="8439" builtinId="9" hidden="1"/>
    <cellStyle name="Lien hypertexte visité" xfId="8441" builtinId="9" hidden="1"/>
    <cellStyle name="Lien hypertexte visité" xfId="8443" builtinId="9" hidden="1"/>
    <cellStyle name="Lien hypertexte visité" xfId="8445" builtinId="9" hidden="1"/>
    <cellStyle name="Lien hypertexte visité" xfId="8447" builtinId="9" hidden="1"/>
    <cellStyle name="Lien hypertexte visité" xfId="8449" builtinId="9" hidden="1"/>
    <cellStyle name="Lien hypertexte visité" xfId="8451" builtinId="9" hidden="1"/>
    <cellStyle name="Lien hypertexte visité" xfId="8453" builtinId="9" hidden="1"/>
    <cellStyle name="Lien hypertexte visité" xfId="8455" builtinId="9" hidden="1"/>
    <cellStyle name="Lien hypertexte visité" xfId="8457" builtinId="9" hidden="1"/>
    <cellStyle name="Lien hypertexte visité" xfId="8459" builtinId="9" hidden="1"/>
    <cellStyle name="Lien hypertexte visité" xfId="8461" builtinId="9" hidden="1"/>
    <cellStyle name="Lien hypertexte visité" xfId="8463" builtinId="9" hidden="1"/>
    <cellStyle name="Lien hypertexte visité" xfId="8465" builtinId="9" hidden="1"/>
    <cellStyle name="Lien hypertexte visité" xfId="8467" builtinId="9" hidden="1"/>
    <cellStyle name="Lien hypertexte visité" xfId="8469" builtinId="9" hidden="1"/>
    <cellStyle name="Lien hypertexte visité" xfId="8471" builtinId="9" hidden="1"/>
    <cellStyle name="Lien hypertexte visité" xfId="8473" builtinId="9" hidden="1"/>
    <cellStyle name="Lien hypertexte visité" xfId="8475" builtinId="9" hidden="1"/>
    <cellStyle name="Lien hypertexte visité" xfId="8477" builtinId="9" hidden="1"/>
    <cellStyle name="Lien hypertexte visité" xfId="8479" builtinId="9" hidden="1"/>
    <cellStyle name="Lien hypertexte visité" xfId="8481" builtinId="9" hidden="1"/>
    <cellStyle name="Lien hypertexte visité" xfId="8483" builtinId="9" hidden="1"/>
    <cellStyle name="Lien hypertexte visité" xfId="8485" builtinId="9" hidden="1"/>
    <cellStyle name="Lien hypertexte visité" xfId="8487" builtinId="9" hidden="1"/>
    <cellStyle name="Lien hypertexte visité" xfId="8489" builtinId="9" hidden="1"/>
    <cellStyle name="Lien hypertexte visité" xfId="8491" builtinId="9" hidden="1"/>
    <cellStyle name="Lien hypertexte visité" xfId="8493" builtinId="9" hidden="1"/>
    <cellStyle name="Lien hypertexte visité" xfId="8495" builtinId="9" hidden="1"/>
    <cellStyle name="Lien hypertexte visité" xfId="8497" builtinId="9" hidden="1"/>
    <cellStyle name="Lien hypertexte visité" xfId="8499" builtinId="9" hidden="1"/>
    <cellStyle name="Lien hypertexte visité" xfId="8501" builtinId="9" hidden="1"/>
    <cellStyle name="Lien hypertexte visité" xfId="8503" builtinId="9" hidden="1"/>
    <cellStyle name="Lien hypertexte visité" xfId="8505" builtinId="9" hidden="1"/>
    <cellStyle name="Lien hypertexte visité" xfId="8507" builtinId="9" hidden="1"/>
    <cellStyle name="Lien hypertexte visité" xfId="8509" builtinId="9" hidden="1"/>
    <cellStyle name="Lien hypertexte visité" xfId="8511" builtinId="9" hidden="1"/>
    <cellStyle name="Lien hypertexte visité" xfId="8513" builtinId="9" hidden="1"/>
    <cellStyle name="Lien hypertexte visité" xfId="8515" builtinId="9" hidden="1"/>
    <cellStyle name="Lien hypertexte visité" xfId="8517" builtinId="9" hidden="1"/>
    <cellStyle name="Lien hypertexte visité" xfId="8519" builtinId="9" hidden="1"/>
    <cellStyle name="Lien hypertexte visité" xfId="8521" builtinId="9" hidden="1"/>
    <cellStyle name="Lien hypertexte visité" xfId="8523" builtinId="9" hidden="1"/>
    <cellStyle name="Lien hypertexte visité" xfId="8525" builtinId="9" hidden="1"/>
    <cellStyle name="Lien hypertexte visité" xfId="8527" builtinId="9" hidden="1"/>
    <cellStyle name="Lien hypertexte visité" xfId="8529" builtinId="9" hidden="1"/>
    <cellStyle name="Lien hypertexte visité" xfId="8531" builtinId="9" hidden="1"/>
    <cellStyle name="Lien hypertexte visité" xfId="8533" builtinId="9" hidden="1"/>
    <cellStyle name="Lien hypertexte visité" xfId="8535" builtinId="9" hidden="1"/>
    <cellStyle name="Lien hypertexte visité" xfId="8537" builtinId="9" hidden="1"/>
    <cellStyle name="Lien hypertexte visité" xfId="8539" builtinId="9" hidden="1"/>
    <cellStyle name="Lien hypertexte visité" xfId="8541" builtinId="9" hidden="1"/>
    <cellStyle name="Lien hypertexte visité" xfId="8543" builtinId="9" hidden="1"/>
    <cellStyle name="Lien hypertexte visité" xfId="8545" builtinId="9" hidden="1"/>
    <cellStyle name="Lien hypertexte visité" xfId="8547" builtinId="9" hidden="1"/>
    <cellStyle name="Lien hypertexte visité" xfId="8549" builtinId="9" hidden="1"/>
    <cellStyle name="Lien hypertexte visité" xfId="8551" builtinId="9" hidden="1"/>
    <cellStyle name="Lien hypertexte visité" xfId="8553" builtinId="9" hidden="1"/>
    <cellStyle name="Lien hypertexte visité" xfId="8555" builtinId="9" hidden="1"/>
    <cellStyle name="Lien hypertexte visité" xfId="8557" builtinId="9" hidden="1"/>
    <cellStyle name="Lien hypertexte visité" xfId="8559" builtinId="9" hidden="1"/>
    <cellStyle name="Lien hypertexte visité" xfId="8561" builtinId="9" hidden="1"/>
    <cellStyle name="Lien hypertexte visité" xfId="8563" builtinId="9" hidden="1"/>
    <cellStyle name="Lien hypertexte visité" xfId="8565" builtinId="9" hidden="1"/>
    <cellStyle name="Lien hypertexte visité" xfId="8567" builtinId="9" hidden="1"/>
    <cellStyle name="Lien hypertexte visité" xfId="8569" builtinId="9" hidden="1"/>
    <cellStyle name="Lien hypertexte visité" xfId="8571" builtinId="9" hidden="1"/>
    <cellStyle name="Lien hypertexte visité" xfId="8573" builtinId="9" hidden="1"/>
    <cellStyle name="Lien hypertexte visité" xfId="8575" builtinId="9" hidden="1"/>
    <cellStyle name="Lien hypertexte visité" xfId="8577" builtinId="9" hidden="1"/>
    <cellStyle name="Lien hypertexte visité" xfId="8579" builtinId="9" hidden="1"/>
    <cellStyle name="Lien hypertexte visité" xfId="8581" builtinId="9" hidden="1"/>
    <cellStyle name="Lien hypertexte visité" xfId="8583" builtinId="9" hidden="1"/>
    <cellStyle name="Lien hypertexte visité" xfId="8585" builtinId="9" hidden="1"/>
    <cellStyle name="Lien hypertexte visité" xfId="8587" builtinId="9" hidden="1"/>
    <cellStyle name="Lien hypertexte visité" xfId="8589" builtinId="9" hidden="1"/>
    <cellStyle name="Lien hypertexte visité" xfId="8591" builtinId="9" hidden="1"/>
    <cellStyle name="Lien hypertexte visité" xfId="8593" builtinId="9" hidden="1"/>
    <cellStyle name="Lien hypertexte visité" xfId="8595" builtinId="9" hidden="1"/>
    <cellStyle name="Lien hypertexte visité" xfId="8597" builtinId="9" hidden="1"/>
    <cellStyle name="Lien hypertexte visité" xfId="8599" builtinId="9" hidden="1"/>
    <cellStyle name="Lien hypertexte visité" xfId="8601" builtinId="9" hidden="1"/>
    <cellStyle name="Lien hypertexte visité" xfId="8603" builtinId="9" hidden="1"/>
    <cellStyle name="Lien hypertexte visité" xfId="8605" builtinId="9" hidden="1"/>
    <cellStyle name="Lien hypertexte visité" xfId="8607" builtinId="9" hidden="1"/>
    <cellStyle name="Lien hypertexte visité" xfId="8609" builtinId="9" hidden="1"/>
    <cellStyle name="Lien hypertexte visité" xfId="8611" builtinId="9" hidden="1"/>
    <cellStyle name="Lien hypertexte visité" xfId="8613" builtinId="9" hidden="1"/>
    <cellStyle name="Lien hypertexte visité" xfId="8615" builtinId="9" hidden="1"/>
    <cellStyle name="Lien hypertexte visité" xfId="8617" builtinId="9" hidden="1"/>
    <cellStyle name="Lien hypertexte visité" xfId="8619" builtinId="9" hidden="1"/>
    <cellStyle name="Lien hypertexte visité" xfId="8621" builtinId="9" hidden="1"/>
    <cellStyle name="Lien hypertexte visité" xfId="8623" builtinId="9" hidden="1"/>
    <cellStyle name="Lien hypertexte visité" xfId="8625" builtinId="9" hidden="1"/>
    <cellStyle name="Lien hypertexte visité" xfId="8627" builtinId="9" hidden="1"/>
    <cellStyle name="Lien hypertexte visité" xfId="8629" builtinId="9" hidden="1"/>
    <cellStyle name="Lien hypertexte visité" xfId="8631" builtinId="9" hidden="1"/>
    <cellStyle name="Lien hypertexte visité" xfId="8633" builtinId="9" hidden="1"/>
    <cellStyle name="Lien hypertexte visité" xfId="8635" builtinId="9" hidden="1"/>
    <cellStyle name="Lien hypertexte visité" xfId="8637" builtinId="9" hidden="1"/>
    <cellStyle name="Lien hypertexte visité" xfId="8639" builtinId="9" hidden="1"/>
    <cellStyle name="Lien hypertexte visité" xfId="8641" builtinId="9" hidden="1"/>
    <cellStyle name="Lien hypertexte visité" xfId="8643" builtinId="9" hidden="1"/>
    <cellStyle name="Lien hypertexte visité" xfId="8645" builtinId="9" hidden="1"/>
    <cellStyle name="Lien hypertexte visité" xfId="8647" builtinId="9" hidden="1"/>
    <cellStyle name="Lien hypertexte visité" xfId="8649" builtinId="9" hidden="1"/>
    <cellStyle name="Lien hypertexte visité" xfId="8651" builtinId="9" hidden="1"/>
    <cellStyle name="Lien hypertexte visité" xfId="8653" builtinId="9" hidden="1"/>
    <cellStyle name="Lien hypertexte visité" xfId="8655" builtinId="9" hidden="1"/>
    <cellStyle name="Lien hypertexte visité" xfId="8657" builtinId="9" hidden="1"/>
    <cellStyle name="Lien hypertexte visité" xfId="8659" builtinId="9" hidden="1"/>
    <cellStyle name="Lien hypertexte visité" xfId="8661" builtinId="9" hidden="1"/>
    <cellStyle name="Lien hypertexte visité" xfId="8663" builtinId="9" hidden="1"/>
    <cellStyle name="Lien hypertexte visité" xfId="8665" builtinId="9" hidden="1"/>
    <cellStyle name="Lien hypertexte visité" xfId="8667" builtinId="9" hidden="1"/>
    <cellStyle name="Lien hypertexte visité" xfId="8669" builtinId="9" hidden="1"/>
    <cellStyle name="Lien hypertexte visité" xfId="8671" builtinId="9" hidden="1"/>
    <cellStyle name="Lien hypertexte visité" xfId="8673" builtinId="9" hidden="1"/>
    <cellStyle name="Lien hypertexte visité" xfId="8675" builtinId="9" hidden="1"/>
    <cellStyle name="Lien hypertexte visité" xfId="8677" builtinId="9" hidden="1"/>
    <cellStyle name="Lien hypertexte visité" xfId="8679" builtinId="9" hidden="1"/>
    <cellStyle name="Lien hypertexte visité" xfId="8681" builtinId="9" hidden="1"/>
    <cellStyle name="Lien hypertexte visité" xfId="8683" builtinId="9" hidden="1"/>
    <cellStyle name="Lien hypertexte visité" xfId="8685" builtinId="9" hidden="1"/>
    <cellStyle name="Lien hypertexte visité" xfId="8687" builtinId="9" hidden="1"/>
    <cellStyle name="Lien hypertexte visité" xfId="8689" builtinId="9" hidden="1"/>
    <cellStyle name="Lien hypertexte visité" xfId="8691" builtinId="9" hidden="1"/>
    <cellStyle name="Lien hypertexte visité" xfId="8693" builtinId="9" hidden="1"/>
    <cellStyle name="Lien hypertexte visité" xfId="8695" builtinId="9" hidden="1"/>
    <cellStyle name="Lien hypertexte visité" xfId="8697" builtinId="9" hidden="1"/>
    <cellStyle name="Lien hypertexte visité" xfId="8699" builtinId="9" hidden="1"/>
    <cellStyle name="Lien hypertexte visité" xfId="8701" builtinId="9" hidden="1"/>
    <cellStyle name="Lien hypertexte visité" xfId="8703" builtinId="9" hidden="1"/>
    <cellStyle name="Lien hypertexte visité" xfId="8705" builtinId="9" hidden="1"/>
    <cellStyle name="Lien hypertexte visité" xfId="8707" builtinId="9" hidden="1"/>
    <cellStyle name="Lien hypertexte visité" xfId="8709" builtinId="9" hidden="1"/>
    <cellStyle name="Lien hypertexte visité" xfId="8711" builtinId="9" hidden="1"/>
    <cellStyle name="Lien hypertexte visité" xfId="8713" builtinId="9" hidden="1"/>
    <cellStyle name="Lien hypertexte visité" xfId="8715" builtinId="9" hidden="1"/>
    <cellStyle name="Lien hypertexte visité" xfId="8717" builtinId="9" hidden="1"/>
    <cellStyle name="Lien hypertexte visité" xfId="8719" builtinId="9" hidden="1"/>
    <cellStyle name="Lien hypertexte visité" xfId="8721" builtinId="9" hidden="1"/>
    <cellStyle name="Lien hypertexte visité" xfId="8723" builtinId="9" hidden="1"/>
    <cellStyle name="Lien hypertexte visité" xfId="8725" builtinId="9" hidden="1"/>
    <cellStyle name="Lien hypertexte visité" xfId="8727" builtinId="9" hidden="1"/>
    <cellStyle name="Lien hypertexte visité" xfId="8729" builtinId="9" hidden="1"/>
    <cellStyle name="Lien hypertexte visité" xfId="8731" builtinId="9" hidden="1"/>
    <cellStyle name="Lien hypertexte visité" xfId="8733" builtinId="9" hidden="1"/>
    <cellStyle name="Lien hypertexte visité" xfId="8735" builtinId="9" hidden="1"/>
    <cellStyle name="Lien hypertexte visité" xfId="8737" builtinId="9" hidden="1"/>
    <cellStyle name="Lien hypertexte visité" xfId="8739" builtinId="9" hidden="1"/>
    <cellStyle name="Lien hypertexte visité" xfId="8741" builtinId="9" hidden="1"/>
    <cellStyle name="Lien hypertexte visité" xfId="8743" builtinId="9" hidden="1"/>
    <cellStyle name="Lien hypertexte visité" xfId="8745" builtinId="9" hidden="1"/>
    <cellStyle name="Lien hypertexte visité" xfId="8747" builtinId="9" hidden="1"/>
    <cellStyle name="Lien hypertexte visité" xfId="8749" builtinId="9" hidden="1"/>
    <cellStyle name="Lien hypertexte visité" xfId="8751" builtinId="9" hidden="1"/>
    <cellStyle name="Lien hypertexte visité" xfId="8753" builtinId="9" hidden="1"/>
    <cellStyle name="Lien hypertexte visité" xfId="8755" builtinId="9" hidden="1"/>
    <cellStyle name="Lien hypertexte visité" xfId="8757" builtinId="9" hidden="1"/>
    <cellStyle name="Lien hypertexte visité" xfId="8759" builtinId="9" hidden="1"/>
    <cellStyle name="Lien hypertexte visité" xfId="8761" builtinId="9" hidden="1"/>
    <cellStyle name="Lien hypertexte visité" xfId="8763" builtinId="9" hidden="1"/>
    <cellStyle name="Lien hypertexte visité" xfId="8765" builtinId="9" hidden="1"/>
    <cellStyle name="Lien hypertexte visité" xfId="8767" builtinId="9" hidden="1"/>
    <cellStyle name="Lien hypertexte visité" xfId="8769" builtinId="9" hidden="1"/>
    <cellStyle name="Lien hypertexte visité" xfId="8771" builtinId="9" hidden="1"/>
    <cellStyle name="Lien hypertexte visité" xfId="8773" builtinId="9" hidden="1"/>
    <cellStyle name="Lien hypertexte visité" xfId="8775" builtinId="9" hidden="1"/>
    <cellStyle name="Lien hypertexte visité" xfId="8777" builtinId="9" hidden="1"/>
    <cellStyle name="Lien hypertexte visité" xfId="8779" builtinId="9" hidden="1"/>
    <cellStyle name="Lien hypertexte visité" xfId="8781" builtinId="9" hidden="1"/>
    <cellStyle name="Lien hypertexte visité" xfId="8783" builtinId="9" hidden="1"/>
    <cellStyle name="Lien hypertexte visité" xfId="8785" builtinId="9" hidden="1"/>
    <cellStyle name="Lien hypertexte visité" xfId="8787" builtinId="9" hidden="1"/>
    <cellStyle name="Lien hypertexte visité" xfId="8789" builtinId="9" hidden="1"/>
    <cellStyle name="Lien hypertexte visité" xfId="8791" builtinId="9" hidden="1"/>
    <cellStyle name="Lien hypertexte visité" xfId="8793" builtinId="9" hidden="1"/>
    <cellStyle name="Lien hypertexte visité" xfId="8795" builtinId="9" hidden="1"/>
    <cellStyle name="Lien hypertexte visité" xfId="8797" builtinId="9" hidden="1"/>
    <cellStyle name="Lien hypertexte visité" xfId="8799" builtinId="9" hidden="1"/>
    <cellStyle name="Lien hypertexte visité" xfId="8801" builtinId="9" hidden="1"/>
    <cellStyle name="Lien hypertexte visité" xfId="8803" builtinId="9" hidden="1"/>
    <cellStyle name="Lien hypertexte visité" xfId="8805" builtinId="9" hidden="1"/>
    <cellStyle name="Lien hypertexte visité" xfId="8807" builtinId="9" hidden="1"/>
    <cellStyle name="Lien hypertexte visité" xfId="8809" builtinId="9" hidden="1"/>
    <cellStyle name="Lien hypertexte visité" xfId="8811" builtinId="9" hidden="1"/>
    <cellStyle name="Lien hypertexte visité" xfId="8813" builtinId="9" hidden="1"/>
    <cellStyle name="Lien hypertexte visité" xfId="8815" builtinId="9" hidden="1"/>
    <cellStyle name="Lien hypertexte visité" xfId="8817" builtinId="9" hidden="1"/>
    <cellStyle name="Lien hypertexte visité" xfId="8819" builtinId="9" hidden="1"/>
    <cellStyle name="Lien hypertexte visité" xfId="8821" builtinId="9" hidden="1"/>
    <cellStyle name="Lien hypertexte visité" xfId="8823" builtinId="9" hidden="1"/>
    <cellStyle name="Lien hypertexte visité" xfId="8825" builtinId="9" hidden="1"/>
    <cellStyle name="Lien hypertexte visité" xfId="8827" builtinId="9" hidden="1"/>
    <cellStyle name="Lien hypertexte visité" xfId="8829" builtinId="9" hidden="1"/>
    <cellStyle name="Lien hypertexte visité" xfId="8831" builtinId="9" hidden="1"/>
    <cellStyle name="Lien hypertexte visité" xfId="8833" builtinId="9" hidden="1"/>
    <cellStyle name="Lien hypertexte visité" xfId="8835" builtinId="9" hidden="1"/>
    <cellStyle name="Lien hypertexte visité" xfId="8837" builtinId="9" hidden="1"/>
    <cellStyle name="Lien hypertexte visité" xfId="8839" builtinId="9" hidden="1"/>
    <cellStyle name="Lien hypertexte visité" xfId="8841" builtinId="9" hidden="1"/>
    <cellStyle name="Lien hypertexte visité" xfId="8843" builtinId="9" hidden="1"/>
    <cellStyle name="Lien hypertexte visité" xfId="8845" builtinId="9" hidden="1"/>
    <cellStyle name="Lien hypertexte visité" xfId="8847" builtinId="9" hidden="1"/>
    <cellStyle name="Lien hypertexte visité" xfId="8849" builtinId="9" hidden="1"/>
    <cellStyle name="Lien hypertexte visité" xfId="8851" builtinId="9" hidden="1"/>
    <cellStyle name="Lien hypertexte visité" xfId="8853" builtinId="9" hidden="1"/>
    <cellStyle name="Lien hypertexte visité" xfId="8855" builtinId="9" hidden="1"/>
    <cellStyle name="Lien hypertexte visité" xfId="8857" builtinId="9" hidden="1"/>
    <cellStyle name="Lien hypertexte visité" xfId="8859" builtinId="9" hidden="1"/>
    <cellStyle name="Lien hypertexte visité" xfId="8861" builtinId="9" hidden="1"/>
    <cellStyle name="Lien hypertexte visité" xfId="8863" builtinId="9" hidden="1"/>
    <cellStyle name="Lien hypertexte visité" xfId="8865" builtinId="9" hidden="1"/>
    <cellStyle name="Lien hypertexte visité" xfId="8867" builtinId="9" hidden="1"/>
    <cellStyle name="Lien hypertexte visité" xfId="8869" builtinId="9" hidden="1"/>
    <cellStyle name="Lien hypertexte visité" xfId="8871" builtinId="9" hidden="1"/>
    <cellStyle name="Lien hypertexte visité" xfId="8873" builtinId="9" hidden="1"/>
    <cellStyle name="Lien hypertexte visité" xfId="8875" builtinId="9" hidden="1"/>
    <cellStyle name="Lien hypertexte visité" xfId="8877" builtinId="9" hidden="1"/>
    <cellStyle name="Lien hypertexte visité" xfId="8879" builtinId="9" hidden="1"/>
    <cellStyle name="Lien hypertexte visité" xfId="8881" builtinId="9" hidden="1"/>
    <cellStyle name="Lien hypertexte visité" xfId="8883" builtinId="9" hidden="1"/>
    <cellStyle name="Lien hypertexte visité" xfId="8885" builtinId="9" hidden="1"/>
    <cellStyle name="Lien hypertexte visité" xfId="8887" builtinId="9" hidden="1"/>
    <cellStyle name="Lien hypertexte visité" xfId="8889" builtinId="9" hidden="1"/>
    <cellStyle name="Lien hypertexte visité" xfId="8891" builtinId="9" hidden="1"/>
    <cellStyle name="Lien hypertexte visité" xfId="8893" builtinId="9" hidden="1"/>
    <cellStyle name="Lien hypertexte visité" xfId="8895" builtinId="9" hidden="1"/>
    <cellStyle name="Lien hypertexte visité" xfId="8897" builtinId="9" hidden="1"/>
    <cellStyle name="Lien hypertexte visité" xfId="8899" builtinId="9" hidden="1"/>
    <cellStyle name="Lien hypertexte visité" xfId="8901" builtinId="9" hidden="1"/>
    <cellStyle name="Lien hypertexte visité" xfId="8903" builtinId="9" hidden="1"/>
    <cellStyle name="Lien hypertexte visité" xfId="8905" builtinId="9" hidden="1"/>
    <cellStyle name="Lien hypertexte visité" xfId="8907" builtinId="9" hidden="1"/>
    <cellStyle name="Lien hypertexte visité" xfId="8909" builtinId="9" hidden="1"/>
    <cellStyle name="Lien hypertexte visité" xfId="8911" builtinId="9" hidden="1"/>
    <cellStyle name="Lien hypertexte visité" xfId="8913" builtinId="9" hidden="1"/>
    <cellStyle name="Lien hypertexte visité" xfId="8915" builtinId="9" hidden="1"/>
    <cellStyle name="Lien hypertexte visité" xfId="8917" builtinId="9" hidden="1"/>
    <cellStyle name="Lien hypertexte visité" xfId="8919" builtinId="9" hidden="1"/>
    <cellStyle name="Lien hypertexte visité" xfId="8921" builtinId="9" hidden="1"/>
    <cellStyle name="Lien hypertexte visité" xfId="8923" builtinId="9" hidden="1"/>
    <cellStyle name="Lien hypertexte visité" xfId="8925" builtinId="9" hidden="1"/>
    <cellStyle name="Lien hypertexte visité" xfId="8927" builtinId="9" hidden="1"/>
    <cellStyle name="Lien hypertexte visité" xfId="8929" builtinId="9" hidden="1"/>
    <cellStyle name="Lien hypertexte visité" xfId="8931" builtinId="9" hidden="1"/>
    <cellStyle name="Lien hypertexte visité" xfId="8933" builtinId="9" hidden="1"/>
    <cellStyle name="Lien hypertexte visité" xfId="8935" builtinId="9" hidden="1"/>
    <cellStyle name="Lien hypertexte visité" xfId="8937" builtinId="9" hidden="1"/>
    <cellStyle name="Lien hypertexte visité" xfId="8939" builtinId="9" hidden="1"/>
    <cellStyle name="Lien hypertexte visité" xfId="8941" builtinId="9" hidden="1"/>
    <cellStyle name="Lien hypertexte visité" xfId="8943" builtinId="9" hidden="1"/>
    <cellStyle name="Lien hypertexte visité" xfId="8945" builtinId="9" hidden="1"/>
    <cellStyle name="Lien hypertexte visité" xfId="8947" builtinId="9" hidden="1"/>
    <cellStyle name="Lien hypertexte visité" xfId="8949" builtinId="9" hidden="1"/>
    <cellStyle name="Lien hypertexte visité" xfId="8951" builtinId="9" hidden="1"/>
    <cellStyle name="Lien hypertexte visité" xfId="8953" builtinId="9" hidden="1"/>
    <cellStyle name="Lien hypertexte visité" xfId="8955" builtinId="9" hidden="1"/>
    <cellStyle name="Lien hypertexte visité" xfId="8957" builtinId="9" hidden="1"/>
    <cellStyle name="Lien hypertexte visité" xfId="8959" builtinId="9" hidden="1"/>
    <cellStyle name="Lien hypertexte visité" xfId="8961" builtinId="9" hidden="1"/>
    <cellStyle name="Lien hypertexte visité" xfId="8963" builtinId="9" hidden="1"/>
    <cellStyle name="Lien hypertexte visité" xfId="8965" builtinId="9" hidden="1"/>
    <cellStyle name="Lien hypertexte visité" xfId="8967" builtinId="9" hidden="1"/>
    <cellStyle name="Lien hypertexte visité" xfId="8969" builtinId="9" hidden="1"/>
    <cellStyle name="Lien hypertexte visité" xfId="8971" builtinId="9" hidden="1"/>
    <cellStyle name="Lien hypertexte visité" xfId="8973" builtinId="9" hidden="1"/>
    <cellStyle name="Lien hypertexte visité" xfId="8975" builtinId="9" hidden="1"/>
    <cellStyle name="Lien hypertexte visité" xfId="8977" builtinId="9" hidden="1"/>
    <cellStyle name="Lien hypertexte visité" xfId="8979" builtinId="9" hidden="1"/>
    <cellStyle name="Lien hypertexte visité" xfId="8981" builtinId="9" hidden="1"/>
    <cellStyle name="Lien hypertexte visité" xfId="8984" builtinId="9" hidden="1"/>
    <cellStyle name="Lien hypertexte visité" xfId="8986" builtinId="9" hidden="1"/>
    <cellStyle name="Lien hypertexte visité" xfId="8988" builtinId="9" hidden="1"/>
    <cellStyle name="Lien hypertexte visité" xfId="8990" builtinId="9" hidden="1"/>
    <cellStyle name="Lien hypertexte visité" xfId="8992" builtinId="9" hidden="1"/>
    <cellStyle name="Lien hypertexte visité" xfId="8994" builtinId="9" hidden="1"/>
    <cellStyle name="Lien hypertexte visité" xfId="8996" builtinId="9" hidden="1"/>
    <cellStyle name="Lien hypertexte visité" xfId="8998" builtinId="9" hidden="1"/>
    <cellStyle name="Lien hypertexte visité" xfId="9000" builtinId="9" hidden="1"/>
    <cellStyle name="Lien hypertexte visité" xfId="9002" builtinId="9" hidden="1"/>
    <cellStyle name="Lien hypertexte visité" xfId="9004" builtinId="9" hidden="1"/>
    <cellStyle name="Lien hypertexte visité" xfId="9006" builtinId="9" hidden="1"/>
    <cellStyle name="Lien hypertexte visité" xfId="9008" builtinId="9" hidden="1"/>
    <cellStyle name="Lien hypertexte visité" xfId="9010" builtinId="9" hidden="1"/>
    <cellStyle name="Lien hypertexte visité" xfId="9012" builtinId="9" hidden="1"/>
    <cellStyle name="Lien hypertexte visité" xfId="9014" builtinId="9" hidden="1"/>
    <cellStyle name="Lien hypertexte visité" xfId="9016" builtinId="9" hidden="1"/>
    <cellStyle name="Lien hypertexte visité" xfId="9018" builtinId="9" hidden="1"/>
    <cellStyle name="Lien hypertexte visité" xfId="9020" builtinId="9" hidden="1"/>
    <cellStyle name="Lien hypertexte visité" xfId="9022" builtinId="9" hidden="1"/>
    <cellStyle name="Lien hypertexte visité" xfId="9024" builtinId="9" hidden="1"/>
    <cellStyle name="Lien hypertexte visité" xfId="9026" builtinId="9" hidden="1"/>
    <cellStyle name="Lien hypertexte visité" xfId="9028" builtinId="9" hidden="1"/>
    <cellStyle name="Lien hypertexte visité" xfId="9030" builtinId="9" hidden="1"/>
    <cellStyle name="Lien hypertexte visité" xfId="9032" builtinId="9" hidden="1"/>
    <cellStyle name="Lien hypertexte visité" xfId="9034" builtinId="9" hidden="1"/>
    <cellStyle name="Lien hypertexte visité" xfId="9036" builtinId="9" hidden="1"/>
    <cellStyle name="Lien hypertexte visité" xfId="9038" builtinId="9" hidden="1"/>
    <cellStyle name="Lien hypertexte visité" xfId="9040" builtinId="9" hidden="1"/>
    <cellStyle name="Lien hypertexte visité" xfId="9042" builtinId="9" hidden="1"/>
    <cellStyle name="Lien hypertexte visité" xfId="9044" builtinId="9" hidden="1"/>
    <cellStyle name="Lien hypertexte visité" xfId="9046" builtinId="9" hidden="1"/>
    <cellStyle name="Lien hypertexte visité" xfId="9048" builtinId="9" hidden="1"/>
    <cellStyle name="Lien hypertexte visité" xfId="9050" builtinId="9" hidden="1"/>
    <cellStyle name="Lien hypertexte visité" xfId="9052" builtinId="9" hidden="1"/>
    <cellStyle name="Lien hypertexte visité" xfId="9054" builtinId="9" hidden="1"/>
    <cellStyle name="Lien hypertexte visité" xfId="9056" builtinId="9" hidden="1"/>
    <cellStyle name="Lien hypertexte visité" xfId="9058" builtinId="9" hidden="1"/>
    <cellStyle name="Lien hypertexte visité" xfId="9060" builtinId="9" hidden="1"/>
    <cellStyle name="Lien hypertexte visité" xfId="9062" builtinId="9" hidden="1"/>
    <cellStyle name="Lien hypertexte visité" xfId="9064" builtinId="9" hidden="1"/>
    <cellStyle name="Lien hypertexte visité" xfId="9066" builtinId="9" hidden="1"/>
    <cellStyle name="Lien hypertexte visité" xfId="9068" builtinId="9" hidden="1"/>
    <cellStyle name="Lien hypertexte visité" xfId="9070" builtinId="9" hidden="1"/>
    <cellStyle name="Lien hypertexte visité" xfId="9072" builtinId="9" hidden="1"/>
    <cellStyle name="Lien hypertexte visité" xfId="9074" builtinId="9" hidden="1"/>
    <cellStyle name="Lien hypertexte visité" xfId="9076" builtinId="9" hidden="1"/>
    <cellStyle name="Lien hypertexte visité" xfId="9078" builtinId="9" hidden="1"/>
    <cellStyle name="Lien hypertexte visité" xfId="9080" builtinId="9" hidden="1"/>
    <cellStyle name="Lien hypertexte visité" xfId="9082" builtinId="9" hidden="1"/>
    <cellStyle name="Lien hypertexte visité" xfId="9084" builtinId="9" hidden="1"/>
    <cellStyle name="Lien hypertexte visité" xfId="9086" builtinId="9" hidden="1"/>
    <cellStyle name="Lien hypertexte visité" xfId="9088" builtinId="9" hidden="1"/>
    <cellStyle name="Lien hypertexte visité" xfId="9090" builtinId="9" hidden="1"/>
    <cellStyle name="Lien hypertexte visité" xfId="9092" builtinId="9" hidden="1"/>
    <cellStyle name="Lien hypertexte visité" xfId="9094" builtinId="9" hidden="1"/>
    <cellStyle name="Lien hypertexte visité" xfId="9096" builtinId="9" hidden="1"/>
    <cellStyle name="Lien hypertexte visité" xfId="9098" builtinId="9" hidden="1"/>
    <cellStyle name="Lien hypertexte visité" xfId="9100" builtinId="9" hidden="1"/>
    <cellStyle name="Lien hypertexte visité" xfId="9102" builtinId="9" hidden="1"/>
    <cellStyle name="Lien hypertexte visité" xfId="9104" builtinId="9" hidden="1"/>
    <cellStyle name="Lien hypertexte visité" xfId="9106" builtinId="9" hidden="1"/>
    <cellStyle name="Lien hypertexte visité" xfId="9108" builtinId="9" hidden="1"/>
    <cellStyle name="Lien hypertexte visité" xfId="9110" builtinId="9" hidden="1"/>
    <cellStyle name="Lien hypertexte visité" xfId="9112" builtinId="9" hidden="1"/>
    <cellStyle name="Lien hypertexte visité" xfId="9114" builtinId="9" hidden="1"/>
    <cellStyle name="Lien hypertexte visité" xfId="9116" builtinId="9" hidden="1"/>
    <cellStyle name="Lien hypertexte visité" xfId="9118" builtinId="9" hidden="1"/>
    <cellStyle name="Lien hypertexte visité" xfId="9120" builtinId="9" hidden="1"/>
    <cellStyle name="Lien hypertexte visité" xfId="9122" builtinId="9" hidden="1"/>
    <cellStyle name="Lien hypertexte visité" xfId="9124" builtinId="9" hidden="1"/>
    <cellStyle name="Lien hypertexte visité" xfId="9126" builtinId="9" hidden="1"/>
    <cellStyle name="Lien hypertexte visité" xfId="9128" builtinId="9" hidden="1"/>
    <cellStyle name="Lien hypertexte visité" xfId="9130" builtinId="9" hidden="1"/>
    <cellStyle name="Lien hypertexte visité" xfId="9132" builtinId="9" hidden="1"/>
    <cellStyle name="Lien hypertexte visité" xfId="9134" builtinId="9" hidden="1"/>
    <cellStyle name="Lien hypertexte visité" xfId="9136" builtinId="9" hidden="1"/>
    <cellStyle name="Lien hypertexte visité" xfId="9138" builtinId="9" hidden="1"/>
    <cellStyle name="Lien hypertexte visité" xfId="9140" builtinId="9" hidden="1"/>
    <cellStyle name="Lien hypertexte visité" xfId="9142" builtinId="9" hidden="1"/>
    <cellStyle name="Lien hypertexte visité" xfId="9144" builtinId="9" hidden="1"/>
    <cellStyle name="Lien hypertexte visité" xfId="9146" builtinId="9" hidden="1"/>
    <cellStyle name="Lien hypertexte visité" xfId="9148" builtinId="9" hidden="1"/>
    <cellStyle name="Lien hypertexte visité" xfId="9150" builtinId="9" hidden="1"/>
    <cellStyle name="Lien hypertexte visité" xfId="9152" builtinId="9" hidden="1"/>
    <cellStyle name="Lien hypertexte visité" xfId="9154" builtinId="9" hidden="1"/>
    <cellStyle name="Lien hypertexte visité" xfId="9156" builtinId="9" hidden="1"/>
    <cellStyle name="Lien hypertexte visité" xfId="9158" builtinId="9" hidden="1"/>
    <cellStyle name="Lien hypertexte visité" xfId="9160" builtinId="9" hidden="1"/>
    <cellStyle name="Lien hypertexte visité" xfId="9162" builtinId="9" hidden="1"/>
    <cellStyle name="Lien hypertexte visité" xfId="9164" builtinId="9" hidden="1"/>
    <cellStyle name="Lien hypertexte visité" xfId="9166" builtinId="9" hidden="1"/>
    <cellStyle name="Lien hypertexte visité" xfId="9168" builtinId="9" hidden="1"/>
    <cellStyle name="Lien hypertexte visité" xfId="9170" builtinId="9" hidden="1"/>
    <cellStyle name="Lien hypertexte visité" xfId="9172" builtinId="9" hidden="1"/>
    <cellStyle name="Lien hypertexte visité" xfId="9174" builtinId="9" hidden="1"/>
    <cellStyle name="Lien hypertexte visité" xfId="9176" builtinId="9" hidden="1"/>
    <cellStyle name="Lien hypertexte visité" xfId="9178" builtinId="9" hidden="1"/>
    <cellStyle name="Lien hypertexte visité" xfId="9180" builtinId="9" hidden="1"/>
    <cellStyle name="Lien hypertexte visité" xfId="9182" builtinId="9" hidden="1"/>
    <cellStyle name="Lien hypertexte visité" xfId="9184" builtinId="9" hidden="1"/>
    <cellStyle name="Lien hypertexte visité" xfId="9186" builtinId="9" hidden="1"/>
    <cellStyle name="Lien hypertexte visité" xfId="9188" builtinId="9" hidden="1"/>
    <cellStyle name="Lien hypertexte visité" xfId="9190" builtinId="9" hidden="1"/>
    <cellStyle name="Lien hypertexte visité" xfId="9192" builtinId="9" hidden="1"/>
    <cellStyle name="Lien hypertexte visité" xfId="9194" builtinId="9" hidden="1"/>
    <cellStyle name="Lien hypertexte visité" xfId="9196" builtinId="9" hidden="1"/>
    <cellStyle name="Lien hypertexte visité" xfId="9198" builtinId="9" hidden="1"/>
    <cellStyle name="Lien hypertexte visité" xfId="9200" builtinId="9" hidden="1"/>
    <cellStyle name="Lien hypertexte visité" xfId="9202" builtinId="9" hidden="1"/>
    <cellStyle name="Lien hypertexte visité" xfId="9204" builtinId="9" hidden="1"/>
    <cellStyle name="Lien hypertexte visité" xfId="9206" builtinId="9" hidden="1"/>
    <cellStyle name="Lien hypertexte visité" xfId="9208" builtinId="9" hidden="1"/>
    <cellStyle name="Lien hypertexte visité" xfId="9210" builtinId="9" hidden="1"/>
    <cellStyle name="Lien hypertexte visité" xfId="9212" builtinId="9" hidden="1"/>
    <cellStyle name="Lien hypertexte visité" xfId="9214" builtinId="9" hidden="1"/>
    <cellStyle name="Lien hypertexte visité" xfId="9216" builtinId="9" hidden="1"/>
    <cellStyle name="Lien hypertexte visité" xfId="9218" builtinId="9" hidden="1"/>
    <cellStyle name="Lien hypertexte visité" xfId="9220" builtinId="9" hidden="1"/>
    <cellStyle name="Lien hypertexte visité" xfId="9222" builtinId="9" hidden="1"/>
    <cellStyle name="Lien hypertexte visité" xfId="9224" builtinId="9" hidden="1"/>
    <cellStyle name="Lien hypertexte visité" xfId="9226" builtinId="9" hidden="1"/>
    <cellStyle name="Lien hypertexte visité" xfId="9228" builtinId="9" hidden="1"/>
    <cellStyle name="Lien hypertexte visité" xfId="9230" builtinId="9" hidden="1"/>
    <cellStyle name="Lien hypertexte visité" xfId="9232" builtinId="9" hidden="1"/>
    <cellStyle name="Lien hypertexte visité" xfId="9234" builtinId="9" hidden="1"/>
    <cellStyle name="Lien hypertexte visité" xfId="9236" builtinId="9" hidden="1"/>
    <cellStyle name="Lien hypertexte visité" xfId="9238" builtinId="9" hidden="1"/>
    <cellStyle name="Lien hypertexte visité" xfId="9240" builtinId="9" hidden="1"/>
    <cellStyle name="Lien hypertexte visité" xfId="9242" builtinId="9" hidden="1"/>
    <cellStyle name="Lien hypertexte visité" xfId="9244" builtinId="9" hidden="1"/>
    <cellStyle name="Lien hypertexte visité" xfId="9246" builtinId="9" hidden="1"/>
    <cellStyle name="Lien hypertexte visité" xfId="9248" builtinId="9" hidden="1"/>
    <cellStyle name="Lien hypertexte visité" xfId="9250" builtinId="9" hidden="1"/>
    <cellStyle name="Lien hypertexte visité" xfId="9252" builtinId="9" hidden="1"/>
    <cellStyle name="Lien hypertexte visité" xfId="9254" builtinId="9" hidden="1"/>
    <cellStyle name="Lien hypertexte visité" xfId="9256" builtinId="9" hidden="1"/>
    <cellStyle name="Lien hypertexte visité" xfId="9258" builtinId="9" hidden="1"/>
    <cellStyle name="Lien hypertexte visité" xfId="9260" builtinId="9" hidden="1"/>
    <cellStyle name="Lien hypertexte visité" xfId="9262" builtinId="9" hidden="1"/>
    <cellStyle name="Lien hypertexte visité" xfId="9264" builtinId="9" hidden="1"/>
    <cellStyle name="Lien hypertexte visité" xfId="9266" builtinId="9" hidden="1"/>
    <cellStyle name="Lien hypertexte visité" xfId="9268" builtinId="9" hidden="1"/>
    <cellStyle name="Lien hypertexte visité" xfId="9270" builtinId="9" hidden="1"/>
    <cellStyle name="Lien hypertexte visité" xfId="9272" builtinId="9" hidden="1"/>
    <cellStyle name="Lien hypertexte visité" xfId="9274" builtinId="9" hidden="1"/>
    <cellStyle name="Lien hypertexte visité" xfId="9276" builtinId="9" hidden="1"/>
    <cellStyle name="Lien hypertexte visité" xfId="9278" builtinId="9" hidden="1"/>
    <cellStyle name="Lien hypertexte visité" xfId="9280" builtinId="9" hidden="1"/>
    <cellStyle name="Lien hypertexte visité" xfId="9282" builtinId="9" hidden="1"/>
    <cellStyle name="Lien hypertexte visité" xfId="9284" builtinId="9" hidden="1"/>
    <cellStyle name="Lien hypertexte visité" xfId="9286" builtinId="9" hidden="1"/>
    <cellStyle name="Lien hypertexte visité" xfId="9288" builtinId="9" hidden="1"/>
    <cellStyle name="Lien hypertexte visité" xfId="9290" builtinId="9" hidden="1"/>
    <cellStyle name="Lien hypertexte visité" xfId="9292" builtinId="9" hidden="1"/>
    <cellStyle name="Lien hypertexte visité" xfId="9294" builtinId="9" hidden="1"/>
    <cellStyle name="Lien hypertexte visité" xfId="9296" builtinId="9" hidden="1"/>
    <cellStyle name="Lien hypertexte visité" xfId="9298" builtinId="9" hidden="1"/>
    <cellStyle name="Lien hypertexte visité" xfId="9300" builtinId="9" hidden="1"/>
    <cellStyle name="Lien hypertexte visité" xfId="9302" builtinId="9" hidden="1"/>
    <cellStyle name="Lien hypertexte visité" xfId="9304" builtinId="9" hidden="1"/>
    <cellStyle name="Lien hypertexte visité" xfId="9306" builtinId="9" hidden="1"/>
    <cellStyle name="Lien hypertexte visité" xfId="9308" builtinId="9" hidden="1"/>
    <cellStyle name="Lien hypertexte visité" xfId="9310" builtinId="9" hidden="1"/>
    <cellStyle name="Lien hypertexte visité" xfId="9312" builtinId="9" hidden="1"/>
    <cellStyle name="Lien hypertexte visité" xfId="9314" builtinId="9" hidden="1"/>
    <cellStyle name="Lien hypertexte visité" xfId="9316" builtinId="9" hidden="1"/>
    <cellStyle name="Lien hypertexte visité" xfId="9318" builtinId="9" hidden="1"/>
    <cellStyle name="Lien hypertexte visité" xfId="9320" builtinId="9" hidden="1"/>
    <cellStyle name="Lien hypertexte visité" xfId="9322" builtinId="9" hidden="1"/>
    <cellStyle name="Lien hypertexte visité" xfId="9324" builtinId="9" hidden="1"/>
    <cellStyle name="Lien hypertexte visité" xfId="9326" builtinId="9" hidden="1"/>
    <cellStyle name="Lien hypertexte visité" xfId="9328" builtinId="9" hidden="1"/>
    <cellStyle name="Lien hypertexte visité" xfId="9330" builtinId="9" hidden="1"/>
    <cellStyle name="Lien hypertexte visité" xfId="9332" builtinId="9" hidden="1"/>
    <cellStyle name="Lien hypertexte visité" xfId="9334" builtinId="9" hidden="1"/>
    <cellStyle name="Lien hypertexte visité" xfId="9336" builtinId="9" hidden="1"/>
    <cellStyle name="Lien hypertexte visité" xfId="9338" builtinId="9" hidden="1"/>
    <cellStyle name="Lien hypertexte visité" xfId="9340" builtinId="9" hidden="1"/>
    <cellStyle name="Lien hypertexte visité" xfId="9342" builtinId="9" hidden="1"/>
    <cellStyle name="Lien hypertexte visité" xfId="9344" builtinId="9" hidden="1"/>
    <cellStyle name="Lien hypertexte visité" xfId="9346" builtinId="9" hidden="1"/>
    <cellStyle name="Lien hypertexte visité" xfId="9348" builtinId="9" hidden="1"/>
    <cellStyle name="Lien hypertexte visité" xfId="9350" builtinId="9" hidden="1"/>
    <cellStyle name="Lien hypertexte visité" xfId="9352" builtinId="9" hidden="1"/>
    <cellStyle name="Lien hypertexte visité" xfId="9354" builtinId="9" hidden="1"/>
    <cellStyle name="Lien hypertexte visité" xfId="9356" builtinId="9" hidden="1"/>
    <cellStyle name="Lien hypertexte visité" xfId="9358" builtinId="9" hidden="1"/>
    <cellStyle name="Lien hypertexte visité" xfId="9360" builtinId="9" hidden="1"/>
    <cellStyle name="Lien hypertexte visité" xfId="9362" builtinId="9" hidden="1"/>
    <cellStyle name="Lien hypertexte visité" xfId="9364" builtinId="9" hidden="1"/>
    <cellStyle name="Lien hypertexte visité" xfId="9366" builtinId="9" hidden="1"/>
    <cellStyle name="Lien hypertexte visité" xfId="9368" builtinId="9" hidden="1"/>
    <cellStyle name="Lien hypertexte visité" xfId="9370" builtinId="9" hidden="1"/>
    <cellStyle name="Lien hypertexte visité" xfId="9372" builtinId="9" hidden="1"/>
    <cellStyle name="Lien hypertexte visité" xfId="9374" builtinId="9" hidden="1"/>
    <cellStyle name="Lien hypertexte visité" xfId="9376" builtinId="9" hidden="1"/>
    <cellStyle name="Lien hypertexte visité" xfId="9378" builtinId="9" hidden="1"/>
    <cellStyle name="Lien hypertexte visité" xfId="9380" builtinId="9" hidden="1"/>
    <cellStyle name="Lien hypertexte visité" xfId="9382" builtinId="9" hidden="1"/>
    <cellStyle name="Lien hypertexte visité" xfId="9384" builtinId="9" hidden="1"/>
    <cellStyle name="Lien hypertexte visité" xfId="9386" builtinId="9" hidden="1"/>
    <cellStyle name="Lien hypertexte visité" xfId="9388" builtinId="9" hidden="1"/>
    <cellStyle name="Lien hypertexte visité" xfId="9390" builtinId="9" hidden="1"/>
    <cellStyle name="Lien hypertexte visité" xfId="9392" builtinId="9" hidden="1"/>
    <cellStyle name="Lien hypertexte visité" xfId="9394" builtinId="9" hidden="1"/>
    <cellStyle name="Lien hypertexte visité" xfId="9396" builtinId="9" hidden="1"/>
    <cellStyle name="Lien hypertexte visité" xfId="9398" builtinId="9" hidden="1"/>
    <cellStyle name="Lien hypertexte visité" xfId="9400" builtinId="9" hidden="1"/>
    <cellStyle name="Lien hypertexte visité" xfId="9402" builtinId="9" hidden="1"/>
    <cellStyle name="Lien hypertexte visité" xfId="9404" builtinId="9" hidden="1"/>
    <cellStyle name="Lien hypertexte visité" xfId="9406" builtinId="9" hidden="1"/>
    <cellStyle name="Lien hypertexte visité" xfId="9408" builtinId="9" hidden="1"/>
    <cellStyle name="Lien hypertexte visité" xfId="9410" builtinId="9" hidden="1"/>
    <cellStyle name="Lien hypertexte visité" xfId="9412" builtinId="9" hidden="1"/>
    <cellStyle name="Lien hypertexte visité" xfId="9414" builtinId="9" hidden="1"/>
    <cellStyle name="Lien hypertexte visité" xfId="9416" builtinId="9" hidden="1"/>
    <cellStyle name="Lien hypertexte visité" xfId="9418" builtinId="9" hidden="1"/>
    <cellStyle name="Lien hypertexte visité" xfId="9420" builtinId="9" hidden="1"/>
    <cellStyle name="Lien hypertexte visité" xfId="9422" builtinId="9" hidden="1"/>
    <cellStyle name="Lien hypertexte visité" xfId="9424" builtinId="9" hidden="1"/>
    <cellStyle name="Lien hypertexte visité" xfId="9426" builtinId="9" hidden="1"/>
    <cellStyle name="Lien hypertexte visité" xfId="9428" builtinId="9" hidden="1"/>
    <cellStyle name="Lien hypertexte visité" xfId="9430" builtinId="9" hidden="1"/>
    <cellStyle name="Lien hypertexte visité" xfId="9432" builtinId="9" hidden="1"/>
    <cellStyle name="Lien hypertexte visité" xfId="9434" builtinId="9" hidden="1"/>
    <cellStyle name="Lien hypertexte visité" xfId="9436" builtinId="9" hidden="1"/>
    <cellStyle name="Lien hypertexte visité" xfId="9438" builtinId="9" hidden="1"/>
    <cellStyle name="Lien hypertexte visité" xfId="9440" builtinId="9" hidden="1"/>
    <cellStyle name="Lien hypertexte visité" xfId="9442" builtinId="9" hidden="1"/>
    <cellStyle name="Lien hypertexte visité" xfId="9444" builtinId="9" hidden="1"/>
    <cellStyle name="Lien hypertexte visité" xfId="9446" builtinId="9" hidden="1"/>
    <cellStyle name="Lien hypertexte visité" xfId="9448" builtinId="9" hidden="1"/>
    <cellStyle name="Lien hypertexte visité" xfId="9450" builtinId="9" hidden="1"/>
    <cellStyle name="Lien hypertexte visité" xfId="9452" builtinId="9" hidden="1"/>
    <cellStyle name="Lien hypertexte visité" xfId="9454" builtinId="9" hidden="1"/>
    <cellStyle name="Lien hypertexte visité" xfId="9456" builtinId="9" hidden="1"/>
    <cellStyle name="Lien hypertexte visité" xfId="9458" builtinId="9" hidden="1"/>
    <cellStyle name="Lien hypertexte visité" xfId="9460" builtinId="9" hidden="1"/>
    <cellStyle name="Lien hypertexte visité" xfId="9462" builtinId="9" hidden="1"/>
    <cellStyle name="Lien hypertexte visité" xfId="9464" builtinId="9" hidden="1"/>
    <cellStyle name="Lien hypertexte visité" xfId="9466" builtinId="9" hidden="1"/>
    <cellStyle name="Lien hypertexte visité" xfId="9468" builtinId="9" hidden="1"/>
    <cellStyle name="Lien hypertexte visité" xfId="9470" builtinId="9" hidden="1"/>
    <cellStyle name="Lien hypertexte visité" xfId="9472" builtinId="9" hidden="1"/>
    <cellStyle name="Lien hypertexte visité" xfId="9474" builtinId="9" hidden="1"/>
    <cellStyle name="Lien hypertexte visité" xfId="9476" builtinId="9" hidden="1"/>
    <cellStyle name="Lien hypertexte visité" xfId="9478" builtinId="9" hidden="1"/>
    <cellStyle name="Lien hypertexte visité" xfId="9480" builtinId="9" hidden="1"/>
    <cellStyle name="Lien hypertexte visité" xfId="9482" builtinId="9" hidden="1"/>
    <cellStyle name="Lien hypertexte visité" xfId="9484" builtinId="9" hidden="1"/>
    <cellStyle name="Lien hypertexte visité" xfId="9486" builtinId="9" hidden="1"/>
    <cellStyle name="Lien hypertexte visité" xfId="9488" builtinId="9" hidden="1"/>
    <cellStyle name="Lien hypertexte visité" xfId="9490" builtinId="9" hidden="1"/>
    <cellStyle name="Lien hypertexte visité" xfId="9492" builtinId="9" hidden="1"/>
    <cellStyle name="Lien hypertexte visité" xfId="9494" builtinId="9" hidden="1"/>
    <cellStyle name="Lien hypertexte visité" xfId="9496" builtinId="9" hidden="1"/>
    <cellStyle name="Lien hypertexte visité" xfId="9498" builtinId="9" hidden="1"/>
    <cellStyle name="Lien hypertexte visité" xfId="9500" builtinId="9" hidden="1"/>
    <cellStyle name="Lien hypertexte visité" xfId="9502" builtinId="9" hidden="1"/>
    <cellStyle name="Lien hypertexte visité" xfId="9504" builtinId="9" hidden="1"/>
    <cellStyle name="Lien hypertexte visité" xfId="9506" builtinId="9" hidden="1"/>
    <cellStyle name="Lien hypertexte visité" xfId="9508" builtinId="9" hidden="1"/>
    <cellStyle name="Lien hypertexte visité" xfId="9510" builtinId="9" hidden="1"/>
    <cellStyle name="Lien hypertexte visité" xfId="9512" builtinId="9" hidden="1"/>
    <cellStyle name="Lien hypertexte visité" xfId="9514" builtinId="9" hidden="1"/>
    <cellStyle name="Lien hypertexte visité" xfId="9516" builtinId="9" hidden="1"/>
    <cellStyle name="Lien hypertexte visité" xfId="9518" builtinId="9" hidden="1"/>
    <cellStyle name="Lien hypertexte visité" xfId="9520" builtinId="9" hidden="1"/>
    <cellStyle name="Lien hypertexte visité" xfId="9522" builtinId="9" hidden="1"/>
    <cellStyle name="Lien hypertexte visité" xfId="9524" builtinId="9" hidden="1"/>
    <cellStyle name="Lien hypertexte visité" xfId="9526" builtinId="9" hidden="1"/>
    <cellStyle name="Lien hypertexte visité" xfId="9528" builtinId="9" hidden="1"/>
    <cellStyle name="Lien hypertexte visité" xfId="9530" builtinId="9" hidden="1"/>
    <cellStyle name="Lien hypertexte visité" xfId="9532" builtinId="9" hidden="1"/>
    <cellStyle name="Lien hypertexte visité" xfId="9534" builtinId="9" hidden="1"/>
    <cellStyle name="Lien hypertexte visité" xfId="9536" builtinId="9" hidden="1"/>
    <cellStyle name="Lien hypertexte visité" xfId="9538" builtinId="9" hidden="1"/>
    <cellStyle name="Lien hypertexte visité" xfId="9540" builtinId="9" hidden="1"/>
    <cellStyle name="Lien hypertexte visité" xfId="9542" builtinId="9" hidden="1"/>
    <cellStyle name="Lien hypertexte visité" xfId="9544" builtinId="9" hidden="1"/>
    <cellStyle name="Lien hypertexte visité" xfId="9546" builtinId="9" hidden="1"/>
    <cellStyle name="Lien hypertexte visité" xfId="9548" builtinId="9" hidden="1"/>
    <cellStyle name="Lien hypertexte visité" xfId="9550" builtinId="9" hidden="1"/>
    <cellStyle name="Lien hypertexte visité" xfId="9552" builtinId="9" hidden="1"/>
    <cellStyle name="Lien hypertexte visité" xfId="9554" builtinId="9" hidden="1"/>
    <cellStyle name="Lien hypertexte visité" xfId="9556" builtinId="9" hidden="1"/>
    <cellStyle name="Lien hypertexte visité" xfId="9558" builtinId="9" hidden="1"/>
    <cellStyle name="Lien hypertexte visité" xfId="9560" builtinId="9" hidden="1"/>
    <cellStyle name="Lien hypertexte visité" xfId="9562" builtinId="9" hidden="1"/>
    <cellStyle name="Lien hypertexte visité" xfId="9564" builtinId="9" hidden="1"/>
    <cellStyle name="Lien hypertexte visité" xfId="9566" builtinId="9" hidden="1"/>
    <cellStyle name="Lien hypertexte visité" xfId="9568" builtinId="9" hidden="1"/>
    <cellStyle name="Lien hypertexte visité" xfId="9570" builtinId="9" hidden="1"/>
    <cellStyle name="Lien hypertexte visité" xfId="9572" builtinId="9" hidden="1"/>
    <cellStyle name="Lien hypertexte visité" xfId="9574" builtinId="9" hidden="1"/>
    <cellStyle name="Lien hypertexte visité" xfId="9576" builtinId="9" hidden="1"/>
    <cellStyle name="Lien hypertexte visité" xfId="9578" builtinId="9" hidden="1"/>
    <cellStyle name="Lien hypertexte visité" xfId="9580" builtinId="9" hidden="1"/>
    <cellStyle name="Lien hypertexte visité" xfId="9582" builtinId="9" hidden="1"/>
    <cellStyle name="Lien hypertexte visité" xfId="9584" builtinId="9" hidden="1"/>
    <cellStyle name="Lien hypertexte visité" xfId="9586" builtinId="9" hidden="1"/>
    <cellStyle name="Lien hypertexte visité" xfId="9588" builtinId="9" hidden="1"/>
    <cellStyle name="Lien hypertexte visité" xfId="9590" builtinId="9" hidden="1"/>
    <cellStyle name="Lien hypertexte visité" xfId="9592" builtinId="9" hidden="1"/>
    <cellStyle name="Lien hypertexte visité" xfId="9594" builtinId="9" hidden="1"/>
    <cellStyle name="Lien hypertexte visité" xfId="9596" builtinId="9" hidden="1"/>
    <cellStyle name="Lien hypertexte visité" xfId="9598" builtinId="9" hidden="1"/>
    <cellStyle name="Lien hypertexte visité" xfId="9600" builtinId="9" hidden="1"/>
    <cellStyle name="Lien hypertexte visité" xfId="9602" builtinId="9" hidden="1"/>
    <cellStyle name="Lien hypertexte visité" xfId="9604" builtinId="9" hidden="1"/>
    <cellStyle name="Lien hypertexte visité" xfId="9606" builtinId="9" hidden="1"/>
    <cellStyle name="Lien hypertexte visité" xfId="9608" builtinId="9" hidden="1"/>
    <cellStyle name="Lien hypertexte visité" xfId="9610" builtinId="9" hidden="1"/>
    <cellStyle name="Lien hypertexte visité" xfId="9612" builtinId="9" hidden="1"/>
    <cellStyle name="Lien hypertexte visité" xfId="9614" builtinId="9" hidden="1"/>
    <cellStyle name="Lien hypertexte visité" xfId="9616" builtinId="9" hidden="1"/>
    <cellStyle name="Lien hypertexte visité" xfId="9618" builtinId="9" hidden="1"/>
    <cellStyle name="Lien hypertexte visité" xfId="9620" builtinId="9" hidden="1"/>
    <cellStyle name="Lien hypertexte visité" xfId="9622" builtinId="9" hidden="1"/>
    <cellStyle name="Lien hypertexte visité" xfId="9624" builtinId="9" hidden="1"/>
    <cellStyle name="Lien hypertexte visité" xfId="9626" builtinId="9" hidden="1"/>
    <cellStyle name="Lien hypertexte visité" xfId="9628" builtinId="9" hidden="1"/>
    <cellStyle name="Lien hypertexte visité" xfId="9630" builtinId="9" hidden="1"/>
    <cellStyle name="Lien hypertexte visité" xfId="9632" builtinId="9" hidden="1"/>
    <cellStyle name="Lien hypertexte visité" xfId="9634" builtinId="9" hidden="1"/>
    <cellStyle name="Lien hypertexte visité" xfId="9636" builtinId="9" hidden="1"/>
    <cellStyle name="Lien hypertexte visité" xfId="9638" builtinId="9" hidden="1"/>
    <cellStyle name="Lien hypertexte visité" xfId="9640" builtinId="9" hidden="1"/>
    <cellStyle name="Lien hypertexte visité" xfId="9642" builtinId="9" hidden="1"/>
    <cellStyle name="Lien hypertexte visité" xfId="9644" builtinId="9" hidden="1"/>
    <cellStyle name="Lien hypertexte visité" xfId="9646" builtinId="9" hidden="1"/>
    <cellStyle name="Lien hypertexte visité" xfId="9648" builtinId="9" hidden="1"/>
    <cellStyle name="Lien hypertexte visité" xfId="9650" builtinId="9" hidden="1"/>
    <cellStyle name="Lien hypertexte visité" xfId="9652" builtinId="9" hidden="1"/>
    <cellStyle name="Lien hypertexte visité" xfId="9654" builtinId="9" hidden="1"/>
    <cellStyle name="Lien hypertexte visité" xfId="9656" builtinId="9" hidden="1"/>
    <cellStyle name="Lien hypertexte visité" xfId="9658" builtinId="9" hidden="1"/>
    <cellStyle name="Lien hypertexte visité" xfId="9660" builtinId="9" hidden="1"/>
    <cellStyle name="Lien hypertexte visité" xfId="9662" builtinId="9" hidden="1"/>
    <cellStyle name="Lien hypertexte visité" xfId="9664" builtinId="9" hidden="1"/>
    <cellStyle name="Lien hypertexte visité" xfId="9666" builtinId="9" hidden="1"/>
    <cellStyle name="Lien hypertexte visité" xfId="9668" builtinId="9" hidden="1"/>
    <cellStyle name="Lien hypertexte visité" xfId="9670" builtinId="9" hidden="1"/>
    <cellStyle name="Lien hypertexte visité" xfId="9672" builtinId="9" hidden="1"/>
    <cellStyle name="Lien hypertexte visité" xfId="9674" builtinId="9" hidden="1"/>
    <cellStyle name="Lien hypertexte visité" xfId="9676" builtinId="9" hidden="1"/>
    <cellStyle name="Lien hypertexte visité" xfId="9678" builtinId="9" hidden="1"/>
    <cellStyle name="Lien hypertexte visité" xfId="9680" builtinId="9" hidden="1"/>
    <cellStyle name="Lien hypertexte visité" xfId="9682" builtinId="9" hidden="1"/>
    <cellStyle name="Lien hypertexte visité" xfId="9684" builtinId="9" hidden="1"/>
    <cellStyle name="Lien hypertexte visité" xfId="9686" builtinId="9" hidden="1"/>
    <cellStyle name="Lien hypertexte visité" xfId="9688" builtinId="9" hidden="1"/>
    <cellStyle name="Lien hypertexte visité" xfId="9690" builtinId="9" hidden="1"/>
    <cellStyle name="Lien hypertexte visité" xfId="9692" builtinId="9" hidden="1"/>
    <cellStyle name="Lien hypertexte visité" xfId="9694" builtinId="9" hidden="1"/>
    <cellStyle name="Lien hypertexte visité" xfId="9696" builtinId="9" hidden="1"/>
    <cellStyle name="Lien hypertexte visité" xfId="9698" builtinId="9" hidden="1"/>
    <cellStyle name="Lien hypertexte visité" xfId="9700" builtinId="9" hidden="1"/>
    <cellStyle name="Lien hypertexte visité" xfId="9702" builtinId="9" hidden="1"/>
    <cellStyle name="Lien hypertexte visité" xfId="9704" builtinId="9" hidden="1"/>
    <cellStyle name="Lien hypertexte visité" xfId="9706" builtinId="9" hidden="1"/>
    <cellStyle name="Lien hypertexte visité" xfId="9708" builtinId="9" hidden="1"/>
    <cellStyle name="Lien hypertexte visité" xfId="9710" builtinId="9" hidden="1"/>
    <cellStyle name="Lien hypertexte visité" xfId="9712" builtinId="9" hidden="1"/>
    <cellStyle name="Lien hypertexte visité" xfId="9714" builtinId="9" hidden="1"/>
    <cellStyle name="Lien hypertexte visité" xfId="9716" builtinId="9" hidden="1"/>
    <cellStyle name="Lien hypertexte visité" xfId="9718" builtinId="9" hidden="1"/>
    <cellStyle name="Lien hypertexte visité" xfId="9720" builtinId="9" hidden="1"/>
    <cellStyle name="Lien hypertexte visité" xfId="9722" builtinId="9" hidden="1"/>
    <cellStyle name="Lien hypertexte visité" xfId="9724" builtinId="9" hidden="1"/>
    <cellStyle name="Lien hypertexte visité" xfId="9726" builtinId="9" hidden="1"/>
    <cellStyle name="Lien hypertexte visité" xfId="9728" builtinId="9" hidden="1"/>
    <cellStyle name="Lien hypertexte visité" xfId="9730" builtinId="9" hidden="1"/>
    <cellStyle name="Lien hypertexte visité" xfId="9732" builtinId="9" hidden="1"/>
    <cellStyle name="Lien hypertexte visité" xfId="9734" builtinId="9" hidden="1"/>
    <cellStyle name="Lien hypertexte visité" xfId="9736" builtinId="9" hidden="1"/>
    <cellStyle name="Lien hypertexte visité" xfId="9738" builtinId="9" hidden="1"/>
    <cellStyle name="Lien hypertexte visité" xfId="9740" builtinId="9" hidden="1"/>
    <cellStyle name="Lien hypertexte visité" xfId="9742" builtinId="9" hidden="1"/>
    <cellStyle name="Lien hypertexte visité" xfId="9744" builtinId="9" hidden="1"/>
    <cellStyle name="Lien hypertexte visité" xfId="9746" builtinId="9" hidden="1"/>
    <cellStyle name="Lien hypertexte visité" xfId="9748" builtinId="9" hidden="1"/>
    <cellStyle name="Lien hypertexte visité" xfId="9750" builtinId="9" hidden="1"/>
    <cellStyle name="Lien hypertexte visité" xfId="9752" builtinId="9" hidden="1"/>
    <cellStyle name="Lien hypertexte visité" xfId="9754" builtinId="9" hidden="1"/>
    <cellStyle name="Lien hypertexte visité" xfId="9756" builtinId="9" hidden="1"/>
    <cellStyle name="Lien hypertexte visité" xfId="9758" builtinId="9" hidden="1"/>
    <cellStyle name="Lien hypertexte visité" xfId="9760" builtinId="9" hidden="1"/>
    <cellStyle name="Lien hypertexte visité" xfId="9762" builtinId="9" hidden="1"/>
    <cellStyle name="Lien hypertexte visité" xfId="9764" builtinId="9" hidden="1"/>
    <cellStyle name="Lien hypertexte visité" xfId="9766" builtinId="9" hidden="1"/>
    <cellStyle name="Lien hypertexte visité" xfId="9768" builtinId="9" hidden="1"/>
    <cellStyle name="Lien hypertexte visité" xfId="9770" builtinId="9" hidden="1"/>
    <cellStyle name="Lien hypertexte visité" xfId="9772" builtinId="9" hidden="1"/>
    <cellStyle name="Lien hypertexte visité" xfId="9774" builtinId="9" hidden="1"/>
    <cellStyle name="Lien hypertexte visité" xfId="9776" builtinId="9" hidden="1"/>
    <cellStyle name="Lien hypertexte visité" xfId="9778" builtinId="9" hidden="1"/>
    <cellStyle name="Lien hypertexte visité" xfId="9780" builtinId="9" hidden="1"/>
    <cellStyle name="Lien hypertexte visité" xfId="9782" builtinId="9" hidden="1"/>
    <cellStyle name="Lien hypertexte visité" xfId="9784" builtinId="9" hidden="1"/>
    <cellStyle name="Lien hypertexte visité" xfId="9786" builtinId="9" hidden="1"/>
    <cellStyle name="Lien hypertexte visité" xfId="9788" builtinId="9" hidden="1"/>
    <cellStyle name="Lien hypertexte visité" xfId="9790" builtinId="9" hidden="1"/>
    <cellStyle name="Lien hypertexte visité" xfId="9792" builtinId="9" hidden="1"/>
    <cellStyle name="Lien hypertexte visité" xfId="9794" builtinId="9" hidden="1"/>
    <cellStyle name="Lien hypertexte visité" xfId="9796" builtinId="9" hidden="1"/>
    <cellStyle name="Lien hypertexte visité" xfId="9798" builtinId="9" hidden="1"/>
    <cellStyle name="Lien hypertexte visité" xfId="9800" builtinId="9" hidden="1"/>
    <cellStyle name="Lien hypertexte visité" xfId="9802" builtinId="9" hidden="1"/>
    <cellStyle name="Lien hypertexte visité" xfId="9804" builtinId="9" hidden="1"/>
    <cellStyle name="Lien hypertexte visité" xfId="9806" builtinId="9" hidden="1"/>
    <cellStyle name="Lien hypertexte visité" xfId="9808" builtinId="9" hidden="1"/>
    <cellStyle name="Lien hypertexte visité" xfId="9810" builtinId="9" hidden="1"/>
    <cellStyle name="Lien hypertexte visité" xfId="9812" builtinId="9" hidden="1"/>
    <cellStyle name="Lien hypertexte visité" xfId="9814" builtinId="9" hidden="1"/>
    <cellStyle name="Lien hypertexte visité" xfId="9816" builtinId="9" hidden="1"/>
    <cellStyle name="Lien hypertexte visité" xfId="9818" builtinId="9" hidden="1"/>
    <cellStyle name="Lien hypertexte visité" xfId="9820" builtinId="9" hidden="1"/>
    <cellStyle name="Lien hypertexte visité" xfId="9822" builtinId="9" hidden="1"/>
    <cellStyle name="Lien hypertexte visité" xfId="9824" builtinId="9" hidden="1"/>
    <cellStyle name="Lien hypertexte visité" xfId="9826" builtinId="9" hidden="1"/>
    <cellStyle name="Lien hypertexte visité" xfId="9828" builtinId="9" hidden="1"/>
    <cellStyle name="Lien hypertexte visité" xfId="9830" builtinId="9" hidden="1"/>
    <cellStyle name="Lien hypertexte visité" xfId="9832" builtinId="9" hidden="1"/>
    <cellStyle name="Lien hypertexte visité" xfId="9834" builtinId="9" hidden="1"/>
    <cellStyle name="Lien hypertexte visité" xfId="9836" builtinId="9" hidden="1"/>
    <cellStyle name="Lien hypertexte visité" xfId="9838" builtinId="9" hidden="1"/>
    <cellStyle name="Lien hypertexte visité" xfId="9840" builtinId="9" hidden="1"/>
    <cellStyle name="Lien hypertexte visité" xfId="9842" builtinId="9" hidden="1"/>
    <cellStyle name="Lien hypertexte visité" xfId="9844" builtinId="9" hidden="1"/>
    <cellStyle name="Lien hypertexte visité" xfId="9846" builtinId="9" hidden="1"/>
    <cellStyle name="Lien hypertexte visité" xfId="9848" builtinId="9" hidden="1"/>
    <cellStyle name="Lien hypertexte visité" xfId="9850" builtinId="9" hidden="1"/>
    <cellStyle name="Lien hypertexte visité" xfId="9852" builtinId="9" hidden="1"/>
    <cellStyle name="Lien hypertexte visité" xfId="9854" builtinId="9" hidden="1"/>
    <cellStyle name="Lien hypertexte visité" xfId="9856" builtinId="9" hidden="1"/>
    <cellStyle name="Lien hypertexte visité" xfId="9858" builtinId="9" hidden="1"/>
    <cellStyle name="Lien hypertexte visité" xfId="9860" builtinId="9" hidden="1"/>
    <cellStyle name="Lien hypertexte visité" xfId="9862" builtinId="9" hidden="1"/>
    <cellStyle name="Lien hypertexte visité" xfId="9864" builtinId="9" hidden="1"/>
    <cellStyle name="Lien hypertexte visité" xfId="9866" builtinId="9" hidden="1"/>
    <cellStyle name="Lien hypertexte visité" xfId="9868" builtinId="9" hidden="1"/>
    <cellStyle name="Lien hypertexte visité" xfId="9870" builtinId="9" hidden="1"/>
    <cellStyle name="Lien hypertexte visité" xfId="9872" builtinId="9" hidden="1"/>
    <cellStyle name="Lien hypertexte visité" xfId="9874" builtinId="9" hidden="1"/>
    <cellStyle name="Lien hypertexte visité" xfId="9876" builtinId="9" hidden="1"/>
    <cellStyle name="Lien hypertexte visité" xfId="9878" builtinId="9" hidden="1"/>
    <cellStyle name="Lien hypertexte visité" xfId="9880" builtinId="9" hidden="1"/>
    <cellStyle name="Lien hypertexte visité" xfId="9882" builtinId="9" hidden="1"/>
    <cellStyle name="Lien hypertexte visité" xfId="9884" builtinId="9" hidden="1"/>
    <cellStyle name="Lien hypertexte visité" xfId="9886" builtinId="9" hidden="1"/>
    <cellStyle name="Lien hypertexte visité" xfId="9888" builtinId="9" hidden="1"/>
    <cellStyle name="Lien hypertexte visité" xfId="9890" builtinId="9" hidden="1"/>
    <cellStyle name="Lien hypertexte visité" xfId="9892" builtinId="9" hidden="1"/>
    <cellStyle name="Lien hypertexte visité" xfId="9894" builtinId="9" hidden="1"/>
    <cellStyle name="Lien hypertexte visité" xfId="9896" builtinId="9" hidden="1"/>
    <cellStyle name="Lien hypertexte visité" xfId="9898" builtinId="9" hidden="1"/>
    <cellStyle name="Lien hypertexte visité" xfId="9900" builtinId="9" hidden="1"/>
    <cellStyle name="Lien hypertexte visité" xfId="9902" builtinId="9" hidden="1"/>
    <cellStyle name="Lien hypertexte visité" xfId="9904" builtinId="9" hidden="1"/>
    <cellStyle name="Lien hypertexte visité" xfId="9906" builtinId="9" hidden="1"/>
    <cellStyle name="Lien hypertexte visité" xfId="9908" builtinId="9" hidden="1"/>
    <cellStyle name="Lien hypertexte visité" xfId="9910" builtinId="9" hidden="1"/>
    <cellStyle name="Lien hypertexte visité" xfId="9912" builtinId="9" hidden="1"/>
    <cellStyle name="Lien hypertexte visité" xfId="9914" builtinId="9" hidden="1"/>
    <cellStyle name="Lien hypertexte visité" xfId="9916" builtinId="9" hidden="1"/>
    <cellStyle name="Lien hypertexte visité" xfId="9918" builtinId="9" hidden="1"/>
    <cellStyle name="Lien hypertexte visité" xfId="9920" builtinId="9" hidden="1"/>
    <cellStyle name="Lien hypertexte visité" xfId="9922" builtinId="9" hidden="1"/>
    <cellStyle name="Lien hypertexte visité" xfId="9924" builtinId="9" hidden="1"/>
    <cellStyle name="Lien hypertexte visité" xfId="9926" builtinId="9" hidden="1"/>
    <cellStyle name="Lien hypertexte visité" xfId="9928" builtinId="9" hidden="1"/>
    <cellStyle name="Lien hypertexte visité" xfId="9930" builtinId="9" hidden="1"/>
    <cellStyle name="Lien hypertexte visité" xfId="9932" builtinId="9" hidden="1"/>
    <cellStyle name="Lien hypertexte visité" xfId="9934" builtinId="9" hidden="1"/>
    <cellStyle name="Lien hypertexte visité" xfId="9936" builtinId="9" hidden="1"/>
    <cellStyle name="Lien hypertexte visité" xfId="9938" builtinId="9" hidden="1"/>
    <cellStyle name="Lien hypertexte visité" xfId="9940" builtinId="9" hidden="1"/>
    <cellStyle name="Lien hypertexte visité" xfId="9942" builtinId="9" hidden="1"/>
    <cellStyle name="Lien hypertexte visité" xfId="9944" builtinId="9" hidden="1"/>
    <cellStyle name="Lien hypertexte visité" xfId="9946" builtinId="9" hidden="1"/>
    <cellStyle name="Lien hypertexte visité" xfId="9948" builtinId="9" hidden="1"/>
    <cellStyle name="Lien hypertexte visité" xfId="9950" builtinId="9" hidden="1"/>
    <cellStyle name="Lien hypertexte visité" xfId="9952" builtinId="9" hidden="1"/>
    <cellStyle name="Lien hypertexte visité" xfId="9954" builtinId="9" hidden="1"/>
    <cellStyle name="Lien hypertexte visité" xfId="9956" builtinId="9" hidden="1"/>
    <cellStyle name="Lien hypertexte visité" xfId="9958" builtinId="9" hidden="1"/>
    <cellStyle name="Lien hypertexte visité" xfId="9960" builtinId="9" hidden="1"/>
    <cellStyle name="Lien hypertexte visité" xfId="9962" builtinId="9" hidden="1"/>
    <cellStyle name="Lien hypertexte visité" xfId="9964" builtinId="9" hidden="1"/>
    <cellStyle name="Lien hypertexte visité" xfId="9966" builtinId="9" hidden="1"/>
    <cellStyle name="Lien hypertexte visité" xfId="9968" builtinId="9" hidden="1"/>
    <cellStyle name="Lien hypertexte visité" xfId="9970" builtinId="9" hidden="1"/>
    <cellStyle name="Lien hypertexte visité" xfId="9972" builtinId="9" hidden="1"/>
    <cellStyle name="Lien hypertexte visité" xfId="9974" builtinId="9" hidden="1"/>
    <cellStyle name="Lien hypertexte visité" xfId="9976" builtinId="9" hidden="1"/>
    <cellStyle name="Lien hypertexte visité" xfId="9978" builtinId="9" hidden="1"/>
    <cellStyle name="Lien hypertexte visité" xfId="9980" builtinId="9" hidden="1"/>
    <cellStyle name="Lien hypertexte visité" xfId="9982" builtinId="9" hidden="1"/>
    <cellStyle name="Lien hypertexte visité" xfId="9984" builtinId="9" hidden="1"/>
    <cellStyle name="Lien hypertexte visité" xfId="9986" builtinId="9" hidden="1"/>
    <cellStyle name="Lien hypertexte visité" xfId="9988" builtinId="9" hidden="1"/>
    <cellStyle name="Lien hypertexte visité" xfId="9990" builtinId="9" hidden="1"/>
    <cellStyle name="Lien hypertexte visité" xfId="9992" builtinId="9" hidden="1"/>
    <cellStyle name="Lien hypertexte visité" xfId="9994" builtinId="9" hidden="1"/>
    <cellStyle name="Lien hypertexte visité" xfId="9996" builtinId="9" hidden="1"/>
    <cellStyle name="Lien hypertexte visité" xfId="9998" builtinId="9" hidden="1"/>
    <cellStyle name="Lien hypertexte visité" xfId="10000" builtinId="9" hidden="1"/>
    <cellStyle name="Lien hypertexte visité" xfId="10002" builtinId="9" hidden="1"/>
    <cellStyle name="Lien hypertexte visité" xfId="10004" builtinId="9" hidden="1"/>
    <cellStyle name="Lien hypertexte visité" xfId="10006" builtinId="9" hidden="1"/>
    <cellStyle name="Lien hypertexte visité" xfId="10008" builtinId="9" hidden="1"/>
    <cellStyle name="Lien hypertexte visité" xfId="10010" builtinId="9" hidden="1"/>
    <cellStyle name="Lien hypertexte visité" xfId="10012" builtinId="9" hidden="1"/>
    <cellStyle name="Lien hypertexte visité" xfId="10014" builtinId="9" hidden="1"/>
    <cellStyle name="Lien hypertexte visité" xfId="10016" builtinId="9" hidden="1"/>
    <cellStyle name="Lien hypertexte visité" xfId="10018" builtinId="9" hidden="1"/>
    <cellStyle name="Lien hypertexte visité" xfId="10020" builtinId="9" hidden="1"/>
    <cellStyle name="Lien hypertexte visité" xfId="10022" builtinId="9" hidden="1"/>
    <cellStyle name="Lien hypertexte visité" xfId="10024" builtinId="9" hidden="1"/>
    <cellStyle name="Lien hypertexte visité" xfId="10026" builtinId="9" hidden="1"/>
    <cellStyle name="Lien hypertexte visité" xfId="10028" builtinId="9" hidden="1"/>
    <cellStyle name="Lien hypertexte visité" xfId="10030" builtinId="9" hidden="1"/>
    <cellStyle name="Lien hypertexte visité" xfId="10032" builtinId="9" hidden="1"/>
    <cellStyle name="Lien hypertexte visité" xfId="10034" builtinId="9" hidden="1"/>
    <cellStyle name="Lien hypertexte visité" xfId="10036" builtinId="9" hidden="1"/>
    <cellStyle name="Lien hypertexte visité" xfId="10038" builtinId="9" hidden="1"/>
    <cellStyle name="Lien hypertexte visité" xfId="10040" builtinId="9" hidden="1"/>
    <cellStyle name="Lien hypertexte visité" xfId="10042" builtinId="9" hidden="1"/>
    <cellStyle name="Lien hypertexte visité" xfId="10044" builtinId="9" hidden="1"/>
    <cellStyle name="Lien hypertexte visité" xfId="10046" builtinId="9" hidden="1"/>
    <cellStyle name="Lien hypertexte visité" xfId="10048" builtinId="9" hidden="1"/>
    <cellStyle name="Lien hypertexte visité" xfId="10050" builtinId="9" hidden="1"/>
    <cellStyle name="Lien hypertexte visité" xfId="10052" builtinId="9" hidden="1"/>
    <cellStyle name="Lien hypertexte visité" xfId="10054" builtinId="9" hidden="1"/>
    <cellStyle name="Lien hypertexte visité" xfId="10056" builtinId="9" hidden="1"/>
    <cellStyle name="Lien hypertexte visité" xfId="10058" builtinId="9" hidden="1"/>
    <cellStyle name="Lien hypertexte visité" xfId="10060" builtinId="9" hidden="1"/>
    <cellStyle name="Lien hypertexte visité" xfId="10062" builtinId="9" hidden="1"/>
    <cellStyle name="Lien hypertexte visité" xfId="10064" builtinId="9" hidden="1"/>
    <cellStyle name="Lien hypertexte visité" xfId="10066" builtinId="9" hidden="1"/>
    <cellStyle name="Lien hypertexte visité" xfId="10068" builtinId="9" hidden="1"/>
    <cellStyle name="Lien hypertexte visité" xfId="10070" builtinId="9" hidden="1"/>
    <cellStyle name="Lien hypertexte visité" xfId="10072" builtinId="9" hidden="1"/>
    <cellStyle name="Lien hypertexte visité" xfId="10074" builtinId="9" hidden="1"/>
    <cellStyle name="Lien hypertexte visité" xfId="10076" builtinId="9" hidden="1"/>
    <cellStyle name="Lien hypertexte visité" xfId="10078" builtinId="9" hidden="1"/>
    <cellStyle name="Lien hypertexte visité" xfId="10080" builtinId="9" hidden="1"/>
    <cellStyle name="Lien hypertexte visité" xfId="10082" builtinId="9" hidden="1"/>
    <cellStyle name="Lien hypertexte visité" xfId="10084" builtinId="9" hidden="1"/>
    <cellStyle name="Lien hypertexte visité" xfId="10086" builtinId="9" hidden="1"/>
    <cellStyle name="Lien hypertexte visité" xfId="10088" builtinId="9" hidden="1"/>
    <cellStyle name="Lien hypertexte visité" xfId="10090" builtinId="9" hidden="1"/>
    <cellStyle name="Lien hypertexte visité" xfId="10092" builtinId="9" hidden="1"/>
    <cellStyle name="Lien hypertexte visité" xfId="10094" builtinId="9" hidden="1"/>
    <cellStyle name="Lien hypertexte visité" xfId="10096" builtinId="9" hidden="1"/>
    <cellStyle name="Lien hypertexte visité" xfId="10098" builtinId="9" hidden="1"/>
    <cellStyle name="Lien hypertexte visité" xfId="10100" builtinId="9" hidden="1"/>
    <cellStyle name="Lien hypertexte visité" xfId="10102" builtinId="9" hidden="1"/>
    <cellStyle name="Lien hypertexte visité" xfId="10104" builtinId="9" hidden="1"/>
    <cellStyle name="Lien hypertexte visité" xfId="10106" builtinId="9" hidden="1"/>
    <cellStyle name="Lien hypertexte visité" xfId="10108" builtinId="9" hidden="1"/>
    <cellStyle name="Lien hypertexte visité" xfId="10110" builtinId="9" hidden="1"/>
    <cellStyle name="Lien hypertexte visité" xfId="10112" builtinId="9" hidden="1"/>
    <cellStyle name="Lien hypertexte visité" xfId="10114" builtinId="9" hidden="1"/>
    <cellStyle name="Lien hypertexte visité" xfId="10116" builtinId="9" hidden="1"/>
    <cellStyle name="Lien hypertexte visité" xfId="10118" builtinId="9" hidden="1"/>
    <cellStyle name="Lien hypertexte visité" xfId="10120" builtinId="9" hidden="1"/>
    <cellStyle name="Lien hypertexte visité" xfId="10122" builtinId="9" hidden="1"/>
    <cellStyle name="Lien hypertexte visité" xfId="10124" builtinId="9" hidden="1"/>
    <cellStyle name="Lien hypertexte visité" xfId="10126" builtinId="9" hidden="1"/>
    <cellStyle name="Lien hypertexte visité" xfId="10128" builtinId="9" hidden="1"/>
    <cellStyle name="Lien hypertexte visité" xfId="10130" builtinId="9" hidden="1"/>
    <cellStyle name="Lien hypertexte visité" xfId="10132" builtinId="9" hidden="1"/>
    <cellStyle name="Lien hypertexte visité" xfId="10134" builtinId="9" hidden="1"/>
    <cellStyle name="Lien hypertexte visité" xfId="10136" builtinId="9" hidden="1"/>
    <cellStyle name="Lien hypertexte visité" xfId="10138" builtinId="9" hidden="1"/>
    <cellStyle name="Lien hypertexte visité" xfId="10140" builtinId="9" hidden="1"/>
    <cellStyle name="Lien hypertexte visité" xfId="10142" builtinId="9" hidden="1"/>
    <cellStyle name="Lien hypertexte visité" xfId="10144" builtinId="9" hidden="1"/>
    <cellStyle name="Lien hypertexte visité" xfId="10146" builtinId="9" hidden="1"/>
    <cellStyle name="Lien hypertexte visité" xfId="10148" builtinId="9" hidden="1"/>
    <cellStyle name="Lien hypertexte visité" xfId="10150" builtinId="9" hidden="1"/>
    <cellStyle name="Lien hypertexte visité" xfId="10152" builtinId="9" hidden="1"/>
    <cellStyle name="Lien hypertexte visité" xfId="10154" builtinId="9" hidden="1"/>
    <cellStyle name="Lien hypertexte visité" xfId="10156" builtinId="9" hidden="1"/>
    <cellStyle name="Lien hypertexte visité" xfId="10158" builtinId="9" hidden="1"/>
    <cellStyle name="Lien hypertexte visité" xfId="10160" builtinId="9" hidden="1"/>
    <cellStyle name="Lien hypertexte visité" xfId="10162" builtinId="9" hidden="1"/>
    <cellStyle name="Lien hypertexte visité" xfId="10164" builtinId="9" hidden="1"/>
    <cellStyle name="Lien hypertexte visité" xfId="10166" builtinId="9" hidden="1"/>
    <cellStyle name="Lien hypertexte visité" xfId="10168" builtinId="9" hidden="1"/>
    <cellStyle name="Lien hypertexte visité" xfId="10170" builtinId="9" hidden="1"/>
    <cellStyle name="Lien hypertexte visité" xfId="10172" builtinId="9" hidden="1"/>
    <cellStyle name="Lien hypertexte visité" xfId="10174" builtinId="9" hidden="1"/>
    <cellStyle name="Lien hypertexte visité" xfId="10176" builtinId="9" hidden="1"/>
    <cellStyle name="Lien hypertexte visité" xfId="10178" builtinId="9" hidden="1"/>
    <cellStyle name="Lien hypertexte visité" xfId="10180" builtinId="9" hidden="1"/>
    <cellStyle name="Lien hypertexte visité" xfId="10182" builtinId="9" hidden="1"/>
    <cellStyle name="Lien hypertexte visité" xfId="10184" builtinId="9" hidden="1"/>
    <cellStyle name="Lien hypertexte visité" xfId="10186" builtinId="9" hidden="1"/>
    <cellStyle name="Lien hypertexte visité" xfId="10188" builtinId="9" hidden="1"/>
    <cellStyle name="Lien hypertexte visité" xfId="10190" builtinId="9" hidden="1"/>
    <cellStyle name="Lien hypertexte visité" xfId="10192" builtinId="9" hidden="1"/>
    <cellStyle name="Lien hypertexte visité" xfId="10194" builtinId="9" hidden="1"/>
    <cellStyle name="Lien hypertexte visité" xfId="10196" builtinId="9" hidden="1"/>
    <cellStyle name="Lien hypertexte visité" xfId="10198" builtinId="9" hidden="1"/>
    <cellStyle name="Lien hypertexte visité" xfId="10200" builtinId="9" hidden="1"/>
    <cellStyle name="Lien hypertexte visité" xfId="10202" builtinId="9" hidden="1"/>
    <cellStyle name="Lien hypertexte visité" xfId="10204" builtinId="9" hidden="1"/>
    <cellStyle name="Lien hypertexte visité" xfId="10206" builtinId="9" hidden="1"/>
    <cellStyle name="Lien hypertexte visité" xfId="10208" builtinId="9" hidden="1"/>
    <cellStyle name="Lien hypertexte visité" xfId="10210" builtinId="9" hidden="1"/>
    <cellStyle name="Lien hypertexte visité" xfId="10212" builtinId="9" hidden="1"/>
    <cellStyle name="Lien hypertexte visité" xfId="10214" builtinId="9" hidden="1"/>
    <cellStyle name="Lien hypertexte visité" xfId="10216" builtinId="9" hidden="1"/>
    <cellStyle name="Lien hypertexte visité" xfId="10218" builtinId="9" hidden="1"/>
    <cellStyle name="Lien hypertexte visité" xfId="10220" builtinId="9" hidden="1"/>
    <cellStyle name="Lien hypertexte visité" xfId="10222" builtinId="9" hidden="1"/>
    <cellStyle name="Lien hypertexte visité" xfId="10224" builtinId="9" hidden="1"/>
    <cellStyle name="Lien hypertexte visité" xfId="10226" builtinId="9" hidden="1"/>
    <cellStyle name="Lien hypertexte visité" xfId="10228" builtinId="9" hidden="1"/>
    <cellStyle name="Lien hypertexte visité" xfId="10230" builtinId="9" hidden="1"/>
    <cellStyle name="Lien hypertexte visité" xfId="10232" builtinId="9" hidden="1"/>
    <cellStyle name="Lien hypertexte visité" xfId="10234" builtinId="9" hidden="1"/>
    <cellStyle name="Lien hypertexte visité" xfId="10236" builtinId="9" hidden="1"/>
    <cellStyle name="Lien hypertexte visité" xfId="10238" builtinId="9" hidden="1"/>
    <cellStyle name="Lien hypertexte visité" xfId="10240" builtinId="9" hidden="1"/>
    <cellStyle name="Lien hypertexte visité" xfId="10242" builtinId="9" hidden="1"/>
    <cellStyle name="Lien hypertexte visité" xfId="10244" builtinId="9" hidden="1"/>
    <cellStyle name="Lien hypertexte visité" xfId="10246" builtinId="9" hidden="1"/>
    <cellStyle name="Lien hypertexte visité" xfId="10248" builtinId="9" hidden="1"/>
    <cellStyle name="Lien hypertexte visité" xfId="10250" builtinId="9" hidden="1"/>
    <cellStyle name="Lien hypertexte visité" xfId="10252" builtinId="9" hidden="1"/>
    <cellStyle name="Lien hypertexte visité" xfId="10254" builtinId="9" hidden="1"/>
    <cellStyle name="Lien hypertexte visité" xfId="10256" builtinId="9" hidden="1"/>
    <cellStyle name="Lien hypertexte visité" xfId="10258" builtinId="9" hidden="1"/>
    <cellStyle name="Lien hypertexte visité" xfId="10260" builtinId="9" hidden="1"/>
    <cellStyle name="Lien hypertexte visité" xfId="10262" builtinId="9" hidden="1"/>
    <cellStyle name="Lien hypertexte visité" xfId="10264" builtinId="9" hidden="1"/>
    <cellStyle name="Lien hypertexte visité" xfId="10266" builtinId="9" hidden="1"/>
    <cellStyle name="Lien hypertexte visité" xfId="10268" builtinId="9" hidden="1"/>
    <cellStyle name="Lien hypertexte visité" xfId="10270" builtinId="9" hidden="1"/>
    <cellStyle name="Lien hypertexte visité" xfId="10272" builtinId="9" hidden="1"/>
    <cellStyle name="Lien hypertexte visité" xfId="10274" builtinId="9" hidden="1"/>
    <cellStyle name="Lien hypertexte visité" xfId="10276" builtinId="9" hidden="1"/>
    <cellStyle name="Lien hypertexte visité" xfId="10278" builtinId="9" hidden="1"/>
    <cellStyle name="Lien hypertexte visité" xfId="10280" builtinId="9" hidden="1"/>
    <cellStyle name="Lien hypertexte visité" xfId="10282" builtinId="9" hidden="1"/>
    <cellStyle name="Lien hypertexte visité" xfId="10284" builtinId="9" hidden="1"/>
    <cellStyle name="Lien hypertexte visité" xfId="10286" builtinId="9" hidden="1"/>
    <cellStyle name="Lien hypertexte visité" xfId="10288" builtinId="9" hidden="1"/>
    <cellStyle name="Lien hypertexte visité" xfId="10290" builtinId="9" hidden="1"/>
    <cellStyle name="Lien hypertexte visité" xfId="10292" builtinId="9" hidden="1"/>
    <cellStyle name="Lien hypertexte visité" xfId="10294" builtinId="9" hidden="1"/>
    <cellStyle name="Lien hypertexte visité" xfId="10296" builtinId="9" hidden="1"/>
    <cellStyle name="Lien hypertexte visité" xfId="10298" builtinId="9" hidden="1"/>
    <cellStyle name="Lien hypertexte visité" xfId="10300" builtinId="9" hidden="1"/>
    <cellStyle name="Lien hypertexte visité" xfId="10302" builtinId="9" hidden="1"/>
    <cellStyle name="Lien hypertexte visité" xfId="10304" builtinId="9" hidden="1"/>
    <cellStyle name="Lien hypertexte visité" xfId="10306" builtinId="9" hidden="1"/>
    <cellStyle name="Lien hypertexte visité" xfId="10308" builtinId="9" hidden="1"/>
    <cellStyle name="Lien hypertexte visité" xfId="10310" builtinId="9" hidden="1"/>
    <cellStyle name="Lien hypertexte visité" xfId="10312" builtinId="9" hidden="1"/>
    <cellStyle name="Lien hypertexte visité" xfId="10314" builtinId="9" hidden="1"/>
    <cellStyle name="Lien hypertexte visité" xfId="10316" builtinId="9" hidden="1"/>
    <cellStyle name="Lien hypertexte visité" xfId="10318" builtinId="9" hidden="1"/>
    <cellStyle name="Lien hypertexte visité" xfId="10320" builtinId="9" hidden="1"/>
    <cellStyle name="Lien hypertexte visité" xfId="10322" builtinId="9" hidden="1"/>
    <cellStyle name="Lien hypertexte visité" xfId="10324" builtinId="9" hidden="1"/>
    <cellStyle name="Lien hypertexte visité" xfId="10326" builtinId="9" hidden="1"/>
    <cellStyle name="Lien hypertexte visité" xfId="10328" builtinId="9" hidden="1"/>
    <cellStyle name="Lien hypertexte visité" xfId="10330" builtinId="9" hidden="1"/>
    <cellStyle name="Lien hypertexte visité" xfId="10332" builtinId="9" hidden="1"/>
    <cellStyle name="Lien hypertexte visité" xfId="10334" builtinId="9" hidden="1"/>
    <cellStyle name="Lien hypertexte visité" xfId="10336" builtinId="9" hidden="1"/>
    <cellStyle name="Lien hypertexte visité" xfId="10338" builtinId="9" hidden="1"/>
    <cellStyle name="Lien hypertexte visité" xfId="10340" builtinId="9" hidden="1"/>
    <cellStyle name="Lien hypertexte visité" xfId="10342" builtinId="9" hidden="1"/>
    <cellStyle name="Lien hypertexte visité" xfId="10344" builtinId="9" hidden="1"/>
    <cellStyle name="Lien hypertexte visité" xfId="10346" builtinId="9" hidden="1"/>
    <cellStyle name="Lien hypertexte visité" xfId="10348" builtinId="9" hidden="1"/>
    <cellStyle name="Lien hypertexte visité" xfId="10350" builtinId="9" hidden="1"/>
    <cellStyle name="Lien hypertexte visité" xfId="10352" builtinId="9" hidden="1"/>
    <cellStyle name="Lien hypertexte visité" xfId="10354" builtinId="9" hidden="1"/>
    <cellStyle name="Lien hypertexte visité" xfId="10356" builtinId="9" hidden="1"/>
    <cellStyle name="Lien hypertexte visité" xfId="10358" builtinId="9" hidden="1"/>
    <cellStyle name="Lien hypertexte visité" xfId="10360" builtinId="9" hidden="1"/>
    <cellStyle name="Lien hypertexte visité" xfId="10362" builtinId="9" hidden="1"/>
    <cellStyle name="Lien hypertexte visité" xfId="10364" builtinId="9" hidden="1"/>
    <cellStyle name="Lien hypertexte visité" xfId="10366" builtinId="9" hidden="1"/>
    <cellStyle name="Lien hypertexte visité" xfId="10368" builtinId="9" hidden="1"/>
    <cellStyle name="Lien hypertexte visité" xfId="10370" builtinId="9" hidden="1"/>
    <cellStyle name="Lien hypertexte visité" xfId="10372" builtinId="9" hidden="1"/>
    <cellStyle name="Lien hypertexte visité" xfId="10374" builtinId="9" hidden="1"/>
    <cellStyle name="Lien hypertexte visité" xfId="10376" builtinId="9" hidden="1"/>
    <cellStyle name="Lien hypertexte visité" xfId="10378" builtinId="9" hidden="1"/>
    <cellStyle name="Lien hypertexte visité" xfId="10380" builtinId="9" hidden="1"/>
    <cellStyle name="Lien hypertexte visité" xfId="10382" builtinId="9" hidden="1"/>
    <cellStyle name="Lien hypertexte visité" xfId="10384" builtinId="9" hidden="1"/>
    <cellStyle name="Lien hypertexte visité" xfId="10386" builtinId="9" hidden="1"/>
    <cellStyle name="Lien hypertexte visité" xfId="10388" builtinId="9" hidden="1"/>
    <cellStyle name="Lien hypertexte visité" xfId="10390" builtinId="9" hidden="1"/>
    <cellStyle name="Lien hypertexte visité" xfId="10392" builtinId="9" hidden="1"/>
    <cellStyle name="Lien hypertexte visité" xfId="10394" builtinId="9" hidden="1"/>
    <cellStyle name="Lien hypertexte visité" xfId="10396" builtinId="9" hidden="1"/>
    <cellStyle name="Lien hypertexte visité" xfId="10398" builtinId="9" hidden="1"/>
    <cellStyle name="Lien hypertexte visité" xfId="10400" builtinId="9" hidden="1"/>
    <cellStyle name="Lien hypertexte visité" xfId="10402" builtinId="9" hidden="1"/>
    <cellStyle name="Lien hypertexte visité" xfId="10404" builtinId="9" hidden="1"/>
    <cellStyle name="Lien hypertexte visité" xfId="10406" builtinId="9" hidden="1"/>
    <cellStyle name="Lien hypertexte visité" xfId="10408" builtinId="9" hidden="1"/>
    <cellStyle name="Lien hypertexte visité" xfId="10410" builtinId="9" hidden="1"/>
    <cellStyle name="Lien hypertexte visité" xfId="10412" builtinId="9" hidden="1"/>
    <cellStyle name="Lien hypertexte visité" xfId="10414" builtinId="9" hidden="1"/>
    <cellStyle name="Lien hypertexte visité" xfId="10416" builtinId="9" hidden="1"/>
    <cellStyle name="Lien hypertexte visité" xfId="10418" builtinId="9" hidden="1"/>
    <cellStyle name="Lien hypertexte visité" xfId="10420" builtinId="9" hidden="1"/>
    <cellStyle name="Lien hypertexte visité" xfId="10422" builtinId="9" hidden="1"/>
    <cellStyle name="Lien hypertexte visité" xfId="10424" builtinId="9" hidden="1"/>
    <cellStyle name="Lien hypertexte visité" xfId="10426" builtinId="9" hidden="1"/>
    <cellStyle name="Lien hypertexte visité" xfId="10428" builtinId="9" hidden="1"/>
    <cellStyle name="Lien hypertexte visité" xfId="10430" builtinId="9" hidden="1"/>
    <cellStyle name="Lien hypertexte visité" xfId="10432" builtinId="9" hidden="1"/>
    <cellStyle name="Lien hypertexte visité" xfId="10434" builtinId="9" hidden="1"/>
    <cellStyle name="Lien hypertexte visité" xfId="10436" builtinId="9" hidden="1"/>
    <cellStyle name="Lien hypertexte visité" xfId="10438" builtinId="9" hidden="1"/>
    <cellStyle name="Lien hypertexte visité" xfId="10440" builtinId="9" hidden="1"/>
    <cellStyle name="Lien hypertexte visité" xfId="10442" builtinId="9" hidden="1"/>
    <cellStyle name="Lien hypertexte visité" xfId="10444" builtinId="9" hidden="1"/>
    <cellStyle name="Lien hypertexte visité" xfId="10446" builtinId="9" hidden="1"/>
    <cellStyle name="Lien hypertexte visité" xfId="10448" builtinId="9" hidden="1"/>
    <cellStyle name="Lien hypertexte visité" xfId="10450" builtinId="9" hidden="1"/>
    <cellStyle name="Lien hypertexte visité" xfId="10452" builtinId="9" hidden="1"/>
    <cellStyle name="Lien hypertexte visité" xfId="10454" builtinId="9" hidden="1"/>
    <cellStyle name="Lien hypertexte visité" xfId="10456" builtinId="9" hidden="1"/>
    <cellStyle name="Lien hypertexte visité" xfId="10458" builtinId="9" hidden="1"/>
    <cellStyle name="Lien hypertexte visité" xfId="10460" builtinId="9" hidden="1"/>
    <cellStyle name="Lien hypertexte visité" xfId="10462" builtinId="9" hidden="1"/>
    <cellStyle name="Lien hypertexte visité" xfId="10464" builtinId="9" hidden="1"/>
    <cellStyle name="Lien hypertexte visité" xfId="10466" builtinId="9" hidden="1"/>
    <cellStyle name="Lien hypertexte visité" xfId="10468" builtinId="9" hidden="1"/>
    <cellStyle name="Lien hypertexte visité" xfId="10470" builtinId="9" hidden="1"/>
    <cellStyle name="Lien hypertexte visité" xfId="10472" builtinId="9" hidden="1"/>
    <cellStyle name="Lien hypertexte visité" xfId="10474" builtinId="9" hidden="1"/>
    <cellStyle name="Lien hypertexte visité" xfId="10476" builtinId="9" hidden="1"/>
    <cellStyle name="Lien hypertexte visité" xfId="10478" builtinId="9" hidden="1"/>
    <cellStyle name="Lien hypertexte visité" xfId="10480" builtinId="9" hidden="1"/>
    <cellStyle name="Lien hypertexte visité" xfId="10482" builtinId="9" hidden="1"/>
    <cellStyle name="Lien hypertexte visité" xfId="10484" builtinId="9" hidden="1"/>
    <cellStyle name="Lien hypertexte visité" xfId="10486" builtinId="9" hidden="1"/>
    <cellStyle name="Lien hypertexte visité" xfId="10488" builtinId="9" hidden="1"/>
    <cellStyle name="Lien hypertexte visité" xfId="10490" builtinId="9" hidden="1"/>
    <cellStyle name="Lien hypertexte visité" xfId="10492" builtinId="9" hidden="1"/>
    <cellStyle name="Lien hypertexte visité" xfId="10494" builtinId="9" hidden="1"/>
    <cellStyle name="Lien hypertexte visité" xfId="10496" builtinId="9" hidden="1"/>
    <cellStyle name="Lien hypertexte visité" xfId="10498" builtinId="9" hidden="1"/>
    <cellStyle name="Lien hypertexte visité" xfId="10500" builtinId="9" hidden="1"/>
    <cellStyle name="Lien hypertexte visité" xfId="10502" builtinId="9" hidden="1"/>
    <cellStyle name="Lien hypertexte visité" xfId="10504" builtinId="9" hidden="1"/>
    <cellStyle name="Lien hypertexte visité" xfId="10506" builtinId="9" hidden="1"/>
    <cellStyle name="Lien hypertexte visité" xfId="10508" builtinId="9" hidden="1"/>
    <cellStyle name="Lien hypertexte visité" xfId="10510" builtinId="9" hidden="1"/>
    <cellStyle name="Lien hypertexte visité" xfId="10512" builtinId="9" hidden="1"/>
    <cellStyle name="Lien hypertexte visité" xfId="10514" builtinId="9" hidden="1"/>
    <cellStyle name="Lien hypertexte visité" xfId="10516" builtinId="9" hidden="1"/>
    <cellStyle name="Lien hypertexte visité" xfId="10518" builtinId="9" hidden="1"/>
    <cellStyle name="Lien hypertexte visité" xfId="10520" builtinId="9" hidden="1"/>
    <cellStyle name="Lien hypertexte visité" xfId="10522" builtinId="9" hidden="1"/>
    <cellStyle name="Lien hypertexte visité" xfId="10524" builtinId="9" hidden="1"/>
    <cellStyle name="Lien hypertexte visité" xfId="10526" builtinId="9" hidden="1"/>
    <cellStyle name="Lien hypertexte visité" xfId="10528" builtinId="9" hidden="1"/>
    <cellStyle name="Lien hypertexte visité" xfId="10530" builtinId="9" hidden="1"/>
    <cellStyle name="Lien hypertexte visité" xfId="10532" builtinId="9" hidden="1"/>
    <cellStyle name="Lien hypertexte visité" xfId="10534" builtinId="9" hidden="1"/>
    <cellStyle name="Lien hypertexte visité" xfId="10536" builtinId="9" hidden="1"/>
    <cellStyle name="Lien hypertexte visité" xfId="10538" builtinId="9" hidden="1"/>
    <cellStyle name="Lien hypertexte visité" xfId="10540" builtinId="9" hidden="1"/>
    <cellStyle name="Lien hypertexte visité" xfId="10542" builtinId="9" hidden="1"/>
    <cellStyle name="Lien hypertexte visité" xfId="10544" builtinId="9" hidden="1"/>
    <cellStyle name="Lien hypertexte visité" xfId="10546" builtinId="9" hidden="1"/>
    <cellStyle name="Lien hypertexte visité" xfId="10548" builtinId="9" hidden="1"/>
    <cellStyle name="Lien hypertexte visité" xfId="10550" builtinId="9" hidden="1"/>
    <cellStyle name="Lien hypertexte visité" xfId="10552" builtinId="9" hidden="1"/>
    <cellStyle name="Lien hypertexte visité" xfId="10554" builtinId="9" hidden="1"/>
    <cellStyle name="Lien hypertexte visité" xfId="10556" builtinId="9" hidden="1"/>
    <cellStyle name="Lien hypertexte visité" xfId="10558" builtinId="9" hidden="1"/>
    <cellStyle name="Lien hypertexte visité" xfId="10560" builtinId="9" hidden="1"/>
    <cellStyle name="Lien hypertexte visité" xfId="10562" builtinId="9" hidden="1"/>
    <cellStyle name="Lien hypertexte visité" xfId="10564" builtinId="9" hidden="1"/>
    <cellStyle name="Lien hypertexte visité" xfId="10566" builtinId="9" hidden="1"/>
    <cellStyle name="Lien hypertexte visité" xfId="10568" builtinId="9" hidden="1"/>
    <cellStyle name="Lien hypertexte visité" xfId="10570" builtinId="9" hidden="1"/>
    <cellStyle name="Lien hypertexte visité" xfId="10572" builtinId="9" hidden="1"/>
    <cellStyle name="Lien hypertexte visité" xfId="10574" builtinId="9" hidden="1"/>
    <cellStyle name="Lien hypertexte visité" xfId="10576" builtinId="9" hidden="1"/>
    <cellStyle name="Lien hypertexte visité" xfId="10578" builtinId="9" hidden="1"/>
    <cellStyle name="Lien hypertexte visité" xfId="10580" builtinId="9" hidden="1"/>
    <cellStyle name="Lien hypertexte visité" xfId="10582" builtinId="9" hidden="1"/>
    <cellStyle name="Lien hypertexte visité" xfId="10584" builtinId="9" hidden="1"/>
    <cellStyle name="Lien hypertexte visité" xfId="10586" builtinId="9" hidden="1"/>
    <cellStyle name="Lien hypertexte visité" xfId="10588" builtinId="9" hidden="1"/>
    <cellStyle name="Lien hypertexte visité" xfId="10590" builtinId="9" hidden="1"/>
    <cellStyle name="Lien hypertexte visité" xfId="10592" builtinId="9" hidden="1"/>
    <cellStyle name="Lien hypertexte visité" xfId="10594" builtinId="9" hidden="1"/>
    <cellStyle name="Lien hypertexte visité" xfId="10596" builtinId="9" hidden="1"/>
    <cellStyle name="Lien hypertexte visité" xfId="10598" builtinId="9" hidden="1"/>
    <cellStyle name="Lien hypertexte visité" xfId="10600" builtinId="9" hidden="1"/>
    <cellStyle name="Lien hypertexte visité" xfId="10602" builtinId="9" hidden="1"/>
    <cellStyle name="Lien hypertexte visité" xfId="10604" builtinId="9" hidden="1"/>
    <cellStyle name="Lien hypertexte visité" xfId="10606" builtinId="9" hidden="1"/>
    <cellStyle name="Lien hypertexte visité" xfId="10608" builtinId="9" hidden="1"/>
    <cellStyle name="Lien hypertexte visité" xfId="10610" builtinId="9" hidden="1"/>
    <cellStyle name="Lien hypertexte visité" xfId="10612" builtinId="9" hidden="1"/>
    <cellStyle name="Lien hypertexte visité" xfId="10614" builtinId="9" hidden="1"/>
    <cellStyle name="Lien hypertexte visité" xfId="10616" builtinId="9" hidden="1"/>
    <cellStyle name="Lien hypertexte visité" xfId="10618" builtinId="9" hidden="1"/>
    <cellStyle name="Lien hypertexte visité" xfId="10620" builtinId="9" hidden="1"/>
    <cellStyle name="Lien hypertexte visité" xfId="10622" builtinId="9" hidden="1"/>
    <cellStyle name="Lien hypertexte visité" xfId="10624" builtinId="9" hidden="1"/>
    <cellStyle name="Lien hypertexte visité" xfId="10626" builtinId="9" hidden="1"/>
    <cellStyle name="Lien hypertexte visité" xfId="10628" builtinId="9" hidden="1"/>
    <cellStyle name="Lien hypertexte visité" xfId="10630" builtinId="9" hidden="1"/>
    <cellStyle name="Lien hypertexte visité" xfId="10632" builtinId="9" hidden="1"/>
    <cellStyle name="Lien hypertexte visité" xfId="10634" builtinId="9" hidden="1"/>
    <cellStyle name="Lien hypertexte visité" xfId="10636" builtinId="9" hidden="1"/>
    <cellStyle name="Lien hypertexte visité" xfId="10638" builtinId="9" hidden="1"/>
    <cellStyle name="Lien hypertexte visité" xfId="10640" builtinId="9" hidden="1"/>
    <cellStyle name="Lien hypertexte visité" xfId="10642" builtinId="9" hidden="1"/>
    <cellStyle name="Lien hypertexte visité" xfId="10644" builtinId="9" hidden="1"/>
    <cellStyle name="Lien hypertexte visité" xfId="10646" builtinId="9" hidden="1"/>
    <cellStyle name="Lien hypertexte visité" xfId="10648" builtinId="9" hidden="1"/>
    <cellStyle name="Lien hypertexte visité" xfId="10650" builtinId="9" hidden="1"/>
    <cellStyle name="Lien hypertexte visité" xfId="10652" builtinId="9" hidden="1"/>
    <cellStyle name="Lien hypertexte visité" xfId="10654" builtinId="9" hidden="1"/>
    <cellStyle name="Lien hypertexte visité" xfId="10656" builtinId="9" hidden="1"/>
    <cellStyle name="Lien hypertexte visité" xfId="10658" builtinId="9" hidden="1"/>
    <cellStyle name="Lien hypertexte visité" xfId="10660" builtinId="9" hidden="1"/>
    <cellStyle name="Lien hypertexte visité" xfId="10662" builtinId="9" hidden="1"/>
    <cellStyle name="Lien hypertexte visité" xfId="10664" builtinId="9" hidden="1"/>
    <cellStyle name="Lien hypertexte visité" xfId="10666" builtinId="9" hidden="1"/>
    <cellStyle name="Lien hypertexte visité" xfId="10668" builtinId="9" hidden="1"/>
    <cellStyle name="Lien hypertexte visité" xfId="10670" builtinId="9" hidden="1"/>
    <cellStyle name="Lien hypertexte visité" xfId="10672" builtinId="9" hidden="1"/>
    <cellStyle name="Lien hypertexte visité" xfId="10674" builtinId="9" hidden="1"/>
    <cellStyle name="Lien hypertexte visité" xfId="10676" builtinId="9" hidden="1"/>
    <cellStyle name="Lien hypertexte visité" xfId="10678" builtinId="9" hidden="1"/>
    <cellStyle name="Lien hypertexte visité" xfId="10680" builtinId="9" hidden="1"/>
    <cellStyle name="Lien hypertexte visité" xfId="10682" builtinId="9" hidden="1"/>
    <cellStyle name="Lien hypertexte visité" xfId="10684" builtinId="9" hidden="1"/>
    <cellStyle name="Lien hypertexte visité" xfId="10686" builtinId="9" hidden="1"/>
    <cellStyle name="Lien hypertexte visité" xfId="10688" builtinId="9" hidden="1"/>
    <cellStyle name="Lien hypertexte visité" xfId="10690" builtinId="9" hidden="1"/>
    <cellStyle name="Lien hypertexte visité" xfId="10692" builtinId="9" hidden="1"/>
    <cellStyle name="Lien hypertexte visité" xfId="10694" builtinId="9" hidden="1"/>
    <cellStyle name="Lien hypertexte visité" xfId="10696" builtinId="9" hidden="1"/>
    <cellStyle name="Lien hypertexte visité" xfId="10698" builtinId="9" hidden="1"/>
    <cellStyle name="Lien hypertexte visité" xfId="10700" builtinId="9" hidden="1"/>
    <cellStyle name="Lien hypertexte visité" xfId="10702" builtinId="9" hidden="1"/>
    <cellStyle name="Lien hypertexte visité" xfId="10704" builtinId="9" hidden="1"/>
    <cellStyle name="Lien hypertexte visité" xfId="10706" builtinId="9" hidden="1"/>
    <cellStyle name="Lien hypertexte visité" xfId="10708" builtinId="9" hidden="1"/>
    <cellStyle name="Lien hypertexte visité" xfId="10710" builtinId="9" hidden="1"/>
    <cellStyle name="Lien hypertexte visité" xfId="10712" builtinId="9" hidden="1"/>
    <cellStyle name="Lien hypertexte visité" xfId="10714" builtinId="9" hidden="1"/>
    <cellStyle name="Lien hypertexte visité" xfId="10716" builtinId="9" hidden="1"/>
    <cellStyle name="Lien hypertexte visité" xfId="10718" builtinId="9" hidden="1"/>
    <cellStyle name="Lien hypertexte visité" xfId="10720" builtinId="9" hidden="1"/>
    <cellStyle name="Lien hypertexte visité" xfId="10722" builtinId="9" hidden="1"/>
    <cellStyle name="Lien hypertexte visité" xfId="10724" builtinId="9" hidden="1"/>
    <cellStyle name="Lien hypertexte visité" xfId="10726" builtinId="9" hidden="1"/>
    <cellStyle name="Lien hypertexte visité" xfId="10728" builtinId="9" hidden="1"/>
    <cellStyle name="Lien hypertexte visité" xfId="10730" builtinId="9" hidden="1"/>
    <cellStyle name="Lien hypertexte visité" xfId="10732" builtinId="9" hidden="1"/>
    <cellStyle name="Lien hypertexte visité" xfId="10734" builtinId="9" hidden="1"/>
    <cellStyle name="Lien hypertexte visité" xfId="10736" builtinId="9" hidden="1"/>
    <cellStyle name="Lien hypertexte visité" xfId="10738" builtinId="9" hidden="1"/>
    <cellStyle name="Lien hypertexte visité" xfId="10740" builtinId="9" hidden="1"/>
    <cellStyle name="Lien hypertexte visité" xfId="10742" builtinId="9" hidden="1"/>
    <cellStyle name="Lien hypertexte visité" xfId="10744" builtinId="9" hidden="1"/>
    <cellStyle name="Lien hypertexte visité" xfId="10746" builtinId="9" hidden="1"/>
    <cellStyle name="Lien hypertexte visité" xfId="10748" builtinId="9" hidden="1"/>
    <cellStyle name="Lien hypertexte visité" xfId="10750" builtinId="9" hidden="1"/>
    <cellStyle name="Lien hypertexte visité" xfId="10752" builtinId="9" hidden="1"/>
    <cellStyle name="Lien hypertexte visité" xfId="10754" builtinId="9" hidden="1"/>
    <cellStyle name="Lien hypertexte visité" xfId="10756" builtinId="9" hidden="1"/>
    <cellStyle name="Lien hypertexte visité" xfId="10758" builtinId="9" hidden="1"/>
    <cellStyle name="Lien hypertexte visité" xfId="10760" builtinId="9" hidden="1"/>
    <cellStyle name="Lien hypertexte visité" xfId="10762" builtinId="9" hidden="1"/>
    <cellStyle name="Lien hypertexte visité" xfId="10764" builtinId="9" hidden="1"/>
    <cellStyle name="Lien hypertexte visité" xfId="10766" builtinId="9" hidden="1"/>
    <cellStyle name="Lien hypertexte visité" xfId="10768" builtinId="9" hidden="1"/>
    <cellStyle name="Lien hypertexte visité" xfId="10770" builtinId="9" hidden="1"/>
    <cellStyle name="Lien hypertexte visité" xfId="10772" builtinId="9" hidden="1"/>
    <cellStyle name="Lien hypertexte visité" xfId="10774" builtinId="9" hidden="1"/>
    <cellStyle name="Lien hypertexte visité" xfId="10776" builtinId="9" hidden="1"/>
    <cellStyle name="Lien hypertexte visité" xfId="10778" builtinId="9" hidden="1"/>
    <cellStyle name="Lien hypertexte visité" xfId="10780" builtinId="9" hidden="1"/>
    <cellStyle name="Lien hypertexte visité" xfId="10782" builtinId="9" hidden="1"/>
    <cellStyle name="Lien hypertexte visité" xfId="10784" builtinId="9" hidden="1"/>
    <cellStyle name="Lien hypertexte visité" xfId="10786" builtinId="9" hidden="1"/>
    <cellStyle name="Lien hypertexte visité" xfId="10788" builtinId="9" hidden="1"/>
    <cellStyle name="Lien hypertexte visité" xfId="10790" builtinId="9" hidden="1"/>
    <cellStyle name="Lien hypertexte visité" xfId="10792" builtinId="9" hidden="1"/>
    <cellStyle name="Lien hypertexte visité" xfId="10794" builtinId="9" hidden="1"/>
    <cellStyle name="Lien hypertexte visité" xfId="10796" builtinId="9" hidden="1"/>
    <cellStyle name="Lien hypertexte visité" xfId="10798" builtinId="9" hidden="1"/>
    <cellStyle name="Lien hypertexte visité" xfId="10800" builtinId="9" hidden="1"/>
    <cellStyle name="Lien hypertexte visité" xfId="10802" builtinId="9" hidden="1"/>
    <cellStyle name="Lien hypertexte visité" xfId="10804" builtinId="9" hidden="1"/>
    <cellStyle name="Lien hypertexte visité" xfId="10806" builtinId="9" hidden="1"/>
    <cellStyle name="Lien hypertexte visité" xfId="10808" builtinId="9" hidden="1"/>
    <cellStyle name="Lien hypertexte visité" xfId="10810" builtinId="9" hidden="1"/>
    <cellStyle name="Lien hypertexte visité" xfId="10812" builtinId="9" hidden="1"/>
    <cellStyle name="Lien hypertexte visité" xfId="10814" builtinId="9" hidden="1"/>
    <cellStyle name="Lien hypertexte visité" xfId="10816" builtinId="9" hidden="1"/>
    <cellStyle name="Lien hypertexte visité" xfId="10818" builtinId="9" hidden="1"/>
    <cellStyle name="Lien hypertexte visité" xfId="10820" builtinId="9" hidden="1"/>
    <cellStyle name="Lien hypertexte visité" xfId="10822" builtinId="9" hidden="1"/>
    <cellStyle name="Lien hypertexte visité" xfId="10824" builtinId="9" hidden="1"/>
    <cellStyle name="Lien hypertexte visité" xfId="10826" builtinId="9" hidden="1"/>
    <cellStyle name="Lien hypertexte visité" xfId="10828" builtinId="9" hidden="1"/>
    <cellStyle name="Lien hypertexte visité" xfId="10830" builtinId="9" hidden="1"/>
    <cellStyle name="Lien hypertexte visité" xfId="10832" builtinId="9" hidden="1"/>
    <cellStyle name="Lien hypertexte visité" xfId="10834" builtinId="9" hidden="1"/>
    <cellStyle name="Lien hypertexte visité" xfId="10836" builtinId="9" hidden="1"/>
    <cellStyle name="Lien hypertexte visité" xfId="10838" builtinId="9" hidden="1"/>
    <cellStyle name="Lien hypertexte visité" xfId="10840" builtinId="9" hidden="1"/>
    <cellStyle name="Lien hypertexte visité" xfId="10842" builtinId="9" hidden="1"/>
    <cellStyle name="Lien hypertexte visité" xfId="10844" builtinId="9" hidden="1"/>
    <cellStyle name="Lien hypertexte visité" xfId="10846" builtinId="9" hidden="1"/>
    <cellStyle name="Lien hypertexte visité" xfId="10848" builtinId="9" hidden="1"/>
    <cellStyle name="Lien hypertexte visité" xfId="10850" builtinId="9" hidden="1"/>
    <cellStyle name="Lien hypertexte visité" xfId="10852" builtinId="9" hidden="1"/>
    <cellStyle name="Lien hypertexte visité" xfId="10854" builtinId="9" hidden="1"/>
    <cellStyle name="Lien hypertexte visité" xfId="10856" builtinId="9" hidden="1"/>
    <cellStyle name="Lien hypertexte visité" xfId="10858" builtinId="9" hidden="1"/>
    <cellStyle name="Lien hypertexte visité" xfId="10860" builtinId="9" hidden="1"/>
    <cellStyle name="Lien hypertexte visité" xfId="10862" builtinId="9" hidden="1"/>
    <cellStyle name="Lien hypertexte visité" xfId="10864" builtinId="9" hidden="1"/>
    <cellStyle name="Lien hypertexte visité" xfId="10866" builtinId="9" hidden="1"/>
    <cellStyle name="Lien hypertexte visité" xfId="10868" builtinId="9" hidden="1"/>
    <cellStyle name="Lien hypertexte visité" xfId="10870" builtinId="9" hidden="1"/>
    <cellStyle name="Lien hypertexte visité" xfId="10872" builtinId="9" hidden="1"/>
    <cellStyle name="Lien hypertexte visité" xfId="10874" builtinId="9" hidden="1"/>
    <cellStyle name="Lien hypertexte visité" xfId="10876" builtinId="9" hidden="1"/>
    <cellStyle name="Lien hypertexte visité" xfId="10878" builtinId="9" hidden="1"/>
    <cellStyle name="Lien hypertexte visité" xfId="10880" builtinId="9" hidden="1"/>
    <cellStyle name="Lien hypertexte visité" xfId="10882" builtinId="9" hidden="1"/>
    <cellStyle name="Lien hypertexte visité" xfId="10884" builtinId="9" hidden="1"/>
    <cellStyle name="Lien hypertexte visité" xfId="10886" builtinId="9" hidden="1"/>
    <cellStyle name="Lien hypertexte visité" xfId="10888" builtinId="9" hidden="1"/>
    <cellStyle name="Lien hypertexte visité" xfId="10890" builtinId="9" hidden="1"/>
    <cellStyle name="Lien hypertexte visité" xfId="10892" builtinId="9" hidden="1"/>
    <cellStyle name="Lien hypertexte visité" xfId="10894" builtinId="9" hidden="1"/>
    <cellStyle name="Lien hypertexte visité" xfId="10896" builtinId="9" hidden="1"/>
    <cellStyle name="Lien hypertexte visité" xfId="10898" builtinId="9" hidden="1"/>
    <cellStyle name="Lien hypertexte visité" xfId="10900" builtinId="9" hidden="1"/>
    <cellStyle name="Lien hypertexte visité" xfId="10902" builtinId="9" hidden="1"/>
    <cellStyle name="Lien hypertexte visité" xfId="10904" builtinId="9" hidden="1"/>
    <cellStyle name="Lien hypertexte visité" xfId="10906" builtinId="9" hidden="1"/>
    <cellStyle name="Lien hypertexte visité" xfId="10908" builtinId="9" hidden="1"/>
    <cellStyle name="Lien hypertexte visité" xfId="10910" builtinId="9" hidden="1"/>
    <cellStyle name="Lien hypertexte visité" xfId="10912" builtinId="9" hidden="1"/>
    <cellStyle name="Lien hypertexte visité" xfId="10914" builtinId="9" hidden="1"/>
    <cellStyle name="Lien hypertexte visité" xfId="10916" builtinId="9" hidden="1"/>
    <cellStyle name="Lien hypertexte visité" xfId="10918" builtinId="9" hidden="1"/>
    <cellStyle name="Lien hypertexte visité" xfId="10920" builtinId="9" hidden="1"/>
    <cellStyle name="Lien hypertexte visité" xfId="10922" builtinId="9" hidden="1"/>
    <cellStyle name="Lien hypertexte visité" xfId="10924" builtinId="9" hidden="1"/>
    <cellStyle name="Lien hypertexte visité" xfId="10926" builtinId="9" hidden="1"/>
    <cellStyle name="Lien hypertexte visité" xfId="10928" builtinId="9" hidden="1"/>
    <cellStyle name="Lien hypertexte visité" xfId="10930" builtinId="9" hidden="1"/>
    <cellStyle name="Lien hypertexte visité" xfId="10932" builtinId="9" hidden="1"/>
    <cellStyle name="Lien hypertexte visité" xfId="10934" builtinId="9" hidden="1"/>
    <cellStyle name="Lien hypertexte visité" xfId="10936" builtinId="9" hidden="1"/>
    <cellStyle name="Lien hypertexte visité" xfId="10938" builtinId="9" hidden="1"/>
    <cellStyle name="Lien hypertexte visité" xfId="10940" builtinId="9" hidden="1"/>
    <cellStyle name="Lien hypertexte visité" xfId="10942" builtinId="9" hidden="1"/>
    <cellStyle name="Lien hypertexte visité" xfId="10944" builtinId="9" hidden="1"/>
    <cellStyle name="Lien hypertexte visité" xfId="10946" builtinId="9" hidden="1"/>
    <cellStyle name="Lien hypertexte visité" xfId="10948" builtinId="9" hidden="1"/>
    <cellStyle name="Lien hypertexte visité" xfId="10950" builtinId="9" hidden="1"/>
    <cellStyle name="Lien hypertexte visité" xfId="10952" builtinId="9" hidden="1"/>
    <cellStyle name="Lien hypertexte visité" xfId="10954" builtinId="9" hidden="1"/>
    <cellStyle name="Lien hypertexte visité" xfId="10956" builtinId="9" hidden="1"/>
    <cellStyle name="Lien hypertexte visité" xfId="10958" builtinId="9" hidden="1"/>
    <cellStyle name="Lien hypertexte visité" xfId="10960" builtinId="9" hidden="1"/>
    <cellStyle name="Lien hypertexte visité" xfId="10962" builtinId="9" hidden="1"/>
    <cellStyle name="Lien hypertexte visité" xfId="10964" builtinId="9" hidden="1"/>
    <cellStyle name="Lien hypertexte visité" xfId="10966" builtinId="9" hidden="1"/>
    <cellStyle name="Lien hypertexte visité" xfId="10968" builtinId="9" hidden="1"/>
    <cellStyle name="Lien hypertexte visité" xfId="10970" builtinId="9" hidden="1"/>
    <cellStyle name="Lien hypertexte visité" xfId="10972" builtinId="9" hidden="1"/>
    <cellStyle name="Lien hypertexte visité" xfId="10974" builtinId="9" hidden="1"/>
    <cellStyle name="Lien hypertexte visité" xfId="10976" builtinId="9" hidden="1"/>
    <cellStyle name="Lien hypertexte visité" xfId="10978" builtinId="9" hidden="1"/>
    <cellStyle name="Lien hypertexte visité" xfId="10980" builtinId="9" hidden="1"/>
    <cellStyle name="Lien hypertexte visité" xfId="10982" builtinId="9" hidden="1"/>
    <cellStyle name="Lien hypertexte visité" xfId="10984" builtinId="9" hidden="1"/>
    <cellStyle name="Lien hypertexte visité" xfId="10986" builtinId="9" hidden="1"/>
    <cellStyle name="Lien hypertexte visité" xfId="10988" builtinId="9" hidden="1"/>
    <cellStyle name="Lien hypertexte visité" xfId="10990" builtinId="9" hidden="1"/>
    <cellStyle name="Lien hypertexte visité" xfId="10992" builtinId="9" hidden="1"/>
    <cellStyle name="Lien hypertexte visité" xfId="10994" builtinId="9" hidden="1"/>
    <cellStyle name="Lien hypertexte visité" xfId="10996" builtinId="9" hidden="1"/>
    <cellStyle name="Lien hypertexte visité" xfId="10998" builtinId="9" hidden="1"/>
    <cellStyle name="Lien hypertexte visité" xfId="11000" builtinId="9" hidden="1"/>
    <cellStyle name="Lien hypertexte visité" xfId="11002" builtinId="9" hidden="1"/>
    <cellStyle name="Lien hypertexte visité" xfId="11004" builtinId="9" hidden="1"/>
    <cellStyle name="Lien hypertexte visité" xfId="11006" builtinId="9" hidden="1"/>
    <cellStyle name="Lien hypertexte visité" xfId="11008" builtinId="9" hidden="1"/>
    <cellStyle name="Lien hypertexte visité" xfId="11010" builtinId="9" hidden="1"/>
    <cellStyle name="Lien hypertexte visité" xfId="11012" builtinId="9" hidden="1"/>
    <cellStyle name="Lien hypertexte visité" xfId="11014" builtinId="9" hidden="1"/>
    <cellStyle name="Lien hypertexte visité" xfId="11016" builtinId="9" hidden="1"/>
    <cellStyle name="Lien hypertexte visité" xfId="11018" builtinId="9" hidden="1"/>
    <cellStyle name="Lien hypertexte visité" xfId="11020" builtinId="9" hidden="1"/>
    <cellStyle name="Lien hypertexte visité" xfId="11022" builtinId="9" hidden="1"/>
    <cellStyle name="Lien hypertexte visité" xfId="11024" builtinId="9" hidden="1"/>
    <cellStyle name="Lien hypertexte visité" xfId="11026" builtinId="9" hidden="1"/>
    <cellStyle name="Lien hypertexte visité" xfId="11028" builtinId="9" hidden="1"/>
    <cellStyle name="Lien hypertexte visité" xfId="11030" builtinId="9" hidden="1"/>
    <cellStyle name="Lien hypertexte visité" xfId="11032" builtinId="9" hidden="1"/>
    <cellStyle name="Lien hypertexte visité" xfId="11034" builtinId="9" hidden="1"/>
    <cellStyle name="Lien hypertexte visité" xfId="11036" builtinId="9" hidden="1"/>
    <cellStyle name="Lien hypertexte visité" xfId="11038" builtinId="9" hidden="1"/>
    <cellStyle name="Lien hypertexte visité" xfId="11040" builtinId="9" hidden="1"/>
    <cellStyle name="Lien hypertexte visité" xfId="11042" builtinId="9" hidden="1"/>
    <cellStyle name="Lien hypertexte visité" xfId="11044" builtinId="9" hidden="1"/>
    <cellStyle name="Lien hypertexte visité" xfId="11046" builtinId="9" hidden="1"/>
    <cellStyle name="Lien hypertexte visité" xfId="11048" builtinId="9" hidden="1"/>
    <cellStyle name="Lien hypertexte visité" xfId="11050" builtinId="9" hidden="1"/>
    <cellStyle name="Lien hypertexte visité" xfId="11052" builtinId="9" hidden="1"/>
    <cellStyle name="Lien hypertexte visité" xfId="11054" builtinId="9" hidden="1"/>
    <cellStyle name="Lien hypertexte visité" xfId="11056" builtinId="9" hidden="1"/>
    <cellStyle name="Lien hypertexte visité" xfId="11058" builtinId="9" hidden="1"/>
    <cellStyle name="Lien hypertexte visité" xfId="11060" builtinId="9" hidden="1"/>
    <cellStyle name="Lien hypertexte visité" xfId="11062" builtinId="9" hidden="1"/>
    <cellStyle name="Lien hypertexte visité" xfId="11064" builtinId="9" hidden="1"/>
    <cellStyle name="Lien hypertexte visité" xfId="11066" builtinId="9" hidden="1"/>
    <cellStyle name="Lien hypertexte visité" xfId="11068" builtinId="9" hidden="1"/>
    <cellStyle name="Lien hypertexte visité" xfId="11070" builtinId="9" hidden="1"/>
    <cellStyle name="Lien hypertexte visité" xfId="11072" builtinId="9" hidden="1"/>
    <cellStyle name="Lien hypertexte visité" xfId="11074" builtinId="9" hidden="1"/>
    <cellStyle name="Lien hypertexte visité" xfId="11076" builtinId="9" hidden="1"/>
    <cellStyle name="Lien hypertexte visité" xfId="11078" builtinId="9" hidden="1"/>
    <cellStyle name="Lien hypertexte visité" xfId="11080" builtinId="9" hidden="1"/>
    <cellStyle name="Lien hypertexte visité" xfId="11082" builtinId="9" hidden="1"/>
    <cellStyle name="Lien hypertexte visité" xfId="11084" builtinId="9" hidden="1"/>
    <cellStyle name="Lien hypertexte visité" xfId="11086" builtinId="9" hidden="1"/>
    <cellStyle name="Lien hypertexte visité" xfId="11088" builtinId="9" hidden="1"/>
    <cellStyle name="Lien hypertexte visité" xfId="11090" builtinId="9" hidden="1"/>
    <cellStyle name="Lien hypertexte visité" xfId="11092" builtinId="9" hidden="1"/>
    <cellStyle name="Lien hypertexte visité" xfId="11094" builtinId="9" hidden="1"/>
    <cellStyle name="Lien hypertexte visité" xfId="11096" builtinId="9" hidden="1"/>
    <cellStyle name="Lien hypertexte visité" xfId="11098" builtinId="9" hidden="1"/>
    <cellStyle name="Lien hypertexte visité" xfId="11100" builtinId="9" hidden="1"/>
    <cellStyle name="Lien hypertexte visité" xfId="11102" builtinId="9" hidden="1"/>
    <cellStyle name="Lien hypertexte visité" xfId="11104" builtinId="9" hidden="1"/>
    <cellStyle name="Lien hypertexte visité" xfId="11106" builtinId="9" hidden="1"/>
    <cellStyle name="Lien hypertexte visité" xfId="11108" builtinId="9" hidden="1"/>
    <cellStyle name="Lien hypertexte visité" xfId="11110" builtinId="9" hidden="1"/>
    <cellStyle name="Lien hypertexte visité" xfId="11112" builtinId="9" hidden="1"/>
    <cellStyle name="Lien hypertexte visité" xfId="11114" builtinId="9" hidden="1"/>
    <cellStyle name="Lien hypertexte visité" xfId="11116" builtinId="9" hidden="1"/>
    <cellStyle name="Lien hypertexte visité" xfId="11118" builtinId="9" hidden="1"/>
    <cellStyle name="Lien hypertexte visité" xfId="11120" builtinId="9" hidden="1"/>
    <cellStyle name="Lien hypertexte visité" xfId="11122" builtinId="9" hidden="1"/>
    <cellStyle name="Lien hypertexte visité" xfId="11124" builtinId="9" hidden="1"/>
    <cellStyle name="Lien hypertexte visité" xfId="11126" builtinId="9" hidden="1"/>
    <cellStyle name="Lien hypertexte visité" xfId="11128" builtinId="9" hidden="1"/>
    <cellStyle name="Lien hypertexte visité" xfId="11130" builtinId="9" hidden="1"/>
    <cellStyle name="Lien hypertexte visité" xfId="11132" builtinId="9" hidden="1"/>
    <cellStyle name="Lien hypertexte visité" xfId="11134" builtinId="9" hidden="1"/>
    <cellStyle name="Lien hypertexte visité" xfId="11136" builtinId="9" hidden="1"/>
    <cellStyle name="Lien hypertexte visité" xfId="11138" builtinId="9" hidden="1"/>
    <cellStyle name="Lien hypertexte visité" xfId="11140" builtinId="9" hidden="1"/>
    <cellStyle name="Lien hypertexte visité" xfId="11142" builtinId="9" hidden="1"/>
    <cellStyle name="Lien hypertexte visité" xfId="11144" builtinId="9" hidden="1"/>
    <cellStyle name="Lien hypertexte visité" xfId="11146" builtinId="9" hidden="1"/>
    <cellStyle name="Lien hypertexte visité" xfId="11148" builtinId="9" hidden="1"/>
    <cellStyle name="Lien hypertexte visité" xfId="11150" builtinId="9" hidden="1"/>
    <cellStyle name="Lien hypertexte visité" xfId="11152" builtinId="9" hidden="1"/>
    <cellStyle name="Lien hypertexte visité" xfId="11154" builtinId="9" hidden="1"/>
    <cellStyle name="Lien hypertexte visité" xfId="11156" builtinId="9" hidden="1"/>
    <cellStyle name="Lien hypertexte visité" xfId="11158" builtinId="9" hidden="1"/>
    <cellStyle name="Lien hypertexte visité" xfId="11160" builtinId="9" hidden="1"/>
    <cellStyle name="Lien hypertexte visité" xfId="11162" builtinId="9" hidden="1"/>
    <cellStyle name="Lien hypertexte visité" xfId="11164" builtinId="9" hidden="1"/>
    <cellStyle name="Lien hypertexte visité" xfId="11166" builtinId="9" hidden="1"/>
    <cellStyle name="Lien hypertexte visité" xfId="11168" builtinId="9" hidden="1"/>
    <cellStyle name="Lien hypertexte visité" xfId="11170" builtinId="9" hidden="1"/>
    <cellStyle name="Lien hypertexte visité" xfId="11172" builtinId="9" hidden="1"/>
    <cellStyle name="Lien hypertexte visité" xfId="11174" builtinId="9" hidden="1"/>
    <cellStyle name="Lien hypertexte visité" xfId="11176" builtinId="9" hidden="1"/>
    <cellStyle name="Lien hypertexte visité" xfId="11178" builtinId="9" hidden="1"/>
    <cellStyle name="Lien hypertexte visité" xfId="11180" builtinId="9" hidden="1"/>
    <cellStyle name="Lien hypertexte visité" xfId="11182" builtinId="9" hidden="1"/>
    <cellStyle name="Lien hypertexte visité" xfId="11184" builtinId="9" hidden="1"/>
    <cellStyle name="Lien hypertexte visité" xfId="11186" builtinId="9" hidden="1"/>
    <cellStyle name="Lien hypertexte visité" xfId="11188" builtinId="9" hidden="1"/>
    <cellStyle name="Lien hypertexte visité" xfId="11190" builtinId="9" hidden="1"/>
    <cellStyle name="Lien hypertexte visité" xfId="11192" builtinId="9" hidden="1"/>
    <cellStyle name="Lien hypertexte visité" xfId="11194" builtinId="9" hidden="1"/>
    <cellStyle name="Lien hypertexte visité" xfId="11196" builtinId="9" hidden="1"/>
    <cellStyle name="Lien hypertexte visité" xfId="11198" builtinId="9" hidden="1"/>
    <cellStyle name="Lien hypertexte visité" xfId="11200" builtinId="9" hidden="1"/>
    <cellStyle name="Lien hypertexte visité" xfId="11202" builtinId="9" hidden="1"/>
    <cellStyle name="Lien hypertexte visité" xfId="11204" builtinId="9" hidden="1"/>
    <cellStyle name="Lien hypertexte visité" xfId="11206" builtinId="9" hidden="1"/>
    <cellStyle name="Lien hypertexte visité" xfId="11208" builtinId="9" hidden="1"/>
    <cellStyle name="Lien hypertexte visité" xfId="11210" builtinId="9" hidden="1"/>
    <cellStyle name="Lien hypertexte visité" xfId="11212" builtinId="9" hidden="1"/>
    <cellStyle name="Lien hypertexte visité" xfId="11214" builtinId="9" hidden="1"/>
    <cellStyle name="Lien hypertexte visité" xfId="11216" builtinId="9" hidden="1"/>
    <cellStyle name="Lien hypertexte visité" xfId="11218" builtinId="9" hidden="1"/>
    <cellStyle name="Lien hypertexte visité" xfId="11220" builtinId="9" hidden="1"/>
    <cellStyle name="Lien hypertexte visité" xfId="11222" builtinId="9" hidden="1"/>
    <cellStyle name="Lien hypertexte visité" xfId="11224" builtinId="9" hidden="1"/>
    <cellStyle name="Lien hypertexte visité" xfId="11226" builtinId="9" hidden="1"/>
    <cellStyle name="Lien hypertexte visité" xfId="11228" builtinId="9" hidden="1"/>
    <cellStyle name="Lien hypertexte visité" xfId="11230" builtinId="9" hidden="1"/>
    <cellStyle name="Lien hypertexte visité" xfId="11232" builtinId="9" hidden="1"/>
    <cellStyle name="Lien hypertexte visité" xfId="11234" builtinId="9" hidden="1"/>
    <cellStyle name="Lien hypertexte visité" xfId="11236" builtinId="9" hidden="1"/>
    <cellStyle name="Lien hypertexte visité" xfId="11238" builtinId="9" hidden="1"/>
    <cellStyle name="Lien hypertexte visité" xfId="11240" builtinId="9" hidden="1"/>
    <cellStyle name="Lien hypertexte visité" xfId="11242" builtinId="9" hidden="1"/>
    <cellStyle name="Lien hypertexte visité" xfId="11244" builtinId="9" hidden="1"/>
    <cellStyle name="Lien hypertexte visité" xfId="11246" builtinId="9" hidden="1"/>
    <cellStyle name="Lien hypertexte visité" xfId="11248" builtinId="9" hidden="1"/>
    <cellStyle name="Lien hypertexte visité" xfId="11250" builtinId="9" hidden="1"/>
    <cellStyle name="Lien hypertexte visité" xfId="11252" builtinId="9" hidden="1"/>
    <cellStyle name="Lien hypertexte visité" xfId="11254" builtinId="9" hidden="1"/>
    <cellStyle name="Lien hypertexte visité" xfId="11256" builtinId="9" hidden="1"/>
    <cellStyle name="Lien hypertexte visité" xfId="11258" builtinId="9" hidden="1"/>
    <cellStyle name="Lien hypertexte visité" xfId="11260" builtinId="9" hidden="1"/>
    <cellStyle name="Lien hypertexte visité" xfId="11262" builtinId="9" hidden="1"/>
    <cellStyle name="Lien hypertexte visité" xfId="11264" builtinId="9" hidden="1"/>
    <cellStyle name="Lien hypertexte visité" xfId="11266" builtinId="9" hidden="1"/>
    <cellStyle name="Lien hypertexte visité" xfId="11268" builtinId="9" hidden="1"/>
    <cellStyle name="Lien hypertexte visité" xfId="11270" builtinId="9" hidden="1"/>
    <cellStyle name="Lien hypertexte visité" xfId="11272" builtinId="9" hidden="1"/>
    <cellStyle name="Lien hypertexte visité" xfId="11274" builtinId="9" hidden="1"/>
    <cellStyle name="Lien hypertexte visité" xfId="11276" builtinId="9" hidden="1"/>
    <cellStyle name="Lien hypertexte visité" xfId="11278" builtinId="9" hidden="1"/>
    <cellStyle name="Lien hypertexte visité" xfId="11280" builtinId="9" hidden="1"/>
    <cellStyle name="Lien hypertexte visité" xfId="11282" builtinId="9" hidden="1"/>
    <cellStyle name="Lien hypertexte visité" xfId="11284" builtinId="9" hidden="1"/>
    <cellStyle name="Lien hypertexte visité" xfId="11286" builtinId="9" hidden="1"/>
    <cellStyle name="Lien hypertexte visité" xfId="11288" builtinId="9" hidden="1"/>
    <cellStyle name="Lien hypertexte visité" xfId="11290" builtinId="9" hidden="1"/>
    <cellStyle name="Lien hypertexte visité" xfId="11292" builtinId="9" hidden="1"/>
    <cellStyle name="Lien hypertexte visité" xfId="11294" builtinId="9" hidden="1"/>
    <cellStyle name="Lien hypertexte visité" xfId="11296" builtinId="9" hidden="1"/>
    <cellStyle name="Lien hypertexte visité" xfId="11298" builtinId="9" hidden="1"/>
    <cellStyle name="Lien hypertexte visité" xfId="11300" builtinId="9" hidden="1"/>
    <cellStyle name="Lien hypertexte visité" xfId="11302" builtinId="9" hidden="1"/>
    <cellStyle name="Lien hypertexte visité" xfId="11304" builtinId="9" hidden="1"/>
    <cellStyle name="Lien hypertexte visité" xfId="11306" builtinId="9" hidden="1"/>
    <cellStyle name="Lien hypertexte visité" xfId="11308" builtinId="9" hidden="1"/>
    <cellStyle name="Lien hypertexte visité" xfId="11310" builtinId="9" hidden="1"/>
    <cellStyle name="Lien hypertexte visité" xfId="11312" builtinId="9" hidden="1"/>
    <cellStyle name="Lien hypertexte visité" xfId="11314" builtinId="9" hidden="1"/>
    <cellStyle name="Lien hypertexte visité" xfId="11316" builtinId="9" hidden="1"/>
    <cellStyle name="Lien hypertexte visité" xfId="11318" builtinId="9" hidden="1"/>
    <cellStyle name="Lien hypertexte visité" xfId="11320" builtinId="9" hidden="1"/>
    <cellStyle name="Lien hypertexte visité" xfId="11322" builtinId="9" hidden="1"/>
    <cellStyle name="Lien hypertexte visité" xfId="11324" builtinId="9" hidden="1"/>
    <cellStyle name="Lien hypertexte visité" xfId="11326" builtinId="9" hidden="1"/>
    <cellStyle name="Lien hypertexte visité" xfId="11328" builtinId="9" hidden="1"/>
    <cellStyle name="Lien hypertexte visité" xfId="11330" builtinId="9" hidden="1"/>
    <cellStyle name="Lien hypertexte visité" xfId="11332" builtinId="9" hidden="1"/>
    <cellStyle name="Lien hypertexte visité" xfId="11334" builtinId="9" hidden="1"/>
    <cellStyle name="Lien hypertexte visité" xfId="11336" builtinId="9" hidden="1"/>
    <cellStyle name="Lien hypertexte visité" xfId="11338" builtinId="9" hidden="1"/>
    <cellStyle name="Lien hypertexte visité" xfId="11340" builtinId="9" hidden="1"/>
    <cellStyle name="Lien hypertexte visité" xfId="11342" builtinId="9" hidden="1"/>
    <cellStyle name="Lien hypertexte visité" xfId="11344" builtinId="9" hidden="1"/>
    <cellStyle name="Lien hypertexte visité" xfId="11346" builtinId="9" hidden="1"/>
    <cellStyle name="Lien hypertexte visité" xfId="11348" builtinId="9" hidden="1"/>
    <cellStyle name="Lien hypertexte visité" xfId="11350" builtinId="9" hidden="1"/>
    <cellStyle name="Lien hypertexte visité" xfId="11352" builtinId="9" hidden="1"/>
    <cellStyle name="Lien hypertexte visité" xfId="11354" builtinId="9" hidden="1"/>
    <cellStyle name="Lien hypertexte visité" xfId="11356" builtinId="9" hidden="1"/>
    <cellStyle name="Lien hypertexte visité" xfId="11358" builtinId="9" hidden="1"/>
    <cellStyle name="Lien hypertexte visité" xfId="11360" builtinId="9" hidden="1"/>
    <cellStyle name="Lien hypertexte visité" xfId="11362" builtinId="9" hidden="1"/>
    <cellStyle name="Lien hypertexte visité" xfId="11364" builtinId="9" hidden="1"/>
    <cellStyle name="Lien hypertexte visité" xfId="11366" builtinId="9" hidden="1"/>
    <cellStyle name="Lien hypertexte visité" xfId="11368" builtinId="9" hidden="1"/>
    <cellStyle name="Lien hypertexte visité" xfId="11370" builtinId="9" hidden="1"/>
    <cellStyle name="Lien hypertexte visité" xfId="11372" builtinId="9" hidden="1"/>
    <cellStyle name="Lien hypertexte visité" xfId="11374" builtinId="9" hidden="1"/>
    <cellStyle name="Lien hypertexte visité" xfId="11376" builtinId="9" hidden="1"/>
    <cellStyle name="Lien hypertexte visité" xfId="11378" builtinId="9" hidden="1"/>
    <cellStyle name="Lien hypertexte visité" xfId="11380" builtinId="9" hidden="1"/>
    <cellStyle name="Lien hypertexte visité" xfId="11382" builtinId="9" hidden="1"/>
    <cellStyle name="Lien hypertexte visité" xfId="11384" builtinId="9" hidden="1"/>
    <cellStyle name="Lien hypertexte visité" xfId="11386" builtinId="9" hidden="1"/>
    <cellStyle name="Lien hypertexte visité" xfId="11388" builtinId="9" hidden="1"/>
    <cellStyle name="Lien hypertexte visité" xfId="11390" builtinId="9" hidden="1"/>
    <cellStyle name="Lien hypertexte visité" xfId="11392" builtinId="9" hidden="1"/>
    <cellStyle name="Lien hypertexte visité" xfId="11394" builtinId="9" hidden="1"/>
    <cellStyle name="Lien hypertexte visité" xfId="11396" builtinId="9" hidden="1"/>
    <cellStyle name="Lien hypertexte visité" xfId="11398" builtinId="9" hidden="1"/>
    <cellStyle name="Lien hypertexte visité" xfId="11400" builtinId="9" hidden="1"/>
    <cellStyle name="Lien hypertexte visité" xfId="11402" builtinId="9" hidden="1"/>
    <cellStyle name="Lien hypertexte visité" xfId="11404" builtinId="9" hidden="1"/>
    <cellStyle name="Lien hypertexte visité" xfId="11406" builtinId="9" hidden="1"/>
    <cellStyle name="Lien hypertexte visité" xfId="11408" builtinId="9" hidden="1"/>
    <cellStyle name="Lien hypertexte visité" xfId="11410" builtinId="9" hidden="1"/>
    <cellStyle name="Lien hypertexte visité" xfId="11412" builtinId="9" hidden="1"/>
    <cellStyle name="Lien hypertexte visité" xfId="11414" builtinId="9" hidden="1"/>
    <cellStyle name="Lien hypertexte visité" xfId="11416" builtinId="9" hidden="1"/>
    <cellStyle name="Lien hypertexte visité" xfId="11418" builtinId="9" hidden="1"/>
    <cellStyle name="Lien hypertexte visité" xfId="11420" builtinId="9" hidden="1"/>
    <cellStyle name="Lien hypertexte visité" xfId="11422" builtinId="9" hidden="1"/>
    <cellStyle name="Lien hypertexte visité" xfId="11424" builtinId="9" hidden="1"/>
    <cellStyle name="Lien hypertexte visité" xfId="11426" builtinId="9" hidden="1"/>
    <cellStyle name="Lien hypertexte visité" xfId="11428" builtinId="9" hidden="1"/>
    <cellStyle name="Lien hypertexte visité" xfId="11430" builtinId="9" hidden="1"/>
    <cellStyle name="Lien hypertexte visité" xfId="11432" builtinId="9" hidden="1"/>
    <cellStyle name="Lien hypertexte visité" xfId="11434" builtinId="9" hidden="1"/>
    <cellStyle name="Lien hypertexte visité" xfId="11436" builtinId="9" hidden="1"/>
    <cellStyle name="Lien hypertexte visité" xfId="11438" builtinId="9" hidden="1"/>
    <cellStyle name="Lien hypertexte visité" xfId="11440" builtinId="9" hidden="1"/>
    <cellStyle name="Lien hypertexte visité" xfId="11442" builtinId="9" hidden="1"/>
    <cellStyle name="Lien hypertexte visité" xfId="11444" builtinId="9" hidden="1"/>
    <cellStyle name="Lien hypertexte visité" xfId="11446" builtinId="9" hidden="1"/>
    <cellStyle name="Lien hypertexte visité" xfId="11448" builtinId="9" hidden="1"/>
    <cellStyle name="Lien hypertexte visité" xfId="11450" builtinId="9" hidden="1"/>
    <cellStyle name="Lien hypertexte visité" xfId="11452" builtinId="9" hidden="1"/>
    <cellStyle name="Lien hypertexte visité" xfId="11454" builtinId="9" hidden="1"/>
    <cellStyle name="Lien hypertexte visité" xfId="11456" builtinId="9" hidden="1"/>
    <cellStyle name="Lien hypertexte visité" xfId="11458" builtinId="9" hidden="1"/>
    <cellStyle name="Lien hypertexte visité" xfId="11460" builtinId="9" hidden="1"/>
    <cellStyle name="Lien hypertexte visité" xfId="11462" builtinId="9" hidden="1"/>
    <cellStyle name="Lien hypertexte visité" xfId="11464" builtinId="9" hidden="1"/>
    <cellStyle name="Lien hypertexte visité" xfId="11466" builtinId="9" hidden="1"/>
    <cellStyle name="Lien hypertexte visité" xfId="11468" builtinId="9" hidden="1"/>
    <cellStyle name="Lien hypertexte visité" xfId="11470" builtinId="9" hidden="1"/>
    <cellStyle name="Lien hypertexte visité" xfId="11472" builtinId="9" hidden="1"/>
    <cellStyle name="Lien hypertexte visité" xfId="11474" builtinId="9" hidden="1"/>
    <cellStyle name="Lien hypertexte visité" xfId="11476" builtinId="9" hidden="1"/>
    <cellStyle name="Lien hypertexte visité" xfId="11478" builtinId="9" hidden="1"/>
    <cellStyle name="Lien hypertexte visité" xfId="11480" builtinId="9" hidden="1"/>
    <cellStyle name="Lien hypertexte visité" xfId="11482" builtinId="9" hidden="1"/>
    <cellStyle name="Lien hypertexte visité" xfId="11484" builtinId="9" hidden="1"/>
    <cellStyle name="Lien hypertexte visité" xfId="11486" builtinId="9" hidden="1"/>
    <cellStyle name="Lien hypertexte visité" xfId="11488" builtinId="9" hidden="1"/>
    <cellStyle name="Lien hypertexte visité" xfId="11490" builtinId="9" hidden="1"/>
    <cellStyle name="Lien hypertexte visité" xfId="11492" builtinId="9" hidden="1"/>
    <cellStyle name="Lien hypertexte visité" xfId="11494" builtinId="9" hidden="1"/>
    <cellStyle name="Lien hypertexte visité" xfId="11496" builtinId="9" hidden="1"/>
    <cellStyle name="Lien hypertexte visité" xfId="11498" builtinId="9" hidden="1"/>
    <cellStyle name="Lien hypertexte visité" xfId="11500" builtinId="9" hidden="1"/>
    <cellStyle name="Lien hypertexte visité" xfId="11502" builtinId="9" hidden="1"/>
    <cellStyle name="Lien hypertexte visité" xfId="11504" builtinId="9" hidden="1"/>
    <cellStyle name="Lien hypertexte visité" xfId="11506" builtinId="9" hidden="1"/>
    <cellStyle name="Lien hypertexte visité" xfId="11508" builtinId="9" hidden="1"/>
    <cellStyle name="Lien hypertexte visité" xfId="11510" builtinId="9" hidden="1"/>
    <cellStyle name="Lien hypertexte visité" xfId="11512" builtinId="9" hidden="1"/>
    <cellStyle name="Lien hypertexte visité" xfId="11514" builtinId="9" hidden="1"/>
    <cellStyle name="Lien hypertexte visité" xfId="11516" builtinId="9" hidden="1"/>
    <cellStyle name="Lien hypertexte visité" xfId="11518" builtinId="9" hidden="1"/>
    <cellStyle name="Lien hypertexte visité" xfId="11520" builtinId="9" hidden="1"/>
    <cellStyle name="Lien hypertexte visité" xfId="11522" builtinId="9" hidden="1"/>
    <cellStyle name="Lien hypertexte visité" xfId="11524" builtinId="9" hidden="1"/>
    <cellStyle name="Lien hypertexte visité" xfId="11526" builtinId="9" hidden="1"/>
    <cellStyle name="Lien hypertexte visité" xfId="11528" builtinId="9" hidden="1"/>
    <cellStyle name="Lien hypertexte visité" xfId="11530" builtinId="9" hidden="1"/>
    <cellStyle name="Lien hypertexte visité" xfId="11532" builtinId="9" hidden="1"/>
    <cellStyle name="Lien hypertexte visité" xfId="11534" builtinId="9" hidden="1"/>
    <cellStyle name="Lien hypertexte visité" xfId="11536" builtinId="9" hidden="1"/>
    <cellStyle name="Lien hypertexte visité" xfId="11538" builtinId="9" hidden="1"/>
    <cellStyle name="Lien hypertexte visité" xfId="11540" builtinId="9" hidden="1"/>
    <cellStyle name="Lien hypertexte visité" xfId="11542" builtinId="9" hidden="1"/>
    <cellStyle name="Lien hypertexte visité" xfId="11544" builtinId="9" hidden="1"/>
    <cellStyle name="Lien hypertexte visité" xfId="11546" builtinId="9" hidden="1"/>
    <cellStyle name="Lien hypertexte visité" xfId="11548" builtinId="9" hidden="1"/>
    <cellStyle name="Lien hypertexte visité" xfId="11550" builtinId="9" hidden="1"/>
    <cellStyle name="Lien hypertexte visité" xfId="11552" builtinId="9" hidden="1"/>
    <cellStyle name="Lien hypertexte visité" xfId="11554" builtinId="9" hidden="1"/>
    <cellStyle name="Lien hypertexte visité" xfId="11556" builtinId="9" hidden="1"/>
    <cellStyle name="Lien hypertexte visité" xfId="11558" builtinId="9" hidden="1"/>
    <cellStyle name="Lien hypertexte visité" xfId="11560" builtinId="9" hidden="1"/>
    <cellStyle name="Lien hypertexte visité" xfId="11562" builtinId="9" hidden="1"/>
    <cellStyle name="Lien hypertexte visité" xfId="11564" builtinId="9" hidden="1"/>
    <cellStyle name="Lien hypertexte visité" xfId="11566" builtinId="9" hidden="1"/>
    <cellStyle name="Lien hypertexte visité" xfId="11568" builtinId="9" hidden="1"/>
    <cellStyle name="Lien hypertexte visité" xfId="11570" builtinId="9" hidden="1"/>
    <cellStyle name="Lien hypertexte visité" xfId="11572" builtinId="9" hidden="1"/>
    <cellStyle name="Lien hypertexte visité" xfId="11574" builtinId="9" hidden="1"/>
    <cellStyle name="Lien hypertexte visité" xfId="11576" builtinId="9" hidden="1"/>
    <cellStyle name="Lien hypertexte visité" xfId="11578" builtinId="9" hidden="1"/>
    <cellStyle name="Lien hypertexte visité" xfId="11580" builtinId="9" hidden="1"/>
    <cellStyle name="Lien hypertexte visité" xfId="11582" builtinId="9" hidden="1"/>
    <cellStyle name="Lien hypertexte visité" xfId="11584" builtinId="9" hidden="1"/>
    <cellStyle name="Lien hypertexte visité" xfId="11586" builtinId="9" hidden="1"/>
    <cellStyle name="Lien hypertexte visité" xfId="11588" builtinId="9" hidden="1"/>
    <cellStyle name="Lien hypertexte visité" xfId="11590" builtinId="9" hidden="1"/>
    <cellStyle name="Lien hypertexte visité" xfId="11592" builtinId="9" hidden="1"/>
    <cellStyle name="Lien hypertexte visité" xfId="11594" builtinId="9" hidden="1"/>
    <cellStyle name="Lien hypertexte visité" xfId="11596" builtinId="9" hidden="1"/>
    <cellStyle name="Lien hypertexte visité" xfId="11598" builtinId="9" hidden="1"/>
    <cellStyle name="Lien hypertexte visité" xfId="11600" builtinId="9" hidden="1"/>
    <cellStyle name="Lien hypertexte visité" xfId="11602" builtinId="9" hidden="1"/>
    <cellStyle name="Lien hypertexte visité" xfId="11604" builtinId="9" hidden="1"/>
    <cellStyle name="Lien hypertexte visité" xfId="11606" builtinId="9" hidden="1"/>
    <cellStyle name="Lien hypertexte visité" xfId="11608" builtinId="9" hidden="1"/>
    <cellStyle name="Lien hypertexte visité" xfId="11610" builtinId="9" hidden="1"/>
    <cellStyle name="Lien hypertexte visité" xfId="11612" builtinId="9" hidden="1"/>
    <cellStyle name="Lien hypertexte visité" xfId="11614" builtinId="9" hidden="1"/>
    <cellStyle name="Lien hypertexte visité" xfId="11616" builtinId="9" hidden="1"/>
    <cellStyle name="Lien hypertexte visité" xfId="11618" builtinId="9" hidden="1"/>
    <cellStyle name="Lien hypertexte visité" xfId="11620" builtinId="9" hidden="1"/>
    <cellStyle name="Lien hypertexte visité" xfId="11622" builtinId="9" hidden="1"/>
    <cellStyle name="Lien hypertexte visité" xfId="11624" builtinId="9" hidden="1"/>
    <cellStyle name="Lien hypertexte visité" xfId="11626" builtinId="9" hidden="1"/>
    <cellStyle name="Lien hypertexte visité" xfId="11628" builtinId="9" hidden="1"/>
    <cellStyle name="Lien hypertexte visité" xfId="11630" builtinId="9" hidden="1"/>
    <cellStyle name="Lien hypertexte visité" xfId="11632" builtinId="9" hidden="1"/>
    <cellStyle name="Lien hypertexte visité" xfId="11634" builtinId="9" hidden="1"/>
    <cellStyle name="Lien hypertexte visité" xfId="11636" builtinId="9" hidden="1"/>
    <cellStyle name="Lien hypertexte visité" xfId="11638" builtinId="9" hidden="1"/>
    <cellStyle name="Lien hypertexte visité" xfId="11640" builtinId="9" hidden="1"/>
    <cellStyle name="Lien hypertexte visité" xfId="11642" builtinId="9" hidden="1"/>
    <cellStyle name="Lien hypertexte visité" xfId="11644" builtinId="9" hidden="1"/>
    <cellStyle name="Lien hypertexte visité" xfId="11646" builtinId="9" hidden="1"/>
    <cellStyle name="Lien hypertexte visité" xfId="11648" builtinId="9" hidden="1"/>
    <cellStyle name="Lien hypertexte visité" xfId="11650" builtinId="9" hidden="1"/>
    <cellStyle name="Lien hypertexte visité" xfId="11652" builtinId="9" hidden="1"/>
    <cellStyle name="Lien hypertexte visité" xfId="11654" builtinId="9" hidden="1"/>
    <cellStyle name="Lien hypertexte visité" xfId="11656" builtinId="9" hidden="1"/>
    <cellStyle name="Lien hypertexte visité" xfId="11658" builtinId="9" hidden="1"/>
    <cellStyle name="Lien hypertexte visité" xfId="11660" builtinId="9" hidden="1"/>
    <cellStyle name="Lien hypertexte visité" xfId="11662" builtinId="9" hidden="1"/>
    <cellStyle name="Lien hypertexte visité" xfId="11664" builtinId="9" hidden="1"/>
    <cellStyle name="Lien hypertexte visité" xfId="11666" builtinId="9" hidden="1"/>
    <cellStyle name="Lien hypertexte visité" xfId="11668" builtinId="9" hidden="1"/>
    <cellStyle name="Lien hypertexte visité" xfId="11670" builtinId="9" hidden="1"/>
    <cellStyle name="Lien hypertexte visité" xfId="11672" builtinId="9" hidden="1"/>
    <cellStyle name="Lien hypertexte visité" xfId="11674" builtinId="9" hidden="1"/>
    <cellStyle name="Lien hypertexte visité" xfId="11676" builtinId="9" hidden="1"/>
    <cellStyle name="Lien hypertexte visité" xfId="11678" builtinId="9" hidden="1"/>
    <cellStyle name="Lien hypertexte visité" xfId="11680" builtinId="9" hidden="1"/>
    <cellStyle name="Lien hypertexte visité" xfId="11682" builtinId="9" hidden="1"/>
    <cellStyle name="Lien hypertexte visité" xfId="11684" builtinId="9" hidden="1"/>
    <cellStyle name="Lien hypertexte visité" xfId="11686" builtinId="9" hidden="1"/>
    <cellStyle name="Lien hypertexte visité" xfId="11688" builtinId="9" hidden="1"/>
    <cellStyle name="Lien hypertexte visité" xfId="11690" builtinId="9" hidden="1"/>
    <cellStyle name="Lien hypertexte visité" xfId="11692" builtinId="9" hidden="1"/>
    <cellStyle name="Lien hypertexte visité" xfId="11694" builtinId="9" hidden="1"/>
    <cellStyle name="Lien hypertexte visité" xfId="11696" builtinId="9" hidden="1"/>
    <cellStyle name="Lien hypertexte visité" xfId="11698" builtinId="9" hidden="1"/>
    <cellStyle name="Lien hypertexte visité" xfId="11700" builtinId="9" hidden="1"/>
    <cellStyle name="Lien hypertexte visité" xfId="11702" builtinId="9" hidden="1"/>
    <cellStyle name="Lien hypertexte visité" xfId="11704" builtinId="9" hidden="1"/>
    <cellStyle name="Lien hypertexte visité" xfId="11706" builtinId="9" hidden="1"/>
    <cellStyle name="Lien hypertexte visité" xfId="11708" builtinId="9" hidden="1"/>
    <cellStyle name="Lien hypertexte visité" xfId="11710" builtinId="9" hidden="1"/>
    <cellStyle name="Lien hypertexte visité" xfId="11712" builtinId="9" hidden="1"/>
    <cellStyle name="Lien hypertexte visité" xfId="11714" builtinId="9" hidden="1"/>
    <cellStyle name="Lien hypertexte visité" xfId="11716" builtinId="9" hidden="1"/>
    <cellStyle name="Lien hypertexte visité" xfId="11718" builtinId="9" hidden="1"/>
    <cellStyle name="Lien hypertexte visité" xfId="11720" builtinId="9" hidden="1"/>
    <cellStyle name="Lien hypertexte visité" xfId="11722" builtinId="9" hidden="1"/>
    <cellStyle name="Lien hypertexte visité" xfId="11724" builtinId="9" hidden="1"/>
    <cellStyle name="Lien hypertexte visité" xfId="11726" builtinId="9" hidden="1"/>
    <cellStyle name="Lien hypertexte visité" xfId="11728" builtinId="9" hidden="1"/>
    <cellStyle name="Lien hypertexte visité" xfId="11730" builtinId="9" hidden="1"/>
    <cellStyle name="Lien hypertexte visité" xfId="11732" builtinId="9" hidden="1"/>
    <cellStyle name="Lien hypertexte visité" xfId="11734" builtinId="9" hidden="1"/>
    <cellStyle name="Lien hypertexte visité" xfId="11736" builtinId="9" hidden="1"/>
    <cellStyle name="Lien hypertexte visité" xfId="11738" builtinId="9" hidden="1"/>
    <cellStyle name="Lien hypertexte visité" xfId="11740" builtinId="9" hidden="1"/>
    <cellStyle name="Lien hypertexte visité" xfId="11742" builtinId="9" hidden="1"/>
    <cellStyle name="Lien hypertexte visité" xfId="11744" builtinId="9" hidden="1"/>
    <cellStyle name="Lien hypertexte visité" xfId="11746" builtinId="9" hidden="1"/>
    <cellStyle name="Lien hypertexte visité" xfId="11748" builtinId="9" hidden="1"/>
    <cellStyle name="Lien hypertexte visité" xfId="11750" builtinId="9" hidden="1"/>
    <cellStyle name="Lien hypertexte visité" xfId="11752" builtinId="9" hidden="1"/>
    <cellStyle name="Lien hypertexte visité" xfId="11754" builtinId="9" hidden="1"/>
    <cellStyle name="Lien hypertexte visité" xfId="11756" builtinId="9" hidden="1"/>
    <cellStyle name="Lien hypertexte visité" xfId="11758" builtinId="9" hidden="1"/>
    <cellStyle name="Lien hypertexte visité" xfId="11760" builtinId="9" hidden="1"/>
    <cellStyle name="Lien hypertexte visité" xfId="11762" builtinId="9" hidden="1"/>
    <cellStyle name="Lien hypertexte visité" xfId="11764" builtinId="9" hidden="1"/>
    <cellStyle name="Lien hypertexte visité" xfId="11766" builtinId="9" hidden="1"/>
    <cellStyle name="Lien hypertexte visité" xfId="11768" builtinId="9" hidden="1"/>
    <cellStyle name="Lien hypertexte visité" xfId="11770" builtinId="9" hidden="1"/>
    <cellStyle name="Lien hypertexte visité" xfId="11772" builtinId="9" hidden="1"/>
    <cellStyle name="Lien hypertexte visité" xfId="11774" builtinId="9" hidden="1"/>
    <cellStyle name="Lien hypertexte visité" xfId="11776" builtinId="9" hidden="1"/>
    <cellStyle name="Lien hypertexte visité" xfId="11778" builtinId="9" hidden="1"/>
    <cellStyle name="Lien hypertexte visité" xfId="11780" builtinId="9" hidden="1"/>
    <cellStyle name="Lien hypertexte visité" xfId="11782" builtinId="9" hidden="1"/>
    <cellStyle name="Lien hypertexte visité" xfId="11784" builtinId="9" hidden="1"/>
    <cellStyle name="Lien hypertexte visité" xfId="11786" builtinId="9" hidden="1"/>
    <cellStyle name="Lien hypertexte visité" xfId="11788" builtinId="9" hidden="1"/>
    <cellStyle name="Lien hypertexte visité" xfId="11790" builtinId="9" hidden="1"/>
    <cellStyle name="Lien hypertexte visité" xfId="11792" builtinId="9" hidden="1"/>
    <cellStyle name="Lien hypertexte visité" xfId="11794" builtinId="9" hidden="1"/>
    <cellStyle name="Lien hypertexte visité" xfId="11796" builtinId="9" hidden="1"/>
    <cellStyle name="Lien hypertexte visité" xfId="11798" builtinId="9" hidden="1"/>
    <cellStyle name="Lien hypertexte visité" xfId="11800" builtinId="9" hidden="1"/>
    <cellStyle name="Lien hypertexte visité" xfId="11802" builtinId="9" hidden="1"/>
    <cellStyle name="Lien hypertexte visité" xfId="11804" builtinId="9" hidden="1"/>
    <cellStyle name="Lien hypertexte visité" xfId="11806" builtinId="9" hidden="1"/>
    <cellStyle name="Lien hypertexte visité" xfId="11808" builtinId="9" hidden="1"/>
    <cellStyle name="Lien hypertexte visité" xfId="11810" builtinId="9" hidden="1"/>
    <cellStyle name="Lien hypertexte visité" xfId="11812" builtinId="9" hidden="1"/>
    <cellStyle name="Lien hypertexte visité" xfId="11814" builtinId="9" hidden="1"/>
    <cellStyle name="Lien hypertexte visité" xfId="11816" builtinId="9" hidden="1"/>
    <cellStyle name="Lien hypertexte visité" xfId="11818" builtinId="9" hidden="1"/>
    <cellStyle name="Lien hypertexte visité" xfId="11820" builtinId="9" hidden="1"/>
    <cellStyle name="Lien hypertexte visité" xfId="11822" builtinId="9" hidden="1"/>
    <cellStyle name="Lien hypertexte visité" xfId="11824" builtinId="9" hidden="1"/>
    <cellStyle name="Lien hypertexte visité" xfId="11826" builtinId="9" hidden="1"/>
    <cellStyle name="Lien hypertexte visité" xfId="11828" builtinId="9" hidden="1"/>
    <cellStyle name="Lien hypertexte visité" xfId="11830" builtinId="9" hidden="1"/>
    <cellStyle name="Lien hypertexte visité" xfId="11832" builtinId="9" hidden="1"/>
    <cellStyle name="Lien hypertexte visité" xfId="11834" builtinId="9" hidden="1"/>
    <cellStyle name="Lien hypertexte visité" xfId="11836" builtinId="9" hidden="1"/>
    <cellStyle name="Lien hypertexte visité" xfId="11838" builtinId="9" hidden="1"/>
    <cellStyle name="Lien hypertexte visité" xfId="11840" builtinId="9" hidden="1"/>
    <cellStyle name="Lien hypertexte visité" xfId="11842" builtinId="9" hidden="1"/>
    <cellStyle name="Lien hypertexte visité" xfId="11844" builtinId="9" hidden="1"/>
    <cellStyle name="Lien hypertexte visité" xfId="11846" builtinId="9" hidden="1"/>
    <cellStyle name="Lien hypertexte visité" xfId="11848" builtinId="9" hidden="1"/>
    <cellStyle name="Lien hypertexte visité" xfId="11850" builtinId="9" hidden="1"/>
    <cellStyle name="Lien hypertexte visité" xfId="11852" builtinId="9" hidden="1"/>
    <cellStyle name="Lien hypertexte visité" xfId="11854" builtinId="9" hidden="1"/>
    <cellStyle name="Lien hypertexte visité" xfId="11856" builtinId="9" hidden="1"/>
    <cellStyle name="Lien hypertexte visité" xfId="11858" builtinId="9" hidden="1"/>
    <cellStyle name="Lien hypertexte visité" xfId="11860" builtinId="9" hidden="1"/>
    <cellStyle name="Lien hypertexte visité" xfId="11862" builtinId="9" hidden="1"/>
    <cellStyle name="Lien hypertexte visité" xfId="11864" builtinId="9" hidden="1"/>
    <cellStyle name="Lien hypertexte visité" xfId="11866" builtinId="9" hidden="1"/>
    <cellStyle name="Lien hypertexte visité" xfId="11868" builtinId="9" hidden="1"/>
    <cellStyle name="Lien hypertexte visité" xfId="11870" builtinId="9" hidden="1"/>
    <cellStyle name="Lien hypertexte visité" xfId="11872" builtinId="9" hidden="1"/>
    <cellStyle name="Lien hypertexte visité" xfId="11874" builtinId="9" hidden="1"/>
    <cellStyle name="Lien hypertexte visité" xfId="11876" builtinId="9" hidden="1"/>
    <cellStyle name="Lien hypertexte visité" xfId="11878" builtinId="9" hidden="1"/>
    <cellStyle name="Lien hypertexte visité" xfId="11880" builtinId="9" hidden="1"/>
    <cellStyle name="Lien hypertexte visité" xfId="11882" builtinId="9" hidden="1"/>
    <cellStyle name="Lien hypertexte visité" xfId="11884" builtinId="9" hidden="1"/>
    <cellStyle name="Lien hypertexte visité" xfId="11886" builtinId="9" hidden="1"/>
    <cellStyle name="Lien hypertexte visité" xfId="11888" builtinId="9" hidden="1"/>
    <cellStyle name="Lien hypertexte visité" xfId="11890" builtinId="9" hidden="1"/>
    <cellStyle name="Lien hypertexte visité" xfId="11892" builtinId="9" hidden="1"/>
    <cellStyle name="Lien hypertexte visité" xfId="11894" builtinId="9" hidden="1"/>
    <cellStyle name="Lien hypertexte visité" xfId="11896" builtinId="9" hidden="1"/>
    <cellStyle name="Lien hypertexte visité" xfId="11898" builtinId="9" hidden="1"/>
    <cellStyle name="Lien hypertexte visité" xfId="11900" builtinId="9" hidden="1"/>
    <cellStyle name="Lien hypertexte visité" xfId="11902" builtinId="9" hidden="1"/>
    <cellStyle name="Lien hypertexte visité" xfId="11904" builtinId="9" hidden="1"/>
    <cellStyle name="Lien hypertexte visité" xfId="11906" builtinId="9" hidden="1"/>
    <cellStyle name="Lien hypertexte visité" xfId="11908" builtinId="9" hidden="1"/>
    <cellStyle name="Lien hypertexte visité" xfId="11910" builtinId="9" hidden="1"/>
    <cellStyle name="Lien hypertexte visité" xfId="11912" builtinId="9" hidden="1"/>
    <cellStyle name="Lien hypertexte visité" xfId="11914" builtinId="9" hidden="1"/>
    <cellStyle name="Lien hypertexte visité" xfId="11916" builtinId="9" hidden="1"/>
    <cellStyle name="Lien hypertexte visité" xfId="11918" builtinId="9" hidden="1"/>
    <cellStyle name="Lien hypertexte visité" xfId="11920" builtinId="9" hidden="1"/>
    <cellStyle name="Lien hypertexte visité" xfId="11922" builtinId="9" hidden="1"/>
    <cellStyle name="Lien hypertexte visité" xfId="11924" builtinId="9" hidden="1"/>
    <cellStyle name="Lien hypertexte visité" xfId="11926" builtinId="9" hidden="1"/>
    <cellStyle name="Lien hypertexte visité" xfId="11928" builtinId="9" hidden="1"/>
    <cellStyle name="Lien hypertexte visité" xfId="11930" builtinId="9" hidden="1"/>
    <cellStyle name="Lien hypertexte visité" xfId="11932" builtinId="9" hidden="1"/>
    <cellStyle name="Lien hypertexte visité" xfId="11934" builtinId="9" hidden="1"/>
    <cellStyle name="Lien hypertexte visité" xfId="11936" builtinId="9" hidden="1"/>
    <cellStyle name="Lien hypertexte visité" xfId="11938" builtinId="9" hidden="1"/>
    <cellStyle name="Lien hypertexte visité" xfId="11940" builtinId="9" hidden="1"/>
    <cellStyle name="Lien hypertexte visité" xfId="11942" builtinId="9" hidden="1"/>
    <cellStyle name="Lien hypertexte visité" xfId="11944" builtinId="9" hidden="1"/>
    <cellStyle name="Lien hypertexte visité" xfId="11946" builtinId="9" hidden="1"/>
    <cellStyle name="Lien hypertexte visité" xfId="11948" builtinId="9" hidden="1"/>
    <cellStyle name="Lien hypertexte visité" xfId="11950" builtinId="9" hidden="1"/>
    <cellStyle name="Lien hypertexte visité" xfId="11952" builtinId="9" hidden="1"/>
    <cellStyle name="Lien hypertexte visité" xfId="11954" builtinId="9" hidden="1"/>
    <cellStyle name="Lien hypertexte visité" xfId="11956" builtinId="9" hidden="1"/>
    <cellStyle name="Lien hypertexte visité" xfId="11958" builtinId="9" hidden="1"/>
    <cellStyle name="Lien hypertexte visité" xfId="11960" builtinId="9" hidden="1"/>
    <cellStyle name="Lien hypertexte visité" xfId="11962" builtinId="9" hidden="1"/>
    <cellStyle name="Lien hypertexte visité" xfId="11964" builtinId="9" hidden="1"/>
    <cellStyle name="Lien hypertexte visité" xfId="11966" builtinId="9" hidden="1"/>
    <cellStyle name="Lien hypertexte visité" xfId="11968" builtinId="9" hidden="1"/>
    <cellStyle name="Lien hypertexte visité" xfId="11970" builtinId="9" hidden="1"/>
    <cellStyle name="Lien hypertexte visité" xfId="11972" builtinId="9" hidden="1"/>
    <cellStyle name="Lien hypertexte visité" xfId="11974" builtinId="9" hidden="1"/>
    <cellStyle name="Lien hypertexte visité" xfId="11976" builtinId="9" hidden="1"/>
    <cellStyle name="Lien hypertexte visité" xfId="11978" builtinId="9" hidden="1"/>
    <cellStyle name="Lien hypertexte visité" xfId="11980" builtinId="9" hidden="1"/>
    <cellStyle name="Lien hypertexte visité" xfId="11982" builtinId="9" hidden="1"/>
    <cellStyle name="Lien hypertexte visité" xfId="11984" builtinId="9" hidden="1"/>
    <cellStyle name="Lien hypertexte visité" xfId="11986" builtinId="9" hidden="1"/>
    <cellStyle name="Lien hypertexte visité" xfId="11988" builtinId="9" hidden="1"/>
    <cellStyle name="Lien hypertexte visité" xfId="11990" builtinId="9" hidden="1"/>
    <cellStyle name="Lien hypertexte visité" xfId="11992" builtinId="9" hidden="1"/>
    <cellStyle name="Lien hypertexte visité" xfId="11994" builtinId="9" hidden="1"/>
    <cellStyle name="Lien hypertexte visité" xfId="11996" builtinId="9" hidden="1"/>
    <cellStyle name="Lien hypertexte visité" xfId="11998" builtinId="9" hidden="1"/>
    <cellStyle name="Lien hypertexte visité" xfId="12000" builtinId="9" hidden="1"/>
    <cellStyle name="Lien hypertexte visité" xfId="12002" builtinId="9" hidden="1"/>
    <cellStyle name="Lien hypertexte visité" xfId="12004" builtinId="9" hidden="1"/>
    <cellStyle name="Lien hypertexte visité" xfId="12006" builtinId="9" hidden="1"/>
    <cellStyle name="Lien hypertexte visité" xfId="12008" builtinId="9" hidden="1"/>
    <cellStyle name="Lien hypertexte visité" xfId="12010" builtinId="9" hidden="1"/>
    <cellStyle name="Lien hypertexte visité" xfId="12012" builtinId="9" hidden="1"/>
    <cellStyle name="Lien hypertexte visité" xfId="12014" builtinId="9" hidden="1"/>
    <cellStyle name="Lien hypertexte visité" xfId="12016" builtinId="9" hidden="1"/>
    <cellStyle name="Lien hypertexte visité" xfId="12018" builtinId="9" hidden="1"/>
    <cellStyle name="Lien hypertexte visité" xfId="12020" builtinId="9" hidden="1"/>
    <cellStyle name="Lien hypertexte visité" xfId="12022" builtinId="9" hidden="1"/>
    <cellStyle name="Lien hypertexte visité" xfId="12024" builtinId="9" hidden="1"/>
    <cellStyle name="Lien hypertexte visité" xfId="12026" builtinId="9" hidden="1"/>
    <cellStyle name="Lien hypertexte visité" xfId="12028" builtinId="9" hidden="1"/>
    <cellStyle name="Lien hypertexte visité" xfId="12030" builtinId="9" hidden="1"/>
    <cellStyle name="Lien hypertexte visité" xfId="12032" builtinId="9" hidden="1"/>
    <cellStyle name="Lien hypertexte visité" xfId="12034" builtinId="9" hidden="1"/>
    <cellStyle name="Lien hypertexte visité" xfId="12036" builtinId="9" hidden="1"/>
    <cellStyle name="Lien hypertexte visité" xfId="12038" builtinId="9" hidden="1"/>
    <cellStyle name="Lien hypertexte visité" xfId="12040" builtinId="9" hidden="1"/>
    <cellStyle name="Lien hypertexte visité" xfId="12042" builtinId="9" hidden="1"/>
    <cellStyle name="Lien hypertexte visité" xfId="12044" builtinId="9" hidden="1"/>
    <cellStyle name="Lien hypertexte visité" xfId="12046" builtinId="9" hidden="1"/>
    <cellStyle name="Lien hypertexte visité" xfId="12048" builtinId="9" hidden="1"/>
    <cellStyle name="Lien hypertexte visité" xfId="12050" builtinId="9" hidden="1"/>
    <cellStyle name="Lien hypertexte visité" xfId="12052" builtinId="9" hidden="1"/>
    <cellStyle name="Lien hypertexte visité" xfId="12054" builtinId="9" hidden="1"/>
    <cellStyle name="Lien hypertexte visité" xfId="12056" builtinId="9" hidden="1"/>
    <cellStyle name="Lien hypertexte visité" xfId="12058" builtinId="9" hidden="1"/>
    <cellStyle name="Lien hypertexte visité" xfId="12060" builtinId="9" hidden="1"/>
    <cellStyle name="Lien hypertexte visité" xfId="12062" builtinId="9" hidden="1"/>
    <cellStyle name="Lien hypertexte visité" xfId="12064" builtinId="9" hidden="1"/>
    <cellStyle name="Lien hypertexte visité" xfId="12066" builtinId="9" hidden="1"/>
    <cellStyle name="Lien hypertexte visité" xfId="12068" builtinId="9" hidden="1"/>
    <cellStyle name="Lien hypertexte visité" xfId="12070" builtinId="9" hidden="1"/>
    <cellStyle name="Lien hypertexte visité" xfId="12072" builtinId="9" hidden="1"/>
    <cellStyle name="Lien hypertexte visité" xfId="12074" builtinId="9" hidden="1"/>
    <cellStyle name="Lien hypertexte visité" xfId="12076" builtinId="9" hidden="1"/>
    <cellStyle name="Lien hypertexte visité" xfId="12078" builtinId="9" hidden="1"/>
    <cellStyle name="Lien hypertexte visité" xfId="12080" builtinId="9" hidden="1"/>
    <cellStyle name="Lien hypertexte visité" xfId="12082" builtinId="9" hidden="1"/>
    <cellStyle name="Lien hypertexte visité" xfId="12084" builtinId="9" hidden="1"/>
    <cellStyle name="Lien hypertexte visité" xfId="12086" builtinId="9" hidden="1"/>
    <cellStyle name="Lien hypertexte visité" xfId="12088" builtinId="9" hidden="1"/>
    <cellStyle name="Lien hypertexte visité" xfId="12090" builtinId="9" hidden="1"/>
    <cellStyle name="Lien hypertexte visité" xfId="12092" builtinId="9" hidden="1"/>
    <cellStyle name="Lien hypertexte visité" xfId="12094" builtinId="9" hidden="1"/>
    <cellStyle name="Lien hypertexte visité" xfId="12096" builtinId="9" hidden="1"/>
    <cellStyle name="Lien hypertexte visité" xfId="12098" builtinId="9" hidden="1"/>
    <cellStyle name="Lien hypertexte visité" xfId="12100" builtinId="9" hidden="1"/>
    <cellStyle name="Lien hypertexte visité" xfId="12102" builtinId="9" hidden="1"/>
    <cellStyle name="Lien hypertexte visité" xfId="12104" builtinId="9" hidden="1"/>
    <cellStyle name="Lien hypertexte visité" xfId="12106" builtinId="9" hidden="1"/>
    <cellStyle name="Lien hypertexte visité" xfId="12108" builtinId="9" hidden="1"/>
    <cellStyle name="Lien hypertexte visité" xfId="12110" builtinId="9" hidden="1"/>
    <cellStyle name="Lien hypertexte visité" xfId="12112" builtinId="9" hidden="1"/>
    <cellStyle name="Lien hypertexte visité" xfId="12114" builtinId="9" hidden="1"/>
    <cellStyle name="Lien hypertexte visité" xfId="12116" builtinId="9" hidden="1"/>
    <cellStyle name="Lien hypertexte visité" xfId="12118" builtinId="9" hidden="1"/>
    <cellStyle name="Lien hypertexte visité" xfId="12120" builtinId="9" hidden="1"/>
    <cellStyle name="Lien hypertexte visité" xfId="12122" builtinId="9" hidden="1"/>
    <cellStyle name="Lien hypertexte visité" xfId="12124" builtinId="9" hidden="1"/>
    <cellStyle name="Lien hypertexte visité" xfId="12126" builtinId="9" hidden="1"/>
    <cellStyle name="Lien hypertexte visité" xfId="12128" builtinId="9" hidden="1"/>
    <cellStyle name="Lien hypertexte visité" xfId="12130" builtinId="9" hidden="1"/>
    <cellStyle name="Lien hypertexte visité" xfId="12132" builtinId="9" hidden="1"/>
    <cellStyle name="Lien hypertexte visité" xfId="12134" builtinId="9" hidden="1"/>
    <cellStyle name="Lien hypertexte visité" xfId="12136" builtinId="9" hidden="1"/>
    <cellStyle name="Lien hypertexte visité" xfId="12138" builtinId="9" hidden="1"/>
    <cellStyle name="Lien hypertexte visité" xfId="12140" builtinId="9" hidden="1"/>
    <cellStyle name="Lien hypertexte visité" xfId="12142" builtinId="9" hidden="1"/>
    <cellStyle name="Lien hypertexte visité" xfId="12144" builtinId="9" hidden="1"/>
    <cellStyle name="Lien hypertexte visité" xfId="12146" builtinId="9" hidden="1"/>
    <cellStyle name="Lien hypertexte visité" xfId="12148" builtinId="9" hidden="1"/>
    <cellStyle name="Lien hypertexte visité" xfId="12150" builtinId="9" hidden="1"/>
    <cellStyle name="Lien hypertexte visité" xfId="12152" builtinId="9" hidden="1"/>
    <cellStyle name="Lien hypertexte visité" xfId="12154" builtinId="9" hidden="1"/>
    <cellStyle name="Lien hypertexte visité" xfId="12156" builtinId="9" hidden="1"/>
    <cellStyle name="Lien hypertexte visité" xfId="12158" builtinId="9" hidden="1"/>
    <cellStyle name="Lien hypertexte visité" xfId="12160" builtinId="9" hidden="1"/>
    <cellStyle name="Lien hypertexte visité" xfId="12162" builtinId="9" hidden="1"/>
    <cellStyle name="Lien hypertexte visité" xfId="12164" builtinId="9" hidden="1"/>
    <cellStyle name="Lien hypertexte visité" xfId="12166" builtinId="9" hidden="1"/>
    <cellStyle name="Lien hypertexte visité" xfId="12168" builtinId="9" hidden="1"/>
    <cellStyle name="Lien hypertexte visité" xfId="12170" builtinId="9" hidden="1"/>
    <cellStyle name="Lien hypertexte visité" xfId="12172" builtinId="9" hidden="1"/>
    <cellStyle name="Lien hypertexte visité" xfId="12174" builtinId="9" hidden="1"/>
    <cellStyle name="Lien hypertexte visité" xfId="12176" builtinId="9" hidden="1"/>
    <cellStyle name="Lien hypertexte visité" xfId="12178" builtinId="9" hidden="1"/>
    <cellStyle name="Lien hypertexte visité" xfId="12180" builtinId="9" hidden="1"/>
    <cellStyle name="Lien hypertexte visité" xfId="12182" builtinId="9" hidden="1"/>
    <cellStyle name="Lien hypertexte visité" xfId="12184" builtinId="9" hidden="1"/>
    <cellStyle name="Lien hypertexte visité" xfId="12186" builtinId="9" hidden="1"/>
    <cellStyle name="Lien hypertexte visité" xfId="12188" builtinId="9" hidden="1"/>
    <cellStyle name="Lien hypertexte visité" xfId="12190" builtinId="9" hidden="1"/>
    <cellStyle name="Lien hypertexte visité" xfId="12192" builtinId="9" hidden="1"/>
    <cellStyle name="Lien hypertexte visité" xfId="12194" builtinId="9" hidden="1"/>
    <cellStyle name="Lien hypertexte visité" xfId="12196" builtinId="9" hidden="1"/>
    <cellStyle name="Lien hypertexte visité" xfId="12198" builtinId="9" hidden="1"/>
    <cellStyle name="Lien hypertexte visité" xfId="12200" builtinId="9" hidden="1"/>
    <cellStyle name="Lien hypertexte visité" xfId="12202" builtinId="9" hidden="1"/>
    <cellStyle name="Lien hypertexte visité" xfId="12204" builtinId="9" hidden="1"/>
    <cellStyle name="Lien hypertexte visité" xfId="12206" builtinId="9" hidden="1"/>
    <cellStyle name="Lien hypertexte visité" xfId="12208" builtinId="9" hidden="1"/>
    <cellStyle name="Lien hypertexte visité" xfId="12210" builtinId="9" hidden="1"/>
    <cellStyle name="Lien hypertexte visité" xfId="12212" builtinId="9" hidden="1"/>
    <cellStyle name="Lien hypertexte visité" xfId="12214" builtinId="9" hidden="1"/>
    <cellStyle name="Lien hypertexte visité" xfId="12216" builtinId="9" hidden="1"/>
    <cellStyle name="Lien hypertexte visité" xfId="12218" builtinId="9" hidden="1"/>
    <cellStyle name="Lien hypertexte visité" xfId="12220" builtinId="9" hidden="1"/>
    <cellStyle name="Lien hypertexte visité" xfId="12222" builtinId="9" hidden="1"/>
    <cellStyle name="Lien hypertexte visité" xfId="12224" builtinId="9" hidden="1"/>
    <cellStyle name="Lien hypertexte visité" xfId="12226" builtinId="9" hidden="1"/>
    <cellStyle name="Lien hypertexte visité" xfId="12228" builtinId="9" hidden="1"/>
    <cellStyle name="Lien hypertexte visité" xfId="12230" builtinId="9" hidden="1"/>
    <cellStyle name="Lien hypertexte visité" xfId="12232" builtinId="9" hidden="1"/>
    <cellStyle name="Lien hypertexte visité" xfId="12234" builtinId="9" hidden="1"/>
    <cellStyle name="Lien hypertexte visité" xfId="12236" builtinId="9" hidden="1"/>
    <cellStyle name="Lien hypertexte visité" xfId="12238" builtinId="9" hidden="1"/>
    <cellStyle name="Lien hypertexte visité" xfId="12240" builtinId="9" hidden="1"/>
    <cellStyle name="Lien hypertexte visité" xfId="12242" builtinId="9" hidden="1"/>
    <cellStyle name="Lien hypertexte visité" xfId="12244" builtinId="9" hidden="1"/>
    <cellStyle name="Lien hypertexte visité" xfId="12246" builtinId="9" hidden="1"/>
    <cellStyle name="Lien hypertexte visité" xfId="12248" builtinId="9" hidden="1"/>
    <cellStyle name="Lien hypertexte visité" xfId="12250" builtinId="9" hidden="1"/>
    <cellStyle name="Lien hypertexte visité" xfId="12252" builtinId="9" hidden="1"/>
    <cellStyle name="Lien hypertexte visité" xfId="12254" builtinId="9" hidden="1"/>
    <cellStyle name="Lien hypertexte visité" xfId="12256" builtinId="9" hidden="1"/>
    <cellStyle name="Lien hypertexte visité" xfId="12258" builtinId="9" hidden="1"/>
    <cellStyle name="Lien hypertexte visité" xfId="12260" builtinId="9" hidden="1"/>
    <cellStyle name="Lien hypertexte visité" xfId="12262" builtinId="9" hidden="1"/>
    <cellStyle name="Lien hypertexte visité" xfId="12264" builtinId="9" hidden="1"/>
    <cellStyle name="Lien hypertexte visité" xfId="12266" builtinId="9" hidden="1"/>
    <cellStyle name="Lien hypertexte visité" xfId="12268" builtinId="9" hidden="1"/>
    <cellStyle name="Lien hypertexte visité" xfId="12270" builtinId="9" hidden="1"/>
    <cellStyle name="Lien hypertexte visité" xfId="12272" builtinId="9" hidden="1"/>
    <cellStyle name="Lien hypertexte visité" xfId="12274" builtinId="9" hidden="1"/>
    <cellStyle name="Lien hypertexte visité" xfId="12276" builtinId="9" hidden="1"/>
    <cellStyle name="Lien hypertexte visité" xfId="12278" builtinId="9" hidden="1"/>
    <cellStyle name="Lien hypertexte visité" xfId="12280" builtinId="9" hidden="1"/>
    <cellStyle name="Lien hypertexte visité" xfId="12282" builtinId="9" hidden="1"/>
    <cellStyle name="Lien hypertexte visité" xfId="12284" builtinId="9" hidden="1"/>
    <cellStyle name="Lien hypertexte visité" xfId="12286" builtinId="9" hidden="1"/>
    <cellStyle name="Lien hypertexte visité" xfId="12288" builtinId="9" hidden="1"/>
    <cellStyle name="Lien hypertexte visité" xfId="12290" builtinId="9" hidden="1"/>
    <cellStyle name="Lien hypertexte visité" xfId="12292" builtinId="9" hidden="1"/>
    <cellStyle name="Lien hypertexte visité" xfId="12294" builtinId="9" hidden="1"/>
    <cellStyle name="Lien hypertexte visité" xfId="12296" builtinId="9" hidden="1"/>
    <cellStyle name="Lien hypertexte visité" xfId="12298" builtinId="9" hidden="1"/>
    <cellStyle name="Lien hypertexte visité" xfId="12300" builtinId="9" hidden="1"/>
    <cellStyle name="Lien hypertexte visité" xfId="12302" builtinId="9" hidden="1"/>
    <cellStyle name="Lien hypertexte visité" xfId="12304" builtinId="9" hidden="1"/>
    <cellStyle name="Lien hypertexte visité" xfId="12306" builtinId="9" hidden="1"/>
    <cellStyle name="Lien hypertexte visité" xfId="12308" builtinId="9" hidden="1"/>
    <cellStyle name="Lien hypertexte visité" xfId="12310" builtinId="9" hidden="1"/>
    <cellStyle name="Lien hypertexte visité" xfId="12312" builtinId="9" hidden="1"/>
    <cellStyle name="Lien hypertexte visité" xfId="12314" builtinId="9" hidden="1"/>
    <cellStyle name="Lien hypertexte visité" xfId="12316" builtinId="9" hidden="1"/>
    <cellStyle name="Lien hypertexte visité" xfId="12318" builtinId="9" hidden="1"/>
    <cellStyle name="Lien hypertexte visité" xfId="12320" builtinId="9" hidden="1"/>
    <cellStyle name="Lien hypertexte visité" xfId="12322" builtinId="9" hidden="1"/>
    <cellStyle name="Lien hypertexte visité" xfId="12324" builtinId="9" hidden="1"/>
    <cellStyle name="Lien hypertexte visité" xfId="12326" builtinId="9" hidden="1"/>
    <cellStyle name="Lien hypertexte visité" xfId="12328" builtinId="9" hidden="1"/>
    <cellStyle name="Lien hypertexte visité" xfId="12330" builtinId="9" hidden="1"/>
    <cellStyle name="Lien hypertexte visité" xfId="12332" builtinId="9" hidden="1"/>
    <cellStyle name="Lien hypertexte visité" xfId="12334" builtinId="9" hidden="1"/>
    <cellStyle name="Lien hypertexte visité" xfId="12336" builtinId="9" hidden="1"/>
    <cellStyle name="Lien hypertexte visité" xfId="12338" builtinId="9" hidden="1"/>
    <cellStyle name="Lien hypertexte visité" xfId="12340" builtinId="9" hidden="1"/>
    <cellStyle name="Lien hypertexte visité" xfId="12342" builtinId="9" hidden="1"/>
    <cellStyle name="Lien hypertexte visité" xfId="12344" builtinId="9" hidden="1"/>
    <cellStyle name="Lien hypertexte visité" xfId="12346" builtinId="9" hidden="1"/>
    <cellStyle name="Lien hypertexte visité" xfId="12348" builtinId="9" hidden="1"/>
    <cellStyle name="Lien hypertexte visité" xfId="12350" builtinId="9" hidden="1"/>
    <cellStyle name="Lien hypertexte visité" xfId="12352" builtinId="9" hidden="1"/>
    <cellStyle name="Lien hypertexte visité" xfId="12354" builtinId="9" hidden="1"/>
    <cellStyle name="Lien hypertexte visité" xfId="12356" builtinId="9" hidden="1"/>
    <cellStyle name="Lien hypertexte visité" xfId="12358" builtinId="9" hidden="1"/>
    <cellStyle name="Lien hypertexte visité" xfId="12360" builtinId="9" hidden="1"/>
    <cellStyle name="Lien hypertexte visité" xfId="12362" builtinId="9" hidden="1"/>
    <cellStyle name="Lien hypertexte visité" xfId="12364" builtinId="9" hidden="1"/>
    <cellStyle name="Lien hypertexte visité" xfId="12366" builtinId="9" hidden="1"/>
    <cellStyle name="Lien hypertexte visité" xfId="12368" builtinId="9" hidden="1"/>
    <cellStyle name="Lien hypertexte visité" xfId="12370" builtinId="9" hidden="1"/>
    <cellStyle name="Lien hypertexte visité" xfId="12372" builtinId="9" hidden="1"/>
    <cellStyle name="Lien hypertexte visité" xfId="12374" builtinId="9" hidden="1"/>
    <cellStyle name="Lien hypertexte visité" xfId="12376" builtinId="9" hidden="1"/>
    <cellStyle name="Lien hypertexte visité" xfId="12378" builtinId="9" hidden="1"/>
    <cellStyle name="Lien hypertexte visité" xfId="12380" builtinId="9" hidden="1"/>
    <cellStyle name="Lien hypertexte visité" xfId="12382" builtinId="9" hidden="1"/>
    <cellStyle name="Lien hypertexte visité" xfId="12384" builtinId="9" hidden="1"/>
    <cellStyle name="Lien hypertexte visité" xfId="12386" builtinId="9" hidden="1"/>
    <cellStyle name="Lien hypertexte visité" xfId="12388" builtinId="9" hidden="1"/>
    <cellStyle name="Lien hypertexte visité" xfId="12390" builtinId="9" hidden="1"/>
    <cellStyle name="Lien hypertexte visité" xfId="12392" builtinId="9" hidden="1"/>
    <cellStyle name="Lien hypertexte visité" xfId="12394" builtinId="9" hidden="1"/>
    <cellStyle name="Lien hypertexte visité" xfId="12396" builtinId="9" hidden="1"/>
    <cellStyle name="Lien hypertexte visité" xfId="12398" builtinId="9" hidden="1"/>
    <cellStyle name="Lien hypertexte visité" xfId="12400" builtinId="9" hidden="1"/>
    <cellStyle name="Lien hypertexte visité" xfId="12402" builtinId="9" hidden="1"/>
    <cellStyle name="Lien hypertexte visité" xfId="12404" builtinId="9" hidden="1"/>
    <cellStyle name="Lien hypertexte visité" xfId="12406" builtinId="9" hidden="1"/>
    <cellStyle name="Lien hypertexte visité" xfId="12408" builtinId="9" hidden="1"/>
    <cellStyle name="Lien hypertexte visité" xfId="12410" builtinId="9" hidden="1"/>
    <cellStyle name="Lien hypertexte visité" xfId="12412" builtinId="9" hidden="1"/>
    <cellStyle name="Lien hypertexte visité" xfId="12414" builtinId="9" hidden="1"/>
    <cellStyle name="Lien hypertexte visité" xfId="12416" builtinId="9" hidden="1"/>
    <cellStyle name="Lien hypertexte visité" xfId="12418" builtinId="9" hidden="1"/>
    <cellStyle name="Lien hypertexte visité" xfId="12420" builtinId="9" hidden="1"/>
    <cellStyle name="Lien hypertexte visité" xfId="12422" builtinId="9" hidden="1"/>
    <cellStyle name="Lien hypertexte visité" xfId="12424" builtinId="9" hidden="1"/>
    <cellStyle name="Lien hypertexte visité" xfId="12426" builtinId="9" hidden="1"/>
    <cellStyle name="Lien hypertexte visité" xfId="12428" builtinId="9" hidden="1"/>
    <cellStyle name="Lien hypertexte visité" xfId="12430" builtinId="9" hidden="1"/>
    <cellStyle name="Lien hypertexte visité" xfId="12432" builtinId="9" hidden="1"/>
    <cellStyle name="Lien hypertexte visité" xfId="12434" builtinId="9" hidden="1"/>
    <cellStyle name="Lien hypertexte visité" xfId="12436" builtinId="9" hidden="1"/>
    <cellStyle name="Lien hypertexte visité" xfId="12438" builtinId="9" hidden="1"/>
    <cellStyle name="Lien hypertexte visité" xfId="12440" builtinId="9" hidden="1"/>
    <cellStyle name="Lien hypertexte visité" xfId="12442" builtinId="9" hidden="1"/>
    <cellStyle name="Lien hypertexte visité" xfId="12444" builtinId="9" hidden="1"/>
    <cellStyle name="Lien hypertexte visité" xfId="12446" builtinId="9" hidden="1"/>
    <cellStyle name="Lien hypertexte visité" xfId="12448" builtinId="9" hidden="1"/>
    <cellStyle name="Lien hypertexte visité" xfId="12450" builtinId="9" hidden="1"/>
    <cellStyle name="Lien hypertexte visité" xfId="12452" builtinId="9" hidden="1"/>
    <cellStyle name="Lien hypertexte visité" xfId="12454" builtinId="9" hidden="1"/>
    <cellStyle name="Lien hypertexte visité" xfId="12456" builtinId="9" hidden="1"/>
    <cellStyle name="Lien hypertexte visité" xfId="12458" builtinId="9" hidden="1"/>
    <cellStyle name="Lien hypertexte visité" xfId="12460" builtinId="9" hidden="1"/>
    <cellStyle name="Lien hypertexte visité" xfId="12462" builtinId="9" hidden="1"/>
    <cellStyle name="Lien hypertexte visité" xfId="12464" builtinId="9" hidden="1"/>
    <cellStyle name="Lien hypertexte visité" xfId="12466" builtinId="9" hidden="1"/>
    <cellStyle name="Lien hypertexte visité" xfId="12468" builtinId="9" hidden="1"/>
    <cellStyle name="Lien hypertexte visité" xfId="12470" builtinId="9" hidden="1"/>
    <cellStyle name="Lien hypertexte visité" xfId="12472" builtinId="9" hidden="1"/>
    <cellStyle name="Lien hypertexte visité" xfId="12474" builtinId="9" hidden="1"/>
    <cellStyle name="Lien hypertexte visité" xfId="12476" builtinId="9" hidden="1"/>
    <cellStyle name="Lien hypertexte visité" xfId="12478" builtinId="9" hidden="1"/>
    <cellStyle name="Lien hypertexte visité" xfId="12480" builtinId="9" hidden="1"/>
    <cellStyle name="Lien hypertexte visité" xfId="12482" builtinId="9" hidden="1"/>
    <cellStyle name="Lien hypertexte visité" xfId="12484" builtinId="9" hidden="1"/>
    <cellStyle name="Lien hypertexte visité" xfId="12486" builtinId="9" hidden="1"/>
    <cellStyle name="Lien hypertexte visité" xfId="12488" builtinId="9" hidden="1"/>
    <cellStyle name="Lien hypertexte visité" xfId="12490" builtinId="9" hidden="1"/>
    <cellStyle name="Lien hypertexte visité" xfId="12492" builtinId="9" hidden="1"/>
    <cellStyle name="Lien hypertexte visité" xfId="12494" builtinId="9" hidden="1"/>
    <cellStyle name="Lien hypertexte visité" xfId="12496" builtinId="9" hidden="1"/>
    <cellStyle name="Lien hypertexte visité" xfId="12498" builtinId="9" hidden="1"/>
    <cellStyle name="Lien hypertexte visité" xfId="12500" builtinId="9" hidden="1"/>
    <cellStyle name="Lien hypertexte visité" xfId="12502" builtinId="9" hidden="1"/>
    <cellStyle name="Lien hypertexte visité" xfId="12504" builtinId="9" hidden="1"/>
    <cellStyle name="Lien hypertexte visité" xfId="12506" builtinId="9" hidden="1"/>
    <cellStyle name="Lien hypertexte visité" xfId="12508" builtinId="9" hidden="1"/>
    <cellStyle name="Lien hypertexte visité" xfId="12510" builtinId="9" hidden="1"/>
    <cellStyle name="Lien hypertexte visité" xfId="12512" builtinId="9" hidden="1"/>
    <cellStyle name="Lien hypertexte visité" xfId="12514" builtinId="9" hidden="1"/>
    <cellStyle name="Lien hypertexte visité" xfId="12516" builtinId="9" hidden="1"/>
    <cellStyle name="Lien hypertexte visité" xfId="12518" builtinId="9" hidden="1"/>
    <cellStyle name="Lien hypertexte visité" xfId="12520" builtinId="9" hidden="1"/>
    <cellStyle name="Lien hypertexte visité" xfId="12522" builtinId="9" hidden="1"/>
    <cellStyle name="Lien hypertexte visité" xfId="12524" builtinId="9" hidden="1"/>
    <cellStyle name="Lien hypertexte visité" xfId="12526" builtinId="9" hidden="1"/>
    <cellStyle name="Lien hypertexte visité" xfId="12528" builtinId="9" hidden="1"/>
    <cellStyle name="Lien hypertexte visité" xfId="12530" builtinId="9" hidden="1"/>
    <cellStyle name="Lien hypertexte visité" xfId="12532" builtinId="9" hidden="1"/>
    <cellStyle name="Lien hypertexte visité" xfId="12534" builtinId="9" hidden="1"/>
    <cellStyle name="Lien hypertexte visité" xfId="12536" builtinId="9" hidden="1"/>
    <cellStyle name="Lien hypertexte visité" xfId="12538" builtinId="9" hidden="1"/>
    <cellStyle name="Lien hypertexte visité" xfId="12540" builtinId="9" hidden="1"/>
    <cellStyle name="Lien hypertexte visité" xfId="12542" builtinId="9" hidden="1"/>
    <cellStyle name="Lien hypertexte visité" xfId="12544" builtinId="9" hidden="1"/>
    <cellStyle name="Lien hypertexte visité" xfId="12546" builtinId="9" hidden="1"/>
    <cellStyle name="Lien hypertexte visité" xfId="12548" builtinId="9" hidden="1"/>
    <cellStyle name="Lien hypertexte visité" xfId="12550" builtinId="9" hidden="1"/>
    <cellStyle name="Lien hypertexte visité" xfId="12552" builtinId="9" hidden="1"/>
    <cellStyle name="Lien hypertexte visité" xfId="12554" builtinId="9" hidden="1"/>
    <cellStyle name="Lien hypertexte visité" xfId="12556" builtinId="9" hidden="1"/>
    <cellStyle name="Lien hypertexte visité" xfId="12558" builtinId="9" hidden="1"/>
    <cellStyle name="Lien hypertexte visité" xfId="12560" builtinId="9" hidden="1"/>
    <cellStyle name="Lien hypertexte visité" xfId="12562" builtinId="9" hidden="1"/>
    <cellStyle name="Lien hypertexte visité" xfId="12564" builtinId="9" hidden="1"/>
    <cellStyle name="Lien hypertexte visité" xfId="12566" builtinId="9" hidden="1"/>
    <cellStyle name="Lien hypertexte visité" xfId="12568" builtinId="9" hidden="1"/>
    <cellStyle name="Lien hypertexte visité" xfId="12570" builtinId="9" hidden="1"/>
    <cellStyle name="Lien hypertexte visité" xfId="12572" builtinId="9" hidden="1"/>
    <cellStyle name="Lien hypertexte visité" xfId="12574" builtinId="9" hidden="1"/>
    <cellStyle name="Lien hypertexte visité" xfId="12576" builtinId="9" hidden="1"/>
    <cellStyle name="Lien hypertexte visité" xfId="12578" builtinId="9" hidden="1"/>
    <cellStyle name="Lien hypertexte visité" xfId="12580" builtinId="9" hidden="1"/>
    <cellStyle name="Lien hypertexte visité" xfId="12582" builtinId="9" hidden="1"/>
    <cellStyle name="Lien hypertexte visité" xfId="12584" builtinId="9" hidden="1"/>
    <cellStyle name="Lien hypertexte visité" xfId="12586" builtinId="9" hidden="1"/>
    <cellStyle name="Lien hypertexte visité" xfId="12588" builtinId="9" hidden="1"/>
    <cellStyle name="Lien hypertexte visité" xfId="12590" builtinId="9" hidden="1"/>
    <cellStyle name="Lien hypertexte visité" xfId="12592" builtinId="9" hidden="1"/>
    <cellStyle name="Lien hypertexte visité" xfId="12594" builtinId="9" hidden="1"/>
    <cellStyle name="Lien hypertexte visité" xfId="12596" builtinId="9" hidden="1"/>
    <cellStyle name="Lien hypertexte visité" xfId="12598" builtinId="9" hidden="1"/>
    <cellStyle name="Lien hypertexte visité" xfId="12600" builtinId="9" hidden="1"/>
    <cellStyle name="Lien hypertexte visité" xfId="12602" builtinId="9" hidden="1"/>
    <cellStyle name="Lien hypertexte visité" xfId="12604" builtinId="9" hidden="1"/>
    <cellStyle name="Lien hypertexte visité" xfId="12606" builtinId="9" hidden="1"/>
    <cellStyle name="Lien hypertexte visité" xfId="12608" builtinId="9" hidden="1"/>
    <cellStyle name="Lien hypertexte visité" xfId="12610" builtinId="9" hidden="1"/>
    <cellStyle name="Lien hypertexte visité" xfId="12612" builtinId="9" hidden="1"/>
    <cellStyle name="Lien hypertexte visité" xfId="12614" builtinId="9" hidden="1"/>
    <cellStyle name="Lien hypertexte visité" xfId="12616" builtinId="9" hidden="1"/>
    <cellStyle name="Lien hypertexte visité" xfId="12618" builtinId="9" hidden="1"/>
    <cellStyle name="Lien hypertexte visité" xfId="12620" builtinId="9" hidden="1"/>
    <cellStyle name="Lien hypertexte visité" xfId="12622" builtinId="9" hidden="1"/>
    <cellStyle name="Lien hypertexte visité" xfId="12624" builtinId="9" hidden="1"/>
    <cellStyle name="Lien hypertexte visité" xfId="12626" builtinId="9" hidden="1"/>
    <cellStyle name="Lien hypertexte visité" xfId="12628" builtinId="9" hidden="1"/>
    <cellStyle name="Lien hypertexte visité" xfId="12630" builtinId="9" hidden="1"/>
    <cellStyle name="Lien hypertexte visité" xfId="12632" builtinId="9" hidden="1"/>
    <cellStyle name="Lien hypertexte visité" xfId="12634" builtinId="9" hidden="1"/>
    <cellStyle name="Lien hypertexte visité" xfId="12636" builtinId="9" hidden="1"/>
    <cellStyle name="Lien hypertexte visité" xfId="12638" builtinId="9" hidden="1"/>
    <cellStyle name="Lien hypertexte visité" xfId="12640" builtinId="9" hidden="1"/>
    <cellStyle name="Lien hypertexte visité" xfId="12642" builtinId="9" hidden="1"/>
    <cellStyle name="Lien hypertexte visité" xfId="12644" builtinId="9" hidden="1"/>
    <cellStyle name="Lien hypertexte visité" xfId="12646" builtinId="9" hidden="1"/>
    <cellStyle name="Lien hypertexte visité" xfId="12648" builtinId="9" hidden="1"/>
    <cellStyle name="Lien hypertexte visité" xfId="12650" builtinId="9" hidden="1"/>
    <cellStyle name="Lien hypertexte visité" xfId="12652" builtinId="9" hidden="1"/>
    <cellStyle name="Lien hypertexte visité" xfId="12654" builtinId="9" hidden="1"/>
    <cellStyle name="Lien hypertexte visité" xfId="12656" builtinId="9" hidden="1"/>
    <cellStyle name="Lien hypertexte visité" xfId="12658" builtinId="9" hidden="1"/>
    <cellStyle name="Lien hypertexte visité" xfId="12660" builtinId="9" hidden="1"/>
    <cellStyle name="Lien hypertexte visité" xfId="12662" builtinId="9" hidden="1"/>
    <cellStyle name="Lien hypertexte visité" xfId="12664" builtinId="9" hidden="1"/>
    <cellStyle name="Lien hypertexte visité" xfId="12666" builtinId="9" hidden="1"/>
    <cellStyle name="Lien hypertexte visité" xfId="12668" builtinId="9" hidden="1"/>
    <cellStyle name="Lien hypertexte visité" xfId="12670" builtinId="9" hidden="1"/>
    <cellStyle name="Lien hypertexte visité" xfId="12672" builtinId="9" hidden="1"/>
    <cellStyle name="Lien hypertexte visité" xfId="12674" builtinId="9" hidden="1"/>
    <cellStyle name="Lien hypertexte visité" xfId="12676" builtinId="9" hidden="1"/>
    <cellStyle name="Lien hypertexte visité" xfId="12678" builtinId="9" hidden="1"/>
    <cellStyle name="Lien hypertexte visité" xfId="12680" builtinId="9" hidden="1"/>
    <cellStyle name="Lien hypertexte visité" xfId="12682" builtinId="9" hidden="1"/>
    <cellStyle name="Lien hypertexte visité" xfId="12684" builtinId="9" hidden="1"/>
    <cellStyle name="Lien hypertexte visité" xfId="12686" builtinId="9" hidden="1"/>
    <cellStyle name="Lien hypertexte visité" xfId="12688" builtinId="9" hidden="1"/>
    <cellStyle name="Lien hypertexte visité" xfId="12690" builtinId="9" hidden="1"/>
    <cellStyle name="Lien hypertexte visité" xfId="12692" builtinId="9" hidden="1"/>
    <cellStyle name="Lien hypertexte visité" xfId="12694" builtinId="9" hidden="1"/>
    <cellStyle name="Lien hypertexte visité" xfId="12696" builtinId="9" hidden="1"/>
    <cellStyle name="Lien hypertexte visité" xfId="12698" builtinId="9" hidden="1"/>
    <cellStyle name="Lien hypertexte visité" xfId="12700" builtinId="9" hidden="1"/>
    <cellStyle name="Lien hypertexte visité" xfId="12702" builtinId="9" hidden="1"/>
    <cellStyle name="Lien hypertexte visité" xfId="12704" builtinId="9" hidden="1"/>
    <cellStyle name="Lien hypertexte visité" xfId="12706" builtinId="9" hidden="1"/>
    <cellStyle name="Lien hypertexte visité" xfId="12708" builtinId="9" hidden="1"/>
    <cellStyle name="Lien hypertexte visité" xfId="12710" builtinId="9" hidden="1"/>
    <cellStyle name="Lien hypertexte visité" xfId="12712" builtinId="9" hidden="1"/>
    <cellStyle name="Lien hypertexte visité" xfId="12714" builtinId="9" hidden="1"/>
    <cellStyle name="Lien hypertexte visité" xfId="12716" builtinId="9" hidden="1"/>
    <cellStyle name="Lien hypertexte visité" xfId="12718" builtinId="9" hidden="1"/>
    <cellStyle name="Lien hypertexte visité" xfId="12720" builtinId="9" hidden="1"/>
    <cellStyle name="Lien hypertexte visité" xfId="12722" builtinId="9" hidden="1"/>
    <cellStyle name="Lien hypertexte visité" xfId="12724" builtinId="9" hidden="1"/>
    <cellStyle name="Lien hypertexte visité" xfId="12726" builtinId="9" hidden="1"/>
    <cellStyle name="Lien hypertexte visité" xfId="12728" builtinId="9" hidden="1"/>
    <cellStyle name="Lien hypertexte visité" xfId="12730" builtinId="9" hidden="1"/>
    <cellStyle name="Lien hypertexte visité" xfId="12732" builtinId="9" hidden="1"/>
    <cellStyle name="Lien hypertexte visité" xfId="12734" builtinId="9" hidden="1"/>
    <cellStyle name="Lien hypertexte visité" xfId="12736" builtinId="9" hidden="1"/>
    <cellStyle name="Lien hypertexte visité" xfId="12738" builtinId="9" hidden="1"/>
    <cellStyle name="Lien hypertexte visité" xfId="12740" builtinId="9" hidden="1"/>
    <cellStyle name="Lien hypertexte visité" xfId="12742" builtinId="9" hidden="1"/>
    <cellStyle name="Lien hypertexte visité" xfId="12744" builtinId="9" hidden="1"/>
    <cellStyle name="Lien hypertexte visité" xfId="12746" builtinId="9" hidden="1"/>
    <cellStyle name="Lien hypertexte visité" xfId="12748" builtinId="9" hidden="1"/>
    <cellStyle name="Lien hypertexte visité" xfId="12750" builtinId="9" hidden="1"/>
    <cellStyle name="Lien hypertexte visité" xfId="12752" builtinId="9" hidden="1"/>
    <cellStyle name="Lien hypertexte visité" xfId="12754" builtinId="9" hidden="1"/>
    <cellStyle name="Lien hypertexte visité" xfId="12756" builtinId="9" hidden="1"/>
    <cellStyle name="Lien hypertexte visité" xfId="12758" builtinId="9" hidden="1"/>
    <cellStyle name="Lien hypertexte visité" xfId="12760" builtinId="9" hidden="1"/>
    <cellStyle name="Lien hypertexte visité" xfId="12762" builtinId="9" hidden="1"/>
    <cellStyle name="Lien hypertexte visité" xfId="12764" builtinId="9" hidden="1"/>
    <cellStyle name="Lien hypertexte visité" xfId="12766" builtinId="9" hidden="1"/>
    <cellStyle name="Lien hypertexte visité" xfId="12768" builtinId="9" hidden="1"/>
    <cellStyle name="Lien hypertexte visité" xfId="12770" builtinId="9" hidden="1"/>
    <cellStyle name="Lien hypertexte visité" xfId="12772" builtinId="9" hidden="1"/>
    <cellStyle name="Lien hypertexte visité" xfId="12774" builtinId="9" hidden="1"/>
    <cellStyle name="Lien hypertexte visité" xfId="12776" builtinId="9" hidden="1"/>
    <cellStyle name="Lien hypertexte visité" xfId="12778" builtinId="9" hidden="1"/>
    <cellStyle name="Lien hypertexte visité" xfId="12780" builtinId="9" hidden="1"/>
    <cellStyle name="Lien hypertexte visité" xfId="12782" builtinId="9" hidden="1"/>
    <cellStyle name="Lien hypertexte visité" xfId="12784" builtinId="9" hidden="1"/>
    <cellStyle name="Lien hypertexte visité" xfId="12786" builtinId="9" hidden="1"/>
    <cellStyle name="Lien hypertexte visité" xfId="12788" builtinId="9" hidden="1"/>
    <cellStyle name="Lien hypertexte visité" xfId="12790" builtinId="9" hidden="1"/>
    <cellStyle name="Lien hypertexte visité" xfId="12792" builtinId="9" hidden="1"/>
    <cellStyle name="Lien hypertexte visité" xfId="12794" builtinId="9" hidden="1"/>
    <cellStyle name="Lien hypertexte visité" xfId="12796" builtinId="9" hidden="1"/>
    <cellStyle name="Lien hypertexte visité" xfId="12798" builtinId="9" hidden="1"/>
    <cellStyle name="Lien hypertexte visité" xfId="12800" builtinId="9" hidden="1"/>
    <cellStyle name="Lien hypertexte visité" xfId="12802" builtinId="9" hidden="1"/>
    <cellStyle name="Lien hypertexte visité" xfId="12804" builtinId="9" hidden="1"/>
    <cellStyle name="Lien hypertexte visité" xfId="12806" builtinId="9" hidden="1"/>
    <cellStyle name="Lien hypertexte visité" xfId="12808" builtinId="9" hidden="1"/>
    <cellStyle name="Lien hypertexte visité" xfId="12810" builtinId="9" hidden="1"/>
    <cellStyle name="Lien hypertexte visité" xfId="12812" builtinId="9" hidden="1"/>
    <cellStyle name="Lien hypertexte visité" xfId="12814" builtinId="9" hidden="1"/>
    <cellStyle name="Lien hypertexte visité" xfId="12816" builtinId="9" hidden="1"/>
    <cellStyle name="Lien hypertexte visité" xfId="12818" builtinId="9" hidden="1"/>
    <cellStyle name="Lien hypertexte visité" xfId="12820" builtinId="9" hidden="1"/>
    <cellStyle name="Lien hypertexte visité" xfId="12822" builtinId="9" hidden="1"/>
    <cellStyle name="Lien hypertexte visité" xfId="12824" builtinId="9" hidden="1"/>
    <cellStyle name="Lien hypertexte visité" xfId="12826" builtinId="9" hidden="1"/>
    <cellStyle name="Lien hypertexte visité" xfId="12828" builtinId="9" hidden="1"/>
    <cellStyle name="Lien hypertexte visité" xfId="12830" builtinId="9" hidden="1"/>
    <cellStyle name="Lien hypertexte visité" xfId="12832" builtinId="9" hidden="1"/>
    <cellStyle name="Lien hypertexte visité" xfId="12834" builtinId="9" hidden="1"/>
    <cellStyle name="Lien hypertexte visité" xfId="12836" builtinId="9" hidden="1"/>
    <cellStyle name="Lien hypertexte visité" xfId="12838" builtinId="9" hidden="1"/>
    <cellStyle name="Lien hypertexte visité" xfId="12840" builtinId="9" hidden="1"/>
    <cellStyle name="Lien hypertexte visité" xfId="12842" builtinId="9" hidden="1"/>
    <cellStyle name="Lien hypertexte visité" xfId="12844" builtinId="9" hidden="1"/>
    <cellStyle name="Lien hypertexte visité" xfId="12846" builtinId="9" hidden="1"/>
    <cellStyle name="Lien hypertexte visité" xfId="12848" builtinId="9" hidden="1"/>
    <cellStyle name="Lien hypertexte visité" xfId="12850" builtinId="9" hidden="1"/>
    <cellStyle name="Lien hypertexte visité" xfId="12852" builtinId="9" hidden="1"/>
    <cellStyle name="Lien hypertexte visité" xfId="12854" builtinId="9" hidden="1"/>
    <cellStyle name="Lien hypertexte visité" xfId="12856" builtinId="9" hidden="1"/>
    <cellStyle name="Lien hypertexte visité" xfId="12858" builtinId="9" hidden="1"/>
    <cellStyle name="Lien hypertexte visité" xfId="12860" builtinId="9" hidden="1"/>
    <cellStyle name="Lien hypertexte visité" xfId="12862" builtinId="9" hidden="1"/>
    <cellStyle name="Lien hypertexte visité" xfId="12864" builtinId="9" hidden="1"/>
    <cellStyle name="Lien hypertexte visité" xfId="12866" builtinId="9" hidden="1"/>
    <cellStyle name="Lien hypertexte visité" xfId="12868" builtinId="9" hidden="1"/>
    <cellStyle name="Lien hypertexte visité" xfId="12870" builtinId="9" hidden="1"/>
    <cellStyle name="Lien hypertexte visité" xfId="12872" builtinId="9" hidden="1"/>
    <cellStyle name="Lien hypertexte visité" xfId="12874" builtinId="9" hidden="1"/>
    <cellStyle name="Lien hypertexte visité" xfId="12876" builtinId="9" hidden="1"/>
    <cellStyle name="Lien hypertexte visité" xfId="12878" builtinId="9" hidden="1"/>
    <cellStyle name="Lien hypertexte visité" xfId="12880" builtinId="9" hidden="1"/>
    <cellStyle name="Lien hypertexte visité" xfId="12882" builtinId="9" hidden="1"/>
    <cellStyle name="Lien hypertexte visité" xfId="12884" builtinId="9" hidden="1"/>
    <cellStyle name="Lien hypertexte visité" xfId="12886" builtinId="9" hidden="1"/>
    <cellStyle name="Lien hypertexte visité" xfId="12888" builtinId="9" hidden="1"/>
    <cellStyle name="Lien hypertexte visité" xfId="12890" builtinId="9" hidden="1"/>
    <cellStyle name="Lien hypertexte visité" xfId="12892" builtinId="9" hidden="1"/>
    <cellStyle name="Lien hypertexte visité" xfId="12894" builtinId="9" hidden="1"/>
    <cellStyle name="Lien hypertexte visité" xfId="12896" builtinId="9" hidden="1"/>
    <cellStyle name="Lien hypertexte visité" xfId="12898" builtinId="9" hidden="1"/>
    <cellStyle name="Lien hypertexte visité" xfId="12900" builtinId="9" hidden="1"/>
    <cellStyle name="Lien hypertexte visité" xfId="12902" builtinId="9" hidden="1"/>
    <cellStyle name="Lien hypertexte visité" xfId="12904" builtinId="9" hidden="1"/>
    <cellStyle name="Lien hypertexte visité" xfId="12906" builtinId="9" hidden="1"/>
    <cellStyle name="Lien hypertexte visité" xfId="12908" builtinId="9" hidden="1"/>
    <cellStyle name="Lien hypertexte visité" xfId="12910" builtinId="9" hidden="1"/>
    <cellStyle name="Lien hypertexte visité" xfId="12912" builtinId="9" hidden="1"/>
    <cellStyle name="Lien hypertexte visité" xfId="12914" builtinId="9" hidden="1"/>
    <cellStyle name="Lien hypertexte visité" xfId="12916" builtinId="9" hidden="1"/>
    <cellStyle name="Lien hypertexte visité" xfId="12918" builtinId="9" hidden="1"/>
    <cellStyle name="Lien hypertexte visité" xfId="12920" builtinId="9" hidden="1"/>
    <cellStyle name="Lien hypertexte visité" xfId="12922" builtinId="9" hidden="1"/>
    <cellStyle name="Lien hypertexte visité" xfId="12924" builtinId="9" hidden="1"/>
    <cellStyle name="Lien hypertexte visité" xfId="12926" builtinId="9" hidden="1"/>
    <cellStyle name="Lien hypertexte visité" xfId="12928" builtinId="9" hidden="1"/>
    <cellStyle name="Lien hypertexte visité" xfId="12930" builtinId="9" hidden="1"/>
    <cellStyle name="Lien hypertexte visité" xfId="12932" builtinId="9" hidden="1"/>
    <cellStyle name="Lien hypertexte visité" xfId="12934" builtinId="9" hidden="1"/>
    <cellStyle name="Lien hypertexte visité" xfId="12936" builtinId="9" hidden="1"/>
    <cellStyle name="Lien hypertexte visité" xfId="12938" builtinId="9" hidden="1"/>
    <cellStyle name="Lien hypertexte visité" xfId="12940" builtinId="9" hidden="1"/>
    <cellStyle name="Lien hypertexte visité" xfId="12942" builtinId="9" hidden="1"/>
    <cellStyle name="Lien hypertexte visité" xfId="12944" builtinId="9" hidden="1"/>
    <cellStyle name="Lien hypertexte visité" xfId="12946" builtinId="9" hidden="1"/>
    <cellStyle name="Lien hypertexte visité" xfId="12948" builtinId="9" hidden="1"/>
    <cellStyle name="Lien hypertexte visité" xfId="12950" builtinId="9" hidden="1"/>
    <cellStyle name="Lien hypertexte visité" xfId="12952" builtinId="9" hidden="1"/>
    <cellStyle name="Lien hypertexte visité" xfId="12954" builtinId="9" hidden="1"/>
    <cellStyle name="Lien hypertexte visité" xfId="12956" builtinId="9" hidden="1"/>
    <cellStyle name="Lien hypertexte visité" xfId="12958" builtinId="9" hidden="1"/>
    <cellStyle name="Lien hypertexte visité" xfId="12960" builtinId="9" hidden="1"/>
    <cellStyle name="Lien hypertexte visité" xfId="12962" builtinId="9" hidden="1"/>
    <cellStyle name="Lien hypertexte visité" xfId="12964" builtinId="9" hidden="1"/>
    <cellStyle name="Lien hypertexte visité" xfId="12966" builtinId="9" hidden="1"/>
    <cellStyle name="Lien hypertexte visité" xfId="12968" builtinId="9" hidden="1"/>
    <cellStyle name="Lien hypertexte visité" xfId="12970" builtinId="9" hidden="1"/>
    <cellStyle name="Lien hypertexte visité" xfId="12972" builtinId="9" hidden="1"/>
    <cellStyle name="Lien hypertexte visité" xfId="12974" builtinId="9" hidden="1"/>
    <cellStyle name="Lien hypertexte visité" xfId="12976" builtinId="9" hidden="1"/>
    <cellStyle name="Lien hypertexte visité" xfId="12978" builtinId="9" hidden="1"/>
    <cellStyle name="Lien hypertexte visité" xfId="12980" builtinId="9" hidden="1"/>
    <cellStyle name="Lien hypertexte visité" xfId="12982" builtinId="9" hidden="1"/>
    <cellStyle name="Lien hypertexte visité" xfId="12984" builtinId="9" hidden="1"/>
    <cellStyle name="Lien hypertexte visité" xfId="12986" builtinId="9" hidden="1"/>
    <cellStyle name="Lien hypertexte visité" xfId="12988" builtinId="9" hidden="1"/>
    <cellStyle name="Lien hypertexte visité" xfId="12990" builtinId="9" hidden="1"/>
    <cellStyle name="Lien hypertexte visité" xfId="12992" builtinId="9" hidden="1"/>
    <cellStyle name="Lien hypertexte visité" xfId="12994" builtinId="9" hidden="1"/>
    <cellStyle name="Lien hypertexte visité" xfId="12996" builtinId="9" hidden="1"/>
    <cellStyle name="Lien hypertexte visité" xfId="12998" builtinId="9" hidden="1"/>
    <cellStyle name="Lien hypertexte visité" xfId="13000" builtinId="9" hidden="1"/>
    <cellStyle name="Lien hypertexte visité" xfId="13002" builtinId="9" hidden="1"/>
    <cellStyle name="Lien hypertexte visité" xfId="13004" builtinId="9" hidden="1"/>
    <cellStyle name="Lien hypertexte visité" xfId="13006" builtinId="9" hidden="1"/>
    <cellStyle name="Lien hypertexte visité" xfId="13008" builtinId="9" hidden="1"/>
    <cellStyle name="Lien hypertexte visité" xfId="13010" builtinId="9" hidden="1"/>
    <cellStyle name="Lien hypertexte visité" xfId="13012" builtinId="9" hidden="1"/>
    <cellStyle name="Lien hypertexte visité" xfId="13014" builtinId="9" hidden="1"/>
    <cellStyle name="Lien hypertexte visité" xfId="13016" builtinId="9" hidden="1"/>
    <cellStyle name="Lien hypertexte visité" xfId="13018" builtinId="9" hidden="1"/>
    <cellStyle name="Lien hypertexte visité" xfId="13020" builtinId="9" hidden="1"/>
    <cellStyle name="Lien hypertexte visité" xfId="13022" builtinId="9" hidden="1"/>
    <cellStyle name="Lien hypertexte visité" xfId="13024" builtinId="9" hidden="1"/>
    <cellStyle name="Lien hypertexte visité" xfId="13026" builtinId="9" hidden="1"/>
    <cellStyle name="Lien hypertexte visité" xfId="13028" builtinId="9" hidden="1"/>
    <cellStyle name="Lien hypertexte visité" xfId="13030" builtinId="9" hidden="1"/>
    <cellStyle name="Lien hypertexte visité" xfId="13032" builtinId="9" hidden="1"/>
    <cellStyle name="Lien hypertexte visité" xfId="13034" builtinId="9" hidden="1"/>
    <cellStyle name="Lien hypertexte visité" xfId="13036" builtinId="9" hidden="1"/>
    <cellStyle name="Lien hypertexte visité" xfId="13038" builtinId="9" hidden="1"/>
    <cellStyle name="Lien hypertexte visité" xfId="13040" builtinId="9" hidden="1"/>
    <cellStyle name="Lien hypertexte visité" xfId="13042" builtinId="9" hidden="1"/>
    <cellStyle name="Lien hypertexte visité" xfId="13044" builtinId="9" hidden="1"/>
    <cellStyle name="Lien hypertexte visité" xfId="13046" builtinId="9" hidden="1"/>
    <cellStyle name="Lien hypertexte visité" xfId="13048" builtinId="9" hidden="1"/>
    <cellStyle name="Lien hypertexte visité" xfId="13050" builtinId="9" hidden="1"/>
    <cellStyle name="Lien hypertexte visité" xfId="13052" builtinId="9" hidden="1"/>
    <cellStyle name="Lien hypertexte visité" xfId="13054" builtinId="9" hidden="1"/>
    <cellStyle name="Lien hypertexte visité" xfId="13056" builtinId="9" hidden="1"/>
    <cellStyle name="Lien hypertexte visité" xfId="13058" builtinId="9" hidden="1"/>
    <cellStyle name="Lien hypertexte visité" xfId="13060" builtinId="9" hidden="1"/>
    <cellStyle name="Lien hypertexte visité" xfId="13062" builtinId="9" hidden="1"/>
    <cellStyle name="Lien hypertexte visité" xfId="13064" builtinId="9" hidden="1"/>
    <cellStyle name="Lien hypertexte visité" xfId="13066" builtinId="9" hidden="1"/>
    <cellStyle name="Lien hypertexte visité" xfId="13068" builtinId="9" hidden="1"/>
    <cellStyle name="Lien hypertexte visité" xfId="13070" builtinId="9" hidden="1"/>
    <cellStyle name="Lien hypertexte visité" xfId="13072" builtinId="9" hidden="1"/>
    <cellStyle name="Lien hypertexte visité" xfId="13074" builtinId="9" hidden="1"/>
    <cellStyle name="Lien hypertexte visité" xfId="13076" builtinId="9" hidden="1"/>
    <cellStyle name="Lien hypertexte visité" xfId="13078" builtinId="9" hidden="1"/>
    <cellStyle name="Lien hypertexte visité" xfId="13080" builtinId="9" hidden="1"/>
    <cellStyle name="Lien hypertexte visité" xfId="13082" builtinId="9" hidden="1"/>
    <cellStyle name="Lien hypertexte visité" xfId="13084" builtinId="9" hidden="1"/>
    <cellStyle name="Lien hypertexte visité" xfId="13086" builtinId="9" hidden="1"/>
    <cellStyle name="Lien hypertexte visité" xfId="13088" builtinId="9" hidden="1"/>
    <cellStyle name="Lien hypertexte visité" xfId="13090" builtinId="9" hidden="1"/>
    <cellStyle name="Lien hypertexte visité" xfId="13092" builtinId="9" hidden="1"/>
    <cellStyle name="Lien hypertexte visité" xfId="13094" builtinId="9" hidden="1"/>
    <cellStyle name="Lien hypertexte visité" xfId="13096" builtinId="9" hidden="1"/>
    <cellStyle name="Lien hypertexte visité" xfId="13098" builtinId="9" hidden="1"/>
    <cellStyle name="Lien hypertexte visité" xfId="13100" builtinId="9" hidden="1"/>
    <cellStyle name="Lien hypertexte visité" xfId="13102" builtinId="9" hidden="1"/>
    <cellStyle name="Lien hypertexte visité" xfId="13104" builtinId="9" hidden="1"/>
    <cellStyle name="Lien hypertexte visité" xfId="13106" builtinId="9" hidden="1"/>
    <cellStyle name="Lien hypertexte visité" xfId="13108" builtinId="9" hidden="1"/>
    <cellStyle name="Lien hypertexte visité" xfId="13110" builtinId="9" hidden="1"/>
    <cellStyle name="Lien hypertexte visité" xfId="13112" builtinId="9" hidden="1"/>
    <cellStyle name="Lien hypertexte visité" xfId="13114" builtinId="9" hidden="1"/>
    <cellStyle name="Lien hypertexte visité" xfId="13116" builtinId="9" hidden="1"/>
    <cellStyle name="Lien hypertexte visité" xfId="13118" builtinId="9" hidden="1"/>
    <cellStyle name="Lien hypertexte visité" xfId="13120" builtinId="9" hidden="1"/>
    <cellStyle name="Lien hypertexte visité" xfId="13122" builtinId="9" hidden="1"/>
    <cellStyle name="Lien hypertexte visité" xfId="13124" builtinId="9" hidden="1"/>
    <cellStyle name="Lien hypertexte visité" xfId="13126" builtinId="9" hidden="1"/>
    <cellStyle name="Lien hypertexte visité" xfId="13128" builtinId="9" hidden="1"/>
    <cellStyle name="Lien hypertexte visité" xfId="13130" builtinId="9" hidden="1"/>
    <cellStyle name="Lien hypertexte visité" xfId="13132" builtinId="9" hidden="1"/>
    <cellStyle name="Lien hypertexte visité" xfId="13134" builtinId="9" hidden="1"/>
    <cellStyle name="Lien hypertexte visité" xfId="13136" builtinId="9" hidden="1"/>
    <cellStyle name="Lien hypertexte visité" xfId="13138" builtinId="9" hidden="1"/>
    <cellStyle name="Lien hypertexte visité" xfId="13140" builtinId="9" hidden="1"/>
    <cellStyle name="Lien hypertexte visité" xfId="13142" builtinId="9" hidden="1"/>
    <cellStyle name="Lien hypertexte visité" xfId="13144" builtinId="9" hidden="1"/>
    <cellStyle name="Lien hypertexte visité" xfId="13146" builtinId="9" hidden="1"/>
    <cellStyle name="Lien hypertexte visité" xfId="13148" builtinId="9" hidden="1"/>
    <cellStyle name="Lien hypertexte visité" xfId="13150" builtinId="9" hidden="1"/>
    <cellStyle name="Lien hypertexte visité" xfId="13152" builtinId="9" hidden="1"/>
    <cellStyle name="Lien hypertexte visité" xfId="13154" builtinId="9" hidden="1"/>
    <cellStyle name="Lien hypertexte visité" xfId="13156" builtinId="9" hidden="1"/>
    <cellStyle name="Lien hypertexte visité" xfId="13158" builtinId="9" hidden="1"/>
    <cellStyle name="Lien hypertexte visité" xfId="13160" builtinId="9" hidden="1"/>
    <cellStyle name="Lien hypertexte visité" xfId="13162" builtinId="9" hidden="1"/>
    <cellStyle name="Lien hypertexte visité" xfId="13164" builtinId="9" hidden="1"/>
    <cellStyle name="Lien hypertexte visité" xfId="13166" builtinId="9" hidden="1"/>
    <cellStyle name="Lien hypertexte visité" xfId="13168" builtinId="9" hidden="1"/>
    <cellStyle name="Lien hypertexte visité" xfId="13170" builtinId="9" hidden="1"/>
    <cellStyle name="Lien hypertexte visité" xfId="13172" builtinId="9" hidden="1"/>
    <cellStyle name="Lien hypertexte visité" xfId="13174" builtinId="9" hidden="1"/>
    <cellStyle name="Lien hypertexte visité" xfId="13176" builtinId="9" hidden="1"/>
    <cellStyle name="Lien hypertexte visité" xfId="13178" builtinId="9" hidden="1"/>
    <cellStyle name="Lien hypertexte visité" xfId="13180" builtinId="9" hidden="1"/>
    <cellStyle name="Lien hypertexte visité" xfId="13182" builtinId="9" hidden="1"/>
    <cellStyle name="Lien hypertexte visité" xfId="13184" builtinId="9" hidden="1"/>
    <cellStyle name="Lien hypertexte visité" xfId="13186" builtinId="9" hidden="1"/>
    <cellStyle name="Lien hypertexte visité" xfId="13188" builtinId="9" hidden="1"/>
    <cellStyle name="Lien hypertexte visité" xfId="13190" builtinId="9" hidden="1"/>
    <cellStyle name="Lien hypertexte visité" xfId="13192" builtinId="9" hidden="1"/>
    <cellStyle name="Lien hypertexte visité" xfId="13194" builtinId="9" hidden="1"/>
    <cellStyle name="Lien hypertexte visité" xfId="13196" builtinId="9" hidden="1"/>
    <cellStyle name="Lien hypertexte visité" xfId="13198" builtinId="9" hidden="1"/>
    <cellStyle name="Lien hypertexte visité" xfId="13200" builtinId="9" hidden="1"/>
    <cellStyle name="Lien hypertexte visité" xfId="13202" builtinId="9" hidden="1"/>
    <cellStyle name="Lien hypertexte visité" xfId="13204" builtinId="9" hidden="1"/>
    <cellStyle name="Lien hypertexte visité" xfId="13206" builtinId="9" hidden="1"/>
    <cellStyle name="Lien hypertexte visité" xfId="13208" builtinId="9" hidden="1"/>
    <cellStyle name="Lien hypertexte visité" xfId="13210" builtinId="9" hidden="1"/>
    <cellStyle name="Lien hypertexte visité" xfId="13212" builtinId="9" hidden="1"/>
    <cellStyle name="Lien hypertexte visité" xfId="13214" builtinId="9" hidden="1"/>
    <cellStyle name="Lien hypertexte visité" xfId="13216" builtinId="9" hidden="1"/>
    <cellStyle name="Lien hypertexte visité" xfId="13218" builtinId="9" hidden="1"/>
    <cellStyle name="Lien hypertexte visité" xfId="13220" builtinId="9" hidden="1"/>
    <cellStyle name="Lien hypertexte visité" xfId="13222" builtinId="9" hidden="1"/>
    <cellStyle name="Lien hypertexte visité" xfId="13224" builtinId="9" hidden="1"/>
    <cellStyle name="Lien hypertexte visité" xfId="13226" builtinId="9" hidden="1"/>
    <cellStyle name="Lien hypertexte visité" xfId="13228" builtinId="9" hidden="1"/>
    <cellStyle name="Lien hypertexte visité" xfId="13230" builtinId="9" hidden="1"/>
    <cellStyle name="Lien hypertexte visité" xfId="13232" builtinId="9" hidden="1"/>
    <cellStyle name="Lien hypertexte visité" xfId="13234" builtinId="9" hidden="1"/>
    <cellStyle name="Lien hypertexte visité" xfId="13236" builtinId="9" hidden="1"/>
    <cellStyle name="Lien hypertexte visité" xfId="13238" builtinId="9" hidden="1"/>
    <cellStyle name="Lien hypertexte visité" xfId="13240" builtinId="9" hidden="1"/>
    <cellStyle name="Lien hypertexte visité" xfId="13242" builtinId="9" hidden="1"/>
    <cellStyle name="Lien hypertexte visité" xfId="13244" builtinId="9" hidden="1"/>
    <cellStyle name="Lien hypertexte visité" xfId="13246" builtinId="9" hidden="1"/>
    <cellStyle name="Lien hypertexte visité" xfId="13248" builtinId="9" hidden="1"/>
    <cellStyle name="Lien hypertexte visité" xfId="13250" builtinId="9" hidden="1"/>
    <cellStyle name="Lien hypertexte visité" xfId="13252" builtinId="9" hidden="1"/>
    <cellStyle name="Lien hypertexte visité" xfId="13254" builtinId="9" hidden="1"/>
    <cellStyle name="Lien hypertexte visité" xfId="13256" builtinId="9" hidden="1"/>
    <cellStyle name="Lien hypertexte visité" xfId="13258" builtinId="9" hidden="1"/>
    <cellStyle name="Lien hypertexte visité" xfId="13260" builtinId="9" hidden="1"/>
    <cellStyle name="Lien hypertexte visité" xfId="13262" builtinId="9" hidden="1"/>
    <cellStyle name="Lien hypertexte visité" xfId="13264" builtinId="9" hidden="1"/>
    <cellStyle name="Lien hypertexte visité" xfId="13266" builtinId="9" hidden="1"/>
    <cellStyle name="Lien hypertexte visité" xfId="13268" builtinId="9" hidden="1"/>
    <cellStyle name="Lien hypertexte visité" xfId="13270" builtinId="9" hidden="1"/>
    <cellStyle name="Lien hypertexte visité" xfId="13272" builtinId="9" hidden="1"/>
    <cellStyle name="Lien hypertexte visité" xfId="13274" builtinId="9" hidden="1"/>
    <cellStyle name="Lien hypertexte visité" xfId="13276" builtinId="9" hidden="1"/>
    <cellStyle name="Lien hypertexte visité" xfId="13278" builtinId="9" hidden="1"/>
    <cellStyle name="Lien hypertexte visité" xfId="13280" builtinId="9" hidden="1"/>
    <cellStyle name="Lien hypertexte visité" xfId="13282" builtinId="9" hidden="1"/>
    <cellStyle name="Lien hypertexte visité" xfId="13284" builtinId="9" hidden="1"/>
    <cellStyle name="Lien hypertexte visité" xfId="13286" builtinId="9" hidden="1"/>
    <cellStyle name="Lien hypertexte visité" xfId="13288" builtinId="9" hidden="1"/>
    <cellStyle name="Lien hypertexte visité" xfId="13290" builtinId="9" hidden="1"/>
    <cellStyle name="Lien hypertexte visité" xfId="13292" builtinId="9" hidden="1"/>
    <cellStyle name="Lien hypertexte visité" xfId="13294" builtinId="9" hidden="1"/>
    <cellStyle name="Lien hypertexte visité" xfId="13296" builtinId="9" hidden="1"/>
    <cellStyle name="Lien hypertexte visité" xfId="13298" builtinId="9" hidden="1"/>
    <cellStyle name="Lien hypertexte visité" xfId="13300" builtinId="9" hidden="1"/>
    <cellStyle name="Lien hypertexte visité" xfId="13302" builtinId="9" hidden="1"/>
    <cellStyle name="Lien hypertexte visité" xfId="13304" builtinId="9" hidden="1"/>
    <cellStyle name="Lien hypertexte visité" xfId="13306" builtinId="9" hidden="1"/>
    <cellStyle name="Lien hypertexte visité" xfId="13308" builtinId="9" hidden="1"/>
    <cellStyle name="Lien hypertexte visité" xfId="13310" builtinId="9" hidden="1"/>
    <cellStyle name="Lien hypertexte visité" xfId="13312" builtinId="9" hidden="1"/>
    <cellStyle name="Lien hypertexte visité" xfId="13314" builtinId="9" hidden="1"/>
    <cellStyle name="Lien hypertexte visité" xfId="13316" builtinId="9" hidden="1"/>
    <cellStyle name="Lien hypertexte visité" xfId="13318" builtinId="9" hidden="1"/>
    <cellStyle name="Lien hypertexte visité" xfId="13320" builtinId="9" hidden="1"/>
    <cellStyle name="Lien hypertexte visité" xfId="13322" builtinId="9" hidden="1"/>
    <cellStyle name="Lien hypertexte visité" xfId="13324" builtinId="9" hidden="1"/>
    <cellStyle name="Lien hypertexte visité" xfId="13326" builtinId="9" hidden="1"/>
    <cellStyle name="Lien hypertexte visité" xfId="13328" builtinId="9" hidden="1"/>
    <cellStyle name="Lien hypertexte visité" xfId="13330" builtinId="9" hidden="1"/>
    <cellStyle name="Lien hypertexte visité" xfId="13332" builtinId="9" hidden="1"/>
    <cellStyle name="Lien hypertexte visité" xfId="13334" builtinId="9" hidden="1"/>
    <cellStyle name="Lien hypertexte visité" xfId="13336" builtinId="9" hidden="1"/>
    <cellStyle name="Lien hypertexte visité" xfId="13338" builtinId="9" hidden="1"/>
    <cellStyle name="Lien hypertexte visité" xfId="13340" builtinId="9" hidden="1"/>
    <cellStyle name="Lien hypertexte visité" xfId="13342" builtinId="9" hidden="1"/>
    <cellStyle name="Lien hypertexte visité" xfId="13344" builtinId="9" hidden="1"/>
    <cellStyle name="Lien hypertexte visité" xfId="13346" builtinId="9" hidden="1"/>
    <cellStyle name="Lien hypertexte visité" xfId="13348" builtinId="9" hidden="1"/>
    <cellStyle name="Lien hypertexte visité" xfId="13350" builtinId="9" hidden="1"/>
    <cellStyle name="Lien hypertexte visité" xfId="13352" builtinId="9" hidden="1"/>
    <cellStyle name="Lien hypertexte visité" xfId="13354" builtinId="9" hidden="1"/>
    <cellStyle name="Lien hypertexte visité" xfId="13356" builtinId="9" hidden="1"/>
    <cellStyle name="Lien hypertexte visité" xfId="13358" builtinId="9" hidden="1"/>
    <cellStyle name="Lien hypertexte visité" xfId="13360" builtinId="9" hidden="1"/>
    <cellStyle name="Lien hypertexte visité" xfId="13362" builtinId="9" hidden="1"/>
    <cellStyle name="Lien hypertexte visité" xfId="13364" builtinId="9" hidden="1"/>
    <cellStyle name="Lien hypertexte visité" xfId="13366" builtinId="9" hidden="1"/>
    <cellStyle name="Lien hypertexte visité" xfId="13368" builtinId="9" hidden="1"/>
    <cellStyle name="Lien hypertexte visité" xfId="13370" builtinId="9" hidden="1"/>
    <cellStyle name="Lien hypertexte visité" xfId="13372" builtinId="9" hidden="1"/>
    <cellStyle name="Lien hypertexte visité" xfId="13374" builtinId="9" hidden="1"/>
    <cellStyle name="Lien hypertexte visité" xfId="13376" builtinId="9" hidden="1"/>
    <cellStyle name="Lien hypertexte visité" xfId="13378" builtinId="9" hidden="1"/>
    <cellStyle name="Lien hypertexte visité" xfId="13380" builtinId="9" hidden="1"/>
    <cellStyle name="Lien hypertexte visité" xfId="13382" builtinId="9" hidden="1"/>
    <cellStyle name="Lien hypertexte visité" xfId="13384" builtinId="9" hidden="1"/>
    <cellStyle name="Lien hypertexte visité" xfId="13386" builtinId="9" hidden="1"/>
    <cellStyle name="Lien hypertexte visité" xfId="13388" builtinId="9" hidden="1"/>
    <cellStyle name="Lien hypertexte visité" xfId="13390" builtinId="9" hidden="1"/>
    <cellStyle name="Lien hypertexte visité" xfId="13392" builtinId="9" hidden="1"/>
    <cellStyle name="Lien hypertexte visité" xfId="13394" builtinId="9" hidden="1"/>
    <cellStyle name="Lien hypertexte visité" xfId="13396" builtinId="9" hidden="1"/>
    <cellStyle name="Lien hypertexte visité" xfId="13398" builtinId="9" hidden="1"/>
    <cellStyle name="Lien hypertexte visité" xfId="13400" builtinId="9" hidden="1"/>
    <cellStyle name="Lien hypertexte visité" xfId="13402" builtinId="9" hidden="1"/>
    <cellStyle name="Lien hypertexte visité" xfId="13404" builtinId="9" hidden="1"/>
    <cellStyle name="Lien hypertexte visité" xfId="13406" builtinId="9" hidden="1"/>
    <cellStyle name="Lien hypertexte visité" xfId="13408" builtinId="9" hidden="1"/>
    <cellStyle name="Lien hypertexte visité" xfId="13410" builtinId="9" hidden="1"/>
    <cellStyle name="Lien hypertexte visité" xfId="13412" builtinId="9" hidden="1"/>
    <cellStyle name="Lien hypertexte visité" xfId="13414" builtinId="9" hidden="1"/>
    <cellStyle name="Lien hypertexte visité" xfId="13416" builtinId="9" hidden="1"/>
    <cellStyle name="Lien hypertexte visité" xfId="13418" builtinId="9" hidden="1"/>
    <cellStyle name="Lien hypertexte visité" xfId="13420" builtinId="9" hidden="1"/>
    <cellStyle name="Lien hypertexte visité" xfId="13422" builtinId="9" hidden="1"/>
    <cellStyle name="Lien hypertexte visité" xfId="13424" builtinId="9" hidden="1"/>
    <cellStyle name="Lien hypertexte visité" xfId="13426" builtinId="9" hidden="1"/>
    <cellStyle name="Lien hypertexte visité" xfId="13428" builtinId="9" hidden="1"/>
    <cellStyle name="Lien hypertexte visité" xfId="13430" builtinId="9" hidden="1"/>
    <cellStyle name="Lien hypertexte visité" xfId="13432" builtinId="9" hidden="1"/>
    <cellStyle name="Lien hypertexte visité" xfId="13434" builtinId="9" hidden="1"/>
    <cellStyle name="Lien hypertexte visité" xfId="13436" builtinId="9" hidden="1"/>
    <cellStyle name="Lien hypertexte visité" xfId="13438" builtinId="9" hidden="1"/>
    <cellStyle name="Lien hypertexte visité" xfId="13440" builtinId="9" hidden="1"/>
    <cellStyle name="Lien hypertexte visité" xfId="13442" builtinId="9" hidden="1"/>
    <cellStyle name="Lien hypertexte visité" xfId="13444" builtinId="9" hidden="1"/>
    <cellStyle name="Lien hypertexte visité" xfId="13446" builtinId="9" hidden="1"/>
    <cellStyle name="Lien hypertexte visité" xfId="13448" builtinId="9" hidden="1"/>
    <cellStyle name="Lien hypertexte visité" xfId="13450" builtinId="9" hidden="1"/>
    <cellStyle name="Lien hypertexte visité" xfId="13452" builtinId="9" hidden="1"/>
    <cellStyle name="Lien hypertexte visité" xfId="13454" builtinId="9" hidden="1"/>
    <cellStyle name="Lien hypertexte visité" xfId="13456" builtinId="9" hidden="1"/>
    <cellStyle name="Lien hypertexte visité" xfId="13458" builtinId="9" hidden="1"/>
    <cellStyle name="Lien hypertexte visité" xfId="13460" builtinId="9" hidden="1"/>
    <cellStyle name="Lien hypertexte visité" xfId="13462" builtinId="9" hidden="1"/>
    <cellStyle name="Lien hypertexte visité" xfId="13464" builtinId="9" hidden="1"/>
    <cellStyle name="Lien hypertexte visité" xfId="13466" builtinId="9" hidden="1"/>
    <cellStyle name="Lien hypertexte visité" xfId="13468" builtinId="9" hidden="1"/>
    <cellStyle name="Lien hypertexte visité" xfId="13470" builtinId="9" hidden="1"/>
    <cellStyle name="Lien hypertexte visité" xfId="13472" builtinId="9" hidden="1"/>
    <cellStyle name="Lien hypertexte visité" xfId="13474" builtinId="9" hidden="1"/>
    <cellStyle name="Lien hypertexte visité" xfId="13476" builtinId="9" hidden="1"/>
    <cellStyle name="Lien hypertexte visité" xfId="13478" builtinId="9" hidden="1"/>
    <cellStyle name="Lien hypertexte visité" xfId="13480" builtinId="9" hidden="1"/>
    <cellStyle name="Lien hypertexte visité" xfId="13482" builtinId="9" hidden="1"/>
    <cellStyle name="Lien hypertexte visité" xfId="13484" builtinId="9" hidden="1"/>
    <cellStyle name="Lien hypertexte visité" xfId="13486" builtinId="9" hidden="1"/>
    <cellStyle name="Lien hypertexte visité" xfId="13488" builtinId="9" hidden="1"/>
    <cellStyle name="Lien hypertexte visité" xfId="13490" builtinId="9" hidden="1"/>
    <cellStyle name="Lien hypertexte visité" xfId="13492" builtinId="9" hidden="1"/>
    <cellStyle name="Lien hypertexte visité" xfId="13494" builtinId="9" hidden="1"/>
    <cellStyle name="Lien hypertexte visité" xfId="13496" builtinId="9" hidden="1"/>
    <cellStyle name="Lien hypertexte visité" xfId="13498" builtinId="9" hidden="1"/>
    <cellStyle name="Lien hypertexte visité" xfId="13500" builtinId="9" hidden="1"/>
    <cellStyle name="Lien hypertexte visité" xfId="13502" builtinId="9" hidden="1"/>
    <cellStyle name="Lien hypertexte visité" xfId="13504" builtinId="9" hidden="1"/>
    <cellStyle name="Lien hypertexte visité" xfId="13506" builtinId="9" hidden="1"/>
    <cellStyle name="Lien hypertexte visité" xfId="13508" builtinId="9" hidden="1"/>
    <cellStyle name="Lien hypertexte visité" xfId="13510" builtinId="9" hidden="1"/>
    <cellStyle name="Lien hypertexte visité" xfId="13512" builtinId="9" hidden="1"/>
    <cellStyle name="Lien hypertexte visité" xfId="13514" builtinId="9" hidden="1"/>
    <cellStyle name="Lien hypertexte visité" xfId="13516" builtinId="9" hidden="1"/>
    <cellStyle name="Lien hypertexte visité" xfId="13518" builtinId="9" hidden="1"/>
    <cellStyle name="Lien hypertexte visité" xfId="13520" builtinId="9" hidden="1"/>
    <cellStyle name="Lien hypertexte visité" xfId="13522" builtinId="9" hidden="1"/>
    <cellStyle name="Lien hypertexte visité" xfId="13524" builtinId="9" hidden="1"/>
    <cellStyle name="Lien hypertexte visité" xfId="13526" builtinId="9" hidden="1"/>
    <cellStyle name="Lien hypertexte visité" xfId="13528" builtinId="9" hidden="1"/>
    <cellStyle name="Lien hypertexte visité" xfId="13530" builtinId="9" hidden="1"/>
    <cellStyle name="Lien hypertexte visité" xfId="13532" builtinId="9" hidden="1"/>
    <cellStyle name="Lien hypertexte visité" xfId="13534" builtinId="9" hidden="1"/>
    <cellStyle name="Lien hypertexte visité" xfId="13536" builtinId="9" hidden="1"/>
    <cellStyle name="Lien hypertexte visité" xfId="13538" builtinId="9" hidden="1"/>
    <cellStyle name="Lien hypertexte visité" xfId="13540" builtinId="9" hidden="1"/>
    <cellStyle name="Lien hypertexte visité" xfId="13542" builtinId="9" hidden="1"/>
    <cellStyle name="Lien hypertexte visité" xfId="13544" builtinId="9" hidden="1"/>
    <cellStyle name="Lien hypertexte visité" xfId="13546" builtinId="9" hidden="1"/>
    <cellStyle name="Lien hypertexte visité" xfId="13548" builtinId="9" hidden="1"/>
    <cellStyle name="Lien hypertexte visité" xfId="13550" builtinId="9" hidden="1"/>
    <cellStyle name="Lien hypertexte visité" xfId="13552" builtinId="9" hidden="1"/>
    <cellStyle name="Lien hypertexte visité" xfId="13554" builtinId="9" hidden="1"/>
    <cellStyle name="Lien hypertexte visité" xfId="13556" builtinId="9" hidden="1"/>
    <cellStyle name="Lien hypertexte visité" xfId="13558" builtinId="9" hidden="1"/>
    <cellStyle name="Lien hypertexte visité" xfId="13560" builtinId="9" hidden="1"/>
    <cellStyle name="Lien hypertexte visité" xfId="13562" builtinId="9" hidden="1"/>
    <cellStyle name="Lien hypertexte visité" xfId="13564" builtinId="9" hidden="1"/>
    <cellStyle name="Lien hypertexte visité" xfId="13566" builtinId="9" hidden="1"/>
    <cellStyle name="Lien hypertexte visité" xfId="13568" builtinId="9" hidden="1"/>
    <cellStyle name="Lien hypertexte visité" xfId="13570" builtinId="9" hidden="1"/>
    <cellStyle name="Lien hypertexte visité" xfId="13572" builtinId="9" hidden="1"/>
    <cellStyle name="Lien hypertexte visité" xfId="13574" builtinId="9" hidden="1"/>
    <cellStyle name="Lien hypertexte visité" xfId="13576" builtinId="9" hidden="1"/>
    <cellStyle name="Lien hypertexte visité" xfId="13578" builtinId="9" hidden="1"/>
    <cellStyle name="Lien hypertexte visité" xfId="13580" builtinId="9" hidden="1"/>
    <cellStyle name="Lien hypertexte visité" xfId="13582" builtinId="9" hidden="1"/>
    <cellStyle name="Lien hypertexte visité" xfId="13584" builtinId="9" hidden="1"/>
    <cellStyle name="Lien hypertexte visité" xfId="13586" builtinId="9" hidden="1"/>
    <cellStyle name="Lien hypertexte visité" xfId="13588" builtinId="9" hidden="1"/>
    <cellStyle name="Lien hypertexte visité" xfId="13590" builtinId="9" hidden="1"/>
    <cellStyle name="Lien hypertexte visité" xfId="13592" builtinId="9" hidden="1"/>
    <cellStyle name="Lien hypertexte visité" xfId="13594" builtinId="9" hidden="1"/>
    <cellStyle name="Lien hypertexte visité" xfId="13596" builtinId="9" hidden="1"/>
    <cellStyle name="Lien hypertexte visité" xfId="13598" builtinId="9" hidden="1"/>
    <cellStyle name="Lien hypertexte visité" xfId="13600" builtinId="9" hidden="1"/>
    <cellStyle name="Lien hypertexte visité" xfId="13602" builtinId="9" hidden="1"/>
    <cellStyle name="Lien hypertexte visité" xfId="13604" builtinId="9" hidden="1"/>
    <cellStyle name="Lien hypertexte visité" xfId="13606" builtinId="9" hidden="1"/>
    <cellStyle name="Lien hypertexte visité" xfId="13608" builtinId="9" hidden="1"/>
    <cellStyle name="Lien hypertexte visité" xfId="13610" builtinId="9" hidden="1"/>
    <cellStyle name="Lien hypertexte visité" xfId="13612" builtinId="9" hidden="1"/>
    <cellStyle name="Lien hypertexte visité" xfId="13614" builtinId="9" hidden="1"/>
    <cellStyle name="Lien hypertexte visité" xfId="13616" builtinId="9" hidden="1"/>
    <cellStyle name="Lien hypertexte visité" xfId="13618" builtinId="9" hidden="1"/>
    <cellStyle name="Lien hypertexte visité" xfId="13620" builtinId="9" hidden="1"/>
    <cellStyle name="Lien hypertexte visité" xfId="13622" builtinId="9" hidden="1"/>
    <cellStyle name="Lien hypertexte visité" xfId="13624" builtinId="9" hidden="1"/>
    <cellStyle name="Lien hypertexte visité" xfId="13626" builtinId="9" hidden="1"/>
    <cellStyle name="Lien hypertexte visité" xfId="13628" builtinId="9" hidden="1"/>
    <cellStyle name="Lien hypertexte visité" xfId="13630" builtinId="9" hidden="1"/>
    <cellStyle name="Lien hypertexte visité" xfId="13632" builtinId="9" hidden="1"/>
    <cellStyle name="Lien hypertexte visité" xfId="13634" builtinId="9" hidden="1"/>
    <cellStyle name="Lien hypertexte visité" xfId="13636" builtinId="9" hidden="1"/>
    <cellStyle name="Lien hypertexte visité" xfId="13638" builtinId="9" hidden="1"/>
    <cellStyle name="Lien hypertexte visité" xfId="13640" builtinId="9" hidden="1"/>
    <cellStyle name="Lien hypertexte visité" xfId="13642" builtinId="9" hidden="1"/>
    <cellStyle name="Lien hypertexte visité" xfId="13644" builtinId="9" hidden="1"/>
    <cellStyle name="Lien hypertexte visité" xfId="13646" builtinId="9" hidden="1"/>
    <cellStyle name="Lien hypertexte visité" xfId="13648" builtinId="9" hidden="1"/>
    <cellStyle name="Lien hypertexte visité" xfId="13650" builtinId="9" hidden="1"/>
    <cellStyle name="Lien hypertexte visité" xfId="13652" builtinId="9" hidden="1"/>
    <cellStyle name="Lien hypertexte visité" xfId="13654" builtinId="9" hidden="1"/>
    <cellStyle name="Lien hypertexte visité" xfId="13656" builtinId="9" hidden="1"/>
    <cellStyle name="Lien hypertexte visité" xfId="13658" builtinId="9" hidden="1"/>
    <cellStyle name="Lien hypertexte visité" xfId="13660" builtinId="9" hidden="1"/>
    <cellStyle name="Lien hypertexte visité" xfId="13662" builtinId="9" hidden="1"/>
    <cellStyle name="Lien hypertexte visité" xfId="13664" builtinId="9" hidden="1"/>
    <cellStyle name="Lien hypertexte visité" xfId="13666" builtinId="9" hidden="1"/>
    <cellStyle name="Lien hypertexte visité" xfId="13668" builtinId="9" hidden="1"/>
    <cellStyle name="Lien hypertexte visité" xfId="13670" builtinId="9" hidden="1"/>
    <cellStyle name="Lien hypertexte visité" xfId="13672" builtinId="9" hidden="1"/>
    <cellStyle name="Lien hypertexte visité" xfId="13674" builtinId="9" hidden="1"/>
    <cellStyle name="Lien hypertexte visité" xfId="13676" builtinId="9" hidden="1"/>
    <cellStyle name="Lien hypertexte visité" xfId="13678" builtinId="9" hidden="1"/>
    <cellStyle name="Lien hypertexte visité" xfId="13680" builtinId="9" hidden="1"/>
    <cellStyle name="Lien hypertexte visité" xfId="13682" builtinId="9" hidden="1"/>
    <cellStyle name="Lien hypertexte visité" xfId="13684" builtinId="9" hidden="1"/>
    <cellStyle name="Lien hypertexte visité" xfId="13686" builtinId="9" hidden="1"/>
    <cellStyle name="Lien hypertexte visité" xfId="13688" builtinId="9" hidden="1"/>
    <cellStyle name="Lien hypertexte visité" xfId="13690" builtinId="9" hidden="1"/>
    <cellStyle name="Lien hypertexte visité" xfId="13692" builtinId="9" hidden="1"/>
    <cellStyle name="Lien hypertexte visité" xfId="13694" builtinId="9" hidden="1"/>
    <cellStyle name="Lien hypertexte visité" xfId="13696" builtinId="9" hidden="1"/>
    <cellStyle name="Lien hypertexte visité" xfId="13698" builtinId="9" hidden="1"/>
    <cellStyle name="Lien hypertexte visité" xfId="13700" builtinId="9" hidden="1"/>
    <cellStyle name="Lien hypertexte visité" xfId="13702" builtinId="9" hidden="1"/>
    <cellStyle name="Lien hypertexte visité" xfId="13704" builtinId="9" hidden="1"/>
    <cellStyle name="Lien hypertexte visité" xfId="13706" builtinId="9" hidden="1"/>
    <cellStyle name="Lien hypertexte visité" xfId="13708" builtinId="9" hidden="1"/>
    <cellStyle name="Lien hypertexte visité" xfId="13710" builtinId="9" hidden="1"/>
    <cellStyle name="Lien hypertexte visité" xfId="13712" builtinId="9" hidden="1"/>
    <cellStyle name="Lien hypertexte visité" xfId="13714" builtinId="9" hidden="1"/>
    <cellStyle name="Lien hypertexte visité" xfId="13716" builtinId="9" hidden="1"/>
    <cellStyle name="Lien hypertexte visité" xfId="13718" builtinId="9" hidden="1"/>
    <cellStyle name="Lien hypertexte visité" xfId="13720" builtinId="9" hidden="1"/>
    <cellStyle name="Lien hypertexte visité" xfId="13722" builtinId="9" hidden="1"/>
    <cellStyle name="Lien hypertexte visité" xfId="13724" builtinId="9" hidden="1"/>
    <cellStyle name="Lien hypertexte visité" xfId="13726" builtinId="9" hidden="1"/>
    <cellStyle name="Lien hypertexte visité" xfId="13728" builtinId="9" hidden="1"/>
    <cellStyle name="Lien hypertexte visité" xfId="13730" builtinId="9" hidden="1"/>
    <cellStyle name="Lien hypertexte visité" xfId="13732" builtinId="9" hidden="1"/>
    <cellStyle name="Lien hypertexte visité" xfId="13734" builtinId="9" hidden="1"/>
    <cellStyle name="Lien hypertexte visité" xfId="13736" builtinId="9" hidden="1"/>
    <cellStyle name="Lien hypertexte visité" xfId="13738" builtinId="9" hidden="1"/>
    <cellStyle name="Lien hypertexte visité" xfId="13740" builtinId="9" hidden="1"/>
    <cellStyle name="Lien hypertexte visité" xfId="13742" builtinId="9" hidden="1"/>
    <cellStyle name="Lien hypertexte visité" xfId="13744" builtinId="9" hidden="1"/>
    <cellStyle name="Lien hypertexte visité" xfId="13746" builtinId="9" hidden="1"/>
    <cellStyle name="Lien hypertexte visité" xfId="13748" builtinId="9" hidden="1"/>
    <cellStyle name="Lien hypertexte visité" xfId="13750" builtinId="9" hidden="1"/>
    <cellStyle name="Lien hypertexte visité" xfId="13752" builtinId="9" hidden="1"/>
    <cellStyle name="Lien hypertexte visité" xfId="13754" builtinId="9" hidden="1"/>
    <cellStyle name="Lien hypertexte visité" xfId="13756" builtinId="9" hidden="1"/>
    <cellStyle name="Lien hypertexte visité" xfId="13758" builtinId="9" hidden="1"/>
    <cellStyle name="Lien hypertexte visité" xfId="13760" builtinId="9" hidden="1"/>
    <cellStyle name="Lien hypertexte visité" xfId="13762" builtinId="9" hidden="1"/>
    <cellStyle name="Lien hypertexte visité" xfId="13764" builtinId="9" hidden="1"/>
    <cellStyle name="Lien hypertexte visité" xfId="13766" builtinId="9" hidden="1"/>
    <cellStyle name="Lien hypertexte visité" xfId="13768" builtinId="9" hidden="1"/>
    <cellStyle name="Lien hypertexte visité" xfId="13770" builtinId="9" hidden="1"/>
    <cellStyle name="Lien hypertexte visité" xfId="13772" builtinId="9" hidden="1"/>
    <cellStyle name="Lien hypertexte visité" xfId="13774" builtinId="9" hidden="1"/>
    <cellStyle name="Lien hypertexte visité" xfId="13776" builtinId="9" hidden="1"/>
    <cellStyle name="Lien hypertexte visité" xfId="13778" builtinId="9" hidden="1"/>
    <cellStyle name="Lien hypertexte visité" xfId="13780" builtinId="9" hidden="1"/>
    <cellStyle name="Lien hypertexte visité" xfId="13782" builtinId="9" hidden="1"/>
    <cellStyle name="Lien hypertexte visité" xfId="13784" builtinId="9" hidden="1"/>
    <cellStyle name="Lien hypertexte visité" xfId="13786" builtinId="9" hidden="1"/>
    <cellStyle name="Lien hypertexte visité" xfId="13788" builtinId="9" hidden="1"/>
    <cellStyle name="Lien hypertexte visité" xfId="13790" builtinId="9" hidden="1"/>
    <cellStyle name="Lien hypertexte visité" xfId="13792" builtinId="9" hidden="1"/>
    <cellStyle name="Lien hypertexte visité" xfId="13794" builtinId="9" hidden="1"/>
    <cellStyle name="Lien hypertexte visité" xfId="13796" builtinId="9" hidden="1"/>
    <cellStyle name="Lien hypertexte visité" xfId="13798" builtinId="9" hidden="1"/>
    <cellStyle name="Lien hypertexte visité" xfId="13800" builtinId="9" hidden="1"/>
    <cellStyle name="Lien hypertexte visité" xfId="13802" builtinId="9" hidden="1"/>
    <cellStyle name="Lien hypertexte visité" xfId="13804" builtinId="9" hidden="1"/>
    <cellStyle name="Lien hypertexte visité" xfId="13806" builtinId="9" hidden="1"/>
    <cellStyle name="Lien hypertexte visité" xfId="13808" builtinId="9" hidden="1"/>
    <cellStyle name="Lien hypertexte visité" xfId="13810" builtinId="9" hidden="1"/>
    <cellStyle name="Lien hypertexte visité" xfId="13812" builtinId="9" hidden="1"/>
    <cellStyle name="Lien hypertexte visité" xfId="13814" builtinId="9" hidden="1"/>
    <cellStyle name="Lien hypertexte visité" xfId="13816" builtinId="9" hidden="1"/>
    <cellStyle name="Lien hypertexte visité" xfId="13818" builtinId="9" hidden="1"/>
    <cellStyle name="Lien hypertexte visité" xfId="13820" builtinId="9" hidden="1"/>
    <cellStyle name="Lien hypertexte visité" xfId="13822" builtinId="9" hidden="1"/>
    <cellStyle name="Lien hypertexte visité" xfId="13824" builtinId="9" hidden="1"/>
    <cellStyle name="Lien hypertexte visité" xfId="13826" builtinId="9" hidden="1"/>
    <cellStyle name="Lien hypertexte visité" xfId="13828" builtinId="9" hidden="1"/>
    <cellStyle name="Lien hypertexte visité" xfId="13830" builtinId="9" hidden="1"/>
    <cellStyle name="Lien hypertexte visité" xfId="13832" builtinId="9" hidden="1"/>
    <cellStyle name="Lien hypertexte visité" xfId="13834" builtinId="9" hidden="1"/>
    <cellStyle name="Lien hypertexte visité" xfId="13836" builtinId="9" hidden="1"/>
    <cellStyle name="Lien hypertexte visité" xfId="13838" builtinId="9" hidden="1"/>
    <cellStyle name="Lien hypertexte visité" xfId="13840" builtinId="9" hidden="1"/>
    <cellStyle name="Lien hypertexte visité" xfId="13842" builtinId="9" hidden="1"/>
    <cellStyle name="Lien hypertexte visité" xfId="13844" builtinId="9" hidden="1"/>
    <cellStyle name="Lien hypertexte visité" xfId="13846" builtinId="9" hidden="1"/>
    <cellStyle name="Lien hypertexte visité" xfId="13848" builtinId="9" hidden="1"/>
    <cellStyle name="Lien hypertexte visité" xfId="13850" builtinId="9" hidden="1"/>
    <cellStyle name="Lien hypertexte visité" xfId="13852" builtinId="9" hidden="1"/>
    <cellStyle name="Lien hypertexte visité" xfId="13854" builtinId="9" hidden="1"/>
    <cellStyle name="Lien hypertexte visité" xfId="13856" builtinId="9" hidden="1"/>
    <cellStyle name="Lien hypertexte visité" xfId="13858" builtinId="9" hidden="1"/>
    <cellStyle name="Lien hypertexte visité" xfId="13860" builtinId="9" hidden="1"/>
    <cellStyle name="Lien hypertexte visité" xfId="13862" builtinId="9" hidden="1"/>
    <cellStyle name="Lien hypertexte visité" xfId="13864" builtinId="9" hidden="1"/>
    <cellStyle name="Lien hypertexte visité" xfId="13866" builtinId="9" hidden="1"/>
    <cellStyle name="Lien hypertexte visité" xfId="13868" builtinId="9" hidden="1"/>
    <cellStyle name="Lien hypertexte visité" xfId="13870" builtinId="9" hidden="1"/>
    <cellStyle name="Lien hypertexte visité" xfId="13872" builtinId="9" hidden="1"/>
    <cellStyle name="Lien hypertexte visité" xfId="13874" builtinId="9" hidden="1"/>
    <cellStyle name="Lien hypertexte visité" xfId="13876" builtinId="9" hidden="1"/>
    <cellStyle name="Lien hypertexte visité" xfId="13878" builtinId="9" hidden="1"/>
    <cellStyle name="Lien hypertexte visité" xfId="13880" builtinId="9" hidden="1"/>
    <cellStyle name="Lien hypertexte visité" xfId="13882" builtinId="9" hidden="1"/>
    <cellStyle name="Lien hypertexte visité" xfId="13884" builtinId="9" hidden="1"/>
    <cellStyle name="Lien hypertexte visité" xfId="13886" builtinId="9" hidden="1"/>
    <cellStyle name="Lien hypertexte visité" xfId="13888" builtinId="9" hidden="1"/>
    <cellStyle name="Lien hypertexte visité" xfId="13890" builtinId="9" hidden="1"/>
    <cellStyle name="Lien hypertexte visité" xfId="13892" builtinId="9" hidden="1"/>
    <cellStyle name="Lien hypertexte visité" xfId="13894" builtinId="9" hidden="1"/>
    <cellStyle name="Lien hypertexte visité" xfId="13896" builtinId="9" hidden="1"/>
    <cellStyle name="Lien hypertexte visité" xfId="13898" builtinId="9" hidden="1"/>
    <cellStyle name="Lien hypertexte visité" xfId="13900" builtinId="9" hidden="1"/>
    <cellStyle name="Lien hypertexte visité" xfId="13902" builtinId="9" hidden="1"/>
    <cellStyle name="Lien hypertexte visité" xfId="13904" builtinId="9" hidden="1"/>
    <cellStyle name="Lien hypertexte visité" xfId="13906" builtinId="9" hidden="1"/>
    <cellStyle name="Lien hypertexte visité" xfId="13908" builtinId="9" hidden="1"/>
    <cellStyle name="Lien hypertexte visité" xfId="13910" builtinId="9" hidden="1"/>
    <cellStyle name="Lien hypertexte visité" xfId="13912" builtinId="9" hidden="1"/>
    <cellStyle name="Lien hypertexte visité" xfId="13914" builtinId="9" hidden="1"/>
    <cellStyle name="Lien hypertexte visité" xfId="13916" builtinId="9" hidden="1"/>
    <cellStyle name="Lien hypertexte visité" xfId="13918" builtinId="9" hidden="1"/>
    <cellStyle name="Lien hypertexte visité" xfId="13920" builtinId="9" hidden="1"/>
    <cellStyle name="Lien hypertexte visité" xfId="13922" builtinId="9" hidden="1"/>
    <cellStyle name="Lien hypertexte visité" xfId="13924" builtinId="9" hidden="1"/>
    <cellStyle name="Lien hypertexte visité" xfId="13926" builtinId="9" hidden="1"/>
    <cellStyle name="Lien hypertexte visité" xfId="13928" builtinId="9" hidden="1"/>
    <cellStyle name="Lien hypertexte visité" xfId="13930" builtinId="9" hidden="1"/>
    <cellStyle name="Lien hypertexte visité" xfId="13932" builtinId="9" hidden="1"/>
    <cellStyle name="Lien hypertexte visité" xfId="13934" builtinId="9" hidden="1"/>
    <cellStyle name="Lien hypertexte visité" xfId="13936" builtinId="9" hidden="1"/>
    <cellStyle name="Lien hypertexte visité" xfId="13938" builtinId="9" hidden="1"/>
    <cellStyle name="Lien hypertexte visité" xfId="13940" builtinId="9" hidden="1"/>
    <cellStyle name="Lien hypertexte visité" xfId="13942" builtinId="9" hidden="1"/>
    <cellStyle name="Lien hypertexte visité" xfId="13944" builtinId="9" hidden="1"/>
    <cellStyle name="Lien hypertexte visité" xfId="13946" builtinId="9" hidden="1"/>
    <cellStyle name="Lien hypertexte visité" xfId="13948" builtinId="9" hidden="1"/>
    <cellStyle name="Lien hypertexte visité" xfId="13950" builtinId="9" hidden="1"/>
    <cellStyle name="Lien hypertexte visité" xfId="13952" builtinId="9" hidden="1"/>
    <cellStyle name="Lien hypertexte visité" xfId="13954" builtinId="9" hidden="1"/>
    <cellStyle name="Lien hypertexte visité" xfId="13956" builtinId="9" hidden="1"/>
    <cellStyle name="Lien hypertexte visité" xfId="13958" builtinId="9" hidden="1"/>
    <cellStyle name="Lien hypertexte visité" xfId="13960" builtinId="9" hidden="1"/>
    <cellStyle name="Lien hypertexte visité" xfId="13962" builtinId="9" hidden="1"/>
    <cellStyle name="Lien hypertexte visité" xfId="13964" builtinId="9" hidden="1"/>
    <cellStyle name="Lien hypertexte visité" xfId="13966" builtinId="9" hidden="1"/>
    <cellStyle name="Lien hypertexte visité" xfId="13968" builtinId="9" hidden="1"/>
    <cellStyle name="Lien hypertexte visité" xfId="13970" builtinId="9" hidden="1"/>
    <cellStyle name="Lien hypertexte visité" xfId="13972" builtinId="9" hidden="1"/>
    <cellStyle name="Lien hypertexte visité" xfId="13974" builtinId="9" hidden="1"/>
    <cellStyle name="Lien hypertexte visité" xfId="13976" builtinId="9" hidden="1"/>
    <cellStyle name="Lien hypertexte visité" xfId="13978" builtinId="9" hidden="1"/>
    <cellStyle name="Lien hypertexte visité" xfId="13980" builtinId="9" hidden="1"/>
    <cellStyle name="Lien hypertexte visité" xfId="13982" builtinId="9" hidden="1"/>
    <cellStyle name="Lien hypertexte visité" xfId="13984" builtinId="9" hidden="1"/>
    <cellStyle name="Lien hypertexte visité" xfId="13986" builtinId="9" hidden="1"/>
    <cellStyle name="Lien hypertexte visité" xfId="13988" builtinId="9" hidden="1"/>
    <cellStyle name="Lien hypertexte visité" xfId="13990" builtinId="9" hidden="1"/>
    <cellStyle name="Lien hypertexte visité" xfId="13992" builtinId="9" hidden="1"/>
    <cellStyle name="Lien hypertexte visité" xfId="13994" builtinId="9" hidden="1"/>
    <cellStyle name="Lien hypertexte visité" xfId="13996" builtinId="9" hidden="1"/>
    <cellStyle name="Lien hypertexte visité" xfId="13998" builtinId="9" hidden="1"/>
    <cellStyle name="Lien hypertexte visité" xfId="14000" builtinId="9" hidden="1"/>
    <cellStyle name="Lien hypertexte visité" xfId="14002" builtinId="9" hidden="1"/>
    <cellStyle name="Lien hypertexte visité" xfId="14004" builtinId="9" hidden="1"/>
    <cellStyle name="Lien hypertexte visité" xfId="14006" builtinId="9" hidden="1"/>
    <cellStyle name="Lien hypertexte visité" xfId="14008" builtinId="9" hidden="1"/>
    <cellStyle name="Lien hypertexte visité" xfId="14010" builtinId="9" hidden="1"/>
    <cellStyle name="Lien hypertexte visité" xfId="14012" builtinId="9" hidden="1"/>
    <cellStyle name="Lien hypertexte visité" xfId="14014" builtinId="9" hidden="1"/>
    <cellStyle name="Lien hypertexte visité" xfId="14016" builtinId="9" hidden="1"/>
    <cellStyle name="Lien hypertexte visité" xfId="14018" builtinId="9" hidden="1"/>
    <cellStyle name="Lien hypertexte visité" xfId="14020" builtinId="9" hidden="1"/>
    <cellStyle name="Lien hypertexte visité" xfId="14022" builtinId="9" hidden="1"/>
    <cellStyle name="Lien hypertexte visité" xfId="14024" builtinId="9" hidden="1"/>
    <cellStyle name="Lien hypertexte visité" xfId="14026" builtinId="9" hidden="1"/>
    <cellStyle name="Lien hypertexte visité" xfId="14028" builtinId="9" hidden="1"/>
    <cellStyle name="Lien hypertexte visité" xfId="14030" builtinId="9" hidden="1"/>
    <cellStyle name="Lien hypertexte visité" xfId="14032" builtinId="9" hidden="1"/>
    <cellStyle name="Lien hypertexte visité" xfId="14034" builtinId="9" hidden="1"/>
    <cellStyle name="Lien hypertexte visité" xfId="14036" builtinId="9" hidden="1"/>
    <cellStyle name="Lien hypertexte visité" xfId="14038" builtinId="9" hidden="1"/>
    <cellStyle name="Lien hypertexte visité" xfId="14040" builtinId="9" hidden="1"/>
    <cellStyle name="Lien hypertexte visité" xfId="14042" builtinId="9" hidden="1"/>
    <cellStyle name="Lien hypertexte visité" xfId="14044" builtinId="9" hidden="1"/>
    <cellStyle name="Lien hypertexte visité" xfId="14046" builtinId="9" hidden="1"/>
    <cellStyle name="Lien hypertexte visité" xfId="14048" builtinId="9" hidden="1"/>
    <cellStyle name="Lien hypertexte visité" xfId="14050" builtinId="9" hidden="1"/>
    <cellStyle name="Lien hypertexte visité" xfId="14052" builtinId="9" hidden="1"/>
    <cellStyle name="Lien hypertexte visité" xfId="14054" builtinId="9" hidden="1"/>
    <cellStyle name="Lien hypertexte visité" xfId="14056" builtinId="9" hidden="1"/>
    <cellStyle name="Lien hypertexte visité" xfId="14058" builtinId="9" hidden="1"/>
    <cellStyle name="Lien hypertexte visité" xfId="14060" builtinId="9" hidden="1"/>
    <cellStyle name="Lien hypertexte visité" xfId="14062" builtinId="9" hidden="1"/>
    <cellStyle name="Lien hypertexte visité" xfId="14064" builtinId="9" hidden="1"/>
    <cellStyle name="Lien hypertexte visité" xfId="14066" builtinId="9" hidden="1"/>
    <cellStyle name="Lien hypertexte visité" xfId="14068" builtinId="9" hidden="1"/>
    <cellStyle name="Lien hypertexte visité" xfId="14070" builtinId="9" hidden="1"/>
    <cellStyle name="Lien hypertexte visité" xfId="14072" builtinId="9" hidden="1"/>
    <cellStyle name="Lien hypertexte visité" xfId="14074" builtinId="9" hidden="1"/>
    <cellStyle name="Lien hypertexte visité" xfId="14076" builtinId="9" hidden="1"/>
    <cellStyle name="Lien hypertexte visité" xfId="14078" builtinId="9" hidden="1"/>
    <cellStyle name="Lien hypertexte visité" xfId="14080" builtinId="9" hidden="1"/>
    <cellStyle name="Lien hypertexte visité" xfId="14082" builtinId="9" hidden="1"/>
    <cellStyle name="Lien hypertexte visité" xfId="14084" builtinId="9" hidden="1"/>
    <cellStyle name="Lien hypertexte visité" xfId="14086" builtinId="9" hidden="1"/>
    <cellStyle name="Lien hypertexte visité" xfId="14088" builtinId="9" hidden="1"/>
    <cellStyle name="Lien hypertexte visité" xfId="14090" builtinId="9" hidden="1"/>
    <cellStyle name="Lien hypertexte visité" xfId="14092" builtinId="9" hidden="1"/>
    <cellStyle name="Lien hypertexte visité" xfId="14094" builtinId="9" hidden="1"/>
    <cellStyle name="Lien hypertexte visité" xfId="14096" builtinId="9" hidden="1"/>
    <cellStyle name="Lien hypertexte visité" xfId="14098" builtinId="9" hidden="1"/>
    <cellStyle name="Lien hypertexte visité" xfId="14100" builtinId="9" hidden="1"/>
    <cellStyle name="Lien hypertexte visité" xfId="14102" builtinId="9" hidden="1"/>
    <cellStyle name="Lien hypertexte visité" xfId="14104" builtinId="9" hidden="1"/>
    <cellStyle name="Lien hypertexte visité" xfId="14106" builtinId="9" hidden="1"/>
    <cellStyle name="Lien hypertexte visité" xfId="14108" builtinId="9" hidden="1"/>
    <cellStyle name="Lien hypertexte visité" xfId="14110" builtinId="9" hidden="1"/>
    <cellStyle name="Lien hypertexte visité" xfId="14112" builtinId="9" hidden="1"/>
    <cellStyle name="Lien hypertexte visité" xfId="14114" builtinId="9" hidden="1"/>
    <cellStyle name="Lien hypertexte visité" xfId="14116" builtinId="9" hidden="1"/>
    <cellStyle name="Lien hypertexte visité" xfId="14118" builtinId="9" hidden="1"/>
    <cellStyle name="Lien hypertexte visité" xfId="14120" builtinId="9" hidden="1"/>
    <cellStyle name="Lien hypertexte visité" xfId="14122" builtinId="9" hidden="1"/>
    <cellStyle name="Lien hypertexte visité" xfId="14124" builtinId="9" hidden="1"/>
    <cellStyle name="Lien hypertexte visité" xfId="14126" builtinId="9" hidden="1"/>
    <cellStyle name="Lien hypertexte visité" xfId="14128" builtinId="9" hidden="1"/>
    <cellStyle name="Lien hypertexte visité" xfId="14130" builtinId="9" hidden="1"/>
    <cellStyle name="Lien hypertexte visité" xfId="14132" builtinId="9" hidden="1"/>
    <cellStyle name="Lien hypertexte visité" xfId="14134" builtinId="9" hidden="1"/>
    <cellStyle name="Lien hypertexte visité" xfId="14136" builtinId="9" hidden="1"/>
    <cellStyle name="Lien hypertexte visité" xfId="14138" builtinId="9" hidden="1"/>
    <cellStyle name="Lien hypertexte visité" xfId="14140" builtinId="9" hidden="1"/>
    <cellStyle name="Lien hypertexte visité" xfId="14142" builtinId="9" hidden="1"/>
    <cellStyle name="Lien hypertexte visité" xfId="14144" builtinId="9" hidden="1"/>
    <cellStyle name="Lien hypertexte visité" xfId="14146" builtinId="9" hidden="1"/>
    <cellStyle name="Lien hypertexte visité" xfId="14148" builtinId="9" hidden="1"/>
    <cellStyle name="Lien hypertexte visité" xfId="14150" builtinId="9" hidden="1"/>
    <cellStyle name="Lien hypertexte visité" xfId="14152" builtinId="9" hidden="1"/>
    <cellStyle name="Lien hypertexte visité" xfId="14154" builtinId="9" hidden="1"/>
    <cellStyle name="Lien hypertexte visité" xfId="14156" builtinId="9" hidden="1"/>
    <cellStyle name="Lien hypertexte visité" xfId="14158" builtinId="9" hidden="1"/>
    <cellStyle name="Lien hypertexte visité" xfId="14160" builtinId="9" hidden="1"/>
    <cellStyle name="Lien hypertexte visité" xfId="14162" builtinId="9" hidden="1"/>
    <cellStyle name="Lien hypertexte visité" xfId="14164" builtinId="9" hidden="1"/>
    <cellStyle name="Lien hypertexte visité" xfId="14166" builtinId="9" hidden="1"/>
    <cellStyle name="Lien hypertexte visité" xfId="14168" builtinId="9" hidden="1"/>
    <cellStyle name="Lien hypertexte visité" xfId="14170" builtinId="9" hidden="1"/>
    <cellStyle name="Lien hypertexte visité" xfId="14172" builtinId="9" hidden="1"/>
    <cellStyle name="Lien hypertexte visité" xfId="14174" builtinId="9" hidden="1"/>
    <cellStyle name="Lien hypertexte visité" xfId="14176" builtinId="9" hidden="1"/>
    <cellStyle name="Lien hypertexte visité" xfId="14178" builtinId="9" hidden="1"/>
    <cellStyle name="Lien hypertexte visité" xfId="14180" builtinId="9" hidden="1"/>
    <cellStyle name="Lien hypertexte visité" xfId="14182" builtinId="9" hidden="1"/>
    <cellStyle name="Lien hypertexte visité" xfId="14184" builtinId="9" hidden="1"/>
    <cellStyle name="Lien hypertexte visité" xfId="14186" builtinId="9" hidden="1"/>
    <cellStyle name="Lien hypertexte visité" xfId="14188" builtinId="9" hidden="1"/>
    <cellStyle name="Lien hypertexte visité" xfId="14190" builtinId="9" hidden="1"/>
    <cellStyle name="Lien hypertexte visité" xfId="14192" builtinId="9" hidden="1"/>
    <cellStyle name="Lien hypertexte visité" xfId="14194" builtinId="9" hidden="1"/>
    <cellStyle name="Lien hypertexte visité" xfId="14196" builtinId="9" hidden="1"/>
    <cellStyle name="Lien hypertexte visité" xfId="14198" builtinId="9" hidden="1"/>
    <cellStyle name="Lien hypertexte visité" xfId="14200" builtinId="9" hidden="1"/>
    <cellStyle name="Lien hypertexte visité" xfId="14202" builtinId="9" hidden="1"/>
    <cellStyle name="Lien hypertexte visité" xfId="14204" builtinId="9" hidden="1"/>
    <cellStyle name="Lien hypertexte visité" xfId="14206" builtinId="9" hidden="1"/>
    <cellStyle name="Lien hypertexte visité" xfId="14208" builtinId="9" hidden="1"/>
    <cellStyle name="Lien hypertexte visité" xfId="14210" builtinId="9" hidden="1"/>
    <cellStyle name="Lien hypertexte visité" xfId="14212" builtinId="9" hidden="1"/>
    <cellStyle name="Lien hypertexte visité" xfId="14214" builtinId="9" hidden="1"/>
    <cellStyle name="Lien hypertexte visité" xfId="14216" builtinId="9" hidden="1"/>
    <cellStyle name="Lien hypertexte visité" xfId="14218" builtinId="9" hidden="1"/>
    <cellStyle name="Lien hypertexte visité" xfId="14220" builtinId="9" hidden="1"/>
    <cellStyle name="Lien hypertexte visité" xfId="14222" builtinId="9" hidden="1"/>
    <cellStyle name="Lien hypertexte visité" xfId="14224" builtinId="9" hidden="1"/>
    <cellStyle name="Lien hypertexte visité" xfId="14226" builtinId="9" hidden="1"/>
    <cellStyle name="Lien hypertexte visité" xfId="14228" builtinId="9" hidden="1"/>
    <cellStyle name="Lien hypertexte visité" xfId="14230" builtinId="9" hidden="1"/>
    <cellStyle name="Lien hypertexte visité" xfId="14232" builtinId="9" hidden="1"/>
    <cellStyle name="Lien hypertexte visité" xfId="14234" builtinId="9" hidden="1"/>
    <cellStyle name="Lien hypertexte visité" xfId="14236" builtinId="9" hidden="1"/>
    <cellStyle name="Lien hypertexte visité" xfId="14238" builtinId="9" hidden="1"/>
    <cellStyle name="Lien hypertexte visité" xfId="14240" builtinId="9" hidden="1"/>
    <cellStyle name="Lien hypertexte visité" xfId="14242" builtinId="9" hidden="1"/>
    <cellStyle name="Lien hypertexte visité" xfId="14244" builtinId="9" hidden="1"/>
    <cellStyle name="Lien hypertexte visité" xfId="14246" builtinId="9" hidden="1"/>
    <cellStyle name="Lien hypertexte visité" xfId="14248" builtinId="9" hidden="1"/>
    <cellStyle name="Lien hypertexte visité" xfId="14250" builtinId="9" hidden="1"/>
    <cellStyle name="Lien hypertexte visité" xfId="14252" builtinId="9" hidden="1"/>
    <cellStyle name="Lien hypertexte visité" xfId="14254" builtinId="9" hidden="1"/>
    <cellStyle name="Lien hypertexte visité" xfId="14256" builtinId="9" hidden="1"/>
    <cellStyle name="Lien hypertexte visité" xfId="14258" builtinId="9" hidden="1"/>
    <cellStyle name="Lien hypertexte visité" xfId="14260" builtinId="9" hidden="1"/>
    <cellStyle name="Lien hypertexte visité" xfId="14262" builtinId="9" hidden="1"/>
    <cellStyle name="Lien hypertexte visité" xfId="14264" builtinId="9" hidden="1"/>
    <cellStyle name="Lien hypertexte visité" xfId="14266" builtinId="9" hidden="1"/>
    <cellStyle name="Lien hypertexte visité" xfId="14268" builtinId="9" hidden="1"/>
    <cellStyle name="Lien hypertexte visité" xfId="14270" builtinId="9" hidden="1"/>
    <cellStyle name="Lien hypertexte visité" xfId="14272" builtinId="9" hidden="1"/>
    <cellStyle name="Lien hypertexte visité" xfId="14274" builtinId="9" hidden="1"/>
    <cellStyle name="Lien hypertexte visité" xfId="14276" builtinId="9" hidden="1"/>
    <cellStyle name="Lien hypertexte visité" xfId="14278" builtinId="9" hidden="1"/>
    <cellStyle name="Lien hypertexte visité" xfId="14280" builtinId="9" hidden="1"/>
    <cellStyle name="Lien hypertexte visité" xfId="14282" builtinId="9" hidden="1"/>
    <cellStyle name="Lien hypertexte visité" xfId="14284" builtinId="9" hidden="1"/>
    <cellStyle name="Lien hypertexte visité" xfId="14286" builtinId="9" hidden="1"/>
    <cellStyle name="Lien hypertexte visité" xfId="14288" builtinId="9" hidden="1"/>
    <cellStyle name="Lien hypertexte visité" xfId="14290" builtinId="9" hidden="1"/>
    <cellStyle name="Lien hypertexte visité" xfId="14292" builtinId="9" hidden="1"/>
    <cellStyle name="Lien hypertexte visité" xfId="14294" builtinId="9" hidden="1"/>
    <cellStyle name="Lien hypertexte visité" xfId="14296" builtinId="9" hidden="1"/>
    <cellStyle name="Lien hypertexte visité" xfId="14298" builtinId="9" hidden="1"/>
    <cellStyle name="Lien hypertexte visité" xfId="14300" builtinId="9" hidden="1"/>
    <cellStyle name="Lien hypertexte visité" xfId="14302" builtinId="9" hidden="1"/>
    <cellStyle name="Lien hypertexte visité" xfId="14304" builtinId="9" hidden="1"/>
    <cellStyle name="Lien hypertexte visité" xfId="14306" builtinId="9" hidden="1"/>
    <cellStyle name="Lien hypertexte visité" xfId="14308" builtinId="9" hidden="1"/>
    <cellStyle name="Lien hypertexte visité" xfId="14310" builtinId="9" hidden="1"/>
    <cellStyle name="Lien hypertexte visité" xfId="14312" builtinId="9" hidden="1"/>
    <cellStyle name="Lien hypertexte visité" xfId="14314" builtinId="9" hidden="1"/>
    <cellStyle name="Lien hypertexte visité" xfId="14316" builtinId="9" hidden="1"/>
    <cellStyle name="Lien hypertexte visité" xfId="14318" builtinId="9" hidden="1"/>
    <cellStyle name="Lien hypertexte visité" xfId="14320" builtinId="9" hidden="1"/>
    <cellStyle name="Lien hypertexte visité" xfId="14322" builtinId="9" hidden="1"/>
    <cellStyle name="Lien hypertexte visité" xfId="14324" builtinId="9" hidden="1"/>
    <cellStyle name="Lien hypertexte visité" xfId="14326" builtinId="9" hidden="1"/>
    <cellStyle name="Lien hypertexte visité" xfId="14328" builtinId="9" hidden="1"/>
    <cellStyle name="Lien hypertexte visité" xfId="14330" builtinId="9" hidden="1"/>
    <cellStyle name="Lien hypertexte visité" xfId="14332" builtinId="9" hidden="1"/>
    <cellStyle name="Lien hypertexte visité" xfId="14334" builtinId="9" hidden="1"/>
    <cellStyle name="Lien hypertexte visité" xfId="14336" builtinId="9" hidden="1"/>
    <cellStyle name="Lien hypertexte visité" xfId="14338" builtinId="9" hidden="1"/>
    <cellStyle name="Lien hypertexte visité" xfId="14340" builtinId="9" hidden="1"/>
    <cellStyle name="Lien hypertexte visité" xfId="14342" builtinId="9" hidden="1"/>
    <cellStyle name="Lien hypertexte visité" xfId="14344" builtinId="9" hidden="1"/>
    <cellStyle name="Lien hypertexte visité" xfId="14346" builtinId="9" hidden="1"/>
    <cellStyle name="Lien hypertexte visité" xfId="14348" builtinId="9" hidden="1"/>
    <cellStyle name="Lien hypertexte visité" xfId="14350" builtinId="9" hidden="1"/>
    <cellStyle name="Lien hypertexte visité" xfId="14352" builtinId="9" hidden="1"/>
    <cellStyle name="Lien hypertexte visité" xfId="14354" builtinId="9" hidden="1"/>
    <cellStyle name="Lien hypertexte visité" xfId="14356" builtinId="9" hidden="1"/>
    <cellStyle name="Lien hypertexte visité" xfId="14358" builtinId="9" hidden="1"/>
    <cellStyle name="Lien hypertexte visité" xfId="14360" builtinId="9" hidden="1"/>
    <cellStyle name="Lien hypertexte visité" xfId="14362" builtinId="9" hidden="1"/>
    <cellStyle name="Lien hypertexte visité" xfId="14364" builtinId="9" hidden="1"/>
    <cellStyle name="Lien hypertexte visité" xfId="14366" builtinId="9" hidden="1"/>
    <cellStyle name="Lien hypertexte visité" xfId="14368" builtinId="9" hidden="1"/>
    <cellStyle name="Lien hypertexte visité" xfId="14370" builtinId="9" hidden="1"/>
    <cellStyle name="Lien hypertexte visité" xfId="14372" builtinId="9" hidden="1"/>
    <cellStyle name="Lien hypertexte visité" xfId="14374" builtinId="9" hidden="1"/>
    <cellStyle name="Lien hypertexte visité" xfId="14376" builtinId="9" hidden="1"/>
    <cellStyle name="Lien hypertexte visité" xfId="14378" builtinId="9" hidden="1"/>
    <cellStyle name="Lien hypertexte visité" xfId="14380" builtinId="9" hidden="1"/>
    <cellStyle name="Lien hypertexte visité" xfId="14382" builtinId="9" hidden="1"/>
    <cellStyle name="Lien hypertexte visité" xfId="14384" builtinId="9" hidden="1"/>
    <cellStyle name="Lien hypertexte visité" xfId="14386" builtinId="9" hidden="1"/>
    <cellStyle name="Lien hypertexte visité" xfId="14388" builtinId="9" hidden="1"/>
    <cellStyle name="Lien hypertexte visité" xfId="14390" builtinId="9" hidden="1"/>
    <cellStyle name="Lien hypertexte visité" xfId="14392" builtinId="9" hidden="1"/>
    <cellStyle name="Lien hypertexte visité" xfId="14394" builtinId="9" hidden="1"/>
    <cellStyle name="Lien hypertexte visité" xfId="14396" builtinId="9" hidden="1"/>
    <cellStyle name="Lien hypertexte visité" xfId="14398" builtinId="9" hidden="1"/>
    <cellStyle name="Lien hypertexte visité" xfId="14400" builtinId="9" hidden="1"/>
    <cellStyle name="Lien hypertexte visité" xfId="14402" builtinId="9" hidden="1"/>
    <cellStyle name="Lien hypertexte visité" xfId="14404" builtinId="9" hidden="1"/>
    <cellStyle name="Lien hypertexte visité" xfId="14406" builtinId="9" hidden="1"/>
    <cellStyle name="Lien hypertexte visité" xfId="14408" builtinId="9" hidden="1"/>
    <cellStyle name="Lien hypertexte visité" xfId="14410" builtinId="9" hidden="1"/>
    <cellStyle name="Lien hypertexte visité" xfId="14412" builtinId="9" hidden="1"/>
    <cellStyle name="Lien hypertexte visité" xfId="14414" builtinId="9" hidden="1"/>
    <cellStyle name="Lien hypertexte visité" xfId="14416" builtinId="9" hidden="1"/>
    <cellStyle name="Lien hypertexte visité" xfId="14418" builtinId="9" hidden="1"/>
    <cellStyle name="Lien hypertexte visité" xfId="14420" builtinId="9" hidden="1"/>
    <cellStyle name="Lien hypertexte visité" xfId="14422" builtinId="9" hidden="1"/>
    <cellStyle name="Lien hypertexte visité" xfId="14424" builtinId="9" hidden="1"/>
    <cellStyle name="Lien hypertexte visité" xfId="14426" builtinId="9" hidden="1"/>
    <cellStyle name="Lien hypertexte visité" xfId="14428" builtinId="9" hidden="1"/>
    <cellStyle name="Lien hypertexte visité" xfId="14430" builtinId="9" hidden="1"/>
    <cellStyle name="Lien hypertexte visité" xfId="14432" builtinId="9" hidden="1"/>
    <cellStyle name="Lien hypertexte visité" xfId="14434" builtinId="9" hidden="1"/>
    <cellStyle name="Lien hypertexte visité" xfId="14436" builtinId="9" hidden="1"/>
    <cellStyle name="Lien hypertexte visité" xfId="14438" builtinId="9" hidden="1"/>
    <cellStyle name="Lien hypertexte visité" xfId="14440" builtinId="9" hidden="1"/>
    <cellStyle name="Lien hypertexte visité" xfId="14442" builtinId="9" hidden="1"/>
    <cellStyle name="Lien hypertexte visité" xfId="14444" builtinId="9" hidden="1"/>
    <cellStyle name="Lien hypertexte visité" xfId="14446" builtinId="9" hidden="1"/>
    <cellStyle name="Lien hypertexte visité" xfId="14448" builtinId="9" hidden="1"/>
    <cellStyle name="Lien hypertexte visité" xfId="14450" builtinId="9" hidden="1"/>
    <cellStyle name="Lien hypertexte visité" xfId="14452" builtinId="9" hidden="1"/>
    <cellStyle name="Lien hypertexte visité" xfId="14454" builtinId="9" hidden="1"/>
    <cellStyle name="Lien hypertexte visité" xfId="14456" builtinId="9" hidden="1"/>
    <cellStyle name="Lien hypertexte visité" xfId="14458" builtinId="9" hidden="1"/>
    <cellStyle name="Lien hypertexte visité" xfId="14460" builtinId="9" hidden="1"/>
    <cellStyle name="Lien hypertexte visité" xfId="14462" builtinId="9" hidden="1"/>
    <cellStyle name="Lien hypertexte visité" xfId="14464" builtinId="9" hidden="1"/>
    <cellStyle name="Lien hypertexte visité" xfId="14466" builtinId="9" hidden="1"/>
    <cellStyle name="Lien hypertexte visité" xfId="14468" builtinId="9" hidden="1"/>
    <cellStyle name="Lien hypertexte visité" xfId="14470" builtinId="9" hidden="1"/>
    <cellStyle name="Lien hypertexte visité" xfId="14472" builtinId="9" hidden="1"/>
    <cellStyle name="Lien hypertexte visité" xfId="14474" builtinId="9" hidden="1"/>
    <cellStyle name="Lien hypertexte visité" xfId="14476" builtinId="9" hidden="1"/>
    <cellStyle name="Lien hypertexte visité" xfId="14478" builtinId="9" hidden="1"/>
    <cellStyle name="Lien hypertexte visité" xfId="14480" builtinId="9" hidden="1"/>
    <cellStyle name="Lien hypertexte visité" xfId="14482" builtinId="9" hidden="1"/>
    <cellStyle name="Lien hypertexte visité" xfId="14484" builtinId="9" hidden="1"/>
    <cellStyle name="Lien hypertexte visité" xfId="14486" builtinId="9" hidden="1"/>
    <cellStyle name="Lien hypertexte visité" xfId="14488" builtinId="9" hidden="1"/>
    <cellStyle name="Lien hypertexte visité" xfId="14490" builtinId="9" hidden="1"/>
    <cellStyle name="Lien hypertexte visité" xfId="14492" builtinId="9" hidden="1"/>
    <cellStyle name="Lien hypertexte visité" xfId="14494" builtinId="9" hidden="1"/>
    <cellStyle name="Lien hypertexte visité" xfId="14496" builtinId="9" hidden="1"/>
    <cellStyle name="Lien hypertexte visité" xfId="14498" builtinId="9" hidden="1"/>
    <cellStyle name="Lien hypertexte visité" xfId="14500" builtinId="9" hidden="1"/>
    <cellStyle name="Lien hypertexte visité" xfId="14502" builtinId="9" hidden="1"/>
    <cellStyle name="Lien hypertexte visité" xfId="14504" builtinId="9" hidden="1"/>
    <cellStyle name="Lien hypertexte visité" xfId="14506" builtinId="9" hidden="1"/>
    <cellStyle name="Lien hypertexte visité" xfId="14508" builtinId="9" hidden="1"/>
    <cellStyle name="Lien hypertexte visité" xfId="14510" builtinId="9" hidden="1"/>
    <cellStyle name="Lien hypertexte visité" xfId="14512" builtinId="9" hidden="1"/>
    <cellStyle name="Lien hypertexte visité" xfId="14514" builtinId="9" hidden="1"/>
    <cellStyle name="Lien hypertexte visité" xfId="14516" builtinId="9" hidden="1"/>
    <cellStyle name="Lien hypertexte visité" xfId="14518" builtinId="9" hidden="1"/>
    <cellStyle name="Lien hypertexte visité" xfId="14520" builtinId="9" hidden="1"/>
    <cellStyle name="Lien hypertexte visité" xfId="14522" builtinId="9" hidden="1"/>
    <cellStyle name="Lien hypertexte visité" xfId="14524" builtinId="9" hidden="1"/>
    <cellStyle name="Lien hypertexte visité" xfId="14526" builtinId="9" hidden="1"/>
    <cellStyle name="Lien hypertexte visité" xfId="14528" builtinId="9" hidden="1"/>
    <cellStyle name="Lien hypertexte visité" xfId="14530" builtinId="9" hidden="1"/>
    <cellStyle name="Lien hypertexte visité" xfId="14532" builtinId="9" hidden="1"/>
    <cellStyle name="Lien hypertexte visité" xfId="14534" builtinId="9" hidden="1"/>
    <cellStyle name="Lien hypertexte visité" xfId="14536" builtinId="9" hidden="1"/>
    <cellStyle name="Lien hypertexte visité" xfId="14538" builtinId="9" hidden="1"/>
    <cellStyle name="Lien hypertexte visité" xfId="14540" builtinId="9" hidden="1"/>
    <cellStyle name="Lien hypertexte visité" xfId="14542" builtinId="9" hidden="1"/>
    <cellStyle name="Lien hypertexte visité" xfId="14544" builtinId="9" hidden="1"/>
    <cellStyle name="Lien hypertexte visité" xfId="14546" builtinId="9" hidden="1"/>
    <cellStyle name="Lien hypertexte visité" xfId="14548" builtinId="9" hidden="1"/>
    <cellStyle name="Lien hypertexte visité" xfId="14550" builtinId="9" hidden="1"/>
    <cellStyle name="Lien hypertexte visité" xfId="14552" builtinId="9" hidden="1"/>
    <cellStyle name="Lien hypertexte visité" xfId="14554" builtinId="9" hidden="1"/>
    <cellStyle name="Lien hypertexte visité" xfId="14556" builtinId="9" hidden="1"/>
    <cellStyle name="Lien hypertexte visité" xfId="14558" builtinId="9" hidden="1"/>
    <cellStyle name="Lien hypertexte visité" xfId="14560" builtinId="9" hidden="1"/>
    <cellStyle name="Lien hypertexte visité" xfId="14562" builtinId="9" hidden="1"/>
    <cellStyle name="Lien hypertexte visité" xfId="14564" builtinId="9" hidden="1"/>
    <cellStyle name="Lien hypertexte visité" xfId="14566" builtinId="9" hidden="1"/>
    <cellStyle name="Lien hypertexte visité" xfId="14568" builtinId="9" hidden="1"/>
    <cellStyle name="Lien hypertexte visité" xfId="14570" builtinId="9" hidden="1"/>
    <cellStyle name="Lien hypertexte visité" xfId="14572" builtinId="9" hidden="1"/>
    <cellStyle name="Lien hypertexte visité" xfId="14574" builtinId="9" hidden="1"/>
    <cellStyle name="Lien hypertexte visité" xfId="14576" builtinId="9" hidden="1"/>
    <cellStyle name="Lien hypertexte visité" xfId="14578" builtinId="9" hidden="1"/>
    <cellStyle name="Lien hypertexte visité" xfId="14580" builtinId="9" hidden="1"/>
    <cellStyle name="Lien hypertexte visité" xfId="14582" builtinId="9" hidden="1"/>
    <cellStyle name="Lien hypertexte visité" xfId="14584" builtinId="9" hidden="1"/>
    <cellStyle name="Lien hypertexte visité" xfId="14586" builtinId="9" hidden="1"/>
    <cellStyle name="Lien hypertexte visité" xfId="14588" builtinId="9" hidden="1"/>
    <cellStyle name="Lien hypertexte visité" xfId="14590" builtinId="9" hidden="1"/>
    <cellStyle name="Lien hypertexte visité" xfId="14592" builtinId="9" hidden="1"/>
    <cellStyle name="Lien hypertexte visité" xfId="14594" builtinId="9" hidden="1"/>
    <cellStyle name="Lien hypertexte visité" xfId="14596" builtinId="9" hidden="1"/>
    <cellStyle name="Lien hypertexte visité" xfId="14598" builtinId="9" hidden="1"/>
    <cellStyle name="Lien hypertexte visité" xfId="14600" builtinId="9" hidden="1"/>
    <cellStyle name="Lien hypertexte visité" xfId="14602" builtinId="9" hidden="1"/>
    <cellStyle name="Lien hypertexte visité" xfId="14604" builtinId="9" hidden="1"/>
    <cellStyle name="Lien hypertexte visité" xfId="14606" builtinId="9" hidden="1"/>
    <cellStyle name="Lien hypertexte visité" xfId="14608" builtinId="9" hidden="1"/>
    <cellStyle name="Lien hypertexte visité" xfId="14610" builtinId="9" hidden="1"/>
    <cellStyle name="Lien hypertexte visité" xfId="14612" builtinId="9" hidden="1"/>
    <cellStyle name="Lien hypertexte visité" xfId="14614" builtinId="9" hidden="1"/>
    <cellStyle name="Lien hypertexte visité" xfId="14616" builtinId="9" hidden="1"/>
    <cellStyle name="Lien hypertexte visité" xfId="14618" builtinId="9" hidden="1"/>
    <cellStyle name="Lien hypertexte visité" xfId="14620" builtinId="9" hidden="1"/>
    <cellStyle name="Lien hypertexte visité" xfId="14622" builtinId="9" hidden="1"/>
    <cellStyle name="Lien hypertexte visité" xfId="14624" builtinId="9" hidden="1"/>
    <cellStyle name="Lien hypertexte visité" xfId="14626" builtinId="9" hidden="1"/>
    <cellStyle name="Lien hypertexte visité" xfId="14628" builtinId="9" hidden="1"/>
    <cellStyle name="Lien hypertexte visité" xfId="14630" builtinId="9" hidden="1"/>
    <cellStyle name="Lien hypertexte visité" xfId="14632" builtinId="9" hidden="1"/>
    <cellStyle name="Lien hypertexte visité" xfId="14634" builtinId="9" hidden="1"/>
    <cellStyle name="Lien hypertexte visité" xfId="14636" builtinId="9" hidden="1"/>
    <cellStyle name="Lien hypertexte visité" xfId="14638" builtinId="9" hidden="1"/>
    <cellStyle name="Lien hypertexte visité" xfId="14640" builtinId="9" hidden="1"/>
    <cellStyle name="Lien hypertexte visité" xfId="14642" builtinId="9" hidden="1"/>
    <cellStyle name="Lien hypertexte visité" xfId="14644" builtinId="9" hidden="1"/>
    <cellStyle name="Lien hypertexte visité" xfId="14646" builtinId="9" hidden="1"/>
    <cellStyle name="Lien hypertexte visité" xfId="14648" builtinId="9" hidden="1"/>
    <cellStyle name="Lien hypertexte visité" xfId="14650" builtinId="9" hidden="1"/>
    <cellStyle name="Lien hypertexte visité" xfId="14652" builtinId="9" hidden="1"/>
    <cellStyle name="Lien hypertexte visité" xfId="14654" builtinId="9" hidden="1"/>
    <cellStyle name="Lien hypertexte visité" xfId="14656" builtinId="9" hidden="1"/>
    <cellStyle name="Lien hypertexte visité" xfId="14658" builtinId="9" hidden="1"/>
    <cellStyle name="Lien hypertexte visité" xfId="14660" builtinId="9" hidden="1"/>
    <cellStyle name="Lien hypertexte visité" xfId="14662" builtinId="9" hidden="1"/>
    <cellStyle name="Lien hypertexte visité" xfId="14664" builtinId="9" hidden="1"/>
    <cellStyle name="Lien hypertexte visité" xfId="14666" builtinId="9" hidden="1"/>
    <cellStyle name="Lien hypertexte visité" xfId="14668" builtinId="9" hidden="1"/>
    <cellStyle name="Lien hypertexte visité" xfId="14670" builtinId="9" hidden="1"/>
    <cellStyle name="Lien hypertexte visité" xfId="14672" builtinId="9" hidden="1"/>
    <cellStyle name="Lien hypertexte visité" xfId="14674" builtinId="9" hidden="1"/>
    <cellStyle name="Lien hypertexte visité" xfId="14676" builtinId="9" hidden="1"/>
    <cellStyle name="Lien hypertexte visité" xfId="14678" builtinId="9" hidden="1"/>
    <cellStyle name="Lien hypertexte visité" xfId="14680" builtinId="9" hidden="1"/>
    <cellStyle name="Lien hypertexte visité" xfId="14682" builtinId="9" hidden="1"/>
    <cellStyle name="Lien hypertexte visité" xfId="14684" builtinId="9" hidden="1"/>
    <cellStyle name="Lien hypertexte visité" xfId="14686" builtinId="9" hidden="1"/>
    <cellStyle name="Lien hypertexte visité" xfId="14688" builtinId="9" hidden="1"/>
    <cellStyle name="Lien hypertexte visité" xfId="14690" builtinId="9" hidden="1"/>
    <cellStyle name="Lien hypertexte visité" xfId="14692" builtinId="9" hidden="1"/>
    <cellStyle name="Lien hypertexte visité" xfId="14694" builtinId="9" hidden="1"/>
    <cellStyle name="Lien hypertexte visité" xfId="14696" builtinId="9" hidden="1"/>
    <cellStyle name="Lien hypertexte visité" xfId="14698" builtinId="9" hidden="1"/>
    <cellStyle name="Lien hypertexte visité" xfId="14700" builtinId="9" hidden="1"/>
    <cellStyle name="Lien hypertexte visité" xfId="14702" builtinId="9" hidden="1"/>
    <cellStyle name="Lien hypertexte visité" xfId="14704" builtinId="9" hidden="1"/>
    <cellStyle name="Lien hypertexte visité" xfId="14706" builtinId="9" hidden="1"/>
    <cellStyle name="Lien hypertexte visité" xfId="14708" builtinId="9" hidden="1"/>
    <cellStyle name="Lien hypertexte visité" xfId="14710" builtinId="9" hidden="1"/>
    <cellStyle name="Lien hypertexte visité" xfId="14712" builtinId="9" hidden="1"/>
    <cellStyle name="Lien hypertexte visité" xfId="14714" builtinId="9" hidden="1"/>
    <cellStyle name="Lien hypertexte visité" xfId="14716" builtinId="9" hidden="1"/>
    <cellStyle name="Lien hypertexte visité" xfId="14718" builtinId="9" hidden="1"/>
    <cellStyle name="Lien hypertexte visité" xfId="14720" builtinId="9" hidden="1"/>
    <cellStyle name="Lien hypertexte visité" xfId="14722" builtinId="9" hidden="1"/>
    <cellStyle name="Lien hypertexte visité" xfId="14724" builtinId="9" hidden="1"/>
    <cellStyle name="Lien hypertexte visité" xfId="14726" builtinId="9" hidden="1"/>
    <cellStyle name="Lien hypertexte visité" xfId="14728" builtinId="9" hidden="1"/>
    <cellStyle name="Lien hypertexte visité" xfId="14730" builtinId="9" hidden="1"/>
    <cellStyle name="Lien hypertexte visité" xfId="14732" builtinId="9" hidden="1"/>
    <cellStyle name="Lien hypertexte visité" xfId="14734" builtinId="9" hidden="1"/>
    <cellStyle name="Lien hypertexte visité" xfId="14736" builtinId="9" hidden="1"/>
    <cellStyle name="Lien hypertexte visité" xfId="14738" builtinId="9" hidden="1"/>
    <cellStyle name="Lien hypertexte visité" xfId="14740" builtinId="9" hidden="1"/>
    <cellStyle name="Lien hypertexte visité" xfId="14742" builtinId="9" hidden="1"/>
    <cellStyle name="Lien hypertexte visité" xfId="14744" builtinId="9" hidden="1"/>
    <cellStyle name="Lien hypertexte visité" xfId="14746" builtinId="9" hidden="1"/>
    <cellStyle name="Lien hypertexte visité" xfId="14748" builtinId="9" hidden="1"/>
    <cellStyle name="Lien hypertexte visité" xfId="14750" builtinId="9" hidden="1"/>
    <cellStyle name="Lien hypertexte visité" xfId="14752" builtinId="9" hidden="1"/>
    <cellStyle name="Lien hypertexte visité" xfId="14754" builtinId="9" hidden="1"/>
    <cellStyle name="Lien hypertexte visité" xfId="14756" builtinId="9" hidden="1"/>
    <cellStyle name="Lien hypertexte visité" xfId="14758" builtinId="9" hidden="1"/>
    <cellStyle name="Lien hypertexte visité" xfId="14760" builtinId="9" hidden="1"/>
    <cellStyle name="Lien hypertexte visité" xfId="14762" builtinId="9" hidden="1"/>
    <cellStyle name="Lien hypertexte visité" xfId="14764" builtinId="9" hidden="1"/>
    <cellStyle name="Lien hypertexte visité" xfId="14766" builtinId="9" hidden="1"/>
    <cellStyle name="Lien hypertexte visité" xfId="14768" builtinId="9" hidden="1"/>
    <cellStyle name="Lien hypertexte visité" xfId="14770" builtinId="9" hidden="1"/>
    <cellStyle name="Lien hypertexte visité" xfId="14772" builtinId="9" hidden="1"/>
    <cellStyle name="Lien hypertexte visité" xfId="14774" builtinId="9" hidden="1"/>
    <cellStyle name="Lien hypertexte visité" xfId="14776" builtinId="9" hidden="1"/>
    <cellStyle name="Lien hypertexte visité" xfId="14778" builtinId="9" hidden="1"/>
    <cellStyle name="Lien hypertexte visité" xfId="14780" builtinId="9" hidden="1"/>
    <cellStyle name="Lien hypertexte visité" xfId="14782" builtinId="9" hidden="1"/>
    <cellStyle name="Lien hypertexte visité" xfId="14784" builtinId="9" hidden="1"/>
    <cellStyle name="Lien hypertexte visité" xfId="14786" builtinId="9" hidden="1"/>
    <cellStyle name="Lien hypertexte visité" xfId="14788" builtinId="9" hidden="1"/>
    <cellStyle name="Lien hypertexte visité" xfId="14790" builtinId="9" hidden="1"/>
    <cellStyle name="Lien hypertexte visité" xfId="14792" builtinId="9" hidden="1"/>
    <cellStyle name="Lien hypertexte visité" xfId="14794" builtinId="9" hidden="1"/>
    <cellStyle name="Lien hypertexte visité" xfId="14796" builtinId="9" hidden="1"/>
    <cellStyle name="Lien hypertexte visité" xfId="14798" builtinId="9" hidden="1"/>
    <cellStyle name="Lien hypertexte visité" xfId="14800" builtinId="9" hidden="1"/>
    <cellStyle name="Lien hypertexte visité" xfId="14802" builtinId="9" hidden="1"/>
    <cellStyle name="Lien hypertexte visité" xfId="14804" builtinId="9" hidden="1"/>
    <cellStyle name="Lien hypertexte visité" xfId="14806" builtinId="9" hidden="1"/>
    <cellStyle name="Lien hypertexte visité" xfId="14808" builtinId="9" hidden="1"/>
    <cellStyle name="Lien hypertexte visité" xfId="14810" builtinId="9" hidden="1"/>
    <cellStyle name="Lien hypertexte visité" xfId="14812" builtinId="9" hidden="1"/>
    <cellStyle name="Lien hypertexte visité" xfId="14814" builtinId="9" hidden="1"/>
    <cellStyle name="Lien hypertexte visité" xfId="14816" builtinId="9" hidden="1"/>
    <cellStyle name="Lien hypertexte visité" xfId="14818" builtinId="9" hidden="1"/>
    <cellStyle name="Lien hypertexte visité" xfId="14820" builtinId="9" hidden="1"/>
    <cellStyle name="Lien hypertexte visité" xfId="14822" builtinId="9" hidden="1"/>
    <cellStyle name="Lien hypertexte visité" xfId="14824" builtinId="9" hidden="1"/>
    <cellStyle name="Lien hypertexte visité" xfId="14826" builtinId="9" hidden="1"/>
    <cellStyle name="Lien hypertexte visité" xfId="14828" builtinId="9" hidden="1"/>
    <cellStyle name="Lien hypertexte visité" xfId="14830" builtinId="9" hidden="1"/>
    <cellStyle name="Lien hypertexte visité" xfId="14832" builtinId="9" hidden="1"/>
    <cellStyle name="Lien hypertexte visité" xfId="14834" builtinId="9" hidden="1"/>
    <cellStyle name="Lien hypertexte visité" xfId="14836" builtinId="9" hidden="1"/>
    <cellStyle name="Lien hypertexte visité" xfId="14838" builtinId="9" hidden="1"/>
    <cellStyle name="Lien hypertexte visité" xfId="14840" builtinId="9" hidden="1"/>
    <cellStyle name="Lien hypertexte visité" xfId="14842" builtinId="9" hidden="1"/>
    <cellStyle name="Lien hypertexte visité" xfId="14844" builtinId="9" hidden="1"/>
    <cellStyle name="Lien hypertexte visité" xfId="14846" builtinId="9" hidden="1"/>
    <cellStyle name="Lien hypertexte visité" xfId="14848" builtinId="9" hidden="1"/>
    <cellStyle name="Lien hypertexte visité" xfId="14850" builtinId="9" hidden="1"/>
    <cellStyle name="Lien hypertexte visité" xfId="14852" builtinId="9" hidden="1"/>
    <cellStyle name="Lien hypertexte visité" xfId="14854" builtinId="9" hidden="1"/>
    <cellStyle name="Lien hypertexte visité" xfId="14856" builtinId="9" hidden="1"/>
    <cellStyle name="Lien hypertexte visité" xfId="14858" builtinId="9" hidden="1"/>
    <cellStyle name="Lien hypertexte visité" xfId="14860" builtinId="9" hidden="1"/>
    <cellStyle name="Lien hypertexte visité" xfId="14862" builtinId="9" hidden="1"/>
    <cellStyle name="Lien hypertexte visité" xfId="14864" builtinId="9" hidden="1"/>
    <cellStyle name="Lien hypertexte visité" xfId="14866" builtinId="9" hidden="1"/>
    <cellStyle name="Lien hypertexte visité" xfId="14868" builtinId="9" hidden="1"/>
    <cellStyle name="Lien hypertexte visité" xfId="14870" builtinId="9" hidden="1"/>
    <cellStyle name="Lien hypertexte visité" xfId="14872" builtinId="9" hidden="1"/>
    <cellStyle name="Lien hypertexte visité" xfId="14874" builtinId="9" hidden="1"/>
    <cellStyle name="Lien hypertexte visité" xfId="14876" builtinId="9" hidden="1"/>
    <cellStyle name="Lien hypertexte visité" xfId="14878" builtinId="9" hidden="1"/>
    <cellStyle name="Lien hypertexte visité" xfId="14880" builtinId="9" hidden="1"/>
    <cellStyle name="Lien hypertexte visité" xfId="14882" builtinId="9" hidden="1"/>
    <cellStyle name="Lien hypertexte visité" xfId="14884" builtinId="9" hidden="1"/>
    <cellStyle name="Lien hypertexte visité" xfId="14886" builtinId="9" hidden="1"/>
    <cellStyle name="Lien hypertexte visité" xfId="14888" builtinId="9" hidden="1"/>
    <cellStyle name="Lien hypertexte visité" xfId="14890" builtinId="9" hidden="1"/>
    <cellStyle name="Lien hypertexte visité" xfId="14892" builtinId="9" hidden="1"/>
    <cellStyle name="Lien hypertexte visité" xfId="14894" builtinId="9" hidden="1"/>
    <cellStyle name="Lien hypertexte visité" xfId="14896" builtinId="9" hidden="1"/>
    <cellStyle name="Lien hypertexte visité" xfId="14898" builtinId="9" hidden="1"/>
    <cellStyle name="Lien hypertexte visité" xfId="14900" builtinId="9" hidden="1"/>
    <cellStyle name="Lien hypertexte visité" xfId="14902" builtinId="9" hidden="1"/>
    <cellStyle name="Lien hypertexte visité" xfId="14904" builtinId="9" hidden="1"/>
    <cellStyle name="Lien hypertexte visité" xfId="14906" builtinId="9" hidden="1"/>
    <cellStyle name="Lien hypertexte visité" xfId="14908" builtinId="9" hidden="1"/>
    <cellStyle name="Lien hypertexte visité" xfId="14910" builtinId="9" hidden="1"/>
    <cellStyle name="Lien hypertexte visité" xfId="14912" builtinId="9" hidden="1"/>
    <cellStyle name="Lien hypertexte visité" xfId="14914" builtinId="9" hidden="1"/>
    <cellStyle name="Lien hypertexte visité" xfId="14916" builtinId="9" hidden="1"/>
    <cellStyle name="Lien hypertexte visité" xfId="14918" builtinId="9" hidden="1"/>
    <cellStyle name="Lien hypertexte visité" xfId="14920" builtinId="9" hidden="1"/>
    <cellStyle name="Lien hypertexte visité" xfId="14922" builtinId="9" hidden="1"/>
    <cellStyle name="Lien hypertexte visité" xfId="14924" builtinId="9" hidden="1"/>
    <cellStyle name="Lien hypertexte visité" xfId="14926" builtinId="9" hidden="1"/>
    <cellStyle name="Lien hypertexte visité" xfId="14928" builtinId="9" hidden="1"/>
    <cellStyle name="Lien hypertexte visité" xfId="14930" builtinId="9" hidden="1"/>
    <cellStyle name="Lien hypertexte visité" xfId="14932" builtinId="9" hidden="1"/>
    <cellStyle name="Lien hypertexte visité" xfId="14934" builtinId="9" hidden="1"/>
    <cellStyle name="Lien hypertexte visité" xfId="14936" builtinId="9" hidden="1"/>
    <cellStyle name="Lien hypertexte visité" xfId="14938" builtinId="9" hidden="1"/>
    <cellStyle name="Lien hypertexte visité" xfId="14940" builtinId="9" hidden="1"/>
    <cellStyle name="Lien hypertexte visité" xfId="14942" builtinId="9" hidden="1"/>
    <cellStyle name="Lien hypertexte visité" xfId="14944" builtinId="9" hidden="1"/>
    <cellStyle name="Lien hypertexte visité" xfId="14946" builtinId="9" hidden="1"/>
    <cellStyle name="Lien hypertexte visité" xfId="14948" builtinId="9" hidden="1"/>
    <cellStyle name="Lien hypertexte visité" xfId="14950" builtinId="9" hidden="1"/>
    <cellStyle name="Lien hypertexte visité" xfId="14952" builtinId="9" hidden="1"/>
    <cellStyle name="Lien hypertexte visité" xfId="14954" builtinId="9" hidden="1"/>
    <cellStyle name="Lien hypertexte visité" xfId="14956" builtinId="9" hidden="1"/>
    <cellStyle name="Lien hypertexte visité" xfId="14958" builtinId="9" hidden="1"/>
    <cellStyle name="Lien hypertexte visité" xfId="14960" builtinId="9" hidden="1"/>
    <cellStyle name="Lien hypertexte visité" xfId="14962" builtinId="9" hidden="1"/>
    <cellStyle name="Lien hypertexte visité" xfId="14964" builtinId="9" hidden="1"/>
    <cellStyle name="Lien hypertexte visité" xfId="14966" builtinId="9" hidden="1"/>
    <cellStyle name="Lien hypertexte visité" xfId="14968" builtinId="9" hidden="1"/>
    <cellStyle name="Lien hypertexte visité" xfId="14970" builtinId="9" hidden="1"/>
    <cellStyle name="Lien hypertexte visité" xfId="14972" builtinId="9" hidden="1"/>
    <cellStyle name="Lien hypertexte visité" xfId="14974" builtinId="9" hidden="1"/>
    <cellStyle name="Lien hypertexte visité" xfId="14976" builtinId="9" hidden="1"/>
    <cellStyle name="Lien hypertexte visité" xfId="14978" builtinId="9" hidden="1"/>
    <cellStyle name="Lien hypertexte visité" xfId="14980" builtinId="9" hidden="1"/>
    <cellStyle name="Lien hypertexte visité" xfId="14982" builtinId="9" hidden="1"/>
    <cellStyle name="Lien hypertexte visité" xfId="14984" builtinId="9" hidden="1"/>
    <cellStyle name="Lien hypertexte visité" xfId="14986" builtinId="9" hidden="1"/>
    <cellStyle name="Lien hypertexte visité" xfId="14988" builtinId="9" hidden="1"/>
    <cellStyle name="Lien hypertexte visité" xfId="14990" builtinId="9" hidden="1"/>
    <cellStyle name="Lien hypertexte visité" xfId="14992" builtinId="9" hidden="1"/>
    <cellStyle name="Lien hypertexte visité" xfId="14994" builtinId="9" hidden="1"/>
    <cellStyle name="Lien hypertexte visité" xfId="14996" builtinId="9" hidden="1"/>
    <cellStyle name="Lien hypertexte visité" xfId="14998" builtinId="9" hidden="1"/>
    <cellStyle name="Lien hypertexte visité" xfId="15000" builtinId="9" hidden="1"/>
    <cellStyle name="Lien hypertexte visité" xfId="15002" builtinId="9" hidden="1"/>
    <cellStyle name="Lien hypertexte visité" xfId="15004" builtinId="9" hidden="1"/>
    <cellStyle name="Lien hypertexte visité" xfId="15006" builtinId="9" hidden="1"/>
    <cellStyle name="Lien hypertexte visité" xfId="15008" builtinId="9" hidden="1"/>
    <cellStyle name="Lien hypertexte visité" xfId="15010" builtinId="9" hidden="1"/>
    <cellStyle name="Lien hypertexte visité" xfId="15012" builtinId="9" hidden="1"/>
    <cellStyle name="Lien hypertexte visité" xfId="15014" builtinId="9" hidden="1"/>
    <cellStyle name="Lien hypertexte visité" xfId="15016" builtinId="9" hidden="1"/>
    <cellStyle name="Lien hypertexte visité" xfId="15018" builtinId="9" hidden="1"/>
    <cellStyle name="Lien hypertexte visité" xfId="15020" builtinId="9" hidden="1"/>
    <cellStyle name="Lien hypertexte visité" xfId="15022" builtinId="9" hidden="1"/>
    <cellStyle name="Lien hypertexte visité" xfId="15024" builtinId="9" hidden="1"/>
    <cellStyle name="Lien hypertexte visité" xfId="15026" builtinId="9" hidden="1"/>
    <cellStyle name="Lien hypertexte visité" xfId="15028" builtinId="9" hidden="1"/>
    <cellStyle name="Lien hypertexte visité" xfId="15030" builtinId="9" hidden="1"/>
    <cellStyle name="Lien hypertexte visité" xfId="15032" builtinId="9" hidden="1"/>
    <cellStyle name="Lien hypertexte visité" xfId="15034" builtinId="9" hidden="1"/>
    <cellStyle name="Lien hypertexte visité" xfId="15036" builtinId="9" hidden="1"/>
    <cellStyle name="Lien hypertexte visité" xfId="15038" builtinId="9" hidden="1"/>
    <cellStyle name="Lien hypertexte visité" xfId="15040" builtinId="9" hidden="1"/>
    <cellStyle name="Lien hypertexte visité" xfId="15042" builtinId="9" hidden="1"/>
    <cellStyle name="Lien hypertexte visité" xfId="15044" builtinId="9" hidden="1"/>
    <cellStyle name="Lien hypertexte visité" xfId="15046" builtinId="9" hidden="1"/>
    <cellStyle name="Lien hypertexte visité" xfId="15048" builtinId="9" hidden="1"/>
    <cellStyle name="Lien hypertexte visité" xfId="15050" builtinId="9" hidden="1"/>
    <cellStyle name="Lien hypertexte visité" xfId="15052" builtinId="9" hidden="1"/>
    <cellStyle name="Lien hypertexte visité" xfId="15054" builtinId="9" hidden="1"/>
    <cellStyle name="Lien hypertexte visité" xfId="15056" builtinId="9" hidden="1"/>
    <cellStyle name="Lien hypertexte visité" xfId="15058" builtinId="9" hidden="1"/>
    <cellStyle name="Lien hypertexte visité" xfId="15060" builtinId="9" hidden="1"/>
    <cellStyle name="Lien hypertexte visité" xfId="15062" builtinId="9" hidden="1"/>
    <cellStyle name="Lien hypertexte visité" xfId="15064" builtinId="9" hidden="1"/>
    <cellStyle name="Lien hypertexte visité" xfId="15066" builtinId="9" hidden="1"/>
    <cellStyle name="Lien hypertexte visité" xfId="15068" builtinId="9" hidden="1"/>
    <cellStyle name="Lien hypertexte visité" xfId="15070" builtinId="9" hidden="1"/>
    <cellStyle name="Lien hypertexte visité" xfId="15072" builtinId="9" hidden="1"/>
    <cellStyle name="Lien hypertexte visité" xfId="15074" builtinId="9" hidden="1"/>
    <cellStyle name="Lien hypertexte visité" xfId="15076" builtinId="9" hidden="1"/>
    <cellStyle name="Lien hypertexte visité" xfId="15078" builtinId="9" hidden="1"/>
    <cellStyle name="Lien hypertexte visité" xfId="15080" builtinId="9" hidden="1"/>
    <cellStyle name="Lien hypertexte visité" xfId="15082" builtinId="9" hidden="1"/>
    <cellStyle name="Lien hypertexte visité" xfId="15084" builtinId="9" hidden="1"/>
    <cellStyle name="Lien hypertexte visité" xfId="15086" builtinId="9" hidden="1"/>
    <cellStyle name="Lien hypertexte visité" xfId="15088" builtinId="9" hidden="1"/>
    <cellStyle name="Lien hypertexte visité" xfId="15090" builtinId="9" hidden="1"/>
    <cellStyle name="Lien hypertexte visité" xfId="15092" builtinId="9" hidden="1"/>
    <cellStyle name="Lien hypertexte visité" xfId="15094" builtinId="9" hidden="1"/>
    <cellStyle name="Lien hypertexte visité" xfId="15096" builtinId="9" hidden="1"/>
    <cellStyle name="Lien hypertexte visité" xfId="15098" builtinId="9" hidden="1"/>
    <cellStyle name="Lien hypertexte visité" xfId="15100" builtinId="9" hidden="1"/>
    <cellStyle name="Lien hypertexte visité" xfId="15102" builtinId="9" hidden="1"/>
    <cellStyle name="Lien hypertexte visité" xfId="15104" builtinId="9" hidden="1"/>
    <cellStyle name="Lien hypertexte visité" xfId="15106" builtinId="9" hidden="1"/>
    <cellStyle name="Lien hypertexte visité" xfId="15108" builtinId="9" hidden="1"/>
    <cellStyle name="Lien hypertexte visité" xfId="15110" builtinId="9" hidden="1"/>
    <cellStyle name="Lien hypertexte visité" xfId="15112" builtinId="9" hidden="1"/>
    <cellStyle name="Lien hypertexte visité" xfId="15114" builtinId="9" hidden="1"/>
    <cellStyle name="Lien hypertexte visité" xfId="15116" builtinId="9" hidden="1"/>
    <cellStyle name="Lien hypertexte visité" xfId="15118" builtinId="9" hidden="1"/>
    <cellStyle name="Lien hypertexte visité" xfId="15120" builtinId="9" hidden="1"/>
    <cellStyle name="Lien hypertexte visité" xfId="15122" builtinId="9" hidden="1"/>
    <cellStyle name="Lien hypertexte visité" xfId="15124" builtinId="9" hidden="1"/>
    <cellStyle name="Lien hypertexte visité" xfId="15126" builtinId="9" hidden="1"/>
    <cellStyle name="Lien hypertexte visité" xfId="15128" builtinId="9" hidden="1"/>
    <cellStyle name="Lien hypertexte visité" xfId="15130" builtinId="9" hidden="1"/>
    <cellStyle name="Lien hypertexte visité" xfId="15132" builtinId="9" hidden="1"/>
    <cellStyle name="Lien hypertexte visité" xfId="15134" builtinId="9" hidden="1"/>
    <cellStyle name="Lien hypertexte visité" xfId="15136" builtinId="9" hidden="1"/>
    <cellStyle name="Lien hypertexte visité" xfId="15138" builtinId="9" hidden="1"/>
    <cellStyle name="Lien hypertexte visité" xfId="15140" builtinId="9" hidden="1"/>
    <cellStyle name="Lien hypertexte visité" xfId="15142" builtinId="9" hidden="1"/>
    <cellStyle name="Lien hypertexte visité" xfId="15144" builtinId="9" hidden="1"/>
    <cellStyle name="Lien hypertexte visité" xfId="15146" builtinId="9" hidden="1"/>
    <cellStyle name="Lien hypertexte visité" xfId="15148" builtinId="9" hidden="1"/>
    <cellStyle name="Lien hypertexte visité" xfId="15150" builtinId="9" hidden="1"/>
    <cellStyle name="Lien hypertexte visité" xfId="15152" builtinId="9" hidden="1"/>
    <cellStyle name="Lien hypertexte visité" xfId="15154" builtinId="9" hidden="1"/>
    <cellStyle name="Lien hypertexte visité" xfId="15156" builtinId="9" hidden="1"/>
    <cellStyle name="Lien hypertexte visité" xfId="15158" builtinId="9" hidden="1"/>
    <cellStyle name="Lien hypertexte visité" xfId="15160" builtinId="9" hidden="1"/>
    <cellStyle name="Lien hypertexte visité" xfId="15162" builtinId="9" hidden="1"/>
    <cellStyle name="Lien hypertexte visité" xfId="15164" builtinId="9" hidden="1"/>
    <cellStyle name="Lien hypertexte visité" xfId="15166" builtinId="9" hidden="1"/>
    <cellStyle name="Lien hypertexte visité" xfId="15168" builtinId="9" hidden="1"/>
    <cellStyle name="Lien hypertexte visité" xfId="15170" builtinId="9" hidden="1"/>
    <cellStyle name="Lien hypertexte visité" xfId="15172" builtinId="9" hidden="1"/>
    <cellStyle name="Lien hypertexte visité" xfId="15174" builtinId="9" hidden="1"/>
    <cellStyle name="Lien hypertexte visité" xfId="15176" builtinId="9" hidden="1"/>
    <cellStyle name="Lien hypertexte visité" xfId="15178" builtinId="9" hidden="1"/>
    <cellStyle name="Lien hypertexte visité" xfId="15180" builtinId="9" hidden="1"/>
    <cellStyle name="Lien hypertexte visité" xfId="15182" builtinId="9" hidden="1"/>
    <cellStyle name="Lien hypertexte visité" xfId="15184" builtinId="9" hidden="1"/>
    <cellStyle name="Lien hypertexte visité" xfId="15186" builtinId="9" hidden="1"/>
    <cellStyle name="Lien hypertexte visité" xfId="15188" builtinId="9" hidden="1"/>
    <cellStyle name="Lien hypertexte visité" xfId="15190" builtinId="9" hidden="1"/>
    <cellStyle name="Lien hypertexte visité" xfId="15192" builtinId="9" hidden="1"/>
    <cellStyle name="Lien hypertexte visité" xfId="15194" builtinId="9" hidden="1"/>
    <cellStyle name="Lien hypertexte visité" xfId="15196" builtinId="9" hidden="1"/>
    <cellStyle name="Lien hypertexte visité" xfId="15198" builtinId="9" hidden="1"/>
    <cellStyle name="Lien hypertexte visité" xfId="15200" builtinId="9" hidden="1"/>
    <cellStyle name="Lien hypertexte visité" xfId="15202" builtinId="9" hidden="1"/>
    <cellStyle name="Lien hypertexte visité" xfId="15204" builtinId="9" hidden="1"/>
    <cellStyle name="Lien hypertexte visité" xfId="15206" builtinId="9" hidden="1"/>
    <cellStyle name="Lien hypertexte visité" xfId="15208" builtinId="9" hidden="1"/>
    <cellStyle name="Lien hypertexte visité" xfId="15210" builtinId="9" hidden="1"/>
    <cellStyle name="Lien hypertexte visité" xfId="15212" builtinId="9" hidden="1"/>
    <cellStyle name="Lien hypertexte visité" xfId="15214" builtinId="9" hidden="1"/>
    <cellStyle name="Lien hypertexte visité" xfId="15216" builtinId="9" hidden="1"/>
    <cellStyle name="Lien hypertexte visité" xfId="15218" builtinId="9" hidden="1"/>
    <cellStyle name="Lien hypertexte visité" xfId="15220" builtinId="9" hidden="1"/>
    <cellStyle name="Lien hypertexte visité" xfId="15222" builtinId="9" hidden="1"/>
    <cellStyle name="Lien hypertexte visité" xfId="15224" builtinId="9" hidden="1"/>
    <cellStyle name="Lien hypertexte visité" xfId="15226" builtinId="9" hidden="1"/>
    <cellStyle name="Lien hypertexte visité" xfId="15228" builtinId="9" hidden="1"/>
    <cellStyle name="Lien hypertexte visité" xfId="15230" builtinId="9" hidden="1"/>
    <cellStyle name="Lien hypertexte visité" xfId="15232" builtinId="9" hidden="1"/>
    <cellStyle name="Lien hypertexte visité" xfId="15234" builtinId="9" hidden="1"/>
    <cellStyle name="Lien hypertexte visité" xfId="15236" builtinId="9" hidden="1"/>
    <cellStyle name="Lien hypertexte visité" xfId="15238" builtinId="9" hidden="1"/>
    <cellStyle name="Lien hypertexte visité" xfId="15240" builtinId="9" hidden="1"/>
    <cellStyle name="Lien hypertexte visité" xfId="15242" builtinId="9" hidden="1"/>
    <cellStyle name="Lien hypertexte visité" xfId="15244" builtinId="9" hidden="1"/>
    <cellStyle name="Lien hypertexte visité" xfId="15246" builtinId="9" hidden="1"/>
    <cellStyle name="Lien hypertexte visité" xfId="15248" builtinId="9" hidden="1"/>
    <cellStyle name="Lien hypertexte visité" xfId="15250" builtinId="9" hidden="1"/>
    <cellStyle name="Lien hypertexte visité" xfId="15252" builtinId="9" hidden="1"/>
    <cellStyle name="Lien hypertexte visité" xfId="15254" builtinId="9" hidden="1"/>
    <cellStyle name="Lien hypertexte visité" xfId="15256" builtinId="9" hidden="1"/>
    <cellStyle name="Lien hypertexte visité" xfId="15258" builtinId="9" hidden="1"/>
    <cellStyle name="Lien hypertexte visité" xfId="15260" builtinId="9" hidden="1"/>
    <cellStyle name="Lien hypertexte visité" xfId="15262" builtinId="9" hidden="1"/>
    <cellStyle name="Lien hypertexte visité" xfId="15264" builtinId="9" hidden="1"/>
    <cellStyle name="Lien hypertexte visité" xfId="15266" builtinId="9" hidden="1"/>
    <cellStyle name="Lien hypertexte visité" xfId="15268" builtinId="9" hidden="1"/>
    <cellStyle name="Lien hypertexte visité" xfId="15270" builtinId="9" hidden="1"/>
    <cellStyle name="Lien hypertexte visité" xfId="15272" builtinId="9" hidden="1"/>
    <cellStyle name="Lien hypertexte visité" xfId="15274" builtinId="9" hidden="1"/>
    <cellStyle name="Lien hypertexte visité" xfId="15276" builtinId="9" hidden="1"/>
    <cellStyle name="Lien hypertexte visité" xfId="15278" builtinId="9" hidden="1"/>
    <cellStyle name="Lien hypertexte visité" xfId="15280" builtinId="9" hidden="1"/>
    <cellStyle name="Lien hypertexte visité" xfId="15282" builtinId="9" hidden="1"/>
    <cellStyle name="Lien hypertexte visité" xfId="15284" builtinId="9" hidden="1"/>
    <cellStyle name="Lien hypertexte visité" xfId="15286" builtinId="9" hidden="1"/>
    <cellStyle name="Lien hypertexte visité" xfId="15288" builtinId="9" hidden="1"/>
    <cellStyle name="Lien hypertexte visité" xfId="15290" builtinId="9" hidden="1"/>
    <cellStyle name="Lien hypertexte visité" xfId="15292" builtinId="9" hidden="1"/>
    <cellStyle name="Lien hypertexte visité" xfId="15294" builtinId="9" hidden="1"/>
    <cellStyle name="Lien hypertexte visité" xfId="15296" builtinId="9" hidden="1"/>
    <cellStyle name="Lien hypertexte visité" xfId="15298" builtinId="9" hidden="1"/>
    <cellStyle name="Lien hypertexte visité" xfId="15300" builtinId="9" hidden="1"/>
    <cellStyle name="Lien hypertexte visité" xfId="15302" builtinId="9" hidden="1"/>
    <cellStyle name="Lien hypertexte visité" xfId="15304" builtinId="9" hidden="1"/>
    <cellStyle name="Lien hypertexte visité" xfId="15306" builtinId="9" hidden="1"/>
    <cellStyle name="Lien hypertexte visité" xfId="15308" builtinId="9" hidden="1"/>
    <cellStyle name="Lien hypertexte visité" xfId="15310" builtinId="9" hidden="1"/>
    <cellStyle name="Lien hypertexte visité" xfId="15312" builtinId="9" hidden="1"/>
    <cellStyle name="Lien hypertexte visité" xfId="15314" builtinId="9" hidden="1"/>
    <cellStyle name="Lien hypertexte visité" xfId="15316" builtinId="9" hidden="1"/>
    <cellStyle name="Lien hypertexte visité" xfId="15318" builtinId="9" hidden="1"/>
    <cellStyle name="Lien hypertexte visité" xfId="15320" builtinId="9" hidden="1"/>
    <cellStyle name="Lien hypertexte visité" xfId="15322" builtinId="9" hidden="1"/>
    <cellStyle name="Lien hypertexte visité" xfId="15324" builtinId="9" hidden="1"/>
    <cellStyle name="Lien hypertexte visité" xfId="15326" builtinId="9" hidden="1"/>
    <cellStyle name="Lien hypertexte visité" xfId="15328" builtinId="9" hidden="1"/>
    <cellStyle name="Lien hypertexte visité" xfId="15330" builtinId="9" hidden="1"/>
    <cellStyle name="Lien hypertexte visité" xfId="15332" builtinId="9" hidden="1"/>
    <cellStyle name="Lien hypertexte visité" xfId="15334" builtinId="9" hidden="1"/>
    <cellStyle name="Lien hypertexte visité" xfId="15336" builtinId="9" hidden="1"/>
    <cellStyle name="Lien hypertexte visité" xfId="15338" builtinId="9" hidden="1"/>
    <cellStyle name="Lien hypertexte visité" xfId="15340" builtinId="9" hidden="1"/>
    <cellStyle name="Lien hypertexte visité" xfId="15342" builtinId="9" hidden="1"/>
    <cellStyle name="Lien hypertexte visité" xfId="15344" builtinId="9" hidden="1"/>
    <cellStyle name="Lien hypertexte visité" xfId="15346" builtinId="9" hidden="1"/>
    <cellStyle name="Lien hypertexte visité" xfId="15348" builtinId="9" hidden="1"/>
    <cellStyle name="Lien hypertexte visité" xfId="15350" builtinId="9" hidden="1"/>
    <cellStyle name="Lien hypertexte visité" xfId="15352" builtinId="9" hidden="1"/>
    <cellStyle name="Lien hypertexte visité" xfId="15354" builtinId="9" hidden="1"/>
    <cellStyle name="Lien hypertexte visité" xfId="15356" builtinId="9" hidden="1"/>
    <cellStyle name="Lien hypertexte visité" xfId="15358" builtinId="9" hidden="1"/>
    <cellStyle name="Lien hypertexte visité" xfId="15360" builtinId="9" hidden="1"/>
    <cellStyle name="Lien hypertexte visité" xfId="15362" builtinId="9" hidden="1"/>
    <cellStyle name="Lien hypertexte visité" xfId="15364" builtinId="9" hidden="1"/>
    <cellStyle name="Lien hypertexte visité" xfId="15366" builtinId="9" hidden="1"/>
    <cellStyle name="Lien hypertexte visité" xfId="15368" builtinId="9" hidden="1"/>
    <cellStyle name="Lien hypertexte visité" xfId="15370" builtinId="9" hidden="1"/>
    <cellStyle name="Lien hypertexte visité" xfId="15372" builtinId="9" hidden="1"/>
    <cellStyle name="Lien hypertexte visité" xfId="15374" builtinId="9" hidden="1"/>
    <cellStyle name="Lien hypertexte visité" xfId="15376" builtinId="9" hidden="1"/>
    <cellStyle name="Lien hypertexte visité" xfId="15378" builtinId="9" hidden="1"/>
    <cellStyle name="Lien hypertexte visité" xfId="15380" builtinId="9" hidden="1"/>
    <cellStyle name="Lien hypertexte visité" xfId="15382" builtinId="9" hidden="1"/>
    <cellStyle name="Lien hypertexte visité" xfId="15384" builtinId="9" hidden="1"/>
    <cellStyle name="Lien hypertexte visité" xfId="15386" builtinId="9" hidden="1"/>
    <cellStyle name="Lien hypertexte visité" xfId="15388" builtinId="9" hidden="1"/>
    <cellStyle name="Lien hypertexte visité" xfId="15390" builtinId="9" hidden="1"/>
    <cellStyle name="Lien hypertexte visité" xfId="15392" builtinId="9" hidden="1"/>
    <cellStyle name="Lien hypertexte visité" xfId="15394" builtinId="9" hidden="1"/>
    <cellStyle name="Lien hypertexte visité" xfId="15396" builtinId="9" hidden="1"/>
    <cellStyle name="Lien hypertexte visité" xfId="15398" builtinId="9" hidden="1"/>
    <cellStyle name="Lien hypertexte visité" xfId="15400" builtinId="9" hidden="1"/>
    <cellStyle name="Lien hypertexte visité" xfId="15402" builtinId="9" hidden="1"/>
    <cellStyle name="Lien hypertexte visité" xfId="15404" builtinId="9" hidden="1"/>
    <cellStyle name="Lien hypertexte visité" xfId="15406" builtinId="9" hidden="1"/>
    <cellStyle name="Lien hypertexte visité" xfId="15408" builtinId="9" hidden="1"/>
    <cellStyle name="Lien hypertexte visité" xfId="15410" builtinId="9" hidden="1"/>
    <cellStyle name="Lien hypertexte visité" xfId="15412" builtinId="9" hidden="1"/>
    <cellStyle name="Lien hypertexte visité" xfId="15414" builtinId="9" hidden="1"/>
    <cellStyle name="Lien hypertexte visité" xfId="15416" builtinId="9" hidden="1"/>
    <cellStyle name="Lien hypertexte visité" xfId="15418" builtinId="9" hidden="1"/>
    <cellStyle name="Lien hypertexte visité" xfId="15420" builtinId="9" hidden="1"/>
    <cellStyle name="Lien hypertexte visité" xfId="15422" builtinId="9" hidden="1"/>
    <cellStyle name="Lien hypertexte visité" xfId="15424" builtinId="9" hidden="1"/>
    <cellStyle name="Lien hypertexte visité" xfId="15426" builtinId="9" hidden="1"/>
    <cellStyle name="Lien hypertexte visité" xfId="15428" builtinId="9" hidden="1"/>
    <cellStyle name="Lien hypertexte visité" xfId="15430" builtinId="9" hidden="1"/>
    <cellStyle name="Lien hypertexte visité" xfId="15432" builtinId="9" hidden="1"/>
    <cellStyle name="Lien hypertexte visité" xfId="15434" builtinId="9" hidden="1"/>
    <cellStyle name="Lien hypertexte visité" xfId="15436" builtinId="9" hidden="1"/>
    <cellStyle name="Lien hypertexte visité" xfId="15438" builtinId="9" hidden="1"/>
    <cellStyle name="Lien hypertexte visité" xfId="15440" builtinId="9" hidden="1"/>
    <cellStyle name="Lien hypertexte visité" xfId="15442" builtinId="9" hidden="1"/>
    <cellStyle name="Lien hypertexte visité" xfId="15444" builtinId="9" hidden="1"/>
    <cellStyle name="Lien hypertexte visité" xfId="15446" builtinId="9" hidden="1"/>
    <cellStyle name="Lien hypertexte visité" xfId="15448" builtinId="9" hidden="1"/>
    <cellStyle name="Lien hypertexte visité" xfId="15450" builtinId="9" hidden="1"/>
    <cellStyle name="Lien hypertexte visité" xfId="15452" builtinId="9" hidden="1"/>
    <cellStyle name="Lien hypertexte visité" xfId="15454" builtinId="9" hidden="1"/>
    <cellStyle name="Lien hypertexte visité" xfId="15456" builtinId="9" hidden="1"/>
    <cellStyle name="Lien hypertexte visité" xfId="15458" builtinId="9" hidden="1"/>
    <cellStyle name="Lien hypertexte visité" xfId="15460" builtinId="9" hidden="1"/>
    <cellStyle name="Lien hypertexte visité" xfId="15462" builtinId="9" hidden="1"/>
    <cellStyle name="Lien hypertexte visité" xfId="15464" builtinId="9" hidden="1"/>
    <cellStyle name="Lien hypertexte visité" xfId="15466" builtinId="9" hidden="1"/>
    <cellStyle name="Lien hypertexte visité" xfId="15468" builtinId="9" hidden="1"/>
    <cellStyle name="Lien hypertexte visité" xfId="15470" builtinId="9" hidden="1"/>
    <cellStyle name="Lien hypertexte visité" xfId="15472" builtinId="9" hidden="1"/>
    <cellStyle name="Lien hypertexte visité" xfId="15474" builtinId="9" hidden="1"/>
    <cellStyle name="Lien hypertexte visité" xfId="15476" builtinId="9" hidden="1"/>
    <cellStyle name="Lien hypertexte visité" xfId="15478" builtinId="9" hidden="1"/>
    <cellStyle name="Lien hypertexte visité" xfId="15480" builtinId="9" hidden="1"/>
    <cellStyle name="Lien hypertexte visité" xfId="15482" builtinId="9" hidden="1"/>
    <cellStyle name="Lien hypertexte visité" xfId="15484" builtinId="9" hidden="1"/>
    <cellStyle name="Lien hypertexte visité" xfId="15486" builtinId="9" hidden="1"/>
    <cellStyle name="Lien hypertexte visité" xfId="15488" builtinId="9" hidden="1"/>
    <cellStyle name="Lien hypertexte visité" xfId="15490" builtinId="9" hidden="1"/>
    <cellStyle name="Lien hypertexte visité" xfId="15492" builtinId="9" hidden="1"/>
    <cellStyle name="Lien hypertexte visité" xfId="15494" builtinId="9" hidden="1"/>
    <cellStyle name="Lien hypertexte visité" xfId="15496" builtinId="9" hidden="1"/>
    <cellStyle name="Lien hypertexte visité" xfId="15498" builtinId="9" hidden="1"/>
    <cellStyle name="Lien hypertexte visité" xfId="15500" builtinId="9" hidden="1"/>
    <cellStyle name="Lien hypertexte visité" xfId="15502" builtinId="9" hidden="1"/>
    <cellStyle name="Lien hypertexte visité" xfId="15504" builtinId="9" hidden="1"/>
    <cellStyle name="Lien hypertexte visité" xfId="15506" builtinId="9" hidden="1"/>
    <cellStyle name="Lien hypertexte visité" xfId="15508" builtinId="9" hidden="1"/>
    <cellStyle name="Lien hypertexte visité" xfId="15510" builtinId="9" hidden="1"/>
    <cellStyle name="Lien hypertexte visité" xfId="15512" builtinId="9" hidden="1"/>
    <cellStyle name="Lien hypertexte visité" xfId="15514" builtinId="9" hidden="1"/>
    <cellStyle name="Lien hypertexte visité" xfId="15516" builtinId="9" hidden="1"/>
    <cellStyle name="Lien hypertexte visité" xfId="15518" builtinId="9" hidden="1"/>
    <cellStyle name="Lien hypertexte visité" xfId="15520" builtinId="9" hidden="1"/>
    <cellStyle name="Lien hypertexte visité" xfId="15522" builtinId="9" hidden="1"/>
    <cellStyle name="Lien hypertexte visité" xfId="15524" builtinId="9" hidden="1"/>
    <cellStyle name="Lien hypertexte visité" xfId="15526" builtinId="9" hidden="1"/>
    <cellStyle name="Lien hypertexte visité" xfId="15528" builtinId="9" hidden="1"/>
    <cellStyle name="Lien hypertexte visité" xfId="15530" builtinId="9" hidden="1"/>
    <cellStyle name="Lien hypertexte visité" xfId="15532" builtinId="9" hidden="1"/>
    <cellStyle name="Lien hypertexte visité" xfId="15534" builtinId="9" hidden="1"/>
    <cellStyle name="Lien hypertexte visité" xfId="15536" builtinId="9" hidden="1"/>
    <cellStyle name="Lien hypertexte visité" xfId="15538" builtinId="9" hidden="1"/>
    <cellStyle name="Lien hypertexte visité" xfId="15540" builtinId="9" hidden="1"/>
    <cellStyle name="Lien hypertexte visité" xfId="15542" builtinId="9" hidden="1"/>
    <cellStyle name="Lien hypertexte visité" xfId="15544" builtinId="9" hidden="1"/>
    <cellStyle name="Lien hypertexte visité" xfId="15546" builtinId="9" hidden="1"/>
    <cellStyle name="Lien hypertexte visité" xfId="15548" builtinId="9" hidden="1"/>
    <cellStyle name="Lien hypertexte visité" xfId="15550" builtinId="9" hidden="1"/>
    <cellStyle name="Lien hypertexte visité" xfId="15552" builtinId="9" hidden="1"/>
    <cellStyle name="Lien hypertexte visité" xfId="15554" builtinId="9" hidden="1"/>
    <cellStyle name="Lien hypertexte visité" xfId="15556" builtinId="9" hidden="1"/>
    <cellStyle name="Lien hypertexte visité" xfId="15558" builtinId="9" hidden="1"/>
    <cellStyle name="Lien hypertexte visité" xfId="15560" builtinId="9" hidden="1"/>
    <cellStyle name="Lien hypertexte visité" xfId="15562" builtinId="9" hidden="1"/>
    <cellStyle name="Lien hypertexte visité" xfId="15564" builtinId="9" hidden="1"/>
    <cellStyle name="Lien hypertexte visité" xfId="15566" builtinId="9" hidden="1"/>
    <cellStyle name="Lien hypertexte visité" xfId="15568" builtinId="9" hidden="1"/>
    <cellStyle name="Lien hypertexte visité" xfId="15570" builtinId="9" hidden="1"/>
    <cellStyle name="Lien hypertexte visité" xfId="15572" builtinId="9" hidden="1"/>
    <cellStyle name="Lien hypertexte visité" xfId="15574" builtinId="9" hidden="1"/>
    <cellStyle name="Lien hypertexte visité" xfId="15576" builtinId="9" hidden="1"/>
    <cellStyle name="Lien hypertexte visité" xfId="15578" builtinId="9" hidden="1"/>
    <cellStyle name="Lien hypertexte visité" xfId="15580" builtinId="9" hidden="1"/>
    <cellStyle name="Lien hypertexte visité" xfId="15582" builtinId="9" hidden="1"/>
    <cellStyle name="Lien hypertexte visité" xfId="15584" builtinId="9" hidden="1"/>
    <cellStyle name="Lien hypertexte visité" xfId="15586" builtinId="9" hidden="1"/>
    <cellStyle name="Lien hypertexte visité" xfId="15588" builtinId="9" hidden="1"/>
    <cellStyle name="Lien hypertexte visité" xfId="15590" builtinId="9" hidden="1"/>
    <cellStyle name="Lien hypertexte visité" xfId="15592" builtinId="9" hidden="1"/>
    <cellStyle name="Lien hypertexte visité" xfId="15594" builtinId="9" hidden="1"/>
    <cellStyle name="Lien hypertexte visité" xfId="15596" builtinId="9" hidden="1"/>
    <cellStyle name="Lien hypertexte visité" xfId="15598" builtinId="9" hidden="1"/>
    <cellStyle name="Lien hypertexte visité" xfId="15600" builtinId="9" hidden="1"/>
    <cellStyle name="Lien hypertexte visité" xfId="15602" builtinId="9" hidden="1"/>
    <cellStyle name="Lien hypertexte visité" xfId="15604" builtinId="9" hidden="1"/>
    <cellStyle name="Lien hypertexte visité" xfId="15606" builtinId="9" hidden="1"/>
    <cellStyle name="Lien hypertexte visité" xfId="15608" builtinId="9" hidden="1"/>
    <cellStyle name="Lien hypertexte visité" xfId="15610" builtinId="9" hidden="1"/>
    <cellStyle name="Lien hypertexte visité" xfId="15612" builtinId="9" hidden="1"/>
    <cellStyle name="Lien hypertexte visité" xfId="15614" builtinId="9" hidden="1"/>
    <cellStyle name="Lien hypertexte visité" xfId="15616" builtinId="9" hidden="1"/>
    <cellStyle name="Lien hypertexte visité" xfId="15618" builtinId="9" hidden="1"/>
    <cellStyle name="Lien hypertexte visité" xfId="15620" builtinId="9" hidden="1"/>
    <cellStyle name="Lien hypertexte visité" xfId="15622" builtinId="9" hidden="1"/>
    <cellStyle name="Lien hypertexte visité" xfId="15624" builtinId="9" hidden="1"/>
    <cellStyle name="Lien hypertexte visité" xfId="15626" builtinId="9" hidden="1"/>
    <cellStyle name="Lien hypertexte visité" xfId="15628" builtinId="9" hidden="1"/>
    <cellStyle name="Lien hypertexte visité" xfId="15630" builtinId="9" hidden="1"/>
    <cellStyle name="Lien hypertexte visité" xfId="15632" builtinId="9" hidden="1"/>
    <cellStyle name="Lien hypertexte visité" xfId="15634" builtinId="9" hidden="1"/>
    <cellStyle name="Lien hypertexte visité" xfId="15636" builtinId="9" hidden="1"/>
    <cellStyle name="Lien hypertexte visité" xfId="15638" builtinId="9" hidden="1"/>
    <cellStyle name="Lien hypertexte visité" xfId="15640" builtinId="9" hidden="1"/>
    <cellStyle name="Lien hypertexte visité" xfId="15642" builtinId="9" hidden="1"/>
    <cellStyle name="Lien hypertexte visité" xfId="15644" builtinId="9" hidden="1"/>
    <cellStyle name="Lien hypertexte visité" xfId="15646" builtinId="9" hidden="1"/>
    <cellStyle name="Lien hypertexte visité" xfId="15648" builtinId="9" hidden="1"/>
    <cellStyle name="Lien hypertexte visité" xfId="15650" builtinId="9" hidden="1"/>
    <cellStyle name="Lien hypertexte visité" xfId="15652" builtinId="9" hidden="1"/>
    <cellStyle name="Lien hypertexte visité" xfId="15654" builtinId="9" hidden="1"/>
    <cellStyle name="Lien hypertexte visité" xfId="15656" builtinId="9" hidden="1"/>
    <cellStyle name="Lien hypertexte visité" xfId="15658" builtinId="9" hidden="1"/>
    <cellStyle name="Lien hypertexte visité" xfId="15660" builtinId="9" hidden="1"/>
    <cellStyle name="Lien hypertexte visité" xfId="15662" builtinId="9" hidden="1"/>
    <cellStyle name="Lien hypertexte visité" xfId="15664" builtinId="9" hidden="1"/>
    <cellStyle name="Lien hypertexte visité" xfId="15666" builtinId="9" hidden="1"/>
    <cellStyle name="Lien hypertexte visité" xfId="15668" builtinId="9" hidden="1"/>
    <cellStyle name="Lien hypertexte visité" xfId="15670" builtinId="9" hidden="1"/>
    <cellStyle name="Lien hypertexte visité" xfId="15672" builtinId="9" hidden="1"/>
    <cellStyle name="Lien hypertexte visité" xfId="15674" builtinId="9" hidden="1"/>
    <cellStyle name="Lien hypertexte visité" xfId="15676" builtinId="9" hidden="1"/>
    <cellStyle name="Lien hypertexte visité" xfId="15678" builtinId="9" hidden="1"/>
    <cellStyle name="Lien hypertexte visité" xfId="15680" builtinId="9" hidden="1"/>
    <cellStyle name="Lien hypertexte visité" xfId="15682" builtinId="9" hidden="1"/>
    <cellStyle name="Lien hypertexte visité" xfId="15684" builtinId="9" hidden="1"/>
    <cellStyle name="Lien hypertexte visité" xfId="15686" builtinId="9" hidden="1"/>
    <cellStyle name="Lien hypertexte visité" xfId="15688" builtinId="9" hidden="1"/>
    <cellStyle name="Lien hypertexte visité" xfId="15690" builtinId="9" hidden="1"/>
    <cellStyle name="Lien hypertexte visité" xfId="15692" builtinId="9" hidden="1"/>
    <cellStyle name="Lien hypertexte visité" xfId="15694" builtinId="9" hidden="1"/>
    <cellStyle name="Lien hypertexte visité" xfId="15696" builtinId="9" hidden="1"/>
    <cellStyle name="Lien hypertexte visité" xfId="15698" builtinId="9" hidden="1"/>
    <cellStyle name="Lien hypertexte visité" xfId="15700" builtinId="9" hidden="1"/>
    <cellStyle name="Lien hypertexte visité" xfId="15702" builtinId="9" hidden="1"/>
    <cellStyle name="Lien hypertexte visité" xfId="15704" builtinId="9" hidden="1"/>
    <cellStyle name="Lien hypertexte visité" xfId="15706" builtinId="9" hidden="1"/>
    <cellStyle name="Lien hypertexte visité" xfId="15708" builtinId="9" hidden="1"/>
    <cellStyle name="Lien hypertexte visité" xfId="15710" builtinId="9" hidden="1"/>
    <cellStyle name="Lien hypertexte visité" xfId="15712" builtinId="9" hidden="1"/>
    <cellStyle name="Lien hypertexte visité" xfId="15714" builtinId="9" hidden="1"/>
    <cellStyle name="Lien hypertexte visité" xfId="15716" builtinId="9" hidden="1"/>
    <cellStyle name="Lien hypertexte visité" xfId="15718" builtinId="9" hidden="1"/>
    <cellStyle name="Lien hypertexte visité" xfId="15720" builtinId="9" hidden="1"/>
    <cellStyle name="Lien hypertexte visité" xfId="15722" builtinId="9" hidden="1"/>
    <cellStyle name="Lien hypertexte visité" xfId="15724" builtinId="9" hidden="1"/>
    <cellStyle name="Lien hypertexte visité" xfId="15726" builtinId="9" hidden="1"/>
    <cellStyle name="Lien hypertexte visité" xfId="15728" builtinId="9" hidden="1"/>
    <cellStyle name="Lien hypertexte visité" xfId="15730" builtinId="9" hidden="1"/>
    <cellStyle name="Lien hypertexte visité" xfId="15732" builtinId="9" hidden="1"/>
    <cellStyle name="Lien hypertexte visité" xfId="15734" builtinId="9" hidden="1"/>
    <cellStyle name="Lien hypertexte visité" xfId="15736" builtinId="9" hidden="1"/>
    <cellStyle name="Lien hypertexte visité" xfId="15738" builtinId="9" hidden="1"/>
    <cellStyle name="Lien hypertexte visité" xfId="15740" builtinId="9" hidden="1"/>
    <cellStyle name="Lien hypertexte visité" xfId="15742" builtinId="9" hidden="1"/>
    <cellStyle name="Lien hypertexte visité" xfId="15744" builtinId="9" hidden="1"/>
    <cellStyle name="Lien hypertexte visité" xfId="15746" builtinId="9" hidden="1"/>
    <cellStyle name="Lien hypertexte visité" xfId="15748" builtinId="9" hidden="1"/>
    <cellStyle name="Lien hypertexte visité" xfId="15750" builtinId="9" hidden="1"/>
    <cellStyle name="Lien hypertexte visité" xfId="15752" builtinId="9" hidden="1"/>
    <cellStyle name="Lien hypertexte visité" xfId="15754" builtinId="9" hidden="1"/>
    <cellStyle name="Lien hypertexte visité" xfId="15756" builtinId="9" hidden="1"/>
    <cellStyle name="Lien hypertexte visité" xfId="15758" builtinId="9" hidden="1"/>
    <cellStyle name="Lien hypertexte visité" xfId="15760" builtinId="9" hidden="1"/>
    <cellStyle name="Lien hypertexte visité" xfId="15762" builtinId="9" hidden="1"/>
    <cellStyle name="Lien hypertexte visité" xfId="15764" builtinId="9" hidden="1"/>
    <cellStyle name="Lien hypertexte visité" xfId="15766" builtinId="9" hidden="1"/>
    <cellStyle name="Lien hypertexte visité" xfId="15768" builtinId="9" hidden="1"/>
    <cellStyle name="Lien hypertexte visité" xfId="15770" builtinId="9" hidden="1"/>
    <cellStyle name="Lien hypertexte visité" xfId="15772" builtinId="9" hidden="1"/>
    <cellStyle name="Lien hypertexte visité" xfId="15774" builtinId="9" hidden="1"/>
    <cellStyle name="Lien hypertexte visité" xfId="15776" builtinId="9" hidden="1"/>
    <cellStyle name="Lien hypertexte visité" xfId="15778" builtinId="9" hidden="1"/>
    <cellStyle name="Lien hypertexte visité" xfId="15780" builtinId="9" hidden="1"/>
    <cellStyle name="Lien hypertexte visité" xfId="15782" builtinId="9" hidden="1"/>
    <cellStyle name="Lien hypertexte visité" xfId="15784" builtinId="9" hidden="1"/>
    <cellStyle name="Lien hypertexte visité" xfId="15786" builtinId="9" hidden="1"/>
    <cellStyle name="Lien hypertexte visité" xfId="15788" builtinId="9" hidden="1"/>
    <cellStyle name="Lien hypertexte visité" xfId="15790" builtinId="9" hidden="1"/>
    <cellStyle name="Lien hypertexte visité" xfId="15792" builtinId="9" hidden="1"/>
    <cellStyle name="Lien hypertexte visité" xfId="15794" builtinId="9" hidden="1"/>
    <cellStyle name="Lien hypertexte visité" xfId="15796" builtinId="9" hidden="1"/>
    <cellStyle name="Lien hypertexte visité" xfId="15798" builtinId="9" hidden="1"/>
    <cellStyle name="Lien hypertexte visité" xfId="15800" builtinId="9" hidden="1"/>
    <cellStyle name="Lien hypertexte visité" xfId="15802" builtinId="9" hidden="1"/>
    <cellStyle name="Lien hypertexte visité" xfId="15804" builtinId="9" hidden="1"/>
    <cellStyle name="Lien hypertexte visité" xfId="15806" builtinId="9" hidden="1"/>
    <cellStyle name="Lien hypertexte visité" xfId="15808" builtinId="9" hidden="1"/>
    <cellStyle name="Lien hypertexte visité" xfId="15810" builtinId="9" hidden="1"/>
    <cellStyle name="Lien hypertexte visité" xfId="15812" builtinId="9" hidden="1"/>
    <cellStyle name="Lien hypertexte visité" xfId="15814" builtinId="9" hidden="1"/>
    <cellStyle name="Lien hypertexte visité" xfId="15816" builtinId="9" hidden="1"/>
    <cellStyle name="Lien hypertexte visité" xfId="15818" builtinId="9" hidden="1"/>
    <cellStyle name="Lien hypertexte visité" xfId="15820" builtinId="9" hidden="1"/>
    <cellStyle name="Lien hypertexte visité" xfId="15822" builtinId="9" hidden="1"/>
    <cellStyle name="Lien hypertexte visité" xfId="15824" builtinId="9" hidden="1"/>
    <cellStyle name="Lien hypertexte visité" xfId="15826" builtinId="9" hidden="1"/>
    <cellStyle name="Lien hypertexte visité" xfId="15828" builtinId="9" hidden="1"/>
    <cellStyle name="Lien hypertexte visité" xfId="15830" builtinId="9" hidden="1"/>
    <cellStyle name="Lien hypertexte visité" xfId="15832" builtinId="9" hidden="1"/>
    <cellStyle name="Lien hypertexte visité" xfId="15834" builtinId="9" hidden="1"/>
    <cellStyle name="Lien hypertexte visité" xfId="15836" builtinId="9" hidden="1"/>
    <cellStyle name="Lien hypertexte visité" xfId="15838" builtinId="9" hidden="1"/>
    <cellStyle name="Lien hypertexte visité" xfId="15840" builtinId="9" hidden="1"/>
    <cellStyle name="Lien hypertexte visité" xfId="15842" builtinId="9" hidden="1"/>
    <cellStyle name="Lien hypertexte visité" xfId="15844" builtinId="9" hidden="1"/>
    <cellStyle name="Lien hypertexte visité" xfId="15846" builtinId="9" hidden="1"/>
    <cellStyle name="Lien hypertexte visité" xfId="15848" builtinId="9" hidden="1"/>
    <cellStyle name="Lien hypertexte visité" xfId="15850" builtinId="9" hidden="1"/>
    <cellStyle name="Lien hypertexte visité" xfId="15852" builtinId="9" hidden="1"/>
    <cellStyle name="Lien hypertexte visité" xfId="15854" builtinId="9" hidden="1"/>
    <cellStyle name="Lien hypertexte visité" xfId="15856" builtinId="9" hidden="1"/>
    <cellStyle name="Lien hypertexte visité" xfId="15858" builtinId="9" hidden="1"/>
    <cellStyle name="Lien hypertexte visité" xfId="15860" builtinId="9" hidden="1"/>
    <cellStyle name="Lien hypertexte visité" xfId="15862" builtinId="9" hidden="1"/>
    <cellStyle name="Lien hypertexte visité" xfId="15864" builtinId="9" hidden="1"/>
    <cellStyle name="Lien hypertexte visité" xfId="15866" builtinId="9" hidden="1"/>
    <cellStyle name="Lien hypertexte visité" xfId="15868" builtinId="9" hidden="1"/>
    <cellStyle name="Lien hypertexte visité" xfId="15870" builtinId="9" hidden="1"/>
    <cellStyle name="Lien hypertexte visité" xfId="15872" builtinId="9" hidden="1"/>
    <cellStyle name="Lien hypertexte visité" xfId="15874" builtinId="9" hidden="1"/>
    <cellStyle name="Lien hypertexte visité" xfId="15876" builtinId="9" hidden="1"/>
    <cellStyle name="Lien hypertexte visité" xfId="15878" builtinId="9" hidden="1"/>
    <cellStyle name="Lien hypertexte visité" xfId="15880" builtinId="9" hidden="1"/>
    <cellStyle name="Lien hypertexte visité" xfId="15882" builtinId="9" hidden="1"/>
    <cellStyle name="Lien hypertexte visité" xfId="15884" builtinId="9" hidden="1"/>
    <cellStyle name="Lien hypertexte visité" xfId="15886" builtinId="9" hidden="1"/>
    <cellStyle name="Lien hypertexte visité" xfId="15888" builtinId="9" hidden="1"/>
    <cellStyle name="Lien hypertexte visité" xfId="15890" builtinId="9" hidden="1"/>
    <cellStyle name="Lien hypertexte visité" xfId="15892" builtinId="9" hidden="1"/>
    <cellStyle name="Lien hypertexte visité" xfId="15894" builtinId="9" hidden="1"/>
    <cellStyle name="Lien hypertexte visité" xfId="15896" builtinId="9" hidden="1"/>
    <cellStyle name="Lien hypertexte visité" xfId="15898" builtinId="9" hidden="1"/>
    <cellStyle name="Lien hypertexte visité" xfId="15900" builtinId="9" hidden="1"/>
    <cellStyle name="Lien hypertexte visité" xfId="15902" builtinId="9" hidden="1"/>
    <cellStyle name="Lien hypertexte visité" xfId="15904" builtinId="9" hidden="1"/>
    <cellStyle name="Lien hypertexte visité" xfId="15906" builtinId="9" hidden="1"/>
    <cellStyle name="Lien hypertexte visité" xfId="15908" builtinId="9" hidden="1"/>
    <cellStyle name="Lien hypertexte visité" xfId="15910" builtinId="9" hidden="1"/>
    <cellStyle name="Lien hypertexte visité" xfId="15912" builtinId="9" hidden="1"/>
    <cellStyle name="Lien hypertexte visité" xfId="15914" builtinId="9" hidden="1"/>
    <cellStyle name="Lien hypertexte visité" xfId="15916" builtinId="9" hidden="1"/>
    <cellStyle name="Lien hypertexte visité" xfId="15918" builtinId="9" hidden="1"/>
    <cellStyle name="Lien hypertexte visité" xfId="15920" builtinId="9" hidden="1"/>
    <cellStyle name="Lien hypertexte visité" xfId="15922" builtinId="9" hidden="1"/>
    <cellStyle name="Lien hypertexte visité" xfId="15924" builtinId="9" hidden="1"/>
    <cellStyle name="Lien hypertexte visité" xfId="15926" builtinId="9" hidden="1"/>
    <cellStyle name="Lien hypertexte visité" xfId="15928" builtinId="9" hidden="1"/>
    <cellStyle name="Lien hypertexte visité" xfId="15930" builtinId="9" hidden="1"/>
    <cellStyle name="Lien hypertexte visité" xfId="15932" builtinId="9" hidden="1"/>
    <cellStyle name="Lien hypertexte visité" xfId="15934" builtinId="9" hidden="1"/>
    <cellStyle name="Lien hypertexte visité" xfId="15936" builtinId="9" hidden="1"/>
    <cellStyle name="Lien hypertexte visité" xfId="15938" builtinId="9" hidden="1"/>
    <cellStyle name="Lien hypertexte visité" xfId="15940" builtinId="9" hidden="1"/>
    <cellStyle name="Lien hypertexte visité" xfId="15942" builtinId="9" hidden="1"/>
    <cellStyle name="Lien hypertexte visité" xfId="15944" builtinId="9" hidden="1"/>
    <cellStyle name="Lien hypertexte visité" xfId="15946" builtinId="9" hidden="1"/>
    <cellStyle name="Lien hypertexte visité" xfId="15948" builtinId="9" hidden="1"/>
    <cellStyle name="Lien hypertexte visité" xfId="15950" builtinId="9" hidden="1"/>
    <cellStyle name="Lien hypertexte visité" xfId="15952" builtinId="9" hidden="1"/>
    <cellStyle name="Lien hypertexte visité" xfId="15954" builtinId="9" hidden="1"/>
    <cellStyle name="Lien hypertexte visité" xfId="15956" builtinId="9" hidden="1"/>
    <cellStyle name="Lien hypertexte visité" xfId="15958" builtinId="9" hidden="1"/>
    <cellStyle name="Lien hypertexte visité" xfId="15960" builtinId="9" hidden="1"/>
    <cellStyle name="Lien hypertexte visité" xfId="15962" builtinId="9" hidden="1"/>
    <cellStyle name="Lien hypertexte visité" xfId="15964" builtinId="9" hidden="1"/>
    <cellStyle name="Lien hypertexte visité" xfId="15966" builtinId="9" hidden="1"/>
    <cellStyle name="Lien hypertexte visité" xfId="15968" builtinId="9" hidden="1"/>
    <cellStyle name="Lien hypertexte visité" xfId="15970" builtinId="9" hidden="1"/>
    <cellStyle name="Lien hypertexte visité" xfId="15972" builtinId="9" hidden="1"/>
    <cellStyle name="Lien hypertexte visité" xfId="15974" builtinId="9" hidden="1"/>
    <cellStyle name="Lien hypertexte visité" xfId="15976" builtinId="9" hidden="1"/>
    <cellStyle name="Lien hypertexte visité" xfId="15978" builtinId="9" hidden="1"/>
    <cellStyle name="Lien hypertexte visité" xfId="15980" builtinId="9" hidden="1"/>
    <cellStyle name="Lien hypertexte visité" xfId="15982" builtinId="9" hidden="1"/>
    <cellStyle name="Lien hypertexte visité" xfId="15984" builtinId="9" hidden="1"/>
    <cellStyle name="Lien hypertexte visité" xfId="15986" builtinId="9" hidden="1"/>
    <cellStyle name="Lien hypertexte visité" xfId="15988" builtinId="9" hidden="1"/>
    <cellStyle name="Lien hypertexte visité" xfId="15990" builtinId="9" hidden="1"/>
    <cellStyle name="Lien hypertexte visité" xfId="15992" builtinId="9" hidden="1"/>
    <cellStyle name="Lien hypertexte visité" xfId="15994" builtinId="9" hidden="1"/>
    <cellStyle name="Lien hypertexte visité" xfId="15996" builtinId="9" hidden="1"/>
    <cellStyle name="Lien hypertexte visité" xfId="15998" builtinId="9" hidden="1"/>
    <cellStyle name="Lien hypertexte visité" xfId="16000" builtinId="9" hidden="1"/>
    <cellStyle name="Lien hypertexte visité" xfId="16002" builtinId="9" hidden="1"/>
    <cellStyle name="Lien hypertexte visité" xfId="16004" builtinId="9" hidden="1"/>
    <cellStyle name="Lien hypertexte visité" xfId="16006" builtinId="9" hidden="1"/>
    <cellStyle name="Lien hypertexte visité" xfId="16008" builtinId="9" hidden="1"/>
    <cellStyle name="Lien hypertexte visité" xfId="16010" builtinId="9" hidden="1"/>
    <cellStyle name="Lien hypertexte visité" xfId="16012" builtinId="9" hidden="1"/>
    <cellStyle name="Lien hypertexte visité" xfId="16014" builtinId="9" hidden="1"/>
    <cellStyle name="Lien hypertexte visité" xfId="16016" builtinId="9" hidden="1"/>
    <cellStyle name="Lien hypertexte visité" xfId="16018" builtinId="9" hidden="1"/>
    <cellStyle name="Lien hypertexte visité" xfId="16020" builtinId="9" hidden="1"/>
    <cellStyle name="Lien hypertexte visité" xfId="16022" builtinId="9" hidden="1"/>
    <cellStyle name="Lien hypertexte visité" xfId="16024" builtinId="9" hidden="1"/>
    <cellStyle name="Lien hypertexte visité" xfId="16026" builtinId="9" hidden="1"/>
    <cellStyle name="Lien hypertexte visité" xfId="16028" builtinId="9" hidden="1"/>
    <cellStyle name="Lien hypertexte visité" xfId="16030" builtinId="9" hidden="1"/>
    <cellStyle name="Lien hypertexte visité" xfId="16032" builtinId="9" hidden="1"/>
    <cellStyle name="Lien hypertexte visité" xfId="16034" builtinId="9" hidden="1"/>
    <cellStyle name="Lien hypertexte visité" xfId="16036" builtinId="9" hidden="1"/>
    <cellStyle name="Lien hypertexte visité" xfId="16038" builtinId="9" hidden="1"/>
    <cellStyle name="Lien hypertexte visité" xfId="16040" builtinId="9" hidden="1"/>
    <cellStyle name="Lien hypertexte visité" xfId="16042" builtinId="9" hidden="1"/>
    <cellStyle name="Lien hypertexte visité" xfId="16044" builtinId="9" hidden="1"/>
    <cellStyle name="Lien hypertexte visité" xfId="16046" builtinId="9" hidden="1"/>
    <cellStyle name="Lien hypertexte visité" xfId="16048" builtinId="9" hidden="1"/>
    <cellStyle name="Lien hypertexte visité" xfId="16050" builtinId="9" hidden="1"/>
    <cellStyle name="Lien hypertexte visité" xfId="16052" builtinId="9" hidden="1"/>
    <cellStyle name="Lien hypertexte visité" xfId="16054" builtinId="9" hidden="1"/>
    <cellStyle name="Lien hypertexte visité" xfId="16056" builtinId="9" hidden="1"/>
    <cellStyle name="Lien hypertexte visité" xfId="16058" builtinId="9" hidden="1"/>
    <cellStyle name="Lien hypertexte visité" xfId="16060" builtinId="9" hidden="1"/>
    <cellStyle name="Lien hypertexte visité" xfId="16062" builtinId="9" hidden="1"/>
    <cellStyle name="Lien hypertexte visité" xfId="16064" builtinId="9" hidden="1"/>
    <cellStyle name="Lien hypertexte visité" xfId="16066" builtinId="9" hidden="1"/>
    <cellStyle name="Lien hypertexte visité" xfId="16068" builtinId="9" hidden="1"/>
    <cellStyle name="Lien hypertexte visité" xfId="16070" builtinId="9" hidden="1"/>
    <cellStyle name="Lien hypertexte visité" xfId="16072" builtinId="9" hidden="1"/>
    <cellStyle name="Lien hypertexte visité" xfId="16074" builtinId="9" hidden="1"/>
    <cellStyle name="Lien hypertexte visité" xfId="16076" builtinId="9" hidden="1"/>
    <cellStyle name="Lien hypertexte visité" xfId="16078" builtinId="9" hidden="1"/>
    <cellStyle name="Lien hypertexte visité" xfId="16080" builtinId="9" hidden="1"/>
    <cellStyle name="Lien hypertexte visité" xfId="16082" builtinId="9" hidden="1"/>
    <cellStyle name="Lien hypertexte visité" xfId="16084" builtinId="9" hidden="1"/>
    <cellStyle name="Lien hypertexte visité" xfId="16086" builtinId="9" hidden="1"/>
    <cellStyle name="Lien hypertexte visité" xfId="16088" builtinId="9" hidden="1"/>
    <cellStyle name="Lien hypertexte visité" xfId="16090" builtinId="9" hidden="1"/>
    <cellStyle name="Lien hypertexte visité" xfId="16092" builtinId="9" hidden="1"/>
    <cellStyle name="Lien hypertexte visité" xfId="16094" builtinId="9" hidden="1"/>
    <cellStyle name="Lien hypertexte visité" xfId="16096" builtinId="9" hidden="1"/>
    <cellStyle name="Lien hypertexte visité" xfId="16098" builtinId="9" hidden="1"/>
    <cellStyle name="Lien hypertexte visité" xfId="16100" builtinId="9" hidden="1"/>
    <cellStyle name="Lien hypertexte visité" xfId="16102" builtinId="9" hidden="1"/>
    <cellStyle name="Lien hypertexte visité" xfId="16104" builtinId="9" hidden="1"/>
    <cellStyle name="Lien hypertexte visité" xfId="16106" builtinId="9" hidden="1"/>
    <cellStyle name="Lien hypertexte visité" xfId="16108" builtinId="9" hidden="1"/>
    <cellStyle name="Lien hypertexte visité" xfId="16110" builtinId="9" hidden="1"/>
    <cellStyle name="Lien hypertexte visité" xfId="16112" builtinId="9" hidden="1"/>
    <cellStyle name="Lien hypertexte visité" xfId="16114" builtinId="9" hidden="1"/>
    <cellStyle name="Lien hypertexte visité" xfId="16116" builtinId="9" hidden="1"/>
    <cellStyle name="Lien hypertexte visité" xfId="16118" builtinId="9" hidden="1"/>
    <cellStyle name="Lien hypertexte visité" xfId="16120" builtinId="9" hidden="1"/>
    <cellStyle name="Lien hypertexte visité" xfId="16122" builtinId="9" hidden="1"/>
    <cellStyle name="Lien hypertexte visité" xfId="16124" builtinId="9" hidden="1"/>
    <cellStyle name="Lien hypertexte visité" xfId="16126" builtinId="9" hidden="1"/>
    <cellStyle name="Lien hypertexte visité" xfId="16128" builtinId="9" hidden="1"/>
    <cellStyle name="Lien hypertexte visité" xfId="16130" builtinId="9" hidden="1"/>
    <cellStyle name="Lien hypertexte visité" xfId="16132" builtinId="9" hidden="1"/>
    <cellStyle name="Lien hypertexte visité" xfId="16134" builtinId="9" hidden="1"/>
    <cellStyle name="Lien hypertexte visité" xfId="16136" builtinId="9" hidden="1"/>
    <cellStyle name="Lien hypertexte visité" xfId="16138" builtinId="9" hidden="1"/>
    <cellStyle name="Lien hypertexte visité" xfId="16140" builtinId="9" hidden="1"/>
    <cellStyle name="Lien hypertexte visité" xfId="16142" builtinId="9" hidden="1"/>
    <cellStyle name="Lien hypertexte visité" xfId="16144" builtinId="9" hidden="1"/>
    <cellStyle name="Lien hypertexte visité" xfId="16146" builtinId="9" hidden="1"/>
    <cellStyle name="Lien hypertexte visité" xfId="16148" builtinId="9" hidden="1"/>
    <cellStyle name="Lien hypertexte visité" xfId="16150" builtinId="9" hidden="1"/>
    <cellStyle name="Lien hypertexte visité" xfId="16152" builtinId="9" hidden="1"/>
    <cellStyle name="Lien hypertexte visité" xfId="16154" builtinId="9" hidden="1"/>
    <cellStyle name="Lien hypertexte visité" xfId="16156" builtinId="9" hidden="1"/>
    <cellStyle name="Lien hypertexte visité" xfId="16158" builtinId="9" hidden="1"/>
    <cellStyle name="Lien hypertexte visité" xfId="16160" builtinId="9" hidden="1"/>
    <cellStyle name="Lien hypertexte visité" xfId="16162" builtinId="9" hidden="1"/>
    <cellStyle name="Lien hypertexte visité" xfId="16164" builtinId="9" hidden="1"/>
    <cellStyle name="Lien hypertexte visité" xfId="16166" builtinId="9" hidden="1"/>
    <cellStyle name="Lien hypertexte visité" xfId="16168" builtinId="9" hidden="1"/>
    <cellStyle name="Lien hypertexte visité" xfId="16170" builtinId="9" hidden="1"/>
    <cellStyle name="Lien hypertexte visité" xfId="16172" builtinId="9" hidden="1"/>
    <cellStyle name="Lien hypertexte visité" xfId="16174" builtinId="9" hidden="1"/>
    <cellStyle name="Lien hypertexte visité" xfId="16176" builtinId="9" hidden="1"/>
    <cellStyle name="Lien hypertexte visité" xfId="16178" builtinId="9" hidden="1"/>
    <cellStyle name="Lien hypertexte visité" xfId="16180" builtinId="9" hidden="1"/>
    <cellStyle name="Lien hypertexte visité" xfId="16182" builtinId="9" hidden="1"/>
    <cellStyle name="Lien hypertexte visité" xfId="16184" builtinId="9" hidden="1"/>
    <cellStyle name="Lien hypertexte visité" xfId="16186" builtinId="9" hidden="1"/>
    <cellStyle name="Lien hypertexte visité" xfId="16188" builtinId="9" hidden="1"/>
    <cellStyle name="Lien hypertexte visité" xfId="16190" builtinId="9" hidden="1"/>
    <cellStyle name="Lien hypertexte visité" xfId="16192" builtinId="9" hidden="1"/>
    <cellStyle name="Lien hypertexte visité" xfId="16194" builtinId="9" hidden="1"/>
    <cellStyle name="Lien hypertexte visité" xfId="16196" builtinId="9" hidden="1"/>
    <cellStyle name="Lien hypertexte visité" xfId="16198" builtinId="9" hidden="1"/>
    <cellStyle name="Lien hypertexte visité" xfId="16200" builtinId="9" hidden="1"/>
    <cellStyle name="Lien hypertexte visité" xfId="16202" builtinId="9" hidden="1"/>
    <cellStyle name="Lien hypertexte visité" xfId="16204" builtinId="9" hidden="1"/>
    <cellStyle name="Lien hypertexte visité" xfId="16206" builtinId="9" hidden="1"/>
    <cellStyle name="Lien hypertexte visité" xfId="16208" builtinId="9" hidden="1"/>
    <cellStyle name="Lien hypertexte visité" xfId="16210" builtinId="9" hidden="1"/>
    <cellStyle name="Lien hypertexte visité" xfId="16212" builtinId="9" hidden="1"/>
    <cellStyle name="Lien hypertexte visité" xfId="16214" builtinId="9" hidden="1"/>
    <cellStyle name="Lien hypertexte visité" xfId="16216" builtinId="9" hidden="1"/>
    <cellStyle name="Lien hypertexte visité" xfId="16218" builtinId="9" hidden="1"/>
    <cellStyle name="Lien hypertexte visité" xfId="16220" builtinId="9" hidden="1"/>
    <cellStyle name="Lien hypertexte visité" xfId="16222" builtinId="9" hidden="1"/>
    <cellStyle name="Lien hypertexte visité" xfId="16224" builtinId="9" hidden="1"/>
    <cellStyle name="Lien hypertexte visité" xfId="16226" builtinId="9" hidden="1"/>
    <cellStyle name="Lien hypertexte visité" xfId="16228" builtinId="9" hidden="1"/>
    <cellStyle name="Lien hypertexte visité" xfId="16230" builtinId="9" hidden="1"/>
    <cellStyle name="Lien hypertexte visité" xfId="16232" builtinId="9" hidden="1"/>
    <cellStyle name="Lien hypertexte visité" xfId="16234" builtinId="9" hidden="1"/>
    <cellStyle name="Lien hypertexte visité" xfId="16236" builtinId="9" hidden="1"/>
    <cellStyle name="Lien hypertexte visité" xfId="16238" builtinId="9" hidden="1"/>
    <cellStyle name="Lien hypertexte visité" xfId="16240" builtinId="9" hidden="1"/>
    <cellStyle name="Lien hypertexte visité" xfId="16242" builtinId="9" hidden="1"/>
    <cellStyle name="Lien hypertexte visité" xfId="16244" builtinId="9" hidden="1"/>
    <cellStyle name="Lien hypertexte visité" xfId="16246" builtinId="9" hidden="1"/>
    <cellStyle name="Lien hypertexte visité" xfId="16248" builtinId="9" hidden="1"/>
    <cellStyle name="Lien hypertexte visité" xfId="16250" builtinId="9" hidden="1"/>
    <cellStyle name="Lien hypertexte visité" xfId="16252" builtinId="9" hidden="1"/>
    <cellStyle name="Lien hypertexte visité" xfId="16254" builtinId="9" hidden="1"/>
    <cellStyle name="Lien hypertexte visité" xfId="16256" builtinId="9" hidden="1"/>
    <cellStyle name="Lien hypertexte visité" xfId="16258" builtinId="9" hidden="1"/>
    <cellStyle name="Lien hypertexte visité" xfId="16260" builtinId="9" hidden="1"/>
    <cellStyle name="Lien hypertexte visité" xfId="16262" builtinId="9" hidden="1"/>
    <cellStyle name="Lien hypertexte visité" xfId="16264" builtinId="9" hidden="1"/>
    <cellStyle name="Lien hypertexte visité" xfId="16266" builtinId="9" hidden="1"/>
    <cellStyle name="Lien hypertexte visité" xfId="16268" builtinId="9" hidden="1"/>
    <cellStyle name="Lien hypertexte visité" xfId="16270" builtinId="9" hidden="1"/>
    <cellStyle name="Lien hypertexte visité" xfId="16272" builtinId="9" hidden="1"/>
    <cellStyle name="Lien hypertexte visité" xfId="16274" builtinId="9" hidden="1"/>
    <cellStyle name="Lien hypertexte visité" xfId="16276" builtinId="9" hidden="1"/>
    <cellStyle name="Lien hypertexte visité" xfId="16278" builtinId="9" hidden="1"/>
    <cellStyle name="Lien hypertexte visité" xfId="16280" builtinId="9" hidden="1"/>
    <cellStyle name="Lien hypertexte visité" xfId="16282" builtinId="9" hidden="1"/>
    <cellStyle name="Lien hypertexte visité" xfId="16284" builtinId="9" hidden="1"/>
    <cellStyle name="Lien hypertexte visité" xfId="16286" builtinId="9" hidden="1"/>
    <cellStyle name="Lien hypertexte visité" xfId="16288" builtinId="9" hidden="1"/>
    <cellStyle name="Lien hypertexte visité" xfId="16290" builtinId="9" hidden="1"/>
    <cellStyle name="Lien hypertexte visité" xfId="16292" builtinId="9" hidden="1"/>
    <cellStyle name="Lien hypertexte visité" xfId="16294" builtinId="9" hidden="1"/>
    <cellStyle name="Lien hypertexte visité" xfId="16296" builtinId="9" hidden="1"/>
    <cellStyle name="Lien hypertexte visité" xfId="16298" builtinId="9" hidden="1"/>
    <cellStyle name="Lien hypertexte visité" xfId="16300" builtinId="9" hidden="1"/>
    <cellStyle name="Lien hypertexte visité" xfId="16302" builtinId="9" hidden="1"/>
    <cellStyle name="Lien hypertexte visité" xfId="16304" builtinId="9" hidden="1"/>
    <cellStyle name="Lien hypertexte visité" xfId="16306" builtinId="9" hidden="1"/>
    <cellStyle name="Lien hypertexte visité" xfId="16308" builtinId="9" hidden="1"/>
    <cellStyle name="Lien hypertexte visité" xfId="16310" builtinId="9" hidden="1"/>
    <cellStyle name="Lien hypertexte visité" xfId="16312" builtinId="9" hidden="1"/>
    <cellStyle name="Lien hypertexte visité" xfId="16314" builtinId="9" hidden="1"/>
    <cellStyle name="Lien hypertexte visité" xfId="16316" builtinId="9" hidden="1"/>
    <cellStyle name="Lien hypertexte visité" xfId="16318" builtinId="9" hidden="1"/>
    <cellStyle name="Lien hypertexte visité" xfId="16320" builtinId="9" hidden="1"/>
    <cellStyle name="Lien hypertexte visité" xfId="16322" builtinId="9" hidden="1"/>
    <cellStyle name="Lien hypertexte visité" xfId="16324" builtinId="9" hidden="1"/>
    <cellStyle name="Lien hypertexte visité" xfId="16326" builtinId="9" hidden="1"/>
    <cellStyle name="Lien hypertexte visité" xfId="16328" builtinId="9" hidden="1"/>
    <cellStyle name="Lien hypertexte visité" xfId="16330" builtinId="9" hidden="1"/>
    <cellStyle name="Lien hypertexte visité" xfId="16332" builtinId="9" hidden="1"/>
    <cellStyle name="Lien hypertexte visité" xfId="16334" builtinId="9" hidden="1"/>
    <cellStyle name="Lien hypertexte visité" xfId="16336" builtinId="9" hidden="1"/>
    <cellStyle name="Lien hypertexte visité" xfId="16338" builtinId="9" hidden="1"/>
    <cellStyle name="Lien hypertexte visité" xfId="16340" builtinId="9" hidden="1"/>
    <cellStyle name="Lien hypertexte visité" xfId="16342" builtinId="9" hidden="1"/>
    <cellStyle name="Lien hypertexte visité" xfId="16344" builtinId="9" hidden="1"/>
    <cellStyle name="Lien hypertexte visité" xfId="16346" builtinId="9" hidden="1"/>
    <cellStyle name="Lien hypertexte visité" xfId="16348" builtinId="9" hidden="1"/>
    <cellStyle name="Lien hypertexte visité" xfId="16350" builtinId="9" hidden="1"/>
    <cellStyle name="Lien hypertexte visité" xfId="16352" builtinId="9" hidden="1"/>
    <cellStyle name="Lien hypertexte visité" xfId="16354" builtinId="9" hidden="1"/>
    <cellStyle name="Lien hypertexte visité" xfId="16356" builtinId="9" hidden="1"/>
    <cellStyle name="Lien hypertexte visité" xfId="16358" builtinId="9" hidden="1"/>
    <cellStyle name="Lien hypertexte visité" xfId="16360" builtinId="9" hidden="1"/>
    <cellStyle name="Lien hypertexte visité" xfId="16362" builtinId="9" hidden="1"/>
    <cellStyle name="Lien hypertexte visité" xfId="16364" builtinId="9" hidden="1"/>
    <cellStyle name="Lien hypertexte visité" xfId="16366" builtinId="9" hidden="1"/>
    <cellStyle name="Lien hypertexte visité" xfId="16368" builtinId="9" hidden="1"/>
    <cellStyle name="Lien hypertexte visité" xfId="16370" builtinId="9" hidden="1"/>
    <cellStyle name="Lien hypertexte visité" xfId="16372" builtinId="9" hidden="1"/>
    <cellStyle name="Lien hypertexte visité" xfId="16374" builtinId="9" hidden="1"/>
    <cellStyle name="Lien hypertexte visité" xfId="16376" builtinId="9" hidden="1"/>
    <cellStyle name="Lien hypertexte visité" xfId="16378" builtinId="9" hidden="1"/>
    <cellStyle name="Lien hypertexte visité" xfId="16380" builtinId="9" hidden="1"/>
    <cellStyle name="Lien hypertexte visité" xfId="16382" builtinId="9" hidden="1"/>
    <cellStyle name="Lien hypertexte visité" xfId="16384" builtinId="9" hidden="1"/>
    <cellStyle name="Lien hypertexte visité" xfId="16386" builtinId="9" hidden="1"/>
    <cellStyle name="Lien hypertexte visité" xfId="16388" builtinId="9" hidden="1"/>
    <cellStyle name="Lien hypertexte visité" xfId="16390" builtinId="9" hidden="1"/>
    <cellStyle name="Lien hypertexte visité" xfId="16392" builtinId="9" hidden="1"/>
    <cellStyle name="Lien hypertexte visité" xfId="16394" builtinId="9" hidden="1"/>
    <cellStyle name="Lien hypertexte visité" xfId="16396" builtinId="9" hidden="1"/>
    <cellStyle name="Lien hypertexte visité" xfId="16398" builtinId="9" hidden="1"/>
    <cellStyle name="Lien hypertexte visité" xfId="16400" builtinId="9" hidden="1"/>
    <cellStyle name="Lien hypertexte visité" xfId="16402" builtinId="9" hidden="1"/>
    <cellStyle name="Lien hypertexte visité" xfId="16404" builtinId="9" hidden="1"/>
    <cellStyle name="Lien hypertexte visité" xfId="16406" builtinId="9" hidden="1"/>
    <cellStyle name="Lien hypertexte visité" xfId="16408" builtinId="9" hidden="1"/>
    <cellStyle name="Lien hypertexte visité" xfId="16410" builtinId="9" hidden="1"/>
    <cellStyle name="Lien hypertexte visité" xfId="16412" builtinId="9" hidden="1"/>
    <cellStyle name="Lien hypertexte visité" xfId="16414" builtinId="9" hidden="1"/>
    <cellStyle name="Lien hypertexte visité" xfId="16416" builtinId="9" hidden="1"/>
    <cellStyle name="Lien hypertexte visité" xfId="16418" builtinId="9" hidden="1"/>
    <cellStyle name="Lien hypertexte visité" xfId="16420" builtinId="9" hidden="1"/>
    <cellStyle name="Lien hypertexte visité" xfId="16422" builtinId="9" hidden="1"/>
    <cellStyle name="Lien hypertexte visité" xfId="16424" builtinId="9" hidden="1"/>
    <cellStyle name="Lien hypertexte visité" xfId="16426" builtinId="9" hidden="1"/>
    <cellStyle name="Lien hypertexte visité" xfId="16428" builtinId="9" hidden="1"/>
    <cellStyle name="Lien hypertexte visité" xfId="16430" builtinId="9" hidden="1"/>
    <cellStyle name="Lien hypertexte visité" xfId="16432" builtinId="9" hidden="1"/>
    <cellStyle name="Lien hypertexte visité" xfId="16434" builtinId="9" hidden="1"/>
    <cellStyle name="Lien hypertexte visité" xfId="16436" builtinId="9" hidden="1"/>
    <cellStyle name="Lien hypertexte visité" xfId="16438" builtinId="9" hidden="1"/>
    <cellStyle name="Lien hypertexte visité" xfId="16440" builtinId="9" hidden="1"/>
    <cellStyle name="Lien hypertexte visité" xfId="16442" builtinId="9" hidden="1"/>
    <cellStyle name="Lien hypertexte visité" xfId="16444" builtinId="9" hidden="1"/>
    <cellStyle name="Lien hypertexte visité" xfId="16446" builtinId="9" hidden="1"/>
    <cellStyle name="Lien hypertexte visité" xfId="16448" builtinId="9" hidden="1"/>
    <cellStyle name="Lien hypertexte visité" xfId="16450" builtinId="9" hidden="1"/>
    <cellStyle name="Lien hypertexte visité" xfId="16452" builtinId="9" hidden="1"/>
    <cellStyle name="Lien hypertexte visité" xfId="16454" builtinId="9" hidden="1"/>
    <cellStyle name="Lien hypertexte visité" xfId="16456" builtinId="9" hidden="1"/>
    <cellStyle name="Lien hypertexte visité" xfId="16458" builtinId="9" hidden="1"/>
    <cellStyle name="Lien hypertexte visité" xfId="16460" builtinId="9" hidden="1"/>
    <cellStyle name="Lien hypertexte visité" xfId="16462" builtinId="9" hidden="1"/>
    <cellStyle name="Lien hypertexte visité" xfId="16464" builtinId="9" hidden="1"/>
    <cellStyle name="Lien hypertexte visité" xfId="16466" builtinId="9" hidden="1"/>
    <cellStyle name="Lien hypertexte visité" xfId="16468" builtinId="9" hidden="1"/>
    <cellStyle name="Lien hypertexte visité" xfId="16470" builtinId="9" hidden="1"/>
    <cellStyle name="Lien hypertexte visité" xfId="16472" builtinId="9" hidden="1"/>
    <cellStyle name="Lien hypertexte visité" xfId="16474" builtinId="9" hidden="1"/>
    <cellStyle name="Lien hypertexte visité" xfId="16476" builtinId="9" hidden="1"/>
    <cellStyle name="Lien hypertexte visité" xfId="16478" builtinId="9" hidden="1"/>
    <cellStyle name="Lien hypertexte visité" xfId="16480" builtinId="9" hidden="1"/>
    <cellStyle name="Lien hypertexte visité" xfId="16482" builtinId="9" hidden="1"/>
    <cellStyle name="Lien hypertexte visité" xfId="16484" builtinId="9" hidden="1"/>
    <cellStyle name="Lien hypertexte visité" xfId="16486" builtinId="9" hidden="1"/>
    <cellStyle name="Lien hypertexte visité" xfId="16488" builtinId="9" hidden="1"/>
    <cellStyle name="Lien hypertexte visité" xfId="16490" builtinId="9" hidden="1"/>
    <cellStyle name="Lien hypertexte visité" xfId="16492" builtinId="9" hidden="1"/>
    <cellStyle name="Lien hypertexte visité" xfId="16494" builtinId="9" hidden="1"/>
    <cellStyle name="Lien hypertexte visité" xfId="16496" builtinId="9" hidden="1"/>
    <cellStyle name="Lien hypertexte visité" xfId="16498" builtinId="9" hidden="1"/>
    <cellStyle name="Lien hypertexte visité" xfId="16500" builtinId="9" hidden="1"/>
    <cellStyle name="Lien hypertexte visité" xfId="16502" builtinId="9" hidden="1"/>
    <cellStyle name="Lien hypertexte visité" xfId="16504" builtinId="9" hidden="1"/>
    <cellStyle name="Lien hypertexte visité" xfId="16506" builtinId="9" hidden="1"/>
    <cellStyle name="Lien hypertexte visité" xfId="16508" builtinId="9" hidden="1"/>
    <cellStyle name="Lien hypertexte visité" xfId="16510" builtinId="9" hidden="1"/>
    <cellStyle name="Lien hypertexte visité" xfId="16512" builtinId="9" hidden="1"/>
    <cellStyle name="Lien hypertexte visité" xfId="16514" builtinId="9" hidden="1"/>
    <cellStyle name="Lien hypertexte visité" xfId="16516" builtinId="9" hidden="1"/>
    <cellStyle name="Lien hypertexte visité" xfId="16518" builtinId="9" hidden="1"/>
    <cellStyle name="Lien hypertexte visité" xfId="16520" builtinId="9" hidden="1"/>
    <cellStyle name="Lien hypertexte visité" xfId="16522" builtinId="9" hidden="1"/>
    <cellStyle name="Lien hypertexte visité" xfId="16524" builtinId="9" hidden="1"/>
    <cellStyle name="Lien hypertexte visité" xfId="16526" builtinId="9" hidden="1"/>
    <cellStyle name="Lien hypertexte visité" xfId="16528" builtinId="9" hidden="1"/>
    <cellStyle name="Lien hypertexte visité" xfId="16530" builtinId="9" hidden="1"/>
    <cellStyle name="Lien hypertexte visité" xfId="16532" builtinId="9" hidden="1"/>
    <cellStyle name="Lien hypertexte visité" xfId="16534" builtinId="9" hidden="1"/>
    <cellStyle name="Lien hypertexte visité" xfId="16536" builtinId="9" hidden="1"/>
    <cellStyle name="Lien hypertexte visité" xfId="16538" builtinId="9" hidden="1"/>
    <cellStyle name="Lien hypertexte visité" xfId="16540" builtinId="9" hidden="1"/>
    <cellStyle name="Lien hypertexte visité" xfId="16542" builtinId="9" hidden="1"/>
    <cellStyle name="Lien hypertexte visité" xfId="16544" builtinId="9" hidden="1"/>
    <cellStyle name="Lien hypertexte visité" xfId="16546" builtinId="9" hidden="1"/>
    <cellStyle name="Lien hypertexte visité" xfId="16548" builtinId="9" hidden="1"/>
    <cellStyle name="Lien hypertexte visité" xfId="16550" builtinId="9" hidden="1"/>
    <cellStyle name="Lien hypertexte visité" xfId="16552" builtinId="9" hidden="1"/>
    <cellStyle name="Lien hypertexte visité" xfId="16554" builtinId="9" hidden="1"/>
    <cellStyle name="Lien hypertexte visité" xfId="16556" builtinId="9" hidden="1"/>
    <cellStyle name="Lien hypertexte visité" xfId="16558" builtinId="9" hidden="1"/>
    <cellStyle name="Lien hypertexte visité" xfId="16560" builtinId="9" hidden="1"/>
    <cellStyle name="Lien hypertexte visité" xfId="16562" builtinId="9" hidden="1"/>
    <cellStyle name="Lien hypertexte visité" xfId="16564" builtinId="9" hidden="1"/>
    <cellStyle name="Lien hypertexte visité" xfId="16566" builtinId="9" hidden="1"/>
    <cellStyle name="Lien hypertexte visité" xfId="16568" builtinId="9" hidden="1"/>
    <cellStyle name="Lien hypertexte visité" xfId="16570" builtinId="9" hidden="1"/>
    <cellStyle name="Lien hypertexte visité" xfId="16572" builtinId="9" hidden="1"/>
    <cellStyle name="Lien hypertexte visité" xfId="16574" builtinId="9" hidden="1"/>
    <cellStyle name="Lien hypertexte visité" xfId="16576" builtinId="9" hidden="1"/>
    <cellStyle name="Lien hypertexte visité" xfId="16578" builtinId="9" hidden="1"/>
    <cellStyle name="Lien hypertexte visité" xfId="16580" builtinId="9" hidden="1"/>
    <cellStyle name="Lien hypertexte visité" xfId="16582" builtinId="9" hidden="1"/>
    <cellStyle name="Lien hypertexte visité" xfId="16584" builtinId="9" hidden="1"/>
    <cellStyle name="Lien hypertexte visité" xfId="16586" builtinId="9" hidden="1"/>
    <cellStyle name="Lien hypertexte visité" xfId="16588" builtinId="9" hidden="1"/>
    <cellStyle name="Lien hypertexte visité" xfId="16590" builtinId="9" hidden="1"/>
    <cellStyle name="Lien hypertexte visité" xfId="16592" builtinId="9" hidden="1"/>
    <cellStyle name="Lien hypertexte visité" xfId="16594" builtinId="9" hidden="1"/>
    <cellStyle name="Lien hypertexte visité" xfId="16596" builtinId="9" hidden="1"/>
    <cellStyle name="Lien hypertexte visité" xfId="16598" builtinId="9" hidden="1"/>
    <cellStyle name="Lien hypertexte visité" xfId="16600" builtinId="9" hidden="1"/>
    <cellStyle name="Lien hypertexte visité" xfId="16602" builtinId="9" hidden="1"/>
    <cellStyle name="Lien hypertexte visité" xfId="16604" builtinId="9" hidden="1"/>
    <cellStyle name="Lien hypertexte visité" xfId="16606" builtinId="9" hidden="1"/>
    <cellStyle name="Lien hypertexte visité" xfId="16608" builtinId="9" hidden="1"/>
    <cellStyle name="Lien hypertexte visité" xfId="16610" builtinId="9" hidden="1"/>
    <cellStyle name="Lien hypertexte visité" xfId="16612" builtinId="9" hidden="1"/>
    <cellStyle name="Lien hypertexte visité" xfId="16614" builtinId="9" hidden="1"/>
    <cellStyle name="Lien hypertexte visité" xfId="16616" builtinId="9" hidden="1"/>
    <cellStyle name="Lien hypertexte visité" xfId="16618" builtinId="9" hidden="1"/>
    <cellStyle name="Lien hypertexte visité" xfId="16620" builtinId="9" hidden="1"/>
    <cellStyle name="Lien hypertexte visité" xfId="16622" builtinId="9" hidden="1"/>
    <cellStyle name="Lien hypertexte visité" xfId="16624" builtinId="9" hidden="1"/>
    <cellStyle name="Lien hypertexte visité" xfId="16626" builtinId="9" hidden="1"/>
    <cellStyle name="Lien hypertexte visité" xfId="16628" builtinId="9" hidden="1"/>
    <cellStyle name="Lien hypertexte visité" xfId="16630" builtinId="9" hidden="1"/>
    <cellStyle name="Lien hypertexte visité" xfId="16632" builtinId="9" hidden="1"/>
    <cellStyle name="Lien hypertexte visité" xfId="16634" builtinId="9" hidden="1"/>
    <cellStyle name="Lien hypertexte visité" xfId="16636" builtinId="9" hidden="1"/>
    <cellStyle name="Lien hypertexte visité" xfId="16638" builtinId="9" hidden="1"/>
    <cellStyle name="Lien hypertexte visité" xfId="16640" builtinId="9" hidden="1"/>
    <cellStyle name="Lien hypertexte visité" xfId="16642" builtinId="9" hidden="1"/>
    <cellStyle name="Lien hypertexte visité" xfId="16644" builtinId="9" hidden="1"/>
    <cellStyle name="Lien hypertexte visité" xfId="16646" builtinId="9" hidden="1"/>
    <cellStyle name="Lien hypertexte visité" xfId="16648" builtinId="9" hidden="1"/>
    <cellStyle name="Lien hypertexte visité" xfId="16650" builtinId="9" hidden="1"/>
    <cellStyle name="Lien hypertexte visité" xfId="16652" builtinId="9" hidden="1"/>
    <cellStyle name="Lien hypertexte visité" xfId="16654" builtinId="9" hidden="1"/>
    <cellStyle name="Lien hypertexte visité" xfId="16656" builtinId="9" hidden="1"/>
    <cellStyle name="Lien hypertexte visité" xfId="16658" builtinId="9" hidden="1"/>
    <cellStyle name="Lien hypertexte visité" xfId="16660" builtinId="9" hidden="1"/>
    <cellStyle name="Lien hypertexte visité" xfId="16662" builtinId="9" hidden="1"/>
    <cellStyle name="Lien hypertexte visité" xfId="16664" builtinId="9" hidden="1"/>
    <cellStyle name="Lien hypertexte visité" xfId="16666" builtinId="9" hidden="1"/>
    <cellStyle name="Lien hypertexte visité" xfId="16668" builtinId="9" hidden="1"/>
    <cellStyle name="Lien hypertexte visité" xfId="16670" builtinId="9" hidden="1"/>
    <cellStyle name="Lien hypertexte visité" xfId="16672" builtinId="9" hidden="1"/>
    <cellStyle name="Lien hypertexte visité" xfId="16674" builtinId="9" hidden="1"/>
    <cellStyle name="Lien hypertexte visité" xfId="16676" builtinId="9" hidden="1"/>
    <cellStyle name="Lien hypertexte visité" xfId="16678" builtinId="9" hidden="1"/>
    <cellStyle name="Lien hypertexte visité" xfId="16680" builtinId="9" hidden="1"/>
    <cellStyle name="Lien hypertexte visité" xfId="16682" builtinId="9" hidden="1"/>
    <cellStyle name="Lien hypertexte visité" xfId="16684" builtinId="9" hidden="1"/>
    <cellStyle name="Lien hypertexte visité" xfId="16686" builtinId="9" hidden="1"/>
    <cellStyle name="Lien hypertexte visité" xfId="16688" builtinId="9" hidden="1"/>
    <cellStyle name="Lien hypertexte visité" xfId="16690" builtinId="9" hidden="1"/>
    <cellStyle name="Lien hypertexte visité" xfId="16692" builtinId="9" hidden="1"/>
    <cellStyle name="Lien hypertexte visité" xfId="16694" builtinId="9" hidden="1"/>
    <cellStyle name="Lien hypertexte visité" xfId="16696" builtinId="9" hidden="1"/>
    <cellStyle name="Lien hypertexte visité" xfId="16698" builtinId="9" hidden="1"/>
    <cellStyle name="Lien hypertexte visité" xfId="16700" builtinId="9" hidden="1"/>
    <cellStyle name="Lien hypertexte visité" xfId="16702" builtinId="9" hidden="1"/>
    <cellStyle name="Lien hypertexte visité" xfId="16704" builtinId="9" hidden="1"/>
    <cellStyle name="Lien hypertexte visité" xfId="16706" builtinId="9" hidden="1"/>
    <cellStyle name="Lien hypertexte visité" xfId="16708" builtinId="9" hidden="1"/>
    <cellStyle name="Lien hypertexte visité" xfId="16710" builtinId="9" hidden="1"/>
    <cellStyle name="Lien hypertexte visité" xfId="16712" builtinId="9" hidden="1"/>
    <cellStyle name="Lien hypertexte visité" xfId="16714" builtinId="9" hidden="1"/>
    <cellStyle name="Lien hypertexte visité" xfId="16716" builtinId="9" hidden="1"/>
    <cellStyle name="Lien hypertexte visité" xfId="16718" builtinId="9" hidden="1"/>
    <cellStyle name="Lien hypertexte visité" xfId="16720" builtinId="9" hidden="1"/>
    <cellStyle name="Lien hypertexte visité" xfId="16722" builtinId="9" hidden="1"/>
    <cellStyle name="Lien hypertexte visité" xfId="16724" builtinId="9" hidden="1"/>
    <cellStyle name="Lien hypertexte visité" xfId="16726" builtinId="9" hidden="1"/>
    <cellStyle name="Lien hypertexte visité" xfId="16728" builtinId="9" hidden="1"/>
    <cellStyle name="Lien hypertexte visité" xfId="16730" builtinId="9" hidden="1"/>
    <cellStyle name="Lien hypertexte visité" xfId="16732" builtinId="9" hidden="1"/>
    <cellStyle name="Lien hypertexte visité" xfId="16734" builtinId="9" hidden="1"/>
    <cellStyle name="Lien hypertexte visité" xfId="16736" builtinId="9" hidden="1"/>
    <cellStyle name="Lien hypertexte visité" xfId="16738" builtinId="9" hidden="1"/>
    <cellStyle name="Lien hypertexte visité" xfId="16740" builtinId="9" hidden="1"/>
    <cellStyle name="Lien hypertexte visité" xfId="16742" builtinId="9" hidden="1"/>
    <cellStyle name="Lien hypertexte visité" xfId="16744" builtinId="9" hidden="1"/>
    <cellStyle name="Lien hypertexte visité" xfId="16746" builtinId="9" hidden="1"/>
    <cellStyle name="Lien hypertexte visité" xfId="16748" builtinId="9" hidden="1"/>
    <cellStyle name="Lien hypertexte visité" xfId="16750" builtinId="9" hidden="1"/>
    <cellStyle name="Lien hypertexte visité" xfId="16752" builtinId="9" hidden="1"/>
    <cellStyle name="Lien hypertexte visité" xfId="16754" builtinId="9" hidden="1"/>
    <cellStyle name="Lien hypertexte visité" xfId="16756" builtinId="9" hidden="1"/>
    <cellStyle name="Lien hypertexte visité" xfId="16758" builtinId="9" hidden="1"/>
    <cellStyle name="Lien hypertexte visité" xfId="16760" builtinId="9" hidden="1"/>
    <cellStyle name="Lien hypertexte visité" xfId="16762" builtinId="9" hidden="1"/>
    <cellStyle name="Lien hypertexte visité" xfId="16764" builtinId="9" hidden="1"/>
    <cellStyle name="Lien hypertexte visité" xfId="16766" builtinId="9" hidden="1"/>
    <cellStyle name="Lien hypertexte visité" xfId="16768" builtinId="9" hidden="1"/>
    <cellStyle name="Lien hypertexte visité" xfId="16770" builtinId="9" hidden="1"/>
    <cellStyle name="Lien hypertexte visité" xfId="16772" builtinId="9" hidden="1"/>
    <cellStyle name="Lien hypertexte visité" xfId="16774" builtinId="9" hidden="1"/>
    <cellStyle name="Lien hypertexte visité" xfId="16776" builtinId="9" hidden="1"/>
    <cellStyle name="Lien hypertexte visité" xfId="16778" builtinId="9" hidden="1"/>
    <cellStyle name="Lien hypertexte visité" xfId="16780" builtinId="9" hidden="1"/>
    <cellStyle name="Lien hypertexte visité" xfId="16782" builtinId="9" hidden="1"/>
    <cellStyle name="Lien hypertexte visité" xfId="16784" builtinId="9" hidden="1"/>
    <cellStyle name="Lien hypertexte visité" xfId="16786" builtinId="9" hidden="1"/>
    <cellStyle name="Lien hypertexte visité" xfId="16788" builtinId="9" hidden="1"/>
    <cellStyle name="Lien hypertexte visité" xfId="16790" builtinId="9" hidden="1"/>
    <cellStyle name="Lien hypertexte visité" xfId="16792" builtinId="9" hidden="1"/>
    <cellStyle name="Lien hypertexte visité" xfId="16794" builtinId="9" hidden="1"/>
    <cellStyle name="Lien hypertexte visité" xfId="16796" builtinId="9" hidden="1"/>
    <cellStyle name="Lien hypertexte visité" xfId="16798" builtinId="9" hidden="1"/>
    <cellStyle name="Lien hypertexte visité" xfId="16800" builtinId="9" hidden="1"/>
    <cellStyle name="Lien hypertexte visité" xfId="16802" builtinId="9" hidden="1"/>
    <cellStyle name="Lien hypertexte visité" xfId="16804" builtinId="9" hidden="1"/>
    <cellStyle name="Lien hypertexte visité" xfId="16806" builtinId="9" hidden="1"/>
    <cellStyle name="Lien hypertexte visité" xfId="16808" builtinId="9" hidden="1"/>
    <cellStyle name="Lien hypertexte visité" xfId="16810" builtinId="9" hidden="1"/>
    <cellStyle name="Lien hypertexte visité" xfId="16812" builtinId="9" hidden="1"/>
    <cellStyle name="Lien hypertexte visité" xfId="16814" builtinId="9" hidden="1"/>
    <cellStyle name="Lien hypertexte visité" xfId="16816" builtinId="9" hidden="1"/>
    <cellStyle name="Lien hypertexte visité" xfId="16818" builtinId="9" hidden="1"/>
    <cellStyle name="Lien hypertexte visité" xfId="16820" builtinId="9" hidden="1"/>
    <cellStyle name="Lien hypertexte visité" xfId="16822" builtinId="9" hidden="1"/>
    <cellStyle name="Lien hypertexte visité" xfId="16824" builtinId="9" hidden="1"/>
    <cellStyle name="Lien hypertexte visité" xfId="16826" builtinId="9" hidden="1"/>
    <cellStyle name="Lien hypertexte visité" xfId="16828" builtinId="9" hidden="1"/>
    <cellStyle name="Lien hypertexte visité" xfId="16830" builtinId="9" hidden="1"/>
    <cellStyle name="Lien hypertexte visité" xfId="16832" builtinId="9" hidden="1"/>
    <cellStyle name="Lien hypertexte visité" xfId="16834" builtinId="9" hidden="1"/>
    <cellStyle name="Lien hypertexte visité" xfId="16836" builtinId="9" hidden="1"/>
    <cellStyle name="Lien hypertexte visité" xfId="16838" builtinId="9" hidden="1"/>
    <cellStyle name="Lien hypertexte visité" xfId="16840" builtinId="9" hidden="1"/>
    <cellStyle name="Lien hypertexte visité" xfId="16842" builtinId="9" hidden="1"/>
    <cellStyle name="Lien hypertexte visité" xfId="16844" builtinId="9" hidden="1"/>
    <cellStyle name="Lien hypertexte visité" xfId="16846" builtinId="9" hidden="1"/>
    <cellStyle name="Lien hypertexte visité" xfId="16848" builtinId="9" hidden="1"/>
    <cellStyle name="Lien hypertexte visité" xfId="16850" builtinId="9" hidden="1"/>
    <cellStyle name="Lien hypertexte visité" xfId="16852" builtinId="9" hidden="1"/>
    <cellStyle name="Lien hypertexte visité" xfId="16854" builtinId="9" hidden="1"/>
    <cellStyle name="Lien hypertexte visité" xfId="16856" builtinId="9" hidden="1"/>
    <cellStyle name="Lien hypertexte visité" xfId="16858" builtinId="9" hidden="1"/>
    <cellStyle name="Lien hypertexte visité" xfId="16860" builtinId="9" hidden="1"/>
    <cellStyle name="Lien hypertexte visité" xfId="16862" builtinId="9" hidden="1"/>
    <cellStyle name="Lien hypertexte visité" xfId="16864" builtinId="9" hidden="1"/>
    <cellStyle name="Lien hypertexte visité" xfId="16866" builtinId="9" hidden="1"/>
    <cellStyle name="Lien hypertexte visité" xfId="16868" builtinId="9" hidden="1"/>
    <cellStyle name="Lien hypertexte visité" xfId="16870" builtinId="9" hidden="1"/>
    <cellStyle name="Lien hypertexte visité" xfId="16872" builtinId="9" hidden="1"/>
    <cellStyle name="Lien hypertexte visité" xfId="16874" builtinId="9" hidden="1"/>
    <cellStyle name="Lien hypertexte visité" xfId="16876" builtinId="9" hidden="1"/>
    <cellStyle name="Lien hypertexte visité" xfId="16878" builtinId="9" hidden="1"/>
    <cellStyle name="Lien hypertexte visité" xfId="16880" builtinId="9" hidden="1"/>
    <cellStyle name="Lien hypertexte visité" xfId="16882" builtinId="9" hidden="1"/>
    <cellStyle name="Lien hypertexte visité" xfId="16884" builtinId="9" hidden="1"/>
    <cellStyle name="Lien hypertexte visité" xfId="16886" builtinId="9" hidden="1"/>
    <cellStyle name="Lien hypertexte visité" xfId="16888" builtinId="9" hidden="1"/>
    <cellStyle name="Lien hypertexte visité" xfId="16890" builtinId="9" hidden="1"/>
    <cellStyle name="Lien hypertexte visité" xfId="16892" builtinId="9" hidden="1"/>
    <cellStyle name="Lien hypertexte visité" xfId="16894" builtinId="9" hidden="1"/>
    <cellStyle name="Lien hypertexte visité" xfId="16896" builtinId="9" hidden="1"/>
    <cellStyle name="Lien hypertexte visité" xfId="16898" builtinId="9" hidden="1"/>
    <cellStyle name="Lien hypertexte visité" xfId="16900" builtinId="9" hidden="1"/>
    <cellStyle name="Lien hypertexte visité" xfId="16902" builtinId="9" hidden="1"/>
    <cellStyle name="Lien hypertexte visité" xfId="16904" builtinId="9" hidden="1"/>
    <cellStyle name="Lien hypertexte visité" xfId="16906" builtinId="9" hidden="1"/>
    <cellStyle name="Lien hypertexte visité" xfId="16908" builtinId="9" hidden="1"/>
    <cellStyle name="Lien hypertexte visité" xfId="16910" builtinId="9" hidden="1"/>
    <cellStyle name="Lien hypertexte visité" xfId="16912" builtinId="9" hidden="1"/>
    <cellStyle name="Lien hypertexte visité" xfId="16914" builtinId="9" hidden="1"/>
    <cellStyle name="Lien hypertexte visité" xfId="16916" builtinId="9" hidden="1"/>
    <cellStyle name="Lien hypertexte visité" xfId="16918" builtinId="9" hidden="1"/>
    <cellStyle name="Lien hypertexte visité" xfId="16920" builtinId="9" hidden="1"/>
    <cellStyle name="Lien hypertexte visité" xfId="16922" builtinId="9" hidden="1"/>
    <cellStyle name="Lien hypertexte visité" xfId="16924" builtinId="9" hidden="1"/>
    <cellStyle name="Lien hypertexte visité" xfId="16926" builtinId="9" hidden="1"/>
    <cellStyle name="Lien hypertexte visité" xfId="16928" builtinId="9" hidden="1"/>
    <cellStyle name="Lien hypertexte visité" xfId="16930" builtinId="9" hidden="1"/>
    <cellStyle name="Lien hypertexte visité" xfId="16932" builtinId="9" hidden="1"/>
    <cellStyle name="Lien hypertexte visité" xfId="16934" builtinId="9" hidden="1"/>
    <cellStyle name="Lien hypertexte visité" xfId="16936" builtinId="9" hidden="1"/>
    <cellStyle name="Lien hypertexte visité" xfId="16938" builtinId="9" hidden="1"/>
    <cellStyle name="Lien hypertexte visité" xfId="16940" builtinId="9" hidden="1"/>
    <cellStyle name="Lien hypertexte visité" xfId="16942" builtinId="9" hidden="1"/>
    <cellStyle name="Lien hypertexte visité" xfId="16944" builtinId="9" hidden="1"/>
    <cellStyle name="Lien hypertexte visité" xfId="16946" builtinId="9" hidden="1"/>
    <cellStyle name="Lien hypertexte visité" xfId="16948" builtinId="9" hidden="1"/>
    <cellStyle name="Lien hypertexte visité" xfId="16950" builtinId="9" hidden="1"/>
    <cellStyle name="Lien hypertexte visité" xfId="16952" builtinId="9" hidden="1"/>
    <cellStyle name="Lien hypertexte visité" xfId="16954" builtinId="9" hidden="1"/>
    <cellStyle name="Lien hypertexte visité" xfId="16956" builtinId="9" hidden="1"/>
    <cellStyle name="Lien hypertexte visité" xfId="16958" builtinId="9" hidden="1"/>
    <cellStyle name="Lien hypertexte visité" xfId="16960" builtinId="9" hidden="1"/>
    <cellStyle name="Lien hypertexte visité" xfId="16962" builtinId="9" hidden="1"/>
    <cellStyle name="Lien hypertexte visité" xfId="16964" builtinId="9" hidden="1"/>
    <cellStyle name="Lien hypertexte visité" xfId="16966" builtinId="9" hidden="1"/>
    <cellStyle name="Lien hypertexte visité" xfId="16968" builtinId="9" hidden="1"/>
    <cellStyle name="Lien hypertexte visité" xfId="16970" builtinId="9" hidden="1"/>
    <cellStyle name="Lien hypertexte visité" xfId="16972" builtinId="9" hidden="1"/>
    <cellStyle name="Lien hypertexte visité" xfId="16974" builtinId="9" hidden="1"/>
    <cellStyle name="Lien hypertexte visité" xfId="16976" builtinId="9" hidden="1"/>
    <cellStyle name="Lien hypertexte visité" xfId="16978" builtinId="9" hidden="1"/>
    <cellStyle name="Lien hypertexte visité" xfId="16980" builtinId="9" hidden="1"/>
    <cellStyle name="Lien hypertexte visité" xfId="16982" builtinId="9" hidden="1"/>
    <cellStyle name="Lien hypertexte visité" xfId="16984" builtinId="9" hidden="1"/>
    <cellStyle name="Lien hypertexte visité" xfId="16986" builtinId="9" hidden="1"/>
    <cellStyle name="Lien hypertexte visité" xfId="16988" builtinId="9" hidden="1"/>
    <cellStyle name="Lien hypertexte visité" xfId="16990" builtinId="9" hidden="1"/>
    <cellStyle name="Lien hypertexte visité" xfId="16992" builtinId="9" hidden="1"/>
    <cellStyle name="Lien hypertexte visité" xfId="16994" builtinId="9" hidden="1"/>
    <cellStyle name="Lien hypertexte visité" xfId="16996" builtinId="9" hidden="1"/>
    <cellStyle name="Lien hypertexte visité" xfId="16998" builtinId="9" hidden="1"/>
    <cellStyle name="Lien hypertexte visité" xfId="17000" builtinId="9" hidden="1"/>
    <cellStyle name="Lien hypertexte visité" xfId="17002" builtinId="9" hidden="1"/>
    <cellStyle name="Lien hypertexte visité" xfId="17004" builtinId="9" hidden="1"/>
    <cellStyle name="Lien hypertexte visité" xfId="17006" builtinId="9" hidden="1"/>
    <cellStyle name="Lien hypertexte visité" xfId="17008" builtinId="9" hidden="1"/>
    <cellStyle name="Lien hypertexte visité" xfId="17010" builtinId="9" hidden="1"/>
    <cellStyle name="Lien hypertexte visité" xfId="17012" builtinId="9" hidden="1"/>
    <cellStyle name="Lien hypertexte visité" xfId="17014" builtinId="9" hidden="1"/>
    <cellStyle name="Lien hypertexte visité" xfId="17016" builtinId="9" hidden="1"/>
    <cellStyle name="Lien hypertexte visité" xfId="17018" builtinId="9" hidden="1"/>
    <cellStyle name="Lien hypertexte visité" xfId="17020" builtinId="9" hidden="1"/>
    <cellStyle name="Lien hypertexte visité" xfId="17022" builtinId="9" hidden="1"/>
    <cellStyle name="Lien hypertexte visité" xfId="17024" builtinId="9" hidden="1"/>
    <cellStyle name="Lien hypertexte visité" xfId="17026" builtinId="9" hidden="1"/>
    <cellStyle name="Lien hypertexte visité" xfId="17028" builtinId="9" hidden="1"/>
    <cellStyle name="Lien hypertexte visité" xfId="17030" builtinId="9" hidden="1"/>
    <cellStyle name="Lien hypertexte visité" xfId="17032" builtinId="9" hidden="1"/>
    <cellStyle name="Lien hypertexte visité" xfId="17034" builtinId="9" hidden="1"/>
    <cellStyle name="Lien hypertexte visité" xfId="17036" builtinId="9" hidden="1"/>
    <cellStyle name="Lien hypertexte visité" xfId="17038" builtinId="9" hidden="1"/>
    <cellStyle name="Lien hypertexte visité" xfId="17040" builtinId="9" hidden="1"/>
    <cellStyle name="Lien hypertexte visité" xfId="17042" builtinId="9" hidden="1"/>
    <cellStyle name="Lien hypertexte visité" xfId="17044" builtinId="9" hidden="1"/>
    <cellStyle name="Lien hypertexte visité" xfId="17046" builtinId="9" hidden="1"/>
    <cellStyle name="Lien hypertexte visité" xfId="17048" builtinId="9" hidden="1"/>
    <cellStyle name="Lien hypertexte visité" xfId="17050" builtinId="9" hidden="1"/>
    <cellStyle name="Lien hypertexte visité" xfId="17052" builtinId="9" hidden="1"/>
    <cellStyle name="Lien hypertexte visité" xfId="17054" builtinId="9" hidden="1"/>
    <cellStyle name="Lien hypertexte visité" xfId="17056" builtinId="9" hidden="1"/>
    <cellStyle name="Lien hypertexte visité" xfId="17058" builtinId="9" hidden="1"/>
    <cellStyle name="Lien hypertexte visité" xfId="17060" builtinId="9" hidden="1"/>
    <cellStyle name="Lien hypertexte visité" xfId="17062" builtinId="9" hidden="1"/>
    <cellStyle name="Lien hypertexte visité" xfId="17064" builtinId="9" hidden="1"/>
    <cellStyle name="Lien hypertexte visité" xfId="17066" builtinId="9" hidden="1"/>
    <cellStyle name="Lien hypertexte visité" xfId="17068" builtinId="9" hidden="1"/>
    <cellStyle name="Lien hypertexte visité" xfId="17070" builtinId="9" hidden="1"/>
    <cellStyle name="Lien hypertexte visité" xfId="17072" builtinId="9" hidden="1"/>
    <cellStyle name="Lien hypertexte visité" xfId="17074" builtinId="9" hidden="1"/>
    <cellStyle name="Lien hypertexte visité" xfId="17076" builtinId="9" hidden="1"/>
    <cellStyle name="Lien hypertexte visité" xfId="17078" builtinId="9" hidden="1"/>
    <cellStyle name="Lien hypertexte visité" xfId="17080" builtinId="9" hidden="1"/>
    <cellStyle name="Lien hypertexte visité" xfId="17082" builtinId="9" hidden="1"/>
    <cellStyle name="Lien hypertexte visité" xfId="17084" builtinId="9" hidden="1"/>
    <cellStyle name="Lien hypertexte visité" xfId="17086" builtinId="9" hidden="1"/>
    <cellStyle name="Lien hypertexte visité" xfId="17088" builtinId="9" hidden="1"/>
    <cellStyle name="Lien hypertexte visité" xfId="17090" builtinId="9" hidden="1"/>
    <cellStyle name="Lien hypertexte visité" xfId="17092" builtinId="9" hidden="1"/>
    <cellStyle name="Lien hypertexte visité" xfId="17094" builtinId="9" hidden="1"/>
    <cellStyle name="Lien hypertexte visité" xfId="17096" builtinId="9" hidden="1"/>
    <cellStyle name="Lien hypertexte visité" xfId="17098" builtinId="9" hidden="1"/>
    <cellStyle name="Lien hypertexte visité" xfId="17100" builtinId="9" hidden="1"/>
    <cellStyle name="Lien hypertexte visité" xfId="17102" builtinId="9" hidden="1"/>
    <cellStyle name="Lien hypertexte visité" xfId="17104" builtinId="9" hidden="1"/>
    <cellStyle name="Lien hypertexte visité" xfId="17106" builtinId="9" hidden="1"/>
    <cellStyle name="Lien hypertexte visité" xfId="17108" builtinId="9" hidden="1"/>
    <cellStyle name="Lien hypertexte visité" xfId="17110" builtinId="9" hidden="1"/>
    <cellStyle name="Lien hypertexte visité" xfId="17112" builtinId="9" hidden="1"/>
    <cellStyle name="Lien hypertexte visité" xfId="17114" builtinId="9" hidden="1"/>
    <cellStyle name="Lien hypertexte visité" xfId="17116" builtinId="9" hidden="1"/>
    <cellStyle name="Lien hypertexte visité" xfId="17118" builtinId="9" hidden="1"/>
    <cellStyle name="Lien hypertexte visité" xfId="17120" builtinId="9" hidden="1"/>
    <cellStyle name="Lien hypertexte visité" xfId="17122" builtinId="9" hidden="1"/>
    <cellStyle name="Lien hypertexte visité" xfId="17124" builtinId="9" hidden="1"/>
    <cellStyle name="Lien hypertexte visité" xfId="17126" builtinId="9" hidden="1"/>
    <cellStyle name="Lien hypertexte visité" xfId="17128" builtinId="9" hidden="1"/>
    <cellStyle name="Lien hypertexte visité" xfId="17130" builtinId="9" hidden="1"/>
    <cellStyle name="Lien hypertexte visité" xfId="17132" builtinId="9" hidden="1"/>
    <cellStyle name="Lien hypertexte visité" xfId="17134" builtinId="9" hidden="1"/>
    <cellStyle name="Lien hypertexte visité" xfId="17136" builtinId="9" hidden="1"/>
    <cellStyle name="Lien hypertexte visité" xfId="17138" builtinId="9" hidden="1"/>
    <cellStyle name="Lien hypertexte visité" xfId="17140" builtinId="9" hidden="1"/>
    <cellStyle name="Lien hypertexte visité" xfId="17142" builtinId="9" hidden="1"/>
    <cellStyle name="Lien hypertexte visité" xfId="17144" builtinId="9" hidden="1"/>
    <cellStyle name="Lien hypertexte visité" xfId="17146" builtinId="9" hidden="1"/>
    <cellStyle name="Lien hypertexte visité" xfId="17148" builtinId="9" hidden="1"/>
    <cellStyle name="Lien hypertexte visité" xfId="17150" builtinId="9" hidden="1"/>
    <cellStyle name="Lien hypertexte visité" xfId="17152" builtinId="9" hidden="1"/>
    <cellStyle name="Lien hypertexte visité" xfId="17154" builtinId="9" hidden="1"/>
    <cellStyle name="Lien hypertexte visité" xfId="17156" builtinId="9" hidden="1"/>
    <cellStyle name="Lien hypertexte visité" xfId="17158" builtinId="9" hidden="1"/>
    <cellStyle name="Lien hypertexte visité" xfId="17160" builtinId="9" hidden="1"/>
    <cellStyle name="Lien hypertexte visité" xfId="17162" builtinId="9" hidden="1"/>
    <cellStyle name="Lien hypertexte visité" xfId="17164" builtinId="9" hidden="1"/>
    <cellStyle name="Lien hypertexte visité" xfId="17166" builtinId="9" hidden="1"/>
    <cellStyle name="Lien hypertexte visité" xfId="17168" builtinId="9" hidden="1"/>
    <cellStyle name="Lien hypertexte visité" xfId="17170" builtinId="9" hidden="1"/>
    <cellStyle name="Lien hypertexte visité" xfId="17172" builtinId="9" hidden="1"/>
    <cellStyle name="Lien hypertexte visité" xfId="17174" builtinId="9" hidden="1"/>
    <cellStyle name="Lien hypertexte visité" xfId="17176" builtinId="9" hidden="1"/>
    <cellStyle name="Lien hypertexte visité" xfId="17178" builtinId="9" hidden="1"/>
    <cellStyle name="Lien hypertexte visité" xfId="17180" builtinId="9" hidden="1"/>
    <cellStyle name="Lien hypertexte visité" xfId="17182" builtinId="9" hidden="1"/>
    <cellStyle name="Lien hypertexte visité" xfId="17184" builtinId="9" hidden="1"/>
    <cellStyle name="Lien hypertexte visité" xfId="17186" builtinId="9" hidden="1"/>
    <cellStyle name="Lien hypertexte visité" xfId="17188" builtinId="9" hidden="1"/>
    <cellStyle name="Lien hypertexte visité" xfId="17190" builtinId="9" hidden="1"/>
    <cellStyle name="Lien hypertexte visité" xfId="17192" builtinId="9" hidden="1"/>
    <cellStyle name="Lien hypertexte visité" xfId="17194" builtinId="9" hidden="1"/>
    <cellStyle name="Lien hypertexte visité" xfId="17196" builtinId="9" hidden="1"/>
    <cellStyle name="Lien hypertexte visité" xfId="17198" builtinId="9" hidden="1"/>
    <cellStyle name="Lien hypertexte visité" xfId="17200" builtinId="9" hidden="1"/>
    <cellStyle name="Lien hypertexte visité" xfId="17202" builtinId="9" hidden="1"/>
    <cellStyle name="Lien hypertexte visité" xfId="17204" builtinId="9" hidden="1"/>
    <cellStyle name="Lien hypertexte visité" xfId="17206" builtinId="9" hidden="1"/>
    <cellStyle name="Lien hypertexte visité" xfId="17208" builtinId="9" hidden="1"/>
    <cellStyle name="Lien hypertexte visité" xfId="17210" builtinId="9" hidden="1"/>
    <cellStyle name="Lien hypertexte visité" xfId="17212" builtinId="9" hidden="1"/>
    <cellStyle name="Lien hypertexte visité" xfId="17214" builtinId="9" hidden="1"/>
    <cellStyle name="Lien hypertexte visité" xfId="17216" builtinId="9" hidden="1"/>
    <cellStyle name="Lien hypertexte visité" xfId="17218" builtinId="9" hidden="1"/>
    <cellStyle name="Lien hypertexte visité" xfId="17220" builtinId="9" hidden="1"/>
    <cellStyle name="Lien hypertexte visité" xfId="17222" builtinId="9" hidden="1"/>
    <cellStyle name="Lien hypertexte visité" xfId="17224" builtinId="9" hidden="1"/>
    <cellStyle name="Lien hypertexte visité" xfId="17226" builtinId="9" hidden="1"/>
    <cellStyle name="Lien hypertexte visité" xfId="17228" builtinId="9" hidden="1"/>
    <cellStyle name="Lien hypertexte visité" xfId="17230" builtinId="9" hidden="1"/>
    <cellStyle name="Lien hypertexte visité" xfId="17232" builtinId="9" hidden="1"/>
    <cellStyle name="Lien hypertexte visité" xfId="17234" builtinId="9" hidden="1"/>
    <cellStyle name="Lien hypertexte visité" xfId="17236" builtinId="9" hidden="1"/>
    <cellStyle name="Lien hypertexte visité" xfId="17238" builtinId="9" hidden="1"/>
    <cellStyle name="Lien hypertexte visité" xfId="17240" builtinId="9" hidden="1"/>
    <cellStyle name="Lien hypertexte visité" xfId="17242" builtinId="9" hidden="1"/>
    <cellStyle name="Lien hypertexte visité" xfId="17244" builtinId="9" hidden="1"/>
    <cellStyle name="Lien hypertexte visité" xfId="17246" builtinId="9" hidden="1"/>
    <cellStyle name="Lien hypertexte visité" xfId="17248" builtinId="9" hidden="1"/>
    <cellStyle name="Lien hypertexte visité" xfId="17250" builtinId="9" hidden="1"/>
    <cellStyle name="Lien hypertexte visité" xfId="17252" builtinId="9" hidden="1"/>
    <cellStyle name="Lien hypertexte visité" xfId="17254" builtinId="9" hidden="1"/>
    <cellStyle name="Lien hypertexte visité" xfId="17256" builtinId="9" hidden="1"/>
    <cellStyle name="Lien hypertexte visité" xfId="17258" builtinId="9" hidden="1"/>
    <cellStyle name="Lien hypertexte visité" xfId="17260" builtinId="9" hidden="1"/>
    <cellStyle name="Lien hypertexte visité" xfId="17262" builtinId="9" hidden="1"/>
    <cellStyle name="Lien hypertexte visité" xfId="17264" builtinId="9" hidden="1"/>
    <cellStyle name="Lien hypertexte visité" xfId="17266" builtinId="9" hidden="1"/>
    <cellStyle name="Lien hypertexte visité" xfId="17268" builtinId="9" hidden="1"/>
    <cellStyle name="Lien hypertexte visité" xfId="17270" builtinId="9" hidden="1"/>
    <cellStyle name="Lien hypertexte visité" xfId="17272" builtinId="9" hidden="1"/>
    <cellStyle name="Lien hypertexte visité" xfId="17274" builtinId="9" hidden="1"/>
    <cellStyle name="Lien hypertexte visité" xfId="17276" builtinId="9" hidden="1"/>
    <cellStyle name="Lien hypertexte visité" xfId="17278" builtinId="9" hidden="1"/>
    <cellStyle name="Lien hypertexte visité" xfId="17280" builtinId="9" hidden="1"/>
    <cellStyle name="Lien hypertexte visité" xfId="17282" builtinId="9" hidden="1"/>
    <cellStyle name="Lien hypertexte visité" xfId="17284" builtinId="9" hidden="1"/>
    <cellStyle name="Lien hypertexte visité" xfId="17286" builtinId="9" hidden="1"/>
    <cellStyle name="Lien hypertexte visité" xfId="17288" builtinId="9" hidden="1"/>
    <cellStyle name="Lien hypertexte visité" xfId="17290" builtinId="9" hidden="1"/>
    <cellStyle name="Lien hypertexte visité" xfId="17292" builtinId="9" hidden="1"/>
    <cellStyle name="Lien hypertexte visité" xfId="17294" builtinId="9" hidden="1"/>
    <cellStyle name="Lien hypertexte visité" xfId="17296" builtinId="9" hidden="1"/>
    <cellStyle name="Lien hypertexte visité" xfId="17298" builtinId="9" hidden="1"/>
    <cellStyle name="Lien hypertexte visité" xfId="17300" builtinId="9" hidden="1"/>
    <cellStyle name="Lien hypertexte visité" xfId="17302" builtinId="9" hidden="1"/>
    <cellStyle name="Lien hypertexte visité" xfId="17304" builtinId="9" hidden="1"/>
    <cellStyle name="Lien hypertexte visité" xfId="17306" builtinId="9" hidden="1"/>
    <cellStyle name="Lien hypertexte visité" xfId="17308" builtinId="9" hidden="1"/>
    <cellStyle name="Lien hypertexte visité" xfId="17310" builtinId="9" hidden="1"/>
    <cellStyle name="Lien hypertexte visité" xfId="17312" builtinId="9" hidden="1"/>
    <cellStyle name="Lien hypertexte visité" xfId="17314" builtinId="9" hidden="1"/>
    <cellStyle name="Lien hypertexte visité" xfId="17316" builtinId="9" hidden="1"/>
    <cellStyle name="Lien hypertexte visité" xfId="17318" builtinId="9" hidden="1"/>
    <cellStyle name="Lien hypertexte visité" xfId="17320" builtinId="9" hidden="1"/>
    <cellStyle name="Lien hypertexte visité" xfId="17322" builtinId="9" hidden="1"/>
    <cellStyle name="Lien hypertexte visité" xfId="17324" builtinId="9" hidden="1"/>
    <cellStyle name="Lien hypertexte visité" xfId="17326" builtinId="9" hidden="1"/>
    <cellStyle name="Lien hypertexte visité" xfId="17328" builtinId="9" hidden="1"/>
    <cellStyle name="Lien hypertexte visité" xfId="17330" builtinId="9" hidden="1"/>
    <cellStyle name="Lien hypertexte visité" xfId="17332" builtinId="9" hidden="1"/>
    <cellStyle name="Lien hypertexte visité" xfId="17334" builtinId="9" hidden="1"/>
    <cellStyle name="Lien hypertexte visité" xfId="17336" builtinId="9" hidden="1"/>
    <cellStyle name="Lien hypertexte visité" xfId="17338" builtinId="9" hidden="1"/>
    <cellStyle name="Lien hypertexte visité" xfId="17340" builtinId="9" hidden="1"/>
    <cellStyle name="Lien hypertexte visité" xfId="17342" builtinId="9" hidden="1"/>
    <cellStyle name="Lien hypertexte visité" xfId="17344" builtinId="9" hidden="1"/>
    <cellStyle name="Lien hypertexte visité" xfId="17346" builtinId="9" hidden="1"/>
    <cellStyle name="Lien hypertexte visité" xfId="17348" builtinId="9" hidden="1"/>
    <cellStyle name="Lien hypertexte visité" xfId="17350" builtinId="9" hidden="1"/>
    <cellStyle name="Lien hypertexte visité" xfId="17352" builtinId="9" hidden="1"/>
    <cellStyle name="Lien hypertexte visité" xfId="17354" builtinId="9" hidden="1"/>
    <cellStyle name="Lien hypertexte visité" xfId="17356" builtinId="9" hidden="1"/>
    <cellStyle name="Lien hypertexte visité" xfId="17358" builtinId="9" hidden="1"/>
    <cellStyle name="Lien hypertexte visité" xfId="17360" builtinId="9" hidden="1"/>
    <cellStyle name="Lien hypertexte visité" xfId="17362" builtinId="9" hidden="1"/>
    <cellStyle name="Lien hypertexte visité" xfId="17364" builtinId="9" hidden="1"/>
    <cellStyle name="Lien hypertexte visité" xfId="17366" builtinId="9" hidden="1"/>
    <cellStyle name="Lien hypertexte visité" xfId="17368" builtinId="9" hidden="1"/>
    <cellStyle name="Lien hypertexte visité" xfId="17370" builtinId="9" hidden="1"/>
    <cellStyle name="Lien hypertexte visité" xfId="17372" builtinId="9" hidden="1"/>
    <cellStyle name="Lien hypertexte visité" xfId="17374" builtinId="9" hidden="1"/>
    <cellStyle name="Lien hypertexte visité" xfId="17376" builtinId="9" hidden="1"/>
    <cellStyle name="Lien hypertexte visité" xfId="17378" builtinId="9" hidden="1"/>
    <cellStyle name="Lien hypertexte visité" xfId="17380" builtinId="9" hidden="1"/>
    <cellStyle name="Lien hypertexte visité" xfId="17382" builtinId="9" hidden="1"/>
    <cellStyle name="Lien hypertexte visité" xfId="17384" builtinId="9" hidden="1"/>
    <cellStyle name="Lien hypertexte visité" xfId="17386" builtinId="9" hidden="1"/>
    <cellStyle name="Lien hypertexte visité" xfId="17388" builtinId="9" hidden="1"/>
    <cellStyle name="Lien hypertexte visité" xfId="17390" builtinId="9" hidden="1"/>
    <cellStyle name="Lien hypertexte visité" xfId="17392" builtinId="9" hidden="1"/>
    <cellStyle name="Lien hypertexte visité" xfId="17394" builtinId="9" hidden="1"/>
    <cellStyle name="Lien hypertexte visité" xfId="17396" builtinId="9" hidden="1"/>
    <cellStyle name="Lien hypertexte visité" xfId="17398" builtinId="9" hidden="1"/>
    <cellStyle name="Lien hypertexte visité" xfId="17400" builtinId="9" hidden="1"/>
    <cellStyle name="Lien hypertexte visité" xfId="17402" builtinId="9" hidden="1"/>
    <cellStyle name="Lien hypertexte visité" xfId="17404" builtinId="9" hidden="1"/>
    <cellStyle name="Lien hypertexte visité" xfId="17406" builtinId="9" hidden="1"/>
    <cellStyle name="Lien hypertexte visité" xfId="17408" builtinId="9" hidden="1"/>
    <cellStyle name="Lien hypertexte visité" xfId="17410" builtinId="9" hidden="1"/>
    <cellStyle name="Lien hypertexte visité" xfId="17412" builtinId="9" hidden="1"/>
    <cellStyle name="Lien hypertexte visité" xfId="17414" builtinId="9" hidden="1"/>
    <cellStyle name="Lien hypertexte visité" xfId="17416" builtinId="9" hidden="1"/>
    <cellStyle name="Lien hypertexte visité" xfId="17418" builtinId="9" hidden="1"/>
    <cellStyle name="Lien hypertexte visité" xfId="17420" builtinId="9" hidden="1"/>
    <cellStyle name="Lien hypertexte visité" xfId="17422" builtinId="9" hidden="1"/>
    <cellStyle name="Lien hypertexte visité" xfId="17424" builtinId="9" hidden="1"/>
    <cellStyle name="Lien hypertexte visité" xfId="17426" builtinId="9" hidden="1"/>
    <cellStyle name="Lien hypertexte visité" xfId="17428" builtinId="9" hidden="1"/>
    <cellStyle name="Lien hypertexte visité" xfId="17430" builtinId="9" hidden="1"/>
    <cellStyle name="Lien hypertexte visité" xfId="17432" builtinId="9" hidden="1"/>
    <cellStyle name="Lien hypertexte visité" xfId="17434" builtinId="9" hidden="1"/>
    <cellStyle name="Lien hypertexte visité" xfId="17436" builtinId="9" hidden="1"/>
    <cellStyle name="Lien hypertexte visité" xfId="17438" builtinId="9" hidden="1"/>
    <cellStyle name="Lien hypertexte visité" xfId="17440" builtinId="9" hidden="1"/>
    <cellStyle name="Lien hypertexte visité" xfId="17442" builtinId="9" hidden="1"/>
    <cellStyle name="Lien hypertexte visité" xfId="17444" builtinId="9" hidden="1"/>
    <cellStyle name="Lien hypertexte visité" xfId="17446" builtinId="9" hidden="1"/>
    <cellStyle name="Lien hypertexte visité" xfId="17448" builtinId="9" hidden="1"/>
    <cellStyle name="Lien hypertexte visité" xfId="17450" builtinId="9" hidden="1"/>
    <cellStyle name="Lien hypertexte visité" xfId="17452" builtinId="9" hidden="1"/>
    <cellStyle name="Lien hypertexte visité" xfId="17454" builtinId="9" hidden="1"/>
    <cellStyle name="Lien hypertexte visité" xfId="17456" builtinId="9" hidden="1"/>
    <cellStyle name="Lien hypertexte visité" xfId="17458" builtinId="9" hidden="1"/>
    <cellStyle name="Lien hypertexte visité" xfId="17460" builtinId="9" hidden="1"/>
    <cellStyle name="Lien hypertexte visité" xfId="17462" builtinId="9" hidden="1"/>
    <cellStyle name="Lien hypertexte visité" xfId="17464" builtinId="9" hidden="1"/>
    <cellStyle name="Lien hypertexte visité" xfId="17466" builtinId="9" hidden="1"/>
    <cellStyle name="Lien hypertexte visité" xfId="17468" builtinId="9" hidden="1"/>
    <cellStyle name="Lien hypertexte visité" xfId="17470" builtinId="9" hidden="1"/>
    <cellStyle name="Lien hypertexte visité" xfId="17472" builtinId="9" hidden="1"/>
    <cellStyle name="Lien hypertexte visité" xfId="17474" builtinId="9" hidden="1"/>
    <cellStyle name="Lien hypertexte visité" xfId="17476" builtinId="9" hidden="1"/>
    <cellStyle name="Lien hypertexte visité" xfId="17478" builtinId="9" hidden="1"/>
    <cellStyle name="Lien hypertexte visité" xfId="17480" builtinId="9" hidden="1"/>
    <cellStyle name="Lien hypertexte visité" xfId="17482" builtinId="9" hidden="1"/>
    <cellStyle name="Lien hypertexte visité" xfId="17484" builtinId="9" hidden="1"/>
    <cellStyle name="Lien hypertexte visité" xfId="17486" builtinId="9" hidden="1"/>
    <cellStyle name="Lien hypertexte visité" xfId="17488" builtinId="9" hidden="1"/>
    <cellStyle name="Lien hypertexte visité" xfId="17490" builtinId="9" hidden="1"/>
    <cellStyle name="Lien hypertexte visité" xfId="17492" builtinId="9" hidden="1"/>
    <cellStyle name="Lien hypertexte visité" xfId="17494" builtinId="9" hidden="1"/>
    <cellStyle name="Lien hypertexte visité" xfId="17496" builtinId="9" hidden="1"/>
    <cellStyle name="Lien hypertexte visité" xfId="17498" builtinId="9" hidden="1"/>
    <cellStyle name="Lien hypertexte visité" xfId="17500" builtinId="9" hidden="1"/>
    <cellStyle name="Lien hypertexte visité" xfId="17502" builtinId="9" hidden="1"/>
    <cellStyle name="Lien hypertexte visité" xfId="17504" builtinId="9" hidden="1"/>
    <cellStyle name="Lien hypertexte visité" xfId="17506" builtinId="9" hidden="1"/>
    <cellStyle name="Lien hypertexte visité" xfId="17508" builtinId="9" hidden="1"/>
    <cellStyle name="Lien hypertexte visité" xfId="17510" builtinId="9" hidden="1"/>
    <cellStyle name="Lien hypertexte visité" xfId="17512" builtinId="9" hidden="1"/>
    <cellStyle name="Lien hypertexte visité" xfId="17514" builtinId="9" hidden="1"/>
    <cellStyle name="Lien hypertexte visité" xfId="17516" builtinId="9" hidden="1"/>
    <cellStyle name="Lien hypertexte visité" xfId="17518" builtinId="9" hidden="1"/>
    <cellStyle name="Lien hypertexte visité" xfId="17520" builtinId="9" hidden="1"/>
    <cellStyle name="Lien hypertexte visité" xfId="17522" builtinId="9" hidden="1"/>
    <cellStyle name="Lien hypertexte visité" xfId="17524" builtinId="9" hidden="1"/>
    <cellStyle name="Lien hypertexte visité" xfId="17526" builtinId="9" hidden="1"/>
    <cellStyle name="Lien hypertexte visité" xfId="17528" builtinId="9" hidden="1"/>
    <cellStyle name="Lien hypertexte visité" xfId="17530" builtinId="9" hidden="1"/>
    <cellStyle name="Lien hypertexte visité" xfId="17532" builtinId="9" hidden="1"/>
    <cellStyle name="Lien hypertexte visité" xfId="17534" builtinId="9" hidden="1"/>
    <cellStyle name="Lien hypertexte visité" xfId="17536" builtinId="9" hidden="1"/>
    <cellStyle name="Lien hypertexte visité" xfId="17538" builtinId="9" hidden="1"/>
    <cellStyle name="Lien hypertexte visité" xfId="17540" builtinId="9" hidden="1"/>
    <cellStyle name="Lien hypertexte visité" xfId="17542" builtinId="9" hidden="1"/>
    <cellStyle name="Lien hypertexte visité" xfId="17544" builtinId="9" hidden="1"/>
    <cellStyle name="Lien hypertexte visité" xfId="17546" builtinId="9" hidden="1"/>
    <cellStyle name="Lien hypertexte visité" xfId="17548" builtinId="9" hidden="1"/>
    <cellStyle name="Lien hypertexte visité" xfId="17550" builtinId="9" hidden="1"/>
    <cellStyle name="Lien hypertexte visité" xfId="17552" builtinId="9" hidden="1"/>
    <cellStyle name="Lien hypertexte visité" xfId="17554" builtinId="9" hidden="1"/>
    <cellStyle name="Lien hypertexte visité" xfId="17556" builtinId="9" hidden="1"/>
    <cellStyle name="Lien hypertexte visité" xfId="17558" builtinId="9" hidden="1"/>
    <cellStyle name="Lien hypertexte visité" xfId="17560" builtinId="9" hidden="1"/>
    <cellStyle name="Lien hypertexte visité" xfId="17562" builtinId="9" hidden="1"/>
    <cellStyle name="Lien hypertexte visité" xfId="17564" builtinId="9" hidden="1"/>
    <cellStyle name="Lien hypertexte visité" xfId="17566" builtinId="9" hidden="1"/>
    <cellStyle name="Lien hypertexte visité" xfId="17568" builtinId="9" hidden="1"/>
    <cellStyle name="Lien hypertexte visité" xfId="17570" builtinId="9" hidden="1"/>
    <cellStyle name="Lien hypertexte visité" xfId="17572" builtinId="9" hidden="1"/>
    <cellStyle name="Lien hypertexte visité" xfId="17574" builtinId="9" hidden="1"/>
    <cellStyle name="Lien hypertexte visité" xfId="17576" builtinId="9" hidden="1"/>
    <cellStyle name="Lien hypertexte visité" xfId="17578" builtinId="9" hidden="1"/>
    <cellStyle name="Lien hypertexte visité" xfId="17580" builtinId="9" hidden="1"/>
    <cellStyle name="Lien hypertexte visité" xfId="17582" builtinId="9" hidden="1"/>
    <cellStyle name="Lien hypertexte visité" xfId="17584" builtinId="9" hidden="1"/>
    <cellStyle name="Lien hypertexte visité" xfId="17586" builtinId="9" hidden="1"/>
    <cellStyle name="Lien hypertexte visité" xfId="17588" builtinId="9" hidden="1"/>
    <cellStyle name="Lien hypertexte visité" xfId="17590" builtinId="9" hidden="1"/>
    <cellStyle name="Lien hypertexte visité" xfId="17592" builtinId="9" hidden="1"/>
    <cellStyle name="Lien hypertexte visité" xfId="17594" builtinId="9" hidden="1"/>
    <cellStyle name="Lien hypertexte visité" xfId="17596" builtinId="9" hidden="1"/>
    <cellStyle name="Lien hypertexte visité" xfId="17598" builtinId="9" hidden="1"/>
    <cellStyle name="Lien hypertexte visité" xfId="17600" builtinId="9" hidden="1"/>
    <cellStyle name="Lien hypertexte visité" xfId="17602" builtinId="9" hidden="1"/>
    <cellStyle name="Lien hypertexte visité" xfId="17604" builtinId="9" hidden="1"/>
    <cellStyle name="Lien hypertexte visité" xfId="17606" builtinId="9" hidden="1"/>
    <cellStyle name="Lien hypertexte visité" xfId="17608" builtinId="9" hidden="1"/>
    <cellStyle name="Lien hypertexte visité" xfId="17610" builtinId="9" hidden="1"/>
    <cellStyle name="Lien hypertexte visité" xfId="17612" builtinId="9" hidden="1"/>
    <cellStyle name="Lien hypertexte visité" xfId="17614" builtinId="9" hidden="1"/>
    <cellStyle name="Lien hypertexte visité" xfId="17616" builtinId="9" hidden="1"/>
    <cellStyle name="Lien hypertexte visité" xfId="17618" builtinId="9" hidden="1"/>
    <cellStyle name="Lien hypertexte visité" xfId="17620" builtinId="9" hidden="1"/>
    <cellStyle name="Lien hypertexte visité" xfId="17622" builtinId="9" hidden="1"/>
    <cellStyle name="Lien hypertexte visité" xfId="17624" builtinId="9" hidden="1"/>
    <cellStyle name="Lien hypertexte visité" xfId="17626" builtinId="9" hidden="1"/>
    <cellStyle name="Lien hypertexte visité" xfId="17628" builtinId="9" hidden="1"/>
    <cellStyle name="Lien hypertexte visité" xfId="17630" builtinId="9" hidden="1"/>
    <cellStyle name="Lien hypertexte visité" xfId="17632" builtinId="9" hidden="1"/>
    <cellStyle name="Lien hypertexte visité" xfId="17634" builtinId="9" hidden="1"/>
    <cellStyle name="Lien hypertexte visité" xfId="17636" builtinId="9" hidden="1"/>
    <cellStyle name="Lien hypertexte visité" xfId="17638" builtinId="9" hidden="1"/>
    <cellStyle name="Lien hypertexte visité" xfId="17640" builtinId="9" hidden="1"/>
    <cellStyle name="Lien hypertexte visité" xfId="17642" builtinId="9" hidden="1"/>
    <cellStyle name="Lien hypertexte visité" xfId="17644" builtinId="9" hidden="1"/>
    <cellStyle name="Lien hypertexte visité" xfId="17646" builtinId="9" hidden="1"/>
    <cellStyle name="Lien hypertexte visité" xfId="17648" builtinId="9" hidden="1"/>
    <cellStyle name="Lien hypertexte visité" xfId="17650" builtinId="9" hidden="1"/>
    <cellStyle name="Lien hypertexte visité" xfId="17652" builtinId="9" hidden="1"/>
    <cellStyle name="Lien hypertexte visité" xfId="17654" builtinId="9" hidden="1"/>
    <cellStyle name="Lien hypertexte visité" xfId="17656" builtinId="9" hidden="1"/>
    <cellStyle name="Lien hypertexte visité" xfId="17658" builtinId="9" hidden="1"/>
    <cellStyle name="Lien hypertexte visité" xfId="17660" builtinId="9" hidden="1"/>
    <cellStyle name="Lien hypertexte visité" xfId="17662" builtinId="9" hidden="1"/>
    <cellStyle name="Lien hypertexte visité" xfId="17664" builtinId="9" hidden="1"/>
    <cellStyle name="Lien hypertexte visité" xfId="17666" builtinId="9" hidden="1"/>
    <cellStyle name="Lien hypertexte visité" xfId="17668" builtinId="9" hidden="1"/>
    <cellStyle name="Lien hypertexte visité" xfId="17670" builtinId="9" hidden="1"/>
    <cellStyle name="Lien hypertexte visité" xfId="17672" builtinId="9" hidden="1"/>
    <cellStyle name="Lien hypertexte visité" xfId="17674" builtinId="9" hidden="1"/>
    <cellStyle name="Lien hypertexte visité" xfId="17676" builtinId="9" hidden="1"/>
    <cellStyle name="Lien hypertexte visité" xfId="17678" builtinId="9" hidden="1"/>
    <cellStyle name="Lien hypertexte visité" xfId="17680" builtinId="9" hidden="1"/>
    <cellStyle name="Lien hypertexte visité" xfId="17682" builtinId="9" hidden="1"/>
    <cellStyle name="Lien hypertexte visité" xfId="17684" builtinId="9" hidden="1"/>
    <cellStyle name="Lien hypertexte visité" xfId="17686" builtinId="9" hidden="1"/>
    <cellStyle name="Lien hypertexte visité" xfId="17688" builtinId="9" hidden="1"/>
    <cellStyle name="Lien hypertexte visité" xfId="17690" builtinId="9" hidden="1"/>
    <cellStyle name="Lien hypertexte visité" xfId="17692" builtinId="9" hidden="1"/>
    <cellStyle name="Lien hypertexte visité" xfId="17694" builtinId="9" hidden="1"/>
    <cellStyle name="Lien hypertexte visité" xfId="17696" builtinId="9" hidden="1"/>
    <cellStyle name="Lien hypertexte visité" xfId="17698" builtinId="9" hidden="1"/>
    <cellStyle name="Lien hypertexte visité" xfId="17700" builtinId="9" hidden="1"/>
    <cellStyle name="Lien hypertexte visité" xfId="17702" builtinId="9" hidden="1"/>
    <cellStyle name="Lien hypertexte visité" xfId="17704" builtinId="9" hidden="1"/>
    <cellStyle name="Lien hypertexte visité" xfId="17706" builtinId="9" hidden="1"/>
    <cellStyle name="Lien hypertexte visité" xfId="17708" builtinId="9" hidden="1"/>
    <cellStyle name="Lien hypertexte visité" xfId="17710" builtinId="9" hidden="1"/>
    <cellStyle name="Lien hypertexte visité" xfId="17712" builtinId="9" hidden="1"/>
    <cellStyle name="Lien hypertexte visité" xfId="17714" builtinId="9" hidden="1"/>
    <cellStyle name="Lien hypertexte visité" xfId="17716" builtinId="9" hidden="1"/>
    <cellStyle name="Lien hypertexte visité" xfId="17718" builtinId="9" hidden="1"/>
    <cellStyle name="Lien hypertexte visité" xfId="17720" builtinId="9" hidden="1"/>
    <cellStyle name="Lien hypertexte visité" xfId="17722" builtinId="9" hidden="1"/>
    <cellStyle name="Lien hypertexte visité" xfId="17724" builtinId="9" hidden="1"/>
    <cellStyle name="Lien hypertexte visité" xfId="17726" builtinId="9" hidden="1"/>
    <cellStyle name="Lien hypertexte visité" xfId="17728" builtinId="9" hidden="1"/>
    <cellStyle name="Lien hypertexte visité" xfId="17730" builtinId="9" hidden="1"/>
    <cellStyle name="Lien hypertexte visité" xfId="17732" builtinId="9" hidden="1"/>
    <cellStyle name="Lien hypertexte visité" xfId="17734" builtinId="9" hidden="1"/>
    <cellStyle name="Lien hypertexte visité" xfId="17736" builtinId="9" hidden="1"/>
    <cellStyle name="Lien hypertexte visité" xfId="17738" builtinId="9" hidden="1"/>
    <cellStyle name="Lien hypertexte visité" xfId="17740" builtinId="9" hidden="1"/>
    <cellStyle name="Lien hypertexte visité" xfId="17742" builtinId="9" hidden="1"/>
    <cellStyle name="Lien hypertexte visité" xfId="17744" builtinId="9" hidden="1"/>
    <cellStyle name="Lien hypertexte visité" xfId="17746" builtinId="9" hidden="1"/>
    <cellStyle name="Lien hypertexte visité" xfId="17748" builtinId="9" hidden="1"/>
    <cellStyle name="Lien hypertexte visité" xfId="17750" builtinId="9" hidden="1"/>
    <cellStyle name="Lien hypertexte visité" xfId="17752" builtinId="9" hidden="1"/>
    <cellStyle name="Lien hypertexte visité" xfId="17754" builtinId="9" hidden="1"/>
    <cellStyle name="Lien hypertexte visité" xfId="17756" builtinId="9" hidden="1"/>
    <cellStyle name="Lien hypertexte visité" xfId="17758" builtinId="9" hidden="1"/>
    <cellStyle name="Lien hypertexte visité" xfId="17760" builtinId="9" hidden="1"/>
    <cellStyle name="Lien hypertexte visité" xfId="17762" builtinId="9" hidden="1"/>
    <cellStyle name="Lien hypertexte visité" xfId="17764" builtinId="9" hidden="1"/>
    <cellStyle name="Lien hypertexte visité" xfId="17766" builtinId="9" hidden="1"/>
    <cellStyle name="Lien hypertexte visité" xfId="17768" builtinId="9" hidden="1"/>
    <cellStyle name="Lien hypertexte visité" xfId="17770" builtinId="9" hidden="1"/>
    <cellStyle name="Lien hypertexte visité" xfId="17772" builtinId="9" hidden="1"/>
    <cellStyle name="Lien hypertexte visité" xfId="17774" builtinId="9" hidden="1"/>
    <cellStyle name="Lien hypertexte visité" xfId="17776" builtinId="9" hidden="1"/>
    <cellStyle name="Lien hypertexte visité" xfId="17778" builtinId="9" hidden="1"/>
    <cellStyle name="Lien hypertexte visité" xfId="17780" builtinId="9" hidden="1"/>
    <cellStyle name="Lien hypertexte visité" xfId="17782" builtinId="9" hidden="1"/>
    <cellStyle name="Lien hypertexte visité" xfId="17784" builtinId="9" hidden="1"/>
    <cellStyle name="Lien hypertexte visité" xfId="17786" builtinId="9" hidden="1"/>
    <cellStyle name="Lien hypertexte visité" xfId="17788" builtinId="9" hidden="1"/>
    <cellStyle name="Lien hypertexte visité" xfId="17790" builtinId="9" hidden="1"/>
    <cellStyle name="Lien hypertexte visité" xfId="17792" builtinId="9" hidden="1"/>
    <cellStyle name="Lien hypertexte visité" xfId="17794" builtinId="9" hidden="1"/>
    <cellStyle name="Lien hypertexte visité" xfId="17796" builtinId="9" hidden="1"/>
    <cellStyle name="Lien hypertexte visité" xfId="17798" builtinId="9" hidden="1"/>
    <cellStyle name="Lien hypertexte visité" xfId="17800" builtinId="9" hidden="1"/>
    <cellStyle name="Lien hypertexte visité" xfId="17802" builtinId="9" hidden="1"/>
    <cellStyle name="Lien hypertexte visité" xfId="17804" builtinId="9" hidden="1"/>
    <cellStyle name="Lien hypertexte visité" xfId="17806" builtinId="9" hidden="1"/>
    <cellStyle name="Lien hypertexte visité" xfId="17808" builtinId="9" hidden="1"/>
    <cellStyle name="Lien hypertexte visité" xfId="17810" builtinId="9" hidden="1"/>
    <cellStyle name="Lien hypertexte visité" xfId="17812" builtinId="9" hidden="1"/>
    <cellStyle name="Lien hypertexte visité" xfId="17814" builtinId="9" hidden="1"/>
    <cellStyle name="Lien hypertexte visité" xfId="17816" builtinId="9" hidden="1"/>
    <cellStyle name="Lien hypertexte visité" xfId="17818" builtinId="9" hidden="1"/>
    <cellStyle name="Lien hypertexte visité" xfId="17820" builtinId="9" hidden="1"/>
    <cellStyle name="Lien hypertexte visité" xfId="17822" builtinId="9" hidden="1"/>
    <cellStyle name="Lien hypertexte visité" xfId="17824" builtinId="9" hidden="1"/>
    <cellStyle name="Lien hypertexte visité" xfId="17826" builtinId="9" hidden="1"/>
    <cellStyle name="Lien hypertexte visité" xfId="17828" builtinId="9" hidden="1"/>
    <cellStyle name="Lien hypertexte visité" xfId="17830" builtinId="9" hidden="1"/>
    <cellStyle name="Lien hypertexte visité" xfId="17832" builtinId="9" hidden="1"/>
    <cellStyle name="Lien hypertexte visité" xfId="17834" builtinId="9" hidden="1"/>
    <cellStyle name="Lien hypertexte visité" xfId="17837" builtinId="9" hidden="1"/>
    <cellStyle name="Lien hypertexte visité" xfId="17839" builtinId="9" hidden="1"/>
    <cellStyle name="Lien hypertexte visité" xfId="17841" builtinId="9" hidden="1"/>
    <cellStyle name="Lien hypertexte visité" xfId="17843" builtinId="9" hidden="1"/>
    <cellStyle name="Lien hypertexte visité" xfId="17845" builtinId="9" hidden="1"/>
    <cellStyle name="Lien hypertexte visité" xfId="17847" builtinId="9" hidden="1"/>
    <cellStyle name="Lien hypertexte visité" xfId="17849" builtinId="9" hidden="1"/>
    <cellStyle name="Lien hypertexte visité" xfId="17851" builtinId="9" hidden="1"/>
    <cellStyle name="Lien hypertexte visité" xfId="17853" builtinId="9" hidden="1"/>
    <cellStyle name="Lien hypertexte visité" xfId="17855" builtinId="9" hidden="1"/>
    <cellStyle name="Lien hypertexte visité" xfId="17857" builtinId="9" hidden="1"/>
    <cellStyle name="Lien hypertexte visité" xfId="17859" builtinId="9" hidden="1"/>
    <cellStyle name="Lien hypertexte visité" xfId="17861" builtinId="9" hidden="1"/>
    <cellStyle name="Lien hypertexte visité" xfId="17863" builtinId="9" hidden="1"/>
    <cellStyle name="Lien hypertexte visité" xfId="17865" builtinId="9" hidden="1"/>
    <cellStyle name="Lien hypertexte visité" xfId="17867" builtinId="9" hidden="1"/>
    <cellStyle name="Lien hypertexte visité" xfId="17869" builtinId="9" hidden="1"/>
    <cellStyle name="Lien hypertexte visité" xfId="17871" builtinId="9" hidden="1"/>
    <cellStyle name="Lien hypertexte visité" xfId="17873" builtinId="9" hidden="1"/>
    <cellStyle name="Lien hypertexte visité" xfId="17875" builtinId="9" hidden="1"/>
    <cellStyle name="Lien hypertexte visité" xfId="17877" builtinId="9" hidden="1"/>
    <cellStyle name="Lien hypertexte visité" xfId="17879" builtinId="9" hidden="1"/>
    <cellStyle name="Lien hypertexte visité" xfId="17881" builtinId="9" hidden="1"/>
    <cellStyle name="Lien hypertexte visité" xfId="17883" builtinId="9" hidden="1"/>
    <cellStyle name="Lien hypertexte visité" xfId="17885" builtinId="9" hidden="1"/>
    <cellStyle name="Lien hypertexte visité" xfId="17887" builtinId="9" hidden="1"/>
    <cellStyle name="Lien hypertexte visité" xfId="17889" builtinId="9" hidden="1"/>
    <cellStyle name="Lien hypertexte visité" xfId="17891" builtinId="9" hidden="1"/>
    <cellStyle name="Lien hypertexte visité" xfId="17893" builtinId="9" hidden="1"/>
    <cellStyle name="Lien hypertexte visité" xfId="17895" builtinId="9" hidden="1"/>
    <cellStyle name="Lien hypertexte visité" xfId="17897" builtinId="9" hidden="1"/>
    <cellStyle name="Lien hypertexte visité" xfId="17899" builtinId="9" hidden="1"/>
    <cellStyle name="Lien hypertexte visité" xfId="17901" builtinId="9" hidden="1"/>
    <cellStyle name="Lien hypertexte visité" xfId="17903" builtinId="9" hidden="1"/>
    <cellStyle name="Lien hypertexte visité" xfId="17905" builtinId="9" hidden="1"/>
    <cellStyle name="Lien hypertexte visité" xfId="17907" builtinId="9" hidden="1"/>
    <cellStyle name="Lien hypertexte visité" xfId="17909" builtinId="9" hidden="1"/>
    <cellStyle name="Lien hypertexte visité" xfId="17911" builtinId="9" hidden="1"/>
    <cellStyle name="Lien hypertexte visité" xfId="17913" builtinId="9" hidden="1"/>
    <cellStyle name="Lien hypertexte visité" xfId="17915" builtinId="9" hidden="1"/>
    <cellStyle name="Lien hypertexte visité" xfId="17917" builtinId="9" hidden="1"/>
    <cellStyle name="Lien hypertexte visité" xfId="17919" builtinId="9" hidden="1"/>
    <cellStyle name="Lien hypertexte visité" xfId="17921" builtinId="9" hidden="1"/>
    <cellStyle name="Lien hypertexte visité" xfId="17923" builtinId="9" hidden="1"/>
    <cellStyle name="Lien hypertexte visité" xfId="17925" builtinId="9" hidden="1"/>
    <cellStyle name="Lien hypertexte visité" xfId="17927" builtinId="9" hidden="1"/>
    <cellStyle name="Lien hypertexte visité" xfId="17929" builtinId="9" hidden="1"/>
    <cellStyle name="Lien hypertexte visité" xfId="17931" builtinId="9" hidden="1"/>
    <cellStyle name="Lien hypertexte visité" xfId="17933" builtinId="9" hidden="1"/>
    <cellStyle name="Lien hypertexte visité" xfId="17935" builtinId="9" hidden="1"/>
    <cellStyle name="Lien hypertexte visité" xfId="17937" builtinId="9" hidden="1"/>
    <cellStyle name="Lien hypertexte visité" xfId="17939" builtinId="9" hidden="1"/>
    <cellStyle name="Lien hypertexte visité" xfId="17941" builtinId="9" hidden="1"/>
    <cellStyle name="Lien hypertexte visité" xfId="17943" builtinId="9" hidden="1"/>
    <cellStyle name="Lien hypertexte visité" xfId="17945" builtinId="9" hidden="1"/>
    <cellStyle name="Lien hypertexte visité" xfId="17947" builtinId="9" hidden="1"/>
    <cellStyle name="Lien hypertexte visité" xfId="17949" builtinId="9" hidden="1"/>
    <cellStyle name="Lien hypertexte visité" xfId="17951" builtinId="9" hidden="1"/>
    <cellStyle name="Lien hypertexte visité" xfId="17953" builtinId="9" hidden="1"/>
    <cellStyle name="Lien hypertexte visité" xfId="17955" builtinId="9" hidden="1"/>
    <cellStyle name="Lien hypertexte visité" xfId="17957" builtinId="9" hidden="1"/>
    <cellStyle name="Lien hypertexte visité" xfId="17959" builtinId="9" hidden="1"/>
    <cellStyle name="Lien hypertexte visité" xfId="17961" builtinId="9" hidden="1"/>
    <cellStyle name="Lien hypertexte visité" xfId="17963" builtinId="9" hidden="1"/>
    <cellStyle name="Lien hypertexte visité" xfId="17965" builtinId="9" hidden="1"/>
    <cellStyle name="Lien hypertexte visité" xfId="17967" builtinId="9" hidden="1"/>
    <cellStyle name="Lien hypertexte visité" xfId="17969" builtinId="9" hidden="1"/>
    <cellStyle name="Lien hypertexte visité" xfId="17971" builtinId="9" hidden="1"/>
    <cellStyle name="Lien hypertexte visité" xfId="17973" builtinId="9" hidden="1"/>
    <cellStyle name="Lien hypertexte visité" xfId="17975" builtinId="9" hidden="1"/>
    <cellStyle name="Lien hypertexte visité" xfId="17977" builtinId="9" hidden="1"/>
    <cellStyle name="Lien hypertexte visité" xfId="17979" builtinId="9" hidden="1"/>
    <cellStyle name="Lien hypertexte visité" xfId="17981" builtinId="9" hidden="1"/>
    <cellStyle name="Lien hypertexte visité" xfId="17983" builtinId="9" hidden="1"/>
    <cellStyle name="Lien hypertexte visité" xfId="17985" builtinId="9" hidden="1"/>
    <cellStyle name="Lien hypertexte visité" xfId="17987" builtinId="9" hidden="1"/>
    <cellStyle name="Lien hypertexte visité" xfId="17989" builtinId="9" hidden="1"/>
    <cellStyle name="Lien hypertexte visité" xfId="17991" builtinId="9" hidden="1"/>
    <cellStyle name="Lien hypertexte visité" xfId="17993" builtinId="9" hidden="1"/>
    <cellStyle name="Lien hypertexte visité" xfId="17995" builtinId="9" hidden="1"/>
    <cellStyle name="Lien hypertexte visité" xfId="17997" builtinId="9" hidden="1"/>
    <cellStyle name="Lien hypertexte visité" xfId="17999" builtinId="9" hidden="1"/>
    <cellStyle name="Lien hypertexte visité" xfId="18001" builtinId="9" hidden="1"/>
    <cellStyle name="Lien hypertexte visité" xfId="18003" builtinId="9" hidden="1"/>
    <cellStyle name="Lien hypertexte visité" xfId="18005" builtinId="9" hidden="1"/>
    <cellStyle name="Lien hypertexte visité" xfId="18007" builtinId="9" hidden="1"/>
    <cellStyle name="Lien hypertexte visité" xfId="18009" builtinId="9" hidden="1"/>
    <cellStyle name="Lien hypertexte visité" xfId="18011" builtinId="9" hidden="1"/>
    <cellStyle name="Lien hypertexte visité" xfId="18013" builtinId="9" hidden="1"/>
    <cellStyle name="Lien hypertexte visité" xfId="18015" builtinId="9" hidden="1"/>
    <cellStyle name="Lien hypertexte visité" xfId="18017" builtinId="9" hidden="1"/>
    <cellStyle name="Lien hypertexte visité" xfId="18019" builtinId="9" hidden="1"/>
    <cellStyle name="Lien hypertexte visité" xfId="18021" builtinId="9" hidden="1"/>
    <cellStyle name="Lien hypertexte visité" xfId="18023" builtinId="9" hidden="1"/>
    <cellStyle name="Lien hypertexte visité" xfId="18025" builtinId="9" hidden="1"/>
    <cellStyle name="Lien hypertexte visité" xfId="18027" builtinId="9" hidden="1"/>
    <cellStyle name="Lien hypertexte visité" xfId="18029" builtinId="9" hidden="1"/>
    <cellStyle name="Lien hypertexte visité" xfId="18031" builtinId="9" hidden="1"/>
    <cellStyle name="Lien hypertexte visité" xfId="18033" builtinId="9" hidden="1"/>
    <cellStyle name="Lien hypertexte visité" xfId="18035" builtinId="9" hidden="1"/>
    <cellStyle name="Lien hypertexte visité" xfId="18037" builtinId="9" hidden="1"/>
    <cellStyle name="Lien hypertexte visité" xfId="18039" builtinId="9" hidden="1"/>
    <cellStyle name="Lien hypertexte visité" xfId="18041" builtinId="9" hidden="1"/>
    <cellStyle name="Lien hypertexte visité" xfId="18043" builtinId="9" hidden="1"/>
    <cellStyle name="Lien hypertexte visité" xfId="18045" builtinId="9" hidden="1"/>
    <cellStyle name="Lien hypertexte visité" xfId="18047" builtinId="9" hidden="1"/>
    <cellStyle name="Lien hypertexte visité" xfId="18049" builtinId="9" hidden="1"/>
    <cellStyle name="Lien hypertexte visité" xfId="18051" builtinId="9" hidden="1"/>
    <cellStyle name="Lien hypertexte visité" xfId="18053" builtinId="9" hidden="1"/>
    <cellStyle name="Lien hypertexte visité" xfId="18055" builtinId="9" hidden="1"/>
    <cellStyle name="Lien hypertexte visité" xfId="18057" builtinId="9" hidden="1"/>
    <cellStyle name="Lien hypertexte visité" xfId="18059" builtinId="9" hidden="1"/>
    <cellStyle name="Lien hypertexte visité" xfId="18061" builtinId="9" hidden="1"/>
    <cellStyle name="Lien hypertexte visité" xfId="18063" builtinId="9" hidden="1"/>
    <cellStyle name="Lien hypertexte visité" xfId="18065" builtinId="9" hidden="1"/>
    <cellStyle name="Lien hypertexte visité" xfId="18067" builtinId="9" hidden="1"/>
    <cellStyle name="Lien hypertexte visité" xfId="18069" builtinId="9" hidden="1"/>
    <cellStyle name="Lien hypertexte visité" xfId="18071" builtinId="9" hidden="1"/>
    <cellStyle name="Lien hypertexte visité" xfId="18073" builtinId="9" hidden="1"/>
    <cellStyle name="Lien hypertexte visité" xfId="18075" builtinId="9" hidden="1"/>
    <cellStyle name="Lien hypertexte visité" xfId="18077" builtinId="9" hidden="1"/>
    <cellStyle name="Lien hypertexte visité" xfId="18079" builtinId="9" hidden="1"/>
    <cellStyle name="Lien hypertexte visité" xfId="18081" builtinId="9" hidden="1"/>
    <cellStyle name="Lien hypertexte visité" xfId="18083" builtinId="9" hidden="1"/>
    <cellStyle name="Lien hypertexte visité" xfId="18085" builtinId="9" hidden="1"/>
    <cellStyle name="Lien hypertexte visité" xfId="18087" builtinId="9" hidden="1"/>
    <cellStyle name="Lien hypertexte visité" xfId="18089" builtinId="9" hidden="1"/>
    <cellStyle name="Lien hypertexte visité" xfId="18091" builtinId="9" hidden="1"/>
    <cellStyle name="Lien hypertexte visité" xfId="18093" builtinId="9" hidden="1"/>
    <cellStyle name="Lien hypertexte visité" xfId="18095" builtinId="9" hidden="1"/>
    <cellStyle name="Lien hypertexte visité" xfId="18097" builtinId="9" hidden="1"/>
    <cellStyle name="Lien hypertexte visité" xfId="18099" builtinId="9" hidden="1"/>
    <cellStyle name="Lien hypertexte visité" xfId="18101" builtinId="9" hidden="1"/>
    <cellStyle name="Lien hypertexte visité" xfId="18103" builtinId="9" hidden="1"/>
    <cellStyle name="Lien hypertexte visité" xfId="18105" builtinId="9" hidden="1"/>
    <cellStyle name="Lien hypertexte visité" xfId="18107" builtinId="9" hidden="1"/>
    <cellStyle name="Lien hypertexte visité" xfId="18109" builtinId="9" hidden="1"/>
    <cellStyle name="Lien hypertexte visité" xfId="18111" builtinId="9" hidden="1"/>
    <cellStyle name="Lien hypertexte visité" xfId="18113" builtinId="9" hidden="1"/>
    <cellStyle name="Lien hypertexte visité" xfId="18115" builtinId="9" hidden="1"/>
    <cellStyle name="Lien hypertexte visité" xfId="18117" builtinId="9" hidden="1"/>
    <cellStyle name="Lien hypertexte visité" xfId="18119" builtinId="9" hidden="1"/>
    <cellStyle name="Lien hypertexte visité" xfId="18121" builtinId="9" hidden="1"/>
    <cellStyle name="Lien hypertexte visité" xfId="18123" builtinId="9" hidden="1"/>
    <cellStyle name="Lien hypertexte visité" xfId="18125" builtinId="9" hidden="1"/>
    <cellStyle name="Lien hypertexte visité" xfId="18127" builtinId="9" hidden="1"/>
    <cellStyle name="Lien hypertexte visité" xfId="18129" builtinId="9" hidden="1"/>
    <cellStyle name="Lien hypertexte visité" xfId="18131" builtinId="9" hidden="1"/>
    <cellStyle name="Lien hypertexte visité" xfId="18133" builtinId="9" hidden="1"/>
    <cellStyle name="Lien hypertexte visité" xfId="18135" builtinId="9" hidden="1"/>
    <cellStyle name="Lien hypertexte visité" xfId="18137" builtinId="9" hidden="1"/>
    <cellStyle name="Lien hypertexte visité" xfId="18139" builtinId="9" hidden="1"/>
    <cellStyle name="Lien hypertexte visité" xfId="18141" builtinId="9" hidden="1"/>
    <cellStyle name="Lien hypertexte visité" xfId="18143" builtinId="9" hidden="1"/>
    <cellStyle name="Lien hypertexte visité" xfId="18145" builtinId="9" hidden="1"/>
    <cellStyle name="Lien hypertexte visité" xfId="18147" builtinId="9" hidden="1"/>
    <cellStyle name="Lien hypertexte visité" xfId="18149" builtinId="9" hidden="1"/>
    <cellStyle name="Lien hypertexte visité" xfId="18151" builtinId="9" hidden="1"/>
    <cellStyle name="Lien hypertexte visité" xfId="18153" builtinId="9" hidden="1"/>
    <cellStyle name="Lien hypertexte visité" xfId="18155" builtinId="9" hidden="1"/>
    <cellStyle name="Lien hypertexte visité" xfId="18157" builtinId="9" hidden="1"/>
    <cellStyle name="Lien hypertexte visité" xfId="18159" builtinId="9" hidden="1"/>
    <cellStyle name="Lien hypertexte visité" xfId="18161" builtinId="9" hidden="1"/>
    <cellStyle name="Lien hypertexte visité" xfId="18163" builtinId="9" hidden="1"/>
    <cellStyle name="Lien hypertexte visité" xfId="18165" builtinId="9" hidden="1"/>
    <cellStyle name="Lien hypertexte visité" xfId="18167" builtinId="9" hidden="1"/>
    <cellStyle name="Lien hypertexte visité" xfId="18169" builtinId="9" hidden="1"/>
    <cellStyle name="Lien hypertexte visité" xfId="18171" builtinId="9" hidden="1"/>
    <cellStyle name="Lien hypertexte visité" xfId="18173" builtinId="9" hidden="1"/>
    <cellStyle name="Lien hypertexte visité" xfId="18175" builtinId="9" hidden="1"/>
    <cellStyle name="Lien hypertexte visité" xfId="18177" builtinId="9" hidden="1"/>
    <cellStyle name="Lien hypertexte visité" xfId="18179" builtinId="9" hidden="1"/>
    <cellStyle name="Lien hypertexte visité" xfId="18181" builtinId="9" hidden="1"/>
    <cellStyle name="Lien hypertexte visité" xfId="18183" builtinId="9" hidden="1"/>
    <cellStyle name="Lien hypertexte visité" xfId="18185" builtinId="9" hidden="1"/>
    <cellStyle name="Lien hypertexte visité" xfId="18187" builtinId="9" hidden="1"/>
    <cellStyle name="Lien hypertexte visité" xfId="18189" builtinId="9" hidden="1"/>
    <cellStyle name="Lien hypertexte visité" xfId="18191" builtinId="9" hidden="1"/>
    <cellStyle name="Lien hypertexte visité" xfId="18193" builtinId="9" hidden="1"/>
    <cellStyle name="Lien hypertexte visité" xfId="18195" builtinId="9" hidden="1"/>
    <cellStyle name="Lien hypertexte visité" xfId="18197" builtinId="9" hidden="1"/>
    <cellStyle name="Lien hypertexte visité" xfId="18199" builtinId="9" hidden="1"/>
    <cellStyle name="Lien hypertexte visité" xfId="18201" builtinId="9" hidden="1"/>
    <cellStyle name="Lien hypertexte visité" xfId="18203" builtinId="9" hidden="1"/>
    <cellStyle name="Lien hypertexte visité" xfId="18205" builtinId="9" hidden="1"/>
    <cellStyle name="Lien hypertexte visité" xfId="18207" builtinId="9" hidden="1"/>
    <cellStyle name="Lien hypertexte visité" xfId="18209" builtinId="9" hidden="1"/>
    <cellStyle name="Lien hypertexte visité" xfId="18211" builtinId="9" hidden="1"/>
    <cellStyle name="Lien hypertexte visité" xfId="18213" builtinId="9" hidden="1"/>
    <cellStyle name="Lien hypertexte visité" xfId="18215" builtinId="9" hidden="1"/>
    <cellStyle name="Lien hypertexte visité" xfId="18217" builtinId="9" hidden="1"/>
    <cellStyle name="Lien hypertexte visité" xfId="18219" builtinId="9" hidden="1"/>
    <cellStyle name="Lien hypertexte visité" xfId="18221" builtinId="9" hidden="1"/>
    <cellStyle name="Lien hypertexte visité" xfId="18223" builtinId="9" hidden="1"/>
    <cellStyle name="Lien hypertexte visité" xfId="18225" builtinId="9" hidden="1"/>
    <cellStyle name="Lien hypertexte visité" xfId="18227" builtinId="9" hidden="1"/>
    <cellStyle name="Lien hypertexte visité" xfId="18229" builtinId="9" hidden="1"/>
    <cellStyle name="Lien hypertexte visité" xfId="18231" builtinId="9" hidden="1"/>
    <cellStyle name="Lien hypertexte visité" xfId="18233" builtinId="9" hidden="1"/>
    <cellStyle name="Lien hypertexte visité" xfId="18235" builtinId="9" hidden="1"/>
    <cellStyle name="Lien hypertexte visité" xfId="18237" builtinId="9" hidden="1"/>
    <cellStyle name="Lien hypertexte visité" xfId="18239" builtinId="9" hidden="1"/>
    <cellStyle name="Lien hypertexte visité" xfId="18241" builtinId="9" hidden="1"/>
    <cellStyle name="Lien hypertexte visité" xfId="18243" builtinId="9" hidden="1"/>
    <cellStyle name="Lien hypertexte visité" xfId="18245" builtinId="9" hidden="1"/>
    <cellStyle name="Lien hypertexte visité" xfId="18247" builtinId="9" hidden="1"/>
    <cellStyle name="Lien hypertexte visité" xfId="18249" builtinId="9" hidden="1"/>
    <cellStyle name="Lien hypertexte visité" xfId="18251" builtinId="9" hidden="1"/>
    <cellStyle name="Lien hypertexte visité" xfId="18253" builtinId="9" hidden="1"/>
    <cellStyle name="Lien hypertexte visité" xfId="18255" builtinId="9" hidden="1"/>
    <cellStyle name="Lien hypertexte visité" xfId="18257" builtinId="9" hidden="1"/>
    <cellStyle name="Lien hypertexte visité" xfId="18259" builtinId="9" hidden="1"/>
    <cellStyle name="Lien hypertexte visité" xfId="18261" builtinId="9" hidden="1"/>
    <cellStyle name="Lien hypertexte visité" xfId="18263" builtinId="9" hidden="1"/>
    <cellStyle name="Lien hypertexte visité" xfId="18265" builtinId="9" hidden="1"/>
    <cellStyle name="Lien hypertexte visité" xfId="18267" builtinId="9" hidden="1"/>
    <cellStyle name="Lien hypertexte visité" xfId="18269" builtinId="9" hidden="1"/>
    <cellStyle name="Lien hypertexte visité" xfId="18271" builtinId="9" hidden="1"/>
    <cellStyle name="Lien hypertexte visité" xfId="18273" builtinId="9" hidden="1"/>
    <cellStyle name="Lien hypertexte visité" xfId="18275" builtinId="9" hidden="1"/>
    <cellStyle name="Lien hypertexte visité" xfId="18277" builtinId="9" hidden="1"/>
    <cellStyle name="Lien hypertexte visité" xfId="18279" builtinId="9" hidden="1"/>
    <cellStyle name="Lien hypertexte visité" xfId="18281" builtinId="9" hidden="1"/>
    <cellStyle name="Lien hypertexte visité" xfId="18283" builtinId="9" hidden="1"/>
    <cellStyle name="Lien hypertexte visité" xfId="18285" builtinId="9" hidden="1"/>
    <cellStyle name="Lien hypertexte visité" xfId="18287" builtinId="9" hidden="1"/>
    <cellStyle name="Lien hypertexte visité" xfId="18289" builtinId="9" hidden="1"/>
    <cellStyle name="Lien hypertexte visité" xfId="18291" builtinId="9" hidden="1"/>
    <cellStyle name="Lien hypertexte visité" xfId="18293" builtinId="9" hidden="1"/>
    <cellStyle name="Lien hypertexte visité" xfId="18295" builtinId="9" hidden="1"/>
    <cellStyle name="Lien hypertexte visité" xfId="18297" builtinId="9" hidden="1"/>
    <cellStyle name="Lien hypertexte visité" xfId="18299" builtinId="9" hidden="1"/>
    <cellStyle name="Lien hypertexte visité" xfId="18301" builtinId="9" hidden="1"/>
    <cellStyle name="Lien hypertexte visité" xfId="18303" builtinId="9" hidden="1"/>
    <cellStyle name="Lien hypertexte visité" xfId="18305" builtinId="9" hidden="1"/>
    <cellStyle name="Lien hypertexte visité" xfId="18307" builtinId="9" hidden="1"/>
    <cellStyle name="Lien hypertexte visité" xfId="18309" builtinId="9" hidden="1"/>
    <cellStyle name="Lien hypertexte visité" xfId="18311" builtinId="9" hidden="1"/>
    <cellStyle name="Lien hypertexte visité" xfId="18313" builtinId="9" hidden="1"/>
    <cellStyle name="Lien hypertexte visité" xfId="18315" builtinId="9" hidden="1"/>
    <cellStyle name="Lien hypertexte visité" xfId="18317" builtinId="9" hidden="1"/>
    <cellStyle name="Lien hypertexte visité" xfId="18319" builtinId="9" hidden="1"/>
    <cellStyle name="Lien hypertexte visité" xfId="18321" builtinId="9" hidden="1"/>
    <cellStyle name="Lien hypertexte visité" xfId="18323" builtinId="9" hidden="1"/>
    <cellStyle name="Lien hypertexte visité" xfId="18325" builtinId="9" hidden="1"/>
    <cellStyle name="Lien hypertexte visité" xfId="18327" builtinId="9" hidden="1"/>
    <cellStyle name="Lien hypertexte visité" xfId="18329" builtinId="9" hidden="1"/>
    <cellStyle name="Lien hypertexte visité" xfId="18331" builtinId="9" hidden="1"/>
    <cellStyle name="Lien hypertexte visité" xfId="18333" builtinId="9" hidden="1"/>
    <cellStyle name="Lien hypertexte visité" xfId="18335" builtinId="9" hidden="1"/>
    <cellStyle name="Lien hypertexte visité" xfId="18337" builtinId="9" hidden="1"/>
    <cellStyle name="Lien hypertexte visité" xfId="18339" builtinId="9" hidden="1"/>
    <cellStyle name="Lien hypertexte visité" xfId="18341" builtinId="9" hidden="1"/>
    <cellStyle name="Lien hypertexte visité" xfId="18343" builtinId="9" hidden="1"/>
    <cellStyle name="Lien hypertexte visité" xfId="18345" builtinId="9" hidden="1"/>
    <cellStyle name="Lien hypertexte visité" xfId="18347" builtinId="9" hidden="1"/>
    <cellStyle name="Lien hypertexte visité" xfId="18349" builtinId="9" hidden="1"/>
    <cellStyle name="Lien hypertexte visité" xfId="18351" builtinId="9" hidden="1"/>
    <cellStyle name="Lien hypertexte visité" xfId="18353" builtinId="9" hidden="1"/>
    <cellStyle name="Lien hypertexte visité" xfId="18355" builtinId="9" hidden="1"/>
    <cellStyle name="Lien hypertexte visité" xfId="18357" builtinId="9" hidden="1"/>
    <cellStyle name="Lien hypertexte visité" xfId="18359" builtinId="9" hidden="1"/>
    <cellStyle name="Lien hypertexte visité" xfId="18361" builtinId="9" hidden="1"/>
    <cellStyle name="Lien hypertexte visité" xfId="18363" builtinId="9" hidden="1"/>
    <cellStyle name="Lien hypertexte visité" xfId="18365" builtinId="9" hidden="1"/>
    <cellStyle name="Lien hypertexte visité" xfId="18367" builtinId="9" hidden="1"/>
    <cellStyle name="Lien hypertexte visité" xfId="18369" builtinId="9" hidden="1"/>
    <cellStyle name="Lien hypertexte visité" xfId="18371" builtinId="9" hidden="1"/>
    <cellStyle name="Lien hypertexte visité" xfId="18373" builtinId="9" hidden="1"/>
    <cellStyle name="Lien hypertexte visité" xfId="18375" builtinId="9" hidden="1"/>
    <cellStyle name="Lien hypertexte visité" xfId="18377" builtinId="9" hidden="1"/>
    <cellStyle name="Lien hypertexte visité" xfId="18379" builtinId="9" hidden="1"/>
    <cellStyle name="Lien hypertexte visité" xfId="18381" builtinId="9" hidden="1"/>
    <cellStyle name="Lien hypertexte visité" xfId="18383" builtinId="9" hidden="1"/>
    <cellStyle name="Lien hypertexte visité" xfId="18385" builtinId="9" hidden="1"/>
    <cellStyle name="Lien hypertexte visité" xfId="18387" builtinId="9" hidden="1"/>
    <cellStyle name="Lien hypertexte visité" xfId="18389" builtinId="9" hidden="1"/>
    <cellStyle name="Lien hypertexte visité" xfId="18391" builtinId="9" hidden="1"/>
    <cellStyle name="Lien hypertexte visité" xfId="18393" builtinId="9" hidden="1"/>
    <cellStyle name="Lien hypertexte visité" xfId="18395" builtinId="9" hidden="1"/>
    <cellStyle name="Lien hypertexte visité" xfId="18397" builtinId="9" hidden="1"/>
    <cellStyle name="Lien hypertexte visité" xfId="18399" builtinId="9" hidden="1"/>
    <cellStyle name="Lien hypertexte visité" xfId="18401" builtinId="9" hidden="1"/>
    <cellStyle name="Lien hypertexte visité" xfId="18403" builtinId="9" hidden="1"/>
    <cellStyle name="Lien hypertexte visité" xfId="18405" builtinId="9" hidden="1"/>
    <cellStyle name="Lien hypertexte visité" xfId="18407" builtinId="9" hidden="1"/>
    <cellStyle name="Lien hypertexte visité" xfId="18409" builtinId="9" hidden="1"/>
    <cellStyle name="Lien hypertexte visité" xfId="18411" builtinId="9" hidden="1"/>
    <cellStyle name="Lien hypertexte visité" xfId="18413" builtinId="9" hidden="1"/>
    <cellStyle name="Lien hypertexte visité" xfId="18415" builtinId="9" hidden="1"/>
    <cellStyle name="Lien hypertexte visité" xfId="18417" builtinId="9" hidden="1"/>
    <cellStyle name="Lien hypertexte visité" xfId="18419" builtinId="9" hidden="1"/>
    <cellStyle name="Lien hypertexte visité" xfId="18421" builtinId="9" hidden="1"/>
    <cellStyle name="Lien hypertexte visité" xfId="18423" builtinId="9" hidden="1"/>
    <cellStyle name="Lien hypertexte visité" xfId="18425" builtinId="9" hidden="1"/>
    <cellStyle name="Lien hypertexte visité" xfId="18427" builtinId="9" hidden="1"/>
    <cellStyle name="Lien hypertexte visité" xfId="18429" builtinId="9" hidden="1"/>
    <cellStyle name="Lien hypertexte visité" xfId="18431" builtinId="9" hidden="1"/>
    <cellStyle name="Lien hypertexte visité" xfId="18433" builtinId="9" hidden="1"/>
    <cellStyle name="Lien hypertexte visité" xfId="18435" builtinId="9" hidden="1"/>
    <cellStyle name="Lien hypertexte visité" xfId="18437" builtinId="9" hidden="1"/>
    <cellStyle name="Lien hypertexte visité" xfId="18439" builtinId="9" hidden="1"/>
    <cellStyle name="Lien hypertexte visité" xfId="18441" builtinId="9" hidden="1"/>
    <cellStyle name="Lien hypertexte visité" xfId="18443" builtinId="9" hidden="1"/>
    <cellStyle name="Lien hypertexte visité" xfId="18445" builtinId="9" hidden="1"/>
    <cellStyle name="Lien hypertexte visité" xfId="18447" builtinId="9" hidden="1"/>
    <cellStyle name="Lien hypertexte visité" xfId="18449" builtinId="9" hidden="1"/>
    <cellStyle name="Lien hypertexte visité" xfId="18451" builtinId="9" hidden="1"/>
    <cellStyle name="Lien hypertexte visité" xfId="18453" builtinId="9" hidden="1"/>
    <cellStyle name="Lien hypertexte visité" xfId="18455" builtinId="9" hidden="1"/>
    <cellStyle name="Lien hypertexte visité" xfId="18457" builtinId="9" hidden="1"/>
    <cellStyle name="Lien hypertexte visité" xfId="18459" builtinId="9" hidden="1"/>
    <cellStyle name="Lien hypertexte visité" xfId="18461" builtinId="9" hidden="1"/>
    <cellStyle name="Lien hypertexte visité" xfId="18463" builtinId="9" hidden="1"/>
    <cellStyle name="Lien hypertexte visité" xfId="18465" builtinId="9" hidden="1"/>
    <cellStyle name="Lien hypertexte visité" xfId="18467" builtinId="9" hidden="1"/>
    <cellStyle name="Lien hypertexte visité" xfId="18469" builtinId="9" hidden="1"/>
    <cellStyle name="Lien hypertexte visité" xfId="18471" builtinId="9" hidden="1"/>
    <cellStyle name="Lien hypertexte visité" xfId="18473" builtinId="9" hidden="1"/>
    <cellStyle name="Lien hypertexte visité" xfId="18475" builtinId="9" hidden="1"/>
    <cellStyle name="Lien hypertexte visité" xfId="18477" builtinId="9" hidden="1"/>
    <cellStyle name="Lien hypertexte visité" xfId="18479" builtinId="9" hidden="1"/>
    <cellStyle name="Lien hypertexte visité" xfId="18481" builtinId="9" hidden="1"/>
    <cellStyle name="Lien hypertexte visité" xfId="18483" builtinId="9" hidden="1"/>
    <cellStyle name="Lien hypertexte visité" xfId="18485" builtinId="9" hidden="1"/>
    <cellStyle name="Lien hypertexte visité" xfId="18487" builtinId="9" hidden="1"/>
    <cellStyle name="Lien hypertexte visité" xfId="18489" builtinId="9" hidden="1"/>
    <cellStyle name="Lien hypertexte visité" xfId="18491" builtinId="9" hidden="1"/>
    <cellStyle name="Lien hypertexte visité" xfId="18493" builtinId="9" hidden="1"/>
    <cellStyle name="Lien hypertexte visité" xfId="18495" builtinId="9" hidden="1"/>
    <cellStyle name="Lien hypertexte visité" xfId="18497" builtinId="9" hidden="1"/>
    <cellStyle name="Lien hypertexte visité" xfId="18499" builtinId="9" hidden="1"/>
    <cellStyle name="Lien hypertexte visité" xfId="18501" builtinId="9" hidden="1"/>
    <cellStyle name="Lien hypertexte visité" xfId="18503" builtinId="9" hidden="1"/>
    <cellStyle name="Lien hypertexte visité" xfId="18505" builtinId="9" hidden="1"/>
    <cellStyle name="Lien hypertexte visité" xfId="18507" builtinId="9" hidden="1"/>
    <cellStyle name="Lien hypertexte visité" xfId="18509" builtinId="9" hidden="1"/>
    <cellStyle name="Lien hypertexte visité" xfId="18511" builtinId="9" hidden="1"/>
    <cellStyle name="Lien hypertexte visité" xfId="18513" builtinId="9" hidden="1"/>
    <cellStyle name="Lien hypertexte visité" xfId="18515" builtinId="9" hidden="1"/>
    <cellStyle name="Lien hypertexte visité" xfId="18517" builtinId="9" hidden="1"/>
    <cellStyle name="Lien hypertexte visité" xfId="18519" builtinId="9" hidden="1"/>
    <cellStyle name="Lien hypertexte visité" xfId="18521" builtinId="9" hidden="1"/>
    <cellStyle name="Lien hypertexte visité" xfId="18523" builtinId="9" hidden="1"/>
    <cellStyle name="Lien hypertexte visité" xfId="18525" builtinId="9" hidden="1"/>
    <cellStyle name="Lien hypertexte visité" xfId="18527" builtinId="9" hidden="1"/>
    <cellStyle name="Lien hypertexte visité" xfId="18529" builtinId="9" hidden="1"/>
    <cellStyle name="Lien hypertexte visité" xfId="18531" builtinId="9" hidden="1"/>
    <cellStyle name="Lien hypertexte visité" xfId="18533" builtinId="9" hidden="1"/>
    <cellStyle name="Lien hypertexte visité" xfId="18535" builtinId="9" hidden="1"/>
    <cellStyle name="Lien hypertexte visité" xfId="18537" builtinId="9" hidden="1"/>
    <cellStyle name="Lien hypertexte visité" xfId="18539" builtinId="9" hidden="1"/>
    <cellStyle name="Lien hypertexte visité" xfId="18541" builtinId="9" hidden="1"/>
    <cellStyle name="Lien hypertexte visité" xfId="18543" builtinId="9" hidden="1"/>
    <cellStyle name="Lien hypertexte visité" xfId="18545" builtinId="9" hidden="1"/>
    <cellStyle name="Lien hypertexte visité" xfId="18547" builtinId="9" hidden="1"/>
    <cellStyle name="Lien hypertexte visité" xfId="18549" builtinId="9" hidden="1"/>
    <cellStyle name="Lien hypertexte visité" xfId="18551" builtinId="9" hidden="1"/>
    <cellStyle name="Lien hypertexte visité" xfId="18553" builtinId="9" hidden="1"/>
    <cellStyle name="Lien hypertexte visité" xfId="18555" builtinId="9" hidden="1"/>
    <cellStyle name="Lien hypertexte visité" xfId="18557" builtinId="9" hidden="1"/>
    <cellStyle name="Lien hypertexte visité" xfId="18559" builtinId="9" hidden="1"/>
    <cellStyle name="Lien hypertexte visité" xfId="18561" builtinId="9" hidden="1"/>
    <cellStyle name="Lien hypertexte visité" xfId="18563" builtinId="9" hidden="1"/>
    <cellStyle name="Lien hypertexte visité" xfId="18565" builtinId="9" hidden="1"/>
    <cellStyle name="Lien hypertexte visité" xfId="18567" builtinId="9" hidden="1"/>
    <cellStyle name="Lien hypertexte visité" xfId="18569" builtinId="9" hidden="1"/>
    <cellStyle name="Lien hypertexte visité" xfId="18571" builtinId="9" hidden="1"/>
    <cellStyle name="Lien hypertexte visité" xfId="18573" builtinId="9" hidden="1"/>
    <cellStyle name="Lien hypertexte visité" xfId="18575" builtinId="9" hidden="1"/>
    <cellStyle name="Lien hypertexte visité" xfId="18577" builtinId="9" hidden="1"/>
    <cellStyle name="Lien hypertexte visité" xfId="18579" builtinId="9" hidden="1"/>
    <cellStyle name="Lien hypertexte visité" xfId="18581" builtinId="9" hidden="1"/>
    <cellStyle name="Lien hypertexte visité" xfId="18583" builtinId="9" hidden="1"/>
    <cellStyle name="Lien hypertexte visité" xfId="18585" builtinId="9" hidden="1"/>
    <cellStyle name="Lien hypertexte visité" xfId="18587" builtinId="9" hidden="1"/>
    <cellStyle name="Lien hypertexte visité" xfId="18589" builtinId="9" hidden="1"/>
    <cellStyle name="Lien hypertexte visité" xfId="18591" builtinId="9" hidden="1"/>
    <cellStyle name="Lien hypertexte visité" xfId="18593" builtinId="9" hidden="1"/>
    <cellStyle name="Lien hypertexte visité" xfId="18595" builtinId="9" hidden="1"/>
    <cellStyle name="Lien hypertexte visité" xfId="18597" builtinId="9" hidden="1"/>
    <cellStyle name="Lien hypertexte visité" xfId="18599" builtinId="9" hidden="1"/>
    <cellStyle name="Lien hypertexte visité" xfId="18601" builtinId="9" hidden="1"/>
    <cellStyle name="Lien hypertexte visité" xfId="18603" builtinId="9" hidden="1"/>
    <cellStyle name="Lien hypertexte visité" xfId="18605" builtinId="9" hidden="1"/>
    <cellStyle name="Lien hypertexte visité" xfId="18607" builtinId="9" hidden="1"/>
    <cellStyle name="Lien hypertexte visité" xfId="18609" builtinId="9" hidden="1"/>
    <cellStyle name="Lien hypertexte visité" xfId="18611" builtinId="9" hidden="1"/>
    <cellStyle name="Lien hypertexte visité" xfId="18613" builtinId="9" hidden="1"/>
    <cellStyle name="Lien hypertexte visité" xfId="18615" builtinId="9" hidden="1"/>
    <cellStyle name="Lien hypertexte visité" xfId="18617" builtinId="9" hidden="1"/>
    <cellStyle name="Lien hypertexte visité" xfId="18619" builtinId="9" hidden="1"/>
    <cellStyle name="Lien hypertexte visité" xfId="18621" builtinId="9" hidden="1"/>
    <cellStyle name="Lien hypertexte visité" xfId="18623" builtinId="9" hidden="1"/>
    <cellStyle name="Lien hypertexte visité" xfId="18625" builtinId="9" hidden="1"/>
    <cellStyle name="Lien hypertexte visité" xfId="18627" builtinId="9" hidden="1"/>
    <cellStyle name="Lien hypertexte visité" xfId="18629" builtinId="9" hidden="1"/>
    <cellStyle name="Lien hypertexte visité" xfId="18631" builtinId="9" hidden="1"/>
    <cellStyle name="Lien hypertexte visité" xfId="18633" builtinId="9" hidden="1"/>
    <cellStyle name="Lien hypertexte visité" xfId="18635" builtinId="9" hidden="1"/>
    <cellStyle name="Lien hypertexte visité" xfId="18637" builtinId="9" hidden="1"/>
    <cellStyle name="Lien hypertexte visité" xfId="18639" builtinId="9" hidden="1"/>
    <cellStyle name="Lien hypertexte visité" xfId="18641" builtinId="9" hidden="1"/>
    <cellStyle name="Lien hypertexte visité" xfId="18643" builtinId="9" hidden="1"/>
    <cellStyle name="Lien hypertexte visité" xfId="18645" builtinId="9" hidden="1"/>
    <cellStyle name="Lien hypertexte visité" xfId="18647" builtinId="9" hidden="1"/>
    <cellStyle name="Lien hypertexte visité" xfId="18649" builtinId="9" hidden="1"/>
    <cellStyle name="Lien hypertexte visité" xfId="18651" builtinId="9" hidden="1"/>
    <cellStyle name="Lien hypertexte visité" xfId="18653" builtinId="9" hidden="1"/>
    <cellStyle name="Lien hypertexte visité" xfId="18655" builtinId="9" hidden="1"/>
    <cellStyle name="Lien hypertexte visité" xfId="18657" builtinId="9" hidden="1"/>
    <cellStyle name="Lien hypertexte visité" xfId="18659" builtinId="9" hidden="1"/>
    <cellStyle name="Lien hypertexte visité" xfId="18661" builtinId="9" hidden="1"/>
    <cellStyle name="Lien hypertexte visité" xfId="18663" builtinId="9" hidden="1"/>
    <cellStyle name="Lien hypertexte visité" xfId="18665" builtinId="9" hidden="1"/>
    <cellStyle name="Lien hypertexte visité" xfId="18667" builtinId="9" hidden="1"/>
    <cellStyle name="Lien hypertexte visité" xfId="18669" builtinId="9" hidden="1"/>
    <cellStyle name="Lien hypertexte visité" xfId="18671" builtinId="9" hidden="1"/>
    <cellStyle name="Lien hypertexte visité" xfId="18673" builtinId="9" hidden="1"/>
    <cellStyle name="Lien hypertexte visité" xfId="18675" builtinId="9" hidden="1"/>
    <cellStyle name="Lien hypertexte visité" xfId="18677" builtinId="9" hidden="1"/>
    <cellStyle name="Lien hypertexte visité" xfId="18679" builtinId="9" hidden="1"/>
    <cellStyle name="Lien hypertexte visité" xfId="18681" builtinId="9" hidden="1"/>
    <cellStyle name="Lien hypertexte visité" xfId="18683" builtinId="9" hidden="1"/>
    <cellStyle name="Lien hypertexte visité" xfId="18685" builtinId="9" hidden="1"/>
    <cellStyle name="Lien hypertexte visité" xfId="18687" builtinId="9" hidden="1"/>
    <cellStyle name="Lien hypertexte visité" xfId="18689" builtinId="9" hidden="1"/>
    <cellStyle name="Lien hypertexte visité" xfId="18691" builtinId="9" hidden="1"/>
    <cellStyle name="Lien hypertexte visité" xfId="18693" builtinId="9" hidden="1"/>
    <cellStyle name="Lien hypertexte visité" xfId="18695" builtinId="9" hidden="1"/>
    <cellStyle name="Lien hypertexte visité" xfId="18697" builtinId="9" hidden="1"/>
    <cellStyle name="Lien hypertexte visité" xfId="18699" builtinId="9" hidden="1"/>
    <cellStyle name="Lien hypertexte visité" xfId="18701" builtinId="9" hidden="1"/>
    <cellStyle name="Lien hypertexte visité" xfId="18703" builtinId="9" hidden="1"/>
    <cellStyle name="Lien hypertexte visité" xfId="18705" builtinId="9" hidden="1"/>
    <cellStyle name="Lien hypertexte visité" xfId="18707" builtinId="9" hidden="1"/>
    <cellStyle name="Lien hypertexte visité" xfId="18709" builtinId="9" hidden="1"/>
    <cellStyle name="Lien hypertexte visité" xfId="18711" builtinId="9" hidden="1"/>
    <cellStyle name="Lien hypertexte visité" xfId="18713" builtinId="9" hidden="1"/>
    <cellStyle name="Lien hypertexte visité" xfId="18715" builtinId="9" hidden="1"/>
    <cellStyle name="Lien hypertexte visité" xfId="18717" builtinId="9" hidden="1"/>
    <cellStyle name="Lien hypertexte visité" xfId="18719" builtinId="9" hidden="1"/>
    <cellStyle name="Lien hypertexte visité" xfId="18721" builtinId="9" hidden="1"/>
    <cellStyle name="Lien hypertexte visité" xfId="18723" builtinId="9" hidden="1"/>
    <cellStyle name="Lien hypertexte visité" xfId="18725" builtinId="9" hidden="1"/>
    <cellStyle name="Lien hypertexte visité" xfId="18727" builtinId="9" hidden="1"/>
    <cellStyle name="Lien hypertexte visité" xfId="18729" builtinId="9" hidden="1"/>
    <cellStyle name="Lien hypertexte visité" xfId="18731" builtinId="9" hidden="1"/>
    <cellStyle name="Lien hypertexte visité" xfId="18733" builtinId="9" hidden="1"/>
    <cellStyle name="Lien hypertexte visité" xfId="18735" builtinId="9" hidden="1"/>
    <cellStyle name="Lien hypertexte visité" xfId="18737" builtinId="9" hidden="1"/>
    <cellStyle name="Lien hypertexte visité" xfId="18739" builtinId="9" hidden="1"/>
    <cellStyle name="Lien hypertexte visité" xfId="18741" builtinId="9" hidden="1"/>
    <cellStyle name="Lien hypertexte visité" xfId="18743" builtinId="9" hidden="1"/>
    <cellStyle name="Lien hypertexte visité" xfId="18745" builtinId="9" hidden="1"/>
    <cellStyle name="Lien hypertexte visité" xfId="18747" builtinId="9" hidden="1"/>
    <cellStyle name="Lien hypertexte visité" xfId="18749" builtinId="9" hidden="1"/>
    <cellStyle name="Lien hypertexte visité" xfId="18751" builtinId="9" hidden="1"/>
    <cellStyle name="Lien hypertexte visité" xfId="18753" builtinId="9" hidden="1"/>
    <cellStyle name="Lien hypertexte visité" xfId="18755" builtinId="9" hidden="1"/>
    <cellStyle name="Lien hypertexte visité" xfId="18757" builtinId="9" hidden="1"/>
    <cellStyle name="Lien hypertexte visité" xfId="18759" builtinId="9" hidden="1"/>
    <cellStyle name="Lien hypertexte visité" xfId="18761" builtinId="9" hidden="1"/>
    <cellStyle name="Lien hypertexte visité" xfId="18763" builtinId="9" hidden="1"/>
    <cellStyle name="Lien hypertexte visité" xfId="18765" builtinId="9" hidden="1"/>
    <cellStyle name="Lien hypertexte visité" xfId="18767" builtinId="9" hidden="1"/>
    <cellStyle name="Lien hypertexte visité" xfId="18769" builtinId="9" hidden="1"/>
    <cellStyle name="Lien hypertexte visité" xfId="18771" builtinId="9" hidden="1"/>
    <cellStyle name="Lien hypertexte visité" xfId="18773" builtinId="9" hidden="1"/>
    <cellStyle name="Lien hypertexte visité" xfId="18775" builtinId="9" hidden="1"/>
    <cellStyle name="Lien hypertexte visité" xfId="18777" builtinId="9" hidden="1"/>
    <cellStyle name="Lien hypertexte visité" xfId="18779" builtinId="9" hidden="1"/>
    <cellStyle name="Lien hypertexte visité" xfId="18781" builtinId="9" hidden="1"/>
    <cellStyle name="Lien hypertexte visité" xfId="18783" builtinId="9" hidden="1"/>
    <cellStyle name="Lien hypertexte visité" xfId="18785" builtinId="9" hidden="1"/>
    <cellStyle name="Lien hypertexte visité" xfId="18787" builtinId="9" hidden="1"/>
    <cellStyle name="Lien hypertexte visité" xfId="18789" builtinId="9" hidden="1"/>
    <cellStyle name="Lien hypertexte visité" xfId="18791" builtinId="9" hidden="1"/>
    <cellStyle name="Lien hypertexte visité" xfId="18793" builtinId="9" hidden="1"/>
    <cellStyle name="Lien hypertexte visité" xfId="18795" builtinId="9" hidden="1"/>
    <cellStyle name="Lien hypertexte visité" xfId="18797" builtinId="9" hidden="1"/>
    <cellStyle name="Lien hypertexte visité" xfId="18799" builtinId="9" hidden="1"/>
    <cellStyle name="Lien hypertexte visité" xfId="18801" builtinId="9" hidden="1"/>
    <cellStyle name="Lien hypertexte visité" xfId="18803" builtinId="9" hidden="1"/>
    <cellStyle name="Lien hypertexte visité" xfId="18805" builtinId="9" hidden="1"/>
    <cellStyle name="Lien hypertexte visité" xfId="18807" builtinId="9" hidden="1"/>
    <cellStyle name="Lien hypertexte visité" xfId="18809" builtinId="9" hidden="1"/>
    <cellStyle name="Lien hypertexte visité" xfId="18811" builtinId="9" hidden="1"/>
    <cellStyle name="Lien hypertexte visité" xfId="18813" builtinId="9" hidden="1"/>
    <cellStyle name="Lien hypertexte visité" xfId="18815" builtinId="9" hidden="1"/>
    <cellStyle name="Lien hypertexte visité" xfId="18817" builtinId="9" hidden="1"/>
    <cellStyle name="Lien hypertexte visité" xfId="18819" builtinId="9" hidden="1"/>
    <cellStyle name="Lien hypertexte visité" xfId="18821" builtinId="9" hidden="1"/>
    <cellStyle name="Lien hypertexte visité" xfId="18823" builtinId="9" hidden="1"/>
    <cellStyle name="Lien hypertexte visité" xfId="18825" builtinId="9" hidden="1"/>
    <cellStyle name="Lien hypertexte visité" xfId="18827" builtinId="9" hidden="1"/>
    <cellStyle name="Lien hypertexte visité" xfId="18829" builtinId="9" hidden="1"/>
    <cellStyle name="Lien hypertexte visité" xfId="18831" builtinId="9" hidden="1"/>
    <cellStyle name="Lien hypertexte visité" xfId="18833" builtinId="9" hidden="1"/>
    <cellStyle name="Lien hypertexte visité" xfId="18835" builtinId="9" hidden="1"/>
    <cellStyle name="Lien hypertexte visité" xfId="18837" builtinId="9" hidden="1"/>
    <cellStyle name="Lien hypertexte visité" xfId="18839" builtinId="9" hidden="1"/>
    <cellStyle name="Lien hypertexte visité" xfId="18841" builtinId="9" hidden="1"/>
    <cellStyle name="Lien hypertexte visité" xfId="18843" builtinId="9" hidden="1"/>
    <cellStyle name="Lien hypertexte visité" xfId="18845" builtinId="9" hidden="1"/>
    <cellStyle name="Lien hypertexte visité" xfId="18847" builtinId="9" hidden="1"/>
    <cellStyle name="Lien hypertexte visité" xfId="18849" builtinId="9" hidden="1"/>
    <cellStyle name="Lien hypertexte visité" xfId="18851" builtinId="9" hidden="1"/>
    <cellStyle name="Lien hypertexte visité" xfId="18853" builtinId="9" hidden="1"/>
    <cellStyle name="Lien hypertexte visité" xfId="18855" builtinId="9" hidden="1"/>
    <cellStyle name="Lien hypertexte visité" xfId="18857" builtinId="9" hidden="1"/>
    <cellStyle name="Lien hypertexte visité" xfId="18859" builtinId="9" hidden="1"/>
    <cellStyle name="Lien hypertexte visité" xfId="18861" builtinId="9" hidden="1"/>
    <cellStyle name="Lien hypertexte visité" xfId="18863" builtinId="9" hidden="1"/>
    <cellStyle name="Lien hypertexte visité" xfId="18865" builtinId="9" hidden="1"/>
    <cellStyle name="Lien hypertexte visité" xfId="18867" builtinId="9" hidden="1"/>
    <cellStyle name="Lien hypertexte visité" xfId="18869" builtinId="9" hidden="1"/>
    <cellStyle name="Lien hypertexte visité" xfId="18871" builtinId="9" hidden="1"/>
    <cellStyle name="Lien hypertexte visité" xfId="18873" builtinId="9" hidden="1"/>
    <cellStyle name="Lien hypertexte visité" xfId="18875" builtinId="9" hidden="1"/>
    <cellStyle name="Lien hypertexte visité" xfId="18877" builtinId="9" hidden="1"/>
    <cellStyle name="Lien hypertexte visité" xfId="18879" builtinId="9" hidden="1"/>
    <cellStyle name="Lien hypertexte visité" xfId="18881" builtinId="9" hidden="1"/>
    <cellStyle name="Lien hypertexte visité" xfId="18883" builtinId="9" hidden="1"/>
    <cellStyle name="Lien hypertexte visité" xfId="18885" builtinId="9" hidden="1"/>
    <cellStyle name="Lien hypertexte visité" xfId="18887" builtinId="9" hidden="1"/>
    <cellStyle name="Lien hypertexte visité" xfId="18889" builtinId="9" hidden="1"/>
    <cellStyle name="Lien hypertexte visité" xfId="18891" builtinId="9" hidden="1"/>
    <cellStyle name="Lien hypertexte visité" xfId="18893" builtinId="9" hidden="1"/>
    <cellStyle name="Lien hypertexte visité" xfId="18895" builtinId="9" hidden="1"/>
    <cellStyle name="Lien hypertexte visité" xfId="18897" builtinId="9" hidden="1"/>
    <cellStyle name="Lien hypertexte visité" xfId="18899" builtinId="9" hidden="1"/>
    <cellStyle name="Lien hypertexte visité" xfId="18901" builtinId="9" hidden="1"/>
    <cellStyle name="Lien hypertexte visité" xfId="18903" builtinId="9" hidden="1"/>
    <cellStyle name="Lien hypertexte visité" xfId="18905" builtinId="9" hidden="1"/>
    <cellStyle name="Lien hypertexte visité" xfId="18907" builtinId="9" hidden="1"/>
    <cellStyle name="Lien hypertexte visité" xfId="18909" builtinId="9" hidden="1"/>
    <cellStyle name="Lien hypertexte visité" xfId="18911" builtinId="9" hidden="1"/>
    <cellStyle name="Lien hypertexte visité" xfId="18913" builtinId="9" hidden="1"/>
    <cellStyle name="Lien hypertexte visité" xfId="18915" builtinId="9" hidden="1"/>
    <cellStyle name="Lien hypertexte visité" xfId="18917" builtinId="9" hidden="1"/>
    <cellStyle name="Lien hypertexte visité" xfId="18919" builtinId="9" hidden="1"/>
    <cellStyle name="Lien hypertexte visité" xfId="18921" builtinId="9" hidden="1"/>
    <cellStyle name="Lien hypertexte visité" xfId="18923" builtinId="9" hidden="1"/>
    <cellStyle name="Lien hypertexte visité" xfId="18925" builtinId="9" hidden="1"/>
    <cellStyle name="Lien hypertexte visité" xfId="18927" builtinId="9" hidden="1"/>
    <cellStyle name="Lien hypertexte visité" xfId="18929" builtinId="9" hidden="1"/>
    <cellStyle name="Lien hypertexte visité" xfId="18931" builtinId="9" hidden="1"/>
    <cellStyle name="Lien hypertexte visité" xfId="18933" builtinId="9" hidden="1"/>
    <cellStyle name="Lien hypertexte visité" xfId="18935" builtinId="9" hidden="1"/>
    <cellStyle name="Lien hypertexte visité" xfId="18937" builtinId="9" hidden="1"/>
    <cellStyle name="Lien hypertexte visité" xfId="18939" builtinId="9" hidden="1"/>
    <cellStyle name="Lien hypertexte visité" xfId="18941" builtinId="9" hidden="1"/>
    <cellStyle name="Lien hypertexte visité" xfId="18943" builtinId="9" hidden="1"/>
    <cellStyle name="Lien hypertexte visité" xfId="18945" builtinId="9" hidden="1"/>
    <cellStyle name="Lien hypertexte visité" xfId="18947" builtinId="9" hidden="1"/>
    <cellStyle name="Lien hypertexte visité" xfId="18949" builtinId="9" hidden="1"/>
    <cellStyle name="Lien hypertexte visité" xfId="18951" builtinId="9" hidden="1"/>
    <cellStyle name="Lien hypertexte visité" xfId="18953" builtinId="9" hidden="1"/>
    <cellStyle name="Lien hypertexte visité" xfId="18955" builtinId="9" hidden="1"/>
    <cellStyle name="Lien hypertexte visité" xfId="18957" builtinId="9" hidden="1"/>
    <cellStyle name="Lien hypertexte visité" xfId="18959" builtinId="9" hidden="1"/>
    <cellStyle name="Lien hypertexte visité" xfId="18961" builtinId="9" hidden="1"/>
    <cellStyle name="Lien hypertexte visité" xfId="18963" builtinId="9" hidden="1"/>
    <cellStyle name="Lien hypertexte visité" xfId="18965" builtinId="9" hidden="1"/>
    <cellStyle name="Lien hypertexte visité" xfId="18967" builtinId="9" hidden="1"/>
    <cellStyle name="Lien hypertexte visité" xfId="18969" builtinId="9" hidden="1"/>
    <cellStyle name="Lien hypertexte visité" xfId="18971" builtinId="9" hidden="1"/>
    <cellStyle name="Lien hypertexte visité" xfId="18973" builtinId="9" hidden="1"/>
    <cellStyle name="Lien hypertexte visité" xfId="18975" builtinId="9" hidden="1"/>
    <cellStyle name="Lien hypertexte visité" xfId="18977" builtinId="9" hidden="1"/>
    <cellStyle name="Lien hypertexte visité" xfId="18979" builtinId="9" hidden="1"/>
    <cellStyle name="Lien hypertexte visité" xfId="18981" builtinId="9" hidden="1"/>
    <cellStyle name="Lien hypertexte visité" xfId="18983" builtinId="9" hidden="1"/>
    <cellStyle name="Lien hypertexte visité" xfId="18985" builtinId="9" hidden="1"/>
    <cellStyle name="Lien hypertexte visité" xfId="18987" builtinId="9" hidden="1"/>
    <cellStyle name="Lien hypertexte visité" xfId="18989" builtinId="9" hidden="1"/>
    <cellStyle name="Lien hypertexte visité" xfId="18991" builtinId="9" hidden="1"/>
    <cellStyle name="Lien hypertexte visité" xfId="18993" builtinId="9" hidden="1"/>
    <cellStyle name="Lien hypertexte visité" xfId="18995" builtinId="9" hidden="1"/>
    <cellStyle name="Lien hypertexte visité" xfId="18997" builtinId="9" hidden="1"/>
    <cellStyle name="Lien hypertexte visité" xfId="18999" builtinId="9" hidden="1"/>
    <cellStyle name="Lien hypertexte visité" xfId="19001" builtinId="9" hidden="1"/>
    <cellStyle name="Lien hypertexte visité" xfId="19003" builtinId="9" hidden="1"/>
    <cellStyle name="Lien hypertexte visité" xfId="19005" builtinId="9" hidden="1"/>
    <cellStyle name="Lien hypertexte visité" xfId="19007" builtinId="9" hidden="1"/>
    <cellStyle name="Lien hypertexte visité" xfId="19009" builtinId="9" hidden="1"/>
    <cellStyle name="Lien hypertexte visité" xfId="19011" builtinId="9" hidden="1"/>
    <cellStyle name="Lien hypertexte visité" xfId="19013" builtinId="9" hidden="1"/>
    <cellStyle name="Lien hypertexte visité" xfId="19015" builtinId="9" hidden="1"/>
    <cellStyle name="Lien hypertexte visité" xfId="19017" builtinId="9" hidden="1"/>
    <cellStyle name="Lien hypertexte visité" xfId="19019" builtinId="9" hidden="1"/>
    <cellStyle name="Lien hypertexte visité" xfId="19021" builtinId="9" hidden="1"/>
    <cellStyle name="Lien hypertexte visité" xfId="19023" builtinId="9" hidden="1"/>
    <cellStyle name="Lien hypertexte visité" xfId="19025" builtinId="9" hidden="1"/>
    <cellStyle name="Lien hypertexte visité" xfId="19027" builtinId="9" hidden="1"/>
    <cellStyle name="Lien hypertexte visité" xfId="19029" builtinId="9" hidden="1"/>
    <cellStyle name="Lien hypertexte visité" xfId="19031" builtinId="9" hidden="1"/>
    <cellStyle name="Lien hypertexte visité" xfId="19033" builtinId="9" hidden="1"/>
    <cellStyle name="Lien hypertexte visité" xfId="19035" builtinId="9" hidden="1"/>
    <cellStyle name="Lien hypertexte visité" xfId="19037" builtinId="9" hidden="1"/>
    <cellStyle name="Lien hypertexte visité" xfId="19039" builtinId="9" hidden="1"/>
    <cellStyle name="Lien hypertexte visité" xfId="19041" builtinId="9" hidden="1"/>
    <cellStyle name="Lien hypertexte visité" xfId="19043" builtinId="9" hidden="1"/>
    <cellStyle name="Lien hypertexte visité" xfId="19045" builtinId="9" hidden="1"/>
    <cellStyle name="Lien hypertexte visité" xfId="19047" builtinId="9" hidden="1"/>
    <cellStyle name="Lien hypertexte visité" xfId="19049" builtinId="9" hidden="1"/>
    <cellStyle name="Lien hypertexte visité" xfId="19051" builtinId="9" hidden="1"/>
    <cellStyle name="Lien hypertexte visité" xfId="19053" builtinId="9" hidden="1"/>
    <cellStyle name="Lien hypertexte visité" xfId="19055" builtinId="9" hidden="1"/>
    <cellStyle name="Lien hypertexte visité" xfId="19057" builtinId="9" hidden="1"/>
    <cellStyle name="Lien hypertexte visité" xfId="19059" builtinId="9" hidden="1"/>
    <cellStyle name="Lien hypertexte visité" xfId="19061" builtinId="9" hidden="1"/>
    <cellStyle name="Lien hypertexte visité" xfId="19063" builtinId="9" hidden="1"/>
    <cellStyle name="Lien hypertexte visité" xfId="19065" builtinId="9" hidden="1"/>
    <cellStyle name="Lien hypertexte visité" xfId="19067" builtinId="9" hidden="1"/>
    <cellStyle name="Lien hypertexte visité" xfId="19069" builtinId="9" hidden="1"/>
    <cellStyle name="Lien hypertexte visité" xfId="19071" builtinId="9" hidden="1"/>
    <cellStyle name="Lien hypertexte visité" xfId="19073" builtinId="9" hidden="1"/>
    <cellStyle name="Lien hypertexte visité" xfId="19075" builtinId="9" hidden="1"/>
    <cellStyle name="Lien hypertexte visité" xfId="19077" builtinId="9" hidden="1"/>
    <cellStyle name="Lien hypertexte visité" xfId="19079" builtinId="9" hidden="1"/>
    <cellStyle name="Lien hypertexte visité" xfId="19081" builtinId="9" hidden="1"/>
    <cellStyle name="Lien hypertexte visité" xfId="19083" builtinId="9" hidden="1"/>
    <cellStyle name="Lien hypertexte visité" xfId="19085" builtinId="9" hidden="1"/>
    <cellStyle name="Lien hypertexte visité" xfId="19087" builtinId="9" hidden="1"/>
    <cellStyle name="Lien hypertexte visité" xfId="19089" builtinId="9" hidden="1"/>
    <cellStyle name="Lien hypertexte visité" xfId="19091" builtinId="9" hidden="1"/>
    <cellStyle name="Lien hypertexte visité" xfId="19093" builtinId="9" hidden="1"/>
    <cellStyle name="Lien hypertexte visité" xfId="19095" builtinId="9" hidden="1"/>
    <cellStyle name="Lien hypertexte visité" xfId="19097" builtinId="9" hidden="1"/>
    <cellStyle name="Lien hypertexte visité" xfId="19099" builtinId="9" hidden="1"/>
    <cellStyle name="Lien hypertexte visité" xfId="19101" builtinId="9" hidden="1"/>
    <cellStyle name="Lien hypertexte visité" xfId="19103" builtinId="9" hidden="1"/>
    <cellStyle name="Lien hypertexte visité" xfId="19105" builtinId="9" hidden="1"/>
    <cellStyle name="Lien hypertexte visité" xfId="19107" builtinId="9" hidden="1"/>
    <cellStyle name="Lien hypertexte visité" xfId="19109" builtinId="9" hidden="1"/>
    <cellStyle name="Lien hypertexte visité" xfId="19111" builtinId="9" hidden="1"/>
    <cellStyle name="Lien hypertexte visité" xfId="19113" builtinId="9" hidden="1"/>
    <cellStyle name="Lien hypertexte visité" xfId="19115" builtinId="9" hidden="1"/>
    <cellStyle name="Lien hypertexte visité" xfId="19117" builtinId="9" hidden="1"/>
    <cellStyle name="Lien hypertexte visité" xfId="19119" builtinId="9" hidden="1"/>
    <cellStyle name="Lien hypertexte visité" xfId="19121" builtinId="9" hidden="1"/>
    <cellStyle name="Lien hypertexte visité" xfId="19123" builtinId="9" hidden="1"/>
    <cellStyle name="Lien hypertexte visité" xfId="19125" builtinId="9" hidden="1"/>
    <cellStyle name="Lien hypertexte visité" xfId="19127" builtinId="9" hidden="1"/>
    <cellStyle name="Lien hypertexte visité" xfId="19129" builtinId="9" hidden="1"/>
    <cellStyle name="Lien hypertexte visité" xfId="19131" builtinId="9" hidden="1"/>
    <cellStyle name="Lien hypertexte visité" xfId="19133" builtinId="9" hidden="1"/>
    <cellStyle name="Lien hypertexte visité" xfId="19135" builtinId="9" hidden="1"/>
    <cellStyle name="Lien hypertexte visité" xfId="19137" builtinId="9" hidden="1"/>
    <cellStyle name="Lien hypertexte visité" xfId="19139" builtinId="9" hidden="1"/>
    <cellStyle name="Lien hypertexte visité" xfId="19141" builtinId="9" hidden="1"/>
    <cellStyle name="Lien hypertexte visité" xfId="19143" builtinId="9" hidden="1"/>
    <cellStyle name="Lien hypertexte visité" xfId="19145" builtinId="9" hidden="1"/>
    <cellStyle name="Lien hypertexte visité" xfId="19147" builtinId="9" hidden="1"/>
    <cellStyle name="Lien hypertexte visité" xfId="19149" builtinId="9" hidden="1"/>
    <cellStyle name="Lien hypertexte visité" xfId="19151" builtinId="9" hidden="1"/>
    <cellStyle name="Lien hypertexte visité" xfId="19153" builtinId="9" hidden="1"/>
    <cellStyle name="Lien hypertexte visité" xfId="19155" builtinId="9" hidden="1"/>
    <cellStyle name="Lien hypertexte visité" xfId="19157" builtinId="9" hidden="1"/>
    <cellStyle name="Lien hypertexte visité" xfId="19159" builtinId="9" hidden="1"/>
    <cellStyle name="Lien hypertexte visité" xfId="19161" builtinId="9" hidden="1"/>
    <cellStyle name="Lien hypertexte visité" xfId="19163" builtinId="9" hidden="1"/>
    <cellStyle name="Lien hypertexte visité" xfId="19165" builtinId="9" hidden="1"/>
    <cellStyle name="Lien hypertexte visité" xfId="19167" builtinId="9" hidden="1"/>
    <cellStyle name="Lien hypertexte visité" xfId="19169" builtinId="9" hidden="1"/>
    <cellStyle name="Lien hypertexte visité" xfId="19171" builtinId="9" hidden="1"/>
    <cellStyle name="Lien hypertexte visité" xfId="19173" builtinId="9" hidden="1"/>
    <cellStyle name="Lien hypertexte visité" xfId="19175" builtinId="9" hidden="1"/>
    <cellStyle name="Lien hypertexte visité" xfId="19177" builtinId="9" hidden="1"/>
    <cellStyle name="Lien hypertexte visité" xfId="19179" builtinId="9" hidden="1"/>
    <cellStyle name="Lien hypertexte visité" xfId="19181" builtinId="9" hidden="1"/>
    <cellStyle name="Lien hypertexte visité" xfId="19183" builtinId="9" hidden="1"/>
    <cellStyle name="Lien hypertexte visité" xfId="19185" builtinId="9" hidden="1"/>
    <cellStyle name="Lien hypertexte visité" xfId="19187" builtinId="9" hidden="1"/>
    <cellStyle name="Lien hypertexte visité" xfId="19189" builtinId="9" hidden="1"/>
    <cellStyle name="Lien hypertexte visité" xfId="19191" builtinId="9" hidden="1"/>
    <cellStyle name="Lien hypertexte visité" xfId="19193" builtinId="9" hidden="1"/>
    <cellStyle name="Lien hypertexte visité" xfId="19195" builtinId="9" hidden="1"/>
    <cellStyle name="Lien hypertexte visité" xfId="19197" builtinId="9" hidden="1"/>
    <cellStyle name="Lien hypertexte visité" xfId="19199" builtinId="9" hidden="1"/>
    <cellStyle name="Lien hypertexte visité" xfId="19201" builtinId="9" hidden="1"/>
    <cellStyle name="Lien hypertexte visité" xfId="19203" builtinId="9" hidden="1"/>
    <cellStyle name="Lien hypertexte visité" xfId="19205" builtinId="9" hidden="1"/>
    <cellStyle name="Lien hypertexte visité" xfId="19207" builtinId="9" hidden="1"/>
    <cellStyle name="Lien hypertexte visité" xfId="19209" builtinId="9" hidden="1"/>
    <cellStyle name="Lien hypertexte visité" xfId="19211" builtinId="9" hidden="1"/>
    <cellStyle name="Lien hypertexte visité" xfId="19213" builtinId="9" hidden="1"/>
    <cellStyle name="Lien hypertexte visité" xfId="19215" builtinId="9" hidden="1"/>
    <cellStyle name="Lien hypertexte visité" xfId="19217" builtinId="9" hidden="1"/>
    <cellStyle name="Lien hypertexte visité" xfId="19219" builtinId="9" hidden="1"/>
    <cellStyle name="Lien hypertexte visité" xfId="19221" builtinId="9" hidden="1"/>
    <cellStyle name="Lien hypertexte visité" xfId="19223" builtinId="9" hidden="1"/>
    <cellStyle name="Lien hypertexte visité" xfId="19225" builtinId="9" hidden="1"/>
    <cellStyle name="Lien hypertexte visité" xfId="19227" builtinId="9" hidden="1"/>
    <cellStyle name="Lien hypertexte visité" xfId="19229" builtinId="9" hidden="1"/>
    <cellStyle name="Lien hypertexte visité" xfId="19231" builtinId="9" hidden="1"/>
    <cellStyle name="Lien hypertexte visité" xfId="19233" builtinId="9" hidden="1"/>
    <cellStyle name="Lien hypertexte visité" xfId="19235" builtinId="9" hidden="1"/>
    <cellStyle name="Lien hypertexte visité" xfId="19237" builtinId="9" hidden="1"/>
    <cellStyle name="Lien hypertexte visité" xfId="19239" builtinId="9" hidden="1"/>
    <cellStyle name="Lien hypertexte visité" xfId="19241" builtinId="9" hidden="1"/>
    <cellStyle name="Lien hypertexte visité" xfId="19243" builtinId="9" hidden="1"/>
    <cellStyle name="Lien hypertexte visité" xfId="19245" builtinId="9" hidden="1"/>
    <cellStyle name="Lien hypertexte visité" xfId="19247" builtinId="9" hidden="1"/>
    <cellStyle name="Lien hypertexte visité" xfId="19249" builtinId="9" hidden="1"/>
    <cellStyle name="Lien hypertexte visité" xfId="19251" builtinId="9" hidden="1"/>
    <cellStyle name="Lien hypertexte visité" xfId="19253" builtinId="9" hidden="1"/>
    <cellStyle name="Lien hypertexte visité" xfId="19255" builtinId="9" hidden="1"/>
    <cellStyle name="Lien hypertexte visité" xfId="19257" builtinId="9" hidden="1"/>
    <cellStyle name="Lien hypertexte visité" xfId="19259" builtinId="9" hidden="1"/>
    <cellStyle name="Lien hypertexte visité" xfId="19261" builtinId="9" hidden="1"/>
    <cellStyle name="Lien hypertexte visité" xfId="19263" builtinId="9" hidden="1"/>
    <cellStyle name="Lien hypertexte visité" xfId="19265" builtinId="9" hidden="1"/>
    <cellStyle name="Lien hypertexte visité" xfId="19267" builtinId="9" hidden="1"/>
    <cellStyle name="Lien hypertexte visité" xfId="19269" builtinId="9" hidden="1"/>
    <cellStyle name="Lien hypertexte visité" xfId="19271" builtinId="9" hidden="1"/>
    <cellStyle name="Lien hypertexte visité" xfId="19273" builtinId="9" hidden="1"/>
    <cellStyle name="Lien hypertexte visité" xfId="19275" builtinId="9" hidden="1"/>
    <cellStyle name="Lien hypertexte visité" xfId="19277" builtinId="9" hidden="1"/>
    <cellStyle name="Lien hypertexte visité" xfId="19279" builtinId="9" hidden="1"/>
    <cellStyle name="Lien hypertexte visité" xfId="19281" builtinId="9" hidden="1"/>
    <cellStyle name="Lien hypertexte visité" xfId="19283" builtinId="9" hidden="1"/>
    <cellStyle name="Lien hypertexte visité" xfId="19285" builtinId="9" hidden="1"/>
    <cellStyle name="Lien hypertexte visité" xfId="19287" builtinId="9" hidden="1"/>
    <cellStyle name="Lien hypertexte visité" xfId="19289" builtinId="9" hidden="1"/>
    <cellStyle name="Lien hypertexte visité" xfId="19291" builtinId="9" hidden="1"/>
    <cellStyle name="Lien hypertexte visité" xfId="19293" builtinId="9" hidden="1"/>
    <cellStyle name="Lien hypertexte visité" xfId="19295" builtinId="9" hidden="1"/>
    <cellStyle name="Lien hypertexte visité" xfId="19297" builtinId="9" hidden="1"/>
    <cellStyle name="Lien hypertexte visité" xfId="19299" builtinId="9" hidden="1"/>
    <cellStyle name="Lien hypertexte visité" xfId="19301" builtinId="9" hidden="1"/>
    <cellStyle name="Lien hypertexte visité" xfId="19303" builtinId="9" hidden="1"/>
    <cellStyle name="Lien hypertexte visité" xfId="19305" builtinId="9" hidden="1"/>
    <cellStyle name="Lien hypertexte visité" xfId="19307" builtinId="9" hidden="1"/>
    <cellStyle name="Lien hypertexte visité" xfId="19309" builtinId="9" hidden="1"/>
    <cellStyle name="Lien hypertexte visité" xfId="19311" builtinId="9" hidden="1"/>
    <cellStyle name="Lien hypertexte visité" xfId="19313" builtinId="9" hidden="1"/>
    <cellStyle name="Lien hypertexte visité" xfId="19315" builtinId="9" hidden="1"/>
    <cellStyle name="Lien hypertexte visité" xfId="19317" builtinId="9" hidden="1"/>
    <cellStyle name="Lien hypertexte visité" xfId="19319" builtinId="9" hidden="1"/>
    <cellStyle name="Lien hypertexte visité" xfId="19321" builtinId="9" hidden="1"/>
    <cellStyle name="Lien hypertexte visité" xfId="19323" builtinId="9" hidden="1"/>
    <cellStyle name="Lien hypertexte visité" xfId="19325" builtinId="9" hidden="1"/>
    <cellStyle name="Lien hypertexte visité" xfId="19327" builtinId="9" hidden="1"/>
    <cellStyle name="Lien hypertexte visité" xfId="19329" builtinId="9" hidden="1"/>
    <cellStyle name="Lien hypertexte visité" xfId="19331" builtinId="9" hidden="1"/>
    <cellStyle name="Lien hypertexte visité" xfId="19333" builtinId="9" hidden="1"/>
    <cellStyle name="Lien hypertexte visité" xfId="19335" builtinId="9" hidden="1"/>
    <cellStyle name="Lien hypertexte visité" xfId="19337" builtinId="9" hidden="1"/>
    <cellStyle name="Lien hypertexte visité" xfId="19339" builtinId="9" hidden="1"/>
    <cellStyle name="Lien hypertexte visité" xfId="19341" builtinId="9" hidden="1"/>
    <cellStyle name="Lien hypertexte visité" xfId="19343" builtinId="9" hidden="1"/>
    <cellStyle name="Lien hypertexte visité" xfId="19345" builtinId="9" hidden="1"/>
    <cellStyle name="Lien hypertexte visité" xfId="19347" builtinId="9" hidden="1"/>
    <cellStyle name="Lien hypertexte visité" xfId="19349" builtinId="9" hidden="1"/>
    <cellStyle name="Lien hypertexte visité" xfId="19351" builtinId="9" hidden="1"/>
    <cellStyle name="Lien hypertexte visité" xfId="19353" builtinId="9" hidden="1"/>
    <cellStyle name="Lien hypertexte visité" xfId="19355" builtinId="9" hidden="1"/>
    <cellStyle name="Lien hypertexte visité" xfId="19357" builtinId="9" hidden="1"/>
    <cellStyle name="Lien hypertexte visité" xfId="19359" builtinId="9" hidden="1"/>
    <cellStyle name="Lien hypertexte visité" xfId="19361" builtinId="9" hidden="1"/>
    <cellStyle name="Lien hypertexte visité" xfId="19363" builtinId="9" hidden="1"/>
    <cellStyle name="Lien hypertexte visité" xfId="19365" builtinId="9" hidden="1"/>
    <cellStyle name="Lien hypertexte visité" xfId="19367" builtinId="9" hidden="1"/>
    <cellStyle name="Lien hypertexte visité" xfId="19369" builtinId="9" hidden="1"/>
    <cellStyle name="Lien hypertexte visité" xfId="19371" builtinId="9" hidden="1"/>
    <cellStyle name="Lien hypertexte visité" xfId="19373" builtinId="9" hidden="1"/>
    <cellStyle name="Lien hypertexte visité" xfId="19375" builtinId="9" hidden="1"/>
    <cellStyle name="Lien hypertexte visité" xfId="19377" builtinId="9" hidden="1"/>
    <cellStyle name="Lien hypertexte visité" xfId="19379" builtinId="9" hidden="1"/>
    <cellStyle name="Lien hypertexte visité" xfId="19381" builtinId="9" hidden="1"/>
    <cellStyle name="Lien hypertexte visité" xfId="19383" builtinId="9" hidden="1"/>
    <cellStyle name="Lien hypertexte visité" xfId="19385" builtinId="9" hidden="1"/>
    <cellStyle name="Lien hypertexte visité" xfId="19387" builtinId="9" hidden="1"/>
    <cellStyle name="Lien hypertexte visité" xfId="19389" builtinId="9" hidden="1"/>
    <cellStyle name="Lien hypertexte visité" xfId="19391" builtinId="9" hidden="1"/>
    <cellStyle name="Lien hypertexte visité" xfId="19393" builtinId="9" hidden="1"/>
    <cellStyle name="Lien hypertexte visité" xfId="19395" builtinId="9" hidden="1"/>
    <cellStyle name="Lien hypertexte visité" xfId="19397" builtinId="9" hidden="1"/>
    <cellStyle name="Lien hypertexte visité" xfId="19399" builtinId="9" hidden="1"/>
    <cellStyle name="Lien hypertexte visité" xfId="19401" builtinId="9" hidden="1"/>
    <cellStyle name="Lien hypertexte visité" xfId="19403" builtinId="9" hidden="1"/>
    <cellStyle name="Lien hypertexte visité" xfId="19405" builtinId="9" hidden="1"/>
    <cellStyle name="Lien hypertexte visité" xfId="19407" builtinId="9" hidden="1"/>
    <cellStyle name="Lien hypertexte visité" xfId="19409" builtinId="9" hidden="1"/>
    <cellStyle name="Lien hypertexte visité" xfId="19411" builtinId="9" hidden="1"/>
    <cellStyle name="Lien hypertexte visité" xfId="19413" builtinId="9" hidden="1"/>
    <cellStyle name="Lien hypertexte visité" xfId="19415" builtinId="9" hidden="1"/>
    <cellStyle name="Lien hypertexte visité" xfId="19417" builtinId="9" hidden="1"/>
    <cellStyle name="Lien hypertexte visité" xfId="19419" builtinId="9" hidden="1"/>
    <cellStyle name="Lien hypertexte visité" xfId="19421" builtinId="9" hidden="1"/>
    <cellStyle name="Lien hypertexte visité" xfId="19423" builtinId="9" hidden="1"/>
    <cellStyle name="Lien hypertexte visité" xfId="19425" builtinId="9" hidden="1"/>
    <cellStyle name="Lien hypertexte visité" xfId="19427" builtinId="9" hidden="1"/>
    <cellStyle name="Lien hypertexte visité" xfId="19429" builtinId="9" hidden="1"/>
    <cellStyle name="Lien hypertexte visité" xfId="19431" builtinId="9" hidden="1"/>
    <cellStyle name="Lien hypertexte visité" xfId="19433" builtinId="9" hidden="1"/>
    <cellStyle name="Lien hypertexte visité" xfId="19435" builtinId="9" hidden="1"/>
    <cellStyle name="Lien hypertexte visité" xfId="19437" builtinId="9" hidden="1"/>
    <cellStyle name="Lien hypertexte visité" xfId="19439" builtinId="9" hidden="1"/>
    <cellStyle name="Lien hypertexte visité" xfId="19441" builtinId="9" hidden="1"/>
    <cellStyle name="Lien hypertexte visité" xfId="19443" builtinId="9" hidden="1"/>
    <cellStyle name="Lien hypertexte visité" xfId="19445" builtinId="9" hidden="1"/>
    <cellStyle name="Lien hypertexte visité" xfId="19447" builtinId="9" hidden="1"/>
    <cellStyle name="Lien hypertexte visité" xfId="19449" builtinId="9" hidden="1"/>
    <cellStyle name="Lien hypertexte visité" xfId="19451" builtinId="9" hidden="1"/>
    <cellStyle name="Lien hypertexte visité" xfId="19453" builtinId="9" hidden="1"/>
    <cellStyle name="Lien hypertexte visité" xfId="19455" builtinId="9" hidden="1"/>
    <cellStyle name="Lien hypertexte visité" xfId="19457" builtinId="9" hidden="1"/>
    <cellStyle name="Lien hypertexte visité" xfId="19459" builtinId="9" hidden="1"/>
    <cellStyle name="Lien hypertexte visité" xfId="19461" builtinId="9" hidden="1"/>
    <cellStyle name="Lien hypertexte visité" xfId="19463" builtinId="9" hidden="1"/>
    <cellStyle name="Lien hypertexte visité" xfId="19465" builtinId="9" hidden="1"/>
    <cellStyle name="Lien hypertexte visité" xfId="19467" builtinId="9" hidden="1"/>
    <cellStyle name="Lien hypertexte visité" xfId="19469" builtinId="9" hidden="1"/>
    <cellStyle name="Lien hypertexte visité" xfId="19471" builtinId="9" hidden="1"/>
    <cellStyle name="Lien hypertexte visité" xfId="19473" builtinId="9" hidden="1"/>
    <cellStyle name="Lien hypertexte visité" xfId="19475" builtinId="9" hidden="1"/>
    <cellStyle name="Lien hypertexte visité" xfId="19477" builtinId="9" hidden="1"/>
    <cellStyle name="Lien hypertexte visité" xfId="19479" builtinId="9" hidden="1"/>
    <cellStyle name="Lien hypertexte visité" xfId="19481" builtinId="9" hidden="1"/>
    <cellStyle name="Lien hypertexte visité" xfId="19483" builtinId="9" hidden="1"/>
    <cellStyle name="Lien hypertexte visité" xfId="19485" builtinId="9" hidden="1"/>
    <cellStyle name="Lien hypertexte visité" xfId="19487" builtinId="9" hidden="1"/>
    <cellStyle name="Lien hypertexte visité" xfId="19489" builtinId="9" hidden="1"/>
    <cellStyle name="Lien hypertexte visité" xfId="19491" builtinId="9" hidden="1"/>
    <cellStyle name="Lien hypertexte visité" xfId="19493" builtinId="9" hidden="1"/>
    <cellStyle name="Lien hypertexte visité" xfId="19495" builtinId="9" hidden="1"/>
    <cellStyle name="Lien hypertexte visité" xfId="19497" builtinId="9" hidden="1"/>
    <cellStyle name="Lien hypertexte visité" xfId="19499" builtinId="9" hidden="1"/>
    <cellStyle name="Lien hypertexte visité" xfId="19501" builtinId="9" hidden="1"/>
    <cellStyle name="Lien hypertexte visité" xfId="19503" builtinId="9" hidden="1"/>
    <cellStyle name="Lien hypertexte visité" xfId="19505" builtinId="9" hidden="1"/>
    <cellStyle name="Lien hypertexte visité" xfId="19507" builtinId="9" hidden="1"/>
    <cellStyle name="Lien hypertexte visité" xfId="19509" builtinId="9" hidden="1"/>
    <cellStyle name="Lien hypertexte visité" xfId="19511" builtinId="9" hidden="1"/>
    <cellStyle name="Lien hypertexte visité" xfId="19513" builtinId="9" hidden="1"/>
    <cellStyle name="Lien hypertexte visité" xfId="19515" builtinId="9" hidden="1"/>
    <cellStyle name="Lien hypertexte visité" xfId="19517" builtinId="9" hidden="1"/>
    <cellStyle name="Lien hypertexte visité" xfId="19519" builtinId="9" hidden="1"/>
    <cellStyle name="Lien hypertexte visité" xfId="19521" builtinId="9" hidden="1"/>
    <cellStyle name="Lien hypertexte visité" xfId="19523" builtinId="9" hidden="1"/>
    <cellStyle name="Lien hypertexte visité" xfId="19525" builtinId="9" hidden="1"/>
    <cellStyle name="Lien hypertexte visité" xfId="19527" builtinId="9" hidden="1"/>
    <cellStyle name="Lien hypertexte visité" xfId="19529" builtinId="9" hidden="1"/>
    <cellStyle name="Lien hypertexte visité" xfId="19531" builtinId="9" hidden="1"/>
    <cellStyle name="Lien hypertexte visité" xfId="19533" builtinId="9" hidden="1"/>
    <cellStyle name="Lien hypertexte visité" xfId="19535" builtinId="9" hidden="1"/>
    <cellStyle name="Lien hypertexte visité" xfId="19537" builtinId="9" hidden="1"/>
    <cellStyle name="Lien hypertexte visité" xfId="19539" builtinId="9" hidden="1"/>
    <cellStyle name="Lien hypertexte visité" xfId="19541" builtinId="9" hidden="1"/>
    <cellStyle name="Lien hypertexte visité" xfId="19543" builtinId="9" hidden="1"/>
    <cellStyle name="Lien hypertexte visité" xfId="19545" builtinId="9" hidden="1"/>
    <cellStyle name="Lien hypertexte visité" xfId="19547" builtinId="9" hidden="1"/>
    <cellStyle name="Lien hypertexte visité" xfId="19549" builtinId="9" hidden="1"/>
    <cellStyle name="Lien hypertexte visité" xfId="19551" builtinId="9" hidden="1"/>
    <cellStyle name="Lien hypertexte visité" xfId="19553" builtinId="9" hidden="1"/>
    <cellStyle name="Lien hypertexte visité" xfId="19555" builtinId="9" hidden="1"/>
    <cellStyle name="Lien hypertexte visité" xfId="19557" builtinId="9" hidden="1"/>
    <cellStyle name="Lien hypertexte visité" xfId="19559" builtinId="9" hidden="1"/>
    <cellStyle name="Lien hypertexte visité" xfId="19561" builtinId="9" hidden="1"/>
    <cellStyle name="Lien hypertexte visité" xfId="19563" builtinId="9" hidden="1"/>
    <cellStyle name="Lien hypertexte visité" xfId="19565" builtinId="9" hidden="1"/>
    <cellStyle name="Lien hypertexte visité" xfId="19567" builtinId="9" hidden="1"/>
    <cellStyle name="Lien hypertexte visité" xfId="19569" builtinId="9" hidden="1"/>
    <cellStyle name="Lien hypertexte visité" xfId="19571" builtinId="9" hidden="1"/>
    <cellStyle name="Lien hypertexte visité" xfId="19573" builtinId="9" hidden="1"/>
    <cellStyle name="Lien hypertexte visité" xfId="19575" builtinId="9" hidden="1"/>
    <cellStyle name="Lien hypertexte visité" xfId="19577" builtinId="9" hidden="1"/>
    <cellStyle name="Lien hypertexte visité" xfId="19579" builtinId="9" hidden="1"/>
    <cellStyle name="Lien hypertexte visité" xfId="19581" builtinId="9" hidden="1"/>
    <cellStyle name="Lien hypertexte visité" xfId="19583" builtinId="9" hidden="1"/>
    <cellStyle name="Lien hypertexte visité" xfId="19585" builtinId="9" hidden="1"/>
    <cellStyle name="Lien hypertexte visité" xfId="19587" builtinId="9" hidden="1"/>
    <cellStyle name="Lien hypertexte visité" xfId="19589" builtinId="9" hidden="1"/>
    <cellStyle name="Lien hypertexte visité" xfId="19591" builtinId="9" hidden="1"/>
    <cellStyle name="Lien hypertexte visité" xfId="19593" builtinId="9" hidden="1"/>
    <cellStyle name="Lien hypertexte visité" xfId="19595" builtinId="9" hidden="1"/>
    <cellStyle name="Lien hypertexte visité" xfId="19597" builtinId="9" hidden="1"/>
    <cellStyle name="Lien hypertexte visité" xfId="19599" builtinId="9" hidden="1"/>
    <cellStyle name="Lien hypertexte visité" xfId="19601" builtinId="9" hidden="1"/>
    <cellStyle name="Lien hypertexte visité" xfId="19603" builtinId="9" hidden="1"/>
    <cellStyle name="Lien hypertexte visité" xfId="19605" builtinId="9" hidden="1"/>
    <cellStyle name="Lien hypertexte visité" xfId="19607" builtinId="9" hidden="1"/>
    <cellStyle name="Lien hypertexte visité" xfId="19609" builtinId="9" hidden="1"/>
    <cellStyle name="Lien hypertexte visité" xfId="19611" builtinId="9" hidden="1"/>
    <cellStyle name="Lien hypertexte visité" xfId="19613" builtinId="9" hidden="1"/>
    <cellStyle name="Lien hypertexte visité" xfId="19615" builtinId="9" hidden="1"/>
    <cellStyle name="Lien hypertexte visité" xfId="19617" builtinId="9" hidden="1"/>
    <cellStyle name="Lien hypertexte visité" xfId="19619" builtinId="9" hidden="1"/>
    <cellStyle name="Lien hypertexte visité" xfId="19621" builtinId="9" hidden="1"/>
    <cellStyle name="Lien hypertexte visité" xfId="19623" builtinId="9" hidden="1"/>
    <cellStyle name="Lien hypertexte visité" xfId="19625" builtinId="9" hidden="1"/>
    <cellStyle name="Lien hypertexte visité" xfId="19627" builtinId="9" hidden="1"/>
    <cellStyle name="Lien hypertexte visité" xfId="19629" builtinId="9" hidden="1"/>
    <cellStyle name="Lien hypertexte visité" xfId="19631" builtinId="9" hidden="1"/>
    <cellStyle name="Lien hypertexte visité" xfId="19633" builtinId="9" hidden="1"/>
    <cellStyle name="Lien hypertexte visité" xfId="19635" builtinId="9" hidden="1"/>
    <cellStyle name="Lien hypertexte visité" xfId="19637" builtinId="9" hidden="1"/>
    <cellStyle name="Lien hypertexte visité" xfId="19639" builtinId="9" hidden="1"/>
    <cellStyle name="Lien hypertexte visité" xfId="19641" builtinId="9" hidden="1"/>
    <cellStyle name="Lien hypertexte visité" xfId="19643" builtinId="9" hidden="1"/>
    <cellStyle name="Lien hypertexte visité" xfId="19645" builtinId="9" hidden="1"/>
    <cellStyle name="Lien hypertexte visité" xfId="19647" builtinId="9" hidden="1"/>
    <cellStyle name="Lien hypertexte visité" xfId="19649" builtinId="9" hidden="1"/>
    <cellStyle name="Lien hypertexte visité" xfId="19651" builtinId="9" hidden="1"/>
    <cellStyle name="Lien hypertexte visité" xfId="19653" builtinId="9" hidden="1"/>
    <cellStyle name="Lien hypertexte visité" xfId="19655" builtinId="9" hidden="1"/>
    <cellStyle name="Lien hypertexte visité" xfId="19657" builtinId="9" hidden="1"/>
    <cellStyle name="Lien hypertexte visité" xfId="19659" builtinId="9" hidden="1"/>
    <cellStyle name="Lien hypertexte visité" xfId="19661" builtinId="9" hidden="1"/>
    <cellStyle name="Lien hypertexte visité" xfId="19663" builtinId="9" hidden="1"/>
    <cellStyle name="Lien hypertexte visité" xfId="19665" builtinId="9" hidden="1"/>
    <cellStyle name="Lien hypertexte visité" xfId="19667" builtinId="9" hidden="1"/>
    <cellStyle name="Lien hypertexte visité" xfId="19669" builtinId="9" hidden="1"/>
    <cellStyle name="Lien hypertexte visité" xfId="19671" builtinId="9" hidden="1"/>
    <cellStyle name="Lien hypertexte visité" xfId="19673" builtinId="9" hidden="1"/>
    <cellStyle name="Lien hypertexte visité" xfId="19675" builtinId="9" hidden="1"/>
    <cellStyle name="Lien hypertexte visité" xfId="19677" builtinId="9" hidden="1"/>
    <cellStyle name="Lien hypertexte visité" xfId="19679" builtinId="9" hidden="1"/>
    <cellStyle name="Lien hypertexte visité" xfId="19681" builtinId="9" hidden="1"/>
    <cellStyle name="Lien hypertexte visité" xfId="19683" builtinId="9" hidden="1"/>
    <cellStyle name="Lien hypertexte visité" xfId="19685" builtinId="9" hidden="1"/>
    <cellStyle name="Lien hypertexte visité" xfId="19687" builtinId="9" hidden="1"/>
    <cellStyle name="Lien hypertexte visité" xfId="19689" builtinId="9" hidden="1"/>
    <cellStyle name="Lien hypertexte visité" xfId="19691" builtinId="9" hidden="1"/>
    <cellStyle name="Lien hypertexte visité" xfId="19693" builtinId="9" hidden="1"/>
    <cellStyle name="Lien hypertexte visité" xfId="19695" builtinId="9" hidden="1"/>
    <cellStyle name="Lien hypertexte visité" xfId="19697" builtinId="9" hidden="1"/>
    <cellStyle name="Lien hypertexte visité" xfId="19699" builtinId="9" hidden="1"/>
    <cellStyle name="Lien hypertexte visité" xfId="19701" builtinId="9" hidden="1"/>
    <cellStyle name="Lien hypertexte visité" xfId="19703" builtinId="9" hidden="1"/>
    <cellStyle name="Lien hypertexte visité" xfId="19705" builtinId="9" hidden="1"/>
    <cellStyle name="Lien hypertexte visité" xfId="19707" builtinId="9" hidden="1"/>
    <cellStyle name="Lien hypertexte visité" xfId="19709" builtinId="9" hidden="1"/>
    <cellStyle name="Lien hypertexte visité" xfId="19711" builtinId="9" hidden="1"/>
    <cellStyle name="Lien hypertexte visité" xfId="19713" builtinId="9" hidden="1"/>
    <cellStyle name="Lien hypertexte visité" xfId="19715" builtinId="9" hidden="1"/>
    <cellStyle name="Lien hypertexte visité" xfId="19717" builtinId="9" hidden="1"/>
    <cellStyle name="Lien hypertexte visité" xfId="19719" builtinId="9" hidden="1"/>
    <cellStyle name="Lien hypertexte visité" xfId="19721" builtinId="9" hidden="1"/>
    <cellStyle name="Lien hypertexte visité" xfId="19723" builtinId="9" hidden="1"/>
    <cellStyle name="Lien hypertexte visité" xfId="19725" builtinId="9" hidden="1"/>
    <cellStyle name="Lien hypertexte visité" xfId="19727" builtinId="9" hidden="1"/>
    <cellStyle name="Lien hypertexte visité" xfId="19729" builtinId="9" hidden="1"/>
    <cellStyle name="Lien hypertexte visité" xfId="19731" builtinId="9" hidden="1"/>
    <cellStyle name="Lien hypertexte visité" xfId="19733" builtinId="9" hidden="1"/>
    <cellStyle name="Lien hypertexte visité" xfId="19735" builtinId="9" hidden="1"/>
    <cellStyle name="Lien hypertexte visité" xfId="19737" builtinId="9" hidden="1"/>
    <cellStyle name="Lien hypertexte visité" xfId="19739" builtinId="9" hidden="1"/>
    <cellStyle name="Lien hypertexte visité" xfId="19741" builtinId="9" hidden="1"/>
    <cellStyle name="Lien hypertexte visité" xfId="19743" builtinId="9" hidden="1"/>
    <cellStyle name="Lien hypertexte visité" xfId="19745" builtinId="9" hidden="1"/>
    <cellStyle name="Lien hypertexte visité" xfId="19747" builtinId="9" hidden="1"/>
    <cellStyle name="Lien hypertexte visité" xfId="19749" builtinId="9" hidden="1"/>
    <cellStyle name="Lien hypertexte visité" xfId="19751" builtinId="9" hidden="1"/>
    <cellStyle name="Lien hypertexte visité" xfId="19753" builtinId="9" hidden="1"/>
    <cellStyle name="Lien hypertexte visité" xfId="19755" builtinId="9" hidden="1"/>
    <cellStyle name="Lien hypertexte visité" xfId="19757" builtinId="9" hidden="1"/>
    <cellStyle name="Lien hypertexte visité" xfId="19759" builtinId="9" hidden="1"/>
    <cellStyle name="Lien hypertexte visité" xfId="19761" builtinId="9" hidden="1"/>
    <cellStyle name="Lien hypertexte visité" xfId="19763" builtinId="9" hidden="1"/>
    <cellStyle name="Lien hypertexte visité" xfId="19765" builtinId="9" hidden="1"/>
    <cellStyle name="Lien hypertexte visité" xfId="19767" builtinId="9" hidden="1"/>
    <cellStyle name="Lien hypertexte visité" xfId="19769" builtinId="9" hidden="1"/>
    <cellStyle name="Lien hypertexte visité" xfId="19771" builtinId="9" hidden="1"/>
    <cellStyle name="Lien hypertexte visité" xfId="19773" builtinId="9" hidden="1"/>
    <cellStyle name="Lien hypertexte visité" xfId="19775" builtinId="9" hidden="1"/>
    <cellStyle name="Lien hypertexte visité" xfId="19777" builtinId="9" hidden="1"/>
    <cellStyle name="Lien hypertexte visité" xfId="19779" builtinId="9" hidden="1"/>
    <cellStyle name="Lien hypertexte visité" xfId="19781" builtinId="9" hidden="1"/>
    <cellStyle name="Lien hypertexte visité" xfId="19783" builtinId="9" hidden="1"/>
    <cellStyle name="Lien hypertexte visité" xfId="19785" builtinId="9" hidden="1"/>
    <cellStyle name="Lien hypertexte visité" xfId="19787" builtinId="9" hidden="1"/>
    <cellStyle name="Lien hypertexte visité" xfId="19789" builtinId="9" hidden="1"/>
    <cellStyle name="Lien hypertexte visité" xfId="19791" builtinId="9" hidden="1"/>
    <cellStyle name="Lien hypertexte visité" xfId="19793" builtinId="9" hidden="1"/>
    <cellStyle name="Lien hypertexte visité" xfId="19795" builtinId="9" hidden="1"/>
    <cellStyle name="Lien hypertexte visité" xfId="19797" builtinId="9" hidden="1"/>
    <cellStyle name="Lien hypertexte visité" xfId="19799" builtinId="9" hidden="1"/>
    <cellStyle name="Lien hypertexte visité" xfId="19801" builtinId="9" hidden="1"/>
    <cellStyle name="Lien hypertexte visité" xfId="19803" builtinId="9" hidden="1"/>
    <cellStyle name="Lien hypertexte visité" xfId="19805" builtinId="9" hidden="1"/>
    <cellStyle name="Lien hypertexte visité" xfId="19807" builtinId="9" hidden="1"/>
    <cellStyle name="Lien hypertexte visité" xfId="19809" builtinId="9" hidden="1"/>
    <cellStyle name="Lien hypertexte visité" xfId="19811" builtinId="9" hidden="1"/>
    <cellStyle name="Lien hypertexte visité" xfId="19813" builtinId="9" hidden="1"/>
    <cellStyle name="Lien hypertexte visité" xfId="19815" builtinId="9" hidden="1"/>
    <cellStyle name="Lien hypertexte visité" xfId="19817" builtinId="9" hidden="1"/>
    <cellStyle name="Lien hypertexte visité" xfId="19819" builtinId="9" hidden="1"/>
    <cellStyle name="Lien hypertexte visité" xfId="19821" builtinId="9" hidden="1"/>
    <cellStyle name="Lien hypertexte visité" xfId="19823" builtinId="9" hidden="1"/>
    <cellStyle name="Lien hypertexte visité" xfId="19825" builtinId="9" hidden="1"/>
    <cellStyle name="Lien hypertexte visité" xfId="19827" builtinId="9" hidden="1"/>
    <cellStyle name="Lien hypertexte visité" xfId="19829" builtinId="9" hidden="1"/>
    <cellStyle name="Lien hypertexte visité" xfId="19831" builtinId="9" hidden="1"/>
    <cellStyle name="Lien hypertexte visité" xfId="19833" builtinId="9" hidden="1"/>
    <cellStyle name="Lien hypertexte visité" xfId="19835" builtinId="9" hidden="1"/>
    <cellStyle name="Lien hypertexte visité" xfId="19837" builtinId="9" hidden="1"/>
    <cellStyle name="Lien hypertexte visité" xfId="19839" builtinId="9" hidden="1"/>
    <cellStyle name="Lien hypertexte visité" xfId="19841" builtinId="9" hidden="1"/>
    <cellStyle name="Lien hypertexte visité" xfId="19843" builtinId="9" hidden="1"/>
    <cellStyle name="Lien hypertexte visité" xfId="19845" builtinId="9" hidden="1"/>
    <cellStyle name="Lien hypertexte visité" xfId="19847" builtinId="9" hidden="1"/>
    <cellStyle name="Lien hypertexte visité" xfId="19849" builtinId="9" hidden="1"/>
    <cellStyle name="Lien hypertexte visité" xfId="19851" builtinId="9" hidden="1"/>
    <cellStyle name="Lien hypertexte visité" xfId="19853" builtinId="9" hidden="1"/>
    <cellStyle name="Lien hypertexte visité" xfId="19855" builtinId="9" hidden="1"/>
    <cellStyle name="Lien hypertexte visité" xfId="19857" builtinId="9" hidden="1"/>
    <cellStyle name="Lien hypertexte visité" xfId="19859" builtinId="9" hidden="1"/>
    <cellStyle name="Lien hypertexte visité" xfId="19861" builtinId="9" hidden="1"/>
    <cellStyle name="Lien hypertexte visité" xfId="19863" builtinId="9" hidden="1"/>
    <cellStyle name="Lien hypertexte visité" xfId="19865" builtinId="9" hidden="1"/>
    <cellStyle name="Lien hypertexte visité" xfId="19867" builtinId="9" hidden="1"/>
    <cellStyle name="Lien hypertexte visité" xfId="19869" builtinId="9" hidden="1"/>
    <cellStyle name="Lien hypertexte visité" xfId="19871" builtinId="9" hidden="1"/>
    <cellStyle name="Lien hypertexte visité" xfId="19873" builtinId="9" hidden="1"/>
    <cellStyle name="Lien hypertexte visité" xfId="19875" builtinId="9" hidden="1"/>
    <cellStyle name="Lien hypertexte visité" xfId="19877" builtinId="9" hidden="1"/>
    <cellStyle name="Lien hypertexte visité" xfId="19879" builtinId="9" hidden="1"/>
    <cellStyle name="Lien hypertexte visité" xfId="19881" builtinId="9" hidden="1"/>
    <cellStyle name="Lien hypertexte visité" xfId="19883" builtinId="9" hidden="1"/>
    <cellStyle name="Lien hypertexte visité" xfId="19885" builtinId="9" hidden="1"/>
    <cellStyle name="Lien hypertexte visité" xfId="19887" builtinId="9" hidden="1"/>
    <cellStyle name="Lien hypertexte visité" xfId="19889" builtinId="9" hidden="1"/>
    <cellStyle name="Lien hypertexte visité" xfId="19891" builtinId="9" hidden="1"/>
    <cellStyle name="Lien hypertexte visité" xfId="19893" builtinId="9" hidden="1"/>
    <cellStyle name="Lien hypertexte visité" xfId="19895" builtinId="9" hidden="1"/>
    <cellStyle name="Lien hypertexte visité" xfId="19897" builtinId="9" hidden="1"/>
    <cellStyle name="Lien hypertexte visité" xfId="19899" builtinId="9" hidden="1"/>
    <cellStyle name="Lien hypertexte visité" xfId="19901" builtinId="9" hidden="1"/>
    <cellStyle name="Lien hypertexte visité" xfId="19903" builtinId="9" hidden="1"/>
    <cellStyle name="Lien hypertexte visité" xfId="19905" builtinId="9" hidden="1"/>
    <cellStyle name="Lien hypertexte visité" xfId="19907" builtinId="9" hidden="1"/>
    <cellStyle name="Lien hypertexte visité" xfId="19909" builtinId="9" hidden="1"/>
    <cellStyle name="Lien hypertexte visité" xfId="19911" builtinId="9" hidden="1"/>
    <cellStyle name="Lien hypertexte visité" xfId="19913" builtinId="9" hidden="1"/>
    <cellStyle name="Lien hypertexte visité" xfId="19915" builtinId="9" hidden="1"/>
    <cellStyle name="Lien hypertexte visité" xfId="19917" builtinId="9" hidden="1"/>
    <cellStyle name="Lien hypertexte visité" xfId="19919" builtinId="9" hidden="1"/>
    <cellStyle name="Lien hypertexte visité" xfId="19921" builtinId="9" hidden="1"/>
    <cellStyle name="Lien hypertexte visité" xfId="19923" builtinId="9" hidden="1"/>
    <cellStyle name="Lien hypertexte visité" xfId="19925" builtinId="9" hidden="1"/>
    <cellStyle name="Lien hypertexte visité" xfId="19927" builtinId="9" hidden="1"/>
    <cellStyle name="Lien hypertexte visité" xfId="19929" builtinId="9" hidden="1"/>
    <cellStyle name="Lien hypertexte visité" xfId="19931" builtinId="9" hidden="1"/>
    <cellStyle name="Lien hypertexte visité" xfId="19933" builtinId="9" hidden="1"/>
    <cellStyle name="Lien hypertexte visité" xfId="19935" builtinId="9" hidden="1"/>
    <cellStyle name="Lien hypertexte visité" xfId="19937" builtinId="9" hidden="1"/>
    <cellStyle name="Lien hypertexte visité" xfId="19939" builtinId="9" hidden="1"/>
    <cellStyle name="Lien hypertexte visité" xfId="19941" builtinId="9" hidden="1"/>
    <cellStyle name="Lien hypertexte visité" xfId="19943" builtinId="9" hidden="1"/>
    <cellStyle name="Lien hypertexte visité" xfId="19945" builtinId="9" hidden="1"/>
    <cellStyle name="Lien hypertexte visité" xfId="19947" builtinId="9" hidden="1"/>
    <cellStyle name="Lien hypertexte visité" xfId="19949" builtinId="9" hidden="1"/>
    <cellStyle name="Lien hypertexte visité" xfId="19951" builtinId="9" hidden="1"/>
    <cellStyle name="Lien hypertexte visité" xfId="19953" builtinId="9" hidden="1"/>
    <cellStyle name="Lien hypertexte visité" xfId="19955" builtinId="9" hidden="1"/>
    <cellStyle name="Lien hypertexte visité" xfId="19957" builtinId="9" hidden="1"/>
    <cellStyle name="Lien hypertexte visité" xfId="19959" builtinId="9" hidden="1"/>
    <cellStyle name="Lien hypertexte visité" xfId="19961" builtinId="9" hidden="1"/>
    <cellStyle name="Lien hypertexte visité" xfId="19963" builtinId="9" hidden="1"/>
    <cellStyle name="Lien hypertexte visité" xfId="19965" builtinId="9" hidden="1"/>
    <cellStyle name="Lien hypertexte visité" xfId="19967" builtinId="9" hidden="1"/>
    <cellStyle name="Lien hypertexte visité" xfId="19969" builtinId="9" hidden="1"/>
    <cellStyle name="Lien hypertexte visité" xfId="19971" builtinId="9" hidden="1"/>
    <cellStyle name="Lien hypertexte visité" xfId="19973" builtinId="9" hidden="1"/>
    <cellStyle name="Lien hypertexte visité" xfId="19975" builtinId="9" hidden="1"/>
    <cellStyle name="Lien hypertexte visité" xfId="19977" builtinId="9" hidden="1"/>
    <cellStyle name="Lien hypertexte visité" xfId="19979" builtinId="9" hidden="1"/>
    <cellStyle name="Lien hypertexte visité" xfId="19981" builtinId="9" hidden="1"/>
    <cellStyle name="Lien hypertexte visité" xfId="19983" builtinId="9" hidden="1"/>
    <cellStyle name="Lien hypertexte visité" xfId="19985" builtinId="9" hidden="1"/>
    <cellStyle name="Lien hypertexte visité" xfId="19987" builtinId="9" hidden="1"/>
    <cellStyle name="Lien hypertexte visité" xfId="19989" builtinId="9" hidden="1"/>
    <cellStyle name="Lien hypertexte visité" xfId="19991" builtinId="9" hidden="1"/>
    <cellStyle name="Lien hypertexte visité" xfId="19993" builtinId="9" hidden="1"/>
    <cellStyle name="Lien hypertexte visité" xfId="19995" builtinId="9" hidden="1"/>
    <cellStyle name="Lien hypertexte visité" xfId="19997" builtinId="9" hidden="1"/>
    <cellStyle name="Lien hypertexte visité" xfId="19999" builtinId="9" hidden="1"/>
    <cellStyle name="Lien hypertexte visité" xfId="20001" builtinId="9" hidden="1"/>
    <cellStyle name="Lien hypertexte visité" xfId="20003" builtinId="9" hidden="1"/>
    <cellStyle name="Lien hypertexte visité" xfId="20005" builtinId="9" hidden="1"/>
    <cellStyle name="Lien hypertexte visité" xfId="20007" builtinId="9" hidden="1"/>
    <cellStyle name="Lien hypertexte visité" xfId="20009" builtinId="9" hidden="1"/>
    <cellStyle name="Lien hypertexte visité" xfId="20011" builtinId="9" hidden="1"/>
    <cellStyle name="Lien hypertexte visité" xfId="20013" builtinId="9" hidden="1"/>
    <cellStyle name="Lien hypertexte visité" xfId="20015" builtinId="9" hidden="1"/>
    <cellStyle name="Lien hypertexte visité" xfId="20017" builtinId="9" hidden="1"/>
    <cellStyle name="Lien hypertexte visité" xfId="20019" builtinId="9" hidden="1"/>
    <cellStyle name="Lien hypertexte visité" xfId="20021" builtinId="9" hidden="1"/>
    <cellStyle name="Lien hypertexte visité" xfId="20023" builtinId="9" hidden="1"/>
    <cellStyle name="Lien hypertexte visité" xfId="20025" builtinId="9" hidden="1"/>
    <cellStyle name="Lien hypertexte visité" xfId="20027" builtinId="9" hidden="1"/>
    <cellStyle name="Lien hypertexte visité" xfId="20029" builtinId="9" hidden="1"/>
    <cellStyle name="Lien hypertexte visité" xfId="20031" builtinId="9" hidden="1"/>
    <cellStyle name="Lien hypertexte visité" xfId="20033" builtinId="9" hidden="1"/>
    <cellStyle name="Lien hypertexte visité" xfId="20035" builtinId="9" hidden="1"/>
    <cellStyle name="Lien hypertexte visité" xfId="20037" builtinId="9" hidden="1"/>
    <cellStyle name="Lien hypertexte visité" xfId="20039" builtinId="9" hidden="1"/>
    <cellStyle name="Lien hypertexte visité" xfId="20041" builtinId="9" hidden="1"/>
    <cellStyle name="Lien hypertexte visité" xfId="20043" builtinId="9" hidden="1"/>
    <cellStyle name="Lien hypertexte visité" xfId="20045" builtinId="9" hidden="1"/>
    <cellStyle name="Lien hypertexte visité" xfId="20047" builtinId="9" hidden="1"/>
    <cellStyle name="Lien hypertexte visité" xfId="20049" builtinId="9" hidden="1"/>
    <cellStyle name="Lien hypertexte visité" xfId="20051" builtinId="9" hidden="1"/>
    <cellStyle name="Lien hypertexte visité" xfId="20053" builtinId="9" hidden="1"/>
    <cellStyle name="Lien hypertexte visité" xfId="20055" builtinId="9" hidden="1"/>
    <cellStyle name="Lien hypertexte visité" xfId="20057" builtinId="9" hidden="1"/>
    <cellStyle name="Lien hypertexte visité" xfId="20059" builtinId="9" hidden="1"/>
    <cellStyle name="Lien hypertexte visité" xfId="20061" builtinId="9" hidden="1"/>
    <cellStyle name="Lien hypertexte visité" xfId="20063" builtinId="9" hidden="1"/>
    <cellStyle name="Lien hypertexte visité" xfId="20065" builtinId="9" hidden="1"/>
    <cellStyle name="Lien hypertexte visité" xfId="20067" builtinId="9" hidden="1"/>
    <cellStyle name="Lien hypertexte visité" xfId="20069" builtinId="9" hidden="1"/>
    <cellStyle name="Lien hypertexte visité" xfId="20071" builtinId="9" hidden="1"/>
    <cellStyle name="Lien hypertexte visité" xfId="20073" builtinId="9" hidden="1"/>
    <cellStyle name="Lien hypertexte visité" xfId="20075" builtinId="9" hidden="1"/>
    <cellStyle name="Lien hypertexte visité" xfId="20077" builtinId="9" hidden="1"/>
    <cellStyle name="Lien hypertexte visité" xfId="20079" builtinId="9" hidden="1"/>
    <cellStyle name="Lien hypertexte visité" xfId="20081" builtinId="9" hidden="1"/>
    <cellStyle name="Lien hypertexte visité" xfId="20083" builtinId="9" hidden="1"/>
    <cellStyle name="Lien hypertexte visité" xfId="20085" builtinId="9" hidden="1"/>
    <cellStyle name="Lien hypertexte visité" xfId="20087" builtinId="9" hidden="1"/>
    <cellStyle name="Lien hypertexte visité" xfId="20089" builtinId="9" hidden="1"/>
    <cellStyle name="Lien hypertexte visité" xfId="20091" builtinId="9" hidden="1"/>
    <cellStyle name="Lien hypertexte visité" xfId="20093" builtinId="9" hidden="1"/>
    <cellStyle name="Lien hypertexte visité" xfId="20095" builtinId="9" hidden="1"/>
    <cellStyle name="Lien hypertexte visité" xfId="20097" builtinId="9" hidden="1"/>
    <cellStyle name="Lien hypertexte visité" xfId="20099" builtinId="9" hidden="1"/>
    <cellStyle name="Lien hypertexte visité" xfId="20101" builtinId="9" hidden="1"/>
    <cellStyle name="Lien hypertexte visité" xfId="20103" builtinId="9" hidden="1"/>
    <cellStyle name="Lien hypertexte visité" xfId="20105" builtinId="9" hidden="1"/>
    <cellStyle name="Lien hypertexte visité" xfId="20107" builtinId="9" hidden="1"/>
    <cellStyle name="Lien hypertexte visité" xfId="20109" builtinId="9" hidden="1"/>
    <cellStyle name="Lien hypertexte visité" xfId="20111" builtinId="9" hidden="1"/>
    <cellStyle name="Lien hypertexte visité" xfId="20113" builtinId="9" hidden="1"/>
    <cellStyle name="Lien hypertexte visité" xfId="20115" builtinId="9" hidden="1"/>
    <cellStyle name="Lien hypertexte visité" xfId="20117" builtinId="9" hidden="1"/>
    <cellStyle name="Lien hypertexte visité" xfId="20119" builtinId="9" hidden="1"/>
    <cellStyle name="Lien hypertexte visité" xfId="20121" builtinId="9" hidden="1"/>
    <cellStyle name="Lien hypertexte visité" xfId="20123" builtinId="9" hidden="1"/>
    <cellStyle name="Lien hypertexte visité" xfId="20125" builtinId="9" hidden="1"/>
    <cellStyle name="Lien hypertexte visité" xfId="20127" builtinId="9" hidden="1"/>
    <cellStyle name="Lien hypertexte visité" xfId="20129" builtinId="9" hidden="1"/>
    <cellStyle name="Lien hypertexte visité" xfId="20131" builtinId="9" hidden="1"/>
    <cellStyle name="Lien hypertexte visité" xfId="20133" builtinId="9" hidden="1"/>
    <cellStyle name="Lien hypertexte visité" xfId="20135" builtinId="9" hidden="1"/>
    <cellStyle name="Lien hypertexte visité" xfId="20137" builtinId="9" hidden="1"/>
    <cellStyle name="Lien hypertexte visité" xfId="20139" builtinId="9" hidden="1"/>
    <cellStyle name="Lien hypertexte visité" xfId="20141" builtinId="9" hidden="1"/>
    <cellStyle name="Lien hypertexte visité" xfId="20143" builtinId="9" hidden="1"/>
    <cellStyle name="Lien hypertexte visité" xfId="20145" builtinId="9" hidden="1"/>
    <cellStyle name="Lien hypertexte visité" xfId="20147" builtinId="9" hidden="1"/>
    <cellStyle name="Lien hypertexte visité" xfId="20149" builtinId="9" hidden="1"/>
    <cellStyle name="Lien hypertexte visité" xfId="20151" builtinId="9" hidden="1"/>
    <cellStyle name="Lien hypertexte visité" xfId="20153" builtinId="9" hidden="1"/>
    <cellStyle name="Lien hypertexte visité" xfId="20155" builtinId="9" hidden="1"/>
    <cellStyle name="Lien hypertexte visité" xfId="20157" builtinId="9" hidden="1"/>
    <cellStyle name="Lien hypertexte visité" xfId="20159" builtinId="9" hidden="1"/>
    <cellStyle name="Lien hypertexte visité" xfId="20161" builtinId="9" hidden="1"/>
    <cellStyle name="Lien hypertexte visité" xfId="20163" builtinId="9" hidden="1"/>
    <cellStyle name="Lien hypertexte visité" xfId="20165" builtinId="9" hidden="1"/>
    <cellStyle name="Lien hypertexte visité" xfId="20167" builtinId="9" hidden="1"/>
    <cellStyle name="Lien hypertexte visité" xfId="20169" builtinId="9" hidden="1"/>
    <cellStyle name="Lien hypertexte visité" xfId="20171" builtinId="9" hidden="1"/>
    <cellStyle name="Lien hypertexte visité" xfId="20173" builtinId="9" hidden="1"/>
    <cellStyle name="Lien hypertexte visité" xfId="20175" builtinId="9" hidden="1"/>
    <cellStyle name="Lien hypertexte visité" xfId="20177" builtinId="9" hidden="1"/>
    <cellStyle name="Lien hypertexte visité" xfId="20179" builtinId="9" hidden="1"/>
    <cellStyle name="Lien hypertexte visité" xfId="20181" builtinId="9" hidden="1"/>
    <cellStyle name="Lien hypertexte visité" xfId="20183" builtinId="9" hidden="1"/>
    <cellStyle name="Lien hypertexte visité" xfId="20185" builtinId="9" hidden="1"/>
    <cellStyle name="Lien hypertexte visité" xfId="20187" builtinId="9" hidden="1"/>
    <cellStyle name="Lien hypertexte visité" xfId="20189" builtinId="9" hidden="1"/>
    <cellStyle name="Lien hypertexte visité" xfId="20191" builtinId="9" hidden="1"/>
    <cellStyle name="Lien hypertexte visité" xfId="20193" builtinId="9" hidden="1"/>
    <cellStyle name="Lien hypertexte visité" xfId="20195" builtinId="9" hidden="1"/>
    <cellStyle name="Lien hypertexte visité" xfId="20197" builtinId="9" hidden="1"/>
    <cellStyle name="Lien hypertexte visité" xfId="20199" builtinId="9" hidden="1"/>
    <cellStyle name="Lien hypertexte visité" xfId="20201" builtinId="9" hidden="1"/>
    <cellStyle name="Lien hypertexte visité" xfId="20203" builtinId="9" hidden="1"/>
    <cellStyle name="Lien hypertexte visité" xfId="20205" builtinId="9" hidden="1"/>
    <cellStyle name="Lien hypertexte visité" xfId="20207" builtinId="9" hidden="1"/>
    <cellStyle name="Lien hypertexte visité" xfId="20209" builtinId="9" hidden="1"/>
    <cellStyle name="Lien hypertexte visité" xfId="20211" builtinId="9" hidden="1"/>
    <cellStyle name="Lien hypertexte visité" xfId="20213" builtinId="9" hidden="1"/>
    <cellStyle name="Lien hypertexte visité" xfId="20215" builtinId="9" hidden="1"/>
    <cellStyle name="Lien hypertexte visité" xfId="20217" builtinId="9" hidden="1"/>
    <cellStyle name="Lien hypertexte visité" xfId="20219" builtinId="9" hidden="1"/>
    <cellStyle name="Lien hypertexte visité" xfId="20221" builtinId="9" hidden="1"/>
    <cellStyle name="Lien hypertexte visité" xfId="20223" builtinId="9" hidden="1"/>
    <cellStyle name="Lien hypertexte visité" xfId="20225" builtinId="9" hidden="1"/>
    <cellStyle name="Lien hypertexte visité" xfId="20227" builtinId="9" hidden="1"/>
    <cellStyle name="Lien hypertexte visité" xfId="20229" builtinId="9" hidden="1"/>
    <cellStyle name="Lien hypertexte visité" xfId="20231" builtinId="9" hidden="1"/>
    <cellStyle name="Lien hypertexte visité" xfId="20233" builtinId="9" hidden="1"/>
    <cellStyle name="Lien hypertexte visité" xfId="20235" builtinId="9" hidden="1"/>
    <cellStyle name="Lien hypertexte visité" xfId="20237" builtinId="9" hidden="1"/>
    <cellStyle name="Lien hypertexte visité" xfId="20239" builtinId="9" hidden="1"/>
    <cellStyle name="Lien hypertexte visité" xfId="20241" builtinId="9" hidden="1"/>
    <cellStyle name="Lien hypertexte visité" xfId="20243" builtinId="9" hidden="1"/>
    <cellStyle name="Lien hypertexte visité" xfId="20245" builtinId="9" hidden="1"/>
    <cellStyle name="Lien hypertexte visité" xfId="20247" builtinId="9" hidden="1"/>
    <cellStyle name="Lien hypertexte visité" xfId="20249" builtinId="9" hidden="1"/>
    <cellStyle name="Lien hypertexte visité" xfId="20251" builtinId="9" hidden="1"/>
    <cellStyle name="Lien hypertexte visité" xfId="20253" builtinId="9" hidden="1"/>
    <cellStyle name="Lien hypertexte visité" xfId="20255" builtinId="9" hidden="1"/>
    <cellStyle name="Lien hypertexte visité" xfId="20257" builtinId="9" hidden="1"/>
    <cellStyle name="Lien hypertexte visité" xfId="20259" builtinId="9" hidden="1"/>
    <cellStyle name="Lien hypertexte visité" xfId="20261" builtinId="9" hidden="1"/>
    <cellStyle name="Lien hypertexte visité" xfId="20263" builtinId="9" hidden="1"/>
    <cellStyle name="Lien hypertexte visité" xfId="20265" builtinId="9" hidden="1"/>
    <cellStyle name="Lien hypertexte visité" xfId="20267" builtinId="9" hidden="1"/>
    <cellStyle name="Lien hypertexte visité" xfId="20269" builtinId="9" hidden="1"/>
    <cellStyle name="Lien hypertexte visité" xfId="20271" builtinId="9" hidden="1"/>
    <cellStyle name="Lien hypertexte visité" xfId="20273" builtinId="9" hidden="1"/>
    <cellStyle name="Lien hypertexte visité" xfId="20275" builtinId="9" hidden="1"/>
    <cellStyle name="Lien hypertexte visité" xfId="20277" builtinId="9" hidden="1"/>
    <cellStyle name="Lien hypertexte visité" xfId="20279" builtinId="9" hidden="1"/>
    <cellStyle name="Lien hypertexte visité" xfId="20281" builtinId="9" hidden="1"/>
    <cellStyle name="Lien hypertexte visité" xfId="20283" builtinId="9" hidden="1"/>
    <cellStyle name="Lien hypertexte visité" xfId="20285" builtinId="9" hidden="1"/>
    <cellStyle name="Lien hypertexte visité" xfId="20287" builtinId="9" hidden="1"/>
    <cellStyle name="Lien hypertexte visité" xfId="20289" builtinId="9" hidden="1"/>
    <cellStyle name="Lien hypertexte visité" xfId="20291" builtinId="9" hidden="1"/>
    <cellStyle name="Lien hypertexte visité" xfId="20293" builtinId="9" hidden="1"/>
    <cellStyle name="Lien hypertexte visité" xfId="20295" builtinId="9" hidden="1"/>
    <cellStyle name="Lien hypertexte visité" xfId="20297" builtinId="9" hidden="1"/>
    <cellStyle name="Lien hypertexte visité" xfId="20299" builtinId="9" hidden="1"/>
    <cellStyle name="Lien hypertexte visité" xfId="20301" builtinId="9" hidden="1"/>
    <cellStyle name="Lien hypertexte visité" xfId="20303" builtinId="9" hidden="1"/>
    <cellStyle name="Lien hypertexte visité" xfId="20305" builtinId="9" hidden="1"/>
    <cellStyle name="Lien hypertexte visité" xfId="20307" builtinId="9" hidden="1"/>
    <cellStyle name="Lien hypertexte visité" xfId="20309" builtinId="9" hidden="1"/>
    <cellStyle name="Lien hypertexte visité" xfId="20311" builtinId="9" hidden="1"/>
    <cellStyle name="Lien hypertexte visité" xfId="20313" builtinId="9" hidden="1"/>
    <cellStyle name="Lien hypertexte visité" xfId="20315" builtinId="9" hidden="1"/>
    <cellStyle name="Lien hypertexte visité" xfId="20317" builtinId="9" hidden="1"/>
    <cellStyle name="Lien hypertexte visité" xfId="20319" builtinId="9" hidden="1"/>
    <cellStyle name="Lien hypertexte visité" xfId="20321" builtinId="9" hidden="1"/>
    <cellStyle name="Lien hypertexte visité" xfId="20323" builtinId="9" hidden="1"/>
    <cellStyle name="Lien hypertexte visité" xfId="20325" builtinId="9" hidden="1"/>
    <cellStyle name="Lien hypertexte visité" xfId="20327" builtinId="9" hidden="1"/>
    <cellStyle name="Lien hypertexte visité" xfId="20329" builtinId="9" hidden="1"/>
    <cellStyle name="Lien hypertexte visité" xfId="20331" builtinId="9" hidden="1"/>
    <cellStyle name="Lien hypertexte visité" xfId="20333" builtinId="9" hidden="1"/>
    <cellStyle name="Lien hypertexte visité" xfId="20335" builtinId="9" hidden="1"/>
    <cellStyle name="Lien hypertexte visité" xfId="20337" builtinId="9" hidden="1"/>
    <cellStyle name="Lien hypertexte visité" xfId="20339" builtinId="9" hidden="1"/>
    <cellStyle name="Lien hypertexte visité" xfId="20341" builtinId="9" hidden="1"/>
    <cellStyle name="Lien hypertexte visité" xfId="20343" builtinId="9" hidden="1"/>
    <cellStyle name="Lien hypertexte visité" xfId="20345" builtinId="9" hidden="1"/>
    <cellStyle name="Lien hypertexte visité" xfId="20347" builtinId="9" hidden="1"/>
    <cellStyle name="Lien hypertexte visité" xfId="20349" builtinId="9" hidden="1"/>
    <cellStyle name="Lien hypertexte visité" xfId="20351" builtinId="9" hidden="1"/>
    <cellStyle name="Lien hypertexte visité" xfId="20353" builtinId="9" hidden="1"/>
    <cellStyle name="Lien hypertexte visité" xfId="20355" builtinId="9" hidden="1"/>
    <cellStyle name="Lien hypertexte visité" xfId="20357" builtinId="9" hidden="1"/>
    <cellStyle name="Lien hypertexte visité" xfId="20359" builtinId="9" hidden="1"/>
    <cellStyle name="Lien hypertexte visité" xfId="20361" builtinId="9" hidden="1"/>
    <cellStyle name="Lien hypertexte visité" xfId="20363" builtinId="9" hidden="1"/>
    <cellStyle name="Lien hypertexte visité" xfId="20365" builtinId="9" hidden="1"/>
    <cellStyle name="Lien hypertexte visité" xfId="20367" builtinId="9" hidden="1"/>
    <cellStyle name="Lien hypertexte visité" xfId="20369" builtinId="9" hidden="1"/>
    <cellStyle name="Lien hypertexte visité" xfId="20371" builtinId="9" hidden="1"/>
    <cellStyle name="Lien hypertexte visité" xfId="20373" builtinId="9" hidden="1"/>
    <cellStyle name="Lien hypertexte visité" xfId="20375" builtinId="9" hidden="1"/>
    <cellStyle name="Lien hypertexte visité" xfId="20377" builtinId="9" hidden="1"/>
    <cellStyle name="Lien hypertexte visité" xfId="20379" builtinId="9" hidden="1"/>
    <cellStyle name="Lien hypertexte visité" xfId="20381" builtinId="9" hidden="1"/>
    <cellStyle name="Lien hypertexte visité" xfId="20383" builtinId="9" hidden="1"/>
    <cellStyle name="Lien hypertexte visité" xfId="20385" builtinId="9" hidden="1"/>
    <cellStyle name="Lien hypertexte visité" xfId="20387" builtinId="9" hidden="1"/>
    <cellStyle name="Lien hypertexte visité" xfId="20389" builtinId="9" hidden="1"/>
    <cellStyle name="Lien hypertexte visité" xfId="20391" builtinId="9" hidden="1"/>
    <cellStyle name="Lien hypertexte visité" xfId="20393" builtinId="9" hidden="1"/>
    <cellStyle name="Lien hypertexte visité" xfId="20395" builtinId="9" hidden="1"/>
    <cellStyle name="Lien hypertexte visité" xfId="20397" builtinId="9" hidden="1"/>
    <cellStyle name="Lien hypertexte visité" xfId="20399" builtinId="9" hidden="1"/>
    <cellStyle name="Lien hypertexte visité" xfId="20401" builtinId="9" hidden="1"/>
    <cellStyle name="Lien hypertexte visité" xfId="20403" builtinId="9" hidden="1"/>
    <cellStyle name="Lien hypertexte visité" xfId="20405" builtinId="9" hidden="1"/>
    <cellStyle name="Lien hypertexte visité" xfId="20407" builtinId="9" hidden="1"/>
    <cellStyle name="Lien hypertexte visité" xfId="20409" builtinId="9" hidden="1"/>
    <cellStyle name="Lien hypertexte visité" xfId="20411" builtinId="9" hidden="1"/>
    <cellStyle name="Lien hypertexte visité" xfId="20413" builtinId="9" hidden="1"/>
    <cellStyle name="Lien hypertexte visité" xfId="20415" builtinId="9" hidden="1"/>
    <cellStyle name="Lien hypertexte visité" xfId="20417" builtinId="9" hidden="1"/>
    <cellStyle name="Lien hypertexte visité" xfId="20419" builtinId="9" hidden="1"/>
    <cellStyle name="Lien hypertexte visité" xfId="20421" builtinId="9" hidden="1"/>
    <cellStyle name="Lien hypertexte visité" xfId="20423" builtinId="9" hidden="1"/>
    <cellStyle name="Lien hypertexte visité" xfId="20425" builtinId="9" hidden="1"/>
    <cellStyle name="Lien hypertexte visité" xfId="20427" builtinId="9" hidden="1"/>
    <cellStyle name="Lien hypertexte visité" xfId="20429" builtinId="9" hidden="1"/>
    <cellStyle name="Lien hypertexte visité" xfId="20431" builtinId="9" hidden="1"/>
    <cellStyle name="Lien hypertexte visité" xfId="20433" builtinId="9" hidden="1"/>
    <cellStyle name="Lien hypertexte visité" xfId="20435" builtinId="9" hidden="1"/>
    <cellStyle name="Lien hypertexte visité" xfId="20437" builtinId="9" hidden="1"/>
    <cellStyle name="Lien hypertexte visité" xfId="20439" builtinId="9" hidden="1"/>
    <cellStyle name="Lien hypertexte visité" xfId="20441" builtinId="9" hidden="1"/>
    <cellStyle name="Lien hypertexte visité" xfId="20443" builtinId="9" hidden="1"/>
    <cellStyle name="Lien hypertexte visité" xfId="20445" builtinId="9" hidden="1"/>
    <cellStyle name="Lien hypertexte visité" xfId="20447" builtinId="9" hidden="1"/>
    <cellStyle name="Lien hypertexte visité" xfId="20449" builtinId="9" hidden="1"/>
    <cellStyle name="Lien hypertexte visité" xfId="20451" builtinId="9" hidden="1"/>
    <cellStyle name="Lien hypertexte visité" xfId="20453" builtinId="9" hidden="1"/>
    <cellStyle name="Lien hypertexte visité" xfId="20455" builtinId="9" hidden="1"/>
    <cellStyle name="Lien hypertexte visité" xfId="20457" builtinId="9" hidden="1"/>
    <cellStyle name="Lien hypertexte visité" xfId="20459" builtinId="9" hidden="1"/>
    <cellStyle name="Lien hypertexte visité" xfId="20461" builtinId="9" hidden="1"/>
    <cellStyle name="Lien hypertexte visité" xfId="20463" builtinId="9" hidden="1"/>
    <cellStyle name="Lien hypertexte visité" xfId="20465" builtinId="9" hidden="1"/>
    <cellStyle name="Lien hypertexte visité" xfId="20467" builtinId="9" hidden="1"/>
    <cellStyle name="Lien hypertexte visité" xfId="20469" builtinId="9" hidden="1"/>
    <cellStyle name="Lien hypertexte visité" xfId="20471" builtinId="9" hidden="1"/>
    <cellStyle name="Lien hypertexte visité" xfId="20473" builtinId="9" hidden="1"/>
    <cellStyle name="Lien hypertexte visité" xfId="20475" builtinId="9" hidden="1"/>
    <cellStyle name="Lien hypertexte visité" xfId="20477" builtinId="9" hidden="1"/>
    <cellStyle name="Lien hypertexte visité" xfId="20479" builtinId="9" hidden="1"/>
    <cellStyle name="Lien hypertexte visité" xfId="20481" builtinId="9" hidden="1"/>
    <cellStyle name="Lien hypertexte visité" xfId="20483" builtinId="9" hidden="1"/>
    <cellStyle name="Lien hypertexte visité" xfId="20485" builtinId="9" hidden="1"/>
    <cellStyle name="Lien hypertexte visité" xfId="20487" builtinId="9" hidden="1"/>
    <cellStyle name="Lien hypertexte visité" xfId="20489" builtinId="9" hidden="1"/>
    <cellStyle name="Lien hypertexte visité" xfId="20491" builtinId="9" hidden="1"/>
    <cellStyle name="Lien hypertexte visité" xfId="20493" builtinId="9" hidden="1"/>
    <cellStyle name="Lien hypertexte visité" xfId="20495" builtinId="9" hidden="1"/>
    <cellStyle name="Lien hypertexte visité" xfId="20497" builtinId="9" hidden="1"/>
    <cellStyle name="Lien hypertexte visité" xfId="20499" builtinId="9" hidden="1"/>
    <cellStyle name="Lien hypertexte visité" xfId="20501" builtinId="9" hidden="1"/>
    <cellStyle name="Lien hypertexte visité" xfId="20503" builtinId="9" hidden="1"/>
    <cellStyle name="Lien hypertexte visité" xfId="20505" builtinId="9" hidden="1"/>
    <cellStyle name="Lien hypertexte visité" xfId="20507" builtinId="9" hidden="1"/>
    <cellStyle name="Lien hypertexte visité" xfId="20509" builtinId="9" hidden="1"/>
    <cellStyle name="Lien hypertexte visité" xfId="20511" builtinId="9" hidden="1"/>
    <cellStyle name="Lien hypertexte visité" xfId="20513" builtinId="9" hidden="1"/>
    <cellStyle name="Lien hypertexte visité" xfId="20515" builtinId="9" hidden="1"/>
    <cellStyle name="Lien hypertexte visité" xfId="20517" builtinId="9" hidden="1"/>
    <cellStyle name="Lien hypertexte visité" xfId="20519" builtinId="9" hidden="1"/>
    <cellStyle name="Lien hypertexte visité" xfId="20521" builtinId="9" hidden="1"/>
    <cellStyle name="Lien hypertexte visité" xfId="20523" builtinId="9" hidden="1"/>
    <cellStyle name="Lien hypertexte visité" xfId="20525" builtinId="9" hidden="1"/>
    <cellStyle name="Lien hypertexte visité" xfId="20527" builtinId="9" hidden="1"/>
    <cellStyle name="Lien hypertexte visité" xfId="20529" builtinId="9" hidden="1"/>
    <cellStyle name="Lien hypertexte visité" xfId="20531" builtinId="9" hidden="1"/>
    <cellStyle name="Lien hypertexte visité" xfId="20533" builtinId="9" hidden="1"/>
    <cellStyle name="Lien hypertexte visité" xfId="20535" builtinId="9" hidden="1"/>
    <cellStyle name="Lien hypertexte visité" xfId="20537" builtinId="9" hidden="1"/>
    <cellStyle name="Lien hypertexte visité" xfId="20539" builtinId="9" hidden="1"/>
    <cellStyle name="Lien hypertexte visité" xfId="20541" builtinId="9" hidden="1"/>
    <cellStyle name="Lien hypertexte visité" xfId="20543" builtinId="9" hidden="1"/>
    <cellStyle name="Lien hypertexte visité" xfId="20545" builtinId="9" hidden="1"/>
    <cellStyle name="Lien hypertexte visité" xfId="20547" builtinId="9" hidden="1"/>
    <cellStyle name="Lien hypertexte visité" xfId="20549" builtinId="9" hidden="1"/>
    <cellStyle name="Lien hypertexte visité" xfId="20551" builtinId="9" hidden="1"/>
    <cellStyle name="Lien hypertexte visité" xfId="20553" builtinId="9" hidden="1"/>
    <cellStyle name="Lien hypertexte visité" xfId="20555" builtinId="9" hidden="1"/>
    <cellStyle name="Lien hypertexte visité" xfId="20557" builtinId="9" hidden="1"/>
    <cellStyle name="Lien hypertexte visité" xfId="20559" builtinId="9" hidden="1"/>
    <cellStyle name="Lien hypertexte visité" xfId="20561" builtinId="9" hidden="1"/>
    <cellStyle name="Lien hypertexte visité" xfId="20563" builtinId="9" hidden="1"/>
    <cellStyle name="Lien hypertexte visité" xfId="20565" builtinId="9" hidden="1"/>
    <cellStyle name="Lien hypertexte visité" xfId="20567" builtinId="9" hidden="1"/>
    <cellStyle name="Lien hypertexte visité" xfId="20569" builtinId="9" hidden="1"/>
    <cellStyle name="Lien hypertexte visité" xfId="20571" builtinId="9" hidden="1"/>
    <cellStyle name="Lien hypertexte visité" xfId="20573" builtinId="9" hidden="1"/>
    <cellStyle name="Lien hypertexte visité" xfId="20575" builtinId="9" hidden="1"/>
    <cellStyle name="Lien hypertexte visité" xfId="20577" builtinId="9" hidden="1"/>
    <cellStyle name="Lien hypertexte visité" xfId="20579" builtinId="9" hidden="1"/>
    <cellStyle name="Lien hypertexte visité" xfId="20581" builtinId="9" hidden="1"/>
    <cellStyle name="Lien hypertexte visité" xfId="20583" builtinId="9" hidden="1"/>
    <cellStyle name="Lien hypertexte visité" xfId="20585" builtinId="9" hidden="1"/>
    <cellStyle name="Lien hypertexte visité" xfId="20587" builtinId="9" hidden="1"/>
    <cellStyle name="Lien hypertexte visité" xfId="20589" builtinId="9" hidden="1"/>
    <cellStyle name="Lien hypertexte visité" xfId="20591" builtinId="9" hidden="1"/>
    <cellStyle name="Lien hypertexte visité" xfId="20593" builtinId="9" hidden="1"/>
    <cellStyle name="Lien hypertexte visité" xfId="20595" builtinId="9" hidden="1"/>
    <cellStyle name="Lien hypertexte visité" xfId="20597" builtinId="9" hidden="1"/>
    <cellStyle name="Lien hypertexte visité" xfId="20599" builtinId="9" hidden="1"/>
    <cellStyle name="Lien hypertexte visité" xfId="20601" builtinId="9" hidden="1"/>
    <cellStyle name="Lien hypertexte visité" xfId="20603" builtinId="9" hidden="1"/>
    <cellStyle name="Lien hypertexte visité" xfId="20605" builtinId="9" hidden="1"/>
    <cellStyle name="Lien hypertexte visité" xfId="20607" builtinId="9" hidden="1"/>
    <cellStyle name="Lien hypertexte visité" xfId="20609" builtinId="9" hidden="1"/>
    <cellStyle name="Lien hypertexte visité" xfId="20611" builtinId="9" hidden="1"/>
    <cellStyle name="Lien hypertexte visité" xfId="20613" builtinId="9" hidden="1"/>
    <cellStyle name="Lien hypertexte visité" xfId="20615" builtinId="9" hidden="1"/>
    <cellStyle name="Lien hypertexte visité" xfId="20617" builtinId="9" hidden="1"/>
    <cellStyle name="Lien hypertexte visité" xfId="20619" builtinId="9" hidden="1"/>
    <cellStyle name="Lien hypertexte visité" xfId="20621" builtinId="9" hidden="1"/>
    <cellStyle name="Lien hypertexte visité" xfId="20623" builtinId="9" hidden="1"/>
    <cellStyle name="Lien hypertexte visité" xfId="20625" builtinId="9" hidden="1"/>
    <cellStyle name="Lien hypertexte visité" xfId="20627" builtinId="9" hidden="1"/>
    <cellStyle name="Lien hypertexte visité" xfId="20629" builtinId="9" hidden="1"/>
    <cellStyle name="Lien hypertexte visité" xfId="20631" builtinId="9" hidden="1"/>
    <cellStyle name="Lien hypertexte visité" xfId="20633" builtinId="9" hidden="1"/>
    <cellStyle name="Lien hypertexte visité" xfId="20635" builtinId="9" hidden="1"/>
    <cellStyle name="Lien hypertexte visité" xfId="20637" builtinId="9" hidden="1"/>
    <cellStyle name="Lien hypertexte visité" xfId="20639" builtinId="9" hidden="1"/>
    <cellStyle name="Lien hypertexte visité" xfId="20641" builtinId="9" hidden="1"/>
    <cellStyle name="Lien hypertexte visité" xfId="20643" builtinId="9" hidden="1"/>
    <cellStyle name="Lien hypertexte visité" xfId="20645" builtinId="9" hidden="1"/>
    <cellStyle name="Lien hypertexte visité" xfId="20647" builtinId="9" hidden="1"/>
    <cellStyle name="Lien hypertexte visité" xfId="20649" builtinId="9" hidden="1"/>
    <cellStyle name="Lien hypertexte visité" xfId="20651" builtinId="9" hidden="1"/>
    <cellStyle name="Lien hypertexte visité" xfId="20653" builtinId="9" hidden="1"/>
    <cellStyle name="Lien hypertexte visité" xfId="20655" builtinId="9" hidden="1"/>
    <cellStyle name="Lien hypertexte visité" xfId="20657" builtinId="9" hidden="1"/>
    <cellStyle name="Lien hypertexte visité" xfId="20659" builtinId="9" hidden="1"/>
    <cellStyle name="Lien hypertexte visité" xfId="20661" builtinId="9" hidden="1"/>
    <cellStyle name="Lien hypertexte visité" xfId="20663" builtinId="9" hidden="1"/>
    <cellStyle name="Lien hypertexte visité" xfId="20665" builtinId="9" hidden="1"/>
    <cellStyle name="Lien hypertexte visité" xfId="20667" builtinId="9" hidden="1"/>
    <cellStyle name="Lien hypertexte visité" xfId="20669" builtinId="9" hidden="1"/>
    <cellStyle name="Lien hypertexte visité" xfId="20671" builtinId="9" hidden="1"/>
    <cellStyle name="Lien hypertexte visité" xfId="20673" builtinId="9" hidden="1"/>
    <cellStyle name="Lien hypertexte visité" xfId="20675" builtinId="9" hidden="1"/>
    <cellStyle name="Lien hypertexte visité" xfId="20677" builtinId="9" hidden="1"/>
    <cellStyle name="Lien hypertexte visité" xfId="20679" builtinId="9" hidden="1"/>
    <cellStyle name="Lien hypertexte visité" xfId="20681" builtinId="9" hidden="1"/>
    <cellStyle name="Lien hypertexte visité" xfId="20683" builtinId="9" hidden="1"/>
    <cellStyle name="Lien hypertexte visité" xfId="20685" builtinId="9" hidden="1"/>
    <cellStyle name="Lien hypertexte visité" xfId="20687" builtinId="9" hidden="1"/>
    <cellStyle name="Lien hypertexte visité" xfId="20689" builtinId="9" hidden="1"/>
    <cellStyle name="Lien hypertexte visité" xfId="20691" builtinId="9" hidden="1"/>
    <cellStyle name="Lien hypertexte visité" xfId="20693" builtinId="9" hidden="1"/>
    <cellStyle name="Lien hypertexte visité" xfId="20695" builtinId="9" hidden="1"/>
    <cellStyle name="Lien hypertexte visité" xfId="20697" builtinId="9" hidden="1"/>
    <cellStyle name="Lien hypertexte visité" xfId="20699" builtinId="9" hidden="1"/>
    <cellStyle name="Lien hypertexte visité" xfId="20701" builtinId="9" hidden="1"/>
    <cellStyle name="Lien hypertexte visité" xfId="20703" builtinId="9" hidden="1"/>
    <cellStyle name="Lien hypertexte visité" xfId="20705" builtinId="9" hidden="1"/>
    <cellStyle name="Lien hypertexte visité" xfId="20707" builtinId="9" hidden="1"/>
    <cellStyle name="Lien hypertexte visité" xfId="20709" builtinId="9" hidden="1"/>
    <cellStyle name="Lien hypertexte visité" xfId="20711" builtinId="9" hidden="1"/>
    <cellStyle name="Lien hypertexte visité" xfId="20713" builtinId="9" hidden="1"/>
    <cellStyle name="Lien hypertexte visité" xfId="20715" builtinId="9" hidden="1"/>
    <cellStyle name="Lien hypertexte visité" xfId="20717" builtinId="9" hidden="1"/>
    <cellStyle name="Lien hypertexte visité" xfId="20719" builtinId="9" hidden="1"/>
    <cellStyle name="Lien hypertexte visité" xfId="20721" builtinId="9" hidden="1"/>
    <cellStyle name="Lien hypertexte visité" xfId="20723" builtinId="9" hidden="1"/>
    <cellStyle name="Lien hypertexte visité" xfId="20725" builtinId="9" hidden="1"/>
    <cellStyle name="Lien hypertexte visité" xfId="20727" builtinId="9" hidden="1"/>
    <cellStyle name="Lien hypertexte visité" xfId="20729" builtinId="9" hidden="1"/>
    <cellStyle name="Lien hypertexte visité" xfId="20731" builtinId="9" hidden="1"/>
    <cellStyle name="Lien hypertexte visité" xfId="20733" builtinId="9" hidden="1"/>
    <cellStyle name="Lien hypertexte visité" xfId="20735" builtinId="9" hidden="1"/>
    <cellStyle name="Lien hypertexte visité" xfId="20737" builtinId="9" hidden="1"/>
    <cellStyle name="Lien hypertexte visité" xfId="20739" builtinId="9" hidden="1"/>
    <cellStyle name="Lien hypertexte visité" xfId="20741" builtinId="9" hidden="1"/>
    <cellStyle name="Lien hypertexte visité" xfId="20743" builtinId="9" hidden="1"/>
    <cellStyle name="Lien hypertexte visité" xfId="20745" builtinId="9" hidden="1"/>
    <cellStyle name="Lien hypertexte visité" xfId="20747" builtinId="9" hidden="1"/>
    <cellStyle name="Lien hypertexte visité" xfId="20749" builtinId="9" hidden="1"/>
    <cellStyle name="Lien hypertexte visité" xfId="20751" builtinId="9" hidden="1"/>
    <cellStyle name="Lien hypertexte visité" xfId="20753" builtinId="9" hidden="1"/>
    <cellStyle name="Lien hypertexte visité" xfId="20755" builtinId="9" hidden="1"/>
    <cellStyle name="Lien hypertexte visité" xfId="20757" builtinId="9" hidden="1"/>
    <cellStyle name="Lien hypertexte visité" xfId="20759" builtinId="9" hidden="1"/>
    <cellStyle name="Lien hypertexte visité" xfId="20761" builtinId="9" hidden="1"/>
    <cellStyle name="Lien hypertexte visité" xfId="20763" builtinId="9" hidden="1"/>
    <cellStyle name="Lien hypertexte visité" xfId="20765" builtinId="9" hidden="1"/>
    <cellStyle name="Lien hypertexte visité" xfId="20767" builtinId="9" hidden="1"/>
    <cellStyle name="Lien hypertexte visité" xfId="20769" builtinId="9" hidden="1"/>
    <cellStyle name="Lien hypertexte visité" xfId="20771" builtinId="9" hidden="1"/>
    <cellStyle name="Lien hypertexte visité" xfId="20773" builtinId="9" hidden="1"/>
    <cellStyle name="Lien hypertexte visité" xfId="20775" builtinId="9" hidden="1"/>
    <cellStyle name="Lien hypertexte visité" xfId="20777" builtinId="9" hidden="1"/>
    <cellStyle name="Lien hypertexte visité" xfId="20779" builtinId="9" hidden="1"/>
    <cellStyle name="Lien hypertexte visité" xfId="20781" builtinId="9" hidden="1"/>
    <cellStyle name="Lien hypertexte visité" xfId="20783" builtinId="9" hidden="1"/>
    <cellStyle name="Lien hypertexte visité" xfId="20785" builtinId="9" hidden="1"/>
    <cellStyle name="Lien hypertexte visité" xfId="20787" builtinId="9" hidden="1"/>
    <cellStyle name="Lien hypertexte visité" xfId="20789" builtinId="9" hidden="1"/>
    <cellStyle name="Lien hypertexte visité" xfId="20791" builtinId="9" hidden="1"/>
    <cellStyle name="Lien hypertexte visité" xfId="20793" builtinId="9" hidden="1"/>
    <cellStyle name="Lien hypertexte visité" xfId="20795" builtinId="9" hidden="1"/>
    <cellStyle name="Lien hypertexte visité" xfId="20797" builtinId="9" hidden="1"/>
    <cellStyle name="Lien hypertexte visité" xfId="20799" builtinId="9" hidden="1"/>
    <cellStyle name="Lien hypertexte visité" xfId="20801" builtinId="9" hidden="1"/>
    <cellStyle name="Lien hypertexte visité" xfId="20803" builtinId="9" hidden="1"/>
    <cellStyle name="Lien hypertexte visité" xfId="20805" builtinId="9" hidden="1"/>
    <cellStyle name="Lien hypertexte visité" xfId="20807" builtinId="9" hidden="1"/>
    <cellStyle name="Lien hypertexte visité" xfId="20809" builtinId="9" hidden="1"/>
    <cellStyle name="Lien hypertexte visité" xfId="20811" builtinId="9" hidden="1"/>
    <cellStyle name="Lien hypertexte visité" xfId="20813" builtinId="9" hidden="1"/>
    <cellStyle name="Lien hypertexte visité" xfId="20815" builtinId="9" hidden="1"/>
    <cellStyle name="Lien hypertexte visité" xfId="20817" builtinId="9" hidden="1"/>
    <cellStyle name="Lien hypertexte visité" xfId="20819" builtinId="9" hidden="1"/>
    <cellStyle name="Lien hypertexte visité" xfId="20821" builtinId="9" hidden="1"/>
    <cellStyle name="Lien hypertexte visité" xfId="20823" builtinId="9" hidden="1"/>
    <cellStyle name="Lien hypertexte visité" xfId="20825" builtinId="9" hidden="1"/>
    <cellStyle name="Lien hypertexte visité" xfId="20827" builtinId="9" hidden="1"/>
    <cellStyle name="Lien hypertexte visité" xfId="20829" builtinId="9" hidden="1"/>
    <cellStyle name="Lien hypertexte visité" xfId="20831" builtinId="9" hidden="1"/>
    <cellStyle name="Lien hypertexte visité" xfId="20833" builtinId="9" hidden="1"/>
    <cellStyle name="Lien hypertexte visité" xfId="20835" builtinId="9" hidden="1"/>
    <cellStyle name="Lien hypertexte visité" xfId="20837" builtinId="9" hidden="1"/>
    <cellStyle name="Lien hypertexte visité" xfId="20839" builtinId="9" hidden="1"/>
    <cellStyle name="Lien hypertexte visité" xfId="20841" builtinId="9" hidden="1"/>
    <cellStyle name="Lien hypertexte visité" xfId="20843" builtinId="9" hidden="1"/>
    <cellStyle name="Lien hypertexte visité" xfId="20845" builtinId="9" hidden="1"/>
    <cellStyle name="Lien hypertexte visité" xfId="20847" builtinId="9" hidden="1"/>
    <cellStyle name="Lien hypertexte visité" xfId="20849" builtinId="9" hidden="1"/>
    <cellStyle name="Lien hypertexte visité" xfId="20851" builtinId="9" hidden="1"/>
    <cellStyle name="Lien hypertexte visité" xfId="20853" builtinId="9" hidden="1"/>
    <cellStyle name="Lien hypertexte visité" xfId="20855" builtinId="9" hidden="1"/>
    <cellStyle name="Lien hypertexte visité" xfId="20857" builtinId="9" hidden="1"/>
    <cellStyle name="Lien hypertexte visité" xfId="20859" builtinId="9" hidden="1"/>
    <cellStyle name="Lien hypertexte visité" xfId="20861" builtinId="9" hidden="1"/>
    <cellStyle name="Lien hypertexte visité" xfId="20863" builtinId="9" hidden="1"/>
    <cellStyle name="Lien hypertexte visité" xfId="20865" builtinId="9" hidden="1"/>
    <cellStyle name="Lien hypertexte visité" xfId="20867" builtinId="9" hidden="1"/>
    <cellStyle name="Lien hypertexte visité" xfId="20869" builtinId="9" hidden="1"/>
    <cellStyle name="Lien hypertexte visité" xfId="20871" builtinId="9" hidden="1"/>
    <cellStyle name="Lien hypertexte visité" xfId="20873" builtinId="9" hidden="1"/>
    <cellStyle name="Lien hypertexte visité" xfId="20875" builtinId="9" hidden="1"/>
    <cellStyle name="Lien hypertexte visité" xfId="20877" builtinId="9" hidden="1"/>
    <cellStyle name="Lien hypertexte visité" xfId="20879" builtinId="9" hidden="1"/>
    <cellStyle name="Lien hypertexte visité" xfId="20881" builtinId="9" hidden="1"/>
    <cellStyle name="Lien hypertexte visité" xfId="20883" builtinId="9" hidden="1"/>
    <cellStyle name="Lien hypertexte visité" xfId="20885" builtinId="9" hidden="1"/>
    <cellStyle name="Lien hypertexte visité" xfId="20887" builtinId="9" hidden="1"/>
    <cellStyle name="Lien hypertexte visité" xfId="20889" builtinId="9" hidden="1"/>
    <cellStyle name="Lien hypertexte visité" xfId="20891" builtinId="9" hidden="1"/>
    <cellStyle name="Lien hypertexte visité" xfId="20893" builtinId="9" hidden="1"/>
    <cellStyle name="Lien hypertexte visité" xfId="20895" builtinId="9" hidden="1"/>
    <cellStyle name="Lien hypertexte visité" xfId="20897" builtinId="9" hidden="1"/>
    <cellStyle name="Lien hypertexte visité" xfId="20899" builtinId="9" hidden="1"/>
    <cellStyle name="Lien hypertexte visité" xfId="20901" builtinId="9" hidden="1"/>
    <cellStyle name="Lien hypertexte visité" xfId="20903" builtinId="9" hidden="1"/>
    <cellStyle name="Lien hypertexte visité" xfId="20905" builtinId="9" hidden="1"/>
    <cellStyle name="Lien hypertexte visité" xfId="20907" builtinId="9" hidden="1"/>
    <cellStyle name="Lien hypertexte visité" xfId="20909" builtinId="9" hidden="1"/>
    <cellStyle name="Lien hypertexte visité" xfId="20911" builtinId="9" hidden="1"/>
    <cellStyle name="Lien hypertexte visité" xfId="20913" builtinId="9" hidden="1"/>
    <cellStyle name="Lien hypertexte visité" xfId="20915" builtinId="9" hidden="1"/>
    <cellStyle name="Lien hypertexte visité" xfId="20917" builtinId="9" hidden="1"/>
    <cellStyle name="Lien hypertexte visité" xfId="20919" builtinId="9" hidden="1"/>
    <cellStyle name="Lien hypertexte visité" xfId="20921" builtinId="9" hidden="1"/>
    <cellStyle name="Lien hypertexte visité" xfId="20923" builtinId="9" hidden="1"/>
    <cellStyle name="Lien hypertexte visité" xfId="20925" builtinId="9" hidden="1"/>
    <cellStyle name="Lien hypertexte visité" xfId="20927" builtinId="9" hidden="1"/>
    <cellStyle name="Lien hypertexte visité" xfId="20929" builtinId="9" hidden="1"/>
    <cellStyle name="Lien hypertexte visité" xfId="20931" builtinId="9" hidden="1"/>
    <cellStyle name="Lien hypertexte visité" xfId="20933" builtinId="9" hidden="1"/>
    <cellStyle name="Lien hypertexte visité" xfId="20935" builtinId="9" hidden="1"/>
    <cellStyle name="Lien hypertexte visité" xfId="20937" builtinId="9" hidden="1"/>
    <cellStyle name="Lien hypertexte visité" xfId="20939" builtinId="9" hidden="1"/>
    <cellStyle name="Lien hypertexte visité" xfId="20941" builtinId="9" hidden="1"/>
    <cellStyle name="Lien hypertexte visité" xfId="20943" builtinId="9" hidden="1"/>
    <cellStyle name="Lien hypertexte visité" xfId="20945" builtinId="9" hidden="1"/>
    <cellStyle name="Lien hypertexte visité" xfId="20947" builtinId="9" hidden="1"/>
    <cellStyle name="Lien hypertexte visité" xfId="20949" builtinId="9" hidden="1"/>
    <cellStyle name="Lien hypertexte visité" xfId="20951" builtinId="9" hidden="1"/>
    <cellStyle name="Lien hypertexte visité" xfId="20953" builtinId="9" hidden="1"/>
    <cellStyle name="Lien hypertexte visité" xfId="20955" builtinId="9" hidden="1"/>
    <cellStyle name="Lien hypertexte visité" xfId="20957" builtinId="9" hidden="1"/>
    <cellStyle name="Lien hypertexte visité" xfId="20959" builtinId="9" hidden="1"/>
    <cellStyle name="Lien hypertexte visité" xfId="20961" builtinId="9" hidden="1"/>
    <cellStyle name="Lien hypertexte visité" xfId="20963" builtinId="9" hidden="1"/>
    <cellStyle name="Lien hypertexte visité" xfId="20965" builtinId="9" hidden="1"/>
    <cellStyle name="Lien hypertexte visité" xfId="20967" builtinId="9" hidden="1"/>
    <cellStyle name="Lien hypertexte visité" xfId="20969" builtinId="9" hidden="1"/>
    <cellStyle name="Lien hypertexte visité" xfId="20971" builtinId="9" hidden="1"/>
    <cellStyle name="Lien hypertexte visité" xfId="20973" builtinId="9" hidden="1"/>
    <cellStyle name="Lien hypertexte visité" xfId="20975" builtinId="9" hidden="1"/>
    <cellStyle name="Lien hypertexte visité" xfId="20977" builtinId="9" hidden="1"/>
    <cellStyle name="Lien hypertexte visité" xfId="20979" builtinId="9" hidden="1"/>
    <cellStyle name="Lien hypertexte visité" xfId="20981" builtinId="9" hidden="1"/>
    <cellStyle name="Lien hypertexte visité" xfId="20983" builtinId="9" hidden="1"/>
    <cellStyle name="Lien hypertexte visité" xfId="20985" builtinId="9" hidden="1"/>
    <cellStyle name="Lien hypertexte visité" xfId="20987" builtinId="9" hidden="1"/>
    <cellStyle name="Lien hypertexte visité" xfId="20989" builtinId="9" hidden="1"/>
    <cellStyle name="Lien hypertexte visité" xfId="20991" builtinId="9" hidden="1"/>
    <cellStyle name="Lien hypertexte visité" xfId="20993" builtinId="9" hidden="1"/>
    <cellStyle name="Lien hypertexte visité" xfId="20995" builtinId="9" hidden="1"/>
    <cellStyle name="Lien hypertexte visité" xfId="20997" builtinId="9" hidden="1"/>
    <cellStyle name="Lien hypertexte visité" xfId="20999" builtinId="9" hidden="1"/>
    <cellStyle name="Lien hypertexte visité" xfId="21001" builtinId="9" hidden="1"/>
    <cellStyle name="Lien hypertexte visité" xfId="21003" builtinId="9" hidden="1"/>
    <cellStyle name="Lien hypertexte visité" xfId="21005" builtinId="9" hidden="1"/>
    <cellStyle name="Lien hypertexte visité" xfId="21007" builtinId="9" hidden="1"/>
    <cellStyle name="Lien hypertexte visité" xfId="21009" builtinId="9" hidden="1"/>
    <cellStyle name="Lien hypertexte visité" xfId="21011" builtinId="9" hidden="1"/>
    <cellStyle name="Lien hypertexte visité" xfId="21013" builtinId="9" hidden="1"/>
    <cellStyle name="Lien hypertexte visité" xfId="21015" builtinId="9" hidden="1"/>
    <cellStyle name="Lien hypertexte visité" xfId="21017" builtinId="9" hidden="1"/>
    <cellStyle name="Lien hypertexte visité" xfId="21019" builtinId="9" hidden="1"/>
    <cellStyle name="Lien hypertexte visité" xfId="21021" builtinId="9" hidden="1"/>
    <cellStyle name="Lien hypertexte visité" xfId="21023" builtinId="9" hidden="1"/>
    <cellStyle name="Lien hypertexte visité" xfId="21025" builtinId="9" hidden="1"/>
    <cellStyle name="Lien hypertexte visité" xfId="21027" builtinId="9" hidden="1"/>
    <cellStyle name="Lien hypertexte visité" xfId="21029" builtinId="9" hidden="1"/>
    <cellStyle name="Lien hypertexte visité" xfId="21031" builtinId="9" hidden="1"/>
    <cellStyle name="Lien hypertexte visité" xfId="21033" builtinId="9" hidden="1"/>
    <cellStyle name="Lien hypertexte visité" xfId="21035" builtinId="9" hidden="1"/>
    <cellStyle name="Lien hypertexte visité" xfId="21037" builtinId="9" hidden="1"/>
    <cellStyle name="Lien hypertexte visité" xfId="21039" builtinId="9" hidden="1"/>
    <cellStyle name="Lien hypertexte visité" xfId="21041" builtinId="9" hidden="1"/>
    <cellStyle name="Lien hypertexte visité" xfId="21043" builtinId="9" hidden="1"/>
    <cellStyle name="Lien hypertexte visité" xfId="21045" builtinId="9" hidden="1"/>
    <cellStyle name="Lien hypertexte visité" xfId="21047" builtinId="9" hidden="1"/>
    <cellStyle name="Lien hypertexte visité" xfId="21049" builtinId="9" hidden="1"/>
    <cellStyle name="Lien hypertexte visité" xfId="21051" builtinId="9" hidden="1"/>
    <cellStyle name="Lien hypertexte visité" xfId="21053" builtinId="9" hidden="1"/>
    <cellStyle name="Lien hypertexte visité" xfId="21055" builtinId="9" hidden="1"/>
    <cellStyle name="Lien hypertexte visité" xfId="21057" builtinId="9" hidden="1"/>
    <cellStyle name="Lien hypertexte visité" xfId="21059" builtinId="9" hidden="1"/>
    <cellStyle name="Lien hypertexte visité" xfId="21061" builtinId="9" hidden="1"/>
    <cellStyle name="Lien hypertexte visité" xfId="21063" builtinId="9" hidden="1"/>
    <cellStyle name="Lien hypertexte visité" xfId="21065" builtinId="9" hidden="1"/>
    <cellStyle name="Lien hypertexte visité" xfId="21067" builtinId="9" hidden="1"/>
    <cellStyle name="Lien hypertexte visité" xfId="21069" builtinId="9" hidden="1"/>
    <cellStyle name="Lien hypertexte visité" xfId="21071" builtinId="9" hidden="1"/>
    <cellStyle name="Lien hypertexte visité" xfId="21073" builtinId="9" hidden="1"/>
    <cellStyle name="Lien hypertexte visité" xfId="21075" builtinId="9" hidden="1"/>
    <cellStyle name="Lien hypertexte visité" xfId="21077" builtinId="9" hidden="1"/>
    <cellStyle name="Lien hypertexte visité" xfId="21079" builtinId="9" hidden="1"/>
    <cellStyle name="Lien hypertexte visité" xfId="21081" builtinId="9" hidden="1"/>
    <cellStyle name="Lien hypertexte visité" xfId="21083" builtinId="9" hidden="1"/>
    <cellStyle name="Lien hypertexte visité" xfId="21085" builtinId="9" hidden="1"/>
    <cellStyle name="Lien hypertexte visité" xfId="21087" builtinId="9" hidden="1"/>
    <cellStyle name="Lien hypertexte visité" xfId="21089" builtinId="9" hidden="1"/>
    <cellStyle name="Lien hypertexte visité" xfId="21091" builtinId="9" hidden="1"/>
    <cellStyle name="Lien hypertexte visité" xfId="21093" builtinId="9" hidden="1"/>
    <cellStyle name="Lien hypertexte visité" xfId="21095" builtinId="9" hidden="1"/>
    <cellStyle name="Lien hypertexte visité" xfId="21097" builtinId="9" hidden="1"/>
    <cellStyle name="Lien hypertexte visité" xfId="21099" builtinId="9" hidden="1"/>
    <cellStyle name="Lien hypertexte visité" xfId="21101" builtinId="9" hidden="1"/>
    <cellStyle name="Lien hypertexte visité" xfId="21103" builtinId="9" hidden="1"/>
    <cellStyle name="Lien hypertexte visité" xfId="21105" builtinId="9" hidden="1"/>
    <cellStyle name="Lien hypertexte visité" xfId="21107" builtinId="9" hidden="1"/>
    <cellStyle name="Lien hypertexte visité" xfId="21109" builtinId="9" hidden="1"/>
    <cellStyle name="Lien hypertexte visité" xfId="21111" builtinId="9" hidden="1"/>
    <cellStyle name="Lien hypertexte visité" xfId="21113" builtinId="9" hidden="1"/>
    <cellStyle name="Lien hypertexte visité" xfId="21115" builtinId="9" hidden="1"/>
    <cellStyle name="Lien hypertexte visité" xfId="21117" builtinId="9" hidden="1"/>
    <cellStyle name="Lien hypertexte visité" xfId="21119" builtinId="9" hidden="1"/>
    <cellStyle name="Lien hypertexte visité" xfId="21121" builtinId="9" hidden="1"/>
    <cellStyle name="Lien hypertexte visité" xfId="21123" builtinId="9" hidden="1"/>
    <cellStyle name="Lien hypertexte visité" xfId="21125" builtinId="9" hidden="1"/>
    <cellStyle name="Lien hypertexte visité" xfId="21127" builtinId="9" hidden="1"/>
    <cellStyle name="Lien hypertexte visité" xfId="21129" builtinId="9" hidden="1"/>
    <cellStyle name="Lien hypertexte visité" xfId="21131" builtinId="9" hidden="1"/>
    <cellStyle name="Lien hypertexte visité" xfId="21133" builtinId="9" hidden="1"/>
    <cellStyle name="Lien hypertexte visité" xfId="21135" builtinId="9" hidden="1"/>
    <cellStyle name="Lien hypertexte visité" xfId="21137" builtinId="9" hidden="1"/>
    <cellStyle name="Lien hypertexte visité" xfId="21139" builtinId="9" hidden="1"/>
    <cellStyle name="Lien hypertexte visité" xfId="21141" builtinId="9" hidden="1"/>
    <cellStyle name="Lien hypertexte visité" xfId="21143" builtinId="9" hidden="1"/>
    <cellStyle name="Lien hypertexte visité" xfId="21145" builtinId="9" hidden="1"/>
    <cellStyle name="Lien hypertexte visité" xfId="21147" builtinId="9" hidden="1"/>
    <cellStyle name="Lien hypertexte visité" xfId="21149" builtinId="9" hidden="1"/>
    <cellStyle name="Lien hypertexte visité" xfId="21151" builtinId="9" hidden="1"/>
    <cellStyle name="Lien hypertexte visité" xfId="21153" builtinId="9" hidden="1"/>
    <cellStyle name="Lien hypertexte visité" xfId="21155" builtinId="9" hidden="1"/>
    <cellStyle name="Lien hypertexte visité" xfId="21157" builtinId="9" hidden="1"/>
    <cellStyle name="Lien hypertexte visité" xfId="21159" builtinId="9" hidden="1"/>
    <cellStyle name="Lien hypertexte visité" xfId="21161" builtinId="9" hidden="1"/>
    <cellStyle name="Lien hypertexte visité" xfId="21163" builtinId="9" hidden="1"/>
    <cellStyle name="Lien hypertexte visité" xfId="21165" builtinId="9" hidden="1"/>
    <cellStyle name="Lien hypertexte visité" xfId="21167" builtinId="9" hidden="1"/>
    <cellStyle name="Lien hypertexte visité" xfId="21169" builtinId="9" hidden="1"/>
    <cellStyle name="Lien hypertexte visité" xfId="21171" builtinId="9" hidden="1"/>
    <cellStyle name="Lien hypertexte visité" xfId="21173" builtinId="9" hidden="1"/>
    <cellStyle name="Lien hypertexte visité" xfId="21175" builtinId="9" hidden="1"/>
    <cellStyle name="Lien hypertexte visité" xfId="21177" builtinId="9" hidden="1"/>
    <cellStyle name="Lien hypertexte visité" xfId="21179" builtinId="9" hidden="1"/>
    <cellStyle name="Lien hypertexte visité" xfId="21181" builtinId="9" hidden="1"/>
    <cellStyle name="Lien hypertexte visité" xfId="21183" builtinId="9" hidden="1"/>
    <cellStyle name="Lien hypertexte visité" xfId="21185" builtinId="9" hidden="1"/>
    <cellStyle name="Lien hypertexte visité" xfId="21187" builtinId="9" hidden="1"/>
    <cellStyle name="Lien hypertexte visité" xfId="21189" builtinId="9" hidden="1"/>
    <cellStyle name="Lien hypertexte visité" xfId="21191" builtinId="9" hidden="1"/>
    <cellStyle name="Lien hypertexte visité" xfId="21193" builtinId="9" hidden="1"/>
    <cellStyle name="Lien hypertexte visité" xfId="21195" builtinId="9" hidden="1"/>
    <cellStyle name="Lien hypertexte visité" xfId="21197" builtinId="9" hidden="1"/>
    <cellStyle name="Lien hypertexte visité" xfId="21199" builtinId="9" hidden="1"/>
    <cellStyle name="Lien hypertexte visité" xfId="21201" builtinId="9" hidden="1"/>
    <cellStyle name="Lien hypertexte visité" xfId="21203" builtinId="9" hidden="1"/>
    <cellStyle name="Lien hypertexte visité" xfId="21205" builtinId="9" hidden="1"/>
    <cellStyle name="Lien hypertexte visité" xfId="21207" builtinId="9" hidden="1"/>
    <cellStyle name="Lien hypertexte visité" xfId="21209" builtinId="9" hidden="1"/>
    <cellStyle name="Lien hypertexte visité" xfId="21211" builtinId="9" hidden="1"/>
    <cellStyle name="Lien hypertexte visité" xfId="21213" builtinId="9" hidden="1"/>
    <cellStyle name="Lien hypertexte visité" xfId="21215" builtinId="9" hidden="1"/>
    <cellStyle name="Lien hypertexte visité" xfId="21217" builtinId="9" hidden="1"/>
    <cellStyle name="Lien hypertexte visité" xfId="21219" builtinId="9" hidden="1"/>
    <cellStyle name="Lien hypertexte visité" xfId="21221" builtinId="9" hidden="1"/>
    <cellStyle name="Lien hypertexte visité" xfId="21223" builtinId="9" hidden="1"/>
    <cellStyle name="Lien hypertexte visité" xfId="21225" builtinId="9" hidden="1"/>
    <cellStyle name="Lien hypertexte visité" xfId="21227" builtinId="9" hidden="1"/>
    <cellStyle name="Lien hypertexte visité" xfId="21229" builtinId="9" hidden="1"/>
    <cellStyle name="Lien hypertexte visité" xfId="21231" builtinId="9" hidden="1"/>
    <cellStyle name="Lien hypertexte visité" xfId="21233" builtinId="9" hidden="1"/>
    <cellStyle name="Lien hypertexte visité" xfId="21235" builtinId="9" hidden="1"/>
    <cellStyle name="Lien hypertexte visité" xfId="21237" builtinId="9" hidden="1"/>
    <cellStyle name="Lien hypertexte visité" xfId="21239" builtinId="9" hidden="1"/>
    <cellStyle name="Lien hypertexte visité" xfId="21241" builtinId="9" hidden="1"/>
    <cellStyle name="Lien hypertexte visité" xfId="21243" builtinId="9" hidden="1"/>
    <cellStyle name="Lien hypertexte visité" xfId="21245" builtinId="9" hidden="1"/>
    <cellStyle name="Lien hypertexte visité" xfId="21247" builtinId="9" hidden="1"/>
    <cellStyle name="Lien hypertexte visité" xfId="21249" builtinId="9" hidden="1"/>
    <cellStyle name="Lien hypertexte visité" xfId="21251" builtinId="9" hidden="1"/>
    <cellStyle name="Lien hypertexte visité" xfId="21253" builtinId="9" hidden="1"/>
    <cellStyle name="Lien hypertexte visité" xfId="21255" builtinId="9" hidden="1"/>
    <cellStyle name="Lien hypertexte visité" xfId="21257" builtinId="9" hidden="1"/>
    <cellStyle name="Lien hypertexte visité" xfId="21259" builtinId="9" hidden="1"/>
    <cellStyle name="Lien hypertexte visité" xfId="21261" builtinId="9" hidden="1"/>
    <cellStyle name="Lien hypertexte visité" xfId="21263" builtinId="9" hidden="1"/>
    <cellStyle name="Lien hypertexte visité" xfId="21265" builtinId="9" hidden="1"/>
    <cellStyle name="Lien hypertexte visité" xfId="21267" builtinId="9" hidden="1"/>
    <cellStyle name="Lien hypertexte visité" xfId="21269" builtinId="9" hidden="1"/>
    <cellStyle name="Lien hypertexte visité" xfId="21271" builtinId="9" hidden="1"/>
    <cellStyle name="Lien hypertexte visité" xfId="21273" builtinId="9" hidden="1"/>
    <cellStyle name="Lien hypertexte visité" xfId="21275" builtinId="9" hidden="1"/>
    <cellStyle name="Lien hypertexte visité" xfId="21277" builtinId="9" hidden="1"/>
    <cellStyle name="Lien hypertexte visité" xfId="21279" builtinId="9" hidden="1"/>
    <cellStyle name="Lien hypertexte visité" xfId="21281" builtinId="9" hidden="1"/>
    <cellStyle name="Lien hypertexte visité" xfId="21283" builtinId="9" hidden="1"/>
    <cellStyle name="Lien hypertexte visité" xfId="21285" builtinId="9" hidden="1"/>
    <cellStyle name="Lien hypertexte visité" xfId="21287" builtinId="9" hidden="1"/>
    <cellStyle name="Lien hypertexte visité" xfId="21289" builtinId="9" hidden="1"/>
    <cellStyle name="Lien hypertexte visité" xfId="21291" builtinId="9" hidden="1"/>
    <cellStyle name="Lien hypertexte visité" xfId="21293" builtinId="9" hidden="1"/>
    <cellStyle name="Lien hypertexte visité" xfId="21295" builtinId="9" hidden="1"/>
    <cellStyle name="Lien hypertexte visité" xfId="21297" builtinId="9" hidden="1"/>
    <cellStyle name="Lien hypertexte visité" xfId="21299" builtinId="9" hidden="1"/>
    <cellStyle name="Lien hypertexte visité" xfId="21301" builtinId="9" hidden="1"/>
    <cellStyle name="Lien hypertexte visité" xfId="21303" builtinId="9" hidden="1"/>
    <cellStyle name="Lien hypertexte visité" xfId="21305" builtinId="9" hidden="1"/>
    <cellStyle name="Lien hypertexte visité" xfId="21307" builtinId="9" hidden="1"/>
    <cellStyle name="Lien hypertexte visité" xfId="21309" builtinId="9" hidden="1"/>
    <cellStyle name="Lien hypertexte visité" xfId="21311" builtinId="9" hidden="1"/>
    <cellStyle name="Lien hypertexte visité" xfId="21313" builtinId="9" hidden="1"/>
    <cellStyle name="Lien hypertexte visité" xfId="21315" builtinId="9" hidden="1"/>
    <cellStyle name="Lien hypertexte visité" xfId="21317" builtinId="9" hidden="1"/>
    <cellStyle name="Lien hypertexte visité" xfId="21319" builtinId="9" hidden="1"/>
    <cellStyle name="Lien hypertexte visité" xfId="21321" builtinId="9" hidden="1"/>
    <cellStyle name="Lien hypertexte visité" xfId="21323" builtinId="9" hidden="1"/>
    <cellStyle name="Lien hypertexte visité" xfId="21325" builtinId="9" hidden="1"/>
    <cellStyle name="Lien hypertexte visité" xfId="21327" builtinId="9" hidden="1"/>
    <cellStyle name="Lien hypertexte visité" xfId="21329" builtinId="9" hidden="1"/>
    <cellStyle name="Lien hypertexte visité" xfId="21331" builtinId="9" hidden="1"/>
    <cellStyle name="Lien hypertexte visité" xfId="21333" builtinId="9" hidden="1"/>
    <cellStyle name="Lien hypertexte visité" xfId="21335" builtinId="9" hidden="1"/>
    <cellStyle name="Lien hypertexte visité" xfId="21337" builtinId="9" hidden="1"/>
    <cellStyle name="Lien hypertexte visité" xfId="21339" builtinId="9" hidden="1"/>
    <cellStyle name="Lien hypertexte visité" xfId="21341" builtinId="9" hidden="1"/>
    <cellStyle name="Lien hypertexte visité" xfId="21343" builtinId="9" hidden="1"/>
    <cellStyle name="Lien hypertexte visité" xfId="21345" builtinId="9" hidden="1"/>
    <cellStyle name="Lien hypertexte visité" xfId="21347" builtinId="9" hidden="1"/>
    <cellStyle name="Lien hypertexte visité" xfId="21349" builtinId="9" hidden="1"/>
    <cellStyle name="Lien hypertexte visité" xfId="21351" builtinId="9" hidden="1"/>
    <cellStyle name="Lien hypertexte visité" xfId="21353" builtinId="9" hidden="1"/>
    <cellStyle name="Lien hypertexte visité" xfId="21355" builtinId="9" hidden="1"/>
    <cellStyle name="Lien hypertexte visité" xfId="21357" builtinId="9" hidden="1"/>
    <cellStyle name="Lien hypertexte visité" xfId="21359" builtinId="9" hidden="1"/>
    <cellStyle name="Lien hypertexte visité" xfId="21361" builtinId="9" hidden="1"/>
    <cellStyle name="Lien hypertexte visité" xfId="21363" builtinId="9" hidden="1"/>
    <cellStyle name="Lien hypertexte visité" xfId="21365" builtinId="9" hidden="1"/>
    <cellStyle name="Lien hypertexte visité" xfId="21367" builtinId="9" hidden="1"/>
    <cellStyle name="Lien hypertexte visité" xfId="21369" builtinId="9" hidden="1"/>
    <cellStyle name="Lien hypertexte visité" xfId="21371" builtinId="9" hidden="1"/>
    <cellStyle name="Lien hypertexte visité" xfId="21373" builtinId="9" hidden="1"/>
    <cellStyle name="Lien hypertexte visité" xfId="21375" builtinId="9" hidden="1"/>
    <cellStyle name="Lien hypertexte visité" xfId="21377" builtinId="9" hidden="1"/>
    <cellStyle name="Lien hypertexte visité" xfId="21379" builtinId="9" hidden="1"/>
    <cellStyle name="Lien hypertexte visité" xfId="21381" builtinId="9" hidden="1"/>
    <cellStyle name="Lien hypertexte visité" xfId="21383" builtinId="9" hidden="1"/>
    <cellStyle name="Lien hypertexte visité" xfId="21385" builtinId="9" hidden="1"/>
    <cellStyle name="Lien hypertexte visité" xfId="21387" builtinId="9" hidden="1"/>
    <cellStyle name="Lien hypertexte visité" xfId="21389" builtinId="9" hidden="1"/>
    <cellStyle name="Lien hypertexte visité" xfId="21391" builtinId="9" hidden="1"/>
    <cellStyle name="Lien hypertexte visité" xfId="21393" builtinId="9" hidden="1"/>
    <cellStyle name="Lien hypertexte visité" xfId="21395" builtinId="9" hidden="1"/>
    <cellStyle name="Lien hypertexte visité" xfId="21397" builtinId="9" hidden="1"/>
    <cellStyle name="Lien hypertexte visité" xfId="21399" builtinId="9" hidden="1"/>
    <cellStyle name="Lien hypertexte visité" xfId="21401" builtinId="9" hidden="1"/>
    <cellStyle name="Lien hypertexte visité" xfId="21403" builtinId="9" hidden="1"/>
    <cellStyle name="Lien hypertexte visité" xfId="21405" builtinId="9" hidden="1"/>
    <cellStyle name="Lien hypertexte visité" xfId="21407" builtinId="9" hidden="1"/>
    <cellStyle name="Lien hypertexte visité" xfId="21409" builtinId="9" hidden="1"/>
    <cellStyle name="Lien hypertexte visité" xfId="21411" builtinId="9" hidden="1"/>
    <cellStyle name="Lien hypertexte visité" xfId="21413" builtinId="9" hidden="1"/>
    <cellStyle name="Lien hypertexte visité" xfId="21415" builtinId="9" hidden="1"/>
    <cellStyle name="Lien hypertexte visité" xfId="21417" builtinId="9" hidden="1"/>
    <cellStyle name="Lien hypertexte visité" xfId="21419" builtinId="9" hidden="1"/>
    <cellStyle name="Lien hypertexte visité" xfId="21421" builtinId="9" hidden="1"/>
    <cellStyle name="Lien hypertexte visité" xfId="21423" builtinId="9" hidden="1"/>
    <cellStyle name="Lien hypertexte visité" xfId="21425" builtinId="9" hidden="1"/>
    <cellStyle name="Lien hypertexte visité" xfId="21427" builtinId="9" hidden="1"/>
    <cellStyle name="Lien hypertexte visité" xfId="21429" builtinId="9" hidden="1"/>
    <cellStyle name="Lien hypertexte visité" xfId="21431" builtinId="9" hidden="1"/>
    <cellStyle name="Lien hypertexte visité" xfId="21433" builtinId="9" hidden="1"/>
    <cellStyle name="Lien hypertexte visité" xfId="21435" builtinId="9" hidden="1"/>
    <cellStyle name="Lien hypertexte visité" xfId="21437" builtinId="9" hidden="1"/>
    <cellStyle name="Lien hypertexte visité" xfId="21439" builtinId="9" hidden="1"/>
    <cellStyle name="Lien hypertexte visité" xfId="21441" builtinId="9" hidden="1"/>
    <cellStyle name="Lien hypertexte visité" xfId="21443" builtinId="9" hidden="1"/>
    <cellStyle name="Lien hypertexte visité" xfId="21445" builtinId="9" hidden="1"/>
    <cellStyle name="Lien hypertexte visité" xfId="21447" builtinId="9" hidden="1"/>
    <cellStyle name="Lien hypertexte visité" xfId="21449" builtinId="9" hidden="1"/>
    <cellStyle name="Lien hypertexte visité" xfId="21451" builtinId="9" hidden="1"/>
    <cellStyle name="Lien hypertexte visité" xfId="21453" builtinId="9" hidden="1"/>
    <cellStyle name="Lien hypertexte visité" xfId="21455" builtinId="9" hidden="1"/>
    <cellStyle name="Lien hypertexte visité" xfId="21457" builtinId="9" hidden="1"/>
    <cellStyle name="Lien hypertexte visité" xfId="21459" builtinId="9" hidden="1"/>
    <cellStyle name="Lien hypertexte visité" xfId="21461" builtinId="9" hidden="1"/>
    <cellStyle name="Lien hypertexte visité" xfId="21463" builtinId="9" hidden="1"/>
    <cellStyle name="Lien hypertexte visité" xfId="21465" builtinId="9" hidden="1"/>
    <cellStyle name="Lien hypertexte visité" xfId="21467" builtinId="9" hidden="1"/>
    <cellStyle name="Lien hypertexte visité" xfId="21469" builtinId="9" hidden="1"/>
    <cellStyle name="Lien hypertexte visité" xfId="21471" builtinId="9" hidden="1"/>
    <cellStyle name="Lien hypertexte visité" xfId="21473" builtinId="9" hidden="1"/>
    <cellStyle name="Lien hypertexte visité" xfId="21475" builtinId="9" hidden="1"/>
    <cellStyle name="Lien hypertexte visité" xfId="21477" builtinId="9" hidden="1"/>
    <cellStyle name="Lien hypertexte visité" xfId="21479" builtinId="9" hidden="1"/>
    <cellStyle name="Lien hypertexte visité" xfId="21481" builtinId="9" hidden="1"/>
    <cellStyle name="Lien hypertexte visité" xfId="21483" builtinId="9" hidden="1"/>
    <cellStyle name="Lien hypertexte visité" xfId="21485" builtinId="9" hidden="1"/>
    <cellStyle name="Lien hypertexte visité" xfId="21487" builtinId="9" hidden="1"/>
    <cellStyle name="Lien hypertexte visité" xfId="21489" builtinId="9" hidden="1"/>
    <cellStyle name="Lien hypertexte visité" xfId="21491" builtinId="9" hidden="1"/>
    <cellStyle name="Lien hypertexte visité" xfId="21493" builtinId="9" hidden="1"/>
    <cellStyle name="Lien hypertexte visité" xfId="21495" builtinId="9" hidden="1"/>
    <cellStyle name="Lien hypertexte visité" xfId="21497" builtinId="9" hidden="1"/>
    <cellStyle name="Lien hypertexte visité" xfId="21499" builtinId="9" hidden="1"/>
    <cellStyle name="Lien hypertexte visité" xfId="21501" builtinId="9" hidden="1"/>
    <cellStyle name="Lien hypertexte visité" xfId="21503" builtinId="9" hidden="1"/>
    <cellStyle name="Lien hypertexte visité" xfId="21505" builtinId="9" hidden="1"/>
    <cellStyle name="Lien hypertexte visité" xfId="21507" builtinId="9" hidden="1"/>
    <cellStyle name="Lien hypertexte visité" xfId="21509" builtinId="9" hidden="1"/>
    <cellStyle name="Lien hypertexte visité" xfId="21511" builtinId="9" hidden="1"/>
    <cellStyle name="Lien hypertexte visité" xfId="21513" builtinId="9" hidden="1"/>
    <cellStyle name="Lien hypertexte visité" xfId="21515" builtinId="9" hidden="1"/>
    <cellStyle name="Lien hypertexte visité" xfId="21517" builtinId="9" hidden="1"/>
    <cellStyle name="Lien hypertexte visité" xfId="21519" builtinId="9" hidden="1"/>
    <cellStyle name="Lien hypertexte visité" xfId="21521" builtinId="9" hidden="1"/>
    <cellStyle name="Lien hypertexte visité" xfId="21523" builtinId="9" hidden="1"/>
    <cellStyle name="Lien hypertexte visité" xfId="21525" builtinId="9" hidden="1"/>
    <cellStyle name="Lien hypertexte visité" xfId="21527" builtinId="9" hidden="1"/>
    <cellStyle name="Lien hypertexte visité" xfId="21529" builtinId="9" hidden="1"/>
    <cellStyle name="Lien hypertexte visité" xfId="21531" builtinId="9" hidden="1"/>
    <cellStyle name="Lien hypertexte visité" xfId="21533" builtinId="9" hidden="1"/>
    <cellStyle name="Lien hypertexte visité" xfId="21535" builtinId="9" hidden="1"/>
    <cellStyle name="Lien hypertexte visité" xfId="21537" builtinId="9" hidden="1"/>
    <cellStyle name="Lien hypertexte visité" xfId="21539" builtinId="9" hidden="1"/>
    <cellStyle name="Lien hypertexte visité" xfId="21541" builtinId="9" hidden="1"/>
    <cellStyle name="Lien hypertexte visité" xfId="21543" builtinId="9" hidden="1"/>
    <cellStyle name="Lien hypertexte visité" xfId="21545" builtinId="9" hidden="1"/>
    <cellStyle name="Lien hypertexte visité" xfId="21547" builtinId="9" hidden="1"/>
    <cellStyle name="Lien hypertexte visité" xfId="21549" builtinId="9" hidden="1"/>
    <cellStyle name="Lien hypertexte visité" xfId="21551" builtinId="9" hidden="1"/>
    <cellStyle name="Lien hypertexte visité" xfId="21553" builtinId="9" hidden="1"/>
    <cellStyle name="Lien hypertexte visité" xfId="21555" builtinId="9" hidden="1"/>
    <cellStyle name="Lien hypertexte visité" xfId="21557" builtinId="9" hidden="1"/>
    <cellStyle name="Lien hypertexte visité" xfId="21559" builtinId="9" hidden="1"/>
    <cellStyle name="Lien hypertexte visité" xfId="21561" builtinId="9" hidden="1"/>
    <cellStyle name="Lien hypertexte visité" xfId="21563" builtinId="9" hidden="1"/>
    <cellStyle name="Lien hypertexte visité" xfId="21565" builtinId="9" hidden="1"/>
    <cellStyle name="Lien hypertexte visité" xfId="21567" builtinId="9" hidden="1"/>
    <cellStyle name="Lien hypertexte visité" xfId="21569" builtinId="9" hidden="1"/>
    <cellStyle name="Lien hypertexte visité" xfId="21571" builtinId="9" hidden="1"/>
    <cellStyle name="Lien hypertexte visité" xfId="21573" builtinId="9" hidden="1"/>
    <cellStyle name="Lien hypertexte visité" xfId="21575" builtinId="9" hidden="1"/>
    <cellStyle name="Lien hypertexte visité" xfId="21577" builtinId="9" hidden="1"/>
    <cellStyle name="Lien hypertexte visité" xfId="21579" builtinId="9" hidden="1"/>
    <cellStyle name="Lien hypertexte visité" xfId="21581" builtinId="9" hidden="1"/>
    <cellStyle name="Lien hypertexte visité" xfId="21583" builtinId="9" hidden="1"/>
    <cellStyle name="Lien hypertexte visité" xfId="21585" builtinId="9" hidden="1"/>
    <cellStyle name="Lien hypertexte visité" xfId="21587" builtinId="9" hidden="1"/>
    <cellStyle name="Lien hypertexte visité" xfId="21589" builtinId="9" hidden="1"/>
    <cellStyle name="Lien hypertexte visité" xfId="21591" builtinId="9" hidden="1"/>
    <cellStyle name="Lien hypertexte visité" xfId="21593" builtinId="9" hidden="1"/>
    <cellStyle name="Lien hypertexte visité" xfId="21595" builtinId="9" hidden="1"/>
    <cellStyle name="Lien hypertexte visité" xfId="21597" builtinId="9" hidden="1"/>
    <cellStyle name="Lien hypertexte visité" xfId="21599" builtinId="9" hidden="1"/>
    <cellStyle name="Lien hypertexte visité" xfId="21601" builtinId="9" hidden="1"/>
    <cellStyle name="Lien hypertexte visité" xfId="21603" builtinId="9" hidden="1"/>
    <cellStyle name="Lien hypertexte visité" xfId="21605" builtinId="9" hidden="1"/>
    <cellStyle name="Lien hypertexte visité" xfId="21607" builtinId="9" hidden="1"/>
    <cellStyle name="Lien hypertexte visité" xfId="21609" builtinId="9" hidden="1"/>
    <cellStyle name="Lien hypertexte visité" xfId="21611" builtinId="9" hidden="1"/>
    <cellStyle name="Lien hypertexte visité" xfId="21613" builtinId="9" hidden="1"/>
    <cellStyle name="Lien hypertexte visité" xfId="21615" builtinId="9" hidden="1"/>
    <cellStyle name="Lien hypertexte visité" xfId="21617" builtinId="9" hidden="1"/>
    <cellStyle name="Lien hypertexte visité" xfId="21619" builtinId="9" hidden="1"/>
    <cellStyle name="Lien hypertexte visité" xfId="21621" builtinId="9" hidden="1"/>
    <cellStyle name="Lien hypertexte visité" xfId="21623" builtinId="9" hidden="1"/>
    <cellStyle name="Lien hypertexte visité" xfId="21625" builtinId="9" hidden="1"/>
    <cellStyle name="Lien hypertexte visité" xfId="21627" builtinId="9" hidden="1"/>
    <cellStyle name="Lien hypertexte visité" xfId="21629" builtinId="9" hidden="1"/>
    <cellStyle name="Lien hypertexte visité" xfId="21631" builtinId="9" hidden="1"/>
    <cellStyle name="Lien hypertexte visité" xfId="21633" builtinId="9" hidden="1"/>
    <cellStyle name="Lien hypertexte visité" xfId="21635" builtinId="9" hidden="1"/>
    <cellStyle name="Lien hypertexte visité" xfId="21637" builtinId="9" hidden="1"/>
    <cellStyle name="Lien hypertexte visité" xfId="21639" builtinId="9" hidden="1"/>
    <cellStyle name="Lien hypertexte visité" xfId="21641" builtinId="9" hidden="1"/>
    <cellStyle name="Lien hypertexte visité" xfId="21643" builtinId="9" hidden="1"/>
    <cellStyle name="Lien hypertexte visité" xfId="21645" builtinId="9" hidden="1"/>
    <cellStyle name="Lien hypertexte visité" xfId="21647" builtinId="9" hidden="1"/>
    <cellStyle name="Lien hypertexte visité" xfId="21649" builtinId="9" hidden="1"/>
    <cellStyle name="Lien hypertexte visité" xfId="21651" builtinId="9" hidden="1"/>
    <cellStyle name="Lien hypertexte visité" xfId="21653" builtinId="9" hidden="1"/>
    <cellStyle name="Lien hypertexte visité" xfId="21655" builtinId="9" hidden="1"/>
    <cellStyle name="Lien hypertexte visité" xfId="21657" builtinId="9" hidden="1"/>
    <cellStyle name="Lien hypertexte visité" xfId="21659" builtinId="9" hidden="1"/>
    <cellStyle name="Lien hypertexte visité" xfId="21661" builtinId="9" hidden="1"/>
    <cellStyle name="Lien hypertexte visité" xfId="21663" builtinId="9" hidden="1"/>
    <cellStyle name="Lien hypertexte visité" xfId="21665" builtinId="9" hidden="1"/>
    <cellStyle name="Lien hypertexte visité" xfId="21667" builtinId="9" hidden="1"/>
    <cellStyle name="Lien hypertexte visité" xfId="21669" builtinId="9" hidden="1"/>
    <cellStyle name="Lien hypertexte visité" xfId="21671" builtinId="9" hidden="1"/>
    <cellStyle name="Lien hypertexte visité" xfId="21673" builtinId="9" hidden="1"/>
    <cellStyle name="Lien hypertexte visité" xfId="21675" builtinId="9" hidden="1"/>
    <cellStyle name="Lien hypertexte visité" xfId="21677" builtinId="9" hidden="1"/>
    <cellStyle name="Lien hypertexte visité" xfId="21679" builtinId="9" hidden="1"/>
    <cellStyle name="Lien hypertexte visité" xfId="21681" builtinId="9" hidden="1"/>
    <cellStyle name="Lien hypertexte visité" xfId="21683" builtinId="9" hidden="1"/>
    <cellStyle name="Lien hypertexte visité" xfId="21685" builtinId="9" hidden="1"/>
    <cellStyle name="Lien hypertexte visité" xfId="21687" builtinId="9" hidden="1"/>
    <cellStyle name="Lien hypertexte visité" xfId="21689" builtinId="9" hidden="1"/>
    <cellStyle name="Lien hypertexte visité" xfId="21691" builtinId="9" hidden="1"/>
    <cellStyle name="Lien hypertexte visité" xfId="21693" builtinId="9" hidden="1"/>
    <cellStyle name="Lien hypertexte visité" xfId="21695" builtinId="9" hidden="1"/>
    <cellStyle name="Lien hypertexte visité" xfId="21697" builtinId="9" hidden="1"/>
    <cellStyle name="Lien hypertexte visité" xfId="21699" builtinId="9" hidden="1"/>
    <cellStyle name="Lien hypertexte visité" xfId="21701" builtinId="9" hidden="1"/>
    <cellStyle name="Lien hypertexte visité" xfId="21703" builtinId="9" hidden="1"/>
    <cellStyle name="Lien hypertexte visité" xfId="21705" builtinId="9" hidden="1"/>
    <cellStyle name="Lien hypertexte visité" xfId="21707" builtinId="9" hidden="1"/>
    <cellStyle name="Lien hypertexte visité" xfId="21709" builtinId="9" hidden="1"/>
    <cellStyle name="Lien hypertexte visité" xfId="21711" builtinId="9" hidden="1"/>
    <cellStyle name="Lien hypertexte visité" xfId="21713" builtinId="9" hidden="1"/>
    <cellStyle name="Lien hypertexte visité" xfId="21715" builtinId="9" hidden="1"/>
    <cellStyle name="Lien hypertexte visité" xfId="21717" builtinId="9" hidden="1"/>
    <cellStyle name="Lien hypertexte visité" xfId="21719" builtinId="9" hidden="1"/>
    <cellStyle name="Lien hypertexte visité" xfId="21721" builtinId="9" hidden="1"/>
    <cellStyle name="Lien hypertexte visité" xfId="21723" builtinId="9" hidden="1"/>
    <cellStyle name="Lien hypertexte visité" xfId="21725" builtinId="9" hidden="1"/>
    <cellStyle name="Lien hypertexte visité" xfId="21727" builtinId="9" hidden="1"/>
    <cellStyle name="Lien hypertexte visité" xfId="21729" builtinId="9" hidden="1"/>
    <cellStyle name="Lien hypertexte visité" xfId="21731" builtinId="9" hidden="1"/>
    <cellStyle name="Lien hypertexte visité" xfId="21733" builtinId="9" hidden="1"/>
    <cellStyle name="Lien hypertexte visité" xfId="21735" builtinId="9" hidden="1"/>
    <cellStyle name="Lien hypertexte visité" xfId="21737" builtinId="9" hidden="1"/>
    <cellStyle name="Lien hypertexte visité" xfId="21739" builtinId="9" hidden="1"/>
    <cellStyle name="Lien hypertexte visité" xfId="21741" builtinId="9" hidden="1"/>
    <cellStyle name="Lien hypertexte visité" xfId="21743" builtinId="9" hidden="1"/>
    <cellStyle name="Lien hypertexte visité" xfId="21745" builtinId="9" hidden="1"/>
    <cellStyle name="Lien hypertexte visité" xfId="21747" builtinId="9" hidden="1"/>
    <cellStyle name="Lien hypertexte visité" xfId="21749" builtinId="9" hidden="1"/>
    <cellStyle name="Lien hypertexte visité" xfId="21751" builtinId="9" hidden="1"/>
    <cellStyle name="Lien hypertexte visité" xfId="21753" builtinId="9" hidden="1"/>
    <cellStyle name="Lien hypertexte visité" xfId="21755" builtinId="9" hidden="1"/>
    <cellStyle name="Lien hypertexte visité" xfId="21757" builtinId="9" hidden="1"/>
    <cellStyle name="Lien hypertexte visité" xfId="21759" builtinId="9" hidden="1"/>
    <cellStyle name="Lien hypertexte visité" xfId="21761" builtinId="9" hidden="1"/>
    <cellStyle name="Lien hypertexte visité" xfId="21763" builtinId="9" hidden="1"/>
    <cellStyle name="Lien hypertexte visité" xfId="21765" builtinId="9" hidden="1"/>
    <cellStyle name="Lien hypertexte visité" xfId="21767" builtinId="9" hidden="1"/>
    <cellStyle name="Lien hypertexte visité" xfId="21769" builtinId="9" hidden="1"/>
    <cellStyle name="Lien hypertexte visité" xfId="21771" builtinId="9" hidden="1"/>
    <cellStyle name="Lien hypertexte visité" xfId="21773" builtinId="9" hidden="1"/>
    <cellStyle name="Lien hypertexte visité" xfId="21775" builtinId="9" hidden="1"/>
    <cellStyle name="Lien hypertexte visité" xfId="21777" builtinId="9" hidden="1"/>
    <cellStyle name="Lien hypertexte visité" xfId="21779" builtinId="9" hidden="1"/>
    <cellStyle name="Lien hypertexte visité" xfId="21781" builtinId="9" hidden="1"/>
    <cellStyle name="Lien hypertexte visité" xfId="21783" builtinId="9" hidden="1"/>
    <cellStyle name="Lien hypertexte visité" xfId="21785" builtinId="9" hidden="1"/>
    <cellStyle name="Lien hypertexte visité" xfId="21787" builtinId="9" hidden="1"/>
    <cellStyle name="Lien hypertexte visité" xfId="21789" builtinId="9" hidden="1"/>
    <cellStyle name="Lien hypertexte visité" xfId="21791" builtinId="9" hidden="1"/>
    <cellStyle name="Lien hypertexte visité" xfId="21793" builtinId="9" hidden="1"/>
    <cellStyle name="Lien hypertexte visité" xfId="21795" builtinId="9" hidden="1"/>
    <cellStyle name="Lien hypertexte visité" xfId="21797" builtinId="9" hidden="1"/>
    <cellStyle name="Lien hypertexte visité" xfId="21799" builtinId="9" hidden="1"/>
    <cellStyle name="Lien hypertexte visité" xfId="21801" builtinId="9" hidden="1"/>
    <cellStyle name="Lien hypertexte visité" xfId="21803" builtinId="9" hidden="1"/>
    <cellStyle name="Lien hypertexte visité" xfId="21805" builtinId="9" hidden="1"/>
    <cellStyle name="Lien hypertexte visité" xfId="21807" builtinId="9" hidden="1"/>
    <cellStyle name="Lien hypertexte visité" xfId="21809" builtinId="9" hidden="1"/>
    <cellStyle name="Lien hypertexte visité" xfId="21811" builtinId="9" hidden="1"/>
    <cellStyle name="Lien hypertexte visité" xfId="21813" builtinId="9" hidden="1"/>
    <cellStyle name="Lien hypertexte visité" xfId="21815" builtinId="9" hidden="1"/>
    <cellStyle name="Lien hypertexte visité" xfId="21817" builtinId="9" hidden="1"/>
    <cellStyle name="Lien hypertexte visité" xfId="21819" builtinId="9" hidden="1"/>
    <cellStyle name="Lien hypertexte visité" xfId="21821" builtinId="9" hidden="1"/>
    <cellStyle name="Lien hypertexte visité" xfId="21823" builtinId="9" hidden="1"/>
    <cellStyle name="Lien hypertexte visité" xfId="21825" builtinId="9" hidden="1"/>
    <cellStyle name="Lien hypertexte visité" xfId="21827" builtinId="9" hidden="1"/>
    <cellStyle name="Lien hypertexte visité" xfId="21829" builtinId="9" hidden="1"/>
    <cellStyle name="Lien hypertexte visité" xfId="21831" builtinId="9" hidden="1"/>
    <cellStyle name="Lien hypertexte visité" xfId="21833" builtinId="9" hidden="1"/>
    <cellStyle name="Lien hypertexte visité" xfId="21835" builtinId="9" hidden="1"/>
    <cellStyle name="Lien hypertexte visité" xfId="21837" builtinId="9" hidden="1"/>
    <cellStyle name="Lien hypertexte visité" xfId="21839" builtinId="9" hidden="1"/>
    <cellStyle name="Lien hypertexte visité" xfId="21841" builtinId="9" hidden="1"/>
    <cellStyle name="Lien hypertexte visité" xfId="21843" builtinId="9" hidden="1"/>
    <cellStyle name="Lien hypertexte visité" xfId="21845" builtinId="9" hidden="1"/>
    <cellStyle name="Lien hypertexte visité" xfId="21847" builtinId="9" hidden="1"/>
    <cellStyle name="Lien hypertexte visité" xfId="21849" builtinId="9" hidden="1"/>
    <cellStyle name="Lien hypertexte visité" xfId="21851" builtinId="9" hidden="1"/>
    <cellStyle name="Lien hypertexte visité" xfId="21853" builtinId="9" hidden="1"/>
    <cellStyle name="Lien hypertexte visité" xfId="21855" builtinId="9" hidden="1"/>
    <cellStyle name="Lien hypertexte visité" xfId="21857" builtinId="9" hidden="1"/>
    <cellStyle name="Lien hypertexte visité" xfId="21859" builtinId="9" hidden="1"/>
    <cellStyle name="Lien hypertexte visité" xfId="21861" builtinId="9" hidden="1"/>
    <cellStyle name="Lien hypertexte visité" xfId="21863" builtinId="9" hidden="1"/>
    <cellStyle name="Lien hypertexte visité" xfId="21865" builtinId="9" hidden="1"/>
    <cellStyle name="Lien hypertexte visité" xfId="21867" builtinId="9" hidden="1"/>
    <cellStyle name="Lien hypertexte visité" xfId="21869" builtinId="9" hidden="1"/>
    <cellStyle name="Lien hypertexte visité" xfId="21871" builtinId="9" hidden="1"/>
    <cellStyle name="Lien hypertexte visité" xfId="21873" builtinId="9" hidden="1"/>
    <cellStyle name="Lien hypertexte visité" xfId="21875" builtinId="9" hidden="1"/>
    <cellStyle name="Lien hypertexte visité" xfId="21877" builtinId="9" hidden="1"/>
    <cellStyle name="Lien hypertexte visité" xfId="21879" builtinId="9" hidden="1"/>
    <cellStyle name="Lien hypertexte visité" xfId="21881" builtinId="9" hidden="1"/>
    <cellStyle name="Lien hypertexte visité" xfId="21883" builtinId="9" hidden="1"/>
    <cellStyle name="Lien hypertexte visité" xfId="21885" builtinId="9" hidden="1"/>
    <cellStyle name="Lien hypertexte visité" xfId="21887" builtinId="9" hidden="1"/>
    <cellStyle name="Lien hypertexte visité" xfId="21889" builtinId="9" hidden="1"/>
    <cellStyle name="Lien hypertexte visité" xfId="21891" builtinId="9" hidden="1"/>
    <cellStyle name="Lien hypertexte visité" xfId="21893" builtinId="9" hidden="1"/>
    <cellStyle name="Lien hypertexte visité" xfId="21895" builtinId="9" hidden="1"/>
    <cellStyle name="Lien hypertexte visité" xfId="21897" builtinId="9" hidden="1"/>
    <cellStyle name="Lien hypertexte visité" xfId="21899" builtinId="9" hidden="1"/>
    <cellStyle name="Lien hypertexte visité" xfId="21901" builtinId="9" hidden="1"/>
    <cellStyle name="Lien hypertexte visité" xfId="21903" builtinId="9" hidden="1"/>
    <cellStyle name="Lien hypertexte visité" xfId="21905" builtinId="9" hidden="1"/>
    <cellStyle name="Lien hypertexte visité" xfId="21907" builtinId="9" hidden="1"/>
    <cellStyle name="Lien hypertexte visité" xfId="21909" builtinId="9" hidden="1"/>
    <cellStyle name="Lien hypertexte visité" xfId="21911" builtinId="9" hidden="1"/>
    <cellStyle name="Lien hypertexte visité" xfId="21913" builtinId="9" hidden="1"/>
    <cellStyle name="Lien hypertexte visité" xfId="21915" builtinId="9" hidden="1"/>
    <cellStyle name="Lien hypertexte visité" xfId="21917" builtinId="9" hidden="1"/>
    <cellStyle name="Lien hypertexte visité" xfId="21919" builtinId="9" hidden="1"/>
    <cellStyle name="Lien hypertexte visité" xfId="21921" builtinId="9" hidden="1"/>
    <cellStyle name="Lien hypertexte visité" xfId="21923" builtinId="9" hidden="1"/>
    <cellStyle name="Lien hypertexte visité" xfId="21925" builtinId="9" hidden="1"/>
    <cellStyle name="Lien hypertexte visité" xfId="21927" builtinId="9" hidden="1"/>
    <cellStyle name="Lien hypertexte visité" xfId="21929" builtinId="9" hidden="1"/>
    <cellStyle name="Lien hypertexte visité" xfId="21931" builtinId="9" hidden="1"/>
    <cellStyle name="Lien hypertexte visité" xfId="21933" builtinId="9" hidden="1"/>
    <cellStyle name="Lien hypertexte visité" xfId="21935" builtinId="9" hidden="1"/>
    <cellStyle name="Lien hypertexte visité" xfId="21937" builtinId="9" hidden="1"/>
    <cellStyle name="Lien hypertexte visité" xfId="21939" builtinId="9" hidden="1"/>
    <cellStyle name="Lien hypertexte visité" xfId="21941" builtinId="9" hidden="1"/>
    <cellStyle name="Lien hypertexte visité" xfId="21943" builtinId="9" hidden="1"/>
    <cellStyle name="Lien hypertexte visité" xfId="21945" builtinId="9" hidden="1"/>
    <cellStyle name="Lien hypertexte visité" xfId="21947" builtinId="9" hidden="1"/>
    <cellStyle name="Lien hypertexte visité" xfId="21949" builtinId="9" hidden="1"/>
    <cellStyle name="Lien hypertexte visité" xfId="21951" builtinId="9" hidden="1"/>
    <cellStyle name="Lien hypertexte visité" xfId="21953" builtinId="9" hidden="1"/>
    <cellStyle name="Lien hypertexte visité" xfId="21955" builtinId="9" hidden="1"/>
    <cellStyle name="Lien hypertexte visité" xfId="21957" builtinId="9" hidden="1"/>
    <cellStyle name="Lien hypertexte visité" xfId="21959" builtinId="9" hidden="1"/>
    <cellStyle name="Lien hypertexte visité" xfId="21961" builtinId="9" hidden="1"/>
    <cellStyle name="Lien hypertexte visité" xfId="21963" builtinId="9" hidden="1"/>
    <cellStyle name="Lien hypertexte visité" xfId="21965" builtinId="9" hidden="1"/>
    <cellStyle name="Lien hypertexte visité" xfId="21967" builtinId="9" hidden="1"/>
    <cellStyle name="Lien hypertexte visité" xfId="21969" builtinId="9" hidden="1"/>
    <cellStyle name="Lien hypertexte visité" xfId="21971" builtinId="9" hidden="1"/>
    <cellStyle name="Lien hypertexte visité" xfId="21973" builtinId="9" hidden="1"/>
    <cellStyle name="Lien hypertexte visité" xfId="21975" builtinId="9" hidden="1"/>
    <cellStyle name="Lien hypertexte visité" xfId="21977" builtinId="9" hidden="1"/>
    <cellStyle name="Lien hypertexte visité" xfId="21979" builtinId="9" hidden="1"/>
    <cellStyle name="Lien hypertexte visité" xfId="21981" builtinId="9" hidden="1"/>
    <cellStyle name="Lien hypertexte visité" xfId="21983" builtinId="9" hidden="1"/>
    <cellStyle name="Lien hypertexte visité" xfId="21985" builtinId="9" hidden="1"/>
    <cellStyle name="Lien hypertexte visité" xfId="21987" builtinId="9" hidden="1"/>
    <cellStyle name="Lien hypertexte visité" xfId="21989" builtinId="9" hidden="1"/>
    <cellStyle name="Lien hypertexte visité" xfId="21991" builtinId="9" hidden="1"/>
    <cellStyle name="Lien hypertexte visité" xfId="21993" builtinId="9" hidden="1"/>
    <cellStyle name="Lien hypertexte visité" xfId="21995" builtinId="9" hidden="1"/>
    <cellStyle name="Lien hypertexte visité" xfId="21997" builtinId="9" hidden="1"/>
    <cellStyle name="Lien hypertexte visité" xfId="21999" builtinId="9" hidden="1"/>
    <cellStyle name="Lien hypertexte visité" xfId="22001" builtinId="9" hidden="1"/>
    <cellStyle name="Lien hypertexte visité" xfId="22003" builtinId="9" hidden="1"/>
    <cellStyle name="Lien hypertexte visité" xfId="22005" builtinId="9" hidden="1"/>
    <cellStyle name="Lien hypertexte visité" xfId="22007" builtinId="9" hidden="1"/>
    <cellStyle name="Lien hypertexte visité" xfId="22009" builtinId="9" hidden="1"/>
    <cellStyle name="Lien hypertexte visité" xfId="22011" builtinId="9" hidden="1"/>
    <cellStyle name="Lien hypertexte visité" xfId="22013" builtinId="9" hidden="1"/>
    <cellStyle name="Lien hypertexte visité" xfId="22015" builtinId="9" hidden="1"/>
    <cellStyle name="Lien hypertexte visité" xfId="22017" builtinId="9" hidden="1"/>
    <cellStyle name="Lien hypertexte visité" xfId="22019" builtinId="9" hidden="1"/>
    <cellStyle name="Lien hypertexte visité" xfId="22021" builtinId="9" hidden="1"/>
    <cellStyle name="Lien hypertexte visité" xfId="22023" builtinId="9" hidden="1"/>
    <cellStyle name="Lien hypertexte visité" xfId="22025" builtinId="9" hidden="1"/>
    <cellStyle name="Lien hypertexte visité" xfId="22027" builtinId="9" hidden="1"/>
    <cellStyle name="Lien hypertexte visité" xfId="22029" builtinId="9" hidden="1"/>
    <cellStyle name="Lien hypertexte visité" xfId="22031" builtinId="9" hidden="1"/>
    <cellStyle name="Lien hypertexte visité" xfId="22033" builtinId="9" hidden="1"/>
    <cellStyle name="Lien hypertexte visité" xfId="22035" builtinId="9" hidden="1"/>
    <cellStyle name="Lien hypertexte visité" xfId="22037" builtinId="9" hidden="1"/>
    <cellStyle name="Lien hypertexte visité" xfId="22039" builtinId="9" hidden="1"/>
    <cellStyle name="Lien hypertexte visité" xfId="22041" builtinId="9" hidden="1"/>
    <cellStyle name="Lien hypertexte visité" xfId="22043" builtinId="9" hidden="1"/>
    <cellStyle name="Lien hypertexte visité" xfId="22045" builtinId="9" hidden="1"/>
    <cellStyle name="Lien hypertexte visité" xfId="22047" builtinId="9" hidden="1"/>
    <cellStyle name="Lien hypertexte visité" xfId="22049" builtinId="9" hidden="1"/>
    <cellStyle name="Lien hypertexte visité" xfId="22051" builtinId="9" hidden="1"/>
    <cellStyle name="Lien hypertexte visité" xfId="22053" builtinId="9" hidden="1"/>
    <cellStyle name="Lien hypertexte visité" xfId="22055" builtinId="9" hidden="1"/>
    <cellStyle name="Lien hypertexte visité" xfId="22057" builtinId="9" hidden="1"/>
    <cellStyle name="Lien hypertexte visité" xfId="22059" builtinId="9" hidden="1"/>
    <cellStyle name="Lien hypertexte visité" xfId="22061" builtinId="9" hidden="1"/>
    <cellStyle name="Lien hypertexte visité" xfId="22063" builtinId="9" hidden="1"/>
    <cellStyle name="Lien hypertexte visité" xfId="22065" builtinId="9" hidden="1"/>
    <cellStyle name="Lien hypertexte visité" xfId="22067" builtinId="9" hidden="1"/>
    <cellStyle name="Lien hypertexte visité" xfId="22069" builtinId="9" hidden="1"/>
    <cellStyle name="Lien hypertexte visité" xfId="22071" builtinId="9" hidden="1"/>
    <cellStyle name="Lien hypertexte visité" xfId="22073" builtinId="9" hidden="1"/>
    <cellStyle name="Lien hypertexte visité" xfId="22075" builtinId="9" hidden="1"/>
    <cellStyle name="Lien hypertexte visité" xfId="22077" builtinId="9" hidden="1"/>
    <cellStyle name="Lien hypertexte visité" xfId="22079" builtinId="9" hidden="1"/>
    <cellStyle name="Lien hypertexte visité" xfId="22081" builtinId="9" hidden="1"/>
    <cellStyle name="Lien hypertexte visité" xfId="22083" builtinId="9" hidden="1"/>
    <cellStyle name="Lien hypertexte visité" xfId="22085" builtinId="9" hidden="1"/>
    <cellStyle name="Lien hypertexte visité" xfId="22087" builtinId="9" hidden="1"/>
    <cellStyle name="Lien hypertexte visité" xfId="22089" builtinId="9" hidden="1"/>
    <cellStyle name="Lien hypertexte visité" xfId="22091" builtinId="9" hidden="1"/>
    <cellStyle name="Lien hypertexte visité" xfId="22093" builtinId="9" hidden="1"/>
    <cellStyle name="Lien hypertexte visité" xfId="22095" builtinId="9" hidden="1"/>
    <cellStyle name="Lien hypertexte visité" xfId="22097" builtinId="9" hidden="1"/>
    <cellStyle name="Lien hypertexte visité" xfId="22099" builtinId="9" hidden="1"/>
    <cellStyle name="Lien hypertexte visité" xfId="22101" builtinId="9" hidden="1"/>
    <cellStyle name="Lien hypertexte visité" xfId="22103" builtinId="9" hidden="1"/>
    <cellStyle name="Lien hypertexte visité" xfId="22105" builtinId="9" hidden="1"/>
    <cellStyle name="Lien hypertexte visité" xfId="22107" builtinId="9" hidden="1"/>
    <cellStyle name="Lien hypertexte visité" xfId="22109" builtinId="9" hidden="1"/>
    <cellStyle name="Lien hypertexte visité" xfId="22111" builtinId="9" hidden="1"/>
    <cellStyle name="Lien hypertexte visité" xfId="22113" builtinId="9" hidden="1"/>
    <cellStyle name="Lien hypertexte visité" xfId="22115" builtinId="9" hidden="1"/>
    <cellStyle name="Lien hypertexte visité" xfId="22117" builtinId="9" hidden="1"/>
    <cellStyle name="Lien hypertexte visité" xfId="22119" builtinId="9" hidden="1"/>
    <cellStyle name="Lien hypertexte visité" xfId="22121" builtinId="9" hidden="1"/>
    <cellStyle name="Lien hypertexte visité" xfId="22123" builtinId="9" hidden="1"/>
    <cellStyle name="Lien hypertexte visité" xfId="22125" builtinId="9" hidden="1"/>
    <cellStyle name="Lien hypertexte visité" xfId="22127" builtinId="9" hidden="1"/>
    <cellStyle name="Lien hypertexte visité" xfId="22129" builtinId="9" hidden="1"/>
    <cellStyle name="Lien hypertexte visité" xfId="22131" builtinId="9" hidden="1"/>
    <cellStyle name="Lien hypertexte visité" xfId="22133" builtinId="9" hidden="1"/>
    <cellStyle name="Lien hypertexte visité" xfId="22135" builtinId="9" hidden="1"/>
    <cellStyle name="Lien hypertexte visité" xfId="22137" builtinId="9" hidden="1"/>
    <cellStyle name="Lien hypertexte visité" xfId="22139" builtinId="9" hidden="1"/>
    <cellStyle name="Lien hypertexte visité" xfId="22141" builtinId="9" hidden="1"/>
    <cellStyle name="Lien hypertexte visité" xfId="22143" builtinId="9" hidden="1"/>
    <cellStyle name="Lien hypertexte visité" xfId="22145" builtinId="9" hidden="1"/>
    <cellStyle name="Lien hypertexte visité" xfId="22147" builtinId="9" hidden="1"/>
    <cellStyle name="Lien hypertexte visité" xfId="22149" builtinId="9" hidden="1"/>
    <cellStyle name="Lien hypertexte visité" xfId="22151" builtinId="9" hidden="1"/>
    <cellStyle name="Lien hypertexte visité" xfId="22153" builtinId="9" hidden="1"/>
    <cellStyle name="Lien hypertexte visité" xfId="22155" builtinId="9" hidden="1"/>
    <cellStyle name="Lien hypertexte visité" xfId="22157" builtinId="9" hidden="1"/>
    <cellStyle name="Lien hypertexte visité" xfId="22159" builtinId="9" hidden="1"/>
    <cellStyle name="Lien hypertexte visité" xfId="22161" builtinId="9" hidden="1"/>
    <cellStyle name="Lien hypertexte visité" xfId="22163" builtinId="9" hidden="1"/>
    <cellStyle name="Lien hypertexte visité" xfId="22165" builtinId="9" hidden="1"/>
    <cellStyle name="Lien hypertexte visité" xfId="22167" builtinId="9" hidden="1"/>
    <cellStyle name="Lien hypertexte visité" xfId="22169" builtinId="9" hidden="1"/>
    <cellStyle name="Lien hypertexte visité" xfId="22171" builtinId="9" hidden="1"/>
    <cellStyle name="Lien hypertexte visité" xfId="22173" builtinId="9" hidden="1"/>
    <cellStyle name="Lien hypertexte visité" xfId="22175" builtinId="9" hidden="1"/>
    <cellStyle name="Lien hypertexte visité" xfId="22177" builtinId="9" hidden="1"/>
    <cellStyle name="Lien hypertexte visité" xfId="22179" builtinId="9" hidden="1"/>
    <cellStyle name="Lien hypertexte visité" xfId="22181" builtinId="9" hidden="1"/>
    <cellStyle name="Lien hypertexte visité" xfId="22183" builtinId="9" hidden="1"/>
    <cellStyle name="Lien hypertexte visité" xfId="22185" builtinId="9" hidden="1"/>
    <cellStyle name="Lien hypertexte visité" xfId="22187" builtinId="9" hidden="1"/>
    <cellStyle name="Lien hypertexte visité" xfId="22189" builtinId="9" hidden="1"/>
    <cellStyle name="Lien hypertexte visité" xfId="22191" builtinId="9" hidden="1"/>
    <cellStyle name="Lien hypertexte visité" xfId="22193" builtinId="9" hidden="1"/>
    <cellStyle name="Lien hypertexte visité" xfId="22195" builtinId="9" hidden="1"/>
    <cellStyle name="Lien hypertexte visité" xfId="22197" builtinId="9" hidden="1"/>
    <cellStyle name="Lien hypertexte visité" xfId="22199" builtinId="9" hidden="1"/>
    <cellStyle name="Lien hypertexte visité" xfId="22201" builtinId="9" hidden="1"/>
    <cellStyle name="Lien hypertexte visité" xfId="22203" builtinId="9" hidden="1"/>
    <cellStyle name="Lien hypertexte visité" xfId="22205" builtinId="9" hidden="1"/>
    <cellStyle name="Lien hypertexte visité" xfId="22207" builtinId="9" hidden="1"/>
    <cellStyle name="Lien hypertexte visité" xfId="22209" builtinId="9" hidden="1"/>
    <cellStyle name="Lien hypertexte visité" xfId="22211" builtinId="9" hidden="1"/>
    <cellStyle name="Lien hypertexte visité" xfId="22213" builtinId="9" hidden="1"/>
    <cellStyle name="Lien hypertexte visité" xfId="22215" builtinId="9" hidden="1"/>
    <cellStyle name="Lien hypertexte visité" xfId="22217" builtinId="9" hidden="1"/>
    <cellStyle name="Lien hypertexte visité" xfId="22219" builtinId="9" hidden="1"/>
    <cellStyle name="Lien hypertexte visité" xfId="22221" builtinId="9" hidden="1"/>
    <cellStyle name="Lien hypertexte visité" xfId="22223" builtinId="9" hidden="1"/>
    <cellStyle name="Lien hypertexte visité" xfId="22225" builtinId="9" hidden="1"/>
    <cellStyle name="Lien hypertexte visité" xfId="22227" builtinId="9" hidden="1"/>
    <cellStyle name="Lien hypertexte visité" xfId="22229" builtinId="9" hidden="1"/>
    <cellStyle name="Lien hypertexte visité" xfId="22231" builtinId="9" hidden="1"/>
    <cellStyle name="Lien hypertexte visité" xfId="22233" builtinId="9" hidden="1"/>
    <cellStyle name="Lien hypertexte visité" xfId="22235" builtinId="9" hidden="1"/>
    <cellStyle name="Lien hypertexte visité" xfId="22237" builtinId="9" hidden="1"/>
    <cellStyle name="Lien hypertexte visité" xfId="22239" builtinId="9" hidden="1"/>
    <cellStyle name="Lien hypertexte visité" xfId="22241" builtinId="9" hidden="1"/>
    <cellStyle name="Lien hypertexte visité" xfId="22243" builtinId="9" hidden="1"/>
    <cellStyle name="Lien hypertexte visité" xfId="22245" builtinId="9" hidden="1"/>
    <cellStyle name="Lien hypertexte visité" xfId="22247" builtinId="9" hidden="1"/>
    <cellStyle name="Lien hypertexte visité" xfId="22249" builtinId="9" hidden="1"/>
    <cellStyle name="Lien hypertexte visité" xfId="22251" builtinId="9" hidden="1"/>
    <cellStyle name="Lien hypertexte visité" xfId="22253" builtinId="9" hidden="1"/>
    <cellStyle name="Lien hypertexte visité" xfId="22255" builtinId="9" hidden="1"/>
    <cellStyle name="Lien hypertexte visité" xfId="22257" builtinId="9" hidden="1"/>
    <cellStyle name="Lien hypertexte visité" xfId="22259" builtinId="9" hidden="1"/>
    <cellStyle name="Lien hypertexte visité" xfId="22261" builtinId="9" hidden="1"/>
    <cellStyle name="Lien hypertexte visité" xfId="22263" builtinId="9" hidden="1"/>
    <cellStyle name="Lien hypertexte visité" xfId="22265" builtinId="9" hidden="1"/>
    <cellStyle name="Lien hypertexte visité" xfId="22267" builtinId="9" hidden="1"/>
    <cellStyle name="Lien hypertexte visité" xfId="22269" builtinId="9" hidden="1"/>
    <cellStyle name="Lien hypertexte visité" xfId="22271" builtinId="9" hidden="1"/>
    <cellStyle name="Lien hypertexte visité" xfId="22273" builtinId="9" hidden="1"/>
    <cellStyle name="Lien hypertexte visité" xfId="22275" builtinId="9" hidden="1"/>
    <cellStyle name="Lien hypertexte visité" xfId="22277" builtinId="9" hidden="1"/>
    <cellStyle name="Lien hypertexte visité" xfId="22279" builtinId="9" hidden="1"/>
    <cellStyle name="Lien hypertexte visité" xfId="22281" builtinId="9" hidden="1"/>
    <cellStyle name="Lien hypertexte visité" xfId="22283" builtinId="9" hidden="1"/>
    <cellStyle name="Lien hypertexte visité" xfId="22285" builtinId="9" hidden="1"/>
    <cellStyle name="Lien hypertexte visité" xfId="22287" builtinId="9" hidden="1"/>
    <cellStyle name="Lien hypertexte visité" xfId="22289" builtinId="9" hidden="1"/>
    <cellStyle name="Lien hypertexte visité" xfId="22291" builtinId="9" hidden="1"/>
    <cellStyle name="Lien hypertexte visité" xfId="22293" builtinId="9" hidden="1"/>
    <cellStyle name="Lien hypertexte visité" xfId="22295" builtinId="9" hidden="1"/>
    <cellStyle name="Lien hypertexte visité" xfId="22297" builtinId="9" hidden="1"/>
    <cellStyle name="Lien hypertexte visité" xfId="22299" builtinId="9" hidden="1"/>
    <cellStyle name="Lien hypertexte visité" xfId="22301" builtinId="9" hidden="1"/>
    <cellStyle name="Lien hypertexte visité" xfId="22303" builtinId="9" hidden="1"/>
    <cellStyle name="Lien hypertexte visité" xfId="22305" builtinId="9" hidden="1"/>
    <cellStyle name="Lien hypertexte visité" xfId="22307" builtinId="9" hidden="1"/>
    <cellStyle name="Lien hypertexte visité" xfId="22309" builtinId="9" hidden="1"/>
    <cellStyle name="Lien hypertexte visité" xfId="22311" builtinId="9" hidden="1"/>
    <cellStyle name="Lien hypertexte visité" xfId="22313" builtinId="9" hidden="1"/>
    <cellStyle name="Lien hypertexte visité" xfId="22315" builtinId="9" hidden="1"/>
    <cellStyle name="Lien hypertexte visité" xfId="22317" builtinId="9" hidden="1"/>
    <cellStyle name="Lien hypertexte visité" xfId="22319" builtinId="9" hidden="1"/>
    <cellStyle name="Lien hypertexte visité" xfId="22321" builtinId="9" hidden="1"/>
    <cellStyle name="Lien hypertexte visité" xfId="22323" builtinId="9" hidden="1"/>
    <cellStyle name="Lien hypertexte visité" xfId="22325" builtinId="9" hidden="1"/>
    <cellStyle name="Lien hypertexte visité" xfId="22327" builtinId="9" hidden="1"/>
    <cellStyle name="Lien hypertexte visité" xfId="22329" builtinId="9" hidden="1"/>
    <cellStyle name="Lien hypertexte visité" xfId="22331" builtinId="9" hidden="1"/>
    <cellStyle name="Lien hypertexte visité" xfId="22333" builtinId="9" hidden="1"/>
    <cellStyle name="Lien hypertexte visité" xfId="22335" builtinId="9" hidden="1"/>
    <cellStyle name="Lien hypertexte visité" xfId="22337" builtinId="9" hidden="1"/>
    <cellStyle name="Lien hypertexte visité" xfId="22339" builtinId="9" hidden="1"/>
    <cellStyle name="Lien hypertexte visité" xfId="22341" builtinId="9" hidden="1"/>
    <cellStyle name="Lien hypertexte visité" xfId="22343" builtinId="9" hidden="1"/>
    <cellStyle name="Lien hypertexte visité" xfId="22345" builtinId="9" hidden="1"/>
    <cellStyle name="Lien hypertexte visité" xfId="22347" builtinId="9" hidden="1"/>
    <cellStyle name="Lien hypertexte visité" xfId="22349" builtinId="9" hidden="1"/>
    <cellStyle name="Lien hypertexte visité" xfId="22351" builtinId="9" hidden="1"/>
    <cellStyle name="Lien hypertexte visité" xfId="22353" builtinId="9" hidden="1"/>
    <cellStyle name="Lien hypertexte visité" xfId="22355" builtinId="9" hidden="1"/>
    <cellStyle name="Lien hypertexte visité" xfId="22357" builtinId="9" hidden="1"/>
    <cellStyle name="Lien hypertexte visité" xfId="22359" builtinId="9" hidden="1"/>
    <cellStyle name="Lien hypertexte visité" xfId="22361" builtinId="9" hidden="1"/>
    <cellStyle name="Lien hypertexte visité" xfId="22363" builtinId="9" hidden="1"/>
    <cellStyle name="Lien hypertexte visité" xfId="22365" builtinId="9" hidden="1"/>
    <cellStyle name="Lien hypertexte visité" xfId="22367" builtinId="9" hidden="1"/>
    <cellStyle name="Lien hypertexte visité" xfId="22369" builtinId="9" hidden="1"/>
    <cellStyle name="Lien hypertexte visité" xfId="22371" builtinId="9" hidden="1"/>
    <cellStyle name="Lien hypertexte visité" xfId="22373" builtinId="9" hidden="1"/>
    <cellStyle name="Lien hypertexte visité" xfId="22375" builtinId="9" hidden="1"/>
    <cellStyle name="Lien hypertexte visité" xfId="22377" builtinId="9" hidden="1"/>
    <cellStyle name="Lien hypertexte visité" xfId="22379" builtinId="9" hidden="1"/>
    <cellStyle name="Lien hypertexte visité" xfId="22381" builtinId="9" hidden="1"/>
    <cellStyle name="Lien hypertexte visité" xfId="22383" builtinId="9" hidden="1"/>
    <cellStyle name="Lien hypertexte visité" xfId="22385" builtinId="9" hidden="1"/>
    <cellStyle name="Lien hypertexte visité" xfId="22387" builtinId="9" hidden="1"/>
    <cellStyle name="Lien hypertexte visité" xfId="22389" builtinId="9" hidden="1"/>
    <cellStyle name="Lien hypertexte visité" xfId="22391" builtinId="9" hidden="1"/>
    <cellStyle name="Lien hypertexte visité" xfId="22393" builtinId="9" hidden="1"/>
    <cellStyle name="Lien hypertexte visité" xfId="22395" builtinId="9" hidden="1"/>
    <cellStyle name="Lien hypertexte visité" xfId="22397" builtinId="9" hidden="1"/>
    <cellStyle name="Lien hypertexte visité" xfId="22399" builtinId="9" hidden="1"/>
    <cellStyle name="Lien hypertexte visité" xfId="22401" builtinId="9" hidden="1"/>
    <cellStyle name="Lien hypertexte visité" xfId="22403" builtinId="9" hidden="1"/>
    <cellStyle name="Lien hypertexte visité" xfId="22405" builtinId="9" hidden="1"/>
    <cellStyle name="Lien hypertexte visité" xfId="22407" builtinId="9" hidden="1"/>
    <cellStyle name="Lien hypertexte visité" xfId="22409" builtinId="9" hidden="1"/>
    <cellStyle name="Lien hypertexte visité" xfId="22411" builtinId="9" hidden="1"/>
    <cellStyle name="Lien hypertexte visité" xfId="22413" builtinId="9" hidden="1"/>
    <cellStyle name="Lien hypertexte visité" xfId="22415" builtinId="9" hidden="1"/>
    <cellStyle name="Lien hypertexte visité" xfId="22417" builtinId="9" hidden="1"/>
    <cellStyle name="Lien hypertexte visité" xfId="22419" builtinId="9" hidden="1"/>
    <cellStyle name="Lien hypertexte visité" xfId="22421" builtinId="9" hidden="1"/>
    <cellStyle name="Lien hypertexte visité" xfId="22423" builtinId="9" hidden="1"/>
    <cellStyle name="Lien hypertexte visité" xfId="22425" builtinId="9" hidden="1"/>
    <cellStyle name="Lien hypertexte visité" xfId="22427" builtinId="9" hidden="1"/>
    <cellStyle name="Lien hypertexte visité" xfId="22429" builtinId="9" hidden="1"/>
    <cellStyle name="Lien hypertexte visité" xfId="22431" builtinId="9" hidden="1"/>
    <cellStyle name="Lien hypertexte visité" xfId="22433" builtinId="9" hidden="1"/>
    <cellStyle name="Lien hypertexte visité" xfId="22435" builtinId="9" hidden="1"/>
    <cellStyle name="Lien hypertexte visité" xfId="22437" builtinId="9" hidden="1"/>
    <cellStyle name="Lien hypertexte visité" xfId="22439" builtinId="9" hidden="1"/>
    <cellStyle name="Lien hypertexte visité" xfId="22441" builtinId="9" hidden="1"/>
    <cellStyle name="Lien hypertexte visité" xfId="22443" builtinId="9" hidden="1"/>
    <cellStyle name="Lien hypertexte visité" xfId="22445" builtinId="9" hidden="1"/>
    <cellStyle name="Lien hypertexte visité" xfId="22447" builtinId="9" hidden="1"/>
    <cellStyle name="Lien hypertexte visité" xfId="22449" builtinId="9" hidden="1"/>
    <cellStyle name="Lien hypertexte visité" xfId="22451" builtinId="9" hidden="1"/>
    <cellStyle name="Lien hypertexte visité" xfId="22453" builtinId="9" hidden="1"/>
    <cellStyle name="Lien hypertexte visité" xfId="22455" builtinId="9" hidden="1"/>
    <cellStyle name="Lien hypertexte visité" xfId="22457" builtinId="9" hidden="1"/>
    <cellStyle name="Lien hypertexte visité" xfId="22459" builtinId="9" hidden="1"/>
    <cellStyle name="Lien hypertexte visité" xfId="22461" builtinId="9" hidden="1"/>
    <cellStyle name="Lien hypertexte visité" xfId="22463" builtinId="9" hidden="1"/>
    <cellStyle name="Lien hypertexte visité" xfId="22465" builtinId="9" hidden="1"/>
    <cellStyle name="Lien hypertexte visité" xfId="22467" builtinId="9" hidden="1"/>
    <cellStyle name="Lien hypertexte visité" xfId="22469" builtinId="9" hidden="1"/>
    <cellStyle name="Lien hypertexte visité" xfId="22471" builtinId="9" hidden="1"/>
    <cellStyle name="Lien hypertexte visité" xfId="22473" builtinId="9" hidden="1"/>
    <cellStyle name="Lien hypertexte visité" xfId="22475" builtinId="9" hidden="1"/>
    <cellStyle name="Lien hypertexte visité" xfId="22477" builtinId="9" hidden="1"/>
    <cellStyle name="Lien hypertexte visité" xfId="22479" builtinId="9" hidden="1"/>
    <cellStyle name="Lien hypertexte visité" xfId="22481" builtinId="9" hidden="1"/>
    <cellStyle name="Lien hypertexte visité" xfId="22483" builtinId="9" hidden="1"/>
    <cellStyle name="Lien hypertexte visité" xfId="22485" builtinId="9" hidden="1"/>
    <cellStyle name="Lien hypertexte visité" xfId="22487" builtinId="9" hidden="1"/>
    <cellStyle name="Lien hypertexte visité" xfId="22489" builtinId="9" hidden="1"/>
    <cellStyle name="Lien hypertexte visité" xfId="22491" builtinId="9" hidden="1"/>
    <cellStyle name="Lien hypertexte visité" xfId="22493" builtinId="9" hidden="1"/>
    <cellStyle name="Lien hypertexte visité" xfId="22495" builtinId="9" hidden="1"/>
    <cellStyle name="Lien hypertexte visité" xfId="22497" builtinId="9" hidden="1"/>
    <cellStyle name="Lien hypertexte visité" xfId="22499" builtinId="9" hidden="1"/>
    <cellStyle name="Lien hypertexte visité" xfId="22501" builtinId="9" hidden="1"/>
    <cellStyle name="Lien hypertexte visité" xfId="22503" builtinId="9" hidden="1"/>
    <cellStyle name="Lien hypertexte visité" xfId="22505" builtinId="9" hidden="1"/>
    <cellStyle name="Lien hypertexte visité" xfId="22507" builtinId="9" hidden="1"/>
    <cellStyle name="Lien hypertexte visité" xfId="22509" builtinId="9" hidden="1"/>
    <cellStyle name="Lien hypertexte visité" xfId="22511" builtinId="9" hidden="1"/>
    <cellStyle name="Lien hypertexte visité" xfId="22513" builtinId="9" hidden="1"/>
    <cellStyle name="Lien hypertexte visité" xfId="22515" builtinId="9" hidden="1"/>
    <cellStyle name="Lien hypertexte visité" xfId="22517" builtinId="9" hidden="1"/>
    <cellStyle name="Lien hypertexte visité" xfId="22519" builtinId="9" hidden="1"/>
    <cellStyle name="Lien hypertexte visité" xfId="22521" builtinId="9" hidden="1"/>
    <cellStyle name="Lien hypertexte visité" xfId="22523" builtinId="9" hidden="1"/>
    <cellStyle name="Lien hypertexte visité" xfId="22525" builtinId="9" hidden="1"/>
    <cellStyle name="Lien hypertexte visité" xfId="22527" builtinId="9" hidden="1"/>
    <cellStyle name="Lien hypertexte visité" xfId="22529" builtinId="9" hidden="1"/>
    <cellStyle name="Lien hypertexte visité" xfId="22531" builtinId="9" hidden="1"/>
    <cellStyle name="Lien hypertexte visité" xfId="22533" builtinId="9" hidden="1"/>
    <cellStyle name="Lien hypertexte visité" xfId="22535" builtinId="9" hidden="1"/>
    <cellStyle name="Lien hypertexte visité" xfId="22537" builtinId="9" hidden="1"/>
    <cellStyle name="Lien hypertexte visité" xfId="22539" builtinId="9" hidden="1"/>
    <cellStyle name="Lien hypertexte visité" xfId="22541" builtinId="9" hidden="1"/>
    <cellStyle name="Lien hypertexte visité" xfId="22543" builtinId="9" hidden="1"/>
    <cellStyle name="Lien hypertexte visité" xfId="22545" builtinId="9" hidden="1"/>
    <cellStyle name="Lien hypertexte visité" xfId="22547" builtinId="9" hidden="1"/>
    <cellStyle name="Lien hypertexte visité" xfId="22549" builtinId="9" hidden="1"/>
    <cellStyle name="Lien hypertexte visité" xfId="22551" builtinId="9" hidden="1"/>
    <cellStyle name="Lien hypertexte visité" xfId="22553" builtinId="9" hidden="1"/>
    <cellStyle name="Lien hypertexte visité" xfId="22555" builtinId="9" hidden="1"/>
    <cellStyle name="Lien hypertexte visité" xfId="22557" builtinId="9" hidden="1"/>
    <cellStyle name="Lien hypertexte visité" xfId="22559" builtinId="9" hidden="1"/>
    <cellStyle name="Lien hypertexte visité" xfId="22561" builtinId="9" hidden="1"/>
    <cellStyle name="Lien hypertexte visité" xfId="22563" builtinId="9" hidden="1"/>
    <cellStyle name="Lien hypertexte visité" xfId="22565" builtinId="9" hidden="1"/>
    <cellStyle name="Lien hypertexte visité" xfId="22567" builtinId="9" hidden="1"/>
    <cellStyle name="Lien hypertexte visité" xfId="22569" builtinId="9" hidden="1"/>
    <cellStyle name="Lien hypertexte visité" xfId="22571" builtinId="9" hidden="1"/>
    <cellStyle name="Lien hypertexte visité" xfId="22573" builtinId="9" hidden="1"/>
    <cellStyle name="Lien hypertexte visité" xfId="22575" builtinId="9" hidden="1"/>
    <cellStyle name="Lien hypertexte visité" xfId="22577" builtinId="9" hidden="1"/>
    <cellStyle name="Lien hypertexte visité" xfId="22579" builtinId="9" hidden="1"/>
    <cellStyle name="Lien hypertexte visité" xfId="22581" builtinId="9" hidden="1"/>
    <cellStyle name="Lien hypertexte visité" xfId="22583" builtinId="9" hidden="1"/>
    <cellStyle name="Lien hypertexte visité" xfId="22585" builtinId="9" hidden="1"/>
    <cellStyle name="Lien hypertexte visité" xfId="22587" builtinId="9" hidden="1"/>
    <cellStyle name="Lien hypertexte visité" xfId="22589" builtinId="9" hidden="1"/>
    <cellStyle name="Lien hypertexte visité" xfId="22591" builtinId="9" hidden="1"/>
    <cellStyle name="Lien hypertexte visité" xfId="22593" builtinId="9" hidden="1"/>
    <cellStyle name="Lien hypertexte visité" xfId="22595" builtinId="9" hidden="1"/>
    <cellStyle name="Lien hypertexte visité" xfId="22597" builtinId="9" hidden="1"/>
    <cellStyle name="Lien hypertexte visité" xfId="22599" builtinId="9" hidden="1"/>
    <cellStyle name="Lien hypertexte visité" xfId="22601" builtinId="9" hidden="1"/>
    <cellStyle name="Lien hypertexte visité" xfId="22603" builtinId="9" hidden="1"/>
    <cellStyle name="Lien hypertexte visité" xfId="22605" builtinId="9" hidden="1"/>
    <cellStyle name="Lien hypertexte visité" xfId="22607" builtinId="9" hidden="1"/>
    <cellStyle name="Lien hypertexte visité" xfId="22609" builtinId="9" hidden="1"/>
    <cellStyle name="Lien hypertexte visité" xfId="22611" builtinId="9" hidden="1"/>
    <cellStyle name="Lien hypertexte visité" xfId="22613" builtinId="9" hidden="1"/>
    <cellStyle name="Lien hypertexte visité" xfId="22615" builtinId="9" hidden="1"/>
    <cellStyle name="Lien hypertexte visité" xfId="22617" builtinId="9" hidden="1"/>
    <cellStyle name="Lien hypertexte visité" xfId="22619" builtinId="9" hidden="1"/>
    <cellStyle name="Lien hypertexte visité" xfId="22621" builtinId="9" hidden="1"/>
    <cellStyle name="Lien hypertexte visité" xfId="22623" builtinId="9" hidden="1"/>
    <cellStyle name="Lien hypertexte visité" xfId="22625" builtinId="9" hidden="1"/>
    <cellStyle name="Lien hypertexte visité" xfId="22627" builtinId="9" hidden="1"/>
    <cellStyle name="Lien hypertexte visité" xfId="22629" builtinId="9" hidden="1"/>
    <cellStyle name="Lien hypertexte visité" xfId="22631" builtinId="9" hidden="1"/>
    <cellStyle name="Lien hypertexte visité" xfId="22633" builtinId="9" hidden="1"/>
    <cellStyle name="Lien hypertexte visité" xfId="22635" builtinId="9" hidden="1"/>
    <cellStyle name="Lien hypertexte visité" xfId="22637" builtinId="9" hidden="1"/>
    <cellStyle name="Lien hypertexte visité" xfId="22639" builtinId="9" hidden="1"/>
    <cellStyle name="Lien hypertexte visité" xfId="22641" builtinId="9" hidden="1"/>
    <cellStyle name="Lien hypertexte visité" xfId="22643" builtinId="9" hidden="1"/>
    <cellStyle name="Lien hypertexte visité" xfId="22645" builtinId="9" hidden="1"/>
    <cellStyle name="Lien hypertexte visité" xfId="22647" builtinId="9" hidden="1"/>
    <cellStyle name="Lien hypertexte visité" xfId="22649" builtinId="9" hidden="1"/>
    <cellStyle name="Lien hypertexte visité" xfId="22651" builtinId="9" hidden="1"/>
    <cellStyle name="Lien hypertexte visité" xfId="22653" builtinId="9" hidden="1"/>
    <cellStyle name="Lien hypertexte visité" xfId="22655" builtinId="9" hidden="1"/>
    <cellStyle name="Lien hypertexte visité" xfId="22657" builtinId="9" hidden="1"/>
    <cellStyle name="Lien hypertexte visité" xfId="22659" builtinId="9" hidden="1"/>
    <cellStyle name="Lien hypertexte visité" xfId="22661" builtinId="9" hidden="1"/>
    <cellStyle name="Lien hypertexte visité" xfId="22663" builtinId="9" hidden="1"/>
    <cellStyle name="Lien hypertexte visité" xfId="22665" builtinId="9" hidden="1"/>
    <cellStyle name="Lien hypertexte visité" xfId="22667" builtinId="9" hidden="1"/>
    <cellStyle name="Lien hypertexte visité" xfId="22669" builtinId="9" hidden="1"/>
    <cellStyle name="Lien hypertexte visité" xfId="22671" builtinId="9" hidden="1"/>
    <cellStyle name="Lien hypertexte visité" xfId="22673" builtinId="9" hidden="1"/>
    <cellStyle name="Lien hypertexte visité" xfId="22675" builtinId="9" hidden="1"/>
    <cellStyle name="Lien hypertexte visité" xfId="22677" builtinId="9" hidden="1"/>
    <cellStyle name="Lien hypertexte visité" xfId="22679" builtinId="9" hidden="1"/>
    <cellStyle name="Lien hypertexte visité" xfId="22681" builtinId="9" hidden="1"/>
    <cellStyle name="Lien hypertexte visité" xfId="22683" builtinId="9" hidden="1"/>
    <cellStyle name="Lien hypertexte visité" xfId="22685" builtinId="9" hidden="1"/>
    <cellStyle name="Lien hypertexte visité" xfId="22687" builtinId="9" hidden="1"/>
    <cellStyle name="Lien hypertexte visité" xfId="22689" builtinId="9" hidden="1"/>
    <cellStyle name="Lien hypertexte visité" xfId="22691" builtinId="9" hidden="1"/>
    <cellStyle name="Lien hypertexte visité" xfId="22693" builtinId="9" hidden="1"/>
    <cellStyle name="Lien hypertexte visité" xfId="22695" builtinId="9" hidden="1"/>
    <cellStyle name="Lien hypertexte visité" xfId="22697" builtinId="9" hidden="1"/>
    <cellStyle name="Lien hypertexte visité" xfId="22699" builtinId="9" hidden="1"/>
    <cellStyle name="Lien hypertexte visité" xfId="22701" builtinId="9" hidden="1"/>
    <cellStyle name="Lien hypertexte visité" xfId="22703" builtinId="9" hidden="1"/>
    <cellStyle name="Lien hypertexte visité" xfId="22705" builtinId="9" hidden="1"/>
    <cellStyle name="Lien hypertexte visité" xfId="22707" builtinId="9" hidden="1"/>
    <cellStyle name="Lien hypertexte visité" xfId="22709" builtinId="9" hidden="1"/>
    <cellStyle name="Lien hypertexte visité" xfId="22711" builtinId="9" hidden="1"/>
    <cellStyle name="Lien hypertexte visité" xfId="22713" builtinId="9" hidden="1"/>
    <cellStyle name="Lien hypertexte visité" xfId="22715" builtinId="9" hidden="1"/>
    <cellStyle name="Lien hypertexte visité" xfId="22717" builtinId="9" hidden="1"/>
    <cellStyle name="Lien hypertexte visité" xfId="22719" builtinId="9" hidden="1"/>
    <cellStyle name="Lien hypertexte visité" xfId="22721" builtinId="9" hidden="1"/>
    <cellStyle name="Lien hypertexte visité" xfId="22723" builtinId="9" hidden="1"/>
    <cellStyle name="Lien hypertexte visité" xfId="22725" builtinId="9" hidden="1"/>
    <cellStyle name="Lien hypertexte visité" xfId="22727" builtinId="9" hidden="1"/>
    <cellStyle name="Lien hypertexte visité" xfId="22729" builtinId="9" hidden="1"/>
    <cellStyle name="Lien hypertexte visité" xfId="22731" builtinId="9" hidden="1"/>
    <cellStyle name="Lien hypertexte visité" xfId="22733" builtinId="9" hidden="1"/>
    <cellStyle name="Lien hypertexte visité" xfId="22735" builtinId="9" hidden="1"/>
    <cellStyle name="Lien hypertexte visité" xfId="22737" builtinId="9" hidden="1"/>
    <cellStyle name="Lien hypertexte visité" xfId="22739" builtinId="9" hidden="1"/>
    <cellStyle name="Lien hypertexte visité" xfId="22741" builtinId="9" hidden="1"/>
    <cellStyle name="Lien hypertexte visité" xfId="22743" builtinId="9" hidden="1"/>
    <cellStyle name="Lien hypertexte visité" xfId="22745" builtinId="9" hidden="1"/>
    <cellStyle name="Lien hypertexte visité" xfId="22747" builtinId="9" hidden="1"/>
    <cellStyle name="Lien hypertexte visité" xfId="22749" builtinId="9" hidden="1"/>
    <cellStyle name="Lien hypertexte visité" xfId="22751" builtinId="9" hidden="1"/>
    <cellStyle name="Lien hypertexte visité" xfId="22753" builtinId="9" hidden="1"/>
    <cellStyle name="Lien hypertexte visité" xfId="22755" builtinId="9" hidden="1"/>
    <cellStyle name="Lien hypertexte visité" xfId="22757" builtinId="9" hidden="1"/>
    <cellStyle name="Lien hypertexte visité" xfId="22759" builtinId="9" hidden="1"/>
    <cellStyle name="Lien hypertexte visité" xfId="22761" builtinId="9" hidden="1"/>
    <cellStyle name="Lien hypertexte visité" xfId="22763" builtinId="9" hidden="1"/>
    <cellStyle name="Lien hypertexte visité" xfId="22765" builtinId="9" hidden="1"/>
    <cellStyle name="Lien hypertexte visité" xfId="22767" builtinId="9" hidden="1"/>
    <cellStyle name="Lien hypertexte visité" xfId="22769" builtinId="9" hidden="1"/>
    <cellStyle name="Lien hypertexte visité" xfId="22771" builtinId="9" hidden="1"/>
    <cellStyle name="Lien hypertexte visité" xfId="22773" builtinId="9" hidden="1"/>
    <cellStyle name="Lien hypertexte visité" xfId="22775" builtinId="9" hidden="1"/>
    <cellStyle name="Lien hypertexte visité" xfId="22777" builtinId="9" hidden="1"/>
    <cellStyle name="Lien hypertexte visité" xfId="22779" builtinId="9" hidden="1"/>
    <cellStyle name="Lien hypertexte visité" xfId="22781" builtinId="9" hidden="1"/>
    <cellStyle name="Lien hypertexte visité" xfId="22783" builtinId="9" hidden="1"/>
    <cellStyle name="Lien hypertexte visité" xfId="22785" builtinId="9" hidden="1"/>
    <cellStyle name="Lien hypertexte visité" xfId="22787" builtinId="9" hidden="1"/>
    <cellStyle name="Lien hypertexte visité" xfId="22789" builtinId="9" hidden="1"/>
    <cellStyle name="Lien hypertexte visité" xfId="22791" builtinId="9" hidden="1"/>
    <cellStyle name="Lien hypertexte visité" xfId="22793" builtinId="9" hidden="1"/>
    <cellStyle name="Lien hypertexte visité" xfId="22795" builtinId="9" hidden="1"/>
    <cellStyle name="Lien hypertexte visité" xfId="22797" builtinId="9" hidden="1"/>
    <cellStyle name="Lien hypertexte visité" xfId="22799" builtinId="9" hidden="1"/>
    <cellStyle name="Lien hypertexte visité" xfId="22801" builtinId="9" hidden="1"/>
    <cellStyle name="Lien hypertexte visité" xfId="22803" builtinId="9" hidden="1"/>
    <cellStyle name="Lien hypertexte visité" xfId="22805" builtinId="9" hidden="1"/>
    <cellStyle name="Lien hypertexte visité" xfId="22807" builtinId="9" hidden="1"/>
    <cellStyle name="Lien hypertexte visité" xfId="22809" builtinId="9" hidden="1"/>
    <cellStyle name="Lien hypertexte visité" xfId="22811" builtinId="9" hidden="1"/>
    <cellStyle name="Lien hypertexte visité" xfId="22813" builtinId="9" hidden="1"/>
    <cellStyle name="Lien hypertexte visité" xfId="22815" builtinId="9" hidden="1"/>
    <cellStyle name="Lien hypertexte visité" xfId="22817" builtinId="9" hidden="1"/>
    <cellStyle name="Lien hypertexte visité" xfId="22819" builtinId="9" hidden="1"/>
    <cellStyle name="Lien hypertexte visité" xfId="22821" builtinId="9" hidden="1"/>
    <cellStyle name="Lien hypertexte visité" xfId="22823" builtinId="9" hidden="1"/>
    <cellStyle name="Lien hypertexte visité" xfId="22825" builtinId="9" hidden="1"/>
    <cellStyle name="Lien hypertexte visité" xfId="22827" builtinId="9" hidden="1"/>
    <cellStyle name="Lien hypertexte visité" xfId="22829" builtinId="9" hidden="1"/>
    <cellStyle name="Lien hypertexte visité" xfId="22831" builtinId="9" hidden="1"/>
    <cellStyle name="Lien hypertexte visité" xfId="22833" builtinId="9" hidden="1"/>
    <cellStyle name="Lien hypertexte visité" xfId="22835" builtinId="9" hidden="1"/>
    <cellStyle name="Lien hypertexte visité" xfId="22837" builtinId="9" hidden="1"/>
    <cellStyle name="Lien hypertexte visité" xfId="22839" builtinId="9" hidden="1"/>
    <cellStyle name="Lien hypertexte visité" xfId="22841" builtinId="9" hidden="1"/>
    <cellStyle name="Lien hypertexte visité" xfId="22843" builtinId="9" hidden="1"/>
    <cellStyle name="Lien hypertexte visité" xfId="22845" builtinId="9" hidden="1"/>
    <cellStyle name="Lien hypertexte visité" xfId="22847" builtinId="9" hidden="1"/>
    <cellStyle name="Lien hypertexte visité" xfId="22849" builtinId="9" hidden="1"/>
    <cellStyle name="Lien hypertexte visité" xfId="22851" builtinId="9" hidden="1"/>
    <cellStyle name="Lien hypertexte visité" xfId="22853" builtinId="9" hidden="1"/>
    <cellStyle name="Lien hypertexte visité" xfId="22855" builtinId="9" hidden="1"/>
    <cellStyle name="Lien hypertexte visité" xfId="22857" builtinId="9" hidden="1"/>
    <cellStyle name="Lien hypertexte visité" xfId="22859" builtinId="9" hidden="1"/>
    <cellStyle name="Lien hypertexte visité" xfId="22861" builtinId="9" hidden="1"/>
    <cellStyle name="Lien hypertexte visité" xfId="22863" builtinId="9" hidden="1"/>
    <cellStyle name="Lien hypertexte visité" xfId="22865" builtinId="9" hidden="1"/>
    <cellStyle name="Lien hypertexte visité" xfId="22867" builtinId="9" hidden="1"/>
    <cellStyle name="Lien hypertexte visité" xfId="22869" builtinId="9" hidden="1"/>
    <cellStyle name="Lien hypertexte visité" xfId="22871" builtinId="9" hidden="1"/>
    <cellStyle name="Lien hypertexte visité" xfId="22873" builtinId="9" hidden="1"/>
    <cellStyle name="Lien hypertexte visité" xfId="22875" builtinId="9" hidden="1"/>
    <cellStyle name="Lien hypertexte visité" xfId="22877" builtinId="9" hidden="1"/>
    <cellStyle name="Lien hypertexte visité" xfId="22879" builtinId="9" hidden="1"/>
    <cellStyle name="Lien hypertexte visité" xfId="22881" builtinId="9" hidden="1"/>
    <cellStyle name="Lien hypertexte visité" xfId="22883" builtinId="9" hidden="1"/>
    <cellStyle name="Lien hypertexte visité" xfId="22885" builtinId="9" hidden="1"/>
    <cellStyle name="Lien hypertexte visité" xfId="22887" builtinId="9" hidden="1"/>
    <cellStyle name="Lien hypertexte visité" xfId="22889" builtinId="9" hidden="1"/>
    <cellStyle name="Lien hypertexte visité" xfId="22891" builtinId="9" hidden="1"/>
    <cellStyle name="Lien hypertexte visité" xfId="22893" builtinId="9" hidden="1"/>
    <cellStyle name="Lien hypertexte visité" xfId="22895" builtinId="9" hidden="1"/>
    <cellStyle name="Lien hypertexte visité" xfId="22897" builtinId="9" hidden="1"/>
    <cellStyle name="Lien hypertexte visité" xfId="22899" builtinId="9" hidden="1"/>
    <cellStyle name="Lien hypertexte visité" xfId="22901" builtinId="9" hidden="1"/>
    <cellStyle name="Lien hypertexte visité" xfId="22903" builtinId="9" hidden="1"/>
    <cellStyle name="Lien hypertexte visité" xfId="22905" builtinId="9" hidden="1"/>
    <cellStyle name="Lien hypertexte visité" xfId="22907" builtinId="9" hidden="1"/>
    <cellStyle name="Lien hypertexte visité" xfId="22909" builtinId="9" hidden="1"/>
    <cellStyle name="Lien hypertexte visité" xfId="22911" builtinId="9" hidden="1"/>
    <cellStyle name="Lien hypertexte visité" xfId="22913" builtinId="9" hidden="1"/>
    <cellStyle name="Lien hypertexte visité" xfId="22915" builtinId="9" hidden="1"/>
    <cellStyle name="Lien hypertexte visité" xfId="22917" builtinId="9" hidden="1"/>
    <cellStyle name="Lien hypertexte visité" xfId="22919" builtinId="9" hidden="1"/>
    <cellStyle name="Lien hypertexte visité" xfId="22921" builtinId="9" hidden="1"/>
    <cellStyle name="Lien hypertexte visité" xfId="22923" builtinId="9" hidden="1"/>
    <cellStyle name="Lien hypertexte visité" xfId="22925" builtinId="9" hidden="1"/>
    <cellStyle name="Lien hypertexte visité" xfId="22927" builtinId="9" hidden="1"/>
    <cellStyle name="Lien hypertexte visité" xfId="22929" builtinId="9" hidden="1"/>
    <cellStyle name="Lien hypertexte visité" xfId="22931" builtinId="9" hidden="1"/>
    <cellStyle name="Lien hypertexte visité" xfId="22933" builtinId="9" hidden="1"/>
    <cellStyle name="Lien hypertexte visité" xfId="22935" builtinId="9" hidden="1"/>
    <cellStyle name="Lien hypertexte visité" xfId="22937" builtinId="9" hidden="1"/>
    <cellStyle name="Lien hypertexte visité" xfId="22939" builtinId="9" hidden="1"/>
    <cellStyle name="Lien hypertexte visité" xfId="22941" builtinId="9" hidden="1"/>
    <cellStyle name="Lien hypertexte visité" xfId="22943" builtinId="9" hidden="1"/>
    <cellStyle name="Lien hypertexte visité" xfId="22945" builtinId="9" hidden="1"/>
    <cellStyle name="Lien hypertexte visité" xfId="22947" builtinId="9" hidden="1"/>
    <cellStyle name="Lien hypertexte visité" xfId="22949" builtinId="9" hidden="1"/>
    <cellStyle name="Lien hypertexte visité" xfId="22951" builtinId="9" hidden="1"/>
    <cellStyle name="Lien hypertexte visité" xfId="22953" builtinId="9" hidden="1"/>
    <cellStyle name="Lien hypertexte visité" xfId="22955" builtinId="9" hidden="1"/>
    <cellStyle name="Lien hypertexte visité" xfId="22957" builtinId="9" hidden="1"/>
    <cellStyle name="Lien hypertexte visité" xfId="22959" builtinId="9" hidden="1"/>
    <cellStyle name="Lien hypertexte visité" xfId="22961" builtinId="9" hidden="1"/>
    <cellStyle name="Lien hypertexte visité" xfId="22963" builtinId="9" hidden="1"/>
    <cellStyle name="Lien hypertexte visité" xfId="22965" builtinId="9" hidden="1"/>
    <cellStyle name="Lien hypertexte visité" xfId="22967" builtinId="9" hidden="1"/>
    <cellStyle name="Lien hypertexte visité" xfId="22969" builtinId="9" hidden="1"/>
    <cellStyle name="Lien hypertexte visité" xfId="22971" builtinId="9" hidden="1"/>
    <cellStyle name="Lien hypertexte visité" xfId="22973" builtinId="9" hidden="1"/>
    <cellStyle name="Lien hypertexte visité" xfId="22975" builtinId="9" hidden="1"/>
    <cellStyle name="Lien hypertexte visité" xfId="22977" builtinId="9" hidden="1"/>
    <cellStyle name="Lien hypertexte visité" xfId="22979" builtinId="9" hidden="1"/>
    <cellStyle name="Lien hypertexte visité" xfId="22981" builtinId="9" hidden="1"/>
    <cellStyle name="Lien hypertexte visité" xfId="22983" builtinId="9" hidden="1"/>
    <cellStyle name="Lien hypertexte visité" xfId="22985" builtinId="9" hidden="1"/>
    <cellStyle name="Lien hypertexte visité" xfId="22987" builtinId="9" hidden="1"/>
    <cellStyle name="Lien hypertexte visité" xfId="22989" builtinId="9" hidden="1"/>
    <cellStyle name="Lien hypertexte visité" xfId="22991" builtinId="9" hidden="1"/>
    <cellStyle name="Lien hypertexte visité" xfId="22993" builtinId="9" hidden="1"/>
    <cellStyle name="Lien hypertexte visité" xfId="22995" builtinId="9" hidden="1"/>
    <cellStyle name="Lien hypertexte visité" xfId="22997" builtinId="9" hidden="1"/>
    <cellStyle name="Lien hypertexte visité" xfId="22999" builtinId="9" hidden="1"/>
    <cellStyle name="Lien hypertexte visité" xfId="23001" builtinId="9" hidden="1"/>
    <cellStyle name="Lien hypertexte visité" xfId="23003" builtinId="9" hidden="1"/>
    <cellStyle name="Lien hypertexte visité" xfId="23005" builtinId="9" hidden="1"/>
    <cellStyle name="Lien hypertexte visité" xfId="23007" builtinId="9" hidden="1"/>
    <cellStyle name="Lien hypertexte visité" xfId="23009" builtinId="9" hidden="1"/>
    <cellStyle name="Lien hypertexte visité" xfId="23011" builtinId="9" hidden="1"/>
    <cellStyle name="Lien hypertexte visité" xfId="23013" builtinId="9" hidden="1"/>
    <cellStyle name="Lien hypertexte visité" xfId="23015" builtinId="9" hidden="1"/>
    <cellStyle name="Lien hypertexte visité" xfId="23017" builtinId="9" hidden="1"/>
    <cellStyle name="Lien hypertexte visité" xfId="23019" builtinId="9" hidden="1"/>
    <cellStyle name="Lien hypertexte visité" xfId="23021" builtinId="9" hidden="1"/>
    <cellStyle name="Lien hypertexte visité" xfId="23023" builtinId="9" hidden="1"/>
    <cellStyle name="Lien hypertexte visité" xfId="23025" builtinId="9" hidden="1"/>
    <cellStyle name="Lien hypertexte visité" xfId="23027" builtinId="9" hidden="1"/>
    <cellStyle name="Lien hypertexte visité" xfId="23029" builtinId="9" hidden="1"/>
    <cellStyle name="Lien hypertexte visité" xfId="23031" builtinId="9" hidden="1"/>
    <cellStyle name="Lien hypertexte visité" xfId="23033" builtinId="9" hidden="1"/>
    <cellStyle name="Lien hypertexte visité" xfId="23035" builtinId="9" hidden="1"/>
    <cellStyle name="Lien hypertexte visité" xfId="23037" builtinId="9" hidden="1"/>
    <cellStyle name="Lien hypertexte visité" xfId="23039" builtinId="9" hidden="1"/>
    <cellStyle name="Lien hypertexte visité" xfId="23041" builtinId="9" hidden="1"/>
    <cellStyle name="Lien hypertexte visité" xfId="23043" builtinId="9" hidden="1"/>
    <cellStyle name="Lien hypertexte visité" xfId="23045" builtinId="9" hidden="1"/>
    <cellStyle name="Lien hypertexte visité" xfId="23047" builtinId="9" hidden="1"/>
    <cellStyle name="Lien hypertexte visité" xfId="23049" builtinId="9" hidden="1"/>
    <cellStyle name="Lien hypertexte visité" xfId="23051" builtinId="9" hidden="1"/>
    <cellStyle name="Lien hypertexte visité" xfId="23053" builtinId="9" hidden="1"/>
    <cellStyle name="Lien hypertexte visité" xfId="23055" builtinId="9" hidden="1"/>
    <cellStyle name="Lien hypertexte visité" xfId="23057" builtinId="9" hidden="1"/>
    <cellStyle name="Lien hypertexte visité" xfId="23059" builtinId="9" hidden="1"/>
    <cellStyle name="Lien hypertexte visité" xfId="23061" builtinId="9" hidden="1"/>
    <cellStyle name="Lien hypertexte visité" xfId="23063" builtinId="9" hidden="1"/>
    <cellStyle name="Lien hypertexte visité" xfId="23065" builtinId="9" hidden="1"/>
    <cellStyle name="Lien hypertexte visité" xfId="23067" builtinId="9" hidden="1"/>
    <cellStyle name="Lien hypertexte visité" xfId="23069" builtinId="9" hidden="1"/>
    <cellStyle name="Lien hypertexte visité" xfId="23071" builtinId="9" hidden="1"/>
    <cellStyle name="Lien hypertexte visité" xfId="23073" builtinId="9" hidden="1"/>
    <cellStyle name="Lien hypertexte visité" xfId="23075" builtinId="9" hidden="1"/>
    <cellStyle name="Lien hypertexte visité" xfId="23077" builtinId="9" hidden="1"/>
    <cellStyle name="Lien hypertexte visité" xfId="23079" builtinId="9" hidden="1"/>
    <cellStyle name="Lien hypertexte visité" xfId="23081" builtinId="9" hidden="1"/>
    <cellStyle name="Lien hypertexte visité" xfId="23083" builtinId="9" hidden="1"/>
    <cellStyle name="Lien hypertexte visité" xfId="23085" builtinId="9" hidden="1"/>
    <cellStyle name="Lien hypertexte visité" xfId="23087" builtinId="9" hidden="1"/>
    <cellStyle name="Lien hypertexte visité" xfId="23089" builtinId="9" hidden="1"/>
    <cellStyle name="Lien hypertexte visité" xfId="23091" builtinId="9" hidden="1"/>
    <cellStyle name="Lien hypertexte visité" xfId="23093" builtinId="9" hidden="1"/>
    <cellStyle name="Lien hypertexte visité" xfId="23095" builtinId="9" hidden="1"/>
    <cellStyle name="Lien hypertexte visité" xfId="23097" builtinId="9" hidden="1"/>
    <cellStyle name="Lien hypertexte visité" xfId="23099" builtinId="9" hidden="1"/>
    <cellStyle name="Lien hypertexte visité" xfId="23101" builtinId="9" hidden="1"/>
    <cellStyle name="Lien hypertexte visité" xfId="23103" builtinId="9" hidden="1"/>
    <cellStyle name="Lien hypertexte visité" xfId="23105" builtinId="9" hidden="1"/>
    <cellStyle name="Lien hypertexte visité" xfId="23107" builtinId="9" hidden="1"/>
    <cellStyle name="Lien hypertexte visité" xfId="23109" builtinId="9" hidden="1"/>
    <cellStyle name="Lien hypertexte visité" xfId="23111" builtinId="9" hidden="1"/>
    <cellStyle name="Lien hypertexte visité" xfId="23113" builtinId="9" hidden="1"/>
    <cellStyle name="Lien hypertexte visité" xfId="23115" builtinId="9" hidden="1"/>
    <cellStyle name="Lien hypertexte visité" xfId="23117" builtinId="9" hidden="1"/>
    <cellStyle name="Lien hypertexte visité" xfId="23119" builtinId="9" hidden="1"/>
    <cellStyle name="Lien hypertexte visité" xfId="23121" builtinId="9" hidden="1"/>
    <cellStyle name="Lien hypertexte visité" xfId="23123" builtinId="9" hidden="1"/>
    <cellStyle name="Lien hypertexte visité" xfId="23125" builtinId="9" hidden="1"/>
    <cellStyle name="Lien hypertexte visité" xfId="23127" builtinId="9" hidden="1"/>
    <cellStyle name="Lien hypertexte visité" xfId="23129" builtinId="9" hidden="1"/>
    <cellStyle name="Lien hypertexte visité" xfId="23131" builtinId="9" hidden="1"/>
    <cellStyle name="Lien hypertexte visité" xfId="23133" builtinId="9" hidden="1"/>
    <cellStyle name="Lien hypertexte visité" xfId="23135" builtinId="9" hidden="1"/>
    <cellStyle name="Lien hypertexte visité" xfId="23137" builtinId="9" hidden="1"/>
    <cellStyle name="Lien hypertexte visité" xfId="23139" builtinId="9" hidden="1"/>
    <cellStyle name="Lien hypertexte visité" xfId="23141" builtinId="9" hidden="1"/>
    <cellStyle name="Lien hypertexte visité" xfId="23143" builtinId="9" hidden="1"/>
    <cellStyle name="Lien hypertexte visité" xfId="23145" builtinId="9" hidden="1"/>
    <cellStyle name="Lien hypertexte visité" xfId="23147" builtinId="9" hidden="1"/>
    <cellStyle name="Lien hypertexte visité" xfId="23149" builtinId="9" hidden="1"/>
    <cellStyle name="Lien hypertexte visité" xfId="23151" builtinId="9" hidden="1"/>
    <cellStyle name="Lien hypertexte visité" xfId="23153" builtinId="9" hidden="1"/>
    <cellStyle name="Lien hypertexte visité" xfId="23155" builtinId="9" hidden="1"/>
    <cellStyle name="Lien hypertexte visité" xfId="23157" builtinId="9" hidden="1"/>
    <cellStyle name="Lien hypertexte visité" xfId="23159" builtinId="9" hidden="1"/>
    <cellStyle name="Lien hypertexte visité" xfId="23161" builtinId="9" hidden="1"/>
    <cellStyle name="Lien hypertexte visité" xfId="23163" builtinId="9" hidden="1"/>
    <cellStyle name="Lien hypertexte visité" xfId="23165" builtinId="9" hidden="1"/>
    <cellStyle name="Lien hypertexte visité" xfId="23167" builtinId="9" hidden="1"/>
    <cellStyle name="Lien hypertexte visité" xfId="23169" builtinId="9" hidden="1"/>
    <cellStyle name="Lien hypertexte visité" xfId="23171" builtinId="9" hidden="1"/>
    <cellStyle name="Lien hypertexte visité" xfId="23173" builtinId="9" hidden="1"/>
    <cellStyle name="Lien hypertexte visité" xfId="23175" builtinId="9" hidden="1"/>
    <cellStyle name="Lien hypertexte visité" xfId="23177" builtinId="9" hidden="1"/>
    <cellStyle name="Lien hypertexte visité" xfId="23179" builtinId="9" hidden="1"/>
    <cellStyle name="Lien hypertexte visité" xfId="23181" builtinId="9" hidden="1"/>
    <cellStyle name="Lien hypertexte visité" xfId="23183" builtinId="9" hidden="1"/>
    <cellStyle name="Lien hypertexte visité" xfId="23185" builtinId="9" hidden="1"/>
    <cellStyle name="Lien hypertexte visité" xfId="23187" builtinId="9" hidden="1"/>
    <cellStyle name="Lien hypertexte visité" xfId="23189" builtinId="9" hidden="1"/>
    <cellStyle name="Lien hypertexte visité" xfId="23191" builtinId="9" hidden="1"/>
    <cellStyle name="Lien hypertexte visité" xfId="23193" builtinId="9" hidden="1"/>
    <cellStyle name="Lien hypertexte visité" xfId="23195" builtinId="9" hidden="1"/>
    <cellStyle name="Lien hypertexte visité" xfId="23197" builtinId="9" hidden="1"/>
    <cellStyle name="Lien hypertexte visité" xfId="23199" builtinId="9" hidden="1"/>
    <cellStyle name="Lien hypertexte visité" xfId="23201" builtinId="9" hidden="1"/>
    <cellStyle name="Lien hypertexte visité" xfId="23203" builtinId="9" hidden="1"/>
    <cellStyle name="Lien hypertexte visité" xfId="23205" builtinId="9" hidden="1"/>
    <cellStyle name="Lien hypertexte visité" xfId="23207" builtinId="9" hidden="1"/>
    <cellStyle name="Lien hypertexte visité" xfId="23209" builtinId="9" hidden="1"/>
    <cellStyle name="Lien hypertexte visité" xfId="23211" builtinId="9" hidden="1"/>
    <cellStyle name="Lien hypertexte visité" xfId="23213" builtinId="9" hidden="1"/>
    <cellStyle name="Lien hypertexte visité" xfId="23215" builtinId="9" hidden="1"/>
    <cellStyle name="Lien hypertexte visité" xfId="23217" builtinId="9" hidden="1"/>
    <cellStyle name="Lien hypertexte visité" xfId="23219" builtinId="9" hidden="1"/>
    <cellStyle name="Lien hypertexte visité" xfId="23221" builtinId="9" hidden="1"/>
    <cellStyle name="Lien hypertexte visité" xfId="23223" builtinId="9" hidden="1"/>
    <cellStyle name="Lien hypertexte visité" xfId="23225" builtinId="9" hidden="1"/>
    <cellStyle name="Lien hypertexte visité" xfId="23227" builtinId="9" hidden="1"/>
    <cellStyle name="Lien hypertexte visité" xfId="23229" builtinId="9" hidden="1"/>
    <cellStyle name="Lien hypertexte visité" xfId="23231" builtinId="9" hidden="1"/>
    <cellStyle name="Lien hypertexte visité" xfId="23233" builtinId="9" hidden="1"/>
    <cellStyle name="Lien hypertexte visité" xfId="23235" builtinId="9" hidden="1"/>
    <cellStyle name="Lien hypertexte visité" xfId="23237" builtinId="9" hidden="1"/>
    <cellStyle name="Lien hypertexte visité" xfId="23239" builtinId="9" hidden="1"/>
    <cellStyle name="Lien hypertexte visité" xfId="23241" builtinId="9" hidden="1"/>
    <cellStyle name="Lien hypertexte visité" xfId="23243" builtinId="9" hidden="1"/>
    <cellStyle name="Lien hypertexte visité" xfId="23245" builtinId="9" hidden="1"/>
    <cellStyle name="Lien hypertexte visité" xfId="23247" builtinId="9" hidden="1"/>
    <cellStyle name="Lien hypertexte visité" xfId="23249" builtinId="9" hidden="1"/>
    <cellStyle name="Lien hypertexte visité" xfId="23251" builtinId="9" hidden="1"/>
    <cellStyle name="Lien hypertexte visité" xfId="23253" builtinId="9" hidden="1"/>
    <cellStyle name="Lien hypertexte visité" xfId="23255" builtinId="9" hidden="1"/>
    <cellStyle name="Lien hypertexte visité" xfId="23257" builtinId="9" hidden="1"/>
    <cellStyle name="Lien hypertexte visité" xfId="23259" builtinId="9" hidden="1"/>
    <cellStyle name="Lien hypertexte visité" xfId="23261" builtinId="9" hidden="1"/>
    <cellStyle name="Lien hypertexte visité" xfId="23263" builtinId="9" hidden="1"/>
    <cellStyle name="Lien hypertexte visité" xfId="23265" builtinId="9" hidden="1"/>
    <cellStyle name="Lien hypertexte visité" xfId="23267" builtinId="9" hidden="1"/>
    <cellStyle name="Lien hypertexte visité" xfId="23269" builtinId="9" hidden="1"/>
    <cellStyle name="Lien hypertexte visité" xfId="23271" builtinId="9" hidden="1"/>
    <cellStyle name="Lien hypertexte visité" xfId="23273" builtinId="9" hidden="1"/>
    <cellStyle name="Lien hypertexte visité" xfId="23275" builtinId="9" hidden="1"/>
    <cellStyle name="Lien hypertexte visité" xfId="23277" builtinId="9" hidden="1"/>
    <cellStyle name="Lien hypertexte visité" xfId="23279" builtinId="9" hidden="1"/>
    <cellStyle name="Lien hypertexte visité" xfId="23281" builtinId="9" hidden="1"/>
    <cellStyle name="Lien hypertexte visité" xfId="23283" builtinId="9" hidden="1"/>
    <cellStyle name="Lien hypertexte visité" xfId="23285" builtinId="9" hidden="1"/>
    <cellStyle name="Lien hypertexte visité" xfId="23287" builtinId="9" hidden="1"/>
    <cellStyle name="Lien hypertexte visité" xfId="23289" builtinId="9" hidden="1"/>
    <cellStyle name="Lien hypertexte visité" xfId="23291" builtinId="9" hidden="1"/>
    <cellStyle name="Lien hypertexte visité" xfId="23293" builtinId="9" hidden="1"/>
    <cellStyle name="Lien hypertexte visité" xfId="23295" builtinId="9" hidden="1"/>
    <cellStyle name="Lien hypertexte visité" xfId="23297" builtinId="9" hidden="1"/>
    <cellStyle name="Lien hypertexte visité" xfId="23299" builtinId="9" hidden="1"/>
    <cellStyle name="Lien hypertexte visité" xfId="23301" builtinId="9" hidden="1"/>
    <cellStyle name="Lien hypertexte visité" xfId="23303" builtinId="9" hidden="1"/>
    <cellStyle name="Lien hypertexte visité" xfId="23305" builtinId="9" hidden="1"/>
    <cellStyle name="Lien hypertexte visité" xfId="23307" builtinId="9" hidden="1"/>
    <cellStyle name="Lien hypertexte visité" xfId="23309" builtinId="9" hidden="1"/>
    <cellStyle name="Lien hypertexte visité" xfId="23311" builtinId="9" hidden="1"/>
    <cellStyle name="Lien hypertexte visité" xfId="23313" builtinId="9" hidden="1"/>
    <cellStyle name="Lien hypertexte visité" xfId="23315" builtinId="9" hidden="1"/>
    <cellStyle name="Lien hypertexte visité" xfId="23317" builtinId="9" hidden="1"/>
    <cellStyle name="Lien hypertexte visité" xfId="23319" builtinId="9" hidden="1"/>
    <cellStyle name="Lien hypertexte visité" xfId="23321" builtinId="9" hidden="1"/>
    <cellStyle name="Lien hypertexte visité" xfId="23323" builtinId="9" hidden="1"/>
    <cellStyle name="Lien hypertexte visité" xfId="23325" builtinId="9" hidden="1"/>
    <cellStyle name="Lien hypertexte visité" xfId="23327" builtinId="9" hidden="1"/>
    <cellStyle name="Lien hypertexte visité" xfId="23329" builtinId="9" hidden="1"/>
    <cellStyle name="Lien hypertexte visité" xfId="23331" builtinId="9" hidden="1"/>
    <cellStyle name="Lien hypertexte visité" xfId="23333" builtinId="9" hidden="1"/>
    <cellStyle name="Lien hypertexte visité" xfId="23335" builtinId="9" hidden="1"/>
    <cellStyle name="Lien hypertexte visité" xfId="23337" builtinId="9" hidden="1"/>
    <cellStyle name="Lien hypertexte visité" xfId="23339" builtinId="9" hidden="1"/>
    <cellStyle name="Lien hypertexte visité" xfId="23341" builtinId="9" hidden="1"/>
    <cellStyle name="Lien hypertexte visité" xfId="23343" builtinId="9" hidden="1"/>
    <cellStyle name="Lien hypertexte visité" xfId="23345" builtinId="9" hidden="1"/>
    <cellStyle name="Lien hypertexte visité" xfId="23347" builtinId="9" hidden="1"/>
    <cellStyle name="Lien hypertexte visité" xfId="23349" builtinId="9" hidden="1"/>
    <cellStyle name="Lien hypertexte visité" xfId="23351" builtinId="9" hidden="1"/>
    <cellStyle name="Lien hypertexte visité" xfId="23353" builtinId="9" hidden="1"/>
    <cellStyle name="Lien hypertexte visité" xfId="23355" builtinId="9" hidden="1"/>
    <cellStyle name="Lien hypertexte visité" xfId="23357" builtinId="9" hidden="1"/>
    <cellStyle name="Lien hypertexte visité" xfId="23359" builtinId="9" hidden="1"/>
    <cellStyle name="Lien hypertexte visité" xfId="23361" builtinId="9" hidden="1"/>
    <cellStyle name="Lien hypertexte visité" xfId="23363" builtinId="9" hidden="1"/>
    <cellStyle name="Lien hypertexte visité" xfId="23365" builtinId="9" hidden="1"/>
    <cellStyle name="Lien hypertexte visité" xfId="23367" builtinId="9" hidden="1"/>
    <cellStyle name="Lien hypertexte visité" xfId="23369" builtinId="9" hidden="1"/>
    <cellStyle name="Lien hypertexte visité" xfId="23371" builtinId="9" hidden="1"/>
    <cellStyle name="Lien hypertexte visité" xfId="23373" builtinId="9" hidden="1"/>
    <cellStyle name="Lien hypertexte visité" xfId="23375" builtinId="9" hidden="1"/>
    <cellStyle name="Lien hypertexte visité" xfId="23377" builtinId="9" hidden="1"/>
    <cellStyle name="Lien hypertexte visité" xfId="23379" builtinId="9" hidden="1"/>
    <cellStyle name="Lien hypertexte visité" xfId="23381" builtinId="9" hidden="1"/>
    <cellStyle name="Lien hypertexte visité" xfId="23383" builtinId="9" hidden="1"/>
    <cellStyle name="Lien hypertexte visité" xfId="23385" builtinId="9" hidden="1"/>
    <cellStyle name="Lien hypertexte visité" xfId="23387" builtinId="9" hidden="1"/>
    <cellStyle name="Lien hypertexte visité" xfId="23389" builtinId="9" hidden="1"/>
    <cellStyle name="Lien hypertexte visité" xfId="23391" builtinId="9" hidden="1"/>
    <cellStyle name="Lien hypertexte visité" xfId="23393" builtinId="9" hidden="1"/>
    <cellStyle name="Lien hypertexte visité" xfId="23395" builtinId="9" hidden="1"/>
    <cellStyle name="Lien hypertexte visité" xfId="23397" builtinId="9" hidden="1"/>
    <cellStyle name="Lien hypertexte visité" xfId="23399" builtinId="9" hidden="1"/>
    <cellStyle name="Lien hypertexte visité" xfId="23401" builtinId="9" hidden="1"/>
    <cellStyle name="Lien hypertexte visité" xfId="23403" builtinId="9" hidden="1"/>
    <cellStyle name="Lien hypertexte visité" xfId="23405" builtinId="9" hidden="1"/>
    <cellStyle name="Lien hypertexte visité" xfId="23407" builtinId="9" hidden="1"/>
    <cellStyle name="Lien hypertexte visité" xfId="23409" builtinId="9" hidden="1"/>
    <cellStyle name="Lien hypertexte visité" xfId="23411" builtinId="9" hidden="1"/>
    <cellStyle name="Lien hypertexte visité" xfId="23413" builtinId="9" hidden="1"/>
    <cellStyle name="Lien hypertexte visité" xfId="23415" builtinId="9" hidden="1"/>
    <cellStyle name="Lien hypertexte visité" xfId="23417" builtinId="9" hidden="1"/>
    <cellStyle name="Lien hypertexte visité" xfId="23419" builtinId="9" hidden="1"/>
    <cellStyle name="Lien hypertexte visité" xfId="23421" builtinId="9" hidden="1"/>
    <cellStyle name="Lien hypertexte visité" xfId="23423" builtinId="9" hidden="1"/>
    <cellStyle name="Lien hypertexte visité" xfId="23425" builtinId="9" hidden="1"/>
    <cellStyle name="Lien hypertexte visité" xfId="23427" builtinId="9" hidden="1"/>
    <cellStyle name="Lien hypertexte visité" xfId="23429" builtinId="9" hidden="1"/>
    <cellStyle name="Lien hypertexte visité" xfId="23431" builtinId="9" hidden="1"/>
    <cellStyle name="Lien hypertexte visité" xfId="23433" builtinId="9" hidden="1"/>
    <cellStyle name="Lien hypertexte visité" xfId="23435" builtinId="9" hidden="1"/>
    <cellStyle name="Lien hypertexte visité" xfId="23437" builtinId="9" hidden="1"/>
    <cellStyle name="Lien hypertexte visité" xfId="23439" builtinId="9" hidden="1"/>
    <cellStyle name="Lien hypertexte visité" xfId="23441" builtinId="9" hidden="1"/>
    <cellStyle name="Lien hypertexte visité" xfId="23443" builtinId="9" hidden="1"/>
    <cellStyle name="Lien hypertexte visité" xfId="23445" builtinId="9" hidden="1"/>
    <cellStyle name="Lien hypertexte visité" xfId="23447" builtinId="9" hidden="1"/>
    <cellStyle name="Lien hypertexte visité" xfId="23449" builtinId="9" hidden="1"/>
    <cellStyle name="Lien hypertexte visité" xfId="23451" builtinId="9" hidden="1"/>
    <cellStyle name="Lien hypertexte visité" xfId="23453" builtinId="9" hidden="1"/>
    <cellStyle name="Lien hypertexte visité" xfId="23455" builtinId="9" hidden="1"/>
    <cellStyle name="Lien hypertexte visité" xfId="23457" builtinId="9" hidden="1"/>
    <cellStyle name="Lien hypertexte visité" xfId="23459" builtinId="9" hidden="1"/>
    <cellStyle name="Lien hypertexte visité" xfId="23461" builtinId="9" hidden="1"/>
    <cellStyle name="Lien hypertexte visité" xfId="23463" builtinId="9" hidden="1"/>
    <cellStyle name="Lien hypertexte visité" xfId="23465" builtinId="9" hidden="1"/>
    <cellStyle name="Lien hypertexte visité" xfId="23467" builtinId="9" hidden="1"/>
    <cellStyle name="Lien hypertexte visité" xfId="23469" builtinId="9" hidden="1"/>
    <cellStyle name="Lien hypertexte visité" xfId="23471" builtinId="9" hidden="1"/>
    <cellStyle name="Lien hypertexte visité" xfId="23473" builtinId="9" hidden="1"/>
    <cellStyle name="Lien hypertexte visité" xfId="23475" builtinId="9" hidden="1"/>
    <cellStyle name="Lien hypertexte visité" xfId="23477" builtinId="9" hidden="1"/>
    <cellStyle name="Lien hypertexte visité" xfId="23479" builtinId="9" hidden="1"/>
    <cellStyle name="Lien hypertexte visité" xfId="23481" builtinId="9" hidden="1"/>
    <cellStyle name="Lien hypertexte visité" xfId="23483" builtinId="9" hidden="1"/>
    <cellStyle name="Lien hypertexte visité" xfId="23485" builtinId="9" hidden="1"/>
    <cellStyle name="Lien hypertexte visité" xfId="23487" builtinId="9" hidden="1"/>
    <cellStyle name="Lien hypertexte visité" xfId="23489" builtinId="9" hidden="1"/>
    <cellStyle name="Lien hypertexte visité" xfId="23491" builtinId="9" hidden="1"/>
    <cellStyle name="Lien hypertexte visité" xfId="23493" builtinId="9" hidden="1"/>
    <cellStyle name="Lien hypertexte visité" xfId="23495" builtinId="9" hidden="1"/>
    <cellStyle name="Lien hypertexte visité" xfId="23497" builtinId="9" hidden="1"/>
    <cellStyle name="Lien hypertexte visité" xfId="23499" builtinId="9" hidden="1"/>
    <cellStyle name="Lien hypertexte visité" xfId="23501" builtinId="9" hidden="1"/>
    <cellStyle name="Lien hypertexte visité" xfId="23503" builtinId="9" hidden="1"/>
    <cellStyle name="Lien hypertexte visité" xfId="23505" builtinId="9" hidden="1"/>
    <cellStyle name="Lien hypertexte visité" xfId="23507" builtinId="9" hidden="1"/>
    <cellStyle name="Lien hypertexte visité" xfId="23509" builtinId="9" hidden="1"/>
    <cellStyle name="Lien hypertexte visité" xfId="23511" builtinId="9" hidden="1"/>
    <cellStyle name="Lien hypertexte visité" xfId="23513" builtinId="9" hidden="1"/>
    <cellStyle name="Lien hypertexte visité" xfId="23515" builtinId="9" hidden="1"/>
    <cellStyle name="Lien hypertexte visité" xfId="23517" builtinId="9" hidden="1"/>
    <cellStyle name="Lien hypertexte visité" xfId="23519" builtinId="9" hidden="1"/>
    <cellStyle name="Lien hypertexte visité" xfId="23521" builtinId="9" hidden="1"/>
    <cellStyle name="Lien hypertexte visité" xfId="23523" builtinId="9" hidden="1"/>
    <cellStyle name="Lien hypertexte visité" xfId="23525" builtinId="9" hidden="1"/>
    <cellStyle name="Lien hypertexte visité" xfId="23527" builtinId="9" hidden="1"/>
    <cellStyle name="Lien hypertexte visité" xfId="23529" builtinId="9" hidden="1"/>
    <cellStyle name="Lien hypertexte visité" xfId="23531" builtinId="9" hidden="1"/>
    <cellStyle name="Lien hypertexte visité" xfId="23533" builtinId="9" hidden="1"/>
    <cellStyle name="Lien hypertexte visité" xfId="23535" builtinId="9" hidden="1"/>
    <cellStyle name="Lien hypertexte visité" xfId="23537" builtinId="9" hidden="1"/>
    <cellStyle name="Lien hypertexte visité" xfId="23539" builtinId="9" hidden="1"/>
    <cellStyle name="Lien hypertexte visité" xfId="23541" builtinId="9" hidden="1"/>
    <cellStyle name="Lien hypertexte visité" xfId="23543" builtinId="9" hidden="1"/>
    <cellStyle name="Lien hypertexte visité" xfId="23545" builtinId="9" hidden="1"/>
    <cellStyle name="Lien hypertexte visité" xfId="23547" builtinId="9" hidden="1"/>
    <cellStyle name="Lien hypertexte visité" xfId="23549" builtinId="9" hidden="1"/>
    <cellStyle name="Lien hypertexte visité" xfId="23551" builtinId="9" hidden="1"/>
    <cellStyle name="Lien hypertexte visité" xfId="23553" builtinId="9" hidden="1"/>
    <cellStyle name="Lien hypertexte visité" xfId="23555" builtinId="9" hidden="1"/>
    <cellStyle name="Lien hypertexte visité" xfId="23557" builtinId="9" hidden="1"/>
    <cellStyle name="Lien hypertexte visité" xfId="23559" builtinId="9" hidden="1"/>
    <cellStyle name="Lien hypertexte visité" xfId="23561" builtinId="9" hidden="1"/>
    <cellStyle name="Lien hypertexte visité" xfId="23563" builtinId="9" hidden="1"/>
    <cellStyle name="Lien hypertexte visité" xfId="23565" builtinId="9" hidden="1"/>
    <cellStyle name="Lien hypertexte visité" xfId="23567" builtinId="9" hidden="1"/>
    <cellStyle name="Lien hypertexte visité" xfId="23569" builtinId="9" hidden="1"/>
    <cellStyle name="Lien hypertexte visité" xfId="23571" builtinId="9" hidden="1"/>
    <cellStyle name="Lien hypertexte visité" xfId="23573" builtinId="9" hidden="1"/>
    <cellStyle name="Lien hypertexte visité" xfId="23575" builtinId="9" hidden="1"/>
    <cellStyle name="Lien hypertexte visité" xfId="23577" builtinId="9" hidden="1"/>
    <cellStyle name="Lien hypertexte visité" xfId="23579" builtinId="9" hidden="1"/>
    <cellStyle name="Lien hypertexte visité" xfId="23581" builtinId="9" hidden="1"/>
    <cellStyle name="Lien hypertexte visité" xfId="23583" builtinId="9" hidden="1"/>
    <cellStyle name="Lien hypertexte visité" xfId="23585" builtinId="9" hidden="1"/>
    <cellStyle name="Lien hypertexte visité" xfId="23587" builtinId="9" hidden="1"/>
    <cellStyle name="Lien hypertexte visité" xfId="23589" builtinId="9" hidden="1"/>
    <cellStyle name="Lien hypertexte visité" xfId="23591" builtinId="9" hidden="1"/>
    <cellStyle name="Lien hypertexte visité" xfId="23593" builtinId="9" hidden="1"/>
    <cellStyle name="Lien hypertexte visité" xfId="23595" builtinId="9" hidden="1"/>
    <cellStyle name="Lien hypertexte visité" xfId="23597" builtinId="9" hidden="1"/>
    <cellStyle name="Lien hypertexte visité" xfId="23599" builtinId="9" hidden="1"/>
    <cellStyle name="Lien hypertexte visité" xfId="23601" builtinId="9" hidden="1"/>
    <cellStyle name="Lien hypertexte visité" xfId="23603" builtinId="9" hidden="1"/>
    <cellStyle name="Lien hypertexte visité" xfId="23605" builtinId="9" hidden="1"/>
    <cellStyle name="Lien hypertexte visité" xfId="23607" builtinId="9" hidden="1"/>
    <cellStyle name="Lien hypertexte visité" xfId="23609" builtinId="9" hidden="1"/>
    <cellStyle name="Lien hypertexte visité" xfId="23611" builtinId="9" hidden="1"/>
    <cellStyle name="Lien hypertexte visité" xfId="23613" builtinId="9" hidden="1"/>
    <cellStyle name="Lien hypertexte visité" xfId="23615" builtinId="9" hidden="1"/>
    <cellStyle name="Lien hypertexte visité" xfId="23617" builtinId="9" hidden="1"/>
    <cellStyle name="Lien hypertexte visité" xfId="23619" builtinId="9" hidden="1"/>
    <cellStyle name="Lien hypertexte visité" xfId="23621" builtinId="9" hidden="1"/>
    <cellStyle name="Lien hypertexte visité" xfId="23623" builtinId="9" hidden="1"/>
    <cellStyle name="Lien hypertexte visité" xfId="23625" builtinId="9" hidden="1"/>
    <cellStyle name="Lien hypertexte visité" xfId="23627" builtinId="9" hidden="1"/>
    <cellStyle name="Lien hypertexte visité" xfId="23629" builtinId="9" hidden="1"/>
    <cellStyle name="Lien hypertexte visité" xfId="23631" builtinId="9" hidden="1"/>
    <cellStyle name="Lien hypertexte visité" xfId="23633" builtinId="9" hidden="1"/>
    <cellStyle name="Lien hypertexte visité" xfId="23635" builtinId="9" hidden="1"/>
    <cellStyle name="Lien hypertexte visité" xfId="23637" builtinId="9" hidden="1"/>
    <cellStyle name="Lien hypertexte visité" xfId="23639" builtinId="9" hidden="1"/>
    <cellStyle name="Lien hypertexte visité" xfId="23641" builtinId="9" hidden="1"/>
    <cellStyle name="Lien hypertexte visité" xfId="23643" builtinId="9" hidden="1"/>
    <cellStyle name="Lien hypertexte visité" xfId="23645" builtinId="9" hidden="1"/>
    <cellStyle name="Lien hypertexte visité" xfId="23647" builtinId="9" hidden="1"/>
    <cellStyle name="Lien hypertexte visité" xfId="23649" builtinId="9" hidden="1"/>
    <cellStyle name="Lien hypertexte visité" xfId="23651" builtinId="9" hidden="1"/>
    <cellStyle name="Lien hypertexte visité" xfId="23653" builtinId="9" hidden="1"/>
    <cellStyle name="Lien hypertexte visité" xfId="23655" builtinId="9" hidden="1"/>
    <cellStyle name="Lien hypertexte visité" xfId="23657" builtinId="9" hidden="1"/>
    <cellStyle name="Lien hypertexte visité" xfId="23659" builtinId="9" hidden="1"/>
    <cellStyle name="Lien hypertexte visité" xfId="23661" builtinId="9" hidden="1"/>
    <cellStyle name="Lien hypertexte visité" xfId="23663" builtinId="9" hidden="1"/>
    <cellStyle name="Lien hypertexte visité" xfId="23665" builtinId="9" hidden="1"/>
    <cellStyle name="Lien hypertexte visité" xfId="23667" builtinId="9" hidden="1"/>
    <cellStyle name="Lien hypertexte visité" xfId="23669" builtinId="9" hidden="1"/>
    <cellStyle name="Lien hypertexte visité" xfId="23671" builtinId="9" hidden="1"/>
    <cellStyle name="Lien hypertexte visité" xfId="23673" builtinId="9" hidden="1"/>
    <cellStyle name="Lien hypertexte visité" xfId="23675" builtinId="9" hidden="1"/>
    <cellStyle name="Lien hypertexte visité" xfId="23677" builtinId="9" hidden="1"/>
    <cellStyle name="Lien hypertexte visité" xfId="23679" builtinId="9" hidden="1"/>
    <cellStyle name="Lien hypertexte visité" xfId="23681" builtinId="9" hidden="1"/>
    <cellStyle name="Lien hypertexte visité" xfId="23683" builtinId="9" hidden="1"/>
    <cellStyle name="Lien hypertexte visité" xfId="23685" builtinId="9" hidden="1"/>
    <cellStyle name="Lien hypertexte visité" xfId="23687" builtinId="9" hidden="1"/>
    <cellStyle name="Lien hypertexte visité" xfId="23689" builtinId="9" hidden="1"/>
    <cellStyle name="Lien hypertexte visité" xfId="23691" builtinId="9" hidden="1"/>
    <cellStyle name="Lien hypertexte visité" xfId="23693" builtinId="9" hidden="1"/>
    <cellStyle name="Lien hypertexte visité" xfId="23695" builtinId="9" hidden="1"/>
    <cellStyle name="Lien hypertexte visité" xfId="23697" builtinId="9" hidden="1"/>
    <cellStyle name="Lien hypertexte visité" xfId="23699" builtinId="9" hidden="1"/>
    <cellStyle name="Lien hypertexte visité" xfId="23701" builtinId="9" hidden="1"/>
    <cellStyle name="Lien hypertexte visité" xfId="23703" builtinId="9" hidden="1"/>
    <cellStyle name="Lien hypertexte visité" xfId="23705" builtinId="9" hidden="1"/>
    <cellStyle name="Lien hypertexte visité" xfId="23707" builtinId="9" hidden="1"/>
    <cellStyle name="Lien hypertexte visité" xfId="23709" builtinId="9" hidden="1"/>
    <cellStyle name="Lien hypertexte visité" xfId="23711" builtinId="9" hidden="1"/>
    <cellStyle name="Lien hypertexte visité" xfId="23713" builtinId="9" hidden="1"/>
    <cellStyle name="Lien hypertexte visité" xfId="23715" builtinId="9" hidden="1"/>
    <cellStyle name="Lien hypertexte visité" xfId="23717" builtinId="9" hidden="1"/>
    <cellStyle name="Lien hypertexte visité" xfId="23719" builtinId="9" hidden="1"/>
    <cellStyle name="Lien hypertexte visité" xfId="23721" builtinId="9" hidden="1"/>
    <cellStyle name="Lien hypertexte visité" xfId="23723" builtinId="9" hidden="1"/>
    <cellStyle name="Lien hypertexte visité" xfId="23725" builtinId="9" hidden="1"/>
    <cellStyle name="Lien hypertexte visité" xfId="23727" builtinId="9" hidden="1"/>
    <cellStyle name="Lien hypertexte visité" xfId="23729" builtinId="9" hidden="1"/>
    <cellStyle name="Lien hypertexte visité" xfId="23731" builtinId="9" hidden="1"/>
    <cellStyle name="Lien hypertexte visité" xfId="23733" builtinId="9" hidden="1"/>
    <cellStyle name="Lien hypertexte visité" xfId="23735" builtinId="9" hidden="1"/>
    <cellStyle name="Lien hypertexte visité" xfId="23737" builtinId="9" hidden="1"/>
    <cellStyle name="Lien hypertexte visité" xfId="23739" builtinId="9" hidden="1"/>
    <cellStyle name="Lien hypertexte visité" xfId="23741" builtinId="9" hidden="1"/>
    <cellStyle name="Lien hypertexte visité" xfId="23743" builtinId="9" hidden="1"/>
    <cellStyle name="Lien hypertexte visité" xfId="23745" builtinId="9" hidden="1"/>
    <cellStyle name="Lien hypertexte visité" xfId="23747" builtinId="9" hidden="1"/>
    <cellStyle name="Lien hypertexte visité" xfId="23749" builtinId="9" hidden="1"/>
    <cellStyle name="Lien hypertexte visité" xfId="23751" builtinId="9" hidden="1"/>
    <cellStyle name="Lien hypertexte visité" xfId="23753" builtinId="9" hidden="1"/>
    <cellStyle name="Lien hypertexte visité" xfId="23755" builtinId="9" hidden="1"/>
    <cellStyle name="Lien hypertexte visité" xfId="23757" builtinId="9" hidden="1"/>
    <cellStyle name="Lien hypertexte visité" xfId="23759" builtinId="9" hidden="1"/>
    <cellStyle name="Lien hypertexte visité" xfId="23761" builtinId="9" hidden="1"/>
    <cellStyle name="Lien hypertexte visité" xfId="23763" builtinId="9" hidden="1"/>
    <cellStyle name="Lien hypertexte visité" xfId="23765" builtinId="9" hidden="1"/>
    <cellStyle name="Lien hypertexte visité" xfId="23767" builtinId="9" hidden="1"/>
    <cellStyle name="Lien hypertexte visité" xfId="23769" builtinId="9" hidden="1"/>
    <cellStyle name="Lien hypertexte visité" xfId="23771" builtinId="9" hidden="1"/>
    <cellStyle name="Lien hypertexte visité" xfId="23773" builtinId="9" hidden="1"/>
    <cellStyle name="Lien hypertexte visité" xfId="23775" builtinId="9" hidden="1"/>
    <cellStyle name="Lien hypertexte visité" xfId="23777" builtinId="9" hidden="1"/>
    <cellStyle name="Lien hypertexte visité" xfId="23779" builtinId="9" hidden="1"/>
    <cellStyle name="Lien hypertexte visité" xfId="23781" builtinId="9" hidden="1"/>
    <cellStyle name="Lien hypertexte visité" xfId="23783" builtinId="9" hidden="1"/>
    <cellStyle name="Lien hypertexte visité" xfId="23785" builtinId="9" hidden="1"/>
    <cellStyle name="Lien hypertexte visité" xfId="23787" builtinId="9" hidden="1"/>
    <cellStyle name="Lien hypertexte visité" xfId="23789" builtinId="9" hidden="1"/>
    <cellStyle name="Lien hypertexte visité" xfId="23791" builtinId="9" hidden="1"/>
    <cellStyle name="Lien hypertexte visité" xfId="23793" builtinId="9" hidden="1"/>
    <cellStyle name="Lien hypertexte visité" xfId="23795" builtinId="9" hidden="1"/>
    <cellStyle name="Lien hypertexte visité" xfId="23797" builtinId="9" hidden="1"/>
    <cellStyle name="Lien hypertexte visité" xfId="23799" builtinId="9" hidden="1"/>
    <cellStyle name="Lien hypertexte visité" xfId="23801" builtinId="9" hidden="1"/>
    <cellStyle name="Lien hypertexte visité" xfId="23803" builtinId="9" hidden="1"/>
    <cellStyle name="Lien hypertexte visité" xfId="23805" builtinId="9" hidden="1"/>
    <cellStyle name="Lien hypertexte visité" xfId="23807" builtinId="9" hidden="1"/>
    <cellStyle name="Lien hypertexte visité" xfId="23809" builtinId="9" hidden="1"/>
    <cellStyle name="Lien hypertexte visité" xfId="23811" builtinId="9" hidden="1"/>
    <cellStyle name="Lien hypertexte visité" xfId="23813" builtinId="9" hidden="1"/>
    <cellStyle name="Lien hypertexte visité" xfId="23815" builtinId="9" hidden="1"/>
    <cellStyle name="Lien hypertexte visité" xfId="23817" builtinId="9" hidden="1"/>
    <cellStyle name="Lien hypertexte visité" xfId="23819" builtinId="9" hidden="1"/>
    <cellStyle name="Lien hypertexte visité" xfId="23821" builtinId="9" hidden="1"/>
    <cellStyle name="Lien hypertexte visité" xfId="23823" builtinId="9" hidden="1"/>
    <cellStyle name="Lien hypertexte visité" xfId="23825" builtinId="9" hidden="1"/>
    <cellStyle name="Lien hypertexte visité" xfId="23827" builtinId="9" hidden="1"/>
    <cellStyle name="Lien hypertexte visité" xfId="23829" builtinId="9" hidden="1"/>
    <cellStyle name="Lien hypertexte visité" xfId="23831" builtinId="9" hidden="1"/>
    <cellStyle name="Lien hypertexte visité" xfId="23833" builtinId="9" hidden="1"/>
    <cellStyle name="Lien hypertexte visité" xfId="23835" builtinId="9" hidden="1"/>
    <cellStyle name="Lien hypertexte visité" xfId="23837" builtinId="9" hidden="1"/>
    <cellStyle name="Lien hypertexte visité" xfId="23839" builtinId="9" hidden="1"/>
    <cellStyle name="Lien hypertexte visité" xfId="23841" builtinId="9" hidden="1"/>
    <cellStyle name="Lien hypertexte visité" xfId="23843" builtinId="9" hidden="1"/>
    <cellStyle name="Lien hypertexte visité" xfId="23845" builtinId="9" hidden="1"/>
    <cellStyle name="Lien hypertexte visité" xfId="23847" builtinId="9" hidden="1"/>
    <cellStyle name="Lien hypertexte visité" xfId="23849" builtinId="9" hidden="1"/>
    <cellStyle name="Lien hypertexte visité" xfId="23851" builtinId="9" hidden="1"/>
    <cellStyle name="Lien hypertexte visité" xfId="23853" builtinId="9" hidden="1"/>
    <cellStyle name="Lien hypertexte visité" xfId="23855" builtinId="9" hidden="1"/>
    <cellStyle name="Lien hypertexte visité" xfId="23857" builtinId="9" hidden="1"/>
    <cellStyle name="Lien hypertexte visité" xfId="23859" builtinId="9" hidden="1"/>
    <cellStyle name="Lien hypertexte visité" xfId="23861" builtinId="9" hidden="1"/>
    <cellStyle name="Lien hypertexte visité" xfId="23863" builtinId="9" hidden="1"/>
    <cellStyle name="Lien hypertexte visité" xfId="23865" builtinId="9" hidden="1"/>
    <cellStyle name="Lien hypertexte visité" xfId="23867" builtinId="9" hidden="1"/>
    <cellStyle name="Lien hypertexte visité" xfId="23869" builtinId="9" hidden="1"/>
    <cellStyle name="Lien hypertexte visité" xfId="23871" builtinId="9" hidden="1"/>
    <cellStyle name="Lien hypertexte visité" xfId="23873" builtinId="9" hidden="1"/>
    <cellStyle name="Lien hypertexte visité" xfId="23875" builtinId="9" hidden="1"/>
    <cellStyle name="Lien hypertexte visité" xfId="23877" builtinId="9" hidden="1"/>
    <cellStyle name="Lien hypertexte visité" xfId="23879" builtinId="9" hidden="1"/>
    <cellStyle name="Lien hypertexte visité" xfId="23881" builtinId="9" hidden="1"/>
    <cellStyle name="Lien hypertexte visité" xfId="23883" builtinId="9" hidden="1"/>
    <cellStyle name="Lien hypertexte visité" xfId="23885" builtinId="9" hidden="1"/>
    <cellStyle name="Lien hypertexte visité" xfId="23887" builtinId="9" hidden="1"/>
    <cellStyle name="Lien hypertexte visité" xfId="23889" builtinId="9" hidden="1"/>
    <cellStyle name="Lien hypertexte visité" xfId="23891" builtinId="9" hidden="1"/>
    <cellStyle name="Lien hypertexte visité" xfId="23893" builtinId="9" hidden="1"/>
    <cellStyle name="Lien hypertexte visité" xfId="23895" builtinId="9" hidden="1"/>
    <cellStyle name="Lien hypertexte visité" xfId="23897" builtinId="9" hidden="1"/>
    <cellStyle name="Lien hypertexte visité" xfId="23899" builtinId="9" hidden="1"/>
    <cellStyle name="Lien hypertexte visité" xfId="23901" builtinId="9" hidden="1"/>
    <cellStyle name="Lien hypertexte visité" xfId="23903" builtinId="9" hidden="1"/>
    <cellStyle name="Lien hypertexte visité" xfId="23905" builtinId="9" hidden="1"/>
    <cellStyle name="Lien hypertexte visité" xfId="23907" builtinId="9" hidden="1"/>
    <cellStyle name="Lien hypertexte visité" xfId="23909" builtinId="9" hidden="1"/>
    <cellStyle name="Lien hypertexte visité" xfId="23911" builtinId="9" hidden="1"/>
    <cellStyle name="Lien hypertexte visité" xfId="23913" builtinId="9" hidden="1"/>
    <cellStyle name="Lien hypertexte visité" xfId="23915" builtinId="9" hidden="1"/>
    <cellStyle name="Lien hypertexte visité" xfId="23917" builtinId="9" hidden="1"/>
    <cellStyle name="Lien hypertexte visité" xfId="23919" builtinId="9" hidden="1"/>
    <cellStyle name="Lien hypertexte visité" xfId="23921" builtinId="9" hidden="1"/>
    <cellStyle name="Lien hypertexte visité" xfId="23923" builtinId="9" hidden="1"/>
    <cellStyle name="Lien hypertexte visité" xfId="23925" builtinId="9" hidden="1"/>
    <cellStyle name="Lien hypertexte visité" xfId="23927" builtinId="9" hidden="1"/>
    <cellStyle name="Lien hypertexte visité" xfId="23929" builtinId="9" hidden="1"/>
    <cellStyle name="Lien hypertexte visité" xfId="23931" builtinId="9" hidden="1"/>
    <cellStyle name="Lien hypertexte visité" xfId="23933" builtinId="9" hidden="1"/>
    <cellStyle name="Lien hypertexte visité" xfId="23935" builtinId="9" hidden="1"/>
    <cellStyle name="Lien hypertexte visité" xfId="23937" builtinId="9" hidden="1"/>
    <cellStyle name="Lien hypertexte visité" xfId="23939" builtinId="9" hidden="1"/>
    <cellStyle name="Lien hypertexte visité" xfId="23941" builtinId="9" hidden="1"/>
    <cellStyle name="Lien hypertexte visité" xfId="23943" builtinId="9" hidden="1"/>
    <cellStyle name="Lien hypertexte visité" xfId="23945" builtinId="9" hidden="1"/>
    <cellStyle name="Lien hypertexte visité" xfId="23947" builtinId="9" hidden="1"/>
    <cellStyle name="Lien hypertexte visité" xfId="23949" builtinId="9" hidden="1"/>
    <cellStyle name="Lien hypertexte visité" xfId="23951" builtinId="9" hidden="1"/>
    <cellStyle name="Lien hypertexte visité" xfId="23953" builtinId="9" hidden="1"/>
    <cellStyle name="Lien hypertexte visité" xfId="23955" builtinId="9" hidden="1"/>
    <cellStyle name="Lien hypertexte visité" xfId="23957" builtinId="9" hidden="1"/>
    <cellStyle name="Lien hypertexte visité" xfId="23959" builtinId="9" hidden="1"/>
    <cellStyle name="Lien hypertexte visité" xfId="23961" builtinId="9" hidden="1"/>
    <cellStyle name="Lien hypertexte visité" xfId="23963" builtinId="9" hidden="1"/>
    <cellStyle name="Lien hypertexte visité" xfId="23965" builtinId="9" hidden="1"/>
    <cellStyle name="Lien hypertexte visité" xfId="23967" builtinId="9" hidden="1"/>
    <cellStyle name="Lien hypertexte visité" xfId="23969" builtinId="9" hidden="1"/>
    <cellStyle name="Lien hypertexte visité" xfId="23971" builtinId="9" hidden="1"/>
    <cellStyle name="Lien hypertexte visité" xfId="23973" builtinId="9" hidden="1"/>
    <cellStyle name="Lien hypertexte visité" xfId="23975" builtinId="9" hidden="1"/>
    <cellStyle name="Lien hypertexte visité" xfId="23977" builtinId="9" hidden="1"/>
    <cellStyle name="Lien hypertexte visité" xfId="23979" builtinId="9" hidden="1"/>
    <cellStyle name="Lien hypertexte visité" xfId="23981" builtinId="9" hidden="1"/>
    <cellStyle name="Lien hypertexte visité" xfId="23983" builtinId="9" hidden="1"/>
    <cellStyle name="Lien hypertexte visité" xfId="23985" builtinId="9" hidden="1"/>
    <cellStyle name="Lien hypertexte visité" xfId="23987" builtinId="9" hidden="1"/>
    <cellStyle name="Lien hypertexte visité" xfId="23989" builtinId="9" hidden="1"/>
    <cellStyle name="Lien hypertexte visité" xfId="23991" builtinId="9" hidden="1"/>
    <cellStyle name="Lien hypertexte visité" xfId="23993" builtinId="9" hidden="1"/>
    <cellStyle name="Lien hypertexte visité" xfId="23995" builtinId="9" hidden="1"/>
    <cellStyle name="Lien hypertexte visité" xfId="23997" builtinId="9" hidden="1"/>
    <cellStyle name="Lien hypertexte visité" xfId="23999" builtinId="9" hidden="1"/>
    <cellStyle name="Lien hypertexte visité" xfId="24001" builtinId="9" hidden="1"/>
    <cellStyle name="Lien hypertexte visité" xfId="24003" builtinId="9" hidden="1"/>
    <cellStyle name="Lien hypertexte visité" xfId="24005" builtinId="9" hidden="1"/>
    <cellStyle name="Lien hypertexte visité" xfId="24007" builtinId="9" hidden="1"/>
    <cellStyle name="Lien hypertexte visité" xfId="24009" builtinId="9" hidden="1"/>
    <cellStyle name="Lien hypertexte visité" xfId="24011" builtinId="9" hidden="1"/>
    <cellStyle name="Lien hypertexte visité" xfId="24013" builtinId="9" hidden="1"/>
    <cellStyle name="Lien hypertexte visité" xfId="24015" builtinId="9" hidden="1"/>
    <cellStyle name="Lien hypertexte visité" xfId="24017" builtinId="9" hidden="1"/>
    <cellStyle name="Lien hypertexte visité" xfId="24019" builtinId="9" hidden="1"/>
    <cellStyle name="Lien hypertexte visité" xfId="24021" builtinId="9" hidden="1"/>
    <cellStyle name="Lien hypertexte visité" xfId="24023" builtinId="9" hidden="1"/>
    <cellStyle name="Lien hypertexte visité" xfId="24025" builtinId="9" hidden="1"/>
    <cellStyle name="Lien hypertexte visité" xfId="24027" builtinId="9" hidden="1"/>
    <cellStyle name="Lien hypertexte visité" xfId="24029" builtinId="9" hidden="1"/>
    <cellStyle name="Lien hypertexte visité" xfId="24031" builtinId="9" hidden="1"/>
    <cellStyle name="Lien hypertexte visité" xfId="24033" builtinId="9" hidden="1"/>
    <cellStyle name="Lien hypertexte visité" xfId="24035" builtinId="9" hidden="1"/>
    <cellStyle name="Lien hypertexte visité" xfId="24037" builtinId="9" hidden="1"/>
    <cellStyle name="Lien hypertexte visité" xfId="24039" builtinId="9" hidden="1"/>
    <cellStyle name="Lien hypertexte visité" xfId="24041" builtinId="9" hidden="1"/>
    <cellStyle name="Lien hypertexte visité" xfId="24043" builtinId="9" hidden="1"/>
    <cellStyle name="Lien hypertexte visité" xfId="24045" builtinId="9" hidden="1"/>
    <cellStyle name="Lien hypertexte visité" xfId="24047" builtinId="9" hidden="1"/>
    <cellStyle name="Lien hypertexte visité" xfId="24049" builtinId="9" hidden="1"/>
    <cellStyle name="Lien hypertexte visité" xfId="24051" builtinId="9" hidden="1"/>
    <cellStyle name="Lien hypertexte visité" xfId="24053" builtinId="9" hidden="1"/>
    <cellStyle name="Lien hypertexte visité" xfId="24055" builtinId="9" hidden="1"/>
    <cellStyle name="Lien hypertexte visité" xfId="24057" builtinId="9" hidden="1"/>
    <cellStyle name="Lien hypertexte visité" xfId="24059" builtinId="9" hidden="1"/>
    <cellStyle name="Lien hypertexte visité" xfId="24061" builtinId="9" hidden="1"/>
    <cellStyle name="Lien hypertexte visité" xfId="24063" builtinId="9" hidden="1"/>
    <cellStyle name="Lien hypertexte visité" xfId="24065" builtinId="9" hidden="1"/>
    <cellStyle name="Lien hypertexte visité" xfId="24067" builtinId="9" hidden="1"/>
    <cellStyle name="Lien hypertexte visité" xfId="24069" builtinId="9" hidden="1"/>
    <cellStyle name="Lien hypertexte visité" xfId="24071" builtinId="9" hidden="1"/>
    <cellStyle name="Lien hypertexte visité" xfId="24073" builtinId="9" hidden="1"/>
    <cellStyle name="Lien hypertexte visité" xfId="24075" builtinId="9" hidden="1"/>
    <cellStyle name="Lien hypertexte visité" xfId="24077" builtinId="9" hidden="1"/>
    <cellStyle name="Lien hypertexte visité" xfId="24079" builtinId="9" hidden="1"/>
    <cellStyle name="Lien hypertexte visité" xfId="24081" builtinId="9" hidden="1"/>
    <cellStyle name="Lien hypertexte visité" xfId="24083" builtinId="9" hidden="1"/>
    <cellStyle name="Lien hypertexte visité" xfId="24085" builtinId="9" hidden="1"/>
    <cellStyle name="Lien hypertexte visité" xfId="24087" builtinId="9" hidden="1"/>
    <cellStyle name="Lien hypertexte visité" xfId="24089" builtinId="9" hidden="1"/>
    <cellStyle name="Lien hypertexte visité" xfId="24091" builtinId="9" hidden="1"/>
    <cellStyle name="Lien hypertexte visité" xfId="24093" builtinId="9" hidden="1"/>
    <cellStyle name="Lien hypertexte visité" xfId="24095" builtinId="9" hidden="1"/>
    <cellStyle name="Lien hypertexte visité" xfId="24097" builtinId="9" hidden="1"/>
    <cellStyle name="Lien hypertexte visité" xfId="24099" builtinId="9" hidden="1"/>
    <cellStyle name="Lien hypertexte visité" xfId="24101" builtinId="9" hidden="1"/>
    <cellStyle name="Lien hypertexte visité" xfId="24103" builtinId="9" hidden="1"/>
    <cellStyle name="Lien hypertexte visité" xfId="24105" builtinId="9" hidden="1"/>
    <cellStyle name="Lien hypertexte visité" xfId="24107" builtinId="9" hidden="1"/>
    <cellStyle name="Lien hypertexte visité" xfId="24109" builtinId="9" hidden="1"/>
    <cellStyle name="Lien hypertexte visité" xfId="24111" builtinId="9" hidden="1"/>
    <cellStyle name="Lien hypertexte visité" xfId="24113" builtinId="9" hidden="1"/>
    <cellStyle name="Lien hypertexte visité" xfId="24115" builtinId="9" hidden="1"/>
    <cellStyle name="Lien hypertexte visité" xfId="24117" builtinId="9" hidden="1"/>
    <cellStyle name="Lien hypertexte visité" xfId="24119" builtinId="9" hidden="1"/>
    <cellStyle name="Lien hypertexte visité" xfId="24121" builtinId="9" hidden="1"/>
    <cellStyle name="Lien hypertexte visité" xfId="24123" builtinId="9" hidden="1"/>
    <cellStyle name="Lien hypertexte visité" xfId="24125" builtinId="9" hidden="1"/>
    <cellStyle name="Lien hypertexte visité" xfId="24127" builtinId="9" hidden="1"/>
    <cellStyle name="Lien hypertexte visité" xfId="24129" builtinId="9" hidden="1"/>
    <cellStyle name="Lien hypertexte visité" xfId="24131" builtinId="9" hidden="1"/>
    <cellStyle name="Lien hypertexte visité" xfId="24133" builtinId="9" hidden="1"/>
    <cellStyle name="Lien hypertexte visité" xfId="24135" builtinId="9" hidden="1"/>
    <cellStyle name="Lien hypertexte visité" xfId="24137" builtinId="9" hidden="1"/>
    <cellStyle name="Lien hypertexte visité" xfId="24139" builtinId="9" hidden="1"/>
    <cellStyle name="Lien hypertexte visité" xfId="24141" builtinId="9" hidden="1"/>
    <cellStyle name="Lien hypertexte visité" xfId="24143" builtinId="9" hidden="1"/>
    <cellStyle name="Lien hypertexte visité" xfId="24145" builtinId="9" hidden="1"/>
    <cellStyle name="Lien hypertexte visité" xfId="24147" builtinId="9" hidden="1"/>
    <cellStyle name="Lien hypertexte visité" xfId="24149" builtinId="9" hidden="1"/>
    <cellStyle name="Lien hypertexte visité" xfId="24151" builtinId="9" hidden="1"/>
    <cellStyle name="Lien hypertexte visité" xfId="24153" builtinId="9" hidden="1"/>
    <cellStyle name="Lien hypertexte visité" xfId="24155" builtinId="9" hidden="1"/>
    <cellStyle name="Lien hypertexte visité" xfId="24157" builtinId="9" hidden="1"/>
    <cellStyle name="Lien hypertexte visité" xfId="24159" builtinId="9" hidden="1"/>
    <cellStyle name="Lien hypertexte visité" xfId="24161" builtinId="9" hidden="1"/>
    <cellStyle name="Lien hypertexte visité" xfId="24163" builtinId="9" hidden="1"/>
    <cellStyle name="Lien hypertexte visité" xfId="24165" builtinId="9" hidden="1"/>
    <cellStyle name="Lien hypertexte visité" xfId="24167" builtinId="9" hidden="1"/>
    <cellStyle name="Lien hypertexte visité" xfId="24169" builtinId="9" hidden="1"/>
    <cellStyle name="Lien hypertexte visité" xfId="24171" builtinId="9" hidden="1"/>
    <cellStyle name="Lien hypertexte visité" xfId="24173" builtinId="9" hidden="1"/>
    <cellStyle name="Lien hypertexte visité" xfId="24175" builtinId="9" hidden="1"/>
    <cellStyle name="Lien hypertexte visité" xfId="24177" builtinId="9" hidden="1"/>
    <cellStyle name="Lien hypertexte visité" xfId="24179" builtinId="9" hidden="1"/>
    <cellStyle name="Lien hypertexte visité" xfId="24181" builtinId="9" hidden="1"/>
    <cellStyle name="Lien hypertexte visité" xfId="24183" builtinId="9" hidden="1"/>
    <cellStyle name="Lien hypertexte visité" xfId="24185" builtinId="9" hidden="1"/>
    <cellStyle name="Lien hypertexte visité" xfId="24187" builtinId="9" hidden="1"/>
    <cellStyle name="Lien hypertexte visité" xfId="24189" builtinId="9" hidden="1"/>
    <cellStyle name="Lien hypertexte visité" xfId="24191" builtinId="9" hidden="1"/>
    <cellStyle name="Lien hypertexte visité" xfId="24193" builtinId="9" hidden="1"/>
    <cellStyle name="Lien hypertexte visité" xfId="24195" builtinId="9" hidden="1"/>
    <cellStyle name="Lien hypertexte visité" xfId="24197" builtinId="9" hidden="1"/>
    <cellStyle name="Lien hypertexte visité" xfId="24199" builtinId="9" hidden="1"/>
    <cellStyle name="Lien hypertexte visité" xfId="24201" builtinId="9" hidden="1"/>
    <cellStyle name="Lien hypertexte visité" xfId="24203" builtinId="9" hidden="1"/>
    <cellStyle name="Lien hypertexte visité" xfId="24205" builtinId="9" hidden="1"/>
    <cellStyle name="Lien hypertexte visité" xfId="24207" builtinId="9" hidden="1"/>
    <cellStyle name="Lien hypertexte visité" xfId="24209" builtinId="9" hidden="1"/>
    <cellStyle name="Lien hypertexte visité" xfId="24211" builtinId="9" hidden="1"/>
    <cellStyle name="Lien hypertexte visité" xfId="24213" builtinId="9" hidden="1"/>
    <cellStyle name="Lien hypertexte visité" xfId="24215" builtinId="9" hidden="1"/>
    <cellStyle name="Lien hypertexte visité" xfId="24217" builtinId="9" hidden="1"/>
    <cellStyle name="Lien hypertexte visité" xfId="24219" builtinId="9" hidden="1"/>
    <cellStyle name="Lien hypertexte visité" xfId="24221" builtinId="9" hidden="1"/>
    <cellStyle name="Lien hypertexte visité" xfId="24223" builtinId="9" hidden="1"/>
    <cellStyle name="Lien hypertexte visité" xfId="24225" builtinId="9" hidden="1"/>
    <cellStyle name="Lien hypertexte visité" xfId="24227" builtinId="9" hidden="1"/>
    <cellStyle name="Lien hypertexte visité" xfId="24229" builtinId="9" hidden="1"/>
    <cellStyle name="Lien hypertexte visité" xfId="24231" builtinId="9" hidden="1"/>
    <cellStyle name="Lien hypertexte visité" xfId="24233" builtinId="9" hidden="1"/>
    <cellStyle name="Lien hypertexte visité" xfId="24235" builtinId="9" hidden="1"/>
    <cellStyle name="Lien hypertexte visité" xfId="24237" builtinId="9" hidden="1"/>
    <cellStyle name="Lien hypertexte visité" xfId="24239" builtinId="9" hidden="1"/>
    <cellStyle name="Lien hypertexte visité" xfId="24241" builtinId="9" hidden="1"/>
    <cellStyle name="Lien hypertexte visité" xfId="24243" builtinId="9" hidden="1"/>
    <cellStyle name="Lien hypertexte visité" xfId="24245" builtinId="9" hidden="1"/>
    <cellStyle name="Lien hypertexte visité" xfId="24247" builtinId="9" hidden="1"/>
    <cellStyle name="Lien hypertexte visité" xfId="24249" builtinId="9" hidden="1"/>
    <cellStyle name="Lien hypertexte visité" xfId="24251" builtinId="9" hidden="1"/>
    <cellStyle name="Lien hypertexte visité" xfId="24253" builtinId="9" hidden="1"/>
    <cellStyle name="Lien hypertexte visité" xfId="24255" builtinId="9" hidden="1"/>
    <cellStyle name="Lien hypertexte visité" xfId="24257" builtinId="9" hidden="1"/>
    <cellStyle name="Lien hypertexte visité" xfId="24259" builtinId="9" hidden="1"/>
    <cellStyle name="Lien hypertexte visité" xfId="24261" builtinId="9" hidden="1"/>
    <cellStyle name="Lien hypertexte visité" xfId="24263" builtinId="9" hidden="1"/>
    <cellStyle name="Lien hypertexte visité" xfId="24265" builtinId="9" hidden="1"/>
    <cellStyle name="Lien hypertexte visité" xfId="24267" builtinId="9" hidden="1"/>
    <cellStyle name="Lien hypertexte visité" xfId="24269" builtinId="9" hidden="1"/>
    <cellStyle name="Lien hypertexte visité" xfId="24271" builtinId="9" hidden="1"/>
    <cellStyle name="Lien hypertexte visité" xfId="24273" builtinId="9" hidden="1"/>
    <cellStyle name="Lien hypertexte visité" xfId="24275" builtinId="9" hidden="1"/>
    <cellStyle name="Lien hypertexte visité" xfId="24277" builtinId="9" hidden="1"/>
    <cellStyle name="Lien hypertexte visité" xfId="24279" builtinId="9" hidden="1"/>
    <cellStyle name="Lien hypertexte visité" xfId="24281" builtinId="9" hidden="1"/>
    <cellStyle name="Lien hypertexte visité" xfId="24283" builtinId="9" hidden="1"/>
    <cellStyle name="Lien hypertexte visité" xfId="24285" builtinId="9" hidden="1"/>
    <cellStyle name="Lien hypertexte visité" xfId="24287" builtinId="9" hidden="1"/>
    <cellStyle name="Lien hypertexte visité" xfId="24289" builtinId="9" hidden="1"/>
    <cellStyle name="Lien hypertexte visité" xfId="24291" builtinId="9" hidden="1"/>
    <cellStyle name="Lien hypertexte visité" xfId="24293" builtinId="9" hidden="1"/>
    <cellStyle name="Lien hypertexte visité" xfId="24295" builtinId="9" hidden="1"/>
    <cellStyle name="Lien hypertexte visité" xfId="24297" builtinId="9" hidden="1"/>
    <cellStyle name="Lien hypertexte visité" xfId="24299" builtinId="9" hidden="1"/>
    <cellStyle name="Lien hypertexte visité" xfId="24301" builtinId="9" hidden="1"/>
    <cellStyle name="Lien hypertexte visité" xfId="24303" builtinId="9" hidden="1"/>
    <cellStyle name="Lien hypertexte visité" xfId="24305" builtinId="9" hidden="1"/>
    <cellStyle name="Lien hypertexte visité" xfId="24307" builtinId="9" hidden="1"/>
    <cellStyle name="Lien hypertexte visité" xfId="24309" builtinId="9" hidden="1"/>
    <cellStyle name="Lien hypertexte visité" xfId="24311" builtinId="9" hidden="1"/>
    <cellStyle name="Lien hypertexte visité" xfId="24313" builtinId="9" hidden="1"/>
    <cellStyle name="Lien hypertexte visité" xfId="24315" builtinId="9" hidden="1"/>
    <cellStyle name="Lien hypertexte visité" xfId="24317" builtinId="9" hidden="1"/>
    <cellStyle name="Lien hypertexte visité" xfId="24319" builtinId="9" hidden="1"/>
    <cellStyle name="Lien hypertexte visité" xfId="24321" builtinId="9" hidden="1"/>
    <cellStyle name="Lien hypertexte visité" xfId="24323" builtinId="9" hidden="1"/>
    <cellStyle name="Lien hypertexte visité" xfId="24325" builtinId="9" hidden="1"/>
    <cellStyle name="Lien hypertexte visité" xfId="24327" builtinId="9" hidden="1"/>
    <cellStyle name="Lien hypertexte visité" xfId="24329" builtinId="9" hidden="1"/>
    <cellStyle name="Lien hypertexte visité" xfId="24331" builtinId="9" hidden="1"/>
    <cellStyle name="Lien hypertexte visité" xfId="24333" builtinId="9" hidden="1"/>
    <cellStyle name="Lien hypertexte visité" xfId="24335" builtinId="9" hidden="1"/>
    <cellStyle name="Lien hypertexte visité" xfId="24337" builtinId="9" hidden="1"/>
    <cellStyle name="Lien hypertexte visité" xfId="24339" builtinId="9" hidden="1"/>
    <cellStyle name="Lien hypertexte visité" xfId="24341" builtinId="9" hidden="1"/>
    <cellStyle name="Lien hypertexte visité" xfId="24343" builtinId="9" hidden="1"/>
    <cellStyle name="Lien hypertexte visité" xfId="24345" builtinId="9" hidden="1"/>
    <cellStyle name="Lien hypertexte visité" xfId="24347" builtinId="9" hidden="1"/>
    <cellStyle name="Lien hypertexte visité" xfId="24349" builtinId="9" hidden="1"/>
    <cellStyle name="Lien hypertexte visité" xfId="24351" builtinId="9" hidden="1"/>
    <cellStyle name="Lien hypertexte visité" xfId="24353" builtinId="9" hidden="1"/>
    <cellStyle name="Lien hypertexte visité" xfId="24355" builtinId="9" hidden="1"/>
    <cellStyle name="Lien hypertexte visité" xfId="24357" builtinId="9" hidden="1"/>
    <cellStyle name="Lien hypertexte visité" xfId="24359" builtinId="9" hidden="1"/>
    <cellStyle name="Lien hypertexte visité" xfId="24361" builtinId="9" hidden="1"/>
    <cellStyle name="Lien hypertexte visité" xfId="24363" builtinId="9" hidden="1"/>
    <cellStyle name="Lien hypertexte visité" xfId="24365" builtinId="9" hidden="1"/>
    <cellStyle name="Lien hypertexte visité" xfId="24367" builtinId="9" hidden="1"/>
    <cellStyle name="Lien hypertexte visité" xfId="24369" builtinId="9" hidden="1"/>
    <cellStyle name="Lien hypertexte visité" xfId="24371" builtinId="9" hidden="1"/>
    <cellStyle name="Lien hypertexte visité" xfId="24373" builtinId="9" hidden="1"/>
    <cellStyle name="Lien hypertexte visité" xfId="24375" builtinId="9" hidden="1"/>
    <cellStyle name="Lien hypertexte visité" xfId="24377" builtinId="9" hidden="1"/>
    <cellStyle name="Lien hypertexte visité" xfId="24379" builtinId="9" hidden="1"/>
    <cellStyle name="Lien hypertexte visité" xfId="24381" builtinId="9" hidden="1"/>
    <cellStyle name="Lien hypertexte visité" xfId="24383" builtinId="9" hidden="1"/>
    <cellStyle name="Lien hypertexte visité" xfId="24385" builtinId="9" hidden="1"/>
    <cellStyle name="Lien hypertexte visité" xfId="24387" builtinId="9" hidden="1"/>
    <cellStyle name="Lien hypertexte visité" xfId="24389" builtinId="9" hidden="1"/>
    <cellStyle name="Lien hypertexte visité" xfId="24391" builtinId="9" hidden="1"/>
    <cellStyle name="Lien hypertexte visité" xfId="24393" builtinId="9" hidden="1"/>
    <cellStyle name="Lien hypertexte visité" xfId="24395" builtinId="9" hidden="1"/>
    <cellStyle name="Lien hypertexte visité" xfId="24397" builtinId="9" hidden="1"/>
    <cellStyle name="Lien hypertexte visité" xfId="24399" builtinId="9" hidden="1"/>
    <cellStyle name="Lien hypertexte visité" xfId="24401" builtinId="9" hidden="1"/>
    <cellStyle name="Lien hypertexte visité" xfId="24403" builtinId="9" hidden="1"/>
    <cellStyle name="Lien hypertexte visité" xfId="24405" builtinId="9" hidden="1"/>
    <cellStyle name="Lien hypertexte visité" xfId="24407" builtinId="9" hidden="1"/>
    <cellStyle name="Lien hypertexte visité" xfId="24409" builtinId="9" hidden="1"/>
    <cellStyle name="Lien hypertexte visité" xfId="24411" builtinId="9" hidden="1"/>
    <cellStyle name="Lien hypertexte visité" xfId="24413" builtinId="9" hidden="1"/>
    <cellStyle name="Lien hypertexte visité" xfId="24415" builtinId="9" hidden="1"/>
    <cellStyle name="Lien hypertexte visité" xfId="24417" builtinId="9" hidden="1"/>
    <cellStyle name="Lien hypertexte visité" xfId="24419" builtinId="9" hidden="1"/>
    <cellStyle name="Lien hypertexte visité" xfId="24421" builtinId="9" hidden="1"/>
    <cellStyle name="Lien hypertexte visité" xfId="24423" builtinId="9" hidden="1"/>
    <cellStyle name="Lien hypertexte visité" xfId="24425" builtinId="9" hidden="1"/>
    <cellStyle name="Lien hypertexte visité" xfId="24427" builtinId="9" hidden="1"/>
    <cellStyle name="Lien hypertexte visité" xfId="24429" builtinId="9" hidden="1"/>
    <cellStyle name="Lien hypertexte visité" xfId="24431" builtinId="9" hidden="1"/>
    <cellStyle name="Lien hypertexte visité" xfId="24433" builtinId="9" hidden="1"/>
    <cellStyle name="Lien hypertexte visité" xfId="24435" builtinId="9" hidden="1"/>
    <cellStyle name="Lien hypertexte visité" xfId="24437" builtinId="9" hidden="1"/>
    <cellStyle name="Lien hypertexte visité" xfId="24439" builtinId="9" hidden="1"/>
    <cellStyle name="Lien hypertexte visité" xfId="24441" builtinId="9" hidden="1"/>
    <cellStyle name="Lien hypertexte visité" xfId="24443" builtinId="9" hidden="1"/>
    <cellStyle name="Lien hypertexte visité" xfId="24445" builtinId="9" hidden="1"/>
    <cellStyle name="Lien hypertexte visité" xfId="24447" builtinId="9" hidden="1"/>
    <cellStyle name="Lien hypertexte visité" xfId="24449" builtinId="9" hidden="1"/>
    <cellStyle name="Lien hypertexte visité" xfId="24451" builtinId="9" hidden="1"/>
    <cellStyle name="Lien hypertexte visité" xfId="24453" builtinId="9" hidden="1"/>
    <cellStyle name="Lien hypertexte visité" xfId="24455" builtinId="9" hidden="1"/>
    <cellStyle name="Lien hypertexte visité" xfId="24457" builtinId="9" hidden="1"/>
    <cellStyle name="Lien hypertexte visité" xfId="24459" builtinId="9" hidden="1"/>
    <cellStyle name="Lien hypertexte visité" xfId="24461" builtinId="9" hidden="1"/>
    <cellStyle name="Lien hypertexte visité" xfId="24463" builtinId="9" hidden="1"/>
    <cellStyle name="Lien hypertexte visité" xfId="24465" builtinId="9" hidden="1"/>
    <cellStyle name="Lien hypertexte visité" xfId="24467" builtinId="9" hidden="1"/>
    <cellStyle name="Lien hypertexte visité" xfId="24469" builtinId="9" hidden="1"/>
    <cellStyle name="Lien hypertexte visité" xfId="24471" builtinId="9" hidden="1"/>
    <cellStyle name="Lien hypertexte visité" xfId="24473" builtinId="9" hidden="1"/>
    <cellStyle name="Lien hypertexte visité" xfId="24475" builtinId="9" hidden="1"/>
    <cellStyle name="Lien hypertexte visité" xfId="24477" builtinId="9" hidden="1"/>
    <cellStyle name="Lien hypertexte visité" xfId="24479" builtinId="9" hidden="1"/>
    <cellStyle name="Lien hypertexte visité" xfId="24481" builtinId="9" hidden="1"/>
    <cellStyle name="Lien hypertexte visité" xfId="24483" builtinId="9" hidden="1"/>
    <cellStyle name="Lien hypertexte visité" xfId="24485" builtinId="9" hidden="1"/>
    <cellStyle name="Lien hypertexte visité" xfId="24487" builtinId="9" hidden="1"/>
    <cellStyle name="Lien hypertexte visité" xfId="24489" builtinId="9" hidden="1"/>
    <cellStyle name="Lien hypertexte visité" xfId="24491" builtinId="9" hidden="1"/>
    <cellStyle name="Lien hypertexte visité" xfId="24493" builtinId="9" hidden="1"/>
    <cellStyle name="Lien hypertexte visité" xfId="24495" builtinId="9" hidden="1"/>
    <cellStyle name="Lien hypertexte visité" xfId="24497" builtinId="9" hidden="1"/>
    <cellStyle name="Lien hypertexte visité" xfId="24499" builtinId="9" hidden="1"/>
    <cellStyle name="Lien hypertexte visité" xfId="24501" builtinId="9" hidden="1"/>
    <cellStyle name="Lien hypertexte visité" xfId="24503" builtinId="9" hidden="1"/>
    <cellStyle name="Lien hypertexte visité" xfId="24505" builtinId="9" hidden="1"/>
    <cellStyle name="Lien hypertexte visité" xfId="24507" builtinId="9" hidden="1"/>
    <cellStyle name="Lien hypertexte visité" xfId="24509" builtinId="9" hidden="1"/>
    <cellStyle name="Lien hypertexte visité" xfId="24511" builtinId="9" hidden="1"/>
    <cellStyle name="Lien hypertexte visité" xfId="24513" builtinId="9" hidden="1"/>
    <cellStyle name="Lien hypertexte visité" xfId="24515" builtinId="9" hidden="1"/>
    <cellStyle name="Lien hypertexte visité" xfId="24517" builtinId="9" hidden="1"/>
    <cellStyle name="Lien hypertexte visité" xfId="24519" builtinId="9" hidden="1"/>
    <cellStyle name="Lien hypertexte visité" xfId="24521" builtinId="9" hidden="1"/>
    <cellStyle name="Lien hypertexte visité" xfId="24523" builtinId="9" hidden="1"/>
    <cellStyle name="Lien hypertexte visité" xfId="24525" builtinId="9" hidden="1"/>
    <cellStyle name="Lien hypertexte visité" xfId="24527" builtinId="9" hidden="1"/>
    <cellStyle name="Lien hypertexte visité" xfId="24529" builtinId="9" hidden="1"/>
    <cellStyle name="Lien hypertexte visité" xfId="24531" builtinId="9" hidden="1"/>
    <cellStyle name="Lien hypertexte visité" xfId="24533" builtinId="9" hidden="1"/>
    <cellStyle name="Lien hypertexte visité" xfId="24535" builtinId="9" hidden="1"/>
    <cellStyle name="Lien hypertexte visité" xfId="24537" builtinId="9" hidden="1"/>
    <cellStyle name="Lien hypertexte visité" xfId="24539" builtinId="9" hidden="1"/>
    <cellStyle name="Lien hypertexte visité" xfId="24541" builtinId="9" hidden="1"/>
    <cellStyle name="Lien hypertexte visité" xfId="24543" builtinId="9" hidden="1"/>
    <cellStyle name="Lien hypertexte visité" xfId="24545" builtinId="9" hidden="1"/>
    <cellStyle name="Lien hypertexte visité" xfId="24547" builtinId="9" hidden="1"/>
    <cellStyle name="Lien hypertexte visité" xfId="24549" builtinId="9" hidden="1"/>
    <cellStyle name="Lien hypertexte visité" xfId="24551" builtinId="9" hidden="1"/>
    <cellStyle name="Lien hypertexte visité" xfId="24553" builtinId="9" hidden="1"/>
    <cellStyle name="Lien hypertexte visité" xfId="24555" builtinId="9" hidden="1"/>
    <cellStyle name="Lien hypertexte visité" xfId="24557" builtinId="9" hidden="1"/>
    <cellStyle name="Lien hypertexte visité" xfId="24559" builtinId="9" hidden="1"/>
    <cellStyle name="Lien hypertexte visité" xfId="24561" builtinId="9" hidden="1"/>
    <cellStyle name="Lien hypertexte visité" xfId="24563" builtinId="9" hidden="1"/>
    <cellStyle name="Lien hypertexte visité" xfId="24565" builtinId="9" hidden="1"/>
    <cellStyle name="Lien hypertexte visité" xfId="24567" builtinId="9" hidden="1"/>
    <cellStyle name="Lien hypertexte visité" xfId="24569" builtinId="9" hidden="1"/>
    <cellStyle name="Lien hypertexte visité" xfId="24571" builtinId="9" hidden="1"/>
    <cellStyle name="Lien hypertexte visité" xfId="24573" builtinId="9" hidden="1"/>
    <cellStyle name="Lien hypertexte visité" xfId="24575" builtinId="9" hidden="1"/>
    <cellStyle name="Lien hypertexte visité" xfId="24577" builtinId="9" hidden="1"/>
    <cellStyle name="Lien hypertexte visité" xfId="24579" builtinId="9" hidden="1"/>
    <cellStyle name="Lien hypertexte visité" xfId="24581" builtinId="9" hidden="1"/>
    <cellStyle name="Lien hypertexte visité" xfId="24583" builtinId="9" hidden="1"/>
    <cellStyle name="Lien hypertexte visité" xfId="24585" builtinId="9" hidden="1"/>
    <cellStyle name="Lien hypertexte visité" xfId="24587" builtinId="9" hidden="1"/>
    <cellStyle name="Lien hypertexte visité" xfId="24589" builtinId="9" hidden="1"/>
    <cellStyle name="Lien hypertexte visité" xfId="24591" builtinId="9" hidden="1"/>
    <cellStyle name="Lien hypertexte visité" xfId="24593" builtinId="9" hidden="1"/>
    <cellStyle name="Lien hypertexte visité" xfId="24595" builtinId="9" hidden="1"/>
    <cellStyle name="Lien hypertexte visité" xfId="24597" builtinId="9" hidden="1"/>
    <cellStyle name="Lien hypertexte visité" xfId="24599" builtinId="9" hidden="1"/>
    <cellStyle name="Lien hypertexte visité" xfId="24601" builtinId="9" hidden="1"/>
    <cellStyle name="Lien hypertexte visité" xfId="24603" builtinId="9" hidden="1"/>
    <cellStyle name="Lien hypertexte visité" xfId="24605" builtinId="9" hidden="1"/>
    <cellStyle name="Lien hypertexte visité" xfId="24607" builtinId="9" hidden="1"/>
    <cellStyle name="Lien hypertexte visité" xfId="24609" builtinId="9" hidden="1"/>
    <cellStyle name="Lien hypertexte visité" xfId="24611" builtinId="9" hidden="1"/>
    <cellStyle name="Lien hypertexte visité" xfId="24613" builtinId="9" hidden="1"/>
    <cellStyle name="Lien hypertexte visité" xfId="24615" builtinId="9" hidden="1"/>
    <cellStyle name="Lien hypertexte visité" xfId="24617" builtinId="9" hidden="1"/>
    <cellStyle name="Lien hypertexte visité" xfId="24619" builtinId="9" hidden="1"/>
    <cellStyle name="Lien hypertexte visité" xfId="24621" builtinId="9" hidden="1"/>
    <cellStyle name="Lien hypertexte visité" xfId="24623" builtinId="9" hidden="1"/>
    <cellStyle name="Lien hypertexte visité" xfId="24625" builtinId="9" hidden="1"/>
    <cellStyle name="Lien hypertexte visité" xfId="24627" builtinId="9" hidden="1"/>
    <cellStyle name="Lien hypertexte visité" xfId="24629" builtinId="9" hidden="1"/>
    <cellStyle name="Lien hypertexte visité" xfId="24631" builtinId="9" hidden="1"/>
    <cellStyle name="Lien hypertexte visité" xfId="24633" builtinId="9" hidden="1"/>
    <cellStyle name="Lien hypertexte visité" xfId="24635" builtinId="9" hidden="1"/>
    <cellStyle name="Lien hypertexte visité" xfId="24637" builtinId="9" hidden="1"/>
    <cellStyle name="Lien hypertexte visité" xfId="24639" builtinId="9" hidden="1"/>
    <cellStyle name="Lien hypertexte visité" xfId="24641" builtinId="9" hidden="1"/>
    <cellStyle name="Lien hypertexte visité" xfId="24643" builtinId="9" hidden="1"/>
    <cellStyle name="Lien hypertexte visité" xfId="24645" builtinId="9" hidden="1"/>
    <cellStyle name="Lien hypertexte visité" xfId="24647" builtinId="9" hidden="1"/>
    <cellStyle name="Lien hypertexte visité" xfId="24649" builtinId="9" hidden="1"/>
    <cellStyle name="Lien hypertexte visité" xfId="24651" builtinId="9" hidden="1"/>
    <cellStyle name="Lien hypertexte visité" xfId="24653" builtinId="9" hidden="1"/>
    <cellStyle name="Lien hypertexte visité" xfId="24655" builtinId="9" hidden="1"/>
    <cellStyle name="Lien hypertexte visité" xfId="24657" builtinId="9" hidden="1"/>
    <cellStyle name="Lien hypertexte visité" xfId="24659" builtinId="9" hidden="1"/>
    <cellStyle name="Lien hypertexte visité" xfId="24661" builtinId="9" hidden="1"/>
    <cellStyle name="Lien hypertexte visité" xfId="24663" builtinId="9" hidden="1"/>
    <cellStyle name="Lien hypertexte visité" xfId="24665" builtinId="9" hidden="1"/>
    <cellStyle name="Lien hypertexte visité" xfId="24667" builtinId="9" hidden="1"/>
    <cellStyle name="Lien hypertexte visité" xfId="24669" builtinId="9" hidden="1"/>
    <cellStyle name="Lien hypertexte visité" xfId="24671" builtinId="9" hidden="1"/>
    <cellStyle name="Lien hypertexte visité" xfId="24673" builtinId="9" hidden="1"/>
    <cellStyle name="Lien hypertexte visité" xfId="24675" builtinId="9" hidden="1"/>
    <cellStyle name="Lien hypertexte visité" xfId="24677" builtinId="9" hidden="1"/>
    <cellStyle name="Lien hypertexte visité" xfId="24679" builtinId="9" hidden="1"/>
    <cellStyle name="Lien hypertexte visité" xfId="24681" builtinId="9" hidden="1"/>
    <cellStyle name="Lien hypertexte visité" xfId="24683" builtinId="9" hidden="1"/>
    <cellStyle name="Lien hypertexte visité" xfId="24685" builtinId="9" hidden="1"/>
    <cellStyle name="Lien hypertexte visité" xfId="24687" builtinId="9" hidden="1"/>
    <cellStyle name="Lien hypertexte visité" xfId="24689" builtinId="9" hidden="1"/>
    <cellStyle name="Lien hypertexte visité" xfId="24691" builtinId="9" hidden="1"/>
    <cellStyle name="Lien hypertexte visité" xfId="24693" builtinId="9" hidden="1"/>
    <cellStyle name="Lien hypertexte visité" xfId="24695" builtinId="9" hidden="1"/>
    <cellStyle name="Lien hypertexte visité" xfId="24697" builtinId="9" hidden="1"/>
    <cellStyle name="Lien hypertexte visité" xfId="24699" builtinId="9" hidden="1"/>
    <cellStyle name="Lien hypertexte visité" xfId="24701" builtinId="9" hidden="1"/>
    <cellStyle name="Lien hypertexte visité" xfId="24703" builtinId="9" hidden="1"/>
    <cellStyle name="Lien hypertexte visité" xfId="24705" builtinId="9" hidden="1"/>
    <cellStyle name="Lien hypertexte visité" xfId="24707" builtinId="9" hidden="1"/>
    <cellStyle name="Lien hypertexte visité" xfId="24709" builtinId="9" hidden="1"/>
    <cellStyle name="Lien hypertexte visité" xfId="24711" builtinId="9" hidden="1"/>
    <cellStyle name="Lien hypertexte visité" xfId="24713" builtinId="9" hidden="1"/>
    <cellStyle name="Lien hypertexte visité" xfId="24715" builtinId="9" hidden="1"/>
    <cellStyle name="Lien hypertexte visité" xfId="24717" builtinId="9" hidden="1"/>
    <cellStyle name="Lien hypertexte visité" xfId="24719" builtinId="9" hidden="1"/>
    <cellStyle name="Lien hypertexte visité" xfId="24721" builtinId="9" hidden="1"/>
    <cellStyle name="Lien hypertexte visité" xfId="24723" builtinId="9" hidden="1"/>
    <cellStyle name="Lien hypertexte visité" xfId="24725" builtinId="9" hidden="1"/>
    <cellStyle name="Lien hypertexte visité" xfId="24727" builtinId="9" hidden="1"/>
    <cellStyle name="Lien hypertexte visité" xfId="24729" builtinId="9" hidden="1"/>
    <cellStyle name="Lien hypertexte visité" xfId="24731" builtinId="9" hidden="1"/>
    <cellStyle name="Lien hypertexte visité" xfId="24733" builtinId="9" hidden="1"/>
    <cellStyle name="Lien hypertexte visité" xfId="24735" builtinId="9" hidden="1"/>
    <cellStyle name="Lien hypertexte visité" xfId="24737" builtinId="9" hidden="1"/>
    <cellStyle name="Lien hypertexte visité" xfId="24739" builtinId="9" hidden="1"/>
    <cellStyle name="Lien hypertexte visité" xfId="24741" builtinId="9" hidden="1"/>
    <cellStyle name="Lien hypertexte visité" xfId="24743" builtinId="9" hidden="1"/>
    <cellStyle name="Lien hypertexte visité" xfId="24745" builtinId="9" hidden="1"/>
    <cellStyle name="Lien hypertexte visité" xfId="24747" builtinId="9" hidden="1"/>
    <cellStyle name="Lien hypertexte visité" xfId="24749" builtinId="9" hidden="1"/>
    <cellStyle name="Lien hypertexte visité" xfId="24751" builtinId="9" hidden="1"/>
    <cellStyle name="Lien hypertexte visité" xfId="24753" builtinId="9" hidden="1"/>
    <cellStyle name="Lien hypertexte visité" xfId="24755" builtinId="9" hidden="1"/>
    <cellStyle name="Lien hypertexte visité" xfId="24757" builtinId="9" hidden="1"/>
    <cellStyle name="Lien hypertexte visité" xfId="24759" builtinId="9" hidden="1"/>
    <cellStyle name="Lien hypertexte visité" xfId="24761" builtinId="9" hidden="1"/>
    <cellStyle name="Lien hypertexte visité" xfId="24763" builtinId="9" hidden="1"/>
    <cellStyle name="Lien hypertexte visité" xfId="24765" builtinId="9" hidden="1"/>
    <cellStyle name="Lien hypertexte visité" xfId="24767" builtinId="9" hidden="1"/>
    <cellStyle name="Lien hypertexte visité" xfId="24769" builtinId="9" hidden="1"/>
    <cellStyle name="Lien hypertexte visité" xfId="24771" builtinId="9" hidden="1"/>
    <cellStyle name="Lien hypertexte visité" xfId="24773" builtinId="9" hidden="1"/>
    <cellStyle name="Lien hypertexte visité" xfId="24775" builtinId="9" hidden="1"/>
    <cellStyle name="Lien hypertexte visité" xfId="24777" builtinId="9" hidden="1"/>
    <cellStyle name="Lien hypertexte visité" xfId="24779" builtinId="9" hidden="1"/>
    <cellStyle name="Lien hypertexte visité" xfId="24781" builtinId="9" hidden="1"/>
    <cellStyle name="Lien hypertexte visité" xfId="24783" builtinId="9" hidden="1"/>
    <cellStyle name="Lien hypertexte visité" xfId="24785" builtinId="9" hidden="1"/>
    <cellStyle name="Lien hypertexte visité" xfId="24787" builtinId="9" hidden="1"/>
    <cellStyle name="Lien hypertexte visité" xfId="24789" builtinId="9" hidden="1"/>
    <cellStyle name="Lien hypertexte visité" xfId="24791" builtinId="9" hidden="1"/>
    <cellStyle name="Lien hypertexte visité" xfId="24793" builtinId="9" hidden="1"/>
    <cellStyle name="Lien hypertexte visité" xfId="24795" builtinId="9" hidden="1"/>
    <cellStyle name="Lien hypertexte visité" xfId="24797" builtinId="9" hidden="1"/>
    <cellStyle name="Lien hypertexte visité" xfId="24799" builtinId="9" hidden="1"/>
    <cellStyle name="Lien hypertexte visité" xfId="24801" builtinId="9" hidden="1"/>
    <cellStyle name="Lien hypertexte visité" xfId="24803" builtinId="9" hidden="1"/>
    <cellStyle name="Lien hypertexte visité" xfId="24805" builtinId="9" hidden="1"/>
    <cellStyle name="Lien hypertexte visité" xfId="24807" builtinId="9" hidden="1"/>
    <cellStyle name="Lien hypertexte visité" xfId="24809" builtinId="9" hidden="1"/>
    <cellStyle name="Lien hypertexte visité" xfId="24811" builtinId="9" hidden="1"/>
    <cellStyle name="Lien hypertexte visité" xfId="24813" builtinId="9" hidden="1"/>
    <cellStyle name="Lien hypertexte visité" xfId="24815" builtinId="9" hidden="1"/>
    <cellStyle name="Lien hypertexte visité" xfId="24817" builtinId="9" hidden="1"/>
    <cellStyle name="Lien hypertexte visité" xfId="24819" builtinId="9" hidden="1"/>
    <cellStyle name="Lien hypertexte visité" xfId="24821" builtinId="9" hidden="1"/>
    <cellStyle name="Lien hypertexte visité" xfId="24823" builtinId="9" hidden="1"/>
    <cellStyle name="Lien hypertexte visité" xfId="24825" builtinId="9" hidden="1"/>
    <cellStyle name="Lien hypertexte visité" xfId="24827" builtinId="9" hidden="1"/>
    <cellStyle name="Lien hypertexte visité" xfId="24829" builtinId="9" hidden="1"/>
    <cellStyle name="Lien hypertexte visité" xfId="24831" builtinId="9" hidden="1"/>
    <cellStyle name="Lien hypertexte visité" xfId="24833" builtinId="9" hidden="1"/>
    <cellStyle name="Lien hypertexte visité" xfId="24835" builtinId="9" hidden="1"/>
    <cellStyle name="Lien hypertexte visité" xfId="24837" builtinId="9" hidden="1"/>
    <cellStyle name="Lien hypertexte visité" xfId="24839" builtinId="9" hidden="1"/>
    <cellStyle name="Lien hypertexte visité" xfId="24841" builtinId="9" hidden="1"/>
    <cellStyle name="Lien hypertexte visité" xfId="24843" builtinId="9" hidden="1"/>
    <cellStyle name="Lien hypertexte visité" xfId="24845" builtinId="9" hidden="1"/>
    <cellStyle name="Lien hypertexte visité" xfId="24847" builtinId="9" hidden="1"/>
    <cellStyle name="Lien hypertexte visité" xfId="24849" builtinId="9" hidden="1"/>
    <cellStyle name="Lien hypertexte visité" xfId="24851" builtinId="9" hidden="1"/>
    <cellStyle name="Lien hypertexte visité" xfId="24853" builtinId="9" hidden="1"/>
    <cellStyle name="Lien hypertexte visité" xfId="24855" builtinId="9" hidden="1"/>
    <cellStyle name="Lien hypertexte visité" xfId="24857" builtinId="9" hidden="1"/>
    <cellStyle name="Lien hypertexte visité" xfId="24859" builtinId="9" hidden="1"/>
    <cellStyle name="Lien hypertexte visité" xfId="24861" builtinId="9" hidden="1"/>
    <cellStyle name="Lien hypertexte visité" xfId="24863" builtinId="9" hidden="1"/>
    <cellStyle name="Lien hypertexte visité" xfId="24865" builtinId="9" hidden="1"/>
    <cellStyle name="Lien hypertexte visité" xfId="24867" builtinId="9" hidden="1"/>
    <cellStyle name="Lien hypertexte visité" xfId="24869" builtinId="9" hidden="1"/>
    <cellStyle name="Lien hypertexte visité" xfId="24871" builtinId="9" hidden="1"/>
    <cellStyle name="Lien hypertexte visité" xfId="24873" builtinId="9" hidden="1"/>
    <cellStyle name="Lien hypertexte visité" xfId="24875" builtinId="9" hidden="1"/>
    <cellStyle name="Lien hypertexte visité" xfId="24877" builtinId="9" hidden="1"/>
    <cellStyle name="Lien hypertexte visité" xfId="24879" builtinId="9" hidden="1"/>
    <cellStyle name="Lien hypertexte visité" xfId="24881" builtinId="9" hidden="1"/>
    <cellStyle name="Lien hypertexte visité" xfId="24883" builtinId="9" hidden="1"/>
    <cellStyle name="Lien hypertexte visité" xfId="24885" builtinId="9" hidden="1"/>
    <cellStyle name="Lien hypertexte visité" xfId="24887" builtinId="9" hidden="1"/>
    <cellStyle name="Lien hypertexte visité" xfId="24889" builtinId="9" hidden="1"/>
    <cellStyle name="Lien hypertexte visité" xfId="24891" builtinId="9" hidden="1"/>
    <cellStyle name="Lien hypertexte visité" xfId="24893" builtinId="9" hidden="1"/>
    <cellStyle name="Lien hypertexte visité" xfId="24895" builtinId="9" hidden="1"/>
    <cellStyle name="Lien hypertexte visité" xfId="24897" builtinId="9" hidden="1"/>
    <cellStyle name="Lien hypertexte visité" xfId="24899" builtinId="9" hidden="1"/>
    <cellStyle name="Lien hypertexte visité" xfId="24901" builtinId="9" hidden="1"/>
    <cellStyle name="Lien hypertexte visité" xfId="24903" builtinId="9" hidden="1"/>
    <cellStyle name="Lien hypertexte visité" xfId="24905" builtinId="9" hidden="1"/>
    <cellStyle name="Lien hypertexte visité" xfId="24907" builtinId="9" hidden="1"/>
    <cellStyle name="Lien hypertexte visité" xfId="24909" builtinId="9" hidden="1"/>
    <cellStyle name="Lien hypertexte visité" xfId="24911" builtinId="9" hidden="1"/>
    <cellStyle name="Lien hypertexte visité" xfId="24913" builtinId="9" hidden="1"/>
    <cellStyle name="Lien hypertexte visité" xfId="24915" builtinId="9" hidden="1"/>
    <cellStyle name="Lien hypertexte visité" xfId="24917" builtinId="9" hidden="1"/>
    <cellStyle name="Lien hypertexte visité" xfId="24919" builtinId="9" hidden="1"/>
    <cellStyle name="Lien hypertexte visité" xfId="24921" builtinId="9" hidden="1"/>
    <cellStyle name="Lien hypertexte visité" xfId="24923" builtinId="9" hidden="1"/>
    <cellStyle name="Lien hypertexte visité" xfId="24925" builtinId="9" hidden="1"/>
    <cellStyle name="Lien hypertexte visité" xfId="24927" builtinId="9" hidden="1"/>
    <cellStyle name="Lien hypertexte visité" xfId="24929" builtinId="9" hidden="1"/>
    <cellStyle name="Lien hypertexte visité" xfId="24931" builtinId="9" hidden="1"/>
    <cellStyle name="Lien hypertexte visité" xfId="24933" builtinId="9" hidden="1"/>
    <cellStyle name="Lien hypertexte visité" xfId="24935" builtinId="9" hidden="1"/>
    <cellStyle name="Lien hypertexte visité" xfId="24937" builtinId="9" hidden="1"/>
    <cellStyle name="Lien hypertexte visité" xfId="24939" builtinId="9" hidden="1"/>
    <cellStyle name="Lien hypertexte visité" xfId="24941" builtinId="9" hidden="1"/>
    <cellStyle name="Lien hypertexte visité" xfId="24943" builtinId="9" hidden="1"/>
    <cellStyle name="Lien hypertexte visité" xfId="24945" builtinId="9" hidden="1"/>
    <cellStyle name="Lien hypertexte visité" xfId="24947" builtinId="9" hidden="1"/>
    <cellStyle name="Lien hypertexte visité" xfId="24949" builtinId="9" hidden="1"/>
    <cellStyle name="Lien hypertexte visité" xfId="24951" builtinId="9" hidden="1"/>
    <cellStyle name="Lien hypertexte visité" xfId="24953" builtinId="9" hidden="1"/>
    <cellStyle name="Lien hypertexte visité" xfId="24955" builtinId="9" hidden="1"/>
    <cellStyle name="Lien hypertexte visité" xfId="24957" builtinId="9" hidden="1"/>
    <cellStyle name="Lien hypertexte visité" xfId="24959" builtinId="9" hidden="1"/>
    <cellStyle name="Lien hypertexte visité" xfId="24961" builtinId="9" hidden="1"/>
    <cellStyle name="Lien hypertexte visité" xfId="24963" builtinId="9" hidden="1"/>
    <cellStyle name="Lien hypertexte visité" xfId="24965" builtinId="9" hidden="1"/>
    <cellStyle name="Lien hypertexte visité" xfId="24967" builtinId="9" hidden="1"/>
    <cellStyle name="Lien hypertexte visité" xfId="24969" builtinId="9" hidden="1"/>
    <cellStyle name="Lien hypertexte visité" xfId="24971" builtinId="9" hidden="1"/>
    <cellStyle name="Lien hypertexte visité" xfId="24973" builtinId="9" hidden="1"/>
    <cellStyle name="Lien hypertexte visité" xfId="24975" builtinId="9" hidden="1"/>
    <cellStyle name="Lien hypertexte visité" xfId="24977" builtinId="9" hidden="1"/>
    <cellStyle name="Lien hypertexte visité" xfId="24979" builtinId="9" hidden="1"/>
    <cellStyle name="Lien hypertexte visité" xfId="24981" builtinId="9" hidden="1"/>
    <cellStyle name="Lien hypertexte visité" xfId="24983" builtinId="9" hidden="1"/>
    <cellStyle name="Lien hypertexte visité" xfId="24985" builtinId="9" hidden="1"/>
    <cellStyle name="Lien hypertexte visité" xfId="24987" builtinId="9" hidden="1"/>
    <cellStyle name="Lien hypertexte visité" xfId="24989" builtinId="9" hidden="1"/>
    <cellStyle name="Lien hypertexte visité" xfId="24991" builtinId="9" hidden="1"/>
    <cellStyle name="Lien hypertexte visité" xfId="24993" builtinId="9" hidden="1"/>
    <cellStyle name="Lien hypertexte visité" xfId="24995" builtinId="9" hidden="1"/>
    <cellStyle name="Lien hypertexte visité" xfId="24997" builtinId="9" hidden="1"/>
    <cellStyle name="Lien hypertexte visité" xfId="24999" builtinId="9" hidden="1"/>
    <cellStyle name="Lien hypertexte visité" xfId="25001" builtinId="9" hidden="1"/>
    <cellStyle name="Lien hypertexte visité" xfId="25003" builtinId="9" hidden="1"/>
    <cellStyle name="Lien hypertexte visité" xfId="25005" builtinId="9" hidden="1"/>
    <cellStyle name="Lien hypertexte visité" xfId="25007" builtinId="9" hidden="1"/>
    <cellStyle name="Lien hypertexte visité" xfId="25009" builtinId="9" hidden="1"/>
    <cellStyle name="Lien hypertexte visité" xfId="25011" builtinId="9" hidden="1"/>
    <cellStyle name="Lien hypertexte visité" xfId="25013" builtinId="9" hidden="1"/>
    <cellStyle name="Lien hypertexte visité" xfId="25015" builtinId="9" hidden="1"/>
    <cellStyle name="Lien hypertexte visité" xfId="25017" builtinId="9" hidden="1"/>
    <cellStyle name="Lien hypertexte visité" xfId="25019" builtinId="9" hidden="1"/>
    <cellStyle name="Lien hypertexte visité" xfId="25021" builtinId="9" hidden="1"/>
    <cellStyle name="Lien hypertexte visité" xfId="25023" builtinId="9" hidden="1"/>
    <cellStyle name="Lien hypertexte visité" xfId="25025" builtinId="9" hidden="1"/>
    <cellStyle name="Lien hypertexte visité" xfId="25027" builtinId="9" hidden="1"/>
    <cellStyle name="Lien hypertexte visité" xfId="25029" builtinId="9" hidden="1"/>
    <cellStyle name="Lien hypertexte visité" xfId="25031" builtinId="9" hidden="1"/>
    <cellStyle name="Lien hypertexte visité" xfId="25033" builtinId="9" hidden="1"/>
    <cellStyle name="Lien hypertexte visité" xfId="25035" builtinId="9" hidden="1"/>
    <cellStyle name="Lien hypertexte visité" xfId="25037" builtinId="9" hidden="1"/>
    <cellStyle name="Lien hypertexte visité" xfId="25039" builtinId="9" hidden="1"/>
    <cellStyle name="Lien hypertexte visité" xfId="25041" builtinId="9" hidden="1"/>
    <cellStyle name="Lien hypertexte visité" xfId="25043" builtinId="9" hidden="1"/>
    <cellStyle name="Lien hypertexte visité" xfId="25045" builtinId="9" hidden="1"/>
    <cellStyle name="Lien hypertexte visité" xfId="25047" builtinId="9" hidden="1"/>
    <cellStyle name="Lien hypertexte visité" xfId="25049" builtinId="9" hidden="1"/>
    <cellStyle name="Lien hypertexte visité" xfId="25051" builtinId="9" hidden="1"/>
    <cellStyle name="Lien hypertexte visité" xfId="25053" builtinId="9" hidden="1"/>
    <cellStyle name="Lien hypertexte visité" xfId="25055" builtinId="9" hidden="1"/>
    <cellStyle name="Lien hypertexte visité" xfId="25057" builtinId="9" hidden="1"/>
    <cellStyle name="Lien hypertexte visité" xfId="25059" builtinId="9" hidden="1"/>
    <cellStyle name="Lien hypertexte visité" xfId="25061" builtinId="9" hidden="1"/>
    <cellStyle name="Lien hypertexte visité" xfId="25063" builtinId="9" hidden="1"/>
    <cellStyle name="Lien hypertexte visité" xfId="25065" builtinId="9" hidden="1"/>
    <cellStyle name="Lien hypertexte visité" xfId="25067" builtinId="9" hidden="1"/>
    <cellStyle name="Lien hypertexte visité" xfId="25069" builtinId="9" hidden="1"/>
    <cellStyle name="Lien hypertexte visité" xfId="25071" builtinId="9" hidden="1"/>
    <cellStyle name="Lien hypertexte visité" xfId="25073" builtinId="9" hidden="1"/>
    <cellStyle name="Lien hypertexte visité" xfId="25075" builtinId="9" hidden="1"/>
    <cellStyle name="Lien hypertexte visité" xfId="25077" builtinId="9" hidden="1"/>
    <cellStyle name="Lien hypertexte visité" xfId="25079" builtinId="9" hidden="1"/>
    <cellStyle name="Lien hypertexte visité" xfId="25081" builtinId="9" hidden="1"/>
    <cellStyle name="Lien hypertexte visité" xfId="25083" builtinId="9" hidden="1"/>
    <cellStyle name="Lien hypertexte visité" xfId="25085" builtinId="9" hidden="1"/>
    <cellStyle name="Lien hypertexte visité" xfId="25087" builtinId="9" hidden="1"/>
    <cellStyle name="Lien hypertexte visité" xfId="25089" builtinId="9" hidden="1"/>
    <cellStyle name="Lien hypertexte visité" xfId="25091" builtinId="9" hidden="1"/>
    <cellStyle name="Lien hypertexte visité" xfId="25093" builtinId="9" hidden="1"/>
    <cellStyle name="Lien hypertexte visité" xfId="25095" builtinId="9" hidden="1"/>
    <cellStyle name="Lien hypertexte visité" xfId="25097" builtinId="9" hidden="1"/>
    <cellStyle name="Lien hypertexte visité" xfId="25099" builtinId="9" hidden="1"/>
    <cellStyle name="Lien hypertexte visité" xfId="25101" builtinId="9" hidden="1"/>
    <cellStyle name="Lien hypertexte visité" xfId="25103" builtinId="9" hidden="1"/>
    <cellStyle name="Lien hypertexte visité" xfId="25105" builtinId="9" hidden="1"/>
    <cellStyle name="Lien hypertexte visité" xfId="25107" builtinId="9" hidden="1"/>
    <cellStyle name="Lien hypertexte visité" xfId="25109" builtinId="9" hidden="1"/>
    <cellStyle name="Lien hypertexte visité" xfId="25111" builtinId="9" hidden="1"/>
    <cellStyle name="Lien hypertexte visité" xfId="25113" builtinId="9" hidden="1"/>
    <cellStyle name="Lien hypertexte visité" xfId="25115" builtinId="9" hidden="1"/>
    <cellStyle name="Lien hypertexte visité" xfId="25117" builtinId="9" hidden="1"/>
    <cellStyle name="Lien hypertexte visité" xfId="25119" builtinId="9" hidden="1"/>
    <cellStyle name="Lien hypertexte visité" xfId="25121" builtinId="9" hidden="1"/>
    <cellStyle name="Lien hypertexte visité" xfId="25123" builtinId="9" hidden="1"/>
    <cellStyle name="Lien hypertexte visité" xfId="25125" builtinId="9" hidden="1"/>
    <cellStyle name="Lien hypertexte visité" xfId="25127" builtinId="9" hidden="1"/>
    <cellStyle name="Lien hypertexte visité" xfId="25129" builtinId="9" hidden="1"/>
    <cellStyle name="Lien hypertexte visité" xfId="25131" builtinId="9" hidden="1"/>
    <cellStyle name="Lien hypertexte visité" xfId="25133" builtinId="9" hidden="1"/>
    <cellStyle name="Lien hypertexte visité" xfId="25135" builtinId="9" hidden="1"/>
    <cellStyle name="Lien hypertexte visité" xfId="25137" builtinId="9" hidden="1"/>
    <cellStyle name="Lien hypertexte visité" xfId="25139" builtinId="9" hidden="1"/>
    <cellStyle name="Lien hypertexte visité" xfId="25141" builtinId="9" hidden="1"/>
    <cellStyle name="Lien hypertexte visité" xfId="25143" builtinId="9" hidden="1"/>
    <cellStyle name="Lien hypertexte visité" xfId="25145" builtinId="9" hidden="1"/>
    <cellStyle name="Lien hypertexte visité" xfId="25147" builtinId="9" hidden="1"/>
    <cellStyle name="Lien hypertexte visité" xfId="25149" builtinId="9" hidden="1"/>
    <cellStyle name="Lien hypertexte visité" xfId="25151" builtinId="9" hidden="1"/>
    <cellStyle name="Lien hypertexte visité" xfId="25153" builtinId="9" hidden="1"/>
    <cellStyle name="Lien hypertexte visité" xfId="25155" builtinId="9" hidden="1"/>
    <cellStyle name="Lien hypertexte visité" xfId="25157" builtinId="9" hidden="1"/>
    <cellStyle name="Lien hypertexte visité" xfId="25159" builtinId="9" hidden="1"/>
    <cellStyle name="Lien hypertexte visité" xfId="25161" builtinId="9" hidden="1"/>
    <cellStyle name="Lien hypertexte visité" xfId="25163" builtinId="9" hidden="1"/>
    <cellStyle name="Lien hypertexte visité" xfId="25165" builtinId="9" hidden="1"/>
    <cellStyle name="Lien hypertexte visité" xfId="25167" builtinId="9" hidden="1"/>
    <cellStyle name="Lien hypertexte visité" xfId="25169" builtinId="9" hidden="1"/>
    <cellStyle name="Lien hypertexte visité" xfId="25171" builtinId="9" hidden="1"/>
    <cellStyle name="Lien hypertexte visité" xfId="25173" builtinId="9" hidden="1"/>
    <cellStyle name="Lien hypertexte visité" xfId="25175" builtinId="9" hidden="1"/>
    <cellStyle name="Lien hypertexte visité" xfId="25177" builtinId="9" hidden="1"/>
    <cellStyle name="Lien hypertexte visité" xfId="25179" builtinId="9" hidden="1"/>
    <cellStyle name="Lien hypertexte visité" xfId="25181" builtinId="9" hidden="1"/>
    <cellStyle name="Lien hypertexte visité" xfId="25183" builtinId="9" hidden="1"/>
    <cellStyle name="Lien hypertexte visité" xfId="25185" builtinId="9" hidden="1"/>
    <cellStyle name="Lien hypertexte visité" xfId="25187" builtinId="9" hidden="1"/>
    <cellStyle name="Lien hypertexte visité" xfId="25189" builtinId="9" hidden="1"/>
    <cellStyle name="Lien hypertexte visité" xfId="25191" builtinId="9" hidden="1"/>
    <cellStyle name="Lien hypertexte visité" xfId="25193" builtinId="9" hidden="1"/>
    <cellStyle name="Lien hypertexte visité" xfId="25195" builtinId="9" hidden="1"/>
    <cellStyle name="Lien hypertexte visité" xfId="25197" builtinId="9" hidden="1"/>
    <cellStyle name="Lien hypertexte visité" xfId="25199" builtinId="9" hidden="1"/>
    <cellStyle name="Lien hypertexte visité" xfId="25201" builtinId="9" hidden="1"/>
    <cellStyle name="Lien hypertexte visité" xfId="25203" builtinId="9" hidden="1"/>
    <cellStyle name="Lien hypertexte visité" xfId="25205" builtinId="9" hidden="1"/>
    <cellStyle name="Lien hypertexte visité" xfId="25207" builtinId="9" hidden="1"/>
    <cellStyle name="Lien hypertexte visité" xfId="25209" builtinId="9" hidden="1"/>
    <cellStyle name="Lien hypertexte visité" xfId="25211" builtinId="9" hidden="1"/>
    <cellStyle name="Lien hypertexte visité" xfId="25213" builtinId="9" hidden="1"/>
    <cellStyle name="Lien hypertexte visité" xfId="25215" builtinId="9" hidden="1"/>
    <cellStyle name="Lien hypertexte visité" xfId="25217" builtinId="9" hidden="1"/>
    <cellStyle name="Lien hypertexte visité" xfId="25219" builtinId="9" hidden="1"/>
    <cellStyle name="Lien hypertexte visité" xfId="25221" builtinId="9" hidden="1"/>
    <cellStyle name="Lien hypertexte visité" xfId="25223" builtinId="9" hidden="1"/>
    <cellStyle name="Lien hypertexte visité" xfId="25225" builtinId="9" hidden="1"/>
    <cellStyle name="Lien hypertexte visité" xfId="25227" builtinId="9" hidden="1"/>
    <cellStyle name="Lien hypertexte visité" xfId="25229" builtinId="9" hidden="1"/>
    <cellStyle name="Lien hypertexte visité" xfId="25231" builtinId="9" hidden="1"/>
    <cellStyle name="Lien hypertexte visité" xfId="25233" builtinId="9" hidden="1"/>
    <cellStyle name="Lien hypertexte visité" xfId="25235" builtinId="9" hidden="1"/>
    <cellStyle name="Lien hypertexte visité" xfId="25237" builtinId="9" hidden="1"/>
    <cellStyle name="Lien hypertexte visité" xfId="25239" builtinId="9" hidden="1"/>
    <cellStyle name="Lien hypertexte visité" xfId="25241" builtinId="9" hidden="1"/>
    <cellStyle name="Lien hypertexte visité" xfId="25243" builtinId="9" hidden="1"/>
    <cellStyle name="Lien hypertexte visité" xfId="25245" builtinId="9" hidden="1"/>
    <cellStyle name="Lien hypertexte visité" xfId="25247" builtinId="9" hidden="1"/>
    <cellStyle name="Lien hypertexte visité" xfId="25249" builtinId="9" hidden="1"/>
    <cellStyle name="Lien hypertexte visité" xfId="25251" builtinId="9" hidden="1"/>
    <cellStyle name="Lien hypertexte visité" xfId="25253" builtinId="9" hidden="1"/>
    <cellStyle name="Lien hypertexte visité" xfId="25255" builtinId="9" hidden="1"/>
    <cellStyle name="Lien hypertexte visité" xfId="25257" builtinId="9" hidden="1"/>
    <cellStyle name="Lien hypertexte visité" xfId="25259" builtinId="9" hidden="1"/>
    <cellStyle name="Lien hypertexte visité" xfId="25261" builtinId="9" hidden="1"/>
    <cellStyle name="Lien hypertexte visité" xfId="25263" builtinId="9" hidden="1"/>
    <cellStyle name="Lien hypertexte visité" xfId="25265" builtinId="9" hidden="1"/>
    <cellStyle name="Lien hypertexte visité" xfId="25267" builtinId="9" hidden="1"/>
    <cellStyle name="Lien hypertexte visité" xfId="25269" builtinId="9" hidden="1"/>
    <cellStyle name="Lien hypertexte visité" xfId="25271" builtinId="9" hidden="1"/>
    <cellStyle name="Lien hypertexte visité" xfId="25273" builtinId="9" hidden="1"/>
    <cellStyle name="Lien hypertexte visité" xfId="25275" builtinId="9" hidden="1"/>
    <cellStyle name="Lien hypertexte visité" xfId="25277" builtinId="9" hidden="1"/>
    <cellStyle name="Lien hypertexte visité" xfId="25279" builtinId="9" hidden="1"/>
    <cellStyle name="Lien hypertexte visité" xfId="25281" builtinId="9" hidden="1"/>
    <cellStyle name="Lien hypertexte visité" xfId="25283" builtinId="9" hidden="1"/>
    <cellStyle name="Lien hypertexte visité" xfId="25285" builtinId="9" hidden="1"/>
    <cellStyle name="Lien hypertexte visité" xfId="25287" builtinId="9" hidden="1"/>
    <cellStyle name="Lien hypertexte visité" xfId="25289" builtinId="9" hidden="1"/>
    <cellStyle name="Lien hypertexte visité" xfId="25291" builtinId="9" hidden="1"/>
    <cellStyle name="Lien hypertexte visité" xfId="25293" builtinId="9" hidden="1"/>
    <cellStyle name="Lien hypertexte visité" xfId="25295" builtinId="9" hidden="1"/>
    <cellStyle name="Lien hypertexte visité" xfId="25297" builtinId="9" hidden="1"/>
    <cellStyle name="Lien hypertexte visité" xfId="25299" builtinId="9" hidden="1"/>
    <cellStyle name="Lien hypertexte visité" xfId="25301" builtinId="9" hidden="1"/>
    <cellStyle name="Lien hypertexte visité" xfId="25303" builtinId="9" hidden="1"/>
    <cellStyle name="Lien hypertexte visité" xfId="25305" builtinId="9" hidden="1"/>
    <cellStyle name="Lien hypertexte visité" xfId="25307" builtinId="9" hidden="1"/>
    <cellStyle name="Lien hypertexte visité" xfId="25309" builtinId="9" hidden="1"/>
    <cellStyle name="Lien hypertexte visité" xfId="25311" builtinId="9" hidden="1"/>
    <cellStyle name="Lien hypertexte visité" xfId="25313" builtinId="9" hidden="1"/>
    <cellStyle name="Lien hypertexte visité" xfId="25315" builtinId="9" hidden="1"/>
    <cellStyle name="Lien hypertexte visité" xfId="25317" builtinId="9" hidden="1"/>
    <cellStyle name="Lien hypertexte visité" xfId="25319" builtinId="9" hidden="1"/>
    <cellStyle name="Lien hypertexte visité" xfId="25321" builtinId="9" hidden="1"/>
    <cellStyle name="Lien hypertexte visité" xfId="25323" builtinId="9" hidden="1"/>
    <cellStyle name="Lien hypertexte visité" xfId="25325" builtinId="9" hidden="1"/>
    <cellStyle name="Lien hypertexte visité" xfId="25327" builtinId="9" hidden="1"/>
    <cellStyle name="Lien hypertexte visité" xfId="25329" builtinId="9" hidden="1"/>
    <cellStyle name="Lien hypertexte visité" xfId="25331" builtinId="9" hidden="1"/>
    <cellStyle name="Lien hypertexte visité" xfId="25333" builtinId="9" hidden="1"/>
    <cellStyle name="Lien hypertexte visité" xfId="25335" builtinId="9" hidden="1"/>
    <cellStyle name="Lien hypertexte visité" xfId="25337" builtinId="9" hidden="1"/>
    <cellStyle name="Lien hypertexte visité" xfId="25339" builtinId="9" hidden="1"/>
    <cellStyle name="Lien hypertexte visité" xfId="25341" builtinId="9" hidden="1"/>
    <cellStyle name="Lien hypertexte visité" xfId="25343" builtinId="9" hidden="1"/>
    <cellStyle name="Lien hypertexte visité" xfId="25345" builtinId="9" hidden="1"/>
    <cellStyle name="Lien hypertexte visité" xfId="25347" builtinId="9" hidden="1"/>
    <cellStyle name="Lien hypertexte visité" xfId="25349" builtinId="9" hidden="1"/>
    <cellStyle name="Lien hypertexte visité" xfId="25351" builtinId="9" hidden="1"/>
    <cellStyle name="Lien hypertexte visité" xfId="25353" builtinId="9" hidden="1"/>
    <cellStyle name="Lien hypertexte visité" xfId="25355" builtinId="9" hidden="1"/>
    <cellStyle name="Lien hypertexte visité" xfId="25357" builtinId="9" hidden="1"/>
    <cellStyle name="Lien hypertexte visité" xfId="25359" builtinId="9" hidden="1"/>
    <cellStyle name="Lien hypertexte visité" xfId="25361" builtinId="9" hidden="1"/>
    <cellStyle name="Lien hypertexte visité" xfId="25363" builtinId="9" hidden="1"/>
    <cellStyle name="Lien hypertexte visité" xfId="25365" builtinId="9" hidden="1"/>
    <cellStyle name="Lien hypertexte visité" xfId="25367" builtinId="9" hidden="1"/>
    <cellStyle name="Lien hypertexte visité" xfId="25369" builtinId="9" hidden="1"/>
    <cellStyle name="Lien hypertexte visité" xfId="25371" builtinId="9" hidden="1"/>
    <cellStyle name="Lien hypertexte visité" xfId="25373" builtinId="9" hidden="1"/>
    <cellStyle name="Lien hypertexte visité" xfId="25375" builtinId="9" hidden="1"/>
    <cellStyle name="Lien hypertexte visité" xfId="25377" builtinId="9" hidden="1"/>
    <cellStyle name="Lien hypertexte visité" xfId="25379" builtinId="9" hidden="1"/>
    <cellStyle name="Lien hypertexte visité" xfId="25381" builtinId="9" hidden="1"/>
    <cellStyle name="Lien hypertexte visité" xfId="25383" builtinId="9" hidden="1"/>
    <cellStyle name="Lien hypertexte visité" xfId="25385" builtinId="9" hidden="1"/>
    <cellStyle name="Lien hypertexte visité" xfId="25387" builtinId="9" hidden="1"/>
    <cellStyle name="Lien hypertexte visité" xfId="25389" builtinId="9" hidden="1"/>
    <cellStyle name="Lien hypertexte visité" xfId="25391" builtinId="9" hidden="1"/>
    <cellStyle name="Lien hypertexte visité" xfId="25393" builtinId="9" hidden="1"/>
    <cellStyle name="Lien hypertexte visité" xfId="25395" builtinId="9" hidden="1"/>
    <cellStyle name="Lien hypertexte visité" xfId="25397" builtinId="9" hidden="1"/>
    <cellStyle name="Lien hypertexte visité" xfId="25399" builtinId="9" hidden="1"/>
    <cellStyle name="Lien hypertexte visité" xfId="25401" builtinId="9" hidden="1"/>
    <cellStyle name="Lien hypertexte visité" xfId="25403" builtinId="9" hidden="1"/>
    <cellStyle name="Lien hypertexte visité" xfId="25405" builtinId="9" hidden="1"/>
    <cellStyle name="Lien hypertexte visité" xfId="25407" builtinId="9" hidden="1"/>
    <cellStyle name="Lien hypertexte visité" xfId="25409" builtinId="9" hidden="1"/>
    <cellStyle name="Lien hypertexte visité" xfId="25411" builtinId="9" hidden="1"/>
    <cellStyle name="Lien hypertexte visité" xfId="25413" builtinId="9" hidden="1"/>
    <cellStyle name="Lien hypertexte visité" xfId="25415" builtinId="9" hidden="1"/>
    <cellStyle name="Lien hypertexte visité" xfId="25417" builtinId="9" hidden="1"/>
    <cellStyle name="Lien hypertexte visité" xfId="25419" builtinId="9" hidden="1"/>
    <cellStyle name="Lien hypertexte visité" xfId="25421" builtinId="9" hidden="1"/>
    <cellStyle name="Lien hypertexte visité" xfId="25423" builtinId="9" hidden="1"/>
    <cellStyle name="Lien hypertexte visité" xfId="25425" builtinId="9" hidden="1"/>
    <cellStyle name="Lien hypertexte visité" xfId="25427" builtinId="9" hidden="1"/>
    <cellStyle name="Lien hypertexte visité" xfId="25429" builtinId="9" hidden="1"/>
    <cellStyle name="Lien hypertexte visité" xfId="25431" builtinId="9" hidden="1"/>
    <cellStyle name="Lien hypertexte visité" xfId="25433" builtinId="9" hidden="1"/>
    <cellStyle name="Lien hypertexte visité" xfId="25435" builtinId="9" hidden="1"/>
    <cellStyle name="Lien hypertexte visité" xfId="25437" builtinId="9" hidden="1"/>
    <cellStyle name="Lien hypertexte visité" xfId="25439" builtinId="9" hidden="1"/>
    <cellStyle name="Lien hypertexte visité" xfId="25441" builtinId="9" hidden="1"/>
    <cellStyle name="Lien hypertexte visité" xfId="25443" builtinId="9" hidden="1"/>
    <cellStyle name="Lien hypertexte visité" xfId="25445" builtinId="9" hidden="1"/>
    <cellStyle name="Lien hypertexte visité" xfId="25447" builtinId="9" hidden="1"/>
    <cellStyle name="Lien hypertexte visité" xfId="25449" builtinId="9" hidden="1"/>
    <cellStyle name="Lien hypertexte visité" xfId="25451" builtinId="9" hidden="1"/>
    <cellStyle name="Lien hypertexte visité" xfId="25453" builtinId="9" hidden="1"/>
    <cellStyle name="Lien hypertexte visité" xfId="25455" builtinId="9" hidden="1"/>
    <cellStyle name="Lien hypertexte visité" xfId="25457" builtinId="9" hidden="1"/>
    <cellStyle name="Lien hypertexte visité" xfId="25459" builtinId="9" hidden="1"/>
    <cellStyle name="Lien hypertexte visité" xfId="25461" builtinId="9" hidden="1"/>
    <cellStyle name="Lien hypertexte visité" xfId="25463" builtinId="9" hidden="1"/>
    <cellStyle name="Lien hypertexte visité" xfId="25465" builtinId="9" hidden="1"/>
    <cellStyle name="Lien hypertexte visité" xfId="25467" builtinId="9" hidden="1"/>
    <cellStyle name="Lien hypertexte visité" xfId="25469" builtinId="9" hidden="1"/>
    <cellStyle name="Lien hypertexte visité" xfId="25471" builtinId="9" hidden="1"/>
    <cellStyle name="Lien hypertexte visité" xfId="25473" builtinId="9" hidden="1"/>
    <cellStyle name="Lien hypertexte visité" xfId="25475" builtinId="9" hidden="1"/>
    <cellStyle name="Lien hypertexte visité" xfId="25477" builtinId="9" hidden="1"/>
    <cellStyle name="Lien hypertexte visité" xfId="25479" builtinId="9" hidden="1"/>
    <cellStyle name="Lien hypertexte visité" xfId="25481" builtinId="9" hidden="1"/>
    <cellStyle name="Lien hypertexte visité" xfId="25483" builtinId="9" hidden="1"/>
    <cellStyle name="Lien hypertexte visité" xfId="25485" builtinId="9" hidden="1"/>
    <cellStyle name="Lien hypertexte visité" xfId="25487" builtinId="9" hidden="1"/>
    <cellStyle name="Lien hypertexte visité" xfId="25489" builtinId="9" hidden="1"/>
    <cellStyle name="Lien hypertexte visité" xfId="25491" builtinId="9" hidden="1"/>
    <cellStyle name="Lien hypertexte visité" xfId="25493" builtinId="9" hidden="1"/>
    <cellStyle name="Lien hypertexte visité" xfId="25495" builtinId="9" hidden="1"/>
    <cellStyle name="Lien hypertexte visité" xfId="25497" builtinId="9" hidden="1"/>
    <cellStyle name="Lien hypertexte visité" xfId="25499" builtinId="9" hidden="1"/>
    <cellStyle name="Lien hypertexte visité" xfId="25501" builtinId="9" hidden="1"/>
    <cellStyle name="Lien hypertexte visité" xfId="25503" builtinId="9" hidden="1"/>
    <cellStyle name="Lien hypertexte visité" xfId="25505" builtinId="9" hidden="1"/>
    <cellStyle name="Lien hypertexte visité" xfId="25507" builtinId="9" hidden="1"/>
    <cellStyle name="Lien hypertexte visité" xfId="25509" builtinId="9" hidden="1"/>
    <cellStyle name="Lien hypertexte visité" xfId="25511" builtinId="9" hidden="1"/>
    <cellStyle name="Lien hypertexte visité" xfId="25513" builtinId="9" hidden="1"/>
    <cellStyle name="Lien hypertexte visité" xfId="25515" builtinId="9" hidden="1"/>
    <cellStyle name="Lien hypertexte visité" xfId="25517" builtinId="9" hidden="1"/>
    <cellStyle name="Lien hypertexte visité" xfId="25519" builtinId="9" hidden="1"/>
    <cellStyle name="Lien hypertexte visité" xfId="25521" builtinId="9" hidden="1"/>
    <cellStyle name="Lien hypertexte visité" xfId="25523" builtinId="9" hidden="1"/>
    <cellStyle name="Lien hypertexte visité" xfId="25525" builtinId="9" hidden="1"/>
    <cellStyle name="Lien hypertexte visité" xfId="25527" builtinId="9" hidden="1"/>
    <cellStyle name="Lien hypertexte visité" xfId="25529" builtinId="9" hidden="1"/>
    <cellStyle name="Lien hypertexte visité" xfId="25531" builtinId="9" hidden="1"/>
    <cellStyle name="Lien hypertexte visité" xfId="25533" builtinId="9" hidden="1"/>
    <cellStyle name="Lien hypertexte visité" xfId="25535" builtinId="9" hidden="1"/>
    <cellStyle name="Lien hypertexte visité" xfId="25537" builtinId="9" hidden="1"/>
    <cellStyle name="Lien hypertexte visité" xfId="25539" builtinId="9" hidden="1"/>
    <cellStyle name="Lien hypertexte visité" xfId="25541" builtinId="9" hidden="1"/>
    <cellStyle name="Lien hypertexte visité" xfId="25543" builtinId="9" hidden="1"/>
    <cellStyle name="Lien hypertexte visité" xfId="25545" builtinId="9" hidden="1"/>
    <cellStyle name="Lien hypertexte visité" xfId="25547" builtinId="9" hidden="1"/>
    <cellStyle name="Lien hypertexte visité" xfId="25549" builtinId="9" hidden="1"/>
    <cellStyle name="Lien hypertexte visité" xfId="25551" builtinId="9" hidden="1"/>
    <cellStyle name="Lien hypertexte visité" xfId="25553" builtinId="9" hidden="1"/>
    <cellStyle name="Lien hypertexte visité" xfId="25555" builtinId="9" hidden="1"/>
    <cellStyle name="Lien hypertexte visité" xfId="25557" builtinId="9" hidden="1"/>
    <cellStyle name="Lien hypertexte visité" xfId="25559" builtinId="9" hidden="1"/>
    <cellStyle name="Lien hypertexte visité" xfId="25561" builtinId="9" hidden="1"/>
    <cellStyle name="Lien hypertexte visité" xfId="25563" builtinId="9" hidden="1"/>
    <cellStyle name="Lien hypertexte visité" xfId="25565" builtinId="9" hidden="1"/>
    <cellStyle name="Lien hypertexte visité" xfId="25567" builtinId="9" hidden="1"/>
    <cellStyle name="Lien hypertexte visité" xfId="25569" builtinId="9" hidden="1"/>
    <cellStyle name="Lien hypertexte visité" xfId="25571" builtinId="9" hidden="1"/>
    <cellStyle name="Lien hypertexte visité" xfId="25573" builtinId="9" hidden="1"/>
    <cellStyle name="Lien hypertexte visité" xfId="25575" builtinId="9" hidden="1"/>
    <cellStyle name="Lien hypertexte visité" xfId="25577" builtinId="9" hidden="1"/>
    <cellStyle name="Lien hypertexte visité" xfId="25579" builtinId="9" hidden="1"/>
    <cellStyle name="Lien hypertexte visité" xfId="25581" builtinId="9" hidden="1"/>
    <cellStyle name="Lien hypertexte visité" xfId="25583" builtinId="9" hidden="1"/>
    <cellStyle name="Lien hypertexte visité" xfId="25585" builtinId="9" hidden="1"/>
    <cellStyle name="Lien hypertexte visité" xfId="25587" builtinId="9" hidden="1"/>
    <cellStyle name="Lien hypertexte visité" xfId="25589" builtinId="9" hidden="1"/>
    <cellStyle name="Lien hypertexte visité" xfId="25591" builtinId="9" hidden="1"/>
    <cellStyle name="Lien hypertexte visité" xfId="25593" builtinId="9" hidden="1"/>
    <cellStyle name="Lien hypertexte visité" xfId="25595" builtinId="9" hidden="1"/>
    <cellStyle name="Lien hypertexte visité" xfId="25597" builtinId="9" hidden="1"/>
    <cellStyle name="Lien hypertexte visité" xfId="25599" builtinId="9" hidden="1"/>
    <cellStyle name="Lien hypertexte visité" xfId="25601" builtinId="9" hidden="1"/>
    <cellStyle name="Lien hypertexte visité" xfId="25603" builtinId="9" hidden="1"/>
    <cellStyle name="Lien hypertexte visité" xfId="25605" builtinId="9" hidden="1"/>
    <cellStyle name="Lien hypertexte visité" xfId="25607" builtinId="9" hidden="1"/>
    <cellStyle name="Lien hypertexte visité" xfId="25609" builtinId="9" hidden="1"/>
    <cellStyle name="Lien hypertexte visité" xfId="25611" builtinId="9" hidden="1"/>
    <cellStyle name="Lien hypertexte visité" xfId="25613" builtinId="9" hidden="1"/>
    <cellStyle name="Lien hypertexte visité" xfId="25615" builtinId="9" hidden="1"/>
    <cellStyle name="Lien hypertexte visité" xfId="25617" builtinId="9" hidden="1"/>
    <cellStyle name="Lien hypertexte visité" xfId="25619" builtinId="9" hidden="1"/>
    <cellStyle name="Lien hypertexte visité" xfId="25621" builtinId="9" hidden="1"/>
    <cellStyle name="Lien hypertexte visité" xfId="25623" builtinId="9" hidden="1"/>
    <cellStyle name="Lien hypertexte visité" xfId="25625" builtinId="9" hidden="1"/>
    <cellStyle name="Lien hypertexte visité" xfId="25627" builtinId="9" hidden="1"/>
    <cellStyle name="Lien hypertexte visité" xfId="25629" builtinId="9" hidden="1"/>
    <cellStyle name="Lien hypertexte visité" xfId="25631" builtinId="9" hidden="1"/>
    <cellStyle name="Lien hypertexte visité" xfId="25633" builtinId="9" hidden="1"/>
    <cellStyle name="Lien hypertexte visité" xfId="25635" builtinId="9" hidden="1"/>
    <cellStyle name="Lien hypertexte visité" xfId="25637" builtinId="9" hidden="1"/>
    <cellStyle name="Lien hypertexte visité" xfId="25639" builtinId="9" hidden="1"/>
    <cellStyle name="Lien hypertexte visité" xfId="25641" builtinId="9" hidden="1"/>
    <cellStyle name="Lien hypertexte visité" xfId="25643" builtinId="9" hidden="1"/>
    <cellStyle name="Lien hypertexte visité" xfId="25645" builtinId="9" hidden="1"/>
    <cellStyle name="Lien hypertexte visité" xfId="25647" builtinId="9" hidden="1"/>
    <cellStyle name="Lien hypertexte visité" xfId="25649" builtinId="9" hidden="1"/>
    <cellStyle name="Lien hypertexte visité" xfId="25651" builtinId="9" hidden="1"/>
    <cellStyle name="Lien hypertexte visité" xfId="25653" builtinId="9" hidden="1"/>
    <cellStyle name="Lien hypertexte visité" xfId="25655" builtinId="9" hidden="1"/>
    <cellStyle name="Lien hypertexte visité" xfId="25657" builtinId="9" hidden="1"/>
    <cellStyle name="Lien hypertexte visité" xfId="25659" builtinId="9" hidden="1"/>
    <cellStyle name="Lien hypertexte visité" xfId="25661" builtinId="9" hidden="1"/>
    <cellStyle name="Lien hypertexte visité" xfId="25663" builtinId="9" hidden="1"/>
    <cellStyle name="Lien hypertexte visité" xfId="25665" builtinId="9" hidden="1"/>
    <cellStyle name="Lien hypertexte visité" xfId="25667" builtinId="9" hidden="1"/>
    <cellStyle name="Lien hypertexte visité" xfId="25669" builtinId="9" hidden="1"/>
    <cellStyle name="Lien hypertexte visité" xfId="25671" builtinId="9" hidden="1"/>
    <cellStyle name="Lien hypertexte visité" xfId="25673" builtinId="9" hidden="1"/>
    <cellStyle name="Lien hypertexte visité" xfId="25675" builtinId="9" hidden="1"/>
    <cellStyle name="Lien hypertexte visité" xfId="25677" builtinId="9" hidden="1"/>
    <cellStyle name="Lien hypertexte visité" xfId="25679" builtinId="9" hidden="1"/>
    <cellStyle name="Lien hypertexte visité" xfId="25681" builtinId="9" hidden="1"/>
    <cellStyle name="Lien hypertexte visité" xfId="25683" builtinId="9" hidden="1"/>
    <cellStyle name="Lien hypertexte visité" xfId="25685" builtinId="9" hidden="1"/>
    <cellStyle name="Lien hypertexte visité" xfId="25687" builtinId="9" hidden="1"/>
    <cellStyle name="Lien hypertexte visité" xfId="25689" builtinId="9" hidden="1"/>
    <cellStyle name="Lien hypertexte visité" xfId="25691" builtinId="9" hidden="1"/>
    <cellStyle name="Lien hypertexte visité" xfId="25693" builtinId="9" hidden="1"/>
    <cellStyle name="Lien hypertexte visité" xfId="25695" builtinId="9" hidden="1"/>
    <cellStyle name="Lien hypertexte visité" xfId="25697" builtinId="9" hidden="1"/>
    <cellStyle name="Lien hypertexte visité" xfId="25699" builtinId="9" hidden="1"/>
    <cellStyle name="Lien hypertexte visité" xfId="25701" builtinId="9" hidden="1"/>
    <cellStyle name="Lien hypertexte visité" xfId="25703" builtinId="9" hidden="1"/>
    <cellStyle name="Lien hypertexte visité" xfId="25705" builtinId="9" hidden="1"/>
    <cellStyle name="Lien hypertexte visité" xfId="25707" builtinId="9" hidden="1"/>
    <cellStyle name="Lien hypertexte visité" xfId="25709" builtinId="9" hidden="1"/>
    <cellStyle name="Lien hypertexte visité" xfId="25711" builtinId="9" hidden="1"/>
    <cellStyle name="Lien hypertexte visité" xfId="25713" builtinId="9" hidden="1"/>
    <cellStyle name="Lien hypertexte visité" xfId="25715" builtinId="9" hidden="1"/>
    <cellStyle name="Lien hypertexte visité" xfId="25717" builtinId="9" hidden="1"/>
    <cellStyle name="Lien hypertexte visité" xfId="25719" builtinId="9" hidden="1"/>
    <cellStyle name="Lien hypertexte visité" xfId="25721" builtinId="9" hidden="1"/>
    <cellStyle name="Lien hypertexte visité" xfId="25723" builtinId="9" hidden="1"/>
    <cellStyle name="Lien hypertexte visité" xfId="25725" builtinId="9" hidden="1"/>
    <cellStyle name="Lien hypertexte visité" xfId="25727" builtinId="9" hidden="1"/>
    <cellStyle name="Lien hypertexte visité" xfId="25729" builtinId="9" hidden="1"/>
    <cellStyle name="Lien hypertexte visité" xfId="25731" builtinId="9" hidden="1"/>
    <cellStyle name="Lien hypertexte visité" xfId="25733" builtinId="9" hidden="1"/>
    <cellStyle name="Lien hypertexte visité" xfId="25735" builtinId="9" hidden="1"/>
    <cellStyle name="Lien hypertexte visité" xfId="25737" builtinId="9" hidden="1"/>
    <cellStyle name="Lien hypertexte visité" xfId="25739" builtinId="9" hidden="1"/>
    <cellStyle name="Lien hypertexte visité" xfId="25741" builtinId="9" hidden="1"/>
    <cellStyle name="Lien hypertexte visité" xfId="25743" builtinId="9" hidden="1"/>
    <cellStyle name="Lien hypertexte visité" xfId="25745" builtinId="9" hidden="1"/>
    <cellStyle name="Lien hypertexte visité" xfId="25747" builtinId="9" hidden="1"/>
    <cellStyle name="Lien hypertexte visité" xfId="25749" builtinId="9" hidden="1"/>
    <cellStyle name="Lien hypertexte visité" xfId="25751" builtinId="9" hidden="1"/>
    <cellStyle name="Lien hypertexte visité" xfId="25753" builtinId="9" hidden="1"/>
    <cellStyle name="Lien hypertexte visité" xfId="25755" builtinId="9" hidden="1"/>
    <cellStyle name="Lien hypertexte visité" xfId="25757" builtinId="9" hidden="1"/>
    <cellStyle name="Lien hypertexte visité" xfId="25759" builtinId="9" hidden="1"/>
    <cellStyle name="Lien hypertexte visité" xfId="25761" builtinId="9" hidden="1"/>
    <cellStyle name="Lien hypertexte visité" xfId="25763" builtinId="9" hidden="1"/>
    <cellStyle name="Lien hypertexte visité" xfId="25765" builtinId="9" hidden="1"/>
    <cellStyle name="Lien hypertexte visité" xfId="25767" builtinId="9" hidden="1"/>
    <cellStyle name="Lien hypertexte visité" xfId="25769" builtinId="9" hidden="1"/>
    <cellStyle name="Lien hypertexte visité" xfId="25771" builtinId="9" hidden="1"/>
    <cellStyle name="Lien hypertexte visité" xfId="25773" builtinId="9" hidden="1"/>
    <cellStyle name="Lien hypertexte visité" xfId="25775" builtinId="9" hidden="1"/>
    <cellStyle name="Lien hypertexte visité" xfId="25777" builtinId="9" hidden="1"/>
    <cellStyle name="Lien hypertexte visité" xfId="25779" builtinId="9" hidden="1"/>
    <cellStyle name="Lien hypertexte visité" xfId="25781" builtinId="9" hidden="1"/>
    <cellStyle name="Lien hypertexte visité" xfId="25783" builtinId="9" hidden="1"/>
    <cellStyle name="Lien hypertexte visité" xfId="25785" builtinId="9" hidden="1"/>
    <cellStyle name="Lien hypertexte visité" xfId="25787" builtinId="9" hidden="1"/>
    <cellStyle name="Lien hypertexte visité" xfId="25789" builtinId="9" hidden="1"/>
    <cellStyle name="Lien hypertexte visité" xfId="25791" builtinId="9" hidden="1"/>
    <cellStyle name="Lien hypertexte visité" xfId="25793" builtinId="9" hidden="1"/>
    <cellStyle name="Lien hypertexte visité" xfId="25795" builtinId="9" hidden="1"/>
    <cellStyle name="Lien hypertexte visité" xfId="25797" builtinId="9" hidden="1"/>
    <cellStyle name="Lien hypertexte visité" xfId="25799" builtinId="9" hidden="1"/>
    <cellStyle name="Lien hypertexte visité" xfId="25801" builtinId="9" hidden="1"/>
    <cellStyle name="Lien hypertexte visité" xfId="25803" builtinId="9" hidden="1"/>
    <cellStyle name="Lien hypertexte visité" xfId="25805" builtinId="9" hidden="1"/>
    <cellStyle name="Lien hypertexte visité" xfId="25807" builtinId="9" hidden="1"/>
    <cellStyle name="Lien hypertexte visité" xfId="25809" builtinId="9" hidden="1"/>
    <cellStyle name="Lien hypertexte visité" xfId="25811" builtinId="9" hidden="1"/>
    <cellStyle name="Lien hypertexte visité" xfId="25813" builtinId="9" hidden="1"/>
    <cellStyle name="Lien hypertexte visité" xfId="25815" builtinId="9" hidden="1"/>
    <cellStyle name="Lien hypertexte visité" xfId="25817" builtinId="9" hidden="1"/>
    <cellStyle name="Lien hypertexte visité" xfId="25819" builtinId="9" hidden="1"/>
    <cellStyle name="Lien hypertexte visité" xfId="25821" builtinId="9" hidden="1"/>
    <cellStyle name="Lien hypertexte visité" xfId="25823" builtinId="9" hidden="1"/>
    <cellStyle name="Lien hypertexte visité" xfId="25825" builtinId="9" hidden="1"/>
    <cellStyle name="Lien hypertexte visité" xfId="25827" builtinId="9" hidden="1"/>
    <cellStyle name="Lien hypertexte visité" xfId="25829" builtinId="9" hidden="1"/>
    <cellStyle name="Lien hypertexte visité" xfId="25831" builtinId="9" hidden="1"/>
    <cellStyle name="Lien hypertexte visité" xfId="25833" builtinId="9" hidden="1"/>
    <cellStyle name="Lien hypertexte visité" xfId="25835" builtinId="9" hidden="1"/>
    <cellStyle name="Lien hypertexte visité" xfId="25837" builtinId="9" hidden="1"/>
    <cellStyle name="Lien hypertexte visité" xfId="25839" builtinId="9" hidden="1"/>
    <cellStyle name="Lien hypertexte visité" xfId="25841" builtinId="9" hidden="1"/>
    <cellStyle name="Lien hypertexte visité" xfId="25843" builtinId="9" hidden="1"/>
    <cellStyle name="Lien hypertexte visité" xfId="25845" builtinId="9" hidden="1"/>
    <cellStyle name="Lien hypertexte visité" xfId="25847" builtinId="9" hidden="1"/>
    <cellStyle name="Lien hypertexte visité" xfId="25849" builtinId="9" hidden="1"/>
    <cellStyle name="Lien hypertexte visité" xfId="25851" builtinId="9" hidden="1"/>
    <cellStyle name="Lien hypertexte visité" xfId="25853" builtinId="9" hidden="1"/>
    <cellStyle name="Lien hypertexte visité" xfId="25855" builtinId="9" hidden="1"/>
    <cellStyle name="Lien hypertexte visité" xfId="25857" builtinId="9" hidden="1"/>
    <cellStyle name="Lien hypertexte visité" xfId="25859" builtinId="9" hidden="1"/>
    <cellStyle name="Lien hypertexte visité" xfId="25861" builtinId="9" hidden="1"/>
    <cellStyle name="Lien hypertexte visité" xfId="25863" builtinId="9" hidden="1"/>
    <cellStyle name="Lien hypertexte visité" xfId="25865" builtinId="9" hidden="1"/>
    <cellStyle name="Lien hypertexte visité" xfId="25867" builtinId="9" hidden="1"/>
    <cellStyle name="Lien hypertexte visité" xfId="25869" builtinId="9" hidden="1"/>
    <cellStyle name="Lien hypertexte visité" xfId="25871" builtinId="9" hidden="1"/>
    <cellStyle name="Lien hypertexte visité" xfId="25873" builtinId="9" hidden="1"/>
    <cellStyle name="Lien hypertexte visité" xfId="25875" builtinId="9" hidden="1"/>
    <cellStyle name="Lien hypertexte visité" xfId="25877" builtinId="9" hidden="1"/>
    <cellStyle name="Lien hypertexte visité" xfId="25879" builtinId="9" hidden="1"/>
    <cellStyle name="Lien hypertexte visité" xfId="25881" builtinId="9" hidden="1"/>
    <cellStyle name="Lien hypertexte visité" xfId="25883" builtinId="9" hidden="1"/>
    <cellStyle name="Lien hypertexte visité" xfId="25885" builtinId="9" hidden="1"/>
    <cellStyle name="Lien hypertexte visité" xfId="25887" builtinId="9" hidden="1"/>
    <cellStyle name="Lien hypertexte visité" xfId="25889" builtinId="9" hidden="1"/>
    <cellStyle name="Lien hypertexte visité" xfId="25891" builtinId="9" hidden="1"/>
    <cellStyle name="Lien hypertexte visité" xfId="25893" builtinId="9" hidden="1"/>
    <cellStyle name="Lien hypertexte visité" xfId="25895" builtinId="9" hidden="1"/>
    <cellStyle name="Lien hypertexte visité" xfId="25897" builtinId="9" hidden="1"/>
    <cellStyle name="Lien hypertexte visité" xfId="25899" builtinId="9" hidden="1"/>
    <cellStyle name="Lien hypertexte visité" xfId="25901" builtinId="9" hidden="1"/>
    <cellStyle name="Lien hypertexte visité" xfId="25903" builtinId="9" hidden="1"/>
    <cellStyle name="Lien hypertexte visité" xfId="25905" builtinId="9" hidden="1"/>
    <cellStyle name="Lien hypertexte visité" xfId="25907" builtinId="9" hidden="1"/>
    <cellStyle name="Lien hypertexte visité" xfId="25909" builtinId="9" hidden="1"/>
    <cellStyle name="Lien hypertexte visité" xfId="25911" builtinId="9" hidden="1"/>
    <cellStyle name="Lien hypertexte visité" xfId="25913" builtinId="9" hidden="1"/>
    <cellStyle name="Lien hypertexte visité" xfId="25915" builtinId="9" hidden="1"/>
    <cellStyle name="Lien hypertexte visité" xfId="25917" builtinId="9" hidden="1"/>
    <cellStyle name="Lien hypertexte visité" xfId="25919" builtinId="9" hidden="1"/>
    <cellStyle name="Lien hypertexte visité" xfId="25921" builtinId="9" hidden="1"/>
    <cellStyle name="Lien hypertexte visité" xfId="25923" builtinId="9" hidden="1"/>
    <cellStyle name="Lien hypertexte visité" xfId="25925" builtinId="9" hidden="1"/>
    <cellStyle name="Lien hypertexte visité" xfId="25927" builtinId="9" hidden="1"/>
    <cellStyle name="Lien hypertexte visité" xfId="25929" builtinId="9" hidden="1"/>
    <cellStyle name="Lien hypertexte visité" xfId="25931" builtinId="9" hidden="1"/>
    <cellStyle name="Lien hypertexte visité" xfId="25933" builtinId="9" hidden="1"/>
    <cellStyle name="Lien hypertexte visité" xfId="25935" builtinId="9" hidden="1"/>
    <cellStyle name="Lien hypertexte visité" xfId="25937" builtinId="9" hidden="1"/>
    <cellStyle name="Lien hypertexte visité" xfId="25939" builtinId="9" hidden="1"/>
    <cellStyle name="Lien hypertexte visité" xfId="25941" builtinId="9" hidden="1"/>
    <cellStyle name="Lien hypertexte visité" xfId="25943" builtinId="9" hidden="1"/>
    <cellStyle name="Lien hypertexte visité" xfId="25945" builtinId="9" hidden="1"/>
    <cellStyle name="Lien hypertexte visité" xfId="25947" builtinId="9" hidden="1"/>
    <cellStyle name="Lien hypertexte visité" xfId="25949" builtinId="9" hidden="1"/>
    <cellStyle name="Lien hypertexte visité" xfId="25951" builtinId="9" hidden="1"/>
    <cellStyle name="Lien hypertexte visité" xfId="25953" builtinId="9" hidden="1"/>
    <cellStyle name="Lien hypertexte visité" xfId="25955" builtinId="9" hidden="1"/>
    <cellStyle name="Lien hypertexte visité" xfId="25957" builtinId="9" hidden="1"/>
    <cellStyle name="Lien hypertexte visité" xfId="25959" builtinId="9" hidden="1"/>
    <cellStyle name="Lien hypertexte visité" xfId="25961" builtinId="9" hidden="1"/>
    <cellStyle name="Lien hypertexte visité" xfId="25963" builtinId="9" hidden="1"/>
    <cellStyle name="Lien hypertexte visité" xfId="25965" builtinId="9" hidden="1"/>
    <cellStyle name="Lien hypertexte visité" xfId="25967" builtinId="9" hidden="1"/>
    <cellStyle name="Lien hypertexte visité" xfId="25969" builtinId="9" hidden="1"/>
    <cellStyle name="Lien hypertexte visité" xfId="25971" builtinId="9" hidden="1"/>
    <cellStyle name="Lien hypertexte visité" xfId="25973" builtinId="9" hidden="1"/>
    <cellStyle name="Lien hypertexte visité" xfId="25975" builtinId="9" hidden="1"/>
    <cellStyle name="Lien hypertexte visité" xfId="25977" builtinId="9" hidden="1"/>
    <cellStyle name="Lien hypertexte visité" xfId="25979" builtinId="9" hidden="1"/>
    <cellStyle name="Lien hypertexte visité" xfId="25981" builtinId="9" hidden="1"/>
    <cellStyle name="Lien hypertexte visité" xfId="25983" builtinId="9" hidden="1"/>
    <cellStyle name="Lien hypertexte visité" xfId="25985" builtinId="9" hidden="1"/>
    <cellStyle name="Lien hypertexte visité" xfId="25987" builtinId="9" hidden="1"/>
    <cellStyle name="Lien hypertexte visité" xfId="25989" builtinId="9" hidden="1"/>
    <cellStyle name="Lien hypertexte visité" xfId="25991" builtinId="9" hidden="1"/>
    <cellStyle name="Lien hypertexte visité" xfId="25993" builtinId="9" hidden="1"/>
    <cellStyle name="Lien hypertexte visité" xfId="25995" builtinId="9" hidden="1"/>
    <cellStyle name="Lien hypertexte visité" xfId="25997" builtinId="9" hidden="1"/>
    <cellStyle name="Lien hypertexte visité" xfId="25999" builtinId="9" hidden="1"/>
    <cellStyle name="Lien hypertexte visité" xfId="26001" builtinId="9" hidden="1"/>
    <cellStyle name="Lien hypertexte visité" xfId="26003" builtinId="9" hidden="1"/>
    <cellStyle name="Lien hypertexte visité" xfId="26005" builtinId="9" hidden="1"/>
    <cellStyle name="Lien hypertexte visité" xfId="26007" builtinId="9" hidden="1"/>
    <cellStyle name="Lien hypertexte visité" xfId="26009" builtinId="9" hidden="1"/>
    <cellStyle name="Lien hypertexte visité" xfId="26011" builtinId="9" hidden="1"/>
    <cellStyle name="Lien hypertexte visité" xfId="26013" builtinId="9" hidden="1"/>
    <cellStyle name="Lien hypertexte visité" xfId="26015" builtinId="9" hidden="1"/>
    <cellStyle name="Lien hypertexte visité" xfId="26017" builtinId="9" hidden="1"/>
    <cellStyle name="Lien hypertexte visité" xfId="26019" builtinId="9" hidden="1"/>
    <cellStyle name="Lien hypertexte visité" xfId="26021" builtinId="9" hidden="1"/>
    <cellStyle name="Lien hypertexte visité" xfId="26023" builtinId="9" hidden="1"/>
    <cellStyle name="Lien hypertexte visité" xfId="26025" builtinId="9" hidden="1"/>
    <cellStyle name="Lien hypertexte visité" xfId="26027" builtinId="9" hidden="1"/>
    <cellStyle name="Lien hypertexte visité" xfId="26029" builtinId="9" hidden="1"/>
    <cellStyle name="Lien hypertexte visité" xfId="26031" builtinId="9" hidden="1"/>
    <cellStyle name="Lien hypertexte visité" xfId="26033" builtinId="9" hidden="1"/>
    <cellStyle name="Lien hypertexte visité" xfId="26035" builtinId="9" hidden="1"/>
    <cellStyle name="Lien hypertexte visité" xfId="26037" builtinId="9" hidden="1"/>
    <cellStyle name="Lien hypertexte visité" xfId="26039" builtinId="9" hidden="1"/>
    <cellStyle name="Lien hypertexte visité" xfId="26041" builtinId="9" hidden="1"/>
    <cellStyle name="Lien hypertexte visité" xfId="26043" builtinId="9" hidden="1"/>
    <cellStyle name="Lien hypertexte visité" xfId="26045" builtinId="9" hidden="1"/>
    <cellStyle name="Lien hypertexte visité" xfId="26047" builtinId="9" hidden="1"/>
    <cellStyle name="Lien hypertexte visité" xfId="26049" builtinId="9" hidden="1"/>
    <cellStyle name="Lien hypertexte visité" xfId="26051" builtinId="9" hidden="1"/>
    <cellStyle name="Lien hypertexte visité" xfId="26053" builtinId="9" hidden="1"/>
    <cellStyle name="Lien hypertexte visité" xfId="26055" builtinId="9" hidden="1"/>
    <cellStyle name="Lien hypertexte visité" xfId="26057" builtinId="9" hidden="1"/>
    <cellStyle name="Lien hypertexte visité" xfId="26059" builtinId="9" hidden="1"/>
    <cellStyle name="Lien hypertexte visité" xfId="26061" builtinId="9" hidden="1"/>
    <cellStyle name="Lien hypertexte visité" xfId="26063" builtinId="9" hidden="1"/>
    <cellStyle name="Lien hypertexte visité" xfId="26065" builtinId="9" hidden="1"/>
    <cellStyle name="Lien hypertexte visité" xfId="26067" builtinId="9" hidden="1"/>
    <cellStyle name="Lien hypertexte visité" xfId="26069" builtinId="9" hidden="1"/>
    <cellStyle name="Lien hypertexte visité" xfId="26071" builtinId="9" hidden="1"/>
    <cellStyle name="Lien hypertexte visité" xfId="26073" builtinId="9" hidden="1"/>
    <cellStyle name="Lien hypertexte visité" xfId="26075" builtinId="9" hidden="1"/>
    <cellStyle name="Lien hypertexte visité" xfId="26077" builtinId="9" hidden="1"/>
    <cellStyle name="Lien hypertexte visité" xfId="26079" builtinId="9" hidden="1"/>
    <cellStyle name="Lien hypertexte visité" xfId="26081" builtinId="9" hidden="1"/>
    <cellStyle name="Lien hypertexte visité" xfId="26083" builtinId="9" hidden="1"/>
    <cellStyle name="Lien hypertexte visité" xfId="26085" builtinId="9" hidden="1"/>
    <cellStyle name="Lien hypertexte visité" xfId="26087" builtinId="9" hidden="1"/>
    <cellStyle name="Lien hypertexte visité" xfId="26089" builtinId="9" hidden="1"/>
    <cellStyle name="Lien hypertexte visité" xfId="26091" builtinId="9" hidden="1"/>
    <cellStyle name="Lien hypertexte visité" xfId="26093" builtinId="9" hidden="1"/>
    <cellStyle name="Lien hypertexte visité" xfId="26095" builtinId="9" hidden="1"/>
    <cellStyle name="Lien hypertexte visité" xfId="26097" builtinId="9" hidden="1"/>
    <cellStyle name="Lien hypertexte visité" xfId="26099" builtinId="9" hidden="1"/>
    <cellStyle name="Lien hypertexte visité" xfId="26101" builtinId="9" hidden="1"/>
    <cellStyle name="Lien hypertexte visité" xfId="26103" builtinId="9" hidden="1"/>
    <cellStyle name="Lien hypertexte visité" xfId="26105" builtinId="9" hidden="1"/>
    <cellStyle name="Lien hypertexte visité" xfId="26107" builtinId="9" hidden="1"/>
    <cellStyle name="Lien hypertexte visité" xfId="26109" builtinId="9" hidden="1"/>
    <cellStyle name="Lien hypertexte visité" xfId="26111" builtinId="9" hidden="1"/>
    <cellStyle name="Lien hypertexte visité" xfId="26113" builtinId="9" hidden="1"/>
    <cellStyle name="Lien hypertexte visité" xfId="26115" builtinId="9" hidden="1"/>
    <cellStyle name="Lien hypertexte visité" xfId="26117" builtinId="9" hidden="1"/>
    <cellStyle name="Lien hypertexte visité" xfId="26119" builtinId="9" hidden="1"/>
    <cellStyle name="Lien hypertexte visité" xfId="26121" builtinId="9" hidden="1"/>
    <cellStyle name="Lien hypertexte visité" xfId="26123" builtinId="9" hidden="1"/>
    <cellStyle name="Lien hypertexte visité" xfId="26125" builtinId="9" hidden="1"/>
    <cellStyle name="Lien hypertexte visité" xfId="26127" builtinId="9" hidden="1"/>
    <cellStyle name="Lien hypertexte visité" xfId="26129" builtinId="9" hidden="1"/>
    <cellStyle name="Lien hypertexte visité" xfId="26131" builtinId="9" hidden="1"/>
    <cellStyle name="Lien hypertexte visité" xfId="26133" builtinId="9" hidden="1"/>
    <cellStyle name="Lien hypertexte visité" xfId="26135" builtinId="9" hidden="1"/>
    <cellStyle name="Lien hypertexte visité" xfId="26137" builtinId="9" hidden="1"/>
    <cellStyle name="Lien hypertexte visité" xfId="26139" builtinId="9" hidden="1"/>
    <cellStyle name="Lien hypertexte visité" xfId="26141" builtinId="9" hidden="1"/>
    <cellStyle name="Lien hypertexte visité" xfId="26143" builtinId="9" hidden="1"/>
    <cellStyle name="Lien hypertexte visité" xfId="26145" builtinId="9" hidden="1"/>
    <cellStyle name="Lien hypertexte visité" xfId="26147" builtinId="9" hidden="1"/>
    <cellStyle name="Lien hypertexte visité" xfId="26149" builtinId="9" hidden="1"/>
    <cellStyle name="Lien hypertexte visité" xfId="26151" builtinId="9" hidden="1"/>
    <cellStyle name="Lien hypertexte visité" xfId="26153" builtinId="9" hidden="1"/>
    <cellStyle name="Lien hypertexte visité" xfId="26155" builtinId="9" hidden="1"/>
    <cellStyle name="Lien hypertexte visité" xfId="26157" builtinId="9" hidden="1"/>
    <cellStyle name="Lien hypertexte visité" xfId="26159" builtinId="9" hidden="1"/>
    <cellStyle name="Lien hypertexte visité" xfId="26161" builtinId="9" hidden="1"/>
    <cellStyle name="Lien hypertexte visité" xfId="26163" builtinId="9" hidden="1"/>
    <cellStyle name="Lien hypertexte visité" xfId="26165" builtinId="9" hidden="1"/>
    <cellStyle name="Lien hypertexte visité" xfId="26167" builtinId="9" hidden="1"/>
    <cellStyle name="Lien hypertexte visité" xfId="26169" builtinId="9" hidden="1"/>
    <cellStyle name="Lien hypertexte visité" xfId="26171" builtinId="9" hidden="1"/>
    <cellStyle name="Lien hypertexte visité" xfId="26173" builtinId="9" hidden="1"/>
    <cellStyle name="Lien hypertexte visité" xfId="26175" builtinId="9" hidden="1"/>
    <cellStyle name="Lien hypertexte visité" xfId="26177" builtinId="9" hidden="1"/>
    <cellStyle name="Lien hypertexte visité" xfId="26179" builtinId="9" hidden="1"/>
    <cellStyle name="Lien hypertexte visité" xfId="26181" builtinId="9" hidden="1"/>
    <cellStyle name="Lien hypertexte visité" xfId="26183" builtinId="9" hidden="1"/>
    <cellStyle name="Lien hypertexte visité" xfId="26185" builtinId="9" hidden="1"/>
    <cellStyle name="Lien hypertexte visité" xfId="26187" builtinId="9" hidden="1"/>
    <cellStyle name="Lien hypertexte visité" xfId="26189" builtinId="9" hidden="1"/>
    <cellStyle name="Lien hypertexte visité" xfId="26191" builtinId="9" hidden="1"/>
    <cellStyle name="Lien hypertexte visité" xfId="26193" builtinId="9" hidden="1"/>
    <cellStyle name="Lien hypertexte visité" xfId="26195" builtinId="9" hidden="1"/>
    <cellStyle name="Lien hypertexte visité" xfId="26197" builtinId="9" hidden="1"/>
    <cellStyle name="Lien hypertexte visité" xfId="26199" builtinId="9" hidden="1"/>
    <cellStyle name="Lien hypertexte visité" xfId="26201" builtinId="9" hidden="1"/>
    <cellStyle name="Lien hypertexte visité" xfId="26203" builtinId="9" hidden="1"/>
    <cellStyle name="Lien hypertexte visité" xfId="26205" builtinId="9" hidden="1"/>
    <cellStyle name="Lien hypertexte visité" xfId="26207" builtinId="9" hidden="1"/>
    <cellStyle name="Lien hypertexte visité" xfId="26209" builtinId="9" hidden="1"/>
    <cellStyle name="Lien hypertexte visité" xfId="26211" builtinId="9" hidden="1"/>
    <cellStyle name="Lien hypertexte visité" xfId="26213" builtinId="9" hidden="1"/>
    <cellStyle name="Lien hypertexte visité" xfId="26215" builtinId="9" hidden="1"/>
    <cellStyle name="Lien hypertexte visité" xfId="26217" builtinId="9" hidden="1"/>
    <cellStyle name="Lien hypertexte visité" xfId="26219" builtinId="9" hidden="1"/>
    <cellStyle name="Lien hypertexte visité" xfId="26221" builtinId="9" hidden="1"/>
    <cellStyle name="Lien hypertexte visité" xfId="26223" builtinId="9" hidden="1"/>
    <cellStyle name="Lien hypertexte visité" xfId="26225" builtinId="9" hidden="1"/>
    <cellStyle name="Lien hypertexte visité" xfId="26227" builtinId="9" hidden="1"/>
    <cellStyle name="Lien hypertexte visité" xfId="26229" builtinId="9" hidden="1"/>
    <cellStyle name="Lien hypertexte visité" xfId="26231" builtinId="9" hidden="1"/>
    <cellStyle name="Lien hypertexte visité" xfId="26233" builtinId="9" hidden="1"/>
    <cellStyle name="Lien hypertexte visité" xfId="26235" builtinId="9" hidden="1"/>
    <cellStyle name="Lien hypertexte visité" xfId="26237" builtinId="9" hidden="1"/>
    <cellStyle name="Lien hypertexte visité" xfId="26239" builtinId="9" hidden="1"/>
    <cellStyle name="Lien hypertexte visité" xfId="26241" builtinId="9" hidden="1"/>
    <cellStyle name="Lien hypertexte visité" xfId="26243" builtinId="9" hidden="1"/>
    <cellStyle name="Lien hypertexte visité" xfId="26245" builtinId="9" hidden="1"/>
    <cellStyle name="Lien hypertexte visité" xfId="26247" builtinId="9" hidden="1"/>
    <cellStyle name="Lien hypertexte visité" xfId="26249" builtinId="9" hidden="1"/>
    <cellStyle name="Lien hypertexte visité" xfId="26251" builtinId="9" hidden="1"/>
    <cellStyle name="Lien hypertexte visité" xfId="26253" builtinId="9" hidden="1"/>
    <cellStyle name="Lien hypertexte visité" xfId="26255" builtinId="9" hidden="1"/>
    <cellStyle name="Lien hypertexte visité" xfId="26257" builtinId="9" hidden="1"/>
    <cellStyle name="Lien hypertexte visité" xfId="26259" builtinId="9" hidden="1"/>
    <cellStyle name="Lien hypertexte visité" xfId="26261" builtinId="9" hidden="1"/>
    <cellStyle name="Lien hypertexte visité" xfId="26263" builtinId="9" hidden="1"/>
    <cellStyle name="Lien hypertexte visité" xfId="26265" builtinId="9" hidden="1"/>
    <cellStyle name="Lien hypertexte visité" xfId="26267" builtinId="9" hidden="1"/>
    <cellStyle name="Lien hypertexte visité" xfId="26269" builtinId="9" hidden="1"/>
    <cellStyle name="Lien hypertexte visité" xfId="26271" builtinId="9" hidden="1"/>
    <cellStyle name="Lien hypertexte visité" xfId="26273" builtinId="9" hidden="1"/>
    <cellStyle name="Lien hypertexte visité" xfId="26275" builtinId="9" hidden="1"/>
    <cellStyle name="Lien hypertexte visité" xfId="26277" builtinId="9" hidden="1"/>
    <cellStyle name="Lien hypertexte visité" xfId="26279" builtinId="9" hidden="1"/>
    <cellStyle name="Lien hypertexte visité" xfId="26281" builtinId="9" hidden="1"/>
    <cellStyle name="Lien hypertexte visité" xfId="26283" builtinId="9" hidden="1"/>
    <cellStyle name="Lien hypertexte visité" xfId="26285" builtinId="9" hidden="1"/>
    <cellStyle name="Lien hypertexte visité" xfId="26287" builtinId="9" hidden="1"/>
    <cellStyle name="Lien hypertexte visité" xfId="26289" builtinId="9" hidden="1"/>
    <cellStyle name="Lien hypertexte visité" xfId="26291" builtinId="9" hidden="1"/>
    <cellStyle name="Lien hypertexte visité" xfId="26293" builtinId="9" hidden="1"/>
    <cellStyle name="Lien hypertexte visité" xfId="26295" builtinId="9" hidden="1"/>
    <cellStyle name="Lien hypertexte visité" xfId="26297" builtinId="9" hidden="1"/>
    <cellStyle name="Lien hypertexte visité" xfId="26299" builtinId="9" hidden="1"/>
    <cellStyle name="Lien hypertexte visité" xfId="26301" builtinId="9" hidden="1"/>
    <cellStyle name="Lien hypertexte visité" xfId="26303" builtinId="9" hidden="1"/>
    <cellStyle name="Lien hypertexte visité" xfId="26305" builtinId="9" hidden="1"/>
    <cellStyle name="Lien hypertexte visité" xfId="26307" builtinId="9" hidden="1"/>
    <cellStyle name="Lien hypertexte visité" xfId="26309" builtinId="9" hidden="1"/>
    <cellStyle name="Lien hypertexte visité" xfId="26311" builtinId="9" hidden="1"/>
    <cellStyle name="Lien hypertexte visité" xfId="26313" builtinId="9" hidden="1"/>
    <cellStyle name="Lien hypertexte visité" xfId="26315" builtinId="9" hidden="1"/>
    <cellStyle name="Lien hypertexte visité" xfId="26317" builtinId="9" hidden="1"/>
    <cellStyle name="Lien hypertexte visité" xfId="26319" builtinId="9" hidden="1"/>
    <cellStyle name="Lien hypertexte visité" xfId="26321" builtinId="9" hidden="1"/>
    <cellStyle name="Lien hypertexte visité" xfId="26323" builtinId="9" hidden="1"/>
    <cellStyle name="Lien hypertexte visité" xfId="26325" builtinId="9" hidden="1"/>
    <cellStyle name="Lien hypertexte visité" xfId="26327" builtinId="9" hidden="1"/>
    <cellStyle name="Lien hypertexte visité" xfId="26329" builtinId="9" hidden="1"/>
    <cellStyle name="Lien hypertexte visité" xfId="26331" builtinId="9" hidden="1"/>
    <cellStyle name="Lien hypertexte visité" xfId="26333" builtinId="9" hidden="1"/>
    <cellStyle name="Lien hypertexte visité" xfId="26335" builtinId="9" hidden="1"/>
    <cellStyle name="Lien hypertexte visité" xfId="26337" builtinId="9" hidden="1"/>
    <cellStyle name="Lien hypertexte visité" xfId="26339" builtinId="9" hidden="1"/>
    <cellStyle name="Lien hypertexte visité" xfId="26341" builtinId="9" hidden="1"/>
    <cellStyle name="Lien hypertexte visité" xfId="26343" builtinId="9" hidden="1"/>
    <cellStyle name="Lien hypertexte visité" xfId="26345" builtinId="9" hidden="1"/>
    <cellStyle name="Lien hypertexte visité" xfId="26347" builtinId="9" hidden="1"/>
    <cellStyle name="Lien hypertexte visité" xfId="26349" builtinId="9" hidden="1"/>
    <cellStyle name="Lien hypertexte visité" xfId="26351" builtinId="9" hidden="1"/>
    <cellStyle name="Lien hypertexte visité" xfId="26353" builtinId="9" hidden="1"/>
    <cellStyle name="Lien hypertexte visité" xfId="26355" builtinId="9" hidden="1"/>
    <cellStyle name="Lien hypertexte visité" xfId="26357" builtinId="9" hidden="1"/>
    <cellStyle name="Lien hypertexte visité" xfId="26359" builtinId="9" hidden="1"/>
    <cellStyle name="Lien hypertexte visité" xfId="26361" builtinId="9" hidden="1"/>
    <cellStyle name="Lien hypertexte visité" xfId="26363" builtinId="9" hidden="1"/>
    <cellStyle name="Lien hypertexte visité" xfId="26365" builtinId="9" hidden="1"/>
    <cellStyle name="Lien hypertexte visité" xfId="26367" builtinId="9" hidden="1"/>
    <cellStyle name="Lien hypertexte visité" xfId="26369" builtinId="9" hidden="1"/>
    <cellStyle name="Lien hypertexte visité" xfId="26371" builtinId="9" hidden="1"/>
    <cellStyle name="Lien hypertexte visité" xfId="26373" builtinId="9" hidden="1"/>
    <cellStyle name="Lien hypertexte visité" xfId="26375" builtinId="9" hidden="1"/>
    <cellStyle name="Lien hypertexte visité" xfId="26377" builtinId="9" hidden="1"/>
    <cellStyle name="Lien hypertexte visité" xfId="26379" builtinId="9" hidden="1"/>
    <cellStyle name="Lien hypertexte visité" xfId="26381" builtinId="9" hidden="1"/>
    <cellStyle name="Lien hypertexte visité" xfId="26383" builtinId="9" hidden="1"/>
    <cellStyle name="Lien hypertexte visité" xfId="26385" builtinId="9" hidden="1"/>
    <cellStyle name="Lien hypertexte visité" xfId="26387" builtinId="9" hidden="1"/>
    <cellStyle name="Lien hypertexte visité" xfId="26389" builtinId="9" hidden="1"/>
    <cellStyle name="Lien hypertexte visité" xfId="26391" builtinId="9" hidden="1"/>
    <cellStyle name="Lien hypertexte visité" xfId="26393" builtinId="9" hidden="1"/>
    <cellStyle name="Lien hypertexte visité" xfId="26395" builtinId="9" hidden="1"/>
    <cellStyle name="Lien hypertexte visité" xfId="26397" builtinId="9" hidden="1"/>
    <cellStyle name="Lien hypertexte visité" xfId="26399" builtinId="9" hidden="1"/>
    <cellStyle name="Lien hypertexte visité" xfId="26401" builtinId="9" hidden="1"/>
    <cellStyle name="Lien hypertexte visité" xfId="26403" builtinId="9" hidden="1"/>
    <cellStyle name="Lien hypertexte visité" xfId="26405" builtinId="9" hidden="1"/>
    <cellStyle name="Lien hypertexte visité" xfId="26407" builtinId="9" hidden="1"/>
    <cellStyle name="Lien hypertexte visité" xfId="26409" builtinId="9" hidden="1"/>
    <cellStyle name="Lien hypertexte visité" xfId="26411" builtinId="9" hidden="1"/>
    <cellStyle name="Lien hypertexte visité" xfId="26413" builtinId="9" hidden="1"/>
    <cellStyle name="Lien hypertexte visité" xfId="26415" builtinId="9" hidden="1"/>
    <cellStyle name="Lien hypertexte visité" xfId="26417" builtinId="9" hidden="1"/>
    <cellStyle name="Lien hypertexte visité" xfId="26419" builtinId="9" hidden="1"/>
    <cellStyle name="Lien hypertexte visité" xfId="26421" builtinId="9" hidden="1"/>
    <cellStyle name="Lien hypertexte visité" xfId="26423" builtinId="9" hidden="1"/>
    <cellStyle name="Lien hypertexte visité" xfId="26425" builtinId="9" hidden="1"/>
    <cellStyle name="Lien hypertexte visité" xfId="26427" builtinId="9" hidden="1"/>
    <cellStyle name="Lien hypertexte visité" xfId="26429" builtinId="9" hidden="1"/>
    <cellStyle name="Lien hypertexte visité" xfId="26431" builtinId="9" hidden="1"/>
    <cellStyle name="Lien hypertexte visité" xfId="26433" builtinId="9" hidden="1"/>
    <cellStyle name="Lien hypertexte visité" xfId="26435" builtinId="9" hidden="1"/>
    <cellStyle name="Lien hypertexte visité" xfId="26437" builtinId="9" hidden="1"/>
    <cellStyle name="Lien hypertexte visité" xfId="26439" builtinId="9" hidden="1"/>
    <cellStyle name="Lien hypertexte visité" xfId="26441" builtinId="9" hidden="1"/>
    <cellStyle name="Lien hypertexte visité" xfId="26443" builtinId="9" hidden="1"/>
    <cellStyle name="Lien hypertexte visité" xfId="26445" builtinId="9" hidden="1"/>
    <cellStyle name="Lien hypertexte visité" xfId="26447" builtinId="9" hidden="1"/>
    <cellStyle name="Lien hypertexte visité" xfId="26449" builtinId="9" hidden="1"/>
    <cellStyle name="Lien hypertexte visité" xfId="26451" builtinId="9" hidden="1"/>
    <cellStyle name="Lien hypertexte visité" xfId="26453" builtinId="9" hidden="1"/>
    <cellStyle name="Lien hypertexte visité" xfId="26455" builtinId="9" hidden="1"/>
    <cellStyle name="Lien hypertexte visité" xfId="26457" builtinId="9" hidden="1"/>
    <cellStyle name="Lien hypertexte visité" xfId="26459" builtinId="9" hidden="1"/>
    <cellStyle name="Lien hypertexte visité" xfId="26461" builtinId="9" hidden="1"/>
    <cellStyle name="Lien hypertexte visité" xfId="26463" builtinId="9" hidden="1"/>
    <cellStyle name="Lien hypertexte visité" xfId="26465" builtinId="9" hidden="1"/>
    <cellStyle name="Lien hypertexte visité" xfId="26467" builtinId="9" hidden="1"/>
    <cellStyle name="Lien hypertexte visité" xfId="26469" builtinId="9" hidden="1"/>
    <cellStyle name="Lien hypertexte visité" xfId="26471" builtinId="9" hidden="1"/>
    <cellStyle name="Lien hypertexte visité" xfId="26473" builtinId="9" hidden="1"/>
    <cellStyle name="Lien hypertexte visité" xfId="26475" builtinId="9" hidden="1"/>
    <cellStyle name="Lien hypertexte visité" xfId="26477" builtinId="9" hidden="1"/>
    <cellStyle name="Lien hypertexte visité" xfId="26479" builtinId="9" hidden="1"/>
    <cellStyle name="Lien hypertexte visité" xfId="26481" builtinId="9" hidden="1"/>
    <cellStyle name="Lien hypertexte visité" xfId="26483" builtinId="9" hidden="1"/>
    <cellStyle name="Lien hypertexte visité" xfId="26485" builtinId="9" hidden="1"/>
    <cellStyle name="Lien hypertexte visité" xfId="26487" builtinId="9" hidden="1"/>
    <cellStyle name="Lien hypertexte visité" xfId="26489" builtinId="9" hidden="1"/>
    <cellStyle name="Lien hypertexte visité" xfId="26491" builtinId="9" hidden="1"/>
    <cellStyle name="Lien hypertexte visité" xfId="26493" builtinId="9" hidden="1"/>
    <cellStyle name="Lien hypertexte visité" xfId="26495" builtinId="9" hidden="1"/>
    <cellStyle name="Lien hypertexte visité" xfId="26497" builtinId="9" hidden="1"/>
    <cellStyle name="Lien hypertexte visité" xfId="26499" builtinId="9" hidden="1"/>
    <cellStyle name="Lien hypertexte visité" xfId="26501" builtinId="9" hidden="1"/>
    <cellStyle name="Lien hypertexte visité" xfId="26503" builtinId="9" hidden="1"/>
    <cellStyle name="Lien hypertexte visité" xfId="26505" builtinId="9" hidden="1"/>
    <cellStyle name="Lien hypertexte visité" xfId="26507" builtinId="9" hidden="1"/>
    <cellStyle name="Lien hypertexte visité" xfId="26509" builtinId="9" hidden="1"/>
    <cellStyle name="Lien hypertexte visité" xfId="26511" builtinId="9" hidden="1"/>
    <cellStyle name="Lien hypertexte visité" xfId="26513" builtinId="9" hidden="1"/>
    <cellStyle name="Lien hypertexte visité" xfId="26515" builtinId="9" hidden="1"/>
    <cellStyle name="Lien hypertexte visité" xfId="26517" builtinId="9" hidden="1"/>
    <cellStyle name="Lien hypertexte visité" xfId="26519" builtinId="9" hidden="1"/>
    <cellStyle name="Lien hypertexte visité" xfId="26521" builtinId="9" hidden="1"/>
    <cellStyle name="Lien hypertexte visité" xfId="26523" builtinId="9" hidden="1"/>
    <cellStyle name="Lien hypertexte visité" xfId="26525" builtinId="9" hidden="1"/>
    <cellStyle name="Lien hypertexte visité" xfId="26527" builtinId="9" hidden="1"/>
    <cellStyle name="Lien hypertexte visité" xfId="26529" builtinId="9" hidden="1"/>
    <cellStyle name="Lien hypertexte visité" xfId="26531" builtinId="9" hidden="1"/>
    <cellStyle name="Lien hypertexte visité" xfId="26533" builtinId="9" hidden="1"/>
    <cellStyle name="Lien hypertexte visité" xfId="26535" builtinId="9" hidden="1"/>
    <cellStyle name="Lien hypertexte visité" xfId="26537" builtinId="9" hidden="1"/>
    <cellStyle name="Lien hypertexte visité" xfId="26539" builtinId="9" hidden="1"/>
    <cellStyle name="Lien hypertexte visité" xfId="26541" builtinId="9" hidden="1"/>
    <cellStyle name="Lien hypertexte visité" xfId="26543" builtinId="9" hidden="1"/>
    <cellStyle name="Lien hypertexte visité" xfId="26545" builtinId="9" hidden="1"/>
    <cellStyle name="Lien hypertexte visité" xfId="26547" builtinId="9" hidden="1"/>
    <cellStyle name="Lien hypertexte visité" xfId="26549" builtinId="9" hidden="1"/>
    <cellStyle name="Lien hypertexte visité" xfId="26551" builtinId="9" hidden="1"/>
    <cellStyle name="Lien hypertexte visité" xfId="26553" builtinId="9" hidden="1"/>
    <cellStyle name="Lien hypertexte visité" xfId="26555" builtinId="9" hidden="1"/>
    <cellStyle name="Lien hypertexte visité" xfId="26557" builtinId="9" hidden="1"/>
    <cellStyle name="Lien hypertexte visité" xfId="26559" builtinId="9" hidden="1"/>
    <cellStyle name="Lien hypertexte visité" xfId="26561" builtinId="9" hidden="1"/>
    <cellStyle name="Lien hypertexte visité" xfId="26563" builtinId="9" hidden="1"/>
    <cellStyle name="Lien hypertexte visité" xfId="26565" builtinId="9" hidden="1"/>
    <cellStyle name="Lien hypertexte visité" xfId="26567" builtinId="9" hidden="1"/>
    <cellStyle name="Lien hypertexte visité" xfId="26569" builtinId="9" hidden="1"/>
    <cellStyle name="Lien hypertexte visité" xfId="26571" builtinId="9" hidden="1"/>
    <cellStyle name="Lien hypertexte visité" xfId="26573" builtinId="9" hidden="1"/>
    <cellStyle name="Lien hypertexte visité" xfId="26575" builtinId="9" hidden="1"/>
    <cellStyle name="Lien hypertexte visité" xfId="26577" builtinId="9" hidden="1"/>
    <cellStyle name="Lien hypertexte visité" xfId="26579" builtinId="9" hidden="1"/>
    <cellStyle name="Lien hypertexte visité" xfId="26581" builtinId="9" hidden="1"/>
    <cellStyle name="Lien hypertexte visité" xfId="26583" builtinId="9" hidden="1"/>
    <cellStyle name="Lien hypertexte visité" xfId="26585" builtinId="9" hidden="1"/>
    <cellStyle name="Lien hypertexte visité" xfId="26587" builtinId="9" hidden="1"/>
    <cellStyle name="Lien hypertexte visité" xfId="26589" builtinId="9" hidden="1"/>
    <cellStyle name="Lien hypertexte visité" xfId="26591" builtinId="9" hidden="1"/>
    <cellStyle name="Lien hypertexte visité" xfId="26593" builtinId="9" hidden="1"/>
    <cellStyle name="Lien hypertexte visité" xfId="26595" builtinId="9" hidden="1"/>
    <cellStyle name="Lien hypertexte visité" xfId="26597" builtinId="9" hidden="1"/>
    <cellStyle name="Lien hypertexte visité" xfId="26599" builtinId="9" hidden="1"/>
    <cellStyle name="Lien hypertexte visité" xfId="26601" builtinId="9" hidden="1"/>
    <cellStyle name="Lien hypertexte visité" xfId="26603" builtinId="9" hidden="1"/>
    <cellStyle name="Lien hypertexte visité" xfId="26605" builtinId="9" hidden="1"/>
    <cellStyle name="Lien hypertexte visité" xfId="26607" builtinId="9" hidden="1"/>
    <cellStyle name="Lien hypertexte visité" xfId="26609" builtinId="9" hidden="1"/>
    <cellStyle name="Lien hypertexte visité" xfId="26611" builtinId="9" hidden="1"/>
    <cellStyle name="Lien hypertexte visité" xfId="26613" builtinId="9" hidden="1"/>
    <cellStyle name="Lien hypertexte visité" xfId="26615" builtinId="9" hidden="1"/>
    <cellStyle name="Lien hypertexte visité" xfId="26617" builtinId="9" hidden="1"/>
    <cellStyle name="Lien hypertexte visité" xfId="26619" builtinId="9" hidden="1"/>
    <cellStyle name="Lien hypertexte visité" xfId="26621" builtinId="9" hidden="1"/>
    <cellStyle name="Lien hypertexte visité" xfId="26623" builtinId="9" hidden="1"/>
    <cellStyle name="Lien hypertexte visité" xfId="26625" builtinId="9" hidden="1"/>
    <cellStyle name="Lien hypertexte visité" xfId="26627" builtinId="9" hidden="1"/>
    <cellStyle name="Lien hypertexte visité" xfId="26629" builtinId="9" hidden="1"/>
    <cellStyle name="Lien hypertexte visité" xfId="26631" builtinId="9" hidden="1"/>
    <cellStyle name="Lien hypertexte visité" xfId="26633" builtinId="9" hidden="1"/>
    <cellStyle name="Lien hypertexte visité" xfId="26635" builtinId="9" hidden="1"/>
    <cellStyle name="Lien hypertexte visité" xfId="26637" builtinId="9" hidden="1"/>
    <cellStyle name="Lien hypertexte visité" xfId="26639" builtinId="9" hidden="1"/>
    <cellStyle name="Lien hypertexte visité" xfId="26641" builtinId="9" hidden="1"/>
    <cellStyle name="Lien hypertexte visité" xfId="26643" builtinId="9" hidden="1"/>
    <cellStyle name="Lien hypertexte visité" xfId="26645" builtinId="9" hidden="1"/>
    <cellStyle name="Lien hypertexte visité" xfId="26647" builtinId="9" hidden="1"/>
    <cellStyle name="Lien hypertexte visité" xfId="26649" builtinId="9" hidden="1"/>
    <cellStyle name="Lien hypertexte visité" xfId="26651" builtinId="9" hidden="1"/>
    <cellStyle name="Lien hypertexte visité" xfId="26653" builtinId="9" hidden="1"/>
    <cellStyle name="Lien hypertexte visité" xfId="26655" builtinId="9" hidden="1"/>
    <cellStyle name="Lien hypertexte visité" xfId="26657" builtinId="9" hidden="1"/>
    <cellStyle name="Lien hypertexte visité" xfId="26659" builtinId="9" hidden="1"/>
    <cellStyle name="Lien hypertexte visité" xfId="26661" builtinId="9" hidden="1"/>
    <cellStyle name="Lien hypertexte visité" xfId="26663" builtinId="9" hidden="1"/>
    <cellStyle name="Lien hypertexte visité" xfId="26665" builtinId="9" hidden="1"/>
    <cellStyle name="Lien hypertexte visité" xfId="26667" builtinId="9" hidden="1"/>
    <cellStyle name="Lien hypertexte visité" xfId="26669" builtinId="9" hidden="1"/>
    <cellStyle name="Lien hypertexte visité" xfId="26671" builtinId="9" hidden="1"/>
    <cellStyle name="Lien hypertexte visité" xfId="26673" builtinId="9" hidden="1"/>
    <cellStyle name="Lien hypertexte visité" xfId="26675" builtinId="9" hidden="1"/>
    <cellStyle name="Lien hypertexte visité" xfId="26677" builtinId="9" hidden="1"/>
    <cellStyle name="Lien hypertexte visité" xfId="26679" builtinId="9" hidden="1"/>
    <cellStyle name="Lien hypertexte visité" xfId="26681" builtinId="9" hidden="1"/>
    <cellStyle name="Lien hypertexte visité" xfId="26683" builtinId="9" hidden="1"/>
    <cellStyle name="Lien hypertexte visité" xfId="26685" builtinId="9" hidden="1"/>
    <cellStyle name="Lien hypertexte visité" xfId="26687" builtinId="9" hidden="1"/>
    <cellStyle name="Lien hypertexte visité" xfId="26689" builtinId="9" hidden="1"/>
    <cellStyle name="Lien hypertexte visité" xfId="26691" builtinId="9" hidden="1"/>
    <cellStyle name="Lien hypertexte visité" xfId="26693" builtinId="9" hidden="1"/>
    <cellStyle name="Lien hypertexte visité" xfId="26695" builtinId="9" hidden="1"/>
    <cellStyle name="Lien hypertexte visité" xfId="26697" builtinId="9" hidden="1"/>
    <cellStyle name="Lien hypertexte visité" xfId="26699" builtinId="9" hidden="1"/>
    <cellStyle name="Lien hypertexte visité" xfId="26701" builtinId="9" hidden="1"/>
    <cellStyle name="Lien hypertexte visité" xfId="26703" builtinId="9" hidden="1"/>
    <cellStyle name="Lien hypertexte visité" xfId="26705" builtinId="9" hidden="1"/>
    <cellStyle name="Lien hypertexte visité" xfId="26707" builtinId="9" hidden="1"/>
    <cellStyle name="Lien hypertexte visité" xfId="26709" builtinId="9" hidden="1"/>
    <cellStyle name="Lien hypertexte visité" xfId="26711" builtinId="9" hidden="1"/>
    <cellStyle name="Lien hypertexte visité" xfId="26713" builtinId="9" hidden="1"/>
    <cellStyle name="Lien hypertexte visité" xfId="26715" builtinId="9" hidden="1"/>
    <cellStyle name="Lien hypertexte visité" xfId="26717" builtinId="9" hidden="1"/>
    <cellStyle name="Lien hypertexte visité" xfId="26719" builtinId="9" hidden="1"/>
    <cellStyle name="Lien hypertexte visité" xfId="26721" builtinId="9" hidden="1"/>
    <cellStyle name="Lien hypertexte visité" xfId="26723" builtinId="9" hidden="1"/>
    <cellStyle name="Lien hypertexte visité" xfId="26725" builtinId="9" hidden="1"/>
    <cellStyle name="Lien hypertexte visité" xfId="26727" builtinId="9" hidden="1"/>
    <cellStyle name="Lien hypertexte visité" xfId="26729" builtinId="9" hidden="1"/>
    <cellStyle name="Lien hypertexte visité" xfId="26731" builtinId="9" hidden="1"/>
    <cellStyle name="Lien hypertexte visité" xfId="26733" builtinId="9" hidden="1"/>
    <cellStyle name="Lien hypertexte visité" xfId="26735" builtinId="9" hidden="1"/>
    <cellStyle name="Lien hypertexte visité" xfId="26737" builtinId="9" hidden="1"/>
    <cellStyle name="Lien hypertexte visité" xfId="26739" builtinId="9" hidden="1"/>
    <cellStyle name="Lien hypertexte visité" xfId="26741" builtinId="9" hidden="1"/>
    <cellStyle name="Lien hypertexte visité" xfId="26743" builtinId="9" hidden="1"/>
    <cellStyle name="Lien hypertexte visité" xfId="26745" builtinId="9" hidden="1"/>
    <cellStyle name="Lien hypertexte visité" xfId="26747" builtinId="9" hidden="1"/>
    <cellStyle name="Lien hypertexte visité" xfId="26749" builtinId="9" hidden="1"/>
    <cellStyle name="Lien hypertexte visité" xfId="26751" builtinId="9" hidden="1"/>
    <cellStyle name="Lien hypertexte visité" xfId="26753" builtinId="9" hidden="1"/>
    <cellStyle name="Lien hypertexte visité" xfId="26755" builtinId="9" hidden="1"/>
    <cellStyle name="Lien hypertexte visité" xfId="26757" builtinId="9" hidden="1"/>
    <cellStyle name="Lien hypertexte visité" xfId="26759" builtinId="9" hidden="1"/>
    <cellStyle name="Lien hypertexte visité" xfId="26761" builtinId="9" hidden="1"/>
    <cellStyle name="Lien hypertexte visité" xfId="26763" builtinId="9" hidden="1"/>
    <cellStyle name="Lien hypertexte visité" xfId="26765" builtinId="9" hidden="1"/>
    <cellStyle name="Lien hypertexte visité" xfId="26767" builtinId="9" hidden="1"/>
    <cellStyle name="Lien hypertexte visité" xfId="26769" builtinId="9" hidden="1"/>
    <cellStyle name="Lien hypertexte visité" xfId="26771" builtinId="9" hidden="1"/>
    <cellStyle name="Lien hypertexte visité" xfId="26773" builtinId="9" hidden="1"/>
    <cellStyle name="Lien hypertexte visité" xfId="26775" builtinId="9" hidden="1"/>
    <cellStyle name="Lien hypertexte visité" xfId="26777" builtinId="9" hidden="1"/>
    <cellStyle name="Lien hypertexte visité" xfId="26779" builtinId="9" hidden="1"/>
    <cellStyle name="Lien hypertexte visité" xfId="26781" builtinId="9" hidden="1"/>
    <cellStyle name="Lien hypertexte visité" xfId="26783" builtinId="9" hidden="1"/>
    <cellStyle name="Lien hypertexte visité" xfId="26785" builtinId="9" hidden="1"/>
    <cellStyle name="Lien hypertexte visité" xfId="26787" builtinId="9" hidden="1"/>
    <cellStyle name="Lien hypertexte visité" xfId="26789" builtinId="9" hidden="1"/>
    <cellStyle name="Lien hypertexte visité" xfId="26791" builtinId="9" hidden="1"/>
    <cellStyle name="Lien hypertexte visité" xfId="26793" builtinId="9" hidden="1"/>
    <cellStyle name="Lien hypertexte visité" xfId="26795" builtinId="9" hidden="1"/>
    <cellStyle name="Lien hypertexte visité" xfId="26797" builtinId="9" hidden="1"/>
    <cellStyle name="Lien hypertexte visité" xfId="26799" builtinId="9" hidden="1"/>
    <cellStyle name="Lien hypertexte visité" xfId="26801" builtinId="9" hidden="1"/>
    <cellStyle name="Lien hypertexte visité" xfId="26803" builtinId="9" hidden="1"/>
    <cellStyle name="Lien hypertexte visité" xfId="26805" builtinId="9" hidden="1"/>
    <cellStyle name="Lien hypertexte visité" xfId="26807" builtinId="9" hidden="1"/>
    <cellStyle name="Lien hypertexte visité" xfId="26809" builtinId="9" hidden="1"/>
    <cellStyle name="Lien hypertexte visité" xfId="26811" builtinId="9" hidden="1"/>
    <cellStyle name="Lien hypertexte visité" xfId="26813" builtinId="9" hidden="1"/>
    <cellStyle name="Lien hypertexte visité" xfId="26815" builtinId="9" hidden="1"/>
    <cellStyle name="Lien hypertexte visité" xfId="26817" builtinId="9" hidden="1"/>
    <cellStyle name="Lien hypertexte visité" xfId="26819" builtinId="9" hidden="1"/>
    <cellStyle name="Lien hypertexte visité" xfId="26821" builtinId="9" hidden="1"/>
    <cellStyle name="Lien hypertexte visité" xfId="26823" builtinId="9" hidden="1"/>
    <cellStyle name="Lien hypertexte visité" xfId="26825" builtinId="9" hidden="1"/>
    <cellStyle name="Lien hypertexte visité" xfId="26827" builtinId="9" hidden="1"/>
    <cellStyle name="Lien hypertexte visité" xfId="26829" builtinId="9" hidden="1"/>
    <cellStyle name="Lien hypertexte visité" xfId="26831" builtinId="9" hidden="1"/>
    <cellStyle name="Lien hypertexte visité" xfId="26833" builtinId="9" hidden="1"/>
    <cellStyle name="Lien hypertexte visité" xfId="26835" builtinId="9" hidden="1"/>
    <cellStyle name="Lien hypertexte visité" xfId="26837" builtinId="9" hidden="1"/>
    <cellStyle name="Lien hypertexte visité" xfId="26839" builtinId="9" hidden="1"/>
    <cellStyle name="Lien hypertexte visité" xfId="26841" builtinId="9" hidden="1"/>
    <cellStyle name="Lien hypertexte visité" xfId="26843" builtinId="9" hidden="1"/>
    <cellStyle name="Lien hypertexte visité" xfId="26845" builtinId="9" hidden="1"/>
    <cellStyle name="Lien hypertexte visité" xfId="26847" builtinId="9" hidden="1"/>
    <cellStyle name="Lien hypertexte visité" xfId="26849" builtinId="9" hidden="1"/>
    <cellStyle name="Lien hypertexte visité" xfId="26851" builtinId="9" hidden="1"/>
    <cellStyle name="Lien hypertexte visité" xfId="26853" builtinId="9" hidden="1"/>
    <cellStyle name="Lien hypertexte visité" xfId="26855" builtinId="9" hidden="1"/>
    <cellStyle name="Lien hypertexte visité" xfId="26857" builtinId="9" hidden="1"/>
    <cellStyle name="Lien hypertexte visité" xfId="26859" builtinId="9" hidden="1"/>
    <cellStyle name="Lien hypertexte visité" xfId="26861" builtinId="9" hidden="1"/>
    <cellStyle name="Lien hypertexte visité" xfId="26863" builtinId="9" hidden="1"/>
    <cellStyle name="Lien hypertexte visité" xfId="26865" builtinId="9" hidden="1"/>
    <cellStyle name="Lien hypertexte visité" xfId="26867" builtinId="9" hidden="1"/>
    <cellStyle name="Lien hypertexte visité" xfId="26869" builtinId="9" hidden="1"/>
    <cellStyle name="Lien hypertexte visité" xfId="26871" builtinId="9" hidden="1"/>
    <cellStyle name="Lien hypertexte visité" xfId="26873" builtinId="9" hidden="1"/>
    <cellStyle name="Lien hypertexte visité" xfId="26875" builtinId="9" hidden="1"/>
    <cellStyle name="Lien hypertexte visité" xfId="26877" builtinId="9" hidden="1"/>
    <cellStyle name="Lien hypertexte visité" xfId="26879" builtinId="9" hidden="1"/>
    <cellStyle name="Lien hypertexte visité" xfId="26881" builtinId="9" hidden="1"/>
    <cellStyle name="Lien hypertexte visité" xfId="26883" builtinId="9" hidden="1"/>
    <cellStyle name="Lien hypertexte visité" xfId="26885" builtinId="9" hidden="1"/>
    <cellStyle name="Lien hypertexte visité" xfId="26887" builtinId="9" hidden="1"/>
    <cellStyle name="Lien hypertexte visité" xfId="26889" builtinId="9" hidden="1"/>
    <cellStyle name="Lien hypertexte visité" xfId="26891" builtinId="9" hidden="1"/>
    <cellStyle name="Lien hypertexte visité" xfId="26893" builtinId="9" hidden="1"/>
    <cellStyle name="Lien hypertexte visité" xfId="26895" builtinId="9" hidden="1"/>
    <cellStyle name="Lien hypertexte visité" xfId="26897" builtinId="9" hidden="1"/>
    <cellStyle name="Lien hypertexte visité" xfId="26899" builtinId="9" hidden="1"/>
    <cellStyle name="Lien hypertexte visité" xfId="26901" builtinId="9" hidden="1"/>
    <cellStyle name="Lien hypertexte visité" xfId="26903" builtinId="9" hidden="1"/>
    <cellStyle name="Lien hypertexte visité" xfId="26905" builtinId="9" hidden="1"/>
    <cellStyle name="Lien hypertexte visité" xfId="26907" builtinId="9" hidden="1"/>
    <cellStyle name="Lien hypertexte visité" xfId="26909" builtinId="9" hidden="1"/>
    <cellStyle name="Lien hypertexte visité" xfId="26911" builtinId="9" hidden="1"/>
    <cellStyle name="Lien hypertexte visité" xfId="26913" builtinId="9" hidden="1"/>
    <cellStyle name="Lien hypertexte visité" xfId="26915" builtinId="9" hidden="1"/>
    <cellStyle name="Lien hypertexte visité" xfId="26917" builtinId="9" hidden="1"/>
    <cellStyle name="Lien hypertexte visité" xfId="26919" builtinId="9" hidden="1"/>
    <cellStyle name="Lien hypertexte visité" xfId="26921" builtinId="9" hidden="1"/>
    <cellStyle name="Lien hypertexte visité" xfId="26923" builtinId="9" hidden="1"/>
    <cellStyle name="Lien hypertexte visité" xfId="26925" builtinId="9" hidden="1"/>
    <cellStyle name="Lien hypertexte visité" xfId="26927" builtinId="9" hidden="1"/>
    <cellStyle name="Lien hypertexte visité" xfId="26929" builtinId="9" hidden="1"/>
    <cellStyle name="Lien hypertexte visité" xfId="26931" builtinId="9" hidden="1"/>
    <cellStyle name="Lien hypertexte visité" xfId="26933" builtinId="9" hidden="1"/>
    <cellStyle name="Lien hypertexte visité" xfId="26935" builtinId="9" hidden="1"/>
    <cellStyle name="Lien hypertexte visité" xfId="26937" builtinId="9" hidden="1"/>
    <cellStyle name="Lien hypertexte visité" xfId="26939" builtinId="9" hidden="1"/>
    <cellStyle name="Lien hypertexte visité" xfId="26941" builtinId="9" hidden="1"/>
    <cellStyle name="Lien hypertexte visité" xfId="26943" builtinId="9" hidden="1"/>
    <cellStyle name="Lien hypertexte visité" xfId="26945" builtinId="9" hidden="1"/>
    <cellStyle name="Lien hypertexte visité" xfId="26947" builtinId="9" hidden="1"/>
    <cellStyle name="Lien hypertexte visité" xfId="26949" builtinId="9" hidden="1"/>
    <cellStyle name="Lien hypertexte visité" xfId="26951" builtinId="9" hidden="1"/>
    <cellStyle name="Lien hypertexte visité" xfId="26953" builtinId="9" hidden="1"/>
    <cellStyle name="Lien hypertexte visité" xfId="26955" builtinId="9" hidden="1"/>
    <cellStyle name="Lien hypertexte visité" xfId="26957" builtinId="9" hidden="1"/>
    <cellStyle name="Lien hypertexte visité" xfId="26959" builtinId="9" hidden="1"/>
    <cellStyle name="Lien hypertexte visité" xfId="26961" builtinId="9" hidden="1"/>
    <cellStyle name="Lien hypertexte visité" xfId="26963" builtinId="9" hidden="1"/>
    <cellStyle name="Lien hypertexte visité" xfId="26965" builtinId="9" hidden="1"/>
    <cellStyle name="Lien hypertexte visité" xfId="26967" builtinId="9" hidden="1"/>
    <cellStyle name="Lien hypertexte visité" xfId="26969" builtinId="9" hidden="1"/>
    <cellStyle name="Lien hypertexte visité" xfId="26971" builtinId="9" hidden="1"/>
    <cellStyle name="Lien hypertexte visité" xfId="26973" builtinId="9" hidden="1"/>
    <cellStyle name="Lien hypertexte visité" xfId="26975" builtinId="9" hidden="1"/>
    <cellStyle name="Lien hypertexte visité" xfId="26977" builtinId="9" hidden="1"/>
    <cellStyle name="Lien hypertexte visité" xfId="26979" builtinId="9" hidden="1"/>
    <cellStyle name="Lien hypertexte visité" xfId="26981" builtinId="9" hidden="1"/>
    <cellStyle name="Lien hypertexte visité" xfId="26983" builtinId="9" hidden="1"/>
    <cellStyle name="Lien hypertexte visité" xfId="26985" builtinId="9" hidden="1"/>
    <cellStyle name="Lien hypertexte visité" xfId="26987" builtinId="9" hidden="1"/>
    <cellStyle name="Lien hypertexte visité" xfId="26989" builtinId="9" hidden="1"/>
    <cellStyle name="Lien hypertexte visité" xfId="26991" builtinId="9" hidden="1"/>
    <cellStyle name="Lien hypertexte visité" xfId="26993" builtinId="9" hidden="1"/>
    <cellStyle name="Lien hypertexte visité" xfId="26995" builtinId="9" hidden="1"/>
    <cellStyle name="Lien hypertexte visité" xfId="26997" builtinId="9" hidden="1"/>
    <cellStyle name="Lien hypertexte visité" xfId="26999" builtinId="9" hidden="1"/>
    <cellStyle name="Lien hypertexte visité" xfId="27001" builtinId="9" hidden="1"/>
    <cellStyle name="Lien hypertexte visité" xfId="27003" builtinId="9" hidden="1"/>
    <cellStyle name="Lien hypertexte visité" xfId="27005" builtinId="9" hidden="1"/>
    <cellStyle name="Lien hypertexte visité" xfId="27007" builtinId="9" hidden="1"/>
    <cellStyle name="Lien hypertexte visité" xfId="27009" builtinId="9" hidden="1"/>
    <cellStyle name="Lien hypertexte visité" xfId="27011" builtinId="9" hidden="1"/>
    <cellStyle name="Lien hypertexte visité" xfId="27013" builtinId="9" hidden="1"/>
    <cellStyle name="Lien hypertexte visité" xfId="27015" builtinId="9" hidden="1"/>
    <cellStyle name="Lien hypertexte visité" xfId="27017" builtinId="9" hidden="1"/>
    <cellStyle name="Lien hypertexte visité" xfId="27019" builtinId="9" hidden="1"/>
    <cellStyle name="Lien hypertexte visité" xfId="27021" builtinId="9" hidden="1"/>
    <cellStyle name="Lien hypertexte visité" xfId="27023" builtinId="9" hidden="1"/>
    <cellStyle name="Lien hypertexte visité" xfId="27025" builtinId="9" hidden="1"/>
    <cellStyle name="Lien hypertexte visité" xfId="27027" builtinId="9" hidden="1"/>
    <cellStyle name="Lien hypertexte visité" xfId="27029" builtinId="9" hidden="1"/>
    <cellStyle name="Lien hypertexte visité" xfId="27031" builtinId="9" hidden="1"/>
    <cellStyle name="Lien hypertexte visité" xfId="27033" builtinId="9" hidden="1"/>
    <cellStyle name="Lien hypertexte visité" xfId="27035" builtinId="9" hidden="1"/>
    <cellStyle name="Lien hypertexte visité" xfId="27037" builtinId="9" hidden="1"/>
    <cellStyle name="Lien hypertexte visité" xfId="27039" builtinId="9" hidden="1"/>
    <cellStyle name="Lien hypertexte visité" xfId="27041" builtinId="9" hidden="1"/>
    <cellStyle name="Lien hypertexte visité" xfId="27043" builtinId="9" hidden="1"/>
    <cellStyle name="Lien hypertexte visité" xfId="27045" builtinId="9" hidden="1"/>
    <cellStyle name="Lien hypertexte visité" xfId="27047" builtinId="9" hidden="1"/>
    <cellStyle name="Lien hypertexte visité" xfId="27049" builtinId="9" hidden="1"/>
    <cellStyle name="Lien hypertexte visité" xfId="27051" builtinId="9" hidden="1"/>
    <cellStyle name="Lien hypertexte visité" xfId="27053" builtinId="9" hidden="1"/>
    <cellStyle name="Lien hypertexte visité" xfId="27055" builtinId="9" hidden="1"/>
    <cellStyle name="Lien hypertexte visité" xfId="27057" builtinId="9" hidden="1"/>
    <cellStyle name="Lien hypertexte visité" xfId="27059" builtinId="9" hidden="1"/>
    <cellStyle name="Lien hypertexte visité" xfId="27061" builtinId="9" hidden="1"/>
    <cellStyle name="Lien hypertexte visité" xfId="27063" builtinId="9" hidden="1"/>
    <cellStyle name="Lien hypertexte visité" xfId="27065" builtinId="9" hidden="1"/>
    <cellStyle name="Lien hypertexte visité" xfId="27067" builtinId="9" hidden="1"/>
    <cellStyle name="Lien hypertexte visité" xfId="27069" builtinId="9" hidden="1"/>
    <cellStyle name="Lien hypertexte visité" xfId="27071" builtinId="9" hidden="1"/>
    <cellStyle name="Lien hypertexte visité" xfId="27073" builtinId="9" hidden="1"/>
    <cellStyle name="Lien hypertexte visité" xfId="27075" builtinId="9" hidden="1"/>
    <cellStyle name="Lien hypertexte visité" xfId="27077" builtinId="9" hidden="1"/>
    <cellStyle name="Lien hypertexte visité" xfId="27079" builtinId="9" hidden="1"/>
    <cellStyle name="Lien hypertexte visité" xfId="27081" builtinId="9" hidden="1"/>
    <cellStyle name="Lien hypertexte visité" xfId="27083" builtinId="9" hidden="1"/>
    <cellStyle name="Lien hypertexte visité" xfId="27085" builtinId="9" hidden="1"/>
    <cellStyle name="Lien hypertexte visité" xfId="27087" builtinId="9" hidden="1"/>
    <cellStyle name="Lien hypertexte visité" xfId="27089" builtinId="9" hidden="1"/>
    <cellStyle name="Lien hypertexte visité" xfId="27091" builtinId="9" hidden="1"/>
    <cellStyle name="Lien hypertexte visité" xfId="27093" builtinId="9" hidden="1"/>
    <cellStyle name="Lien hypertexte visité" xfId="27095" builtinId="9" hidden="1"/>
    <cellStyle name="Lien hypertexte visité" xfId="27097" builtinId="9" hidden="1"/>
    <cellStyle name="Lien hypertexte visité" xfId="27099" builtinId="9" hidden="1"/>
    <cellStyle name="Lien hypertexte visité" xfId="27101" builtinId="9" hidden="1"/>
    <cellStyle name="Lien hypertexte visité" xfId="27103" builtinId="9" hidden="1"/>
    <cellStyle name="Lien hypertexte visité" xfId="27105" builtinId="9" hidden="1"/>
    <cellStyle name="Lien hypertexte visité" xfId="27107" builtinId="9" hidden="1"/>
    <cellStyle name="Lien hypertexte visité" xfId="27109" builtinId="9" hidden="1"/>
    <cellStyle name="Lien hypertexte visité" xfId="27111" builtinId="9" hidden="1"/>
    <cellStyle name="Lien hypertexte visité" xfId="27113" builtinId="9" hidden="1"/>
    <cellStyle name="Lien hypertexte visité" xfId="27115" builtinId="9" hidden="1"/>
    <cellStyle name="Lien hypertexte visité" xfId="27117" builtinId="9" hidden="1"/>
    <cellStyle name="Lien hypertexte visité" xfId="27119" builtinId="9" hidden="1"/>
    <cellStyle name="Lien hypertexte visité" xfId="27121" builtinId="9" hidden="1"/>
    <cellStyle name="Lien hypertexte visité" xfId="27123" builtinId="9" hidden="1"/>
    <cellStyle name="Lien hypertexte visité" xfId="27125" builtinId="9" hidden="1"/>
    <cellStyle name="Lien hypertexte visité" xfId="27127" builtinId="9" hidden="1"/>
    <cellStyle name="Lien hypertexte visité" xfId="27129" builtinId="9" hidden="1"/>
    <cellStyle name="Lien hypertexte visité" xfId="27131" builtinId="9" hidden="1"/>
    <cellStyle name="Lien hypertexte visité" xfId="27133" builtinId="9" hidden="1"/>
    <cellStyle name="Lien hypertexte visité" xfId="27135" builtinId="9" hidden="1"/>
    <cellStyle name="Lien hypertexte visité" xfId="27137" builtinId="9" hidden="1"/>
    <cellStyle name="Lien hypertexte visité" xfId="27139" builtinId="9" hidden="1"/>
    <cellStyle name="Lien hypertexte visité" xfId="27141" builtinId="9" hidden="1"/>
    <cellStyle name="Lien hypertexte visité" xfId="27143" builtinId="9" hidden="1"/>
    <cellStyle name="Lien hypertexte visité" xfId="27145" builtinId="9" hidden="1"/>
    <cellStyle name="Lien hypertexte visité" xfId="27147" builtinId="9" hidden="1"/>
    <cellStyle name="Lien hypertexte visité" xfId="27149" builtinId="9" hidden="1"/>
    <cellStyle name="Lien hypertexte visité" xfId="27151" builtinId="9" hidden="1"/>
    <cellStyle name="Lien hypertexte visité" xfId="27153" builtinId="9" hidden="1"/>
    <cellStyle name="Lien hypertexte visité" xfId="27155" builtinId="9" hidden="1"/>
    <cellStyle name="Lien hypertexte visité" xfId="27157" builtinId="9" hidden="1"/>
    <cellStyle name="Lien hypertexte visité" xfId="27159" builtinId="9" hidden="1"/>
    <cellStyle name="Lien hypertexte visité" xfId="27161" builtinId="9" hidden="1"/>
    <cellStyle name="Lien hypertexte visité" xfId="27163" builtinId="9" hidden="1"/>
    <cellStyle name="Lien hypertexte visité" xfId="27165" builtinId="9" hidden="1"/>
    <cellStyle name="Lien hypertexte visité" xfId="27167" builtinId="9" hidden="1"/>
    <cellStyle name="Lien hypertexte visité" xfId="27169" builtinId="9" hidden="1"/>
    <cellStyle name="Lien hypertexte visité" xfId="27171" builtinId="9" hidden="1"/>
    <cellStyle name="Lien hypertexte visité" xfId="27173" builtinId="9" hidden="1"/>
    <cellStyle name="Lien hypertexte visité" xfId="27175" builtinId="9" hidden="1"/>
    <cellStyle name="Lien hypertexte visité" xfId="27177" builtinId="9" hidden="1"/>
    <cellStyle name="Lien hypertexte visité" xfId="27179" builtinId="9" hidden="1"/>
    <cellStyle name="Lien hypertexte visité" xfId="27181" builtinId="9" hidden="1"/>
    <cellStyle name="Lien hypertexte visité" xfId="27183" builtinId="9" hidden="1"/>
    <cellStyle name="Lien hypertexte visité" xfId="27185" builtinId="9" hidden="1"/>
    <cellStyle name="Lien hypertexte visité" xfId="27187" builtinId="9" hidden="1"/>
    <cellStyle name="Lien hypertexte visité" xfId="27189" builtinId="9" hidden="1"/>
    <cellStyle name="Lien hypertexte visité" xfId="27191" builtinId="9" hidden="1"/>
    <cellStyle name="Lien hypertexte visité" xfId="27193" builtinId="9" hidden="1"/>
    <cellStyle name="Lien hypertexte visité" xfId="27195" builtinId="9" hidden="1"/>
    <cellStyle name="Lien hypertexte visité" xfId="27197" builtinId="9" hidden="1"/>
    <cellStyle name="Lien hypertexte visité" xfId="27199" builtinId="9" hidden="1"/>
    <cellStyle name="Lien hypertexte visité" xfId="27201" builtinId="9" hidden="1"/>
    <cellStyle name="Lien hypertexte visité" xfId="27203" builtinId="9" hidden="1"/>
    <cellStyle name="Lien hypertexte visité" xfId="27205" builtinId="9" hidden="1"/>
    <cellStyle name="Lien hypertexte visité" xfId="27207" builtinId="9" hidden="1"/>
    <cellStyle name="Lien hypertexte visité" xfId="27209" builtinId="9" hidden="1"/>
    <cellStyle name="Lien hypertexte visité" xfId="27211" builtinId="9" hidden="1"/>
    <cellStyle name="Lien hypertexte visité" xfId="27213" builtinId="9" hidden="1"/>
    <cellStyle name="Lien hypertexte visité" xfId="27215" builtinId="9" hidden="1"/>
    <cellStyle name="Lien hypertexte visité" xfId="27217" builtinId="9" hidden="1"/>
    <cellStyle name="Lien hypertexte visité" xfId="27219" builtinId="9" hidden="1"/>
    <cellStyle name="Lien hypertexte visité" xfId="27221" builtinId="9" hidden="1"/>
    <cellStyle name="Lien hypertexte visité" xfId="27223" builtinId="9" hidden="1"/>
    <cellStyle name="Lien hypertexte visité" xfId="27225" builtinId="9" hidden="1"/>
    <cellStyle name="Lien hypertexte visité" xfId="27227" builtinId="9" hidden="1"/>
    <cellStyle name="Lien hypertexte visité" xfId="27229" builtinId="9" hidden="1"/>
    <cellStyle name="Lien hypertexte visité" xfId="27231" builtinId="9" hidden="1"/>
    <cellStyle name="Lien hypertexte visité" xfId="27233" builtinId="9" hidden="1"/>
    <cellStyle name="Lien hypertexte visité" xfId="27235" builtinId="9" hidden="1"/>
    <cellStyle name="Lien hypertexte visité" xfId="27237" builtinId="9" hidden="1"/>
    <cellStyle name="Lien hypertexte visité" xfId="27239" builtinId="9" hidden="1"/>
    <cellStyle name="Lien hypertexte visité" xfId="27241" builtinId="9" hidden="1"/>
    <cellStyle name="Lien hypertexte visité" xfId="27243" builtinId="9" hidden="1"/>
    <cellStyle name="Lien hypertexte visité" xfId="27245" builtinId="9" hidden="1"/>
    <cellStyle name="Lien hypertexte visité" xfId="27247" builtinId="9" hidden="1"/>
    <cellStyle name="Lien hypertexte visité" xfId="27249" builtinId="9" hidden="1"/>
    <cellStyle name="Lien hypertexte visité" xfId="27251" builtinId="9" hidden="1"/>
    <cellStyle name="Lien hypertexte visité" xfId="27253" builtinId="9" hidden="1"/>
    <cellStyle name="Lien hypertexte visité" xfId="27255" builtinId="9" hidden="1"/>
    <cellStyle name="Lien hypertexte visité" xfId="27257" builtinId="9" hidden="1"/>
    <cellStyle name="Lien hypertexte visité" xfId="27259" builtinId="9" hidden="1"/>
    <cellStyle name="Lien hypertexte visité" xfId="27261" builtinId="9" hidden="1"/>
    <cellStyle name="Lien hypertexte visité" xfId="27263" builtinId="9" hidden="1"/>
    <cellStyle name="Lien hypertexte visité" xfId="27265" builtinId="9" hidden="1"/>
    <cellStyle name="Lien hypertexte visité" xfId="27267" builtinId="9" hidden="1"/>
    <cellStyle name="Lien hypertexte visité" xfId="27269" builtinId="9" hidden="1"/>
    <cellStyle name="Lien hypertexte visité" xfId="27271" builtinId="9" hidden="1"/>
    <cellStyle name="Lien hypertexte visité" xfId="27273" builtinId="9" hidden="1"/>
    <cellStyle name="Lien hypertexte visité" xfId="27275" builtinId="9" hidden="1"/>
    <cellStyle name="Lien hypertexte visité" xfId="27277" builtinId="9" hidden="1"/>
    <cellStyle name="Lien hypertexte visité" xfId="27279" builtinId="9" hidden="1"/>
    <cellStyle name="Lien hypertexte visité" xfId="27281" builtinId="9" hidden="1"/>
    <cellStyle name="Lien hypertexte visité" xfId="27283" builtinId="9" hidden="1"/>
    <cellStyle name="Lien hypertexte visité" xfId="27285" builtinId="9" hidden="1"/>
    <cellStyle name="Lien hypertexte visité" xfId="27287" builtinId="9" hidden="1"/>
    <cellStyle name="Lien hypertexte visité" xfId="27289" builtinId="9" hidden="1"/>
    <cellStyle name="Lien hypertexte visité" xfId="27291" builtinId="9" hidden="1"/>
    <cellStyle name="Lien hypertexte visité" xfId="27293" builtinId="9" hidden="1"/>
    <cellStyle name="Lien hypertexte visité" xfId="27295" builtinId="9" hidden="1"/>
    <cellStyle name="Lien hypertexte visité" xfId="27297" builtinId="9" hidden="1"/>
    <cellStyle name="Lien hypertexte visité" xfId="27299" builtinId="9" hidden="1"/>
    <cellStyle name="Lien hypertexte visité" xfId="27301" builtinId="9" hidden="1"/>
    <cellStyle name="Lien hypertexte visité" xfId="27303" builtinId="9" hidden="1"/>
    <cellStyle name="Lien hypertexte visité" xfId="27305" builtinId="9" hidden="1"/>
    <cellStyle name="Lien hypertexte visité" xfId="27307" builtinId="9" hidden="1"/>
    <cellStyle name="Lien hypertexte visité" xfId="27309" builtinId="9" hidden="1"/>
    <cellStyle name="Lien hypertexte visité" xfId="27311" builtinId="9" hidden="1"/>
    <cellStyle name="Lien hypertexte visité" xfId="27313" builtinId="9" hidden="1"/>
    <cellStyle name="Lien hypertexte visité" xfId="27315" builtinId="9" hidden="1"/>
    <cellStyle name="Lien hypertexte visité" xfId="27317" builtinId="9" hidden="1"/>
    <cellStyle name="Lien hypertexte visité" xfId="27319" builtinId="9" hidden="1"/>
    <cellStyle name="Lien hypertexte visité" xfId="27321" builtinId="9" hidden="1"/>
    <cellStyle name="Lien hypertexte visité" xfId="27323" builtinId="9" hidden="1"/>
    <cellStyle name="Lien hypertexte visité" xfId="27325" builtinId="9" hidden="1"/>
    <cellStyle name="Lien hypertexte visité" xfId="27327" builtinId="9" hidden="1"/>
    <cellStyle name="Lien hypertexte visité" xfId="27329" builtinId="9" hidden="1"/>
    <cellStyle name="Lien hypertexte visité" xfId="27331" builtinId="9" hidden="1"/>
    <cellStyle name="Lien hypertexte visité" xfId="27333" builtinId="9" hidden="1"/>
    <cellStyle name="Lien hypertexte visité" xfId="27335" builtinId="9" hidden="1"/>
    <cellStyle name="Lien hypertexte visité" xfId="27337" builtinId="9" hidden="1"/>
    <cellStyle name="Lien hypertexte visité" xfId="27339" builtinId="9" hidden="1"/>
    <cellStyle name="Lien hypertexte visité" xfId="27341" builtinId="9" hidden="1"/>
    <cellStyle name="Lien hypertexte visité" xfId="27343" builtinId="9" hidden="1"/>
    <cellStyle name="Lien hypertexte visité" xfId="27345" builtinId="9" hidden="1"/>
    <cellStyle name="Lien hypertexte visité" xfId="27347" builtinId="9" hidden="1"/>
    <cellStyle name="Lien hypertexte visité" xfId="27349" builtinId="9" hidden="1"/>
    <cellStyle name="Lien hypertexte visité" xfId="27351" builtinId="9" hidden="1"/>
    <cellStyle name="Lien hypertexte visité" xfId="27353" builtinId="9" hidden="1"/>
    <cellStyle name="Lien hypertexte visité" xfId="27355" builtinId="9" hidden="1"/>
    <cellStyle name="Lien hypertexte visité" xfId="27357" builtinId="9" hidden="1"/>
    <cellStyle name="Lien hypertexte visité" xfId="27359" builtinId="9" hidden="1"/>
    <cellStyle name="Lien hypertexte visité" xfId="27361" builtinId="9" hidden="1"/>
    <cellStyle name="Lien hypertexte visité" xfId="27363" builtinId="9" hidden="1"/>
    <cellStyle name="Lien hypertexte visité" xfId="27365" builtinId="9" hidden="1"/>
    <cellStyle name="Lien hypertexte visité" xfId="27367" builtinId="9" hidden="1"/>
    <cellStyle name="Lien hypertexte visité" xfId="27369" builtinId="9" hidden="1"/>
    <cellStyle name="Lien hypertexte visité" xfId="27371" builtinId="9" hidden="1"/>
    <cellStyle name="Lien hypertexte visité" xfId="27373" builtinId="9" hidden="1"/>
    <cellStyle name="Lien hypertexte visité" xfId="27375" builtinId="9" hidden="1"/>
    <cellStyle name="Lien hypertexte visité" xfId="27377" builtinId="9" hidden="1"/>
    <cellStyle name="Lien hypertexte visité" xfId="27379" builtinId="9" hidden="1"/>
    <cellStyle name="Lien hypertexte visité" xfId="27381" builtinId="9" hidden="1"/>
    <cellStyle name="Lien hypertexte visité" xfId="27383" builtinId="9" hidden="1"/>
    <cellStyle name="Lien hypertexte visité" xfId="27385" builtinId="9" hidden="1"/>
    <cellStyle name="Lien hypertexte visité" xfId="27387" builtinId="9" hidden="1"/>
    <cellStyle name="Lien hypertexte visité" xfId="27389" builtinId="9" hidden="1"/>
    <cellStyle name="Lien hypertexte visité" xfId="27391" builtinId="9" hidden="1"/>
    <cellStyle name="Lien hypertexte visité" xfId="27393" builtinId="9" hidden="1"/>
    <cellStyle name="Lien hypertexte visité" xfId="27395" builtinId="9" hidden="1"/>
    <cellStyle name="Lien hypertexte visité" xfId="27397" builtinId="9" hidden="1"/>
    <cellStyle name="Lien hypertexte visité" xfId="27399" builtinId="9" hidden="1"/>
    <cellStyle name="Lien hypertexte visité" xfId="27401" builtinId="9" hidden="1"/>
    <cellStyle name="Lien hypertexte visité" xfId="27403" builtinId="9" hidden="1"/>
    <cellStyle name="Lien hypertexte visité" xfId="27405" builtinId="9" hidden="1"/>
    <cellStyle name="Lien hypertexte visité" xfId="27407" builtinId="9" hidden="1"/>
    <cellStyle name="Lien hypertexte visité" xfId="27409" builtinId="9" hidden="1"/>
    <cellStyle name="Lien hypertexte visité" xfId="27411" builtinId="9" hidden="1"/>
    <cellStyle name="Lien hypertexte visité" xfId="27413" builtinId="9" hidden="1"/>
    <cellStyle name="Lien hypertexte visité" xfId="27415" builtinId="9" hidden="1"/>
    <cellStyle name="Lien hypertexte visité" xfId="27417" builtinId="9" hidden="1"/>
    <cellStyle name="Lien hypertexte visité" xfId="27419" builtinId="9" hidden="1"/>
    <cellStyle name="Lien hypertexte visité" xfId="27421" builtinId="9" hidden="1"/>
    <cellStyle name="Lien hypertexte visité" xfId="27423" builtinId="9" hidden="1"/>
    <cellStyle name="Lien hypertexte visité" xfId="27425" builtinId="9" hidden="1"/>
    <cellStyle name="Lien hypertexte visité" xfId="27427" builtinId="9" hidden="1"/>
    <cellStyle name="Lien hypertexte visité" xfId="27429" builtinId="9" hidden="1"/>
    <cellStyle name="Lien hypertexte visité" xfId="27431" builtinId="9" hidden="1"/>
    <cellStyle name="Lien hypertexte visité" xfId="27433" builtinId="9" hidden="1"/>
    <cellStyle name="Lien hypertexte visité" xfId="27435" builtinId="9" hidden="1"/>
    <cellStyle name="Lien hypertexte visité" xfId="27437" builtinId="9" hidden="1"/>
    <cellStyle name="Lien hypertexte visité" xfId="27439" builtinId="9" hidden="1"/>
    <cellStyle name="Lien hypertexte visité" xfId="27441" builtinId="9" hidden="1"/>
    <cellStyle name="Lien hypertexte visité" xfId="27443" builtinId="9" hidden="1"/>
    <cellStyle name="Lien hypertexte visité" xfId="27445" builtinId="9" hidden="1"/>
    <cellStyle name="Lien hypertexte visité" xfId="27447" builtinId="9" hidden="1"/>
    <cellStyle name="Lien hypertexte visité" xfId="27449" builtinId="9" hidden="1"/>
    <cellStyle name="Lien hypertexte visité" xfId="27451" builtinId="9" hidden="1"/>
    <cellStyle name="Lien hypertexte visité" xfId="27453" builtinId="9" hidden="1"/>
    <cellStyle name="Lien hypertexte visité" xfId="27455" builtinId="9" hidden="1"/>
    <cellStyle name="Lien hypertexte visité" xfId="27457" builtinId="9" hidden="1"/>
    <cellStyle name="Lien hypertexte visité" xfId="27459" builtinId="9" hidden="1"/>
    <cellStyle name="Lien hypertexte visité" xfId="27461" builtinId="9" hidden="1"/>
    <cellStyle name="Lien hypertexte visité" xfId="27463" builtinId="9" hidden="1"/>
    <cellStyle name="Lien hypertexte visité" xfId="27465" builtinId="9" hidden="1"/>
    <cellStyle name="Lien hypertexte visité" xfId="27467" builtinId="9" hidden="1"/>
    <cellStyle name="Lien hypertexte visité" xfId="27469" builtinId="9" hidden="1"/>
    <cellStyle name="Lien hypertexte visité" xfId="27471" builtinId="9" hidden="1"/>
    <cellStyle name="Lien hypertexte visité" xfId="27473" builtinId="9" hidden="1"/>
    <cellStyle name="Lien hypertexte visité" xfId="27475" builtinId="9" hidden="1"/>
    <cellStyle name="Lien hypertexte visité" xfId="27477" builtinId="9" hidden="1"/>
    <cellStyle name="Lien hypertexte visité" xfId="27479" builtinId="9" hidden="1"/>
    <cellStyle name="Lien hypertexte visité" xfId="27481" builtinId="9" hidden="1"/>
    <cellStyle name="Lien hypertexte visité" xfId="27483" builtinId="9" hidden="1"/>
    <cellStyle name="Lien hypertexte visité" xfId="27485" builtinId="9" hidden="1"/>
    <cellStyle name="Lien hypertexte visité" xfId="27487" builtinId="9" hidden="1"/>
    <cellStyle name="Lien hypertexte visité" xfId="27489" builtinId="9" hidden="1"/>
    <cellStyle name="Lien hypertexte visité" xfId="27491" builtinId="9" hidden="1"/>
    <cellStyle name="Lien hypertexte visité" xfId="27493" builtinId="9" hidden="1"/>
    <cellStyle name="Lien hypertexte visité" xfId="27495" builtinId="9" hidden="1"/>
    <cellStyle name="Lien hypertexte visité" xfId="27497" builtinId="9" hidden="1"/>
    <cellStyle name="Lien hypertexte visité" xfId="27499" builtinId="9" hidden="1"/>
    <cellStyle name="Lien hypertexte visité" xfId="27501" builtinId="9" hidden="1"/>
    <cellStyle name="Lien hypertexte visité" xfId="27503" builtinId="9" hidden="1"/>
    <cellStyle name="Lien hypertexte visité" xfId="27505" builtinId="9" hidden="1"/>
    <cellStyle name="Lien hypertexte visité" xfId="27507" builtinId="9" hidden="1"/>
    <cellStyle name="Lien hypertexte visité" xfId="27509" builtinId="9" hidden="1"/>
    <cellStyle name="Lien hypertexte visité" xfId="27511" builtinId="9" hidden="1"/>
    <cellStyle name="Lien hypertexte visité" xfId="27513" builtinId="9" hidden="1"/>
    <cellStyle name="Lien hypertexte visité" xfId="27515" builtinId="9" hidden="1"/>
    <cellStyle name="Lien hypertexte visité" xfId="27517" builtinId="9" hidden="1"/>
    <cellStyle name="Lien hypertexte visité" xfId="27519" builtinId="9" hidden="1"/>
    <cellStyle name="Lien hypertexte visité" xfId="27521" builtinId="9" hidden="1"/>
    <cellStyle name="Lien hypertexte visité" xfId="27523" builtinId="9" hidden="1"/>
    <cellStyle name="Lien hypertexte visité" xfId="27525" builtinId="9" hidden="1"/>
    <cellStyle name="Lien hypertexte visité" xfId="27527" builtinId="9" hidden="1"/>
    <cellStyle name="Lien hypertexte visité" xfId="27529" builtinId="9" hidden="1"/>
    <cellStyle name="Lien hypertexte visité" xfId="27531" builtinId="9" hidden="1"/>
    <cellStyle name="Lien hypertexte visité" xfId="27533" builtinId="9" hidden="1"/>
    <cellStyle name="Lien hypertexte visité" xfId="27535" builtinId="9" hidden="1"/>
    <cellStyle name="Lien hypertexte visité" xfId="27537" builtinId="9" hidden="1"/>
    <cellStyle name="Lien hypertexte visité" xfId="27539" builtinId="9" hidden="1"/>
    <cellStyle name="Lien hypertexte visité" xfId="27541" builtinId="9" hidden="1"/>
    <cellStyle name="Lien hypertexte visité" xfId="27543" builtinId="9" hidden="1"/>
    <cellStyle name="Lien hypertexte visité" xfId="27545" builtinId="9" hidden="1"/>
    <cellStyle name="Lien hypertexte visité" xfId="27547" builtinId="9" hidden="1"/>
    <cellStyle name="Lien hypertexte visité" xfId="27549" builtinId="9" hidden="1"/>
    <cellStyle name="Lien hypertexte visité" xfId="27551" builtinId="9" hidden="1"/>
    <cellStyle name="Lien hypertexte visité" xfId="27553" builtinId="9" hidden="1"/>
    <cellStyle name="Lien hypertexte visité" xfId="27555" builtinId="9" hidden="1"/>
    <cellStyle name="Lien hypertexte visité" xfId="27557" builtinId="9" hidden="1"/>
    <cellStyle name="Lien hypertexte visité" xfId="27559" builtinId="9" hidden="1"/>
    <cellStyle name="Lien hypertexte visité" xfId="27561" builtinId="9" hidden="1"/>
    <cellStyle name="Lien hypertexte visité" xfId="27563" builtinId="9" hidden="1"/>
    <cellStyle name="Lien hypertexte visité" xfId="27565" builtinId="9" hidden="1"/>
    <cellStyle name="Lien hypertexte visité" xfId="27567" builtinId="9" hidden="1"/>
    <cellStyle name="Lien hypertexte visité" xfId="27569" builtinId="9" hidden="1"/>
    <cellStyle name="Lien hypertexte visité" xfId="27571" builtinId="9" hidden="1"/>
    <cellStyle name="Lien hypertexte visité" xfId="27573" builtinId="9" hidden="1"/>
    <cellStyle name="Lien hypertexte visité" xfId="27575" builtinId="9" hidden="1"/>
    <cellStyle name="Lien hypertexte visité" xfId="27577" builtinId="9" hidden="1"/>
    <cellStyle name="Lien hypertexte visité" xfId="27579" builtinId="9" hidden="1"/>
    <cellStyle name="Lien hypertexte visité" xfId="27581" builtinId="9" hidden="1"/>
    <cellStyle name="Lien hypertexte visité" xfId="27583" builtinId="9" hidden="1"/>
    <cellStyle name="Lien hypertexte visité" xfId="27585" builtinId="9" hidden="1"/>
    <cellStyle name="Lien hypertexte visité" xfId="27587" builtinId="9" hidden="1"/>
    <cellStyle name="Lien hypertexte visité" xfId="27589" builtinId="9" hidden="1"/>
    <cellStyle name="Lien hypertexte visité" xfId="27591" builtinId="9" hidden="1"/>
    <cellStyle name="Lien hypertexte visité" xfId="27593" builtinId="9" hidden="1"/>
    <cellStyle name="Lien hypertexte visité" xfId="27595" builtinId="9" hidden="1"/>
    <cellStyle name="Lien hypertexte visité" xfId="27597" builtinId="9" hidden="1"/>
    <cellStyle name="Lien hypertexte visité" xfId="27599" builtinId="9" hidden="1"/>
    <cellStyle name="Lien hypertexte visité" xfId="27601" builtinId="9" hidden="1"/>
    <cellStyle name="Lien hypertexte visité" xfId="27603" builtinId="9" hidden="1"/>
    <cellStyle name="Lien hypertexte visité" xfId="27605" builtinId="9" hidden="1"/>
    <cellStyle name="Lien hypertexte visité" xfId="27607" builtinId="9" hidden="1"/>
    <cellStyle name="Lien hypertexte visité" xfId="27609" builtinId="9" hidden="1"/>
    <cellStyle name="Lien hypertexte visité" xfId="27611" builtinId="9" hidden="1"/>
    <cellStyle name="Lien hypertexte visité" xfId="27613" builtinId="9" hidden="1"/>
    <cellStyle name="Lien hypertexte visité" xfId="27615" builtinId="9" hidden="1"/>
    <cellStyle name="Lien hypertexte visité" xfId="27617" builtinId="9" hidden="1"/>
    <cellStyle name="Lien hypertexte visité" xfId="27619" builtinId="9" hidden="1"/>
    <cellStyle name="Lien hypertexte visité" xfId="27621" builtinId="9" hidden="1"/>
    <cellStyle name="Lien hypertexte visité" xfId="27623" builtinId="9" hidden="1"/>
    <cellStyle name="Lien hypertexte visité" xfId="27625" builtinId="9" hidden="1"/>
    <cellStyle name="Lien hypertexte visité" xfId="27627" builtinId="9" hidden="1"/>
    <cellStyle name="Lien hypertexte visité" xfId="27629" builtinId="9" hidden="1"/>
    <cellStyle name="Lien hypertexte visité" xfId="27631" builtinId="9" hidden="1"/>
    <cellStyle name="Lien hypertexte visité" xfId="27633" builtinId="9" hidden="1"/>
    <cellStyle name="Lien hypertexte visité" xfId="27635" builtinId="9" hidden="1"/>
    <cellStyle name="Lien hypertexte visité" xfId="27637" builtinId="9" hidden="1"/>
    <cellStyle name="Lien hypertexte visité" xfId="27639" builtinId="9" hidden="1"/>
    <cellStyle name="Lien hypertexte visité" xfId="27641" builtinId="9" hidden="1"/>
    <cellStyle name="Lien hypertexte visité" xfId="27643" builtinId="9" hidden="1"/>
    <cellStyle name="Lien hypertexte visité" xfId="27645" builtinId="9" hidden="1"/>
    <cellStyle name="Lien hypertexte visité" xfId="27647" builtinId="9" hidden="1"/>
    <cellStyle name="Lien hypertexte visité" xfId="27649" builtinId="9" hidden="1"/>
    <cellStyle name="Lien hypertexte visité" xfId="27651" builtinId="9" hidden="1"/>
    <cellStyle name="Lien hypertexte visité" xfId="27653" builtinId="9" hidden="1"/>
    <cellStyle name="Lien hypertexte visité" xfId="27655" builtinId="9" hidden="1"/>
    <cellStyle name="Lien hypertexte visité" xfId="27657" builtinId="9" hidden="1"/>
    <cellStyle name="Lien hypertexte visité" xfId="27659" builtinId="9" hidden="1"/>
    <cellStyle name="Lien hypertexte visité" xfId="27661" builtinId="9" hidden="1"/>
    <cellStyle name="Lien hypertexte visité" xfId="27663" builtinId="9" hidden="1"/>
    <cellStyle name="Lien hypertexte visité" xfId="27665" builtinId="9" hidden="1"/>
    <cellStyle name="Lien hypertexte visité" xfId="27667" builtinId="9" hidden="1"/>
    <cellStyle name="Lien hypertexte visité" xfId="27669" builtinId="9" hidden="1"/>
    <cellStyle name="Lien hypertexte visité" xfId="27671" builtinId="9" hidden="1"/>
    <cellStyle name="Lien hypertexte visité" xfId="27673" builtinId="9" hidden="1"/>
    <cellStyle name="Lien hypertexte visité" xfId="27675" builtinId="9" hidden="1"/>
    <cellStyle name="Lien hypertexte visité" xfId="27677" builtinId="9" hidden="1"/>
    <cellStyle name="Lien hypertexte visité" xfId="27679" builtinId="9" hidden="1"/>
    <cellStyle name="Lien hypertexte visité" xfId="27681" builtinId="9" hidden="1"/>
    <cellStyle name="Lien hypertexte visité" xfId="27683" builtinId="9" hidden="1"/>
    <cellStyle name="Lien hypertexte visité" xfId="27685" builtinId="9" hidden="1"/>
    <cellStyle name="Lien hypertexte visité" xfId="27687" builtinId="9" hidden="1"/>
    <cellStyle name="Lien hypertexte visité" xfId="27689" builtinId="9" hidden="1"/>
    <cellStyle name="Lien hypertexte visité" xfId="27691" builtinId="9" hidden="1"/>
    <cellStyle name="Lien hypertexte visité" xfId="27693" builtinId="9" hidden="1"/>
    <cellStyle name="Lien hypertexte visité" xfId="27695" builtinId="9" hidden="1"/>
    <cellStyle name="Lien hypertexte visité" xfId="27697" builtinId="9" hidden="1"/>
    <cellStyle name="Lien hypertexte visité" xfId="27699" builtinId="9" hidden="1"/>
    <cellStyle name="Lien hypertexte visité" xfId="27701" builtinId="9" hidden="1"/>
    <cellStyle name="Lien hypertexte visité" xfId="27703" builtinId="9" hidden="1"/>
    <cellStyle name="Lien hypertexte visité" xfId="27705" builtinId="9" hidden="1"/>
    <cellStyle name="Lien hypertexte visité" xfId="27707" builtinId="9" hidden="1"/>
    <cellStyle name="Lien hypertexte visité" xfId="27709" builtinId="9" hidden="1"/>
    <cellStyle name="Lien hypertexte visité" xfId="27711" builtinId="9" hidden="1"/>
    <cellStyle name="Lien hypertexte visité" xfId="27713" builtinId="9" hidden="1"/>
    <cellStyle name="Lien hypertexte visité" xfId="27715" builtinId="9" hidden="1"/>
    <cellStyle name="Lien hypertexte visité" xfId="27717" builtinId="9" hidden="1"/>
    <cellStyle name="Lien hypertexte visité" xfId="27719" builtinId="9" hidden="1"/>
    <cellStyle name="Lien hypertexte visité" xfId="27721" builtinId="9" hidden="1"/>
    <cellStyle name="Lien hypertexte visité" xfId="27723" builtinId="9" hidden="1"/>
    <cellStyle name="Lien hypertexte visité" xfId="27725" builtinId="9" hidden="1"/>
    <cellStyle name="Lien hypertexte visité" xfId="27727" builtinId="9" hidden="1"/>
    <cellStyle name="Lien hypertexte visité" xfId="27729" builtinId="9" hidden="1"/>
    <cellStyle name="Lien hypertexte visité" xfId="27731" builtinId="9" hidden="1"/>
    <cellStyle name="Lien hypertexte visité" xfId="27733" builtinId="9" hidden="1"/>
    <cellStyle name="Lien hypertexte visité" xfId="27735" builtinId="9" hidden="1"/>
    <cellStyle name="Lien hypertexte visité" xfId="27737" builtinId="9" hidden="1"/>
    <cellStyle name="Lien hypertexte visité" xfId="27739" builtinId="9" hidden="1"/>
    <cellStyle name="Lien hypertexte visité" xfId="27741" builtinId="9" hidden="1"/>
    <cellStyle name="Lien hypertexte visité" xfId="27743" builtinId="9" hidden="1"/>
    <cellStyle name="Lien hypertexte visité" xfId="27745" builtinId="9" hidden="1"/>
    <cellStyle name="Lien hypertexte visité" xfId="27747" builtinId="9" hidden="1"/>
    <cellStyle name="Lien hypertexte visité" xfId="27749" builtinId="9" hidden="1"/>
    <cellStyle name="Lien hypertexte visité" xfId="27751" builtinId="9" hidden="1"/>
    <cellStyle name="Lien hypertexte visité" xfId="27753" builtinId="9" hidden="1"/>
    <cellStyle name="Lien hypertexte visité" xfId="27755" builtinId="9" hidden="1"/>
    <cellStyle name="Lien hypertexte visité" xfId="27757" builtinId="9" hidden="1"/>
    <cellStyle name="Lien hypertexte visité" xfId="27759" builtinId="9" hidden="1"/>
    <cellStyle name="Lien hypertexte visité" xfId="27761" builtinId="9" hidden="1"/>
    <cellStyle name="Lien hypertexte visité" xfId="27763" builtinId="9" hidden="1"/>
    <cellStyle name="Lien hypertexte visité" xfId="27765" builtinId="9" hidden="1"/>
    <cellStyle name="Lien hypertexte visité" xfId="27767" builtinId="9" hidden="1"/>
    <cellStyle name="Lien hypertexte visité" xfId="27769" builtinId="9" hidden="1"/>
    <cellStyle name="Lien hypertexte visité" xfId="27771" builtinId="9" hidden="1"/>
    <cellStyle name="Lien hypertexte visité" xfId="27773" builtinId="9" hidden="1"/>
    <cellStyle name="Lien hypertexte visité" xfId="27775" builtinId="9" hidden="1"/>
    <cellStyle name="Lien hypertexte visité" xfId="27777" builtinId="9" hidden="1"/>
    <cellStyle name="Lien hypertexte visité" xfId="27779" builtinId="9" hidden="1"/>
    <cellStyle name="Lien hypertexte visité" xfId="27781" builtinId="9" hidden="1"/>
    <cellStyle name="Lien hypertexte visité" xfId="27783" builtinId="9" hidden="1"/>
    <cellStyle name="Lien hypertexte visité" xfId="27785" builtinId="9" hidden="1"/>
    <cellStyle name="Lien hypertexte visité" xfId="27787" builtinId="9" hidden="1"/>
    <cellStyle name="Lien hypertexte visité" xfId="27789" builtinId="9" hidden="1"/>
    <cellStyle name="Lien hypertexte visité" xfId="27791" builtinId="9" hidden="1"/>
    <cellStyle name="Lien hypertexte visité" xfId="27793" builtinId="9" hidden="1"/>
    <cellStyle name="Lien hypertexte visité" xfId="27795" builtinId="9" hidden="1"/>
    <cellStyle name="Lien hypertexte visité" xfId="27797" builtinId="9" hidden="1"/>
    <cellStyle name="Lien hypertexte visité" xfId="27799" builtinId="9" hidden="1"/>
    <cellStyle name="Lien hypertexte visité" xfId="27801" builtinId="9" hidden="1"/>
    <cellStyle name="Lien hypertexte visité" xfId="27803" builtinId="9" hidden="1"/>
    <cellStyle name="Lien hypertexte visité" xfId="27805" builtinId="9" hidden="1"/>
    <cellStyle name="Lien hypertexte visité" xfId="27807" builtinId="9" hidden="1"/>
    <cellStyle name="Lien hypertexte visité" xfId="27809" builtinId="9" hidden="1"/>
    <cellStyle name="Lien hypertexte visité" xfId="27811" builtinId="9" hidden="1"/>
    <cellStyle name="Lien hypertexte visité" xfId="27813" builtinId="9" hidden="1"/>
    <cellStyle name="Lien hypertexte visité" xfId="27815" builtinId="9" hidden="1"/>
    <cellStyle name="Lien hypertexte visité" xfId="27817" builtinId="9" hidden="1"/>
    <cellStyle name="Lien hypertexte visité" xfId="27819" builtinId="9" hidden="1"/>
    <cellStyle name="Lien hypertexte visité" xfId="27821" builtinId="9" hidden="1"/>
    <cellStyle name="Lien hypertexte visité" xfId="27823" builtinId="9" hidden="1"/>
    <cellStyle name="Lien hypertexte visité" xfId="27825" builtinId="9" hidden="1"/>
    <cellStyle name="Lien hypertexte visité" xfId="27827" builtinId="9" hidden="1"/>
    <cellStyle name="Lien hypertexte visité" xfId="27829" builtinId="9" hidden="1"/>
    <cellStyle name="Lien hypertexte visité" xfId="27831" builtinId="9" hidden="1"/>
    <cellStyle name="Lien hypertexte visité" xfId="27833" builtinId="9" hidden="1"/>
    <cellStyle name="Lien hypertexte visité" xfId="27835" builtinId="9" hidden="1"/>
    <cellStyle name="Lien hypertexte visité" xfId="27837" builtinId="9" hidden="1"/>
    <cellStyle name="Lien hypertexte visité" xfId="27839" builtinId="9" hidden="1"/>
    <cellStyle name="Lien hypertexte visité" xfId="27841" builtinId="9" hidden="1"/>
    <cellStyle name="Lien hypertexte visité" xfId="27843" builtinId="9" hidden="1"/>
    <cellStyle name="Lien hypertexte visité" xfId="27845" builtinId="9" hidden="1"/>
    <cellStyle name="Lien hypertexte visité" xfId="27847" builtinId="9" hidden="1"/>
    <cellStyle name="Lien hypertexte visité" xfId="27849" builtinId="9" hidden="1"/>
    <cellStyle name="Lien hypertexte visité" xfId="27851" builtinId="9" hidden="1"/>
    <cellStyle name="Lien hypertexte visité" xfId="27853" builtinId="9" hidden="1"/>
    <cellStyle name="Lien hypertexte visité" xfId="27855" builtinId="9" hidden="1"/>
    <cellStyle name="Lien hypertexte visité" xfId="27857" builtinId="9" hidden="1"/>
    <cellStyle name="Lien hypertexte visité" xfId="27859" builtinId="9" hidden="1"/>
    <cellStyle name="Lien hypertexte visité" xfId="27861" builtinId="9" hidden="1"/>
    <cellStyle name="Lien hypertexte visité" xfId="27863" builtinId="9" hidden="1"/>
    <cellStyle name="Lien hypertexte visité" xfId="27865" builtinId="9" hidden="1"/>
    <cellStyle name="Lien hypertexte visité" xfId="27867" builtinId="9" hidden="1"/>
    <cellStyle name="Lien hypertexte visité" xfId="27869" builtinId="9" hidden="1"/>
    <cellStyle name="Lien hypertexte visité" xfId="27871" builtinId="9" hidden="1"/>
    <cellStyle name="Lien hypertexte visité" xfId="27873" builtinId="9" hidden="1"/>
    <cellStyle name="Lien hypertexte visité" xfId="27875" builtinId="9" hidden="1"/>
    <cellStyle name="Lien hypertexte visité" xfId="27877" builtinId="9" hidden="1"/>
    <cellStyle name="Lien hypertexte visité" xfId="27879" builtinId="9" hidden="1"/>
    <cellStyle name="Lien hypertexte visité" xfId="27881" builtinId="9" hidden="1"/>
    <cellStyle name="Lien hypertexte visité" xfId="27883" builtinId="9" hidden="1"/>
    <cellStyle name="Lien hypertexte visité" xfId="27885" builtinId="9" hidden="1"/>
    <cellStyle name="Lien hypertexte visité" xfId="27887" builtinId="9" hidden="1"/>
    <cellStyle name="Lien hypertexte visité" xfId="27889" builtinId="9" hidden="1"/>
    <cellStyle name="Lien hypertexte visité" xfId="27891" builtinId="9" hidden="1"/>
    <cellStyle name="Lien hypertexte visité" xfId="27893" builtinId="9" hidden="1"/>
    <cellStyle name="Lien hypertexte visité" xfId="27895" builtinId="9" hidden="1"/>
    <cellStyle name="Lien hypertexte visité" xfId="27897" builtinId="9" hidden="1"/>
    <cellStyle name="Lien hypertexte visité" xfId="27899" builtinId="9" hidden="1"/>
    <cellStyle name="Lien hypertexte visité" xfId="27901" builtinId="9" hidden="1"/>
    <cellStyle name="Lien hypertexte visité" xfId="27903" builtinId="9" hidden="1"/>
    <cellStyle name="Lien hypertexte visité" xfId="27905" builtinId="9" hidden="1"/>
    <cellStyle name="Lien hypertexte visité" xfId="27907" builtinId="9" hidden="1"/>
    <cellStyle name="Lien hypertexte visité" xfId="27909" builtinId="9" hidden="1"/>
    <cellStyle name="Lien hypertexte visité" xfId="27911" builtinId="9" hidden="1"/>
    <cellStyle name="Lien hypertexte visité" xfId="27913" builtinId="9" hidden="1"/>
    <cellStyle name="Lien hypertexte visité" xfId="27915" builtinId="9" hidden="1"/>
    <cellStyle name="Lien hypertexte visité" xfId="27917" builtinId="9" hidden="1"/>
    <cellStyle name="Lien hypertexte visité" xfId="27919" builtinId="9" hidden="1"/>
    <cellStyle name="Lien hypertexte visité" xfId="27921" builtinId="9" hidden="1"/>
    <cellStyle name="Lien hypertexte visité" xfId="27923" builtinId="9" hidden="1"/>
    <cellStyle name="Lien hypertexte visité" xfId="27925" builtinId="9" hidden="1"/>
    <cellStyle name="Lien hypertexte visité" xfId="27927" builtinId="9" hidden="1"/>
    <cellStyle name="Lien hypertexte visité" xfId="27929" builtinId="9" hidden="1"/>
    <cellStyle name="Lien hypertexte visité" xfId="27931" builtinId="9" hidden="1"/>
    <cellStyle name="Lien hypertexte visité" xfId="27933" builtinId="9" hidden="1"/>
    <cellStyle name="Lien hypertexte visité" xfId="27935" builtinId="9" hidden="1"/>
    <cellStyle name="Lien hypertexte visité" xfId="27937" builtinId="9" hidden="1"/>
    <cellStyle name="Lien hypertexte visité" xfId="27939" builtinId="9" hidden="1"/>
    <cellStyle name="Lien hypertexte visité" xfId="27941" builtinId="9" hidden="1"/>
    <cellStyle name="Lien hypertexte visité" xfId="27943" builtinId="9" hidden="1"/>
    <cellStyle name="Lien hypertexte visité" xfId="27945" builtinId="9" hidden="1"/>
    <cellStyle name="Lien hypertexte visité" xfId="27947" builtinId="9" hidden="1"/>
    <cellStyle name="Lien hypertexte visité" xfId="27949" builtinId="9" hidden="1"/>
    <cellStyle name="Lien hypertexte visité" xfId="27951" builtinId="9" hidden="1"/>
    <cellStyle name="Lien hypertexte visité" xfId="27953" builtinId="9" hidden="1"/>
    <cellStyle name="Lien hypertexte visité" xfId="27955" builtinId="9" hidden="1"/>
    <cellStyle name="Lien hypertexte visité" xfId="27957" builtinId="9" hidden="1"/>
    <cellStyle name="Lien hypertexte visité" xfId="27959" builtinId="9" hidden="1"/>
    <cellStyle name="Lien hypertexte visité" xfId="27961" builtinId="9" hidden="1"/>
    <cellStyle name="Lien hypertexte visité" xfId="27963" builtinId="9" hidden="1"/>
    <cellStyle name="Lien hypertexte visité" xfId="27965" builtinId="9" hidden="1"/>
    <cellStyle name="Lien hypertexte visité" xfId="27967" builtinId="9" hidden="1"/>
    <cellStyle name="Lien hypertexte visité" xfId="27969" builtinId="9" hidden="1"/>
    <cellStyle name="Lien hypertexte visité" xfId="27971" builtinId="9" hidden="1"/>
    <cellStyle name="Lien hypertexte visité" xfId="27973" builtinId="9" hidden="1"/>
    <cellStyle name="Lien hypertexte visité" xfId="27975" builtinId="9" hidden="1"/>
    <cellStyle name="Lien hypertexte visité" xfId="27977" builtinId="9" hidden="1"/>
    <cellStyle name="Lien hypertexte visité" xfId="27979" builtinId="9" hidden="1"/>
    <cellStyle name="Lien hypertexte visité" xfId="27981" builtinId="9" hidden="1"/>
    <cellStyle name="Lien hypertexte visité" xfId="27983" builtinId="9" hidden="1"/>
    <cellStyle name="Lien hypertexte visité" xfId="27985" builtinId="9" hidden="1"/>
    <cellStyle name="Lien hypertexte visité" xfId="27987" builtinId="9" hidden="1"/>
    <cellStyle name="Lien hypertexte visité" xfId="27989" builtinId="9" hidden="1"/>
    <cellStyle name="Lien hypertexte visité" xfId="27991" builtinId="9" hidden="1"/>
    <cellStyle name="Lien hypertexte visité" xfId="27993" builtinId="9" hidden="1"/>
    <cellStyle name="Lien hypertexte visité" xfId="27995" builtinId="9" hidden="1"/>
    <cellStyle name="Lien hypertexte visité" xfId="27997" builtinId="9" hidden="1"/>
    <cellStyle name="Lien hypertexte visité" xfId="27999" builtinId="9" hidden="1"/>
    <cellStyle name="Lien hypertexte visité" xfId="28001" builtinId="9" hidden="1"/>
    <cellStyle name="Lien hypertexte visité" xfId="28003" builtinId="9" hidden="1"/>
    <cellStyle name="Lien hypertexte visité" xfId="28005" builtinId="9" hidden="1"/>
    <cellStyle name="Lien hypertexte visité" xfId="28007" builtinId="9" hidden="1"/>
    <cellStyle name="Lien hypertexte visité" xfId="28009" builtinId="9" hidden="1"/>
    <cellStyle name="Lien hypertexte visité" xfId="28011" builtinId="9" hidden="1"/>
    <cellStyle name="Lien hypertexte visité" xfId="28013" builtinId="9" hidden="1"/>
    <cellStyle name="Lien hypertexte visité" xfId="28015" builtinId="9" hidden="1"/>
    <cellStyle name="Lien hypertexte visité" xfId="28017" builtinId="9" hidden="1"/>
    <cellStyle name="Lien hypertexte visité" xfId="28019" builtinId="9" hidden="1"/>
    <cellStyle name="Lien hypertexte visité" xfId="28021" builtinId="9" hidden="1"/>
    <cellStyle name="Lien hypertexte visité" xfId="28023" builtinId="9" hidden="1"/>
    <cellStyle name="Lien hypertexte visité" xfId="28025" builtinId="9" hidden="1"/>
    <cellStyle name="Lien hypertexte visité" xfId="28027" builtinId="9" hidden="1"/>
    <cellStyle name="Lien hypertexte visité" xfId="28029" builtinId="9" hidden="1"/>
    <cellStyle name="Lien hypertexte visité" xfId="28031" builtinId="9" hidden="1"/>
    <cellStyle name="Lien hypertexte visité" xfId="28033" builtinId="9" hidden="1"/>
    <cellStyle name="Lien hypertexte visité" xfId="28035" builtinId="9" hidden="1"/>
    <cellStyle name="Lien hypertexte visité" xfId="28037" builtinId="9" hidden="1"/>
    <cellStyle name="Lien hypertexte visité" xfId="28039" builtinId="9" hidden="1"/>
    <cellStyle name="Lien hypertexte visité" xfId="28041" builtinId="9" hidden="1"/>
    <cellStyle name="Lien hypertexte visité" xfId="28043" builtinId="9" hidden="1"/>
    <cellStyle name="Lien hypertexte visité" xfId="28045" builtinId="9" hidden="1"/>
    <cellStyle name="Lien hypertexte visité" xfId="28047" builtinId="9" hidden="1"/>
    <cellStyle name="Lien hypertexte visité" xfId="28049" builtinId="9" hidden="1"/>
    <cellStyle name="Lien hypertexte visité" xfId="28051" builtinId="9" hidden="1"/>
    <cellStyle name="Lien hypertexte visité" xfId="28053" builtinId="9" hidden="1"/>
    <cellStyle name="Lien hypertexte visité" xfId="28055" builtinId="9" hidden="1"/>
    <cellStyle name="Lien hypertexte visité" xfId="28057" builtinId="9" hidden="1"/>
    <cellStyle name="Lien hypertexte visité" xfId="28059" builtinId="9" hidden="1"/>
    <cellStyle name="Lien hypertexte visité" xfId="28061" builtinId="9" hidden="1"/>
    <cellStyle name="Lien hypertexte visité" xfId="28063" builtinId="9" hidden="1"/>
    <cellStyle name="Lien hypertexte visité" xfId="28065" builtinId="9" hidden="1"/>
    <cellStyle name="Lien hypertexte visité" xfId="28067" builtinId="9" hidden="1"/>
    <cellStyle name="Lien hypertexte visité" xfId="28069" builtinId="9" hidden="1"/>
    <cellStyle name="Lien hypertexte visité" xfId="28071" builtinId="9" hidden="1"/>
    <cellStyle name="Lien hypertexte visité" xfId="28073" builtinId="9" hidden="1"/>
    <cellStyle name="Lien hypertexte visité" xfId="28075" builtinId="9" hidden="1"/>
    <cellStyle name="Lien hypertexte visité" xfId="28077" builtinId="9" hidden="1"/>
    <cellStyle name="Lien hypertexte visité" xfId="28079" builtinId="9" hidden="1"/>
    <cellStyle name="Lien hypertexte visité" xfId="28081" builtinId="9" hidden="1"/>
    <cellStyle name="Lien hypertexte visité" xfId="28083" builtinId="9" hidden="1"/>
    <cellStyle name="Lien hypertexte visité" xfId="28085" builtinId="9" hidden="1"/>
    <cellStyle name="Lien hypertexte visité" xfId="28087" builtinId="9" hidden="1"/>
    <cellStyle name="Lien hypertexte visité" xfId="28089" builtinId="9" hidden="1"/>
    <cellStyle name="Lien hypertexte visité" xfId="28091" builtinId="9" hidden="1"/>
    <cellStyle name="Lien hypertexte visité" xfId="28093" builtinId="9" hidden="1"/>
    <cellStyle name="Lien hypertexte visité" xfId="28095" builtinId="9" hidden="1"/>
    <cellStyle name="Lien hypertexte visité" xfId="28097" builtinId="9" hidden="1"/>
    <cellStyle name="Lien hypertexte visité" xfId="28099" builtinId="9" hidden="1"/>
    <cellStyle name="Lien hypertexte visité" xfId="28101" builtinId="9" hidden="1"/>
    <cellStyle name="Lien hypertexte visité" xfId="28103" builtinId="9" hidden="1"/>
    <cellStyle name="Lien hypertexte visité" xfId="28105" builtinId="9" hidden="1"/>
    <cellStyle name="Lien hypertexte visité" xfId="28107" builtinId="9" hidden="1"/>
    <cellStyle name="Lien hypertexte visité" xfId="28109" builtinId="9" hidden="1"/>
    <cellStyle name="Lien hypertexte visité" xfId="28111" builtinId="9" hidden="1"/>
    <cellStyle name="Lien hypertexte visité" xfId="28113" builtinId="9" hidden="1"/>
    <cellStyle name="Lien hypertexte visité" xfId="28115" builtinId="9" hidden="1"/>
    <cellStyle name="Lien hypertexte visité" xfId="28117" builtinId="9" hidden="1"/>
    <cellStyle name="Lien hypertexte visité" xfId="28119" builtinId="9" hidden="1"/>
    <cellStyle name="Lien hypertexte visité" xfId="28121" builtinId="9" hidden="1"/>
    <cellStyle name="Lien hypertexte visité" xfId="28123" builtinId="9" hidden="1"/>
    <cellStyle name="Lien hypertexte visité" xfId="28125" builtinId="9" hidden="1"/>
    <cellStyle name="Lien hypertexte visité" xfId="28127" builtinId="9" hidden="1"/>
    <cellStyle name="Lien hypertexte visité" xfId="28129" builtinId="9" hidden="1"/>
    <cellStyle name="Lien hypertexte visité" xfId="28131" builtinId="9" hidden="1"/>
    <cellStyle name="Lien hypertexte visité" xfId="28133" builtinId="9" hidden="1"/>
    <cellStyle name="Lien hypertexte visité" xfId="28135" builtinId="9" hidden="1"/>
    <cellStyle name="Lien hypertexte visité" xfId="28137" builtinId="9" hidden="1"/>
    <cellStyle name="Lien hypertexte visité" xfId="28139" builtinId="9" hidden="1"/>
    <cellStyle name="Lien hypertexte visité" xfId="28141" builtinId="9" hidden="1"/>
    <cellStyle name="Lien hypertexte visité" xfId="28143" builtinId="9" hidden="1"/>
    <cellStyle name="Lien hypertexte visité" xfId="28145" builtinId="9" hidden="1"/>
    <cellStyle name="Lien hypertexte visité" xfId="28147" builtinId="9" hidden="1"/>
    <cellStyle name="Lien hypertexte visité" xfId="28149" builtinId="9" hidden="1"/>
    <cellStyle name="Lien hypertexte visité" xfId="28151" builtinId="9" hidden="1"/>
    <cellStyle name="Lien hypertexte visité" xfId="28153" builtinId="9" hidden="1"/>
    <cellStyle name="Lien hypertexte visité" xfId="28155" builtinId="9" hidden="1"/>
    <cellStyle name="Lien hypertexte visité" xfId="28157" builtinId="9" hidden="1"/>
    <cellStyle name="Lien hypertexte visité" xfId="28159" builtinId="9" hidden="1"/>
    <cellStyle name="Lien hypertexte visité" xfId="28161" builtinId="9" hidden="1"/>
    <cellStyle name="Lien hypertexte visité" xfId="28163" builtinId="9" hidden="1"/>
    <cellStyle name="Lien hypertexte visité" xfId="28165" builtinId="9" hidden="1"/>
    <cellStyle name="Lien hypertexte visité" xfId="28167" builtinId="9" hidden="1"/>
    <cellStyle name="Lien hypertexte visité" xfId="28169" builtinId="9" hidden="1"/>
    <cellStyle name="Lien hypertexte visité" xfId="28171" builtinId="9" hidden="1"/>
    <cellStyle name="Lien hypertexte visité" xfId="28173" builtinId="9" hidden="1"/>
    <cellStyle name="Lien hypertexte visité" xfId="28175" builtinId="9" hidden="1"/>
    <cellStyle name="Lien hypertexte visité" xfId="28177" builtinId="9" hidden="1"/>
    <cellStyle name="Lien hypertexte visité" xfId="28179" builtinId="9" hidden="1"/>
    <cellStyle name="Lien hypertexte visité" xfId="28181" builtinId="9" hidden="1"/>
    <cellStyle name="Lien hypertexte visité" xfId="28183" builtinId="9" hidden="1"/>
    <cellStyle name="Lien hypertexte visité" xfId="28185" builtinId="9" hidden="1"/>
    <cellStyle name="Lien hypertexte visité" xfId="28187" builtinId="9" hidden="1"/>
    <cellStyle name="Lien hypertexte visité" xfId="28189" builtinId="9" hidden="1"/>
    <cellStyle name="Lien hypertexte visité" xfId="28191" builtinId="9" hidden="1"/>
    <cellStyle name="Lien hypertexte visité" xfId="28193" builtinId="9" hidden="1"/>
    <cellStyle name="Lien hypertexte visité" xfId="28195" builtinId="9" hidden="1"/>
    <cellStyle name="Lien hypertexte visité" xfId="28197" builtinId="9" hidden="1"/>
    <cellStyle name="Lien hypertexte visité" xfId="28199" builtinId="9" hidden="1"/>
    <cellStyle name="Lien hypertexte visité" xfId="28201" builtinId="9" hidden="1"/>
    <cellStyle name="Lien hypertexte visité" xfId="28203" builtinId="9" hidden="1"/>
    <cellStyle name="Lien hypertexte visité" xfId="28205" builtinId="9" hidden="1"/>
    <cellStyle name="Lien hypertexte visité" xfId="28207" builtinId="9" hidden="1"/>
    <cellStyle name="Lien hypertexte visité" xfId="28209" builtinId="9" hidden="1"/>
    <cellStyle name="Lien hypertexte visité" xfId="28211" builtinId="9" hidden="1"/>
    <cellStyle name="Lien hypertexte visité" xfId="28213" builtinId="9" hidden="1"/>
    <cellStyle name="Lien hypertexte visité" xfId="28215" builtinId="9" hidden="1"/>
    <cellStyle name="Lien hypertexte visité" xfId="28217" builtinId="9" hidden="1"/>
    <cellStyle name="Lien hypertexte visité" xfId="28219" builtinId="9" hidden="1"/>
    <cellStyle name="Lien hypertexte visité" xfId="28221" builtinId="9" hidden="1"/>
    <cellStyle name="Lien hypertexte visité" xfId="28223" builtinId="9" hidden="1"/>
    <cellStyle name="Lien hypertexte visité" xfId="28225" builtinId="9" hidden="1"/>
    <cellStyle name="Lien hypertexte visité" xfId="28227" builtinId="9" hidden="1"/>
    <cellStyle name="Lien hypertexte visité" xfId="28229" builtinId="9" hidden="1"/>
    <cellStyle name="Lien hypertexte visité" xfId="28231" builtinId="9" hidden="1"/>
    <cellStyle name="Lien hypertexte visité" xfId="28233" builtinId="9" hidden="1"/>
    <cellStyle name="Lien hypertexte visité" xfId="28235" builtinId="9" hidden="1"/>
    <cellStyle name="Lien hypertexte visité" xfId="28237" builtinId="9" hidden="1"/>
    <cellStyle name="Lien hypertexte visité" xfId="28239" builtinId="9" hidden="1"/>
    <cellStyle name="Lien hypertexte visité" xfId="28241" builtinId="9" hidden="1"/>
    <cellStyle name="Lien hypertexte visité" xfId="28243" builtinId="9" hidden="1"/>
    <cellStyle name="Lien hypertexte visité" xfId="28245" builtinId="9" hidden="1"/>
    <cellStyle name="Lien hypertexte visité" xfId="28247" builtinId="9" hidden="1"/>
    <cellStyle name="Lien hypertexte visité" xfId="28249" builtinId="9" hidden="1"/>
    <cellStyle name="Lien hypertexte visité" xfId="28251" builtinId="9" hidden="1"/>
    <cellStyle name="Lien hypertexte visité" xfId="28253" builtinId="9" hidden="1"/>
    <cellStyle name="Lien hypertexte visité" xfId="28255" builtinId="9" hidden="1"/>
    <cellStyle name="Lien hypertexte visité" xfId="28257" builtinId="9" hidden="1"/>
    <cellStyle name="Lien hypertexte visité" xfId="28259" builtinId="9" hidden="1"/>
    <cellStyle name="Lien hypertexte visité" xfId="28261" builtinId="9" hidden="1"/>
    <cellStyle name="Lien hypertexte visité" xfId="28263" builtinId="9" hidden="1"/>
    <cellStyle name="Lien hypertexte visité" xfId="28265" builtinId="9" hidden="1"/>
    <cellStyle name="Lien hypertexte visité" xfId="28267" builtinId="9" hidden="1"/>
    <cellStyle name="Lien hypertexte visité" xfId="28269" builtinId="9" hidden="1"/>
    <cellStyle name="Lien hypertexte visité" xfId="28271" builtinId="9" hidden="1"/>
    <cellStyle name="Lien hypertexte visité" xfId="28273" builtinId="9" hidden="1"/>
    <cellStyle name="Lien hypertexte visité" xfId="28275" builtinId="9" hidden="1"/>
    <cellStyle name="Lien hypertexte visité" xfId="28277" builtinId="9" hidden="1"/>
    <cellStyle name="Lien hypertexte visité" xfId="28279" builtinId="9" hidden="1"/>
    <cellStyle name="Lien hypertexte visité" xfId="28281" builtinId="9" hidden="1"/>
    <cellStyle name="Lien hypertexte visité" xfId="28283" builtinId="9" hidden="1"/>
    <cellStyle name="Lien hypertexte visité" xfId="28285" builtinId="9" hidden="1"/>
    <cellStyle name="Lien hypertexte visité" xfId="28287" builtinId="9" hidden="1"/>
    <cellStyle name="Lien hypertexte visité" xfId="28289" builtinId="9" hidden="1"/>
    <cellStyle name="Lien hypertexte visité" xfId="28291" builtinId="9" hidden="1"/>
    <cellStyle name="Lien hypertexte visité" xfId="28293" builtinId="9" hidden="1"/>
    <cellStyle name="Lien hypertexte visité" xfId="28295" builtinId="9" hidden="1"/>
    <cellStyle name="Lien hypertexte visité" xfId="28297" builtinId="9" hidden="1"/>
    <cellStyle name="Lien hypertexte visité" xfId="28299" builtinId="9" hidden="1"/>
    <cellStyle name="Lien hypertexte visité" xfId="28301" builtinId="9" hidden="1"/>
    <cellStyle name="Lien hypertexte visité" xfId="28303" builtinId="9" hidden="1"/>
    <cellStyle name="Lien hypertexte visité" xfId="28305" builtinId="9" hidden="1"/>
    <cellStyle name="Lien hypertexte visité" xfId="28307" builtinId="9" hidden="1"/>
    <cellStyle name="Lien hypertexte visité" xfId="28309" builtinId="9" hidden="1"/>
    <cellStyle name="Lien hypertexte visité" xfId="28311" builtinId="9" hidden="1"/>
    <cellStyle name="Lien hypertexte visité" xfId="28313" builtinId="9" hidden="1"/>
    <cellStyle name="Lien hypertexte visité" xfId="28315" builtinId="9" hidden="1"/>
    <cellStyle name="Lien hypertexte visité" xfId="28317" builtinId="9" hidden="1"/>
    <cellStyle name="Lien hypertexte visité" xfId="28319" builtinId="9" hidden="1"/>
    <cellStyle name="Lien hypertexte visité" xfId="28321" builtinId="9" hidden="1"/>
    <cellStyle name="Lien hypertexte visité" xfId="28323" builtinId="9" hidden="1"/>
    <cellStyle name="Lien hypertexte visité" xfId="28325" builtinId="9" hidden="1"/>
    <cellStyle name="Lien hypertexte visité" xfId="28327" builtinId="9" hidden="1"/>
    <cellStyle name="Lien hypertexte visité" xfId="28329" builtinId="9" hidden="1"/>
    <cellStyle name="Lien hypertexte visité" xfId="28331" builtinId="9" hidden="1"/>
    <cellStyle name="Lien hypertexte visité" xfId="28333" builtinId="9" hidden="1"/>
    <cellStyle name="Lien hypertexte visité" xfId="28335" builtinId="9" hidden="1"/>
    <cellStyle name="Lien hypertexte visité" xfId="28337" builtinId="9" hidden="1"/>
    <cellStyle name="Lien hypertexte visité" xfId="28339" builtinId="9" hidden="1"/>
    <cellStyle name="Lien hypertexte visité" xfId="28341" builtinId="9" hidden="1"/>
    <cellStyle name="Lien hypertexte visité" xfId="28343" builtinId="9" hidden="1"/>
    <cellStyle name="Lien hypertexte visité" xfId="28345" builtinId="9" hidden="1"/>
    <cellStyle name="Lien hypertexte visité" xfId="28347" builtinId="9" hidden="1"/>
    <cellStyle name="Lien hypertexte visité" xfId="28349" builtinId="9" hidden="1"/>
    <cellStyle name="Lien hypertexte visité" xfId="28351" builtinId="9" hidden="1"/>
    <cellStyle name="Lien hypertexte visité" xfId="28353" builtinId="9" hidden="1"/>
    <cellStyle name="Lien hypertexte visité" xfId="28355" builtinId="9" hidden="1"/>
    <cellStyle name="Lien hypertexte visité" xfId="28357" builtinId="9" hidden="1"/>
    <cellStyle name="Lien hypertexte visité" xfId="28359" builtinId="9" hidden="1"/>
    <cellStyle name="Lien hypertexte visité" xfId="28361" builtinId="9" hidden="1"/>
    <cellStyle name="Lien hypertexte visité" xfId="28363" builtinId="9" hidden="1"/>
    <cellStyle name="Lien hypertexte visité" xfId="28365" builtinId="9" hidden="1"/>
    <cellStyle name="Lien hypertexte visité" xfId="28367" builtinId="9" hidden="1"/>
    <cellStyle name="Lien hypertexte visité" xfId="28369" builtinId="9" hidden="1"/>
    <cellStyle name="Lien hypertexte visité" xfId="28371" builtinId="9" hidden="1"/>
    <cellStyle name="Lien hypertexte visité" xfId="28373" builtinId="9" hidden="1"/>
    <cellStyle name="Lien hypertexte visité" xfId="28375" builtinId="9" hidden="1"/>
    <cellStyle name="Lien hypertexte visité" xfId="28377" builtinId="9" hidden="1"/>
    <cellStyle name="Lien hypertexte visité" xfId="28379" builtinId="9" hidden="1"/>
    <cellStyle name="Lien hypertexte visité" xfId="28381" builtinId="9" hidden="1"/>
    <cellStyle name="Lien hypertexte visité" xfId="28383" builtinId="9" hidden="1"/>
    <cellStyle name="Lien hypertexte visité" xfId="28385" builtinId="9" hidden="1"/>
    <cellStyle name="Lien hypertexte visité" xfId="28387" builtinId="9" hidden="1"/>
    <cellStyle name="Lien hypertexte visité" xfId="28389" builtinId="9" hidden="1"/>
    <cellStyle name="Lien hypertexte visité" xfId="28391" builtinId="9" hidden="1"/>
    <cellStyle name="Lien hypertexte visité" xfId="28393" builtinId="9" hidden="1"/>
    <cellStyle name="Lien hypertexte visité" xfId="28395" builtinId="9" hidden="1"/>
    <cellStyle name="Lien hypertexte visité" xfId="28397" builtinId="9" hidden="1"/>
    <cellStyle name="Lien hypertexte visité" xfId="28399" builtinId="9" hidden="1"/>
    <cellStyle name="Lien hypertexte visité" xfId="28401" builtinId="9" hidden="1"/>
    <cellStyle name="Lien hypertexte visité" xfId="28403" builtinId="9" hidden="1"/>
    <cellStyle name="Lien hypertexte visité" xfId="28405" builtinId="9" hidden="1"/>
    <cellStyle name="Lien hypertexte visité" xfId="28407" builtinId="9" hidden="1"/>
    <cellStyle name="Lien hypertexte visité" xfId="28409" builtinId="9" hidden="1"/>
    <cellStyle name="Lien hypertexte visité" xfId="28411" builtinId="9" hidden="1"/>
    <cellStyle name="Lien hypertexte visité" xfId="28413" builtinId="9" hidden="1"/>
    <cellStyle name="Lien hypertexte visité" xfId="28415" builtinId="9" hidden="1"/>
    <cellStyle name="Lien hypertexte visité" xfId="28417" builtinId="9" hidden="1"/>
    <cellStyle name="Lien hypertexte visité" xfId="28419" builtinId="9" hidden="1"/>
    <cellStyle name="Lien hypertexte visité" xfId="28421" builtinId="9" hidden="1"/>
    <cellStyle name="Lien hypertexte visité" xfId="28423" builtinId="9" hidden="1"/>
    <cellStyle name="Lien hypertexte visité" xfId="28425" builtinId="9" hidden="1"/>
    <cellStyle name="Lien hypertexte visité" xfId="28427" builtinId="9" hidden="1"/>
    <cellStyle name="Lien hypertexte visité" xfId="28429" builtinId="9" hidden="1"/>
    <cellStyle name="Lien hypertexte visité" xfId="28431" builtinId="9" hidden="1"/>
    <cellStyle name="Lien hypertexte visité" xfId="28433" builtinId="9" hidden="1"/>
    <cellStyle name="Lien hypertexte visité" xfId="28435" builtinId="9" hidden="1"/>
    <cellStyle name="Lien hypertexte visité" xfId="28437" builtinId="9" hidden="1"/>
    <cellStyle name="Lien hypertexte visité" xfId="28439" builtinId="9" hidden="1"/>
    <cellStyle name="Lien hypertexte visité" xfId="28441" builtinId="9" hidden="1"/>
    <cellStyle name="Lien hypertexte visité" xfId="28443" builtinId="9" hidden="1"/>
    <cellStyle name="Lien hypertexte visité" xfId="28445" builtinId="9" hidden="1"/>
    <cellStyle name="Lien hypertexte visité" xfId="28447" builtinId="9" hidden="1"/>
    <cellStyle name="Lien hypertexte visité" xfId="28449" builtinId="9" hidden="1"/>
    <cellStyle name="Lien hypertexte visité" xfId="28451" builtinId="9" hidden="1"/>
    <cellStyle name="Lien hypertexte visité" xfId="28453" builtinId="9" hidden="1"/>
    <cellStyle name="Lien hypertexte visité" xfId="28455" builtinId="9" hidden="1"/>
    <cellStyle name="Lien hypertexte visité" xfId="28457" builtinId="9" hidden="1"/>
    <cellStyle name="Lien hypertexte visité" xfId="28459" builtinId="9" hidden="1"/>
    <cellStyle name="Lien hypertexte visité" xfId="28461" builtinId="9" hidden="1"/>
    <cellStyle name="Lien hypertexte visité" xfId="28463" builtinId="9" hidden="1"/>
    <cellStyle name="Lien hypertexte visité" xfId="28465" builtinId="9" hidden="1"/>
    <cellStyle name="Lien hypertexte visité" xfId="28467" builtinId="9" hidden="1"/>
    <cellStyle name="Lien hypertexte visité" xfId="28469" builtinId="9" hidden="1"/>
    <cellStyle name="Lien hypertexte visité" xfId="28471" builtinId="9" hidden="1"/>
    <cellStyle name="Lien hypertexte visité" xfId="28473" builtinId="9" hidden="1"/>
    <cellStyle name="Lien hypertexte visité" xfId="28475" builtinId="9" hidden="1"/>
    <cellStyle name="Lien hypertexte visité" xfId="28477" builtinId="9" hidden="1"/>
    <cellStyle name="Lien hypertexte visité" xfId="28479" builtinId="9" hidden="1"/>
    <cellStyle name="Lien hypertexte visité" xfId="28481" builtinId="9" hidden="1"/>
    <cellStyle name="Lien hypertexte visité" xfId="28483" builtinId="9" hidden="1"/>
    <cellStyle name="Lien hypertexte visité" xfId="28485" builtinId="9" hidden="1"/>
    <cellStyle name="Lien hypertexte visité" xfId="28487" builtinId="9" hidden="1"/>
    <cellStyle name="Lien hypertexte visité" xfId="28489" builtinId="9" hidden="1"/>
    <cellStyle name="Lien hypertexte visité" xfId="28491" builtinId="9" hidden="1"/>
    <cellStyle name="Lien hypertexte visité" xfId="28493" builtinId="9" hidden="1"/>
    <cellStyle name="Lien hypertexte visité" xfId="28495" builtinId="9" hidden="1"/>
    <cellStyle name="Lien hypertexte visité" xfId="28497" builtinId="9" hidden="1"/>
    <cellStyle name="Lien hypertexte visité" xfId="28499" builtinId="9" hidden="1"/>
    <cellStyle name="Lien hypertexte visité" xfId="28501" builtinId="9" hidden="1"/>
    <cellStyle name="Lien hypertexte visité" xfId="28503" builtinId="9" hidden="1"/>
    <cellStyle name="Lien hypertexte visité" xfId="28505" builtinId="9" hidden="1"/>
    <cellStyle name="Lien hypertexte visité" xfId="28507" builtinId="9" hidden="1"/>
    <cellStyle name="Lien hypertexte visité" xfId="28509" builtinId="9" hidden="1"/>
    <cellStyle name="Lien hypertexte visité" xfId="28511" builtinId="9" hidden="1"/>
    <cellStyle name="Lien hypertexte visité" xfId="28513" builtinId="9" hidden="1"/>
    <cellStyle name="Lien hypertexte visité" xfId="28515" builtinId="9" hidden="1"/>
    <cellStyle name="Lien hypertexte visité" xfId="28517" builtinId="9" hidden="1"/>
    <cellStyle name="Lien hypertexte visité" xfId="28519" builtinId="9" hidden="1"/>
    <cellStyle name="Lien hypertexte visité" xfId="28521" builtinId="9" hidden="1"/>
    <cellStyle name="Lien hypertexte visité" xfId="28523" builtinId="9" hidden="1"/>
    <cellStyle name="Lien hypertexte visité" xfId="28525" builtinId="9" hidden="1"/>
    <cellStyle name="Lien hypertexte visité" xfId="28527" builtinId="9" hidden="1"/>
    <cellStyle name="Lien hypertexte visité" xfId="28529" builtinId="9" hidden="1"/>
    <cellStyle name="Lien hypertexte visité" xfId="28531" builtinId="9" hidden="1"/>
    <cellStyle name="Lien hypertexte visité" xfId="28533" builtinId="9" hidden="1"/>
    <cellStyle name="Lien hypertexte visité" xfId="28535" builtinId="9" hidden="1"/>
    <cellStyle name="Lien hypertexte visité" xfId="28537" builtinId="9" hidden="1"/>
    <cellStyle name="Lien hypertexte visité" xfId="28539" builtinId="9" hidden="1"/>
    <cellStyle name="Lien hypertexte visité" xfId="28541" builtinId="9" hidden="1"/>
    <cellStyle name="Lien hypertexte visité" xfId="28543" builtinId="9" hidden="1"/>
    <cellStyle name="Lien hypertexte visité" xfId="28545" builtinId="9" hidden="1"/>
    <cellStyle name="Lien hypertexte visité" xfId="28547" builtinId="9" hidden="1"/>
    <cellStyle name="Lien hypertexte visité" xfId="28549" builtinId="9" hidden="1"/>
    <cellStyle name="Lien hypertexte visité" xfId="28551" builtinId="9" hidden="1"/>
    <cellStyle name="Lien hypertexte visité" xfId="28553" builtinId="9" hidden="1"/>
    <cellStyle name="Lien hypertexte visité" xfId="28555" builtinId="9" hidden="1"/>
    <cellStyle name="Lien hypertexte visité" xfId="28557" builtinId="9" hidden="1"/>
    <cellStyle name="Lien hypertexte visité" xfId="28559" builtinId="9" hidden="1"/>
    <cellStyle name="Lien hypertexte visité" xfId="28561" builtinId="9" hidden="1"/>
    <cellStyle name="Lien hypertexte visité" xfId="28563" builtinId="9" hidden="1"/>
    <cellStyle name="Lien hypertexte visité" xfId="28565" builtinId="9" hidden="1"/>
    <cellStyle name="Lien hypertexte visité" xfId="28567" builtinId="9" hidden="1"/>
    <cellStyle name="Lien hypertexte visité" xfId="28569" builtinId="9" hidden="1"/>
    <cellStyle name="Lien hypertexte visité" xfId="28571" builtinId="9" hidden="1"/>
    <cellStyle name="Lien hypertexte visité" xfId="28573" builtinId="9" hidden="1"/>
    <cellStyle name="Lien hypertexte visité" xfId="28575" builtinId="9" hidden="1"/>
    <cellStyle name="Lien hypertexte visité" xfId="28577" builtinId="9" hidden="1"/>
    <cellStyle name="Lien hypertexte visité" xfId="28579" builtinId="9" hidden="1"/>
    <cellStyle name="Lien hypertexte visité" xfId="28581" builtinId="9" hidden="1"/>
    <cellStyle name="Lien hypertexte visité" xfId="28583" builtinId="9" hidden="1"/>
    <cellStyle name="Lien hypertexte visité" xfId="28585" builtinId="9" hidden="1"/>
    <cellStyle name="Lien hypertexte visité" xfId="28587" builtinId="9" hidden="1"/>
    <cellStyle name="Lien hypertexte visité" xfId="28589" builtinId="9" hidden="1"/>
    <cellStyle name="Lien hypertexte visité" xfId="28591" builtinId="9" hidden="1"/>
    <cellStyle name="Lien hypertexte visité" xfId="28593" builtinId="9" hidden="1"/>
    <cellStyle name="Lien hypertexte visité" xfId="28595" builtinId="9" hidden="1"/>
    <cellStyle name="Lien hypertexte visité" xfId="28597" builtinId="9" hidden="1"/>
    <cellStyle name="Lien hypertexte visité" xfId="28599" builtinId="9" hidden="1"/>
    <cellStyle name="Lien hypertexte visité" xfId="28601" builtinId="9" hidden="1"/>
    <cellStyle name="Lien hypertexte visité" xfId="28603" builtinId="9" hidden="1"/>
    <cellStyle name="Lien hypertexte visité" xfId="28605" builtinId="9" hidden="1"/>
    <cellStyle name="Lien hypertexte visité" xfId="28607" builtinId="9" hidden="1"/>
    <cellStyle name="Lien hypertexte visité" xfId="28609" builtinId="9" hidden="1"/>
    <cellStyle name="Lien hypertexte visité" xfId="28611" builtinId="9" hidden="1"/>
    <cellStyle name="Lien hypertexte visité" xfId="28613" builtinId="9" hidden="1"/>
    <cellStyle name="Lien hypertexte visité" xfId="28615" builtinId="9" hidden="1"/>
    <cellStyle name="Lien hypertexte visité" xfId="28617" builtinId="9" hidden="1"/>
    <cellStyle name="Lien hypertexte visité" xfId="28619" builtinId="9" hidden="1"/>
    <cellStyle name="Lien hypertexte visité" xfId="28621" builtinId="9" hidden="1"/>
    <cellStyle name="Lien hypertexte visité" xfId="28623" builtinId="9" hidden="1"/>
    <cellStyle name="Lien hypertexte visité" xfId="28625" builtinId="9" hidden="1"/>
    <cellStyle name="Lien hypertexte visité" xfId="28627" builtinId="9" hidden="1"/>
    <cellStyle name="Lien hypertexte visité" xfId="28629" builtinId="9" hidden="1"/>
    <cellStyle name="Lien hypertexte visité" xfId="28631" builtinId="9" hidden="1"/>
    <cellStyle name="Lien hypertexte visité" xfId="28633" builtinId="9" hidden="1"/>
    <cellStyle name="Lien hypertexte visité" xfId="28635" builtinId="9" hidden="1"/>
    <cellStyle name="Lien hypertexte visité" xfId="28637" builtinId="9" hidden="1"/>
    <cellStyle name="Lien hypertexte visité" xfId="28639" builtinId="9" hidden="1"/>
    <cellStyle name="Lien hypertexte visité" xfId="28641" builtinId="9" hidden="1"/>
    <cellStyle name="Lien hypertexte visité" xfId="28643" builtinId="9" hidden="1"/>
    <cellStyle name="Lien hypertexte visité" xfId="28645" builtinId="9" hidden="1"/>
    <cellStyle name="Lien hypertexte visité" xfId="28647" builtinId="9" hidden="1"/>
    <cellStyle name="Lien hypertexte visité" xfId="28649" builtinId="9" hidden="1"/>
    <cellStyle name="Lien hypertexte visité" xfId="28651" builtinId="9" hidden="1"/>
    <cellStyle name="Lien hypertexte visité" xfId="28653" builtinId="9" hidden="1"/>
    <cellStyle name="Lien hypertexte visité" xfId="28655" builtinId="9" hidden="1"/>
    <cellStyle name="Lien hypertexte visité" xfId="28657" builtinId="9" hidden="1"/>
    <cellStyle name="Lien hypertexte visité" xfId="28659" builtinId="9" hidden="1"/>
    <cellStyle name="Lien hypertexte visité" xfId="28661" builtinId="9" hidden="1"/>
    <cellStyle name="Lien hypertexte visité" xfId="28663" builtinId="9" hidden="1"/>
    <cellStyle name="Lien hypertexte visité" xfId="28665" builtinId="9" hidden="1"/>
    <cellStyle name="Lien hypertexte visité" xfId="28667" builtinId="9" hidden="1"/>
    <cellStyle name="Lien hypertexte visité" xfId="28669" builtinId="9" hidden="1"/>
    <cellStyle name="Lien hypertexte visité" xfId="28671" builtinId="9" hidden="1"/>
    <cellStyle name="Lien hypertexte visité" xfId="28673" builtinId="9" hidden="1"/>
    <cellStyle name="Lien hypertexte visité" xfId="28675" builtinId="9" hidden="1"/>
    <cellStyle name="Lien hypertexte visité" xfId="28677" builtinId="9" hidden="1"/>
    <cellStyle name="Lien hypertexte visité" xfId="28679" builtinId="9" hidden="1"/>
    <cellStyle name="Lien hypertexte visité" xfId="28681" builtinId="9" hidden="1"/>
    <cellStyle name="Lien hypertexte visité" xfId="28683" builtinId="9" hidden="1"/>
    <cellStyle name="Lien hypertexte visité" xfId="28685" builtinId="9" hidden="1"/>
    <cellStyle name="Lien hypertexte visité" xfId="28687" builtinId="9" hidden="1"/>
    <cellStyle name="Lien hypertexte visité" xfId="28689" builtinId="9" hidden="1"/>
    <cellStyle name="Lien hypertexte visité" xfId="28691" builtinId="9" hidden="1"/>
    <cellStyle name="Lien hypertexte visité" xfId="28693" builtinId="9" hidden="1"/>
    <cellStyle name="Lien hypertexte visité" xfId="28695" builtinId="9" hidden="1"/>
    <cellStyle name="Lien hypertexte visité" xfId="28697" builtinId="9" hidden="1"/>
    <cellStyle name="Lien hypertexte visité" xfId="28699" builtinId="9" hidden="1"/>
    <cellStyle name="Lien hypertexte visité" xfId="28701" builtinId="9" hidden="1"/>
    <cellStyle name="Lien hypertexte visité" xfId="28703" builtinId="9" hidden="1"/>
    <cellStyle name="Lien hypertexte visité" xfId="28705" builtinId="9" hidden="1"/>
    <cellStyle name="Lien hypertexte visité" xfId="28707" builtinId="9" hidden="1"/>
    <cellStyle name="Lien hypertexte visité" xfId="28709" builtinId="9" hidden="1"/>
    <cellStyle name="Lien hypertexte visité" xfId="28711" builtinId="9" hidden="1"/>
    <cellStyle name="Lien hypertexte visité" xfId="28713" builtinId="9" hidden="1"/>
    <cellStyle name="Lien hypertexte visité" xfId="28715" builtinId="9" hidden="1"/>
    <cellStyle name="Lien hypertexte visité" xfId="28717" builtinId="9" hidden="1"/>
    <cellStyle name="Lien hypertexte visité" xfId="28719" builtinId="9" hidden="1"/>
    <cellStyle name="Lien hypertexte visité" xfId="28721" builtinId="9" hidden="1"/>
    <cellStyle name="Lien hypertexte visité" xfId="28723" builtinId="9" hidden="1"/>
    <cellStyle name="Lien hypertexte visité" xfId="28725" builtinId="9" hidden="1"/>
    <cellStyle name="Lien hypertexte visité" xfId="28727" builtinId="9" hidden="1"/>
    <cellStyle name="Lien hypertexte visité" xfId="28729" builtinId="9" hidden="1"/>
    <cellStyle name="Lien hypertexte visité" xfId="28731" builtinId="9" hidden="1"/>
    <cellStyle name="Lien hypertexte visité" xfId="28733" builtinId="9" hidden="1"/>
    <cellStyle name="Lien hypertexte visité" xfId="28735" builtinId="9" hidden="1"/>
    <cellStyle name="Lien hypertexte visité" xfId="28737" builtinId="9" hidden="1"/>
    <cellStyle name="Lien hypertexte visité" xfId="28739" builtinId="9" hidden="1"/>
    <cellStyle name="Lien hypertexte visité" xfId="28741" builtinId="9" hidden="1"/>
    <cellStyle name="Lien hypertexte visité" xfId="28743" builtinId="9" hidden="1"/>
    <cellStyle name="Lien hypertexte visité" xfId="28745" builtinId="9" hidden="1"/>
    <cellStyle name="Lien hypertexte visité" xfId="28747" builtinId="9" hidden="1"/>
    <cellStyle name="Lien hypertexte visité" xfId="28749" builtinId="9" hidden="1"/>
    <cellStyle name="Lien hypertexte visité" xfId="28751" builtinId="9" hidden="1"/>
    <cellStyle name="Lien hypertexte visité" xfId="28753" builtinId="9" hidden="1"/>
    <cellStyle name="Lien hypertexte visité" xfId="28755" builtinId="9" hidden="1"/>
    <cellStyle name="Lien hypertexte visité" xfId="28757" builtinId="9" hidden="1"/>
    <cellStyle name="Lien hypertexte visité" xfId="28759" builtinId="9" hidden="1"/>
    <cellStyle name="Lien hypertexte visité" xfId="28761" builtinId="9" hidden="1"/>
    <cellStyle name="Lien hypertexte visité" xfId="28763" builtinId="9" hidden="1"/>
    <cellStyle name="Lien hypertexte visité" xfId="28765" builtinId="9" hidden="1"/>
    <cellStyle name="Lien hypertexte visité" xfId="28767" builtinId="9" hidden="1"/>
    <cellStyle name="Lien hypertexte visité" xfId="28769" builtinId="9" hidden="1"/>
    <cellStyle name="Lien hypertexte visité" xfId="28771" builtinId="9" hidden="1"/>
    <cellStyle name="Lien hypertexte visité" xfId="28773" builtinId="9" hidden="1"/>
    <cellStyle name="Lien hypertexte visité" xfId="28775" builtinId="9" hidden="1"/>
    <cellStyle name="Lien hypertexte visité" xfId="28777" builtinId="9" hidden="1"/>
    <cellStyle name="Lien hypertexte visité" xfId="28779" builtinId="9" hidden="1"/>
    <cellStyle name="Lien hypertexte visité" xfId="28781" builtinId="9" hidden="1"/>
    <cellStyle name="Lien hypertexte visité" xfId="28783" builtinId="9" hidden="1"/>
    <cellStyle name="Lien hypertexte visité" xfId="28785" builtinId="9" hidden="1"/>
    <cellStyle name="Lien hypertexte visité" xfId="28787" builtinId="9" hidden="1"/>
    <cellStyle name="Lien hypertexte visité" xfId="28789" builtinId="9" hidden="1"/>
    <cellStyle name="Lien hypertexte visité" xfId="28791" builtinId="9" hidden="1"/>
    <cellStyle name="Lien hypertexte visité" xfId="28793" builtinId="9" hidden="1"/>
    <cellStyle name="Lien hypertexte visité" xfId="28795" builtinId="9" hidden="1"/>
    <cellStyle name="Lien hypertexte visité" xfId="28797" builtinId="9" hidden="1"/>
    <cellStyle name="Lien hypertexte visité" xfId="28799" builtinId="9" hidden="1"/>
    <cellStyle name="Lien hypertexte visité" xfId="28801" builtinId="9" hidden="1"/>
    <cellStyle name="Lien hypertexte visité" xfId="28803" builtinId="9" hidden="1"/>
    <cellStyle name="Lien hypertexte visité" xfId="28805" builtinId="9" hidden="1"/>
    <cellStyle name="Lien hypertexte visité" xfId="28807" builtinId="9" hidden="1"/>
    <cellStyle name="Lien hypertexte visité" xfId="28809" builtinId="9" hidden="1"/>
    <cellStyle name="Lien hypertexte visité" xfId="28811" builtinId="9" hidden="1"/>
    <cellStyle name="Lien hypertexte visité" xfId="28813" builtinId="9" hidden="1"/>
    <cellStyle name="Lien hypertexte visité" xfId="28815" builtinId="9" hidden="1"/>
    <cellStyle name="Lien hypertexte visité" xfId="28817" builtinId="9" hidden="1"/>
    <cellStyle name="Lien hypertexte visité" xfId="28819" builtinId="9" hidden="1"/>
    <cellStyle name="Lien hypertexte visité" xfId="28821" builtinId="9" hidden="1"/>
    <cellStyle name="Lien hypertexte visité" xfId="28823" builtinId="9" hidden="1"/>
    <cellStyle name="Lien hypertexte visité" xfId="28825" builtinId="9" hidden="1"/>
    <cellStyle name="Lien hypertexte visité" xfId="28827" builtinId="9" hidden="1"/>
    <cellStyle name="Lien hypertexte visité" xfId="28829" builtinId="9" hidden="1"/>
    <cellStyle name="Lien hypertexte visité" xfId="28831" builtinId="9" hidden="1"/>
    <cellStyle name="Lien hypertexte visité" xfId="28833" builtinId="9" hidden="1"/>
    <cellStyle name="Lien hypertexte visité" xfId="28835" builtinId="9" hidden="1"/>
    <cellStyle name="Lien hypertexte visité" xfId="28837" builtinId="9" hidden="1"/>
    <cellStyle name="Lien hypertexte visité" xfId="28839" builtinId="9" hidden="1"/>
    <cellStyle name="Lien hypertexte visité" xfId="28841" builtinId="9" hidden="1"/>
    <cellStyle name="Lien hypertexte visité" xfId="28843" builtinId="9" hidden="1"/>
    <cellStyle name="Lien hypertexte visité" xfId="28845" builtinId="9" hidden="1"/>
    <cellStyle name="Lien hypertexte visité" xfId="28847" builtinId="9" hidden="1"/>
    <cellStyle name="Lien hypertexte visité" xfId="28849" builtinId="9" hidden="1"/>
    <cellStyle name="Lien hypertexte visité" xfId="28851" builtinId="9" hidden="1"/>
    <cellStyle name="Lien hypertexte visité" xfId="28853" builtinId="9" hidden="1"/>
    <cellStyle name="Lien hypertexte visité" xfId="28855" builtinId="9" hidden="1"/>
    <cellStyle name="Lien hypertexte visité" xfId="28857" builtinId="9" hidden="1"/>
    <cellStyle name="Lien hypertexte visité" xfId="28859" builtinId="9" hidden="1"/>
    <cellStyle name="Lien hypertexte visité" xfId="28861" builtinId="9" hidden="1"/>
    <cellStyle name="Lien hypertexte visité" xfId="28863" builtinId="9" hidden="1"/>
    <cellStyle name="Lien hypertexte visité" xfId="28865" builtinId="9" hidden="1"/>
    <cellStyle name="Lien hypertexte visité" xfId="28867" builtinId="9" hidden="1"/>
    <cellStyle name="Lien hypertexte visité" xfId="28869" builtinId="9" hidden="1"/>
    <cellStyle name="Lien hypertexte visité" xfId="28871" builtinId="9" hidden="1"/>
    <cellStyle name="Lien hypertexte visité" xfId="28873" builtinId="9" hidden="1"/>
    <cellStyle name="Lien hypertexte visité" xfId="28875" builtinId="9" hidden="1"/>
    <cellStyle name="Lien hypertexte visité" xfId="28877" builtinId="9" hidden="1"/>
    <cellStyle name="Lien hypertexte visité" xfId="28879" builtinId="9" hidden="1"/>
    <cellStyle name="Lien hypertexte visité" xfId="28881" builtinId="9" hidden="1"/>
    <cellStyle name="Lien hypertexte visité" xfId="28883" builtinId="9" hidden="1"/>
    <cellStyle name="Lien hypertexte visité" xfId="28885" builtinId="9" hidden="1"/>
    <cellStyle name="Lien hypertexte visité" xfId="28887" builtinId="9" hidden="1"/>
    <cellStyle name="Lien hypertexte visité" xfId="28889" builtinId="9" hidden="1"/>
    <cellStyle name="Lien hypertexte visité" xfId="28891" builtinId="9" hidden="1"/>
    <cellStyle name="Lien hypertexte visité" xfId="28893" builtinId="9" hidden="1"/>
    <cellStyle name="Lien hypertexte visité" xfId="28895" builtinId="9" hidden="1"/>
    <cellStyle name="Lien hypertexte visité" xfId="28897" builtinId="9" hidden="1"/>
    <cellStyle name="Lien hypertexte visité" xfId="28899" builtinId="9" hidden="1"/>
    <cellStyle name="Lien hypertexte visité" xfId="28901" builtinId="9" hidden="1"/>
    <cellStyle name="Lien hypertexte visité" xfId="28903" builtinId="9" hidden="1"/>
    <cellStyle name="Lien hypertexte visité" xfId="28905" builtinId="9" hidden="1"/>
    <cellStyle name="Lien hypertexte visité" xfId="28907" builtinId="9" hidden="1"/>
    <cellStyle name="Lien hypertexte visité" xfId="28909" builtinId="9" hidden="1"/>
    <cellStyle name="Lien hypertexte visité" xfId="28911" builtinId="9" hidden="1"/>
    <cellStyle name="Lien hypertexte visité" xfId="28913" builtinId="9" hidden="1"/>
    <cellStyle name="Lien hypertexte visité" xfId="28915" builtinId="9" hidden="1"/>
    <cellStyle name="Lien hypertexte visité" xfId="28917" builtinId="9" hidden="1"/>
    <cellStyle name="Lien hypertexte visité" xfId="28919" builtinId="9" hidden="1"/>
    <cellStyle name="Lien hypertexte visité" xfId="28921" builtinId="9" hidden="1"/>
    <cellStyle name="Lien hypertexte visité" xfId="28923" builtinId="9" hidden="1"/>
    <cellStyle name="Lien hypertexte visité" xfId="28925" builtinId="9" hidden="1"/>
    <cellStyle name="Lien hypertexte visité" xfId="28927" builtinId="9" hidden="1"/>
    <cellStyle name="Lien hypertexte visité" xfId="28929" builtinId="9" hidden="1"/>
    <cellStyle name="Lien hypertexte visité" xfId="28931" builtinId="9" hidden="1"/>
    <cellStyle name="Lien hypertexte visité" xfId="28933" builtinId="9" hidden="1"/>
    <cellStyle name="Lien hypertexte visité" xfId="28935" builtinId="9" hidden="1"/>
    <cellStyle name="Lien hypertexte visité" xfId="28937" builtinId="9" hidden="1"/>
    <cellStyle name="Lien hypertexte visité" xfId="28939" builtinId="9" hidden="1"/>
    <cellStyle name="Lien hypertexte visité" xfId="28941" builtinId="9" hidden="1"/>
    <cellStyle name="Lien hypertexte visité" xfId="28943" builtinId="9" hidden="1"/>
    <cellStyle name="Lien hypertexte visité" xfId="28945" builtinId="9" hidden="1"/>
    <cellStyle name="Lien hypertexte visité" xfId="28947" builtinId="9" hidden="1"/>
    <cellStyle name="Lien hypertexte visité" xfId="28949" builtinId="9" hidden="1"/>
    <cellStyle name="Lien hypertexte visité" xfId="28951" builtinId="9" hidden="1"/>
    <cellStyle name="Lien hypertexte visité" xfId="28953" builtinId="9" hidden="1"/>
    <cellStyle name="Lien hypertexte visité" xfId="28955" builtinId="9" hidden="1"/>
    <cellStyle name="Lien hypertexte visité" xfId="28957" builtinId="9" hidden="1"/>
    <cellStyle name="Lien hypertexte visité" xfId="28959" builtinId="9" hidden="1"/>
    <cellStyle name="Lien hypertexte visité" xfId="28961" builtinId="9" hidden="1"/>
    <cellStyle name="Lien hypertexte visité" xfId="28963" builtinId="9" hidden="1"/>
    <cellStyle name="Lien hypertexte visité" xfId="28965" builtinId="9" hidden="1"/>
    <cellStyle name="Lien hypertexte visité" xfId="28967" builtinId="9" hidden="1"/>
    <cellStyle name="Lien hypertexte visité" xfId="28969" builtinId="9" hidden="1"/>
    <cellStyle name="Lien hypertexte visité" xfId="28971" builtinId="9" hidden="1"/>
    <cellStyle name="Lien hypertexte visité" xfId="28973" builtinId="9" hidden="1"/>
    <cellStyle name="Lien hypertexte visité" xfId="28975" builtinId="9" hidden="1"/>
    <cellStyle name="Lien hypertexte visité" xfId="28977" builtinId="9" hidden="1"/>
    <cellStyle name="Lien hypertexte visité" xfId="28979" builtinId="9" hidden="1"/>
    <cellStyle name="Lien hypertexte visité" xfId="28981" builtinId="9" hidden="1"/>
    <cellStyle name="Lien hypertexte visité" xfId="28983" builtinId="9" hidden="1"/>
    <cellStyle name="Lien hypertexte visité" xfId="28985" builtinId="9" hidden="1"/>
    <cellStyle name="Lien hypertexte visité" xfId="28987" builtinId="9" hidden="1"/>
    <cellStyle name="Lien hypertexte visité" xfId="28989" builtinId="9" hidden="1"/>
    <cellStyle name="Lien hypertexte visité" xfId="28991" builtinId="9" hidden="1"/>
    <cellStyle name="Lien hypertexte visité" xfId="28993" builtinId="9" hidden="1"/>
    <cellStyle name="Lien hypertexte visité" xfId="28995" builtinId="9" hidden="1"/>
    <cellStyle name="Lien hypertexte visité" xfId="28997" builtinId="9" hidden="1"/>
    <cellStyle name="Lien hypertexte visité" xfId="28999" builtinId="9" hidden="1"/>
    <cellStyle name="Lien hypertexte visité" xfId="29001" builtinId="9" hidden="1"/>
    <cellStyle name="Lien hypertexte visité" xfId="29003" builtinId="9" hidden="1"/>
    <cellStyle name="Lien hypertexte visité" xfId="29005" builtinId="9" hidden="1"/>
    <cellStyle name="Lien hypertexte visité" xfId="29007" builtinId="9" hidden="1"/>
    <cellStyle name="Lien hypertexte visité" xfId="29009" builtinId="9" hidden="1"/>
    <cellStyle name="Lien hypertexte visité" xfId="29011" builtinId="9" hidden="1"/>
    <cellStyle name="Lien hypertexte visité" xfId="29013" builtinId="9" hidden="1"/>
    <cellStyle name="Lien hypertexte visité" xfId="29015" builtinId="9" hidden="1"/>
    <cellStyle name="Lien hypertexte visité" xfId="29017" builtinId="9" hidden="1"/>
    <cellStyle name="Lien hypertexte visité" xfId="29019" builtinId="9" hidden="1"/>
    <cellStyle name="Lien hypertexte visité" xfId="29021" builtinId="9" hidden="1"/>
    <cellStyle name="Lien hypertexte visité" xfId="29023" builtinId="9" hidden="1"/>
    <cellStyle name="Lien hypertexte visité" xfId="29025" builtinId="9" hidden="1"/>
    <cellStyle name="Lien hypertexte visité" xfId="29027" builtinId="9" hidden="1"/>
    <cellStyle name="Lien hypertexte visité" xfId="29029" builtinId="9" hidden="1"/>
    <cellStyle name="Lien hypertexte visité" xfId="29031" builtinId="9" hidden="1"/>
    <cellStyle name="Lien hypertexte visité" xfId="29033" builtinId="9" hidden="1"/>
    <cellStyle name="Lien hypertexte visité" xfId="29035" builtinId="9" hidden="1"/>
    <cellStyle name="Lien hypertexte visité" xfId="29037" builtinId="9" hidden="1"/>
    <cellStyle name="Lien hypertexte visité" xfId="29039" builtinId="9" hidden="1"/>
    <cellStyle name="Lien hypertexte visité" xfId="29041" builtinId="9" hidden="1"/>
    <cellStyle name="Lien hypertexte visité" xfId="29043" builtinId="9" hidden="1"/>
    <cellStyle name="Lien hypertexte visité" xfId="29045" builtinId="9" hidden="1"/>
    <cellStyle name="Lien hypertexte visité" xfId="29047" builtinId="9" hidden="1"/>
    <cellStyle name="Lien hypertexte visité" xfId="29049" builtinId="9" hidden="1"/>
    <cellStyle name="Lien hypertexte visité" xfId="29051" builtinId="9" hidden="1"/>
    <cellStyle name="Lien hypertexte visité" xfId="29053" builtinId="9" hidden="1"/>
    <cellStyle name="Lien hypertexte visité" xfId="29055" builtinId="9" hidden="1"/>
    <cellStyle name="Lien hypertexte visité" xfId="29057" builtinId="9" hidden="1"/>
    <cellStyle name="Lien hypertexte visité" xfId="29059" builtinId="9" hidden="1"/>
    <cellStyle name="Lien hypertexte visité" xfId="29061" builtinId="9" hidden="1"/>
    <cellStyle name="Lien hypertexte visité" xfId="29063" builtinId="9" hidden="1"/>
    <cellStyle name="Lien hypertexte visité" xfId="29065" builtinId="9" hidden="1"/>
    <cellStyle name="Lien hypertexte visité" xfId="29067" builtinId="9" hidden="1"/>
    <cellStyle name="Lien hypertexte visité" xfId="29069" builtinId="9" hidden="1"/>
    <cellStyle name="Lien hypertexte visité" xfId="29071" builtinId="9" hidden="1"/>
    <cellStyle name="Lien hypertexte visité" xfId="29073" builtinId="9" hidden="1"/>
    <cellStyle name="Lien hypertexte visité" xfId="29075" builtinId="9" hidden="1"/>
    <cellStyle name="Lien hypertexte visité" xfId="29077" builtinId="9" hidden="1"/>
    <cellStyle name="Lien hypertexte visité" xfId="29079" builtinId="9" hidden="1"/>
    <cellStyle name="Lien hypertexte visité" xfId="29081" builtinId="9" hidden="1"/>
    <cellStyle name="Lien hypertexte visité" xfId="29083" builtinId="9" hidden="1"/>
    <cellStyle name="Lien hypertexte visité" xfId="29085" builtinId="9" hidden="1"/>
    <cellStyle name="Lien hypertexte visité" xfId="29087" builtinId="9" hidden="1"/>
    <cellStyle name="Lien hypertexte visité" xfId="29089" builtinId="9" hidden="1"/>
    <cellStyle name="Lien hypertexte visité" xfId="29091" builtinId="9" hidden="1"/>
    <cellStyle name="Lien hypertexte visité" xfId="29093" builtinId="9" hidden="1"/>
    <cellStyle name="Lien hypertexte visité" xfId="29095" builtinId="9" hidden="1"/>
    <cellStyle name="Lien hypertexte visité" xfId="29097" builtinId="9" hidden="1"/>
    <cellStyle name="Lien hypertexte visité" xfId="29099" builtinId="9" hidden="1"/>
    <cellStyle name="Lien hypertexte visité" xfId="29101" builtinId="9" hidden="1"/>
    <cellStyle name="Lien hypertexte visité" xfId="29103" builtinId="9" hidden="1"/>
    <cellStyle name="Lien hypertexte visité" xfId="29105" builtinId="9" hidden="1"/>
    <cellStyle name="Lien hypertexte visité" xfId="29107" builtinId="9" hidden="1"/>
    <cellStyle name="Lien hypertexte visité" xfId="29109" builtinId="9" hidden="1"/>
    <cellStyle name="Lien hypertexte visité" xfId="29111" builtinId="9" hidden="1"/>
    <cellStyle name="Lien hypertexte visité" xfId="29113" builtinId="9" hidden="1"/>
    <cellStyle name="Lien hypertexte visité" xfId="29115" builtinId="9" hidden="1"/>
    <cellStyle name="Lien hypertexte visité" xfId="29117" builtinId="9" hidden="1"/>
    <cellStyle name="Lien hypertexte visité" xfId="29119" builtinId="9" hidden="1"/>
    <cellStyle name="Lien hypertexte visité" xfId="29121" builtinId="9" hidden="1"/>
    <cellStyle name="Lien hypertexte visité" xfId="29123" builtinId="9" hidden="1"/>
    <cellStyle name="Lien hypertexte visité" xfId="29125" builtinId="9" hidden="1"/>
    <cellStyle name="Lien hypertexte visité" xfId="29127" builtinId="9" hidden="1"/>
    <cellStyle name="Lien hypertexte visité" xfId="29129" builtinId="9" hidden="1"/>
    <cellStyle name="Lien hypertexte visité" xfId="29131" builtinId="9" hidden="1"/>
    <cellStyle name="Lien hypertexte visité" xfId="29133" builtinId="9" hidden="1"/>
    <cellStyle name="Lien hypertexte visité" xfId="29135" builtinId="9" hidden="1"/>
    <cellStyle name="Lien hypertexte visité" xfId="29137" builtinId="9" hidden="1"/>
    <cellStyle name="Lien hypertexte visité" xfId="29139" builtinId="9" hidden="1"/>
    <cellStyle name="Lien hypertexte visité" xfId="29141" builtinId="9" hidden="1"/>
    <cellStyle name="Lien hypertexte visité" xfId="29143" builtinId="9" hidden="1"/>
    <cellStyle name="Lien hypertexte visité" xfId="29145" builtinId="9" hidden="1"/>
    <cellStyle name="Lien hypertexte visité" xfId="29147" builtinId="9" hidden="1"/>
    <cellStyle name="Lien hypertexte visité" xfId="29149" builtinId="9" hidden="1"/>
    <cellStyle name="Lien hypertexte visité" xfId="29151" builtinId="9" hidden="1"/>
    <cellStyle name="Lien hypertexte visité" xfId="29153" builtinId="9" hidden="1"/>
    <cellStyle name="Lien hypertexte visité" xfId="29155" builtinId="9" hidden="1"/>
    <cellStyle name="Lien hypertexte visité" xfId="29157" builtinId="9" hidden="1"/>
    <cellStyle name="Lien hypertexte visité" xfId="29159" builtinId="9" hidden="1"/>
    <cellStyle name="Lien hypertexte visité" xfId="29161" builtinId="9" hidden="1"/>
    <cellStyle name="Lien hypertexte visité" xfId="29163" builtinId="9" hidden="1"/>
    <cellStyle name="Lien hypertexte visité" xfId="29165" builtinId="9" hidden="1"/>
    <cellStyle name="Lien hypertexte visité" xfId="29167" builtinId="9" hidden="1"/>
    <cellStyle name="Lien hypertexte visité" xfId="29169" builtinId="9" hidden="1"/>
    <cellStyle name="Lien hypertexte visité" xfId="29171" builtinId="9" hidden="1"/>
    <cellStyle name="Lien hypertexte visité" xfId="29173" builtinId="9" hidden="1"/>
    <cellStyle name="Lien hypertexte visité" xfId="29175" builtinId="9" hidden="1"/>
    <cellStyle name="Lien hypertexte visité" xfId="29177" builtinId="9" hidden="1"/>
    <cellStyle name="Lien hypertexte visité" xfId="29179" builtinId="9" hidden="1"/>
    <cellStyle name="Lien hypertexte visité" xfId="29181" builtinId="9" hidden="1"/>
    <cellStyle name="Lien hypertexte visité" xfId="29183" builtinId="9" hidden="1"/>
    <cellStyle name="Lien hypertexte visité" xfId="29185" builtinId="9" hidden="1"/>
    <cellStyle name="Lien hypertexte visité" xfId="29187" builtinId="9" hidden="1"/>
    <cellStyle name="Lien hypertexte visité" xfId="29189" builtinId="9" hidden="1"/>
    <cellStyle name="Lien hypertexte visité" xfId="29191" builtinId="9" hidden="1"/>
    <cellStyle name="Lien hypertexte visité" xfId="29193" builtinId="9" hidden="1"/>
    <cellStyle name="Lien hypertexte visité" xfId="29195" builtinId="9" hidden="1"/>
    <cellStyle name="Lien hypertexte visité" xfId="29197" builtinId="9" hidden="1"/>
    <cellStyle name="Lien hypertexte visité" xfId="29199" builtinId="9" hidden="1"/>
    <cellStyle name="Lien hypertexte visité" xfId="29201" builtinId="9" hidden="1"/>
    <cellStyle name="Lien hypertexte visité" xfId="29203" builtinId="9" hidden="1"/>
    <cellStyle name="Lien hypertexte visité" xfId="29205" builtinId="9" hidden="1"/>
    <cellStyle name="Lien hypertexte visité" xfId="29207" builtinId="9" hidden="1"/>
    <cellStyle name="Lien hypertexte visité" xfId="29209" builtinId="9" hidden="1"/>
    <cellStyle name="Lien hypertexte visité" xfId="29211" builtinId="9" hidden="1"/>
    <cellStyle name="Lien hypertexte visité" xfId="29213" builtinId="9" hidden="1"/>
    <cellStyle name="Lien hypertexte visité" xfId="29215" builtinId="9" hidden="1"/>
    <cellStyle name="Lien hypertexte visité" xfId="29217" builtinId="9" hidden="1"/>
    <cellStyle name="Lien hypertexte visité" xfId="29219" builtinId="9" hidden="1"/>
    <cellStyle name="Lien hypertexte visité" xfId="29221" builtinId="9" hidden="1"/>
    <cellStyle name="Lien hypertexte visité" xfId="29223" builtinId="9" hidden="1"/>
    <cellStyle name="Lien hypertexte visité" xfId="29225" builtinId="9" hidden="1"/>
    <cellStyle name="Lien hypertexte visité" xfId="29227" builtinId="9" hidden="1"/>
    <cellStyle name="Lien hypertexte visité" xfId="29229" builtinId="9" hidden="1"/>
    <cellStyle name="Lien hypertexte visité" xfId="29231" builtinId="9" hidden="1"/>
    <cellStyle name="Lien hypertexte visité" xfId="29233" builtinId="9" hidden="1"/>
    <cellStyle name="Lien hypertexte visité" xfId="29235" builtinId="9" hidden="1"/>
    <cellStyle name="Lien hypertexte visité" xfId="29237" builtinId="9" hidden="1"/>
    <cellStyle name="Lien hypertexte visité" xfId="29239" builtinId="9" hidden="1"/>
    <cellStyle name="Lien hypertexte visité" xfId="29241" builtinId="9" hidden="1"/>
    <cellStyle name="Lien hypertexte visité" xfId="29243" builtinId="9" hidden="1"/>
    <cellStyle name="Lien hypertexte visité" xfId="29245" builtinId="9" hidden="1"/>
    <cellStyle name="Lien hypertexte visité" xfId="29247" builtinId="9" hidden="1"/>
    <cellStyle name="Lien hypertexte visité" xfId="29249" builtinId="9" hidden="1"/>
    <cellStyle name="Lien hypertexte visité" xfId="29251" builtinId="9" hidden="1"/>
    <cellStyle name="Lien hypertexte visité" xfId="29253" builtinId="9" hidden="1"/>
    <cellStyle name="Lien hypertexte visité" xfId="29255" builtinId="9" hidden="1"/>
    <cellStyle name="Lien hypertexte visité" xfId="29257" builtinId="9" hidden="1"/>
    <cellStyle name="Lien hypertexte visité" xfId="29259" builtinId="9" hidden="1"/>
    <cellStyle name="Lien hypertexte visité" xfId="29261" builtinId="9" hidden="1"/>
    <cellStyle name="Lien hypertexte visité" xfId="29263" builtinId="9" hidden="1"/>
    <cellStyle name="Lien hypertexte visité" xfId="29265" builtinId="9" hidden="1"/>
    <cellStyle name="Lien hypertexte visité" xfId="29267" builtinId="9" hidden="1"/>
    <cellStyle name="Lien hypertexte visité" xfId="29269" builtinId="9" hidden="1"/>
    <cellStyle name="Lien hypertexte visité" xfId="29271" builtinId="9" hidden="1"/>
    <cellStyle name="Lien hypertexte visité" xfId="29273" builtinId="9" hidden="1"/>
    <cellStyle name="Lien hypertexte visité" xfId="29275" builtinId="9" hidden="1"/>
    <cellStyle name="Lien hypertexte visité" xfId="29277" builtinId="9" hidden="1"/>
    <cellStyle name="Lien hypertexte visité" xfId="29279" builtinId="9" hidden="1"/>
    <cellStyle name="Lien hypertexte visité" xfId="29281" builtinId="9" hidden="1"/>
    <cellStyle name="Lien hypertexte visité" xfId="29283" builtinId="9" hidden="1"/>
    <cellStyle name="Lien hypertexte visité" xfId="29285" builtinId="9" hidden="1"/>
    <cellStyle name="Lien hypertexte visité" xfId="29287" builtinId="9" hidden="1"/>
    <cellStyle name="Lien hypertexte visité" xfId="29289" builtinId="9" hidden="1"/>
    <cellStyle name="Lien hypertexte visité" xfId="29291" builtinId="9" hidden="1"/>
    <cellStyle name="Lien hypertexte visité" xfId="29293" builtinId="9" hidden="1"/>
    <cellStyle name="Lien hypertexte visité" xfId="29295" builtinId="9" hidden="1"/>
    <cellStyle name="Lien hypertexte visité" xfId="29297" builtinId="9" hidden="1"/>
    <cellStyle name="Lien hypertexte visité" xfId="29299" builtinId="9" hidden="1"/>
    <cellStyle name="Lien hypertexte visité" xfId="29301" builtinId="9" hidden="1"/>
    <cellStyle name="Lien hypertexte visité" xfId="29303" builtinId="9" hidden="1"/>
    <cellStyle name="Lien hypertexte visité" xfId="29305" builtinId="9" hidden="1"/>
    <cellStyle name="Lien hypertexte visité" xfId="29307" builtinId="9" hidden="1"/>
    <cellStyle name="Lien hypertexte visité" xfId="29309" builtinId="9" hidden="1"/>
    <cellStyle name="Lien hypertexte visité" xfId="29311" builtinId="9" hidden="1"/>
    <cellStyle name="Lien hypertexte visité" xfId="29313" builtinId="9" hidden="1"/>
    <cellStyle name="Lien hypertexte visité" xfId="29315" builtinId="9" hidden="1"/>
    <cellStyle name="Lien hypertexte visité" xfId="29317" builtinId="9" hidden="1"/>
    <cellStyle name="Lien hypertexte visité" xfId="29319" builtinId="9" hidden="1"/>
    <cellStyle name="Lien hypertexte visité" xfId="29321" builtinId="9" hidden="1"/>
    <cellStyle name="Lien hypertexte visité" xfId="29323" builtinId="9" hidden="1"/>
    <cellStyle name="Lien hypertexte visité" xfId="29325" builtinId="9" hidden="1"/>
    <cellStyle name="Lien hypertexte visité" xfId="29327" builtinId="9" hidden="1"/>
    <cellStyle name="Lien hypertexte visité" xfId="29329" builtinId="9" hidden="1"/>
    <cellStyle name="Lien hypertexte visité" xfId="29331" builtinId="9" hidden="1"/>
    <cellStyle name="Lien hypertexte visité" xfId="29333" builtinId="9" hidden="1"/>
    <cellStyle name="Lien hypertexte visité" xfId="29335" builtinId="9" hidden="1"/>
    <cellStyle name="Lien hypertexte visité" xfId="29337" builtinId="9" hidden="1"/>
    <cellStyle name="Lien hypertexte visité" xfId="29339" builtinId="9" hidden="1"/>
    <cellStyle name="Lien hypertexte visité" xfId="29341" builtinId="9" hidden="1"/>
    <cellStyle name="Lien hypertexte visité" xfId="29343" builtinId="9" hidden="1"/>
    <cellStyle name="Lien hypertexte visité" xfId="29345" builtinId="9" hidden="1"/>
    <cellStyle name="Lien hypertexte visité" xfId="29347" builtinId="9" hidden="1"/>
    <cellStyle name="Lien hypertexte visité" xfId="29349" builtinId="9" hidden="1"/>
    <cellStyle name="Lien hypertexte visité" xfId="29351" builtinId="9" hidden="1"/>
    <cellStyle name="Lien hypertexte visité" xfId="29353" builtinId="9" hidden="1"/>
    <cellStyle name="Lien hypertexte visité" xfId="29355" builtinId="9" hidden="1"/>
    <cellStyle name="Lien hypertexte visité" xfId="29357" builtinId="9" hidden="1"/>
    <cellStyle name="Lien hypertexte visité" xfId="29359" builtinId="9" hidden="1"/>
    <cellStyle name="Lien hypertexte visité" xfId="29361" builtinId="9" hidden="1"/>
    <cellStyle name="Lien hypertexte visité" xfId="29363" builtinId="9" hidden="1"/>
    <cellStyle name="Lien hypertexte visité" xfId="29365" builtinId="9" hidden="1"/>
    <cellStyle name="Lien hypertexte visité" xfId="29367" builtinId="9" hidden="1"/>
    <cellStyle name="Lien hypertexte visité" xfId="29369" builtinId="9" hidden="1"/>
    <cellStyle name="Lien hypertexte visité" xfId="29371" builtinId="9" hidden="1"/>
    <cellStyle name="Lien hypertexte visité" xfId="29373" builtinId="9" hidden="1"/>
    <cellStyle name="Lien hypertexte visité" xfId="29375" builtinId="9" hidden="1"/>
    <cellStyle name="Lien hypertexte visité" xfId="29377" builtinId="9" hidden="1"/>
    <cellStyle name="Lien hypertexte visité" xfId="29379" builtinId="9" hidden="1"/>
    <cellStyle name="Lien hypertexte visité" xfId="29381" builtinId="9" hidden="1"/>
    <cellStyle name="Lien hypertexte visité" xfId="29383" builtinId="9" hidden="1"/>
    <cellStyle name="Lien hypertexte visité" xfId="29385" builtinId="9" hidden="1"/>
    <cellStyle name="Lien hypertexte visité" xfId="29387" builtinId="9" hidden="1"/>
    <cellStyle name="Lien hypertexte visité" xfId="29389" builtinId="9" hidden="1"/>
    <cellStyle name="Lien hypertexte visité" xfId="29391" builtinId="9" hidden="1"/>
    <cellStyle name="Lien hypertexte visité" xfId="29393" builtinId="9" hidden="1"/>
    <cellStyle name="Lien hypertexte visité" xfId="29395" builtinId="9" hidden="1"/>
    <cellStyle name="Lien hypertexte visité" xfId="29397" builtinId="9" hidden="1"/>
    <cellStyle name="Lien hypertexte visité" xfId="29399" builtinId="9" hidden="1"/>
    <cellStyle name="Lien hypertexte visité" xfId="29401" builtinId="9" hidden="1"/>
    <cellStyle name="Lien hypertexte visité" xfId="29403" builtinId="9" hidden="1"/>
    <cellStyle name="Lien hypertexte visité" xfId="29405" builtinId="9" hidden="1"/>
    <cellStyle name="Lien hypertexte visité" xfId="29407" builtinId="9" hidden="1"/>
    <cellStyle name="Lien hypertexte visité" xfId="29409" builtinId="9" hidden="1"/>
    <cellStyle name="Lien hypertexte visité" xfId="29411" builtinId="9" hidden="1"/>
    <cellStyle name="Lien hypertexte visité" xfId="29413" builtinId="9" hidden="1"/>
    <cellStyle name="Lien hypertexte visité" xfId="29415" builtinId="9" hidden="1"/>
    <cellStyle name="Lien hypertexte visité" xfId="29417" builtinId="9" hidden="1"/>
    <cellStyle name="Lien hypertexte visité" xfId="29419" builtinId="9" hidden="1"/>
    <cellStyle name="Lien hypertexte visité" xfId="29421" builtinId="9" hidden="1"/>
    <cellStyle name="Lien hypertexte visité" xfId="29423" builtinId="9" hidden="1"/>
    <cellStyle name="Lien hypertexte visité" xfId="29425" builtinId="9" hidden="1"/>
    <cellStyle name="Lien hypertexte visité" xfId="29427" builtinId="9" hidden="1"/>
    <cellStyle name="Lien hypertexte visité" xfId="29429" builtinId="9" hidden="1"/>
    <cellStyle name="Lien hypertexte visité" xfId="29431" builtinId="9" hidden="1"/>
    <cellStyle name="Lien hypertexte visité" xfId="29433" builtinId="9" hidden="1"/>
    <cellStyle name="Lien hypertexte visité" xfId="29435" builtinId="9" hidden="1"/>
    <cellStyle name="Lien hypertexte visité" xfId="29437" builtinId="9" hidden="1"/>
    <cellStyle name="Lien hypertexte visité" xfId="29439" builtinId="9" hidden="1"/>
    <cellStyle name="Lien hypertexte visité" xfId="29441" builtinId="9" hidden="1"/>
    <cellStyle name="Lien hypertexte visité" xfId="29443" builtinId="9" hidden="1"/>
    <cellStyle name="Lien hypertexte visité" xfId="29445" builtinId="9" hidden="1"/>
    <cellStyle name="Lien hypertexte visité" xfId="29447" builtinId="9" hidden="1"/>
    <cellStyle name="Lien hypertexte visité" xfId="29449" builtinId="9" hidden="1"/>
    <cellStyle name="Lien hypertexte visité" xfId="29451" builtinId="9" hidden="1"/>
    <cellStyle name="Lien hypertexte visité" xfId="29453" builtinId="9" hidden="1"/>
    <cellStyle name="Lien hypertexte visité" xfId="29455" builtinId="9" hidden="1"/>
    <cellStyle name="Lien hypertexte visité" xfId="29457" builtinId="9" hidden="1"/>
    <cellStyle name="Lien hypertexte visité" xfId="29459" builtinId="9" hidden="1"/>
    <cellStyle name="Lien hypertexte visité" xfId="29461" builtinId="9" hidden="1"/>
    <cellStyle name="Lien hypertexte visité" xfId="29463" builtinId="9" hidden="1"/>
    <cellStyle name="Lien hypertexte visité" xfId="29465" builtinId="9" hidden="1"/>
    <cellStyle name="Lien hypertexte visité" xfId="29467" builtinId="9" hidden="1"/>
    <cellStyle name="Lien hypertexte visité" xfId="29469" builtinId="9" hidden="1"/>
    <cellStyle name="Lien hypertexte visité" xfId="29471" builtinId="9" hidden="1"/>
    <cellStyle name="Lien hypertexte visité" xfId="29473" builtinId="9" hidden="1"/>
    <cellStyle name="Lien hypertexte visité" xfId="29475" builtinId="9" hidden="1"/>
    <cellStyle name="Lien hypertexte visité" xfId="29477" builtinId="9" hidden="1"/>
    <cellStyle name="Lien hypertexte visité" xfId="29479" builtinId="9" hidden="1"/>
    <cellStyle name="Lien hypertexte visité" xfId="29481" builtinId="9" hidden="1"/>
    <cellStyle name="Lien hypertexte visité" xfId="29483" builtinId="9" hidden="1"/>
    <cellStyle name="Lien hypertexte visité" xfId="29485" builtinId="9" hidden="1"/>
    <cellStyle name="Lien hypertexte visité" xfId="29487" builtinId="9" hidden="1"/>
    <cellStyle name="Lien hypertexte visité" xfId="29489" builtinId="9" hidden="1"/>
    <cellStyle name="Lien hypertexte visité" xfId="29491" builtinId="9" hidden="1"/>
    <cellStyle name="Lien hypertexte visité" xfId="29493" builtinId="9" hidden="1"/>
    <cellStyle name="Lien hypertexte visité" xfId="29495" builtinId="9" hidden="1"/>
    <cellStyle name="Lien hypertexte visité" xfId="29497" builtinId="9" hidden="1"/>
    <cellStyle name="Lien hypertexte visité" xfId="29499" builtinId="9" hidden="1"/>
    <cellStyle name="Lien hypertexte visité" xfId="29501" builtinId="9" hidden="1"/>
    <cellStyle name="Lien hypertexte visité" xfId="29503" builtinId="9" hidden="1"/>
    <cellStyle name="Lien hypertexte visité" xfId="29505" builtinId="9" hidden="1"/>
    <cellStyle name="Lien hypertexte visité" xfId="29507" builtinId="9" hidden="1"/>
    <cellStyle name="Lien hypertexte visité" xfId="29509" builtinId="9" hidden="1"/>
    <cellStyle name="Lien hypertexte visité" xfId="29511" builtinId="9" hidden="1"/>
    <cellStyle name="Lien hypertexte visité" xfId="29513" builtinId="9" hidden="1"/>
    <cellStyle name="Lien hypertexte visité" xfId="29515" builtinId="9" hidden="1"/>
    <cellStyle name="Lien hypertexte visité" xfId="29517" builtinId="9" hidden="1"/>
    <cellStyle name="Lien hypertexte visité" xfId="29519" builtinId="9" hidden="1"/>
    <cellStyle name="Lien hypertexte visité" xfId="29521" builtinId="9" hidden="1"/>
    <cellStyle name="Lien hypertexte visité" xfId="29523" builtinId="9" hidden="1"/>
    <cellStyle name="Lien hypertexte visité" xfId="29525" builtinId="9" hidden="1"/>
    <cellStyle name="Lien hypertexte visité" xfId="29527" builtinId="9" hidden="1"/>
    <cellStyle name="Lien hypertexte visité" xfId="29529" builtinId="9" hidden="1"/>
    <cellStyle name="Lien hypertexte visité" xfId="29531" builtinId="9" hidden="1"/>
    <cellStyle name="Lien hypertexte visité" xfId="29533" builtinId="9" hidden="1"/>
    <cellStyle name="Lien hypertexte visité" xfId="29535" builtinId="9" hidden="1"/>
    <cellStyle name="Lien hypertexte visité" xfId="29537" builtinId="9" hidden="1"/>
    <cellStyle name="Lien hypertexte visité" xfId="29539" builtinId="9" hidden="1"/>
    <cellStyle name="Lien hypertexte visité" xfId="29541" builtinId="9" hidden="1"/>
    <cellStyle name="Lien hypertexte visité" xfId="29543" builtinId="9" hidden="1"/>
    <cellStyle name="Lien hypertexte visité" xfId="29545" builtinId="9" hidden="1"/>
    <cellStyle name="Lien hypertexte visité" xfId="29547" builtinId="9" hidden="1"/>
    <cellStyle name="Lien hypertexte visité" xfId="29549" builtinId="9" hidden="1"/>
    <cellStyle name="Lien hypertexte visité" xfId="29551" builtinId="9" hidden="1"/>
    <cellStyle name="Lien hypertexte visité" xfId="29553" builtinId="9" hidden="1"/>
    <cellStyle name="Lien hypertexte visité" xfId="29555" builtinId="9" hidden="1"/>
    <cellStyle name="Lien hypertexte visité" xfId="29557" builtinId="9" hidden="1"/>
    <cellStyle name="Lien hypertexte visité" xfId="29559" builtinId="9" hidden="1"/>
    <cellStyle name="Lien hypertexte visité" xfId="29561" builtinId="9" hidden="1"/>
    <cellStyle name="Lien hypertexte visité" xfId="29563" builtinId="9" hidden="1"/>
    <cellStyle name="Lien hypertexte visité" xfId="29565" builtinId="9" hidden="1"/>
    <cellStyle name="Lien hypertexte visité" xfId="29567" builtinId="9" hidden="1"/>
    <cellStyle name="Lien hypertexte visité" xfId="29569" builtinId="9" hidden="1"/>
    <cellStyle name="Lien hypertexte visité" xfId="29571" builtinId="9" hidden="1"/>
    <cellStyle name="Lien hypertexte visité" xfId="29573" builtinId="9" hidden="1"/>
    <cellStyle name="Lien hypertexte visité" xfId="29575" builtinId="9" hidden="1"/>
    <cellStyle name="Lien hypertexte visité" xfId="29577" builtinId="9" hidden="1"/>
    <cellStyle name="Lien hypertexte visité" xfId="29579" builtinId="9" hidden="1"/>
    <cellStyle name="Lien hypertexte visité" xfId="29581" builtinId="9" hidden="1"/>
    <cellStyle name="Lien hypertexte visité" xfId="29583" builtinId="9" hidden="1"/>
    <cellStyle name="Lien hypertexte visité" xfId="29585" builtinId="9" hidden="1"/>
    <cellStyle name="Lien hypertexte visité" xfId="29587" builtinId="9" hidden="1"/>
    <cellStyle name="Lien hypertexte visité" xfId="29589" builtinId="9" hidden="1"/>
    <cellStyle name="Lien hypertexte visité" xfId="29591" builtinId="9" hidden="1"/>
    <cellStyle name="Lien hypertexte visité" xfId="29593" builtinId="9" hidden="1"/>
    <cellStyle name="Lien hypertexte visité" xfId="29595" builtinId="9" hidden="1"/>
    <cellStyle name="Lien hypertexte visité" xfId="29597" builtinId="9" hidden="1"/>
    <cellStyle name="Lien hypertexte visité" xfId="29599" builtinId="9" hidden="1"/>
    <cellStyle name="Lien hypertexte visité" xfId="29601" builtinId="9" hidden="1"/>
    <cellStyle name="Lien hypertexte visité" xfId="29603" builtinId="9" hidden="1"/>
    <cellStyle name="Lien hypertexte visité" xfId="29605" builtinId="9" hidden="1"/>
    <cellStyle name="Lien hypertexte visité" xfId="29607" builtinId="9" hidden="1"/>
    <cellStyle name="Lien hypertexte visité" xfId="29609" builtinId="9" hidden="1"/>
    <cellStyle name="Lien hypertexte visité" xfId="29611" builtinId="9" hidden="1"/>
    <cellStyle name="Lien hypertexte visité" xfId="29613" builtinId="9" hidden="1"/>
    <cellStyle name="Lien hypertexte visité" xfId="29615" builtinId="9" hidden="1"/>
    <cellStyle name="Lien hypertexte visité" xfId="29617" builtinId="9" hidden="1"/>
    <cellStyle name="Lien hypertexte visité" xfId="29619" builtinId="9" hidden="1"/>
    <cellStyle name="Lien hypertexte visité" xfId="29621" builtinId="9" hidden="1"/>
    <cellStyle name="Lien hypertexte visité" xfId="29623" builtinId="9" hidden="1"/>
    <cellStyle name="Lien hypertexte visité" xfId="29625" builtinId="9" hidden="1"/>
    <cellStyle name="Lien hypertexte visité" xfId="29627" builtinId="9" hidden="1"/>
    <cellStyle name="Lien hypertexte visité" xfId="29629" builtinId="9" hidden="1"/>
    <cellStyle name="Lien hypertexte visité" xfId="29631" builtinId="9" hidden="1"/>
    <cellStyle name="Lien hypertexte visité" xfId="29633" builtinId="9" hidden="1"/>
    <cellStyle name="Lien hypertexte visité" xfId="29635" builtinId="9" hidden="1"/>
    <cellStyle name="Lien hypertexte visité" xfId="29637" builtinId="9" hidden="1"/>
    <cellStyle name="Lien hypertexte visité" xfId="29639" builtinId="9" hidden="1"/>
    <cellStyle name="Lien hypertexte visité" xfId="29641" builtinId="9" hidden="1"/>
    <cellStyle name="Lien hypertexte visité" xfId="29643" builtinId="9" hidden="1"/>
    <cellStyle name="Lien hypertexte visité" xfId="29645" builtinId="9" hidden="1"/>
    <cellStyle name="Lien hypertexte visité" xfId="29647" builtinId="9" hidden="1"/>
    <cellStyle name="Lien hypertexte visité" xfId="29649" builtinId="9" hidden="1"/>
    <cellStyle name="Lien hypertexte visité" xfId="29651" builtinId="9" hidden="1"/>
    <cellStyle name="Lien hypertexte visité" xfId="29653" builtinId="9" hidden="1"/>
    <cellStyle name="Lien hypertexte visité" xfId="29655" builtinId="9" hidden="1"/>
    <cellStyle name="Lien hypertexte visité" xfId="29657" builtinId="9" hidden="1"/>
    <cellStyle name="Lien hypertexte visité" xfId="29659" builtinId="9" hidden="1"/>
    <cellStyle name="Lien hypertexte visité" xfId="29661" builtinId="9" hidden="1"/>
    <cellStyle name="Lien hypertexte visité" xfId="29663" builtinId="9" hidden="1"/>
    <cellStyle name="Lien hypertexte visité" xfId="29665" builtinId="9" hidden="1"/>
    <cellStyle name="Lien hypertexte visité" xfId="29667" builtinId="9" hidden="1"/>
    <cellStyle name="Lien hypertexte visité" xfId="29669" builtinId="9" hidden="1"/>
    <cellStyle name="Lien hypertexte visité" xfId="29671" builtinId="9" hidden="1"/>
    <cellStyle name="Neutre" xfId="300" builtinId="28"/>
    <cellStyle name="Normal" xfId="0" builtinId="0"/>
    <cellStyle name="Normal 10" xfId="29689" xr:uid="{97F9851F-AE7E-41D3-B0BC-ADBCB0FFAD9A}"/>
    <cellStyle name="Normal 11" xfId="29690" xr:uid="{8884AF36-BB47-4328-AF96-ABEBDC936F97}"/>
    <cellStyle name="Normal 12" xfId="29691" xr:uid="{A4386937-E8CE-4C6C-B19B-6C0EA7BC0EEA}"/>
    <cellStyle name="Normal 13" xfId="29692" xr:uid="{A3778012-DFD6-4B06-BA5D-F7018CCF6DE9}"/>
    <cellStyle name="Normal 14" xfId="29693" xr:uid="{29CA68FF-A35B-4930-BAF7-2C6E89C20026}"/>
    <cellStyle name="Normal 15" xfId="29694" xr:uid="{52C85E10-1086-4222-907E-99514162A2DA}"/>
    <cellStyle name="Normal 16" xfId="29695" xr:uid="{C65A01C5-CA91-4111-94FC-D622FB678EC4}"/>
    <cellStyle name="Normal 17" xfId="29696" xr:uid="{7632CDF5-6A14-4C74-A3B8-56DFE9CFC7E7}"/>
    <cellStyle name="Normal 18" xfId="29697" xr:uid="{05BB8F40-4F85-4777-B0BF-13316742D4A8}"/>
    <cellStyle name="Normal 19" xfId="29698" xr:uid="{1BE80CE3-5962-4F2D-AAC7-D907B5EB9309}"/>
    <cellStyle name="Normal 2" xfId="29674" xr:uid="{F4377E00-EF8B-42B1-AA61-905CE6668A6F}"/>
    <cellStyle name="Normal 20" xfId="29699" xr:uid="{98DD6DAC-CF03-4445-9646-15795B309233}"/>
    <cellStyle name="Normal 21" xfId="29700" xr:uid="{EFE3E87D-9D69-48D2-88CF-06C89588CA32}"/>
    <cellStyle name="Normal 22" xfId="29701" xr:uid="{A9FFC618-A433-4A8F-9433-D0D9411770A6}"/>
    <cellStyle name="Normal 23" xfId="29702" xr:uid="{97F23BF1-4916-4BBD-B9AD-D3D19E5ACC08}"/>
    <cellStyle name="Normal 24" xfId="29703" xr:uid="{02F50175-EBAE-41C7-9558-403799CEAD7D}"/>
    <cellStyle name="Normal 25" xfId="29704" xr:uid="{38FD3E36-B1F9-4546-923C-AE9204E1AEB1}"/>
    <cellStyle name="Normal 26" xfId="29705" xr:uid="{21DD9696-D928-40A8-9350-64B0C3FACC76}"/>
    <cellStyle name="Normal 27" xfId="29706" xr:uid="{0D2B7440-2D4F-416D-910C-603EC1992A41}"/>
    <cellStyle name="Normal 28" xfId="29707" xr:uid="{9AA5B1AE-D5B4-4B5C-8D8F-ACB386A733B5}"/>
    <cellStyle name="Normal 29" xfId="29708" xr:uid="{C31E138E-04BB-4CE8-A78F-60BF7B36CFA9}"/>
    <cellStyle name="Normal 3" xfId="29676" xr:uid="{A3029D5E-29F3-46D6-A617-93E6480C7852}"/>
    <cellStyle name="Normal 3 2" xfId="29681" xr:uid="{D2C49671-E6A5-4EA9-8430-81D76251F744}"/>
    <cellStyle name="Normal 30" xfId="29709" xr:uid="{4218335C-B45A-41FB-9CC4-627ACBB6B8E5}"/>
    <cellStyle name="Normal 31" xfId="29710" xr:uid="{35709B9E-34FA-4D8C-9DCE-6E858551267C}"/>
    <cellStyle name="Normal 4" xfId="29682" xr:uid="{AF18BCA2-1CDE-4EBF-8240-5AC22E450A38}"/>
    <cellStyle name="Normal 5" xfId="29684" xr:uid="{2B12A75E-6778-43B2-B5F6-931E1E533DBE}"/>
    <cellStyle name="Normal 6" xfId="29685" xr:uid="{D72C05E0-123A-4F7A-B6C3-DBE426EB5C5E}"/>
    <cellStyle name="Normal 7" xfId="29686" xr:uid="{8AF7A961-D4A4-41A5-B629-C68813F871B0}"/>
    <cellStyle name="Normal 8" xfId="29687" xr:uid="{61F92A83-21FB-4F9A-8202-2FB4083FCCDD}"/>
    <cellStyle name="Normal 9" xfId="29688" xr:uid="{FC9988B8-D28D-49B8-9DA0-1A1EC14045E1}"/>
    <cellStyle name="Note" xfId="7845" builtinId="10"/>
    <cellStyle name="Note 2" xfId="29679" xr:uid="{1840B8E4-63C8-4E64-8D8F-7D6FCBBA3753}"/>
    <cellStyle name="Pourcentage" xfId="123" builtinId="5"/>
    <cellStyle name="Pourcentage 2" xfId="29675" xr:uid="{111323F5-8BDB-4497-8346-711BB8DBAA4C}"/>
    <cellStyle name="Pourcentage 2 2" xfId="29680" xr:uid="{3974E6DF-855A-4923-B793-DFB91995D358}"/>
    <cellStyle name="Pourcentage 3" xfId="29677" xr:uid="{86A151B0-D525-4D40-8335-C4F8012A3F35}"/>
    <cellStyle name="Pourcentage 4" xfId="29678" xr:uid="{1AF430A4-0711-4A29-B0E2-021E9618893C}"/>
    <cellStyle name="Satisfaisant" xfId="320" builtinId="26"/>
    <cellStyle name="Satisfaisant 2" xfId="29683" xr:uid="{850C738E-539D-49AF-9625-299B003110F7}"/>
    <cellStyle name="Sortie" xfId="7751" builtinId="21"/>
    <cellStyle name="Sortie 2" xfId="29673" xr:uid="{E105267D-CD10-4AB8-AB47-6C0FAAA93EC3}"/>
    <cellStyle name="Texte explicatif" xfId="7726" builtinId="53"/>
    <cellStyle name="Titre 2" xfId="29672" xr:uid="{311EF44F-99DB-4F0C-B13E-0729045D1BF6}"/>
  </cellStyles>
  <dxfs count="10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fgColor auto="1"/>
          <bgColor rgb="FF92D050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E3BD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D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chakzouhair/Library/Containers/com.microsoft.Excel/Data/Documents/Macintosh%20HD:Users:fzarrouk:Desktop:BD1_LACQ2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chakzouhair/Library/Containers/com.microsoft.Excel/Data/Documents/Macintosh%20HD:Users:asmaabenhida:Downloads:BD1_LACQ2%20(1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cintosh%20HD:Users:rachakzouhair:Library:Containers:com.microsoft.Excel:Data:Documents:Macintosh%20HD:Users:asmaabenhida:Downloads:BD1_LACQ2%20(1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Macintosh%20HD:/Users/mac/Library/Containers/com.microsoft.Excel/Data/Documents/Macintosh%20HD:Users:fzarrouk:Desktop:FATIMAZ:BD1_LACQ2020xlsx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Macintosh%20HD:/Users/mac/Library/Containers/com.microsoft.Excel/Data/Documents/Macintosh%20HD:Users:rachakzouhair:Library:Containers:com.microsoft.Excel:Data:Documents:Macintosh%20HD:Users:asmaabenhida:Downloads:BD1_LACQ2%20(11).xlsx?2928C0DA" TargetMode="External"/><Relationship Id="rId1" Type="http://schemas.openxmlformats.org/officeDocument/2006/relationships/externalLinkPath" Target="file:///\\2928C0DA\BD1_LACQ2%20(11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Macintosh%20HD:/Users/mac/Library/Containers/com.microsoft.Excel/Data/Documents/Macintosh%20HD:Users:rachakzouhair:Library:Containers:com.microsoft.Excel:Data:Documents:Macintosh%20HD:Users:fzarrouk:Desktop:BD1_LACQ2%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enhida/Library/Containers/com.microsoft.Excel/Data/Documents/Macintosh%20HD:Users:fzarrouk:Desktop:FATIMAZ:BD1_LACQ2020xls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  <sheetName val="TCD"/>
      <sheetName val="Feuil3"/>
      <sheetName val="Feuil6"/>
      <sheetName val="Feuil7"/>
      <sheetName val="Feuil9"/>
      <sheetName val="Feuil10"/>
      <sheetName val="TCD 2021"/>
      <sheetName val="Feuil4"/>
      <sheetName val="Feuil5"/>
      <sheetName val="BD1"/>
      <sheetName val="DATA"/>
      <sheetName val="Feuil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B6:BK873"/>
  <sheetViews>
    <sheetView topLeftCell="K178" workbookViewId="0">
      <selection activeCell="AD193" sqref="AD193:AD194"/>
    </sheetView>
  </sheetViews>
  <sheetFormatPr baseColWidth="10" defaultRowHeight="15.75" x14ac:dyDescent="0.25"/>
  <cols>
    <col min="18" max="27" width="0" hidden="1" customWidth="1"/>
  </cols>
  <sheetData>
    <row r="6" spans="2:63" x14ac:dyDescent="0.25">
      <c r="O6" t="s">
        <v>140</v>
      </c>
      <c r="AD6" t="s">
        <v>72</v>
      </c>
    </row>
    <row r="7" spans="2:63" x14ac:dyDescent="0.25">
      <c r="O7" t="s">
        <v>61</v>
      </c>
      <c r="AD7" t="s">
        <v>141</v>
      </c>
    </row>
    <row r="8" spans="2:63" s="17" customFormat="1" ht="18.75" x14ac:dyDescent="0.3">
      <c r="B8" s="16"/>
      <c r="C8" s="16"/>
      <c r="H8" s="18"/>
      <c r="J8" s="19"/>
      <c r="K8" s="18"/>
      <c r="L8" s="18"/>
      <c r="M8" s="20"/>
      <c r="N8" s="18"/>
      <c r="O8" s="736">
        <v>5.4</v>
      </c>
      <c r="P8" s="18"/>
      <c r="Q8" s="18"/>
      <c r="R8" s="18"/>
      <c r="S8" s="21"/>
      <c r="T8" s="16"/>
      <c r="U8" s="16"/>
      <c r="V8" s="16"/>
      <c r="W8" s="18"/>
      <c r="X8" s="16"/>
      <c r="Y8" s="18"/>
      <c r="Z8" s="18"/>
      <c r="AA8" s="18"/>
      <c r="AB8" s="17">
        <f t="shared" ref="AB8" si="0">-0.0007*POWER(O8,2)+0.0546*O8+1.0863</f>
        <v>1.3607280000000002</v>
      </c>
      <c r="AC8" s="17">
        <f t="shared" ref="AC8" si="1">O8/AB8</f>
        <v>3.9684639398909991</v>
      </c>
      <c r="AD8" s="22">
        <f ca="1">IF(AC8&lt;6.5,O8/(6.5+AF8),AB8)</f>
        <v>0.82066010830339209</v>
      </c>
      <c r="AE8" s="17">
        <f t="shared" ref="AE8" ca="1" si="2">O8/AD8</f>
        <v>6.5800688316187284</v>
      </c>
      <c r="AF8" s="17">
        <f t="shared" ref="AF8:AF71" ca="1" si="3">RAND()</f>
        <v>8.0068831618728242E-2</v>
      </c>
      <c r="AG8" s="17">
        <v>1.2568232773609</v>
      </c>
      <c r="AH8" s="16"/>
      <c r="AI8" s="18"/>
      <c r="AJ8" s="23"/>
      <c r="AK8" s="23"/>
      <c r="AL8" s="23"/>
      <c r="AM8" s="23"/>
      <c r="AN8" s="16"/>
      <c r="AR8" s="16"/>
      <c r="BK8" s="18"/>
    </row>
    <row r="9" spans="2:63" ht="18.75" x14ac:dyDescent="0.3">
      <c r="N9" s="18"/>
      <c r="O9" s="1263">
        <v>9.9</v>
      </c>
      <c r="AB9" s="17">
        <f t="shared" ref="AB9:AB10" si="4">-0.0007*POWER(O9,2)+0.0546*O9+1.0863</f>
        <v>1.558233</v>
      </c>
      <c r="AC9" s="17">
        <f t="shared" ref="AC9:AC10" si="5">O9/AB9</f>
        <v>6.35335023709548</v>
      </c>
      <c r="AD9" s="22">
        <f t="shared" ref="AD9:AD10" ca="1" si="6">IF(AC9&lt;6.5,O9/(6.5+AF9),AB9)</f>
        <v>1.3395631206298022</v>
      </c>
      <c r="AE9" s="17">
        <f t="shared" ref="AE9:AE10" ca="1" si="7">O9/AD9</f>
        <v>7.3904692115930057</v>
      </c>
      <c r="AF9" s="17">
        <f t="shared" ca="1" si="3"/>
        <v>0.89046921159300596</v>
      </c>
      <c r="AG9" s="17">
        <v>2.2568232773608998</v>
      </c>
    </row>
    <row r="10" spans="2:63" ht="18.75" x14ac:dyDescent="0.3">
      <c r="N10" s="18"/>
      <c r="O10" s="1263">
        <v>23.3</v>
      </c>
      <c r="AB10" s="17">
        <f t="shared" si="4"/>
        <v>1.9784570000000001</v>
      </c>
      <c r="AC10" s="17">
        <f t="shared" si="5"/>
        <v>11.776854387029893</v>
      </c>
      <c r="AD10" s="22">
        <f t="shared" si="6"/>
        <v>1.9784570000000001</v>
      </c>
      <c r="AE10" s="17">
        <f t="shared" si="7"/>
        <v>11.776854387029893</v>
      </c>
      <c r="AF10" s="17">
        <f t="shared" ca="1" si="3"/>
        <v>0.37391609975258033</v>
      </c>
      <c r="AG10" s="17">
        <v>3.2568232773608998</v>
      </c>
    </row>
    <row r="11" spans="2:63" ht="18.75" x14ac:dyDescent="0.3">
      <c r="N11" s="18"/>
      <c r="O11" s="138">
        <v>10.199999999999999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7">
        <f t="shared" ref="AB11:AB18" si="8">-0.0007*POWER(O11,2)+0.0546*O11+1.0863</f>
        <v>1.570392</v>
      </c>
      <c r="AC11" s="17">
        <f t="shared" ref="AC11:AC18" si="9">O11/AB11</f>
        <v>6.4951935567679913</v>
      </c>
      <c r="AD11" s="22">
        <f t="shared" ref="AD11:AD18" ca="1" si="10">IF(AC11&lt;6.5,O11/(6.5+AF11),AB11)</f>
        <v>1.5502055188494057</v>
      </c>
      <c r="AE11" s="17">
        <f t="shared" ref="AE11:AE18" ca="1" si="11">O11/AD11</f>
        <v>6.5797727307606593</v>
      </c>
      <c r="AF11" s="17">
        <f t="shared" ca="1" si="3"/>
        <v>7.9772730760659161E-2</v>
      </c>
      <c r="AG11" s="17">
        <v>4.2568232773609003</v>
      </c>
    </row>
    <row r="12" spans="2:63" ht="18.75" x14ac:dyDescent="0.3">
      <c r="N12" s="18"/>
      <c r="O12" s="138">
        <v>12.9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7">
        <f t="shared" si="8"/>
        <v>1.674153</v>
      </c>
      <c r="AC12" s="17">
        <f t="shared" si="9"/>
        <v>7.7053889339863204</v>
      </c>
      <c r="AD12" s="22">
        <f t="shared" si="10"/>
        <v>1.674153</v>
      </c>
      <c r="AE12" s="17">
        <f t="shared" si="11"/>
        <v>7.7053889339863204</v>
      </c>
      <c r="AF12" s="17">
        <f t="shared" ca="1" si="3"/>
        <v>0.24646574430391122</v>
      </c>
      <c r="AG12" s="17">
        <v>5.2568232773609003</v>
      </c>
    </row>
    <row r="13" spans="2:63" ht="18.75" x14ac:dyDescent="0.3">
      <c r="N13" s="18"/>
      <c r="O13" s="138">
        <v>9.8000000000000007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7">
        <f t="shared" si="8"/>
        <v>1.5541520000000002</v>
      </c>
      <c r="AC13" s="17">
        <f t="shared" si="9"/>
        <v>6.3056895335848742</v>
      </c>
      <c r="AD13" s="22">
        <f t="shared" ca="1" si="10"/>
        <v>1.4337895094330004</v>
      </c>
      <c r="AE13" s="17">
        <f t="shared" ca="1" si="11"/>
        <v>6.8350339680442094</v>
      </c>
      <c r="AF13" s="17">
        <f t="shared" ca="1" si="3"/>
        <v>0.33503396804420904</v>
      </c>
      <c r="AG13" s="17">
        <v>6.2568232773609003</v>
      </c>
    </row>
    <row r="14" spans="2:63" ht="18.75" x14ac:dyDescent="0.3">
      <c r="N14" s="18"/>
      <c r="O14" s="138">
        <v>12.1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7">
        <f t="shared" si="8"/>
        <v>1.6444730000000001</v>
      </c>
      <c r="AC14" s="17">
        <f t="shared" si="9"/>
        <v>7.3579803377738635</v>
      </c>
      <c r="AD14" s="22">
        <f t="shared" si="10"/>
        <v>1.6444730000000001</v>
      </c>
      <c r="AE14" s="17">
        <f t="shared" si="11"/>
        <v>7.3579803377738635</v>
      </c>
      <c r="AF14" s="17">
        <f t="shared" ca="1" si="3"/>
        <v>0.18894236811800513</v>
      </c>
      <c r="AG14" s="17">
        <v>7.2568232773609003</v>
      </c>
    </row>
    <row r="15" spans="2:63" ht="18.75" x14ac:dyDescent="0.3">
      <c r="N15" s="18"/>
      <c r="O15" s="138">
        <v>10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7">
        <f t="shared" si="8"/>
        <v>1.5623</v>
      </c>
      <c r="AC15" s="17">
        <f t="shared" si="9"/>
        <v>6.4008193048710238</v>
      </c>
      <c r="AD15" s="22">
        <f t="shared" ca="1" si="10"/>
        <v>1.3458769737246716</v>
      </c>
      <c r="AE15" s="17">
        <f t="shared" ca="1" si="11"/>
        <v>7.4300996266585342</v>
      </c>
      <c r="AF15" s="17">
        <f t="shared" ca="1" si="3"/>
        <v>0.93009962665853385</v>
      </c>
      <c r="AG15" s="17">
        <v>8.2568232773608994</v>
      </c>
    </row>
    <row r="16" spans="2:63" ht="18.75" x14ac:dyDescent="0.3">
      <c r="N16" s="18"/>
      <c r="O16" s="138">
        <v>6.1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7">
        <f t="shared" si="8"/>
        <v>1.393313</v>
      </c>
      <c r="AC16" s="17">
        <f t="shared" si="9"/>
        <v>4.3780543208884142</v>
      </c>
      <c r="AD16" s="22">
        <f t="shared" ca="1" si="10"/>
        <v>0.87852738017768661</v>
      </c>
      <c r="AE16" s="17">
        <f t="shared" ca="1" si="11"/>
        <v>6.9434375497394782</v>
      </c>
      <c r="AF16" s="17">
        <f t="shared" ca="1" si="3"/>
        <v>0.44343754973947846</v>
      </c>
      <c r="AG16" s="17">
        <v>9.2568232773608994</v>
      </c>
    </row>
    <row r="17" spans="14:33" ht="18.75" x14ac:dyDescent="0.3">
      <c r="N17" s="18"/>
      <c r="O17" s="138">
        <v>6.7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7">
        <f t="shared" si="8"/>
        <v>1.4206970000000001</v>
      </c>
      <c r="AC17" s="17">
        <f t="shared" si="9"/>
        <v>4.7159950362392538</v>
      </c>
      <c r="AD17" s="22">
        <f t="shared" ca="1" si="10"/>
        <v>0.93434407690078081</v>
      </c>
      <c r="AE17" s="17">
        <f t="shared" ca="1" si="11"/>
        <v>7.1708058793757212</v>
      </c>
      <c r="AF17" s="17">
        <f t="shared" ca="1" si="3"/>
        <v>0.67080587937572156</v>
      </c>
      <c r="AG17" s="17">
        <v>10.256823277360899</v>
      </c>
    </row>
    <row r="18" spans="14:33" ht="18.75" x14ac:dyDescent="0.3">
      <c r="N18" s="18"/>
      <c r="O18" s="138">
        <v>12.8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7">
        <f t="shared" si="8"/>
        <v>1.6704920000000001</v>
      </c>
      <c r="AC18" s="17">
        <f t="shared" si="9"/>
        <v>7.6624132291564404</v>
      </c>
      <c r="AD18" s="22">
        <f t="shared" si="10"/>
        <v>1.6704920000000001</v>
      </c>
      <c r="AE18" s="17">
        <f t="shared" si="11"/>
        <v>7.6624132291564404</v>
      </c>
      <c r="AF18" s="17">
        <f t="shared" ca="1" si="3"/>
        <v>0.75279349570787624</v>
      </c>
      <c r="AG18" s="17">
        <v>11.256823277360899</v>
      </c>
    </row>
    <row r="19" spans="14:33" ht="18" x14ac:dyDescent="0.25">
      <c r="N19" s="18"/>
      <c r="O19" s="1048">
        <v>3.5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7">
        <f t="shared" ref="AB19:AB20" si="12">-0.0007*POWER(O19,2)+0.0546*O19+1.0863</f>
        <v>1.2688250000000001</v>
      </c>
      <c r="AC19" s="17">
        <f t="shared" ref="AC19:AC20" si="13">O19/AB19</f>
        <v>2.7584576281205049</v>
      </c>
      <c r="AD19" s="22">
        <f t="shared" ref="AD19:AD20" ca="1" si="14">IF(AC19&lt;6.5,O19/(6.5+AF19),AB19)</f>
        <v>0.46693720409384909</v>
      </c>
      <c r="AE19" s="17">
        <f t="shared" ref="AE19:AE20" ca="1" si="15">O19/AD19</f>
        <v>7.4956545961939236</v>
      </c>
      <c r="AF19" s="17">
        <f t="shared" ca="1" si="3"/>
        <v>0.99565459619392394</v>
      </c>
      <c r="AG19" s="17">
        <v>12.256823277360899</v>
      </c>
    </row>
    <row r="20" spans="14:33" ht="18" x14ac:dyDescent="0.25">
      <c r="N20" s="18"/>
      <c r="O20" s="1048">
        <v>4.0999999999999996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7">
        <f t="shared" si="12"/>
        <v>1.2983930000000001</v>
      </c>
      <c r="AC20" s="17">
        <f t="shared" si="13"/>
        <v>3.1577496181818594</v>
      </c>
      <c r="AD20" s="22">
        <f t="shared" ca="1" si="14"/>
        <v>0.57305458756736349</v>
      </c>
      <c r="AE20" s="17">
        <f t="shared" ca="1" si="15"/>
        <v>7.154641266209282</v>
      </c>
      <c r="AF20" s="17">
        <f t="shared" ca="1" si="3"/>
        <v>0.65464126620928265</v>
      </c>
      <c r="AG20" s="17">
        <v>13.256823277360899</v>
      </c>
    </row>
    <row r="21" spans="14:33" ht="18.75" x14ac:dyDescent="0.3">
      <c r="N21" s="18"/>
      <c r="O21" s="138">
        <v>12.3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7">
        <f t="shared" ref="AB21" si="16">-0.0007*POWER(O21,2)+0.0546*O21+1.0863</f>
        <v>1.651977</v>
      </c>
      <c r="AC21" s="17">
        <f t="shared" ref="AC21" si="17">O21/AB21</f>
        <v>7.445624242952535</v>
      </c>
      <c r="AD21" s="22">
        <f t="shared" ref="AD21" si="18">IF(AC21&lt;6.5,O21/(6.5+AF21),AB21)</f>
        <v>1.651977</v>
      </c>
      <c r="AE21" s="17">
        <f t="shared" ref="AE21" si="19">O21/AD21</f>
        <v>7.445624242952535</v>
      </c>
      <c r="AF21" s="17">
        <f t="shared" ca="1" si="3"/>
        <v>0.43232625268893676</v>
      </c>
      <c r="AG21" s="17">
        <v>14.256823277360899</v>
      </c>
    </row>
    <row r="22" spans="14:33" ht="18.75" x14ac:dyDescent="0.3">
      <c r="N22" s="18"/>
      <c r="O22" s="138">
        <v>7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7">
        <f t="shared" ref="AB22:AB33" si="20">-0.0007*POWER(O22,2)+0.0546*O22+1.0863</f>
        <v>1.4342000000000001</v>
      </c>
      <c r="AC22" s="17">
        <f t="shared" ref="AC22:AC33" si="21">O22/AB22</f>
        <v>4.8807697671175561</v>
      </c>
      <c r="AD22" s="22">
        <f t="shared" ref="AD22:AD33" ca="1" si="22">IF(AC22&lt;6.5,O22/(6.5+AF22),AB22)</f>
        <v>1.0077158659577052</v>
      </c>
      <c r="AE22" s="17">
        <f t="shared" ref="AE22:AE33" ca="1" si="23">O22/AD22</f>
        <v>6.9464024895027272</v>
      </c>
      <c r="AF22" s="17">
        <f t="shared" ca="1" si="3"/>
        <v>0.44640248950272676</v>
      </c>
      <c r="AG22" s="17">
        <v>15.256823277360899</v>
      </c>
    </row>
    <row r="23" spans="14:33" ht="18.75" x14ac:dyDescent="0.3">
      <c r="N23" s="18"/>
      <c r="O23" s="138">
        <v>9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7">
        <f t="shared" si="20"/>
        <v>1.5209999999999999</v>
      </c>
      <c r="AC23" s="17">
        <f t="shared" si="21"/>
        <v>5.9171597633136095</v>
      </c>
      <c r="AD23" s="22">
        <f t="shared" ca="1" si="22"/>
        <v>1.3024039013570854</v>
      </c>
      <c r="AE23" s="17">
        <f t="shared" ca="1" si="23"/>
        <v>6.9102987104247262</v>
      </c>
      <c r="AF23" s="17">
        <f t="shared" ca="1" si="3"/>
        <v>0.41029871042472699</v>
      </c>
      <c r="AG23" s="17">
        <v>16.256823277360901</v>
      </c>
    </row>
    <row r="24" spans="14:33" ht="18.75" x14ac:dyDescent="0.3">
      <c r="N24" s="18"/>
      <c r="O24" s="138">
        <v>9.6999999999999993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7">
        <f t="shared" si="20"/>
        <v>1.550057</v>
      </c>
      <c r="AC24" s="17">
        <f t="shared" si="21"/>
        <v>6.2578343893160051</v>
      </c>
      <c r="AD24" s="22">
        <f t="shared" ca="1" si="22"/>
        <v>1.3583424434438474</v>
      </c>
      <c r="AE24" s="17">
        <f t="shared" ca="1" si="23"/>
        <v>7.141056400628468</v>
      </c>
      <c r="AF24" s="17">
        <f t="shared" ca="1" si="3"/>
        <v>0.64105640062846836</v>
      </c>
      <c r="AG24" s="17">
        <v>17.256823277360901</v>
      </c>
    </row>
    <row r="25" spans="14:33" ht="18.75" x14ac:dyDescent="0.3">
      <c r="N25" s="18"/>
      <c r="O25" s="138">
        <v>18.600000000000001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7">
        <f t="shared" si="20"/>
        <v>1.859688</v>
      </c>
      <c r="AC25" s="17">
        <f t="shared" si="21"/>
        <v>10.001677700775614</v>
      </c>
      <c r="AD25" s="22">
        <f t="shared" si="22"/>
        <v>1.859688</v>
      </c>
      <c r="AE25" s="17">
        <f t="shared" si="23"/>
        <v>10.001677700775614</v>
      </c>
      <c r="AF25" s="17">
        <f t="shared" ca="1" si="3"/>
        <v>1.3539755409508691E-2</v>
      </c>
      <c r="AG25" s="17">
        <v>18.256823277360901</v>
      </c>
    </row>
    <row r="26" spans="14:33" ht="18.75" x14ac:dyDescent="0.3">
      <c r="O26" s="138">
        <v>5.8999999999999995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7">
        <f t="shared" si="20"/>
        <v>1.3840730000000001</v>
      </c>
      <c r="AC26" s="17">
        <f t="shared" si="21"/>
        <v>4.2627809371326508</v>
      </c>
      <c r="AD26" s="22">
        <f t="shared" ca="1" si="22"/>
        <v>0.87614904801261362</v>
      </c>
      <c r="AE26" s="17">
        <f t="shared" ca="1" si="23"/>
        <v>6.7340140509004573</v>
      </c>
      <c r="AF26" s="17">
        <f t="shared" ca="1" si="3"/>
        <v>0.23401405090045735</v>
      </c>
      <c r="AG26" s="17">
        <v>19.256823277360901</v>
      </c>
    </row>
    <row r="27" spans="14:33" ht="18.75" x14ac:dyDescent="0.3">
      <c r="O27" s="138">
        <v>6.8000000000000007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7">
        <f t="shared" si="20"/>
        <v>1.4252120000000001</v>
      </c>
      <c r="AC27" s="17">
        <f t="shared" si="21"/>
        <v>4.7712200009542443</v>
      </c>
      <c r="AD27" s="22">
        <f t="shared" ca="1" si="22"/>
        <v>0.92138127434243744</v>
      </c>
      <c r="AE27" s="17">
        <f t="shared" ca="1" si="23"/>
        <v>7.3802237893894249</v>
      </c>
      <c r="AF27" s="17">
        <f t="shared" ca="1" si="3"/>
        <v>0.88022378938942469</v>
      </c>
      <c r="AG27" s="17">
        <v>20.256823277360901</v>
      </c>
    </row>
    <row r="28" spans="14:33" ht="18.75" x14ac:dyDescent="0.3">
      <c r="O28" s="138">
        <v>17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7">
        <f t="shared" si="20"/>
        <v>1.8122</v>
      </c>
      <c r="AC28" s="17">
        <f t="shared" si="21"/>
        <v>9.3808630393996246</v>
      </c>
      <c r="AD28" s="22">
        <f t="shared" si="22"/>
        <v>1.8122</v>
      </c>
      <c r="AE28" s="17">
        <f t="shared" si="23"/>
        <v>9.3808630393996246</v>
      </c>
      <c r="AF28" s="17">
        <f t="shared" ca="1" si="3"/>
        <v>9.5174616062970729E-3</v>
      </c>
      <c r="AG28" s="17">
        <v>21.256823277360901</v>
      </c>
    </row>
    <row r="29" spans="14:33" ht="18.75" x14ac:dyDescent="0.3">
      <c r="O29" s="138">
        <v>5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7">
        <f t="shared" si="20"/>
        <v>1.3418000000000001</v>
      </c>
      <c r="AC29" s="17">
        <f t="shared" si="21"/>
        <v>3.7263377552541361</v>
      </c>
      <c r="AD29" s="22">
        <f t="shared" ca="1" si="22"/>
        <v>0.69476841118741217</v>
      </c>
      <c r="AE29" s="17">
        <f t="shared" ca="1" si="23"/>
        <v>7.1966426790397957</v>
      </c>
      <c r="AF29" s="17">
        <f t="shared" ca="1" si="3"/>
        <v>0.69664267903979482</v>
      </c>
      <c r="AG29" s="17">
        <v>22.256823277360901</v>
      </c>
    </row>
    <row r="30" spans="14:33" ht="18.75" x14ac:dyDescent="0.3">
      <c r="O30" s="138">
        <v>9.6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7">
        <f t="shared" si="20"/>
        <v>1.5459480000000001</v>
      </c>
      <c r="AC30" s="17">
        <f t="shared" si="21"/>
        <v>6.2097819590309626</v>
      </c>
      <c r="AD30" s="22">
        <f t="shared" ca="1" si="22"/>
        <v>1.3407364149302032</v>
      </c>
      <c r="AE30" s="17">
        <f t="shared" ca="1" si="23"/>
        <v>7.1602440965249396</v>
      </c>
      <c r="AF30" s="17">
        <f t="shared" ca="1" si="3"/>
        <v>0.66024409652494009</v>
      </c>
      <c r="AG30" s="17">
        <v>23.256823277360901</v>
      </c>
    </row>
    <row r="31" spans="14:33" ht="18.75" x14ac:dyDescent="0.3">
      <c r="O31" s="138">
        <v>25.2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7">
        <f t="shared" si="20"/>
        <v>2.0176920000000003</v>
      </c>
      <c r="AC31" s="17">
        <f t="shared" si="21"/>
        <v>12.489517726194086</v>
      </c>
      <c r="AD31" s="22">
        <f t="shared" si="22"/>
        <v>2.0176920000000003</v>
      </c>
      <c r="AE31" s="17">
        <f t="shared" si="23"/>
        <v>12.489517726194086</v>
      </c>
      <c r="AF31" s="17">
        <f t="shared" ca="1" si="3"/>
        <v>0.69774739901514671</v>
      </c>
      <c r="AG31" s="17">
        <v>24.256823277360901</v>
      </c>
    </row>
    <row r="32" spans="14:33" ht="18.75" x14ac:dyDescent="0.3">
      <c r="O32" s="138">
        <v>26.400000000000002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7">
        <f t="shared" si="20"/>
        <v>2.0398680000000002</v>
      </c>
      <c r="AC32" s="17">
        <f t="shared" si="21"/>
        <v>12.942013895016736</v>
      </c>
      <c r="AD32" s="22">
        <f t="shared" si="22"/>
        <v>2.0398680000000002</v>
      </c>
      <c r="AE32" s="17">
        <f t="shared" si="23"/>
        <v>12.942013895016736</v>
      </c>
      <c r="AF32" s="17">
        <f t="shared" ca="1" si="3"/>
        <v>0.48175856819002671</v>
      </c>
      <c r="AG32" s="17">
        <v>25.256823277360901</v>
      </c>
    </row>
    <row r="33" spans="15:33" ht="18.75" x14ac:dyDescent="0.3">
      <c r="O33" s="138">
        <v>5.2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7">
        <f t="shared" si="20"/>
        <v>1.3512919999999999</v>
      </c>
      <c r="AC33" s="17">
        <f t="shared" si="21"/>
        <v>3.8481690115829892</v>
      </c>
      <c r="AD33" s="22">
        <f t="shared" ca="1" si="22"/>
        <v>0.71805286957869718</v>
      </c>
      <c r="AE33" s="17">
        <f t="shared" ca="1" si="23"/>
        <v>7.2418065859843912</v>
      </c>
      <c r="AF33" s="17">
        <f t="shared" ca="1" si="3"/>
        <v>0.74180658598439098</v>
      </c>
      <c r="AG33" s="17">
        <v>26.256823277360901</v>
      </c>
    </row>
    <row r="34" spans="15:33" ht="18" x14ac:dyDescent="0.25">
      <c r="O34" s="730">
        <v>4.0999999999999996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7">
        <f t="shared" ref="AB34:AB39" si="24">-0.0007*POWER(O34,2)+0.0546*O34+1.0863</f>
        <v>1.2983930000000001</v>
      </c>
      <c r="AC34" s="17">
        <f t="shared" ref="AC34:AC39" si="25">O34/AB34</f>
        <v>3.1577496181818594</v>
      </c>
      <c r="AD34" s="22">
        <f t="shared" ref="AD34:AD39" ca="1" si="26">IF(AC34&lt;6.5,O34/(6.5+AF34),AB34)</f>
        <v>0.55576734104551262</v>
      </c>
      <c r="AE34" s="17">
        <f t="shared" ref="AE34:AE39" ca="1" si="27">O34/AD34</f>
        <v>7.3771877136340125</v>
      </c>
      <c r="AF34" s="17">
        <f t="shared" ca="1" si="3"/>
        <v>0.87718771363401216</v>
      </c>
      <c r="AG34" s="17">
        <v>27.256823277360901</v>
      </c>
    </row>
    <row r="35" spans="15:33" ht="18" x14ac:dyDescent="0.25">
      <c r="O35" s="730">
        <v>5.8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7">
        <f t="shared" si="24"/>
        <v>1.379432</v>
      </c>
      <c r="AC35" s="17">
        <f t="shared" si="25"/>
        <v>4.2046291517088195</v>
      </c>
      <c r="AD35" s="22">
        <f t="shared" ca="1" si="26"/>
        <v>0.82713164908680126</v>
      </c>
      <c r="AE35" s="17">
        <f t="shared" ca="1" si="27"/>
        <v>7.0121848274135301</v>
      </c>
      <c r="AF35" s="17">
        <f t="shared" ca="1" si="3"/>
        <v>0.51218482741353011</v>
      </c>
      <c r="AG35" s="17">
        <v>28.256823277360901</v>
      </c>
    </row>
    <row r="36" spans="15:33" ht="18" x14ac:dyDescent="0.25">
      <c r="O36" s="730">
        <v>7.1999999999999993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7">
        <f t="shared" si="24"/>
        <v>1.4431320000000001</v>
      </c>
      <c r="AC36" s="17">
        <f t="shared" si="25"/>
        <v>4.9891486017911033</v>
      </c>
      <c r="AD36" s="22">
        <f t="shared" ca="1" si="26"/>
        <v>1.0535290604789846</v>
      </c>
      <c r="AE36" s="17">
        <f t="shared" ca="1" si="27"/>
        <v>6.8341731330377682</v>
      </c>
      <c r="AF36" s="17">
        <f t="shared" ca="1" si="3"/>
        <v>0.3341731330377683</v>
      </c>
      <c r="AG36" s="17">
        <v>29.256823277360901</v>
      </c>
    </row>
    <row r="37" spans="15:33" ht="18" x14ac:dyDescent="0.25">
      <c r="O37" s="730">
        <v>9.6999999999999993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7">
        <f t="shared" si="24"/>
        <v>1.550057</v>
      </c>
      <c r="AC37" s="17">
        <f t="shared" si="25"/>
        <v>6.2578343893160051</v>
      </c>
      <c r="AD37" s="22">
        <f t="shared" ca="1" si="26"/>
        <v>1.4840099724557074</v>
      </c>
      <c r="AE37" s="17">
        <f t="shared" ca="1" si="27"/>
        <v>6.5363442160355909</v>
      </c>
      <c r="AF37" s="17">
        <f t="shared" ca="1" si="3"/>
        <v>3.6344216035591126E-2</v>
      </c>
      <c r="AG37" s="17">
        <v>30.256823277360901</v>
      </c>
    </row>
    <row r="38" spans="15:33" ht="18" x14ac:dyDescent="0.25">
      <c r="O38" s="730">
        <v>7.8000000000000007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7">
        <f t="shared" si="24"/>
        <v>1.469592</v>
      </c>
      <c r="AC38" s="17">
        <f t="shared" si="25"/>
        <v>5.3075955775480548</v>
      </c>
      <c r="AD38" s="22">
        <f t="shared" ca="1" si="26"/>
        <v>1.0602711608704032</v>
      </c>
      <c r="AE38" s="17">
        <f t="shared" ca="1" si="27"/>
        <v>7.3566086562203434</v>
      </c>
      <c r="AF38" s="17">
        <f t="shared" ca="1" si="3"/>
        <v>0.85660865622034432</v>
      </c>
      <c r="AG38" s="17">
        <v>31.256823277360901</v>
      </c>
    </row>
    <row r="39" spans="15:33" ht="18" x14ac:dyDescent="0.25">
      <c r="O39" s="730">
        <v>7.1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7">
        <f t="shared" si="24"/>
        <v>1.4386730000000001</v>
      </c>
      <c r="AC39" s="17">
        <f t="shared" si="25"/>
        <v>4.9351033904160291</v>
      </c>
      <c r="AD39" s="22">
        <f t="shared" ca="1" si="26"/>
        <v>1.0447752706824054</v>
      </c>
      <c r="AE39" s="17">
        <f t="shared" ca="1" si="27"/>
        <v>6.7957198061957991</v>
      </c>
      <c r="AF39" s="17">
        <f t="shared" ca="1" si="3"/>
        <v>0.29571980619579985</v>
      </c>
      <c r="AG39" s="17">
        <v>32.256823277360901</v>
      </c>
    </row>
    <row r="40" spans="15:33" ht="18.75" x14ac:dyDescent="0.3">
      <c r="O40" s="138">
        <v>16.100000000000001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7">
        <f t="shared" ref="AB40:AB67" si="28">-0.0007*POWER(O40,2)+0.0546*O40+1.0863</f>
        <v>1.7839130000000001</v>
      </c>
      <c r="AC40" s="17">
        <f t="shared" ref="AC40:AC67" si="29">O40/AB40</f>
        <v>9.0251038027078678</v>
      </c>
      <c r="AD40" s="22">
        <f t="shared" ref="AD40:AD67" si="30">IF(AC40&lt;6.5,O40/(6.5+AF40),AB40)</f>
        <v>1.7839130000000001</v>
      </c>
      <c r="AE40" s="17">
        <f t="shared" ref="AE40:AE67" si="31">O40/AD40</f>
        <v>9.0251038027078678</v>
      </c>
      <c r="AF40" s="17">
        <f t="shared" ca="1" si="3"/>
        <v>0.33567342777792686</v>
      </c>
      <c r="AG40" s="17">
        <v>33.256823277360901</v>
      </c>
    </row>
    <row r="41" spans="15:33" ht="18.75" x14ac:dyDescent="0.3">
      <c r="O41" s="138">
        <v>17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7">
        <f t="shared" si="28"/>
        <v>1.8122</v>
      </c>
      <c r="AC41" s="17">
        <f t="shared" si="29"/>
        <v>9.3808630393996246</v>
      </c>
      <c r="AD41" s="22">
        <f t="shared" si="30"/>
        <v>1.8122</v>
      </c>
      <c r="AE41" s="17">
        <f t="shared" si="31"/>
        <v>9.3808630393996246</v>
      </c>
      <c r="AF41" s="17">
        <f t="shared" ca="1" si="3"/>
        <v>0.41006724371570946</v>
      </c>
      <c r="AG41" s="17">
        <v>34.256823277360901</v>
      </c>
    </row>
    <row r="42" spans="15:33" ht="18.75" x14ac:dyDescent="0.3">
      <c r="O42" s="138">
        <v>15.4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7">
        <f t="shared" si="28"/>
        <v>1.761128</v>
      </c>
      <c r="AC42" s="17">
        <f t="shared" si="29"/>
        <v>8.7443956373415226</v>
      </c>
      <c r="AD42" s="22">
        <f t="shared" si="30"/>
        <v>1.761128</v>
      </c>
      <c r="AE42" s="17">
        <f t="shared" si="31"/>
        <v>8.7443956373415226</v>
      </c>
      <c r="AF42" s="17">
        <f t="shared" ca="1" si="3"/>
        <v>0.35917673098702785</v>
      </c>
      <c r="AG42" s="17">
        <v>35.256823277360901</v>
      </c>
    </row>
    <row r="43" spans="15:33" ht="18.75" x14ac:dyDescent="0.3">
      <c r="O43" s="138">
        <v>17.399999999999999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7">
        <f t="shared" si="28"/>
        <v>1.824408</v>
      </c>
      <c r="AC43" s="17">
        <f t="shared" si="29"/>
        <v>9.5373403317678935</v>
      </c>
      <c r="AD43" s="22">
        <f t="shared" si="30"/>
        <v>1.824408</v>
      </c>
      <c r="AE43" s="17">
        <f t="shared" si="31"/>
        <v>9.5373403317678935</v>
      </c>
      <c r="AF43" s="17">
        <f t="shared" ca="1" si="3"/>
        <v>0.51769626990737283</v>
      </c>
      <c r="AG43" s="17">
        <v>36.256823277360901</v>
      </c>
    </row>
    <row r="44" spans="15:33" ht="18.75" x14ac:dyDescent="0.3">
      <c r="O44" s="138">
        <v>17.7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7">
        <f t="shared" si="28"/>
        <v>1.8334170000000001</v>
      </c>
      <c r="AC44" s="17">
        <f t="shared" si="29"/>
        <v>9.6541048763047357</v>
      </c>
      <c r="AD44" s="22">
        <f t="shared" si="30"/>
        <v>1.8334170000000001</v>
      </c>
      <c r="AE44" s="17">
        <f t="shared" si="31"/>
        <v>9.6541048763047357</v>
      </c>
      <c r="AF44" s="17">
        <f t="shared" ca="1" si="3"/>
        <v>0.212611007126558</v>
      </c>
      <c r="AG44" s="17">
        <v>37.256823277360901</v>
      </c>
    </row>
    <row r="45" spans="15:33" ht="18.75" x14ac:dyDescent="0.3">
      <c r="O45" s="138">
        <v>16.100000000000001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7">
        <f t="shared" si="28"/>
        <v>1.7839130000000001</v>
      </c>
      <c r="AC45" s="17">
        <f t="shared" si="29"/>
        <v>9.0251038027078678</v>
      </c>
      <c r="AD45" s="22">
        <f t="shared" si="30"/>
        <v>1.7839130000000001</v>
      </c>
      <c r="AE45" s="17">
        <f t="shared" si="31"/>
        <v>9.0251038027078678</v>
      </c>
      <c r="AF45" s="17">
        <f t="shared" ca="1" si="3"/>
        <v>0.79399751452051581</v>
      </c>
      <c r="AG45" s="17">
        <v>38.256823277360901</v>
      </c>
    </row>
    <row r="46" spans="15:33" ht="18.75" x14ac:dyDescent="0.3">
      <c r="O46" s="138">
        <v>16.599999999999998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7">
        <f t="shared" si="28"/>
        <v>1.799768</v>
      </c>
      <c r="AC46" s="17">
        <f t="shared" si="29"/>
        <v>9.2234110174200215</v>
      </c>
      <c r="AD46" s="22">
        <f t="shared" si="30"/>
        <v>1.799768</v>
      </c>
      <c r="AE46" s="17">
        <f t="shared" si="31"/>
        <v>9.2234110174200215</v>
      </c>
      <c r="AF46" s="17">
        <f t="shared" ca="1" si="3"/>
        <v>0.29579476341906497</v>
      </c>
      <c r="AG46" s="17">
        <v>39.256823277360901</v>
      </c>
    </row>
    <row r="47" spans="15:33" ht="18.75" x14ac:dyDescent="0.3">
      <c r="O47" s="138">
        <v>25.2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7">
        <f t="shared" si="28"/>
        <v>2.0176920000000003</v>
      </c>
      <c r="AC47" s="17">
        <f t="shared" si="29"/>
        <v>12.489517726194086</v>
      </c>
      <c r="AD47" s="22">
        <f t="shared" si="30"/>
        <v>2.0176920000000003</v>
      </c>
      <c r="AE47" s="17">
        <f t="shared" si="31"/>
        <v>12.489517726194086</v>
      </c>
      <c r="AF47" s="17">
        <f t="shared" ca="1" si="3"/>
        <v>0.63093293695601205</v>
      </c>
      <c r="AG47" s="17">
        <v>40.256823277360901</v>
      </c>
    </row>
    <row r="48" spans="15:33" ht="18.75" x14ac:dyDescent="0.3">
      <c r="O48" s="138">
        <v>20.8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7">
        <f t="shared" si="28"/>
        <v>1.9191320000000001</v>
      </c>
      <c r="AC48" s="17">
        <f t="shared" si="29"/>
        <v>10.838233117888713</v>
      </c>
      <c r="AD48" s="22">
        <f t="shared" si="30"/>
        <v>1.9191320000000001</v>
      </c>
      <c r="AE48" s="17">
        <f t="shared" si="31"/>
        <v>10.838233117888713</v>
      </c>
      <c r="AF48" s="17">
        <f t="shared" ca="1" si="3"/>
        <v>0.4449551776205779</v>
      </c>
      <c r="AG48" s="17">
        <v>41.256823277360901</v>
      </c>
    </row>
    <row r="49" spans="15:33" ht="18.75" x14ac:dyDescent="0.3">
      <c r="O49" s="138">
        <v>17.899999999999999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7">
        <f t="shared" si="28"/>
        <v>1.839353</v>
      </c>
      <c r="AC49" s="17">
        <f t="shared" si="29"/>
        <v>9.7316828254282886</v>
      </c>
      <c r="AD49" s="22">
        <f t="shared" si="30"/>
        <v>1.839353</v>
      </c>
      <c r="AE49" s="17">
        <f t="shared" si="31"/>
        <v>9.7316828254282886</v>
      </c>
      <c r="AF49" s="17">
        <f t="shared" ca="1" si="3"/>
        <v>0.32057084656419099</v>
      </c>
      <c r="AG49" s="17">
        <v>42.256823277360901</v>
      </c>
    </row>
    <row r="50" spans="15:33" ht="18.75" x14ac:dyDescent="0.3">
      <c r="O50" s="138">
        <v>18.5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7">
        <f t="shared" si="28"/>
        <v>1.8568250000000002</v>
      </c>
      <c r="AC50" s="17">
        <f t="shared" si="29"/>
        <v>9.9632437090194266</v>
      </c>
      <c r="AD50" s="22">
        <f t="shared" si="30"/>
        <v>1.8568250000000002</v>
      </c>
      <c r="AE50" s="17">
        <f t="shared" si="31"/>
        <v>9.9632437090194266</v>
      </c>
      <c r="AF50" s="17">
        <f t="shared" ca="1" si="3"/>
        <v>0.67239015076227238</v>
      </c>
      <c r="AG50" s="17">
        <v>43.256823277360901</v>
      </c>
    </row>
    <row r="51" spans="15:33" ht="18.75" x14ac:dyDescent="0.3">
      <c r="O51" s="138">
        <v>13.799999999999999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7">
        <f t="shared" si="28"/>
        <v>1.706472</v>
      </c>
      <c r="AC51" s="17">
        <f t="shared" si="29"/>
        <v>8.0868599074581944</v>
      </c>
      <c r="AD51" s="22">
        <f t="shared" si="30"/>
        <v>1.706472</v>
      </c>
      <c r="AE51" s="17">
        <f t="shared" si="31"/>
        <v>8.0868599074581944</v>
      </c>
      <c r="AF51" s="17">
        <f t="shared" ca="1" si="3"/>
        <v>0.42224861007298609</v>
      </c>
      <c r="AG51" s="17">
        <v>44.256823277360901</v>
      </c>
    </row>
    <row r="52" spans="15:33" ht="18.75" x14ac:dyDescent="0.3">
      <c r="O52" s="138">
        <v>11.6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7">
        <f t="shared" si="28"/>
        <v>1.6254680000000001</v>
      </c>
      <c r="AC52" s="17">
        <f t="shared" si="29"/>
        <v>7.1364062534605406</v>
      </c>
      <c r="AD52" s="22">
        <f t="shared" si="30"/>
        <v>1.6254680000000001</v>
      </c>
      <c r="AE52" s="17">
        <f t="shared" si="31"/>
        <v>7.1364062534605406</v>
      </c>
      <c r="AF52" s="17">
        <f t="shared" ca="1" si="3"/>
        <v>0.93178692634107141</v>
      </c>
      <c r="AG52" s="17">
        <v>45.256823277360901</v>
      </c>
    </row>
    <row r="53" spans="15:33" ht="18.75" x14ac:dyDescent="0.3">
      <c r="O53" s="138">
        <v>15.1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7">
        <f t="shared" si="28"/>
        <v>1.751153</v>
      </c>
      <c r="AC53" s="17">
        <f t="shared" si="29"/>
        <v>8.6228901757870382</v>
      </c>
      <c r="AD53" s="22">
        <f t="shared" si="30"/>
        <v>1.751153</v>
      </c>
      <c r="AE53" s="17">
        <f t="shared" si="31"/>
        <v>8.6228901757870382</v>
      </c>
      <c r="AF53" s="17">
        <f t="shared" ca="1" si="3"/>
        <v>0.46061471783534458</v>
      </c>
      <c r="AG53" s="17">
        <v>46.256823277360901</v>
      </c>
    </row>
    <row r="54" spans="15:33" ht="18.75" x14ac:dyDescent="0.3">
      <c r="O54" s="138">
        <v>15.3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7">
        <f t="shared" si="28"/>
        <v>1.7578170000000002</v>
      </c>
      <c r="AC54" s="17">
        <f t="shared" si="29"/>
        <v>8.7039777178170414</v>
      </c>
      <c r="AD54" s="22">
        <f t="shared" si="30"/>
        <v>1.7578170000000002</v>
      </c>
      <c r="AE54" s="17">
        <f t="shared" si="31"/>
        <v>8.7039777178170414</v>
      </c>
      <c r="AF54" s="17">
        <f t="shared" ca="1" si="3"/>
        <v>7.6589588102092376E-2</v>
      </c>
      <c r="AG54" s="17">
        <v>47.256823277360901</v>
      </c>
    </row>
    <row r="55" spans="15:33" ht="18.75" x14ac:dyDescent="0.3">
      <c r="O55" s="138">
        <v>12.9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7">
        <f t="shared" si="28"/>
        <v>1.674153</v>
      </c>
      <c r="AC55" s="17">
        <f t="shared" si="29"/>
        <v>7.7053889339863204</v>
      </c>
      <c r="AD55" s="22">
        <f t="shared" si="30"/>
        <v>1.674153</v>
      </c>
      <c r="AE55" s="17">
        <f t="shared" si="31"/>
        <v>7.7053889339863204</v>
      </c>
      <c r="AF55" s="17">
        <f t="shared" ca="1" si="3"/>
        <v>0.58745684230744122</v>
      </c>
      <c r="AG55" s="17">
        <v>48.256823277360901</v>
      </c>
    </row>
    <row r="56" spans="15:33" ht="18.75" x14ac:dyDescent="0.3">
      <c r="O56" s="138">
        <v>17.2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7">
        <f t="shared" si="28"/>
        <v>1.8183320000000001</v>
      </c>
      <c r="AC56" s="17">
        <f t="shared" si="29"/>
        <v>9.4592186685379787</v>
      </c>
      <c r="AD56" s="22">
        <f t="shared" si="30"/>
        <v>1.8183320000000001</v>
      </c>
      <c r="AE56" s="17">
        <f t="shared" si="31"/>
        <v>9.4592186685379787</v>
      </c>
      <c r="AF56" s="17">
        <f t="shared" ca="1" si="3"/>
        <v>0.70604524638820498</v>
      </c>
      <c r="AG56" s="17">
        <v>49.256823277360901</v>
      </c>
    </row>
    <row r="57" spans="15:33" ht="18.75" x14ac:dyDescent="0.3">
      <c r="O57" s="138">
        <v>12.3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7">
        <f t="shared" si="28"/>
        <v>1.651977</v>
      </c>
      <c r="AC57" s="17">
        <f t="shared" si="29"/>
        <v>7.445624242952535</v>
      </c>
      <c r="AD57" s="22">
        <f t="shared" si="30"/>
        <v>1.651977</v>
      </c>
      <c r="AE57" s="17">
        <f t="shared" si="31"/>
        <v>7.445624242952535</v>
      </c>
      <c r="AF57" s="17">
        <f t="shared" ca="1" si="3"/>
        <v>0.46751691779613891</v>
      </c>
      <c r="AG57" s="17">
        <v>50.256823277360901</v>
      </c>
    </row>
    <row r="58" spans="15:33" ht="18.75" x14ac:dyDescent="0.3">
      <c r="O58" s="138">
        <v>16.599999999999998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7">
        <f t="shared" si="28"/>
        <v>1.799768</v>
      </c>
      <c r="AC58" s="17">
        <f t="shared" si="29"/>
        <v>9.2234110174200215</v>
      </c>
      <c r="AD58" s="22">
        <f t="shared" si="30"/>
        <v>1.799768</v>
      </c>
      <c r="AE58" s="17">
        <f t="shared" si="31"/>
        <v>9.2234110174200215</v>
      </c>
      <c r="AF58" s="17">
        <f t="shared" ca="1" si="3"/>
        <v>0.43180594947525242</v>
      </c>
      <c r="AG58" s="17">
        <v>51.256823277360901</v>
      </c>
    </row>
    <row r="59" spans="15:33" ht="18.75" x14ac:dyDescent="0.3">
      <c r="O59" s="138">
        <v>27.1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7">
        <f t="shared" si="28"/>
        <v>2.0518730000000001</v>
      </c>
      <c r="AC59" s="17">
        <f t="shared" si="29"/>
        <v>13.207445100159708</v>
      </c>
      <c r="AD59" s="22">
        <f t="shared" si="30"/>
        <v>2.0518730000000001</v>
      </c>
      <c r="AE59" s="17">
        <f t="shared" si="31"/>
        <v>13.207445100159708</v>
      </c>
      <c r="AF59" s="17">
        <f t="shared" ca="1" si="3"/>
        <v>0.15963019596047212</v>
      </c>
      <c r="AG59" s="17">
        <v>52.256823277360901</v>
      </c>
    </row>
    <row r="60" spans="15:33" ht="18.75" x14ac:dyDescent="0.3">
      <c r="O60" s="138">
        <v>37.5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7">
        <f t="shared" si="28"/>
        <v>2.1494250000000004</v>
      </c>
      <c r="AC60" s="17">
        <f t="shared" si="29"/>
        <v>17.446526396594436</v>
      </c>
      <c r="AD60" s="22">
        <f t="shared" si="30"/>
        <v>2.1494250000000004</v>
      </c>
      <c r="AE60" s="17">
        <f t="shared" si="31"/>
        <v>17.446526396594436</v>
      </c>
      <c r="AF60" s="17">
        <f t="shared" ca="1" si="3"/>
        <v>0.37716450604866225</v>
      </c>
      <c r="AG60" s="17">
        <v>53.256823277360901</v>
      </c>
    </row>
    <row r="61" spans="15:33" ht="18.75" x14ac:dyDescent="0.3">
      <c r="O61" s="138">
        <v>31.299999999999997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7">
        <f t="shared" si="28"/>
        <v>2.1094970000000002</v>
      </c>
      <c r="AC61" s="17">
        <f t="shared" si="29"/>
        <v>14.837660352207182</v>
      </c>
      <c r="AD61" s="22">
        <f t="shared" si="30"/>
        <v>2.1094970000000002</v>
      </c>
      <c r="AE61" s="17">
        <f t="shared" si="31"/>
        <v>14.837660352207182</v>
      </c>
      <c r="AF61" s="17">
        <f t="shared" ca="1" si="3"/>
        <v>0.11874178252721068</v>
      </c>
      <c r="AG61" s="17">
        <v>54.256823277360901</v>
      </c>
    </row>
    <row r="62" spans="15:33" ht="18.75" x14ac:dyDescent="0.3">
      <c r="O62" s="138">
        <v>18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7">
        <f t="shared" si="28"/>
        <v>1.8423</v>
      </c>
      <c r="AC62" s="17">
        <f t="shared" si="29"/>
        <v>9.7703957010258922</v>
      </c>
      <c r="AD62" s="22">
        <f t="shared" si="30"/>
        <v>1.8423</v>
      </c>
      <c r="AE62" s="17">
        <f t="shared" si="31"/>
        <v>9.7703957010258922</v>
      </c>
      <c r="AF62" s="17">
        <f t="shared" ca="1" si="3"/>
        <v>0.63589130870672839</v>
      </c>
      <c r="AG62" s="17">
        <v>55.256823277360901</v>
      </c>
    </row>
    <row r="63" spans="15:33" ht="18.75" x14ac:dyDescent="0.3">
      <c r="O63" s="138">
        <v>12.4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7">
        <f t="shared" si="28"/>
        <v>1.6557080000000002</v>
      </c>
      <c r="AC63" s="17">
        <f t="shared" si="29"/>
        <v>7.4892432723644502</v>
      </c>
      <c r="AD63" s="22">
        <f t="shared" si="30"/>
        <v>1.6557080000000002</v>
      </c>
      <c r="AE63" s="17">
        <f t="shared" si="31"/>
        <v>7.4892432723644502</v>
      </c>
      <c r="AF63" s="17">
        <f t="shared" ca="1" si="3"/>
        <v>8.7931885251027242E-2</v>
      </c>
      <c r="AG63" s="17">
        <v>56.256823277360901</v>
      </c>
    </row>
    <row r="64" spans="15:33" ht="18.75" x14ac:dyDescent="0.3">
      <c r="O64" s="138">
        <v>37.299999999999997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7">
        <f t="shared" si="28"/>
        <v>2.1489769999999999</v>
      </c>
      <c r="AC64" s="17">
        <f t="shared" si="29"/>
        <v>17.35709595775106</v>
      </c>
      <c r="AD64" s="22">
        <f t="shared" si="30"/>
        <v>2.1489769999999999</v>
      </c>
      <c r="AE64" s="17">
        <f t="shared" si="31"/>
        <v>17.35709595775106</v>
      </c>
      <c r="AF64" s="17">
        <f t="shared" ca="1" si="3"/>
        <v>0.95777681107632195</v>
      </c>
      <c r="AG64" s="17">
        <v>57.256823277360901</v>
      </c>
    </row>
    <row r="65" spans="15:33" ht="18.75" x14ac:dyDescent="0.3">
      <c r="O65" s="138">
        <v>18.100000000000001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7">
        <f t="shared" si="28"/>
        <v>1.8452330000000001</v>
      </c>
      <c r="AC65" s="17">
        <f t="shared" si="29"/>
        <v>9.8090593437251563</v>
      </c>
      <c r="AD65" s="22">
        <f t="shared" si="30"/>
        <v>1.8452330000000001</v>
      </c>
      <c r="AE65" s="17">
        <f t="shared" si="31"/>
        <v>9.8090593437251563</v>
      </c>
      <c r="AF65" s="17">
        <f t="shared" ca="1" si="3"/>
        <v>0.33128201581773853</v>
      </c>
      <c r="AG65" s="17">
        <v>58.256823277360901</v>
      </c>
    </row>
    <row r="66" spans="15:33" ht="18.75" x14ac:dyDescent="0.3">
      <c r="O66" s="138">
        <v>32.400000000000006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7">
        <f t="shared" si="28"/>
        <v>2.1205080000000001</v>
      </c>
      <c r="AC66" s="17">
        <f t="shared" si="29"/>
        <v>15.279357587898751</v>
      </c>
      <c r="AD66" s="22">
        <f t="shared" si="30"/>
        <v>2.1205080000000001</v>
      </c>
      <c r="AE66" s="17">
        <f t="shared" si="31"/>
        <v>15.279357587898751</v>
      </c>
      <c r="AF66" s="17">
        <f t="shared" ca="1" si="3"/>
        <v>0.95106810705841172</v>
      </c>
      <c r="AG66" s="17">
        <v>59.256823277360901</v>
      </c>
    </row>
    <row r="67" spans="15:33" ht="18.75" x14ac:dyDescent="0.3">
      <c r="O67" s="138">
        <v>23.900000000000002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7">
        <f t="shared" si="28"/>
        <v>1.9913930000000002</v>
      </c>
      <c r="AC67" s="17">
        <f t="shared" si="29"/>
        <v>12.001649096888459</v>
      </c>
      <c r="AD67" s="22">
        <f t="shared" si="30"/>
        <v>1.9913930000000002</v>
      </c>
      <c r="AE67" s="17">
        <f t="shared" si="31"/>
        <v>12.001649096888459</v>
      </c>
      <c r="AF67" s="17">
        <f t="shared" ca="1" si="3"/>
        <v>0.48457481045016582</v>
      </c>
      <c r="AG67" s="17">
        <v>60.256823277360901</v>
      </c>
    </row>
    <row r="68" spans="15:33" ht="18.75" x14ac:dyDescent="0.3">
      <c r="O68" s="1177">
        <v>19.600000000000001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7">
        <f t="shared" ref="AB68:AB82" si="32">-0.0007*POWER(O68,2)+0.0546*O68+1.0863</f>
        <v>1.8875480000000002</v>
      </c>
      <c r="AC68" s="17">
        <f t="shared" ref="AC68:AC82" si="33">O68/AB68</f>
        <v>10.383841894351825</v>
      </c>
      <c r="AD68" s="22">
        <f t="shared" ref="AD68:AD82" si="34">IF(AC68&lt;6.5,O68/(6.5+AF68),AB68)</f>
        <v>1.8875480000000002</v>
      </c>
      <c r="AE68" s="17">
        <f t="shared" ref="AE68:AE82" si="35">O68/AD68</f>
        <v>10.383841894351825</v>
      </c>
      <c r="AF68" s="17">
        <f t="shared" ca="1" si="3"/>
        <v>0.11590353236419848</v>
      </c>
      <c r="AG68" s="17">
        <v>61.256823277360901</v>
      </c>
    </row>
    <row r="69" spans="15:33" ht="18.75" x14ac:dyDescent="0.3">
      <c r="O69" s="1177">
        <v>18.799999999999997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7">
        <f t="shared" si="32"/>
        <v>1.865372</v>
      </c>
      <c r="AC69" s="17">
        <f t="shared" si="33"/>
        <v>10.0784186746665</v>
      </c>
      <c r="AD69" s="22">
        <f t="shared" si="34"/>
        <v>1.865372</v>
      </c>
      <c r="AE69" s="17">
        <f t="shared" si="35"/>
        <v>10.0784186746665</v>
      </c>
      <c r="AF69" s="17">
        <f t="shared" ca="1" si="3"/>
        <v>0.40892702116909863</v>
      </c>
      <c r="AG69" s="17">
        <v>62.256823277360901</v>
      </c>
    </row>
    <row r="70" spans="15:33" ht="18.75" x14ac:dyDescent="0.3">
      <c r="O70" s="1177">
        <v>16.899999999999999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7">
        <f t="shared" si="32"/>
        <v>1.809113</v>
      </c>
      <c r="AC70" s="17">
        <f t="shared" si="33"/>
        <v>9.3415944719871007</v>
      </c>
      <c r="AD70" s="22">
        <f t="shared" si="34"/>
        <v>1.809113</v>
      </c>
      <c r="AE70" s="17">
        <f t="shared" si="35"/>
        <v>9.3415944719871007</v>
      </c>
      <c r="AF70" s="17">
        <f t="shared" ca="1" si="3"/>
        <v>0.32707251748622745</v>
      </c>
      <c r="AG70" s="17">
        <v>63.256823277360901</v>
      </c>
    </row>
    <row r="71" spans="15:33" ht="18.75" x14ac:dyDescent="0.3">
      <c r="O71" s="1177">
        <v>25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7">
        <f t="shared" si="32"/>
        <v>2.0137999999999998</v>
      </c>
      <c r="AC71" s="17">
        <f t="shared" si="33"/>
        <v>12.414341046777238</v>
      </c>
      <c r="AD71" s="22">
        <f t="shared" si="34"/>
        <v>2.0137999999999998</v>
      </c>
      <c r="AE71" s="17">
        <f t="shared" si="35"/>
        <v>12.414341046777238</v>
      </c>
      <c r="AF71" s="17">
        <f t="shared" ca="1" si="3"/>
        <v>0.58461134041017637</v>
      </c>
      <c r="AG71" s="17">
        <v>64.256823277360894</v>
      </c>
    </row>
    <row r="72" spans="15:33" ht="18.75" x14ac:dyDescent="0.3">
      <c r="O72" s="1177">
        <v>19.3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7">
        <f t="shared" si="32"/>
        <v>1.8793370000000003</v>
      </c>
      <c r="AC72" s="17">
        <f t="shared" si="33"/>
        <v>10.269579112208188</v>
      </c>
      <c r="AD72" s="22">
        <f t="shared" si="34"/>
        <v>1.8793370000000003</v>
      </c>
      <c r="AE72" s="17">
        <f t="shared" si="35"/>
        <v>10.269579112208188</v>
      </c>
      <c r="AF72" s="17">
        <f t="shared" ref="AF72:AF135" ca="1" si="36">RAND()</f>
        <v>0.79883610812959138</v>
      </c>
      <c r="AG72" s="17">
        <v>65.256823277360894</v>
      </c>
    </row>
    <row r="73" spans="15:33" ht="18.75" x14ac:dyDescent="0.3">
      <c r="O73" s="1177">
        <v>19.099999999999998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7">
        <f t="shared" si="32"/>
        <v>1.873793</v>
      </c>
      <c r="AC73" s="17">
        <f t="shared" si="33"/>
        <v>10.193228387554013</v>
      </c>
      <c r="AD73" s="22">
        <f t="shared" si="34"/>
        <v>1.873793</v>
      </c>
      <c r="AE73" s="17">
        <f t="shared" si="35"/>
        <v>10.193228387554013</v>
      </c>
      <c r="AF73" s="17">
        <f t="shared" ca="1" si="36"/>
        <v>0.47684161653835322</v>
      </c>
      <c r="AG73" s="17">
        <v>66.256823277360894</v>
      </c>
    </row>
    <row r="74" spans="15:33" ht="18.75" x14ac:dyDescent="0.3">
      <c r="O74" s="1177">
        <v>24.5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7">
        <f t="shared" si="32"/>
        <v>2.003825</v>
      </c>
      <c r="AC74" s="17">
        <f t="shared" si="33"/>
        <v>12.226616595760609</v>
      </c>
      <c r="AD74" s="22">
        <f t="shared" si="34"/>
        <v>2.003825</v>
      </c>
      <c r="AE74" s="17">
        <f t="shared" si="35"/>
        <v>12.226616595760609</v>
      </c>
      <c r="AF74" s="17">
        <f t="shared" ca="1" si="36"/>
        <v>0.23189465224177408</v>
      </c>
      <c r="AG74" s="17">
        <v>67.256823277360894</v>
      </c>
    </row>
    <row r="75" spans="15:33" ht="18.75" x14ac:dyDescent="0.3">
      <c r="O75" s="1177">
        <v>19.7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7">
        <f t="shared" si="32"/>
        <v>1.8902570000000001</v>
      </c>
      <c r="AC75" s="17">
        <f t="shared" si="33"/>
        <v>10.421863270444177</v>
      </c>
      <c r="AD75" s="22">
        <f t="shared" si="34"/>
        <v>1.8902570000000001</v>
      </c>
      <c r="AE75" s="17">
        <f t="shared" si="35"/>
        <v>10.421863270444177</v>
      </c>
      <c r="AF75" s="17">
        <f t="shared" ca="1" si="36"/>
        <v>4.3668745465408332E-4</v>
      </c>
      <c r="AG75" s="17">
        <v>68.256823277360894</v>
      </c>
    </row>
    <row r="76" spans="15:33" ht="18.75" x14ac:dyDescent="0.3">
      <c r="O76" s="1177">
        <v>17.2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7">
        <f t="shared" si="32"/>
        <v>1.8183320000000001</v>
      </c>
      <c r="AC76" s="17">
        <f t="shared" si="33"/>
        <v>9.4592186685379787</v>
      </c>
      <c r="AD76" s="22">
        <f t="shared" si="34"/>
        <v>1.8183320000000001</v>
      </c>
      <c r="AE76" s="17">
        <f t="shared" si="35"/>
        <v>9.4592186685379787</v>
      </c>
      <c r="AF76" s="17">
        <f t="shared" ca="1" si="36"/>
        <v>0.91608298362084173</v>
      </c>
      <c r="AG76" s="17">
        <v>69.256823277360894</v>
      </c>
    </row>
    <row r="77" spans="15:33" ht="18.75" x14ac:dyDescent="0.3">
      <c r="O77" s="1177">
        <v>13.600000000000001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7">
        <f t="shared" si="32"/>
        <v>1.6993880000000001</v>
      </c>
      <c r="AC77" s="17">
        <f t="shared" si="33"/>
        <v>8.0028810371733829</v>
      </c>
      <c r="AD77" s="22">
        <f t="shared" si="34"/>
        <v>1.6993880000000001</v>
      </c>
      <c r="AE77" s="17">
        <f t="shared" si="35"/>
        <v>8.0028810371733829</v>
      </c>
      <c r="AF77" s="17">
        <f t="shared" ca="1" si="36"/>
        <v>0.1594548722457747</v>
      </c>
      <c r="AG77" s="17">
        <v>70.256823277360894</v>
      </c>
    </row>
    <row r="78" spans="15:33" ht="18.75" x14ac:dyDescent="0.3">
      <c r="O78" s="1177">
        <v>13.4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7">
        <f t="shared" si="32"/>
        <v>1.6922480000000002</v>
      </c>
      <c r="AC78" s="17">
        <f t="shared" si="33"/>
        <v>7.9184611239014604</v>
      </c>
      <c r="AD78" s="22">
        <f t="shared" si="34"/>
        <v>1.6922480000000002</v>
      </c>
      <c r="AE78" s="17">
        <f t="shared" si="35"/>
        <v>7.9184611239014604</v>
      </c>
      <c r="AF78" s="17">
        <f t="shared" ca="1" si="36"/>
        <v>0.61148823101747596</v>
      </c>
      <c r="AG78" s="17">
        <v>71.256823277360894</v>
      </c>
    </row>
    <row r="79" spans="15:33" ht="18.75" x14ac:dyDescent="0.3">
      <c r="O79" s="1177">
        <v>8.2999999999999989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7">
        <f t="shared" si="32"/>
        <v>1.4912570000000001</v>
      </c>
      <c r="AC79" s="17">
        <f t="shared" si="33"/>
        <v>5.565774376918263</v>
      </c>
      <c r="AD79" s="22">
        <f t="shared" ca="1" si="34"/>
        <v>1.2232745815923638</v>
      </c>
      <c r="AE79" s="17">
        <f t="shared" ca="1" si="35"/>
        <v>6.7850670036777059</v>
      </c>
      <c r="AF79" s="17">
        <f t="shared" ca="1" si="36"/>
        <v>0.28506700367770554</v>
      </c>
      <c r="AG79" s="17">
        <v>72.256823277360894</v>
      </c>
    </row>
    <row r="80" spans="15:33" ht="18.75" x14ac:dyDescent="0.3">
      <c r="O80" s="1177">
        <v>10.700000000000001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7">
        <f t="shared" si="32"/>
        <v>1.5903770000000002</v>
      </c>
      <c r="AC80" s="17">
        <f t="shared" si="33"/>
        <v>6.7279645014987013</v>
      </c>
      <c r="AD80" s="22">
        <f t="shared" si="34"/>
        <v>1.5903770000000002</v>
      </c>
      <c r="AE80" s="17">
        <f t="shared" si="35"/>
        <v>6.7279645014987013</v>
      </c>
      <c r="AF80" s="17">
        <f t="shared" ca="1" si="36"/>
        <v>0.4255265368610982</v>
      </c>
      <c r="AG80" s="17">
        <v>73.256823277360894</v>
      </c>
    </row>
    <row r="81" spans="15:33" ht="18.75" x14ac:dyDescent="0.3">
      <c r="O81" s="1177">
        <v>10.8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7">
        <f t="shared" si="32"/>
        <v>1.5943320000000001</v>
      </c>
      <c r="AC81" s="17">
        <f t="shared" si="33"/>
        <v>6.7739968839614333</v>
      </c>
      <c r="AD81" s="22">
        <f t="shared" si="34"/>
        <v>1.5943320000000001</v>
      </c>
      <c r="AE81" s="17">
        <f t="shared" si="35"/>
        <v>6.7739968839614333</v>
      </c>
      <c r="AF81" s="17">
        <f t="shared" ca="1" si="36"/>
        <v>0.70311689285932311</v>
      </c>
      <c r="AG81" s="17">
        <v>74.256823277360894</v>
      </c>
    </row>
    <row r="82" spans="15:33" ht="18.75" x14ac:dyDescent="0.3">
      <c r="O82" s="1177">
        <v>8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7">
        <f t="shared" si="32"/>
        <v>1.4782999999999999</v>
      </c>
      <c r="AC82" s="17">
        <f t="shared" si="33"/>
        <v>5.4116214570790779</v>
      </c>
      <c r="AD82" s="22">
        <f t="shared" ca="1" si="34"/>
        <v>1.1121683025472056</v>
      </c>
      <c r="AE82" s="17">
        <f t="shared" ca="1" si="35"/>
        <v>7.1931559114547259</v>
      </c>
      <c r="AF82" s="17">
        <f t="shared" ca="1" si="36"/>
        <v>0.69315591145472577</v>
      </c>
      <c r="AG82" s="17">
        <v>75.256823277360894</v>
      </c>
    </row>
    <row r="83" spans="15:33" ht="18.75" x14ac:dyDescent="0.3">
      <c r="O83" s="138">
        <v>11.299999999999999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7">
        <f t="shared" ref="AB83:AB87" si="37">-0.0007*POWER(O83,2)+0.0546*O83+1.0863</f>
        <v>1.6138970000000001</v>
      </c>
      <c r="AC83" s="17">
        <f t="shared" ref="AC83:AC87" si="38">O83/AB83</f>
        <v>7.0016859811995422</v>
      </c>
      <c r="AD83" s="22">
        <f t="shared" ref="AD83:AD87" si="39">IF(AC83&lt;6.5,O83/(6.5+AF83),AB83)</f>
        <v>1.6138970000000001</v>
      </c>
      <c r="AE83" s="17">
        <f t="shared" ref="AE83:AE87" si="40">O83/AD83</f>
        <v>7.0016859811995422</v>
      </c>
      <c r="AF83" s="17">
        <f t="shared" ca="1" si="36"/>
        <v>0.87724375909809227</v>
      </c>
      <c r="AG83" s="17">
        <v>76.256823277360894</v>
      </c>
    </row>
    <row r="84" spans="15:33" ht="18.75" x14ac:dyDescent="0.3">
      <c r="O84" s="138">
        <v>11.899999999999999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7">
        <f t="shared" si="37"/>
        <v>1.6369130000000001</v>
      </c>
      <c r="AC84" s="17">
        <f t="shared" si="38"/>
        <v>7.2697815949900804</v>
      </c>
      <c r="AD84" s="22">
        <f t="shared" si="39"/>
        <v>1.6369130000000001</v>
      </c>
      <c r="AE84" s="17">
        <f t="shared" si="40"/>
        <v>7.2697815949900804</v>
      </c>
      <c r="AF84" s="17">
        <f t="shared" ca="1" si="36"/>
        <v>0.99622854270453176</v>
      </c>
      <c r="AG84" s="17">
        <v>77.256823277360894</v>
      </c>
    </row>
    <row r="85" spans="15:33" ht="18.75" x14ac:dyDescent="0.3">
      <c r="O85" s="138">
        <v>11.200000000000001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7">
        <f t="shared" si="37"/>
        <v>1.6100120000000002</v>
      </c>
      <c r="AC85" s="17">
        <f t="shared" si="38"/>
        <v>6.956469889665418</v>
      </c>
      <c r="AD85" s="22">
        <f t="shared" si="39"/>
        <v>1.6100120000000002</v>
      </c>
      <c r="AE85" s="17">
        <f t="shared" si="40"/>
        <v>6.956469889665418</v>
      </c>
      <c r="AF85" s="17">
        <f t="shared" ca="1" si="36"/>
        <v>0.29450658126572249</v>
      </c>
      <c r="AG85" s="17">
        <v>78.256823277360894</v>
      </c>
    </row>
    <row r="86" spans="15:33" ht="18.75" x14ac:dyDescent="0.3">
      <c r="O86" s="138">
        <v>15.700000000000001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7">
        <f t="shared" si="37"/>
        <v>1.7709770000000002</v>
      </c>
      <c r="AC86" s="17">
        <f t="shared" si="38"/>
        <v>8.8651631274714457</v>
      </c>
      <c r="AD86" s="22">
        <f t="shared" si="39"/>
        <v>1.7709770000000002</v>
      </c>
      <c r="AE86" s="17">
        <f t="shared" si="40"/>
        <v>8.8651631274714457</v>
      </c>
      <c r="AF86" s="17">
        <f t="shared" ca="1" si="36"/>
        <v>0.12515029879720374</v>
      </c>
      <c r="AG86" s="17">
        <v>79.256823277360894</v>
      </c>
    </row>
    <row r="87" spans="15:33" ht="18.75" x14ac:dyDescent="0.3">
      <c r="O87" s="138">
        <v>26.9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7">
        <f t="shared" si="37"/>
        <v>2.0485129999999998</v>
      </c>
      <c r="AC87" s="17">
        <f t="shared" si="38"/>
        <v>13.131476344060301</v>
      </c>
      <c r="AD87" s="22">
        <f t="shared" si="39"/>
        <v>2.0485129999999998</v>
      </c>
      <c r="AE87" s="17">
        <f t="shared" si="40"/>
        <v>13.131476344060301</v>
      </c>
      <c r="AF87" s="17">
        <f t="shared" ca="1" si="36"/>
        <v>0.31227631365273101</v>
      </c>
      <c r="AG87" s="17">
        <v>80.256823277360894</v>
      </c>
    </row>
    <row r="88" spans="15:33" ht="18.75" x14ac:dyDescent="0.3">
      <c r="O88" s="138">
        <v>20.099999999999998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7">
        <f t="shared" ref="AB88:AB90" si="41">-0.0007*POWER(O88,2)+0.0546*O88+1.0863</f>
        <v>1.9009529999999999</v>
      </c>
      <c r="AC88" s="17">
        <f t="shared" ref="AC88:AC90" si="42">O88/AB88</f>
        <v>10.573643851268285</v>
      </c>
      <c r="AD88" s="22">
        <f t="shared" ref="AD88:AD90" si="43">IF(AC88&lt;6.5,O88/(6.5+AF88),AB88)</f>
        <v>1.9009529999999999</v>
      </c>
      <c r="AE88" s="17">
        <f t="shared" ref="AE88:AE90" si="44">O88/AD88</f>
        <v>10.573643851268285</v>
      </c>
      <c r="AF88" s="17">
        <f t="shared" ca="1" si="36"/>
        <v>0.23294470515105048</v>
      </c>
      <c r="AG88" s="17">
        <v>81.256823277360894</v>
      </c>
    </row>
    <row r="89" spans="15:33" ht="18.75" x14ac:dyDescent="0.3">
      <c r="O89" s="138">
        <v>21.9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7">
        <f t="shared" si="41"/>
        <v>1.9463130000000002</v>
      </c>
      <c r="AC89" s="17">
        <f t="shared" si="42"/>
        <v>11.252044249820042</v>
      </c>
      <c r="AD89" s="22">
        <f t="shared" si="43"/>
        <v>1.9463130000000002</v>
      </c>
      <c r="AE89" s="17">
        <f t="shared" si="44"/>
        <v>11.252044249820042</v>
      </c>
      <c r="AF89" s="17">
        <f t="shared" ca="1" si="36"/>
        <v>0.92798658830398928</v>
      </c>
      <c r="AG89" s="17">
        <v>82.256823277360894</v>
      </c>
    </row>
    <row r="90" spans="15:33" ht="18.75" x14ac:dyDescent="0.3">
      <c r="O90" s="138">
        <v>13.200000000000001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7">
        <f t="shared" si="41"/>
        <v>1.6850520000000002</v>
      </c>
      <c r="AC90" s="17">
        <f t="shared" si="42"/>
        <v>7.8335861445225428</v>
      </c>
      <c r="AD90" s="22">
        <f t="shared" si="43"/>
        <v>1.6850520000000002</v>
      </c>
      <c r="AE90" s="17">
        <f t="shared" si="44"/>
        <v>7.8335861445225428</v>
      </c>
      <c r="AF90" s="17">
        <f t="shared" ca="1" si="36"/>
        <v>2.1130953379601358E-2</v>
      </c>
      <c r="AG90" s="17">
        <v>83.256823277360894</v>
      </c>
    </row>
    <row r="91" spans="15:33" ht="18.75" x14ac:dyDescent="0.3">
      <c r="O91" s="691">
        <v>12.3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7">
        <f t="shared" ref="AB91:AB98" si="45">-0.0007*POWER(O91,2)+0.0546*O91+1.0863</f>
        <v>1.651977</v>
      </c>
      <c r="AC91" s="17">
        <f t="shared" ref="AC91:AC98" si="46">O91/AB91</f>
        <v>7.445624242952535</v>
      </c>
      <c r="AD91" s="22">
        <f t="shared" ref="AD91:AD98" si="47">IF(AC91&lt;6.5,O91/(6.5+AF91),AB91)</f>
        <v>1.651977</v>
      </c>
      <c r="AE91" s="17">
        <f t="shared" ref="AE91:AE98" si="48">O91/AD91</f>
        <v>7.445624242952535</v>
      </c>
      <c r="AF91" s="17">
        <f t="shared" ca="1" si="36"/>
        <v>0.41748942178702164</v>
      </c>
      <c r="AG91" s="17">
        <v>84.256823277360894</v>
      </c>
    </row>
    <row r="92" spans="15:33" ht="18.75" x14ac:dyDescent="0.3">
      <c r="O92" s="691">
        <v>21.400000000000002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7">
        <f t="shared" si="45"/>
        <v>1.9341680000000001</v>
      </c>
      <c r="AC92" s="17">
        <f t="shared" si="46"/>
        <v>11.064188839852589</v>
      </c>
      <c r="AD92" s="22">
        <f t="shared" si="47"/>
        <v>1.9341680000000001</v>
      </c>
      <c r="AE92" s="17">
        <f t="shared" si="48"/>
        <v>11.064188839852589</v>
      </c>
      <c r="AF92" s="17">
        <f t="shared" ca="1" si="36"/>
        <v>5.1905832730547052E-2</v>
      </c>
      <c r="AG92" s="17">
        <v>85.256823277360894</v>
      </c>
    </row>
    <row r="93" spans="15:33" ht="18.75" x14ac:dyDescent="0.3">
      <c r="O93" s="691">
        <v>13.3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7">
        <f t="shared" si="45"/>
        <v>1.6886570000000001</v>
      </c>
      <c r="AC93" s="17">
        <f t="shared" si="46"/>
        <v>7.8760814067036709</v>
      </c>
      <c r="AD93" s="22">
        <f t="shared" si="47"/>
        <v>1.6886570000000001</v>
      </c>
      <c r="AE93" s="17">
        <f t="shared" si="48"/>
        <v>7.8760814067036709</v>
      </c>
      <c r="AF93" s="17">
        <f t="shared" ca="1" si="36"/>
        <v>0.16722631424581369</v>
      </c>
      <c r="AG93" s="17">
        <v>86.256823277360894</v>
      </c>
    </row>
    <row r="94" spans="15:33" ht="18.75" x14ac:dyDescent="0.3">
      <c r="O94" s="691">
        <v>10.3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7">
        <f t="shared" si="45"/>
        <v>1.5744170000000002</v>
      </c>
      <c r="AC94" s="17">
        <f t="shared" si="46"/>
        <v>6.5421041566497307</v>
      </c>
      <c r="AD94" s="22">
        <f t="shared" si="47"/>
        <v>1.5744170000000002</v>
      </c>
      <c r="AE94" s="17">
        <f t="shared" si="48"/>
        <v>6.5421041566497307</v>
      </c>
      <c r="AF94" s="17">
        <f t="shared" ca="1" si="36"/>
        <v>0.25827861636802307</v>
      </c>
      <c r="AG94" s="17">
        <v>87.256823277360894</v>
      </c>
    </row>
    <row r="95" spans="15:33" ht="18.75" x14ac:dyDescent="0.3">
      <c r="O95" s="691">
        <v>13.5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7">
        <f t="shared" si="45"/>
        <v>1.6958250000000001</v>
      </c>
      <c r="AC95" s="17">
        <f t="shared" si="46"/>
        <v>7.9607270797399492</v>
      </c>
      <c r="AD95" s="22">
        <f t="shared" si="47"/>
        <v>1.6958250000000001</v>
      </c>
      <c r="AE95" s="17">
        <f t="shared" si="48"/>
        <v>7.9607270797399492</v>
      </c>
      <c r="AF95" s="17">
        <f t="shared" ca="1" si="36"/>
        <v>0.86463398644385603</v>
      </c>
      <c r="AG95" s="17">
        <v>88.256823277360894</v>
      </c>
    </row>
    <row r="96" spans="15:33" ht="18.75" x14ac:dyDescent="0.3">
      <c r="O96" s="691">
        <v>11.399999999999999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7">
        <f t="shared" si="45"/>
        <v>1.6177680000000001</v>
      </c>
      <c r="AC96" s="17">
        <f t="shared" si="46"/>
        <v>7.0467458869256889</v>
      </c>
      <c r="AD96" s="22">
        <f t="shared" si="47"/>
        <v>1.6177680000000001</v>
      </c>
      <c r="AE96" s="17">
        <f t="shared" si="48"/>
        <v>7.0467458869256889</v>
      </c>
      <c r="AF96" s="17">
        <f t="shared" ca="1" si="36"/>
        <v>0.96819890478572213</v>
      </c>
      <c r="AG96" s="17">
        <v>89.256823277360894</v>
      </c>
    </row>
    <row r="97" spans="15:33" ht="18.75" x14ac:dyDescent="0.3">
      <c r="O97" s="691">
        <v>29.8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7">
        <f t="shared" si="45"/>
        <v>2.0917520000000001</v>
      </c>
      <c r="AC97" s="17">
        <f t="shared" si="46"/>
        <v>14.246430743223861</v>
      </c>
      <c r="AD97" s="22">
        <f t="shared" si="47"/>
        <v>2.0917520000000001</v>
      </c>
      <c r="AE97" s="17">
        <f t="shared" si="48"/>
        <v>14.246430743223861</v>
      </c>
      <c r="AF97" s="17">
        <f t="shared" ca="1" si="36"/>
        <v>0.81034609659933654</v>
      </c>
      <c r="AG97" s="17">
        <v>90.256823277360894</v>
      </c>
    </row>
    <row r="98" spans="15:33" ht="18.75" x14ac:dyDescent="0.3">
      <c r="O98" s="691">
        <v>24.5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7">
        <f t="shared" si="45"/>
        <v>2.003825</v>
      </c>
      <c r="AC98" s="17">
        <f t="shared" si="46"/>
        <v>12.226616595760609</v>
      </c>
      <c r="AD98" s="22">
        <f t="shared" si="47"/>
        <v>2.003825</v>
      </c>
      <c r="AE98" s="17">
        <f t="shared" si="48"/>
        <v>12.226616595760609</v>
      </c>
      <c r="AF98" s="17">
        <f t="shared" ca="1" si="36"/>
        <v>0.75804062915485548</v>
      </c>
      <c r="AG98" s="17">
        <v>91.256823277360894</v>
      </c>
    </row>
    <row r="99" spans="15:33" ht="18.75" x14ac:dyDescent="0.3">
      <c r="O99" s="899">
        <v>8.3000000000000007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7">
        <f t="shared" ref="AB99:AB100" si="49">-0.0007*POWER(O99,2)+0.0546*O99+1.0863</f>
        <v>1.4912570000000001</v>
      </c>
      <c r="AC99" s="17">
        <f t="shared" ref="AC99:AC100" si="50">O99/AB99</f>
        <v>5.5657743769182648</v>
      </c>
      <c r="AD99" s="22">
        <f t="shared" ref="AD99:AD100" ca="1" si="51">IF(AC99&lt;6.5,O99/(6.5+AF99),AB99)</f>
        <v>1.2751281807408212</v>
      </c>
      <c r="AE99" s="17">
        <f t="shared" ref="AE99:AE100" ca="1" si="52">O99/AD99</f>
        <v>6.5091495312870311</v>
      </c>
      <c r="AF99" s="17">
        <f t="shared" ca="1" si="36"/>
        <v>9.1495312870309986E-3</v>
      </c>
      <c r="AG99" s="17">
        <v>92.256823277360894</v>
      </c>
    </row>
    <row r="100" spans="15:33" ht="18.75" x14ac:dyDescent="0.3">
      <c r="O100" s="899">
        <v>12.5</v>
      </c>
      <c r="AB100" s="17">
        <f t="shared" si="49"/>
        <v>1.6594250000000001</v>
      </c>
      <c r="AC100" s="17">
        <f t="shared" si="50"/>
        <v>7.5327297105925242</v>
      </c>
      <c r="AD100" s="22">
        <f t="shared" si="51"/>
        <v>1.6594250000000001</v>
      </c>
      <c r="AE100" s="17">
        <f t="shared" si="52"/>
        <v>7.5327297105925242</v>
      </c>
      <c r="AF100" s="17">
        <f t="shared" ca="1" si="36"/>
        <v>0.98392916998779789</v>
      </c>
      <c r="AG100" s="17">
        <v>93.256823277360894</v>
      </c>
    </row>
    <row r="101" spans="15:33" ht="18.75" x14ac:dyDescent="0.3">
      <c r="O101" s="138">
        <v>10.4</v>
      </c>
      <c r="AB101" s="17">
        <f t="shared" ref="AB101:AB104" si="53">-0.0007*POWER(O101,2)+0.0546*O101+1.0863</f>
        <v>1.5784280000000002</v>
      </c>
      <c r="AC101" s="17">
        <f t="shared" ref="AC101:AC104" si="54">O101/AB101</f>
        <v>6.5888339537818634</v>
      </c>
      <c r="AD101" s="22">
        <f t="shared" ref="AD101:AD104" si="55">IF(AC101&lt;6.5,O101/(6.5+AF101),AB101)</f>
        <v>1.5784280000000002</v>
      </c>
      <c r="AE101" s="17">
        <f t="shared" ref="AE101:AE104" si="56">O101/AD101</f>
        <v>6.5888339537818634</v>
      </c>
      <c r="AF101" s="17">
        <f t="shared" ca="1" si="36"/>
        <v>0.40888245024196723</v>
      </c>
      <c r="AG101" s="17">
        <v>94.256823277360894</v>
      </c>
    </row>
    <row r="102" spans="15:33" ht="18.75" x14ac:dyDescent="0.3">
      <c r="O102" s="138">
        <v>2.8000000000000003</v>
      </c>
      <c r="AB102" s="17">
        <f t="shared" si="53"/>
        <v>1.233692</v>
      </c>
      <c r="AC102" s="17">
        <f t="shared" si="54"/>
        <v>2.2696102430752574</v>
      </c>
      <c r="AD102" s="22">
        <f t="shared" ca="1" si="55"/>
        <v>0.38945557727853086</v>
      </c>
      <c r="AE102" s="17">
        <f t="shared" ca="1" si="56"/>
        <v>7.1895234356792797</v>
      </c>
      <c r="AF102" s="17">
        <f t="shared" ca="1" si="36"/>
        <v>0.68952343567927998</v>
      </c>
      <c r="AG102" s="17">
        <v>95.256823277360894</v>
      </c>
    </row>
    <row r="103" spans="15:33" ht="18.75" x14ac:dyDescent="0.3">
      <c r="O103" s="138">
        <v>3.3000000000000003</v>
      </c>
      <c r="AB103" s="17">
        <f t="shared" si="53"/>
        <v>1.2588570000000001</v>
      </c>
      <c r="AC103" s="17">
        <f t="shared" si="54"/>
        <v>2.6214256265803026</v>
      </c>
      <c r="AD103" s="22">
        <f t="shared" ca="1" si="55"/>
        <v>0.48883828959157788</v>
      </c>
      <c r="AE103" s="17">
        <f t="shared" ca="1" si="56"/>
        <v>6.7506986876112647</v>
      </c>
      <c r="AF103" s="17">
        <f t="shared" ca="1" si="36"/>
        <v>0.25069868761126479</v>
      </c>
      <c r="AG103" s="17">
        <v>96.256823277360894</v>
      </c>
    </row>
    <row r="104" spans="15:33" ht="18.75" x14ac:dyDescent="0.3">
      <c r="O104" s="138">
        <v>10.1</v>
      </c>
      <c r="AB104" s="17">
        <f t="shared" si="53"/>
        <v>1.5663530000000001</v>
      </c>
      <c r="AC104" s="17">
        <f t="shared" si="54"/>
        <v>6.4480995024748564</v>
      </c>
      <c r="AD104" s="22">
        <f t="shared" ca="1" si="55"/>
        <v>1.5075159814028194</v>
      </c>
      <c r="AE104" s="17">
        <f t="shared" ca="1" si="56"/>
        <v>6.6997631365748056</v>
      </c>
      <c r="AF104" s="17">
        <f t="shared" ca="1" si="36"/>
        <v>0.19976313657480593</v>
      </c>
      <c r="AG104" s="17">
        <v>97.256823277360894</v>
      </c>
    </row>
    <row r="105" spans="15:33" ht="18" x14ac:dyDescent="0.25">
      <c r="O105" s="2019">
        <v>8.4</v>
      </c>
      <c r="AB105" s="17">
        <f t="shared" ref="AB105:AB113" si="57">-0.0007*POWER(O105,2)+0.0546*O105+1.0863</f>
        <v>1.4955480000000001</v>
      </c>
      <c r="AC105" s="17">
        <f t="shared" ref="AC105:AC113" si="58">O105/AB105</f>
        <v>5.6166702773832737</v>
      </c>
      <c r="AD105" s="22">
        <f t="shared" ref="AD105:AD113" ca="1" si="59">IF(AC105&lt;6.5,O105/(6.5+AF105),AB105)</f>
        <v>1.2246919637409677</v>
      </c>
      <c r="AE105" s="17">
        <f t="shared" ref="AE105:AE113" ca="1" si="60">O105/AD105</f>
        <v>6.8588675754360295</v>
      </c>
      <c r="AF105" s="17">
        <f t="shared" ca="1" si="36"/>
        <v>0.35886757543602943</v>
      </c>
      <c r="AG105" s="17">
        <v>98.256823277360894</v>
      </c>
    </row>
    <row r="106" spans="15:33" ht="18" x14ac:dyDescent="0.25">
      <c r="O106" s="2019">
        <v>5.6000000000000005</v>
      </c>
      <c r="AB106" s="17">
        <f t="shared" si="57"/>
        <v>1.3701080000000001</v>
      </c>
      <c r="AC106" s="17">
        <f t="shared" si="58"/>
        <v>4.0872690328061729</v>
      </c>
      <c r="AD106" s="22">
        <f t="shared" ca="1" si="59"/>
        <v>0.82771341757940398</v>
      </c>
      <c r="AE106" s="17">
        <f t="shared" ca="1" si="60"/>
        <v>6.7656267025087615</v>
      </c>
      <c r="AF106" s="17">
        <f t="shared" ca="1" si="36"/>
        <v>0.26562670250876153</v>
      </c>
      <c r="AG106" s="17">
        <v>99.256823277360894</v>
      </c>
    </row>
    <row r="107" spans="15:33" ht="18" x14ac:dyDescent="0.25">
      <c r="O107" s="2019">
        <v>5.3000000000000007</v>
      </c>
      <c r="AB107" s="17">
        <f t="shared" si="57"/>
        <v>1.356017</v>
      </c>
      <c r="AC107" s="17">
        <f t="shared" si="58"/>
        <v>3.9085055718328019</v>
      </c>
      <c r="AD107" s="22">
        <f t="shared" ca="1" si="59"/>
        <v>0.76312931219427704</v>
      </c>
      <c r="AE107" s="17">
        <f t="shared" ca="1" si="60"/>
        <v>6.9450877004849341</v>
      </c>
      <c r="AF107" s="17">
        <f t="shared" ca="1" si="36"/>
        <v>0.44508770048493385</v>
      </c>
      <c r="AG107" s="17">
        <v>100.25682327736099</v>
      </c>
    </row>
    <row r="108" spans="15:33" ht="18" x14ac:dyDescent="0.25">
      <c r="O108" s="2019">
        <v>8.6</v>
      </c>
      <c r="AB108" s="17">
        <f t="shared" si="57"/>
        <v>1.5040880000000001</v>
      </c>
      <c r="AC108" s="17">
        <f t="shared" si="58"/>
        <v>5.7177505571482516</v>
      </c>
      <c r="AD108" s="22">
        <f t="shared" ca="1" si="59"/>
        <v>1.2435635536007015</v>
      </c>
      <c r="AE108" s="17">
        <f t="shared" ca="1" si="60"/>
        <v>6.9156095602021743</v>
      </c>
      <c r="AF108" s="17">
        <f t="shared" ca="1" si="36"/>
        <v>0.41560956020217321</v>
      </c>
      <c r="AG108" s="17">
        <v>101.25682327736099</v>
      </c>
    </row>
    <row r="109" spans="15:33" ht="18" x14ac:dyDescent="0.25">
      <c r="O109" s="2019">
        <v>7</v>
      </c>
      <c r="AB109" s="17">
        <f t="shared" si="57"/>
        <v>1.4342000000000001</v>
      </c>
      <c r="AC109" s="17">
        <f t="shared" si="58"/>
        <v>4.8807697671175561</v>
      </c>
      <c r="AD109" s="22">
        <f t="shared" ca="1" si="59"/>
        <v>1.0236344781733133</v>
      </c>
      <c r="AE109" s="17">
        <f t="shared" ca="1" si="60"/>
        <v>6.8383784927717315</v>
      </c>
      <c r="AF109" s="17">
        <f t="shared" ca="1" si="36"/>
        <v>0.33837849277173138</v>
      </c>
      <c r="AG109" s="17">
        <v>102.25682327736099</v>
      </c>
    </row>
    <row r="110" spans="15:33" ht="18" x14ac:dyDescent="0.25">
      <c r="O110" s="2019">
        <v>6</v>
      </c>
      <c r="AB110" s="17">
        <f t="shared" si="57"/>
        <v>1.3887</v>
      </c>
      <c r="AC110" s="17">
        <f t="shared" si="58"/>
        <v>4.3205875999135879</v>
      </c>
      <c r="AD110" s="22">
        <f t="shared" ca="1" si="59"/>
        <v>0.87744551084532152</v>
      </c>
      <c r="AE110" s="17">
        <f t="shared" ca="1" si="60"/>
        <v>6.8380314513429612</v>
      </c>
      <c r="AF110" s="17">
        <f t="shared" ca="1" si="36"/>
        <v>0.33803145134296153</v>
      </c>
      <c r="AG110" s="17">
        <v>103.25682327736099</v>
      </c>
    </row>
    <row r="111" spans="15:33" ht="18" x14ac:dyDescent="0.25">
      <c r="O111" s="2019">
        <v>5.6000000000000005</v>
      </c>
      <c r="AB111" s="17">
        <f t="shared" si="57"/>
        <v>1.3701080000000001</v>
      </c>
      <c r="AC111" s="17">
        <f t="shared" si="58"/>
        <v>4.0872690328061729</v>
      </c>
      <c r="AD111" s="22">
        <f t="shared" ca="1" si="59"/>
        <v>0.85154670318581005</v>
      </c>
      <c r="AE111" s="17">
        <f t="shared" ca="1" si="60"/>
        <v>6.5762687813237459</v>
      </c>
      <c r="AF111" s="17">
        <f t="shared" ca="1" si="36"/>
        <v>7.6268781323746038E-2</v>
      </c>
      <c r="AG111" s="17">
        <v>104.25682327736099</v>
      </c>
    </row>
    <row r="112" spans="15:33" ht="18" x14ac:dyDescent="0.25">
      <c r="O112" s="2019">
        <v>5.4</v>
      </c>
      <c r="AB112" s="17">
        <f t="shared" si="57"/>
        <v>1.3607280000000002</v>
      </c>
      <c r="AC112" s="17">
        <f t="shared" si="58"/>
        <v>3.9684639398909991</v>
      </c>
      <c r="AD112" s="22">
        <f t="shared" ca="1" si="59"/>
        <v>0.7310491098485038</v>
      </c>
      <c r="AE112" s="17">
        <f t="shared" ca="1" si="60"/>
        <v>7.3866446552667977</v>
      </c>
      <c r="AF112" s="17">
        <f t="shared" ca="1" si="36"/>
        <v>0.88664465526679792</v>
      </c>
      <c r="AG112" s="17">
        <v>105.25682327736099</v>
      </c>
    </row>
    <row r="113" spans="15:33" ht="18" x14ac:dyDescent="0.25">
      <c r="O113" s="2019">
        <v>5.6000000000000005</v>
      </c>
      <c r="AB113" s="17">
        <f t="shared" si="57"/>
        <v>1.3701080000000001</v>
      </c>
      <c r="AC113" s="17">
        <f t="shared" si="58"/>
        <v>4.0872690328061729</v>
      </c>
      <c r="AD113" s="22">
        <f t="shared" ca="1" si="59"/>
        <v>0.77163148669221848</v>
      </c>
      <c r="AE113" s="17">
        <f t="shared" ca="1" si="60"/>
        <v>7.2573502981400226</v>
      </c>
      <c r="AF113" s="17">
        <f t="shared" ca="1" si="36"/>
        <v>0.75735029814002264</v>
      </c>
      <c r="AG113" s="17">
        <v>106.25682327736099</v>
      </c>
    </row>
    <row r="114" spans="15:33" ht="18.75" x14ac:dyDescent="0.3">
      <c r="O114" s="2000">
        <v>0.6</v>
      </c>
      <c r="AB114" s="17">
        <f t="shared" ref="AB114:AB116" si="61">-0.0007*POWER(O114,2)+0.0546*O114+1.0863</f>
        <v>1.118808</v>
      </c>
      <c r="AC114" s="17">
        <f t="shared" ref="AC114:AC116" si="62">O114/AB114</f>
        <v>0.53628504622777096</v>
      </c>
      <c r="AD114" s="22">
        <f t="shared" ref="AD114:AD116" ca="1" si="63">IF(AC114&lt;6.5,O114/(6.5+AF114),AB114)</f>
        <v>8.287924820873907E-2</v>
      </c>
      <c r="AE114" s="17">
        <f t="shared" ref="AE114:AE116" ca="1" si="64">O114/AD114</f>
        <v>7.2394479072595388</v>
      </c>
      <c r="AF114" s="17">
        <f t="shared" ca="1" si="36"/>
        <v>0.73944790725953846</v>
      </c>
      <c r="AG114" s="17">
        <v>107.25682327736099</v>
      </c>
    </row>
    <row r="115" spans="15:33" ht="18.75" x14ac:dyDescent="0.3">
      <c r="O115" s="2000">
        <v>5.2</v>
      </c>
      <c r="AB115" s="17">
        <f t="shared" si="61"/>
        <v>1.3512919999999999</v>
      </c>
      <c r="AC115" s="17">
        <f t="shared" si="62"/>
        <v>3.8481690115829892</v>
      </c>
      <c r="AD115" s="22">
        <f t="shared" ca="1" si="63"/>
        <v>0.79819376023748534</v>
      </c>
      <c r="AE115" s="17">
        <f t="shared" ca="1" si="64"/>
        <v>6.5147089078381821</v>
      </c>
      <c r="AF115" s="17">
        <f t="shared" ca="1" si="36"/>
        <v>1.4708907838181684E-2</v>
      </c>
      <c r="AG115" s="17">
        <v>108.25682327736099</v>
      </c>
    </row>
    <row r="116" spans="15:33" ht="18.75" x14ac:dyDescent="0.3">
      <c r="O116" s="2000">
        <v>11.1</v>
      </c>
      <c r="AB116" s="17">
        <f t="shared" si="61"/>
        <v>1.6061130000000001</v>
      </c>
      <c r="AC116" s="17">
        <f t="shared" si="62"/>
        <v>6.9110952965326842</v>
      </c>
      <c r="AD116" s="22">
        <f t="shared" si="63"/>
        <v>1.6061130000000001</v>
      </c>
      <c r="AE116" s="17">
        <f t="shared" si="64"/>
        <v>6.9110952965326842</v>
      </c>
      <c r="AF116" s="17">
        <f t="shared" ca="1" si="36"/>
        <v>0.53984379287423556</v>
      </c>
      <c r="AG116" s="17">
        <v>109.25682327736099</v>
      </c>
    </row>
    <row r="117" spans="15:33" ht="18.75" x14ac:dyDescent="0.3">
      <c r="O117" s="138">
        <v>40</v>
      </c>
      <c r="AB117" s="17">
        <f t="shared" ref="AB117:AB120" si="65">-0.0007*POWER(O117,2)+0.0546*O117+1.0863</f>
        <v>2.1503000000000005</v>
      </c>
      <c r="AC117" s="17">
        <f t="shared" ref="AC117:AC120" si="66">O117/AB117</f>
        <v>18.602055527135743</v>
      </c>
      <c r="AD117" s="22">
        <f t="shared" ref="AD117:AD120" si="67">IF(AC117&lt;6.5,O117/(6.5+AF117),AB117)</f>
        <v>2.1503000000000005</v>
      </c>
      <c r="AE117" s="17">
        <f t="shared" ref="AE117:AE120" si="68">O117/AD117</f>
        <v>18.602055527135743</v>
      </c>
      <c r="AF117" s="17">
        <f t="shared" ca="1" si="36"/>
        <v>0.81330207316701775</v>
      </c>
      <c r="AG117" s="17">
        <v>110.25682327736099</v>
      </c>
    </row>
    <row r="118" spans="15:33" ht="18.75" x14ac:dyDescent="0.3">
      <c r="O118" s="138">
        <v>32.9</v>
      </c>
      <c r="AB118" s="17">
        <f t="shared" si="65"/>
        <v>2.1249530000000001</v>
      </c>
      <c r="AC118" s="17">
        <f t="shared" si="66"/>
        <v>15.482695381968448</v>
      </c>
      <c r="AD118" s="22">
        <f t="shared" si="67"/>
        <v>2.1249530000000001</v>
      </c>
      <c r="AE118" s="17">
        <f t="shared" si="68"/>
        <v>15.482695381968448</v>
      </c>
      <c r="AF118" s="17">
        <f t="shared" ca="1" si="36"/>
        <v>0.49004941973656357</v>
      </c>
      <c r="AG118" s="17">
        <v>111.25682327736099</v>
      </c>
    </row>
    <row r="119" spans="15:33" ht="18.75" x14ac:dyDescent="0.3">
      <c r="O119" s="138">
        <v>34.1</v>
      </c>
      <c r="AB119" s="17">
        <f t="shared" si="65"/>
        <v>2.1341929999999998</v>
      </c>
      <c r="AC119" s="17">
        <f t="shared" si="66"/>
        <v>15.977936390944963</v>
      </c>
      <c r="AD119" s="22">
        <f t="shared" si="67"/>
        <v>2.1341929999999998</v>
      </c>
      <c r="AE119" s="17">
        <f t="shared" si="68"/>
        <v>15.977936390944963</v>
      </c>
      <c r="AF119" s="17">
        <f t="shared" ca="1" si="36"/>
        <v>0.73504321676473972</v>
      </c>
      <c r="AG119" s="17">
        <v>112.25682327736099</v>
      </c>
    </row>
    <row r="120" spans="15:33" ht="18.75" x14ac:dyDescent="0.3">
      <c r="O120" s="138">
        <v>16.5</v>
      </c>
      <c r="AB120" s="17">
        <f t="shared" si="65"/>
        <v>1.7966250000000001</v>
      </c>
      <c r="AC120" s="17">
        <f t="shared" si="66"/>
        <v>9.1838864537674798</v>
      </c>
      <c r="AD120" s="22">
        <f t="shared" si="67"/>
        <v>1.7966250000000001</v>
      </c>
      <c r="AE120" s="17">
        <f t="shared" si="68"/>
        <v>9.1838864537674798</v>
      </c>
      <c r="AF120" s="17">
        <f t="shared" ca="1" si="36"/>
        <v>0.79382915850031488</v>
      </c>
      <c r="AG120" s="17">
        <v>113.25682327736099</v>
      </c>
    </row>
    <row r="121" spans="15:33" ht="18.75" x14ac:dyDescent="0.3">
      <c r="O121" s="679">
        <v>10.5</v>
      </c>
      <c r="AB121" s="17">
        <f t="shared" ref="AB121:AB123" si="69">-0.0007*POWER(O121,2)+0.0546*O121+1.0863</f>
        <v>1.5824250000000002</v>
      </c>
      <c r="AC121" s="17">
        <f t="shared" ref="AC121:AC123" si="70">O121/AB121</f>
        <v>6.6353855632968379</v>
      </c>
      <c r="AD121" s="22">
        <f t="shared" ref="AD121:AD123" si="71">IF(AC121&lt;6.5,O121/(6.5+AF121),AB121)</f>
        <v>1.5824250000000002</v>
      </c>
      <c r="AE121" s="17">
        <f t="shared" ref="AE121:AE123" si="72">O121/AD121</f>
        <v>6.6353855632968379</v>
      </c>
      <c r="AF121" s="17">
        <f t="shared" ca="1" si="36"/>
        <v>0.22095833237266049</v>
      </c>
      <c r="AG121" s="17">
        <v>114.25682327736099</v>
      </c>
    </row>
    <row r="122" spans="15:33" ht="18.75" x14ac:dyDescent="0.3">
      <c r="O122" s="679">
        <v>11.899999999999999</v>
      </c>
      <c r="AB122" s="17">
        <f t="shared" si="69"/>
        <v>1.6369130000000001</v>
      </c>
      <c r="AC122" s="17">
        <f t="shared" si="70"/>
        <v>7.2697815949900804</v>
      </c>
      <c r="AD122" s="22">
        <f t="shared" si="71"/>
        <v>1.6369130000000001</v>
      </c>
      <c r="AE122" s="17">
        <f t="shared" si="72"/>
        <v>7.2697815949900804</v>
      </c>
      <c r="AF122" s="17">
        <f t="shared" ca="1" si="36"/>
        <v>0.48527573679849045</v>
      </c>
      <c r="AG122" s="17">
        <v>115.25682327736099</v>
      </c>
    </row>
    <row r="123" spans="15:33" ht="18.75" x14ac:dyDescent="0.3">
      <c r="O123" s="679">
        <v>9</v>
      </c>
      <c r="AB123" s="17">
        <f t="shared" si="69"/>
        <v>1.5209999999999999</v>
      </c>
      <c r="AC123" s="17">
        <f t="shared" si="70"/>
        <v>5.9171597633136095</v>
      </c>
      <c r="AD123" s="22">
        <f t="shared" ca="1" si="71"/>
        <v>1.3210446120402364</v>
      </c>
      <c r="AE123" s="17">
        <f t="shared" ca="1" si="72"/>
        <v>6.8127903614854439</v>
      </c>
      <c r="AF123" s="17">
        <f t="shared" ca="1" si="36"/>
        <v>0.31279036148544381</v>
      </c>
      <c r="AG123" s="17">
        <v>116.25682327736099</v>
      </c>
    </row>
    <row r="124" spans="15:33" ht="18.75" x14ac:dyDescent="0.3">
      <c r="O124" s="1070">
        <v>6.8000000000000007</v>
      </c>
      <c r="AB124" s="17">
        <f t="shared" ref="AB124:AB133" si="73">-0.0007*POWER(O124,2)+0.0546*O124+1.0863</f>
        <v>1.4252120000000001</v>
      </c>
      <c r="AC124" s="17">
        <f t="shared" ref="AC124:AC133" si="74">O124/AB124</f>
        <v>4.7712200009542443</v>
      </c>
      <c r="AD124" s="22">
        <f t="shared" ref="AD124:AD133" ca="1" si="75">IF(AC124&lt;6.5,O124/(6.5+AF124),AB124)</f>
        <v>0.90966647191109573</v>
      </c>
      <c r="AE124" s="17">
        <f t="shared" ref="AE124:AE133" ca="1" si="76">O124/AD124</f>
        <v>7.4752672655001229</v>
      </c>
      <c r="AF124" s="17">
        <f t="shared" ca="1" si="36"/>
        <v>0.97526726550012321</v>
      </c>
      <c r="AG124" s="17">
        <v>117.25682327736099</v>
      </c>
    </row>
    <row r="125" spans="15:33" ht="18.75" x14ac:dyDescent="0.3">
      <c r="O125" s="1070">
        <v>18</v>
      </c>
      <c r="AB125" s="17">
        <f t="shared" si="73"/>
        <v>1.8423</v>
      </c>
      <c r="AC125" s="17">
        <f t="shared" si="74"/>
        <v>9.7703957010258922</v>
      </c>
      <c r="AD125" s="22">
        <f t="shared" si="75"/>
        <v>1.8423</v>
      </c>
      <c r="AE125" s="17">
        <f t="shared" si="76"/>
        <v>9.7703957010258922</v>
      </c>
      <c r="AF125" s="17">
        <f t="shared" ca="1" si="36"/>
        <v>5.4165062752726811E-2</v>
      </c>
      <c r="AG125" s="17">
        <v>118.25682327736099</v>
      </c>
    </row>
    <row r="126" spans="15:33" ht="18.75" x14ac:dyDescent="0.3">
      <c r="O126" s="1070">
        <v>14</v>
      </c>
      <c r="AB126" s="17">
        <f t="shared" si="73"/>
        <v>1.7135000000000002</v>
      </c>
      <c r="AC126" s="17">
        <f t="shared" si="74"/>
        <v>8.1704114385760125</v>
      </c>
      <c r="AD126" s="22">
        <f t="shared" si="75"/>
        <v>1.7135000000000002</v>
      </c>
      <c r="AE126" s="17">
        <f t="shared" si="76"/>
        <v>8.1704114385760125</v>
      </c>
      <c r="AF126" s="17">
        <f t="shared" ca="1" si="36"/>
        <v>0.32599473633525111</v>
      </c>
      <c r="AG126" s="17">
        <v>119.25682327736099</v>
      </c>
    </row>
    <row r="127" spans="15:33" ht="18.75" x14ac:dyDescent="0.3">
      <c r="O127" s="1070">
        <v>23.3</v>
      </c>
      <c r="AB127" s="17">
        <f t="shared" si="73"/>
        <v>1.9784570000000001</v>
      </c>
      <c r="AC127" s="17">
        <f t="shared" si="74"/>
        <v>11.776854387029893</v>
      </c>
      <c r="AD127" s="22">
        <f t="shared" si="75"/>
        <v>1.9784570000000001</v>
      </c>
      <c r="AE127" s="17">
        <f t="shared" si="76"/>
        <v>11.776854387029893</v>
      </c>
      <c r="AF127" s="17">
        <f t="shared" ca="1" si="36"/>
        <v>0.35505309324506606</v>
      </c>
      <c r="AG127" s="17">
        <v>120.25682327736099</v>
      </c>
    </row>
    <row r="128" spans="15:33" ht="18.75" x14ac:dyDescent="0.3">
      <c r="O128" s="1070">
        <v>12.4</v>
      </c>
      <c r="AB128" s="17">
        <f t="shared" si="73"/>
        <v>1.6557080000000002</v>
      </c>
      <c r="AC128" s="17">
        <f t="shared" si="74"/>
        <v>7.4892432723644502</v>
      </c>
      <c r="AD128" s="22">
        <f t="shared" si="75"/>
        <v>1.6557080000000002</v>
      </c>
      <c r="AE128" s="17">
        <f t="shared" si="76"/>
        <v>7.4892432723644502</v>
      </c>
      <c r="AF128" s="17">
        <f t="shared" ca="1" si="36"/>
        <v>0.36678805516296953</v>
      </c>
      <c r="AG128" s="17">
        <v>121.25682327736099</v>
      </c>
    </row>
    <row r="129" spans="15:33" ht="18.75" x14ac:dyDescent="0.3">
      <c r="O129" s="1070">
        <v>12.9</v>
      </c>
      <c r="AB129" s="17">
        <f t="shared" si="73"/>
        <v>1.674153</v>
      </c>
      <c r="AC129" s="17">
        <f t="shared" si="74"/>
        <v>7.7053889339863204</v>
      </c>
      <c r="AD129" s="22">
        <f t="shared" si="75"/>
        <v>1.674153</v>
      </c>
      <c r="AE129" s="17">
        <f t="shared" si="76"/>
        <v>7.7053889339863204</v>
      </c>
      <c r="AF129" s="17">
        <f t="shared" ca="1" si="36"/>
        <v>0.38859706829739693</v>
      </c>
      <c r="AG129" s="17">
        <v>122.25682327736099</v>
      </c>
    </row>
    <row r="130" spans="15:33" ht="18.75" x14ac:dyDescent="0.3">
      <c r="O130" s="1070">
        <v>12.4</v>
      </c>
      <c r="AB130" s="17">
        <f t="shared" si="73"/>
        <v>1.6557080000000002</v>
      </c>
      <c r="AC130" s="17">
        <f t="shared" si="74"/>
        <v>7.4892432723644502</v>
      </c>
      <c r="AD130" s="22">
        <f t="shared" si="75"/>
        <v>1.6557080000000002</v>
      </c>
      <c r="AE130" s="17">
        <f t="shared" si="76"/>
        <v>7.4892432723644502</v>
      </c>
      <c r="AF130" s="17">
        <f t="shared" ca="1" si="36"/>
        <v>0.40084556793683501</v>
      </c>
      <c r="AG130" s="17">
        <v>123.25682327736099</v>
      </c>
    </row>
    <row r="131" spans="15:33" ht="18.75" x14ac:dyDescent="0.3">
      <c r="O131" s="1070">
        <v>14.5</v>
      </c>
      <c r="AB131" s="17">
        <f t="shared" si="73"/>
        <v>1.7308250000000001</v>
      </c>
      <c r="AC131" s="17">
        <f t="shared" si="74"/>
        <v>8.3775078358586228</v>
      </c>
      <c r="AD131" s="22">
        <f t="shared" si="75"/>
        <v>1.7308250000000001</v>
      </c>
      <c r="AE131" s="17">
        <f t="shared" si="76"/>
        <v>8.3775078358586228</v>
      </c>
      <c r="AF131" s="17">
        <f t="shared" ca="1" si="36"/>
        <v>0.73339820455253846</v>
      </c>
      <c r="AG131" s="17">
        <v>124.25682327736099</v>
      </c>
    </row>
    <row r="132" spans="15:33" ht="18.75" x14ac:dyDescent="0.3">
      <c r="O132" s="1070">
        <v>12</v>
      </c>
      <c r="AB132" s="17">
        <f t="shared" si="73"/>
        <v>1.6407</v>
      </c>
      <c r="AC132" s="17">
        <f t="shared" si="74"/>
        <v>7.3139513622234409</v>
      </c>
      <c r="AD132" s="22">
        <f t="shared" si="75"/>
        <v>1.6407</v>
      </c>
      <c r="AE132" s="17">
        <f t="shared" si="76"/>
        <v>7.3139513622234409</v>
      </c>
      <c r="AF132" s="17">
        <f t="shared" ca="1" si="36"/>
        <v>0.40009075717721787</v>
      </c>
      <c r="AG132" s="17">
        <v>125.25682327736099</v>
      </c>
    </row>
    <row r="133" spans="15:33" ht="18.75" x14ac:dyDescent="0.3">
      <c r="O133" s="1070">
        <v>11.7</v>
      </c>
      <c r="AB133" s="17">
        <f t="shared" si="73"/>
        <v>1.629297</v>
      </c>
      <c r="AC133" s="17">
        <f t="shared" si="74"/>
        <v>7.1810111968536123</v>
      </c>
      <c r="AD133" s="22">
        <f t="shared" si="75"/>
        <v>1.629297</v>
      </c>
      <c r="AE133" s="17">
        <f t="shared" si="76"/>
        <v>7.1810111968536123</v>
      </c>
      <c r="AF133" s="17">
        <f t="shared" ca="1" si="36"/>
        <v>0.50909899121512425</v>
      </c>
      <c r="AG133" s="17">
        <v>126.25682327736099</v>
      </c>
    </row>
    <row r="134" spans="15:33" ht="18.75" x14ac:dyDescent="0.3">
      <c r="O134" s="1228">
        <v>15.2</v>
      </c>
      <c r="AB134" s="17">
        <f t="shared" ref="AB134:AB159" si="77">-0.0007*POWER(O134,2)+0.0546*O134+1.0863</f>
        <v>1.7544919999999999</v>
      </c>
      <c r="AC134" s="17">
        <f t="shared" ref="AC134:AC159" si="78">O134/AB134</f>
        <v>8.6634763794876228</v>
      </c>
      <c r="AD134" s="22">
        <f t="shared" ref="AD134:AD159" si="79">IF(AC134&lt;6.5,O134/(6.5+AF134),AB134)</f>
        <v>1.7544919999999999</v>
      </c>
      <c r="AE134" s="17">
        <f t="shared" ref="AE134:AE159" si="80">O134/AD134</f>
        <v>8.6634763794876228</v>
      </c>
      <c r="AF134" s="17">
        <f t="shared" ca="1" si="36"/>
        <v>0.70123879857033955</v>
      </c>
      <c r="AG134" s="17">
        <v>127.25682327736099</v>
      </c>
    </row>
    <row r="135" spans="15:33" ht="18.75" x14ac:dyDescent="0.3">
      <c r="O135" s="1228">
        <v>14.2</v>
      </c>
      <c r="AB135" s="17">
        <f t="shared" si="77"/>
        <v>1.720472</v>
      </c>
      <c r="AC135" s="17">
        <f t="shared" si="78"/>
        <v>8.253549026081215</v>
      </c>
      <c r="AD135" s="22">
        <f t="shared" si="79"/>
        <v>1.720472</v>
      </c>
      <c r="AE135" s="17">
        <f t="shared" si="80"/>
        <v>8.253549026081215</v>
      </c>
      <c r="AF135" s="17">
        <f t="shared" ca="1" si="36"/>
        <v>0.79111510157365683</v>
      </c>
      <c r="AG135" s="17">
        <v>128.25682327736101</v>
      </c>
    </row>
    <row r="136" spans="15:33" ht="18.75" x14ac:dyDescent="0.3">
      <c r="O136" s="1228">
        <v>14.399999999999999</v>
      </c>
      <c r="AB136" s="17">
        <f t="shared" si="77"/>
        <v>1.7273879999999999</v>
      </c>
      <c r="AC136" s="17">
        <f t="shared" si="78"/>
        <v>8.336285767876122</v>
      </c>
      <c r="AD136" s="22">
        <f t="shared" si="79"/>
        <v>1.7273879999999999</v>
      </c>
      <c r="AE136" s="17">
        <f t="shared" si="80"/>
        <v>8.336285767876122</v>
      </c>
      <c r="AF136" s="17">
        <f t="shared" ref="AF136:AF194" ca="1" si="81">RAND()</f>
        <v>0.11291382884609069</v>
      </c>
      <c r="AG136" s="17">
        <v>129.25682327736101</v>
      </c>
    </row>
    <row r="137" spans="15:33" ht="18.75" x14ac:dyDescent="0.3">
      <c r="O137" s="1228">
        <v>13.3</v>
      </c>
      <c r="AB137" s="17">
        <f t="shared" si="77"/>
        <v>1.6886570000000001</v>
      </c>
      <c r="AC137" s="17">
        <f t="shared" si="78"/>
        <v>7.8760814067036709</v>
      </c>
      <c r="AD137" s="22">
        <f t="shared" si="79"/>
        <v>1.6886570000000001</v>
      </c>
      <c r="AE137" s="17">
        <f t="shared" si="80"/>
        <v>7.8760814067036709</v>
      </c>
      <c r="AF137" s="17">
        <f t="shared" ca="1" si="81"/>
        <v>0.6715576040917679</v>
      </c>
      <c r="AG137" s="17">
        <v>130.25682327736101</v>
      </c>
    </row>
    <row r="138" spans="15:33" ht="18.75" x14ac:dyDescent="0.3">
      <c r="O138" s="1228">
        <v>13.799999999999999</v>
      </c>
      <c r="AB138" s="17">
        <f t="shared" si="77"/>
        <v>1.706472</v>
      </c>
      <c r="AC138" s="17">
        <f t="shared" si="78"/>
        <v>8.0868599074581944</v>
      </c>
      <c r="AD138" s="22">
        <f t="shared" si="79"/>
        <v>1.706472</v>
      </c>
      <c r="AE138" s="17">
        <f t="shared" si="80"/>
        <v>8.0868599074581944</v>
      </c>
      <c r="AF138" s="17">
        <f t="shared" ca="1" si="81"/>
        <v>0.73440730843947621</v>
      </c>
      <c r="AG138" s="17">
        <v>131.25682327736101</v>
      </c>
    </row>
    <row r="139" spans="15:33" ht="18.75" x14ac:dyDescent="0.3">
      <c r="O139" s="1228">
        <v>15.5</v>
      </c>
      <c r="AB139" s="17">
        <f t="shared" si="77"/>
        <v>1.7644250000000001</v>
      </c>
      <c r="AC139" s="17">
        <f t="shared" si="78"/>
        <v>8.7847315697748556</v>
      </c>
      <c r="AD139" s="22">
        <f t="shared" si="79"/>
        <v>1.7644250000000001</v>
      </c>
      <c r="AE139" s="17">
        <f t="shared" si="80"/>
        <v>8.7847315697748556</v>
      </c>
      <c r="AF139" s="17">
        <f t="shared" ca="1" si="81"/>
        <v>0.51434027269694171</v>
      </c>
      <c r="AG139" s="17">
        <v>132.25682327736101</v>
      </c>
    </row>
    <row r="140" spans="15:33" ht="18.75" x14ac:dyDescent="0.3">
      <c r="O140" s="1228">
        <v>14.7</v>
      </c>
      <c r="AB140" s="17">
        <f t="shared" si="77"/>
        <v>1.737657</v>
      </c>
      <c r="AC140" s="17">
        <f t="shared" si="78"/>
        <v>8.4596672415787459</v>
      </c>
      <c r="AD140" s="22">
        <f t="shared" si="79"/>
        <v>1.737657</v>
      </c>
      <c r="AE140" s="17">
        <f t="shared" si="80"/>
        <v>8.4596672415787459</v>
      </c>
      <c r="AF140" s="17">
        <f t="shared" ca="1" si="81"/>
        <v>0.55007611274941282</v>
      </c>
      <c r="AG140" s="17">
        <v>133.25682327736101</v>
      </c>
    </row>
    <row r="141" spans="15:33" ht="18.75" x14ac:dyDescent="0.3">
      <c r="O141" s="1228">
        <v>14.399999999999999</v>
      </c>
      <c r="AB141" s="17">
        <f t="shared" si="77"/>
        <v>1.7273879999999999</v>
      </c>
      <c r="AC141" s="17">
        <f t="shared" si="78"/>
        <v>8.336285767876122</v>
      </c>
      <c r="AD141" s="22">
        <f t="shared" si="79"/>
        <v>1.7273879999999999</v>
      </c>
      <c r="AE141" s="17">
        <f t="shared" si="80"/>
        <v>8.336285767876122</v>
      </c>
      <c r="AF141" s="17">
        <f t="shared" ca="1" si="81"/>
        <v>0.17680003931004395</v>
      </c>
      <c r="AG141" s="17">
        <v>134.25682327736101</v>
      </c>
    </row>
    <row r="142" spans="15:33" ht="18.75" x14ac:dyDescent="0.3">
      <c r="O142" s="1228">
        <v>15.3</v>
      </c>
      <c r="AB142" s="17">
        <f t="shared" si="77"/>
        <v>1.7578170000000002</v>
      </c>
      <c r="AC142" s="17">
        <f t="shared" si="78"/>
        <v>8.7039777178170414</v>
      </c>
      <c r="AD142" s="22">
        <f t="shared" si="79"/>
        <v>1.7578170000000002</v>
      </c>
      <c r="AE142" s="17">
        <f t="shared" si="80"/>
        <v>8.7039777178170414</v>
      </c>
      <c r="AF142" s="17">
        <f t="shared" ca="1" si="81"/>
        <v>0.52456597240549108</v>
      </c>
      <c r="AG142" s="17">
        <v>135.25682327736101</v>
      </c>
    </row>
    <row r="143" spans="15:33" ht="18.75" x14ac:dyDescent="0.3">
      <c r="O143" s="1228">
        <v>15.5</v>
      </c>
      <c r="AB143" s="17">
        <f t="shared" si="77"/>
        <v>1.7644250000000001</v>
      </c>
      <c r="AC143" s="17">
        <f t="shared" si="78"/>
        <v>8.7847315697748556</v>
      </c>
      <c r="AD143" s="22">
        <f t="shared" si="79"/>
        <v>1.7644250000000001</v>
      </c>
      <c r="AE143" s="17">
        <f t="shared" si="80"/>
        <v>8.7847315697748556</v>
      </c>
      <c r="AF143" s="17">
        <f t="shared" ca="1" si="81"/>
        <v>7.2391639345787961E-2</v>
      </c>
      <c r="AG143" s="17">
        <v>136.25682327736101</v>
      </c>
    </row>
    <row r="144" spans="15:33" ht="18.75" x14ac:dyDescent="0.3">
      <c r="O144" s="1228">
        <v>15.5</v>
      </c>
      <c r="AB144" s="17">
        <f t="shared" si="77"/>
        <v>1.7644250000000001</v>
      </c>
      <c r="AC144" s="17">
        <f t="shared" si="78"/>
        <v>8.7847315697748556</v>
      </c>
      <c r="AD144" s="22">
        <f t="shared" si="79"/>
        <v>1.7644250000000001</v>
      </c>
      <c r="AE144" s="17">
        <f t="shared" si="80"/>
        <v>8.7847315697748556</v>
      </c>
      <c r="AF144" s="17">
        <f t="shared" ca="1" si="81"/>
        <v>0.53421808791099956</v>
      </c>
      <c r="AG144" s="17">
        <v>137.25682327736101</v>
      </c>
    </row>
    <row r="145" spans="15:33" ht="18.75" x14ac:dyDescent="0.3">
      <c r="O145" s="1228">
        <v>15.4</v>
      </c>
      <c r="AB145" s="17">
        <f t="shared" si="77"/>
        <v>1.761128</v>
      </c>
      <c r="AC145" s="17">
        <f t="shared" si="78"/>
        <v>8.7443956373415226</v>
      </c>
      <c r="AD145" s="22">
        <f t="shared" si="79"/>
        <v>1.761128</v>
      </c>
      <c r="AE145" s="17">
        <f t="shared" si="80"/>
        <v>8.7443956373415226</v>
      </c>
      <c r="AF145" s="17">
        <f t="shared" ca="1" si="81"/>
        <v>0.36278589655660098</v>
      </c>
      <c r="AG145" s="17">
        <v>138.25682327736101</v>
      </c>
    </row>
    <row r="146" spans="15:33" ht="18.75" x14ac:dyDescent="0.3">
      <c r="O146" s="1228">
        <v>16.599999999999998</v>
      </c>
      <c r="AB146" s="17">
        <f t="shared" si="77"/>
        <v>1.799768</v>
      </c>
      <c r="AC146" s="17">
        <f t="shared" si="78"/>
        <v>9.2234110174200215</v>
      </c>
      <c r="AD146" s="22">
        <f t="shared" si="79"/>
        <v>1.799768</v>
      </c>
      <c r="AE146" s="17">
        <f t="shared" si="80"/>
        <v>9.2234110174200215</v>
      </c>
      <c r="AF146" s="17">
        <f t="shared" ca="1" si="81"/>
        <v>0.15151052239228957</v>
      </c>
      <c r="AG146" s="17">
        <v>139.25682327736101</v>
      </c>
    </row>
    <row r="147" spans="15:33" ht="18.75" x14ac:dyDescent="0.3">
      <c r="O147" s="1228">
        <v>14.399999999999999</v>
      </c>
      <c r="AB147" s="17">
        <f t="shared" si="77"/>
        <v>1.7273879999999999</v>
      </c>
      <c r="AC147" s="17">
        <f t="shared" si="78"/>
        <v>8.336285767876122</v>
      </c>
      <c r="AD147" s="22">
        <f t="shared" si="79"/>
        <v>1.7273879999999999</v>
      </c>
      <c r="AE147" s="17">
        <f t="shared" si="80"/>
        <v>8.336285767876122</v>
      </c>
      <c r="AF147" s="17">
        <f t="shared" ca="1" si="81"/>
        <v>0.31183956196525431</v>
      </c>
      <c r="AG147" s="17">
        <v>140.25682327736101</v>
      </c>
    </row>
    <row r="148" spans="15:33" ht="18.75" x14ac:dyDescent="0.3">
      <c r="O148" s="1228">
        <v>18</v>
      </c>
      <c r="AB148" s="17">
        <f t="shared" si="77"/>
        <v>1.8423</v>
      </c>
      <c r="AC148" s="17">
        <f t="shared" si="78"/>
        <v>9.7703957010258922</v>
      </c>
      <c r="AD148" s="22">
        <f t="shared" si="79"/>
        <v>1.8423</v>
      </c>
      <c r="AE148" s="17">
        <f t="shared" si="80"/>
        <v>9.7703957010258922</v>
      </c>
      <c r="AF148" s="17">
        <f t="shared" ca="1" si="81"/>
        <v>0.90700665480902687</v>
      </c>
      <c r="AG148" s="17">
        <v>141.25682327736101</v>
      </c>
    </row>
    <row r="149" spans="15:33" ht="18.75" x14ac:dyDescent="0.3">
      <c r="O149" s="1228">
        <v>17</v>
      </c>
      <c r="AB149" s="17">
        <f t="shared" si="77"/>
        <v>1.8122</v>
      </c>
      <c r="AC149" s="17">
        <f t="shared" si="78"/>
        <v>9.3808630393996246</v>
      </c>
      <c r="AD149" s="22">
        <f t="shared" si="79"/>
        <v>1.8122</v>
      </c>
      <c r="AE149" s="17">
        <f t="shared" si="80"/>
        <v>9.3808630393996246</v>
      </c>
      <c r="AF149" s="17">
        <f t="shared" ca="1" si="81"/>
        <v>0.82252469733052447</v>
      </c>
      <c r="AG149" s="17">
        <v>142.25682327736101</v>
      </c>
    </row>
    <row r="150" spans="15:33" ht="18.75" x14ac:dyDescent="0.3">
      <c r="O150" s="1228">
        <v>15.600000000000001</v>
      </c>
      <c r="AB150" s="17">
        <f t="shared" si="77"/>
        <v>1.7677080000000001</v>
      </c>
      <c r="AC150" s="17">
        <f t="shared" si="78"/>
        <v>8.8249869322308889</v>
      </c>
      <c r="AD150" s="22">
        <f t="shared" si="79"/>
        <v>1.7677080000000001</v>
      </c>
      <c r="AE150" s="17">
        <f t="shared" si="80"/>
        <v>8.8249869322308889</v>
      </c>
      <c r="AF150" s="17">
        <f t="shared" ca="1" si="81"/>
        <v>6.6522543081965368E-2</v>
      </c>
      <c r="AG150" s="17">
        <v>143.25682327736101</v>
      </c>
    </row>
    <row r="151" spans="15:33" ht="18.75" x14ac:dyDescent="0.3">
      <c r="O151" s="1228">
        <v>13.799999999999999</v>
      </c>
      <c r="AB151" s="17">
        <f t="shared" si="77"/>
        <v>1.706472</v>
      </c>
      <c r="AC151" s="17">
        <f t="shared" si="78"/>
        <v>8.0868599074581944</v>
      </c>
      <c r="AD151" s="22">
        <f t="shared" si="79"/>
        <v>1.706472</v>
      </c>
      <c r="AE151" s="17">
        <f t="shared" si="80"/>
        <v>8.0868599074581944</v>
      </c>
      <c r="AF151" s="17">
        <f t="shared" ca="1" si="81"/>
        <v>0.22633104540242799</v>
      </c>
      <c r="AG151" s="17">
        <v>144.25682327736101</v>
      </c>
    </row>
    <row r="152" spans="15:33" ht="18.75" x14ac:dyDescent="0.3">
      <c r="O152" s="1228">
        <v>17.399999999999999</v>
      </c>
      <c r="AB152" s="17">
        <f t="shared" si="77"/>
        <v>1.824408</v>
      </c>
      <c r="AC152" s="17">
        <f t="shared" si="78"/>
        <v>9.5373403317678935</v>
      </c>
      <c r="AD152" s="22">
        <f t="shared" si="79"/>
        <v>1.824408</v>
      </c>
      <c r="AE152" s="17">
        <f t="shared" si="80"/>
        <v>9.5373403317678935</v>
      </c>
      <c r="AF152" s="17">
        <f t="shared" ca="1" si="81"/>
        <v>0.34507085729380638</v>
      </c>
      <c r="AG152" s="17">
        <v>145.25682327736101</v>
      </c>
    </row>
    <row r="153" spans="15:33" ht="18.75" x14ac:dyDescent="0.3">
      <c r="O153" s="1228">
        <v>15.2</v>
      </c>
      <c r="AB153" s="17">
        <f t="shared" si="77"/>
        <v>1.7544919999999999</v>
      </c>
      <c r="AC153" s="17">
        <f t="shared" si="78"/>
        <v>8.6634763794876228</v>
      </c>
      <c r="AD153" s="22">
        <f t="shared" si="79"/>
        <v>1.7544919999999999</v>
      </c>
      <c r="AE153" s="17">
        <f t="shared" si="80"/>
        <v>8.6634763794876228</v>
      </c>
      <c r="AF153" s="17">
        <f t="shared" ca="1" si="81"/>
        <v>0.13246628527917226</v>
      </c>
      <c r="AG153" s="17">
        <v>146.25682327736101</v>
      </c>
    </row>
    <row r="154" spans="15:33" ht="18.75" x14ac:dyDescent="0.3">
      <c r="O154" s="1228">
        <v>16.899999999999999</v>
      </c>
      <c r="AB154" s="17">
        <f t="shared" si="77"/>
        <v>1.809113</v>
      </c>
      <c r="AC154" s="17">
        <f t="shared" si="78"/>
        <v>9.3415944719871007</v>
      </c>
      <c r="AD154" s="22">
        <f t="shared" si="79"/>
        <v>1.809113</v>
      </c>
      <c r="AE154" s="17">
        <f t="shared" si="80"/>
        <v>9.3415944719871007</v>
      </c>
      <c r="AF154" s="17">
        <f t="shared" ca="1" si="81"/>
        <v>0.39101191310650818</v>
      </c>
      <c r="AG154" s="17">
        <v>147.25682327736101</v>
      </c>
    </row>
    <row r="155" spans="15:33" ht="18.75" x14ac:dyDescent="0.3">
      <c r="O155" s="1228">
        <v>18.899999999999999</v>
      </c>
      <c r="AB155" s="17">
        <f t="shared" si="77"/>
        <v>1.8681930000000002</v>
      </c>
      <c r="AC155" s="17">
        <f t="shared" si="78"/>
        <v>10.116727768490726</v>
      </c>
      <c r="AD155" s="22">
        <f t="shared" si="79"/>
        <v>1.8681930000000002</v>
      </c>
      <c r="AE155" s="17">
        <f t="shared" si="80"/>
        <v>10.116727768490726</v>
      </c>
      <c r="AF155" s="17">
        <f t="shared" ca="1" si="81"/>
        <v>0.17091844069871731</v>
      </c>
      <c r="AG155" s="17">
        <v>148.25682327736101</v>
      </c>
    </row>
    <row r="156" spans="15:33" ht="18.75" x14ac:dyDescent="0.3">
      <c r="O156" s="1228">
        <v>15</v>
      </c>
      <c r="AB156" s="17">
        <f t="shared" si="77"/>
        <v>1.7478000000000002</v>
      </c>
      <c r="AC156" s="17">
        <f t="shared" si="78"/>
        <v>8.5822176450394778</v>
      </c>
      <c r="AD156" s="22">
        <f t="shared" si="79"/>
        <v>1.7478000000000002</v>
      </c>
      <c r="AE156" s="17">
        <f t="shared" si="80"/>
        <v>8.5822176450394778</v>
      </c>
      <c r="AF156" s="17">
        <f t="shared" ca="1" si="81"/>
        <v>0.45342792313269842</v>
      </c>
      <c r="AG156" s="17">
        <v>149.25682327736101</v>
      </c>
    </row>
    <row r="157" spans="15:33" ht="18.75" x14ac:dyDescent="0.3">
      <c r="O157" s="1228">
        <v>13.700000000000001</v>
      </c>
      <c r="AB157" s="17">
        <f t="shared" si="77"/>
        <v>1.7029370000000001</v>
      </c>
      <c r="AC157" s="17">
        <f t="shared" si="78"/>
        <v>8.0449247388482377</v>
      </c>
      <c r="AD157" s="22">
        <f t="shared" si="79"/>
        <v>1.7029370000000001</v>
      </c>
      <c r="AE157" s="17">
        <f t="shared" si="80"/>
        <v>8.0449247388482377</v>
      </c>
      <c r="AF157" s="17">
        <f t="shared" ca="1" si="81"/>
        <v>0.18023043323393972</v>
      </c>
      <c r="AG157" s="17">
        <v>150.25682327736101</v>
      </c>
    </row>
    <row r="158" spans="15:33" ht="18.75" x14ac:dyDescent="0.3">
      <c r="O158" s="1228">
        <v>16.5</v>
      </c>
      <c r="AB158" s="17">
        <f t="shared" si="77"/>
        <v>1.7966250000000001</v>
      </c>
      <c r="AC158" s="17">
        <f t="shared" si="78"/>
        <v>9.1838864537674798</v>
      </c>
      <c r="AD158" s="22">
        <f t="shared" si="79"/>
        <v>1.7966250000000001</v>
      </c>
      <c r="AE158" s="17">
        <f t="shared" si="80"/>
        <v>9.1838864537674798</v>
      </c>
      <c r="AF158" s="17">
        <f t="shared" ca="1" si="81"/>
        <v>0.47656372451282458</v>
      </c>
      <c r="AG158" s="17">
        <v>151.25682327736101</v>
      </c>
    </row>
    <row r="159" spans="15:33" ht="18.75" x14ac:dyDescent="0.3">
      <c r="O159" s="1228">
        <v>16.200000000000003</v>
      </c>
      <c r="AB159" s="17">
        <f t="shared" si="77"/>
        <v>1.787112</v>
      </c>
      <c r="AC159" s="17">
        <f t="shared" si="78"/>
        <v>9.0649047177793012</v>
      </c>
      <c r="AD159" s="22">
        <f t="shared" si="79"/>
        <v>1.787112</v>
      </c>
      <c r="AE159" s="17">
        <f t="shared" si="80"/>
        <v>9.0649047177793012</v>
      </c>
      <c r="AF159" s="17">
        <f t="shared" ca="1" si="81"/>
        <v>0.86250329910801005</v>
      </c>
      <c r="AG159" s="17">
        <v>152.25682327736101</v>
      </c>
    </row>
    <row r="160" spans="15:33" ht="18.75" x14ac:dyDescent="0.3">
      <c r="O160" s="899">
        <v>6.3</v>
      </c>
      <c r="AB160" s="17">
        <f t="shared" ref="AB160:AB162" si="82">-0.0007*POWER(O160,2)+0.0546*O160+1.0863</f>
        <v>1.4024970000000001</v>
      </c>
      <c r="AC160" s="17">
        <f t="shared" ref="AC160:AC162" si="83">O160/AB160</f>
        <v>4.4919882181566155</v>
      </c>
      <c r="AD160" s="22">
        <f t="shared" ref="AD160:AD162" ca="1" si="84">IF(AC160&lt;6.5,O160/(6.5+AF160),AB160)</f>
        <v>0.93083561171609719</v>
      </c>
      <c r="AE160" s="17">
        <f t="shared" ref="AE160:AE162" ca="1" si="85">O160/AD160</f>
        <v>6.768112350563448</v>
      </c>
      <c r="AF160" s="17">
        <f t="shared" ca="1" si="81"/>
        <v>0.26811235056344795</v>
      </c>
      <c r="AG160" s="17">
        <v>153.25682327736101</v>
      </c>
    </row>
    <row r="161" spans="15:33" ht="18.75" x14ac:dyDescent="0.3">
      <c r="O161" s="899">
        <v>8.3000000000000007</v>
      </c>
      <c r="AB161" s="17">
        <f t="shared" si="82"/>
        <v>1.4912570000000001</v>
      </c>
      <c r="AC161" s="17">
        <f t="shared" si="83"/>
        <v>5.5657743769182648</v>
      </c>
      <c r="AD161" s="22">
        <f t="shared" ca="1" si="84"/>
        <v>1.2589030834711334</v>
      </c>
      <c r="AE161" s="17">
        <f t="shared" ca="1" si="85"/>
        <v>6.5930412825065732</v>
      </c>
      <c r="AF161" s="17">
        <f t="shared" ca="1" si="81"/>
        <v>9.3041282506571843E-2</v>
      </c>
      <c r="AG161" s="17">
        <v>154.25682327736101</v>
      </c>
    </row>
    <row r="162" spans="15:33" ht="18.75" x14ac:dyDescent="0.3">
      <c r="O162" s="899">
        <v>8.1999999999999993</v>
      </c>
      <c r="AB162" s="17">
        <f t="shared" si="82"/>
        <v>1.4869520000000001</v>
      </c>
      <c r="AC162" s="17">
        <f t="shared" si="83"/>
        <v>5.5146366526962529</v>
      </c>
      <c r="AD162" s="22">
        <f t="shared" ca="1" si="84"/>
        <v>1.1039607277142178</v>
      </c>
      <c r="AE162" s="17">
        <f t="shared" ca="1" si="85"/>
        <v>7.4278004589695259</v>
      </c>
      <c r="AF162" s="17">
        <f t="shared" ca="1" si="81"/>
        <v>0.92780045896952723</v>
      </c>
      <c r="AG162" s="17">
        <v>155.25682327736101</v>
      </c>
    </row>
    <row r="163" spans="15:33" ht="18.75" x14ac:dyDescent="0.3">
      <c r="O163" s="691">
        <v>8.6</v>
      </c>
      <c r="AB163" s="17">
        <f t="shared" ref="AB163:AB168" si="86">-0.0007*POWER(O163,2)+0.0546*O163+1.0863</f>
        <v>1.5040880000000001</v>
      </c>
      <c r="AC163" s="17">
        <f t="shared" ref="AC163:AC168" si="87">O163/AB163</f>
        <v>5.7177505571482516</v>
      </c>
      <c r="AD163" s="22">
        <f t="shared" ref="AD163:AD168" ca="1" si="88">IF(AC163&lt;6.5,O163/(6.5+AF163),AB163)</f>
        <v>1.1613450904656177</v>
      </c>
      <c r="AE163" s="17">
        <f t="shared" ref="AE163:AE168" ca="1" si="89">O163/AD163</f>
        <v>7.4052063168855389</v>
      </c>
      <c r="AF163" s="17">
        <f t="shared" ca="1" si="81"/>
        <v>0.90520631688553765</v>
      </c>
      <c r="AG163" s="17">
        <v>156.25682327736101</v>
      </c>
    </row>
    <row r="164" spans="15:33" ht="18.75" x14ac:dyDescent="0.3">
      <c r="O164" s="691">
        <v>5.2</v>
      </c>
      <c r="AB164" s="17">
        <f t="shared" si="86"/>
        <v>1.3512919999999999</v>
      </c>
      <c r="AC164" s="17">
        <f t="shared" si="87"/>
        <v>3.8481690115829892</v>
      </c>
      <c r="AD164" s="22">
        <f t="shared" ca="1" si="88"/>
        <v>0.69398507328794956</v>
      </c>
      <c r="AE164" s="17">
        <f t="shared" ca="1" si="89"/>
        <v>7.4929565492864807</v>
      </c>
      <c r="AF164" s="17">
        <f t="shared" ca="1" si="81"/>
        <v>0.99295654928648058</v>
      </c>
      <c r="AG164" s="17">
        <v>157.25682327736101</v>
      </c>
    </row>
    <row r="165" spans="15:33" ht="18.75" x14ac:dyDescent="0.3">
      <c r="O165" s="691">
        <v>6.5</v>
      </c>
      <c r="AB165" s="17">
        <f t="shared" si="86"/>
        <v>1.4116249999999999</v>
      </c>
      <c r="AC165" s="17">
        <f t="shared" si="87"/>
        <v>4.6046223324183124</v>
      </c>
      <c r="AD165" s="22">
        <f t="shared" ca="1" si="88"/>
        <v>0.89585088733602758</v>
      </c>
      <c r="AE165" s="17">
        <f t="shared" ca="1" si="89"/>
        <v>7.2556717773969162</v>
      </c>
      <c r="AF165" s="17">
        <f t="shared" ca="1" si="81"/>
        <v>0.75567177739691649</v>
      </c>
      <c r="AG165" s="17">
        <v>158.25682327736101</v>
      </c>
    </row>
    <row r="166" spans="15:33" ht="18.75" x14ac:dyDescent="0.3">
      <c r="O166" s="691">
        <v>6.2</v>
      </c>
      <c r="AB166" s="17">
        <f t="shared" si="86"/>
        <v>1.397912</v>
      </c>
      <c r="AC166" s="17">
        <f t="shared" si="87"/>
        <v>4.43518619197775</v>
      </c>
      <c r="AD166" s="22">
        <f t="shared" ca="1" si="88"/>
        <v>0.87688586537813418</v>
      </c>
      <c r="AE166" s="17">
        <f t="shared" ca="1" si="89"/>
        <v>7.0704754686933082</v>
      </c>
      <c r="AF166" s="17">
        <f t="shared" ca="1" si="81"/>
        <v>0.57047546869330779</v>
      </c>
      <c r="AG166" s="17">
        <v>159.25682327736101</v>
      </c>
    </row>
    <row r="167" spans="15:33" ht="18.75" x14ac:dyDescent="0.3">
      <c r="O167" s="691">
        <v>4.4000000000000004</v>
      </c>
      <c r="AB167" s="17">
        <f t="shared" si="86"/>
        <v>1.312988</v>
      </c>
      <c r="AC167" s="17">
        <f t="shared" si="87"/>
        <v>3.3511349684840992</v>
      </c>
      <c r="AD167" s="22">
        <f t="shared" ca="1" si="88"/>
        <v>0.60379447783825779</v>
      </c>
      <c r="AE167" s="17">
        <f t="shared" ca="1" si="89"/>
        <v>7.2872478326617882</v>
      </c>
      <c r="AF167" s="17">
        <f t="shared" ca="1" si="81"/>
        <v>0.78724783266178944</v>
      </c>
      <c r="AG167" s="17">
        <v>160.25682327736101</v>
      </c>
    </row>
    <row r="168" spans="15:33" ht="18.75" x14ac:dyDescent="0.3">
      <c r="O168" s="691">
        <v>8.1000000000000014</v>
      </c>
      <c r="AB168" s="17">
        <f t="shared" si="86"/>
        <v>1.4826330000000001</v>
      </c>
      <c r="AC168" s="17">
        <f t="shared" si="87"/>
        <v>5.4632535495972379</v>
      </c>
      <c r="AD168" s="22">
        <f t="shared" ca="1" si="88"/>
        <v>1.1053459360627582</v>
      </c>
      <c r="AE168" s="17">
        <f t="shared" ca="1" si="89"/>
        <v>7.3280225997412156</v>
      </c>
      <c r="AF168" s="17">
        <f t="shared" ca="1" si="81"/>
        <v>0.82802259974121561</v>
      </c>
      <c r="AG168" s="17">
        <v>161.25682327736101</v>
      </c>
    </row>
    <row r="169" spans="15:33" ht="18.75" x14ac:dyDescent="0.3">
      <c r="O169" s="1263">
        <v>10.7</v>
      </c>
      <c r="AB169" s="17">
        <f t="shared" ref="AB169:AB171" si="90">-0.0007*POWER(O169,2)+0.0546*O169+1.0863</f>
        <v>1.5903770000000002</v>
      </c>
      <c r="AC169" s="17">
        <f t="shared" ref="AC169:AC171" si="91">O169/AB169</f>
        <v>6.7279645014987004</v>
      </c>
      <c r="AD169" s="22">
        <f t="shared" ref="AD169:AD171" si="92">IF(AC169&lt;6.5,O169/(6.5+AF169),AB169)</f>
        <v>1.5903770000000002</v>
      </c>
      <c r="AE169" s="17">
        <f t="shared" ref="AE169:AE171" si="93">O169/AD169</f>
        <v>6.7279645014987004</v>
      </c>
      <c r="AF169" s="17">
        <f t="shared" ca="1" si="81"/>
        <v>0.18212938244040988</v>
      </c>
      <c r="AG169" s="17">
        <v>162.25682327736101</v>
      </c>
    </row>
    <row r="170" spans="15:33" ht="18.75" x14ac:dyDescent="0.3">
      <c r="O170" s="138">
        <v>6.3</v>
      </c>
      <c r="AB170" s="17">
        <f t="shared" si="90"/>
        <v>1.4024970000000001</v>
      </c>
      <c r="AC170" s="17">
        <f t="shared" si="91"/>
        <v>4.4919882181566155</v>
      </c>
      <c r="AD170" s="22">
        <f t="shared" ca="1" si="92"/>
        <v>0.95302067784473765</v>
      </c>
      <c r="AE170" s="17">
        <f t="shared" ca="1" si="93"/>
        <v>6.6105596095223138</v>
      </c>
      <c r="AF170" s="17">
        <f t="shared" ca="1" si="81"/>
        <v>0.11055960952231425</v>
      </c>
      <c r="AG170" s="17">
        <v>163.25682327736101</v>
      </c>
    </row>
    <row r="171" spans="15:33" ht="18.75" x14ac:dyDescent="0.3">
      <c r="O171" s="138">
        <v>3.1</v>
      </c>
      <c r="AB171" s="17">
        <f t="shared" si="90"/>
        <v>1.2488330000000001</v>
      </c>
      <c r="AC171" s="17">
        <f t="shared" si="91"/>
        <v>2.4823174916101673</v>
      </c>
      <c r="AD171" s="22">
        <f t="shared" ca="1" si="92"/>
        <v>0.46710580653674766</v>
      </c>
      <c r="AE171" s="17">
        <f t="shared" ca="1" si="93"/>
        <v>6.6366119980058951</v>
      </c>
      <c r="AF171" s="17">
        <f t="shared" ca="1" si="81"/>
        <v>0.13661199800589485</v>
      </c>
      <c r="AG171" s="17">
        <v>164.25682327736101</v>
      </c>
    </row>
    <row r="172" spans="15:33" ht="18" x14ac:dyDescent="0.25">
      <c r="O172" s="968">
        <v>3.5</v>
      </c>
      <c r="AB172" s="17">
        <f t="shared" ref="AB172:AB174" si="94">-0.0007*POWER(O172,2)+0.0546*O172+1.0863</f>
        <v>1.2688250000000001</v>
      </c>
      <c r="AC172" s="17">
        <f t="shared" ref="AC172:AC174" si="95">O172/AB172</f>
        <v>2.7584576281205049</v>
      </c>
      <c r="AD172" s="22">
        <f t="shared" ref="AD172:AD174" ca="1" si="96">IF(AC172&lt;6.5,O172/(6.5+AF172),AB172)</f>
        <v>0.52670741679688371</v>
      </c>
      <c r="AE172" s="17">
        <f t="shared" ref="AE172:AE174" ca="1" si="97">O172/AD172</f>
        <v>6.6450554679576861</v>
      </c>
      <c r="AF172" s="17">
        <f t="shared" ca="1" si="81"/>
        <v>0.14505546795768653</v>
      </c>
      <c r="AG172" s="17">
        <v>165.25682327736101</v>
      </c>
    </row>
    <row r="173" spans="15:33" ht="18" x14ac:dyDescent="0.25">
      <c r="O173" s="968">
        <v>2.2000000000000002</v>
      </c>
      <c r="AB173" s="17">
        <f t="shared" si="94"/>
        <v>1.2030320000000001</v>
      </c>
      <c r="AC173" s="17">
        <f t="shared" si="95"/>
        <v>1.8287127856948111</v>
      </c>
      <c r="AD173" s="22">
        <f t="shared" ca="1" si="96"/>
        <v>0.33455437431171803</v>
      </c>
      <c r="AE173" s="17">
        <f t="shared" ca="1" si="97"/>
        <v>6.5759116272984972</v>
      </c>
      <c r="AF173" s="17">
        <f t="shared" ca="1" si="81"/>
        <v>7.5911627298497542E-2</v>
      </c>
      <c r="AG173" s="17">
        <v>166.25682327736101</v>
      </c>
    </row>
    <row r="174" spans="15:33" ht="18" x14ac:dyDescent="0.25">
      <c r="O174" s="968">
        <v>3.1</v>
      </c>
      <c r="AB174" s="17">
        <f t="shared" si="94"/>
        <v>1.2488330000000001</v>
      </c>
      <c r="AC174" s="17">
        <f t="shared" si="95"/>
        <v>2.4823174916101673</v>
      </c>
      <c r="AD174" s="22">
        <f t="shared" ca="1" si="96"/>
        <v>0.42433953710928918</v>
      </c>
      <c r="AE174" s="17">
        <f t="shared" ca="1" si="97"/>
        <v>7.3054705699073033</v>
      </c>
      <c r="AF174" s="17">
        <f t="shared" ca="1" si="81"/>
        <v>0.8054705699073037</v>
      </c>
      <c r="AG174" s="17">
        <v>167.25682327736101</v>
      </c>
    </row>
    <row r="175" spans="15:33" ht="18.75" x14ac:dyDescent="0.3">
      <c r="O175" s="679">
        <v>3.5</v>
      </c>
      <c r="AB175" s="17">
        <f t="shared" ref="AB175:AB181" si="98">-0.0007*POWER(O175,2)+0.0546*O175+1.0863</f>
        <v>1.2688250000000001</v>
      </c>
      <c r="AC175" s="17">
        <f t="shared" ref="AC175:AC181" si="99">O175/AB175</f>
        <v>2.7584576281205049</v>
      </c>
      <c r="AD175" s="22">
        <f t="shared" ref="AD175:AD181" ca="1" si="100">IF(AC175&lt;6.5,O175/(6.5+AF175),AB175)</f>
        <v>0.52896799905949798</v>
      </c>
      <c r="AE175" s="17">
        <f t="shared" ref="AE175:AE181" ca="1" si="101">O175/AD175</f>
        <v>6.6166573520949843</v>
      </c>
      <c r="AF175" s="17">
        <f t="shared" ca="1" si="81"/>
        <v>0.11665735209498451</v>
      </c>
      <c r="AG175" s="17">
        <v>168.25682327736101</v>
      </c>
    </row>
    <row r="176" spans="15:33" ht="18.75" x14ac:dyDescent="0.3">
      <c r="O176" s="679">
        <v>3.9000000000000004</v>
      </c>
      <c r="AB176" s="17">
        <f t="shared" si="98"/>
        <v>1.2885930000000001</v>
      </c>
      <c r="AC176" s="17">
        <f t="shared" si="99"/>
        <v>3.0265568724958154</v>
      </c>
      <c r="AD176" s="22">
        <f t="shared" ca="1" si="100"/>
        <v>0.58307152586202082</v>
      </c>
      <c r="AE176" s="17">
        <f t="shared" ca="1" si="101"/>
        <v>6.6887162672438647</v>
      </c>
      <c r="AF176" s="17">
        <f t="shared" ca="1" si="81"/>
        <v>0.1887162672438647</v>
      </c>
      <c r="AG176" s="17">
        <v>169.25682327736101</v>
      </c>
    </row>
    <row r="177" spans="15:33" ht="18.75" x14ac:dyDescent="0.3">
      <c r="O177" s="679">
        <v>6.4</v>
      </c>
      <c r="AB177" s="17">
        <f t="shared" si="98"/>
        <v>1.407068</v>
      </c>
      <c r="AC177" s="17">
        <f t="shared" si="99"/>
        <v>4.5484653193733351</v>
      </c>
      <c r="AD177" s="22">
        <f t="shared" ca="1" si="100"/>
        <v>0.98322889485026743</v>
      </c>
      <c r="AE177" s="17">
        <f t="shared" ca="1" si="101"/>
        <v>6.5091659058439637</v>
      </c>
      <c r="AF177" s="17">
        <f t="shared" ca="1" si="81"/>
        <v>9.1659058439637064E-3</v>
      </c>
      <c r="AG177" s="17">
        <v>170.25682327736101</v>
      </c>
    </row>
    <row r="178" spans="15:33" ht="18.75" x14ac:dyDescent="0.3">
      <c r="O178" s="679">
        <v>3.4000000000000004</v>
      </c>
      <c r="AB178" s="17">
        <f t="shared" si="98"/>
        <v>1.2638480000000001</v>
      </c>
      <c r="AC178" s="17">
        <f t="shared" si="99"/>
        <v>2.6901969224147209</v>
      </c>
      <c r="AD178" s="22">
        <f t="shared" ca="1" si="100"/>
        <v>0.45895304884829308</v>
      </c>
      <c r="AE178" s="17">
        <f t="shared" ca="1" si="101"/>
        <v>7.4081651892977627</v>
      </c>
      <c r="AF178" s="17">
        <f t="shared" ca="1" si="81"/>
        <v>0.90816518929776269</v>
      </c>
      <c r="AG178" s="17">
        <v>171.25682327736101</v>
      </c>
    </row>
    <row r="179" spans="15:33" ht="18.75" x14ac:dyDescent="0.3">
      <c r="O179" s="679">
        <v>6.6000000000000005</v>
      </c>
      <c r="AB179" s="17">
        <f t="shared" si="98"/>
        <v>1.4161680000000001</v>
      </c>
      <c r="AC179" s="17">
        <f t="shared" si="99"/>
        <v>4.6604640127442511</v>
      </c>
      <c r="AD179" s="22">
        <f t="shared" ca="1" si="100"/>
        <v>0.97143036641602953</v>
      </c>
      <c r="AE179" s="17">
        <f t="shared" ca="1" si="101"/>
        <v>6.794105093039116</v>
      </c>
      <c r="AF179" s="17">
        <f t="shared" ca="1" si="81"/>
        <v>0.29410509303911592</v>
      </c>
      <c r="AG179" s="17">
        <v>172.25682327736101</v>
      </c>
    </row>
    <row r="180" spans="15:33" ht="18.75" x14ac:dyDescent="0.3">
      <c r="O180" s="1424">
        <v>15.4</v>
      </c>
      <c r="AB180" s="17">
        <f t="shared" si="98"/>
        <v>1.761128</v>
      </c>
      <c r="AC180" s="17">
        <f t="shared" si="99"/>
        <v>8.7443956373415226</v>
      </c>
      <c r="AD180" s="22">
        <f t="shared" si="100"/>
        <v>1.761128</v>
      </c>
      <c r="AE180" s="17">
        <f t="shared" si="101"/>
        <v>8.7443956373415226</v>
      </c>
      <c r="AF180" s="17">
        <f t="shared" ca="1" si="81"/>
        <v>0.60641880408125837</v>
      </c>
      <c r="AG180" s="17">
        <v>173.25682327736101</v>
      </c>
    </row>
    <row r="181" spans="15:33" ht="18.75" x14ac:dyDescent="0.3">
      <c r="O181" s="1424">
        <v>12.6</v>
      </c>
      <c r="AB181" s="17">
        <f t="shared" si="98"/>
        <v>1.6631279999999999</v>
      </c>
      <c r="AC181" s="17">
        <f t="shared" si="99"/>
        <v>7.5760855448287803</v>
      </c>
      <c r="AD181" s="22">
        <f t="shared" si="100"/>
        <v>1.6631279999999999</v>
      </c>
      <c r="AE181" s="17">
        <f t="shared" si="101"/>
        <v>7.5760855448287803</v>
      </c>
      <c r="AF181" s="17">
        <f t="shared" ca="1" si="81"/>
        <v>0.31290755662281122</v>
      </c>
      <c r="AG181" s="17">
        <v>174.25682327736101</v>
      </c>
    </row>
    <row r="182" spans="15:33" ht="18.75" x14ac:dyDescent="0.3">
      <c r="O182" s="1228">
        <v>3.2</v>
      </c>
      <c r="AB182" s="17">
        <f t="shared" ref="AB182:AB185" si="102">-0.0007*POWER(O182,2)+0.0546*O182+1.0863</f>
        <v>1.253852</v>
      </c>
      <c r="AC182" s="17">
        <f t="shared" ref="AC182:AC185" si="103">O182/AB182</f>
        <v>2.5521353397370663</v>
      </c>
      <c r="AD182" s="22">
        <f t="shared" ref="AD182:AD185" ca="1" si="104">IF(AC182&lt;6.5,O182/(6.5+AF182),AB182)</f>
        <v>0.44698441203500711</v>
      </c>
      <c r="AE182" s="17">
        <f t="shared" ref="AE182:AE185" ca="1" si="105">O182/AD182</f>
        <v>7.159086343595761</v>
      </c>
      <c r="AF182" s="17">
        <f t="shared" ca="1" si="81"/>
        <v>0.65908634359576124</v>
      </c>
      <c r="AG182" s="17">
        <v>175.25682327736101</v>
      </c>
    </row>
    <row r="183" spans="15:33" ht="18.75" x14ac:dyDescent="0.3">
      <c r="O183" s="1228">
        <v>3.5</v>
      </c>
      <c r="AB183" s="17">
        <f t="shared" si="102"/>
        <v>1.2688250000000001</v>
      </c>
      <c r="AC183" s="17">
        <f t="shared" si="103"/>
        <v>2.7584576281205049</v>
      </c>
      <c r="AD183" s="22">
        <f t="shared" ca="1" si="104"/>
        <v>0.46779294041853042</v>
      </c>
      <c r="AE183" s="17">
        <f t="shared" ca="1" si="105"/>
        <v>7.4819427519974528</v>
      </c>
      <c r="AF183" s="17">
        <f t="shared" ca="1" si="81"/>
        <v>0.98194275199745296</v>
      </c>
      <c r="AG183" s="17">
        <v>176.25682327736101</v>
      </c>
    </row>
    <row r="184" spans="15:33" ht="18.75" x14ac:dyDescent="0.3">
      <c r="O184" s="1228">
        <v>8.4</v>
      </c>
      <c r="AB184" s="17">
        <f t="shared" si="102"/>
        <v>1.4955480000000001</v>
      </c>
      <c r="AC184" s="17">
        <f t="shared" si="103"/>
        <v>5.6166702773832737</v>
      </c>
      <c r="AD184" s="22">
        <f t="shared" ca="1" si="104"/>
        <v>1.1608411707730901</v>
      </c>
      <c r="AE184" s="17">
        <f t="shared" ca="1" si="105"/>
        <v>7.236132049318873</v>
      </c>
      <c r="AF184" s="17">
        <f t="shared" ca="1" si="81"/>
        <v>0.73613204931887288</v>
      </c>
      <c r="AG184" s="17">
        <v>177.25682327736101</v>
      </c>
    </row>
    <row r="185" spans="15:33" ht="18.75" x14ac:dyDescent="0.3">
      <c r="O185" s="1228">
        <v>3.5</v>
      </c>
      <c r="AB185" s="17">
        <f t="shared" si="102"/>
        <v>1.2688250000000001</v>
      </c>
      <c r="AC185" s="17">
        <f t="shared" si="103"/>
        <v>2.7584576281205049</v>
      </c>
      <c r="AD185" s="22">
        <f t="shared" ca="1" si="104"/>
        <v>0.48051313189302758</v>
      </c>
      <c r="AE185" s="17">
        <f t="shared" ca="1" si="105"/>
        <v>7.2838800184532193</v>
      </c>
      <c r="AF185" s="17">
        <f t="shared" ca="1" si="81"/>
        <v>0.78388001845321897</v>
      </c>
      <c r="AG185" s="17">
        <v>178.25682327736101</v>
      </c>
    </row>
    <row r="186" spans="15:33" ht="18.75" x14ac:dyDescent="0.3">
      <c r="O186" s="736">
        <v>10.5</v>
      </c>
      <c r="AB186" s="17">
        <f t="shared" ref="AB186:AB192" si="106">-0.0007*POWER(O186,2)+0.0546*O186+1.0863</f>
        <v>1.5824250000000002</v>
      </c>
      <c r="AC186" s="17">
        <f t="shared" ref="AC186:AC192" si="107">O186/AB186</f>
        <v>6.6353855632968379</v>
      </c>
      <c r="AD186" s="22">
        <f t="shared" ref="AD186:AD192" si="108">IF(AC186&lt;6.5,O186/(6.5+AF186),AB186)</f>
        <v>1.5824250000000002</v>
      </c>
      <c r="AE186" s="17">
        <f t="shared" ref="AE186:AE192" si="109">O186/AD186</f>
        <v>6.6353855632968379</v>
      </c>
      <c r="AF186" s="17">
        <f t="shared" ca="1" si="81"/>
        <v>0.90131910361780887</v>
      </c>
      <c r="AG186" s="17">
        <v>179.25682327736101</v>
      </c>
    </row>
    <row r="187" spans="15:33" ht="18.75" x14ac:dyDescent="0.3">
      <c r="O187" s="736">
        <v>7.6</v>
      </c>
      <c r="AB187" s="17">
        <f t="shared" si="106"/>
        <v>1.460828</v>
      </c>
      <c r="AC187" s="17">
        <f t="shared" si="107"/>
        <v>5.2025289767173133</v>
      </c>
      <c r="AD187" s="22">
        <f t="shared" ca="1" si="108"/>
        <v>1.0626948957508671</v>
      </c>
      <c r="AE187" s="17">
        <f t="shared" ca="1" si="109"/>
        <v>7.1516293438391614</v>
      </c>
      <c r="AF187" s="17">
        <f t="shared" ca="1" si="81"/>
        <v>0.65162934383916238</v>
      </c>
      <c r="AG187" s="17">
        <v>180.25682327736101</v>
      </c>
    </row>
    <row r="188" spans="15:33" ht="18.75" x14ac:dyDescent="0.3">
      <c r="O188" s="736">
        <v>9.3000000000000007</v>
      </c>
      <c r="AB188" s="17">
        <f t="shared" si="106"/>
        <v>1.5335369999999999</v>
      </c>
      <c r="AC188" s="17">
        <f t="shared" si="107"/>
        <v>6.0644118792047408</v>
      </c>
      <c r="AD188" s="22">
        <f t="shared" ca="1" si="108"/>
        <v>1.3976728073988269</v>
      </c>
      <c r="AE188" s="17">
        <f t="shared" ca="1" si="109"/>
        <v>6.6539178202286076</v>
      </c>
      <c r="AF188" s="17">
        <f t="shared" ca="1" si="81"/>
        <v>0.15391782022860723</v>
      </c>
      <c r="AG188" s="17">
        <v>181.25682327736101</v>
      </c>
    </row>
    <row r="189" spans="15:33" ht="18.75" x14ac:dyDescent="0.3">
      <c r="O189" s="736">
        <v>10.700000000000001</v>
      </c>
      <c r="AB189" s="17">
        <f t="shared" si="106"/>
        <v>1.5903770000000002</v>
      </c>
      <c r="AC189" s="17">
        <f t="shared" si="107"/>
        <v>6.7279645014987013</v>
      </c>
      <c r="AD189" s="22">
        <f t="shared" si="108"/>
        <v>1.5903770000000002</v>
      </c>
      <c r="AE189" s="17">
        <f t="shared" si="109"/>
        <v>6.7279645014987013</v>
      </c>
      <c r="AF189" s="17">
        <f t="shared" ca="1" si="81"/>
        <v>0.12918404905942349</v>
      </c>
      <c r="AG189" s="17">
        <v>182.25682327736101</v>
      </c>
    </row>
    <row r="190" spans="15:33" ht="18.75" x14ac:dyDescent="0.3">
      <c r="O190" s="736">
        <v>8.1000000000000014</v>
      </c>
      <c r="AB190" s="17">
        <f t="shared" si="106"/>
        <v>1.4826330000000001</v>
      </c>
      <c r="AC190" s="17">
        <f t="shared" si="107"/>
        <v>5.4632535495972379</v>
      </c>
      <c r="AD190" s="22">
        <f t="shared" ca="1" si="108"/>
        <v>1.0817806222407589</v>
      </c>
      <c r="AE190" s="17">
        <f t="shared" ca="1" si="109"/>
        <v>7.4876549214035393</v>
      </c>
      <c r="AF190" s="17">
        <f t="shared" ca="1" si="81"/>
        <v>0.98765492140353994</v>
      </c>
      <c r="AG190" s="17">
        <v>183.25682327736101</v>
      </c>
    </row>
    <row r="191" spans="15:33" ht="18.75" x14ac:dyDescent="0.3">
      <c r="O191" s="736">
        <v>10.4</v>
      </c>
      <c r="AB191" s="17">
        <f t="shared" si="106"/>
        <v>1.5784280000000002</v>
      </c>
      <c r="AC191" s="17">
        <f t="shared" si="107"/>
        <v>6.5888339537818634</v>
      </c>
      <c r="AD191" s="22">
        <f t="shared" si="108"/>
        <v>1.5784280000000002</v>
      </c>
      <c r="AE191" s="17">
        <f t="shared" si="109"/>
        <v>6.5888339537818634</v>
      </c>
      <c r="AF191" s="17">
        <f t="shared" ca="1" si="81"/>
        <v>0.21330499395707325</v>
      </c>
      <c r="AG191" s="17">
        <v>184.25682327736101</v>
      </c>
    </row>
    <row r="192" spans="15:33" ht="18.75" x14ac:dyDescent="0.3">
      <c r="O192" s="736">
        <v>17.5</v>
      </c>
      <c r="AB192" s="17">
        <f t="shared" si="106"/>
        <v>1.8274250000000001</v>
      </c>
      <c r="AC192" s="17">
        <f t="shared" si="107"/>
        <v>9.5763164014939051</v>
      </c>
      <c r="AD192" s="22">
        <f t="shared" si="108"/>
        <v>1.8274250000000001</v>
      </c>
      <c r="AE192" s="17">
        <f t="shared" si="109"/>
        <v>9.5763164014939051</v>
      </c>
      <c r="AF192" s="17">
        <f t="shared" ca="1" si="81"/>
        <v>0.42798623341561692</v>
      </c>
      <c r="AG192" s="17">
        <v>185.25682327736101</v>
      </c>
    </row>
    <row r="193" spans="15:33" ht="18.75" x14ac:dyDescent="0.3">
      <c r="O193" s="1348">
        <v>6.1</v>
      </c>
      <c r="AB193" s="17">
        <f t="shared" ref="AB193:AB194" si="110">-0.0007*POWER(O193,2)+0.0546*O193+1.0863</f>
        <v>1.393313</v>
      </c>
      <c r="AC193" s="17">
        <f t="shared" ref="AC193:AC194" si="111">O193/AB193</f>
        <v>4.3780543208884142</v>
      </c>
      <c r="AD193" s="22">
        <f t="shared" ref="AD193:AD194" ca="1" si="112">IF(AC193&lt;6.5,O193/(6.5+AF193),AB193)</f>
        <v>0.87407177482634479</v>
      </c>
      <c r="AE193" s="17">
        <f t="shared" ref="AE193:AE194" ca="1" si="113">O193/AD193</f>
        <v>6.9788319171064757</v>
      </c>
      <c r="AF193" s="17">
        <f t="shared" ca="1" si="81"/>
        <v>0.4788319171064761</v>
      </c>
      <c r="AG193" s="17">
        <v>186.25682327736101</v>
      </c>
    </row>
    <row r="194" spans="15:33" ht="18.75" x14ac:dyDescent="0.3">
      <c r="O194" s="1348">
        <v>15.5</v>
      </c>
      <c r="AB194" s="17">
        <f t="shared" si="110"/>
        <v>1.7644250000000001</v>
      </c>
      <c r="AC194" s="17">
        <f t="shared" si="111"/>
        <v>8.7847315697748556</v>
      </c>
      <c r="AD194" s="22">
        <f t="shared" si="112"/>
        <v>1.7644250000000001</v>
      </c>
      <c r="AE194" s="17">
        <f t="shared" si="113"/>
        <v>8.7847315697748556</v>
      </c>
      <c r="AF194" s="17">
        <f t="shared" ca="1" si="81"/>
        <v>0.41910557102646284</v>
      </c>
      <c r="AG194" s="17">
        <v>187.25682327736101</v>
      </c>
    </row>
    <row r="195" spans="15:33" ht="18" x14ac:dyDescent="0.25">
      <c r="AB195" s="17"/>
      <c r="AC195" s="17"/>
      <c r="AD195" s="22"/>
      <c r="AE195" s="17"/>
      <c r="AF195" s="17"/>
    </row>
    <row r="196" spans="15:33" ht="18" x14ac:dyDescent="0.25">
      <c r="AB196" s="17"/>
      <c r="AC196" s="17"/>
      <c r="AD196" s="22"/>
      <c r="AE196" s="17"/>
      <c r="AF196" s="17"/>
    </row>
    <row r="197" spans="15:33" ht="18" x14ac:dyDescent="0.25">
      <c r="AB197" s="17"/>
      <c r="AC197" s="17"/>
      <c r="AD197" s="22"/>
      <c r="AE197" s="17"/>
      <c r="AF197" s="17"/>
    </row>
    <row r="198" spans="15:33" ht="18" x14ac:dyDescent="0.25">
      <c r="AB198" s="17"/>
      <c r="AC198" s="17"/>
      <c r="AD198" s="22"/>
      <c r="AE198" s="17"/>
      <c r="AF198" s="17"/>
    </row>
    <row r="199" spans="15:33" ht="18" x14ac:dyDescent="0.25">
      <c r="AB199" s="17"/>
      <c r="AC199" s="17"/>
      <c r="AD199" s="22"/>
      <c r="AE199" s="17"/>
      <c r="AF199" s="17"/>
    </row>
    <row r="200" spans="15:33" ht="18" x14ac:dyDescent="0.25">
      <c r="AB200" s="17"/>
      <c r="AC200" s="17"/>
      <c r="AD200" s="22"/>
      <c r="AE200" s="17"/>
      <c r="AF200" s="17"/>
    </row>
    <row r="201" spans="15:33" ht="18" x14ac:dyDescent="0.25">
      <c r="AB201" s="17"/>
      <c r="AC201" s="17"/>
      <c r="AD201" s="22"/>
      <c r="AE201" s="17"/>
      <c r="AF201" s="17"/>
    </row>
    <row r="202" spans="15:33" ht="18" x14ac:dyDescent="0.25">
      <c r="AB202" s="17"/>
      <c r="AC202" s="17"/>
      <c r="AD202" s="22"/>
      <c r="AE202" s="17"/>
      <c r="AF202" s="17"/>
    </row>
    <row r="203" spans="15:33" ht="18" x14ac:dyDescent="0.25">
      <c r="AB203" s="17"/>
      <c r="AC203" s="17"/>
      <c r="AD203" s="22"/>
      <c r="AE203" s="17"/>
      <c r="AF203" s="17"/>
    </row>
    <row r="204" spans="15:33" ht="18" x14ac:dyDescent="0.25">
      <c r="AB204" s="17"/>
      <c r="AC204" s="17"/>
      <c r="AD204" s="22"/>
      <c r="AE204" s="17"/>
      <c r="AF204" s="17"/>
    </row>
    <row r="205" spans="15:33" ht="18" x14ac:dyDescent="0.25">
      <c r="AB205" s="17"/>
      <c r="AC205" s="17"/>
      <c r="AD205" s="22"/>
      <c r="AE205" s="17"/>
      <c r="AF205" s="17"/>
    </row>
    <row r="206" spans="15:33" ht="18" x14ac:dyDescent="0.25">
      <c r="AB206" s="17"/>
      <c r="AC206" s="17"/>
      <c r="AD206" s="22"/>
      <c r="AE206" s="17"/>
      <c r="AF206" s="17"/>
    </row>
    <row r="207" spans="15:33" ht="18" x14ac:dyDescent="0.25">
      <c r="AB207" s="17"/>
      <c r="AC207" s="17"/>
      <c r="AD207" s="22"/>
      <c r="AE207" s="17"/>
      <c r="AF207" s="17"/>
    </row>
    <row r="208" spans="15:33" ht="18" x14ac:dyDescent="0.25">
      <c r="AB208" s="17"/>
      <c r="AC208" s="17"/>
      <c r="AD208" s="22"/>
      <c r="AE208" s="17"/>
      <c r="AF208" s="17"/>
    </row>
    <row r="209" spans="28:32" ht="18" x14ac:dyDescent="0.25">
      <c r="AB209" s="17"/>
      <c r="AC209" s="17"/>
      <c r="AD209" s="22"/>
      <c r="AE209" s="17"/>
      <c r="AF209" s="17"/>
    </row>
    <row r="210" spans="28:32" ht="18" x14ac:dyDescent="0.25">
      <c r="AB210" s="17"/>
      <c r="AC210" s="17"/>
      <c r="AD210" s="22"/>
      <c r="AE210" s="17"/>
      <c r="AF210" s="17"/>
    </row>
    <row r="211" spans="28:32" ht="18" x14ac:dyDescent="0.25">
      <c r="AB211" s="17"/>
      <c r="AC211" s="17"/>
      <c r="AD211" s="22"/>
      <c r="AE211" s="17"/>
      <c r="AF211" s="17"/>
    </row>
    <row r="212" spans="28:32" ht="18" x14ac:dyDescent="0.25">
      <c r="AB212" s="17"/>
      <c r="AC212" s="17"/>
      <c r="AD212" s="22"/>
      <c r="AE212" s="17"/>
      <c r="AF212" s="17"/>
    </row>
    <row r="213" spans="28:32" ht="18" x14ac:dyDescent="0.25">
      <c r="AB213" s="17"/>
      <c r="AC213" s="17"/>
      <c r="AD213" s="22"/>
      <c r="AE213" s="17"/>
      <c r="AF213" s="17"/>
    </row>
    <row r="214" spans="28:32" ht="18" x14ac:dyDescent="0.25">
      <c r="AB214" s="17"/>
      <c r="AC214" s="17"/>
      <c r="AD214" s="22"/>
      <c r="AE214" s="17"/>
      <c r="AF214" s="17"/>
    </row>
    <row r="215" spans="28:32" ht="18" x14ac:dyDescent="0.25">
      <c r="AB215" s="17"/>
      <c r="AC215" s="17"/>
      <c r="AD215" s="22"/>
      <c r="AE215" s="17"/>
      <c r="AF215" s="17"/>
    </row>
    <row r="216" spans="28:32" ht="18" x14ac:dyDescent="0.25">
      <c r="AB216" s="17"/>
      <c r="AC216" s="17"/>
      <c r="AD216" s="22"/>
      <c r="AE216" s="17"/>
      <c r="AF216" s="17"/>
    </row>
    <row r="217" spans="28:32" ht="18" x14ac:dyDescent="0.25">
      <c r="AB217" s="17"/>
      <c r="AC217" s="17"/>
      <c r="AD217" s="22"/>
      <c r="AE217" s="17"/>
      <c r="AF217" s="17"/>
    </row>
    <row r="218" spans="28:32" ht="18" x14ac:dyDescent="0.25">
      <c r="AB218" s="17"/>
      <c r="AC218" s="17"/>
      <c r="AD218" s="22"/>
      <c r="AE218" s="17"/>
      <c r="AF218" s="17"/>
    </row>
    <row r="219" spans="28:32" ht="18" x14ac:dyDescent="0.25">
      <c r="AB219" s="17"/>
      <c r="AC219" s="17"/>
      <c r="AD219" s="22"/>
      <c r="AE219" s="17"/>
      <c r="AF219" s="17"/>
    </row>
    <row r="220" spans="28:32" ht="18" x14ac:dyDescent="0.25">
      <c r="AB220" s="17"/>
      <c r="AC220" s="17"/>
      <c r="AD220" s="22"/>
      <c r="AE220" s="17"/>
      <c r="AF220" s="17"/>
    </row>
    <row r="221" spans="28:32" ht="18" x14ac:dyDescent="0.25">
      <c r="AB221" s="17"/>
      <c r="AC221" s="17"/>
      <c r="AD221" s="22"/>
      <c r="AE221" s="17"/>
      <c r="AF221" s="17"/>
    </row>
    <row r="222" spans="28:32" ht="18" x14ac:dyDescent="0.25">
      <c r="AB222" s="17"/>
      <c r="AC222" s="17"/>
      <c r="AD222" s="22"/>
      <c r="AE222" s="17"/>
      <c r="AF222" s="17"/>
    </row>
    <row r="223" spans="28:32" ht="18" x14ac:dyDescent="0.25">
      <c r="AB223" s="17"/>
      <c r="AC223" s="17"/>
      <c r="AD223" s="22"/>
      <c r="AE223" s="17"/>
      <c r="AF223" s="17"/>
    </row>
    <row r="224" spans="28:32" ht="18" x14ac:dyDescent="0.25">
      <c r="AB224" s="17"/>
      <c r="AC224" s="17"/>
      <c r="AD224" s="22"/>
      <c r="AE224" s="17"/>
      <c r="AF224" s="17"/>
    </row>
    <row r="225" spans="15:32" ht="18" x14ac:dyDescent="0.25">
      <c r="AB225" s="17"/>
      <c r="AC225" s="17"/>
      <c r="AD225" s="22"/>
      <c r="AE225" s="17"/>
      <c r="AF225" s="17"/>
    </row>
    <row r="226" spans="15:32" ht="18" x14ac:dyDescent="0.25">
      <c r="AB226" s="17"/>
      <c r="AC226" s="17"/>
      <c r="AD226" s="22"/>
      <c r="AE226" s="17"/>
      <c r="AF226" s="17"/>
    </row>
    <row r="227" spans="15:32" ht="18" x14ac:dyDescent="0.25">
      <c r="AB227" s="17"/>
      <c r="AC227" s="17"/>
      <c r="AD227" s="22"/>
      <c r="AE227" s="17"/>
      <c r="AF227" s="17"/>
    </row>
    <row r="228" spans="15:32" ht="18" x14ac:dyDescent="0.25">
      <c r="AB228" s="17"/>
      <c r="AC228" s="17"/>
      <c r="AD228" s="22"/>
      <c r="AE228" s="17"/>
      <c r="AF228" s="17"/>
    </row>
    <row r="229" spans="15:32" ht="18" x14ac:dyDescent="0.25">
      <c r="AB229" s="17"/>
      <c r="AC229" s="17"/>
      <c r="AD229" s="22"/>
      <c r="AE229" s="17"/>
      <c r="AF229" s="17"/>
    </row>
    <row r="230" spans="15:32" ht="18" x14ac:dyDescent="0.25">
      <c r="AB230" s="17"/>
      <c r="AC230" s="17"/>
      <c r="AD230" s="22"/>
      <c r="AE230" s="17"/>
      <c r="AF230" s="17"/>
    </row>
    <row r="231" spans="15:32" ht="18.75" x14ac:dyDescent="0.3">
      <c r="O231" s="138"/>
      <c r="AB231" s="17"/>
      <c r="AC231" s="17"/>
      <c r="AD231" s="22"/>
      <c r="AE231" s="17"/>
      <c r="AF231" s="17"/>
    </row>
    <row r="232" spans="15:32" ht="18.75" x14ac:dyDescent="0.3">
      <c r="O232" s="138"/>
      <c r="AB232" s="17"/>
      <c r="AC232" s="17"/>
      <c r="AD232" s="22"/>
      <c r="AE232" s="17"/>
      <c r="AF232" s="17"/>
    </row>
    <row r="233" spans="15:32" ht="18.75" x14ac:dyDescent="0.3">
      <c r="O233" s="138"/>
      <c r="AB233" s="17"/>
      <c r="AC233" s="17"/>
      <c r="AD233" s="22"/>
      <c r="AE233" s="17"/>
      <c r="AF233" s="17"/>
    </row>
    <row r="234" spans="15:32" ht="18.75" x14ac:dyDescent="0.3">
      <c r="O234" s="138"/>
      <c r="AB234" s="17"/>
      <c r="AC234" s="17"/>
      <c r="AD234" s="22"/>
      <c r="AE234" s="17"/>
      <c r="AF234" s="17"/>
    </row>
    <row r="235" spans="15:32" ht="18.75" x14ac:dyDescent="0.3">
      <c r="O235" s="138"/>
      <c r="AB235" s="17"/>
      <c r="AC235" s="17"/>
      <c r="AD235" s="22"/>
      <c r="AE235" s="17"/>
      <c r="AF235" s="17"/>
    </row>
    <row r="236" spans="15:32" ht="18.75" x14ac:dyDescent="0.3">
      <c r="O236" s="138"/>
      <c r="AB236" s="17"/>
      <c r="AC236" s="17"/>
      <c r="AD236" s="22"/>
      <c r="AE236" s="17"/>
      <c r="AF236" s="17"/>
    </row>
    <row r="237" spans="15:32" ht="18.75" x14ac:dyDescent="0.3">
      <c r="O237" s="138"/>
      <c r="AB237" s="17"/>
      <c r="AC237" s="17"/>
      <c r="AD237" s="22"/>
      <c r="AE237" s="17"/>
      <c r="AF237" s="17"/>
    </row>
    <row r="238" spans="15:32" ht="18.75" x14ac:dyDescent="0.3">
      <c r="O238" s="138"/>
      <c r="AB238" s="17"/>
      <c r="AC238" s="17"/>
      <c r="AD238" s="22"/>
      <c r="AE238" s="17"/>
      <c r="AF238" s="17"/>
    </row>
    <row r="239" spans="15:32" ht="18.75" x14ac:dyDescent="0.3">
      <c r="O239" s="138"/>
      <c r="AB239" s="17"/>
      <c r="AC239" s="17"/>
      <c r="AD239" s="22"/>
      <c r="AE239" s="17"/>
      <c r="AF239" s="17"/>
    </row>
    <row r="240" spans="15:32" ht="18.75" x14ac:dyDescent="0.3">
      <c r="O240" s="138"/>
      <c r="AB240" s="17"/>
      <c r="AC240" s="17"/>
      <c r="AD240" s="22"/>
      <c r="AE240" s="17"/>
      <c r="AF240" s="17"/>
    </row>
    <row r="241" spans="15:32" ht="18.75" x14ac:dyDescent="0.3">
      <c r="O241" s="138"/>
      <c r="AB241" s="17"/>
      <c r="AC241" s="17"/>
      <c r="AD241" s="22"/>
      <c r="AE241" s="17"/>
      <c r="AF241" s="17"/>
    </row>
    <row r="242" spans="15:32" ht="18.75" x14ac:dyDescent="0.3">
      <c r="O242" s="138"/>
      <c r="AB242" s="17"/>
      <c r="AC242" s="17"/>
      <c r="AD242" s="22"/>
      <c r="AE242" s="17"/>
      <c r="AF242" s="17"/>
    </row>
    <row r="243" spans="15:32" ht="18.75" x14ac:dyDescent="0.3">
      <c r="O243" s="138"/>
      <c r="AB243" s="17"/>
      <c r="AC243" s="17"/>
      <c r="AD243" s="22"/>
      <c r="AE243" s="17"/>
      <c r="AF243" s="17"/>
    </row>
    <row r="244" spans="15:32" ht="18.75" x14ac:dyDescent="0.3">
      <c r="O244" s="138"/>
      <c r="AB244" s="17"/>
      <c r="AC244" s="17"/>
      <c r="AD244" s="22"/>
      <c r="AE244" s="17"/>
      <c r="AF244" s="17"/>
    </row>
    <row r="245" spans="15:32" ht="18.75" x14ac:dyDescent="0.3">
      <c r="O245" s="138"/>
      <c r="AB245" s="17"/>
      <c r="AC245" s="17"/>
      <c r="AD245" s="22"/>
      <c r="AE245" s="17"/>
      <c r="AF245" s="17"/>
    </row>
    <row r="246" spans="15:32" ht="18.75" x14ac:dyDescent="0.3">
      <c r="O246" s="138"/>
      <c r="AB246" s="17"/>
      <c r="AC246" s="17"/>
      <c r="AD246" s="22"/>
      <c r="AE246" s="17"/>
      <c r="AF246" s="17"/>
    </row>
    <row r="247" spans="15:32" ht="18.75" x14ac:dyDescent="0.3">
      <c r="O247" s="138"/>
      <c r="AB247" s="17"/>
      <c r="AC247" s="17"/>
      <c r="AD247" s="22"/>
      <c r="AE247" s="17"/>
      <c r="AF247" s="17"/>
    </row>
    <row r="248" spans="15:32" ht="18.75" x14ac:dyDescent="0.3">
      <c r="O248" s="138"/>
      <c r="AB248" s="17"/>
      <c r="AC248" s="17"/>
      <c r="AD248" s="22"/>
      <c r="AE248" s="17"/>
      <c r="AF248" s="17"/>
    </row>
    <row r="249" spans="15:32" ht="18.75" x14ac:dyDescent="0.3">
      <c r="O249" s="138"/>
      <c r="AB249" s="17"/>
      <c r="AC249" s="17"/>
      <c r="AD249" s="22"/>
      <c r="AE249" s="17"/>
      <c r="AF249" s="17"/>
    </row>
    <row r="250" spans="15:32" ht="18.75" x14ac:dyDescent="0.3">
      <c r="O250" s="138"/>
      <c r="AB250" s="17"/>
      <c r="AC250" s="17"/>
      <c r="AD250" s="22"/>
      <c r="AE250" s="17"/>
      <c r="AF250" s="17"/>
    </row>
    <row r="251" spans="15:32" ht="18.75" x14ac:dyDescent="0.3">
      <c r="O251" s="138"/>
      <c r="AB251" s="17"/>
      <c r="AC251" s="17"/>
      <c r="AD251" s="22"/>
      <c r="AE251" s="17"/>
      <c r="AF251" s="17"/>
    </row>
    <row r="252" spans="15:32" ht="18.75" x14ac:dyDescent="0.3">
      <c r="O252" s="138"/>
      <c r="AB252" s="17"/>
      <c r="AC252" s="17"/>
      <c r="AD252" s="22"/>
      <c r="AE252" s="17"/>
      <c r="AF252" s="17"/>
    </row>
    <row r="253" spans="15:32" ht="18.75" x14ac:dyDescent="0.3">
      <c r="O253" s="138"/>
      <c r="AB253" s="17"/>
      <c r="AC253" s="17"/>
      <c r="AD253" s="22"/>
      <c r="AE253" s="17"/>
      <c r="AF253" s="17"/>
    </row>
    <row r="254" spans="15:32" ht="18.75" x14ac:dyDescent="0.3">
      <c r="O254" s="138"/>
      <c r="AB254" s="17"/>
      <c r="AC254" s="17"/>
      <c r="AD254" s="22"/>
      <c r="AE254" s="17"/>
      <c r="AF254" s="17"/>
    </row>
    <row r="255" spans="15:32" ht="18.75" x14ac:dyDescent="0.3">
      <c r="O255" s="138"/>
      <c r="AB255" s="17"/>
      <c r="AC255" s="17"/>
      <c r="AD255" s="22"/>
      <c r="AE255" s="17"/>
      <c r="AF255" s="17"/>
    </row>
    <row r="256" spans="15:32" ht="18.75" x14ac:dyDescent="0.3">
      <c r="O256" s="138"/>
      <c r="AB256" s="17"/>
      <c r="AC256" s="17"/>
      <c r="AD256" s="22"/>
      <c r="AE256" s="17"/>
      <c r="AF256" s="17"/>
    </row>
    <row r="257" spans="15:32" ht="18.75" x14ac:dyDescent="0.3">
      <c r="O257" s="138"/>
      <c r="AB257" s="17"/>
      <c r="AC257" s="17"/>
      <c r="AD257" s="22"/>
      <c r="AE257" s="17"/>
      <c r="AF257" s="17"/>
    </row>
    <row r="258" spans="15:32" ht="18.75" x14ac:dyDescent="0.3">
      <c r="O258" s="138"/>
      <c r="AB258" s="17"/>
      <c r="AC258" s="17"/>
      <c r="AD258" s="22"/>
      <c r="AE258" s="17"/>
      <c r="AF258" s="17"/>
    </row>
    <row r="259" spans="15:32" ht="18.75" x14ac:dyDescent="0.3">
      <c r="O259" s="138"/>
      <c r="AB259" s="17"/>
      <c r="AC259" s="17"/>
      <c r="AD259" s="22"/>
      <c r="AE259" s="17"/>
      <c r="AF259" s="17"/>
    </row>
    <row r="260" spans="15:32" ht="18.75" x14ac:dyDescent="0.3">
      <c r="O260" s="138"/>
      <c r="AB260" s="17"/>
      <c r="AC260" s="17"/>
      <c r="AD260" s="22"/>
      <c r="AE260" s="17"/>
      <c r="AF260" s="17"/>
    </row>
    <row r="261" spans="15:32" ht="18.75" x14ac:dyDescent="0.3">
      <c r="O261" s="138"/>
      <c r="AB261" s="17"/>
      <c r="AC261" s="17"/>
      <c r="AD261" s="22"/>
      <c r="AE261" s="17"/>
      <c r="AF261" s="17"/>
    </row>
    <row r="262" spans="15:32" ht="18.75" x14ac:dyDescent="0.3">
      <c r="O262" s="138"/>
      <c r="AB262" s="17"/>
      <c r="AC262" s="17"/>
      <c r="AD262" s="22"/>
      <c r="AE262" s="17"/>
      <c r="AF262" s="17"/>
    </row>
    <row r="263" spans="15:32" ht="18.75" x14ac:dyDescent="0.3">
      <c r="O263" s="138"/>
      <c r="AB263" s="17"/>
      <c r="AC263" s="17"/>
      <c r="AD263" s="22"/>
      <c r="AE263" s="17"/>
      <c r="AF263" s="17"/>
    </row>
    <row r="264" spans="15:32" ht="18.75" x14ac:dyDescent="0.3">
      <c r="O264" s="138"/>
      <c r="AB264" s="17"/>
      <c r="AC264" s="17"/>
      <c r="AD264" s="22"/>
      <c r="AE264" s="17"/>
      <c r="AF264" s="17"/>
    </row>
    <row r="265" spans="15:32" ht="18.75" x14ac:dyDescent="0.3">
      <c r="O265" s="138"/>
      <c r="AB265" s="17"/>
      <c r="AC265" s="17"/>
      <c r="AD265" s="22"/>
      <c r="AE265" s="17"/>
      <c r="AF265" s="17"/>
    </row>
    <row r="266" spans="15:32" ht="18.75" x14ac:dyDescent="0.3">
      <c r="O266" s="138"/>
      <c r="AB266" s="17"/>
      <c r="AC266" s="17"/>
      <c r="AD266" s="22"/>
      <c r="AE266" s="17"/>
      <c r="AF266" s="17"/>
    </row>
    <row r="267" spans="15:32" ht="18.75" x14ac:dyDescent="0.3">
      <c r="O267" s="138"/>
      <c r="AB267" s="17"/>
      <c r="AC267" s="17"/>
      <c r="AD267" s="22"/>
      <c r="AE267" s="17"/>
      <c r="AF267" s="17"/>
    </row>
    <row r="268" spans="15:32" ht="18.75" x14ac:dyDescent="0.3">
      <c r="O268" s="138"/>
      <c r="AB268" s="17"/>
      <c r="AC268" s="17"/>
      <c r="AD268" s="22"/>
      <c r="AE268" s="17"/>
      <c r="AF268" s="17"/>
    </row>
    <row r="269" spans="15:32" ht="18.75" x14ac:dyDescent="0.3">
      <c r="O269" s="138"/>
      <c r="AB269" s="17"/>
      <c r="AC269" s="17"/>
      <c r="AD269" s="22"/>
      <c r="AE269" s="17"/>
      <c r="AF269" s="17"/>
    </row>
    <row r="270" spans="15:32" ht="18.75" x14ac:dyDescent="0.3">
      <c r="O270" s="138"/>
      <c r="AB270" s="17"/>
      <c r="AC270" s="17"/>
      <c r="AD270" s="22"/>
      <c r="AE270" s="17"/>
      <c r="AF270" s="17"/>
    </row>
    <row r="271" spans="15:32" ht="18.75" x14ac:dyDescent="0.3">
      <c r="O271" s="138"/>
      <c r="AB271" s="17"/>
      <c r="AC271" s="17"/>
      <c r="AD271" s="22"/>
      <c r="AE271" s="17"/>
      <c r="AF271" s="17"/>
    </row>
    <row r="272" spans="15:32" ht="18.75" x14ac:dyDescent="0.3">
      <c r="O272" s="138"/>
      <c r="AB272" s="17"/>
      <c r="AC272" s="17"/>
      <c r="AD272" s="22"/>
      <c r="AE272" s="17"/>
      <c r="AF272" s="17"/>
    </row>
    <row r="273" spans="15:32" ht="18.75" x14ac:dyDescent="0.3">
      <c r="O273" s="138"/>
      <c r="AB273" s="17"/>
      <c r="AC273" s="17"/>
      <c r="AD273" s="22"/>
      <c r="AE273" s="17"/>
      <c r="AF273" s="17"/>
    </row>
    <row r="274" spans="15:32" ht="18.75" x14ac:dyDescent="0.3">
      <c r="O274" s="138"/>
      <c r="AB274" s="17"/>
      <c r="AC274" s="17"/>
      <c r="AD274" s="22"/>
      <c r="AE274" s="17"/>
      <c r="AF274" s="17"/>
    </row>
    <row r="275" spans="15:32" ht="18.75" x14ac:dyDescent="0.3">
      <c r="O275" s="138"/>
      <c r="AB275" s="17"/>
      <c r="AC275" s="17"/>
      <c r="AD275" s="22"/>
      <c r="AE275" s="17"/>
      <c r="AF275" s="17"/>
    </row>
    <row r="276" spans="15:32" ht="18.75" x14ac:dyDescent="0.3">
      <c r="O276" s="138"/>
      <c r="AB276" s="17"/>
      <c r="AC276" s="17"/>
      <c r="AD276" s="22"/>
      <c r="AE276" s="17"/>
      <c r="AF276" s="17"/>
    </row>
    <row r="277" spans="15:32" ht="18.75" x14ac:dyDescent="0.3">
      <c r="O277" s="138"/>
      <c r="AB277" s="17"/>
      <c r="AC277" s="17"/>
      <c r="AD277" s="22"/>
      <c r="AE277" s="17"/>
      <c r="AF277" s="17"/>
    </row>
    <row r="278" spans="15:32" ht="18.75" x14ac:dyDescent="0.3">
      <c r="O278" s="138"/>
      <c r="AB278" s="17"/>
      <c r="AC278" s="17"/>
      <c r="AD278" s="22"/>
      <c r="AE278" s="17"/>
      <c r="AF278" s="17"/>
    </row>
    <row r="279" spans="15:32" ht="18.75" x14ac:dyDescent="0.3">
      <c r="O279" s="138"/>
      <c r="AB279" s="17"/>
      <c r="AC279" s="17"/>
      <c r="AD279" s="22"/>
      <c r="AE279" s="17"/>
      <c r="AF279" s="17"/>
    </row>
    <row r="280" spans="15:32" ht="18.75" x14ac:dyDescent="0.3">
      <c r="O280" s="138"/>
      <c r="AB280" s="17"/>
      <c r="AC280" s="17"/>
      <c r="AD280" s="22"/>
      <c r="AE280" s="17"/>
      <c r="AF280" s="17"/>
    </row>
    <row r="281" spans="15:32" ht="18.75" x14ac:dyDescent="0.3">
      <c r="O281" s="138"/>
      <c r="AB281" s="17"/>
      <c r="AC281" s="17"/>
      <c r="AD281" s="22"/>
      <c r="AE281" s="17"/>
      <c r="AF281" s="17"/>
    </row>
    <row r="282" spans="15:32" ht="18.75" x14ac:dyDescent="0.3">
      <c r="O282" s="138"/>
      <c r="AB282" s="17"/>
      <c r="AC282" s="17"/>
      <c r="AD282" s="22"/>
      <c r="AE282" s="17"/>
      <c r="AF282" s="17"/>
    </row>
    <row r="283" spans="15:32" ht="18.75" x14ac:dyDescent="0.3">
      <c r="O283" s="138"/>
      <c r="AB283" s="17"/>
      <c r="AC283" s="17"/>
      <c r="AD283" s="22"/>
      <c r="AE283" s="17"/>
      <c r="AF283" s="17"/>
    </row>
    <row r="284" spans="15:32" ht="18.75" x14ac:dyDescent="0.3">
      <c r="O284" s="138"/>
      <c r="AB284" s="17"/>
      <c r="AC284" s="17"/>
      <c r="AD284" s="22"/>
      <c r="AE284" s="17"/>
      <c r="AF284" s="17"/>
    </row>
    <row r="285" spans="15:32" ht="18.75" x14ac:dyDescent="0.3">
      <c r="O285" s="138"/>
      <c r="AB285" s="17"/>
      <c r="AC285" s="17"/>
      <c r="AD285" s="22"/>
      <c r="AE285" s="17"/>
      <c r="AF285" s="17"/>
    </row>
    <row r="286" spans="15:32" ht="18.75" x14ac:dyDescent="0.3">
      <c r="O286" s="138"/>
      <c r="AB286" s="17"/>
      <c r="AC286" s="17"/>
      <c r="AD286" s="22"/>
      <c r="AE286" s="17"/>
      <c r="AF286" s="17"/>
    </row>
    <row r="287" spans="15:32" ht="18.75" x14ac:dyDescent="0.3">
      <c r="O287" s="138"/>
      <c r="AB287" s="17"/>
      <c r="AC287" s="17"/>
      <c r="AD287" s="22"/>
      <c r="AE287" s="17"/>
      <c r="AF287" s="17"/>
    </row>
    <row r="288" spans="15:32" ht="18.75" x14ac:dyDescent="0.3">
      <c r="O288" s="138"/>
      <c r="AB288" s="17"/>
      <c r="AC288" s="17"/>
      <c r="AD288" s="22"/>
      <c r="AE288" s="17"/>
      <c r="AF288" s="17"/>
    </row>
    <row r="289" spans="15:32" ht="18.75" x14ac:dyDescent="0.3">
      <c r="O289" s="138"/>
      <c r="AB289" s="17"/>
      <c r="AC289" s="17"/>
      <c r="AD289" s="22"/>
      <c r="AE289" s="17"/>
      <c r="AF289" s="17"/>
    </row>
    <row r="290" spans="15:32" ht="18.75" x14ac:dyDescent="0.3">
      <c r="O290" s="138"/>
      <c r="AB290" s="17"/>
      <c r="AC290" s="17"/>
      <c r="AD290" s="22"/>
      <c r="AE290" s="17"/>
      <c r="AF290" s="17"/>
    </row>
    <row r="291" spans="15:32" ht="18.75" x14ac:dyDescent="0.3">
      <c r="O291" s="138"/>
      <c r="AB291" s="17"/>
      <c r="AC291" s="17"/>
      <c r="AD291" s="22"/>
      <c r="AE291" s="17"/>
      <c r="AF291" s="17"/>
    </row>
    <row r="292" spans="15:32" ht="18.75" x14ac:dyDescent="0.3">
      <c r="O292" s="138"/>
      <c r="AB292" s="17"/>
      <c r="AC292" s="17"/>
      <c r="AD292" s="22"/>
      <c r="AE292" s="17"/>
      <c r="AF292" s="17"/>
    </row>
    <row r="293" spans="15:32" ht="18.75" x14ac:dyDescent="0.3">
      <c r="O293" s="138"/>
      <c r="AB293" s="17"/>
      <c r="AC293" s="17"/>
      <c r="AD293" s="22"/>
      <c r="AE293" s="17"/>
      <c r="AF293" s="17"/>
    </row>
    <row r="294" spans="15:32" ht="18.75" x14ac:dyDescent="0.3">
      <c r="O294" s="138"/>
      <c r="AB294" s="17"/>
      <c r="AC294" s="17"/>
      <c r="AD294" s="22"/>
      <c r="AE294" s="17"/>
      <c r="AF294" s="17"/>
    </row>
    <row r="295" spans="15:32" ht="18.75" x14ac:dyDescent="0.3">
      <c r="O295" s="138"/>
      <c r="AB295" s="17"/>
      <c r="AC295" s="17"/>
      <c r="AD295" s="22"/>
      <c r="AE295" s="17"/>
      <c r="AF295" s="17"/>
    </row>
    <row r="296" spans="15:32" ht="18.75" x14ac:dyDescent="0.3">
      <c r="O296" s="138"/>
      <c r="AB296" s="17"/>
      <c r="AC296" s="17"/>
      <c r="AD296" s="22"/>
      <c r="AE296" s="17"/>
      <c r="AF296" s="17"/>
    </row>
    <row r="297" spans="15:32" ht="18.75" x14ac:dyDescent="0.3">
      <c r="O297" s="138"/>
      <c r="AB297" s="17"/>
      <c r="AC297" s="17"/>
      <c r="AD297" s="22"/>
      <c r="AE297" s="17"/>
      <c r="AF297" s="17"/>
    </row>
    <row r="298" spans="15:32" ht="18.75" x14ac:dyDescent="0.3">
      <c r="O298" s="138"/>
      <c r="AB298" s="17"/>
      <c r="AC298" s="17"/>
      <c r="AD298" s="22"/>
      <c r="AE298" s="17"/>
      <c r="AF298" s="17"/>
    </row>
    <row r="299" spans="15:32" ht="18.75" x14ac:dyDescent="0.3">
      <c r="O299" s="138"/>
      <c r="AB299" s="17"/>
      <c r="AC299" s="17"/>
      <c r="AD299" s="22"/>
      <c r="AE299" s="17"/>
      <c r="AF299" s="17"/>
    </row>
    <row r="300" spans="15:32" ht="18.75" x14ac:dyDescent="0.3">
      <c r="O300" s="138"/>
      <c r="AB300" s="17"/>
      <c r="AC300" s="17"/>
      <c r="AD300" s="22"/>
      <c r="AE300" s="17"/>
      <c r="AF300" s="17"/>
    </row>
    <row r="301" spans="15:32" ht="18.75" x14ac:dyDescent="0.3">
      <c r="O301" s="138"/>
      <c r="AB301" s="17"/>
      <c r="AC301" s="17"/>
      <c r="AD301" s="22"/>
      <c r="AE301" s="17"/>
      <c r="AF301" s="17"/>
    </row>
    <row r="302" spans="15:32" ht="18.75" x14ac:dyDescent="0.3">
      <c r="O302" s="138"/>
      <c r="AB302" s="17"/>
      <c r="AC302" s="17"/>
      <c r="AD302" s="22"/>
      <c r="AE302" s="17"/>
      <c r="AF302" s="17"/>
    </row>
    <row r="303" spans="15:32" ht="18.75" x14ac:dyDescent="0.3">
      <c r="O303" s="138"/>
      <c r="AB303" s="17"/>
      <c r="AC303" s="17"/>
      <c r="AD303" s="22"/>
      <c r="AE303" s="17"/>
      <c r="AF303" s="17"/>
    </row>
    <row r="304" spans="15:32" ht="18.75" x14ac:dyDescent="0.3">
      <c r="O304" s="138"/>
      <c r="AB304" s="17"/>
      <c r="AC304" s="17"/>
      <c r="AD304" s="22"/>
      <c r="AE304" s="17"/>
      <c r="AF304" s="17"/>
    </row>
    <row r="305" spans="28:32" ht="18" x14ac:dyDescent="0.25">
      <c r="AB305" s="17"/>
      <c r="AC305" s="17"/>
      <c r="AD305" s="22"/>
      <c r="AE305" s="17"/>
      <c r="AF305" s="17"/>
    </row>
    <row r="306" spans="28:32" ht="18" x14ac:dyDescent="0.25">
      <c r="AB306" s="17"/>
      <c r="AC306" s="17"/>
      <c r="AD306" s="22"/>
      <c r="AE306" s="17"/>
      <c r="AF306" s="17"/>
    </row>
    <row r="307" spans="28:32" ht="18" x14ac:dyDescent="0.25">
      <c r="AB307" s="17"/>
      <c r="AC307" s="17"/>
      <c r="AD307" s="22"/>
      <c r="AE307" s="17"/>
      <c r="AF307" s="17"/>
    </row>
    <row r="308" spans="28:32" ht="18" x14ac:dyDescent="0.25">
      <c r="AB308" s="17"/>
      <c r="AC308" s="17"/>
      <c r="AD308" s="22"/>
      <c r="AE308" s="17"/>
      <c r="AF308" s="17"/>
    </row>
    <row r="309" spans="28:32" ht="18" x14ac:dyDescent="0.25">
      <c r="AB309" s="17"/>
      <c r="AC309" s="17"/>
      <c r="AD309" s="22"/>
      <c r="AE309" s="17"/>
      <c r="AF309" s="17"/>
    </row>
    <row r="310" spans="28:32" ht="18" x14ac:dyDescent="0.25">
      <c r="AB310" s="17"/>
      <c r="AC310" s="17"/>
      <c r="AD310" s="22"/>
      <c r="AE310" s="17"/>
      <c r="AF310" s="17"/>
    </row>
    <row r="311" spans="28:32" ht="18" x14ac:dyDescent="0.25">
      <c r="AB311" s="17"/>
      <c r="AC311" s="17"/>
      <c r="AD311" s="22"/>
      <c r="AE311" s="17"/>
      <c r="AF311" s="17"/>
    </row>
    <row r="312" spans="28:32" ht="18" x14ac:dyDescent="0.25">
      <c r="AB312" s="17"/>
      <c r="AC312" s="17"/>
      <c r="AD312" s="22"/>
      <c r="AE312" s="17"/>
      <c r="AF312" s="17"/>
    </row>
    <row r="313" spans="28:32" ht="18" x14ac:dyDescent="0.25">
      <c r="AB313" s="17"/>
      <c r="AC313" s="17"/>
      <c r="AD313" s="22"/>
      <c r="AE313" s="17"/>
      <c r="AF313" s="17"/>
    </row>
    <row r="314" spans="28:32" ht="18" x14ac:dyDescent="0.25">
      <c r="AB314" s="17"/>
      <c r="AC314" s="17"/>
      <c r="AD314" s="22"/>
      <c r="AE314" s="17"/>
      <c r="AF314" s="17"/>
    </row>
    <row r="315" spans="28:32" ht="18" x14ac:dyDescent="0.25">
      <c r="AB315" s="17"/>
      <c r="AC315" s="17"/>
      <c r="AD315" s="22"/>
      <c r="AE315" s="17"/>
      <c r="AF315" s="17"/>
    </row>
    <row r="316" spans="28:32" ht="18" x14ac:dyDescent="0.25">
      <c r="AB316" s="17"/>
      <c r="AC316" s="17"/>
      <c r="AD316" s="22"/>
      <c r="AE316" s="17"/>
      <c r="AF316" s="17"/>
    </row>
    <row r="317" spans="28:32" ht="18" x14ac:dyDescent="0.25">
      <c r="AB317" s="17"/>
      <c r="AC317" s="17"/>
      <c r="AD317" s="22"/>
      <c r="AE317" s="17"/>
      <c r="AF317" s="17"/>
    </row>
    <row r="318" spans="28:32" ht="18" x14ac:dyDescent="0.25">
      <c r="AB318" s="17"/>
      <c r="AC318" s="17"/>
      <c r="AD318" s="22"/>
      <c r="AE318" s="17"/>
      <c r="AF318" s="17"/>
    </row>
    <row r="319" spans="28:32" ht="18" x14ac:dyDescent="0.25">
      <c r="AB319" s="17"/>
      <c r="AC319" s="17"/>
      <c r="AD319" s="22"/>
      <c r="AE319" s="17"/>
      <c r="AF319" s="17"/>
    </row>
    <row r="320" spans="28:32" ht="18" x14ac:dyDescent="0.25">
      <c r="AB320" s="17"/>
      <c r="AC320" s="17"/>
      <c r="AD320" s="22"/>
      <c r="AE320" s="17"/>
      <c r="AF320" s="17"/>
    </row>
    <row r="321" spans="28:32" ht="18" x14ac:dyDescent="0.25">
      <c r="AB321" s="17"/>
      <c r="AC321" s="17"/>
      <c r="AD321" s="22"/>
      <c r="AE321" s="17"/>
      <c r="AF321" s="17"/>
    </row>
    <row r="322" spans="28:32" ht="18" x14ac:dyDescent="0.25">
      <c r="AB322" s="17"/>
      <c r="AC322" s="17"/>
      <c r="AD322" s="22"/>
      <c r="AE322" s="17"/>
      <c r="AF322" s="17"/>
    </row>
    <row r="323" spans="28:32" ht="18" x14ac:dyDescent="0.25">
      <c r="AB323" s="17"/>
      <c r="AC323" s="17"/>
      <c r="AD323" s="22"/>
      <c r="AE323" s="17"/>
      <c r="AF323" s="17"/>
    </row>
    <row r="324" spans="28:32" ht="18" x14ac:dyDescent="0.25">
      <c r="AB324" s="17"/>
      <c r="AC324" s="17"/>
      <c r="AD324" s="22"/>
      <c r="AE324" s="17"/>
      <c r="AF324" s="17"/>
    </row>
    <row r="325" spans="28:32" ht="18" x14ac:dyDescent="0.25">
      <c r="AB325" s="17"/>
      <c r="AC325" s="17"/>
      <c r="AD325" s="22"/>
      <c r="AE325" s="17"/>
      <c r="AF325" s="17"/>
    </row>
    <row r="326" spans="28:32" ht="18" x14ac:dyDescent="0.25">
      <c r="AB326" s="17"/>
      <c r="AC326" s="17"/>
      <c r="AD326" s="22"/>
      <c r="AE326" s="17"/>
      <c r="AF326" s="17"/>
    </row>
    <row r="327" spans="28:32" ht="18" x14ac:dyDescent="0.25">
      <c r="AB327" s="17"/>
      <c r="AC327" s="17"/>
      <c r="AD327" s="22"/>
      <c r="AE327" s="17"/>
      <c r="AF327" s="17"/>
    </row>
    <row r="328" spans="28:32" ht="18" x14ac:dyDescent="0.25">
      <c r="AB328" s="17"/>
      <c r="AC328" s="17"/>
      <c r="AD328" s="22"/>
      <c r="AE328" s="17"/>
      <c r="AF328" s="17"/>
    </row>
    <row r="329" spans="28:32" ht="18" x14ac:dyDescent="0.25">
      <c r="AB329" s="17"/>
      <c r="AC329" s="17"/>
      <c r="AD329" s="22"/>
      <c r="AE329" s="17"/>
      <c r="AF329" s="17"/>
    </row>
    <row r="330" spans="28:32" ht="18" x14ac:dyDescent="0.25">
      <c r="AB330" s="17"/>
      <c r="AC330" s="17"/>
      <c r="AD330" s="22"/>
      <c r="AE330" s="17"/>
      <c r="AF330" s="17"/>
    </row>
    <row r="331" spans="28:32" ht="18" x14ac:dyDescent="0.25">
      <c r="AB331" s="17"/>
      <c r="AC331" s="17"/>
      <c r="AD331" s="22"/>
      <c r="AE331" s="17"/>
      <c r="AF331" s="17"/>
    </row>
    <row r="332" spans="28:32" ht="18" x14ac:dyDescent="0.25">
      <c r="AB332" s="17"/>
      <c r="AC332" s="17"/>
      <c r="AD332" s="22"/>
      <c r="AE332" s="17"/>
      <c r="AF332" s="17"/>
    </row>
    <row r="333" spans="28:32" ht="18" x14ac:dyDescent="0.25">
      <c r="AB333" s="17"/>
      <c r="AC333" s="17"/>
      <c r="AD333" s="22"/>
      <c r="AE333" s="17"/>
      <c r="AF333" s="17"/>
    </row>
    <row r="334" spans="28:32" ht="18" x14ac:dyDescent="0.25">
      <c r="AB334" s="17"/>
      <c r="AC334" s="17"/>
      <c r="AD334" s="22"/>
      <c r="AE334" s="17"/>
      <c r="AF334" s="17"/>
    </row>
    <row r="335" spans="28:32" ht="18" x14ac:dyDescent="0.25">
      <c r="AB335" s="17"/>
      <c r="AC335" s="17"/>
      <c r="AD335" s="22"/>
      <c r="AE335" s="17"/>
      <c r="AF335" s="17"/>
    </row>
    <row r="336" spans="28:32" ht="18" x14ac:dyDescent="0.25">
      <c r="AB336" s="17"/>
      <c r="AC336" s="17"/>
      <c r="AD336" s="22"/>
      <c r="AE336" s="17"/>
      <c r="AF336" s="17"/>
    </row>
    <row r="337" spans="28:32" ht="18" x14ac:dyDescent="0.25">
      <c r="AB337" s="17"/>
      <c r="AC337" s="17"/>
      <c r="AD337" s="22"/>
      <c r="AE337" s="17"/>
      <c r="AF337" s="17"/>
    </row>
    <row r="338" spans="28:32" ht="18" x14ac:dyDescent="0.25">
      <c r="AB338" s="17"/>
      <c r="AC338" s="17"/>
      <c r="AD338" s="22"/>
      <c r="AE338" s="17"/>
      <c r="AF338" s="17"/>
    </row>
    <row r="339" spans="28:32" ht="18" x14ac:dyDescent="0.25">
      <c r="AB339" s="17"/>
      <c r="AC339" s="17"/>
      <c r="AD339" s="22"/>
      <c r="AE339" s="17"/>
      <c r="AF339" s="17"/>
    </row>
    <row r="340" spans="28:32" ht="18" x14ac:dyDescent="0.25">
      <c r="AB340" s="17"/>
      <c r="AC340" s="17"/>
      <c r="AD340" s="22"/>
      <c r="AE340" s="17"/>
      <c r="AF340" s="17"/>
    </row>
    <row r="341" spans="28:32" ht="18" x14ac:dyDescent="0.25">
      <c r="AB341" s="17"/>
      <c r="AC341" s="17"/>
      <c r="AD341" s="22"/>
      <c r="AE341" s="17"/>
      <c r="AF341" s="17"/>
    </row>
    <row r="342" spans="28:32" ht="18" x14ac:dyDescent="0.25">
      <c r="AB342" s="17"/>
      <c r="AC342" s="17"/>
      <c r="AD342" s="22"/>
      <c r="AE342" s="17"/>
      <c r="AF342" s="17"/>
    </row>
    <row r="343" spans="28:32" ht="18" x14ac:dyDescent="0.25">
      <c r="AB343" s="17"/>
      <c r="AC343" s="17"/>
      <c r="AD343" s="22"/>
      <c r="AE343" s="17"/>
      <c r="AF343" s="17"/>
    </row>
    <row r="344" spans="28:32" ht="18" x14ac:dyDescent="0.25">
      <c r="AB344" s="17"/>
      <c r="AC344" s="17"/>
      <c r="AD344" s="22"/>
      <c r="AE344" s="17"/>
      <c r="AF344" s="17"/>
    </row>
    <row r="345" spans="28:32" ht="18" x14ac:dyDescent="0.25">
      <c r="AB345" s="17"/>
      <c r="AC345" s="17"/>
      <c r="AD345" s="22"/>
      <c r="AE345" s="17"/>
      <c r="AF345" s="17"/>
    </row>
    <row r="346" spans="28:32" ht="18" x14ac:dyDescent="0.25">
      <c r="AB346" s="17"/>
      <c r="AC346" s="17"/>
      <c r="AD346" s="22"/>
      <c r="AE346" s="17"/>
      <c r="AF346" s="17"/>
    </row>
    <row r="347" spans="28:32" ht="18" x14ac:dyDescent="0.25">
      <c r="AB347" s="17"/>
      <c r="AC347" s="17"/>
      <c r="AD347" s="22"/>
      <c r="AE347" s="17"/>
      <c r="AF347" s="17"/>
    </row>
    <row r="348" spans="28:32" ht="18" x14ac:dyDescent="0.25">
      <c r="AB348" s="17"/>
      <c r="AC348" s="17"/>
      <c r="AD348" s="22"/>
      <c r="AE348" s="17"/>
      <c r="AF348" s="17"/>
    </row>
    <row r="349" spans="28:32" ht="18" x14ac:dyDescent="0.25">
      <c r="AB349" s="17"/>
      <c r="AC349" s="17"/>
      <c r="AD349" s="22"/>
      <c r="AE349" s="17"/>
      <c r="AF349" s="17"/>
    </row>
    <row r="350" spans="28:32" ht="18" x14ac:dyDescent="0.25">
      <c r="AB350" s="17"/>
      <c r="AC350" s="17"/>
      <c r="AD350" s="22"/>
      <c r="AE350" s="17"/>
      <c r="AF350" s="17"/>
    </row>
    <row r="351" spans="28:32" ht="18" x14ac:dyDescent="0.25">
      <c r="AB351" s="17"/>
      <c r="AC351" s="17"/>
      <c r="AD351" s="22"/>
      <c r="AE351" s="17"/>
      <c r="AF351" s="17"/>
    </row>
    <row r="352" spans="28:32" ht="18" x14ac:dyDescent="0.25">
      <c r="AB352" s="17"/>
      <c r="AC352" s="17"/>
      <c r="AD352" s="22"/>
      <c r="AE352" s="17"/>
      <c r="AF352" s="17"/>
    </row>
    <row r="353" spans="28:32" ht="18" x14ac:dyDescent="0.25">
      <c r="AB353" s="17"/>
      <c r="AC353" s="17"/>
      <c r="AD353" s="22"/>
      <c r="AE353" s="17"/>
      <c r="AF353" s="17"/>
    </row>
    <row r="354" spans="28:32" ht="18" x14ac:dyDescent="0.25">
      <c r="AB354" s="17"/>
      <c r="AC354" s="17"/>
      <c r="AD354" s="22"/>
      <c r="AE354" s="17"/>
      <c r="AF354" s="17"/>
    </row>
    <row r="355" spans="28:32" ht="18" x14ac:dyDescent="0.25">
      <c r="AB355" s="17"/>
      <c r="AC355" s="17"/>
      <c r="AD355" s="22"/>
      <c r="AE355" s="17"/>
      <c r="AF355" s="17"/>
    </row>
    <row r="356" spans="28:32" ht="18" x14ac:dyDescent="0.25">
      <c r="AB356" s="17"/>
      <c r="AC356" s="17"/>
      <c r="AD356" s="22"/>
      <c r="AE356" s="17"/>
      <c r="AF356" s="17"/>
    </row>
    <row r="357" spans="28:32" ht="18" x14ac:dyDescent="0.25">
      <c r="AB357" s="17"/>
      <c r="AC357" s="17"/>
      <c r="AD357" s="22"/>
      <c r="AE357" s="17"/>
      <c r="AF357" s="17"/>
    </row>
    <row r="358" spans="28:32" ht="18" x14ac:dyDescent="0.25">
      <c r="AB358" s="17"/>
      <c r="AC358" s="17"/>
      <c r="AD358" s="22"/>
      <c r="AE358" s="17"/>
      <c r="AF358" s="17"/>
    </row>
    <row r="359" spans="28:32" ht="18" x14ac:dyDescent="0.25">
      <c r="AB359" s="17"/>
      <c r="AC359" s="17"/>
      <c r="AD359" s="22"/>
      <c r="AE359" s="17"/>
      <c r="AF359" s="17"/>
    </row>
    <row r="360" spans="28:32" ht="18" x14ac:dyDescent="0.25">
      <c r="AB360" s="17"/>
      <c r="AC360" s="17"/>
      <c r="AD360" s="22"/>
      <c r="AE360" s="17"/>
      <c r="AF360" s="17"/>
    </row>
    <row r="361" spans="28:32" ht="18" x14ac:dyDescent="0.25">
      <c r="AB361" s="17"/>
      <c r="AC361" s="17"/>
      <c r="AD361" s="22"/>
      <c r="AE361" s="17"/>
      <c r="AF361" s="17"/>
    </row>
    <row r="362" spans="28:32" ht="18" x14ac:dyDescent="0.25">
      <c r="AB362" s="17"/>
      <c r="AC362" s="17"/>
      <c r="AD362" s="22"/>
      <c r="AE362" s="17"/>
      <c r="AF362" s="17"/>
    </row>
    <row r="363" spans="28:32" ht="18" x14ac:dyDescent="0.25">
      <c r="AB363" s="17"/>
      <c r="AC363" s="17"/>
      <c r="AD363" s="22"/>
      <c r="AE363" s="17"/>
      <c r="AF363" s="17"/>
    </row>
    <row r="364" spans="28:32" ht="18" x14ac:dyDescent="0.25">
      <c r="AB364" s="17"/>
      <c r="AC364" s="17"/>
      <c r="AD364" s="22"/>
      <c r="AE364" s="17"/>
      <c r="AF364" s="17"/>
    </row>
    <row r="365" spans="28:32" ht="18" x14ac:dyDescent="0.25">
      <c r="AB365" s="17"/>
      <c r="AC365" s="17"/>
      <c r="AD365" s="22"/>
      <c r="AE365" s="17"/>
      <c r="AF365" s="17"/>
    </row>
    <row r="366" spans="28:32" ht="18" x14ac:dyDescent="0.25">
      <c r="AB366" s="17"/>
      <c r="AC366" s="17"/>
      <c r="AD366" s="22"/>
      <c r="AE366" s="17"/>
      <c r="AF366" s="17"/>
    </row>
    <row r="367" spans="28:32" ht="18" x14ac:dyDescent="0.25">
      <c r="AB367" s="17"/>
      <c r="AC367" s="17"/>
      <c r="AD367" s="22"/>
      <c r="AE367" s="17"/>
      <c r="AF367" s="17"/>
    </row>
    <row r="368" spans="28:32" ht="18" x14ac:dyDescent="0.25">
      <c r="AB368" s="17"/>
      <c r="AC368" s="17"/>
      <c r="AD368" s="22"/>
      <c r="AE368" s="17"/>
      <c r="AF368" s="17"/>
    </row>
    <row r="369" spans="28:32" ht="18" x14ac:dyDescent="0.25">
      <c r="AB369" s="17"/>
      <c r="AC369" s="17"/>
      <c r="AD369" s="22"/>
      <c r="AE369" s="17"/>
      <c r="AF369" s="17"/>
    </row>
    <row r="370" spans="28:32" ht="18" x14ac:dyDescent="0.25">
      <c r="AB370" s="17"/>
      <c r="AC370" s="17"/>
      <c r="AD370" s="22"/>
      <c r="AE370" s="17"/>
      <c r="AF370" s="17"/>
    </row>
    <row r="371" spans="28:32" ht="18" x14ac:dyDescent="0.25">
      <c r="AB371" s="17"/>
      <c r="AC371" s="17"/>
      <c r="AD371" s="22"/>
      <c r="AE371" s="17"/>
      <c r="AF371" s="17"/>
    </row>
    <row r="372" spans="28:32" ht="18" x14ac:dyDescent="0.25">
      <c r="AB372" s="17"/>
      <c r="AC372" s="17"/>
      <c r="AD372" s="22"/>
      <c r="AE372" s="17"/>
      <c r="AF372" s="17"/>
    </row>
    <row r="373" spans="28:32" ht="18" x14ac:dyDescent="0.25">
      <c r="AB373" s="17"/>
      <c r="AC373" s="17"/>
      <c r="AD373" s="22"/>
      <c r="AE373" s="17"/>
      <c r="AF373" s="17"/>
    </row>
    <row r="374" spans="28:32" ht="18" x14ac:dyDescent="0.25">
      <c r="AB374" s="17"/>
      <c r="AC374" s="17"/>
      <c r="AD374" s="22"/>
      <c r="AE374" s="17"/>
      <c r="AF374" s="17"/>
    </row>
    <row r="375" spans="28:32" ht="18" x14ac:dyDescent="0.25">
      <c r="AB375" s="17"/>
      <c r="AC375" s="17"/>
      <c r="AD375" s="22"/>
      <c r="AE375" s="17"/>
      <c r="AF375" s="17"/>
    </row>
    <row r="376" spans="28:32" ht="18" x14ac:dyDescent="0.25">
      <c r="AB376" s="17"/>
      <c r="AC376" s="17"/>
      <c r="AD376" s="22"/>
      <c r="AE376" s="17"/>
      <c r="AF376" s="17"/>
    </row>
    <row r="377" spans="28:32" ht="18" x14ac:dyDescent="0.25">
      <c r="AB377" s="17"/>
      <c r="AC377" s="17"/>
      <c r="AD377" s="22"/>
      <c r="AE377" s="17"/>
      <c r="AF377" s="17"/>
    </row>
    <row r="378" spans="28:32" ht="18" x14ac:dyDescent="0.25">
      <c r="AB378" s="17"/>
      <c r="AC378" s="17"/>
      <c r="AD378" s="22"/>
      <c r="AE378" s="17"/>
      <c r="AF378" s="17"/>
    </row>
    <row r="379" spans="28:32" ht="18" x14ac:dyDescent="0.25">
      <c r="AB379" s="17"/>
      <c r="AC379" s="17"/>
      <c r="AD379" s="22"/>
      <c r="AE379" s="17"/>
      <c r="AF379" s="17"/>
    </row>
    <row r="380" spans="28:32" ht="18" x14ac:dyDescent="0.25">
      <c r="AB380" s="17"/>
      <c r="AC380" s="17"/>
      <c r="AD380" s="22"/>
      <c r="AE380" s="17"/>
      <c r="AF380" s="17"/>
    </row>
    <row r="381" spans="28:32" ht="18" x14ac:dyDescent="0.25">
      <c r="AB381" s="17"/>
      <c r="AC381" s="17"/>
      <c r="AD381" s="22"/>
      <c r="AE381" s="17"/>
      <c r="AF381" s="17"/>
    </row>
    <row r="382" spans="28:32" ht="18" x14ac:dyDescent="0.25">
      <c r="AB382" s="17"/>
      <c r="AC382" s="17"/>
      <c r="AD382" s="22"/>
      <c r="AE382" s="17"/>
      <c r="AF382" s="17"/>
    </row>
    <row r="383" spans="28:32" ht="18" x14ac:dyDescent="0.25">
      <c r="AB383" s="17"/>
      <c r="AC383" s="17"/>
      <c r="AD383" s="22"/>
      <c r="AE383" s="17"/>
      <c r="AF383" s="17"/>
    </row>
    <row r="384" spans="28:32" ht="18" x14ac:dyDescent="0.25">
      <c r="AB384" s="17"/>
      <c r="AC384" s="17"/>
      <c r="AD384" s="22"/>
      <c r="AE384" s="17"/>
      <c r="AF384" s="17"/>
    </row>
    <row r="385" spans="15:32" ht="18" x14ac:dyDescent="0.25">
      <c r="AB385" s="17"/>
      <c r="AC385" s="17"/>
      <c r="AD385" s="22"/>
      <c r="AE385" s="17"/>
      <c r="AF385" s="17"/>
    </row>
    <row r="386" spans="15:32" ht="18" x14ac:dyDescent="0.25">
      <c r="AB386" s="17"/>
      <c r="AC386" s="17"/>
      <c r="AD386" s="22"/>
      <c r="AE386" s="17"/>
      <c r="AF386" s="17"/>
    </row>
    <row r="387" spans="15:32" ht="18" x14ac:dyDescent="0.25">
      <c r="O387" s="1048"/>
      <c r="AB387" s="17"/>
      <c r="AC387" s="17"/>
      <c r="AD387" s="22"/>
      <c r="AE387" s="17"/>
      <c r="AF387" s="17"/>
    </row>
    <row r="388" spans="15:32" ht="18" x14ac:dyDescent="0.25">
      <c r="O388" s="1048"/>
      <c r="AB388" s="17"/>
      <c r="AC388" s="17"/>
      <c r="AD388" s="22"/>
      <c r="AE388" s="17"/>
      <c r="AF388" s="17"/>
    </row>
    <row r="389" spans="15:32" ht="18" x14ac:dyDescent="0.25">
      <c r="O389" s="1048"/>
      <c r="AB389" s="17"/>
      <c r="AC389" s="17"/>
      <c r="AD389" s="22"/>
      <c r="AE389" s="17"/>
      <c r="AF389" s="17"/>
    </row>
    <row r="390" spans="15:32" ht="18" x14ac:dyDescent="0.25">
      <c r="O390" s="1048"/>
      <c r="AB390" s="17"/>
      <c r="AC390" s="17"/>
      <c r="AD390" s="22"/>
      <c r="AE390" s="17"/>
      <c r="AF390" s="17"/>
    </row>
    <row r="391" spans="15:32" ht="18" x14ac:dyDescent="0.25">
      <c r="O391" s="1048"/>
      <c r="AB391" s="17"/>
      <c r="AC391" s="17"/>
      <c r="AD391" s="22"/>
      <c r="AE391" s="17"/>
      <c r="AF391" s="17"/>
    </row>
    <row r="392" spans="15:32" ht="18" x14ac:dyDescent="0.25">
      <c r="O392" s="1048"/>
      <c r="AB392" s="17"/>
      <c r="AC392" s="17"/>
      <c r="AD392" s="22"/>
      <c r="AE392" s="17"/>
      <c r="AF392" s="17"/>
    </row>
    <row r="393" spans="15:32" ht="18" x14ac:dyDescent="0.25">
      <c r="O393" s="1048"/>
      <c r="AB393" s="17"/>
      <c r="AC393" s="17"/>
      <c r="AD393" s="22"/>
      <c r="AE393" s="17"/>
      <c r="AF393" s="17"/>
    </row>
    <row r="394" spans="15:32" ht="18" x14ac:dyDescent="0.25">
      <c r="O394" s="1048"/>
      <c r="AB394" s="17"/>
      <c r="AC394" s="17"/>
      <c r="AD394" s="22"/>
      <c r="AE394" s="17"/>
      <c r="AF394" s="17"/>
    </row>
    <row r="395" spans="15:32" ht="18" x14ac:dyDescent="0.25">
      <c r="O395" s="1048"/>
      <c r="AB395" s="17"/>
      <c r="AC395" s="17"/>
      <c r="AD395" s="22"/>
      <c r="AE395" s="17"/>
      <c r="AF395" s="17"/>
    </row>
    <row r="396" spans="15:32" ht="18" x14ac:dyDescent="0.25">
      <c r="O396" s="1048"/>
      <c r="AB396" s="17"/>
      <c r="AC396" s="17"/>
      <c r="AD396" s="22"/>
      <c r="AE396" s="17"/>
      <c r="AF396" s="17"/>
    </row>
    <row r="397" spans="15:32" ht="18" x14ac:dyDescent="0.25">
      <c r="O397" s="1048"/>
      <c r="AB397" s="17"/>
      <c r="AC397" s="17"/>
      <c r="AD397" s="22"/>
      <c r="AE397" s="17"/>
      <c r="AF397" s="17"/>
    </row>
    <row r="398" spans="15:32" ht="18" x14ac:dyDescent="0.25">
      <c r="O398" s="1048"/>
      <c r="AB398" s="17"/>
      <c r="AC398" s="17"/>
      <c r="AD398" s="22"/>
      <c r="AE398" s="17"/>
      <c r="AF398" s="17"/>
    </row>
    <row r="399" spans="15:32" ht="18" x14ac:dyDescent="0.25">
      <c r="O399" s="1048"/>
      <c r="AB399" s="17"/>
      <c r="AC399" s="17"/>
      <c r="AD399" s="22"/>
      <c r="AE399" s="17"/>
      <c r="AF399" s="17"/>
    </row>
    <row r="400" spans="15:32" ht="18" x14ac:dyDescent="0.25">
      <c r="O400" s="1048"/>
      <c r="AB400" s="17"/>
      <c r="AC400" s="17"/>
      <c r="AD400" s="22"/>
      <c r="AE400" s="17"/>
      <c r="AF400" s="17"/>
    </row>
    <row r="401" spans="15:32" ht="18" x14ac:dyDescent="0.25">
      <c r="O401" s="1048"/>
      <c r="AB401" s="17"/>
      <c r="AC401" s="17"/>
      <c r="AD401" s="22"/>
      <c r="AE401" s="17"/>
      <c r="AF401" s="17"/>
    </row>
    <row r="402" spans="15:32" ht="18" x14ac:dyDescent="0.25">
      <c r="O402" s="1048"/>
      <c r="AB402" s="17"/>
      <c r="AC402" s="17"/>
      <c r="AD402" s="22"/>
      <c r="AE402" s="17"/>
      <c r="AF402" s="17"/>
    </row>
    <row r="403" spans="15:32" ht="18" x14ac:dyDescent="0.25">
      <c r="O403" s="1048"/>
      <c r="AB403" s="17"/>
      <c r="AC403" s="17"/>
      <c r="AD403" s="22"/>
      <c r="AE403" s="17"/>
      <c r="AF403" s="17"/>
    </row>
    <row r="404" spans="15:32" ht="18" x14ac:dyDescent="0.25">
      <c r="O404" s="1048"/>
      <c r="AB404" s="17"/>
      <c r="AC404" s="17"/>
      <c r="AD404" s="22"/>
      <c r="AE404" s="17"/>
      <c r="AF404" s="17"/>
    </row>
    <row r="405" spans="15:32" ht="18" x14ac:dyDescent="0.25">
      <c r="O405" s="1048"/>
      <c r="AB405" s="17"/>
      <c r="AC405" s="17"/>
      <c r="AD405" s="22"/>
      <c r="AE405" s="17"/>
      <c r="AF405" s="17"/>
    </row>
    <row r="406" spans="15:32" ht="18" x14ac:dyDescent="0.25">
      <c r="O406" s="1048"/>
      <c r="AB406" s="17"/>
      <c r="AC406" s="17"/>
      <c r="AD406" s="22"/>
      <c r="AE406" s="17"/>
      <c r="AF406" s="17"/>
    </row>
    <row r="407" spans="15:32" ht="18" x14ac:dyDescent="0.25">
      <c r="O407" s="1048"/>
      <c r="AB407" s="17"/>
      <c r="AC407" s="17"/>
      <c r="AD407" s="22"/>
      <c r="AE407" s="17"/>
      <c r="AF407" s="17"/>
    </row>
    <row r="408" spans="15:32" ht="18" x14ac:dyDescent="0.25">
      <c r="O408" s="1048"/>
      <c r="AB408" s="17"/>
      <c r="AC408" s="17"/>
      <c r="AD408" s="22"/>
      <c r="AE408" s="17"/>
      <c r="AF408" s="17"/>
    </row>
    <row r="409" spans="15:32" ht="18" x14ac:dyDescent="0.25">
      <c r="O409" s="1048"/>
      <c r="AB409" s="17"/>
      <c r="AC409" s="17"/>
      <c r="AD409" s="22"/>
      <c r="AE409" s="17"/>
      <c r="AF409" s="17"/>
    </row>
    <row r="410" spans="15:32" ht="18" x14ac:dyDescent="0.25">
      <c r="O410" s="1048"/>
      <c r="AB410" s="17"/>
      <c r="AC410" s="17"/>
      <c r="AD410" s="22"/>
      <c r="AE410" s="17"/>
      <c r="AF410" s="17"/>
    </row>
    <row r="411" spans="15:32" ht="18" x14ac:dyDescent="0.25">
      <c r="O411" s="1048"/>
      <c r="AB411" s="17"/>
      <c r="AC411" s="17"/>
      <c r="AD411" s="22"/>
      <c r="AE411" s="17"/>
      <c r="AF411" s="17"/>
    </row>
    <row r="412" spans="15:32" ht="18" x14ac:dyDescent="0.25">
      <c r="O412" s="1048"/>
      <c r="AB412" s="17"/>
      <c r="AC412" s="17"/>
      <c r="AD412" s="22"/>
      <c r="AE412" s="17"/>
      <c r="AF412" s="17"/>
    </row>
    <row r="413" spans="15:32" ht="18" x14ac:dyDescent="0.25">
      <c r="AB413" s="17"/>
      <c r="AC413" s="17"/>
      <c r="AD413" s="22"/>
      <c r="AE413" s="17"/>
      <c r="AF413" s="17"/>
    </row>
    <row r="414" spans="15:32" ht="18" x14ac:dyDescent="0.25">
      <c r="AB414" s="17"/>
      <c r="AC414" s="17"/>
      <c r="AD414" s="22"/>
      <c r="AE414" s="17"/>
      <c r="AF414" s="17"/>
    </row>
    <row r="415" spans="15:32" ht="18" x14ac:dyDescent="0.25">
      <c r="AB415" s="17"/>
      <c r="AC415" s="17"/>
      <c r="AD415" s="22"/>
      <c r="AE415" s="17"/>
      <c r="AF415" s="17"/>
    </row>
    <row r="416" spans="15:32" ht="18" x14ac:dyDescent="0.25">
      <c r="AB416" s="17"/>
      <c r="AC416" s="17"/>
      <c r="AD416" s="22"/>
      <c r="AE416" s="17"/>
      <c r="AF416" s="17"/>
    </row>
    <row r="417" spans="28:32" ht="18" x14ac:dyDescent="0.25">
      <c r="AB417" s="17"/>
      <c r="AC417" s="17"/>
      <c r="AD417" s="22"/>
      <c r="AE417" s="17"/>
      <c r="AF417" s="17"/>
    </row>
    <row r="418" spans="28:32" ht="18" x14ac:dyDescent="0.25">
      <c r="AB418" s="17"/>
      <c r="AC418" s="17"/>
      <c r="AD418" s="22"/>
      <c r="AE418" s="17"/>
      <c r="AF418" s="17"/>
    </row>
    <row r="419" spans="28:32" ht="18" x14ac:dyDescent="0.25">
      <c r="AB419" s="17"/>
      <c r="AC419" s="17"/>
      <c r="AD419" s="22"/>
      <c r="AE419" s="17"/>
      <c r="AF419" s="17"/>
    </row>
    <row r="420" spans="28:32" ht="18" x14ac:dyDescent="0.25">
      <c r="AB420" s="17"/>
      <c r="AC420" s="17"/>
      <c r="AD420" s="22"/>
      <c r="AE420" s="17"/>
      <c r="AF420" s="17"/>
    </row>
    <row r="421" spans="28:32" ht="18" x14ac:dyDescent="0.25">
      <c r="AB421" s="17"/>
      <c r="AC421" s="17"/>
      <c r="AD421" s="22"/>
      <c r="AE421" s="17"/>
      <c r="AF421" s="17"/>
    </row>
    <row r="422" spans="28:32" ht="18" x14ac:dyDescent="0.25">
      <c r="AB422" s="17"/>
      <c r="AC422" s="17"/>
      <c r="AD422" s="22"/>
      <c r="AE422" s="17"/>
      <c r="AF422" s="17"/>
    </row>
    <row r="423" spans="28:32" ht="18" x14ac:dyDescent="0.25">
      <c r="AB423" s="17"/>
      <c r="AC423" s="17"/>
      <c r="AD423" s="22"/>
      <c r="AE423" s="17"/>
      <c r="AF423" s="17"/>
    </row>
    <row r="424" spans="28:32" ht="18" x14ac:dyDescent="0.25">
      <c r="AB424" s="17"/>
      <c r="AC424" s="17"/>
      <c r="AD424" s="22"/>
      <c r="AE424" s="17"/>
      <c r="AF424" s="17"/>
    </row>
    <row r="425" spans="28:32" ht="18" x14ac:dyDescent="0.25">
      <c r="AB425" s="17"/>
      <c r="AC425" s="17"/>
      <c r="AD425" s="22"/>
      <c r="AE425" s="17"/>
      <c r="AF425" s="17"/>
    </row>
    <row r="426" spans="28:32" ht="18" x14ac:dyDescent="0.25">
      <c r="AB426" s="17"/>
      <c r="AC426" s="17"/>
      <c r="AD426" s="22"/>
      <c r="AE426" s="17"/>
      <c r="AF426" s="17"/>
    </row>
    <row r="427" spans="28:32" ht="18" x14ac:dyDescent="0.25">
      <c r="AB427" s="17"/>
      <c r="AC427" s="17"/>
      <c r="AD427" s="22"/>
      <c r="AE427" s="17"/>
      <c r="AF427" s="17"/>
    </row>
    <row r="428" spans="28:32" ht="18" x14ac:dyDescent="0.25">
      <c r="AB428" s="17"/>
      <c r="AC428" s="17"/>
      <c r="AD428" s="22"/>
      <c r="AE428" s="17"/>
      <c r="AF428" s="17"/>
    </row>
    <row r="429" spans="28:32" ht="18" x14ac:dyDescent="0.25">
      <c r="AB429" s="17"/>
      <c r="AC429" s="17"/>
      <c r="AD429" s="22"/>
      <c r="AE429" s="17"/>
      <c r="AF429" s="17"/>
    </row>
    <row r="430" spans="28:32" ht="18" x14ac:dyDescent="0.25">
      <c r="AB430" s="17"/>
      <c r="AC430" s="17"/>
      <c r="AD430" s="22"/>
      <c r="AE430" s="17"/>
      <c r="AF430" s="17"/>
    </row>
    <row r="431" spans="28:32" ht="18" x14ac:dyDescent="0.25">
      <c r="AB431" s="17"/>
      <c r="AC431" s="17"/>
      <c r="AD431" s="22"/>
      <c r="AE431" s="17"/>
      <c r="AF431" s="17"/>
    </row>
    <row r="432" spans="28:32" ht="18" x14ac:dyDescent="0.25">
      <c r="AB432" s="17"/>
      <c r="AC432" s="17"/>
      <c r="AD432" s="22"/>
      <c r="AE432" s="17"/>
      <c r="AF432" s="17"/>
    </row>
    <row r="433" spans="28:32" ht="18" x14ac:dyDescent="0.25">
      <c r="AB433" s="17"/>
      <c r="AC433" s="17"/>
      <c r="AD433" s="22"/>
      <c r="AE433" s="17"/>
      <c r="AF433" s="17"/>
    </row>
    <row r="434" spans="28:32" ht="18" x14ac:dyDescent="0.25">
      <c r="AB434" s="17"/>
      <c r="AC434" s="17"/>
      <c r="AD434" s="22"/>
      <c r="AE434" s="17"/>
      <c r="AF434" s="17"/>
    </row>
    <row r="435" spans="28:32" ht="18" x14ac:dyDescent="0.25">
      <c r="AB435" s="17"/>
      <c r="AC435" s="17"/>
      <c r="AD435" s="22"/>
      <c r="AE435" s="17"/>
      <c r="AF435" s="17"/>
    </row>
    <row r="436" spans="28:32" ht="18" x14ac:dyDescent="0.25">
      <c r="AB436" s="17"/>
      <c r="AC436" s="17"/>
      <c r="AD436" s="22"/>
      <c r="AE436" s="17"/>
      <c r="AF436" s="17"/>
    </row>
    <row r="437" spans="28:32" ht="18" x14ac:dyDescent="0.25">
      <c r="AB437" s="17"/>
      <c r="AC437" s="17"/>
      <c r="AD437" s="22"/>
      <c r="AE437" s="17"/>
      <c r="AF437" s="17"/>
    </row>
    <row r="438" spans="28:32" ht="18" x14ac:dyDescent="0.25">
      <c r="AB438" s="17"/>
      <c r="AC438" s="17"/>
      <c r="AD438" s="22"/>
      <c r="AE438" s="17"/>
      <c r="AF438" s="17"/>
    </row>
    <row r="439" spans="28:32" ht="18" x14ac:dyDescent="0.25">
      <c r="AB439" s="17"/>
      <c r="AC439" s="17"/>
      <c r="AD439" s="22"/>
      <c r="AE439" s="17"/>
      <c r="AF439" s="17"/>
    </row>
    <row r="440" spans="28:32" ht="18" x14ac:dyDescent="0.25">
      <c r="AB440" s="17"/>
      <c r="AC440" s="17"/>
      <c r="AD440" s="22"/>
      <c r="AE440" s="17"/>
      <c r="AF440" s="17"/>
    </row>
    <row r="441" spans="28:32" ht="18" x14ac:dyDescent="0.25">
      <c r="AB441" s="17"/>
      <c r="AC441" s="17"/>
      <c r="AD441" s="22"/>
      <c r="AE441" s="17"/>
      <c r="AF441" s="17"/>
    </row>
    <row r="442" spans="28:32" ht="18" x14ac:dyDescent="0.25">
      <c r="AB442" s="17"/>
      <c r="AC442" s="17"/>
      <c r="AD442" s="22"/>
      <c r="AE442" s="17"/>
      <c r="AF442" s="17"/>
    </row>
    <row r="443" spans="28:32" ht="18" x14ac:dyDescent="0.25">
      <c r="AB443" s="17"/>
      <c r="AC443" s="17"/>
      <c r="AD443" s="22"/>
      <c r="AE443" s="17"/>
      <c r="AF443" s="17"/>
    </row>
    <row r="444" spans="28:32" ht="18" x14ac:dyDescent="0.25">
      <c r="AB444" s="17"/>
      <c r="AC444" s="17"/>
      <c r="AD444" s="22"/>
      <c r="AE444" s="17"/>
      <c r="AF444" s="17"/>
    </row>
    <row r="445" spans="28:32" ht="18" x14ac:dyDescent="0.25">
      <c r="AB445" s="17"/>
      <c r="AC445" s="17"/>
      <c r="AD445" s="22"/>
      <c r="AE445" s="17"/>
      <c r="AF445" s="17"/>
    </row>
    <row r="446" spans="28:32" ht="18" x14ac:dyDescent="0.25">
      <c r="AB446" s="17"/>
      <c r="AC446" s="17"/>
      <c r="AD446" s="22"/>
      <c r="AE446" s="17"/>
      <c r="AF446" s="17"/>
    </row>
    <row r="447" spans="28:32" ht="18" x14ac:dyDescent="0.25">
      <c r="AB447" s="17"/>
      <c r="AC447" s="17"/>
      <c r="AD447" s="22"/>
      <c r="AE447" s="17"/>
      <c r="AF447" s="17"/>
    </row>
    <row r="448" spans="28:32" ht="18" x14ac:dyDescent="0.25">
      <c r="AB448" s="17"/>
      <c r="AC448" s="17"/>
      <c r="AD448" s="22"/>
      <c r="AE448" s="17"/>
      <c r="AF448" s="17"/>
    </row>
    <row r="449" spans="28:32" ht="18" x14ac:dyDescent="0.25">
      <c r="AB449" s="17"/>
      <c r="AC449" s="17"/>
      <c r="AD449" s="22"/>
      <c r="AE449" s="17"/>
      <c r="AF449" s="17"/>
    </row>
    <row r="450" spans="28:32" ht="18" x14ac:dyDescent="0.25">
      <c r="AB450" s="17"/>
      <c r="AC450" s="17"/>
      <c r="AD450" s="22"/>
      <c r="AE450" s="17"/>
      <c r="AF450" s="17"/>
    </row>
    <row r="451" spans="28:32" ht="18" x14ac:dyDescent="0.25">
      <c r="AB451" s="17"/>
      <c r="AC451" s="17"/>
      <c r="AD451" s="22"/>
      <c r="AE451" s="17"/>
      <c r="AF451" s="17"/>
    </row>
    <row r="452" spans="28:32" ht="18" x14ac:dyDescent="0.25">
      <c r="AB452" s="17"/>
      <c r="AC452" s="17"/>
      <c r="AD452" s="22"/>
      <c r="AE452" s="17"/>
      <c r="AF452" s="17"/>
    </row>
    <row r="453" spans="28:32" ht="18" x14ac:dyDescent="0.25">
      <c r="AB453" s="17"/>
      <c r="AC453" s="17"/>
      <c r="AD453" s="22"/>
      <c r="AE453" s="17"/>
      <c r="AF453" s="17"/>
    </row>
    <row r="454" spans="28:32" ht="18" x14ac:dyDescent="0.25">
      <c r="AB454" s="17"/>
      <c r="AC454" s="17"/>
      <c r="AD454" s="22"/>
      <c r="AE454" s="17"/>
      <c r="AF454" s="17"/>
    </row>
    <row r="455" spans="28:32" ht="18" x14ac:dyDescent="0.25">
      <c r="AB455" s="17"/>
      <c r="AC455" s="17"/>
      <c r="AD455" s="22"/>
      <c r="AE455" s="17"/>
      <c r="AF455" s="17"/>
    </row>
    <row r="456" spans="28:32" ht="18" x14ac:dyDescent="0.25">
      <c r="AB456" s="17"/>
      <c r="AC456" s="17"/>
      <c r="AD456" s="22"/>
      <c r="AE456" s="17"/>
      <c r="AF456" s="17"/>
    </row>
    <row r="457" spans="28:32" ht="18" x14ac:dyDescent="0.25">
      <c r="AB457" s="17"/>
      <c r="AC457" s="17"/>
      <c r="AD457" s="22"/>
      <c r="AE457" s="17"/>
      <c r="AF457" s="17"/>
    </row>
    <row r="458" spans="28:32" ht="18" x14ac:dyDescent="0.25">
      <c r="AB458" s="17"/>
      <c r="AC458" s="17"/>
      <c r="AD458" s="22"/>
      <c r="AE458" s="17"/>
      <c r="AF458" s="17"/>
    </row>
    <row r="459" spans="28:32" ht="18" x14ac:dyDescent="0.25">
      <c r="AB459" s="17"/>
      <c r="AC459" s="17"/>
      <c r="AD459" s="22"/>
      <c r="AE459" s="17"/>
      <c r="AF459" s="17"/>
    </row>
    <row r="460" spans="28:32" ht="18" x14ac:dyDescent="0.25">
      <c r="AB460" s="17"/>
      <c r="AC460" s="17"/>
      <c r="AD460" s="22"/>
      <c r="AE460" s="17"/>
      <c r="AF460" s="17"/>
    </row>
    <row r="461" spans="28:32" ht="18" x14ac:dyDescent="0.25">
      <c r="AB461" s="17"/>
      <c r="AC461" s="17"/>
      <c r="AD461" s="22"/>
      <c r="AE461" s="17"/>
      <c r="AF461" s="17"/>
    </row>
    <row r="462" spans="28:32" ht="18" x14ac:dyDescent="0.25">
      <c r="AB462" s="17"/>
      <c r="AC462" s="17"/>
      <c r="AD462" s="22"/>
      <c r="AE462" s="17"/>
      <c r="AF462" s="17"/>
    </row>
    <row r="463" spans="28:32" ht="18" x14ac:dyDescent="0.25">
      <c r="AB463" s="17"/>
      <c r="AC463" s="17"/>
      <c r="AD463" s="22"/>
      <c r="AE463" s="17"/>
      <c r="AF463" s="17"/>
    </row>
    <row r="464" spans="28:32" ht="18" x14ac:dyDescent="0.25">
      <c r="AB464" s="17"/>
      <c r="AC464" s="17"/>
      <c r="AD464" s="22"/>
      <c r="AE464" s="17"/>
      <c r="AF464" s="17"/>
    </row>
    <row r="465" spans="28:32" ht="18" x14ac:dyDescent="0.25">
      <c r="AB465" s="17"/>
      <c r="AC465" s="17"/>
      <c r="AD465" s="22"/>
      <c r="AE465" s="17"/>
      <c r="AF465" s="17"/>
    </row>
    <row r="466" spans="28:32" ht="18" x14ac:dyDescent="0.25">
      <c r="AB466" s="17"/>
      <c r="AC466" s="17"/>
      <c r="AD466" s="22"/>
      <c r="AE466" s="17"/>
      <c r="AF466" s="17"/>
    </row>
    <row r="467" spans="28:32" ht="18" x14ac:dyDescent="0.25">
      <c r="AB467" s="17"/>
      <c r="AC467" s="17"/>
      <c r="AD467" s="22"/>
      <c r="AE467" s="17"/>
      <c r="AF467" s="17"/>
    </row>
    <row r="468" spans="28:32" ht="18" x14ac:dyDescent="0.25">
      <c r="AB468" s="17"/>
      <c r="AC468" s="17"/>
      <c r="AD468" s="22"/>
      <c r="AE468" s="17"/>
      <c r="AF468" s="17"/>
    </row>
    <row r="469" spans="28:32" ht="18" x14ac:dyDescent="0.25">
      <c r="AB469" s="17"/>
      <c r="AC469" s="17"/>
      <c r="AD469" s="22"/>
      <c r="AE469" s="17"/>
      <c r="AF469" s="17"/>
    </row>
    <row r="470" spans="28:32" ht="18" x14ac:dyDescent="0.25">
      <c r="AB470" s="17"/>
      <c r="AC470" s="17"/>
      <c r="AD470" s="22"/>
      <c r="AE470" s="17"/>
      <c r="AF470" s="17"/>
    </row>
    <row r="471" spans="28:32" ht="18" x14ac:dyDescent="0.25">
      <c r="AB471" s="17"/>
      <c r="AC471" s="17"/>
      <c r="AD471" s="22"/>
      <c r="AE471" s="17"/>
      <c r="AF471" s="17"/>
    </row>
    <row r="472" spans="28:32" ht="18" x14ac:dyDescent="0.25">
      <c r="AB472" s="17"/>
      <c r="AC472" s="17"/>
      <c r="AD472" s="22"/>
      <c r="AE472" s="17"/>
      <c r="AF472" s="17"/>
    </row>
    <row r="473" spans="28:32" ht="18" x14ac:dyDescent="0.25">
      <c r="AB473" s="17"/>
      <c r="AC473" s="17"/>
      <c r="AD473" s="22"/>
      <c r="AE473" s="17"/>
      <c r="AF473" s="17"/>
    </row>
    <row r="474" spans="28:32" ht="18" x14ac:dyDescent="0.25">
      <c r="AB474" s="17"/>
      <c r="AC474" s="17"/>
      <c r="AD474" s="22"/>
      <c r="AE474" s="17"/>
      <c r="AF474" s="17"/>
    </row>
    <row r="475" spans="28:32" ht="18" x14ac:dyDescent="0.25">
      <c r="AB475" s="17"/>
      <c r="AC475" s="17"/>
      <c r="AD475" s="22"/>
      <c r="AE475" s="17"/>
      <c r="AF475" s="17"/>
    </row>
    <row r="476" spans="28:32" ht="18" x14ac:dyDescent="0.25">
      <c r="AB476" s="17"/>
      <c r="AC476" s="17"/>
      <c r="AD476" s="22"/>
      <c r="AE476" s="17"/>
      <c r="AF476" s="17"/>
    </row>
    <row r="477" spans="28:32" ht="18" x14ac:dyDescent="0.25">
      <c r="AB477" s="17"/>
      <c r="AC477" s="17"/>
      <c r="AD477" s="22"/>
      <c r="AE477" s="17"/>
      <c r="AF477" s="17"/>
    </row>
    <row r="478" spans="28:32" ht="18" x14ac:dyDescent="0.25">
      <c r="AB478" s="17"/>
      <c r="AC478" s="17"/>
      <c r="AD478" s="22"/>
      <c r="AE478" s="17"/>
      <c r="AF478" s="17"/>
    </row>
    <row r="479" spans="28:32" ht="18" x14ac:dyDescent="0.25">
      <c r="AB479" s="17"/>
      <c r="AC479" s="17"/>
      <c r="AD479" s="22"/>
      <c r="AE479" s="17"/>
      <c r="AF479" s="17"/>
    </row>
    <row r="480" spans="28:32" ht="18" x14ac:dyDescent="0.25">
      <c r="AB480" s="17"/>
      <c r="AC480" s="17"/>
      <c r="AD480" s="22"/>
      <c r="AE480" s="17"/>
      <c r="AF480" s="17"/>
    </row>
    <row r="481" spans="28:32" ht="18" x14ac:dyDescent="0.25">
      <c r="AB481" s="17"/>
      <c r="AC481" s="17"/>
      <c r="AD481" s="22"/>
      <c r="AE481" s="17"/>
      <c r="AF481" s="17"/>
    </row>
    <row r="482" spans="28:32" ht="18" x14ac:dyDescent="0.25">
      <c r="AB482" s="17"/>
      <c r="AC482" s="17"/>
      <c r="AD482" s="22"/>
      <c r="AE482" s="17"/>
      <c r="AF482" s="17"/>
    </row>
    <row r="483" spans="28:32" ht="18" x14ac:dyDescent="0.25">
      <c r="AB483" s="17"/>
      <c r="AC483" s="17"/>
      <c r="AD483" s="22"/>
      <c r="AE483" s="17"/>
      <c r="AF483" s="17"/>
    </row>
    <row r="484" spans="28:32" ht="18" x14ac:dyDescent="0.25">
      <c r="AB484" s="17"/>
      <c r="AC484" s="17"/>
      <c r="AD484" s="22"/>
      <c r="AE484" s="17"/>
      <c r="AF484" s="17"/>
    </row>
    <row r="485" spans="28:32" ht="18" x14ac:dyDescent="0.25">
      <c r="AB485" s="17"/>
      <c r="AC485" s="17"/>
      <c r="AD485" s="22"/>
      <c r="AE485" s="17"/>
      <c r="AF485" s="17"/>
    </row>
    <row r="486" spans="28:32" ht="18" x14ac:dyDescent="0.25">
      <c r="AB486" s="17"/>
      <c r="AC486" s="17"/>
      <c r="AD486" s="22"/>
      <c r="AE486" s="17"/>
      <c r="AF486" s="17"/>
    </row>
    <row r="487" spans="28:32" ht="18" x14ac:dyDescent="0.25">
      <c r="AB487" s="17"/>
      <c r="AC487" s="17"/>
      <c r="AD487" s="22"/>
      <c r="AE487" s="17"/>
      <c r="AF487" s="17"/>
    </row>
    <row r="488" spans="28:32" ht="18" x14ac:dyDescent="0.25">
      <c r="AB488" s="17"/>
      <c r="AC488" s="17"/>
      <c r="AD488" s="22"/>
      <c r="AE488" s="17"/>
      <c r="AF488" s="17"/>
    </row>
    <row r="489" spans="28:32" ht="18" x14ac:dyDescent="0.25">
      <c r="AB489" s="17"/>
      <c r="AC489" s="17"/>
      <c r="AD489" s="22"/>
      <c r="AE489" s="17"/>
      <c r="AF489" s="17"/>
    </row>
    <row r="490" spans="28:32" ht="18" x14ac:dyDescent="0.25">
      <c r="AB490" s="17"/>
      <c r="AC490" s="17"/>
      <c r="AD490" s="22"/>
      <c r="AE490" s="17"/>
      <c r="AF490" s="17"/>
    </row>
    <row r="491" spans="28:32" ht="18" x14ac:dyDescent="0.25">
      <c r="AB491" s="17"/>
      <c r="AC491" s="17"/>
      <c r="AD491" s="22"/>
      <c r="AE491" s="17"/>
      <c r="AF491" s="17"/>
    </row>
    <row r="492" spans="28:32" ht="18" x14ac:dyDescent="0.25">
      <c r="AB492" s="17"/>
      <c r="AC492" s="17"/>
      <c r="AD492" s="22"/>
      <c r="AE492" s="17"/>
      <c r="AF492" s="17"/>
    </row>
    <row r="493" spans="28:32" ht="18" x14ac:dyDescent="0.25">
      <c r="AB493" s="17"/>
      <c r="AC493" s="17"/>
      <c r="AD493" s="22"/>
      <c r="AE493" s="17"/>
      <c r="AF493" s="17"/>
    </row>
    <row r="494" spans="28:32" ht="18" x14ac:dyDescent="0.25">
      <c r="AB494" s="17"/>
      <c r="AC494" s="17"/>
      <c r="AD494" s="22"/>
      <c r="AE494" s="17"/>
      <c r="AF494" s="17"/>
    </row>
    <row r="495" spans="28:32" ht="18" x14ac:dyDescent="0.25">
      <c r="AB495" s="17"/>
      <c r="AC495" s="17"/>
      <c r="AD495" s="22"/>
      <c r="AE495" s="17"/>
      <c r="AF495" s="17"/>
    </row>
    <row r="496" spans="28:32" ht="18" x14ac:dyDescent="0.25">
      <c r="AB496" s="17"/>
      <c r="AC496" s="17"/>
      <c r="AD496" s="22"/>
      <c r="AE496" s="17"/>
      <c r="AF496" s="17"/>
    </row>
    <row r="497" spans="28:32" ht="18" x14ac:dyDescent="0.25">
      <c r="AB497" s="17"/>
      <c r="AC497" s="17"/>
      <c r="AD497" s="22"/>
      <c r="AE497" s="17"/>
      <c r="AF497" s="17"/>
    </row>
    <row r="498" spans="28:32" ht="18" x14ac:dyDescent="0.25">
      <c r="AB498" s="17"/>
      <c r="AC498" s="17"/>
      <c r="AD498" s="22"/>
      <c r="AE498" s="17"/>
      <c r="AF498" s="17"/>
    </row>
    <row r="499" spans="28:32" ht="18" x14ac:dyDescent="0.25">
      <c r="AB499" s="17"/>
      <c r="AC499" s="17"/>
      <c r="AD499" s="22"/>
      <c r="AE499" s="17"/>
      <c r="AF499" s="17"/>
    </row>
    <row r="500" spans="28:32" ht="18" x14ac:dyDescent="0.25">
      <c r="AB500" s="17"/>
      <c r="AC500" s="17"/>
      <c r="AD500" s="22"/>
      <c r="AE500" s="17"/>
      <c r="AF500" s="17"/>
    </row>
    <row r="501" spans="28:32" ht="18" x14ac:dyDescent="0.25">
      <c r="AB501" s="17"/>
      <c r="AC501" s="17"/>
      <c r="AD501" s="22"/>
      <c r="AE501" s="17"/>
      <c r="AF501" s="17"/>
    </row>
    <row r="502" spans="28:32" ht="18" x14ac:dyDescent="0.25">
      <c r="AB502" s="17"/>
      <c r="AC502" s="17"/>
      <c r="AD502" s="22"/>
      <c r="AE502" s="17"/>
      <c r="AF502" s="17"/>
    </row>
    <row r="503" spans="28:32" ht="18" x14ac:dyDescent="0.25">
      <c r="AB503" s="17"/>
      <c r="AC503" s="17"/>
      <c r="AD503" s="22"/>
      <c r="AE503" s="17"/>
      <c r="AF503" s="17"/>
    </row>
    <row r="504" spans="28:32" ht="18" x14ac:dyDescent="0.25">
      <c r="AB504" s="17"/>
      <c r="AC504" s="17"/>
      <c r="AD504" s="22"/>
      <c r="AE504" s="17"/>
      <c r="AF504" s="17"/>
    </row>
    <row r="505" spans="28:32" ht="18" x14ac:dyDescent="0.25">
      <c r="AB505" s="17"/>
      <c r="AC505" s="17"/>
      <c r="AD505" s="22"/>
      <c r="AE505" s="17"/>
      <c r="AF505" s="17"/>
    </row>
    <row r="506" spans="28:32" ht="18" x14ac:dyDescent="0.25">
      <c r="AB506" s="17"/>
      <c r="AC506" s="17"/>
      <c r="AD506" s="22"/>
      <c r="AE506" s="17"/>
      <c r="AF506" s="17"/>
    </row>
    <row r="507" spans="28:32" ht="18" x14ac:dyDescent="0.25">
      <c r="AB507" s="17"/>
      <c r="AC507" s="17"/>
      <c r="AD507" s="22"/>
      <c r="AE507" s="17"/>
      <c r="AF507" s="17"/>
    </row>
    <row r="508" spans="28:32" ht="18" x14ac:dyDescent="0.25">
      <c r="AB508" s="17"/>
      <c r="AC508" s="17"/>
      <c r="AD508" s="22"/>
      <c r="AE508" s="17"/>
      <c r="AF508" s="17"/>
    </row>
    <row r="509" spans="28:32" ht="18" x14ac:dyDescent="0.25">
      <c r="AB509" s="17"/>
      <c r="AC509" s="17"/>
      <c r="AD509" s="22"/>
      <c r="AE509" s="17"/>
      <c r="AF509" s="17"/>
    </row>
    <row r="510" spans="28:32" ht="18" x14ac:dyDescent="0.25">
      <c r="AB510" s="17"/>
      <c r="AC510" s="17"/>
      <c r="AD510" s="22"/>
      <c r="AE510" s="17"/>
      <c r="AF510" s="17"/>
    </row>
    <row r="511" spans="28:32" ht="18" x14ac:dyDescent="0.25">
      <c r="AB511" s="17"/>
      <c r="AC511" s="17"/>
      <c r="AD511" s="22"/>
      <c r="AE511" s="17"/>
      <c r="AF511" s="17"/>
    </row>
    <row r="512" spans="28:32" ht="18" x14ac:dyDescent="0.25">
      <c r="AB512" s="17"/>
      <c r="AC512" s="17"/>
      <c r="AD512" s="22"/>
      <c r="AE512" s="17"/>
      <c r="AF512" s="17"/>
    </row>
    <row r="513" spans="28:32" ht="18" x14ac:dyDescent="0.25">
      <c r="AB513" s="17"/>
      <c r="AC513" s="17"/>
      <c r="AD513" s="22"/>
      <c r="AE513" s="17"/>
      <c r="AF513" s="17"/>
    </row>
    <row r="514" spans="28:32" ht="18" x14ac:dyDescent="0.25">
      <c r="AB514" s="17"/>
      <c r="AC514" s="17"/>
      <c r="AD514" s="22"/>
      <c r="AE514" s="17"/>
      <c r="AF514" s="17"/>
    </row>
    <row r="515" spans="28:32" ht="18" x14ac:dyDescent="0.25">
      <c r="AB515" s="17"/>
      <c r="AC515" s="17"/>
      <c r="AD515" s="22"/>
      <c r="AE515" s="17"/>
      <c r="AF515" s="17"/>
    </row>
    <row r="516" spans="28:32" ht="18" x14ac:dyDescent="0.25">
      <c r="AB516" s="17"/>
      <c r="AC516" s="17"/>
      <c r="AD516" s="22"/>
      <c r="AE516" s="17"/>
      <c r="AF516" s="17"/>
    </row>
    <row r="517" spans="28:32" ht="18" x14ac:dyDescent="0.25">
      <c r="AB517" s="17"/>
      <c r="AC517" s="17"/>
      <c r="AD517" s="22"/>
      <c r="AE517" s="17"/>
      <c r="AF517" s="17"/>
    </row>
    <row r="518" spans="28:32" ht="18" x14ac:dyDescent="0.25">
      <c r="AB518" s="17"/>
      <c r="AC518" s="17"/>
      <c r="AD518" s="22"/>
      <c r="AE518" s="17"/>
      <c r="AF518" s="17"/>
    </row>
    <row r="519" spans="28:32" ht="18" x14ac:dyDescent="0.25">
      <c r="AB519" s="17"/>
      <c r="AC519" s="17"/>
      <c r="AD519" s="22"/>
      <c r="AE519" s="17"/>
      <c r="AF519" s="17"/>
    </row>
    <row r="520" spans="28:32" ht="18" x14ac:dyDescent="0.25">
      <c r="AB520" s="17"/>
      <c r="AC520" s="17"/>
      <c r="AD520" s="22"/>
      <c r="AE520" s="17"/>
      <c r="AF520" s="17"/>
    </row>
    <row r="521" spans="28:32" ht="18" x14ac:dyDescent="0.25">
      <c r="AB521" s="17"/>
      <c r="AC521" s="17"/>
      <c r="AD521" s="22"/>
      <c r="AE521" s="17"/>
      <c r="AF521" s="17"/>
    </row>
    <row r="522" spans="28:32" ht="18" x14ac:dyDescent="0.25">
      <c r="AB522" s="17"/>
      <c r="AC522" s="17"/>
      <c r="AD522" s="22"/>
      <c r="AE522" s="17"/>
      <c r="AF522" s="17"/>
    </row>
    <row r="523" spans="28:32" ht="18" x14ac:dyDescent="0.25">
      <c r="AB523" s="17"/>
      <c r="AC523" s="17"/>
      <c r="AD523" s="22"/>
      <c r="AE523" s="17"/>
      <c r="AF523" s="17"/>
    </row>
    <row r="524" spans="28:32" ht="18" x14ac:dyDescent="0.25">
      <c r="AB524" s="17"/>
      <c r="AC524" s="17"/>
      <c r="AD524" s="22"/>
      <c r="AE524" s="17"/>
      <c r="AF524" s="17"/>
    </row>
    <row r="525" spans="28:32" ht="18" x14ac:dyDescent="0.25">
      <c r="AB525" s="17"/>
      <c r="AC525" s="17"/>
      <c r="AD525" s="22"/>
      <c r="AE525" s="17"/>
      <c r="AF525" s="17"/>
    </row>
    <row r="526" spans="28:32" ht="18" x14ac:dyDescent="0.25">
      <c r="AB526" s="17"/>
      <c r="AC526" s="17"/>
      <c r="AD526" s="22"/>
      <c r="AE526" s="17"/>
      <c r="AF526" s="17"/>
    </row>
    <row r="527" spans="28:32" ht="18" x14ac:dyDescent="0.25">
      <c r="AB527" s="17"/>
      <c r="AC527" s="17"/>
      <c r="AD527" s="22"/>
      <c r="AE527" s="17"/>
      <c r="AF527" s="17"/>
    </row>
    <row r="528" spans="28:32" ht="18" x14ac:dyDescent="0.25">
      <c r="AB528" s="17"/>
      <c r="AC528" s="17"/>
      <c r="AD528" s="22"/>
      <c r="AE528" s="17"/>
      <c r="AF528" s="17"/>
    </row>
    <row r="529" spans="15:32" ht="18" x14ac:dyDescent="0.25">
      <c r="AB529" s="17"/>
      <c r="AC529" s="17"/>
      <c r="AD529" s="22"/>
      <c r="AE529" s="17"/>
      <c r="AF529" s="17"/>
    </row>
    <row r="530" spans="15:32" ht="18" x14ac:dyDescent="0.25">
      <c r="AB530" s="17"/>
      <c r="AC530" s="17"/>
      <c r="AD530" s="22"/>
      <c r="AE530" s="17"/>
      <c r="AF530" s="17"/>
    </row>
    <row r="531" spans="15:32" ht="18" x14ac:dyDescent="0.25">
      <c r="AB531" s="17"/>
      <c r="AC531" s="17"/>
      <c r="AD531" s="22"/>
      <c r="AE531" s="17"/>
      <c r="AF531" s="17"/>
    </row>
    <row r="532" spans="15:32" ht="18" x14ac:dyDescent="0.25">
      <c r="AB532" s="17"/>
      <c r="AC532" s="17"/>
      <c r="AD532" s="22"/>
      <c r="AE532" s="17"/>
      <c r="AF532" s="17"/>
    </row>
    <row r="533" spans="15:32" ht="18" x14ac:dyDescent="0.25">
      <c r="AB533" s="17"/>
      <c r="AC533" s="17"/>
      <c r="AD533" s="22"/>
      <c r="AE533" s="17"/>
      <c r="AF533" s="17"/>
    </row>
    <row r="534" spans="15:32" ht="18" x14ac:dyDescent="0.25">
      <c r="AB534" s="17"/>
      <c r="AC534" s="17"/>
      <c r="AD534" s="22"/>
      <c r="AE534" s="17"/>
      <c r="AF534" s="17"/>
    </row>
    <row r="535" spans="15:32" ht="18" x14ac:dyDescent="0.25">
      <c r="AB535" s="17"/>
      <c r="AC535" s="17"/>
      <c r="AD535" s="22"/>
      <c r="AE535" s="17"/>
      <c r="AF535" s="17"/>
    </row>
    <row r="536" spans="15:32" ht="18" x14ac:dyDescent="0.25">
      <c r="AB536" s="17"/>
      <c r="AC536" s="17"/>
      <c r="AD536" s="22"/>
      <c r="AE536" s="17"/>
      <c r="AF536" s="17"/>
    </row>
    <row r="537" spans="15:32" ht="18" x14ac:dyDescent="0.25">
      <c r="AB537" s="17"/>
      <c r="AC537" s="17"/>
      <c r="AD537" s="22"/>
      <c r="AE537" s="17"/>
      <c r="AF537" s="17"/>
    </row>
    <row r="538" spans="15:32" ht="18" x14ac:dyDescent="0.25">
      <c r="AB538" s="17"/>
      <c r="AC538" s="17"/>
      <c r="AD538" s="22"/>
      <c r="AE538" s="17"/>
      <c r="AF538" s="17"/>
    </row>
    <row r="539" spans="15:32" ht="18.75" x14ac:dyDescent="0.3">
      <c r="O539" s="138"/>
      <c r="AB539" s="17"/>
      <c r="AC539" s="17"/>
      <c r="AD539" s="22"/>
      <c r="AE539" s="17"/>
      <c r="AF539" s="17"/>
    </row>
    <row r="540" spans="15:32" ht="18.75" x14ac:dyDescent="0.3">
      <c r="O540" s="138"/>
      <c r="AB540" s="17"/>
      <c r="AC540" s="17"/>
      <c r="AD540" s="22"/>
      <c r="AE540" s="17"/>
      <c r="AF540" s="17"/>
    </row>
    <row r="541" spans="15:32" ht="18.75" x14ac:dyDescent="0.3">
      <c r="O541" s="138"/>
      <c r="AB541" s="17"/>
      <c r="AC541" s="17"/>
      <c r="AD541" s="22"/>
      <c r="AE541" s="17"/>
      <c r="AF541" s="17"/>
    </row>
    <row r="542" spans="15:32" ht="18.75" x14ac:dyDescent="0.3">
      <c r="O542" s="138"/>
      <c r="AB542" s="17"/>
      <c r="AC542" s="17"/>
      <c r="AD542" s="22"/>
      <c r="AE542" s="17"/>
      <c r="AF542" s="17"/>
    </row>
    <row r="543" spans="15:32" ht="18.75" x14ac:dyDescent="0.3">
      <c r="O543" s="138"/>
      <c r="AB543" s="17"/>
      <c r="AC543" s="17"/>
      <c r="AD543" s="22"/>
      <c r="AE543" s="17"/>
      <c r="AF543" s="17"/>
    </row>
    <row r="544" spans="15:32" ht="18.75" x14ac:dyDescent="0.3">
      <c r="O544" s="138"/>
      <c r="AB544" s="17"/>
      <c r="AC544" s="17"/>
      <c r="AD544" s="22"/>
      <c r="AE544" s="17"/>
      <c r="AF544" s="17"/>
    </row>
    <row r="545" spans="15:32" ht="18.75" x14ac:dyDescent="0.3">
      <c r="O545" s="138"/>
      <c r="AB545" s="17"/>
      <c r="AC545" s="17"/>
      <c r="AD545" s="22"/>
      <c r="AE545" s="17"/>
      <c r="AF545" s="17"/>
    </row>
    <row r="546" spans="15:32" ht="18.75" x14ac:dyDescent="0.3">
      <c r="O546" s="138"/>
      <c r="AB546" s="17"/>
      <c r="AC546" s="17"/>
      <c r="AD546" s="22"/>
      <c r="AE546" s="17"/>
      <c r="AF546" s="17"/>
    </row>
    <row r="547" spans="15:32" ht="18.75" x14ac:dyDescent="0.3">
      <c r="O547" s="138"/>
      <c r="AB547" s="17"/>
      <c r="AC547" s="17"/>
      <c r="AD547" s="22"/>
      <c r="AE547" s="17"/>
      <c r="AF547" s="17"/>
    </row>
    <row r="548" spans="15:32" ht="18.75" x14ac:dyDescent="0.3">
      <c r="O548" s="138"/>
      <c r="AB548" s="17"/>
      <c r="AC548" s="17"/>
      <c r="AD548" s="22"/>
      <c r="AE548" s="17"/>
      <c r="AF548" s="17"/>
    </row>
    <row r="549" spans="15:32" ht="18.75" x14ac:dyDescent="0.3">
      <c r="O549" s="138"/>
      <c r="AB549" s="17"/>
      <c r="AC549" s="17"/>
      <c r="AD549" s="22"/>
      <c r="AE549" s="17"/>
      <c r="AF549" s="17"/>
    </row>
    <row r="550" spans="15:32" ht="18.75" x14ac:dyDescent="0.3">
      <c r="O550" s="138"/>
      <c r="AB550" s="17"/>
      <c r="AC550" s="17"/>
      <c r="AD550" s="22"/>
      <c r="AE550" s="17"/>
      <c r="AF550" s="17"/>
    </row>
    <row r="551" spans="15:32" ht="18.75" x14ac:dyDescent="0.3">
      <c r="O551" s="138"/>
      <c r="AB551" s="17"/>
      <c r="AC551" s="17"/>
      <c r="AD551" s="22"/>
      <c r="AE551" s="17"/>
      <c r="AF551" s="17"/>
    </row>
    <row r="552" spans="15:32" ht="18.75" x14ac:dyDescent="0.3">
      <c r="O552" s="138"/>
      <c r="AB552" s="17"/>
      <c r="AC552" s="17"/>
      <c r="AD552" s="22"/>
      <c r="AE552" s="17"/>
      <c r="AF552" s="17"/>
    </row>
    <row r="553" spans="15:32" ht="18.75" x14ac:dyDescent="0.3">
      <c r="O553" s="138"/>
      <c r="AB553" s="17"/>
      <c r="AC553" s="17"/>
      <c r="AD553" s="22"/>
      <c r="AE553" s="17"/>
      <c r="AF553" s="17"/>
    </row>
    <row r="554" spans="15:32" ht="18.75" x14ac:dyDescent="0.3">
      <c r="O554" s="138"/>
      <c r="AB554" s="17"/>
      <c r="AC554" s="17"/>
      <c r="AD554" s="22"/>
      <c r="AE554" s="17"/>
      <c r="AF554" s="17"/>
    </row>
    <row r="555" spans="15:32" ht="18.75" x14ac:dyDescent="0.3">
      <c r="O555" s="138"/>
      <c r="AB555" s="17"/>
      <c r="AC555" s="17"/>
      <c r="AD555" s="22"/>
      <c r="AE555" s="17"/>
      <c r="AF555" s="17"/>
    </row>
    <row r="556" spans="15:32" ht="18.75" x14ac:dyDescent="0.3">
      <c r="O556" s="138"/>
      <c r="AB556" s="17"/>
      <c r="AC556" s="17"/>
      <c r="AD556" s="22"/>
      <c r="AE556" s="17"/>
      <c r="AF556" s="17"/>
    </row>
    <row r="557" spans="15:32" ht="18.75" x14ac:dyDescent="0.3">
      <c r="O557" s="138"/>
      <c r="AB557" s="17"/>
      <c r="AC557" s="17"/>
      <c r="AD557" s="22"/>
      <c r="AE557" s="17"/>
      <c r="AF557" s="17"/>
    </row>
    <row r="558" spans="15:32" ht="18" x14ac:dyDescent="0.25">
      <c r="AB558" s="17"/>
      <c r="AC558" s="17"/>
      <c r="AD558" s="22"/>
      <c r="AE558" s="17"/>
      <c r="AF558" s="17"/>
    </row>
    <row r="559" spans="15:32" ht="18" x14ac:dyDescent="0.25">
      <c r="AB559" s="17"/>
      <c r="AC559" s="17"/>
      <c r="AD559" s="22"/>
      <c r="AE559" s="17"/>
      <c r="AF559" s="17"/>
    </row>
    <row r="560" spans="15:32" ht="18" x14ac:dyDescent="0.25">
      <c r="AB560" s="17"/>
      <c r="AC560" s="17"/>
      <c r="AD560" s="22"/>
      <c r="AE560" s="17"/>
      <c r="AF560" s="17"/>
    </row>
    <row r="561" spans="28:32" ht="18" x14ac:dyDescent="0.25">
      <c r="AB561" s="17"/>
      <c r="AC561" s="17"/>
      <c r="AD561" s="22"/>
      <c r="AE561" s="17"/>
      <c r="AF561" s="17"/>
    </row>
    <row r="562" spans="28:32" ht="18" x14ac:dyDescent="0.25">
      <c r="AB562" s="17"/>
      <c r="AC562" s="17"/>
      <c r="AD562" s="22"/>
      <c r="AE562" s="17"/>
      <c r="AF562" s="17"/>
    </row>
    <row r="563" spans="28:32" ht="18" x14ac:dyDescent="0.25">
      <c r="AB563" s="17"/>
      <c r="AC563" s="17"/>
      <c r="AD563" s="22"/>
      <c r="AE563" s="17"/>
      <c r="AF563" s="17"/>
    </row>
    <row r="564" spans="28:32" ht="18" x14ac:dyDescent="0.25">
      <c r="AB564" s="17"/>
      <c r="AC564" s="17"/>
      <c r="AD564" s="22"/>
      <c r="AE564" s="17"/>
      <c r="AF564" s="17"/>
    </row>
    <row r="565" spans="28:32" ht="18" x14ac:dyDescent="0.25">
      <c r="AB565" s="17"/>
      <c r="AC565" s="17"/>
      <c r="AD565" s="22"/>
      <c r="AE565" s="17"/>
      <c r="AF565" s="17"/>
    </row>
    <row r="566" spans="28:32" ht="18" x14ac:dyDescent="0.25">
      <c r="AB566" s="17"/>
      <c r="AC566" s="17"/>
      <c r="AD566" s="22"/>
      <c r="AE566" s="17"/>
      <c r="AF566" s="17"/>
    </row>
    <row r="567" spans="28:32" ht="18" x14ac:dyDescent="0.25">
      <c r="AB567" s="17"/>
      <c r="AC567" s="17"/>
      <c r="AD567" s="22"/>
      <c r="AE567" s="17"/>
      <c r="AF567" s="17"/>
    </row>
    <row r="568" spans="28:32" ht="18" x14ac:dyDescent="0.25">
      <c r="AB568" s="17"/>
      <c r="AC568" s="17"/>
      <c r="AD568" s="22"/>
      <c r="AE568" s="17"/>
      <c r="AF568" s="17"/>
    </row>
    <row r="569" spans="28:32" ht="18" x14ac:dyDescent="0.25">
      <c r="AB569" s="17"/>
      <c r="AC569" s="17"/>
      <c r="AD569" s="22"/>
      <c r="AE569" s="17"/>
      <c r="AF569" s="17"/>
    </row>
    <row r="570" spans="28:32" ht="18" x14ac:dyDescent="0.25">
      <c r="AB570" s="17"/>
      <c r="AC570" s="17"/>
      <c r="AD570" s="22"/>
      <c r="AE570" s="17"/>
      <c r="AF570" s="17"/>
    </row>
    <row r="571" spans="28:32" ht="18" x14ac:dyDescent="0.25">
      <c r="AB571" s="17"/>
      <c r="AC571" s="17"/>
      <c r="AD571" s="22"/>
      <c r="AE571" s="17"/>
      <c r="AF571" s="17"/>
    </row>
    <row r="572" spans="28:32" ht="18" x14ac:dyDescent="0.25">
      <c r="AB572" s="17"/>
      <c r="AC572" s="17"/>
      <c r="AD572" s="22"/>
      <c r="AE572" s="17"/>
      <c r="AF572" s="17"/>
    </row>
    <row r="573" spans="28:32" ht="18" x14ac:dyDescent="0.25">
      <c r="AB573" s="17"/>
      <c r="AC573" s="17"/>
      <c r="AD573" s="22"/>
      <c r="AE573" s="17"/>
      <c r="AF573" s="17"/>
    </row>
    <row r="574" spans="28:32" ht="18" x14ac:dyDescent="0.25">
      <c r="AB574" s="17"/>
      <c r="AC574" s="17"/>
      <c r="AD574" s="22"/>
      <c r="AE574" s="17"/>
      <c r="AF574" s="17"/>
    </row>
    <row r="575" spans="28:32" ht="18" x14ac:dyDescent="0.25">
      <c r="AB575" s="17"/>
      <c r="AC575" s="17"/>
      <c r="AD575" s="22"/>
      <c r="AE575" s="17"/>
      <c r="AF575" s="17"/>
    </row>
    <row r="576" spans="28:32" ht="18" x14ac:dyDescent="0.25">
      <c r="AB576" s="17"/>
      <c r="AC576" s="17"/>
      <c r="AD576" s="22"/>
      <c r="AE576" s="17"/>
      <c r="AF576" s="17"/>
    </row>
    <row r="577" spans="28:32" ht="18" x14ac:dyDescent="0.25">
      <c r="AB577" s="17"/>
      <c r="AC577" s="17"/>
      <c r="AD577" s="22"/>
      <c r="AE577" s="17"/>
      <c r="AF577" s="17"/>
    </row>
    <row r="578" spans="28:32" ht="18" x14ac:dyDescent="0.25">
      <c r="AB578" s="17"/>
      <c r="AC578" s="17"/>
      <c r="AD578" s="22"/>
      <c r="AE578" s="17"/>
      <c r="AF578" s="17"/>
    </row>
    <row r="579" spans="28:32" ht="18" x14ac:dyDescent="0.25">
      <c r="AB579" s="17"/>
      <c r="AC579" s="17"/>
      <c r="AD579" s="22"/>
      <c r="AE579" s="17"/>
      <c r="AF579" s="17"/>
    </row>
    <row r="580" spans="28:32" ht="18" x14ac:dyDescent="0.25">
      <c r="AB580" s="17"/>
      <c r="AC580" s="17"/>
      <c r="AD580" s="22"/>
      <c r="AE580" s="17"/>
      <c r="AF580" s="17"/>
    </row>
    <row r="581" spans="28:32" ht="18" x14ac:dyDescent="0.25">
      <c r="AB581" s="17"/>
      <c r="AC581" s="17"/>
      <c r="AD581" s="22"/>
      <c r="AE581" s="17"/>
      <c r="AF581" s="17"/>
    </row>
    <row r="582" spans="28:32" ht="18" x14ac:dyDescent="0.25">
      <c r="AB582" s="17"/>
      <c r="AC582" s="17"/>
      <c r="AD582" s="22"/>
      <c r="AE582" s="17"/>
      <c r="AF582" s="17"/>
    </row>
    <row r="583" spans="28:32" ht="18" x14ac:dyDescent="0.25">
      <c r="AB583" s="17"/>
      <c r="AC583" s="17"/>
      <c r="AD583" s="22"/>
      <c r="AE583" s="17"/>
      <c r="AF583" s="17"/>
    </row>
    <row r="584" spans="28:32" ht="18" x14ac:dyDescent="0.25">
      <c r="AB584" s="17"/>
      <c r="AC584" s="17"/>
      <c r="AD584" s="22"/>
      <c r="AE584" s="17"/>
      <c r="AF584" s="17"/>
    </row>
    <row r="585" spans="28:32" ht="18" x14ac:dyDescent="0.25">
      <c r="AB585" s="17"/>
      <c r="AC585" s="17"/>
      <c r="AD585" s="22"/>
      <c r="AE585" s="17"/>
      <c r="AF585" s="17"/>
    </row>
    <row r="586" spans="28:32" ht="18" x14ac:dyDescent="0.25">
      <c r="AB586" s="17"/>
      <c r="AC586" s="17"/>
      <c r="AD586" s="22"/>
      <c r="AE586" s="17"/>
      <c r="AF586" s="17"/>
    </row>
    <row r="587" spans="28:32" ht="18" x14ac:dyDescent="0.25">
      <c r="AB587" s="17"/>
      <c r="AC587" s="17"/>
      <c r="AD587" s="22"/>
      <c r="AE587" s="17"/>
      <c r="AF587" s="17"/>
    </row>
    <row r="588" spans="28:32" ht="18" x14ac:dyDescent="0.25">
      <c r="AB588" s="17"/>
      <c r="AC588" s="17"/>
      <c r="AD588" s="22"/>
      <c r="AE588" s="17"/>
      <c r="AF588" s="17"/>
    </row>
    <row r="589" spans="28:32" ht="18" x14ac:dyDescent="0.25">
      <c r="AB589" s="17"/>
      <c r="AC589" s="17"/>
      <c r="AD589" s="22"/>
      <c r="AE589" s="17"/>
      <c r="AF589" s="17"/>
    </row>
    <row r="590" spans="28:32" ht="18" x14ac:dyDescent="0.25">
      <c r="AB590" s="17"/>
      <c r="AC590" s="17"/>
      <c r="AD590" s="22"/>
      <c r="AE590" s="17"/>
      <c r="AF590" s="17"/>
    </row>
    <row r="591" spans="28:32" ht="18" x14ac:dyDescent="0.25">
      <c r="AB591" s="17"/>
      <c r="AC591" s="17"/>
      <c r="AD591" s="22"/>
      <c r="AE591" s="17"/>
      <c r="AF591" s="17"/>
    </row>
    <row r="592" spans="28:32" ht="18" x14ac:dyDescent="0.25">
      <c r="AB592" s="17"/>
      <c r="AC592" s="17"/>
      <c r="AD592" s="22"/>
      <c r="AE592" s="17"/>
      <c r="AF592" s="17"/>
    </row>
    <row r="593" spans="28:32" ht="18" x14ac:dyDescent="0.25">
      <c r="AB593" s="17"/>
      <c r="AC593" s="17"/>
      <c r="AD593" s="22"/>
      <c r="AE593" s="17"/>
      <c r="AF593" s="17"/>
    </row>
    <row r="594" spans="28:32" ht="18" x14ac:dyDescent="0.25">
      <c r="AB594" s="17"/>
      <c r="AC594" s="17"/>
      <c r="AD594" s="22"/>
      <c r="AE594" s="17"/>
      <c r="AF594" s="17"/>
    </row>
    <row r="595" spans="28:32" ht="18" x14ac:dyDescent="0.25">
      <c r="AB595" s="17"/>
      <c r="AC595" s="17"/>
      <c r="AD595" s="22"/>
      <c r="AE595" s="17"/>
      <c r="AF595" s="17"/>
    </row>
    <row r="596" spans="28:32" ht="18" x14ac:dyDescent="0.25">
      <c r="AB596" s="17"/>
      <c r="AC596" s="17"/>
      <c r="AD596" s="22"/>
      <c r="AE596" s="17"/>
      <c r="AF596" s="17"/>
    </row>
    <row r="597" spans="28:32" ht="18" x14ac:dyDescent="0.25">
      <c r="AB597" s="17"/>
      <c r="AC597" s="17"/>
      <c r="AD597" s="22"/>
      <c r="AE597" s="17"/>
      <c r="AF597" s="17"/>
    </row>
    <row r="598" spans="28:32" ht="18" x14ac:dyDescent="0.25">
      <c r="AB598" s="17"/>
      <c r="AC598" s="17"/>
      <c r="AD598" s="22"/>
      <c r="AE598" s="17"/>
      <c r="AF598" s="17"/>
    </row>
    <row r="599" spans="28:32" ht="18" x14ac:dyDescent="0.25">
      <c r="AB599" s="17"/>
      <c r="AC599" s="17"/>
      <c r="AD599" s="22"/>
      <c r="AE599" s="17"/>
      <c r="AF599" s="17"/>
    </row>
    <row r="600" spans="28:32" ht="18" x14ac:dyDescent="0.25">
      <c r="AB600" s="17"/>
      <c r="AC600" s="17"/>
      <c r="AD600" s="22"/>
      <c r="AE600" s="17"/>
      <c r="AF600" s="17"/>
    </row>
    <row r="601" spans="28:32" ht="18" x14ac:dyDescent="0.25">
      <c r="AB601" s="17"/>
      <c r="AC601" s="17"/>
      <c r="AD601" s="22"/>
      <c r="AE601" s="17"/>
      <c r="AF601" s="17"/>
    </row>
    <row r="602" spans="28:32" ht="18" x14ac:dyDescent="0.25">
      <c r="AB602" s="17"/>
      <c r="AC602" s="17"/>
      <c r="AD602" s="22"/>
      <c r="AE602" s="17"/>
      <c r="AF602" s="17"/>
    </row>
    <row r="603" spans="28:32" ht="18" x14ac:dyDescent="0.25">
      <c r="AB603" s="17"/>
      <c r="AC603" s="17"/>
      <c r="AD603" s="22"/>
      <c r="AE603" s="17"/>
      <c r="AF603" s="17"/>
    </row>
    <row r="604" spans="28:32" ht="18" x14ac:dyDescent="0.25">
      <c r="AB604" s="17"/>
      <c r="AC604" s="17"/>
      <c r="AD604" s="22"/>
      <c r="AE604" s="17"/>
      <c r="AF604" s="17"/>
    </row>
    <row r="605" spans="28:32" ht="18" x14ac:dyDescent="0.25">
      <c r="AB605" s="17"/>
      <c r="AC605" s="17"/>
      <c r="AD605" s="22"/>
      <c r="AE605" s="17"/>
      <c r="AF605" s="17"/>
    </row>
    <row r="606" spans="28:32" ht="18" x14ac:dyDescent="0.25">
      <c r="AB606" s="17"/>
      <c r="AC606" s="17"/>
      <c r="AD606" s="22"/>
      <c r="AE606" s="17"/>
      <c r="AF606" s="17"/>
    </row>
    <row r="607" spans="28:32" ht="18" x14ac:dyDescent="0.25">
      <c r="AB607" s="17"/>
      <c r="AC607" s="17"/>
      <c r="AD607" s="22"/>
      <c r="AE607" s="17"/>
      <c r="AF607" s="17"/>
    </row>
    <row r="608" spans="28:32" ht="18" x14ac:dyDescent="0.25">
      <c r="AB608" s="17"/>
      <c r="AC608" s="17"/>
      <c r="AD608" s="22"/>
      <c r="AE608" s="17"/>
      <c r="AF608" s="17"/>
    </row>
    <row r="609" spans="28:32" ht="18" x14ac:dyDescent="0.25">
      <c r="AB609" s="17"/>
      <c r="AC609" s="17"/>
      <c r="AD609" s="22"/>
      <c r="AE609" s="17"/>
      <c r="AF609" s="17"/>
    </row>
    <row r="610" spans="28:32" ht="18" x14ac:dyDescent="0.25">
      <c r="AB610" s="17"/>
      <c r="AC610" s="17"/>
      <c r="AD610" s="22"/>
      <c r="AE610" s="17"/>
      <c r="AF610" s="17"/>
    </row>
    <row r="611" spans="28:32" ht="18" x14ac:dyDescent="0.25">
      <c r="AB611" s="17"/>
      <c r="AC611" s="17"/>
      <c r="AD611" s="22"/>
      <c r="AE611" s="17"/>
      <c r="AF611" s="17"/>
    </row>
    <row r="612" spans="28:32" ht="18" x14ac:dyDescent="0.25">
      <c r="AB612" s="17"/>
      <c r="AC612" s="17"/>
      <c r="AD612" s="22"/>
      <c r="AE612" s="17"/>
      <c r="AF612" s="17"/>
    </row>
    <row r="613" spans="28:32" ht="18" x14ac:dyDescent="0.25">
      <c r="AB613" s="17"/>
      <c r="AC613" s="17"/>
      <c r="AD613" s="22"/>
      <c r="AE613" s="17"/>
      <c r="AF613" s="17"/>
    </row>
    <row r="614" spans="28:32" ht="18" x14ac:dyDescent="0.25">
      <c r="AB614" s="17"/>
      <c r="AC614" s="17"/>
      <c r="AD614" s="22"/>
      <c r="AE614" s="17"/>
      <c r="AF614" s="17"/>
    </row>
    <row r="615" spans="28:32" ht="18" x14ac:dyDescent="0.25">
      <c r="AB615" s="17"/>
      <c r="AC615" s="17"/>
      <c r="AD615" s="22"/>
      <c r="AE615" s="17"/>
      <c r="AF615" s="17"/>
    </row>
    <row r="616" spans="28:32" ht="18" x14ac:dyDescent="0.25">
      <c r="AB616" s="17"/>
      <c r="AC616" s="17"/>
      <c r="AD616" s="22"/>
      <c r="AE616" s="17"/>
      <c r="AF616" s="17"/>
    </row>
    <row r="617" spans="28:32" ht="18" x14ac:dyDescent="0.25">
      <c r="AB617" s="17"/>
      <c r="AC617" s="17"/>
      <c r="AD617" s="22"/>
      <c r="AE617" s="17"/>
      <c r="AF617" s="17"/>
    </row>
    <row r="618" spans="28:32" ht="18" x14ac:dyDescent="0.25">
      <c r="AB618" s="17"/>
      <c r="AC618" s="17"/>
      <c r="AD618" s="22"/>
      <c r="AE618" s="17"/>
      <c r="AF618" s="17"/>
    </row>
    <row r="619" spans="28:32" ht="18" x14ac:dyDescent="0.25">
      <c r="AB619" s="17"/>
      <c r="AC619" s="17"/>
      <c r="AD619" s="22"/>
      <c r="AE619" s="17"/>
      <c r="AF619" s="17"/>
    </row>
    <row r="620" spans="28:32" ht="18" x14ac:dyDescent="0.25">
      <c r="AB620" s="17"/>
      <c r="AC620" s="17"/>
      <c r="AD620" s="22"/>
      <c r="AE620" s="17"/>
      <c r="AF620" s="17"/>
    </row>
    <row r="621" spans="28:32" ht="18" x14ac:dyDescent="0.25">
      <c r="AB621" s="17"/>
      <c r="AC621" s="17"/>
      <c r="AD621" s="22"/>
      <c r="AE621" s="17"/>
      <c r="AF621" s="17"/>
    </row>
    <row r="622" spans="28:32" ht="18" x14ac:dyDescent="0.25">
      <c r="AB622" s="17"/>
      <c r="AC622" s="17"/>
      <c r="AD622" s="22"/>
      <c r="AE622" s="17"/>
      <c r="AF622" s="17"/>
    </row>
    <row r="623" spans="28:32" ht="18" x14ac:dyDescent="0.25">
      <c r="AB623" s="17"/>
      <c r="AC623" s="17"/>
      <c r="AD623" s="22"/>
      <c r="AE623" s="17"/>
      <c r="AF623" s="17"/>
    </row>
    <row r="624" spans="28:32" ht="18" x14ac:dyDescent="0.25">
      <c r="AB624" s="17"/>
      <c r="AC624" s="17"/>
      <c r="AD624" s="22"/>
      <c r="AE624" s="17"/>
      <c r="AF624" s="17"/>
    </row>
    <row r="625" spans="28:32" ht="18" x14ac:dyDescent="0.25">
      <c r="AB625" s="17"/>
      <c r="AC625" s="17"/>
      <c r="AD625" s="22"/>
      <c r="AE625" s="17"/>
      <c r="AF625" s="17"/>
    </row>
    <row r="626" spans="28:32" ht="18" x14ac:dyDescent="0.25">
      <c r="AB626" s="17"/>
      <c r="AC626" s="17"/>
      <c r="AD626" s="22"/>
      <c r="AE626" s="17"/>
      <c r="AF626" s="17"/>
    </row>
    <row r="627" spans="28:32" ht="18" x14ac:dyDescent="0.25">
      <c r="AB627" s="17"/>
      <c r="AC627" s="17"/>
      <c r="AD627" s="22"/>
      <c r="AE627" s="17"/>
      <c r="AF627" s="17"/>
    </row>
    <row r="628" spans="28:32" ht="18" x14ac:dyDescent="0.25">
      <c r="AB628" s="17"/>
      <c r="AC628" s="17"/>
      <c r="AD628" s="22"/>
      <c r="AE628" s="17"/>
      <c r="AF628" s="17"/>
    </row>
    <row r="629" spans="28:32" ht="18" x14ac:dyDescent="0.25">
      <c r="AB629" s="17"/>
      <c r="AC629" s="17"/>
      <c r="AD629" s="22"/>
      <c r="AE629" s="17"/>
      <c r="AF629" s="17"/>
    </row>
    <row r="630" spans="28:32" ht="18" x14ac:dyDescent="0.25">
      <c r="AB630" s="17"/>
      <c r="AC630" s="17"/>
      <c r="AD630" s="22"/>
      <c r="AE630" s="17"/>
      <c r="AF630" s="17"/>
    </row>
    <row r="631" spans="28:32" ht="18" x14ac:dyDescent="0.25">
      <c r="AB631" s="17"/>
      <c r="AC631" s="17"/>
      <c r="AD631" s="22"/>
      <c r="AE631" s="17"/>
      <c r="AF631" s="17"/>
    </row>
    <row r="632" spans="28:32" ht="18" x14ac:dyDescent="0.25">
      <c r="AB632" s="17"/>
      <c r="AC632" s="17"/>
      <c r="AD632" s="22"/>
      <c r="AE632" s="17"/>
      <c r="AF632" s="17"/>
    </row>
    <row r="633" spans="28:32" ht="18" x14ac:dyDescent="0.25">
      <c r="AB633" s="17"/>
      <c r="AC633" s="17"/>
      <c r="AD633" s="22"/>
      <c r="AE633" s="17"/>
      <c r="AF633" s="17"/>
    </row>
    <row r="634" spans="28:32" ht="18" x14ac:dyDescent="0.25">
      <c r="AB634" s="17"/>
      <c r="AC634" s="17"/>
      <c r="AD634" s="22"/>
      <c r="AE634" s="17"/>
      <c r="AF634" s="17"/>
    </row>
    <row r="635" spans="28:32" ht="18" x14ac:dyDescent="0.25">
      <c r="AB635" s="17"/>
      <c r="AC635" s="17"/>
      <c r="AD635" s="22"/>
      <c r="AE635" s="17"/>
      <c r="AF635" s="17"/>
    </row>
    <row r="636" spans="28:32" ht="18" x14ac:dyDescent="0.25">
      <c r="AB636" s="17"/>
      <c r="AC636" s="17"/>
      <c r="AD636" s="22"/>
      <c r="AE636" s="17"/>
      <c r="AF636" s="17"/>
    </row>
    <row r="637" spans="28:32" ht="18" x14ac:dyDescent="0.25">
      <c r="AB637" s="17"/>
      <c r="AC637" s="17"/>
      <c r="AD637" s="22"/>
      <c r="AE637" s="17"/>
      <c r="AF637" s="17"/>
    </row>
    <row r="638" spans="28:32" ht="18" x14ac:dyDescent="0.25">
      <c r="AB638" s="17"/>
      <c r="AC638" s="17"/>
      <c r="AD638" s="22"/>
      <c r="AE638" s="17"/>
      <c r="AF638" s="17"/>
    </row>
    <row r="639" spans="28:32" ht="18" x14ac:dyDescent="0.25">
      <c r="AB639" s="17"/>
      <c r="AC639" s="17"/>
      <c r="AD639" s="22"/>
      <c r="AE639" s="17"/>
      <c r="AF639" s="17"/>
    </row>
    <row r="640" spans="28:32" ht="18" x14ac:dyDescent="0.25">
      <c r="AB640" s="17"/>
      <c r="AC640" s="17"/>
      <c r="AD640" s="22"/>
      <c r="AE640" s="17"/>
      <c r="AF640" s="17"/>
    </row>
    <row r="641" spans="28:32" ht="18" x14ac:dyDescent="0.25">
      <c r="AB641" s="17"/>
      <c r="AC641" s="17"/>
      <c r="AD641" s="22"/>
      <c r="AE641" s="17"/>
      <c r="AF641" s="17"/>
    </row>
    <row r="642" spans="28:32" ht="18" x14ac:dyDescent="0.25">
      <c r="AB642" s="17"/>
      <c r="AC642" s="17"/>
      <c r="AD642" s="22"/>
      <c r="AE642" s="17"/>
      <c r="AF642" s="17"/>
    </row>
    <row r="643" spans="28:32" ht="18" x14ac:dyDescent="0.25">
      <c r="AB643" s="17"/>
      <c r="AC643" s="17"/>
      <c r="AD643" s="22"/>
      <c r="AE643" s="17"/>
      <c r="AF643" s="17"/>
    </row>
    <row r="644" spans="28:32" ht="18" x14ac:dyDescent="0.25">
      <c r="AB644" s="17"/>
      <c r="AC644" s="17"/>
      <c r="AD644" s="22"/>
      <c r="AE644" s="17"/>
      <c r="AF644" s="17"/>
    </row>
    <row r="645" spans="28:32" ht="18" x14ac:dyDescent="0.25">
      <c r="AB645" s="17"/>
      <c r="AC645" s="17"/>
      <c r="AD645" s="22"/>
      <c r="AE645" s="17"/>
      <c r="AF645" s="17"/>
    </row>
    <row r="646" spans="28:32" ht="18" x14ac:dyDescent="0.25">
      <c r="AB646" s="17"/>
      <c r="AC646" s="17"/>
      <c r="AD646" s="22"/>
      <c r="AE646" s="17"/>
      <c r="AF646" s="17"/>
    </row>
    <row r="647" spans="28:32" ht="18" x14ac:dyDescent="0.25">
      <c r="AB647" s="17"/>
      <c r="AC647" s="17"/>
      <c r="AD647" s="22"/>
      <c r="AE647" s="17"/>
      <c r="AF647" s="17"/>
    </row>
    <row r="648" spans="28:32" ht="18" x14ac:dyDescent="0.25">
      <c r="AB648" s="17"/>
      <c r="AC648" s="17"/>
      <c r="AD648" s="22"/>
      <c r="AE648" s="17"/>
      <c r="AF648" s="17"/>
    </row>
    <row r="649" spans="28:32" ht="18" x14ac:dyDescent="0.25">
      <c r="AB649" s="17"/>
      <c r="AC649" s="17"/>
      <c r="AD649" s="22"/>
      <c r="AE649" s="17"/>
      <c r="AF649" s="17"/>
    </row>
    <row r="650" spans="28:32" ht="18" x14ac:dyDescent="0.25">
      <c r="AB650" s="17"/>
      <c r="AC650" s="17"/>
      <c r="AD650" s="22"/>
      <c r="AE650" s="17"/>
      <c r="AF650" s="17"/>
    </row>
    <row r="651" spans="28:32" ht="18" x14ac:dyDescent="0.25">
      <c r="AB651" s="17"/>
      <c r="AC651" s="17"/>
      <c r="AD651" s="22"/>
      <c r="AE651" s="17"/>
      <c r="AF651" s="17"/>
    </row>
    <row r="652" spans="28:32" ht="18" x14ac:dyDescent="0.25">
      <c r="AB652" s="17"/>
      <c r="AC652" s="17"/>
      <c r="AD652" s="22"/>
      <c r="AE652" s="17"/>
      <c r="AF652" s="17"/>
    </row>
    <row r="653" spans="28:32" ht="18" x14ac:dyDescent="0.25">
      <c r="AB653" s="17"/>
      <c r="AC653" s="17"/>
      <c r="AD653" s="22"/>
      <c r="AE653" s="17"/>
      <c r="AF653" s="17"/>
    </row>
    <row r="654" spans="28:32" ht="18" x14ac:dyDescent="0.25">
      <c r="AB654" s="17"/>
      <c r="AC654" s="17"/>
      <c r="AD654" s="22"/>
      <c r="AE654" s="17"/>
      <c r="AF654" s="17"/>
    </row>
    <row r="655" spans="28:32" ht="18" x14ac:dyDescent="0.25">
      <c r="AB655" s="17"/>
      <c r="AC655" s="17"/>
      <c r="AD655" s="22"/>
      <c r="AE655" s="17"/>
      <c r="AF655" s="17"/>
    </row>
    <row r="656" spans="28:32" ht="18" x14ac:dyDescent="0.25">
      <c r="AB656" s="17"/>
      <c r="AC656" s="17"/>
      <c r="AD656" s="22"/>
      <c r="AE656" s="17"/>
      <c r="AF656" s="17"/>
    </row>
    <row r="657" spans="28:32" ht="18" x14ac:dyDescent="0.25">
      <c r="AB657" s="17"/>
      <c r="AC657" s="17"/>
      <c r="AD657" s="22"/>
      <c r="AE657" s="17"/>
      <c r="AF657" s="17"/>
    </row>
    <row r="658" spans="28:32" ht="18" x14ac:dyDescent="0.25">
      <c r="AB658" s="17"/>
      <c r="AC658" s="17"/>
      <c r="AD658" s="22"/>
      <c r="AE658" s="17"/>
      <c r="AF658" s="17"/>
    </row>
    <row r="659" spans="28:32" ht="18" x14ac:dyDescent="0.25">
      <c r="AB659" s="17"/>
      <c r="AC659" s="17"/>
      <c r="AD659" s="22"/>
      <c r="AE659" s="17"/>
      <c r="AF659" s="17"/>
    </row>
    <row r="660" spans="28:32" ht="18" x14ac:dyDescent="0.25">
      <c r="AB660" s="17"/>
      <c r="AC660" s="17"/>
      <c r="AD660" s="22"/>
      <c r="AE660" s="17"/>
      <c r="AF660" s="17"/>
    </row>
    <row r="661" spans="28:32" ht="18" x14ac:dyDescent="0.25">
      <c r="AB661" s="17"/>
      <c r="AC661" s="17"/>
      <c r="AD661" s="22"/>
      <c r="AE661" s="17"/>
      <c r="AF661" s="17"/>
    </row>
    <row r="662" spans="28:32" ht="18" x14ac:dyDescent="0.25">
      <c r="AB662" s="17"/>
      <c r="AC662" s="17"/>
      <c r="AD662" s="22"/>
      <c r="AE662" s="17"/>
      <c r="AF662" s="17"/>
    </row>
    <row r="663" spans="28:32" ht="18" x14ac:dyDescent="0.25">
      <c r="AB663" s="17"/>
      <c r="AC663" s="17"/>
      <c r="AD663" s="22"/>
      <c r="AE663" s="17"/>
      <c r="AF663" s="17"/>
    </row>
    <row r="664" spans="28:32" ht="18" x14ac:dyDescent="0.25">
      <c r="AB664" s="17"/>
      <c r="AC664" s="17"/>
      <c r="AD664" s="22"/>
      <c r="AE664" s="17"/>
      <c r="AF664" s="17"/>
    </row>
    <row r="665" spans="28:32" ht="18" x14ac:dyDescent="0.25">
      <c r="AB665" s="17"/>
      <c r="AC665" s="17"/>
      <c r="AD665" s="22"/>
      <c r="AE665" s="17"/>
      <c r="AF665" s="17"/>
    </row>
    <row r="666" spans="28:32" ht="18" x14ac:dyDescent="0.25">
      <c r="AB666" s="17"/>
      <c r="AC666" s="17"/>
      <c r="AD666" s="22"/>
      <c r="AE666" s="17"/>
      <c r="AF666" s="17"/>
    </row>
    <row r="667" spans="28:32" ht="18" x14ac:dyDescent="0.25">
      <c r="AB667" s="17"/>
      <c r="AC667" s="17"/>
      <c r="AD667" s="22"/>
      <c r="AE667" s="17"/>
      <c r="AF667" s="17"/>
    </row>
    <row r="668" spans="28:32" ht="18" x14ac:dyDescent="0.25">
      <c r="AB668" s="17"/>
      <c r="AC668" s="17"/>
      <c r="AD668" s="22"/>
      <c r="AE668" s="17"/>
      <c r="AF668" s="17"/>
    </row>
    <row r="669" spans="28:32" ht="18" x14ac:dyDescent="0.25">
      <c r="AB669" s="17"/>
      <c r="AC669" s="17"/>
      <c r="AD669" s="22"/>
      <c r="AE669" s="17"/>
      <c r="AF669" s="17"/>
    </row>
    <row r="670" spans="28:32" ht="18" x14ac:dyDescent="0.25">
      <c r="AB670" s="17"/>
      <c r="AC670" s="17"/>
      <c r="AD670" s="22"/>
      <c r="AE670" s="17"/>
      <c r="AF670" s="17"/>
    </row>
    <row r="671" spans="28:32" ht="18" x14ac:dyDescent="0.25">
      <c r="AB671" s="17"/>
      <c r="AC671" s="17"/>
      <c r="AD671" s="22"/>
      <c r="AE671" s="17"/>
      <c r="AF671" s="17"/>
    </row>
    <row r="672" spans="28:32" ht="18" x14ac:dyDescent="0.25">
      <c r="AB672" s="17"/>
      <c r="AC672" s="17"/>
      <c r="AD672" s="22"/>
      <c r="AE672" s="17"/>
      <c r="AF672" s="17"/>
    </row>
    <row r="673" spans="28:32" ht="18" x14ac:dyDescent="0.25">
      <c r="AB673" s="17"/>
      <c r="AC673" s="17"/>
      <c r="AD673" s="22"/>
      <c r="AE673" s="17"/>
      <c r="AF673" s="17"/>
    </row>
    <row r="674" spans="28:32" ht="18" x14ac:dyDescent="0.25">
      <c r="AB674" s="17"/>
      <c r="AC674" s="17"/>
      <c r="AD674" s="22"/>
      <c r="AE674" s="17"/>
      <c r="AF674" s="17"/>
    </row>
    <row r="675" spans="28:32" ht="18" x14ac:dyDescent="0.25">
      <c r="AB675" s="17"/>
      <c r="AC675" s="17"/>
      <c r="AD675" s="22"/>
      <c r="AE675" s="17"/>
      <c r="AF675" s="17"/>
    </row>
    <row r="676" spans="28:32" ht="18" x14ac:dyDescent="0.25">
      <c r="AB676" s="17"/>
      <c r="AC676" s="17"/>
      <c r="AD676" s="22"/>
      <c r="AE676" s="17"/>
      <c r="AF676" s="17"/>
    </row>
    <row r="677" spans="28:32" ht="18" x14ac:dyDescent="0.25">
      <c r="AB677" s="17"/>
      <c r="AC677" s="17"/>
      <c r="AD677" s="22"/>
      <c r="AE677" s="17"/>
      <c r="AF677" s="17"/>
    </row>
    <row r="678" spans="28:32" ht="18" x14ac:dyDescent="0.25">
      <c r="AB678" s="17"/>
      <c r="AC678" s="17"/>
      <c r="AD678" s="22"/>
      <c r="AE678" s="17"/>
      <c r="AF678" s="17"/>
    </row>
    <row r="679" spans="28:32" ht="18" x14ac:dyDescent="0.25">
      <c r="AB679" s="17"/>
      <c r="AC679" s="17"/>
      <c r="AD679" s="22"/>
      <c r="AE679" s="17"/>
      <c r="AF679" s="17"/>
    </row>
    <row r="680" spans="28:32" ht="18" x14ac:dyDescent="0.25">
      <c r="AB680" s="17"/>
      <c r="AC680" s="17"/>
      <c r="AD680" s="22"/>
      <c r="AE680" s="17"/>
      <c r="AF680" s="17"/>
    </row>
    <row r="681" spans="28:32" ht="18" x14ac:dyDescent="0.25">
      <c r="AB681" s="17"/>
      <c r="AC681" s="17"/>
      <c r="AD681" s="22"/>
      <c r="AE681" s="17"/>
      <c r="AF681" s="17"/>
    </row>
    <row r="682" spans="28:32" ht="18" x14ac:dyDescent="0.25">
      <c r="AB682" s="17"/>
      <c r="AC682" s="17"/>
      <c r="AD682" s="22"/>
      <c r="AE682" s="17"/>
      <c r="AF682" s="17"/>
    </row>
    <row r="683" spans="28:32" ht="18" x14ac:dyDescent="0.25">
      <c r="AB683" s="17"/>
      <c r="AC683" s="17"/>
      <c r="AD683" s="22"/>
      <c r="AE683" s="17"/>
      <c r="AF683" s="17"/>
    </row>
    <row r="684" spans="28:32" ht="18" x14ac:dyDescent="0.25">
      <c r="AB684" s="17"/>
      <c r="AC684" s="17"/>
      <c r="AD684" s="22"/>
      <c r="AE684" s="17"/>
      <c r="AF684" s="17"/>
    </row>
    <row r="685" spans="28:32" ht="18" x14ac:dyDescent="0.25">
      <c r="AB685" s="17"/>
      <c r="AC685" s="17"/>
      <c r="AD685" s="22"/>
      <c r="AE685" s="17"/>
      <c r="AF685" s="17"/>
    </row>
    <row r="686" spans="28:32" ht="18" x14ac:dyDescent="0.25">
      <c r="AB686" s="17"/>
      <c r="AC686" s="17"/>
      <c r="AD686" s="22"/>
      <c r="AE686" s="17"/>
      <c r="AF686" s="17"/>
    </row>
    <row r="687" spans="28:32" ht="18" x14ac:dyDescent="0.25">
      <c r="AB687" s="17"/>
      <c r="AC687" s="17"/>
      <c r="AD687" s="22"/>
      <c r="AE687" s="17"/>
      <c r="AF687" s="17"/>
    </row>
    <row r="688" spans="28:32" ht="18" x14ac:dyDescent="0.25">
      <c r="AB688" s="17"/>
      <c r="AC688" s="17"/>
      <c r="AD688" s="22"/>
      <c r="AE688" s="17"/>
      <c r="AF688" s="17"/>
    </row>
    <row r="689" spans="28:32" ht="18" x14ac:dyDescent="0.25">
      <c r="AB689" s="17"/>
      <c r="AC689" s="17"/>
      <c r="AD689" s="22"/>
      <c r="AE689" s="17"/>
      <c r="AF689" s="17"/>
    </row>
    <row r="690" spans="28:32" ht="18" x14ac:dyDescent="0.25">
      <c r="AB690" s="17"/>
      <c r="AC690" s="17"/>
      <c r="AD690" s="22"/>
      <c r="AE690" s="17"/>
      <c r="AF690" s="17"/>
    </row>
    <row r="691" spans="28:32" ht="18" x14ac:dyDescent="0.25">
      <c r="AB691" s="17"/>
      <c r="AC691" s="17"/>
      <c r="AD691" s="22"/>
      <c r="AE691" s="17"/>
      <c r="AF691" s="17"/>
    </row>
    <row r="692" spans="28:32" ht="18" x14ac:dyDescent="0.25">
      <c r="AB692" s="17"/>
      <c r="AC692" s="17"/>
      <c r="AD692" s="22"/>
      <c r="AE692" s="17"/>
      <c r="AF692" s="17"/>
    </row>
    <row r="693" spans="28:32" ht="18" x14ac:dyDescent="0.25">
      <c r="AB693" s="17"/>
      <c r="AC693" s="17"/>
      <c r="AD693" s="22"/>
      <c r="AE693" s="17"/>
      <c r="AF693" s="17"/>
    </row>
    <row r="694" spans="28:32" ht="18" x14ac:dyDescent="0.25">
      <c r="AB694" s="17"/>
      <c r="AC694" s="17"/>
      <c r="AD694" s="22"/>
      <c r="AE694" s="17"/>
      <c r="AF694" s="17"/>
    </row>
    <row r="695" spans="28:32" ht="18" x14ac:dyDescent="0.25">
      <c r="AB695" s="17"/>
      <c r="AC695" s="17"/>
      <c r="AD695" s="22"/>
      <c r="AE695" s="17"/>
      <c r="AF695" s="17"/>
    </row>
    <row r="696" spans="28:32" ht="18" x14ac:dyDescent="0.25">
      <c r="AB696" s="17"/>
      <c r="AC696" s="17"/>
      <c r="AD696" s="22"/>
      <c r="AE696" s="17"/>
      <c r="AF696" s="17"/>
    </row>
    <row r="697" spans="28:32" ht="18" x14ac:dyDescent="0.25">
      <c r="AB697" s="17"/>
      <c r="AC697" s="17"/>
      <c r="AD697" s="22"/>
      <c r="AE697" s="17"/>
      <c r="AF697" s="17"/>
    </row>
    <row r="698" spans="28:32" ht="18" x14ac:dyDescent="0.25">
      <c r="AB698" s="17"/>
      <c r="AC698" s="17"/>
      <c r="AD698" s="22"/>
      <c r="AE698" s="17"/>
      <c r="AF698" s="17"/>
    </row>
    <row r="699" spans="28:32" ht="18" x14ac:dyDescent="0.25">
      <c r="AB699" s="17"/>
      <c r="AC699" s="17"/>
      <c r="AD699" s="22"/>
      <c r="AE699" s="17"/>
      <c r="AF699" s="17"/>
    </row>
    <row r="700" spans="28:32" ht="18" x14ac:dyDescent="0.25">
      <c r="AB700" s="17"/>
      <c r="AC700" s="17"/>
      <c r="AD700" s="22"/>
      <c r="AE700" s="17"/>
      <c r="AF700" s="17"/>
    </row>
    <row r="701" spans="28:32" ht="18" x14ac:dyDescent="0.25">
      <c r="AB701" s="17"/>
      <c r="AC701" s="17"/>
      <c r="AD701" s="22"/>
      <c r="AE701" s="17"/>
      <c r="AF701" s="17"/>
    </row>
    <row r="702" spans="28:32" ht="18" x14ac:dyDescent="0.25">
      <c r="AB702" s="17"/>
      <c r="AC702" s="17"/>
      <c r="AD702" s="22"/>
      <c r="AE702" s="17"/>
      <c r="AF702" s="17"/>
    </row>
    <row r="703" spans="28:32" ht="18" x14ac:dyDescent="0.25">
      <c r="AB703" s="17"/>
      <c r="AC703" s="17"/>
      <c r="AD703" s="22"/>
      <c r="AE703" s="17"/>
      <c r="AF703" s="17"/>
    </row>
    <row r="704" spans="28:32" ht="18" x14ac:dyDescent="0.25">
      <c r="AB704" s="17"/>
      <c r="AC704" s="17"/>
      <c r="AD704" s="22"/>
      <c r="AE704" s="17"/>
      <c r="AF704" s="17"/>
    </row>
    <row r="705" spans="28:32" ht="18" x14ac:dyDescent="0.25">
      <c r="AB705" s="17"/>
      <c r="AC705" s="17"/>
      <c r="AD705" s="22"/>
      <c r="AE705" s="17"/>
      <c r="AF705" s="17"/>
    </row>
    <row r="706" spans="28:32" ht="18" x14ac:dyDescent="0.25">
      <c r="AB706" s="17"/>
      <c r="AC706" s="17"/>
      <c r="AD706" s="22"/>
      <c r="AE706" s="17"/>
      <c r="AF706" s="17"/>
    </row>
    <row r="707" spans="28:32" ht="18" x14ac:dyDescent="0.25">
      <c r="AB707" s="17"/>
      <c r="AC707" s="17"/>
      <c r="AD707" s="22"/>
      <c r="AE707" s="17"/>
      <c r="AF707" s="17"/>
    </row>
    <row r="708" spans="28:32" ht="18" x14ac:dyDescent="0.25">
      <c r="AB708" s="17"/>
      <c r="AC708" s="17"/>
      <c r="AD708" s="22"/>
      <c r="AE708" s="17"/>
      <c r="AF708" s="17"/>
    </row>
    <row r="709" spans="28:32" ht="18" x14ac:dyDescent="0.25">
      <c r="AB709" s="17"/>
      <c r="AC709" s="17"/>
      <c r="AD709" s="22"/>
      <c r="AE709" s="17"/>
      <c r="AF709" s="17"/>
    </row>
    <row r="710" spans="28:32" ht="18" x14ac:dyDescent="0.25">
      <c r="AB710" s="17"/>
      <c r="AC710" s="17"/>
      <c r="AD710" s="22"/>
      <c r="AE710" s="17"/>
      <c r="AF710" s="17"/>
    </row>
    <row r="711" spans="28:32" ht="18" x14ac:dyDescent="0.25">
      <c r="AB711" s="17"/>
      <c r="AC711" s="17"/>
      <c r="AD711" s="22"/>
      <c r="AE711" s="17"/>
      <c r="AF711" s="17"/>
    </row>
    <row r="712" spans="28:32" ht="18" x14ac:dyDescent="0.25">
      <c r="AB712" s="17"/>
      <c r="AC712" s="17"/>
      <c r="AD712" s="22"/>
      <c r="AE712" s="17"/>
      <c r="AF712" s="17"/>
    </row>
    <row r="713" spans="28:32" ht="18" x14ac:dyDescent="0.25">
      <c r="AB713" s="17"/>
      <c r="AC713" s="17"/>
      <c r="AD713" s="22"/>
      <c r="AE713" s="17"/>
      <c r="AF713" s="17"/>
    </row>
    <row r="714" spans="28:32" ht="18" x14ac:dyDescent="0.25">
      <c r="AB714" s="17"/>
      <c r="AC714" s="17"/>
      <c r="AD714" s="22"/>
      <c r="AE714" s="17"/>
      <c r="AF714" s="17"/>
    </row>
    <row r="715" spans="28:32" ht="18" x14ac:dyDescent="0.25">
      <c r="AB715" s="17"/>
      <c r="AC715" s="17"/>
      <c r="AD715" s="22"/>
      <c r="AE715" s="17"/>
      <c r="AF715" s="17"/>
    </row>
    <row r="716" spans="28:32" ht="18" x14ac:dyDescent="0.25">
      <c r="AB716" s="17"/>
      <c r="AC716" s="17"/>
      <c r="AD716" s="22"/>
      <c r="AE716" s="17"/>
      <c r="AF716" s="17"/>
    </row>
    <row r="717" spans="28:32" ht="18" x14ac:dyDescent="0.25">
      <c r="AB717" s="17"/>
      <c r="AC717" s="17"/>
      <c r="AD717" s="22"/>
      <c r="AE717" s="17"/>
      <c r="AF717" s="17"/>
    </row>
    <row r="718" spans="28:32" ht="18" x14ac:dyDescent="0.25">
      <c r="AB718" s="17"/>
      <c r="AC718" s="17"/>
      <c r="AD718" s="22"/>
      <c r="AE718" s="17"/>
      <c r="AF718" s="17"/>
    </row>
    <row r="719" spans="28:32" ht="18" x14ac:dyDescent="0.25">
      <c r="AB719" s="17"/>
      <c r="AC719" s="17"/>
      <c r="AD719" s="22"/>
      <c r="AE719" s="17"/>
      <c r="AF719" s="17"/>
    </row>
    <row r="720" spans="28:32" ht="18" x14ac:dyDescent="0.25">
      <c r="AB720" s="17"/>
      <c r="AC720" s="17"/>
      <c r="AD720" s="22"/>
      <c r="AE720" s="17"/>
      <c r="AF720" s="17"/>
    </row>
    <row r="721" spans="28:32" ht="18" x14ac:dyDescent="0.25">
      <c r="AB721" s="17"/>
      <c r="AC721" s="17"/>
      <c r="AD721" s="22"/>
      <c r="AE721" s="17"/>
      <c r="AF721" s="17"/>
    </row>
    <row r="722" spans="28:32" ht="18" x14ac:dyDescent="0.25">
      <c r="AB722" s="17"/>
      <c r="AC722" s="17"/>
      <c r="AD722" s="22"/>
      <c r="AE722" s="17"/>
      <c r="AF722" s="17"/>
    </row>
    <row r="723" spans="28:32" ht="18" x14ac:dyDescent="0.25">
      <c r="AB723" s="17"/>
      <c r="AC723" s="17"/>
      <c r="AD723" s="22"/>
      <c r="AE723" s="17"/>
      <c r="AF723" s="17"/>
    </row>
    <row r="724" spans="28:32" ht="18" x14ac:dyDescent="0.25">
      <c r="AB724" s="17"/>
      <c r="AC724" s="17"/>
      <c r="AD724" s="22"/>
      <c r="AE724" s="17"/>
      <c r="AF724" s="17"/>
    </row>
    <row r="725" spans="28:32" ht="18" x14ac:dyDescent="0.25">
      <c r="AB725" s="17"/>
      <c r="AC725" s="17"/>
      <c r="AD725" s="22"/>
      <c r="AE725" s="17"/>
      <c r="AF725" s="17"/>
    </row>
    <row r="726" spans="28:32" ht="18" x14ac:dyDescent="0.25">
      <c r="AB726" s="17"/>
      <c r="AC726" s="17"/>
      <c r="AD726" s="22"/>
      <c r="AE726" s="17"/>
      <c r="AF726" s="17"/>
    </row>
    <row r="727" spans="28:32" ht="18" x14ac:dyDescent="0.25">
      <c r="AB727" s="17"/>
      <c r="AC727" s="17"/>
      <c r="AD727" s="22"/>
      <c r="AE727" s="17"/>
      <c r="AF727" s="17"/>
    </row>
    <row r="728" spans="28:32" ht="18" x14ac:dyDescent="0.25">
      <c r="AB728" s="17"/>
      <c r="AC728" s="17"/>
      <c r="AD728" s="22"/>
      <c r="AE728" s="17"/>
      <c r="AF728" s="17"/>
    </row>
    <row r="729" spans="28:32" ht="18" x14ac:dyDescent="0.25">
      <c r="AB729" s="17"/>
      <c r="AC729" s="17"/>
      <c r="AD729" s="22"/>
      <c r="AE729" s="17"/>
      <c r="AF729" s="17"/>
    </row>
    <row r="730" spans="28:32" ht="18" x14ac:dyDescent="0.25">
      <c r="AB730" s="17"/>
      <c r="AC730" s="17"/>
      <c r="AD730" s="22"/>
      <c r="AE730" s="17"/>
      <c r="AF730" s="17"/>
    </row>
    <row r="731" spans="28:32" ht="18" x14ac:dyDescent="0.25">
      <c r="AB731" s="17"/>
      <c r="AC731" s="17"/>
      <c r="AD731" s="22"/>
      <c r="AE731" s="17"/>
      <c r="AF731" s="17"/>
    </row>
    <row r="732" spans="28:32" ht="18" x14ac:dyDescent="0.25">
      <c r="AB732" s="17"/>
      <c r="AC732" s="17"/>
      <c r="AD732" s="22"/>
      <c r="AE732" s="17"/>
      <c r="AF732" s="17"/>
    </row>
    <row r="733" spans="28:32" ht="18" x14ac:dyDescent="0.25">
      <c r="AB733" s="17"/>
      <c r="AC733" s="17"/>
      <c r="AD733" s="22"/>
      <c r="AE733" s="17"/>
      <c r="AF733" s="17"/>
    </row>
    <row r="734" spans="28:32" ht="18" x14ac:dyDescent="0.25">
      <c r="AB734" s="17"/>
      <c r="AC734" s="17"/>
      <c r="AD734" s="22"/>
      <c r="AE734" s="17"/>
      <c r="AF734" s="17"/>
    </row>
    <row r="735" spans="28:32" ht="18" x14ac:dyDescent="0.25">
      <c r="AB735" s="17"/>
      <c r="AC735" s="17"/>
      <c r="AD735" s="22"/>
      <c r="AE735" s="17"/>
      <c r="AF735" s="17"/>
    </row>
    <row r="736" spans="28:32" ht="18" x14ac:dyDescent="0.25">
      <c r="AB736" s="17"/>
      <c r="AC736" s="17"/>
      <c r="AD736" s="22"/>
      <c r="AE736" s="17"/>
      <c r="AF736" s="17"/>
    </row>
    <row r="737" spans="15:32" ht="18" x14ac:dyDescent="0.25">
      <c r="AB737" s="17"/>
      <c r="AC737" s="17"/>
      <c r="AD737" s="22"/>
      <c r="AE737" s="17"/>
      <c r="AF737" s="17"/>
    </row>
    <row r="738" spans="15:32" ht="18" x14ac:dyDescent="0.25">
      <c r="AB738" s="17"/>
      <c r="AC738" s="17"/>
      <c r="AD738" s="22"/>
      <c r="AE738" s="17"/>
      <c r="AF738" s="17"/>
    </row>
    <row r="739" spans="15:32" ht="18" x14ac:dyDescent="0.25">
      <c r="AB739" s="17"/>
      <c r="AC739" s="17"/>
      <c r="AD739" s="22"/>
      <c r="AE739" s="17"/>
      <c r="AF739" s="17"/>
    </row>
    <row r="740" spans="15:32" ht="18" x14ac:dyDescent="0.25">
      <c r="AB740" s="17"/>
      <c r="AC740" s="17"/>
      <c r="AD740" s="22"/>
      <c r="AE740" s="17"/>
      <c r="AF740" s="17"/>
    </row>
    <row r="741" spans="15:32" ht="18" x14ac:dyDescent="0.25">
      <c r="AB741" s="17"/>
      <c r="AC741" s="17"/>
      <c r="AD741" s="22"/>
      <c r="AE741" s="17"/>
      <c r="AF741" s="17"/>
    </row>
    <row r="742" spans="15:32" ht="18" x14ac:dyDescent="0.25">
      <c r="AB742" s="17"/>
      <c r="AC742" s="17"/>
      <c r="AD742" s="22"/>
      <c r="AE742" s="17"/>
      <c r="AF742" s="17"/>
    </row>
    <row r="743" spans="15:32" ht="18" x14ac:dyDescent="0.25">
      <c r="AB743" s="17"/>
      <c r="AC743" s="17"/>
      <c r="AD743" s="22"/>
      <c r="AE743" s="17"/>
      <c r="AF743" s="17"/>
    </row>
    <row r="744" spans="15:32" ht="18" x14ac:dyDescent="0.25">
      <c r="AB744" s="17"/>
      <c r="AC744" s="17"/>
      <c r="AD744" s="22"/>
      <c r="AE744" s="17"/>
      <c r="AF744" s="17"/>
    </row>
    <row r="745" spans="15:32" ht="18" x14ac:dyDescent="0.25">
      <c r="AB745" s="17"/>
      <c r="AC745" s="17"/>
      <c r="AD745" s="22"/>
      <c r="AE745" s="17"/>
      <c r="AF745" s="17"/>
    </row>
    <row r="746" spans="15:32" ht="18" x14ac:dyDescent="0.25">
      <c r="AB746" s="17"/>
      <c r="AC746" s="17"/>
      <c r="AD746" s="22"/>
      <c r="AE746" s="17"/>
      <c r="AF746" s="17"/>
    </row>
    <row r="747" spans="15:32" ht="18" x14ac:dyDescent="0.25">
      <c r="AB747" s="17"/>
      <c r="AC747" s="17"/>
      <c r="AD747" s="22"/>
      <c r="AE747" s="17"/>
      <c r="AF747" s="17"/>
    </row>
    <row r="748" spans="15:32" ht="18" x14ac:dyDescent="0.25">
      <c r="AB748" s="17"/>
      <c r="AC748" s="17"/>
      <c r="AD748" s="22"/>
      <c r="AE748" s="17"/>
      <c r="AF748" s="17"/>
    </row>
    <row r="749" spans="15:32" ht="18" x14ac:dyDescent="0.25">
      <c r="AB749" s="17"/>
      <c r="AC749" s="17"/>
      <c r="AD749" s="22"/>
      <c r="AE749" s="17"/>
      <c r="AF749" s="17"/>
    </row>
    <row r="750" spans="15:32" ht="18" x14ac:dyDescent="0.25">
      <c r="AB750" s="17"/>
      <c r="AC750" s="17"/>
      <c r="AD750" s="22"/>
      <c r="AE750" s="17"/>
      <c r="AF750" s="17"/>
    </row>
    <row r="751" spans="15:32" ht="18" x14ac:dyDescent="0.25">
      <c r="AB751" s="17"/>
      <c r="AC751" s="17"/>
      <c r="AD751" s="22"/>
      <c r="AE751" s="17"/>
      <c r="AF751" s="17"/>
    </row>
    <row r="752" spans="15:32" ht="18.75" x14ac:dyDescent="0.3">
      <c r="O752" s="1263"/>
      <c r="AB752" s="17"/>
      <c r="AC752" s="17"/>
      <c r="AD752" s="22"/>
      <c r="AE752" s="17"/>
      <c r="AF752" s="17"/>
    </row>
    <row r="753" spans="28:32" ht="18" x14ac:dyDescent="0.25">
      <c r="AB753" s="17"/>
      <c r="AC753" s="17"/>
      <c r="AD753" s="22"/>
      <c r="AE753" s="17"/>
      <c r="AF753" s="17"/>
    </row>
    <row r="754" spans="28:32" ht="18" x14ac:dyDescent="0.25">
      <c r="AB754" s="17"/>
      <c r="AC754" s="17"/>
      <c r="AD754" s="22"/>
      <c r="AE754" s="17"/>
      <c r="AF754" s="17"/>
    </row>
    <row r="755" spans="28:32" ht="18" x14ac:dyDescent="0.25">
      <c r="AB755" s="17"/>
      <c r="AC755" s="17"/>
      <c r="AD755" s="22"/>
      <c r="AE755" s="17"/>
      <c r="AF755" s="17"/>
    </row>
    <row r="756" spans="28:32" ht="18" x14ac:dyDescent="0.25">
      <c r="AB756" s="17"/>
      <c r="AC756" s="17"/>
      <c r="AD756" s="22"/>
      <c r="AE756" s="17"/>
      <c r="AF756" s="17"/>
    </row>
    <row r="757" spans="28:32" ht="18" x14ac:dyDescent="0.25">
      <c r="AB757" s="17"/>
      <c r="AC757" s="17"/>
      <c r="AD757" s="22"/>
      <c r="AE757" s="17"/>
      <c r="AF757" s="17"/>
    </row>
    <row r="758" spans="28:32" ht="18" x14ac:dyDescent="0.25">
      <c r="AB758" s="17"/>
      <c r="AC758" s="17"/>
      <c r="AD758" s="22"/>
      <c r="AE758" s="17"/>
      <c r="AF758" s="17"/>
    </row>
    <row r="759" spans="28:32" ht="18" x14ac:dyDescent="0.25">
      <c r="AB759" s="17"/>
      <c r="AC759" s="17"/>
      <c r="AD759" s="22"/>
      <c r="AE759" s="17"/>
      <c r="AF759" s="17"/>
    </row>
    <row r="760" spans="28:32" ht="18" x14ac:dyDescent="0.25">
      <c r="AB760" s="17"/>
      <c r="AC760" s="17"/>
      <c r="AD760" s="22"/>
      <c r="AE760" s="17"/>
      <c r="AF760" s="17"/>
    </row>
    <row r="761" spans="28:32" ht="18" x14ac:dyDescent="0.25">
      <c r="AB761" s="17"/>
      <c r="AC761" s="17"/>
      <c r="AD761" s="22"/>
      <c r="AE761" s="17"/>
      <c r="AF761" s="17"/>
    </row>
    <row r="762" spans="28:32" ht="18" x14ac:dyDescent="0.25">
      <c r="AB762" s="17"/>
      <c r="AC762" s="17"/>
      <c r="AD762" s="22"/>
      <c r="AE762" s="17"/>
      <c r="AF762" s="17"/>
    </row>
    <row r="763" spans="28:32" ht="18" x14ac:dyDescent="0.25">
      <c r="AB763" s="17"/>
      <c r="AC763" s="17"/>
      <c r="AD763" s="22"/>
      <c r="AE763" s="17"/>
      <c r="AF763" s="17"/>
    </row>
    <row r="764" spans="28:32" ht="18" x14ac:dyDescent="0.25">
      <c r="AB764" s="17"/>
      <c r="AC764" s="17"/>
      <c r="AD764" s="22"/>
      <c r="AE764" s="17"/>
      <c r="AF764" s="17"/>
    </row>
    <row r="765" spans="28:32" ht="18" x14ac:dyDescent="0.25">
      <c r="AB765" s="17"/>
      <c r="AC765" s="17"/>
      <c r="AD765" s="22"/>
      <c r="AE765" s="17"/>
      <c r="AF765" s="17"/>
    </row>
    <row r="766" spans="28:32" ht="18" x14ac:dyDescent="0.25">
      <c r="AB766" s="17"/>
      <c r="AC766" s="17"/>
      <c r="AD766" s="22"/>
      <c r="AE766" s="17"/>
      <c r="AF766" s="17"/>
    </row>
    <row r="767" spans="28:32" ht="18" x14ac:dyDescent="0.25">
      <c r="AB767" s="17"/>
      <c r="AC767" s="17"/>
      <c r="AD767" s="22"/>
      <c r="AE767" s="17"/>
      <c r="AF767" s="17"/>
    </row>
    <row r="768" spans="28:32" ht="18" x14ac:dyDescent="0.25">
      <c r="AB768" s="17"/>
      <c r="AC768" s="17"/>
      <c r="AD768" s="22"/>
      <c r="AE768" s="17"/>
      <c r="AF768" s="17"/>
    </row>
    <row r="769" spans="15:32" ht="18" x14ac:dyDescent="0.25">
      <c r="AB769" s="17"/>
      <c r="AC769" s="17"/>
      <c r="AD769" s="22"/>
      <c r="AE769" s="17"/>
      <c r="AF769" s="17"/>
    </row>
    <row r="770" spans="15:32" ht="18" x14ac:dyDescent="0.25">
      <c r="AB770" s="17"/>
      <c r="AC770" s="17"/>
      <c r="AD770" s="22"/>
      <c r="AE770" s="17"/>
      <c r="AF770" s="17"/>
    </row>
    <row r="771" spans="15:32" ht="18" x14ac:dyDescent="0.25">
      <c r="AB771" s="17"/>
      <c r="AC771" s="17"/>
      <c r="AD771" s="22"/>
      <c r="AE771" s="17"/>
      <c r="AF771" s="17"/>
    </row>
    <row r="772" spans="15:32" ht="18" x14ac:dyDescent="0.25">
      <c r="AB772" s="17"/>
      <c r="AC772" s="17"/>
      <c r="AD772" s="22"/>
      <c r="AE772" s="17"/>
      <c r="AF772" s="17"/>
    </row>
    <row r="773" spans="15:32" ht="18" x14ac:dyDescent="0.25">
      <c r="AB773" s="17"/>
      <c r="AC773" s="17"/>
      <c r="AD773" s="22"/>
      <c r="AE773" s="17"/>
      <c r="AF773" s="17"/>
    </row>
    <row r="774" spans="15:32" ht="18" x14ac:dyDescent="0.25">
      <c r="AB774" s="17"/>
      <c r="AC774" s="17"/>
      <c r="AD774" s="22"/>
      <c r="AE774" s="17"/>
      <c r="AF774" s="17"/>
    </row>
    <row r="775" spans="15:32" ht="18" x14ac:dyDescent="0.25">
      <c r="AB775" s="17"/>
      <c r="AC775" s="17"/>
      <c r="AD775" s="22"/>
      <c r="AE775" s="17"/>
      <c r="AF775" s="17"/>
    </row>
    <row r="776" spans="15:32" ht="18" x14ac:dyDescent="0.25">
      <c r="AB776" s="17"/>
      <c r="AC776" s="17"/>
      <c r="AD776" s="22"/>
      <c r="AE776" s="17"/>
      <c r="AF776" s="17"/>
    </row>
    <row r="777" spans="15:32" ht="18" x14ac:dyDescent="0.25">
      <c r="AB777" s="17"/>
      <c r="AC777" s="17"/>
      <c r="AD777" s="22"/>
      <c r="AE777" s="17"/>
      <c r="AF777" s="17"/>
    </row>
    <row r="778" spans="15:32" ht="18" x14ac:dyDescent="0.25">
      <c r="AB778" s="17"/>
      <c r="AC778" s="17"/>
      <c r="AD778" s="22"/>
      <c r="AE778" s="17"/>
      <c r="AF778" s="17"/>
    </row>
    <row r="779" spans="15:32" ht="18" x14ac:dyDescent="0.25">
      <c r="AB779" s="17"/>
      <c r="AC779" s="17"/>
      <c r="AD779" s="22"/>
      <c r="AE779" s="17"/>
      <c r="AF779" s="17"/>
    </row>
    <row r="780" spans="15:32" ht="18" x14ac:dyDescent="0.25">
      <c r="AB780" s="17"/>
      <c r="AC780" s="17"/>
      <c r="AD780" s="22"/>
      <c r="AE780" s="17"/>
      <c r="AF780" s="17"/>
    </row>
    <row r="781" spans="15:32" ht="18" x14ac:dyDescent="0.25">
      <c r="AB781" s="17"/>
      <c r="AC781" s="17"/>
      <c r="AD781" s="22"/>
      <c r="AE781" s="17"/>
      <c r="AF781" s="17"/>
    </row>
    <row r="782" spans="15:32" ht="18" x14ac:dyDescent="0.25">
      <c r="AB782" s="17"/>
      <c r="AC782" s="17"/>
      <c r="AD782" s="22"/>
      <c r="AE782" s="17"/>
      <c r="AF782" s="17"/>
    </row>
    <row r="783" spans="15:32" ht="18.75" x14ac:dyDescent="0.3">
      <c r="O783" s="138"/>
      <c r="AB783" s="17"/>
      <c r="AC783" s="17"/>
      <c r="AD783" s="22"/>
      <c r="AE783" s="17"/>
      <c r="AF783" s="17"/>
    </row>
    <row r="784" spans="15:32" ht="18.75" x14ac:dyDescent="0.3">
      <c r="O784" s="138"/>
      <c r="AB784" s="17"/>
      <c r="AC784" s="17"/>
      <c r="AD784" s="22"/>
      <c r="AE784" s="17"/>
      <c r="AF784" s="17"/>
    </row>
    <row r="785" spans="15:32" ht="18.75" x14ac:dyDescent="0.3">
      <c r="O785" s="138"/>
      <c r="AB785" s="17"/>
      <c r="AC785" s="17"/>
      <c r="AD785" s="22"/>
      <c r="AE785" s="17"/>
      <c r="AF785" s="17"/>
    </row>
    <row r="786" spans="15:32" ht="18.75" x14ac:dyDescent="0.3">
      <c r="O786" s="138"/>
      <c r="AB786" s="17"/>
      <c r="AC786" s="17"/>
      <c r="AD786" s="22"/>
      <c r="AE786" s="17"/>
      <c r="AF786" s="17"/>
    </row>
    <row r="787" spans="15:32" ht="18.75" x14ac:dyDescent="0.3">
      <c r="O787" s="138"/>
      <c r="AB787" s="17"/>
      <c r="AC787" s="17"/>
      <c r="AD787" s="22"/>
      <c r="AE787" s="17"/>
      <c r="AF787" s="17"/>
    </row>
    <row r="788" spans="15:32" ht="18.75" x14ac:dyDescent="0.3">
      <c r="O788" s="138"/>
      <c r="AB788" s="17"/>
      <c r="AC788" s="17"/>
      <c r="AD788" s="22"/>
      <c r="AE788" s="17"/>
      <c r="AF788" s="17"/>
    </row>
    <row r="789" spans="15:32" ht="18.75" x14ac:dyDescent="0.3">
      <c r="O789" s="138"/>
      <c r="AB789" s="17"/>
      <c r="AC789" s="17"/>
      <c r="AD789" s="22"/>
      <c r="AE789" s="17"/>
      <c r="AF789" s="17"/>
    </row>
    <row r="790" spans="15:32" ht="18.75" x14ac:dyDescent="0.3">
      <c r="O790" s="138"/>
      <c r="AB790" s="17"/>
      <c r="AC790" s="17"/>
      <c r="AD790" s="22"/>
      <c r="AE790" s="17"/>
      <c r="AF790" s="17"/>
    </row>
    <row r="791" spans="15:32" ht="18.75" x14ac:dyDescent="0.3">
      <c r="O791" s="138"/>
      <c r="AB791" s="17"/>
      <c r="AC791" s="17"/>
      <c r="AD791" s="22"/>
      <c r="AE791" s="17"/>
      <c r="AF791" s="17"/>
    </row>
    <row r="792" spans="15:32" ht="18.75" x14ac:dyDescent="0.3">
      <c r="O792" s="138"/>
      <c r="AB792" s="17"/>
      <c r="AC792" s="17"/>
      <c r="AD792" s="22"/>
      <c r="AE792" s="17"/>
      <c r="AF792" s="17"/>
    </row>
    <row r="793" spans="15:32" ht="18.75" x14ac:dyDescent="0.3">
      <c r="O793" s="138"/>
      <c r="AB793" s="17"/>
      <c r="AC793" s="17"/>
      <c r="AD793" s="22"/>
      <c r="AE793" s="17"/>
      <c r="AF793" s="17"/>
    </row>
    <row r="794" spans="15:32" ht="18.75" x14ac:dyDescent="0.3">
      <c r="O794" s="138"/>
      <c r="AB794" s="17"/>
      <c r="AC794" s="17"/>
      <c r="AD794" s="22"/>
      <c r="AE794" s="17"/>
      <c r="AF794" s="17"/>
    </row>
    <row r="795" spans="15:32" ht="18.75" x14ac:dyDescent="0.3">
      <c r="O795" s="138"/>
      <c r="AB795" s="17"/>
      <c r="AC795" s="17"/>
      <c r="AD795" s="22"/>
      <c r="AE795" s="17"/>
      <c r="AF795" s="17"/>
    </row>
    <row r="796" spans="15:32" ht="18.75" x14ac:dyDescent="0.3">
      <c r="O796" s="138"/>
      <c r="AB796" s="17"/>
      <c r="AC796" s="17"/>
      <c r="AD796" s="22"/>
      <c r="AE796" s="17"/>
      <c r="AF796" s="17"/>
    </row>
    <row r="797" spans="15:32" ht="18.75" x14ac:dyDescent="0.3">
      <c r="O797" s="138"/>
      <c r="AB797" s="17"/>
      <c r="AC797" s="17"/>
      <c r="AD797" s="22"/>
      <c r="AE797" s="17"/>
      <c r="AF797" s="17"/>
    </row>
    <row r="798" spans="15:32" ht="18.75" x14ac:dyDescent="0.3">
      <c r="O798" s="138"/>
      <c r="AB798" s="17"/>
      <c r="AC798" s="17"/>
      <c r="AD798" s="22"/>
      <c r="AE798" s="17"/>
      <c r="AF798" s="17"/>
    </row>
    <row r="799" spans="15:32" ht="18.75" x14ac:dyDescent="0.3">
      <c r="O799" s="138"/>
      <c r="AB799" s="17"/>
      <c r="AC799" s="17"/>
      <c r="AD799" s="22"/>
      <c r="AE799" s="17"/>
      <c r="AF799" s="17"/>
    </row>
    <row r="800" spans="15:32" ht="18.75" x14ac:dyDescent="0.3">
      <c r="O800" s="138"/>
      <c r="AB800" s="17"/>
      <c r="AC800" s="17"/>
      <c r="AD800" s="22"/>
      <c r="AE800" s="17"/>
      <c r="AF800" s="17"/>
    </row>
    <row r="801" spans="15:32" ht="18.75" x14ac:dyDescent="0.3">
      <c r="O801" s="138"/>
      <c r="AB801" s="17"/>
      <c r="AC801" s="17"/>
      <c r="AD801" s="22"/>
      <c r="AE801" s="17"/>
      <c r="AF801" s="17"/>
    </row>
    <row r="802" spans="15:32" ht="18.75" x14ac:dyDescent="0.3">
      <c r="O802" s="138"/>
      <c r="AB802" s="17"/>
      <c r="AC802" s="17"/>
      <c r="AD802" s="22"/>
      <c r="AE802" s="17"/>
      <c r="AF802" s="17"/>
    </row>
    <row r="803" spans="15:32" ht="18.75" x14ac:dyDescent="0.3">
      <c r="O803" s="138"/>
      <c r="AB803" s="17"/>
      <c r="AC803" s="17"/>
      <c r="AD803" s="22"/>
      <c r="AE803" s="17"/>
      <c r="AF803" s="17"/>
    </row>
    <row r="804" spans="15:32" ht="18.75" x14ac:dyDescent="0.3">
      <c r="O804" s="138"/>
      <c r="AB804" s="17"/>
      <c r="AC804" s="17"/>
      <c r="AD804" s="22"/>
      <c r="AE804" s="17"/>
      <c r="AF804" s="17"/>
    </row>
    <row r="805" spans="15:32" ht="18.75" x14ac:dyDescent="0.3">
      <c r="O805" s="138"/>
      <c r="AB805" s="17"/>
      <c r="AC805" s="17"/>
      <c r="AD805" s="22"/>
      <c r="AE805" s="17"/>
      <c r="AF805" s="17"/>
    </row>
    <row r="806" spans="15:32" ht="18" x14ac:dyDescent="0.25">
      <c r="O806" s="557"/>
      <c r="AB806" s="17"/>
      <c r="AC806" s="17"/>
      <c r="AD806" s="22"/>
      <c r="AE806" s="17"/>
      <c r="AF806" s="17"/>
    </row>
    <row r="807" spans="15:32" ht="18" x14ac:dyDescent="0.25">
      <c r="O807" s="557"/>
      <c r="AB807" s="17"/>
      <c r="AC807" s="17"/>
      <c r="AD807" s="22"/>
      <c r="AE807" s="17"/>
      <c r="AF807" s="17"/>
    </row>
    <row r="808" spans="15:32" ht="18" x14ac:dyDescent="0.25">
      <c r="O808" s="557"/>
      <c r="AB808" s="17"/>
      <c r="AC808" s="17"/>
      <c r="AD808" s="22"/>
      <c r="AE808" s="17"/>
      <c r="AF808" s="17"/>
    </row>
    <row r="809" spans="15:32" ht="18.75" x14ac:dyDescent="0.3">
      <c r="O809" s="819"/>
      <c r="AB809" s="17"/>
      <c r="AC809" s="17"/>
      <c r="AD809" s="22"/>
      <c r="AE809" s="17"/>
      <c r="AF809" s="17"/>
    </row>
    <row r="810" spans="15:32" ht="18.75" x14ac:dyDescent="0.3">
      <c r="O810" s="819"/>
      <c r="AB810" s="17"/>
      <c r="AC810" s="17"/>
      <c r="AD810" s="22"/>
      <c r="AE810" s="17"/>
      <c r="AF810" s="17"/>
    </row>
    <row r="811" spans="15:32" ht="18.75" x14ac:dyDescent="0.3">
      <c r="O811" s="819"/>
      <c r="AB811" s="17"/>
      <c r="AC811" s="17"/>
      <c r="AD811" s="22"/>
      <c r="AE811" s="17"/>
      <c r="AF811" s="17"/>
    </row>
    <row r="812" spans="15:32" ht="18.75" x14ac:dyDescent="0.3">
      <c r="O812" s="819"/>
      <c r="AB812" s="17"/>
      <c r="AC812" s="17"/>
      <c r="AD812" s="22"/>
      <c r="AE812" s="17"/>
      <c r="AF812" s="17"/>
    </row>
    <row r="813" spans="15:32" ht="18.75" x14ac:dyDescent="0.3">
      <c r="O813" s="819"/>
      <c r="AB813" s="17"/>
      <c r="AC813" s="17"/>
      <c r="AD813" s="22"/>
      <c r="AE813" s="17"/>
      <c r="AF813" s="17"/>
    </row>
    <row r="814" spans="15:32" ht="18.75" x14ac:dyDescent="0.3">
      <c r="O814" s="819"/>
      <c r="AB814" s="17"/>
      <c r="AC814" s="17"/>
      <c r="AD814" s="22"/>
      <c r="AE814" s="17"/>
      <c r="AF814" s="17"/>
    </row>
    <row r="815" spans="15:32" ht="18.75" x14ac:dyDescent="0.3">
      <c r="O815" s="819"/>
      <c r="AB815" s="17"/>
      <c r="AC815" s="17"/>
      <c r="AD815" s="22"/>
      <c r="AE815" s="17"/>
      <c r="AF815" s="17"/>
    </row>
    <row r="816" spans="15:32" ht="18.75" x14ac:dyDescent="0.3">
      <c r="O816" s="819"/>
      <c r="AB816" s="17"/>
      <c r="AC816" s="17"/>
      <c r="AD816" s="22"/>
      <c r="AE816" s="17"/>
      <c r="AF816" s="17"/>
    </row>
    <row r="817" spans="15:32" ht="18.75" x14ac:dyDescent="0.3">
      <c r="O817" s="819"/>
      <c r="AB817" s="17"/>
      <c r="AC817" s="17"/>
      <c r="AD817" s="22"/>
      <c r="AE817" s="17"/>
      <c r="AF817" s="17"/>
    </row>
    <row r="818" spans="15:32" ht="18.75" x14ac:dyDescent="0.3">
      <c r="O818" s="138"/>
      <c r="AB818" s="17"/>
      <c r="AC818" s="17"/>
      <c r="AD818" s="22"/>
      <c r="AE818" s="17"/>
      <c r="AF818" s="17"/>
    </row>
    <row r="819" spans="15:32" ht="18.75" x14ac:dyDescent="0.3">
      <c r="O819" s="138"/>
      <c r="AB819" s="17"/>
      <c r="AC819" s="17"/>
      <c r="AD819" s="22"/>
      <c r="AE819" s="17"/>
      <c r="AF819" s="17"/>
    </row>
    <row r="820" spans="15:32" ht="18.75" x14ac:dyDescent="0.3">
      <c r="O820" s="138"/>
      <c r="AB820" s="17"/>
      <c r="AC820" s="17"/>
      <c r="AD820" s="22"/>
      <c r="AE820" s="17"/>
      <c r="AF820" s="17"/>
    </row>
    <row r="821" spans="15:32" ht="18.75" x14ac:dyDescent="0.3">
      <c r="O821" s="138"/>
      <c r="AB821" s="17"/>
      <c r="AC821" s="17"/>
      <c r="AD821" s="22"/>
      <c r="AE821" s="17"/>
      <c r="AF821" s="17"/>
    </row>
    <row r="822" spans="15:32" ht="18" x14ac:dyDescent="0.25">
      <c r="AB822" s="17"/>
      <c r="AC822" s="17"/>
      <c r="AD822" s="22"/>
      <c r="AE822" s="17"/>
      <c r="AF822" s="17"/>
    </row>
    <row r="823" spans="15:32" ht="18" x14ac:dyDescent="0.25">
      <c r="AB823" s="17"/>
      <c r="AC823" s="17"/>
      <c r="AD823" s="22"/>
      <c r="AE823" s="17"/>
      <c r="AF823" s="17"/>
    </row>
    <row r="824" spans="15:32" ht="18" x14ac:dyDescent="0.25">
      <c r="AB824" s="17"/>
      <c r="AC824" s="17"/>
      <c r="AD824" s="22"/>
      <c r="AE824" s="17"/>
      <c r="AF824" s="17"/>
    </row>
    <row r="825" spans="15:32" ht="18" x14ac:dyDescent="0.25">
      <c r="AB825" s="17"/>
      <c r="AC825" s="17"/>
      <c r="AD825" s="22"/>
      <c r="AE825" s="17"/>
      <c r="AF825" s="17"/>
    </row>
    <row r="826" spans="15:32" ht="18" x14ac:dyDescent="0.25">
      <c r="AB826" s="17"/>
      <c r="AC826" s="17"/>
      <c r="AD826" s="22"/>
      <c r="AE826" s="17"/>
      <c r="AF826" s="17"/>
    </row>
    <row r="827" spans="15:32" ht="18" x14ac:dyDescent="0.25">
      <c r="AB827" s="17"/>
      <c r="AC827" s="17"/>
      <c r="AD827" s="22"/>
      <c r="AE827" s="17"/>
      <c r="AF827" s="17"/>
    </row>
    <row r="828" spans="15:32" ht="18" x14ac:dyDescent="0.25">
      <c r="AB828" s="17"/>
      <c r="AC828" s="17"/>
      <c r="AD828" s="22"/>
      <c r="AE828" s="17"/>
      <c r="AF828" s="17"/>
    </row>
    <row r="829" spans="15:32" ht="18" x14ac:dyDescent="0.25">
      <c r="AB829" s="17"/>
      <c r="AC829" s="17"/>
      <c r="AD829" s="22"/>
      <c r="AE829" s="17"/>
      <c r="AF829" s="17"/>
    </row>
    <row r="830" spans="15:32" ht="18" x14ac:dyDescent="0.25">
      <c r="AB830" s="17"/>
      <c r="AC830" s="17"/>
      <c r="AD830" s="22"/>
      <c r="AE830" s="17"/>
      <c r="AF830" s="17"/>
    </row>
    <row r="831" spans="15:32" ht="18" x14ac:dyDescent="0.25">
      <c r="AB831" s="17"/>
      <c r="AC831" s="17"/>
      <c r="AD831" s="22"/>
      <c r="AE831" s="17"/>
      <c r="AF831" s="17"/>
    </row>
    <row r="832" spans="15:32" ht="18" x14ac:dyDescent="0.25">
      <c r="AB832" s="17"/>
      <c r="AC832" s="17"/>
      <c r="AD832" s="22"/>
      <c r="AE832" s="17"/>
      <c r="AF832" s="17"/>
    </row>
    <row r="833" spans="15:32" ht="18" x14ac:dyDescent="0.25">
      <c r="AB833" s="17"/>
      <c r="AC833" s="17"/>
      <c r="AD833" s="22"/>
      <c r="AE833" s="17"/>
      <c r="AF833" s="17"/>
    </row>
    <row r="834" spans="15:32" ht="18" x14ac:dyDescent="0.25">
      <c r="AB834" s="17"/>
      <c r="AC834" s="17"/>
      <c r="AD834" s="22"/>
      <c r="AE834" s="17"/>
      <c r="AF834" s="17"/>
    </row>
    <row r="835" spans="15:32" ht="18" x14ac:dyDescent="0.25">
      <c r="AB835" s="17"/>
      <c r="AC835" s="17"/>
      <c r="AD835" s="22"/>
      <c r="AE835" s="17"/>
      <c r="AF835" s="17"/>
    </row>
    <row r="836" spans="15:32" ht="18" x14ac:dyDescent="0.25">
      <c r="AB836" s="17"/>
      <c r="AC836" s="17"/>
      <c r="AD836" s="22"/>
      <c r="AE836" s="17"/>
      <c r="AF836" s="17"/>
    </row>
    <row r="837" spans="15:32" ht="18" x14ac:dyDescent="0.25">
      <c r="AB837" s="17"/>
      <c r="AC837" s="17"/>
      <c r="AD837" s="22"/>
      <c r="AE837" s="17"/>
      <c r="AF837" s="17"/>
    </row>
    <row r="838" spans="15:32" ht="18" x14ac:dyDescent="0.25">
      <c r="AB838" s="17"/>
      <c r="AC838" s="17"/>
      <c r="AD838" s="22"/>
      <c r="AE838" s="17"/>
      <c r="AF838" s="17"/>
    </row>
    <row r="839" spans="15:32" ht="18" x14ac:dyDescent="0.25">
      <c r="AB839" s="17"/>
      <c r="AC839" s="17"/>
      <c r="AD839" s="22"/>
      <c r="AE839" s="17"/>
      <c r="AF839" s="17"/>
    </row>
    <row r="840" spans="15:32" ht="18" x14ac:dyDescent="0.25">
      <c r="AB840" s="17"/>
      <c r="AC840" s="17"/>
      <c r="AD840" s="22"/>
      <c r="AE840" s="17"/>
      <c r="AF840" s="17"/>
    </row>
    <row r="841" spans="15:32" ht="18" x14ac:dyDescent="0.25">
      <c r="AB841" s="17"/>
      <c r="AC841" s="17"/>
      <c r="AD841" s="22"/>
      <c r="AE841" s="17"/>
      <c r="AF841" s="17"/>
    </row>
    <row r="842" spans="15:32" ht="18" x14ac:dyDescent="0.25">
      <c r="AB842" s="17"/>
      <c r="AC842" s="17"/>
      <c r="AD842" s="22"/>
      <c r="AE842" s="17"/>
      <c r="AF842" s="17"/>
    </row>
    <row r="843" spans="15:32" ht="18" x14ac:dyDescent="0.25">
      <c r="AB843" s="17"/>
      <c r="AC843" s="17"/>
      <c r="AD843" s="22"/>
      <c r="AE843" s="17"/>
      <c r="AF843" s="17"/>
    </row>
    <row r="844" spans="15:32" ht="18" x14ac:dyDescent="0.25">
      <c r="AB844" s="17"/>
      <c r="AC844" s="17"/>
      <c r="AD844" s="22"/>
      <c r="AE844" s="17"/>
      <c r="AF844" s="17"/>
    </row>
    <row r="845" spans="15:32" ht="18" x14ac:dyDescent="0.25">
      <c r="AB845" s="17"/>
      <c r="AC845" s="17"/>
      <c r="AD845" s="22"/>
      <c r="AE845" s="17"/>
      <c r="AF845" s="17"/>
    </row>
    <row r="846" spans="15:32" ht="18" x14ac:dyDescent="0.25">
      <c r="O846" s="730"/>
      <c r="AB846" s="17"/>
      <c r="AC846" s="17"/>
      <c r="AD846" s="22"/>
      <c r="AE846" s="17"/>
      <c r="AF846" s="17"/>
    </row>
    <row r="847" spans="15:32" ht="18" x14ac:dyDescent="0.25">
      <c r="O847" s="730"/>
      <c r="AB847" s="17"/>
      <c r="AC847" s="17"/>
      <c r="AD847" s="22"/>
      <c r="AE847" s="17"/>
      <c r="AF847" s="17"/>
    </row>
    <row r="848" spans="15:32" ht="18" x14ac:dyDescent="0.25">
      <c r="O848" s="730"/>
      <c r="AB848" s="17"/>
      <c r="AC848" s="17"/>
      <c r="AD848" s="22"/>
      <c r="AE848" s="17"/>
      <c r="AF848" s="17"/>
    </row>
    <row r="849" spans="15:32" ht="18" x14ac:dyDescent="0.25">
      <c r="O849" s="730"/>
      <c r="AB849" s="17"/>
      <c r="AC849" s="17"/>
      <c r="AD849" s="22"/>
      <c r="AE849" s="17"/>
      <c r="AF849" s="17"/>
    </row>
    <row r="850" spans="15:32" ht="18.75" x14ac:dyDescent="0.3">
      <c r="O850" s="138"/>
      <c r="AB850" s="17"/>
      <c r="AC850" s="17"/>
      <c r="AD850" s="22"/>
      <c r="AE850" s="17"/>
      <c r="AF850" s="17"/>
    </row>
    <row r="851" spans="15:32" ht="18.75" x14ac:dyDescent="0.3">
      <c r="O851" s="138"/>
      <c r="AB851" s="17"/>
      <c r="AC851" s="17"/>
      <c r="AD851" s="22"/>
      <c r="AE851" s="17"/>
      <c r="AF851" s="17"/>
    </row>
    <row r="852" spans="15:32" ht="18.75" x14ac:dyDescent="0.3">
      <c r="O852" s="138"/>
      <c r="AB852" s="17"/>
      <c r="AC852" s="17"/>
      <c r="AD852" s="22"/>
      <c r="AE852" s="17"/>
      <c r="AF852" s="17"/>
    </row>
    <row r="853" spans="15:32" ht="18.75" x14ac:dyDescent="0.3">
      <c r="O853" s="138"/>
      <c r="AB853" s="17"/>
      <c r="AC853" s="17"/>
      <c r="AD853" s="22"/>
      <c r="AE853" s="17"/>
      <c r="AF853" s="17"/>
    </row>
    <row r="854" spans="15:32" ht="18.75" x14ac:dyDescent="0.3">
      <c r="O854" s="138"/>
      <c r="AB854" s="17"/>
      <c r="AC854" s="17"/>
      <c r="AD854" s="22"/>
      <c r="AE854" s="17"/>
      <c r="AF854" s="17"/>
    </row>
    <row r="855" spans="15:32" ht="18.75" x14ac:dyDescent="0.3">
      <c r="O855" s="138"/>
      <c r="AB855" s="17"/>
      <c r="AC855" s="17"/>
      <c r="AD855" s="22"/>
      <c r="AE855" s="17"/>
      <c r="AF855" s="17"/>
    </row>
    <row r="856" spans="15:32" ht="18.75" x14ac:dyDescent="0.3">
      <c r="O856" s="138"/>
      <c r="AB856" s="17"/>
      <c r="AC856" s="17"/>
      <c r="AD856" s="22"/>
      <c r="AE856" s="17"/>
      <c r="AF856" s="17"/>
    </row>
    <row r="857" spans="15:32" ht="18.75" x14ac:dyDescent="0.3">
      <c r="O857" s="138"/>
      <c r="AB857" s="17"/>
      <c r="AC857" s="17"/>
      <c r="AD857" s="22"/>
      <c r="AE857" s="17"/>
      <c r="AF857" s="17"/>
    </row>
    <row r="858" spans="15:32" ht="18.75" x14ac:dyDescent="0.3">
      <c r="O858" s="138"/>
      <c r="AB858" s="17"/>
      <c r="AC858" s="17"/>
      <c r="AD858" s="22"/>
      <c r="AE858" s="17"/>
      <c r="AF858" s="17"/>
    </row>
    <row r="859" spans="15:32" ht="18.75" x14ac:dyDescent="0.3">
      <c r="O859" s="1263"/>
      <c r="AB859" s="17"/>
      <c r="AC859" s="17"/>
      <c r="AD859" s="22"/>
      <c r="AE859" s="17"/>
      <c r="AF859" s="17"/>
    </row>
    <row r="860" spans="15:32" ht="18.75" x14ac:dyDescent="0.3">
      <c r="O860" s="1263"/>
      <c r="AB860" s="17"/>
      <c r="AC860" s="17"/>
      <c r="AD860" s="22"/>
      <c r="AE860" s="17"/>
      <c r="AF860" s="17"/>
    </row>
    <row r="861" spans="15:32" ht="18.75" x14ac:dyDescent="0.3">
      <c r="O861" s="1263"/>
      <c r="AB861" s="17"/>
      <c r="AC861" s="17"/>
      <c r="AD861" s="22"/>
      <c r="AE861" s="17"/>
      <c r="AF861" s="17"/>
    </row>
    <row r="862" spans="15:32" ht="18.75" x14ac:dyDescent="0.3">
      <c r="O862" s="1263"/>
      <c r="AB862" s="17"/>
      <c r="AC862" s="17"/>
      <c r="AD862" s="22"/>
      <c r="AE862" s="17"/>
      <c r="AF862" s="17"/>
    </row>
    <row r="863" spans="15:32" ht="18.75" x14ac:dyDescent="0.3">
      <c r="O863" s="1263"/>
      <c r="AB863" s="17"/>
      <c r="AC863" s="17"/>
      <c r="AD863" s="22"/>
      <c r="AE863" s="17"/>
      <c r="AF863" s="17"/>
    </row>
    <row r="864" spans="15:32" ht="18.75" x14ac:dyDescent="0.3">
      <c r="O864" s="1263"/>
      <c r="AB864" s="17"/>
      <c r="AC864" s="17"/>
      <c r="AD864" s="22"/>
      <c r="AE864" s="17"/>
      <c r="AF864" s="17"/>
    </row>
    <row r="865" spans="15:32" ht="18.75" x14ac:dyDescent="0.3">
      <c r="O865" s="1263"/>
      <c r="AB865" s="17"/>
      <c r="AC865" s="17"/>
      <c r="AD865" s="22"/>
      <c r="AE865" s="17"/>
      <c r="AF865" s="17"/>
    </row>
    <row r="866" spans="15:32" ht="18.75" x14ac:dyDescent="0.3">
      <c r="O866" s="1263"/>
      <c r="AB866" s="17"/>
      <c r="AC866" s="17"/>
      <c r="AD866" s="22"/>
      <c r="AE866" s="17"/>
      <c r="AF866" s="17"/>
    </row>
    <row r="867" spans="15:32" ht="18.75" x14ac:dyDescent="0.3">
      <c r="O867" s="1263"/>
      <c r="AB867" s="17"/>
      <c r="AC867" s="17"/>
      <c r="AD867" s="22"/>
      <c r="AE867" s="17"/>
      <c r="AF867" s="17"/>
    </row>
    <row r="868" spans="15:32" ht="18.75" x14ac:dyDescent="0.3">
      <c r="O868" s="1263"/>
      <c r="AB868" s="17"/>
      <c r="AC868" s="17"/>
      <c r="AD868" s="22"/>
      <c r="AE868" s="17"/>
      <c r="AF868" s="17"/>
    </row>
    <row r="869" spans="15:32" ht="18.75" x14ac:dyDescent="0.3">
      <c r="O869" s="1263"/>
      <c r="AB869" s="17"/>
      <c r="AC869" s="17"/>
      <c r="AD869" s="22"/>
      <c r="AE869" s="17"/>
      <c r="AF869" s="17"/>
    </row>
    <row r="870" spans="15:32" ht="18.75" x14ac:dyDescent="0.3">
      <c r="O870" s="1263"/>
      <c r="AB870" s="17"/>
      <c r="AC870" s="17"/>
      <c r="AD870" s="22"/>
      <c r="AE870" s="17"/>
      <c r="AF870" s="17"/>
    </row>
    <row r="871" spans="15:32" ht="18" x14ac:dyDescent="0.25">
      <c r="O871" s="730"/>
      <c r="AB871" s="17"/>
      <c r="AC871" s="17"/>
      <c r="AD871" s="22"/>
      <c r="AE871" s="17"/>
      <c r="AF871" s="17"/>
    </row>
    <row r="872" spans="15:32" ht="18" x14ac:dyDescent="0.25">
      <c r="O872" s="730"/>
      <c r="AB872" s="17"/>
      <c r="AC872" s="17"/>
      <c r="AD872" s="22"/>
      <c r="AE872" s="17"/>
      <c r="AF872" s="17"/>
    </row>
    <row r="873" spans="15:32" ht="18" x14ac:dyDescent="0.25">
      <c r="AB873" s="17"/>
      <c r="AC873" s="17"/>
      <c r="AD873" s="22"/>
      <c r="AE873" s="17"/>
      <c r="AF873" s="1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800000"/>
  </sheetPr>
  <dimension ref="A1:AQ677"/>
  <sheetViews>
    <sheetView showGridLines="0" topLeftCell="A2" workbookViewId="0">
      <pane xSplit="1" ySplit="4" topLeftCell="B97" activePane="bottomRight" state="frozen"/>
      <selection activeCell="A2" sqref="A2"/>
      <selection pane="topRight" activeCell="B2" sqref="B2"/>
      <selection pane="bottomLeft" activeCell="A6" sqref="A6"/>
      <selection pane="bottomRight" activeCell="A107" sqref="A107:XFD107"/>
    </sheetView>
  </sheetViews>
  <sheetFormatPr baseColWidth="10" defaultRowHeight="15.75" x14ac:dyDescent="0.25"/>
  <cols>
    <col min="1" max="1" width="10.875" style="1"/>
    <col min="2" max="4" width="10.5" style="2" customWidth="1"/>
    <col min="5" max="6" width="10.5" style="3" customWidth="1"/>
    <col min="7" max="7" width="10.5" style="4" customWidth="1"/>
    <col min="8" max="33" width="10.5" style="3" customWidth="1"/>
    <col min="34" max="42" width="11.875" style="3" customWidth="1"/>
  </cols>
  <sheetData>
    <row r="1" spans="1:43" s="10" customFormat="1" ht="32.1" hidden="1" customHeight="1" x14ac:dyDescent="0.25">
      <c r="A1" s="6" t="s">
        <v>0</v>
      </c>
      <c r="B1" s="7" t="s">
        <v>80</v>
      </c>
      <c r="C1" s="7" t="s">
        <v>81</v>
      </c>
      <c r="D1" s="7" t="s">
        <v>82</v>
      </c>
      <c r="E1" s="7" t="s">
        <v>83</v>
      </c>
      <c r="F1" s="7" t="s">
        <v>84</v>
      </c>
      <c r="G1" s="7" t="s">
        <v>85</v>
      </c>
      <c r="H1" s="7" t="s">
        <v>86</v>
      </c>
      <c r="I1" s="7" t="s">
        <v>87</v>
      </c>
      <c r="J1" s="7" t="s">
        <v>88</v>
      </c>
      <c r="K1" s="7" t="s">
        <v>89</v>
      </c>
      <c r="L1" s="7" t="s">
        <v>90</v>
      </c>
      <c r="M1" s="7" t="s">
        <v>91</v>
      </c>
      <c r="N1" s="7" t="s">
        <v>92</v>
      </c>
      <c r="O1" s="7" t="s">
        <v>93</v>
      </c>
      <c r="P1" s="7" t="s">
        <v>94</v>
      </c>
      <c r="Q1" s="7" t="s">
        <v>12</v>
      </c>
      <c r="R1" s="7" t="s">
        <v>95</v>
      </c>
      <c r="S1" s="7" t="s">
        <v>96</v>
      </c>
      <c r="T1" s="7" t="s">
        <v>97</v>
      </c>
      <c r="U1" s="7" t="s">
        <v>98</v>
      </c>
      <c r="V1" s="7" t="s">
        <v>99</v>
      </c>
      <c r="W1" s="8" t="s">
        <v>100</v>
      </c>
      <c r="X1" s="8" t="s">
        <v>101</v>
      </c>
      <c r="Y1" s="8" t="s">
        <v>102</v>
      </c>
      <c r="Z1" s="7" t="s">
        <v>103</v>
      </c>
      <c r="AA1" s="7" t="s">
        <v>104</v>
      </c>
      <c r="AB1" s="7" t="s">
        <v>105</v>
      </c>
      <c r="AC1" s="7" t="s">
        <v>106</v>
      </c>
      <c r="AD1" s="7" t="s">
        <v>107</v>
      </c>
      <c r="AE1" s="7" t="s">
        <v>108</v>
      </c>
      <c r="AF1" s="7" t="s">
        <v>109</v>
      </c>
      <c r="AG1" s="7" t="s">
        <v>110</v>
      </c>
      <c r="AH1" s="7" t="s">
        <v>111</v>
      </c>
      <c r="AI1" s="9" t="s">
        <v>29</v>
      </c>
      <c r="AJ1" s="9" t="s">
        <v>30</v>
      </c>
      <c r="AK1" s="9" t="s">
        <v>112</v>
      </c>
      <c r="AL1" s="9" t="s">
        <v>31</v>
      </c>
      <c r="AM1" s="9"/>
      <c r="AN1" s="9"/>
      <c r="AO1" s="9"/>
      <c r="AP1" s="9"/>
    </row>
    <row r="2" spans="1:43" s="11" customFormat="1" x14ac:dyDescent="0.25">
      <c r="A2" s="2100" t="s">
        <v>137</v>
      </c>
      <c r="B2" s="2100"/>
      <c r="C2" s="2100"/>
      <c r="D2" s="2100"/>
      <c r="E2" s="2100"/>
      <c r="AA2" s="12"/>
      <c r="AB2" s="12"/>
      <c r="AD2" s="13"/>
    </row>
    <row r="3" spans="1:43" s="11" customFormat="1" x14ac:dyDescent="0.25">
      <c r="A3" s="1902" t="s">
        <v>138</v>
      </c>
      <c r="AA3" s="12"/>
      <c r="AB3" s="12"/>
      <c r="AD3" s="13"/>
    </row>
    <row r="4" spans="1:43" s="663" customFormat="1" x14ac:dyDescent="0.25">
      <c r="A4" s="2099" t="s">
        <v>0</v>
      </c>
      <c r="B4" s="659" t="s">
        <v>1</v>
      </c>
      <c r="C4" s="659" t="s">
        <v>124</v>
      </c>
      <c r="D4" s="659" t="s">
        <v>2</v>
      </c>
      <c r="E4" s="660" t="s">
        <v>3</v>
      </c>
      <c r="F4" s="660" t="s">
        <v>4</v>
      </c>
      <c r="G4" s="661" t="s">
        <v>5</v>
      </c>
      <c r="H4" s="660" t="s">
        <v>6</v>
      </c>
      <c r="I4" s="660" t="s">
        <v>7</v>
      </c>
      <c r="J4" s="660" t="s">
        <v>8</v>
      </c>
      <c r="K4" s="660" t="s">
        <v>9</v>
      </c>
      <c r="L4" s="660" t="s">
        <v>10</v>
      </c>
      <c r="M4" s="660" t="s">
        <v>11</v>
      </c>
      <c r="N4" s="660" t="s">
        <v>40</v>
      </c>
      <c r="O4" s="660" t="s">
        <v>41</v>
      </c>
      <c r="P4" s="660" t="s">
        <v>125</v>
      </c>
      <c r="Q4" s="660" t="s">
        <v>12</v>
      </c>
      <c r="R4" s="660" t="s">
        <v>13</v>
      </c>
      <c r="S4" s="660" t="s">
        <v>14</v>
      </c>
      <c r="T4" s="660" t="s">
        <v>15</v>
      </c>
      <c r="U4" s="660" t="s">
        <v>16</v>
      </c>
      <c r="V4" s="660" t="s">
        <v>17</v>
      </c>
      <c r="W4" s="660" t="s">
        <v>18</v>
      </c>
      <c r="X4" s="660" t="s">
        <v>19</v>
      </c>
      <c r="Y4" s="660" t="s">
        <v>20</v>
      </c>
      <c r="Z4" s="660" t="s">
        <v>21</v>
      </c>
      <c r="AA4" s="660" t="s">
        <v>22</v>
      </c>
      <c r="AB4" s="660" t="s">
        <v>23</v>
      </c>
      <c r="AC4" s="660" t="s">
        <v>24</v>
      </c>
      <c r="AD4" s="660" t="s">
        <v>25</v>
      </c>
      <c r="AE4" s="660" t="s">
        <v>26</v>
      </c>
      <c r="AF4" s="660" t="s">
        <v>27</v>
      </c>
      <c r="AG4" s="660" t="s">
        <v>28</v>
      </c>
      <c r="AH4" s="660" t="s">
        <v>29</v>
      </c>
      <c r="AI4" s="660" t="s">
        <v>30</v>
      </c>
      <c r="AJ4" s="660" t="s">
        <v>126</v>
      </c>
      <c r="AK4" s="660" t="s">
        <v>31</v>
      </c>
      <c r="AL4" s="660" t="s">
        <v>367</v>
      </c>
      <c r="AM4" s="660" t="s">
        <v>398</v>
      </c>
      <c r="AN4" s="660" t="s">
        <v>396</v>
      </c>
      <c r="AO4" s="660" t="s">
        <v>397</v>
      </c>
      <c r="AP4" s="660" t="s">
        <v>399</v>
      </c>
      <c r="AQ4" s="662" t="s">
        <v>461</v>
      </c>
    </row>
    <row r="5" spans="1:43" s="663" customFormat="1" x14ac:dyDescent="0.25">
      <c r="A5" s="2099"/>
      <c r="B5" s="1202" t="s">
        <v>32</v>
      </c>
      <c r="C5" s="1202" t="s">
        <v>33</v>
      </c>
      <c r="D5" s="1202" t="s">
        <v>33</v>
      </c>
      <c r="E5" s="1203" t="s">
        <v>34</v>
      </c>
      <c r="F5" s="1203" t="s">
        <v>35</v>
      </c>
      <c r="G5" s="1204" t="s">
        <v>33</v>
      </c>
      <c r="H5" s="1203" t="s">
        <v>33</v>
      </c>
      <c r="I5" s="1203" t="s">
        <v>33</v>
      </c>
      <c r="J5" s="1203" t="s">
        <v>33</v>
      </c>
      <c r="K5" s="1203" t="s">
        <v>33</v>
      </c>
      <c r="L5" s="1203" t="s">
        <v>33</v>
      </c>
      <c r="M5" s="1203" t="s">
        <v>33</v>
      </c>
      <c r="N5" s="1203" t="s">
        <v>33</v>
      </c>
      <c r="O5" s="1203" t="s">
        <v>33</v>
      </c>
      <c r="P5" s="1203" t="s">
        <v>33</v>
      </c>
      <c r="Q5" s="1203" t="s">
        <v>127</v>
      </c>
      <c r="R5" s="1203" t="s">
        <v>33</v>
      </c>
      <c r="S5" s="1203" t="s">
        <v>33</v>
      </c>
      <c r="T5" s="1203" t="s">
        <v>33</v>
      </c>
      <c r="U5" s="1203" t="s">
        <v>33</v>
      </c>
      <c r="V5" s="1203" t="s">
        <v>33</v>
      </c>
      <c r="W5" s="1203" t="s">
        <v>33</v>
      </c>
      <c r="X5" s="1203" t="s">
        <v>128</v>
      </c>
      <c r="Y5" s="1203" t="s">
        <v>128</v>
      </c>
      <c r="Z5" s="1203" t="s">
        <v>128</v>
      </c>
      <c r="AA5" s="1203" t="s">
        <v>128</v>
      </c>
      <c r="AB5" s="1203" t="s">
        <v>128</v>
      </c>
      <c r="AC5" s="1203" t="s">
        <v>33</v>
      </c>
      <c r="AD5" s="1203" t="s">
        <v>128</v>
      </c>
      <c r="AE5" s="1203" t="s">
        <v>33</v>
      </c>
      <c r="AF5" s="1203" t="s">
        <v>128</v>
      </c>
      <c r="AG5" s="1203" t="s">
        <v>128</v>
      </c>
      <c r="AH5" s="1203" t="s">
        <v>33</v>
      </c>
      <c r="AI5" s="1203" t="s">
        <v>128</v>
      </c>
      <c r="AJ5" s="1203" t="s">
        <v>128</v>
      </c>
      <c r="AK5" s="1203" t="s">
        <v>128</v>
      </c>
      <c r="AL5" s="1203" t="s">
        <v>189</v>
      </c>
      <c r="AM5" s="1203"/>
      <c r="AN5" s="1203"/>
      <c r="AO5" s="1203"/>
      <c r="AP5" s="1203"/>
      <c r="AQ5" s="662" t="s">
        <v>462</v>
      </c>
    </row>
    <row r="6" spans="1:43" s="1212" customFormat="1" x14ac:dyDescent="0.25">
      <c r="A6" s="1208">
        <v>800500</v>
      </c>
      <c r="B6" s="1209">
        <v>21</v>
      </c>
      <c r="C6" s="1209"/>
      <c r="D6" s="1209"/>
      <c r="E6" s="1210">
        <v>7.95</v>
      </c>
      <c r="F6" s="1210">
        <v>0.6</v>
      </c>
      <c r="G6" s="1210">
        <v>2.94</v>
      </c>
      <c r="H6" s="1210">
        <v>0</v>
      </c>
      <c r="I6" s="1210">
        <v>0.27</v>
      </c>
      <c r="J6" s="1210">
        <v>21</v>
      </c>
      <c r="K6" s="1210">
        <v>19.329999999999998</v>
      </c>
      <c r="L6" s="1210">
        <f>(28-0.1)*24</f>
        <v>669.59999999999991</v>
      </c>
      <c r="M6" s="1210">
        <v>0</v>
      </c>
      <c r="N6" s="1210"/>
      <c r="O6" s="1210"/>
      <c r="P6" s="1210"/>
      <c r="Q6" s="1210">
        <v>0.193</v>
      </c>
      <c r="R6" s="1210">
        <v>0.01</v>
      </c>
      <c r="S6" s="1750" t="s">
        <v>120</v>
      </c>
      <c r="T6" s="1750" t="s">
        <v>120</v>
      </c>
      <c r="U6" s="1750" t="s">
        <v>120</v>
      </c>
      <c r="V6" s="1210">
        <v>0.01</v>
      </c>
      <c r="W6" s="1210"/>
      <c r="X6" s="1210"/>
      <c r="Y6" s="1210"/>
      <c r="Z6" s="1210"/>
      <c r="AA6" s="1210"/>
      <c r="AB6" s="1210"/>
      <c r="AC6" s="1210"/>
      <c r="AD6" s="1210"/>
      <c r="AE6" s="1210"/>
      <c r="AF6" s="1210"/>
      <c r="AG6" s="1210"/>
      <c r="AH6" s="1210"/>
      <c r="AI6" s="1210"/>
      <c r="AJ6" s="1210"/>
      <c r="AK6" s="1210"/>
      <c r="AL6" s="1210"/>
      <c r="AM6" s="1210"/>
      <c r="AN6" s="1210"/>
      <c r="AO6" s="1210"/>
      <c r="AP6" s="1210"/>
    </row>
    <row r="7" spans="1:43" s="1212" customFormat="1" x14ac:dyDescent="0.25">
      <c r="A7" s="1208">
        <v>800501</v>
      </c>
      <c r="B7" s="1209">
        <v>5</v>
      </c>
      <c r="C7" s="1209"/>
      <c r="D7" s="1209"/>
      <c r="E7" s="1210">
        <v>7.86</v>
      </c>
      <c r="F7" s="1210">
        <v>0.75</v>
      </c>
      <c r="G7" s="1751">
        <v>25.84</v>
      </c>
      <c r="H7" s="1210">
        <v>0</v>
      </c>
      <c r="I7" s="1210">
        <f>0.06*1.288</f>
        <v>7.7280000000000001E-2</v>
      </c>
      <c r="J7" s="1210">
        <v>232.5</v>
      </c>
      <c r="K7" s="1210">
        <v>51.97</v>
      </c>
      <c r="L7" s="1210">
        <f>(14.9-0.1)*24</f>
        <v>355.20000000000005</v>
      </c>
      <c r="M7" s="1210">
        <v>0</v>
      </c>
      <c r="N7" s="1210"/>
      <c r="O7" s="1210"/>
      <c r="P7" s="1210"/>
      <c r="Q7" s="1210">
        <v>0.2</v>
      </c>
      <c r="R7" s="1750" t="s">
        <v>120</v>
      </c>
      <c r="S7" s="1750" t="s">
        <v>120</v>
      </c>
      <c r="T7" s="1750" t="s">
        <v>120</v>
      </c>
      <c r="U7" s="1750" t="s">
        <v>120</v>
      </c>
      <c r="V7" s="1210">
        <v>7.0000000000000007E-2</v>
      </c>
      <c r="W7" s="1210"/>
      <c r="X7" s="1210"/>
      <c r="Y7" s="1210"/>
      <c r="Z7" s="1210"/>
      <c r="AA7" s="1210"/>
      <c r="AB7" s="1210"/>
      <c r="AC7" s="1210"/>
      <c r="AD7" s="1210"/>
      <c r="AE7" s="1210"/>
      <c r="AF7" s="1210"/>
      <c r="AG7" s="1210"/>
      <c r="AH7" s="1210"/>
      <c r="AI7" s="1210"/>
      <c r="AJ7" s="1210"/>
      <c r="AK7" s="1210"/>
      <c r="AL7" s="1210"/>
      <c r="AM7" s="1210"/>
      <c r="AN7" s="1210"/>
      <c r="AO7" s="1210"/>
      <c r="AP7" s="1210"/>
    </row>
    <row r="8" spans="1:43" s="1212" customFormat="1" x14ac:dyDescent="0.25">
      <c r="A8" s="1208">
        <v>800502</v>
      </c>
      <c r="B8" s="1209">
        <v>5</v>
      </c>
      <c r="C8" s="1209"/>
      <c r="D8" s="1209"/>
      <c r="E8" s="1210">
        <v>7.48</v>
      </c>
      <c r="F8" s="1210">
        <v>0.7</v>
      </c>
      <c r="G8" s="1751">
        <f>3.72*20</f>
        <v>74.400000000000006</v>
      </c>
      <c r="H8" s="1210">
        <v>0</v>
      </c>
      <c r="I8" s="1210">
        <v>0.3</v>
      </c>
      <c r="J8" s="1210">
        <v>48.24</v>
      </c>
      <c r="K8" s="1210">
        <v>28.84</v>
      </c>
      <c r="L8" s="1210">
        <f>(11.2-0.1)*24</f>
        <v>266.39999999999998</v>
      </c>
      <c r="M8" s="1210">
        <v>0</v>
      </c>
      <c r="N8" s="1210"/>
      <c r="O8" s="1210"/>
      <c r="P8" s="1210"/>
      <c r="Q8" s="1210"/>
      <c r="R8" s="1210"/>
      <c r="S8" s="1210"/>
      <c r="T8" s="1210"/>
      <c r="U8" s="1210"/>
      <c r="V8" s="1210"/>
      <c r="W8" s="1210"/>
      <c r="X8" s="1210"/>
      <c r="Y8" s="1210"/>
      <c r="Z8" s="1210"/>
      <c r="AA8" s="1210"/>
      <c r="AB8" s="1210"/>
      <c r="AC8" s="1210"/>
      <c r="AD8" s="1210"/>
      <c r="AE8" s="1210"/>
      <c r="AF8" s="1210"/>
      <c r="AG8" s="1210"/>
      <c r="AH8" s="1210"/>
      <c r="AI8" s="1210"/>
      <c r="AJ8" s="1210"/>
      <c r="AK8" s="1210"/>
      <c r="AL8" s="1210"/>
      <c r="AM8" s="1210"/>
      <c r="AN8" s="1210"/>
      <c r="AO8" s="1210"/>
      <c r="AP8" s="1210"/>
    </row>
    <row r="9" spans="1:43" s="1212" customFormat="1" ht="14.1" customHeight="1" x14ac:dyDescent="0.25">
      <c r="A9" s="1208">
        <v>801503</v>
      </c>
      <c r="B9" s="1209">
        <v>5</v>
      </c>
      <c r="C9" s="1209"/>
      <c r="D9" s="1209"/>
      <c r="E9" s="1210">
        <v>7.9</v>
      </c>
      <c r="F9" s="1210">
        <v>1.48</v>
      </c>
      <c r="G9" s="1210">
        <v>6.92</v>
      </c>
      <c r="H9" s="1210">
        <v>0</v>
      </c>
      <c r="I9" s="1210">
        <v>0.54</v>
      </c>
      <c r="J9" s="1210">
        <v>200.4</v>
      </c>
      <c r="K9" s="1210">
        <f>16.62*10</f>
        <v>166.20000000000002</v>
      </c>
      <c r="L9" s="1210">
        <f>(23-0.1)*24</f>
        <v>549.59999999999991</v>
      </c>
      <c r="M9" s="1210">
        <v>0</v>
      </c>
      <c r="N9" s="1210"/>
      <c r="O9" s="1210"/>
      <c r="P9" s="1210"/>
      <c r="Q9" s="1210">
        <v>0.23599999999999999</v>
      </c>
      <c r="R9" s="1210">
        <v>0.03</v>
      </c>
      <c r="S9" s="1210" t="s">
        <v>120</v>
      </c>
      <c r="T9" s="1210" t="s">
        <v>120</v>
      </c>
      <c r="U9" s="1210" t="s">
        <v>120</v>
      </c>
      <c r="V9" s="1210"/>
      <c r="W9" s="1210"/>
      <c r="X9" s="1210"/>
      <c r="Y9" s="1210"/>
      <c r="Z9" s="1210"/>
      <c r="AA9" s="1210"/>
      <c r="AB9" s="1210"/>
      <c r="AC9" s="1210"/>
      <c r="AD9" s="1210"/>
      <c r="AE9" s="1210"/>
      <c r="AF9" s="1210"/>
      <c r="AG9" s="1210"/>
      <c r="AH9" s="1210"/>
      <c r="AI9" s="1210"/>
      <c r="AJ9" s="1210"/>
      <c r="AK9" s="1210"/>
      <c r="AL9" s="1210"/>
      <c r="AM9" s="1210"/>
      <c r="AN9" s="1210"/>
      <c r="AO9" s="1210"/>
      <c r="AP9" s="1210"/>
    </row>
    <row r="10" spans="1:43" s="1212" customFormat="1" x14ac:dyDescent="0.25">
      <c r="A10" s="1208">
        <v>801504</v>
      </c>
      <c r="B10" s="1209">
        <v>5</v>
      </c>
      <c r="C10" s="1209"/>
      <c r="D10" s="1209"/>
      <c r="E10" s="1210">
        <v>7.57</v>
      </c>
      <c r="F10" s="1210">
        <v>2.4</v>
      </c>
      <c r="G10" s="1210">
        <v>10.63</v>
      </c>
      <c r="H10" s="1210">
        <v>0</v>
      </c>
      <c r="I10" s="1210" t="s">
        <v>129</v>
      </c>
      <c r="J10" s="1210">
        <f>25.43*10</f>
        <v>254.3</v>
      </c>
      <c r="K10" s="1210">
        <f>43.29*10</f>
        <v>432.9</v>
      </c>
      <c r="L10" s="1210">
        <f>(27-0.1)*24</f>
        <v>645.59999999999991</v>
      </c>
      <c r="M10" s="1210">
        <v>0</v>
      </c>
      <c r="N10" s="1210"/>
      <c r="O10" s="1210"/>
      <c r="P10" s="1210"/>
      <c r="Q10" s="1210">
        <v>0.14799999999999999</v>
      </c>
      <c r="R10" s="1210">
        <v>0.01</v>
      </c>
      <c r="S10" s="1210" t="s">
        <v>120</v>
      </c>
      <c r="T10" s="1210" t="s">
        <v>120</v>
      </c>
      <c r="U10" s="1210" t="s">
        <v>120</v>
      </c>
      <c r="V10" s="1210"/>
      <c r="W10" s="1210"/>
      <c r="X10" s="1210"/>
      <c r="Y10" s="1210"/>
      <c r="Z10" s="1210"/>
      <c r="AA10" s="1210"/>
      <c r="AB10" s="1210"/>
      <c r="AC10" s="1210"/>
      <c r="AD10" s="1210"/>
      <c r="AE10" s="1210"/>
      <c r="AF10" s="1210"/>
      <c r="AG10" s="1210"/>
      <c r="AH10" s="1210"/>
      <c r="AI10" s="1210"/>
      <c r="AJ10" s="1210"/>
      <c r="AK10" s="1210"/>
      <c r="AL10" s="1210"/>
      <c r="AM10" s="1210"/>
      <c r="AN10" s="1210"/>
      <c r="AO10" s="1210"/>
      <c r="AP10" s="1210"/>
    </row>
    <row r="11" spans="1:43" s="1212" customFormat="1" x14ac:dyDescent="0.25">
      <c r="A11" s="1208">
        <v>801505</v>
      </c>
      <c r="B11" s="1209">
        <v>4.5999999999999996</v>
      </c>
      <c r="C11" s="1209"/>
      <c r="D11" s="1209"/>
      <c r="E11" s="1210">
        <v>8.1300000000000008</v>
      </c>
      <c r="F11" s="1210">
        <v>0.73</v>
      </c>
      <c r="G11" s="1210">
        <v>9.1</v>
      </c>
      <c r="H11" s="1210">
        <v>0</v>
      </c>
      <c r="I11" s="1210">
        <v>1.62</v>
      </c>
      <c r="J11" s="1210">
        <v>55.59</v>
      </c>
      <c r="K11" s="1210">
        <v>31.4</v>
      </c>
      <c r="L11" s="1210">
        <f>(7-0.1)*24</f>
        <v>165.60000000000002</v>
      </c>
      <c r="M11" s="1210">
        <v>0</v>
      </c>
      <c r="N11" s="1210"/>
      <c r="O11" s="1210"/>
      <c r="P11" s="1210"/>
      <c r="Q11" s="1210">
        <v>0.21199999999999999</v>
      </c>
      <c r="R11" s="1210">
        <v>0.11</v>
      </c>
      <c r="S11" s="1210">
        <v>0.01</v>
      </c>
      <c r="T11" s="1210">
        <v>1E-3</v>
      </c>
      <c r="U11" s="1210">
        <v>1E-3</v>
      </c>
      <c r="V11" s="1210">
        <v>0.02</v>
      </c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</row>
    <row r="12" spans="1:43" s="1212" customFormat="1" x14ac:dyDescent="0.25">
      <c r="A12" s="1208">
        <v>801506</v>
      </c>
      <c r="B12" s="1209">
        <v>5</v>
      </c>
      <c r="C12" s="1209"/>
      <c r="D12" s="1209"/>
      <c r="E12" s="1210">
        <v>7.51</v>
      </c>
      <c r="F12" s="1210">
        <v>0.81</v>
      </c>
      <c r="G12" s="1210">
        <v>4.45</v>
      </c>
      <c r="H12" s="1210">
        <v>0</v>
      </c>
      <c r="I12" s="1210">
        <v>0.03</v>
      </c>
      <c r="J12" s="1210">
        <v>67.069999999999993</v>
      </c>
      <c r="K12" s="1210">
        <v>30.26</v>
      </c>
      <c r="L12" s="1210">
        <f>(6.9-0.1)*24</f>
        <v>163.20000000000002</v>
      </c>
      <c r="M12" s="1210"/>
      <c r="N12" s="1210">
        <f>+L12/12.2</f>
        <v>13.377049180327871</v>
      </c>
      <c r="O12" s="1210"/>
      <c r="P12" s="1210">
        <v>1.3</v>
      </c>
      <c r="Q12" s="1210">
        <v>0.189</v>
      </c>
      <c r="R12" s="1210">
        <v>0.15</v>
      </c>
      <c r="S12" s="1210">
        <v>0.01</v>
      </c>
      <c r="T12" s="1210">
        <v>1E-3</v>
      </c>
      <c r="U12" s="1210">
        <v>0.01</v>
      </c>
      <c r="V12" s="1210">
        <v>0.02</v>
      </c>
      <c r="W12" s="1210"/>
      <c r="X12" s="1210"/>
      <c r="Y12" s="1210"/>
      <c r="Z12" s="1210"/>
      <c r="AA12" s="1210"/>
      <c r="AB12" s="1210"/>
      <c r="AC12" s="1210"/>
      <c r="AD12" s="1210"/>
      <c r="AE12" s="1210"/>
      <c r="AF12" s="1210"/>
      <c r="AG12" s="1210"/>
      <c r="AH12" s="1210"/>
      <c r="AI12" s="1210"/>
      <c r="AJ12" s="1210"/>
      <c r="AK12" s="1210"/>
      <c r="AL12" s="1210"/>
      <c r="AM12" s="1210"/>
      <c r="AN12" s="1210"/>
      <c r="AO12" s="1210"/>
      <c r="AP12" s="1210"/>
    </row>
    <row r="13" spans="1:43" s="1212" customFormat="1" x14ac:dyDescent="0.25">
      <c r="A13" s="1208">
        <v>800176</v>
      </c>
      <c r="B13" s="1209"/>
      <c r="C13" s="1209"/>
      <c r="D13" s="1209"/>
      <c r="E13" s="1210"/>
      <c r="F13" s="1210"/>
      <c r="G13" s="1210"/>
      <c r="H13" s="1210"/>
      <c r="I13" s="1210"/>
      <c r="J13" s="1210">
        <v>64.8</v>
      </c>
      <c r="K13" s="1210"/>
      <c r="L13" s="1210">
        <f>(13.7-0.1)*24</f>
        <v>326.39999999999998</v>
      </c>
      <c r="M13" s="1210"/>
      <c r="N13" s="1210"/>
      <c r="O13" s="1210"/>
      <c r="P13" s="1210"/>
      <c r="Q13" s="1210"/>
      <c r="R13" s="1210"/>
      <c r="S13" s="1210"/>
      <c r="T13" s="1210">
        <v>1E-3</v>
      </c>
      <c r="U13" s="1210">
        <v>0.04</v>
      </c>
      <c r="V13" s="1210"/>
      <c r="W13" s="1210"/>
      <c r="X13" s="1210"/>
      <c r="Y13" s="1210"/>
      <c r="Z13" s="1210"/>
      <c r="AA13" s="1210"/>
      <c r="AB13" s="1210"/>
      <c r="AC13" s="1210"/>
      <c r="AD13" s="1210"/>
      <c r="AE13" s="1210"/>
      <c r="AF13" s="1210"/>
      <c r="AG13" s="1210"/>
      <c r="AH13" s="1210"/>
      <c r="AI13" s="1210"/>
      <c r="AJ13" s="1210"/>
      <c r="AK13" s="1210"/>
      <c r="AL13" s="1210"/>
      <c r="AM13" s="1210"/>
      <c r="AN13" s="1210"/>
      <c r="AO13" s="1210"/>
      <c r="AP13" s="1210"/>
    </row>
    <row r="14" spans="1:43" s="1212" customFormat="1" x14ac:dyDescent="0.25">
      <c r="A14" s="1208">
        <v>800177</v>
      </c>
      <c r="B14" s="1209"/>
      <c r="C14" s="1209"/>
      <c r="D14" s="1209"/>
      <c r="E14" s="1210"/>
      <c r="F14" s="1210"/>
      <c r="G14" s="1210"/>
      <c r="H14" s="1210"/>
      <c r="I14" s="1210"/>
      <c r="J14" s="1210">
        <v>71.44</v>
      </c>
      <c r="K14" s="1210"/>
      <c r="L14" s="1210">
        <f>(12.8-0.1)*24</f>
        <v>304.8</v>
      </c>
      <c r="M14" s="1210"/>
      <c r="N14" s="1210"/>
      <c r="O14" s="1210"/>
      <c r="P14" s="1210"/>
      <c r="Q14" s="1210"/>
      <c r="R14" s="1210"/>
      <c r="S14" s="1210"/>
      <c r="T14" s="1210">
        <v>0.03</v>
      </c>
      <c r="U14" s="1210">
        <v>0.09</v>
      </c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0"/>
      <c r="AF14" s="1210"/>
      <c r="AG14" s="1210"/>
      <c r="AH14" s="1210"/>
      <c r="AI14" s="1210"/>
      <c r="AJ14" s="1210"/>
      <c r="AK14" s="1210"/>
      <c r="AL14" s="1210"/>
      <c r="AM14" s="1210"/>
      <c r="AN14" s="1210"/>
      <c r="AO14" s="1210"/>
      <c r="AP14" s="1210"/>
    </row>
    <row r="15" spans="1:43" s="1212" customFormat="1" x14ac:dyDescent="0.25">
      <c r="A15" s="1208">
        <v>800178</v>
      </c>
      <c r="B15" s="1209"/>
      <c r="C15" s="1209"/>
      <c r="D15" s="1209"/>
      <c r="E15" s="1210"/>
      <c r="F15" s="1210"/>
      <c r="G15" s="1210"/>
      <c r="H15" s="1210"/>
      <c r="I15" s="1210"/>
      <c r="J15" s="1210">
        <v>56.11</v>
      </c>
      <c r="K15" s="1210"/>
      <c r="L15" s="1210">
        <f>(13.7-0.1)*24</f>
        <v>326.39999999999998</v>
      </c>
      <c r="M15" s="1210"/>
      <c r="N15" s="1210"/>
      <c r="O15" s="1210"/>
      <c r="P15" s="1210"/>
      <c r="Q15" s="1210"/>
      <c r="R15" s="1210"/>
      <c r="S15" s="1210"/>
      <c r="T15" s="1210">
        <v>1E-3</v>
      </c>
      <c r="U15" s="1210">
        <v>0.05</v>
      </c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0"/>
      <c r="AF15" s="1210"/>
      <c r="AG15" s="1210"/>
      <c r="AH15" s="1210"/>
      <c r="AI15" s="1210"/>
      <c r="AJ15" s="1210"/>
      <c r="AK15" s="1210"/>
      <c r="AL15" s="1210"/>
      <c r="AM15" s="1210"/>
      <c r="AN15" s="1210"/>
      <c r="AO15" s="1210"/>
      <c r="AP15" s="1210"/>
    </row>
    <row r="16" spans="1:43" s="1212" customFormat="1" x14ac:dyDescent="0.25">
      <c r="A16" s="1208">
        <v>801508</v>
      </c>
      <c r="B16" s="1209">
        <v>11</v>
      </c>
      <c r="C16" s="1209"/>
      <c r="D16" s="1209"/>
      <c r="E16" s="1210">
        <v>8.23</v>
      </c>
      <c r="F16" s="1210">
        <v>0.41</v>
      </c>
      <c r="G16" s="1210">
        <v>2.2000000000000002</v>
      </c>
      <c r="H16" s="1210">
        <v>0.11</v>
      </c>
      <c r="I16" s="1210">
        <v>2.35</v>
      </c>
      <c r="J16" s="1210">
        <v>64.61</v>
      </c>
      <c r="K16" s="1210">
        <v>1.06</v>
      </c>
      <c r="L16" s="1210">
        <v>196.8</v>
      </c>
      <c r="M16" s="1210">
        <v>0</v>
      </c>
      <c r="N16" s="1210">
        <v>29.27</v>
      </c>
      <c r="O16" s="1210">
        <v>7.33</v>
      </c>
      <c r="P16" s="1210">
        <v>1.28</v>
      </c>
      <c r="Q16" s="1210">
        <v>0.24</v>
      </c>
      <c r="R16" s="1210">
        <v>0.2</v>
      </c>
      <c r="S16" s="1210">
        <v>0.01</v>
      </c>
      <c r="T16" s="1210">
        <v>0.02</v>
      </c>
      <c r="U16" s="1210">
        <v>0.09</v>
      </c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0"/>
      <c r="AF16" s="1210"/>
      <c r="AG16" s="1210"/>
      <c r="AH16" s="1210"/>
      <c r="AI16" s="1210"/>
      <c r="AJ16" s="1210"/>
      <c r="AK16" s="1210"/>
      <c r="AL16" s="1210"/>
      <c r="AM16" s="1210"/>
      <c r="AN16" s="1210"/>
      <c r="AO16" s="1210"/>
      <c r="AP16" s="1210"/>
    </row>
    <row r="17" spans="1:42" s="1212" customFormat="1" x14ac:dyDescent="0.25">
      <c r="A17" s="1208">
        <v>801509</v>
      </c>
      <c r="B17" s="1209">
        <v>11</v>
      </c>
      <c r="C17" s="1209"/>
      <c r="D17" s="1209"/>
      <c r="E17" s="1210">
        <v>8.01</v>
      </c>
      <c r="F17" s="1210">
        <v>0.68</v>
      </c>
      <c r="G17" s="1210">
        <v>41.2</v>
      </c>
      <c r="H17" s="1210">
        <v>0.11</v>
      </c>
      <c r="I17" s="1210">
        <v>0.42</v>
      </c>
      <c r="J17" s="1210">
        <v>60.32</v>
      </c>
      <c r="K17" s="1210">
        <v>20.43</v>
      </c>
      <c r="L17" s="1210">
        <v>307.2</v>
      </c>
      <c r="M17" s="1210">
        <v>0</v>
      </c>
      <c r="N17" s="1210">
        <v>0.91</v>
      </c>
      <c r="O17" s="1210">
        <v>3.43</v>
      </c>
      <c r="P17" s="1210">
        <v>1.68</v>
      </c>
      <c r="Q17" s="1210">
        <v>0.23400000000000001</v>
      </c>
      <c r="R17" s="1210">
        <v>0.1</v>
      </c>
      <c r="S17" s="1210">
        <v>0.01</v>
      </c>
      <c r="T17" s="1210">
        <v>0.01</v>
      </c>
      <c r="U17" s="1210">
        <v>0.05</v>
      </c>
      <c r="V17" s="1210"/>
      <c r="W17" s="1210"/>
      <c r="X17" s="1210"/>
      <c r="Y17" s="1210"/>
      <c r="Z17" s="1210"/>
      <c r="AA17" s="1210"/>
      <c r="AB17" s="1210"/>
      <c r="AC17" s="1210"/>
      <c r="AD17" s="1210"/>
      <c r="AE17" s="1210"/>
      <c r="AF17" s="1210"/>
      <c r="AG17" s="1210"/>
      <c r="AH17" s="1210"/>
      <c r="AI17" s="1210"/>
      <c r="AJ17" s="1210"/>
      <c r="AK17" s="1210"/>
      <c r="AL17" s="1210"/>
      <c r="AM17" s="1210"/>
      <c r="AN17" s="1210"/>
      <c r="AO17" s="1210"/>
      <c r="AP17" s="1210"/>
    </row>
    <row r="18" spans="1:42" s="1212" customFormat="1" x14ac:dyDescent="0.25">
      <c r="A18" s="1208">
        <v>801510</v>
      </c>
      <c r="B18" s="1209">
        <v>11</v>
      </c>
      <c r="C18" s="1209"/>
      <c r="D18" s="1209"/>
      <c r="E18" s="1210">
        <v>8.09</v>
      </c>
      <c r="F18" s="1210">
        <v>0.7</v>
      </c>
      <c r="G18" s="1210">
        <v>41.1</v>
      </c>
      <c r="H18" s="1210">
        <v>0.11</v>
      </c>
      <c r="I18" s="1210">
        <v>0.35</v>
      </c>
      <c r="J18" s="1210">
        <v>55.41</v>
      </c>
      <c r="K18" s="1210">
        <v>19.34</v>
      </c>
      <c r="L18" s="1210">
        <v>314.39999999999998</v>
      </c>
      <c r="M18" s="1210">
        <v>0</v>
      </c>
      <c r="N18" s="1210">
        <v>0.8</v>
      </c>
      <c r="O18" s="1210">
        <v>6.54</v>
      </c>
      <c r="P18" s="1210">
        <v>1.98</v>
      </c>
      <c r="Q18" s="1210">
        <v>0.24099999999999999</v>
      </c>
      <c r="R18" s="1210">
        <v>0.14000000000000001</v>
      </c>
      <c r="S18" s="1210">
        <v>0.01</v>
      </c>
      <c r="T18" s="1210">
        <v>0.01</v>
      </c>
      <c r="U18" s="1210">
        <v>0.03</v>
      </c>
      <c r="V18" s="1210"/>
      <c r="W18" s="1210"/>
      <c r="X18" s="1210"/>
      <c r="Y18" s="1210"/>
      <c r="Z18" s="1210"/>
      <c r="AA18" s="1210"/>
      <c r="AB18" s="1210"/>
      <c r="AC18" s="1210"/>
      <c r="AD18" s="1210"/>
      <c r="AE18" s="1210"/>
      <c r="AF18" s="1210"/>
      <c r="AG18" s="1210"/>
      <c r="AH18" s="1210"/>
      <c r="AI18" s="1210"/>
      <c r="AJ18" s="1210"/>
      <c r="AK18" s="1210"/>
      <c r="AL18" s="1210"/>
      <c r="AM18" s="1210"/>
      <c r="AN18" s="1210"/>
      <c r="AO18" s="1210"/>
      <c r="AP18" s="1210"/>
    </row>
    <row r="19" spans="1:42" s="1212" customFormat="1" x14ac:dyDescent="0.25">
      <c r="A19" s="1208">
        <v>801511</v>
      </c>
      <c r="B19" s="1209"/>
      <c r="C19" s="1209"/>
      <c r="D19" s="1209"/>
      <c r="E19" s="1210">
        <v>7.6</v>
      </c>
      <c r="F19" s="1210">
        <v>0.60799999999999998</v>
      </c>
      <c r="G19" s="1210">
        <v>15.24</v>
      </c>
      <c r="H19" s="1210">
        <v>0.1</v>
      </c>
      <c r="I19" s="1210">
        <v>0.24</v>
      </c>
      <c r="J19" s="1210">
        <v>36.89</v>
      </c>
      <c r="K19" s="1210">
        <v>70</v>
      </c>
      <c r="L19" s="1210">
        <f>(12.7-0.1)*24</f>
        <v>302.39999999999998</v>
      </c>
      <c r="M19" s="1210">
        <v>0</v>
      </c>
      <c r="N19" s="1750">
        <v>33.979999999999997</v>
      </c>
      <c r="O19" s="1750">
        <v>62.44</v>
      </c>
      <c r="P19" s="1210">
        <f ca="1">RANDBETWEEN(100,130)/100</f>
        <v>1.21</v>
      </c>
      <c r="Q19" s="1210">
        <v>0.39700000000000002</v>
      </c>
      <c r="R19" s="1210">
        <v>1E-4</v>
      </c>
      <c r="S19" s="1210">
        <v>1E-4</v>
      </c>
      <c r="T19" s="1210">
        <v>1E-4</v>
      </c>
      <c r="U19" s="1210">
        <v>1E-4</v>
      </c>
      <c r="V19" s="1210">
        <v>0.04</v>
      </c>
      <c r="W19" s="1210"/>
      <c r="X19" s="1210"/>
      <c r="Y19" s="1210"/>
      <c r="Z19" s="1210"/>
      <c r="AA19" s="1210"/>
      <c r="AB19" s="1210"/>
      <c r="AC19" s="1210"/>
      <c r="AD19" s="1210"/>
      <c r="AE19" s="1210"/>
      <c r="AF19" s="1210"/>
      <c r="AG19" s="1210"/>
      <c r="AH19" s="1210"/>
      <c r="AI19" s="1210"/>
      <c r="AJ19" s="1210"/>
      <c r="AK19" s="1210"/>
      <c r="AL19" s="1210"/>
      <c r="AM19" s="1210"/>
      <c r="AN19" s="1210"/>
      <c r="AO19" s="1210"/>
      <c r="AP19" s="1210"/>
    </row>
    <row r="20" spans="1:42" s="1212" customFormat="1" x14ac:dyDescent="0.25">
      <c r="A20" s="1208">
        <v>801512</v>
      </c>
      <c r="B20" s="1209"/>
      <c r="C20" s="1209"/>
      <c r="D20" s="1209"/>
      <c r="E20" s="1210">
        <v>7.72</v>
      </c>
      <c r="F20" s="1210">
        <v>0.59</v>
      </c>
      <c r="G20" s="1210">
        <v>15.51</v>
      </c>
      <c r="H20" s="1210">
        <v>0.1</v>
      </c>
      <c r="I20" s="1210">
        <v>0.22</v>
      </c>
      <c r="J20" s="1210">
        <v>38.58</v>
      </c>
      <c r="K20" s="1210">
        <v>66</v>
      </c>
      <c r="L20" s="1210">
        <f>(12.8-0.1)*24</f>
        <v>304.8</v>
      </c>
      <c r="M20" s="1210">
        <v>0</v>
      </c>
      <c r="N20" s="1210">
        <v>35.880000000000003</v>
      </c>
      <c r="O20" s="1210">
        <v>56.76</v>
      </c>
      <c r="P20" s="1210">
        <f ca="1">RANDBETWEEN(100,130)/100</f>
        <v>1.2</v>
      </c>
      <c r="Q20" s="1210">
        <v>2.94</v>
      </c>
      <c r="R20" s="1210">
        <v>7.0000000000000007E-2</v>
      </c>
      <c r="S20" s="1210">
        <v>1E-4</v>
      </c>
      <c r="T20" s="1210">
        <v>1E-4</v>
      </c>
      <c r="U20" s="1210">
        <v>1E-4</v>
      </c>
      <c r="V20" s="1210">
        <v>0.03</v>
      </c>
      <c r="W20" s="1210"/>
      <c r="X20" s="1210"/>
      <c r="Y20" s="1210"/>
      <c r="Z20" s="1210"/>
      <c r="AA20" s="1210"/>
      <c r="AB20" s="1210"/>
      <c r="AC20" s="1210"/>
      <c r="AD20" s="1210"/>
      <c r="AE20" s="1210"/>
      <c r="AF20" s="1210"/>
      <c r="AG20" s="1210"/>
      <c r="AH20" s="1210"/>
      <c r="AI20" s="1210"/>
      <c r="AJ20" s="1210"/>
      <c r="AK20" s="1210"/>
      <c r="AL20" s="1210"/>
      <c r="AM20" s="1210"/>
      <c r="AN20" s="1210"/>
      <c r="AO20" s="1210"/>
      <c r="AP20" s="1210"/>
    </row>
    <row r="21" spans="1:42" s="1212" customFormat="1" x14ac:dyDescent="0.25">
      <c r="A21" s="1208">
        <v>801513</v>
      </c>
      <c r="B21" s="1209"/>
      <c r="C21" s="1209"/>
      <c r="D21" s="1209"/>
      <c r="E21" s="1210">
        <v>7.17</v>
      </c>
      <c r="F21" s="1210">
        <v>1.72</v>
      </c>
      <c r="G21" s="1210">
        <v>27.1</v>
      </c>
      <c r="H21" s="1210">
        <v>0.1</v>
      </c>
      <c r="I21" s="1210">
        <v>0.23</v>
      </c>
      <c r="J21" s="1210">
        <v>382.8</v>
      </c>
      <c r="K21" s="1210">
        <f>30.8*5</f>
        <v>154</v>
      </c>
      <c r="L21" s="1210">
        <f>(12.4-0.1)*24</f>
        <v>295.20000000000005</v>
      </c>
      <c r="M21" s="1210">
        <v>0</v>
      </c>
      <c r="N21" s="1210">
        <v>33.47</v>
      </c>
      <c r="O21" s="1210">
        <v>148.38</v>
      </c>
      <c r="P21" s="1210">
        <f ca="1">RANDBETWEEN(100,130)/100</f>
        <v>1.3</v>
      </c>
      <c r="Q21" s="1210">
        <v>4.05</v>
      </c>
      <c r="R21" s="1210">
        <v>1E-4</v>
      </c>
      <c r="S21" s="1210">
        <v>1E-4</v>
      </c>
      <c r="T21" s="1210">
        <v>1E-4</v>
      </c>
      <c r="U21" s="1210">
        <v>0.02</v>
      </c>
      <c r="V21" s="1210">
        <v>0.11</v>
      </c>
      <c r="W21" s="1210"/>
      <c r="X21" s="1210"/>
      <c r="Y21" s="1210"/>
      <c r="Z21" s="1210"/>
      <c r="AA21" s="1210"/>
      <c r="AB21" s="1210"/>
      <c r="AC21" s="1210"/>
      <c r="AD21" s="1210"/>
      <c r="AE21" s="1210"/>
      <c r="AF21" s="1210"/>
      <c r="AG21" s="1210"/>
      <c r="AH21" s="1210"/>
      <c r="AI21" s="1210"/>
      <c r="AJ21" s="1210"/>
      <c r="AK21" s="1210"/>
      <c r="AL21" s="1210"/>
      <c r="AM21" s="1210"/>
      <c r="AN21" s="1210"/>
      <c r="AO21" s="1210"/>
      <c r="AP21" s="1210"/>
    </row>
    <row r="22" spans="1:42" s="1212" customFormat="1" x14ac:dyDescent="0.25">
      <c r="A22" s="1208">
        <v>801514</v>
      </c>
      <c r="B22" s="1209"/>
      <c r="C22" s="1209"/>
      <c r="D22" s="1209"/>
      <c r="E22" s="1210">
        <v>6.91</v>
      </c>
      <c r="F22" s="1210">
        <v>1.36</v>
      </c>
      <c r="G22" s="1210">
        <v>44.1</v>
      </c>
      <c r="H22" s="1210">
        <v>0.1</v>
      </c>
      <c r="I22" s="1210">
        <v>0.23</v>
      </c>
      <c r="J22" s="1210">
        <v>185.63</v>
      </c>
      <c r="K22" s="1210">
        <v>72</v>
      </c>
      <c r="L22" s="1210">
        <f>(13.2-0.1)*24</f>
        <v>314.39999999999998</v>
      </c>
      <c r="M22" s="1210">
        <v>0</v>
      </c>
      <c r="N22" s="1210">
        <v>53.17</v>
      </c>
      <c r="O22" s="1210">
        <v>376.52</v>
      </c>
      <c r="P22" s="1210">
        <f ca="1">RANDBETWEEN(100,130)/100</f>
        <v>1.17</v>
      </c>
      <c r="Q22" s="1210">
        <v>0.89200000000000002</v>
      </c>
      <c r="R22" s="1210">
        <v>1E-4</v>
      </c>
      <c r="S22" s="1210">
        <v>1E-4</v>
      </c>
      <c r="T22" s="1210">
        <v>1E-4</v>
      </c>
      <c r="U22" s="1210">
        <v>1E-4</v>
      </c>
      <c r="V22" s="1210">
        <v>0.08</v>
      </c>
      <c r="W22" s="1210"/>
      <c r="X22" s="1210"/>
      <c r="Y22" s="1210"/>
      <c r="Z22" s="1210"/>
      <c r="AA22" s="1210"/>
      <c r="AB22" s="1210"/>
      <c r="AC22" s="1210"/>
      <c r="AD22" s="1210"/>
      <c r="AE22" s="1210"/>
      <c r="AF22" s="1210"/>
      <c r="AG22" s="1210"/>
      <c r="AH22" s="1210"/>
      <c r="AI22" s="1210"/>
      <c r="AJ22" s="1210"/>
      <c r="AK22" s="1210"/>
      <c r="AL22" s="1210"/>
      <c r="AM22" s="1210"/>
      <c r="AN22" s="1210"/>
      <c r="AO22" s="1210"/>
      <c r="AP22" s="1210"/>
    </row>
    <row r="23" spans="1:42" s="1212" customFormat="1" x14ac:dyDescent="0.25">
      <c r="A23" s="1208">
        <v>801515</v>
      </c>
      <c r="B23" s="1209"/>
      <c r="C23" s="1209"/>
      <c r="D23" s="1209"/>
      <c r="E23" s="1210">
        <v>7.4</v>
      </c>
      <c r="F23" s="1210">
        <v>1.25</v>
      </c>
      <c r="G23" s="1210">
        <v>68.61</v>
      </c>
      <c r="H23" s="1210">
        <v>0</v>
      </c>
      <c r="I23" s="1210">
        <v>0.02</v>
      </c>
      <c r="J23" s="1210">
        <v>179.17</v>
      </c>
      <c r="K23" s="1210">
        <v>59.4</v>
      </c>
      <c r="L23" s="1210">
        <v>345.6</v>
      </c>
      <c r="M23" s="1210">
        <v>0</v>
      </c>
      <c r="N23" s="1210">
        <v>83.54</v>
      </c>
      <c r="O23" s="1210">
        <v>53</v>
      </c>
      <c r="P23" s="1210">
        <v>0.98</v>
      </c>
      <c r="Q23" s="1210">
        <v>0.55100000000000005</v>
      </c>
      <c r="R23" s="1210">
        <v>0.08</v>
      </c>
      <c r="S23" s="1210">
        <v>1E-4</v>
      </c>
      <c r="T23" s="1210">
        <v>1E-4</v>
      </c>
      <c r="U23" s="1210">
        <v>1E-4</v>
      </c>
      <c r="V23" s="1210">
        <v>0.08</v>
      </c>
      <c r="W23" s="1210">
        <v>53.54</v>
      </c>
      <c r="X23" s="1210">
        <v>83.01</v>
      </c>
      <c r="Y23" s="1210"/>
      <c r="Z23" s="1210"/>
      <c r="AA23" s="1210"/>
      <c r="AB23" s="1210"/>
      <c r="AC23" s="1210"/>
      <c r="AD23" s="1210"/>
      <c r="AE23" s="1210"/>
      <c r="AF23" s="1210"/>
      <c r="AG23" s="1210"/>
      <c r="AH23" s="1210"/>
      <c r="AI23" s="1210"/>
      <c r="AJ23" s="1210"/>
      <c r="AK23" s="1210"/>
      <c r="AL23" s="1210"/>
      <c r="AM23" s="1210"/>
      <c r="AN23" s="1210"/>
      <c r="AO23" s="1210"/>
      <c r="AP23" s="1210"/>
    </row>
    <row r="24" spans="1:42" s="1212" customFormat="1" x14ac:dyDescent="0.25">
      <c r="A24" s="1208">
        <v>801516</v>
      </c>
      <c r="B24" s="1209"/>
      <c r="C24" s="1209"/>
      <c r="D24" s="1209"/>
      <c r="E24" s="1210">
        <v>7.36</v>
      </c>
      <c r="F24" s="1210">
        <v>1.06</v>
      </c>
      <c r="G24" s="1210">
        <v>11.8</v>
      </c>
      <c r="H24" s="1210">
        <v>0</v>
      </c>
      <c r="I24" s="1210">
        <v>0.04</v>
      </c>
      <c r="J24" s="1210">
        <v>227.74</v>
      </c>
      <c r="K24" s="1210">
        <v>18.7</v>
      </c>
      <c r="L24" s="1210">
        <v>318.60000000000002</v>
      </c>
      <c r="M24" s="1210">
        <v>0</v>
      </c>
      <c r="N24" s="1210">
        <v>49.89</v>
      </c>
      <c r="O24" s="1210">
        <v>27.86</v>
      </c>
      <c r="P24" s="1210">
        <v>1.22</v>
      </c>
      <c r="Q24" s="1210"/>
      <c r="R24" s="1210">
        <v>1.0000000000000001E-5</v>
      </c>
      <c r="S24" s="1210">
        <v>1.0000000000000001E-5</v>
      </c>
      <c r="T24" s="1210">
        <v>0.44</v>
      </c>
      <c r="U24" s="1210">
        <v>0.3</v>
      </c>
      <c r="V24" s="1210"/>
      <c r="W24" s="1210"/>
      <c r="X24" s="1210"/>
      <c r="Y24" s="1210"/>
      <c r="Z24" s="1210"/>
      <c r="AA24" s="1210"/>
      <c r="AB24" s="1210"/>
      <c r="AC24" s="1210"/>
      <c r="AD24" s="1210"/>
      <c r="AE24" s="1210"/>
      <c r="AF24" s="1210"/>
      <c r="AG24" s="1210"/>
      <c r="AH24" s="1210"/>
      <c r="AI24" s="1210"/>
      <c r="AJ24" s="1210"/>
      <c r="AK24" s="1210"/>
      <c r="AL24" s="1210"/>
      <c r="AM24" s="1210"/>
      <c r="AN24" s="1210"/>
      <c r="AO24" s="1210"/>
      <c r="AP24" s="1210"/>
    </row>
    <row r="25" spans="1:42" s="1212" customFormat="1" x14ac:dyDescent="0.25">
      <c r="A25" s="1208">
        <v>902000</v>
      </c>
      <c r="B25" s="1209"/>
      <c r="C25" s="1209"/>
      <c r="D25" s="1209"/>
      <c r="E25" s="1210">
        <v>7.1</v>
      </c>
      <c r="F25" s="1210">
        <v>0.82</v>
      </c>
      <c r="G25" s="1210">
        <v>20.9</v>
      </c>
      <c r="H25" s="1210">
        <v>0</v>
      </c>
      <c r="I25" s="1210">
        <v>0.03</v>
      </c>
      <c r="J25" s="1210">
        <v>28.41</v>
      </c>
      <c r="K25" s="1210">
        <v>37.5</v>
      </c>
      <c r="L25" s="1210">
        <v>115.4</v>
      </c>
      <c r="M25" s="1210">
        <v>0</v>
      </c>
      <c r="N25" s="1210">
        <v>44.17</v>
      </c>
      <c r="O25" s="1210">
        <v>103.79</v>
      </c>
      <c r="P25" s="1210">
        <v>1.32</v>
      </c>
      <c r="Q25" s="1210"/>
      <c r="R25" s="1210">
        <v>1.0000000000000001E-5</v>
      </c>
      <c r="S25" s="1210">
        <v>1.0000000000000001E-5</v>
      </c>
      <c r="T25" s="1210">
        <v>1E-4</v>
      </c>
      <c r="U25" s="1210">
        <v>1E-4</v>
      </c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</row>
    <row r="26" spans="1:42" s="1212" customFormat="1" x14ac:dyDescent="0.25">
      <c r="A26" s="1208">
        <v>902001</v>
      </c>
      <c r="B26" s="1209"/>
      <c r="C26" s="1209"/>
      <c r="D26" s="1209"/>
      <c r="E26" s="1210">
        <v>7.05</v>
      </c>
      <c r="F26" s="1210">
        <v>0.81</v>
      </c>
      <c r="G26" s="1210">
        <v>15.1</v>
      </c>
      <c r="H26" s="1210">
        <v>0</v>
      </c>
      <c r="I26" s="1210">
        <v>0.03</v>
      </c>
      <c r="J26" s="1210">
        <v>26.79</v>
      </c>
      <c r="K26" s="1210">
        <v>33.799999999999997</v>
      </c>
      <c r="L26" s="1210">
        <v>120.7</v>
      </c>
      <c r="M26" s="1210">
        <v>0</v>
      </c>
      <c r="N26" s="1210">
        <v>44.77</v>
      </c>
      <c r="O26" s="1210">
        <v>103.62</v>
      </c>
      <c r="P26" s="1210">
        <v>1.21</v>
      </c>
      <c r="Q26" s="1210"/>
      <c r="R26" s="1210">
        <v>1.0000000000000001E-5</v>
      </c>
      <c r="S26" s="1210">
        <v>1.0000000000000001E-5</v>
      </c>
      <c r="T26" s="1210">
        <v>1E-4</v>
      </c>
      <c r="U26" s="1210">
        <v>0.02</v>
      </c>
      <c r="V26" s="1210"/>
      <c r="W26" s="1210"/>
      <c r="X26" s="1210"/>
      <c r="Y26" s="1210"/>
      <c r="Z26" s="1210"/>
      <c r="AA26" s="1210"/>
      <c r="AB26" s="1210"/>
      <c r="AC26" s="1210"/>
      <c r="AD26" s="1210"/>
      <c r="AE26" s="1210"/>
      <c r="AF26" s="1210"/>
      <c r="AG26" s="1210"/>
      <c r="AH26" s="1210"/>
      <c r="AI26" s="1210"/>
      <c r="AJ26" s="1210"/>
      <c r="AK26" s="1210"/>
      <c r="AL26" s="1210"/>
      <c r="AM26" s="1210"/>
      <c r="AN26" s="1210"/>
      <c r="AO26" s="1210"/>
      <c r="AP26" s="1210"/>
    </row>
    <row r="27" spans="1:42" s="1212" customFormat="1" x14ac:dyDescent="0.25">
      <c r="A27" s="1208">
        <v>800268</v>
      </c>
      <c r="B27" s="1209" t="s">
        <v>481</v>
      </c>
      <c r="C27" s="1209"/>
      <c r="D27" s="1209"/>
      <c r="E27" s="1210"/>
      <c r="F27" s="1210"/>
      <c r="G27" s="1210"/>
      <c r="H27" s="1210"/>
      <c r="I27" s="1210"/>
      <c r="J27" s="1210"/>
      <c r="K27" s="1210"/>
      <c r="L27" s="1210"/>
      <c r="M27" s="1210"/>
      <c r="N27" s="1210"/>
      <c r="O27" s="1210"/>
      <c r="P27" s="1210"/>
      <c r="Q27" s="1210"/>
      <c r="R27" s="1210"/>
      <c r="S27" s="1210">
        <v>1.0000000000000001E-5</v>
      </c>
      <c r="T27" s="1210">
        <v>1E-4</v>
      </c>
      <c r="U27" s="1210"/>
      <c r="V27" s="1210"/>
      <c r="W27" s="1210">
        <v>1E-4</v>
      </c>
      <c r="X27" s="1210">
        <v>1E-4</v>
      </c>
      <c r="Y27" s="1210">
        <v>0.02</v>
      </c>
      <c r="Z27" s="1210">
        <v>0.04</v>
      </c>
      <c r="AA27" s="1210">
        <v>1E-4</v>
      </c>
      <c r="AB27" s="1210">
        <v>0.02</v>
      </c>
      <c r="AC27" s="1210">
        <v>0.14000000000000001</v>
      </c>
      <c r="AD27" s="1210"/>
      <c r="AE27" s="1210"/>
      <c r="AF27" s="1210"/>
      <c r="AG27" s="1210"/>
      <c r="AH27" s="1210"/>
      <c r="AI27" s="1210"/>
      <c r="AJ27" s="1210"/>
      <c r="AK27" s="1210"/>
      <c r="AL27" s="1210"/>
      <c r="AM27" s="1210"/>
      <c r="AN27" s="1210"/>
      <c r="AO27" s="1210"/>
      <c r="AP27" s="1210"/>
    </row>
    <row r="28" spans="1:42" s="1212" customFormat="1" x14ac:dyDescent="0.25">
      <c r="A28" s="1208">
        <v>902002</v>
      </c>
      <c r="B28" s="1209"/>
      <c r="C28" s="1209"/>
      <c r="D28" s="1209"/>
      <c r="E28" s="1210">
        <v>8.2899999999999991</v>
      </c>
      <c r="F28" s="1210">
        <v>0.56000000000000005</v>
      </c>
      <c r="G28" s="1210">
        <v>73.099999999999994</v>
      </c>
      <c r="H28" s="1210">
        <v>0</v>
      </c>
      <c r="I28" s="1210">
        <v>0.09</v>
      </c>
      <c r="J28" s="1210">
        <v>13.9</v>
      </c>
      <c r="K28" s="1210">
        <v>17</v>
      </c>
      <c r="L28" s="1210">
        <v>266.39999999999998</v>
      </c>
      <c r="M28" s="1210">
        <v>0</v>
      </c>
      <c r="N28" s="1210">
        <v>34.9</v>
      </c>
      <c r="O28" s="1210">
        <v>66.430000000000007</v>
      </c>
      <c r="P28" s="1210">
        <v>1.03</v>
      </c>
      <c r="Q28" s="1210">
        <v>0.40300000000000002</v>
      </c>
      <c r="R28" s="1210">
        <v>1.0000000000000001E-5</v>
      </c>
      <c r="S28" s="1210">
        <v>1E-4</v>
      </c>
      <c r="T28" s="1210">
        <v>1E-4</v>
      </c>
      <c r="U28" s="1210">
        <v>1E-4</v>
      </c>
      <c r="V28" s="1210"/>
      <c r="W28" s="1210"/>
      <c r="X28" s="1210"/>
      <c r="Y28" s="1210"/>
      <c r="Z28" s="1210"/>
      <c r="AA28" s="1210"/>
      <c r="AB28" s="1210"/>
      <c r="AC28" s="1210"/>
      <c r="AD28" s="1210"/>
      <c r="AE28" s="1210"/>
      <c r="AF28" s="1210"/>
      <c r="AG28" s="1210"/>
      <c r="AH28" s="1210"/>
      <c r="AI28" s="1210"/>
      <c r="AJ28" s="1210"/>
      <c r="AK28" s="1210"/>
      <c r="AL28" s="1210"/>
      <c r="AM28" s="1210"/>
      <c r="AN28" s="1210"/>
      <c r="AO28" s="1210"/>
      <c r="AP28" s="1210"/>
    </row>
    <row r="29" spans="1:42" s="1212" customFormat="1" x14ac:dyDescent="0.25">
      <c r="A29" s="1208">
        <v>902003</v>
      </c>
      <c r="B29" s="1209"/>
      <c r="C29" s="1209"/>
      <c r="D29" s="1209"/>
      <c r="E29" s="1210">
        <v>7.87</v>
      </c>
      <c r="F29" s="1210">
        <v>3.09</v>
      </c>
      <c r="G29" s="1210">
        <v>98.5</v>
      </c>
      <c r="H29" s="1210">
        <v>0</v>
      </c>
      <c r="I29" s="1210">
        <v>0.15</v>
      </c>
      <c r="J29" s="1210">
        <v>553.37</v>
      </c>
      <c r="K29" s="1210">
        <v>365</v>
      </c>
      <c r="L29" s="1210">
        <v>362.4</v>
      </c>
      <c r="M29" s="1210">
        <v>0</v>
      </c>
      <c r="N29" s="1210">
        <v>74.260000000000005</v>
      </c>
      <c r="O29" s="1210">
        <v>147.78</v>
      </c>
      <c r="P29" s="1210">
        <v>1.04</v>
      </c>
      <c r="Q29" s="1210">
        <v>0.23300000000000001</v>
      </c>
      <c r="R29" s="1210">
        <v>0.24</v>
      </c>
      <c r="S29" s="1210">
        <v>1E-4</v>
      </c>
      <c r="T29" s="1210">
        <v>1.0000000000000001E-5</v>
      </c>
      <c r="U29" s="1210">
        <v>1E-4</v>
      </c>
      <c r="V29" s="1210"/>
      <c r="W29" s="1210">
        <v>1.0000000000000001E-5</v>
      </c>
      <c r="X29" s="1210">
        <v>1.0000000000000001E-5</v>
      </c>
      <c r="Y29" s="1210">
        <v>1.0000000000000001E-5</v>
      </c>
      <c r="Z29" s="1210">
        <v>4.0000000000000001E-3</v>
      </c>
      <c r="AA29" s="1210">
        <v>1.0000000000000001E-5</v>
      </c>
      <c r="AB29" s="1210">
        <v>1.0000000000000001E-5</v>
      </c>
      <c r="AC29" s="1210">
        <v>7.0000000000000007E-2</v>
      </c>
      <c r="AD29" s="1210">
        <v>1.0000000000000001E-5</v>
      </c>
      <c r="AE29" s="1210"/>
      <c r="AF29" s="1210"/>
      <c r="AG29" s="1210"/>
      <c r="AH29" s="1210">
        <v>1E-4</v>
      </c>
      <c r="AI29" s="1210"/>
      <c r="AJ29" s="1210">
        <v>1E-4</v>
      </c>
      <c r="AK29" s="1210"/>
      <c r="AL29" s="1210"/>
      <c r="AM29" s="1210"/>
      <c r="AN29" s="1210"/>
      <c r="AO29" s="1210"/>
      <c r="AP29" s="1210"/>
    </row>
    <row r="30" spans="1:42" s="1212" customFormat="1" x14ac:dyDescent="0.25">
      <c r="A30" s="1208">
        <v>900066</v>
      </c>
      <c r="B30" s="1209"/>
      <c r="C30" s="1209"/>
      <c r="D30" s="1209"/>
      <c r="E30" s="1210">
        <v>7.44</v>
      </c>
      <c r="F30" s="1210">
        <v>20.72</v>
      </c>
      <c r="G30" s="1210">
        <v>4.84</v>
      </c>
      <c r="H30" s="1210">
        <v>0.09</v>
      </c>
      <c r="I30" s="1210"/>
      <c r="J30" s="1210">
        <v>6124.4000000000005</v>
      </c>
      <c r="K30" s="1210">
        <v>7030</v>
      </c>
      <c r="L30" s="1210"/>
      <c r="M30" s="1210"/>
      <c r="N30" s="1210"/>
      <c r="O30" s="1210"/>
      <c r="P30" s="1210">
        <v>0.99</v>
      </c>
      <c r="Q30" s="1210">
        <v>0.76</v>
      </c>
      <c r="R30" s="1210">
        <v>1.0000000000000001E-5</v>
      </c>
      <c r="S30" s="1210">
        <v>1.0000000000000001E-5</v>
      </c>
      <c r="T30" s="1210">
        <v>1.0000000000000001E-5</v>
      </c>
      <c r="U30" s="1210">
        <v>0.02</v>
      </c>
      <c r="V30" s="1210">
        <v>1.99</v>
      </c>
      <c r="W30" s="1210">
        <v>8.6999999999999994E-2</v>
      </c>
      <c r="X30" s="1210">
        <v>9.9999999999999995E-7</v>
      </c>
      <c r="Y30" s="1210">
        <v>0.04</v>
      </c>
      <c r="Z30" s="1210">
        <v>0.01</v>
      </c>
      <c r="AA30" s="1210">
        <v>1.0000000000000001E-5</v>
      </c>
      <c r="AB30" s="1210">
        <v>1.0000000000000001E-5</v>
      </c>
      <c r="AC30" s="1210">
        <v>0.03</v>
      </c>
      <c r="AD30" s="1210">
        <v>1E-4</v>
      </c>
      <c r="AE30" s="1210">
        <v>1.87</v>
      </c>
      <c r="AF30" s="1210"/>
      <c r="AG30" s="1210"/>
      <c r="AH30" s="1210"/>
      <c r="AI30" s="1210"/>
      <c r="AJ30" s="1210"/>
      <c r="AK30" s="1210"/>
      <c r="AL30" s="1210"/>
      <c r="AM30" s="1210"/>
      <c r="AN30" s="1210"/>
      <c r="AO30" s="1210"/>
      <c r="AP30" s="1210"/>
    </row>
    <row r="31" spans="1:42" s="1212" customFormat="1" x14ac:dyDescent="0.25">
      <c r="A31" s="1208">
        <v>900067</v>
      </c>
      <c r="B31" s="1209"/>
      <c r="C31" s="1209"/>
      <c r="D31" s="1209"/>
      <c r="E31" s="1210"/>
      <c r="F31" s="1210"/>
      <c r="G31" s="1210">
        <v>10.220000000000001</v>
      </c>
      <c r="H31" s="1210">
        <v>0.1</v>
      </c>
      <c r="I31" s="1210"/>
      <c r="J31" s="1210">
        <v>76.8</v>
      </c>
      <c r="K31" s="1210"/>
      <c r="L31" s="1210"/>
      <c r="M31" s="1210"/>
      <c r="N31" s="1210">
        <v>67</v>
      </c>
      <c r="O31" s="1210">
        <v>22</v>
      </c>
      <c r="P31" s="1210"/>
      <c r="Q31" s="1210"/>
      <c r="R31" s="1210"/>
      <c r="S31" s="1210"/>
      <c r="T31" s="1210"/>
      <c r="U31" s="1210"/>
      <c r="V31" s="1210"/>
      <c r="W31" s="1210"/>
      <c r="X31" s="1210"/>
      <c r="Y31" s="1210"/>
      <c r="Z31" s="1210"/>
      <c r="AA31" s="1210"/>
      <c r="AB31" s="1210"/>
      <c r="AC31" s="1210"/>
      <c r="AD31" s="1210"/>
      <c r="AE31" s="1210"/>
      <c r="AF31" s="1210"/>
      <c r="AG31" s="1210"/>
      <c r="AH31" s="1210"/>
      <c r="AI31" s="1210"/>
      <c r="AJ31" s="1210"/>
      <c r="AK31" s="1210"/>
      <c r="AL31" s="1210"/>
      <c r="AM31" s="1210"/>
      <c r="AN31" s="1210"/>
      <c r="AO31" s="1210"/>
      <c r="AP31" s="1210"/>
    </row>
    <row r="32" spans="1:42" s="1212" customFormat="1" x14ac:dyDescent="0.25">
      <c r="A32" s="1208">
        <v>902004</v>
      </c>
      <c r="B32" s="1209"/>
      <c r="C32" s="1209"/>
      <c r="D32" s="1209"/>
      <c r="E32" s="1210">
        <v>7.94</v>
      </c>
      <c r="F32" s="1210">
        <v>0.72199999999999998</v>
      </c>
      <c r="G32" s="1210">
        <v>13.19</v>
      </c>
      <c r="H32" s="1210">
        <v>0</v>
      </c>
      <c r="I32" s="1210">
        <v>0.03</v>
      </c>
      <c r="J32" s="1210">
        <v>28.92</v>
      </c>
      <c r="K32" s="1210">
        <v>133.69999999999999</v>
      </c>
      <c r="L32" s="1210">
        <v>297.60000000000002</v>
      </c>
      <c r="M32" s="1210">
        <v>0</v>
      </c>
      <c r="N32" s="1210">
        <v>74.42</v>
      </c>
      <c r="O32" s="1210">
        <v>42.27</v>
      </c>
      <c r="P32" s="1210">
        <v>1.04</v>
      </c>
      <c r="Q32" s="1210">
        <v>0.999</v>
      </c>
      <c r="R32" s="1210">
        <v>0</v>
      </c>
      <c r="S32" s="1210">
        <v>0</v>
      </c>
      <c r="T32" s="1210">
        <v>0</v>
      </c>
      <c r="U32" s="1210">
        <v>0</v>
      </c>
      <c r="V32" s="1210">
        <v>0.06</v>
      </c>
      <c r="W32" s="1210"/>
      <c r="X32" s="1210"/>
      <c r="Y32" s="1210"/>
      <c r="Z32" s="1210"/>
      <c r="AA32" s="1210"/>
      <c r="AB32" s="1210"/>
      <c r="AC32" s="1210"/>
      <c r="AD32" s="1210"/>
      <c r="AE32" s="1210"/>
      <c r="AF32" s="1210"/>
      <c r="AG32" s="1210"/>
      <c r="AH32" s="1210"/>
      <c r="AI32" s="1210"/>
      <c r="AJ32" s="1210"/>
      <c r="AK32" s="1210"/>
      <c r="AL32" s="1210"/>
      <c r="AM32" s="1210"/>
      <c r="AN32" s="1210"/>
      <c r="AO32" s="1210"/>
      <c r="AP32" s="1210"/>
    </row>
    <row r="33" spans="1:42" s="1212" customFormat="1" x14ac:dyDescent="0.25">
      <c r="A33" s="1208">
        <v>900132</v>
      </c>
      <c r="B33" s="1209"/>
      <c r="C33" s="1209"/>
      <c r="D33" s="1209"/>
      <c r="E33" s="1210" t="s">
        <v>312</v>
      </c>
      <c r="F33" s="1210">
        <v>27.16</v>
      </c>
      <c r="G33" s="1210">
        <v>1.81</v>
      </c>
      <c r="H33" s="1210">
        <v>0.01</v>
      </c>
      <c r="I33" s="1210">
        <v>0.87</v>
      </c>
      <c r="J33" s="1210">
        <v>9269.2000000000007</v>
      </c>
      <c r="K33" s="1210">
        <v>165.25</v>
      </c>
      <c r="L33" s="1210">
        <v>664.8</v>
      </c>
      <c r="M33" s="1210"/>
      <c r="N33" s="1210">
        <v>781.45</v>
      </c>
      <c r="O33" s="1210">
        <v>614.61</v>
      </c>
      <c r="P33" s="1210"/>
      <c r="Q33" s="1210"/>
      <c r="R33" s="1210">
        <v>2.65</v>
      </c>
      <c r="S33" s="1210">
        <v>0.01</v>
      </c>
      <c r="T33" s="1210">
        <v>0.26</v>
      </c>
      <c r="U33" s="1210">
        <v>0.06</v>
      </c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>
        <v>4206.6400000000003</v>
      </c>
      <c r="AM33" s="1210"/>
      <c r="AN33" s="1210"/>
      <c r="AO33" s="1210"/>
      <c r="AP33" s="1210"/>
    </row>
    <row r="34" spans="1:42" s="1212" customFormat="1" x14ac:dyDescent="0.25">
      <c r="A34" s="1208">
        <v>902005</v>
      </c>
      <c r="B34" s="1209"/>
      <c r="C34" s="1209"/>
      <c r="D34" s="1209"/>
      <c r="E34" s="1210">
        <v>7.95</v>
      </c>
      <c r="F34" s="1210">
        <v>0.76</v>
      </c>
      <c r="G34" s="1210">
        <v>11.6</v>
      </c>
      <c r="H34" s="1210">
        <v>0.11</v>
      </c>
      <c r="I34" s="1210">
        <v>0.13</v>
      </c>
      <c r="J34" s="1210">
        <v>26.84</v>
      </c>
      <c r="K34" s="1210">
        <v>96.35</v>
      </c>
      <c r="L34" s="1210">
        <v>386.4</v>
      </c>
      <c r="M34" s="1210">
        <v>0</v>
      </c>
      <c r="N34" s="1210">
        <v>79.400000000000006</v>
      </c>
      <c r="O34" s="1210">
        <v>40.43</v>
      </c>
      <c r="P34" s="1210">
        <v>1.23</v>
      </c>
      <c r="Q34" s="1210">
        <v>2.4500000000000002</v>
      </c>
      <c r="R34" s="1210">
        <v>1.0000000000000001E-5</v>
      </c>
      <c r="S34" s="1210">
        <v>1.0000000000000001E-5</v>
      </c>
      <c r="T34" s="1210">
        <v>1.0000000000000001E-5</v>
      </c>
      <c r="U34" s="1210">
        <v>0.02</v>
      </c>
      <c r="V34" s="1210"/>
      <c r="W34" s="1210"/>
      <c r="X34" s="1210"/>
      <c r="Y34" s="1210"/>
      <c r="Z34" s="1210"/>
      <c r="AA34" s="1210"/>
      <c r="AB34" s="1210"/>
      <c r="AC34" s="1210"/>
      <c r="AD34" s="1210"/>
      <c r="AE34" s="1210"/>
      <c r="AF34" s="1210"/>
      <c r="AG34" s="1210"/>
      <c r="AH34" s="1210"/>
      <c r="AI34" s="1210"/>
      <c r="AJ34" s="1210"/>
      <c r="AK34" s="1210"/>
      <c r="AL34" s="1210"/>
      <c r="AM34" s="1210"/>
      <c r="AN34" s="1210"/>
      <c r="AO34" s="1210"/>
      <c r="AP34" s="1210"/>
    </row>
    <row r="35" spans="1:42" s="1212" customFormat="1" x14ac:dyDescent="0.25">
      <c r="A35" s="1208">
        <v>900164</v>
      </c>
      <c r="B35" s="1209"/>
      <c r="C35" s="1209"/>
      <c r="D35" s="1209"/>
      <c r="E35" s="1210">
        <v>7.78</v>
      </c>
      <c r="F35" s="1210">
        <v>1.71</v>
      </c>
      <c r="G35" s="1210">
        <v>53.9</v>
      </c>
      <c r="H35" s="1210">
        <v>0.1</v>
      </c>
      <c r="I35" s="1210">
        <v>7.0000000000000007E-2</v>
      </c>
      <c r="J35" s="1210">
        <v>330.57</v>
      </c>
      <c r="K35" s="1210">
        <v>52.79</v>
      </c>
      <c r="L35" s="1210">
        <v>283.2</v>
      </c>
      <c r="M35" s="1210">
        <v>0</v>
      </c>
      <c r="N35" s="1210">
        <v>153.46</v>
      </c>
      <c r="O35" s="1210">
        <v>35.96</v>
      </c>
      <c r="P35" s="1210">
        <v>1.02</v>
      </c>
      <c r="Q35" s="1210">
        <v>0.45</v>
      </c>
      <c r="R35" s="1210"/>
      <c r="S35" s="1210"/>
      <c r="T35" s="1210"/>
      <c r="U35" s="1210"/>
      <c r="V35" s="1210"/>
      <c r="W35" s="1210"/>
      <c r="X35" s="1210"/>
      <c r="Y35" s="1210"/>
      <c r="Z35" s="1210">
        <v>1E-3</v>
      </c>
      <c r="AA35" s="1210"/>
      <c r="AB35" s="1210"/>
      <c r="AC35" s="1210"/>
      <c r="AD35" s="1210"/>
      <c r="AE35" s="1210"/>
      <c r="AF35" s="1210"/>
      <c r="AG35" s="1210"/>
      <c r="AH35" s="1210"/>
      <c r="AI35" s="1210"/>
      <c r="AJ35" s="1210"/>
      <c r="AK35" s="1210"/>
      <c r="AL35" s="1210"/>
      <c r="AM35" s="1210"/>
      <c r="AN35" s="1210"/>
      <c r="AO35" s="1210"/>
      <c r="AP35" s="1210"/>
    </row>
    <row r="36" spans="1:42" s="1212" customFormat="1" x14ac:dyDescent="0.25">
      <c r="A36" s="1208">
        <v>900165</v>
      </c>
      <c r="B36" s="1209"/>
      <c r="C36" s="1209"/>
      <c r="D36" s="1209"/>
      <c r="E36" s="1210">
        <v>7.93</v>
      </c>
      <c r="F36" s="1210">
        <v>1.64</v>
      </c>
      <c r="G36" s="1210">
        <v>5.3</v>
      </c>
      <c r="H36" s="1210">
        <v>0.1</v>
      </c>
      <c r="I36" s="1210">
        <v>0.22</v>
      </c>
      <c r="J36" s="1210">
        <v>333.15</v>
      </c>
      <c r="K36" s="1210">
        <v>122.74</v>
      </c>
      <c r="L36" s="1210">
        <v>180</v>
      </c>
      <c r="M36" s="1210">
        <v>0</v>
      </c>
      <c r="N36" s="1210">
        <v>64.22</v>
      </c>
      <c r="O36" s="1210">
        <v>38.119999999999997</v>
      </c>
      <c r="P36" s="1210">
        <v>1.1100000000000001</v>
      </c>
      <c r="Q36" s="1210">
        <v>0.62</v>
      </c>
      <c r="R36" s="1210"/>
      <c r="S36" s="1210"/>
      <c r="T36" s="1210"/>
      <c r="U36" s="1210"/>
      <c r="V36" s="1210"/>
      <c r="W36" s="1210"/>
      <c r="X36" s="1210"/>
      <c r="Y36" s="1210"/>
      <c r="Z36" s="1210">
        <v>1E-3</v>
      </c>
      <c r="AA36" s="1210"/>
      <c r="AB36" s="1210"/>
      <c r="AC36" s="1210"/>
      <c r="AD36" s="1210"/>
      <c r="AE36" s="1210"/>
      <c r="AF36" s="1210"/>
      <c r="AG36" s="1210"/>
      <c r="AH36" s="1210"/>
      <c r="AI36" s="1210"/>
      <c r="AJ36" s="1210"/>
      <c r="AK36" s="1210"/>
      <c r="AL36" s="1210"/>
      <c r="AM36" s="1210"/>
      <c r="AN36" s="1210"/>
      <c r="AO36" s="1210"/>
      <c r="AP36" s="1210"/>
    </row>
    <row r="37" spans="1:42" s="1212" customFormat="1" x14ac:dyDescent="0.25">
      <c r="A37" s="1208">
        <v>900166</v>
      </c>
      <c r="B37" s="1209"/>
      <c r="C37" s="1209"/>
      <c r="D37" s="1209"/>
      <c r="E37" s="1210">
        <v>7.87</v>
      </c>
      <c r="F37" s="1210">
        <v>1.63</v>
      </c>
      <c r="G37" s="1210">
        <v>12.3</v>
      </c>
      <c r="H37" s="1210">
        <v>0.11</v>
      </c>
      <c r="I37" s="1210">
        <v>0.28000000000000003</v>
      </c>
      <c r="J37" s="1210">
        <v>333.75</v>
      </c>
      <c r="K37" s="1210">
        <v>126.6</v>
      </c>
      <c r="L37" s="1210">
        <v>187.2</v>
      </c>
      <c r="M37" s="1210">
        <v>0</v>
      </c>
      <c r="N37" s="1210">
        <v>64.58</v>
      </c>
      <c r="O37" s="1210">
        <v>38.130000000000003</v>
      </c>
      <c r="P37" s="1210">
        <v>1.23</v>
      </c>
      <c r="Q37" s="1210">
        <v>0.41</v>
      </c>
      <c r="R37" s="1210"/>
      <c r="S37" s="1210"/>
      <c r="T37" s="1210"/>
      <c r="U37" s="1210"/>
      <c r="V37" s="1210"/>
      <c r="W37" s="1210"/>
      <c r="X37" s="1210"/>
      <c r="Y37" s="1210"/>
      <c r="Z37" s="1210">
        <v>1E-3</v>
      </c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</row>
    <row r="38" spans="1:42" s="1212" customFormat="1" x14ac:dyDescent="0.25">
      <c r="A38" s="1208">
        <v>900199</v>
      </c>
      <c r="B38" s="1209"/>
      <c r="C38" s="1209"/>
      <c r="D38" s="1209"/>
      <c r="E38" s="1210"/>
      <c r="F38" s="1210"/>
      <c r="G38" s="1210">
        <v>5.3</v>
      </c>
      <c r="H38" s="1210">
        <v>1E-3</v>
      </c>
      <c r="I38" s="1210"/>
      <c r="J38" s="1210">
        <v>99.96</v>
      </c>
      <c r="K38" s="1210">
        <v>79</v>
      </c>
      <c r="L38" s="1210"/>
      <c r="M38" s="1210"/>
      <c r="N38" s="1210">
        <v>46.19</v>
      </c>
      <c r="O38" s="1210">
        <v>18.95</v>
      </c>
      <c r="P38" s="1210"/>
      <c r="Q38" s="1210"/>
      <c r="R38" s="1210"/>
      <c r="S38" s="1210"/>
      <c r="T38" s="1210"/>
      <c r="U38" s="1210"/>
      <c r="V38" s="1210"/>
      <c r="W38" s="1210"/>
      <c r="X38" s="1210"/>
      <c r="Y38" s="1210"/>
      <c r="Z38" s="1210"/>
      <c r="AA38" s="1210"/>
      <c r="AB38" s="1210"/>
      <c r="AC38" s="1210"/>
      <c r="AD38" s="1210"/>
      <c r="AE38" s="1210"/>
      <c r="AF38" s="1210"/>
      <c r="AG38" s="1210"/>
      <c r="AH38" s="1210"/>
      <c r="AI38" s="1210"/>
      <c r="AJ38" s="1210"/>
      <c r="AK38" s="1210"/>
      <c r="AL38" s="1210">
        <v>70.599999999999994</v>
      </c>
      <c r="AM38" s="1210"/>
      <c r="AN38" s="1210"/>
      <c r="AO38" s="1210"/>
      <c r="AP38" s="1210"/>
    </row>
    <row r="39" spans="1:42" s="1212" customFormat="1" x14ac:dyDescent="0.25">
      <c r="A39" s="1208">
        <v>912010</v>
      </c>
      <c r="B39" s="1209"/>
      <c r="C39" s="1209"/>
      <c r="D39" s="1209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>
        <v>1.0000000000000001E-5</v>
      </c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</row>
    <row r="40" spans="1:42" s="1212" customFormat="1" x14ac:dyDescent="0.25">
      <c r="A40" s="1208">
        <v>912011</v>
      </c>
      <c r="B40" s="1209"/>
      <c r="C40" s="1209"/>
      <c r="D40" s="1209"/>
      <c r="E40" s="1210"/>
      <c r="F40" s="1210"/>
      <c r="G40" s="1210"/>
      <c r="H40" s="1210"/>
      <c r="I40" s="1210"/>
      <c r="J40" s="1210"/>
      <c r="K40" s="1210"/>
      <c r="L40" s="1210"/>
      <c r="M40" s="1210"/>
      <c r="N40" s="1210"/>
      <c r="O40" s="1210"/>
      <c r="P40" s="1210"/>
      <c r="Q40" s="1210"/>
      <c r="R40" s="1210">
        <v>1.0000000000000001E-5</v>
      </c>
      <c r="S40" s="1210">
        <v>1.0000000000000001E-5</v>
      </c>
      <c r="T40" s="1210"/>
      <c r="U40" s="1210"/>
      <c r="V40" s="1210"/>
      <c r="W40" s="1210"/>
      <c r="X40" s="1210">
        <v>1.0000000000000001E-5</v>
      </c>
      <c r="Y40" s="1210"/>
      <c r="Z40" s="1210">
        <v>1.0000000000000001E-5</v>
      </c>
      <c r="AA40" s="1210">
        <v>1.0000000000000001E-5</v>
      </c>
      <c r="AB40" s="1210"/>
      <c r="AC40" s="1210"/>
      <c r="AD40" s="1210"/>
      <c r="AE40" s="1210">
        <v>1.23</v>
      </c>
      <c r="AF40" s="1210">
        <v>1.0000000000000001E-5</v>
      </c>
      <c r="AG40" s="1210"/>
      <c r="AH40" s="1210"/>
      <c r="AI40" s="1210"/>
      <c r="AJ40" s="1210"/>
      <c r="AK40" s="1210"/>
      <c r="AL40" s="1210"/>
      <c r="AM40" s="1210">
        <v>0.52</v>
      </c>
      <c r="AN40" s="1210">
        <v>17.2</v>
      </c>
      <c r="AO40" s="1210">
        <v>5</v>
      </c>
      <c r="AP40" s="1210">
        <v>2.2999999999999998</v>
      </c>
    </row>
    <row r="41" spans="1:42" s="1212" customFormat="1" x14ac:dyDescent="0.25">
      <c r="A41" s="1208">
        <v>902006</v>
      </c>
      <c r="B41" s="1209"/>
      <c r="C41" s="1209"/>
      <c r="D41" s="1209"/>
      <c r="E41" s="1210">
        <v>7.14</v>
      </c>
      <c r="F41" s="1210">
        <v>1.67</v>
      </c>
      <c r="G41" s="1210">
        <v>53.3</v>
      </c>
      <c r="H41" s="1210">
        <v>1E-3</v>
      </c>
      <c r="I41" s="1210">
        <v>0.04</v>
      </c>
      <c r="J41" s="1210">
        <v>740.3</v>
      </c>
      <c r="K41" s="1210">
        <v>60.61</v>
      </c>
      <c r="L41" s="1210">
        <v>369.6</v>
      </c>
      <c r="M41" s="1210">
        <v>0</v>
      </c>
      <c r="N41" s="1210">
        <v>35.950000000000003</v>
      </c>
      <c r="O41" s="1210">
        <v>155.88</v>
      </c>
      <c r="P41" s="1210">
        <v>1.23</v>
      </c>
      <c r="Q41" s="1210">
        <v>1.19</v>
      </c>
      <c r="R41" s="1210">
        <v>0</v>
      </c>
      <c r="S41" s="1210">
        <v>0</v>
      </c>
      <c r="T41" s="1210">
        <v>0</v>
      </c>
      <c r="U41" s="1210">
        <v>0</v>
      </c>
      <c r="V41" s="1210"/>
      <c r="W41" s="1210"/>
      <c r="X41" s="1210"/>
      <c r="Y41" s="1210"/>
      <c r="Z41" s="1210"/>
      <c r="AA41" s="1210"/>
      <c r="AB41" s="1210"/>
      <c r="AC41" s="1210"/>
      <c r="AD41" s="1210"/>
      <c r="AE41" s="1210"/>
      <c r="AF41" s="1210"/>
      <c r="AG41" s="1210"/>
      <c r="AH41" s="1210"/>
      <c r="AI41" s="1210"/>
      <c r="AJ41" s="1210"/>
      <c r="AK41" s="1210"/>
      <c r="AL41" s="1210"/>
      <c r="AM41" s="1210"/>
      <c r="AN41" s="1210"/>
      <c r="AO41" s="1210"/>
      <c r="AP41" s="1210"/>
    </row>
    <row r="42" spans="1:42" s="1212" customFormat="1" x14ac:dyDescent="0.25">
      <c r="A42" s="1208">
        <v>900172</v>
      </c>
      <c r="B42" s="1209"/>
      <c r="C42" s="1209"/>
      <c r="D42" s="1209"/>
      <c r="E42" s="1210"/>
      <c r="F42" s="1210"/>
      <c r="G42" s="1210">
        <v>29.8</v>
      </c>
      <c r="H42" s="1210">
        <v>0.01</v>
      </c>
      <c r="I42" s="1210"/>
      <c r="J42" s="1210">
        <v>214</v>
      </c>
      <c r="K42" s="1210">
        <v>186</v>
      </c>
      <c r="L42" s="1210"/>
      <c r="M42" s="1210"/>
      <c r="N42" s="1210"/>
      <c r="O42" s="1210"/>
      <c r="P42" s="1210"/>
      <c r="Q42" s="1210"/>
      <c r="R42" s="1210"/>
      <c r="S42" s="1210"/>
      <c r="T42" s="1210"/>
      <c r="U42" s="1210"/>
      <c r="V42" s="1210"/>
      <c r="W42" s="1210"/>
      <c r="X42" s="1210"/>
      <c r="Y42" s="1210"/>
      <c r="Z42" s="1210"/>
      <c r="AA42" s="1210"/>
      <c r="AB42" s="1210"/>
      <c r="AC42" s="1210"/>
      <c r="AD42" s="1210"/>
      <c r="AE42" s="1210"/>
      <c r="AF42" s="1210"/>
      <c r="AG42" s="1210"/>
      <c r="AH42" s="1210"/>
      <c r="AI42" s="1210"/>
      <c r="AJ42" s="1210"/>
      <c r="AK42" s="1210"/>
      <c r="AL42" s="1210"/>
      <c r="AM42" s="1210"/>
      <c r="AN42" s="1210"/>
      <c r="AO42" s="1210"/>
      <c r="AP42" s="1210"/>
    </row>
    <row r="43" spans="1:42" s="1212" customFormat="1" x14ac:dyDescent="0.25">
      <c r="A43" s="1208">
        <v>902007</v>
      </c>
      <c r="B43" s="1209"/>
      <c r="C43" s="1209"/>
      <c r="D43" s="1209"/>
      <c r="E43" s="1210">
        <v>7.46</v>
      </c>
      <c r="F43" s="1210">
        <v>0.77200000000000002</v>
      </c>
      <c r="G43" s="1210">
        <v>79.400000000000006</v>
      </c>
      <c r="H43" s="1210">
        <v>1E-3</v>
      </c>
      <c r="I43" s="1210">
        <v>0.03</v>
      </c>
      <c r="J43" s="1210">
        <v>82.58</v>
      </c>
      <c r="K43" s="1210">
        <v>14.03</v>
      </c>
      <c r="L43" s="1210">
        <v>297.60000000000002</v>
      </c>
      <c r="M43" s="1210">
        <v>0</v>
      </c>
      <c r="N43" s="1210">
        <v>62.41</v>
      </c>
      <c r="O43" s="1210">
        <v>23.67</v>
      </c>
      <c r="P43" s="1210">
        <v>1.05</v>
      </c>
      <c r="Q43" s="1210">
        <v>2.17</v>
      </c>
      <c r="R43" s="1210">
        <v>1.0000000000000001E-5</v>
      </c>
      <c r="S43" s="1210">
        <v>1.0000000000000001E-5</v>
      </c>
      <c r="T43" s="1210">
        <v>1.0000000000000001E-5</v>
      </c>
      <c r="U43" s="1210">
        <v>0.02</v>
      </c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</row>
    <row r="44" spans="1:42" s="1212" customFormat="1" x14ac:dyDescent="0.25">
      <c r="A44" s="1208">
        <v>902008</v>
      </c>
      <c r="B44" s="1209"/>
      <c r="C44" s="1209"/>
      <c r="D44" s="1209"/>
      <c r="E44" s="1210">
        <v>7.14</v>
      </c>
      <c r="F44" s="1210">
        <v>1.4</v>
      </c>
      <c r="G44" s="1210">
        <v>0</v>
      </c>
      <c r="H44" s="1210">
        <v>1E-3</v>
      </c>
      <c r="I44" s="1210">
        <v>0.08</v>
      </c>
      <c r="J44" s="1210">
        <v>202.6</v>
      </c>
      <c r="K44" s="1210">
        <v>54.59</v>
      </c>
      <c r="L44" s="1210">
        <v>535.20000000000005</v>
      </c>
      <c r="M44" s="1210">
        <v>0</v>
      </c>
      <c r="N44" s="1210">
        <v>86.38</v>
      </c>
      <c r="O44" s="1210">
        <v>57.2</v>
      </c>
      <c r="P44" s="1210">
        <v>1.1100000000000001</v>
      </c>
      <c r="Q44" s="1210">
        <v>1.1000000000000001</v>
      </c>
      <c r="R44" s="1210">
        <v>1.0000000000000001E-5</v>
      </c>
      <c r="S44" s="1210">
        <v>1.0000000000000001E-5</v>
      </c>
      <c r="T44" s="1210">
        <v>0.22</v>
      </c>
      <c r="U44" s="1210">
        <v>0.04</v>
      </c>
      <c r="V44" s="1210"/>
      <c r="W44" s="1210"/>
      <c r="X44" s="1210"/>
      <c r="Y44" s="1210"/>
      <c r="Z44" s="1210"/>
      <c r="AA44" s="1210"/>
      <c r="AB44" s="1210"/>
      <c r="AC44" s="1210"/>
      <c r="AD44" s="1210"/>
      <c r="AE44" s="1210"/>
      <c r="AF44" s="1210"/>
      <c r="AG44" s="1210"/>
      <c r="AH44" s="1210"/>
      <c r="AI44" s="1210"/>
      <c r="AJ44" s="1210"/>
      <c r="AK44" s="1210"/>
      <c r="AL44" s="1210"/>
      <c r="AM44" s="1210"/>
      <c r="AN44" s="1210"/>
      <c r="AO44" s="1210"/>
      <c r="AP44" s="1210"/>
    </row>
    <row r="45" spans="1:42" s="1212" customFormat="1" x14ac:dyDescent="0.25">
      <c r="A45" s="1208">
        <v>902004</v>
      </c>
      <c r="B45" s="1209"/>
      <c r="C45" s="1209"/>
      <c r="D45" s="1209"/>
      <c r="E45" s="1210">
        <v>7.94</v>
      </c>
      <c r="F45" s="1210">
        <v>0.72199999999999998</v>
      </c>
      <c r="G45" s="1210">
        <v>13.2</v>
      </c>
      <c r="H45" s="1210">
        <v>0</v>
      </c>
      <c r="I45" s="1210">
        <v>0.03</v>
      </c>
      <c r="J45" s="1210">
        <v>28.92</v>
      </c>
      <c r="K45" s="1210">
        <v>133.69999999999999</v>
      </c>
      <c r="L45" s="1210">
        <v>297.60000000000002</v>
      </c>
      <c r="M45" s="1210">
        <v>0</v>
      </c>
      <c r="N45" s="1210"/>
      <c r="O45" s="1210"/>
      <c r="P45" s="1210"/>
      <c r="Q45" s="1210">
        <v>0.999</v>
      </c>
      <c r="R45" s="1210">
        <v>0</v>
      </c>
      <c r="S45" s="1210">
        <v>0</v>
      </c>
      <c r="T45" s="1210">
        <v>0</v>
      </c>
      <c r="U45" s="1210">
        <v>0</v>
      </c>
      <c r="V45" s="1210">
        <v>0.06</v>
      </c>
      <c r="W45" s="1210">
        <v>42.27</v>
      </c>
      <c r="X45" s="1210">
        <v>74.42</v>
      </c>
      <c r="Y45" s="1210"/>
      <c r="Z45" s="1210"/>
      <c r="AA45" s="1210"/>
      <c r="AB45" s="1210"/>
      <c r="AC45" s="1210"/>
      <c r="AD45" s="1210"/>
      <c r="AE45" s="1210"/>
      <c r="AF45" s="1210"/>
      <c r="AG45" s="1210"/>
      <c r="AH45" s="1210"/>
      <c r="AI45" s="1210"/>
      <c r="AJ45" s="1210"/>
      <c r="AK45" s="1210"/>
      <c r="AL45" s="1210"/>
      <c r="AM45" s="1210"/>
      <c r="AN45" s="1210"/>
      <c r="AO45" s="1210"/>
      <c r="AP45" s="1210"/>
    </row>
    <row r="46" spans="1:42" s="1212" customFormat="1" x14ac:dyDescent="0.25">
      <c r="A46" s="1208">
        <v>900204</v>
      </c>
      <c r="B46" s="1209"/>
      <c r="C46" s="1209"/>
      <c r="D46" s="1209"/>
      <c r="E46" s="1210" t="s">
        <v>252</v>
      </c>
      <c r="F46" s="1210">
        <v>1.48</v>
      </c>
      <c r="G46" s="1210">
        <v>2.6</v>
      </c>
      <c r="H46" s="1210">
        <v>0</v>
      </c>
      <c r="I46" s="1210">
        <v>0.02</v>
      </c>
      <c r="J46" s="1210">
        <v>313.33</v>
      </c>
      <c r="K46" s="1210">
        <v>111.57</v>
      </c>
      <c r="L46" s="1210">
        <v>180</v>
      </c>
      <c r="M46" s="1210"/>
      <c r="N46" s="1210">
        <v>60.43</v>
      </c>
      <c r="O46" s="1210">
        <v>33.270000000000003</v>
      </c>
      <c r="P46" s="1210">
        <v>1.02</v>
      </c>
      <c r="Q46" s="1210">
        <v>0.56000000000000005</v>
      </c>
      <c r="R46" s="1210">
        <v>1.0000000000000001E-5</v>
      </c>
      <c r="S46" s="1210">
        <v>1.0000000000000001E-5</v>
      </c>
      <c r="T46" s="1210">
        <v>1.0000000000000001E-5</v>
      </c>
      <c r="U46" s="1210">
        <v>1.0000000000000001E-5</v>
      </c>
      <c r="V46" s="1210">
        <v>1.0000000000000001E-5</v>
      </c>
      <c r="W46" s="1210">
        <v>1.0000000000000001E-5</v>
      </c>
      <c r="X46" s="1210">
        <v>1.0000000000000001E-5</v>
      </c>
      <c r="Y46" s="1210">
        <v>1.0000000000000001E-5</v>
      </c>
      <c r="Z46" s="1210">
        <v>1.0000000000000001E-5</v>
      </c>
      <c r="AA46" s="1210">
        <v>1.0000000000000001E-5</v>
      </c>
      <c r="AB46" s="1210">
        <v>1.0000000000000001E-5</v>
      </c>
      <c r="AC46" s="1210">
        <v>1.0000000000000001E-5</v>
      </c>
      <c r="AD46" s="1210">
        <v>1.0000000000000001E-5</v>
      </c>
      <c r="AE46" s="1210"/>
      <c r="AF46" s="1210"/>
      <c r="AG46" s="1210"/>
      <c r="AH46" s="1210"/>
      <c r="AI46" s="1210"/>
      <c r="AJ46" s="1210"/>
      <c r="AK46" s="1210"/>
      <c r="AL46" s="1210"/>
      <c r="AM46" s="1210"/>
      <c r="AN46" s="1210"/>
      <c r="AO46" s="1210"/>
      <c r="AP46" s="1210"/>
    </row>
    <row r="47" spans="1:42" s="1212" customFormat="1" x14ac:dyDescent="0.25">
      <c r="A47" s="1208">
        <v>900205</v>
      </c>
      <c r="B47" s="1209"/>
      <c r="C47" s="1209"/>
      <c r="D47" s="1209"/>
      <c r="E47" s="1210" t="s">
        <v>409</v>
      </c>
      <c r="F47" s="1210">
        <v>1.53</v>
      </c>
      <c r="G47" s="1210">
        <v>1.2</v>
      </c>
      <c r="H47" s="1210">
        <v>0</v>
      </c>
      <c r="I47" s="1210">
        <v>0.03</v>
      </c>
      <c r="J47" s="1210">
        <v>328.64</v>
      </c>
      <c r="K47" s="1210">
        <v>116.38</v>
      </c>
      <c r="L47" s="1210">
        <v>196.8</v>
      </c>
      <c r="M47" s="1210"/>
      <c r="N47" s="1210">
        <v>61.56</v>
      </c>
      <c r="O47" s="1210">
        <v>34.909999999999997</v>
      </c>
      <c r="P47" s="1210">
        <v>1.33</v>
      </c>
      <c r="Q47" s="1210">
        <v>0.89</v>
      </c>
      <c r="R47" s="1210">
        <v>1.0000000000000001E-5</v>
      </c>
      <c r="S47" s="1210">
        <v>1.0000000000000001E-5</v>
      </c>
      <c r="T47" s="1210">
        <v>1.0000000000000001E-5</v>
      </c>
      <c r="U47" s="1210">
        <v>1.0000000000000001E-5</v>
      </c>
      <c r="V47" s="1210">
        <v>1.0000000000000001E-5</v>
      </c>
      <c r="W47" s="1210">
        <v>1.0000000000000001E-5</v>
      </c>
      <c r="X47" s="1210">
        <v>1.0000000000000001E-5</v>
      </c>
      <c r="Y47" s="1210">
        <v>1.0000000000000001E-5</v>
      </c>
      <c r="Z47" s="1210">
        <v>1.0000000000000001E-5</v>
      </c>
      <c r="AA47" s="1210">
        <v>1.0000000000000001E-5</v>
      </c>
      <c r="AB47" s="1210">
        <v>1.0000000000000001E-5</v>
      </c>
      <c r="AC47" s="1210">
        <v>1.0000000000000001E-5</v>
      </c>
      <c r="AD47" s="1210">
        <v>1.0000000000000001E-5</v>
      </c>
      <c r="AE47" s="1210"/>
      <c r="AF47" s="1210"/>
      <c r="AG47" s="1210"/>
      <c r="AH47" s="1210"/>
      <c r="AI47" s="1210"/>
      <c r="AJ47" s="1210"/>
      <c r="AK47" s="1210"/>
      <c r="AL47" s="1210"/>
      <c r="AM47" s="1210"/>
      <c r="AN47" s="1210"/>
      <c r="AO47" s="1210"/>
      <c r="AP47" s="1210"/>
    </row>
    <row r="48" spans="1:42" s="1212" customFormat="1" x14ac:dyDescent="0.25">
      <c r="A48" s="1208">
        <v>900219</v>
      </c>
      <c r="B48" s="1209"/>
      <c r="C48" s="1209"/>
      <c r="D48" s="1209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  <c r="R48" s="1210">
        <v>1.0000000000000001E-5</v>
      </c>
      <c r="S48" s="1210">
        <v>1.0000000000000001E-5</v>
      </c>
      <c r="T48" s="1210">
        <v>1.0000000000000001E-5</v>
      </c>
      <c r="U48" s="1210">
        <v>1.0000000000000001E-5</v>
      </c>
      <c r="V48" s="1210">
        <v>1.0000000000000001E-5</v>
      </c>
      <c r="W48" s="1210">
        <v>1.0000000000000001E-5</v>
      </c>
      <c r="X48" s="1210">
        <v>1.0000000000000001E-5</v>
      </c>
      <c r="Y48" s="1210">
        <v>1.0000000000000001E-5</v>
      </c>
      <c r="Z48" s="1210">
        <v>1.0000000000000001E-5</v>
      </c>
      <c r="AA48" s="1210">
        <v>1.0000000000000001E-5</v>
      </c>
      <c r="AB48" s="1210">
        <v>1.0000000000000001E-5</v>
      </c>
      <c r="AC48" s="1210">
        <v>1.0000000000000001E-5</v>
      </c>
      <c r="AD48" s="1210">
        <v>1.0000000000000001E-5</v>
      </c>
      <c r="AE48" s="1210"/>
      <c r="AF48" s="1210">
        <v>1.0000000000000001E-5</v>
      </c>
      <c r="AG48" s="1210"/>
      <c r="AH48" s="1210"/>
      <c r="AI48" s="1210"/>
      <c r="AJ48" s="1210"/>
      <c r="AK48" s="1210"/>
      <c r="AL48" s="1210"/>
      <c r="AM48" s="1210"/>
      <c r="AN48" s="1210"/>
      <c r="AO48" s="1210"/>
      <c r="AP48" s="1210"/>
    </row>
    <row r="49" spans="1:43" s="1212" customFormat="1" x14ac:dyDescent="0.25">
      <c r="A49" s="1208">
        <v>912010</v>
      </c>
      <c r="B49" s="1209"/>
      <c r="C49" s="1209"/>
      <c r="D49" s="1209"/>
      <c r="E49" s="1210">
        <v>6.93</v>
      </c>
      <c r="F49" s="1210">
        <v>1.35</v>
      </c>
      <c r="G49" s="1210">
        <v>1.82</v>
      </c>
      <c r="H49" s="1210">
        <v>0</v>
      </c>
      <c r="I49" s="1210">
        <v>0.04</v>
      </c>
      <c r="J49" s="1210">
        <v>338.88</v>
      </c>
      <c r="K49" s="1210">
        <v>132.44999999999999</v>
      </c>
      <c r="L49" s="1210"/>
      <c r="M49" s="1210"/>
      <c r="N49" s="1210">
        <v>58.17</v>
      </c>
      <c r="O49" s="1210">
        <v>40.299999999999997</v>
      </c>
      <c r="P49" s="1210">
        <v>0.01</v>
      </c>
      <c r="Q49" s="1210">
        <v>0.56000000000000005</v>
      </c>
      <c r="R49" s="1210">
        <v>0.05</v>
      </c>
      <c r="S49" s="1210">
        <v>0</v>
      </c>
      <c r="T49" s="1210">
        <v>0</v>
      </c>
      <c r="U49" s="1210">
        <v>0</v>
      </c>
      <c r="V49" s="1210">
        <v>0</v>
      </c>
      <c r="W49" s="1210"/>
      <c r="X49" s="1210">
        <v>0.01</v>
      </c>
      <c r="Y49" s="1210">
        <v>0.1</v>
      </c>
      <c r="Z49" s="1210">
        <v>0</v>
      </c>
      <c r="AA49" s="1210">
        <v>0.02</v>
      </c>
      <c r="AB49" s="1210">
        <v>4.1500000000000004</v>
      </c>
      <c r="AC49" s="1210"/>
      <c r="AD49" s="1210"/>
      <c r="AE49" s="1210"/>
      <c r="AF49" s="1210"/>
      <c r="AG49" s="1210"/>
      <c r="AH49" s="1210"/>
      <c r="AI49" s="1210"/>
      <c r="AJ49" s="1210"/>
      <c r="AK49" s="1210"/>
      <c r="AL49" s="1210"/>
      <c r="AM49" s="1210"/>
      <c r="AN49" s="1210"/>
      <c r="AO49" s="1210"/>
      <c r="AP49" s="1210"/>
    </row>
    <row r="50" spans="1:43" s="1212" customFormat="1" x14ac:dyDescent="0.25">
      <c r="A50" s="1208">
        <v>902010</v>
      </c>
      <c r="B50" s="1209"/>
      <c r="C50" s="1209"/>
      <c r="D50" s="1209"/>
      <c r="E50" s="1210">
        <v>7.88</v>
      </c>
      <c r="F50" s="1210">
        <v>1.651</v>
      </c>
      <c r="G50" s="1210">
        <v>1.82</v>
      </c>
      <c r="H50" s="1210">
        <v>0</v>
      </c>
      <c r="I50" s="1210">
        <v>0.04</v>
      </c>
      <c r="J50" s="1210">
        <v>338.88</v>
      </c>
      <c r="K50" s="1210">
        <v>132.44999999999999</v>
      </c>
      <c r="L50" s="1210">
        <v>177.60000000000002</v>
      </c>
      <c r="M50" s="1210">
        <v>0</v>
      </c>
      <c r="N50" s="1210">
        <v>58.17</v>
      </c>
      <c r="O50" s="1210">
        <v>40.299999999999997</v>
      </c>
      <c r="P50" s="1210"/>
      <c r="Q50" s="1210">
        <v>0.63</v>
      </c>
      <c r="R50" s="1210">
        <v>0.05</v>
      </c>
      <c r="S50" s="1210">
        <v>1E-4</v>
      </c>
      <c r="T50" s="1210">
        <v>1E-4</v>
      </c>
      <c r="U50" s="1210">
        <v>1E-4</v>
      </c>
      <c r="V50" s="1210"/>
      <c r="W50" s="1210"/>
      <c r="X50" s="1210"/>
      <c r="Y50" s="1210"/>
      <c r="Z50" s="1210"/>
      <c r="AA50" s="1210"/>
      <c r="AB50" s="1210"/>
      <c r="AC50" s="1210"/>
      <c r="AD50" s="1210"/>
      <c r="AE50" s="1210"/>
      <c r="AF50" s="1210"/>
      <c r="AG50" s="1210"/>
      <c r="AH50" s="1210"/>
      <c r="AI50" s="1210"/>
      <c r="AJ50" s="1210"/>
      <c r="AK50" s="1210"/>
      <c r="AL50" s="1210"/>
      <c r="AM50" s="1210"/>
      <c r="AN50" s="1210"/>
      <c r="AO50" s="1210"/>
      <c r="AP50" s="1210"/>
      <c r="AQ50" s="1212">
        <f>0.27*10</f>
        <v>2.7</v>
      </c>
    </row>
    <row r="51" spans="1:43" s="1212" customFormat="1" x14ac:dyDescent="0.25">
      <c r="A51" s="1208">
        <v>902011</v>
      </c>
      <c r="B51" s="1209"/>
      <c r="C51" s="1209"/>
      <c r="D51" s="1209"/>
      <c r="E51" s="1210">
        <v>7.61</v>
      </c>
      <c r="F51" s="1210">
        <v>1.6559999999999999</v>
      </c>
      <c r="G51" s="1210">
        <v>9.7100000000000009</v>
      </c>
      <c r="H51" s="1210">
        <v>0</v>
      </c>
      <c r="I51" s="1210">
        <v>0.04</v>
      </c>
      <c r="J51" s="1210">
        <v>283.75</v>
      </c>
      <c r="K51" s="1210">
        <v>229.60000000000002</v>
      </c>
      <c r="L51" s="1210">
        <f>(8.9-0.1)*24</f>
        <v>211.20000000000002</v>
      </c>
      <c r="M51" s="1210"/>
      <c r="N51" s="1210">
        <v>100.422</v>
      </c>
      <c r="O51" s="1210">
        <v>41.427</v>
      </c>
      <c r="P51" s="1210"/>
      <c r="Q51" s="1210">
        <f>(10+13)/2</f>
        <v>11.5</v>
      </c>
      <c r="R51" s="1210">
        <v>0.1</v>
      </c>
      <c r="S51" s="1210">
        <v>1E-4</v>
      </c>
      <c r="T51" s="1210">
        <v>1E-4</v>
      </c>
      <c r="U51" s="1210">
        <v>0.13</v>
      </c>
      <c r="V51" s="1210"/>
      <c r="W51" s="1210"/>
      <c r="X51" s="1210"/>
      <c r="Y51" s="1210"/>
      <c r="Z51" s="1210"/>
      <c r="AA51" s="1210"/>
      <c r="AB51" s="1210"/>
      <c r="AC51" s="1210"/>
      <c r="AD51" s="1210"/>
      <c r="AE51" s="1210"/>
      <c r="AF51" s="1210"/>
      <c r="AG51" s="1210"/>
      <c r="AH51" s="1210"/>
      <c r="AI51" s="1210"/>
      <c r="AJ51" s="1210"/>
      <c r="AK51" s="1210"/>
      <c r="AL51" s="1210"/>
      <c r="AM51" s="1210"/>
      <c r="AN51" s="1210"/>
      <c r="AO51" s="1210"/>
      <c r="AP51" s="1210"/>
    </row>
    <row r="52" spans="1:43" s="1212" customFormat="1" x14ac:dyDescent="0.25">
      <c r="A52" s="1208">
        <v>902012</v>
      </c>
      <c r="B52" s="1209"/>
      <c r="C52" s="1209"/>
      <c r="D52" s="1209"/>
      <c r="E52" s="1210">
        <v>7.76</v>
      </c>
      <c r="F52" s="1210">
        <v>1.6930000000000001</v>
      </c>
      <c r="G52" s="1210">
        <v>10.029999999999999</v>
      </c>
      <c r="H52" s="1210">
        <v>0</v>
      </c>
      <c r="I52" s="1210">
        <v>0.04</v>
      </c>
      <c r="J52" s="1210">
        <v>283.05</v>
      </c>
      <c r="K52" s="1210">
        <v>227.2</v>
      </c>
      <c r="L52" s="1210">
        <f>(9.5-0.1)*24</f>
        <v>225.60000000000002</v>
      </c>
      <c r="M52" s="1210"/>
      <c r="N52" s="1210">
        <v>93.872</v>
      </c>
      <c r="O52" s="1210">
        <v>45.88</v>
      </c>
      <c r="P52" s="1210"/>
      <c r="Q52" s="1210">
        <v>0.67900000000000005</v>
      </c>
      <c r="R52" s="1210">
        <v>0.02</v>
      </c>
      <c r="S52" s="1210">
        <v>1E-4</v>
      </c>
      <c r="T52" s="1210">
        <v>1E-4</v>
      </c>
      <c r="U52" s="1210">
        <v>0.01</v>
      </c>
      <c r="V52" s="1210"/>
      <c r="W52" s="1210"/>
      <c r="X52" s="1210"/>
      <c r="Y52" s="1210"/>
      <c r="Z52" s="1210"/>
      <c r="AA52" s="1210"/>
      <c r="AB52" s="1210"/>
      <c r="AC52" s="1210"/>
      <c r="AD52" s="1210"/>
      <c r="AE52" s="1210"/>
      <c r="AF52" s="1210"/>
      <c r="AG52" s="1210"/>
      <c r="AH52" s="1210"/>
      <c r="AI52" s="1210"/>
      <c r="AJ52" s="1210"/>
      <c r="AK52" s="1210"/>
      <c r="AL52" s="1210"/>
      <c r="AM52" s="1210"/>
      <c r="AN52" s="1210"/>
      <c r="AO52" s="1210"/>
      <c r="AP52" s="1210"/>
    </row>
    <row r="53" spans="1:43" s="1212" customFormat="1" x14ac:dyDescent="0.25">
      <c r="A53" s="1208">
        <v>902013</v>
      </c>
      <c r="B53" s="1209"/>
      <c r="C53" s="1209"/>
      <c r="D53" s="1209"/>
      <c r="E53" s="1210">
        <v>7.91</v>
      </c>
      <c r="F53" s="1210">
        <v>0.18</v>
      </c>
      <c r="G53" s="1210">
        <v>3.95</v>
      </c>
      <c r="H53" s="1210">
        <v>0</v>
      </c>
      <c r="I53" s="1210">
        <v>7.0000000000000007E-2</v>
      </c>
      <c r="J53" s="1210">
        <v>40.67</v>
      </c>
      <c r="K53" s="1210">
        <v>7.63</v>
      </c>
      <c r="L53" s="1210">
        <f>(1.1-0.1)*24</f>
        <v>24</v>
      </c>
      <c r="M53" s="1210">
        <v>0</v>
      </c>
      <c r="N53" s="1210">
        <v>2.69</v>
      </c>
      <c r="O53" s="1210">
        <v>1.1299999999999999</v>
      </c>
      <c r="P53" s="1210"/>
      <c r="Q53" s="1210">
        <v>1.01</v>
      </c>
      <c r="R53" s="1210">
        <v>0.19</v>
      </c>
      <c r="S53" s="1210">
        <v>1E-4</v>
      </c>
      <c r="T53" s="1210">
        <v>1E-3</v>
      </c>
      <c r="U53" s="1210">
        <v>0.13</v>
      </c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</row>
    <row r="54" spans="1:43" s="1212" customFormat="1" x14ac:dyDescent="0.25">
      <c r="A54" s="1208">
        <v>902014</v>
      </c>
      <c r="B54" s="1209"/>
      <c r="C54" s="1209"/>
      <c r="D54" s="1209"/>
      <c r="E54" s="1210">
        <v>7.7</v>
      </c>
      <c r="F54" s="1210">
        <v>0.75600000000000001</v>
      </c>
      <c r="G54" s="1752">
        <v>3.4909677419354836</v>
      </c>
      <c r="H54" s="1210">
        <v>0</v>
      </c>
      <c r="I54" s="1210">
        <v>0.02</v>
      </c>
      <c r="J54" s="1210">
        <v>16.5</v>
      </c>
      <c r="K54" s="1210">
        <v>26.34</v>
      </c>
      <c r="L54" s="1210">
        <f>(14-0.1)*24</f>
        <v>333.6</v>
      </c>
      <c r="M54" s="1210">
        <v>0</v>
      </c>
      <c r="N54" s="1210">
        <v>77.260000000000005</v>
      </c>
      <c r="O54" s="1210">
        <v>39.31</v>
      </c>
      <c r="P54" s="1210"/>
      <c r="Q54" s="1210">
        <v>0.41499999999999998</v>
      </c>
      <c r="R54" s="1210">
        <v>0.03</v>
      </c>
      <c r="S54" s="1210">
        <v>1E-3</v>
      </c>
      <c r="T54" s="1210">
        <v>1E-4</v>
      </c>
      <c r="U54" s="1210">
        <v>1E-3</v>
      </c>
      <c r="V54" s="1210"/>
      <c r="W54" s="1210"/>
      <c r="X54" s="1210"/>
      <c r="Y54" s="1210"/>
      <c r="Z54" s="1210"/>
      <c r="AA54" s="1210"/>
      <c r="AB54" s="1210"/>
      <c r="AC54" s="1210"/>
      <c r="AD54" s="1210"/>
      <c r="AE54" s="1210"/>
      <c r="AF54" s="1210">
        <v>1E-3</v>
      </c>
      <c r="AG54" s="1210"/>
      <c r="AH54" s="1210"/>
      <c r="AI54" s="1210"/>
      <c r="AJ54" s="1210"/>
      <c r="AK54" s="1210"/>
      <c r="AL54" s="1210"/>
      <c r="AM54" s="1210"/>
      <c r="AN54" s="1210"/>
      <c r="AO54" s="1210"/>
      <c r="AP54" s="1210"/>
    </row>
    <row r="55" spans="1:43" s="1212" customFormat="1" x14ac:dyDescent="0.25">
      <c r="A55" s="1208">
        <v>902015</v>
      </c>
      <c r="B55" s="1209"/>
      <c r="C55" s="1209"/>
      <c r="D55" s="1209"/>
      <c r="E55" s="1210">
        <v>6.78</v>
      </c>
      <c r="F55" s="1210">
        <v>1.1439999999999999</v>
      </c>
      <c r="G55" s="1210">
        <v>13.71</v>
      </c>
      <c r="H55" s="1210">
        <v>0</v>
      </c>
      <c r="I55" s="1210">
        <v>0.06</v>
      </c>
      <c r="J55" s="1210">
        <v>176</v>
      </c>
      <c r="K55" s="1210">
        <v>48.99</v>
      </c>
      <c r="L55" s="1210">
        <f>(12.6-0.1)*24</f>
        <v>300</v>
      </c>
      <c r="M55" s="1210">
        <v>0</v>
      </c>
      <c r="N55" s="1210">
        <v>113.27</v>
      </c>
      <c r="O55" s="1210">
        <v>28.16</v>
      </c>
      <c r="P55" s="1210"/>
      <c r="Q55" s="1210">
        <v>1.54</v>
      </c>
      <c r="R55" s="1210">
        <v>1E-3</v>
      </c>
      <c r="S55" s="1210">
        <v>1E-3</v>
      </c>
      <c r="T55" s="1210">
        <v>1E-3</v>
      </c>
      <c r="U55" s="1210">
        <v>0.02</v>
      </c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</row>
    <row r="56" spans="1:43" s="1212" customFormat="1" x14ac:dyDescent="0.25">
      <c r="A56" s="1208" t="s">
        <v>478</v>
      </c>
      <c r="B56" s="1209"/>
      <c r="C56" s="1209"/>
      <c r="D56" s="1209"/>
      <c r="E56" s="1210">
        <v>6.76</v>
      </c>
      <c r="F56" s="1210">
        <v>1.49</v>
      </c>
      <c r="G56" s="1210">
        <v>86.82</v>
      </c>
      <c r="H56" s="1210">
        <v>0</v>
      </c>
      <c r="I56" s="1210">
        <v>0.06</v>
      </c>
      <c r="J56" s="1210" t="s">
        <v>479</v>
      </c>
      <c r="K56" s="1210">
        <v>53.4</v>
      </c>
      <c r="L56" s="1210">
        <f>(20.7-0.1)*24</f>
        <v>494.4</v>
      </c>
      <c r="M56" s="1210">
        <v>0</v>
      </c>
      <c r="N56" s="1210">
        <v>140.66999999999999</v>
      </c>
      <c r="O56" s="1210">
        <v>75.66</v>
      </c>
      <c r="P56" s="1210"/>
      <c r="Q56" s="1210">
        <v>0.53</v>
      </c>
      <c r="R56" s="1210">
        <v>0.02</v>
      </c>
      <c r="S56" s="1210">
        <v>1E-3</v>
      </c>
      <c r="T56" s="1210">
        <v>1E-3</v>
      </c>
      <c r="U56" s="1210">
        <v>1E-4</v>
      </c>
      <c r="V56" s="1210"/>
      <c r="W56" s="1210"/>
      <c r="X56" s="1210"/>
      <c r="Y56" s="1210"/>
      <c r="Z56" s="1210"/>
      <c r="AA56" s="1210"/>
      <c r="AB56" s="1210"/>
      <c r="AC56" s="1210"/>
      <c r="AD56" s="1210"/>
      <c r="AE56" s="1210"/>
      <c r="AF56" s="1210"/>
      <c r="AG56" s="1210"/>
      <c r="AH56" s="1210"/>
      <c r="AI56" s="1210"/>
      <c r="AJ56" s="1210"/>
      <c r="AK56" s="1210"/>
      <c r="AL56" s="1210"/>
      <c r="AM56" s="1210"/>
      <c r="AN56" s="1210"/>
      <c r="AO56" s="1210"/>
      <c r="AP56" s="1210"/>
    </row>
    <row r="57" spans="1:43" s="1212" customFormat="1" x14ac:dyDescent="0.25">
      <c r="A57" s="1208">
        <v>902016</v>
      </c>
      <c r="B57" s="1209"/>
      <c r="C57" s="1209"/>
      <c r="D57" s="1209"/>
      <c r="E57" s="1210">
        <v>7.2</v>
      </c>
      <c r="F57" s="1210">
        <v>3.52</v>
      </c>
      <c r="G57" s="1210">
        <v>23.99</v>
      </c>
      <c r="H57" s="1210">
        <v>0</v>
      </c>
      <c r="I57" s="1210">
        <v>0.05</v>
      </c>
      <c r="J57" s="1210">
        <v>869.75</v>
      </c>
      <c r="K57" s="1210">
        <v>407.65</v>
      </c>
      <c r="L57" s="1210">
        <v>254.39999999999998</v>
      </c>
      <c r="M57" s="1210">
        <v>0</v>
      </c>
      <c r="N57" s="1210">
        <v>181.84</v>
      </c>
      <c r="O57" s="1210">
        <v>96.2</v>
      </c>
      <c r="P57" s="1210"/>
      <c r="Q57" s="1210">
        <v>1.27</v>
      </c>
      <c r="R57" s="1210">
        <v>1E-4</v>
      </c>
      <c r="S57" s="1210">
        <v>1E-4</v>
      </c>
      <c r="T57" s="1210">
        <v>1E-4</v>
      </c>
      <c r="U57" s="1211" t="s">
        <v>467</v>
      </c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</row>
    <row r="58" spans="1:43" s="1212" customFormat="1" x14ac:dyDescent="0.25">
      <c r="A58" s="1208">
        <v>902017</v>
      </c>
      <c r="B58" s="1209"/>
      <c r="C58" s="1209"/>
      <c r="D58" s="1209"/>
      <c r="E58" s="1210">
        <v>6.96</v>
      </c>
      <c r="F58" s="1210">
        <v>1.6439999999999999</v>
      </c>
      <c r="G58" s="1210">
        <v>112.64</v>
      </c>
      <c r="H58" s="1210">
        <v>0</v>
      </c>
      <c r="I58" s="1210">
        <v>0.05</v>
      </c>
      <c r="J58" s="1210">
        <v>237.85</v>
      </c>
      <c r="K58" s="1210">
        <v>86.97</v>
      </c>
      <c r="L58" s="1210">
        <v>441.59999999999997</v>
      </c>
      <c r="M58" s="1210">
        <v>0</v>
      </c>
      <c r="N58" s="1210">
        <v>184.63</v>
      </c>
      <c r="O58" s="1210">
        <v>64.760000000000005</v>
      </c>
      <c r="P58" s="1210"/>
      <c r="Q58" s="1210">
        <v>0.92200000000000004</v>
      </c>
      <c r="R58" s="1210">
        <v>1E-4</v>
      </c>
      <c r="S58" s="1210">
        <v>1E-4</v>
      </c>
      <c r="T58" s="1210">
        <v>1E-4</v>
      </c>
      <c r="U58" s="1211" t="s">
        <v>467</v>
      </c>
      <c r="V58" s="1210"/>
      <c r="W58" s="1210"/>
      <c r="X58" s="1210"/>
      <c r="Y58" s="1210"/>
      <c r="Z58" s="1210"/>
      <c r="AA58" s="1210"/>
      <c r="AB58" s="1210"/>
      <c r="AC58" s="1210"/>
      <c r="AD58" s="1210"/>
      <c r="AE58" s="1210"/>
      <c r="AF58" s="1210"/>
      <c r="AG58" s="1210"/>
      <c r="AH58" s="1210"/>
      <c r="AI58" s="1210"/>
      <c r="AJ58" s="1210"/>
      <c r="AK58" s="1210"/>
      <c r="AL58" s="1210"/>
      <c r="AM58" s="1210"/>
      <c r="AN58" s="1210"/>
      <c r="AO58" s="1210"/>
      <c r="AP58" s="1210"/>
    </row>
    <row r="59" spans="1:43" s="1212" customFormat="1" x14ac:dyDescent="0.25">
      <c r="A59" s="1208">
        <v>902018</v>
      </c>
      <c r="B59" s="1209"/>
      <c r="C59" s="1209"/>
      <c r="D59" s="1209"/>
      <c r="E59" s="1210">
        <v>6.8</v>
      </c>
      <c r="F59" s="1210">
        <v>1.292</v>
      </c>
      <c r="G59" s="1210">
        <v>112.16</v>
      </c>
      <c r="H59" s="1210">
        <v>0</v>
      </c>
      <c r="I59" s="1210">
        <v>0.06</v>
      </c>
      <c r="J59" s="1210">
        <v>173.95</v>
      </c>
      <c r="K59" s="1210">
        <v>41.52</v>
      </c>
      <c r="L59" s="1210">
        <v>398.4</v>
      </c>
      <c r="M59" s="1210">
        <v>0</v>
      </c>
      <c r="N59" s="1210">
        <v>144.81</v>
      </c>
      <c r="O59" s="1210">
        <v>51.18</v>
      </c>
      <c r="P59" s="1210"/>
      <c r="Q59" s="1210">
        <v>0.59799999999999998</v>
      </c>
      <c r="R59" s="1210">
        <v>1E-4</v>
      </c>
      <c r="S59" s="1210">
        <v>1E-4</v>
      </c>
      <c r="T59" s="1210">
        <v>1E-4</v>
      </c>
      <c r="U59" s="1211">
        <v>1E-4</v>
      </c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</row>
    <row r="60" spans="1:43" s="1212" customFormat="1" x14ac:dyDescent="0.25">
      <c r="A60" s="1208">
        <v>902019</v>
      </c>
      <c r="B60" s="1209"/>
      <c r="C60" s="1209"/>
      <c r="D60" s="1209"/>
      <c r="E60" s="1210">
        <v>6.8</v>
      </c>
      <c r="F60" s="1210">
        <v>0.307</v>
      </c>
      <c r="G60" s="1210">
        <v>3.77</v>
      </c>
      <c r="H60" s="1210">
        <v>0</v>
      </c>
      <c r="I60" s="1210">
        <v>0.06</v>
      </c>
      <c r="J60" s="1210">
        <v>53.25</v>
      </c>
      <c r="K60" s="1210">
        <v>51.06</v>
      </c>
      <c r="L60" s="1210">
        <v>100.80000000000001</v>
      </c>
      <c r="M60" s="1210">
        <v>0</v>
      </c>
      <c r="N60" s="1210">
        <v>16.46</v>
      </c>
      <c r="O60" s="1210">
        <v>10.29</v>
      </c>
      <c r="P60" s="1210"/>
      <c r="Q60" s="1210">
        <v>0.96899999999999997</v>
      </c>
      <c r="R60" s="1210">
        <v>1E-4</v>
      </c>
      <c r="S60" s="1210">
        <v>1E-4</v>
      </c>
      <c r="T60" s="1210">
        <v>1E-4</v>
      </c>
      <c r="U60" s="1211">
        <v>1E-4</v>
      </c>
      <c r="V60" s="1210"/>
      <c r="W60" s="1210"/>
      <c r="X60" s="1210"/>
      <c r="Y60" s="1210"/>
      <c r="Z60" s="1210"/>
      <c r="AA60" s="1210"/>
      <c r="AB60" s="1210"/>
      <c r="AC60" s="1210"/>
      <c r="AD60" s="1210"/>
      <c r="AE60" s="1210"/>
      <c r="AF60" s="1210"/>
      <c r="AG60" s="1210"/>
      <c r="AH60" s="1210"/>
      <c r="AI60" s="1210"/>
      <c r="AJ60" s="1210"/>
      <c r="AK60" s="1210"/>
      <c r="AL60" s="1210"/>
      <c r="AM60" s="1210"/>
      <c r="AN60" s="1210"/>
      <c r="AO60" s="1210"/>
      <c r="AP60" s="1210"/>
    </row>
    <row r="61" spans="1:43" s="1212" customFormat="1" x14ac:dyDescent="0.25">
      <c r="A61" s="1208">
        <v>902020</v>
      </c>
      <c r="B61" s="1209"/>
      <c r="C61" s="1209"/>
      <c r="D61" s="1209"/>
      <c r="E61" s="1210">
        <v>7.29</v>
      </c>
      <c r="F61" s="1210">
        <v>0.85599999999999998</v>
      </c>
      <c r="G61" s="1210">
        <v>33.71</v>
      </c>
      <c r="H61" s="1210">
        <v>0</v>
      </c>
      <c r="I61" s="1210">
        <v>0.05</v>
      </c>
      <c r="J61" s="1210">
        <v>88.75</v>
      </c>
      <c r="K61" s="1210">
        <v>31.45</v>
      </c>
      <c r="L61" s="1210">
        <v>381.6</v>
      </c>
      <c r="M61" s="1210">
        <v>0</v>
      </c>
      <c r="N61" s="1210">
        <v>69.69</v>
      </c>
      <c r="O61" s="1210">
        <v>11.08</v>
      </c>
      <c r="P61" s="1210"/>
      <c r="Q61" s="1210">
        <v>0.75700000000000001</v>
      </c>
      <c r="R61" s="1210">
        <v>1E-4</v>
      </c>
      <c r="S61" s="1210">
        <v>1E-4</v>
      </c>
      <c r="T61" s="1210">
        <v>1E-4</v>
      </c>
      <c r="U61" s="1210">
        <v>1E-4</v>
      </c>
      <c r="V61" s="1210"/>
      <c r="W61" s="1210"/>
      <c r="X61" s="1210"/>
      <c r="Y61" s="1210"/>
      <c r="Z61" s="1210"/>
      <c r="AA61" s="1210"/>
      <c r="AB61" s="1210"/>
      <c r="AC61" s="1210"/>
      <c r="AD61" s="1210"/>
      <c r="AE61" s="1210"/>
      <c r="AF61" s="1210"/>
      <c r="AG61" s="1210"/>
      <c r="AH61" s="1210"/>
      <c r="AI61" s="1210"/>
      <c r="AJ61" s="1210"/>
      <c r="AK61" s="1210"/>
      <c r="AL61" s="1210"/>
      <c r="AM61" s="1210"/>
      <c r="AN61" s="1210"/>
      <c r="AO61" s="1210"/>
      <c r="AP61" s="1210"/>
    </row>
    <row r="62" spans="1:43" s="1756" customFormat="1" ht="17.100000000000001" customHeight="1" x14ac:dyDescent="0.25">
      <c r="A62" s="1753">
        <v>902021</v>
      </c>
      <c r="B62" s="1754"/>
      <c r="C62" s="1754"/>
      <c r="D62" s="1755"/>
      <c r="E62" s="1755">
        <v>7.26</v>
      </c>
      <c r="F62" s="1755">
        <v>0.88300000000000001</v>
      </c>
      <c r="G62" s="1755">
        <v>9.92</v>
      </c>
      <c r="H62" s="1755">
        <v>0</v>
      </c>
      <c r="I62" s="1755">
        <v>0.13</v>
      </c>
      <c r="J62" s="1755">
        <v>106.032</v>
      </c>
      <c r="K62" s="1755">
        <v>67.510000000000005</v>
      </c>
      <c r="L62" s="1755">
        <v>312</v>
      </c>
      <c r="M62" s="1755">
        <v>0</v>
      </c>
      <c r="N62" s="1755">
        <v>86.31</v>
      </c>
      <c r="O62" s="1755">
        <v>25.38</v>
      </c>
      <c r="P62" s="1755"/>
      <c r="Q62" s="1755">
        <v>1.01</v>
      </c>
      <c r="R62" s="1755">
        <v>0.01</v>
      </c>
      <c r="S62" s="1755">
        <v>1E-3</v>
      </c>
      <c r="T62" s="1755">
        <v>1E-3</v>
      </c>
      <c r="U62" s="1755">
        <v>1E-3</v>
      </c>
      <c r="V62" s="1755"/>
      <c r="W62" s="1755"/>
      <c r="X62" s="1755"/>
      <c r="Y62" s="1755"/>
      <c r="Z62" s="1755"/>
      <c r="AA62" s="1755"/>
      <c r="AB62" s="1755"/>
      <c r="AC62" s="1755"/>
      <c r="AD62" s="1755"/>
      <c r="AE62" s="1755"/>
      <c r="AF62" s="1755"/>
      <c r="AG62" s="1755"/>
      <c r="AH62" s="1755"/>
      <c r="AI62" s="1755"/>
      <c r="AJ62" s="1755"/>
      <c r="AK62" s="1755"/>
      <c r="AL62" s="1755"/>
      <c r="AM62" s="1755"/>
      <c r="AN62" s="1755"/>
      <c r="AO62" s="1755"/>
      <c r="AP62" s="1755"/>
    </row>
    <row r="63" spans="1:43" s="1756" customFormat="1" x14ac:dyDescent="0.25">
      <c r="A63" s="1753">
        <v>902022</v>
      </c>
      <c r="B63" s="1754"/>
      <c r="C63" s="1754"/>
      <c r="D63" s="1755"/>
      <c r="E63" s="1755">
        <v>7.18</v>
      </c>
      <c r="F63" s="1755">
        <v>0.76800000000000002</v>
      </c>
      <c r="G63" s="1755">
        <v>5.46</v>
      </c>
      <c r="H63" s="1755">
        <v>0</v>
      </c>
      <c r="I63" s="1755">
        <v>0.14000000000000001</v>
      </c>
      <c r="J63" s="1755">
        <v>86.160000000000011</v>
      </c>
      <c r="K63" s="1755">
        <v>64.81</v>
      </c>
      <c r="L63" s="1755">
        <v>259.20000000000005</v>
      </c>
      <c r="M63" s="1755">
        <v>0</v>
      </c>
      <c r="N63" s="1755">
        <v>81.400000000000006</v>
      </c>
      <c r="O63" s="1755">
        <v>19.8</v>
      </c>
      <c r="P63" s="1755"/>
      <c r="Q63" s="1755">
        <v>0.223</v>
      </c>
      <c r="R63" s="1755">
        <v>0.01</v>
      </c>
      <c r="S63" s="1755">
        <v>1E-3</v>
      </c>
      <c r="T63" s="1755">
        <v>1E-3</v>
      </c>
      <c r="U63" s="1755">
        <v>1E-3</v>
      </c>
      <c r="V63" s="1755"/>
      <c r="W63" s="1755"/>
      <c r="X63" s="1755"/>
      <c r="Y63" s="1755"/>
      <c r="Z63" s="1755"/>
      <c r="AA63" s="1755"/>
      <c r="AB63" s="1755"/>
      <c r="AC63" s="1755"/>
      <c r="AD63" s="1755"/>
      <c r="AE63" s="1755"/>
      <c r="AF63" s="1755"/>
      <c r="AG63" s="1755"/>
      <c r="AH63" s="1755"/>
      <c r="AI63" s="1755"/>
      <c r="AJ63" s="1755"/>
      <c r="AK63" s="1755"/>
      <c r="AL63" s="1755"/>
      <c r="AM63" s="1755"/>
      <c r="AN63" s="1755"/>
      <c r="AO63" s="1755"/>
      <c r="AP63" s="1755"/>
    </row>
    <row r="64" spans="1:43" s="1756" customFormat="1" x14ac:dyDescent="0.25">
      <c r="A64" s="1753">
        <v>902023</v>
      </c>
      <c r="B64" s="1754"/>
      <c r="C64" s="1754"/>
      <c r="D64" s="1755"/>
      <c r="E64" s="1755">
        <v>7.25</v>
      </c>
      <c r="F64" s="1755">
        <v>0.70299999999999996</v>
      </c>
      <c r="G64" s="1755">
        <v>5.29</v>
      </c>
      <c r="H64" s="1755">
        <v>0</v>
      </c>
      <c r="I64" s="1755">
        <v>0.19</v>
      </c>
      <c r="J64" s="1755">
        <v>85.536000000000001</v>
      </c>
      <c r="K64" s="1755">
        <v>55.97</v>
      </c>
      <c r="L64" s="1755">
        <v>261.60000000000002</v>
      </c>
      <c r="M64" s="1755">
        <v>0</v>
      </c>
      <c r="N64" s="1755">
        <v>72.41</v>
      </c>
      <c r="O64" s="1755">
        <v>17.760000000000002</v>
      </c>
      <c r="P64" s="1755"/>
      <c r="Q64" s="1755">
        <v>0.26600000000000001</v>
      </c>
      <c r="R64" s="1755">
        <v>0.01</v>
      </c>
      <c r="S64" s="1755">
        <v>1E-3</v>
      </c>
      <c r="T64" s="1755">
        <v>1E-3</v>
      </c>
      <c r="U64" s="1755">
        <v>1E-3</v>
      </c>
      <c r="V64" s="1755"/>
      <c r="W64" s="1755"/>
      <c r="X64" s="1755"/>
      <c r="Y64" s="1755"/>
      <c r="Z64" s="1755"/>
      <c r="AA64" s="1755"/>
      <c r="AB64" s="1755"/>
      <c r="AC64" s="1755"/>
      <c r="AD64" s="1755"/>
      <c r="AE64" s="1755"/>
      <c r="AF64" s="1755"/>
      <c r="AG64" s="1755"/>
      <c r="AH64" s="1755"/>
      <c r="AI64" s="1755"/>
      <c r="AJ64" s="1755"/>
      <c r="AK64" s="1755"/>
      <c r="AL64" s="1755"/>
      <c r="AM64" s="1755"/>
      <c r="AN64" s="1755"/>
      <c r="AO64" s="1755"/>
      <c r="AP64" s="1755"/>
    </row>
    <row r="65" spans="1:42" s="1756" customFormat="1" x14ac:dyDescent="0.25">
      <c r="A65" s="1753">
        <v>902024</v>
      </c>
      <c r="B65" s="1754"/>
      <c r="C65" s="1754"/>
      <c r="D65" s="1755"/>
      <c r="E65" s="1755">
        <v>7.38</v>
      </c>
      <c r="F65" s="1755">
        <v>1.3580000000000001</v>
      </c>
      <c r="G65" s="1755">
        <v>6.66</v>
      </c>
      <c r="H65" s="1755">
        <v>0</v>
      </c>
      <c r="I65" s="1755">
        <v>0.11</v>
      </c>
      <c r="J65" s="1755">
        <v>259.08800000000002</v>
      </c>
      <c r="K65" s="1755">
        <v>139.13999999999999</v>
      </c>
      <c r="L65" s="1755">
        <v>307.20000000000005</v>
      </c>
      <c r="M65" s="1755">
        <v>0</v>
      </c>
      <c r="N65" s="1755">
        <v>70.47</v>
      </c>
      <c r="O65" s="1755">
        <v>38.450000000000003</v>
      </c>
      <c r="P65" s="1755"/>
      <c r="Q65" s="1755">
        <v>0.56399999999999995</v>
      </c>
      <c r="R65" s="1755">
        <v>0.01</v>
      </c>
      <c r="S65" s="1755">
        <v>1E-3</v>
      </c>
      <c r="T65" s="1755">
        <v>1E-3</v>
      </c>
      <c r="U65" s="1755">
        <v>1E-3</v>
      </c>
      <c r="V65" s="1755"/>
      <c r="W65" s="1755"/>
      <c r="X65" s="1755"/>
      <c r="Y65" s="1755"/>
      <c r="Z65" s="1755"/>
      <c r="AA65" s="1755"/>
      <c r="AB65" s="1755"/>
      <c r="AC65" s="1755"/>
      <c r="AD65" s="1755"/>
      <c r="AE65" s="1755"/>
      <c r="AF65" s="1755"/>
      <c r="AG65" s="1755"/>
      <c r="AH65" s="1755"/>
      <c r="AI65" s="1755"/>
      <c r="AJ65" s="1755"/>
      <c r="AK65" s="1755"/>
      <c r="AL65" s="1755"/>
      <c r="AM65" s="1755"/>
      <c r="AN65" s="1755"/>
      <c r="AO65" s="1755"/>
      <c r="AP65" s="1755"/>
    </row>
    <row r="66" spans="1:42" s="1756" customFormat="1" x14ac:dyDescent="0.25">
      <c r="A66" s="1753">
        <v>902025</v>
      </c>
      <c r="B66" s="1754"/>
      <c r="C66" s="1754"/>
      <c r="D66" s="1755"/>
      <c r="E66" s="1755">
        <v>7.41</v>
      </c>
      <c r="F66" s="1755">
        <v>1.8560000000000001</v>
      </c>
      <c r="G66" s="1755">
        <v>3.76</v>
      </c>
      <c r="H66" s="1755">
        <v>0</v>
      </c>
      <c r="I66" s="1755">
        <v>0.17</v>
      </c>
      <c r="J66" s="1755">
        <v>381.92</v>
      </c>
      <c r="K66" s="1755">
        <v>107.4</v>
      </c>
      <c r="L66" s="1755">
        <v>199.20000000000002</v>
      </c>
      <c r="M66" s="1755">
        <v>0</v>
      </c>
      <c r="N66" s="1755">
        <v>68.95</v>
      </c>
      <c r="O66" s="1755">
        <v>35.39</v>
      </c>
      <c r="P66" s="1755"/>
      <c r="Q66" s="1755">
        <v>0.63900000000000001</v>
      </c>
      <c r="R66" s="1755">
        <v>0.01</v>
      </c>
      <c r="S66" s="1755">
        <v>1E-3</v>
      </c>
      <c r="T66" s="1755">
        <v>1E-3</v>
      </c>
      <c r="U66" s="1755">
        <v>1E-3</v>
      </c>
      <c r="V66" s="1755"/>
      <c r="W66" s="1755"/>
      <c r="X66" s="1755"/>
      <c r="Y66" s="1755"/>
      <c r="Z66" s="1755"/>
      <c r="AA66" s="1755"/>
      <c r="AB66" s="1755"/>
      <c r="AC66" s="1755"/>
      <c r="AD66" s="1755"/>
      <c r="AE66" s="1755"/>
      <c r="AF66" s="1755"/>
      <c r="AG66" s="1755"/>
      <c r="AH66" s="1755"/>
      <c r="AI66" s="1755"/>
      <c r="AJ66" s="1755"/>
      <c r="AK66" s="1755"/>
      <c r="AL66" s="1755"/>
      <c r="AM66" s="1755"/>
      <c r="AN66" s="1755"/>
      <c r="AO66" s="1755"/>
      <c r="AP66" s="1755"/>
    </row>
    <row r="67" spans="1:42" s="1762" customFormat="1" x14ac:dyDescent="0.25">
      <c r="A67" s="1757">
        <v>902026</v>
      </c>
      <c r="B67" s="1758"/>
      <c r="C67" s="1758"/>
      <c r="D67" s="1758"/>
      <c r="E67" s="1759">
        <v>7.44</v>
      </c>
      <c r="F67" s="1759">
        <v>1.514</v>
      </c>
      <c r="G67" s="1760">
        <v>72.87</v>
      </c>
      <c r="H67" s="1759">
        <v>0</v>
      </c>
      <c r="I67" s="1759">
        <v>0.09</v>
      </c>
      <c r="J67" s="1759">
        <f>89.96*1.2</f>
        <v>107.95199999999998</v>
      </c>
      <c r="K67" s="1760">
        <v>146.05000000000001</v>
      </c>
      <c r="L67" s="1759">
        <f>(14.9-0.1)*24</f>
        <v>355.20000000000005</v>
      </c>
      <c r="M67" s="1759">
        <v>0</v>
      </c>
      <c r="N67" s="1759">
        <v>109.74</v>
      </c>
      <c r="O67" s="1759">
        <v>76.2</v>
      </c>
      <c r="P67" s="1759"/>
      <c r="Q67" s="1759">
        <v>0.98099999999999998</v>
      </c>
      <c r="R67" s="1761">
        <v>0.01</v>
      </c>
      <c r="S67" s="1761">
        <v>1E-3</v>
      </c>
      <c r="T67" s="1761">
        <v>1E-3</v>
      </c>
      <c r="U67" s="1759">
        <v>0.05</v>
      </c>
      <c r="V67" s="1759"/>
      <c r="W67" s="1759"/>
      <c r="X67" s="1759"/>
      <c r="Y67" s="1759"/>
      <c r="Z67" s="1759"/>
      <c r="AA67" s="1759"/>
      <c r="AB67" s="1759"/>
      <c r="AC67" s="1759"/>
      <c r="AD67" s="1759"/>
      <c r="AE67" s="1759"/>
      <c r="AF67" s="1759"/>
      <c r="AG67" s="1759"/>
      <c r="AH67" s="1759"/>
      <c r="AI67" s="1759"/>
      <c r="AJ67" s="1759"/>
      <c r="AK67" s="1759"/>
      <c r="AL67" s="1759"/>
      <c r="AM67" s="1759"/>
      <c r="AN67" s="1759"/>
      <c r="AO67" s="1759"/>
      <c r="AP67" s="1759"/>
    </row>
    <row r="68" spans="1:42" s="1212" customFormat="1" x14ac:dyDescent="0.25">
      <c r="A68" s="1208">
        <v>902027</v>
      </c>
      <c r="B68" s="1209"/>
      <c r="C68" s="1209"/>
      <c r="D68" s="1209"/>
      <c r="E68" s="1210">
        <v>7.84</v>
      </c>
      <c r="F68" s="1210">
        <v>0.64400000000000002</v>
      </c>
      <c r="G68" s="1210">
        <v>16.72</v>
      </c>
      <c r="H68" s="1210">
        <v>0</v>
      </c>
      <c r="I68" s="1210">
        <v>0.06</v>
      </c>
      <c r="J68" s="1210">
        <v>33.049999999999997</v>
      </c>
      <c r="K68" s="1210">
        <v>92.85</v>
      </c>
      <c r="L68" s="1210">
        <v>130.30000000000001</v>
      </c>
      <c r="M68" s="1210">
        <v>0</v>
      </c>
      <c r="N68" s="1210">
        <v>95.05</v>
      </c>
      <c r="O68" s="1210">
        <v>19.96</v>
      </c>
      <c r="P68" s="1210"/>
      <c r="Q68" s="1210">
        <v>0.67</v>
      </c>
      <c r="R68" s="1210">
        <v>1E-3</v>
      </c>
      <c r="S68" s="1210">
        <v>1E-3</v>
      </c>
      <c r="T68" s="1210">
        <v>1E-3</v>
      </c>
      <c r="U68" s="1210">
        <v>0.02</v>
      </c>
      <c r="V68" s="1210"/>
      <c r="W68" s="1210"/>
      <c r="X68" s="1210"/>
      <c r="Y68" s="1210"/>
      <c r="Z68" s="1210"/>
      <c r="AA68" s="1210"/>
      <c r="AB68" s="1210"/>
      <c r="AC68" s="1210"/>
      <c r="AD68" s="1210"/>
      <c r="AE68" s="1210"/>
      <c r="AF68" s="1210"/>
      <c r="AG68" s="1210"/>
      <c r="AH68" s="1210"/>
      <c r="AI68" s="1210"/>
      <c r="AJ68" s="1210"/>
      <c r="AK68" s="1210"/>
      <c r="AL68" s="1210"/>
      <c r="AM68" s="1210"/>
      <c r="AN68" s="1210"/>
      <c r="AO68" s="1210"/>
      <c r="AP68" s="1210"/>
    </row>
    <row r="69" spans="1:42" s="1209" customFormat="1" x14ac:dyDescent="0.25">
      <c r="A69" s="1763">
        <v>902028</v>
      </c>
      <c r="E69" s="1209">
        <v>7.12</v>
      </c>
      <c r="F69" s="1209">
        <v>0.74199999999999999</v>
      </c>
      <c r="G69" s="1209">
        <v>2.66</v>
      </c>
      <c r="H69" s="1209">
        <v>0</v>
      </c>
      <c r="I69" s="1209">
        <v>0.03</v>
      </c>
      <c r="J69" s="1209">
        <v>24.560000000000002</v>
      </c>
      <c r="K69" s="1209">
        <v>224</v>
      </c>
      <c r="L69" s="1209">
        <f>(4.4-0.1)*24</f>
        <v>103.20000000000002</v>
      </c>
      <c r="M69" s="1209">
        <v>0</v>
      </c>
      <c r="N69" s="1209">
        <v>130.22999999999999</v>
      </c>
      <c r="O69" s="1209">
        <v>18.73</v>
      </c>
      <c r="Q69" s="1209">
        <v>0.26800000000000002</v>
      </c>
      <c r="R69" s="1209" t="s">
        <v>499</v>
      </c>
      <c r="S69" s="1209">
        <v>1E-3</v>
      </c>
      <c r="T69" s="1209">
        <v>1E-3</v>
      </c>
      <c r="U69" s="1209">
        <v>0.03</v>
      </c>
    </row>
    <row r="70" spans="1:42" s="1209" customFormat="1" x14ac:dyDescent="0.25">
      <c r="A70" s="1763">
        <v>902029</v>
      </c>
      <c r="E70" s="1209">
        <v>7.07</v>
      </c>
      <c r="F70" s="1209">
        <v>0.79500000000000004</v>
      </c>
      <c r="G70" s="1209">
        <v>2.2999999999999998</v>
      </c>
      <c r="H70" s="1209">
        <v>0</v>
      </c>
      <c r="I70" s="1209">
        <v>0.03</v>
      </c>
      <c r="J70" s="1209">
        <v>27.792000000000002</v>
      </c>
      <c r="K70" s="1209">
        <v>246</v>
      </c>
      <c r="L70" s="1209">
        <f>(4.2-0.1)*24</f>
        <v>98.4</v>
      </c>
      <c r="M70" s="1209">
        <v>0</v>
      </c>
      <c r="N70" s="1209">
        <v>116.02</v>
      </c>
      <c r="O70" s="1209">
        <v>18.48</v>
      </c>
      <c r="Q70" s="1209">
        <v>0.7</v>
      </c>
      <c r="R70" s="1209">
        <v>0.05</v>
      </c>
      <c r="S70" s="1209">
        <v>1E-3</v>
      </c>
      <c r="T70" s="1209">
        <v>1E-3</v>
      </c>
      <c r="U70" s="1209">
        <v>0.06</v>
      </c>
    </row>
    <row r="71" spans="1:42" s="1209" customFormat="1" x14ac:dyDescent="0.25">
      <c r="A71" s="1763">
        <v>902030</v>
      </c>
      <c r="E71" s="1209">
        <v>7.06</v>
      </c>
      <c r="F71" s="1209">
        <v>2.097</v>
      </c>
      <c r="G71" s="1209">
        <v>45.99</v>
      </c>
      <c r="H71" s="1209">
        <v>0</v>
      </c>
      <c r="I71" s="1209">
        <v>0.06</v>
      </c>
      <c r="J71" s="1209">
        <v>239.47199999999998</v>
      </c>
      <c r="K71" s="1209">
        <v>214.05</v>
      </c>
      <c r="L71" s="1209">
        <f>(13.9-0.1)*24</f>
        <v>331.20000000000005</v>
      </c>
      <c r="M71" s="1209">
        <v>0</v>
      </c>
      <c r="N71" s="1209">
        <v>126.26</v>
      </c>
      <c r="O71" s="1209">
        <v>92.39</v>
      </c>
      <c r="Q71" s="1209">
        <v>0.17</v>
      </c>
      <c r="R71" s="1209">
        <v>0.03</v>
      </c>
      <c r="S71" s="1209">
        <v>1E-3</v>
      </c>
      <c r="T71" s="1209">
        <v>1E-3</v>
      </c>
      <c r="U71" s="1209">
        <v>0</v>
      </c>
    </row>
    <row r="72" spans="1:42" s="1209" customFormat="1" x14ac:dyDescent="0.25">
      <c r="A72" s="1763">
        <v>902031</v>
      </c>
      <c r="E72" s="1209">
        <v>7.21</v>
      </c>
      <c r="F72" s="1209">
        <v>0.26800000000000002</v>
      </c>
      <c r="G72" s="1209">
        <v>2.4</v>
      </c>
      <c r="H72" s="1209">
        <v>0</v>
      </c>
      <c r="I72" s="1209">
        <v>0.03</v>
      </c>
      <c r="J72" s="1209">
        <v>40.32</v>
      </c>
      <c r="K72" s="1209">
        <v>33.54</v>
      </c>
      <c r="L72" s="1209">
        <f>(2.3-0.1)*24</f>
        <v>52.8</v>
      </c>
      <c r="M72" s="1209">
        <v>0</v>
      </c>
      <c r="N72" s="1209">
        <v>15.53</v>
      </c>
      <c r="O72" s="1209">
        <v>5.62</v>
      </c>
      <c r="Q72" s="1209">
        <v>0.253</v>
      </c>
      <c r="R72" s="1209">
        <v>1E-3</v>
      </c>
      <c r="S72" s="1209">
        <v>1E-3</v>
      </c>
      <c r="T72" s="1209">
        <v>1E-3</v>
      </c>
      <c r="U72" s="1209">
        <v>0</v>
      </c>
    </row>
    <row r="73" spans="1:42" s="1209" customFormat="1" x14ac:dyDescent="0.25">
      <c r="A73" s="1763">
        <v>902032</v>
      </c>
      <c r="E73" s="1209">
        <v>7.03</v>
      </c>
      <c r="F73" s="1209">
        <v>0.20300000000000001</v>
      </c>
      <c r="G73" s="1209">
        <v>47.06</v>
      </c>
      <c r="H73" s="1209">
        <v>0</v>
      </c>
      <c r="I73" s="1209">
        <v>0.06</v>
      </c>
      <c r="J73" s="1209">
        <v>232.608</v>
      </c>
      <c r="K73" s="1209">
        <v>155.08000000000001</v>
      </c>
      <c r="L73" s="1209">
        <f>(14.4-0.1)*24</f>
        <v>343.20000000000005</v>
      </c>
      <c r="M73" s="1209">
        <v>0</v>
      </c>
      <c r="N73" s="1209">
        <v>123.46</v>
      </c>
      <c r="O73" s="1209">
        <v>86.6</v>
      </c>
      <c r="Q73" s="1209">
        <v>0.68100000000000005</v>
      </c>
      <c r="R73" s="1209">
        <v>1E-3</v>
      </c>
      <c r="S73" s="1209">
        <v>1E-3</v>
      </c>
      <c r="T73" s="1209">
        <v>1E-3</v>
      </c>
      <c r="U73" s="1209">
        <v>0</v>
      </c>
    </row>
    <row r="74" spans="1:42" s="1212" customFormat="1" x14ac:dyDescent="0.25">
      <c r="A74" s="1208">
        <v>900471</v>
      </c>
      <c r="B74" s="1209"/>
      <c r="C74" s="1209"/>
      <c r="D74" s="1209"/>
      <c r="E74" s="1210"/>
      <c r="F74" s="1210"/>
      <c r="G74" s="1210"/>
      <c r="H74" s="1210"/>
      <c r="I74" s="1210"/>
      <c r="J74" s="1210"/>
      <c r="K74" s="1210"/>
      <c r="L74" s="1210"/>
      <c r="M74" s="1210"/>
      <c r="N74" s="1210"/>
      <c r="O74" s="1210"/>
      <c r="P74" s="1210"/>
      <c r="Q74" s="1210"/>
      <c r="R74" s="1210"/>
      <c r="S74" s="1210"/>
      <c r="T74" s="1210"/>
      <c r="U74" s="1210"/>
      <c r="V74" s="1210"/>
      <c r="W74" s="1210"/>
      <c r="X74" s="1210">
        <v>1E-3</v>
      </c>
      <c r="Y74" s="1210">
        <v>0.01</v>
      </c>
      <c r="Z74" s="1210">
        <v>0.01</v>
      </c>
      <c r="AA74" s="1210">
        <v>1E-3</v>
      </c>
      <c r="AB74" s="1210">
        <v>1E-3</v>
      </c>
      <c r="AC74" s="1210"/>
      <c r="AD74" s="1210">
        <v>1E-3</v>
      </c>
      <c r="AE74" s="1210"/>
      <c r="AF74" s="1210">
        <v>1E-3</v>
      </c>
      <c r="AG74" s="1210"/>
      <c r="AH74" s="1210"/>
      <c r="AI74" s="1210"/>
      <c r="AJ74" s="1210"/>
      <c r="AK74" s="1210"/>
      <c r="AL74" s="1210"/>
      <c r="AM74" s="1210"/>
      <c r="AN74" s="1210"/>
      <c r="AO74" s="1210"/>
      <c r="AP74" s="1210"/>
    </row>
    <row r="75" spans="1:42" s="1212" customFormat="1" x14ac:dyDescent="0.25">
      <c r="A75" s="1208">
        <v>900474</v>
      </c>
      <c r="B75" s="1209"/>
      <c r="C75" s="1209"/>
      <c r="D75" s="1209"/>
      <c r="E75" s="1210"/>
      <c r="F75" s="1210"/>
      <c r="G75" s="1210"/>
      <c r="H75" s="1210"/>
      <c r="I75" s="1210"/>
      <c r="J75" s="1210"/>
      <c r="K75" s="1210"/>
      <c r="L75" s="1210"/>
      <c r="M75" s="1210"/>
      <c r="N75" s="1210"/>
      <c r="O75" s="1210"/>
      <c r="P75" s="1210"/>
      <c r="Q75" s="1210"/>
      <c r="R75" s="1210"/>
      <c r="S75" s="1210"/>
      <c r="T75" s="1210"/>
      <c r="U75" s="1210"/>
      <c r="V75" s="1210"/>
      <c r="W75" s="1210"/>
      <c r="X75" s="1210">
        <v>0.01</v>
      </c>
      <c r="Y75" s="1210">
        <v>0.02</v>
      </c>
      <c r="Z75" s="1210">
        <v>1E-3</v>
      </c>
      <c r="AA75" s="1210">
        <v>1E-3</v>
      </c>
      <c r="AB75" s="1210">
        <v>1E-3</v>
      </c>
      <c r="AC75" s="1210"/>
      <c r="AD75" s="1210">
        <v>1E-3</v>
      </c>
      <c r="AE75" s="1210"/>
      <c r="AF75" s="1210"/>
      <c r="AG75" s="1210"/>
      <c r="AH75" s="1210"/>
      <c r="AI75" s="1210"/>
      <c r="AJ75" s="1210"/>
      <c r="AK75" s="1210"/>
      <c r="AL75" s="1210"/>
      <c r="AM75" s="1210"/>
      <c r="AN75" s="1210"/>
      <c r="AO75" s="1210"/>
      <c r="AP75" s="1210"/>
    </row>
    <row r="76" spans="1:42" s="1212" customFormat="1" x14ac:dyDescent="0.25">
      <c r="A76" s="1208">
        <v>902033</v>
      </c>
      <c r="B76" s="1209"/>
      <c r="C76" s="1209"/>
      <c r="D76" s="1209"/>
      <c r="E76" s="1210">
        <v>7.1</v>
      </c>
      <c r="F76" s="1210">
        <v>1.0760000000000001</v>
      </c>
      <c r="G76" s="1210">
        <v>69.91</v>
      </c>
      <c r="H76" s="1210"/>
      <c r="I76" s="1210">
        <v>0.03</v>
      </c>
      <c r="J76" s="1210">
        <f>44.64*1.6</f>
        <v>71.424000000000007</v>
      </c>
      <c r="K76" s="1210">
        <v>34.15</v>
      </c>
      <c r="L76" s="1210">
        <v>372</v>
      </c>
      <c r="M76" s="1210"/>
      <c r="N76" s="1210">
        <v>103.92</v>
      </c>
      <c r="O76" s="1210">
        <v>56.21</v>
      </c>
      <c r="P76" s="1210"/>
      <c r="Q76" s="1210">
        <v>0.52300000000000002</v>
      </c>
      <c r="R76" s="1210">
        <v>7.0000000000000007E-2</v>
      </c>
      <c r="S76" s="1210">
        <v>1E-3</v>
      </c>
      <c r="T76" s="1210">
        <v>1E-3</v>
      </c>
      <c r="U76" s="1210">
        <v>1E-3</v>
      </c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</row>
    <row r="77" spans="1:42" s="1212" customFormat="1" x14ac:dyDescent="0.25">
      <c r="A77" s="1757">
        <v>202000</v>
      </c>
      <c r="B77" s="1758"/>
      <c r="C77" s="1758"/>
      <c r="D77" s="1758"/>
      <c r="E77" s="1759">
        <v>7.1</v>
      </c>
      <c r="F77" s="1759">
        <v>2.4700000000000002</v>
      </c>
      <c r="G77" s="1759">
        <v>30.64</v>
      </c>
      <c r="H77" s="1759">
        <v>0</v>
      </c>
      <c r="I77" s="1759">
        <v>0.05</v>
      </c>
      <c r="J77" s="1759">
        <f>356.3*1.6</f>
        <v>570.08000000000004</v>
      </c>
      <c r="K77" s="1759">
        <v>70.849999999999994</v>
      </c>
      <c r="L77" s="1759">
        <v>393.6</v>
      </c>
      <c r="M77" s="1759">
        <v>0</v>
      </c>
      <c r="N77" s="1759">
        <v>81.59</v>
      </c>
      <c r="O77" s="1759">
        <v>32.18</v>
      </c>
      <c r="P77" s="1759"/>
      <c r="Q77" s="1759">
        <v>0.752</v>
      </c>
      <c r="R77" s="1759">
        <v>1E-3</v>
      </c>
      <c r="S77" s="1759">
        <v>1E-3</v>
      </c>
      <c r="T77" s="1759">
        <v>1E-3</v>
      </c>
      <c r="U77" s="1759">
        <v>0.02</v>
      </c>
      <c r="V77" s="1210"/>
      <c r="W77" s="1210"/>
      <c r="X77" s="1210"/>
      <c r="Y77" s="1210"/>
      <c r="Z77" s="1210"/>
      <c r="AA77" s="1210"/>
      <c r="AB77" s="1210"/>
      <c r="AC77" s="1210"/>
      <c r="AD77" s="1210"/>
      <c r="AE77" s="1210"/>
      <c r="AF77" s="1210"/>
      <c r="AG77" s="1210"/>
      <c r="AH77" s="1210"/>
      <c r="AI77" s="1210"/>
      <c r="AJ77" s="1210"/>
      <c r="AK77" s="1210"/>
      <c r="AL77" s="1210"/>
      <c r="AM77" s="1210"/>
      <c r="AN77" s="1210"/>
      <c r="AO77" s="1210"/>
      <c r="AP77" s="1210"/>
    </row>
    <row r="78" spans="1:42" s="1212" customFormat="1" ht="15.95" customHeight="1" x14ac:dyDescent="0.25">
      <c r="A78" s="1208">
        <v>202001</v>
      </c>
      <c r="B78" s="1209"/>
      <c r="C78" s="1209"/>
      <c r="D78" s="1209"/>
      <c r="E78" s="1210">
        <v>7.33</v>
      </c>
      <c r="F78" s="1210">
        <v>2.25</v>
      </c>
      <c r="G78" s="1210">
        <v>83.36</v>
      </c>
      <c r="H78" s="1210"/>
      <c r="I78" s="1210">
        <v>0.04</v>
      </c>
      <c r="J78" s="1210">
        <f>153.21*1.6</f>
        <v>245.13600000000002</v>
      </c>
      <c r="K78" s="1210">
        <v>291.60000000000002</v>
      </c>
      <c r="L78" s="1210">
        <f>(18.6-0.1)*24</f>
        <v>444</v>
      </c>
      <c r="M78" s="1210">
        <v>0</v>
      </c>
      <c r="N78" s="1210">
        <v>124.14</v>
      </c>
      <c r="O78" s="1210">
        <v>121.523</v>
      </c>
      <c r="P78" s="1210"/>
      <c r="Q78" s="1210">
        <v>0.623</v>
      </c>
      <c r="R78" s="1210">
        <v>0.91</v>
      </c>
      <c r="S78" s="1210">
        <v>1E-3</v>
      </c>
      <c r="T78" s="1210">
        <v>0.01</v>
      </c>
      <c r="U78" s="1210">
        <v>0.04</v>
      </c>
      <c r="V78" s="1210"/>
      <c r="W78" s="1210"/>
      <c r="X78" s="1210"/>
      <c r="Y78" s="1210"/>
      <c r="Z78" s="1210"/>
      <c r="AA78" s="1210"/>
      <c r="AB78" s="1210"/>
      <c r="AC78" s="1210"/>
      <c r="AD78" s="1210"/>
      <c r="AE78" s="1210"/>
      <c r="AF78" s="1210"/>
      <c r="AG78" s="1210"/>
      <c r="AH78" s="1210"/>
      <c r="AI78" s="1210"/>
      <c r="AJ78" s="1210"/>
      <c r="AK78" s="1210"/>
      <c r="AL78" s="1210"/>
      <c r="AM78" s="1210"/>
      <c r="AN78" s="1210"/>
      <c r="AO78" s="1210"/>
      <c r="AP78" s="1210"/>
    </row>
    <row r="79" spans="1:42" s="1766" customFormat="1" ht="15.95" customHeight="1" x14ac:dyDescent="0.25">
      <c r="A79" s="1764">
        <v>202002</v>
      </c>
      <c r="B79" s="1765"/>
      <c r="C79" s="1765"/>
      <c r="D79" s="1765"/>
      <c r="N79" s="1767"/>
      <c r="O79" s="1767"/>
      <c r="P79" s="1767"/>
      <c r="Q79" s="1767"/>
      <c r="R79" s="1767"/>
      <c r="S79" s="1767"/>
      <c r="T79" s="1767"/>
      <c r="U79" s="1767"/>
      <c r="V79" s="1767"/>
      <c r="W79" s="1767"/>
      <c r="X79" s="1767"/>
      <c r="Y79" s="1767"/>
      <c r="Z79" s="1767"/>
      <c r="AA79" s="1767"/>
      <c r="AB79" s="1767"/>
      <c r="AC79" s="1767"/>
      <c r="AD79" s="1767"/>
      <c r="AE79" s="1767"/>
      <c r="AF79" s="1767"/>
      <c r="AG79" s="1767"/>
      <c r="AH79" s="1767"/>
      <c r="AI79" s="1767"/>
      <c r="AJ79" s="1767"/>
      <c r="AK79" s="1767"/>
      <c r="AL79" s="1767"/>
      <c r="AM79" s="1767"/>
      <c r="AN79" s="1767"/>
      <c r="AO79" s="1767"/>
      <c r="AP79" s="1767"/>
    </row>
    <row r="80" spans="1:42" s="1212" customFormat="1" ht="20.100000000000001" customHeight="1" x14ac:dyDescent="0.25">
      <c r="A80" s="1208">
        <v>202006</v>
      </c>
      <c r="B80" s="1209"/>
      <c r="C80" s="1209"/>
      <c r="D80" s="1209"/>
      <c r="E80" s="1210">
        <v>7.55</v>
      </c>
      <c r="F80" s="1210">
        <v>1.1919999999999999</v>
      </c>
      <c r="G80" s="1210">
        <v>11.22</v>
      </c>
      <c r="H80" s="1210">
        <v>0</v>
      </c>
      <c r="I80" s="1210">
        <v>0.06</v>
      </c>
      <c r="J80" s="1210">
        <f>91.67*1.6</f>
        <v>146.672</v>
      </c>
      <c r="K80" s="1210">
        <v>103</v>
      </c>
      <c r="L80" s="1210">
        <v>263.56</v>
      </c>
      <c r="M80" s="1210">
        <v>0</v>
      </c>
      <c r="N80" s="1210">
        <v>91</v>
      </c>
      <c r="O80" s="1210">
        <v>58.97</v>
      </c>
      <c r="P80" s="1210"/>
      <c r="Q80" s="1210">
        <v>1.96</v>
      </c>
      <c r="R80" s="1210">
        <v>0.14000000000000001</v>
      </c>
      <c r="S80" s="1210">
        <v>0.01</v>
      </c>
      <c r="T80" s="1210">
        <v>1E-3</v>
      </c>
      <c r="U80" s="1210">
        <v>1E-3</v>
      </c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</row>
    <row r="81" spans="1:42" s="1212" customFormat="1" ht="21" customHeight="1" x14ac:dyDescent="0.25">
      <c r="A81" s="1208">
        <v>202007</v>
      </c>
      <c r="B81" s="1209"/>
      <c r="C81" s="1209"/>
      <c r="D81" s="1209"/>
      <c r="E81" s="1102">
        <v>7.8</v>
      </c>
      <c r="F81" s="1102">
        <v>0.80800000000000005</v>
      </c>
      <c r="G81" s="1768">
        <v>45.2</v>
      </c>
      <c r="H81" s="1102">
        <v>0</v>
      </c>
      <c r="I81" s="1102">
        <v>0.09</v>
      </c>
      <c r="J81" s="1104">
        <v>34.14</v>
      </c>
      <c r="K81" s="1102">
        <v>31.24</v>
      </c>
      <c r="L81" s="1102">
        <v>357.6</v>
      </c>
      <c r="M81" s="1210">
        <v>0</v>
      </c>
      <c r="N81" s="906">
        <v>75.16</v>
      </c>
      <c r="O81" s="906">
        <v>49.17</v>
      </c>
      <c r="P81" s="1210"/>
      <c r="Q81" s="906">
        <v>1.69</v>
      </c>
      <c r="R81" s="1102">
        <v>0.01</v>
      </c>
      <c r="S81" s="1210">
        <v>1E-3</v>
      </c>
      <c r="T81" s="1210">
        <v>1E-3</v>
      </c>
      <c r="U81" s="1210">
        <v>1E-3</v>
      </c>
      <c r="V81" s="1210"/>
      <c r="W81" s="1210"/>
      <c r="X81" s="1210"/>
      <c r="Y81" s="1210"/>
      <c r="Z81" s="1210"/>
      <c r="AA81" s="1210"/>
      <c r="AB81" s="1210"/>
      <c r="AC81" s="1210"/>
      <c r="AD81" s="1210"/>
      <c r="AE81" s="1210"/>
      <c r="AF81" s="1210"/>
      <c r="AG81" s="1210"/>
      <c r="AH81" s="1210"/>
      <c r="AI81" s="1210"/>
      <c r="AJ81" s="1210"/>
      <c r="AK81" s="1210"/>
      <c r="AL81" s="1210"/>
      <c r="AM81" s="1210"/>
      <c r="AN81" s="1210"/>
      <c r="AO81" s="1210"/>
      <c r="AP81" s="1210"/>
    </row>
    <row r="82" spans="1:42" s="1212" customFormat="1" x14ac:dyDescent="0.25">
      <c r="A82" s="1208">
        <v>202008</v>
      </c>
      <c r="B82" s="1209"/>
      <c r="C82" s="1209"/>
      <c r="D82" s="1209"/>
      <c r="E82" s="1210">
        <v>7.2</v>
      </c>
      <c r="F82" s="1210">
        <v>0.999</v>
      </c>
      <c r="G82" s="1210">
        <v>36.049999999999997</v>
      </c>
      <c r="H82" s="1210">
        <v>0</v>
      </c>
      <c r="I82" s="1210">
        <v>0.06</v>
      </c>
      <c r="J82" s="1210">
        <f>24.94*1.2</f>
        <v>29.928000000000001</v>
      </c>
      <c r="K82" s="1210">
        <v>24.5</v>
      </c>
      <c r="L82" s="1102">
        <v>381.6</v>
      </c>
      <c r="M82" s="1210">
        <v>0</v>
      </c>
      <c r="N82" s="1210">
        <v>98.46</v>
      </c>
      <c r="O82" s="1210">
        <v>70.88</v>
      </c>
      <c r="P82" s="1210"/>
      <c r="Q82" s="1210">
        <v>1.06</v>
      </c>
      <c r="R82" s="1210">
        <v>1E-3</v>
      </c>
      <c r="S82" s="1210">
        <v>1E-3</v>
      </c>
      <c r="T82" s="1210">
        <v>0.01</v>
      </c>
      <c r="U82" s="1210">
        <v>0.09</v>
      </c>
      <c r="V82" s="1210"/>
      <c r="W82" s="1210"/>
      <c r="X82" s="1210"/>
      <c r="Y82" s="1210"/>
      <c r="Z82" s="1210"/>
      <c r="AA82" s="1210"/>
      <c r="AB82" s="1210"/>
      <c r="AC82" s="1210"/>
      <c r="AD82" s="1210"/>
      <c r="AE82" s="1210"/>
      <c r="AF82" s="1210"/>
      <c r="AG82" s="1210"/>
      <c r="AH82" s="1210"/>
      <c r="AI82" s="1210"/>
      <c r="AJ82" s="1210"/>
      <c r="AK82" s="1210"/>
      <c r="AL82" s="1210"/>
      <c r="AM82" s="1210"/>
      <c r="AN82" s="1210"/>
      <c r="AO82" s="1210"/>
      <c r="AP82" s="1210"/>
    </row>
    <row r="83" spans="1:42" s="1212" customFormat="1" x14ac:dyDescent="0.25">
      <c r="A83" s="1208">
        <v>202009</v>
      </c>
      <c r="B83" s="1209"/>
      <c r="C83" s="1209"/>
      <c r="D83" s="1209"/>
      <c r="E83" s="1210">
        <v>7.3</v>
      </c>
      <c r="F83" s="1210">
        <v>1.56</v>
      </c>
      <c r="G83" s="1210">
        <v>6.41</v>
      </c>
      <c r="H83" s="1210">
        <v>0</v>
      </c>
      <c r="I83" s="1210">
        <v>0.04</v>
      </c>
      <c r="J83" s="1210">
        <v>223.82</v>
      </c>
      <c r="K83" s="1210">
        <v>138.15</v>
      </c>
      <c r="L83" s="1210">
        <v>283.2</v>
      </c>
      <c r="M83" s="1210">
        <v>0</v>
      </c>
      <c r="N83" s="1210">
        <v>100.26</v>
      </c>
      <c r="O83" s="1210">
        <v>25.09</v>
      </c>
      <c r="P83" s="1210"/>
      <c r="Q83" s="1210">
        <v>0.98599999999999999</v>
      </c>
      <c r="R83" s="1210">
        <v>1E-3</v>
      </c>
      <c r="S83" s="1210">
        <v>1E-3</v>
      </c>
      <c r="T83" s="1210">
        <v>1E-3</v>
      </c>
      <c r="U83" s="1210">
        <v>1E-3</v>
      </c>
      <c r="V83" s="1210"/>
      <c r="W83" s="1210"/>
      <c r="X83" s="1210"/>
      <c r="Y83" s="1210"/>
      <c r="Z83" s="1210"/>
      <c r="AA83" s="1210"/>
      <c r="AB83" s="1210"/>
      <c r="AC83" s="1210"/>
      <c r="AD83" s="1210"/>
      <c r="AE83" s="1210"/>
      <c r="AF83" s="1210"/>
      <c r="AG83" s="1210"/>
      <c r="AH83" s="1210"/>
      <c r="AI83" s="1210"/>
      <c r="AJ83" s="1210"/>
      <c r="AK83" s="1210"/>
      <c r="AL83" s="1210"/>
      <c r="AM83" s="1210"/>
      <c r="AN83" s="1210"/>
      <c r="AO83" s="1210"/>
      <c r="AP83" s="1210"/>
    </row>
    <row r="84" spans="1:42" s="1773" customFormat="1" x14ac:dyDescent="0.25">
      <c r="A84" s="1769">
        <v>202936</v>
      </c>
      <c r="B84" s="1770"/>
      <c r="C84" s="1770"/>
      <c r="D84" s="1770"/>
      <c r="E84" s="1771">
        <v>6.8</v>
      </c>
      <c r="F84" s="1771">
        <v>1.292</v>
      </c>
      <c r="G84" s="1771">
        <v>36.26</v>
      </c>
      <c r="H84" s="1771">
        <v>0</v>
      </c>
      <c r="I84" s="1771">
        <v>0.06</v>
      </c>
      <c r="J84" s="1771">
        <v>173.95</v>
      </c>
      <c r="K84" s="1771">
        <v>41.52</v>
      </c>
      <c r="L84" s="1771">
        <v>398.4</v>
      </c>
      <c r="M84" s="1771">
        <v>0</v>
      </c>
      <c r="N84" s="1771">
        <v>144.81</v>
      </c>
      <c r="O84" s="1771">
        <v>51.18</v>
      </c>
      <c r="P84" s="1771"/>
      <c r="Q84" s="1771">
        <v>0.59799999999999998</v>
      </c>
      <c r="R84" s="1771">
        <v>1E-4</v>
      </c>
      <c r="S84" s="1771">
        <v>1E-4</v>
      </c>
      <c r="T84" s="1771">
        <v>1E-4</v>
      </c>
      <c r="U84" s="1772">
        <v>1E-4</v>
      </c>
      <c r="V84" s="1771"/>
      <c r="W84" s="1771"/>
      <c r="X84" s="1771"/>
      <c r="Y84" s="1771"/>
      <c r="Z84" s="1771"/>
      <c r="AA84" s="1771"/>
      <c r="AB84" s="1771"/>
      <c r="AC84" s="1771"/>
      <c r="AD84" s="1771"/>
      <c r="AE84" s="1771"/>
      <c r="AF84" s="1771"/>
      <c r="AG84" s="1771"/>
      <c r="AH84" s="1771"/>
      <c r="AI84" s="1771"/>
      <c r="AJ84" s="1771"/>
      <c r="AK84" s="1771"/>
      <c r="AL84" s="1771"/>
      <c r="AM84" s="1771"/>
      <c r="AN84" s="1771"/>
      <c r="AO84" s="1771"/>
      <c r="AP84" s="1771"/>
    </row>
    <row r="85" spans="1:42" s="1212" customFormat="1" x14ac:dyDescent="0.25">
      <c r="A85" s="1208">
        <v>202010</v>
      </c>
      <c r="B85" s="1209"/>
      <c r="C85" s="1209"/>
      <c r="D85" s="1209"/>
      <c r="E85" s="1210">
        <v>7.52</v>
      </c>
      <c r="F85" s="1210">
        <v>1.42</v>
      </c>
      <c r="G85" s="1210">
        <v>2.1</v>
      </c>
      <c r="H85" s="1210">
        <v>0</v>
      </c>
      <c r="I85" s="1210">
        <v>0.04</v>
      </c>
      <c r="J85" s="1210">
        <v>157.68</v>
      </c>
      <c r="K85" s="1210">
        <v>142.24</v>
      </c>
      <c r="L85" s="1210">
        <v>292.8</v>
      </c>
      <c r="M85" s="1210">
        <v>0</v>
      </c>
      <c r="N85" s="1210">
        <v>124.41</v>
      </c>
      <c r="O85" s="1210">
        <v>34.72</v>
      </c>
      <c r="P85" s="1210"/>
      <c r="Q85" s="1210">
        <v>0.89</v>
      </c>
      <c r="R85" s="1210">
        <v>1E-4</v>
      </c>
      <c r="S85" s="1210">
        <v>1E-4</v>
      </c>
      <c r="T85" s="1210">
        <v>1E-4</v>
      </c>
      <c r="U85" s="1210">
        <v>1E-4</v>
      </c>
      <c r="V85" s="1210"/>
      <c r="W85" s="1210"/>
      <c r="X85" s="1210"/>
      <c r="Y85" s="1210"/>
      <c r="Z85" s="1210"/>
      <c r="AA85" s="1210"/>
      <c r="AB85" s="1210"/>
      <c r="AC85" s="1210"/>
      <c r="AD85" s="1210"/>
      <c r="AE85" s="1210"/>
      <c r="AF85" s="1210"/>
      <c r="AG85" s="1210"/>
      <c r="AH85" s="1210"/>
      <c r="AI85" s="1210"/>
      <c r="AJ85" s="1210"/>
      <c r="AK85" s="1210"/>
      <c r="AL85" s="1210"/>
      <c r="AM85" s="1210"/>
      <c r="AN85" s="1210"/>
      <c r="AO85" s="1210"/>
      <c r="AP85" s="1210"/>
    </row>
    <row r="86" spans="1:42" s="1212" customFormat="1" x14ac:dyDescent="0.25">
      <c r="A86" s="1208">
        <v>202011</v>
      </c>
      <c r="B86" s="1209"/>
      <c r="C86" s="1209"/>
      <c r="D86" s="1209"/>
      <c r="E86" s="1210">
        <v>7.4</v>
      </c>
      <c r="F86" s="1210">
        <v>0.84</v>
      </c>
      <c r="G86" s="1736">
        <v>12.49</v>
      </c>
      <c r="H86" s="1210">
        <v>0</v>
      </c>
      <c r="I86" s="1736">
        <v>0.09</v>
      </c>
      <c r="J86" s="1210">
        <v>82.88</v>
      </c>
      <c r="K86" s="1210">
        <v>41.98</v>
      </c>
      <c r="L86" s="1210">
        <v>465.6</v>
      </c>
      <c r="M86" s="1210">
        <v>0</v>
      </c>
      <c r="N86" s="1210">
        <v>80.03</v>
      </c>
      <c r="O86" s="1210">
        <v>39.049999999999997</v>
      </c>
      <c r="P86" s="1210"/>
      <c r="Q86" s="1210">
        <v>0.28000000000000003</v>
      </c>
      <c r="R86" s="1210">
        <v>1E-3</v>
      </c>
      <c r="S86" s="1210">
        <v>1E-3</v>
      </c>
      <c r="T86" s="1210">
        <v>0.01</v>
      </c>
      <c r="U86" s="1210">
        <v>1E-3</v>
      </c>
      <c r="V86" s="1210"/>
      <c r="W86" s="1210"/>
      <c r="X86" s="1210"/>
      <c r="Y86" s="1210"/>
      <c r="Z86" s="1210"/>
      <c r="AA86" s="1210"/>
      <c r="AB86" s="1210"/>
      <c r="AC86" s="1210"/>
      <c r="AD86" s="1210"/>
      <c r="AE86" s="1210"/>
      <c r="AF86" s="1210"/>
      <c r="AG86" s="1210"/>
      <c r="AH86" s="1210"/>
      <c r="AI86" s="1210"/>
      <c r="AJ86" s="1210"/>
      <c r="AK86" s="1210"/>
      <c r="AL86" s="1210"/>
      <c r="AM86" s="1210"/>
      <c r="AN86" s="1210"/>
      <c r="AO86" s="1210"/>
      <c r="AP86" s="1210"/>
    </row>
    <row r="87" spans="1:42" s="1212" customFormat="1" x14ac:dyDescent="0.25">
      <c r="A87" s="1208">
        <v>202012</v>
      </c>
      <c r="B87" s="1209"/>
      <c r="C87" s="1209"/>
      <c r="D87" s="1209"/>
      <c r="E87" s="1210">
        <v>7.44</v>
      </c>
      <c r="F87" s="1210">
        <v>2.65</v>
      </c>
      <c r="G87" s="1210">
        <v>13.98</v>
      </c>
      <c r="H87" s="1210">
        <v>0</v>
      </c>
      <c r="I87" s="1210">
        <v>0.03</v>
      </c>
      <c r="J87" s="1210">
        <v>503.9</v>
      </c>
      <c r="K87" s="1210">
        <v>276.75</v>
      </c>
      <c r="L87" s="1210">
        <v>316.79999999999995</v>
      </c>
      <c r="M87" s="1210">
        <v>0</v>
      </c>
      <c r="N87" s="1210">
        <v>152.29</v>
      </c>
      <c r="O87" s="1210">
        <v>53.05</v>
      </c>
      <c r="P87" s="1210"/>
      <c r="Q87" s="1210">
        <v>0.23</v>
      </c>
      <c r="R87" s="1210">
        <v>1E-3</v>
      </c>
      <c r="S87" s="1210">
        <v>1E-3</v>
      </c>
      <c r="T87" s="1210">
        <v>1E-3</v>
      </c>
      <c r="U87" s="1210">
        <v>1E-3</v>
      </c>
      <c r="V87" s="1210"/>
      <c r="W87" s="1210"/>
      <c r="X87" s="1210"/>
      <c r="Y87" s="1210"/>
      <c r="Z87" s="1210"/>
      <c r="AA87" s="1210"/>
      <c r="AB87" s="1210"/>
      <c r="AC87" s="1210"/>
      <c r="AD87" s="1210"/>
      <c r="AE87" s="1210"/>
      <c r="AF87" s="1210"/>
      <c r="AG87" s="1210"/>
      <c r="AH87" s="1210"/>
      <c r="AI87" s="1210"/>
      <c r="AJ87" s="1210"/>
      <c r="AK87" s="1210"/>
      <c r="AL87" s="1210"/>
      <c r="AM87" s="1210"/>
      <c r="AN87" s="1210"/>
      <c r="AO87" s="1210"/>
      <c r="AP87" s="1210"/>
    </row>
    <row r="88" spans="1:42" s="1212" customFormat="1" x14ac:dyDescent="0.25">
      <c r="A88" s="1208">
        <v>202013</v>
      </c>
      <c r="B88" s="1209"/>
      <c r="C88" s="1209"/>
      <c r="D88" s="1209"/>
      <c r="E88" s="1210">
        <v>7.26</v>
      </c>
      <c r="F88" s="1210">
        <v>1.32</v>
      </c>
      <c r="G88" s="1210">
        <v>17.22</v>
      </c>
      <c r="H88" s="1210">
        <v>0</v>
      </c>
      <c r="I88" s="1210">
        <v>0.04</v>
      </c>
      <c r="J88" s="1210">
        <v>150.66999999999999</v>
      </c>
      <c r="K88" s="1210">
        <v>12.08</v>
      </c>
      <c r="L88" s="1210">
        <v>372</v>
      </c>
      <c r="M88" s="1210">
        <v>0</v>
      </c>
      <c r="N88" s="1210">
        <v>135.87</v>
      </c>
      <c r="O88" s="1210">
        <v>55.33</v>
      </c>
      <c r="P88" s="1210"/>
      <c r="Q88" s="1210">
        <v>0.21</v>
      </c>
      <c r="R88" s="1210">
        <v>1E-3</v>
      </c>
      <c r="S88" s="1210">
        <v>1E-3</v>
      </c>
      <c r="T88" s="1210">
        <v>1E-3</v>
      </c>
      <c r="U88" s="1210">
        <v>1E-3</v>
      </c>
      <c r="V88" s="1210"/>
      <c r="W88" s="1210"/>
      <c r="X88" s="1210"/>
      <c r="Y88" s="1210"/>
      <c r="Z88" s="1210"/>
      <c r="AA88" s="1210"/>
      <c r="AB88" s="1210"/>
      <c r="AC88" s="1210"/>
      <c r="AD88" s="1210"/>
      <c r="AE88" s="1210"/>
      <c r="AF88" s="1210"/>
      <c r="AG88" s="1210"/>
      <c r="AH88" s="1210"/>
      <c r="AI88" s="1210"/>
      <c r="AJ88" s="1210"/>
      <c r="AK88" s="1210"/>
      <c r="AL88" s="1210"/>
      <c r="AM88" s="1210"/>
      <c r="AN88" s="1210"/>
      <c r="AO88" s="1210"/>
      <c r="AP88" s="1210"/>
    </row>
    <row r="89" spans="1:42" s="1212" customFormat="1" x14ac:dyDescent="0.25">
      <c r="A89" s="1208">
        <v>202014</v>
      </c>
      <c r="B89" s="1209"/>
      <c r="C89" s="1209"/>
      <c r="D89" s="1209"/>
      <c r="E89" s="1210">
        <v>7.63</v>
      </c>
      <c r="F89" s="1210">
        <v>0.32</v>
      </c>
      <c r="G89" s="1210">
        <v>18.239999999999998</v>
      </c>
      <c r="H89" s="1210">
        <v>0</v>
      </c>
      <c r="I89" s="1210">
        <v>0.06</v>
      </c>
      <c r="J89" s="1210">
        <v>70.3</v>
      </c>
      <c r="K89" s="1210">
        <v>13.92</v>
      </c>
      <c r="L89" s="1210">
        <v>153.6</v>
      </c>
      <c r="M89" s="1210">
        <v>0</v>
      </c>
      <c r="N89" s="1210">
        <v>58.52</v>
      </c>
      <c r="O89" s="1210">
        <v>8.8000000000000007</v>
      </c>
      <c r="P89" s="1210"/>
      <c r="Q89" s="1210">
        <v>0.24</v>
      </c>
      <c r="R89" s="1210">
        <v>1E-3</v>
      </c>
      <c r="S89" s="1210">
        <v>1E-3</v>
      </c>
      <c r="T89" s="1210">
        <v>1E-3</v>
      </c>
      <c r="U89" s="1210">
        <v>1E-3</v>
      </c>
      <c r="V89" s="1210"/>
      <c r="W89" s="1210"/>
      <c r="X89" s="1210"/>
      <c r="Y89" s="1210"/>
      <c r="Z89" s="1210"/>
      <c r="AA89" s="1210"/>
      <c r="AB89" s="1210"/>
      <c r="AC89" s="1210"/>
      <c r="AD89" s="1210"/>
      <c r="AE89" s="1210"/>
      <c r="AF89" s="1210"/>
      <c r="AG89" s="1210"/>
      <c r="AH89" s="1210"/>
      <c r="AI89" s="1210"/>
      <c r="AJ89" s="1210"/>
      <c r="AK89" s="1210"/>
      <c r="AL89" s="1210"/>
      <c r="AM89" s="1210"/>
      <c r="AN89" s="1210"/>
      <c r="AO89" s="1210"/>
      <c r="AP89" s="1210"/>
    </row>
    <row r="90" spans="1:42" s="1212" customFormat="1" x14ac:dyDescent="0.25">
      <c r="A90" s="1208">
        <v>202015</v>
      </c>
      <c r="B90" s="1209"/>
      <c r="C90" s="1209"/>
      <c r="D90" s="1209"/>
      <c r="E90" s="1210">
        <v>7.93</v>
      </c>
      <c r="F90" s="1210">
        <v>0.29599999999999999</v>
      </c>
      <c r="G90" s="1210">
        <v>0.44</v>
      </c>
      <c r="H90" s="1210">
        <v>0</v>
      </c>
      <c r="I90" s="1210">
        <v>0.05</v>
      </c>
      <c r="J90" s="1210">
        <v>51.36</v>
      </c>
      <c r="K90" s="1210">
        <v>34.909999999999997</v>
      </c>
      <c r="L90" s="1210">
        <v>120</v>
      </c>
      <c r="M90" s="1210">
        <v>0</v>
      </c>
      <c r="N90" s="1210">
        <v>19.239999999999998</v>
      </c>
      <c r="O90" s="1210">
        <v>11.24</v>
      </c>
      <c r="P90" s="1210"/>
      <c r="Q90" s="1210">
        <v>0.25</v>
      </c>
      <c r="R90" s="1210">
        <v>1E-3</v>
      </c>
      <c r="S90" s="1210">
        <v>1E-3</v>
      </c>
      <c r="T90" s="1210">
        <v>1E-3</v>
      </c>
      <c r="U90" s="1210">
        <v>1E-3</v>
      </c>
      <c r="V90" s="1210"/>
      <c r="W90" s="1210"/>
      <c r="X90" s="1210"/>
      <c r="Y90" s="1210"/>
      <c r="Z90" s="1210"/>
      <c r="AA90" s="1210"/>
      <c r="AB90" s="1210"/>
      <c r="AC90" s="1210"/>
      <c r="AD90" s="1210"/>
      <c r="AE90" s="1210"/>
      <c r="AF90" s="1210"/>
      <c r="AG90" s="1210"/>
      <c r="AH90" s="1210"/>
      <c r="AI90" s="1210"/>
      <c r="AJ90" s="1210"/>
      <c r="AK90" s="1210"/>
      <c r="AL90" s="1210"/>
      <c r="AM90" s="1210"/>
      <c r="AN90" s="1210"/>
      <c r="AO90" s="1210"/>
      <c r="AP90" s="1210"/>
    </row>
    <row r="91" spans="1:42" s="1212" customFormat="1" x14ac:dyDescent="0.25">
      <c r="A91" s="1208">
        <v>202016</v>
      </c>
      <c r="B91" s="1209"/>
      <c r="C91" s="1209"/>
      <c r="D91" s="1209"/>
      <c r="E91" s="1210">
        <v>7.9</v>
      </c>
      <c r="F91" s="1210">
        <v>1.173</v>
      </c>
      <c r="G91" s="1210">
        <v>81.010000000000005</v>
      </c>
      <c r="H91" s="1210">
        <v>0</v>
      </c>
      <c r="I91" s="1210">
        <v>0.06</v>
      </c>
      <c r="J91" s="906">
        <v>180.96</v>
      </c>
      <c r="K91" s="1210">
        <v>46.63</v>
      </c>
      <c r="L91" s="1210">
        <v>336</v>
      </c>
      <c r="M91" s="1210">
        <v>0</v>
      </c>
      <c r="N91" s="906">
        <v>69.430000000000007</v>
      </c>
      <c r="O91" s="906">
        <v>45.89</v>
      </c>
      <c r="P91" s="1210"/>
      <c r="Q91" s="1210">
        <v>0.23</v>
      </c>
      <c r="R91" s="906">
        <v>0.02</v>
      </c>
      <c r="S91" s="1210">
        <v>1E-3</v>
      </c>
      <c r="T91" s="1210">
        <v>1E-3</v>
      </c>
      <c r="U91" s="906">
        <v>1E-3</v>
      </c>
      <c r="V91" s="1210"/>
      <c r="W91" s="1210"/>
      <c r="X91" s="1210"/>
      <c r="Y91" s="1210"/>
      <c r="Z91" s="1210"/>
      <c r="AA91" s="1210"/>
      <c r="AB91" s="1210"/>
      <c r="AC91" s="1210"/>
      <c r="AD91" s="1210"/>
      <c r="AE91" s="1210"/>
      <c r="AF91" s="1210"/>
      <c r="AG91" s="1210"/>
      <c r="AH91" s="1210"/>
      <c r="AI91" s="1210"/>
      <c r="AJ91" s="1210"/>
      <c r="AK91" s="1210"/>
      <c r="AL91" s="1210"/>
      <c r="AM91" s="1210"/>
      <c r="AN91" s="1210"/>
      <c r="AO91" s="1210"/>
      <c r="AP91" s="1210"/>
    </row>
    <row r="92" spans="1:42" s="1212" customFormat="1" x14ac:dyDescent="0.25">
      <c r="A92" s="1208">
        <v>202017</v>
      </c>
      <c r="B92" s="1209"/>
      <c r="C92" s="1209"/>
      <c r="D92" s="1209"/>
      <c r="E92" s="1210">
        <v>7.85</v>
      </c>
      <c r="F92" s="1210">
        <v>1.1679999999999999</v>
      </c>
      <c r="G92" s="1210">
        <v>82.3</v>
      </c>
      <c r="H92" s="1210">
        <v>0</v>
      </c>
      <c r="I92" s="1210">
        <v>7.0000000000000007E-2</v>
      </c>
      <c r="J92" s="906">
        <v>178.46400000000003</v>
      </c>
      <c r="K92" s="1210">
        <v>49.64</v>
      </c>
      <c r="L92" s="1210">
        <v>331.20000000000005</v>
      </c>
      <c r="M92" s="1210">
        <v>0</v>
      </c>
      <c r="N92" s="906">
        <v>69.569999999999993</v>
      </c>
      <c r="O92" s="906">
        <v>45.97</v>
      </c>
      <c r="P92" s="1210"/>
      <c r="Q92" s="1210">
        <v>0.22</v>
      </c>
      <c r="R92" s="906">
        <v>0.02</v>
      </c>
      <c r="S92" s="1210">
        <v>1E-3</v>
      </c>
      <c r="T92" s="1210">
        <v>1E-3</v>
      </c>
      <c r="U92" s="1775">
        <v>0.01</v>
      </c>
      <c r="V92" s="1210"/>
      <c r="W92" s="1210"/>
      <c r="X92" s="1210"/>
      <c r="Y92" s="1210"/>
      <c r="Z92" s="1210"/>
      <c r="AA92" s="1210"/>
      <c r="AB92" s="1210"/>
      <c r="AC92" s="1210"/>
      <c r="AD92" s="1210"/>
      <c r="AE92" s="1210"/>
      <c r="AF92" s="1210"/>
      <c r="AG92" s="1210"/>
      <c r="AH92" s="1210"/>
      <c r="AI92" s="1210"/>
      <c r="AJ92" s="1210"/>
      <c r="AK92" s="1210"/>
      <c r="AL92" s="1210"/>
      <c r="AM92" s="1210"/>
      <c r="AN92" s="1210"/>
      <c r="AO92" s="1210"/>
      <c r="AP92" s="1210"/>
    </row>
    <row r="93" spans="1:42" s="1212" customFormat="1" x14ac:dyDescent="0.25">
      <c r="A93" s="1208">
        <v>202018</v>
      </c>
      <c r="B93" s="1209"/>
      <c r="C93" s="1209"/>
      <c r="D93" s="1209"/>
      <c r="E93" s="1210">
        <v>7.83</v>
      </c>
      <c r="F93" s="1210">
        <v>1.17</v>
      </c>
      <c r="G93" s="1210">
        <v>81.290000000000006</v>
      </c>
      <c r="H93" s="1210">
        <v>0</v>
      </c>
      <c r="I93" s="1210">
        <v>0.09</v>
      </c>
      <c r="J93" s="906">
        <v>179.904</v>
      </c>
      <c r="K93" s="1210">
        <v>52.39</v>
      </c>
      <c r="L93" s="1210">
        <v>343.20000000000005</v>
      </c>
      <c r="M93" s="1210">
        <v>0</v>
      </c>
      <c r="N93" s="906">
        <v>69.81</v>
      </c>
      <c r="O93" s="906">
        <v>46.01</v>
      </c>
      <c r="P93" s="1210"/>
      <c r="Q93" s="1210">
        <v>0.25</v>
      </c>
      <c r="R93" s="906">
        <v>0.02</v>
      </c>
      <c r="S93" s="1210">
        <v>1E-3</v>
      </c>
      <c r="T93" s="1210">
        <v>1E-3</v>
      </c>
      <c r="U93" s="1775">
        <v>0.01</v>
      </c>
      <c r="V93" s="1210"/>
      <c r="W93" s="1210"/>
      <c r="X93" s="1210"/>
      <c r="Y93" s="1210"/>
      <c r="Z93" s="1210"/>
      <c r="AA93" s="1210"/>
      <c r="AB93" s="1210"/>
      <c r="AC93" s="1210"/>
      <c r="AD93" s="1210"/>
      <c r="AE93" s="1210"/>
      <c r="AF93" s="1210"/>
      <c r="AG93" s="1210"/>
      <c r="AH93" s="1210"/>
      <c r="AI93" s="1210"/>
      <c r="AJ93" s="1210"/>
      <c r="AK93" s="1210"/>
      <c r="AL93" s="1210"/>
      <c r="AM93" s="1210"/>
      <c r="AN93" s="1210"/>
      <c r="AO93" s="1210"/>
      <c r="AP93" s="1210"/>
    </row>
    <row r="94" spans="1:42" s="1212" customFormat="1" x14ac:dyDescent="0.25">
      <c r="A94" s="1208">
        <v>202019</v>
      </c>
      <c r="B94" s="1209"/>
      <c r="C94" s="1209"/>
      <c r="D94" s="1209"/>
      <c r="E94" s="1210">
        <v>7.86</v>
      </c>
      <c r="F94" s="1210">
        <v>1.1499999999999999</v>
      </c>
      <c r="G94" s="1210">
        <v>81.400000000000006</v>
      </c>
      <c r="H94" s="1210">
        <v>0</v>
      </c>
      <c r="I94" s="1210">
        <v>0.08</v>
      </c>
      <c r="J94" s="906">
        <v>180.03200000000001</v>
      </c>
      <c r="K94" s="1210">
        <v>52.33</v>
      </c>
      <c r="L94" s="1210">
        <v>336</v>
      </c>
      <c r="M94" s="1210">
        <v>0</v>
      </c>
      <c r="N94" s="906">
        <v>69.709999999999994</v>
      </c>
      <c r="O94" s="906">
        <v>45.99</v>
      </c>
      <c r="P94" s="1210"/>
      <c r="Q94" s="1210">
        <v>0.21</v>
      </c>
      <c r="R94" s="906">
        <v>0.02</v>
      </c>
      <c r="S94" s="1210">
        <v>1E-3</v>
      </c>
      <c r="T94" s="1210">
        <v>1E-3</v>
      </c>
      <c r="U94" s="1775">
        <v>0.01</v>
      </c>
      <c r="V94" s="1210"/>
      <c r="W94" s="1210"/>
      <c r="X94" s="1210"/>
      <c r="Y94" s="1210"/>
      <c r="Z94" s="1210"/>
      <c r="AA94" s="1210"/>
      <c r="AB94" s="1210"/>
      <c r="AC94" s="1210"/>
      <c r="AD94" s="1210"/>
      <c r="AE94" s="1210"/>
      <c r="AF94" s="1210"/>
      <c r="AG94" s="1210"/>
      <c r="AH94" s="1210"/>
      <c r="AI94" s="1210"/>
      <c r="AJ94" s="1210"/>
      <c r="AK94" s="1210"/>
      <c r="AL94" s="1210"/>
      <c r="AM94" s="1210"/>
      <c r="AN94" s="1210"/>
      <c r="AO94" s="1210"/>
      <c r="AP94" s="1210"/>
    </row>
    <row r="95" spans="1:42" s="400" customFormat="1" x14ac:dyDescent="0.25">
      <c r="A95" s="404">
        <v>202020</v>
      </c>
      <c r="B95" s="405"/>
      <c r="C95" s="405"/>
      <c r="D95" s="405"/>
      <c r="E95" s="397">
        <v>7.61</v>
      </c>
      <c r="F95" s="397">
        <v>0.65800000000000003</v>
      </c>
      <c r="G95" s="397">
        <v>15.09</v>
      </c>
      <c r="H95" s="397">
        <v>0</v>
      </c>
      <c r="I95" s="397">
        <v>0.09</v>
      </c>
      <c r="J95" s="397">
        <v>24.21</v>
      </c>
      <c r="K95" s="397">
        <v>48.74</v>
      </c>
      <c r="L95" s="397">
        <v>331.20000000000005</v>
      </c>
      <c r="M95" s="397">
        <v>0</v>
      </c>
      <c r="N95" s="558" t="s">
        <v>590</v>
      </c>
      <c r="O95" s="558">
        <v>41.74</v>
      </c>
      <c r="P95" s="397"/>
      <c r="Q95" s="397">
        <v>1.65</v>
      </c>
      <c r="R95" s="1774">
        <v>0</v>
      </c>
      <c r="S95" s="795">
        <v>1E-3</v>
      </c>
      <c r="T95" s="558">
        <v>0</v>
      </c>
      <c r="U95" s="558">
        <v>0.06</v>
      </c>
      <c r="V95" s="397"/>
      <c r="W95" s="397"/>
      <c r="X95" s="397"/>
      <c r="Y95" s="397"/>
      <c r="Z95" s="397"/>
      <c r="AA95" s="397"/>
      <c r="AB95" s="397"/>
      <c r="AC95" s="397"/>
      <c r="AD95" s="397"/>
      <c r="AE95" s="397"/>
      <c r="AF95" s="397"/>
      <c r="AG95" s="397"/>
      <c r="AH95" s="397"/>
      <c r="AI95" s="397"/>
      <c r="AJ95" s="397"/>
      <c r="AK95" s="397"/>
      <c r="AL95" s="397"/>
      <c r="AM95" s="397"/>
      <c r="AN95" s="397"/>
      <c r="AO95" s="397"/>
      <c r="AP95" s="397"/>
    </row>
    <row r="96" spans="1:42" s="400" customFormat="1" x14ac:dyDescent="0.25">
      <c r="A96" s="404">
        <v>202021</v>
      </c>
      <c r="B96" s="405"/>
      <c r="C96" s="405"/>
      <c r="D96" s="405"/>
      <c r="E96" s="397">
        <v>7.57</v>
      </c>
      <c r="F96" s="397">
        <v>0.73</v>
      </c>
      <c r="G96" s="397">
        <v>24.14</v>
      </c>
      <c r="H96" s="397">
        <v>0</v>
      </c>
      <c r="I96" s="397">
        <v>0.08</v>
      </c>
      <c r="J96" s="397">
        <v>43.74</v>
      </c>
      <c r="K96" s="397">
        <v>61.14</v>
      </c>
      <c r="L96" s="397">
        <v>336</v>
      </c>
      <c r="M96" s="397">
        <v>0</v>
      </c>
      <c r="N96" s="558" t="s">
        <v>591</v>
      </c>
      <c r="O96" s="558">
        <v>42.71</v>
      </c>
      <c r="P96" s="397"/>
      <c r="Q96" s="397">
        <v>2</v>
      </c>
      <c r="R96" s="1774">
        <v>0.33</v>
      </c>
      <c r="S96" s="795">
        <v>1E-3</v>
      </c>
      <c r="T96" s="558">
        <v>0.04</v>
      </c>
      <c r="U96" s="558">
        <v>0.03</v>
      </c>
      <c r="V96" s="397"/>
      <c r="W96" s="397"/>
      <c r="X96" s="397"/>
      <c r="Y96" s="397"/>
      <c r="Z96" s="397"/>
      <c r="AA96" s="397"/>
      <c r="AB96" s="397"/>
      <c r="AC96" s="397"/>
      <c r="AD96" s="397"/>
      <c r="AE96" s="397"/>
      <c r="AF96" s="397"/>
      <c r="AG96" s="397"/>
      <c r="AH96" s="397"/>
      <c r="AI96" s="397"/>
      <c r="AJ96" s="397"/>
      <c r="AK96" s="397"/>
      <c r="AL96" s="397"/>
      <c r="AM96" s="397"/>
      <c r="AN96" s="397"/>
      <c r="AO96" s="397"/>
      <c r="AP96" s="397"/>
    </row>
    <row r="97" spans="1:42" s="1212" customFormat="1" x14ac:dyDescent="0.25">
      <c r="A97" s="1208">
        <v>202022</v>
      </c>
      <c r="B97" s="1209"/>
      <c r="C97" s="1209"/>
      <c r="D97" s="1209"/>
      <c r="E97" s="1210">
        <v>7.24</v>
      </c>
      <c r="F97" s="1210">
        <v>0.747</v>
      </c>
      <c r="G97" s="1210">
        <v>1.23</v>
      </c>
      <c r="H97" s="1210">
        <v>0</v>
      </c>
      <c r="I97" s="1210">
        <v>0.09</v>
      </c>
      <c r="J97" s="1210">
        <v>39.229999999999997</v>
      </c>
      <c r="K97" s="1210">
        <v>205.95</v>
      </c>
      <c r="L97" s="1210">
        <v>348</v>
      </c>
      <c r="M97" s="1210">
        <v>0</v>
      </c>
      <c r="N97" s="1210">
        <v>177.56</v>
      </c>
      <c r="O97" s="1210">
        <v>66.290000000000006</v>
      </c>
      <c r="P97" s="1210"/>
      <c r="Q97" s="1210">
        <v>303</v>
      </c>
      <c r="R97" s="1210">
        <v>0.03</v>
      </c>
      <c r="S97" s="1210">
        <v>1E-3</v>
      </c>
      <c r="T97" s="1210">
        <v>0.55000000000000004</v>
      </c>
      <c r="U97" s="1210">
        <v>0.25</v>
      </c>
      <c r="V97" s="1210"/>
      <c r="W97" s="1210"/>
      <c r="X97" s="1210"/>
      <c r="Y97" s="1210"/>
      <c r="Z97" s="1210"/>
      <c r="AA97" s="1210"/>
      <c r="AB97" s="1210"/>
      <c r="AC97" s="1210"/>
      <c r="AD97" s="1210"/>
      <c r="AE97" s="1210"/>
      <c r="AF97" s="1210"/>
      <c r="AG97" s="1210"/>
      <c r="AH97" s="1210"/>
      <c r="AI97" s="1210"/>
      <c r="AJ97" s="1210"/>
      <c r="AK97" s="1210"/>
      <c r="AL97" s="1210"/>
      <c r="AM97" s="1210"/>
      <c r="AN97" s="1210"/>
      <c r="AO97" s="1210"/>
      <c r="AP97" s="1210"/>
    </row>
    <row r="98" spans="1:42" s="1212" customFormat="1" x14ac:dyDescent="0.25">
      <c r="A98" s="1208">
        <v>202023</v>
      </c>
      <c r="B98" s="1209"/>
      <c r="C98" s="1209"/>
      <c r="D98" s="1209"/>
      <c r="E98" s="1102">
        <v>8.18</v>
      </c>
      <c r="F98" s="1102">
        <v>1.073</v>
      </c>
      <c r="G98" s="1104">
        <v>47.49</v>
      </c>
      <c r="H98" s="1102">
        <v>0</v>
      </c>
      <c r="I98" s="1102">
        <v>0.19</v>
      </c>
      <c r="J98" s="1104">
        <v>68.41</v>
      </c>
      <c r="K98" s="1102">
        <v>36.65</v>
      </c>
      <c r="L98" s="1102">
        <v>360</v>
      </c>
      <c r="M98" s="1102">
        <v>0</v>
      </c>
      <c r="N98" s="906">
        <v>97.51</v>
      </c>
      <c r="O98" s="906">
        <v>51.75</v>
      </c>
      <c r="P98" s="1210"/>
      <c r="Q98" s="1210">
        <v>0.3</v>
      </c>
      <c r="R98" s="906">
        <v>0.02</v>
      </c>
      <c r="S98" s="906">
        <v>1E-3</v>
      </c>
      <c r="T98" s="906">
        <v>1E-3</v>
      </c>
      <c r="U98" s="906">
        <v>1E-3</v>
      </c>
      <c r="V98" s="1210"/>
      <c r="W98" s="1210"/>
      <c r="X98" s="1210"/>
      <c r="Y98" s="1210"/>
      <c r="Z98" s="1210"/>
      <c r="AA98" s="1210"/>
      <c r="AB98" s="1210"/>
      <c r="AC98" s="1210"/>
      <c r="AD98" s="1210"/>
      <c r="AE98" s="1210"/>
      <c r="AF98" s="1210"/>
      <c r="AG98" s="1210"/>
      <c r="AH98" s="1210"/>
      <c r="AI98" s="1210"/>
      <c r="AJ98" s="1210"/>
      <c r="AK98" s="1210"/>
      <c r="AL98" s="1210"/>
      <c r="AM98" s="1210"/>
      <c r="AN98" s="1210"/>
      <c r="AO98" s="1210"/>
      <c r="AP98" s="1210"/>
    </row>
    <row r="99" spans="1:42" s="400" customFormat="1" x14ac:dyDescent="0.25">
      <c r="A99" s="1831">
        <v>202024</v>
      </c>
      <c r="B99" s="1832"/>
      <c r="C99" s="1832"/>
      <c r="D99" s="1832"/>
      <c r="E99" s="1833">
        <v>7.53</v>
      </c>
      <c r="F99" s="1833">
        <v>1.18</v>
      </c>
      <c r="G99" s="1833">
        <v>8.98</v>
      </c>
      <c r="H99" s="1833">
        <v>0</v>
      </c>
      <c r="I99" s="1833">
        <v>0.22</v>
      </c>
      <c r="J99" s="1833">
        <v>67.25</v>
      </c>
      <c r="K99" s="1833">
        <v>157.91</v>
      </c>
      <c r="L99" s="1833">
        <v>11.3</v>
      </c>
      <c r="M99" s="1833">
        <v>0</v>
      </c>
      <c r="N99" s="986">
        <v>152.74</v>
      </c>
      <c r="O99" s="986">
        <v>51.2</v>
      </c>
      <c r="P99" s="1833"/>
      <c r="Q99" s="1833">
        <v>0.88400000000000001</v>
      </c>
      <c r="R99" s="987">
        <v>0.02</v>
      </c>
      <c r="S99" s="986">
        <v>1E-3</v>
      </c>
      <c r="T99" s="986">
        <v>1E-3</v>
      </c>
      <c r="U99" s="986">
        <v>1E-3</v>
      </c>
      <c r="V99" s="397"/>
      <c r="W99" s="397"/>
      <c r="X99" s="397"/>
      <c r="Y99" s="397"/>
      <c r="Z99" s="397"/>
      <c r="AA99" s="397"/>
      <c r="AB99" s="397"/>
      <c r="AC99" s="397"/>
      <c r="AD99" s="397"/>
      <c r="AE99" s="397"/>
      <c r="AF99" s="397"/>
      <c r="AG99" s="397"/>
      <c r="AH99" s="397"/>
      <c r="AI99" s="397"/>
      <c r="AJ99" s="397"/>
      <c r="AK99" s="397"/>
      <c r="AL99" s="397"/>
      <c r="AM99" s="397"/>
      <c r="AN99" s="397"/>
      <c r="AO99" s="397"/>
      <c r="AP99" s="397"/>
    </row>
    <row r="100" spans="1:42" s="400" customFormat="1" x14ac:dyDescent="0.25">
      <c r="A100" s="404">
        <v>202025</v>
      </c>
      <c r="B100" s="405"/>
      <c r="C100" s="405"/>
      <c r="D100" s="405"/>
      <c r="E100" s="397">
        <v>7.2</v>
      </c>
      <c r="F100" s="397">
        <v>1.1319999999999999</v>
      </c>
      <c r="G100" s="397">
        <v>94.41</v>
      </c>
      <c r="H100" s="397">
        <v>0</v>
      </c>
      <c r="I100" s="397">
        <v>0.26</v>
      </c>
      <c r="J100" s="397">
        <v>121.32</v>
      </c>
      <c r="K100" s="397">
        <v>60.41</v>
      </c>
      <c r="L100" s="397">
        <v>285.60000000000002</v>
      </c>
      <c r="M100" s="397">
        <v>0</v>
      </c>
      <c r="N100" s="397">
        <v>98.21</v>
      </c>
      <c r="O100" s="397">
        <v>52.4</v>
      </c>
      <c r="P100" s="397"/>
      <c r="Q100" s="397">
        <v>8.2100000000000009</v>
      </c>
      <c r="R100" s="397">
        <v>0.01</v>
      </c>
      <c r="S100" s="397">
        <v>1E-3</v>
      </c>
      <c r="T100" s="397">
        <v>1E-3</v>
      </c>
      <c r="U100" s="397">
        <v>1E-3</v>
      </c>
      <c r="V100" s="397"/>
      <c r="W100" s="397"/>
      <c r="X100" s="397"/>
      <c r="Y100" s="397"/>
      <c r="Z100" s="397"/>
      <c r="AA100" s="397"/>
      <c r="AB100" s="397"/>
      <c r="AC100" s="397"/>
      <c r="AD100" s="397"/>
      <c r="AE100" s="397"/>
      <c r="AF100" s="397"/>
      <c r="AG100" s="397"/>
      <c r="AH100" s="397"/>
      <c r="AI100" s="397"/>
      <c r="AJ100" s="397"/>
      <c r="AK100" s="397"/>
      <c r="AL100" s="397"/>
      <c r="AM100" s="397"/>
      <c r="AN100" s="397"/>
      <c r="AO100" s="397"/>
      <c r="AP100" s="397"/>
    </row>
    <row r="101" spans="1:42" s="400" customFormat="1" x14ac:dyDescent="0.25">
      <c r="A101" s="404">
        <v>102000</v>
      </c>
      <c r="B101" s="405"/>
      <c r="C101" s="405"/>
      <c r="D101" s="405"/>
      <c r="E101" s="397">
        <v>6.95</v>
      </c>
      <c r="F101" s="397">
        <v>2.44</v>
      </c>
      <c r="G101" s="397">
        <v>0.9</v>
      </c>
      <c r="H101" s="397">
        <v>0</v>
      </c>
      <c r="I101" s="397">
        <v>0.11</v>
      </c>
      <c r="J101" s="397">
        <v>110.50319999999999</v>
      </c>
      <c r="K101" s="397">
        <v>924</v>
      </c>
      <c r="L101" s="1976">
        <v>240</v>
      </c>
      <c r="M101" s="397">
        <v>0</v>
      </c>
      <c r="N101" s="1976">
        <v>310.06</v>
      </c>
      <c r="O101" s="1976">
        <v>101.6</v>
      </c>
      <c r="P101" s="397"/>
      <c r="Q101" s="397">
        <v>2.5299999999999998</v>
      </c>
      <c r="R101" s="1976">
        <v>0.01</v>
      </c>
      <c r="S101" s="1976">
        <v>1E-3</v>
      </c>
      <c r="T101" s="1976">
        <v>1E-3</v>
      </c>
      <c r="U101" s="1976">
        <v>0.04</v>
      </c>
      <c r="V101" s="397"/>
      <c r="W101" s="397"/>
      <c r="X101" s="397"/>
      <c r="Y101" s="397"/>
      <c r="Z101" s="397"/>
      <c r="AA101" s="397"/>
      <c r="AB101" s="397"/>
      <c r="AC101" s="397"/>
      <c r="AD101" s="397"/>
      <c r="AE101" s="397"/>
      <c r="AF101" s="397"/>
      <c r="AG101" s="397"/>
      <c r="AH101" s="397"/>
      <c r="AI101" s="397"/>
      <c r="AJ101" s="397"/>
      <c r="AK101" s="397"/>
      <c r="AL101" s="397"/>
      <c r="AM101" s="397"/>
      <c r="AN101" s="397"/>
      <c r="AO101" s="397"/>
      <c r="AP101" s="397"/>
    </row>
    <row r="102" spans="1:42" s="1986" customFormat="1" x14ac:dyDescent="0.25">
      <c r="A102" s="1983">
        <v>100051</v>
      </c>
      <c r="B102" s="1984"/>
      <c r="C102" s="1984"/>
      <c r="D102" s="1984"/>
      <c r="E102" s="1985"/>
      <c r="F102" s="1985"/>
      <c r="G102" s="1985"/>
      <c r="H102" s="1985"/>
      <c r="I102" s="1985"/>
      <c r="J102" s="1985"/>
      <c r="K102" s="1985"/>
      <c r="L102" s="1985"/>
      <c r="M102" s="1985"/>
      <c r="N102" s="1985"/>
      <c r="O102" s="1985"/>
      <c r="P102" s="1985"/>
      <c r="Q102" s="1985"/>
      <c r="R102" s="1985">
        <v>0.01</v>
      </c>
      <c r="S102" s="1985">
        <v>1E-3</v>
      </c>
      <c r="T102" s="1985"/>
      <c r="U102" s="1985"/>
      <c r="V102" s="1985"/>
      <c r="W102" s="1985"/>
      <c r="X102" s="1985">
        <v>1E-3</v>
      </c>
      <c r="Y102" s="1985">
        <v>1E-3</v>
      </c>
      <c r="Z102" s="1985">
        <v>1E-3</v>
      </c>
      <c r="AA102" s="1985">
        <v>1E-3</v>
      </c>
      <c r="AB102" s="1985">
        <v>0.33</v>
      </c>
      <c r="AC102" s="1985"/>
      <c r="AD102" s="1985"/>
      <c r="AE102" s="1985"/>
      <c r="AF102" s="1985"/>
      <c r="AG102" s="1985"/>
      <c r="AH102" s="1985"/>
      <c r="AI102" s="1985"/>
      <c r="AJ102" s="1985"/>
      <c r="AK102" s="1985"/>
      <c r="AL102" s="1985"/>
      <c r="AM102" s="1985"/>
      <c r="AN102" s="1985"/>
      <c r="AO102" s="1985"/>
      <c r="AP102" s="1985"/>
    </row>
    <row r="103" spans="1:42" s="400" customFormat="1" x14ac:dyDescent="0.25">
      <c r="A103" s="404">
        <v>102001</v>
      </c>
      <c r="B103" s="405"/>
      <c r="C103" s="405"/>
      <c r="D103" s="405"/>
      <c r="E103" s="397">
        <v>7.69</v>
      </c>
      <c r="F103" s="397">
        <v>1.0620000000000001</v>
      </c>
      <c r="G103" s="397">
        <v>6.79</v>
      </c>
      <c r="H103" s="397">
        <v>0</v>
      </c>
      <c r="I103" s="397">
        <v>0.12</v>
      </c>
      <c r="J103" s="399">
        <v>37.423999999999999</v>
      </c>
      <c r="K103" s="397">
        <v>100.75</v>
      </c>
      <c r="L103" s="397">
        <v>429.59999999999997</v>
      </c>
      <c r="M103" s="397">
        <v>0</v>
      </c>
      <c r="N103" s="2011">
        <v>93.54</v>
      </c>
      <c r="O103" s="2012">
        <v>66.28</v>
      </c>
      <c r="P103" s="397"/>
      <c r="Q103" s="397">
        <v>0.85</v>
      </c>
      <c r="R103" s="795">
        <v>0.04</v>
      </c>
      <c r="S103" s="795">
        <v>0.01</v>
      </c>
      <c r="T103" s="795">
        <v>1E-3</v>
      </c>
      <c r="U103" s="795">
        <v>1E-3</v>
      </c>
      <c r="V103" s="397"/>
      <c r="W103" s="397"/>
      <c r="X103" s="397"/>
      <c r="Y103" s="397"/>
      <c r="Z103" s="397"/>
      <c r="AA103" s="397"/>
      <c r="AB103" s="397"/>
      <c r="AC103" s="397"/>
      <c r="AD103" s="397"/>
      <c r="AE103" s="397"/>
      <c r="AF103" s="397"/>
      <c r="AG103" s="397"/>
      <c r="AH103" s="397"/>
      <c r="AI103" s="397"/>
      <c r="AJ103" s="397"/>
      <c r="AK103" s="397"/>
      <c r="AL103" s="397"/>
      <c r="AM103" s="397"/>
      <c r="AN103" s="397"/>
      <c r="AO103" s="397"/>
      <c r="AP103" s="397"/>
    </row>
    <row r="104" spans="1:42" s="400" customFormat="1" x14ac:dyDescent="0.25">
      <c r="A104" s="404">
        <v>102002</v>
      </c>
      <c r="B104" s="405"/>
      <c r="C104" s="405"/>
      <c r="D104" s="405"/>
      <c r="E104" s="397">
        <v>7.67</v>
      </c>
      <c r="F104" s="397">
        <v>1.4390000000000001</v>
      </c>
      <c r="G104" s="397">
        <v>32.32</v>
      </c>
      <c r="H104" s="397">
        <v>0</v>
      </c>
      <c r="I104" s="397">
        <v>0.15</v>
      </c>
      <c r="J104" s="399">
        <v>268.68800000000005</v>
      </c>
      <c r="K104" s="397">
        <v>46.96</v>
      </c>
      <c r="L104" s="397">
        <v>170.39999999999998</v>
      </c>
      <c r="M104" s="397">
        <v>0</v>
      </c>
      <c r="N104" s="2011">
        <v>80.040000000000006</v>
      </c>
      <c r="O104" s="2012">
        <v>20.63</v>
      </c>
      <c r="P104" s="397"/>
      <c r="Q104" s="397">
        <v>0.81</v>
      </c>
      <c r="R104" s="795">
        <v>0.1</v>
      </c>
      <c r="S104" s="795">
        <v>1E-3</v>
      </c>
      <c r="T104" s="795">
        <v>1E-3</v>
      </c>
      <c r="U104" s="795">
        <v>0.01</v>
      </c>
      <c r="V104" s="397"/>
      <c r="W104" s="397"/>
      <c r="X104" s="397"/>
      <c r="Y104" s="397"/>
      <c r="Z104" s="397"/>
      <c r="AA104" s="397"/>
      <c r="AB104" s="397"/>
      <c r="AC104" s="397"/>
      <c r="AD104" s="397"/>
      <c r="AE104" s="397"/>
      <c r="AF104" s="397"/>
      <c r="AG104" s="397"/>
      <c r="AH104" s="397"/>
      <c r="AI104" s="397"/>
      <c r="AJ104" s="397"/>
      <c r="AK104" s="397"/>
      <c r="AL104" s="397"/>
      <c r="AM104" s="397"/>
      <c r="AN104" s="397"/>
      <c r="AO104" s="397"/>
      <c r="AP104" s="397"/>
    </row>
    <row r="105" spans="1:42" s="400" customFormat="1" x14ac:dyDescent="0.25">
      <c r="A105" s="404">
        <v>102003</v>
      </c>
      <c r="B105" s="405"/>
      <c r="C105" s="405"/>
      <c r="D105" s="405"/>
      <c r="E105" s="397">
        <v>7.02</v>
      </c>
      <c r="F105" s="397">
        <v>1.4610000000000001</v>
      </c>
      <c r="G105" s="397">
        <v>6.51</v>
      </c>
      <c r="H105" s="397">
        <v>0</v>
      </c>
      <c r="I105" s="397">
        <v>0.12</v>
      </c>
      <c r="J105" s="397">
        <v>113.4</v>
      </c>
      <c r="K105" s="397">
        <v>102.76</v>
      </c>
      <c r="L105" s="397">
        <v>480</v>
      </c>
      <c r="M105" s="397">
        <v>0</v>
      </c>
      <c r="N105" s="397">
        <v>106</v>
      </c>
      <c r="O105" s="397">
        <v>79.63</v>
      </c>
      <c r="P105" s="397"/>
      <c r="Q105" s="397">
        <v>0.91</v>
      </c>
      <c r="R105" s="397">
        <v>0.34</v>
      </c>
      <c r="S105" s="397">
        <v>1E-3</v>
      </c>
      <c r="T105" s="397">
        <v>0.01</v>
      </c>
      <c r="U105" s="397">
        <v>0.16</v>
      </c>
      <c r="V105" s="397"/>
      <c r="W105" s="397"/>
      <c r="X105" s="397"/>
      <c r="Y105" s="397"/>
      <c r="Z105" s="397"/>
      <c r="AA105" s="397"/>
      <c r="AB105" s="397"/>
      <c r="AC105" s="397"/>
      <c r="AD105" s="397"/>
      <c r="AE105" s="397"/>
      <c r="AF105" s="397"/>
      <c r="AG105" s="397"/>
      <c r="AH105" s="397"/>
      <c r="AI105" s="397"/>
      <c r="AJ105" s="397"/>
      <c r="AK105" s="397"/>
      <c r="AL105" s="397"/>
      <c r="AM105" s="397"/>
      <c r="AN105" s="397"/>
      <c r="AO105" s="397"/>
      <c r="AP105" s="397"/>
    </row>
    <row r="106" spans="1:42" s="400" customFormat="1" x14ac:dyDescent="0.25">
      <c r="A106" s="404">
        <v>102004</v>
      </c>
      <c r="B106" s="405"/>
      <c r="C106" s="405"/>
      <c r="D106" s="405"/>
      <c r="E106" s="397">
        <v>7.77</v>
      </c>
      <c r="F106" s="397">
        <v>0.60499999999999998</v>
      </c>
      <c r="G106" s="397"/>
      <c r="H106" s="397"/>
      <c r="I106" s="397"/>
      <c r="J106" s="397"/>
      <c r="K106" s="397"/>
      <c r="L106" s="397"/>
      <c r="M106" s="397"/>
      <c r="N106" s="397"/>
      <c r="O106" s="397"/>
      <c r="P106" s="397"/>
      <c r="Q106" s="397"/>
      <c r="R106" s="397"/>
      <c r="S106" s="397"/>
      <c r="T106" s="397"/>
      <c r="U106" s="397"/>
      <c r="V106" s="397"/>
      <c r="W106" s="397"/>
      <c r="X106" s="397"/>
      <c r="Y106" s="397"/>
      <c r="Z106" s="397"/>
      <c r="AA106" s="397"/>
      <c r="AB106" s="397"/>
      <c r="AC106" s="397"/>
      <c r="AD106" s="397"/>
      <c r="AE106" s="397"/>
      <c r="AF106" s="397"/>
      <c r="AG106" s="397"/>
      <c r="AH106" s="397"/>
      <c r="AI106" s="397"/>
      <c r="AJ106" s="397"/>
      <c r="AK106" s="397"/>
      <c r="AL106" s="397"/>
      <c r="AM106" s="397"/>
      <c r="AN106" s="397"/>
      <c r="AO106" s="397"/>
      <c r="AP106" s="397"/>
    </row>
    <row r="107" spans="1:42" s="2085" customFormat="1" x14ac:dyDescent="0.25">
      <c r="A107" s="2082">
        <v>102005</v>
      </c>
      <c r="B107" s="2083"/>
      <c r="C107" s="2083"/>
      <c r="D107" s="2083"/>
      <c r="E107" s="2084">
        <v>7.11</v>
      </c>
      <c r="F107" s="2084">
        <v>5.34</v>
      </c>
      <c r="G107" s="2084">
        <v>102.9</v>
      </c>
      <c r="H107" s="2084">
        <v>0</v>
      </c>
      <c r="I107" s="2084">
        <v>0.19</v>
      </c>
      <c r="J107" s="2084">
        <v>582.14</v>
      </c>
      <c r="K107" s="2084">
        <v>351.5</v>
      </c>
      <c r="L107" s="2084">
        <v>396</v>
      </c>
      <c r="M107" s="2084">
        <v>0</v>
      </c>
      <c r="N107" s="2084">
        <v>340.46</v>
      </c>
      <c r="O107" s="2084">
        <v>264.97000000000003</v>
      </c>
      <c r="P107" s="2084"/>
      <c r="Q107" s="2084">
        <v>0.30299999999999999</v>
      </c>
      <c r="R107" s="2084">
        <v>0.14000000000000001</v>
      </c>
      <c r="S107" s="2084">
        <v>0.19</v>
      </c>
      <c r="T107" s="2084">
        <v>1E-3</v>
      </c>
      <c r="U107" s="2084">
        <v>1E-3</v>
      </c>
      <c r="V107" s="2084"/>
      <c r="W107" s="2084"/>
      <c r="X107" s="2084"/>
      <c r="Y107" s="2084"/>
      <c r="Z107" s="2084"/>
      <c r="AA107" s="2084"/>
      <c r="AB107" s="2084"/>
      <c r="AC107" s="2084"/>
      <c r="AD107" s="2084"/>
      <c r="AE107" s="2084"/>
      <c r="AF107" s="2084"/>
      <c r="AG107" s="2084"/>
      <c r="AH107" s="2084"/>
      <c r="AI107" s="2084"/>
      <c r="AJ107" s="2084"/>
      <c r="AK107" s="2084"/>
      <c r="AL107" s="2084"/>
      <c r="AM107" s="2084"/>
      <c r="AN107" s="2084"/>
      <c r="AO107" s="2084"/>
      <c r="AP107" s="2084"/>
    </row>
    <row r="108" spans="1:42" s="400" customFormat="1" x14ac:dyDescent="0.25">
      <c r="A108" s="404"/>
      <c r="B108" s="405"/>
      <c r="C108" s="405"/>
      <c r="D108" s="405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97"/>
      <c r="V108" s="397"/>
      <c r="W108" s="397"/>
      <c r="X108" s="397"/>
      <c r="Y108" s="397"/>
      <c r="Z108" s="397"/>
      <c r="AA108" s="397"/>
      <c r="AB108" s="397"/>
      <c r="AC108" s="397"/>
      <c r="AD108" s="397"/>
      <c r="AE108" s="397"/>
      <c r="AF108" s="397"/>
      <c r="AG108" s="397"/>
      <c r="AH108" s="397"/>
      <c r="AI108" s="397"/>
      <c r="AJ108" s="397"/>
      <c r="AK108" s="397"/>
      <c r="AL108" s="397"/>
      <c r="AM108" s="397"/>
      <c r="AN108" s="397"/>
      <c r="AO108" s="397"/>
      <c r="AP108" s="397"/>
    </row>
    <row r="109" spans="1:42" s="400" customFormat="1" x14ac:dyDescent="0.25">
      <c r="A109" s="404"/>
      <c r="B109" s="405"/>
      <c r="C109" s="405"/>
      <c r="D109" s="405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  <c r="W109" s="397"/>
      <c r="X109" s="397"/>
      <c r="Y109" s="397"/>
      <c r="Z109" s="397"/>
      <c r="AA109" s="397"/>
      <c r="AB109" s="397"/>
      <c r="AC109" s="397"/>
      <c r="AD109" s="397"/>
      <c r="AE109" s="397"/>
      <c r="AF109" s="397"/>
      <c r="AG109" s="397"/>
      <c r="AH109" s="397"/>
      <c r="AI109" s="397"/>
      <c r="AJ109" s="397"/>
      <c r="AK109" s="397"/>
      <c r="AL109" s="397"/>
      <c r="AM109" s="397"/>
      <c r="AN109" s="397"/>
      <c r="AO109" s="397"/>
      <c r="AP109" s="397"/>
    </row>
    <row r="110" spans="1:42" s="400" customFormat="1" x14ac:dyDescent="0.25">
      <c r="A110" s="404"/>
      <c r="B110" s="405"/>
      <c r="C110" s="405"/>
      <c r="D110" s="405"/>
      <c r="E110" s="397"/>
      <c r="F110" s="397"/>
      <c r="G110" s="397"/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397"/>
      <c r="V110" s="397"/>
      <c r="W110" s="397"/>
      <c r="X110" s="397"/>
      <c r="Y110" s="397"/>
      <c r="Z110" s="397"/>
      <c r="AA110" s="397"/>
      <c r="AB110" s="397"/>
      <c r="AC110" s="397"/>
      <c r="AD110" s="397"/>
      <c r="AE110" s="397"/>
      <c r="AF110" s="397"/>
      <c r="AG110" s="397"/>
      <c r="AH110" s="397"/>
      <c r="AI110" s="397"/>
      <c r="AJ110" s="397"/>
      <c r="AK110" s="397"/>
      <c r="AL110" s="397"/>
      <c r="AM110" s="397"/>
      <c r="AN110" s="397"/>
      <c r="AO110" s="397"/>
      <c r="AP110" s="397"/>
    </row>
    <row r="111" spans="1:42" s="400" customFormat="1" x14ac:dyDescent="0.25">
      <c r="A111" s="404"/>
      <c r="B111" s="405"/>
      <c r="C111" s="405"/>
      <c r="D111" s="405"/>
      <c r="E111" s="397"/>
      <c r="F111" s="397"/>
      <c r="G111" s="397"/>
      <c r="H111" s="397"/>
      <c r="I111" s="397"/>
      <c r="J111" s="397"/>
      <c r="K111" s="397"/>
      <c r="L111" s="397"/>
      <c r="M111" s="397"/>
      <c r="N111" s="397"/>
      <c r="O111" s="397"/>
      <c r="P111" s="397"/>
      <c r="Q111" s="397"/>
      <c r="R111" s="397"/>
      <c r="S111" s="397"/>
      <c r="T111" s="397"/>
      <c r="U111" s="397"/>
      <c r="V111" s="397"/>
      <c r="W111" s="397"/>
      <c r="X111" s="397"/>
      <c r="Y111" s="397"/>
      <c r="Z111" s="397"/>
      <c r="AA111" s="397"/>
      <c r="AB111" s="397"/>
      <c r="AC111" s="397"/>
      <c r="AD111" s="397"/>
      <c r="AE111" s="397"/>
      <c r="AF111" s="397"/>
      <c r="AG111" s="397"/>
      <c r="AH111" s="397"/>
      <c r="AI111" s="397"/>
      <c r="AJ111" s="397"/>
      <c r="AK111" s="397"/>
      <c r="AL111" s="397"/>
      <c r="AM111" s="397"/>
      <c r="AN111" s="397"/>
      <c r="AO111" s="397"/>
      <c r="AP111" s="397"/>
    </row>
    <row r="112" spans="1:42" s="400" customFormat="1" x14ac:dyDescent="0.25">
      <c r="A112" s="404"/>
      <c r="B112" s="405"/>
      <c r="C112" s="405"/>
      <c r="D112" s="405"/>
      <c r="E112" s="397"/>
      <c r="F112" s="397"/>
      <c r="G112" s="397"/>
      <c r="H112" s="397"/>
      <c r="I112" s="397"/>
      <c r="J112" s="397"/>
      <c r="K112" s="397"/>
      <c r="L112" s="397"/>
      <c r="M112" s="397"/>
      <c r="N112" s="397"/>
      <c r="O112" s="397"/>
      <c r="P112" s="397"/>
      <c r="Q112" s="397"/>
      <c r="R112" s="397"/>
      <c r="S112" s="397"/>
      <c r="T112" s="397"/>
      <c r="U112" s="397"/>
      <c r="V112" s="397"/>
      <c r="W112" s="397"/>
      <c r="X112" s="397"/>
      <c r="Y112" s="397"/>
      <c r="Z112" s="397"/>
      <c r="AA112" s="397"/>
      <c r="AB112" s="397"/>
      <c r="AC112" s="397"/>
      <c r="AD112" s="397"/>
      <c r="AE112" s="397"/>
      <c r="AF112" s="397"/>
      <c r="AG112" s="397"/>
      <c r="AH112" s="397"/>
      <c r="AI112" s="397"/>
      <c r="AJ112" s="397"/>
      <c r="AK112" s="397"/>
      <c r="AL112" s="397"/>
      <c r="AM112" s="397"/>
      <c r="AN112" s="397"/>
      <c r="AO112" s="397"/>
      <c r="AP112" s="397"/>
    </row>
    <row r="113" spans="1:42" s="400" customFormat="1" x14ac:dyDescent="0.25">
      <c r="A113" s="404"/>
      <c r="B113" s="405"/>
      <c r="C113" s="405"/>
      <c r="D113" s="405"/>
      <c r="E113" s="397"/>
      <c r="F113" s="397"/>
      <c r="G113" s="397"/>
      <c r="H113" s="397"/>
      <c r="I113" s="397"/>
      <c r="J113" s="397"/>
      <c r="K113" s="397"/>
      <c r="L113" s="397"/>
      <c r="M113" s="397"/>
      <c r="N113" s="397"/>
      <c r="O113" s="397"/>
      <c r="P113" s="397"/>
      <c r="Q113" s="397"/>
      <c r="R113" s="397"/>
      <c r="S113" s="397"/>
      <c r="T113" s="397"/>
      <c r="U113" s="397"/>
      <c r="V113" s="397"/>
      <c r="W113" s="397"/>
      <c r="X113" s="397"/>
      <c r="Y113" s="397"/>
      <c r="Z113" s="397"/>
      <c r="AA113" s="397"/>
      <c r="AB113" s="397"/>
      <c r="AC113" s="397"/>
      <c r="AD113" s="397"/>
      <c r="AE113" s="397"/>
      <c r="AF113" s="397"/>
      <c r="AG113" s="397"/>
      <c r="AH113" s="397"/>
      <c r="AI113" s="397"/>
      <c r="AJ113" s="397"/>
      <c r="AK113" s="397"/>
      <c r="AL113" s="397"/>
      <c r="AM113" s="397"/>
      <c r="AN113" s="397"/>
      <c r="AO113" s="397"/>
      <c r="AP113" s="397"/>
    </row>
    <row r="114" spans="1:42" s="400" customFormat="1" x14ac:dyDescent="0.25">
      <c r="A114" s="404"/>
      <c r="B114" s="405"/>
      <c r="C114" s="405"/>
      <c r="D114" s="405"/>
      <c r="E114" s="397"/>
      <c r="F114" s="397"/>
      <c r="G114" s="397"/>
      <c r="H114" s="397"/>
      <c r="I114" s="397"/>
      <c r="J114" s="397"/>
      <c r="K114" s="397"/>
      <c r="L114" s="397"/>
      <c r="M114" s="397"/>
      <c r="N114" s="397"/>
      <c r="O114" s="397"/>
      <c r="P114" s="397"/>
      <c r="Q114" s="397"/>
      <c r="R114" s="397"/>
      <c r="S114" s="397"/>
      <c r="T114" s="397"/>
      <c r="U114" s="397"/>
      <c r="V114" s="397"/>
      <c r="W114" s="397"/>
      <c r="X114" s="397"/>
      <c r="Y114" s="397"/>
      <c r="Z114" s="397"/>
      <c r="AA114" s="397"/>
      <c r="AB114" s="397"/>
      <c r="AC114" s="397"/>
      <c r="AD114" s="397"/>
      <c r="AE114" s="397"/>
      <c r="AF114" s="397"/>
      <c r="AG114" s="397"/>
      <c r="AH114" s="397"/>
      <c r="AI114" s="397"/>
      <c r="AJ114" s="397"/>
      <c r="AK114" s="397"/>
      <c r="AL114" s="397"/>
      <c r="AM114" s="397"/>
      <c r="AN114" s="397"/>
      <c r="AO114" s="397"/>
      <c r="AP114" s="397"/>
    </row>
    <row r="115" spans="1:42" s="400" customFormat="1" x14ac:dyDescent="0.25">
      <c r="A115" s="404"/>
      <c r="B115" s="405"/>
      <c r="C115" s="405"/>
      <c r="D115" s="405"/>
      <c r="E115" s="397"/>
      <c r="F115" s="397"/>
      <c r="G115" s="397"/>
      <c r="H115" s="397"/>
      <c r="I115" s="397"/>
      <c r="J115" s="397"/>
      <c r="K115" s="397"/>
      <c r="L115" s="397"/>
      <c r="M115" s="397"/>
      <c r="N115" s="397"/>
      <c r="O115" s="397"/>
      <c r="P115" s="397"/>
      <c r="Q115" s="397"/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  <c r="AH115" s="397"/>
      <c r="AI115" s="397"/>
      <c r="AJ115" s="397"/>
      <c r="AK115" s="397"/>
      <c r="AL115" s="397"/>
      <c r="AM115" s="397"/>
      <c r="AN115" s="397"/>
      <c r="AO115" s="397"/>
      <c r="AP115" s="397"/>
    </row>
    <row r="116" spans="1:42" s="400" customFormat="1" x14ac:dyDescent="0.25">
      <c r="A116" s="404"/>
      <c r="B116" s="405"/>
      <c r="C116" s="405"/>
      <c r="D116" s="405"/>
      <c r="E116" s="397"/>
      <c r="F116" s="397"/>
      <c r="G116" s="397"/>
      <c r="H116" s="397"/>
      <c r="I116" s="397"/>
      <c r="J116" s="397"/>
      <c r="K116" s="397"/>
      <c r="L116" s="397"/>
      <c r="M116" s="397"/>
      <c r="N116" s="397"/>
      <c r="O116" s="397"/>
      <c r="P116" s="397"/>
      <c r="Q116" s="397"/>
      <c r="R116" s="397"/>
      <c r="S116" s="397"/>
      <c r="T116" s="397"/>
      <c r="U116" s="397"/>
      <c r="V116" s="397"/>
      <c r="W116" s="397"/>
      <c r="X116" s="397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  <c r="AK116" s="397"/>
      <c r="AL116" s="397"/>
      <c r="AM116" s="397"/>
      <c r="AN116" s="397"/>
      <c r="AO116" s="397"/>
      <c r="AP116" s="397"/>
    </row>
    <row r="117" spans="1:42" s="400" customFormat="1" x14ac:dyDescent="0.25">
      <c r="A117" s="404"/>
      <c r="B117" s="405"/>
      <c r="C117" s="405"/>
      <c r="D117" s="405"/>
      <c r="E117" s="397"/>
      <c r="F117" s="397"/>
      <c r="G117" s="397"/>
      <c r="H117" s="397"/>
      <c r="I117" s="397"/>
      <c r="J117" s="397"/>
      <c r="K117" s="397"/>
      <c r="L117" s="397"/>
      <c r="M117" s="397"/>
      <c r="N117" s="397"/>
      <c r="O117" s="397"/>
      <c r="P117" s="397"/>
      <c r="Q117" s="397"/>
      <c r="R117" s="397"/>
      <c r="S117" s="397"/>
      <c r="T117" s="397"/>
      <c r="U117" s="397"/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  <c r="AH117" s="397"/>
      <c r="AI117" s="397"/>
      <c r="AJ117" s="397"/>
      <c r="AK117" s="397"/>
      <c r="AL117" s="397"/>
      <c r="AM117" s="397"/>
      <c r="AN117" s="397"/>
      <c r="AO117" s="397"/>
      <c r="AP117" s="397"/>
    </row>
    <row r="118" spans="1:42" s="400" customFormat="1" x14ac:dyDescent="0.25">
      <c r="A118" s="404"/>
      <c r="B118" s="405"/>
      <c r="C118" s="405"/>
      <c r="D118" s="405"/>
      <c r="E118" s="397"/>
      <c r="F118" s="397"/>
      <c r="G118" s="397"/>
      <c r="H118" s="397"/>
      <c r="I118" s="397"/>
      <c r="J118" s="397"/>
      <c r="K118" s="397"/>
      <c r="L118" s="397"/>
      <c r="M118" s="397"/>
      <c r="N118" s="397"/>
      <c r="O118" s="397"/>
      <c r="P118" s="397"/>
      <c r="Q118" s="397"/>
      <c r="R118" s="397"/>
      <c r="S118" s="397"/>
      <c r="T118" s="397"/>
      <c r="U118" s="397"/>
      <c r="V118" s="397"/>
      <c r="W118" s="397"/>
      <c r="X118" s="397"/>
      <c r="Y118" s="397"/>
      <c r="Z118" s="397"/>
      <c r="AA118" s="397"/>
      <c r="AB118" s="397"/>
      <c r="AC118" s="397"/>
      <c r="AD118" s="397"/>
      <c r="AE118" s="397"/>
      <c r="AF118" s="397"/>
      <c r="AG118" s="397"/>
      <c r="AH118" s="397"/>
      <c r="AI118" s="397"/>
      <c r="AJ118" s="397"/>
      <c r="AK118" s="397"/>
      <c r="AL118" s="397"/>
      <c r="AM118" s="397"/>
      <c r="AN118" s="397"/>
      <c r="AO118" s="397"/>
      <c r="AP118" s="397"/>
    </row>
    <row r="119" spans="1:42" s="400" customFormat="1" x14ac:dyDescent="0.25">
      <c r="A119" s="404"/>
      <c r="B119" s="405"/>
      <c r="C119" s="405"/>
      <c r="D119" s="405"/>
      <c r="E119" s="397"/>
      <c r="F119" s="397"/>
      <c r="G119" s="397"/>
      <c r="H119" s="397"/>
      <c r="I119" s="397"/>
      <c r="J119" s="397"/>
      <c r="K119" s="397"/>
      <c r="L119" s="397"/>
      <c r="M119" s="397"/>
      <c r="N119" s="397"/>
      <c r="O119" s="397"/>
      <c r="P119" s="397"/>
      <c r="Q119" s="397"/>
      <c r="R119" s="397"/>
      <c r="S119" s="397"/>
      <c r="T119" s="397"/>
      <c r="U119" s="397"/>
      <c r="V119" s="397"/>
      <c r="W119" s="397"/>
      <c r="X119" s="397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  <c r="AK119" s="397"/>
      <c r="AL119" s="397"/>
      <c r="AM119" s="397"/>
      <c r="AN119" s="397"/>
      <c r="AO119" s="397"/>
      <c r="AP119" s="397"/>
    </row>
    <row r="120" spans="1:42" s="400" customFormat="1" x14ac:dyDescent="0.25">
      <c r="A120" s="404"/>
      <c r="B120" s="405"/>
      <c r="C120" s="405"/>
      <c r="D120" s="405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97"/>
      <c r="T120" s="397"/>
      <c r="U120" s="397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  <c r="AH120" s="397"/>
      <c r="AI120" s="397"/>
      <c r="AJ120" s="397"/>
      <c r="AK120" s="397"/>
      <c r="AL120" s="397"/>
      <c r="AM120" s="397"/>
      <c r="AN120" s="397"/>
      <c r="AO120" s="397"/>
      <c r="AP120" s="397"/>
    </row>
    <row r="121" spans="1:42" s="400" customFormat="1" x14ac:dyDescent="0.25">
      <c r="A121" s="404"/>
      <c r="B121" s="405"/>
      <c r="C121" s="405"/>
      <c r="D121" s="405"/>
      <c r="E121" s="397"/>
      <c r="F121" s="397"/>
      <c r="G121" s="397"/>
      <c r="H121" s="397"/>
      <c r="I121" s="397"/>
      <c r="J121" s="397"/>
      <c r="K121" s="397"/>
      <c r="L121" s="397"/>
      <c r="M121" s="397"/>
      <c r="N121" s="397"/>
      <c r="O121" s="397"/>
      <c r="P121" s="397"/>
      <c r="Q121" s="397"/>
      <c r="R121" s="397"/>
      <c r="S121" s="397"/>
      <c r="T121" s="397"/>
      <c r="U121" s="397"/>
      <c r="V121" s="397"/>
      <c r="W121" s="397"/>
      <c r="X121" s="397"/>
      <c r="Y121" s="397"/>
      <c r="Z121" s="397"/>
      <c r="AA121" s="397"/>
      <c r="AB121" s="397"/>
      <c r="AC121" s="397"/>
      <c r="AD121" s="397"/>
      <c r="AE121" s="397"/>
      <c r="AF121" s="397"/>
      <c r="AG121" s="397"/>
      <c r="AH121" s="397"/>
      <c r="AI121" s="397"/>
      <c r="AJ121" s="397"/>
      <c r="AK121" s="397"/>
      <c r="AL121" s="397"/>
      <c r="AM121" s="397"/>
      <c r="AN121" s="397"/>
      <c r="AO121" s="397"/>
      <c r="AP121" s="397"/>
    </row>
    <row r="122" spans="1:42" s="400" customFormat="1" x14ac:dyDescent="0.25">
      <c r="A122" s="404"/>
      <c r="B122" s="405"/>
      <c r="C122" s="405"/>
      <c r="D122" s="405"/>
      <c r="E122" s="397"/>
      <c r="F122" s="397"/>
      <c r="G122" s="397"/>
      <c r="H122" s="397"/>
      <c r="I122" s="397"/>
      <c r="J122" s="397"/>
      <c r="K122" s="397"/>
      <c r="L122" s="397"/>
      <c r="M122" s="397"/>
      <c r="N122" s="397"/>
      <c r="O122" s="397"/>
      <c r="P122" s="397"/>
      <c r="Q122" s="397"/>
      <c r="R122" s="397"/>
      <c r="S122" s="397"/>
      <c r="T122" s="397"/>
      <c r="U122" s="397"/>
      <c r="V122" s="397"/>
      <c r="W122" s="397"/>
      <c r="X122" s="397"/>
      <c r="Y122" s="397"/>
      <c r="Z122" s="397"/>
      <c r="AA122" s="397"/>
      <c r="AB122" s="397"/>
      <c r="AC122" s="397"/>
      <c r="AD122" s="397"/>
      <c r="AE122" s="397"/>
      <c r="AF122" s="397"/>
      <c r="AG122" s="397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2" s="400" customFormat="1" x14ac:dyDescent="0.25">
      <c r="A123" s="404"/>
      <c r="B123" s="405"/>
      <c r="C123" s="405"/>
      <c r="D123" s="405"/>
      <c r="E123" s="397"/>
      <c r="F123" s="397"/>
      <c r="G123" s="397"/>
      <c r="H123" s="397"/>
      <c r="I123" s="397"/>
      <c r="J123" s="397"/>
      <c r="K123" s="397"/>
      <c r="L123" s="397"/>
      <c r="M123" s="397"/>
      <c r="N123" s="397"/>
      <c r="O123" s="397"/>
      <c r="P123" s="397"/>
      <c r="Q123" s="397"/>
      <c r="R123" s="397"/>
      <c r="S123" s="397"/>
      <c r="T123" s="397"/>
      <c r="U123" s="397"/>
      <c r="V123" s="397"/>
      <c r="W123" s="397"/>
      <c r="X123" s="397"/>
      <c r="Y123" s="397"/>
      <c r="Z123" s="397"/>
      <c r="AA123" s="397"/>
      <c r="AB123" s="397"/>
      <c r="AC123" s="397"/>
      <c r="AD123" s="397"/>
      <c r="AE123" s="397"/>
      <c r="AF123" s="397"/>
      <c r="AG123" s="397"/>
      <c r="AH123" s="397"/>
      <c r="AI123" s="397"/>
      <c r="AJ123" s="397"/>
      <c r="AK123" s="397"/>
      <c r="AL123" s="397"/>
      <c r="AM123" s="397"/>
      <c r="AN123" s="397"/>
      <c r="AO123" s="397"/>
      <c r="AP123" s="397"/>
    </row>
    <row r="124" spans="1:42" s="400" customFormat="1" x14ac:dyDescent="0.25">
      <c r="A124" s="404"/>
      <c r="B124" s="405"/>
      <c r="C124" s="405"/>
      <c r="D124" s="405"/>
      <c r="E124" s="397"/>
      <c r="F124" s="397"/>
      <c r="G124" s="397"/>
      <c r="H124" s="397"/>
      <c r="I124" s="397"/>
      <c r="J124" s="397"/>
      <c r="K124" s="397"/>
      <c r="L124" s="397"/>
      <c r="M124" s="397"/>
      <c r="N124" s="397"/>
      <c r="O124" s="397"/>
      <c r="P124" s="397"/>
      <c r="Q124" s="397"/>
      <c r="R124" s="397"/>
      <c r="S124" s="397"/>
      <c r="T124" s="397"/>
      <c r="U124" s="397"/>
      <c r="V124" s="397"/>
      <c r="W124" s="397"/>
      <c r="X124" s="397"/>
      <c r="Y124" s="397"/>
      <c r="Z124" s="397"/>
      <c r="AA124" s="397"/>
      <c r="AB124" s="397"/>
      <c r="AC124" s="397"/>
      <c r="AD124" s="397"/>
      <c r="AE124" s="397"/>
      <c r="AF124" s="397"/>
      <c r="AG124" s="397"/>
      <c r="AH124" s="397"/>
      <c r="AI124" s="397"/>
      <c r="AJ124" s="397"/>
      <c r="AK124" s="397"/>
      <c r="AL124" s="397"/>
      <c r="AM124" s="397"/>
      <c r="AN124" s="397"/>
      <c r="AO124" s="397"/>
      <c r="AP124" s="397"/>
    </row>
    <row r="125" spans="1:42" s="400" customFormat="1" x14ac:dyDescent="0.25">
      <c r="A125" s="404"/>
      <c r="B125" s="405"/>
      <c r="C125" s="405"/>
      <c r="D125" s="405"/>
      <c r="E125" s="397"/>
      <c r="F125" s="397"/>
      <c r="G125" s="397"/>
      <c r="H125" s="397"/>
      <c r="I125" s="397"/>
      <c r="J125" s="397"/>
      <c r="K125" s="397"/>
      <c r="L125" s="397"/>
      <c r="M125" s="397"/>
      <c r="N125" s="397"/>
      <c r="O125" s="397"/>
      <c r="P125" s="397"/>
      <c r="Q125" s="397"/>
      <c r="R125" s="397"/>
      <c r="S125" s="397"/>
      <c r="T125" s="397"/>
      <c r="U125" s="397"/>
      <c r="V125" s="397"/>
      <c r="W125" s="397"/>
      <c r="X125" s="397"/>
      <c r="Y125" s="397"/>
      <c r="Z125" s="397"/>
      <c r="AA125" s="397"/>
      <c r="AB125" s="397"/>
      <c r="AC125" s="397"/>
      <c r="AD125" s="397"/>
      <c r="AE125" s="397"/>
      <c r="AF125" s="397"/>
      <c r="AG125" s="397"/>
      <c r="AH125" s="397"/>
      <c r="AI125" s="397"/>
      <c r="AJ125" s="397"/>
      <c r="AK125" s="397"/>
      <c r="AL125" s="397"/>
      <c r="AM125" s="397"/>
      <c r="AN125" s="397"/>
      <c r="AO125" s="397"/>
      <c r="AP125" s="397"/>
    </row>
    <row r="126" spans="1:42" s="400" customFormat="1" x14ac:dyDescent="0.25">
      <c r="A126" s="404"/>
      <c r="B126" s="405"/>
      <c r="C126" s="405"/>
      <c r="D126" s="405"/>
      <c r="E126" s="397"/>
      <c r="F126" s="397"/>
      <c r="G126" s="397"/>
      <c r="H126" s="397"/>
      <c r="I126" s="397"/>
      <c r="J126" s="397"/>
      <c r="K126" s="397"/>
      <c r="L126" s="397"/>
      <c r="M126" s="397"/>
      <c r="N126" s="397"/>
      <c r="O126" s="397"/>
      <c r="P126" s="397"/>
      <c r="Q126" s="397"/>
      <c r="R126" s="397"/>
      <c r="S126" s="397"/>
      <c r="T126" s="397"/>
      <c r="U126" s="397"/>
      <c r="V126" s="397"/>
      <c r="W126" s="397"/>
      <c r="X126" s="397"/>
      <c r="Y126" s="397"/>
      <c r="Z126" s="397"/>
      <c r="AA126" s="397"/>
      <c r="AB126" s="397"/>
      <c r="AC126" s="397"/>
      <c r="AD126" s="397"/>
      <c r="AE126" s="397"/>
      <c r="AF126" s="397"/>
      <c r="AG126" s="397"/>
      <c r="AH126" s="397"/>
      <c r="AI126" s="397"/>
      <c r="AJ126" s="397"/>
      <c r="AK126" s="397"/>
      <c r="AL126" s="397"/>
      <c r="AM126" s="397"/>
      <c r="AN126" s="397"/>
      <c r="AO126" s="397"/>
      <c r="AP126" s="397"/>
    </row>
    <row r="127" spans="1:42" s="400" customFormat="1" x14ac:dyDescent="0.25">
      <c r="A127" s="404"/>
      <c r="B127" s="405"/>
      <c r="C127" s="405"/>
      <c r="D127" s="405"/>
      <c r="E127" s="397"/>
      <c r="F127" s="397"/>
      <c r="G127" s="397"/>
      <c r="H127" s="397"/>
      <c r="I127" s="397"/>
      <c r="J127" s="397"/>
      <c r="K127" s="397"/>
      <c r="L127" s="397"/>
      <c r="M127" s="397"/>
      <c r="N127" s="397"/>
      <c r="O127" s="397"/>
      <c r="P127" s="397"/>
      <c r="Q127" s="397"/>
      <c r="R127" s="397"/>
      <c r="S127" s="397"/>
      <c r="T127" s="397"/>
      <c r="U127" s="397"/>
      <c r="V127" s="397"/>
      <c r="W127" s="397"/>
      <c r="X127" s="397"/>
      <c r="Y127" s="397"/>
      <c r="Z127" s="397"/>
      <c r="AA127" s="397"/>
      <c r="AB127" s="397"/>
      <c r="AC127" s="397"/>
      <c r="AD127" s="397"/>
      <c r="AE127" s="397"/>
      <c r="AF127" s="397"/>
      <c r="AG127" s="397"/>
      <c r="AH127" s="397"/>
      <c r="AI127" s="397"/>
      <c r="AJ127" s="397"/>
      <c r="AK127" s="397"/>
      <c r="AL127" s="397"/>
      <c r="AM127" s="397"/>
      <c r="AN127" s="397"/>
      <c r="AO127" s="397"/>
      <c r="AP127" s="397"/>
    </row>
    <row r="128" spans="1:42" s="400" customFormat="1" x14ac:dyDescent="0.25">
      <c r="A128" s="404"/>
      <c r="B128" s="405"/>
      <c r="C128" s="405"/>
      <c r="D128" s="405"/>
      <c r="E128" s="397"/>
      <c r="F128" s="397"/>
      <c r="G128" s="397"/>
      <c r="H128" s="397"/>
      <c r="I128" s="397"/>
      <c r="J128" s="397"/>
      <c r="K128" s="397"/>
      <c r="L128" s="397"/>
      <c r="M128" s="397"/>
      <c r="N128" s="397"/>
      <c r="O128" s="397"/>
      <c r="P128" s="397"/>
      <c r="Q128" s="397"/>
      <c r="R128" s="397"/>
      <c r="S128" s="397"/>
      <c r="T128" s="397"/>
      <c r="U128" s="397"/>
      <c r="V128" s="397"/>
      <c r="W128" s="397"/>
      <c r="X128" s="397"/>
      <c r="Y128" s="397"/>
      <c r="Z128" s="397"/>
      <c r="AA128" s="397"/>
      <c r="AB128" s="397"/>
      <c r="AC128" s="397"/>
      <c r="AD128" s="397"/>
      <c r="AE128" s="397"/>
      <c r="AF128" s="397"/>
      <c r="AG128" s="397"/>
      <c r="AH128" s="397"/>
      <c r="AI128" s="397"/>
      <c r="AJ128" s="397"/>
      <c r="AK128" s="397"/>
      <c r="AL128" s="397"/>
      <c r="AM128" s="397"/>
      <c r="AN128" s="397"/>
      <c r="AO128" s="397"/>
      <c r="AP128" s="397"/>
    </row>
    <row r="129" spans="1:42" s="400" customFormat="1" x14ac:dyDescent="0.25">
      <c r="A129" s="404"/>
      <c r="B129" s="405"/>
      <c r="C129" s="405"/>
      <c r="D129" s="405"/>
      <c r="E129" s="397"/>
      <c r="F129" s="397"/>
      <c r="G129" s="397"/>
      <c r="H129" s="397"/>
      <c r="I129" s="397"/>
      <c r="J129" s="397"/>
      <c r="K129" s="397"/>
      <c r="L129" s="397"/>
      <c r="M129" s="397"/>
      <c r="N129" s="397"/>
      <c r="O129" s="397"/>
      <c r="P129" s="397"/>
      <c r="Q129" s="397"/>
      <c r="R129" s="397"/>
      <c r="S129" s="397"/>
      <c r="T129" s="397"/>
      <c r="U129" s="397"/>
      <c r="V129" s="397"/>
      <c r="W129" s="397"/>
      <c r="X129" s="397"/>
      <c r="Y129" s="397"/>
      <c r="Z129" s="397"/>
      <c r="AA129" s="397"/>
      <c r="AB129" s="397"/>
      <c r="AC129" s="397"/>
      <c r="AD129" s="397"/>
      <c r="AE129" s="397"/>
      <c r="AF129" s="397"/>
      <c r="AG129" s="397"/>
      <c r="AH129" s="397"/>
      <c r="AI129" s="397"/>
      <c r="AJ129" s="397"/>
      <c r="AK129" s="397"/>
      <c r="AL129" s="397"/>
      <c r="AM129" s="397"/>
      <c r="AN129" s="397"/>
      <c r="AO129" s="397"/>
      <c r="AP129" s="397"/>
    </row>
    <row r="130" spans="1:42" s="400" customFormat="1" x14ac:dyDescent="0.25">
      <c r="A130" s="404"/>
      <c r="B130" s="405"/>
      <c r="C130" s="405"/>
      <c r="D130" s="405"/>
      <c r="E130" s="397"/>
      <c r="F130" s="397"/>
      <c r="G130" s="397"/>
      <c r="H130" s="397"/>
      <c r="I130" s="397"/>
      <c r="J130" s="397"/>
      <c r="K130" s="397"/>
      <c r="L130" s="397"/>
      <c r="M130" s="397"/>
      <c r="N130" s="397"/>
      <c r="O130" s="397"/>
      <c r="P130" s="397"/>
      <c r="Q130" s="397"/>
      <c r="R130" s="397"/>
      <c r="S130" s="397"/>
      <c r="T130" s="397"/>
      <c r="U130" s="397"/>
      <c r="V130" s="397"/>
      <c r="W130" s="397"/>
      <c r="X130" s="397"/>
      <c r="Y130" s="397"/>
      <c r="Z130" s="397"/>
      <c r="AA130" s="397"/>
      <c r="AB130" s="397"/>
      <c r="AC130" s="397"/>
      <c r="AD130" s="397"/>
      <c r="AE130" s="397"/>
      <c r="AF130" s="397"/>
      <c r="AG130" s="397"/>
      <c r="AH130" s="397"/>
      <c r="AI130" s="397"/>
      <c r="AJ130" s="397"/>
      <c r="AK130" s="397"/>
      <c r="AL130" s="397"/>
      <c r="AM130" s="397"/>
      <c r="AN130" s="397"/>
      <c r="AO130" s="397"/>
      <c r="AP130" s="397"/>
    </row>
    <row r="131" spans="1:42" s="400" customFormat="1" x14ac:dyDescent="0.25">
      <c r="A131" s="404"/>
      <c r="B131" s="405"/>
      <c r="C131" s="405"/>
      <c r="D131" s="405"/>
      <c r="E131" s="397"/>
      <c r="F131" s="397"/>
      <c r="G131" s="397"/>
      <c r="H131" s="397"/>
      <c r="I131" s="397"/>
      <c r="J131" s="397"/>
      <c r="K131" s="397"/>
      <c r="L131" s="397"/>
      <c r="M131" s="397"/>
      <c r="N131" s="397"/>
      <c r="O131" s="397"/>
      <c r="P131" s="397"/>
      <c r="Q131" s="397"/>
      <c r="R131" s="397"/>
      <c r="S131" s="397"/>
      <c r="T131" s="397"/>
      <c r="U131" s="397"/>
      <c r="V131" s="397"/>
      <c r="W131" s="397"/>
      <c r="X131" s="397"/>
      <c r="Y131" s="397"/>
      <c r="Z131" s="397"/>
      <c r="AA131" s="397"/>
      <c r="AB131" s="397"/>
      <c r="AC131" s="397"/>
      <c r="AD131" s="397"/>
      <c r="AE131" s="397"/>
      <c r="AF131" s="397"/>
      <c r="AG131" s="397"/>
      <c r="AH131" s="397"/>
      <c r="AI131" s="397"/>
      <c r="AJ131" s="397"/>
      <c r="AK131" s="397"/>
      <c r="AL131" s="397"/>
      <c r="AM131" s="397"/>
      <c r="AN131" s="397"/>
      <c r="AO131" s="397"/>
      <c r="AP131" s="397"/>
    </row>
    <row r="132" spans="1:42" s="400" customFormat="1" x14ac:dyDescent="0.25">
      <c r="A132" s="404"/>
      <c r="B132" s="405"/>
      <c r="C132" s="405"/>
      <c r="D132" s="405"/>
      <c r="E132" s="397"/>
      <c r="F132" s="397"/>
      <c r="G132" s="397"/>
      <c r="H132" s="397"/>
      <c r="I132" s="397"/>
      <c r="J132" s="397"/>
      <c r="K132" s="397"/>
      <c r="L132" s="397"/>
      <c r="M132" s="397"/>
      <c r="N132" s="397"/>
      <c r="O132" s="397"/>
      <c r="P132" s="397"/>
      <c r="Q132" s="397"/>
      <c r="R132" s="397"/>
      <c r="S132" s="397"/>
      <c r="T132" s="397"/>
      <c r="U132" s="397"/>
      <c r="V132" s="397"/>
      <c r="W132" s="397"/>
      <c r="X132" s="397"/>
      <c r="Y132" s="397"/>
      <c r="Z132" s="397"/>
      <c r="AA132" s="397"/>
      <c r="AB132" s="397"/>
      <c r="AC132" s="397"/>
      <c r="AD132" s="397"/>
      <c r="AE132" s="397"/>
      <c r="AF132" s="397"/>
      <c r="AG132" s="397"/>
      <c r="AH132" s="397"/>
      <c r="AI132" s="397"/>
      <c r="AJ132" s="397"/>
      <c r="AK132" s="397"/>
      <c r="AL132" s="397"/>
      <c r="AM132" s="397"/>
      <c r="AN132" s="397"/>
      <c r="AO132" s="397"/>
      <c r="AP132" s="397"/>
    </row>
    <row r="133" spans="1:42" s="400" customFormat="1" x14ac:dyDescent="0.25">
      <c r="A133" s="404"/>
      <c r="B133" s="405"/>
      <c r="C133" s="405"/>
      <c r="D133" s="405"/>
      <c r="E133" s="397"/>
      <c r="F133" s="397"/>
      <c r="G133" s="397"/>
      <c r="H133" s="397"/>
      <c r="I133" s="397"/>
      <c r="J133" s="397"/>
      <c r="K133" s="397"/>
      <c r="L133" s="397"/>
      <c r="M133" s="397"/>
      <c r="N133" s="397"/>
      <c r="O133" s="397"/>
      <c r="P133" s="397"/>
      <c r="Q133" s="397"/>
      <c r="R133" s="397"/>
      <c r="S133" s="397"/>
      <c r="T133" s="397"/>
      <c r="U133" s="397"/>
      <c r="V133" s="397"/>
      <c r="W133" s="397"/>
      <c r="X133" s="397"/>
      <c r="Y133" s="397"/>
      <c r="Z133" s="397"/>
      <c r="AA133" s="397"/>
      <c r="AB133" s="397"/>
      <c r="AC133" s="397"/>
      <c r="AD133" s="397"/>
      <c r="AE133" s="397"/>
      <c r="AF133" s="397"/>
      <c r="AG133" s="397"/>
      <c r="AH133" s="397"/>
      <c r="AI133" s="397"/>
      <c r="AJ133" s="397"/>
      <c r="AK133" s="397"/>
      <c r="AL133" s="397"/>
      <c r="AM133" s="397"/>
      <c r="AN133" s="397"/>
      <c r="AO133" s="397"/>
      <c r="AP133" s="397"/>
    </row>
    <row r="134" spans="1:42" s="400" customFormat="1" x14ac:dyDescent="0.25">
      <c r="A134" s="404"/>
      <c r="B134" s="405"/>
      <c r="C134" s="405"/>
      <c r="D134" s="405"/>
      <c r="E134" s="397"/>
      <c r="F134" s="397"/>
      <c r="G134" s="397"/>
      <c r="H134" s="397"/>
      <c r="I134" s="397"/>
      <c r="J134" s="397"/>
      <c r="K134" s="397"/>
      <c r="L134" s="397"/>
      <c r="M134" s="397"/>
      <c r="N134" s="397"/>
      <c r="O134" s="397"/>
      <c r="P134" s="397"/>
      <c r="Q134" s="397"/>
      <c r="R134" s="397"/>
      <c r="S134" s="397"/>
      <c r="T134" s="397"/>
      <c r="U134" s="397"/>
      <c r="V134" s="397"/>
      <c r="W134" s="397"/>
      <c r="X134" s="397"/>
      <c r="Y134" s="397"/>
      <c r="Z134" s="397"/>
      <c r="AA134" s="397"/>
      <c r="AB134" s="397"/>
      <c r="AC134" s="397"/>
      <c r="AD134" s="397"/>
      <c r="AE134" s="397"/>
      <c r="AF134" s="397"/>
      <c r="AG134" s="397"/>
      <c r="AH134" s="397"/>
      <c r="AI134" s="397"/>
      <c r="AJ134" s="397"/>
      <c r="AK134" s="397"/>
      <c r="AL134" s="397"/>
      <c r="AM134" s="397"/>
      <c r="AN134" s="397"/>
      <c r="AO134" s="397"/>
      <c r="AP134" s="397"/>
    </row>
    <row r="135" spans="1:42" s="400" customFormat="1" x14ac:dyDescent="0.25">
      <c r="A135" s="404"/>
      <c r="B135" s="405"/>
      <c r="C135" s="405"/>
      <c r="D135" s="405"/>
      <c r="E135" s="397"/>
      <c r="F135" s="397"/>
      <c r="G135" s="397"/>
      <c r="H135" s="397"/>
      <c r="I135" s="397"/>
      <c r="J135" s="397"/>
      <c r="K135" s="397"/>
      <c r="L135" s="397"/>
      <c r="M135" s="397"/>
      <c r="N135" s="397"/>
      <c r="O135" s="397"/>
      <c r="P135" s="397"/>
      <c r="Q135" s="397"/>
      <c r="R135" s="397"/>
      <c r="S135" s="397"/>
      <c r="T135" s="397"/>
      <c r="U135" s="397"/>
      <c r="V135" s="397"/>
      <c r="W135" s="397"/>
      <c r="X135" s="397"/>
      <c r="Y135" s="397"/>
      <c r="Z135" s="397"/>
      <c r="AA135" s="397"/>
      <c r="AB135" s="397"/>
      <c r="AC135" s="397"/>
      <c r="AD135" s="397"/>
      <c r="AE135" s="397"/>
      <c r="AF135" s="397"/>
      <c r="AG135" s="397"/>
      <c r="AH135" s="397"/>
      <c r="AI135" s="397"/>
      <c r="AJ135" s="397"/>
      <c r="AK135" s="397"/>
      <c r="AL135" s="397"/>
      <c r="AM135" s="397"/>
      <c r="AN135" s="397"/>
      <c r="AO135" s="397"/>
      <c r="AP135" s="397"/>
    </row>
    <row r="136" spans="1:42" s="400" customFormat="1" x14ac:dyDescent="0.25">
      <c r="A136" s="404"/>
      <c r="B136" s="405"/>
      <c r="C136" s="405"/>
      <c r="D136" s="405"/>
      <c r="E136" s="397"/>
      <c r="F136" s="397"/>
      <c r="G136" s="397"/>
      <c r="H136" s="397"/>
      <c r="I136" s="397"/>
      <c r="J136" s="397"/>
      <c r="K136" s="397"/>
      <c r="L136" s="397"/>
      <c r="M136" s="397"/>
      <c r="N136" s="397"/>
      <c r="O136" s="397"/>
      <c r="P136" s="397"/>
      <c r="Q136" s="397"/>
      <c r="R136" s="397"/>
      <c r="S136" s="397"/>
      <c r="T136" s="397"/>
      <c r="U136" s="397"/>
      <c r="V136" s="397"/>
      <c r="W136" s="397"/>
      <c r="X136" s="397"/>
      <c r="Y136" s="397"/>
      <c r="Z136" s="397"/>
      <c r="AA136" s="397"/>
      <c r="AB136" s="397"/>
      <c r="AC136" s="397"/>
      <c r="AD136" s="397"/>
      <c r="AE136" s="397"/>
      <c r="AF136" s="397"/>
      <c r="AG136" s="397"/>
      <c r="AH136" s="397"/>
      <c r="AI136" s="397"/>
      <c r="AJ136" s="397"/>
      <c r="AK136" s="397"/>
      <c r="AL136" s="397"/>
      <c r="AM136" s="397"/>
      <c r="AN136" s="397"/>
      <c r="AO136" s="397"/>
      <c r="AP136" s="397"/>
    </row>
    <row r="137" spans="1:42" s="400" customFormat="1" x14ac:dyDescent="0.25">
      <c r="A137" s="404"/>
      <c r="B137" s="405"/>
      <c r="C137" s="405"/>
      <c r="D137" s="405"/>
      <c r="E137" s="397"/>
      <c r="F137" s="397"/>
      <c r="G137" s="397"/>
      <c r="H137" s="397"/>
      <c r="I137" s="397"/>
      <c r="J137" s="397"/>
      <c r="K137" s="397"/>
      <c r="L137" s="397"/>
      <c r="M137" s="397"/>
      <c r="N137" s="397"/>
      <c r="O137" s="397"/>
      <c r="P137" s="397"/>
      <c r="Q137" s="397"/>
      <c r="R137" s="397"/>
      <c r="S137" s="397"/>
      <c r="T137" s="397"/>
      <c r="U137" s="397"/>
      <c r="V137" s="397"/>
      <c r="W137" s="397"/>
      <c r="X137" s="397"/>
      <c r="Y137" s="397"/>
      <c r="Z137" s="397"/>
      <c r="AA137" s="397"/>
      <c r="AB137" s="397"/>
      <c r="AC137" s="397"/>
      <c r="AD137" s="397"/>
      <c r="AE137" s="397"/>
      <c r="AF137" s="397"/>
      <c r="AG137" s="397"/>
      <c r="AH137" s="397"/>
      <c r="AI137" s="397"/>
      <c r="AJ137" s="397"/>
      <c r="AK137" s="397"/>
      <c r="AL137" s="397"/>
      <c r="AM137" s="397"/>
      <c r="AN137" s="397"/>
      <c r="AO137" s="397"/>
      <c r="AP137" s="397"/>
    </row>
    <row r="138" spans="1:42" s="400" customFormat="1" x14ac:dyDescent="0.25">
      <c r="A138" s="404"/>
      <c r="B138" s="405"/>
      <c r="C138" s="405"/>
      <c r="D138" s="405"/>
      <c r="E138" s="397"/>
      <c r="F138" s="397"/>
      <c r="G138" s="397"/>
      <c r="H138" s="397"/>
      <c r="I138" s="397"/>
      <c r="J138" s="397"/>
      <c r="K138" s="397"/>
      <c r="L138" s="397"/>
      <c r="M138" s="397"/>
      <c r="N138" s="397"/>
      <c r="O138" s="397"/>
      <c r="P138" s="397"/>
      <c r="Q138" s="397"/>
      <c r="R138" s="397"/>
      <c r="S138" s="397"/>
      <c r="T138" s="397"/>
      <c r="U138" s="397"/>
      <c r="V138" s="397"/>
      <c r="W138" s="397"/>
      <c r="X138" s="397"/>
      <c r="Y138" s="397"/>
      <c r="Z138" s="397"/>
      <c r="AA138" s="397"/>
      <c r="AB138" s="397"/>
      <c r="AC138" s="397"/>
      <c r="AD138" s="397"/>
      <c r="AE138" s="397"/>
      <c r="AF138" s="397"/>
      <c r="AG138" s="397"/>
      <c r="AH138" s="397"/>
      <c r="AI138" s="397"/>
      <c r="AJ138" s="397"/>
      <c r="AK138" s="397"/>
      <c r="AL138" s="397"/>
      <c r="AM138" s="397"/>
      <c r="AN138" s="397"/>
      <c r="AO138" s="397"/>
      <c r="AP138" s="397"/>
    </row>
    <row r="139" spans="1:42" s="400" customFormat="1" x14ac:dyDescent="0.25">
      <c r="A139" s="404"/>
      <c r="B139" s="405"/>
      <c r="C139" s="405"/>
      <c r="D139" s="405"/>
      <c r="E139" s="397"/>
      <c r="F139" s="397"/>
      <c r="G139" s="397"/>
      <c r="H139" s="397"/>
      <c r="I139" s="397"/>
      <c r="J139" s="397"/>
      <c r="K139" s="397"/>
      <c r="L139" s="397"/>
      <c r="M139" s="397"/>
      <c r="N139" s="397"/>
      <c r="O139" s="397"/>
      <c r="P139" s="397"/>
      <c r="Q139" s="397"/>
      <c r="R139" s="397"/>
      <c r="S139" s="397"/>
      <c r="T139" s="397"/>
      <c r="U139" s="397"/>
      <c r="V139" s="397"/>
      <c r="W139" s="397"/>
      <c r="X139" s="397"/>
      <c r="Y139" s="397"/>
      <c r="Z139" s="397"/>
      <c r="AA139" s="397"/>
      <c r="AB139" s="397"/>
      <c r="AC139" s="397"/>
      <c r="AD139" s="397"/>
      <c r="AE139" s="397"/>
      <c r="AF139" s="397"/>
      <c r="AG139" s="397"/>
      <c r="AH139" s="397"/>
      <c r="AI139" s="397"/>
      <c r="AJ139" s="397"/>
      <c r="AK139" s="397"/>
      <c r="AL139" s="397"/>
      <c r="AM139" s="397"/>
      <c r="AN139" s="397"/>
      <c r="AO139" s="397"/>
      <c r="AP139" s="397"/>
    </row>
    <row r="140" spans="1:42" s="400" customFormat="1" x14ac:dyDescent="0.25">
      <c r="A140" s="404"/>
      <c r="B140" s="405"/>
      <c r="C140" s="405"/>
      <c r="D140" s="405"/>
      <c r="E140" s="397"/>
      <c r="F140" s="397"/>
      <c r="G140" s="397"/>
      <c r="H140" s="397"/>
      <c r="I140" s="397"/>
      <c r="J140" s="397"/>
      <c r="K140" s="397"/>
      <c r="L140" s="397"/>
      <c r="M140" s="397"/>
      <c r="N140" s="397"/>
      <c r="O140" s="397"/>
      <c r="P140" s="397"/>
      <c r="Q140" s="397"/>
      <c r="R140" s="397"/>
      <c r="S140" s="397"/>
      <c r="T140" s="397"/>
      <c r="U140" s="397"/>
      <c r="V140" s="397"/>
      <c r="W140" s="397"/>
      <c r="X140" s="397"/>
      <c r="Y140" s="397"/>
      <c r="Z140" s="397"/>
      <c r="AA140" s="397"/>
      <c r="AB140" s="397"/>
      <c r="AC140" s="397"/>
      <c r="AD140" s="397"/>
      <c r="AE140" s="397"/>
      <c r="AF140" s="397"/>
      <c r="AG140" s="397"/>
      <c r="AH140" s="397"/>
      <c r="AI140" s="397"/>
      <c r="AJ140" s="397"/>
      <c r="AK140" s="397"/>
      <c r="AL140" s="397"/>
      <c r="AM140" s="397"/>
      <c r="AN140" s="397"/>
      <c r="AO140" s="397"/>
      <c r="AP140" s="397"/>
    </row>
    <row r="141" spans="1:42" s="400" customFormat="1" x14ac:dyDescent="0.25">
      <c r="A141" s="404"/>
      <c r="B141" s="405"/>
      <c r="C141" s="405"/>
      <c r="D141" s="405"/>
      <c r="E141" s="397"/>
      <c r="F141" s="397"/>
      <c r="G141" s="397"/>
      <c r="H141" s="397"/>
      <c r="I141" s="397"/>
      <c r="J141" s="397"/>
      <c r="K141" s="397"/>
      <c r="L141" s="397"/>
      <c r="M141" s="397"/>
      <c r="N141" s="397"/>
      <c r="O141" s="397"/>
      <c r="P141" s="397"/>
      <c r="Q141" s="397"/>
      <c r="R141" s="397"/>
      <c r="S141" s="397"/>
      <c r="T141" s="397"/>
      <c r="U141" s="397"/>
      <c r="V141" s="397"/>
      <c r="W141" s="397"/>
      <c r="X141" s="397"/>
      <c r="Y141" s="397"/>
      <c r="Z141" s="397"/>
      <c r="AA141" s="397"/>
      <c r="AB141" s="397"/>
      <c r="AC141" s="397"/>
      <c r="AD141" s="397"/>
      <c r="AE141" s="397"/>
      <c r="AF141" s="397"/>
      <c r="AG141" s="397"/>
      <c r="AH141" s="397"/>
      <c r="AI141" s="397"/>
      <c r="AJ141" s="397"/>
      <c r="AK141" s="397"/>
      <c r="AL141" s="397"/>
      <c r="AM141" s="397"/>
      <c r="AN141" s="397"/>
      <c r="AO141" s="397"/>
      <c r="AP141" s="397"/>
    </row>
    <row r="142" spans="1:42" s="400" customFormat="1" x14ac:dyDescent="0.25">
      <c r="A142" s="404"/>
      <c r="B142" s="405"/>
      <c r="C142" s="405"/>
      <c r="D142" s="405"/>
      <c r="E142" s="397"/>
      <c r="F142" s="397"/>
      <c r="G142" s="397"/>
      <c r="H142" s="397"/>
      <c r="I142" s="397"/>
      <c r="J142" s="397"/>
      <c r="K142" s="397"/>
      <c r="L142" s="397"/>
      <c r="M142" s="397"/>
      <c r="N142" s="397"/>
      <c r="O142" s="397"/>
      <c r="P142" s="397"/>
      <c r="Q142" s="397"/>
      <c r="R142" s="397"/>
      <c r="S142" s="397"/>
      <c r="T142" s="397"/>
      <c r="U142" s="397"/>
      <c r="V142" s="397"/>
      <c r="W142" s="397"/>
      <c r="X142" s="397"/>
      <c r="Y142" s="397"/>
      <c r="Z142" s="397"/>
      <c r="AA142" s="397"/>
      <c r="AB142" s="397"/>
      <c r="AC142" s="397"/>
      <c r="AD142" s="397"/>
      <c r="AE142" s="397"/>
      <c r="AF142" s="397"/>
      <c r="AG142" s="397"/>
      <c r="AH142" s="397"/>
      <c r="AI142" s="397"/>
      <c r="AJ142" s="397"/>
      <c r="AK142" s="397"/>
      <c r="AL142" s="397"/>
      <c r="AM142" s="397"/>
      <c r="AN142" s="397"/>
      <c r="AO142" s="397"/>
      <c r="AP142" s="397"/>
    </row>
    <row r="143" spans="1:42" s="400" customFormat="1" x14ac:dyDescent="0.25">
      <c r="A143" s="404"/>
      <c r="B143" s="405"/>
      <c r="C143" s="405"/>
      <c r="D143" s="405"/>
      <c r="E143" s="397"/>
      <c r="F143" s="397"/>
      <c r="G143" s="397"/>
      <c r="H143" s="397"/>
      <c r="I143" s="397"/>
      <c r="J143" s="397"/>
      <c r="K143" s="397"/>
      <c r="L143" s="397"/>
      <c r="M143" s="397"/>
      <c r="N143" s="397"/>
      <c r="O143" s="397"/>
      <c r="P143" s="397"/>
      <c r="Q143" s="397"/>
      <c r="R143" s="397"/>
      <c r="S143" s="397"/>
      <c r="T143" s="397"/>
      <c r="U143" s="397"/>
      <c r="V143" s="397"/>
      <c r="W143" s="397"/>
      <c r="X143" s="397"/>
      <c r="Y143" s="397"/>
      <c r="Z143" s="397"/>
      <c r="AA143" s="397"/>
      <c r="AB143" s="397"/>
      <c r="AC143" s="397"/>
      <c r="AD143" s="397"/>
      <c r="AE143" s="397"/>
      <c r="AF143" s="397"/>
      <c r="AG143" s="397"/>
      <c r="AH143" s="397"/>
      <c r="AI143" s="397"/>
      <c r="AJ143" s="397"/>
      <c r="AK143" s="397"/>
      <c r="AL143" s="397"/>
      <c r="AM143" s="397"/>
      <c r="AN143" s="397"/>
      <c r="AO143" s="397"/>
      <c r="AP143" s="397"/>
    </row>
    <row r="144" spans="1:42" s="400" customFormat="1" x14ac:dyDescent="0.25">
      <c r="A144" s="404"/>
      <c r="B144" s="405"/>
      <c r="C144" s="405"/>
      <c r="D144" s="405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7"/>
      <c r="P144" s="397"/>
      <c r="Q144" s="397"/>
      <c r="R144" s="397"/>
      <c r="S144" s="397"/>
      <c r="T144" s="397"/>
      <c r="U144" s="397"/>
      <c r="V144" s="397"/>
      <c r="W144" s="397"/>
      <c r="X144" s="397"/>
      <c r="Y144" s="397"/>
      <c r="Z144" s="397"/>
      <c r="AA144" s="397"/>
      <c r="AB144" s="397"/>
      <c r="AC144" s="397"/>
      <c r="AD144" s="397"/>
      <c r="AE144" s="397"/>
      <c r="AF144" s="397"/>
      <c r="AG144" s="397"/>
      <c r="AH144" s="397"/>
      <c r="AI144" s="397"/>
      <c r="AJ144" s="397"/>
      <c r="AK144" s="397"/>
      <c r="AL144" s="397"/>
      <c r="AM144" s="397"/>
      <c r="AN144" s="397"/>
      <c r="AO144" s="397"/>
      <c r="AP144" s="397"/>
    </row>
    <row r="145" spans="1:42" s="400" customFormat="1" x14ac:dyDescent="0.25">
      <c r="A145" s="404"/>
      <c r="B145" s="405"/>
      <c r="C145" s="405"/>
      <c r="D145" s="405"/>
      <c r="E145" s="397"/>
      <c r="F145" s="397"/>
      <c r="G145" s="397"/>
      <c r="H145" s="397"/>
      <c r="I145" s="397"/>
      <c r="J145" s="397"/>
      <c r="K145" s="397"/>
      <c r="L145" s="397"/>
      <c r="M145" s="397"/>
      <c r="N145" s="397"/>
      <c r="O145" s="397"/>
      <c r="P145" s="397"/>
      <c r="Q145" s="397"/>
      <c r="R145" s="397"/>
      <c r="S145" s="397"/>
      <c r="T145" s="397"/>
      <c r="U145" s="397"/>
      <c r="V145" s="397"/>
      <c r="W145" s="397"/>
      <c r="X145" s="397"/>
      <c r="Y145" s="397"/>
      <c r="Z145" s="397"/>
      <c r="AA145" s="397"/>
      <c r="AB145" s="397"/>
      <c r="AC145" s="397"/>
      <c r="AD145" s="397"/>
      <c r="AE145" s="397"/>
      <c r="AF145" s="397"/>
      <c r="AG145" s="397"/>
      <c r="AH145" s="397"/>
      <c r="AI145" s="397"/>
      <c r="AJ145" s="397"/>
      <c r="AK145" s="397"/>
      <c r="AL145" s="397"/>
      <c r="AM145" s="397"/>
      <c r="AN145" s="397"/>
      <c r="AO145" s="397"/>
      <c r="AP145" s="397"/>
    </row>
    <row r="146" spans="1:42" s="400" customFormat="1" x14ac:dyDescent="0.25">
      <c r="A146" s="404"/>
      <c r="B146" s="405"/>
      <c r="C146" s="405"/>
      <c r="D146" s="405"/>
      <c r="E146" s="397"/>
      <c r="F146" s="397"/>
      <c r="G146" s="397"/>
      <c r="H146" s="397"/>
      <c r="I146" s="397"/>
      <c r="J146" s="397"/>
      <c r="K146" s="397"/>
      <c r="L146" s="397"/>
      <c r="M146" s="397"/>
      <c r="N146" s="397"/>
      <c r="O146" s="397"/>
      <c r="P146" s="397"/>
      <c r="Q146" s="397"/>
      <c r="R146" s="397"/>
      <c r="S146" s="397"/>
      <c r="T146" s="397"/>
      <c r="U146" s="397"/>
      <c r="V146" s="397"/>
      <c r="W146" s="397"/>
      <c r="X146" s="397"/>
      <c r="Y146" s="397"/>
      <c r="Z146" s="397"/>
      <c r="AA146" s="397"/>
      <c r="AB146" s="397"/>
      <c r="AC146" s="397"/>
      <c r="AD146" s="397"/>
      <c r="AE146" s="397"/>
      <c r="AF146" s="397"/>
      <c r="AG146" s="397"/>
      <c r="AH146" s="397"/>
      <c r="AI146" s="397"/>
      <c r="AJ146" s="397"/>
      <c r="AK146" s="397"/>
      <c r="AL146" s="397"/>
      <c r="AM146" s="397"/>
      <c r="AN146" s="397"/>
      <c r="AO146" s="397"/>
      <c r="AP146" s="397"/>
    </row>
    <row r="147" spans="1:42" s="400" customFormat="1" x14ac:dyDescent="0.25">
      <c r="A147" s="404"/>
      <c r="B147" s="405"/>
      <c r="C147" s="405"/>
      <c r="D147" s="405"/>
      <c r="E147" s="397"/>
      <c r="F147" s="397"/>
      <c r="G147" s="397"/>
      <c r="H147" s="397"/>
      <c r="I147" s="397"/>
      <c r="J147" s="397"/>
      <c r="K147" s="397"/>
      <c r="L147" s="397"/>
      <c r="M147" s="397"/>
      <c r="N147" s="397"/>
      <c r="O147" s="397"/>
      <c r="P147" s="397"/>
      <c r="Q147" s="397"/>
      <c r="R147" s="397"/>
      <c r="S147" s="397"/>
      <c r="T147" s="397"/>
      <c r="U147" s="397"/>
      <c r="V147" s="397"/>
      <c r="W147" s="397"/>
      <c r="X147" s="397"/>
      <c r="Y147" s="397"/>
      <c r="Z147" s="397"/>
      <c r="AA147" s="397"/>
      <c r="AB147" s="397"/>
      <c r="AC147" s="397"/>
      <c r="AD147" s="397"/>
      <c r="AE147" s="397"/>
      <c r="AF147" s="397"/>
      <c r="AG147" s="397"/>
      <c r="AH147" s="397"/>
      <c r="AI147" s="397"/>
      <c r="AJ147" s="397"/>
      <c r="AK147" s="397"/>
      <c r="AL147" s="397"/>
      <c r="AM147" s="397"/>
      <c r="AN147" s="397"/>
      <c r="AO147" s="397"/>
      <c r="AP147" s="397"/>
    </row>
    <row r="148" spans="1:42" s="400" customFormat="1" x14ac:dyDescent="0.25">
      <c r="A148" s="404"/>
      <c r="B148" s="405"/>
      <c r="C148" s="405"/>
      <c r="D148" s="405"/>
      <c r="E148" s="397"/>
      <c r="F148" s="397"/>
      <c r="G148" s="397"/>
      <c r="H148" s="397"/>
      <c r="I148" s="397"/>
      <c r="J148" s="397"/>
      <c r="K148" s="397"/>
      <c r="L148" s="397"/>
      <c r="M148" s="397"/>
      <c r="N148" s="397"/>
      <c r="O148" s="397"/>
      <c r="P148" s="397"/>
      <c r="Q148" s="397"/>
      <c r="R148" s="397"/>
      <c r="S148" s="397"/>
      <c r="T148" s="397"/>
      <c r="U148" s="397"/>
      <c r="V148" s="397"/>
      <c r="W148" s="397"/>
      <c r="X148" s="397"/>
      <c r="Y148" s="397"/>
      <c r="Z148" s="397"/>
      <c r="AA148" s="397"/>
      <c r="AB148" s="397"/>
      <c r="AC148" s="397"/>
      <c r="AD148" s="397"/>
      <c r="AE148" s="397"/>
      <c r="AF148" s="397"/>
      <c r="AG148" s="397"/>
      <c r="AH148" s="397"/>
      <c r="AI148" s="397"/>
      <c r="AJ148" s="397"/>
      <c r="AK148" s="397"/>
      <c r="AL148" s="397"/>
      <c r="AM148" s="397"/>
      <c r="AN148" s="397"/>
      <c r="AO148" s="397"/>
      <c r="AP148" s="397"/>
    </row>
    <row r="149" spans="1:42" s="400" customFormat="1" x14ac:dyDescent="0.25">
      <c r="A149" s="404"/>
      <c r="B149" s="405"/>
      <c r="C149" s="405"/>
      <c r="D149" s="405"/>
      <c r="E149" s="397"/>
      <c r="F149" s="397"/>
      <c r="G149" s="397"/>
      <c r="H149" s="397"/>
      <c r="I149" s="397"/>
      <c r="J149" s="397"/>
      <c r="K149" s="397"/>
      <c r="L149" s="397"/>
      <c r="M149" s="397"/>
      <c r="N149" s="397"/>
      <c r="O149" s="397"/>
      <c r="P149" s="397"/>
      <c r="Q149" s="397"/>
      <c r="R149" s="397"/>
      <c r="S149" s="397"/>
      <c r="T149" s="397"/>
      <c r="U149" s="397"/>
      <c r="V149" s="397"/>
      <c r="W149" s="397"/>
      <c r="X149" s="397"/>
      <c r="Y149" s="397"/>
      <c r="Z149" s="397"/>
      <c r="AA149" s="397"/>
      <c r="AB149" s="397"/>
      <c r="AC149" s="397"/>
      <c r="AD149" s="397"/>
      <c r="AE149" s="397"/>
      <c r="AF149" s="397"/>
      <c r="AG149" s="397"/>
      <c r="AH149" s="397"/>
      <c r="AI149" s="397"/>
      <c r="AJ149" s="397"/>
      <c r="AK149" s="397"/>
      <c r="AL149" s="397"/>
      <c r="AM149" s="397"/>
      <c r="AN149" s="397"/>
      <c r="AO149" s="397"/>
      <c r="AP149" s="397"/>
    </row>
    <row r="150" spans="1:42" s="400" customFormat="1" x14ac:dyDescent="0.25">
      <c r="A150" s="404"/>
      <c r="B150" s="405"/>
      <c r="C150" s="405"/>
      <c r="D150" s="405"/>
      <c r="E150" s="397"/>
      <c r="F150" s="397"/>
      <c r="G150" s="397"/>
      <c r="H150" s="397"/>
      <c r="I150" s="397"/>
      <c r="J150" s="397"/>
      <c r="K150" s="397"/>
      <c r="L150" s="397"/>
      <c r="M150" s="397"/>
      <c r="N150" s="397"/>
      <c r="O150" s="397"/>
      <c r="P150" s="397"/>
      <c r="Q150" s="397"/>
      <c r="R150" s="397"/>
      <c r="S150" s="397"/>
      <c r="T150" s="397"/>
      <c r="U150" s="397"/>
      <c r="V150" s="397"/>
      <c r="W150" s="397"/>
      <c r="X150" s="397"/>
      <c r="Y150" s="397"/>
      <c r="Z150" s="397"/>
      <c r="AA150" s="397"/>
      <c r="AB150" s="397"/>
      <c r="AC150" s="397"/>
      <c r="AD150" s="397"/>
      <c r="AE150" s="397"/>
      <c r="AF150" s="397"/>
      <c r="AG150" s="397"/>
      <c r="AH150" s="397"/>
      <c r="AI150" s="397"/>
      <c r="AJ150" s="397"/>
      <c r="AK150" s="397"/>
      <c r="AL150" s="397"/>
      <c r="AM150" s="397"/>
      <c r="AN150" s="397"/>
      <c r="AO150" s="397"/>
      <c r="AP150" s="397"/>
    </row>
    <row r="151" spans="1:42" s="400" customFormat="1" x14ac:dyDescent="0.25">
      <c r="A151" s="404"/>
      <c r="B151" s="405"/>
      <c r="C151" s="405"/>
      <c r="D151" s="405"/>
      <c r="E151" s="397"/>
      <c r="F151" s="397"/>
      <c r="G151" s="397"/>
      <c r="H151" s="397"/>
      <c r="I151" s="397"/>
      <c r="J151" s="397"/>
      <c r="K151" s="397"/>
      <c r="L151" s="397"/>
      <c r="M151" s="397"/>
      <c r="N151" s="397"/>
      <c r="O151" s="397"/>
      <c r="P151" s="397"/>
      <c r="Q151" s="397"/>
      <c r="R151" s="397"/>
      <c r="S151" s="397"/>
      <c r="T151" s="397"/>
      <c r="U151" s="397"/>
      <c r="V151" s="397"/>
      <c r="W151" s="397"/>
      <c r="X151" s="397"/>
      <c r="Y151" s="397"/>
      <c r="Z151" s="397"/>
      <c r="AA151" s="397"/>
      <c r="AB151" s="397"/>
      <c r="AC151" s="397"/>
      <c r="AD151" s="397"/>
      <c r="AE151" s="397"/>
      <c r="AF151" s="397"/>
      <c r="AG151" s="397"/>
      <c r="AH151" s="397"/>
      <c r="AI151" s="397"/>
      <c r="AJ151" s="397"/>
      <c r="AK151" s="397"/>
      <c r="AL151" s="397"/>
      <c r="AM151" s="397"/>
      <c r="AN151" s="397"/>
      <c r="AO151" s="397"/>
      <c r="AP151" s="397"/>
    </row>
    <row r="152" spans="1:42" s="400" customFormat="1" x14ac:dyDescent="0.25">
      <c r="A152" s="404"/>
      <c r="B152" s="405"/>
      <c r="C152" s="405"/>
      <c r="D152" s="405"/>
      <c r="E152" s="397"/>
      <c r="F152" s="397"/>
      <c r="G152" s="397"/>
      <c r="H152" s="397"/>
      <c r="I152" s="397"/>
      <c r="J152" s="397"/>
      <c r="K152" s="397"/>
      <c r="L152" s="397"/>
      <c r="M152" s="397"/>
      <c r="N152" s="397"/>
      <c r="O152" s="397"/>
      <c r="P152" s="397"/>
      <c r="Q152" s="397"/>
      <c r="R152" s="397"/>
      <c r="S152" s="397"/>
      <c r="T152" s="397"/>
      <c r="U152" s="397"/>
      <c r="V152" s="397"/>
      <c r="W152" s="397"/>
      <c r="X152" s="397"/>
      <c r="Y152" s="397"/>
      <c r="Z152" s="397"/>
      <c r="AA152" s="397"/>
      <c r="AB152" s="397"/>
      <c r="AC152" s="397"/>
      <c r="AD152" s="397"/>
      <c r="AE152" s="397"/>
      <c r="AF152" s="397"/>
      <c r="AG152" s="397"/>
      <c r="AH152" s="397"/>
      <c r="AI152" s="397"/>
      <c r="AJ152" s="397"/>
      <c r="AK152" s="397"/>
      <c r="AL152" s="397"/>
      <c r="AM152" s="397"/>
      <c r="AN152" s="397"/>
      <c r="AO152" s="397"/>
      <c r="AP152" s="397"/>
    </row>
    <row r="153" spans="1:42" s="400" customFormat="1" x14ac:dyDescent="0.25">
      <c r="A153" s="404"/>
      <c r="B153" s="405"/>
      <c r="C153" s="405"/>
      <c r="D153" s="405"/>
      <c r="E153" s="397"/>
      <c r="F153" s="397"/>
      <c r="G153" s="397"/>
      <c r="H153" s="397"/>
      <c r="I153" s="397"/>
      <c r="J153" s="397"/>
      <c r="K153" s="397"/>
      <c r="L153" s="397"/>
      <c r="M153" s="397"/>
      <c r="N153" s="397"/>
      <c r="O153" s="397"/>
      <c r="P153" s="397"/>
      <c r="Q153" s="397"/>
      <c r="R153" s="397"/>
      <c r="S153" s="397"/>
      <c r="T153" s="397"/>
      <c r="U153" s="397"/>
      <c r="V153" s="397"/>
      <c r="W153" s="397"/>
      <c r="X153" s="397"/>
      <c r="Y153" s="397"/>
      <c r="Z153" s="397"/>
      <c r="AA153" s="397"/>
      <c r="AB153" s="397"/>
      <c r="AC153" s="397"/>
      <c r="AD153" s="397"/>
      <c r="AE153" s="397"/>
      <c r="AF153" s="397"/>
      <c r="AG153" s="397"/>
      <c r="AH153" s="397"/>
      <c r="AI153" s="397"/>
      <c r="AJ153" s="397"/>
      <c r="AK153" s="397"/>
      <c r="AL153" s="397"/>
      <c r="AM153" s="397"/>
      <c r="AN153" s="397"/>
      <c r="AO153" s="397"/>
      <c r="AP153" s="397"/>
    </row>
    <row r="154" spans="1:42" s="400" customFormat="1" x14ac:dyDescent="0.25">
      <c r="A154" s="404"/>
      <c r="B154" s="405"/>
      <c r="C154" s="405"/>
      <c r="D154" s="405"/>
      <c r="E154" s="397"/>
      <c r="F154" s="397"/>
      <c r="G154" s="397"/>
      <c r="H154" s="397"/>
      <c r="I154" s="397"/>
      <c r="J154" s="397"/>
      <c r="K154" s="397"/>
      <c r="L154" s="397"/>
      <c r="M154" s="397"/>
      <c r="N154" s="397"/>
      <c r="O154" s="397"/>
      <c r="P154" s="397"/>
      <c r="Q154" s="397"/>
      <c r="R154" s="397"/>
      <c r="S154" s="397"/>
      <c r="T154" s="397"/>
      <c r="U154" s="397"/>
      <c r="V154" s="397"/>
      <c r="W154" s="397"/>
      <c r="X154" s="397"/>
      <c r="Y154" s="397"/>
      <c r="Z154" s="397"/>
      <c r="AA154" s="397"/>
      <c r="AB154" s="397"/>
      <c r="AC154" s="397"/>
      <c r="AD154" s="397"/>
      <c r="AE154" s="397"/>
      <c r="AF154" s="397"/>
      <c r="AG154" s="397"/>
      <c r="AH154" s="397"/>
      <c r="AI154" s="397"/>
      <c r="AJ154" s="397"/>
      <c r="AK154" s="397"/>
      <c r="AL154" s="397"/>
      <c r="AM154" s="397"/>
      <c r="AN154" s="397"/>
      <c r="AO154" s="397"/>
      <c r="AP154" s="397"/>
    </row>
    <row r="155" spans="1:42" s="400" customFormat="1" x14ac:dyDescent="0.25">
      <c r="A155" s="404"/>
      <c r="B155" s="405"/>
      <c r="C155" s="405"/>
      <c r="D155" s="405"/>
      <c r="E155" s="397"/>
      <c r="F155" s="397"/>
      <c r="G155" s="397"/>
      <c r="H155" s="397"/>
      <c r="I155" s="397"/>
      <c r="J155" s="397"/>
      <c r="K155" s="397"/>
      <c r="L155" s="397"/>
      <c r="M155" s="397"/>
      <c r="N155" s="397"/>
      <c r="O155" s="397"/>
      <c r="P155" s="397"/>
      <c r="Q155" s="397"/>
      <c r="R155" s="397"/>
      <c r="S155" s="397"/>
      <c r="T155" s="397"/>
      <c r="U155" s="397"/>
      <c r="V155" s="397"/>
      <c r="W155" s="397"/>
      <c r="X155" s="397"/>
      <c r="Y155" s="397"/>
      <c r="Z155" s="397"/>
      <c r="AA155" s="397"/>
      <c r="AB155" s="397"/>
      <c r="AC155" s="397"/>
      <c r="AD155" s="397"/>
      <c r="AE155" s="397"/>
      <c r="AF155" s="397"/>
      <c r="AG155" s="397"/>
      <c r="AH155" s="397"/>
      <c r="AI155" s="397"/>
      <c r="AJ155" s="397"/>
      <c r="AK155" s="397"/>
      <c r="AL155" s="397"/>
      <c r="AM155" s="397"/>
      <c r="AN155" s="397"/>
      <c r="AO155" s="397"/>
      <c r="AP155" s="397"/>
    </row>
    <row r="156" spans="1:42" s="400" customFormat="1" x14ac:dyDescent="0.25">
      <c r="A156" s="404"/>
      <c r="B156" s="405"/>
      <c r="C156" s="405"/>
      <c r="D156" s="405"/>
      <c r="E156" s="397"/>
      <c r="F156" s="397"/>
      <c r="G156" s="397"/>
      <c r="H156" s="397"/>
      <c r="I156" s="397"/>
      <c r="J156" s="397"/>
      <c r="K156" s="397"/>
      <c r="L156" s="397"/>
      <c r="M156" s="397"/>
      <c r="N156" s="397"/>
      <c r="O156" s="397"/>
      <c r="P156" s="397"/>
      <c r="Q156" s="397"/>
      <c r="R156" s="397"/>
      <c r="S156" s="397"/>
      <c r="T156" s="397"/>
      <c r="U156" s="397"/>
      <c r="V156" s="397"/>
      <c r="W156" s="397"/>
      <c r="X156" s="397"/>
      <c r="Y156" s="397"/>
      <c r="Z156" s="397"/>
      <c r="AA156" s="397"/>
      <c r="AB156" s="397"/>
      <c r="AC156" s="397"/>
      <c r="AD156" s="397"/>
      <c r="AE156" s="397"/>
      <c r="AF156" s="397"/>
      <c r="AG156" s="397"/>
      <c r="AH156" s="397"/>
      <c r="AI156" s="397"/>
      <c r="AJ156" s="397"/>
      <c r="AK156" s="397"/>
      <c r="AL156" s="397"/>
      <c r="AM156" s="397"/>
      <c r="AN156" s="397"/>
      <c r="AO156" s="397"/>
      <c r="AP156" s="397"/>
    </row>
    <row r="157" spans="1:42" s="400" customFormat="1" x14ac:dyDescent="0.25">
      <c r="A157" s="404"/>
      <c r="B157" s="405"/>
      <c r="C157" s="405"/>
      <c r="D157" s="405"/>
      <c r="E157" s="397"/>
      <c r="F157" s="397"/>
      <c r="G157" s="397"/>
      <c r="H157" s="397"/>
      <c r="I157" s="397"/>
      <c r="J157" s="397"/>
      <c r="K157" s="397"/>
      <c r="L157" s="397"/>
      <c r="M157" s="397"/>
      <c r="N157" s="397"/>
      <c r="O157" s="397"/>
      <c r="P157" s="397"/>
      <c r="Q157" s="397"/>
      <c r="R157" s="397"/>
      <c r="S157" s="397"/>
      <c r="T157" s="397"/>
      <c r="U157" s="397"/>
      <c r="V157" s="397"/>
      <c r="W157" s="397"/>
      <c r="X157" s="397"/>
      <c r="Y157" s="397"/>
      <c r="Z157" s="397"/>
      <c r="AA157" s="397"/>
      <c r="AB157" s="397"/>
      <c r="AC157" s="397"/>
      <c r="AD157" s="397"/>
      <c r="AE157" s="397"/>
      <c r="AF157" s="397"/>
      <c r="AG157" s="397"/>
      <c r="AH157" s="397"/>
      <c r="AI157" s="397"/>
      <c r="AJ157" s="397"/>
      <c r="AK157" s="397"/>
      <c r="AL157" s="397"/>
      <c r="AM157" s="397"/>
      <c r="AN157" s="397"/>
      <c r="AO157" s="397"/>
      <c r="AP157" s="397"/>
    </row>
    <row r="158" spans="1:42" s="400" customFormat="1" x14ac:dyDescent="0.25">
      <c r="A158" s="404"/>
      <c r="B158" s="405"/>
      <c r="C158" s="405"/>
      <c r="D158" s="405"/>
      <c r="E158" s="397"/>
      <c r="F158" s="397"/>
      <c r="G158" s="397"/>
      <c r="H158" s="397"/>
      <c r="I158" s="397"/>
      <c r="J158" s="397"/>
      <c r="K158" s="397"/>
      <c r="L158" s="397"/>
      <c r="M158" s="397"/>
      <c r="N158" s="397"/>
      <c r="O158" s="397"/>
      <c r="P158" s="397"/>
      <c r="Q158" s="397"/>
      <c r="R158" s="397"/>
      <c r="S158" s="397"/>
      <c r="T158" s="397"/>
      <c r="U158" s="397"/>
      <c r="V158" s="397"/>
      <c r="W158" s="397"/>
      <c r="X158" s="397"/>
      <c r="Y158" s="397"/>
      <c r="Z158" s="397"/>
      <c r="AA158" s="397"/>
      <c r="AB158" s="397"/>
      <c r="AC158" s="397"/>
      <c r="AD158" s="397"/>
      <c r="AE158" s="397"/>
      <c r="AF158" s="397"/>
      <c r="AG158" s="397"/>
      <c r="AH158" s="397"/>
      <c r="AI158" s="397"/>
      <c r="AJ158" s="397"/>
      <c r="AK158" s="397"/>
      <c r="AL158" s="397"/>
      <c r="AM158" s="397"/>
      <c r="AN158" s="397"/>
      <c r="AO158" s="397"/>
      <c r="AP158" s="397"/>
    </row>
    <row r="159" spans="1:42" s="400" customFormat="1" x14ac:dyDescent="0.25">
      <c r="A159" s="404"/>
      <c r="B159" s="405"/>
      <c r="C159" s="405"/>
      <c r="D159" s="405"/>
      <c r="E159" s="397"/>
      <c r="F159" s="397"/>
      <c r="G159" s="397"/>
      <c r="H159" s="397"/>
      <c r="I159" s="397"/>
      <c r="J159" s="397"/>
      <c r="K159" s="397"/>
      <c r="L159" s="397"/>
      <c r="M159" s="397"/>
      <c r="N159" s="397"/>
      <c r="O159" s="397"/>
      <c r="P159" s="397"/>
      <c r="Q159" s="397"/>
      <c r="R159" s="397"/>
      <c r="S159" s="397"/>
      <c r="T159" s="397"/>
      <c r="U159" s="397"/>
      <c r="V159" s="397"/>
      <c r="W159" s="397"/>
      <c r="X159" s="397"/>
      <c r="Y159" s="397"/>
      <c r="Z159" s="397"/>
      <c r="AA159" s="397"/>
      <c r="AB159" s="397"/>
      <c r="AC159" s="397"/>
      <c r="AD159" s="397"/>
      <c r="AE159" s="397"/>
      <c r="AF159" s="397"/>
      <c r="AG159" s="397"/>
      <c r="AH159" s="397"/>
      <c r="AI159" s="397"/>
      <c r="AJ159" s="397"/>
      <c r="AK159" s="397"/>
      <c r="AL159" s="397"/>
      <c r="AM159" s="397"/>
      <c r="AN159" s="397"/>
      <c r="AO159" s="397"/>
      <c r="AP159" s="397"/>
    </row>
    <row r="160" spans="1:42" s="400" customFormat="1" x14ac:dyDescent="0.25">
      <c r="A160" s="404"/>
      <c r="B160" s="405"/>
      <c r="C160" s="405"/>
      <c r="D160" s="405"/>
      <c r="E160" s="397"/>
      <c r="F160" s="397"/>
      <c r="G160" s="397"/>
      <c r="H160" s="397"/>
      <c r="I160" s="397"/>
      <c r="J160" s="397"/>
      <c r="K160" s="397"/>
      <c r="L160" s="397"/>
      <c r="M160" s="397"/>
      <c r="N160" s="397"/>
      <c r="O160" s="397"/>
      <c r="P160" s="397"/>
      <c r="Q160" s="397"/>
      <c r="R160" s="397"/>
      <c r="S160" s="397"/>
      <c r="T160" s="397"/>
      <c r="U160" s="397"/>
      <c r="V160" s="397"/>
      <c r="W160" s="397"/>
      <c r="X160" s="397"/>
      <c r="Y160" s="397"/>
      <c r="Z160" s="397"/>
      <c r="AA160" s="397"/>
      <c r="AB160" s="397"/>
      <c r="AC160" s="397"/>
      <c r="AD160" s="397"/>
      <c r="AE160" s="397"/>
      <c r="AF160" s="397"/>
      <c r="AG160" s="397"/>
      <c r="AH160" s="397"/>
      <c r="AI160" s="397"/>
      <c r="AJ160" s="397"/>
      <c r="AK160" s="397"/>
      <c r="AL160" s="397"/>
      <c r="AM160" s="397"/>
      <c r="AN160" s="397"/>
      <c r="AO160" s="397"/>
      <c r="AP160" s="397"/>
    </row>
    <row r="161" spans="1:42" s="400" customFormat="1" x14ac:dyDescent="0.25">
      <c r="A161" s="404"/>
      <c r="B161" s="405"/>
      <c r="C161" s="405"/>
      <c r="D161" s="405"/>
      <c r="E161" s="397"/>
      <c r="F161" s="397"/>
      <c r="G161" s="397"/>
      <c r="H161" s="397"/>
      <c r="I161" s="397"/>
      <c r="J161" s="397"/>
      <c r="K161" s="397"/>
      <c r="L161" s="397"/>
      <c r="M161" s="397"/>
      <c r="N161" s="397"/>
      <c r="O161" s="397"/>
      <c r="P161" s="397"/>
      <c r="Q161" s="397"/>
      <c r="R161" s="397"/>
      <c r="S161" s="397"/>
      <c r="T161" s="397"/>
      <c r="U161" s="397"/>
      <c r="V161" s="397"/>
      <c r="W161" s="397"/>
      <c r="X161" s="397"/>
      <c r="Y161" s="397"/>
      <c r="Z161" s="397"/>
      <c r="AA161" s="397"/>
      <c r="AB161" s="397"/>
      <c r="AC161" s="397"/>
      <c r="AD161" s="397"/>
      <c r="AE161" s="397"/>
      <c r="AF161" s="397"/>
      <c r="AG161" s="397"/>
      <c r="AH161" s="397"/>
      <c r="AI161" s="397"/>
      <c r="AJ161" s="397"/>
      <c r="AK161" s="397"/>
      <c r="AL161" s="397"/>
      <c r="AM161" s="397"/>
      <c r="AN161" s="397"/>
      <c r="AO161" s="397"/>
      <c r="AP161" s="397"/>
    </row>
    <row r="162" spans="1:42" s="400" customFormat="1" x14ac:dyDescent="0.25">
      <c r="A162" s="404"/>
      <c r="B162" s="405"/>
      <c r="C162" s="405"/>
      <c r="D162" s="405"/>
      <c r="E162" s="397"/>
      <c r="F162" s="397"/>
      <c r="G162" s="397"/>
      <c r="H162" s="397"/>
      <c r="I162" s="397"/>
      <c r="J162" s="397"/>
      <c r="K162" s="397"/>
      <c r="L162" s="397"/>
      <c r="M162" s="397"/>
      <c r="N162" s="397"/>
      <c r="O162" s="397"/>
      <c r="P162" s="397"/>
      <c r="Q162" s="397"/>
      <c r="R162" s="397"/>
      <c r="S162" s="397"/>
      <c r="T162" s="397"/>
      <c r="U162" s="397"/>
      <c r="V162" s="397"/>
      <c r="W162" s="397"/>
      <c r="X162" s="397"/>
      <c r="Y162" s="397"/>
      <c r="Z162" s="397"/>
      <c r="AA162" s="397"/>
      <c r="AB162" s="397"/>
      <c r="AC162" s="397"/>
      <c r="AD162" s="397"/>
      <c r="AE162" s="397"/>
      <c r="AF162" s="397"/>
      <c r="AG162" s="397"/>
      <c r="AH162" s="397"/>
      <c r="AI162" s="397"/>
      <c r="AJ162" s="397"/>
      <c r="AK162" s="397"/>
      <c r="AL162" s="397"/>
      <c r="AM162" s="397"/>
      <c r="AN162" s="397"/>
      <c r="AO162" s="397"/>
      <c r="AP162" s="397"/>
    </row>
    <row r="163" spans="1:42" s="400" customFormat="1" x14ac:dyDescent="0.25">
      <c r="A163" s="404"/>
      <c r="B163" s="405"/>
      <c r="C163" s="405"/>
      <c r="D163" s="405"/>
      <c r="E163" s="397"/>
      <c r="F163" s="397"/>
      <c r="G163" s="397"/>
      <c r="H163" s="397"/>
      <c r="I163" s="397"/>
      <c r="J163" s="397"/>
      <c r="K163" s="397"/>
      <c r="L163" s="397"/>
      <c r="M163" s="397"/>
      <c r="N163" s="397"/>
      <c r="O163" s="397"/>
      <c r="P163" s="397"/>
      <c r="Q163" s="397"/>
      <c r="R163" s="397"/>
      <c r="S163" s="397"/>
      <c r="T163" s="397"/>
      <c r="U163" s="397"/>
      <c r="V163" s="397"/>
      <c r="W163" s="397"/>
      <c r="X163" s="397"/>
      <c r="Y163" s="397"/>
      <c r="Z163" s="397"/>
      <c r="AA163" s="397"/>
      <c r="AB163" s="397"/>
      <c r="AC163" s="397"/>
      <c r="AD163" s="397"/>
      <c r="AE163" s="397"/>
      <c r="AF163" s="397"/>
      <c r="AG163" s="397"/>
      <c r="AH163" s="397"/>
      <c r="AI163" s="397"/>
      <c r="AJ163" s="397"/>
      <c r="AK163" s="397"/>
      <c r="AL163" s="397"/>
      <c r="AM163" s="397"/>
      <c r="AN163" s="397"/>
      <c r="AO163" s="397"/>
      <c r="AP163" s="397"/>
    </row>
    <row r="164" spans="1:42" s="400" customFormat="1" x14ac:dyDescent="0.25">
      <c r="A164" s="404"/>
      <c r="B164" s="405"/>
      <c r="C164" s="405"/>
      <c r="D164" s="405"/>
      <c r="E164" s="397"/>
      <c r="F164" s="397"/>
      <c r="G164" s="397"/>
      <c r="H164" s="397"/>
      <c r="I164" s="397"/>
      <c r="J164" s="397"/>
      <c r="K164" s="397"/>
      <c r="L164" s="397"/>
      <c r="M164" s="397"/>
      <c r="N164" s="397"/>
      <c r="O164" s="397"/>
      <c r="P164" s="397"/>
      <c r="Q164" s="397"/>
      <c r="R164" s="397"/>
      <c r="S164" s="397"/>
      <c r="T164" s="397"/>
      <c r="U164" s="397"/>
      <c r="V164" s="397"/>
      <c r="W164" s="397"/>
      <c r="X164" s="397"/>
      <c r="Y164" s="397"/>
      <c r="Z164" s="397"/>
      <c r="AA164" s="397"/>
      <c r="AB164" s="397"/>
      <c r="AC164" s="397"/>
      <c r="AD164" s="397"/>
      <c r="AE164" s="397"/>
      <c r="AF164" s="397"/>
      <c r="AG164" s="397"/>
      <c r="AH164" s="397"/>
      <c r="AI164" s="397"/>
      <c r="AJ164" s="397"/>
      <c r="AK164" s="397"/>
      <c r="AL164" s="397"/>
      <c r="AM164" s="397"/>
      <c r="AN164" s="397"/>
      <c r="AO164" s="397"/>
      <c r="AP164" s="397"/>
    </row>
    <row r="165" spans="1:42" s="400" customFormat="1" x14ac:dyDescent="0.25">
      <c r="A165" s="404"/>
      <c r="B165" s="405"/>
      <c r="C165" s="405"/>
      <c r="D165" s="405"/>
      <c r="E165" s="397"/>
      <c r="F165" s="397"/>
      <c r="G165" s="397"/>
      <c r="H165" s="397"/>
      <c r="I165" s="397"/>
      <c r="J165" s="397"/>
      <c r="K165" s="397"/>
      <c r="L165" s="397"/>
      <c r="M165" s="397"/>
      <c r="N165" s="397"/>
      <c r="O165" s="397"/>
      <c r="P165" s="397"/>
      <c r="Q165" s="397"/>
      <c r="R165" s="397"/>
      <c r="S165" s="397"/>
      <c r="T165" s="397"/>
      <c r="U165" s="397"/>
      <c r="V165" s="397"/>
      <c r="W165" s="397"/>
      <c r="X165" s="397"/>
      <c r="Y165" s="397"/>
      <c r="Z165" s="397"/>
      <c r="AA165" s="397"/>
      <c r="AB165" s="397"/>
      <c r="AC165" s="397"/>
      <c r="AD165" s="397"/>
      <c r="AE165" s="397"/>
      <c r="AF165" s="397"/>
      <c r="AG165" s="397"/>
      <c r="AH165" s="397"/>
      <c r="AI165" s="397"/>
      <c r="AJ165" s="397"/>
      <c r="AK165" s="397"/>
      <c r="AL165" s="397"/>
      <c r="AM165" s="397"/>
      <c r="AN165" s="397"/>
      <c r="AO165" s="397"/>
      <c r="AP165" s="397"/>
    </row>
    <row r="166" spans="1:42" s="400" customFormat="1" x14ac:dyDescent="0.25">
      <c r="A166" s="404"/>
      <c r="B166" s="405"/>
      <c r="C166" s="405"/>
      <c r="D166" s="405"/>
      <c r="E166" s="397"/>
      <c r="F166" s="397"/>
      <c r="G166" s="397"/>
      <c r="H166" s="397"/>
      <c r="I166" s="397"/>
      <c r="J166" s="397"/>
      <c r="K166" s="397"/>
      <c r="L166" s="397"/>
      <c r="M166" s="397"/>
      <c r="N166" s="397"/>
      <c r="O166" s="397"/>
      <c r="P166" s="397"/>
      <c r="Q166" s="397"/>
      <c r="R166" s="397"/>
      <c r="S166" s="397"/>
      <c r="T166" s="397"/>
      <c r="U166" s="397"/>
      <c r="V166" s="397"/>
      <c r="W166" s="397"/>
      <c r="X166" s="397"/>
      <c r="Y166" s="397"/>
      <c r="Z166" s="397"/>
      <c r="AA166" s="397"/>
      <c r="AB166" s="397"/>
      <c r="AC166" s="397"/>
      <c r="AD166" s="397"/>
      <c r="AE166" s="397"/>
      <c r="AF166" s="397"/>
      <c r="AG166" s="397"/>
      <c r="AH166" s="397"/>
      <c r="AI166" s="397"/>
      <c r="AJ166" s="397"/>
      <c r="AK166" s="397"/>
      <c r="AL166" s="397"/>
      <c r="AM166" s="397"/>
      <c r="AN166" s="397"/>
      <c r="AO166" s="397"/>
      <c r="AP166" s="397"/>
    </row>
    <row r="167" spans="1:42" s="400" customFormat="1" x14ac:dyDescent="0.25">
      <c r="A167" s="404"/>
      <c r="B167" s="405"/>
      <c r="C167" s="405"/>
      <c r="D167" s="405"/>
      <c r="E167" s="397"/>
      <c r="F167" s="397"/>
      <c r="G167" s="397"/>
      <c r="H167" s="397"/>
      <c r="I167" s="397"/>
      <c r="J167" s="397"/>
      <c r="K167" s="397"/>
      <c r="L167" s="397"/>
      <c r="M167" s="397"/>
      <c r="N167" s="397"/>
      <c r="O167" s="397"/>
      <c r="P167" s="397"/>
      <c r="Q167" s="397"/>
      <c r="R167" s="397"/>
      <c r="S167" s="397"/>
      <c r="T167" s="397"/>
      <c r="U167" s="397"/>
      <c r="V167" s="397"/>
      <c r="W167" s="397"/>
      <c r="X167" s="397"/>
      <c r="Y167" s="397"/>
      <c r="Z167" s="397"/>
      <c r="AA167" s="397"/>
      <c r="AB167" s="397"/>
      <c r="AC167" s="397"/>
      <c r="AD167" s="397"/>
      <c r="AE167" s="397"/>
      <c r="AF167" s="397"/>
      <c r="AG167" s="397"/>
      <c r="AH167" s="397"/>
      <c r="AI167" s="397"/>
      <c r="AJ167" s="397"/>
      <c r="AK167" s="397"/>
      <c r="AL167" s="397"/>
      <c r="AM167" s="397"/>
      <c r="AN167" s="397"/>
      <c r="AO167" s="397"/>
      <c r="AP167" s="397"/>
    </row>
    <row r="168" spans="1:42" s="400" customFormat="1" x14ac:dyDescent="0.25">
      <c r="A168" s="404"/>
      <c r="B168" s="405"/>
      <c r="C168" s="405"/>
      <c r="D168" s="405"/>
      <c r="E168" s="397"/>
      <c r="F168" s="397"/>
      <c r="G168" s="397"/>
      <c r="H168" s="397"/>
      <c r="I168" s="397"/>
      <c r="J168" s="397"/>
      <c r="K168" s="397"/>
      <c r="L168" s="397"/>
      <c r="M168" s="397"/>
      <c r="N168" s="397"/>
      <c r="O168" s="397"/>
      <c r="P168" s="397"/>
      <c r="Q168" s="397"/>
      <c r="R168" s="397"/>
      <c r="S168" s="397"/>
      <c r="T168" s="397"/>
      <c r="U168" s="397"/>
      <c r="V168" s="397"/>
      <c r="W168" s="397"/>
      <c r="X168" s="397"/>
      <c r="Y168" s="397"/>
      <c r="Z168" s="397"/>
      <c r="AA168" s="397"/>
      <c r="AB168" s="397"/>
      <c r="AC168" s="397"/>
      <c r="AD168" s="397"/>
      <c r="AE168" s="397"/>
      <c r="AF168" s="397"/>
      <c r="AG168" s="397"/>
      <c r="AH168" s="397"/>
      <c r="AI168" s="397"/>
      <c r="AJ168" s="397"/>
      <c r="AK168" s="397"/>
      <c r="AL168" s="397"/>
      <c r="AM168" s="397"/>
      <c r="AN168" s="397"/>
      <c r="AO168" s="397"/>
      <c r="AP168" s="397"/>
    </row>
    <row r="169" spans="1:42" s="400" customFormat="1" x14ac:dyDescent="0.25">
      <c r="A169" s="404"/>
      <c r="B169" s="405"/>
      <c r="C169" s="405"/>
      <c r="D169" s="405"/>
      <c r="E169" s="397"/>
      <c r="F169" s="397"/>
      <c r="G169" s="397"/>
      <c r="H169" s="397"/>
      <c r="I169" s="397"/>
      <c r="J169" s="397"/>
      <c r="K169" s="397"/>
      <c r="L169" s="397"/>
      <c r="M169" s="397"/>
      <c r="N169" s="397"/>
      <c r="O169" s="397"/>
      <c r="P169" s="397"/>
      <c r="Q169" s="397"/>
      <c r="R169" s="397"/>
      <c r="S169" s="397"/>
      <c r="T169" s="397"/>
      <c r="U169" s="397"/>
      <c r="V169" s="397"/>
      <c r="W169" s="397"/>
      <c r="X169" s="397"/>
      <c r="Y169" s="397"/>
      <c r="Z169" s="397"/>
      <c r="AA169" s="397"/>
      <c r="AB169" s="397"/>
      <c r="AC169" s="397"/>
      <c r="AD169" s="397"/>
      <c r="AE169" s="397"/>
      <c r="AF169" s="397"/>
      <c r="AG169" s="397"/>
      <c r="AH169" s="397"/>
      <c r="AI169" s="397"/>
      <c r="AJ169" s="397"/>
      <c r="AK169" s="397"/>
      <c r="AL169" s="397"/>
      <c r="AM169" s="397"/>
      <c r="AN169" s="397"/>
      <c r="AO169" s="397"/>
      <c r="AP169" s="397"/>
    </row>
    <row r="170" spans="1:42" s="400" customFormat="1" x14ac:dyDescent="0.25">
      <c r="A170" s="404"/>
      <c r="B170" s="405"/>
      <c r="C170" s="405"/>
      <c r="D170" s="405"/>
      <c r="E170" s="397"/>
      <c r="F170" s="397"/>
      <c r="G170" s="397"/>
      <c r="H170" s="397"/>
      <c r="I170" s="397"/>
      <c r="J170" s="397"/>
      <c r="K170" s="397"/>
      <c r="L170" s="397"/>
      <c r="M170" s="397"/>
      <c r="N170" s="397"/>
      <c r="O170" s="397"/>
      <c r="P170" s="397"/>
      <c r="Q170" s="397"/>
      <c r="R170" s="397"/>
      <c r="S170" s="397"/>
      <c r="T170" s="397"/>
      <c r="U170" s="397"/>
      <c r="V170" s="397"/>
      <c r="W170" s="397"/>
      <c r="X170" s="397"/>
      <c r="Y170" s="397"/>
      <c r="Z170" s="397"/>
      <c r="AA170" s="397"/>
      <c r="AB170" s="397"/>
      <c r="AC170" s="397"/>
      <c r="AD170" s="397"/>
      <c r="AE170" s="397"/>
      <c r="AF170" s="397"/>
      <c r="AG170" s="397"/>
      <c r="AH170" s="397"/>
      <c r="AI170" s="397"/>
      <c r="AJ170" s="397"/>
      <c r="AK170" s="397"/>
      <c r="AL170" s="397"/>
      <c r="AM170" s="397"/>
      <c r="AN170" s="397"/>
      <c r="AO170" s="397"/>
      <c r="AP170" s="397"/>
    </row>
    <row r="171" spans="1:42" s="400" customFormat="1" x14ac:dyDescent="0.25">
      <c r="A171" s="404"/>
      <c r="B171" s="405"/>
      <c r="C171" s="405"/>
      <c r="D171" s="405"/>
      <c r="E171" s="397"/>
      <c r="F171" s="397"/>
      <c r="G171" s="397"/>
      <c r="H171" s="397"/>
      <c r="I171" s="397"/>
      <c r="J171" s="397"/>
      <c r="K171" s="397"/>
      <c r="L171" s="397"/>
      <c r="M171" s="397"/>
      <c r="N171" s="397"/>
      <c r="O171" s="397"/>
      <c r="P171" s="397"/>
      <c r="Q171" s="397"/>
      <c r="R171" s="397"/>
      <c r="S171" s="397"/>
      <c r="T171" s="397"/>
      <c r="U171" s="397"/>
      <c r="V171" s="397"/>
      <c r="W171" s="397"/>
      <c r="X171" s="397"/>
      <c r="Y171" s="397"/>
      <c r="Z171" s="397"/>
      <c r="AA171" s="397"/>
      <c r="AB171" s="397"/>
      <c r="AC171" s="397"/>
      <c r="AD171" s="397"/>
      <c r="AE171" s="397"/>
      <c r="AF171" s="397"/>
      <c r="AG171" s="397"/>
      <c r="AH171" s="397"/>
      <c r="AI171" s="397"/>
      <c r="AJ171" s="397"/>
      <c r="AK171" s="397"/>
      <c r="AL171" s="397"/>
      <c r="AM171" s="397"/>
      <c r="AN171" s="397"/>
      <c r="AO171" s="397"/>
      <c r="AP171" s="397"/>
    </row>
    <row r="172" spans="1:42" s="400" customFormat="1" x14ac:dyDescent="0.25">
      <c r="A172" s="404"/>
      <c r="B172" s="405"/>
      <c r="C172" s="405"/>
      <c r="D172" s="405"/>
      <c r="E172" s="397"/>
      <c r="F172" s="397"/>
      <c r="G172" s="397"/>
      <c r="H172" s="397"/>
      <c r="I172" s="397"/>
      <c r="J172" s="397"/>
      <c r="K172" s="397"/>
      <c r="L172" s="397"/>
      <c r="M172" s="397"/>
      <c r="N172" s="397"/>
      <c r="O172" s="397"/>
      <c r="P172" s="397"/>
      <c r="Q172" s="397"/>
      <c r="R172" s="397"/>
      <c r="S172" s="397"/>
      <c r="T172" s="397"/>
      <c r="U172" s="397"/>
      <c r="V172" s="397"/>
      <c r="W172" s="397"/>
      <c r="X172" s="397"/>
      <c r="Y172" s="397"/>
      <c r="Z172" s="397"/>
      <c r="AA172" s="397"/>
      <c r="AB172" s="397"/>
      <c r="AC172" s="397"/>
      <c r="AD172" s="397"/>
      <c r="AE172" s="397"/>
      <c r="AF172" s="397"/>
      <c r="AG172" s="397"/>
      <c r="AH172" s="397"/>
      <c r="AI172" s="397"/>
      <c r="AJ172" s="397"/>
      <c r="AK172" s="397"/>
      <c r="AL172" s="397"/>
      <c r="AM172" s="397"/>
      <c r="AN172" s="397"/>
      <c r="AO172" s="397"/>
      <c r="AP172" s="397"/>
    </row>
    <row r="173" spans="1:42" s="400" customFormat="1" x14ac:dyDescent="0.25">
      <c r="A173" s="404"/>
      <c r="B173" s="405"/>
      <c r="C173" s="405"/>
      <c r="D173" s="405"/>
      <c r="E173" s="397"/>
      <c r="F173" s="397"/>
      <c r="G173" s="397"/>
      <c r="H173" s="397"/>
      <c r="I173" s="397"/>
      <c r="J173" s="397"/>
      <c r="K173" s="397"/>
      <c r="L173" s="397"/>
      <c r="M173" s="397"/>
      <c r="N173" s="397"/>
      <c r="O173" s="397"/>
      <c r="P173" s="397"/>
      <c r="Q173" s="397"/>
      <c r="R173" s="397"/>
      <c r="S173" s="397"/>
      <c r="T173" s="397"/>
      <c r="U173" s="397"/>
      <c r="V173" s="397"/>
      <c r="W173" s="397"/>
      <c r="X173" s="397"/>
      <c r="Y173" s="397"/>
      <c r="Z173" s="397"/>
      <c r="AA173" s="397"/>
      <c r="AB173" s="397"/>
      <c r="AC173" s="397"/>
      <c r="AD173" s="397"/>
      <c r="AE173" s="397"/>
      <c r="AF173" s="397"/>
      <c r="AG173" s="397"/>
      <c r="AH173" s="397"/>
      <c r="AI173" s="397"/>
      <c r="AJ173" s="397"/>
      <c r="AK173" s="397"/>
      <c r="AL173" s="397"/>
      <c r="AM173" s="397"/>
      <c r="AN173" s="397"/>
      <c r="AO173" s="397"/>
      <c r="AP173" s="397"/>
    </row>
    <row r="174" spans="1:42" s="400" customFormat="1" x14ac:dyDescent="0.25">
      <c r="A174" s="404"/>
      <c r="B174" s="405"/>
      <c r="C174" s="405"/>
      <c r="D174" s="405"/>
      <c r="E174" s="397"/>
      <c r="F174" s="397"/>
      <c r="G174" s="397"/>
      <c r="H174" s="397"/>
      <c r="I174" s="397"/>
      <c r="J174" s="397"/>
      <c r="K174" s="397"/>
      <c r="L174" s="397"/>
      <c r="M174" s="397"/>
      <c r="N174" s="397"/>
      <c r="O174" s="397"/>
      <c r="P174" s="397"/>
      <c r="Q174" s="397"/>
      <c r="R174" s="397"/>
      <c r="S174" s="397"/>
      <c r="T174" s="397"/>
      <c r="U174" s="397"/>
      <c r="V174" s="397"/>
      <c r="W174" s="397"/>
      <c r="X174" s="397"/>
      <c r="Y174" s="397"/>
      <c r="Z174" s="397"/>
      <c r="AA174" s="397"/>
      <c r="AB174" s="397"/>
      <c r="AC174" s="397"/>
      <c r="AD174" s="397"/>
      <c r="AE174" s="397"/>
      <c r="AF174" s="397"/>
      <c r="AG174" s="397"/>
      <c r="AH174" s="397"/>
      <c r="AI174" s="397"/>
      <c r="AJ174" s="397"/>
      <c r="AK174" s="397"/>
      <c r="AL174" s="397"/>
      <c r="AM174" s="397"/>
      <c r="AN174" s="397"/>
      <c r="AO174" s="397"/>
      <c r="AP174" s="397"/>
    </row>
    <row r="175" spans="1:42" s="400" customFormat="1" x14ac:dyDescent="0.25">
      <c r="A175" s="404"/>
      <c r="B175" s="405"/>
      <c r="C175" s="405"/>
      <c r="D175" s="405"/>
      <c r="E175" s="397"/>
      <c r="F175" s="397"/>
      <c r="G175" s="397"/>
      <c r="H175" s="397"/>
      <c r="I175" s="397"/>
      <c r="J175" s="397"/>
      <c r="K175" s="397"/>
      <c r="L175" s="397"/>
      <c r="M175" s="397"/>
      <c r="N175" s="397"/>
      <c r="O175" s="397"/>
      <c r="P175" s="397"/>
      <c r="Q175" s="397"/>
      <c r="R175" s="397"/>
      <c r="S175" s="397"/>
      <c r="T175" s="397"/>
      <c r="U175" s="397"/>
      <c r="V175" s="397"/>
      <c r="W175" s="397"/>
      <c r="X175" s="397"/>
      <c r="Y175" s="397"/>
      <c r="Z175" s="397"/>
      <c r="AA175" s="397"/>
      <c r="AB175" s="397"/>
      <c r="AC175" s="397"/>
      <c r="AD175" s="397"/>
      <c r="AE175" s="397"/>
      <c r="AF175" s="397"/>
      <c r="AG175" s="397"/>
      <c r="AH175" s="397"/>
      <c r="AI175" s="397"/>
      <c r="AJ175" s="397"/>
      <c r="AK175" s="397"/>
      <c r="AL175" s="397"/>
      <c r="AM175" s="397"/>
      <c r="AN175" s="397"/>
      <c r="AO175" s="397"/>
      <c r="AP175" s="397"/>
    </row>
    <row r="176" spans="1:42" s="400" customFormat="1" x14ac:dyDescent="0.25">
      <c r="A176" s="404"/>
      <c r="B176" s="405"/>
      <c r="C176" s="405"/>
      <c r="D176" s="405"/>
      <c r="E176" s="397"/>
      <c r="F176" s="397"/>
      <c r="G176" s="397"/>
      <c r="H176" s="397"/>
      <c r="I176" s="397"/>
      <c r="J176" s="397"/>
      <c r="K176" s="397"/>
      <c r="L176" s="397"/>
      <c r="M176" s="397"/>
      <c r="N176" s="397"/>
      <c r="O176" s="397"/>
      <c r="P176" s="397"/>
      <c r="Q176" s="397"/>
      <c r="R176" s="397"/>
      <c r="S176" s="397"/>
      <c r="T176" s="397"/>
      <c r="U176" s="397"/>
      <c r="V176" s="397"/>
      <c r="W176" s="397"/>
      <c r="X176" s="397"/>
      <c r="Y176" s="397"/>
      <c r="Z176" s="397"/>
      <c r="AA176" s="397"/>
      <c r="AB176" s="397"/>
      <c r="AC176" s="397"/>
      <c r="AD176" s="397"/>
      <c r="AE176" s="397"/>
      <c r="AF176" s="397"/>
      <c r="AG176" s="397"/>
      <c r="AH176" s="397"/>
      <c r="AI176" s="397"/>
      <c r="AJ176" s="397"/>
      <c r="AK176" s="397"/>
      <c r="AL176" s="397"/>
      <c r="AM176" s="397"/>
      <c r="AN176" s="397"/>
      <c r="AO176" s="397"/>
      <c r="AP176" s="397"/>
    </row>
    <row r="177" spans="1:42" s="400" customFormat="1" x14ac:dyDescent="0.25">
      <c r="A177" s="404"/>
      <c r="B177" s="405"/>
      <c r="C177" s="405"/>
      <c r="D177" s="405"/>
      <c r="E177" s="397"/>
      <c r="F177" s="397"/>
      <c r="G177" s="397"/>
      <c r="H177" s="397"/>
      <c r="I177" s="397"/>
      <c r="J177" s="397"/>
      <c r="K177" s="397"/>
      <c r="L177" s="397"/>
      <c r="M177" s="397"/>
      <c r="N177" s="397"/>
      <c r="O177" s="397"/>
      <c r="P177" s="397"/>
      <c r="Q177" s="397"/>
      <c r="R177" s="397"/>
      <c r="S177" s="397"/>
      <c r="T177" s="397"/>
      <c r="U177" s="397"/>
      <c r="V177" s="397"/>
      <c r="W177" s="397"/>
      <c r="X177" s="397"/>
      <c r="Y177" s="397"/>
      <c r="Z177" s="397"/>
      <c r="AA177" s="397"/>
      <c r="AB177" s="397"/>
      <c r="AC177" s="397"/>
      <c r="AD177" s="397"/>
      <c r="AE177" s="397"/>
      <c r="AF177" s="397"/>
      <c r="AG177" s="397"/>
      <c r="AH177" s="397"/>
      <c r="AI177" s="397"/>
      <c r="AJ177" s="397"/>
      <c r="AK177" s="397"/>
      <c r="AL177" s="397"/>
      <c r="AM177" s="397"/>
      <c r="AN177" s="397"/>
      <c r="AO177" s="397"/>
      <c r="AP177" s="397"/>
    </row>
    <row r="178" spans="1:42" s="400" customFormat="1" x14ac:dyDescent="0.25">
      <c r="A178" s="404"/>
      <c r="B178" s="405"/>
      <c r="C178" s="405"/>
      <c r="D178" s="405"/>
      <c r="E178" s="397"/>
      <c r="F178" s="397"/>
      <c r="G178" s="397"/>
      <c r="H178" s="397"/>
      <c r="I178" s="397"/>
      <c r="J178" s="397"/>
      <c r="K178" s="397"/>
      <c r="L178" s="397"/>
      <c r="M178" s="397"/>
      <c r="N178" s="397"/>
      <c r="O178" s="397"/>
      <c r="P178" s="397"/>
      <c r="Q178" s="397"/>
      <c r="R178" s="397"/>
      <c r="S178" s="397"/>
      <c r="T178" s="397"/>
      <c r="U178" s="397"/>
      <c r="V178" s="397"/>
      <c r="W178" s="397"/>
      <c r="X178" s="397"/>
      <c r="Y178" s="397"/>
      <c r="Z178" s="397"/>
      <c r="AA178" s="397"/>
      <c r="AB178" s="397"/>
      <c r="AC178" s="397"/>
      <c r="AD178" s="397"/>
      <c r="AE178" s="397"/>
      <c r="AF178" s="397"/>
      <c r="AG178" s="397"/>
      <c r="AH178" s="397"/>
      <c r="AI178" s="397"/>
      <c r="AJ178" s="397"/>
      <c r="AK178" s="397"/>
      <c r="AL178" s="397"/>
      <c r="AM178" s="397"/>
      <c r="AN178" s="397"/>
      <c r="AO178" s="397"/>
      <c r="AP178" s="397"/>
    </row>
    <row r="179" spans="1:42" s="400" customFormat="1" x14ac:dyDescent="0.25">
      <c r="A179" s="404"/>
      <c r="B179" s="405"/>
      <c r="C179" s="405"/>
      <c r="D179" s="405"/>
      <c r="E179" s="397"/>
      <c r="F179" s="397"/>
      <c r="G179" s="397"/>
      <c r="H179" s="397"/>
      <c r="I179" s="397"/>
      <c r="J179" s="397"/>
      <c r="K179" s="397"/>
      <c r="L179" s="397"/>
      <c r="M179" s="397"/>
      <c r="N179" s="397"/>
      <c r="O179" s="397"/>
      <c r="P179" s="397"/>
      <c r="Q179" s="397"/>
      <c r="R179" s="397"/>
      <c r="S179" s="397"/>
      <c r="T179" s="397"/>
      <c r="U179" s="397"/>
      <c r="V179" s="397"/>
      <c r="W179" s="397"/>
      <c r="X179" s="397"/>
      <c r="Y179" s="397"/>
      <c r="Z179" s="397"/>
      <c r="AA179" s="397"/>
      <c r="AB179" s="397"/>
      <c r="AC179" s="397"/>
      <c r="AD179" s="397"/>
      <c r="AE179" s="397"/>
      <c r="AF179" s="397"/>
      <c r="AG179" s="397"/>
      <c r="AH179" s="397"/>
      <c r="AI179" s="397"/>
      <c r="AJ179" s="397"/>
      <c r="AK179" s="397"/>
      <c r="AL179" s="397"/>
      <c r="AM179" s="397"/>
      <c r="AN179" s="397"/>
      <c r="AO179" s="397"/>
      <c r="AP179" s="397"/>
    </row>
    <row r="180" spans="1:42" s="400" customFormat="1" x14ac:dyDescent="0.25">
      <c r="A180" s="404"/>
      <c r="B180" s="405"/>
      <c r="C180" s="405"/>
      <c r="D180" s="405"/>
      <c r="E180" s="397"/>
      <c r="F180" s="397"/>
      <c r="G180" s="397"/>
      <c r="H180" s="397"/>
      <c r="I180" s="397"/>
      <c r="J180" s="397"/>
      <c r="K180" s="397"/>
      <c r="L180" s="397"/>
      <c r="M180" s="397"/>
      <c r="N180" s="397"/>
      <c r="O180" s="397"/>
      <c r="P180" s="397"/>
      <c r="Q180" s="397"/>
      <c r="R180" s="397"/>
      <c r="S180" s="397"/>
      <c r="T180" s="397"/>
      <c r="U180" s="397"/>
      <c r="V180" s="397"/>
      <c r="W180" s="397"/>
      <c r="X180" s="397"/>
      <c r="Y180" s="397"/>
      <c r="Z180" s="397"/>
      <c r="AA180" s="397"/>
      <c r="AB180" s="397"/>
      <c r="AC180" s="397"/>
      <c r="AD180" s="397"/>
      <c r="AE180" s="397"/>
      <c r="AF180" s="397"/>
      <c r="AG180" s="397"/>
      <c r="AH180" s="397"/>
      <c r="AI180" s="397"/>
      <c r="AJ180" s="397"/>
      <c r="AK180" s="397"/>
      <c r="AL180" s="397"/>
      <c r="AM180" s="397"/>
      <c r="AN180" s="397"/>
      <c r="AO180" s="397"/>
      <c r="AP180" s="397"/>
    </row>
    <row r="181" spans="1:42" s="5" customFormat="1" x14ac:dyDescent="0.25">
      <c r="A181" s="1205"/>
      <c r="B181" s="1206"/>
      <c r="C181" s="1206"/>
      <c r="D181" s="1206"/>
      <c r="E181" s="1207"/>
      <c r="F181" s="1207"/>
      <c r="G181" s="1207"/>
      <c r="H181" s="1207"/>
      <c r="I181" s="1207"/>
      <c r="J181" s="1207"/>
      <c r="K181" s="1207"/>
      <c r="L181" s="1207"/>
      <c r="M181" s="1207"/>
      <c r="N181" s="1207"/>
      <c r="O181" s="1207"/>
      <c r="P181" s="1207"/>
      <c r="Q181" s="1207"/>
      <c r="R181" s="1207"/>
      <c r="S181" s="1207"/>
      <c r="T181" s="1207"/>
      <c r="U181" s="1207"/>
      <c r="V181" s="1207"/>
      <c r="W181" s="1207"/>
      <c r="X181" s="1207"/>
      <c r="Y181" s="1207"/>
      <c r="Z181" s="1207"/>
      <c r="AA181" s="1207"/>
      <c r="AB181" s="1207"/>
      <c r="AC181" s="1207"/>
      <c r="AD181" s="1207"/>
      <c r="AE181" s="1207"/>
      <c r="AF181" s="1207"/>
      <c r="AG181" s="1207"/>
      <c r="AH181" s="1207"/>
      <c r="AI181" s="1207"/>
      <c r="AJ181" s="1207"/>
      <c r="AK181" s="1207"/>
      <c r="AL181" s="1207"/>
      <c r="AM181" s="1207"/>
      <c r="AN181" s="1207"/>
      <c r="AO181" s="1207"/>
      <c r="AP181" s="1207"/>
    </row>
    <row r="182" spans="1:42" s="5" customFormat="1" x14ac:dyDescent="0.25">
      <c r="A182" s="805"/>
      <c r="B182" s="806"/>
      <c r="C182" s="806"/>
      <c r="D182" s="806"/>
      <c r="E182" s="807"/>
      <c r="F182" s="807"/>
      <c r="G182" s="807"/>
      <c r="H182" s="807"/>
      <c r="I182" s="807"/>
      <c r="J182" s="807"/>
      <c r="K182" s="807"/>
      <c r="L182" s="807"/>
      <c r="M182" s="807"/>
      <c r="N182" s="807"/>
      <c r="O182" s="807"/>
      <c r="P182" s="807"/>
      <c r="Q182" s="807"/>
      <c r="R182" s="807"/>
      <c r="S182" s="807"/>
      <c r="T182" s="807"/>
      <c r="U182" s="807"/>
      <c r="V182" s="807"/>
      <c r="W182" s="807"/>
      <c r="X182" s="807"/>
      <c r="Y182" s="807"/>
      <c r="Z182" s="807"/>
      <c r="AA182" s="807"/>
      <c r="AB182" s="807"/>
      <c r="AC182" s="807"/>
      <c r="AD182" s="807"/>
      <c r="AE182" s="807"/>
      <c r="AF182" s="807"/>
      <c r="AG182" s="807"/>
      <c r="AH182" s="807"/>
      <c r="AI182" s="807"/>
      <c r="AJ182" s="807"/>
      <c r="AK182" s="807"/>
      <c r="AL182" s="807"/>
      <c r="AM182" s="807"/>
      <c r="AN182" s="807"/>
      <c r="AO182" s="807"/>
      <c r="AP182" s="807"/>
    </row>
    <row r="183" spans="1:42" s="5" customFormat="1" x14ac:dyDescent="0.25">
      <c r="A183" s="805"/>
      <c r="B183" s="806"/>
      <c r="C183" s="806"/>
      <c r="D183" s="806"/>
      <c r="E183" s="807"/>
      <c r="F183" s="807"/>
      <c r="G183" s="807"/>
      <c r="H183" s="807"/>
      <c r="I183" s="807"/>
      <c r="J183" s="807"/>
      <c r="K183" s="807"/>
      <c r="L183" s="807"/>
      <c r="M183" s="807"/>
      <c r="N183" s="807"/>
      <c r="O183" s="807"/>
      <c r="P183" s="807"/>
      <c r="Q183" s="807"/>
      <c r="R183" s="807"/>
      <c r="S183" s="807"/>
      <c r="T183" s="807"/>
      <c r="U183" s="807"/>
      <c r="V183" s="807"/>
      <c r="W183" s="807"/>
      <c r="X183" s="807"/>
      <c r="Y183" s="807"/>
      <c r="Z183" s="807"/>
      <c r="AA183" s="807"/>
      <c r="AB183" s="807"/>
      <c r="AC183" s="807"/>
      <c r="AD183" s="807"/>
      <c r="AE183" s="807"/>
      <c r="AF183" s="807"/>
      <c r="AG183" s="807"/>
      <c r="AH183" s="807"/>
      <c r="AI183" s="807"/>
      <c r="AJ183" s="807"/>
      <c r="AK183" s="807"/>
      <c r="AL183" s="807"/>
      <c r="AM183" s="807"/>
      <c r="AN183" s="807"/>
      <c r="AO183" s="807"/>
      <c r="AP183" s="807"/>
    </row>
    <row r="184" spans="1:42" s="5" customFormat="1" x14ac:dyDescent="0.25">
      <c r="A184" s="805"/>
      <c r="B184" s="806"/>
      <c r="C184" s="806"/>
      <c r="D184" s="806"/>
      <c r="E184" s="807"/>
      <c r="F184" s="807"/>
      <c r="G184" s="807"/>
      <c r="H184" s="807"/>
      <c r="I184" s="807"/>
      <c r="J184" s="807"/>
      <c r="K184" s="807"/>
      <c r="L184" s="807"/>
      <c r="M184" s="807"/>
      <c r="N184" s="807"/>
      <c r="O184" s="807"/>
      <c r="P184" s="807"/>
      <c r="Q184" s="807"/>
      <c r="R184" s="807"/>
      <c r="S184" s="807"/>
      <c r="T184" s="807"/>
      <c r="U184" s="807"/>
      <c r="V184" s="807"/>
      <c r="W184" s="807"/>
      <c r="X184" s="807"/>
      <c r="Y184" s="807"/>
      <c r="Z184" s="807"/>
      <c r="AA184" s="807"/>
      <c r="AB184" s="807"/>
      <c r="AC184" s="807"/>
      <c r="AD184" s="807"/>
      <c r="AE184" s="807"/>
      <c r="AF184" s="807"/>
      <c r="AG184" s="807"/>
      <c r="AH184" s="807"/>
      <c r="AI184" s="807"/>
      <c r="AJ184" s="807"/>
      <c r="AK184" s="807"/>
      <c r="AL184" s="807"/>
      <c r="AM184" s="807"/>
      <c r="AN184" s="807"/>
      <c r="AO184" s="807"/>
      <c r="AP184" s="807"/>
    </row>
    <row r="185" spans="1:42" s="5" customFormat="1" x14ac:dyDescent="0.25">
      <c r="A185" s="805"/>
      <c r="B185" s="806"/>
      <c r="C185" s="806"/>
      <c r="D185" s="806"/>
      <c r="E185" s="807"/>
      <c r="F185" s="807"/>
      <c r="G185" s="807"/>
      <c r="H185" s="807"/>
      <c r="I185" s="807"/>
      <c r="J185" s="807"/>
      <c r="K185" s="807"/>
      <c r="L185" s="807"/>
      <c r="M185" s="807"/>
      <c r="N185" s="807"/>
      <c r="O185" s="807"/>
      <c r="P185" s="807"/>
      <c r="Q185" s="807"/>
      <c r="R185" s="807"/>
      <c r="S185" s="807"/>
      <c r="T185" s="807"/>
      <c r="U185" s="807"/>
      <c r="V185" s="807"/>
      <c r="W185" s="807"/>
      <c r="X185" s="807"/>
      <c r="Y185" s="807"/>
      <c r="Z185" s="807"/>
      <c r="AA185" s="807"/>
      <c r="AB185" s="807"/>
      <c r="AC185" s="807"/>
      <c r="AD185" s="807"/>
      <c r="AE185" s="807"/>
      <c r="AF185" s="807"/>
      <c r="AG185" s="807"/>
      <c r="AH185" s="807"/>
      <c r="AI185" s="807"/>
      <c r="AJ185" s="807"/>
      <c r="AK185" s="807"/>
      <c r="AL185" s="807"/>
      <c r="AM185" s="807"/>
      <c r="AN185" s="807"/>
      <c r="AO185" s="807"/>
      <c r="AP185" s="807"/>
    </row>
    <row r="186" spans="1:42" s="5" customFormat="1" x14ac:dyDescent="0.25">
      <c r="A186" s="805"/>
      <c r="B186" s="806"/>
      <c r="C186" s="806"/>
      <c r="D186" s="806"/>
      <c r="E186" s="807"/>
      <c r="F186" s="807"/>
      <c r="G186" s="807"/>
      <c r="H186" s="807"/>
      <c r="I186" s="807"/>
      <c r="J186" s="807"/>
      <c r="K186" s="807"/>
      <c r="L186" s="807"/>
      <c r="M186" s="807"/>
      <c r="N186" s="807"/>
      <c r="O186" s="807"/>
      <c r="P186" s="807"/>
      <c r="Q186" s="807"/>
      <c r="R186" s="807"/>
      <c r="S186" s="807"/>
      <c r="T186" s="807"/>
      <c r="U186" s="807"/>
      <c r="V186" s="807"/>
      <c r="W186" s="807"/>
      <c r="X186" s="807"/>
      <c r="Y186" s="807"/>
      <c r="Z186" s="807"/>
      <c r="AA186" s="807"/>
      <c r="AB186" s="807"/>
      <c r="AC186" s="807"/>
      <c r="AD186" s="807"/>
      <c r="AE186" s="807"/>
      <c r="AF186" s="807"/>
      <c r="AG186" s="807"/>
      <c r="AH186" s="807"/>
      <c r="AI186" s="807"/>
      <c r="AJ186" s="807"/>
      <c r="AK186" s="807"/>
      <c r="AL186" s="807"/>
      <c r="AM186" s="807"/>
      <c r="AN186" s="807"/>
      <c r="AO186" s="807"/>
      <c r="AP186" s="807"/>
    </row>
    <row r="187" spans="1:42" s="5" customFormat="1" x14ac:dyDescent="0.25">
      <c r="A187" s="805"/>
      <c r="B187" s="806"/>
      <c r="C187" s="806"/>
      <c r="D187" s="806"/>
      <c r="E187" s="807"/>
      <c r="F187" s="807"/>
      <c r="G187" s="807"/>
      <c r="H187" s="807"/>
      <c r="I187" s="807"/>
      <c r="J187" s="807"/>
      <c r="K187" s="807"/>
      <c r="L187" s="807"/>
      <c r="M187" s="807"/>
      <c r="N187" s="807"/>
      <c r="O187" s="807"/>
      <c r="P187" s="807"/>
      <c r="Q187" s="807"/>
      <c r="R187" s="807"/>
      <c r="S187" s="807"/>
      <c r="T187" s="807"/>
      <c r="U187" s="807"/>
      <c r="V187" s="807"/>
      <c r="W187" s="807"/>
      <c r="X187" s="807"/>
      <c r="Y187" s="807"/>
      <c r="Z187" s="807"/>
      <c r="AA187" s="807"/>
      <c r="AB187" s="807"/>
      <c r="AC187" s="807"/>
      <c r="AD187" s="807"/>
      <c r="AE187" s="807"/>
      <c r="AF187" s="807"/>
      <c r="AG187" s="807"/>
      <c r="AH187" s="807"/>
      <c r="AI187" s="807"/>
      <c r="AJ187" s="807"/>
      <c r="AK187" s="807"/>
      <c r="AL187" s="807"/>
      <c r="AM187" s="807"/>
      <c r="AN187" s="807"/>
      <c r="AO187" s="807"/>
      <c r="AP187" s="807"/>
    </row>
    <row r="188" spans="1:42" s="5" customFormat="1" x14ac:dyDescent="0.25">
      <c r="A188" s="805"/>
      <c r="B188" s="806"/>
      <c r="C188" s="806"/>
      <c r="D188" s="806"/>
      <c r="E188" s="807"/>
      <c r="F188" s="807"/>
      <c r="G188" s="807"/>
      <c r="H188" s="807"/>
      <c r="I188" s="807"/>
      <c r="J188" s="807"/>
      <c r="K188" s="807"/>
      <c r="L188" s="807"/>
      <c r="M188" s="807"/>
      <c r="N188" s="807"/>
      <c r="O188" s="807"/>
      <c r="P188" s="807"/>
      <c r="Q188" s="807"/>
      <c r="R188" s="807"/>
      <c r="S188" s="807"/>
      <c r="T188" s="807"/>
      <c r="U188" s="807"/>
      <c r="V188" s="807"/>
      <c r="W188" s="807"/>
      <c r="X188" s="807"/>
      <c r="Y188" s="807"/>
      <c r="Z188" s="807"/>
      <c r="AA188" s="807"/>
      <c r="AB188" s="807"/>
      <c r="AC188" s="807"/>
      <c r="AD188" s="807"/>
      <c r="AE188" s="807"/>
      <c r="AF188" s="807"/>
      <c r="AG188" s="807"/>
      <c r="AH188" s="807"/>
      <c r="AI188" s="807"/>
      <c r="AJ188" s="807"/>
      <c r="AK188" s="807"/>
      <c r="AL188" s="807"/>
      <c r="AM188" s="807"/>
      <c r="AN188" s="807"/>
      <c r="AO188" s="807"/>
      <c r="AP188" s="807"/>
    </row>
    <row r="189" spans="1:42" s="5" customFormat="1" x14ac:dyDescent="0.25">
      <c r="A189" s="805"/>
      <c r="B189" s="806"/>
      <c r="C189" s="806"/>
      <c r="D189" s="806"/>
      <c r="E189" s="807"/>
      <c r="F189" s="807"/>
      <c r="G189" s="807"/>
      <c r="H189" s="807"/>
      <c r="I189" s="807"/>
      <c r="J189" s="807"/>
      <c r="K189" s="807"/>
      <c r="L189" s="807"/>
      <c r="M189" s="807"/>
      <c r="N189" s="807"/>
      <c r="O189" s="807"/>
      <c r="P189" s="807"/>
      <c r="Q189" s="807"/>
      <c r="R189" s="807"/>
      <c r="S189" s="807"/>
      <c r="T189" s="807"/>
      <c r="U189" s="807"/>
      <c r="V189" s="807"/>
      <c r="W189" s="807"/>
      <c r="X189" s="807"/>
      <c r="Y189" s="807"/>
      <c r="Z189" s="807"/>
      <c r="AA189" s="807"/>
      <c r="AB189" s="807"/>
      <c r="AC189" s="807"/>
      <c r="AD189" s="807"/>
      <c r="AE189" s="807"/>
      <c r="AF189" s="807"/>
      <c r="AG189" s="807"/>
      <c r="AH189" s="807"/>
      <c r="AI189" s="807"/>
      <c r="AJ189" s="807"/>
      <c r="AK189" s="807"/>
      <c r="AL189" s="807"/>
      <c r="AM189" s="807"/>
      <c r="AN189" s="807"/>
      <c r="AO189" s="807"/>
      <c r="AP189" s="807"/>
    </row>
    <row r="190" spans="1:42" s="5" customFormat="1" x14ac:dyDescent="0.25">
      <c r="A190" s="805"/>
      <c r="B190" s="806"/>
      <c r="C190" s="806"/>
      <c r="D190" s="806"/>
      <c r="E190" s="807"/>
      <c r="F190" s="807"/>
      <c r="G190" s="807"/>
      <c r="H190" s="807"/>
      <c r="I190" s="807"/>
      <c r="J190" s="807"/>
      <c r="K190" s="807"/>
      <c r="L190" s="807"/>
      <c r="M190" s="807"/>
      <c r="N190" s="807"/>
      <c r="O190" s="807"/>
      <c r="P190" s="807"/>
      <c r="Q190" s="807"/>
      <c r="R190" s="807"/>
      <c r="S190" s="807"/>
      <c r="T190" s="807"/>
      <c r="U190" s="807"/>
      <c r="V190" s="807"/>
      <c r="W190" s="807"/>
      <c r="X190" s="807"/>
      <c r="Y190" s="807"/>
      <c r="Z190" s="807"/>
      <c r="AA190" s="807"/>
      <c r="AB190" s="807"/>
      <c r="AC190" s="807"/>
      <c r="AD190" s="807"/>
      <c r="AE190" s="807"/>
      <c r="AF190" s="807"/>
      <c r="AG190" s="807"/>
      <c r="AH190" s="807"/>
      <c r="AI190" s="807"/>
      <c r="AJ190" s="807"/>
      <c r="AK190" s="807"/>
      <c r="AL190" s="807"/>
      <c r="AM190" s="807"/>
      <c r="AN190" s="807"/>
      <c r="AO190" s="807"/>
      <c r="AP190" s="807"/>
    </row>
    <row r="191" spans="1:42" s="5" customFormat="1" x14ac:dyDescent="0.25">
      <c r="A191" s="805"/>
      <c r="B191" s="806"/>
      <c r="C191" s="806"/>
      <c r="D191" s="806"/>
      <c r="E191" s="807"/>
      <c r="F191" s="807"/>
      <c r="G191" s="807"/>
      <c r="H191" s="807"/>
      <c r="I191" s="807"/>
      <c r="J191" s="807"/>
      <c r="K191" s="807"/>
      <c r="L191" s="807"/>
      <c r="M191" s="807"/>
      <c r="N191" s="807"/>
      <c r="O191" s="807"/>
      <c r="P191" s="807"/>
      <c r="Q191" s="807"/>
      <c r="R191" s="807"/>
      <c r="S191" s="807"/>
      <c r="T191" s="807"/>
      <c r="U191" s="807"/>
      <c r="V191" s="807"/>
      <c r="W191" s="807"/>
      <c r="X191" s="807"/>
      <c r="Y191" s="807"/>
      <c r="Z191" s="807"/>
      <c r="AA191" s="807"/>
      <c r="AB191" s="807"/>
      <c r="AC191" s="807"/>
      <c r="AD191" s="807"/>
      <c r="AE191" s="807"/>
      <c r="AF191" s="807"/>
      <c r="AG191" s="807"/>
      <c r="AH191" s="807"/>
      <c r="AI191" s="807"/>
      <c r="AJ191" s="807"/>
      <c r="AK191" s="807"/>
      <c r="AL191" s="807"/>
      <c r="AM191" s="807"/>
      <c r="AN191" s="807"/>
      <c r="AO191" s="807"/>
      <c r="AP191" s="807"/>
    </row>
    <row r="192" spans="1:42" s="5" customFormat="1" x14ac:dyDescent="0.25">
      <c r="A192" s="805"/>
      <c r="B192" s="806"/>
      <c r="C192" s="806"/>
      <c r="D192" s="806"/>
      <c r="E192" s="807"/>
      <c r="F192" s="807"/>
      <c r="G192" s="807"/>
      <c r="H192" s="807"/>
      <c r="I192" s="807"/>
      <c r="J192" s="807"/>
      <c r="K192" s="807"/>
      <c r="L192" s="807"/>
      <c r="M192" s="807"/>
      <c r="N192" s="807"/>
      <c r="O192" s="807"/>
      <c r="P192" s="807"/>
      <c r="Q192" s="807"/>
      <c r="R192" s="807"/>
      <c r="S192" s="807"/>
      <c r="T192" s="807"/>
      <c r="U192" s="807"/>
      <c r="V192" s="807"/>
      <c r="W192" s="807"/>
      <c r="X192" s="807"/>
      <c r="Y192" s="807"/>
      <c r="Z192" s="807"/>
      <c r="AA192" s="807"/>
      <c r="AB192" s="807"/>
      <c r="AC192" s="807"/>
      <c r="AD192" s="807"/>
      <c r="AE192" s="807"/>
      <c r="AF192" s="807"/>
      <c r="AG192" s="807"/>
      <c r="AH192" s="807"/>
      <c r="AI192" s="807"/>
      <c r="AJ192" s="807"/>
      <c r="AK192" s="807"/>
      <c r="AL192" s="807"/>
      <c r="AM192" s="807"/>
      <c r="AN192" s="807"/>
      <c r="AO192" s="807"/>
      <c r="AP192" s="807"/>
    </row>
    <row r="193" spans="1:42" s="5" customFormat="1" x14ac:dyDescent="0.25">
      <c r="A193" s="805"/>
      <c r="B193" s="806"/>
      <c r="C193" s="806"/>
      <c r="D193" s="806"/>
      <c r="E193" s="807"/>
      <c r="F193" s="807"/>
      <c r="G193" s="807"/>
      <c r="H193" s="807"/>
      <c r="I193" s="807"/>
      <c r="J193" s="807"/>
      <c r="K193" s="807"/>
      <c r="L193" s="807"/>
      <c r="M193" s="807"/>
      <c r="N193" s="807"/>
      <c r="O193" s="807"/>
      <c r="P193" s="807"/>
      <c r="Q193" s="807"/>
      <c r="R193" s="807"/>
      <c r="S193" s="807"/>
      <c r="T193" s="807"/>
      <c r="U193" s="807"/>
      <c r="V193" s="807"/>
      <c r="W193" s="807"/>
      <c r="X193" s="807"/>
      <c r="Y193" s="807"/>
      <c r="Z193" s="807"/>
      <c r="AA193" s="807"/>
      <c r="AB193" s="807"/>
      <c r="AC193" s="807"/>
      <c r="AD193" s="807"/>
      <c r="AE193" s="807"/>
      <c r="AF193" s="807"/>
      <c r="AG193" s="807"/>
      <c r="AH193" s="807"/>
      <c r="AI193" s="807"/>
      <c r="AJ193" s="807"/>
      <c r="AK193" s="807"/>
      <c r="AL193" s="807"/>
      <c r="AM193" s="807"/>
      <c r="AN193" s="807"/>
      <c r="AO193" s="807"/>
      <c r="AP193" s="807"/>
    </row>
    <row r="194" spans="1:42" s="5" customFormat="1" x14ac:dyDescent="0.25">
      <c r="A194" s="805"/>
      <c r="B194" s="806"/>
      <c r="C194" s="806"/>
      <c r="D194" s="806"/>
      <c r="E194" s="807"/>
      <c r="F194" s="807"/>
      <c r="G194" s="807"/>
      <c r="H194" s="807"/>
      <c r="I194" s="807"/>
      <c r="J194" s="807"/>
      <c r="K194" s="807"/>
      <c r="L194" s="807"/>
      <c r="M194" s="807"/>
      <c r="N194" s="807"/>
      <c r="O194" s="807"/>
      <c r="P194" s="807"/>
      <c r="Q194" s="807"/>
      <c r="R194" s="807"/>
      <c r="S194" s="807"/>
      <c r="T194" s="807"/>
      <c r="U194" s="807"/>
      <c r="V194" s="807"/>
      <c r="W194" s="807"/>
      <c r="X194" s="807"/>
      <c r="Y194" s="807"/>
      <c r="Z194" s="807"/>
      <c r="AA194" s="807"/>
      <c r="AB194" s="807"/>
      <c r="AC194" s="807"/>
      <c r="AD194" s="807"/>
      <c r="AE194" s="807"/>
      <c r="AF194" s="807"/>
      <c r="AG194" s="807"/>
      <c r="AH194" s="807"/>
      <c r="AI194" s="807"/>
      <c r="AJ194" s="807"/>
      <c r="AK194" s="807"/>
      <c r="AL194" s="807"/>
      <c r="AM194" s="807"/>
      <c r="AN194" s="807"/>
      <c r="AO194" s="807"/>
      <c r="AP194" s="807"/>
    </row>
    <row r="195" spans="1:42" s="5" customFormat="1" x14ac:dyDescent="0.25">
      <c r="A195" s="805"/>
      <c r="B195" s="806"/>
      <c r="C195" s="806"/>
      <c r="D195" s="806"/>
      <c r="E195" s="807"/>
      <c r="F195" s="807"/>
      <c r="G195" s="807"/>
      <c r="H195" s="807"/>
      <c r="I195" s="807"/>
      <c r="J195" s="807"/>
      <c r="K195" s="807"/>
      <c r="L195" s="807"/>
      <c r="M195" s="807"/>
      <c r="N195" s="807"/>
      <c r="O195" s="807"/>
      <c r="P195" s="807"/>
      <c r="Q195" s="807"/>
      <c r="R195" s="807"/>
      <c r="S195" s="807"/>
      <c r="T195" s="807"/>
      <c r="U195" s="807"/>
      <c r="V195" s="807"/>
      <c r="W195" s="807"/>
      <c r="X195" s="807"/>
      <c r="Y195" s="807"/>
      <c r="Z195" s="807"/>
      <c r="AA195" s="807"/>
      <c r="AB195" s="807"/>
      <c r="AC195" s="807"/>
      <c r="AD195" s="807"/>
      <c r="AE195" s="807"/>
      <c r="AF195" s="807"/>
      <c r="AG195" s="807"/>
      <c r="AH195" s="807"/>
      <c r="AI195" s="807"/>
      <c r="AJ195" s="807"/>
      <c r="AK195" s="807"/>
      <c r="AL195" s="807"/>
      <c r="AM195" s="807"/>
      <c r="AN195" s="807"/>
      <c r="AO195" s="807"/>
      <c r="AP195" s="807"/>
    </row>
    <row r="196" spans="1:42" s="5" customFormat="1" x14ac:dyDescent="0.25">
      <c r="A196" s="805"/>
      <c r="B196" s="806"/>
      <c r="C196" s="806"/>
      <c r="D196" s="806"/>
      <c r="E196" s="807"/>
      <c r="F196" s="807"/>
      <c r="G196" s="807"/>
      <c r="H196" s="807"/>
      <c r="I196" s="807"/>
      <c r="J196" s="807"/>
      <c r="K196" s="807"/>
      <c r="L196" s="807"/>
      <c r="M196" s="807"/>
      <c r="N196" s="807"/>
      <c r="O196" s="807"/>
      <c r="P196" s="807"/>
      <c r="Q196" s="807"/>
      <c r="R196" s="807"/>
      <c r="S196" s="807"/>
      <c r="T196" s="807"/>
      <c r="U196" s="807"/>
      <c r="V196" s="807"/>
      <c r="W196" s="807"/>
      <c r="X196" s="807"/>
      <c r="Y196" s="807"/>
      <c r="Z196" s="807"/>
      <c r="AA196" s="807"/>
      <c r="AB196" s="807"/>
      <c r="AC196" s="807"/>
      <c r="AD196" s="807"/>
      <c r="AE196" s="807"/>
      <c r="AF196" s="807"/>
      <c r="AG196" s="807"/>
      <c r="AH196" s="807"/>
      <c r="AI196" s="807"/>
      <c r="AJ196" s="807"/>
      <c r="AK196" s="807"/>
      <c r="AL196" s="807"/>
      <c r="AM196" s="807"/>
      <c r="AN196" s="807"/>
      <c r="AO196" s="807"/>
      <c r="AP196" s="807"/>
    </row>
    <row r="197" spans="1:42" s="5" customFormat="1" x14ac:dyDescent="0.25">
      <c r="A197" s="805"/>
      <c r="B197" s="806"/>
      <c r="C197" s="806"/>
      <c r="D197" s="806"/>
      <c r="E197" s="807"/>
      <c r="F197" s="807"/>
      <c r="G197" s="807"/>
      <c r="H197" s="807"/>
      <c r="I197" s="807"/>
      <c r="J197" s="807"/>
      <c r="K197" s="807"/>
      <c r="L197" s="807"/>
      <c r="M197" s="807"/>
      <c r="N197" s="807"/>
      <c r="O197" s="807"/>
      <c r="P197" s="807"/>
      <c r="Q197" s="807"/>
      <c r="R197" s="807"/>
      <c r="S197" s="807"/>
      <c r="T197" s="807"/>
      <c r="U197" s="807"/>
      <c r="V197" s="807"/>
      <c r="W197" s="807"/>
      <c r="X197" s="807"/>
      <c r="Y197" s="807"/>
      <c r="Z197" s="807"/>
      <c r="AA197" s="807"/>
      <c r="AB197" s="807"/>
      <c r="AC197" s="807"/>
      <c r="AD197" s="807"/>
      <c r="AE197" s="807"/>
      <c r="AF197" s="807"/>
      <c r="AG197" s="807"/>
      <c r="AH197" s="807"/>
      <c r="AI197" s="807"/>
      <c r="AJ197" s="807"/>
      <c r="AK197" s="807"/>
      <c r="AL197" s="807"/>
      <c r="AM197" s="807"/>
      <c r="AN197" s="807"/>
      <c r="AO197" s="807"/>
      <c r="AP197" s="807"/>
    </row>
    <row r="198" spans="1:42" s="5" customFormat="1" x14ac:dyDescent="0.25">
      <c r="A198" s="805"/>
      <c r="B198" s="806"/>
      <c r="C198" s="806"/>
      <c r="D198" s="806"/>
      <c r="E198" s="807"/>
      <c r="F198" s="807"/>
      <c r="G198" s="807"/>
      <c r="H198" s="807"/>
      <c r="I198" s="807"/>
      <c r="J198" s="807"/>
      <c r="K198" s="807"/>
      <c r="L198" s="807"/>
      <c r="M198" s="807"/>
      <c r="N198" s="807"/>
      <c r="O198" s="807"/>
      <c r="P198" s="807"/>
      <c r="Q198" s="807"/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807"/>
      <c r="AE198" s="807"/>
      <c r="AF198" s="807"/>
      <c r="AG198" s="807"/>
      <c r="AH198" s="807"/>
      <c r="AI198" s="807"/>
      <c r="AJ198" s="807"/>
      <c r="AK198" s="807"/>
      <c r="AL198" s="807"/>
      <c r="AM198" s="807"/>
      <c r="AN198" s="807"/>
      <c r="AO198" s="807"/>
      <c r="AP198" s="807"/>
    </row>
    <row r="199" spans="1:42" s="5" customFormat="1" x14ac:dyDescent="0.25">
      <c r="A199" s="805"/>
      <c r="B199" s="806"/>
      <c r="C199" s="806"/>
      <c r="D199" s="806"/>
      <c r="E199" s="807"/>
      <c r="F199" s="807"/>
      <c r="G199" s="807"/>
      <c r="H199" s="807"/>
      <c r="I199" s="807"/>
      <c r="J199" s="807"/>
      <c r="K199" s="807"/>
      <c r="L199" s="807"/>
      <c r="M199" s="807"/>
      <c r="N199" s="807"/>
      <c r="O199" s="807"/>
      <c r="P199" s="807"/>
      <c r="Q199" s="807"/>
      <c r="R199" s="807"/>
      <c r="S199" s="807"/>
      <c r="T199" s="807"/>
      <c r="U199" s="807"/>
      <c r="V199" s="807"/>
      <c r="W199" s="807"/>
      <c r="X199" s="807"/>
      <c r="Y199" s="807"/>
      <c r="Z199" s="807"/>
      <c r="AA199" s="807"/>
      <c r="AB199" s="807"/>
      <c r="AC199" s="807"/>
      <c r="AD199" s="807"/>
      <c r="AE199" s="807"/>
      <c r="AF199" s="807"/>
      <c r="AG199" s="807"/>
      <c r="AH199" s="807"/>
      <c r="AI199" s="807"/>
      <c r="AJ199" s="807"/>
      <c r="AK199" s="807"/>
      <c r="AL199" s="807"/>
      <c r="AM199" s="807"/>
      <c r="AN199" s="807"/>
      <c r="AO199" s="807"/>
      <c r="AP199" s="807"/>
    </row>
    <row r="200" spans="1:42" s="5" customFormat="1" x14ac:dyDescent="0.25">
      <c r="A200" s="805"/>
      <c r="B200" s="806"/>
      <c r="C200" s="806"/>
      <c r="D200" s="806"/>
      <c r="E200" s="807"/>
      <c r="F200" s="807"/>
      <c r="G200" s="807"/>
      <c r="H200" s="807"/>
      <c r="I200" s="807"/>
      <c r="J200" s="807"/>
      <c r="K200" s="807"/>
      <c r="L200" s="807"/>
      <c r="M200" s="807"/>
      <c r="N200" s="807"/>
      <c r="O200" s="807"/>
      <c r="P200" s="807"/>
      <c r="Q200" s="807"/>
      <c r="R200" s="807"/>
      <c r="S200" s="807"/>
      <c r="T200" s="807"/>
      <c r="U200" s="807"/>
      <c r="V200" s="807"/>
      <c r="W200" s="807"/>
      <c r="X200" s="807"/>
      <c r="Y200" s="807"/>
      <c r="Z200" s="807"/>
      <c r="AA200" s="807"/>
      <c r="AB200" s="807"/>
      <c r="AC200" s="807"/>
      <c r="AD200" s="807"/>
      <c r="AE200" s="807"/>
      <c r="AF200" s="807"/>
      <c r="AG200" s="807"/>
      <c r="AH200" s="807"/>
      <c r="AI200" s="807"/>
      <c r="AJ200" s="807"/>
      <c r="AK200" s="807"/>
      <c r="AL200" s="807"/>
      <c r="AM200" s="807"/>
      <c r="AN200" s="807"/>
      <c r="AO200" s="807"/>
      <c r="AP200" s="807"/>
    </row>
    <row r="201" spans="1:42" s="5" customFormat="1" x14ac:dyDescent="0.25">
      <c r="A201" s="805"/>
      <c r="B201" s="806"/>
      <c r="C201" s="806"/>
      <c r="D201" s="806"/>
      <c r="E201" s="807"/>
      <c r="F201" s="807"/>
      <c r="G201" s="807"/>
      <c r="H201" s="807"/>
      <c r="I201" s="807"/>
      <c r="J201" s="807"/>
      <c r="K201" s="807"/>
      <c r="L201" s="807"/>
      <c r="M201" s="807"/>
      <c r="N201" s="807"/>
      <c r="O201" s="807"/>
      <c r="P201" s="807"/>
      <c r="Q201" s="807"/>
      <c r="R201" s="807"/>
      <c r="S201" s="807"/>
      <c r="T201" s="807"/>
      <c r="U201" s="807"/>
      <c r="V201" s="807"/>
      <c r="W201" s="807"/>
      <c r="X201" s="807"/>
      <c r="Y201" s="807"/>
      <c r="Z201" s="807"/>
      <c r="AA201" s="807"/>
      <c r="AB201" s="807"/>
      <c r="AC201" s="807"/>
      <c r="AD201" s="807"/>
      <c r="AE201" s="807"/>
      <c r="AF201" s="807"/>
      <c r="AG201" s="807"/>
      <c r="AH201" s="807"/>
      <c r="AI201" s="807"/>
      <c r="AJ201" s="807"/>
      <c r="AK201" s="807"/>
      <c r="AL201" s="807"/>
      <c r="AM201" s="807"/>
      <c r="AN201" s="807"/>
      <c r="AO201" s="807"/>
      <c r="AP201" s="807"/>
    </row>
    <row r="202" spans="1:42" s="5" customFormat="1" x14ac:dyDescent="0.25">
      <c r="A202" s="805"/>
      <c r="B202" s="806"/>
      <c r="C202" s="806"/>
      <c r="D202" s="806"/>
      <c r="E202" s="807"/>
      <c r="F202" s="807"/>
      <c r="G202" s="807"/>
      <c r="H202" s="807"/>
      <c r="I202" s="807"/>
      <c r="J202" s="807"/>
      <c r="K202" s="807"/>
      <c r="L202" s="807"/>
      <c r="M202" s="807"/>
      <c r="N202" s="807"/>
      <c r="O202" s="807"/>
      <c r="P202" s="807"/>
      <c r="Q202" s="807"/>
      <c r="R202" s="807"/>
      <c r="S202" s="807"/>
      <c r="T202" s="807"/>
      <c r="U202" s="807"/>
      <c r="V202" s="807"/>
      <c r="W202" s="807"/>
      <c r="X202" s="807"/>
      <c r="Y202" s="807"/>
      <c r="Z202" s="807"/>
      <c r="AA202" s="807"/>
      <c r="AB202" s="807"/>
      <c r="AC202" s="807"/>
      <c r="AD202" s="807"/>
      <c r="AE202" s="807"/>
      <c r="AF202" s="807"/>
      <c r="AG202" s="807"/>
      <c r="AH202" s="807"/>
      <c r="AI202" s="807"/>
      <c r="AJ202" s="807"/>
      <c r="AK202" s="807"/>
      <c r="AL202" s="807"/>
      <c r="AM202" s="807"/>
      <c r="AN202" s="807"/>
      <c r="AO202" s="807"/>
      <c r="AP202" s="807"/>
    </row>
    <row r="203" spans="1:42" s="5" customFormat="1" x14ac:dyDescent="0.25">
      <c r="A203" s="805"/>
      <c r="B203" s="806"/>
      <c r="C203" s="806"/>
      <c r="D203" s="806"/>
      <c r="E203" s="807"/>
      <c r="F203" s="807"/>
      <c r="G203" s="807"/>
      <c r="H203" s="807"/>
      <c r="I203" s="807"/>
      <c r="J203" s="807"/>
      <c r="K203" s="807"/>
      <c r="L203" s="807"/>
      <c r="M203" s="807"/>
      <c r="N203" s="807"/>
      <c r="O203" s="807"/>
      <c r="P203" s="807"/>
      <c r="Q203" s="807"/>
      <c r="R203" s="807"/>
      <c r="S203" s="807"/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  <c r="AF203" s="807"/>
      <c r="AG203" s="807"/>
      <c r="AH203" s="807"/>
      <c r="AI203" s="807"/>
      <c r="AJ203" s="807"/>
      <c r="AK203" s="807"/>
      <c r="AL203" s="807"/>
      <c r="AM203" s="807"/>
      <c r="AN203" s="807"/>
      <c r="AO203" s="807"/>
      <c r="AP203" s="807"/>
    </row>
    <row r="204" spans="1:42" s="5" customFormat="1" x14ac:dyDescent="0.25">
      <c r="A204" s="805"/>
      <c r="B204" s="806"/>
      <c r="C204" s="806"/>
      <c r="D204" s="806"/>
      <c r="E204" s="807"/>
      <c r="F204" s="807"/>
      <c r="G204" s="807"/>
      <c r="H204" s="807"/>
      <c r="I204" s="807"/>
      <c r="J204" s="807"/>
      <c r="K204" s="807"/>
      <c r="L204" s="807"/>
      <c r="M204" s="807"/>
      <c r="N204" s="807"/>
      <c r="O204" s="807"/>
      <c r="P204" s="807"/>
      <c r="Q204" s="807"/>
      <c r="R204" s="807"/>
      <c r="S204" s="807"/>
      <c r="T204" s="807"/>
      <c r="U204" s="807"/>
      <c r="V204" s="807"/>
      <c r="W204" s="807"/>
      <c r="X204" s="807"/>
      <c r="Y204" s="807"/>
      <c r="Z204" s="807"/>
      <c r="AA204" s="807"/>
      <c r="AB204" s="807"/>
      <c r="AC204" s="807"/>
      <c r="AD204" s="807"/>
      <c r="AE204" s="807"/>
      <c r="AF204" s="807"/>
      <c r="AG204" s="807"/>
      <c r="AH204" s="807"/>
      <c r="AI204" s="807"/>
      <c r="AJ204" s="807"/>
      <c r="AK204" s="807"/>
      <c r="AL204" s="807"/>
      <c r="AM204" s="807"/>
      <c r="AN204" s="807"/>
      <c r="AO204" s="807"/>
      <c r="AP204" s="807"/>
    </row>
    <row r="205" spans="1:42" s="5" customFormat="1" x14ac:dyDescent="0.25">
      <c r="A205" s="805"/>
      <c r="B205" s="806"/>
      <c r="C205" s="806"/>
      <c r="D205" s="806"/>
      <c r="E205" s="807"/>
      <c r="F205" s="807"/>
      <c r="G205" s="807"/>
      <c r="H205" s="807"/>
      <c r="I205" s="807"/>
      <c r="J205" s="807"/>
      <c r="K205" s="807"/>
      <c r="L205" s="807"/>
      <c r="M205" s="807"/>
      <c r="N205" s="807"/>
      <c r="O205" s="807"/>
      <c r="P205" s="807"/>
      <c r="Q205" s="807"/>
      <c r="R205" s="807"/>
      <c r="S205" s="807"/>
      <c r="T205" s="807"/>
      <c r="U205" s="807"/>
      <c r="V205" s="807"/>
      <c r="W205" s="807"/>
      <c r="X205" s="807"/>
      <c r="Y205" s="807"/>
      <c r="Z205" s="807"/>
      <c r="AA205" s="807"/>
      <c r="AB205" s="807"/>
      <c r="AC205" s="807"/>
      <c r="AD205" s="807"/>
      <c r="AE205" s="807"/>
      <c r="AF205" s="807"/>
      <c r="AG205" s="807"/>
      <c r="AH205" s="807"/>
      <c r="AI205" s="807"/>
      <c r="AJ205" s="807"/>
      <c r="AK205" s="807"/>
      <c r="AL205" s="807"/>
      <c r="AM205" s="807"/>
      <c r="AN205" s="807"/>
      <c r="AO205" s="807"/>
      <c r="AP205" s="807"/>
    </row>
    <row r="206" spans="1:42" s="5" customFormat="1" x14ac:dyDescent="0.25">
      <c r="A206" s="805"/>
      <c r="B206" s="806"/>
      <c r="C206" s="806"/>
      <c r="D206" s="806"/>
      <c r="E206" s="807"/>
      <c r="F206" s="807"/>
      <c r="G206" s="807"/>
      <c r="H206" s="807"/>
      <c r="I206" s="807"/>
      <c r="J206" s="807"/>
      <c r="K206" s="807"/>
      <c r="L206" s="807"/>
      <c r="M206" s="807"/>
      <c r="N206" s="807"/>
      <c r="O206" s="807"/>
      <c r="P206" s="807"/>
      <c r="Q206" s="807"/>
      <c r="R206" s="807"/>
      <c r="S206" s="807"/>
      <c r="T206" s="807"/>
      <c r="U206" s="807"/>
      <c r="V206" s="807"/>
      <c r="W206" s="807"/>
      <c r="X206" s="807"/>
      <c r="Y206" s="807"/>
      <c r="Z206" s="807"/>
      <c r="AA206" s="807"/>
      <c r="AB206" s="807"/>
      <c r="AC206" s="807"/>
      <c r="AD206" s="807"/>
      <c r="AE206" s="807"/>
      <c r="AF206" s="807"/>
      <c r="AG206" s="807"/>
      <c r="AH206" s="807"/>
      <c r="AI206" s="807"/>
      <c r="AJ206" s="807"/>
      <c r="AK206" s="807"/>
      <c r="AL206" s="807"/>
      <c r="AM206" s="807"/>
      <c r="AN206" s="807"/>
      <c r="AO206" s="807"/>
      <c r="AP206" s="807"/>
    </row>
    <row r="207" spans="1:42" s="5" customFormat="1" x14ac:dyDescent="0.25">
      <c r="A207" s="805"/>
      <c r="B207" s="806"/>
      <c r="C207" s="806"/>
      <c r="D207" s="806"/>
      <c r="E207" s="807"/>
      <c r="F207" s="807"/>
      <c r="G207" s="807"/>
      <c r="H207" s="807"/>
      <c r="I207" s="807"/>
      <c r="J207" s="807"/>
      <c r="K207" s="807"/>
      <c r="L207" s="807"/>
      <c r="M207" s="807"/>
      <c r="N207" s="807"/>
      <c r="O207" s="807"/>
      <c r="P207" s="807"/>
      <c r="Q207" s="807"/>
      <c r="R207" s="807"/>
      <c r="S207" s="807"/>
      <c r="T207" s="807"/>
      <c r="U207" s="807"/>
      <c r="V207" s="807"/>
      <c r="W207" s="807"/>
      <c r="X207" s="807"/>
      <c r="Y207" s="807"/>
      <c r="Z207" s="807"/>
      <c r="AA207" s="807"/>
      <c r="AB207" s="807"/>
      <c r="AC207" s="807"/>
      <c r="AD207" s="807"/>
      <c r="AE207" s="807"/>
      <c r="AF207" s="807"/>
      <c r="AG207" s="807"/>
      <c r="AH207" s="807"/>
      <c r="AI207" s="807"/>
      <c r="AJ207" s="807"/>
      <c r="AK207" s="807"/>
      <c r="AL207" s="807"/>
      <c r="AM207" s="807"/>
      <c r="AN207" s="807"/>
      <c r="AO207" s="807"/>
      <c r="AP207" s="807"/>
    </row>
    <row r="208" spans="1:42" s="5" customFormat="1" x14ac:dyDescent="0.25">
      <c r="A208" s="805"/>
      <c r="B208" s="806"/>
      <c r="C208" s="806"/>
      <c r="D208" s="806"/>
      <c r="E208" s="807"/>
      <c r="F208" s="807"/>
      <c r="G208" s="807"/>
      <c r="H208" s="807"/>
      <c r="I208" s="807"/>
      <c r="J208" s="807"/>
      <c r="K208" s="807"/>
      <c r="L208" s="807"/>
      <c r="M208" s="807"/>
      <c r="N208" s="807"/>
      <c r="O208" s="807"/>
      <c r="P208" s="807"/>
      <c r="Q208" s="807"/>
      <c r="R208" s="807"/>
      <c r="S208" s="807"/>
      <c r="T208" s="807"/>
      <c r="U208" s="807"/>
      <c r="V208" s="807"/>
      <c r="W208" s="807"/>
      <c r="X208" s="807"/>
      <c r="Y208" s="807"/>
      <c r="Z208" s="807"/>
      <c r="AA208" s="807"/>
      <c r="AB208" s="807"/>
      <c r="AC208" s="807"/>
      <c r="AD208" s="807"/>
      <c r="AE208" s="807"/>
      <c r="AF208" s="807"/>
      <c r="AG208" s="807"/>
      <c r="AH208" s="807"/>
      <c r="AI208" s="807"/>
      <c r="AJ208" s="807"/>
      <c r="AK208" s="807"/>
      <c r="AL208" s="807"/>
      <c r="AM208" s="807"/>
      <c r="AN208" s="807"/>
      <c r="AO208" s="807"/>
      <c r="AP208" s="807"/>
    </row>
    <row r="209" spans="1:42" s="5" customFormat="1" x14ac:dyDescent="0.25">
      <c r="A209" s="805"/>
      <c r="B209" s="806"/>
      <c r="C209" s="806"/>
      <c r="D209" s="806"/>
      <c r="E209" s="807"/>
      <c r="F209" s="807"/>
      <c r="G209" s="807"/>
      <c r="H209" s="807"/>
      <c r="I209" s="807"/>
      <c r="J209" s="807"/>
      <c r="K209" s="807"/>
      <c r="L209" s="807"/>
      <c r="M209" s="807"/>
      <c r="N209" s="807"/>
      <c r="O209" s="807"/>
      <c r="P209" s="807"/>
      <c r="Q209" s="807"/>
      <c r="R209" s="807"/>
      <c r="S209" s="807"/>
      <c r="T209" s="807"/>
      <c r="U209" s="807"/>
      <c r="V209" s="807"/>
      <c r="W209" s="807"/>
      <c r="X209" s="807"/>
      <c r="Y209" s="807"/>
      <c r="Z209" s="807"/>
      <c r="AA209" s="807"/>
      <c r="AB209" s="807"/>
      <c r="AC209" s="807"/>
      <c r="AD209" s="807"/>
      <c r="AE209" s="807"/>
      <c r="AF209" s="807"/>
      <c r="AG209" s="807"/>
      <c r="AH209" s="807"/>
      <c r="AI209" s="807"/>
      <c r="AJ209" s="807"/>
      <c r="AK209" s="807"/>
      <c r="AL209" s="807"/>
      <c r="AM209" s="807"/>
      <c r="AN209" s="807"/>
      <c r="AO209" s="807"/>
      <c r="AP209" s="807"/>
    </row>
    <row r="210" spans="1:42" s="5" customFormat="1" x14ac:dyDescent="0.25">
      <c r="A210" s="805"/>
      <c r="B210" s="806"/>
      <c r="C210" s="806"/>
      <c r="D210" s="806"/>
      <c r="E210" s="807"/>
      <c r="F210" s="807"/>
      <c r="G210" s="807"/>
      <c r="H210" s="807"/>
      <c r="I210" s="807"/>
      <c r="J210" s="807"/>
      <c r="K210" s="807"/>
      <c r="L210" s="807"/>
      <c r="M210" s="807"/>
      <c r="N210" s="807"/>
      <c r="O210" s="807"/>
      <c r="P210" s="807"/>
      <c r="Q210" s="807"/>
      <c r="R210" s="807"/>
      <c r="S210" s="807"/>
      <c r="T210" s="807"/>
      <c r="U210" s="807"/>
      <c r="V210" s="807"/>
      <c r="W210" s="807"/>
      <c r="X210" s="807"/>
      <c r="Y210" s="807"/>
      <c r="Z210" s="807"/>
      <c r="AA210" s="807"/>
      <c r="AB210" s="807"/>
      <c r="AC210" s="807"/>
      <c r="AD210" s="807"/>
      <c r="AE210" s="807"/>
      <c r="AF210" s="807"/>
      <c r="AG210" s="807"/>
      <c r="AH210" s="807"/>
      <c r="AI210" s="807"/>
      <c r="AJ210" s="807"/>
      <c r="AK210" s="807"/>
      <c r="AL210" s="807"/>
      <c r="AM210" s="807"/>
      <c r="AN210" s="807"/>
      <c r="AO210" s="807"/>
      <c r="AP210" s="807"/>
    </row>
    <row r="211" spans="1:42" s="5" customFormat="1" x14ac:dyDescent="0.25">
      <c r="A211" s="805"/>
      <c r="B211" s="806"/>
      <c r="C211" s="806"/>
      <c r="D211" s="806"/>
      <c r="E211" s="807"/>
      <c r="F211" s="807"/>
      <c r="G211" s="807"/>
      <c r="H211" s="807"/>
      <c r="I211" s="807"/>
      <c r="J211" s="807"/>
      <c r="K211" s="807"/>
      <c r="L211" s="807"/>
      <c r="M211" s="807"/>
      <c r="N211" s="807"/>
      <c r="O211" s="807"/>
      <c r="P211" s="807"/>
      <c r="Q211" s="807"/>
      <c r="R211" s="807"/>
      <c r="S211" s="807"/>
      <c r="T211" s="807"/>
      <c r="U211" s="807"/>
      <c r="V211" s="807"/>
      <c r="W211" s="807"/>
      <c r="X211" s="807"/>
      <c r="Y211" s="807"/>
      <c r="Z211" s="807"/>
      <c r="AA211" s="807"/>
      <c r="AB211" s="807"/>
      <c r="AC211" s="807"/>
      <c r="AD211" s="807"/>
      <c r="AE211" s="807"/>
      <c r="AF211" s="807"/>
      <c r="AG211" s="807"/>
      <c r="AH211" s="807"/>
      <c r="AI211" s="807"/>
      <c r="AJ211" s="807"/>
      <c r="AK211" s="807"/>
      <c r="AL211" s="807"/>
      <c r="AM211" s="807"/>
      <c r="AN211" s="807"/>
      <c r="AO211" s="807"/>
      <c r="AP211" s="807"/>
    </row>
    <row r="212" spans="1:42" s="5" customFormat="1" x14ac:dyDescent="0.25">
      <c r="A212" s="805"/>
      <c r="B212" s="806"/>
      <c r="C212" s="806"/>
      <c r="D212" s="806"/>
      <c r="E212" s="807"/>
      <c r="F212" s="807"/>
      <c r="G212" s="807"/>
      <c r="H212" s="807"/>
      <c r="I212" s="807"/>
      <c r="J212" s="807"/>
      <c r="K212" s="807"/>
      <c r="L212" s="807"/>
      <c r="M212" s="807"/>
      <c r="N212" s="807"/>
      <c r="O212" s="807"/>
      <c r="P212" s="807"/>
      <c r="Q212" s="807"/>
      <c r="R212" s="807"/>
      <c r="S212" s="807"/>
      <c r="T212" s="807"/>
      <c r="U212" s="807"/>
      <c r="V212" s="807"/>
      <c r="W212" s="807"/>
      <c r="X212" s="807"/>
      <c r="Y212" s="807"/>
      <c r="Z212" s="807"/>
      <c r="AA212" s="807"/>
      <c r="AB212" s="807"/>
      <c r="AC212" s="807"/>
      <c r="AD212" s="807"/>
      <c r="AE212" s="807"/>
      <c r="AF212" s="807"/>
      <c r="AG212" s="807"/>
      <c r="AH212" s="807"/>
      <c r="AI212" s="807"/>
      <c r="AJ212" s="807"/>
      <c r="AK212" s="807"/>
      <c r="AL212" s="807"/>
      <c r="AM212" s="807"/>
      <c r="AN212" s="807"/>
      <c r="AO212" s="807"/>
      <c r="AP212" s="807"/>
    </row>
    <row r="213" spans="1:42" s="5" customFormat="1" x14ac:dyDescent="0.25">
      <c r="A213" s="805"/>
      <c r="B213" s="806"/>
      <c r="C213" s="806"/>
      <c r="D213" s="806"/>
      <c r="E213" s="807"/>
      <c r="F213" s="807"/>
      <c r="G213" s="807"/>
      <c r="H213" s="807"/>
      <c r="I213" s="807"/>
      <c r="J213" s="807"/>
      <c r="K213" s="807"/>
      <c r="L213" s="807"/>
      <c r="M213" s="807"/>
      <c r="N213" s="807"/>
      <c r="O213" s="807"/>
      <c r="P213" s="807"/>
      <c r="Q213" s="807"/>
      <c r="R213" s="807"/>
      <c r="S213" s="807"/>
      <c r="T213" s="807"/>
      <c r="U213" s="807"/>
      <c r="V213" s="807"/>
      <c r="W213" s="807"/>
      <c r="X213" s="807"/>
      <c r="Y213" s="807"/>
      <c r="Z213" s="807"/>
      <c r="AA213" s="807"/>
      <c r="AB213" s="807"/>
      <c r="AC213" s="807"/>
      <c r="AD213" s="807"/>
      <c r="AE213" s="807"/>
      <c r="AF213" s="807"/>
      <c r="AG213" s="807"/>
      <c r="AH213" s="807"/>
      <c r="AI213" s="807"/>
      <c r="AJ213" s="807"/>
      <c r="AK213" s="807"/>
      <c r="AL213" s="807"/>
      <c r="AM213" s="807"/>
      <c r="AN213" s="807"/>
      <c r="AO213" s="807"/>
      <c r="AP213" s="807"/>
    </row>
    <row r="214" spans="1:42" s="5" customFormat="1" x14ac:dyDescent="0.25">
      <c r="A214" s="805"/>
      <c r="B214" s="806"/>
      <c r="C214" s="806"/>
      <c r="D214" s="806"/>
      <c r="E214" s="807"/>
      <c r="F214" s="807"/>
      <c r="G214" s="807"/>
      <c r="H214" s="807"/>
      <c r="I214" s="807"/>
      <c r="J214" s="807"/>
      <c r="K214" s="807"/>
      <c r="L214" s="807"/>
      <c r="M214" s="807"/>
      <c r="N214" s="807"/>
      <c r="O214" s="807"/>
      <c r="P214" s="807"/>
      <c r="Q214" s="807"/>
      <c r="R214" s="807"/>
      <c r="S214" s="807"/>
      <c r="T214" s="807"/>
      <c r="U214" s="807"/>
      <c r="V214" s="807"/>
      <c r="W214" s="807"/>
      <c r="X214" s="807"/>
      <c r="Y214" s="807"/>
      <c r="Z214" s="807"/>
      <c r="AA214" s="807"/>
      <c r="AB214" s="807"/>
      <c r="AC214" s="807"/>
      <c r="AD214" s="807"/>
      <c r="AE214" s="807"/>
      <c r="AF214" s="807"/>
      <c r="AG214" s="807"/>
      <c r="AH214" s="807"/>
      <c r="AI214" s="807"/>
      <c r="AJ214" s="807"/>
      <c r="AK214" s="807"/>
      <c r="AL214" s="807"/>
      <c r="AM214" s="807"/>
      <c r="AN214" s="807"/>
      <c r="AO214" s="807"/>
      <c r="AP214" s="807"/>
    </row>
    <row r="215" spans="1:42" s="5" customFormat="1" x14ac:dyDescent="0.25">
      <c r="A215" s="805"/>
      <c r="B215" s="806"/>
      <c r="C215" s="806"/>
      <c r="D215" s="806"/>
      <c r="E215" s="807"/>
      <c r="F215" s="807"/>
      <c r="G215" s="807"/>
      <c r="H215" s="807"/>
      <c r="I215" s="807"/>
      <c r="J215" s="807"/>
      <c r="K215" s="807"/>
      <c r="L215" s="807"/>
      <c r="M215" s="807"/>
      <c r="N215" s="807"/>
      <c r="O215" s="807"/>
      <c r="P215" s="807"/>
      <c r="Q215" s="807"/>
      <c r="R215" s="807"/>
      <c r="S215" s="807"/>
      <c r="T215" s="807"/>
      <c r="U215" s="807"/>
      <c r="V215" s="807"/>
      <c r="W215" s="807"/>
      <c r="X215" s="807"/>
      <c r="Y215" s="807"/>
      <c r="Z215" s="807"/>
      <c r="AA215" s="807"/>
      <c r="AB215" s="807"/>
      <c r="AC215" s="807"/>
      <c r="AD215" s="807"/>
      <c r="AE215" s="807"/>
      <c r="AF215" s="807"/>
      <c r="AG215" s="807"/>
      <c r="AH215" s="807"/>
      <c r="AI215" s="807"/>
      <c r="AJ215" s="807"/>
      <c r="AK215" s="807"/>
      <c r="AL215" s="807"/>
      <c r="AM215" s="807"/>
      <c r="AN215" s="807"/>
      <c r="AO215" s="807"/>
      <c r="AP215" s="807"/>
    </row>
    <row r="216" spans="1:42" s="5" customFormat="1" x14ac:dyDescent="0.25">
      <c r="A216" s="805"/>
      <c r="B216" s="806"/>
      <c r="C216" s="806"/>
      <c r="D216" s="806"/>
      <c r="E216" s="807"/>
      <c r="F216" s="807"/>
      <c r="G216" s="807"/>
      <c r="H216" s="807"/>
      <c r="I216" s="807"/>
      <c r="J216" s="807"/>
      <c r="K216" s="807"/>
      <c r="L216" s="807"/>
      <c r="M216" s="807"/>
      <c r="N216" s="807"/>
      <c r="O216" s="807"/>
      <c r="P216" s="807"/>
      <c r="Q216" s="807"/>
      <c r="R216" s="807"/>
      <c r="S216" s="807"/>
      <c r="T216" s="807"/>
      <c r="U216" s="807"/>
      <c r="V216" s="807"/>
      <c r="W216" s="807"/>
      <c r="X216" s="807"/>
      <c r="Y216" s="807"/>
      <c r="Z216" s="807"/>
      <c r="AA216" s="807"/>
      <c r="AB216" s="807"/>
      <c r="AC216" s="807"/>
      <c r="AD216" s="807"/>
      <c r="AE216" s="807"/>
      <c r="AF216" s="807"/>
      <c r="AG216" s="807"/>
      <c r="AH216" s="807"/>
      <c r="AI216" s="807"/>
      <c r="AJ216" s="807"/>
      <c r="AK216" s="807"/>
      <c r="AL216" s="807"/>
      <c r="AM216" s="807"/>
      <c r="AN216" s="807"/>
      <c r="AO216" s="807"/>
      <c r="AP216" s="807"/>
    </row>
    <row r="217" spans="1:42" s="5" customFormat="1" x14ac:dyDescent="0.25">
      <c r="A217" s="805"/>
      <c r="B217" s="806"/>
      <c r="C217" s="806"/>
      <c r="D217" s="806"/>
      <c r="E217" s="807"/>
      <c r="F217" s="807"/>
      <c r="G217" s="807"/>
      <c r="H217" s="807"/>
      <c r="I217" s="807"/>
      <c r="J217" s="807"/>
      <c r="K217" s="807"/>
      <c r="L217" s="807"/>
      <c r="M217" s="807"/>
      <c r="N217" s="807"/>
      <c r="O217" s="807"/>
      <c r="P217" s="807"/>
      <c r="Q217" s="807"/>
      <c r="R217" s="807"/>
      <c r="S217" s="807"/>
      <c r="T217" s="807"/>
      <c r="U217" s="807"/>
      <c r="V217" s="807"/>
      <c r="W217" s="807"/>
      <c r="X217" s="807"/>
      <c r="Y217" s="807"/>
      <c r="Z217" s="807"/>
      <c r="AA217" s="807"/>
      <c r="AB217" s="807"/>
      <c r="AC217" s="807"/>
      <c r="AD217" s="807"/>
      <c r="AE217" s="807"/>
      <c r="AF217" s="807"/>
      <c r="AG217" s="807"/>
      <c r="AH217" s="807"/>
      <c r="AI217" s="807"/>
      <c r="AJ217" s="807"/>
      <c r="AK217" s="807"/>
      <c r="AL217" s="807"/>
      <c r="AM217" s="807"/>
      <c r="AN217" s="807"/>
      <c r="AO217" s="807"/>
      <c r="AP217" s="807"/>
    </row>
    <row r="218" spans="1:42" s="5" customFormat="1" x14ac:dyDescent="0.25">
      <c r="A218" s="805"/>
      <c r="B218" s="806"/>
      <c r="C218" s="806"/>
      <c r="D218" s="806"/>
      <c r="E218" s="807"/>
      <c r="F218" s="807"/>
      <c r="G218" s="807"/>
      <c r="H218" s="807"/>
      <c r="I218" s="807"/>
      <c r="J218" s="807"/>
      <c r="K218" s="807"/>
      <c r="L218" s="807"/>
      <c r="M218" s="807"/>
      <c r="N218" s="807"/>
      <c r="O218" s="807"/>
      <c r="P218" s="807"/>
      <c r="Q218" s="807"/>
      <c r="R218" s="807"/>
      <c r="S218" s="807"/>
      <c r="T218" s="807"/>
      <c r="U218" s="807"/>
      <c r="V218" s="807"/>
      <c r="W218" s="807"/>
      <c r="X218" s="807"/>
      <c r="Y218" s="807"/>
      <c r="Z218" s="807"/>
      <c r="AA218" s="807"/>
      <c r="AB218" s="807"/>
      <c r="AC218" s="807"/>
      <c r="AD218" s="807"/>
      <c r="AE218" s="807"/>
      <c r="AF218" s="807"/>
      <c r="AG218" s="807"/>
      <c r="AH218" s="807"/>
      <c r="AI218" s="807"/>
      <c r="AJ218" s="807"/>
      <c r="AK218" s="807"/>
      <c r="AL218" s="807"/>
      <c r="AM218" s="807"/>
      <c r="AN218" s="807"/>
      <c r="AO218" s="807"/>
      <c r="AP218" s="807"/>
    </row>
    <row r="219" spans="1:42" s="5" customFormat="1" x14ac:dyDescent="0.25">
      <c r="A219" s="805"/>
      <c r="B219" s="806"/>
      <c r="C219" s="806"/>
      <c r="D219" s="806"/>
      <c r="E219" s="807"/>
      <c r="F219" s="807"/>
      <c r="G219" s="807"/>
      <c r="H219" s="807"/>
      <c r="I219" s="807"/>
      <c r="J219" s="807"/>
      <c r="K219" s="807"/>
      <c r="L219" s="807"/>
      <c r="M219" s="807"/>
      <c r="N219" s="807"/>
      <c r="O219" s="807"/>
      <c r="P219" s="807"/>
      <c r="Q219" s="807"/>
      <c r="R219" s="807"/>
      <c r="S219" s="807"/>
      <c r="T219" s="807"/>
      <c r="U219" s="807"/>
      <c r="V219" s="807"/>
      <c r="W219" s="807"/>
      <c r="X219" s="807"/>
      <c r="Y219" s="807"/>
      <c r="Z219" s="807"/>
      <c r="AA219" s="807"/>
      <c r="AB219" s="807"/>
      <c r="AC219" s="807"/>
      <c r="AD219" s="807"/>
      <c r="AE219" s="807"/>
      <c r="AF219" s="807"/>
      <c r="AG219" s="807"/>
      <c r="AH219" s="807"/>
      <c r="AI219" s="807"/>
      <c r="AJ219" s="807"/>
      <c r="AK219" s="807"/>
      <c r="AL219" s="807"/>
      <c r="AM219" s="807"/>
      <c r="AN219" s="807"/>
      <c r="AO219" s="807"/>
      <c r="AP219" s="807"/>
    </row>
    <row r="220" spans="1:42" s="5" customFormat="1" x14ac:dyDescent="0.25">
      <c r="A220" s="805"/>
      <c r="B220" s="806"/>
      <c r="C220" s="806"/>
      <c r="D220" s="806"/>
      <c r="E220" s="807"/>
      <c r="F220" s="807"/>
      <c r="G220" s="807"/>
      <c r="H220" s="807"/>
      <c r="I220" s="807"/>
      <c r="J220" s="807"/>
      <c r="K220" s="807"/>
      <c r="L220" s="807"/>
      <c r="M220" s="807"/>
      <c r="N220" s="807"/>
      <c r="O220" s="807"/>
      <c r="P220" s="807"/>
      <c r="Q220" s="807"/>
      <c r="R220" s="807"/>
      <c r="S220" s="807"/>
      <c r="T220" s="807"/>
      <c r="U220" s="807"/>
      <c r="V220" s="807"/>
      <c r="W220" s="807"/>
      <c r="X220" s="807"/>
      <c r="Y220" s="807"/>
      <c r="Z220" s="807"/>
      <c r="AA220" s="807"/>
      <c r="AB220" s="807"/>
      <c r="AC220" s="807"/>
      <c r="AD220" s="807"/>
      <c r="AE220" s="807"/>
      <c r="AF220" s="807"/>
      <c r="AG220" s="807"/>
      <c r="AH220" s="807"/>
      <c r="AI220" s="807"/>
      <c r="AJ220" s="807"/>
      <c r="AK220" s="807"/>
      <c r="AL220" s="807"/>
      <c r="AM220" s="807"/>
      <c r="AN220" s="807"/>
      <c r="AO220" s="807"/>
      <c r="AP220" s="807"/>
    </row>
    <row r="221" spans="1:42" s="5" customFormat="1" x14ac:dyDescent="0.25">
      <c r="A221" s="805"/>
      <c r="B221" s="806"/>
      <c r="C221" s="806"/>
      <c r="D221" s="806"/>
      <c r="E221" s="807"/>
      <c r="F221" s="807"/>
      <c r="G221" s="807"/>
      <c r="H221" s="807"/>
      <c r="I221" s="807"/>
      <c r="J221" s="807"/>
      <c r="K221" s="807"/>
      <c r="L221" s="807"/>
      <c r="M221" s="807"/>
      <c r="N221" s="807"/>
      <c r="O221" s="807"/>
      <c r="P221" s="807"/>
      <c r="Q221" s="807"/>
      <c r="R221" s="807"/>
      <c r="S221" s="807"/>
      <c r="T221" s="807"/>
      <c r="U221" s="807"/>
      <c r="V221" s="807"/>
      <c r="W221" s="807"/>
      <c r="X221" s="807"/>
      <c r="Y221" s="807"/>
      <c r="Z221" s="807"/>
      <c r="AA221" s="807"/>
      <c r="AB221" s="807"/>
      <c r="AC221" s="807"/>
      <c r="AD221" s="807"/>
      <c r="AE221" s="807"/>
      <c r="AF221" s="807"/>
      <c r="AG221" s="807"/>
      <c r="AH221" s="807"/>
      <c r="AI221" s="807"/>
      <c r="AJ221" s="807"/>
      <c r="AK221" s="807"/>
      <c r="AL221" s="807"/>
      <c r="AM221" s="807"/>
      <c r="AN221" s="807"/>
      <c r="AO221" s="807"/>
      <c r="AP221" s="807"/>
    </row>
    <row r="222" spans="1:42" s="5" customFormat="1" x14ac:dyDescent="0.25">
      <c r="A222" s="805"/>
      <c r="B222" s="806"/>
      <c r="C222" s="806"/>
      <c r="D222" s="806"/>
      <c r="E222" s="807"/>
      <c r="F222" s="807"/>
      <c r="G222" s="807"/>
      <c r="H222" s="807"/>
      <c r="I222" s="807"/>
      <c r="J222" s="807"/>
      <c r="K222" s="807"/>
      <c r="L222" s="807"/>
      <c r="M222" s="807"/>
      <c r="N222" s="807"/>
      <c r="O222" s="807"/>
      <c r="P222" s="807"/>
      <c r="Q222" s="807"/>
      <c r="R222" s="807"/>
      <c r="S222" s="807"/>
      <c r="T222" s="807"/>
      <c r="U222" s="807"/>
      <c r="V222" s="807"/>
      <c r="W222" s="807"/>
      <c r="X222" s="807"/>
      <c r="Y222" s="807"/>
      <c r="Z222" s="807"/>
      <c r="AA222" s="807"/>
      <c r="AB222" s="807"/>
      <c r="AC222" s="807"/>
      <c r="AD222" s="807"/>
      <c r="AE222" s="807"/>
      <c r="AF222" s="807"/>
      <c r="AG222" s="807"/>
      <c r="AH222" s="807"/>
      <c r="AI222" s="807"/>
      <c r="AJ222" s="807"/>
      <c r="AK222" s="807"/>
      <c r="AL222" s="807"/>
      <c r="AM222" s="807"/>
      <c r="AN222" s="807"/>
      <c r="AO222" s="807"/>
      <c r="AP222" s="807"/>
    </row>
    <row r="223" spans="1:42" s="5" customFormat="1" x14ac:dyDescent="0.25">
      <c r="A223" s="805"/>
      <c r="B223" s="806"/>
      <c r="C223" s="806"/>
      <c r="D223" s="806"/>
      <c r="E223" s="807"/>
      <c r="F223" s="807"/>
      <c r="G223" s="807"/>
      <c r="H223" s="807"/>
      <c r="I223" s="807"/>
      <c r="J223" s="807"/>
      <c r="K223" s="807"/>
      <c r="L223" s="807"/>
      <c r="M223" s="807"/>
      <c r="N223" s="807"/>
      <c r="O223" s="807"/>
      <c r="P223" s="807"/>
      <c r="Q223" s="807"/>
      <c r="R223" s="807"/>
      <c r="S223" s="807"/>
      <c r="T223" s="807"/>
      <c r="U223" s="807"/>
      <c r="V223" s="807"/>
      <c r="W223" s="807"/>
      <c r="X223" s="807"/>
      <c r="Y223" s="807"/>
      <c r="Z223" s="807"/>
      <c r="AA223" s="807"/>
      <c r="AB223" s="807"/>
      <c r="AC223" s="807"/>
      <c r="AD223" s="807"/>
      <c r="AE223" s="807"/>
      <c r="AF223" s="807"/>
      <c r="AG223" s="807"/>
      <c r="AH223" s="807"/>
      <c r="AI223" s="807"/>
      <c r="AJ223" s="807"/>
      <c r="AK223" s="807"/>
      <c r="AL223" s="807"/>
      <c r="AM223" s="807"/>
      <c r="AN223" s="807"/>
      <c r="AO223" s="807"/>
      <c r="AP223" s="807"/>
    </row>
    <row r="224" spans="1:42" s="5" customFormat="1" x14ac:dyDescent="0.25">
      <c r="A224" s="805"/>
      <c r="B224" s="806"/>
      <c r="C224" s="806"/>
      <c r="D224" s="806"/>
      <c r="E224" s="807"/>
      <c r="F224" s="807"/>
      <c r="G224" s="807"/>
      <c r="H224" s="807"/>
      <c r="I224" s="807"/>
      <c r="J224" s="807"/>
      <c r="K224" s="807"/>
      <c r="L224" s="807"/>
      <c r="M224" s="807"/>
      <c r="N224" s="807"/>
      <c r="O224" s="807"/>
      <c r="P224" s="807"/>
      <c r="Q224" s="807"/>
      <c r="R224" s="807"/>
      <c r="S224" s="807"/>
      <c r="T224" s="807"/>
      <c r="U224" s="807"/>
      <c r="V224" s="807"/>
      <c r="W224" s="807"/>
      <c r="X224" s="807"/>
      <c r="Y224" s="807"/>
      <c r="Z224" s="807"/>
      <c r="AA224" s="807"/>
      <c r="AB224" s="807"/>
      <c r="AC224" s="807"/>
      <c r="AD224" s="807"/>
      <c r="AE224" s="807"/>
      <c r="AF224" s="807"/>
      <c r="AG224" s="807"/>
      <c r="AH224" s="807"/>
      <c r="AI224" s="807"/>
      <c r="AJ224" s="807"/>
      <c r="AK224" s="807"/>
      <c r="AL224" s="807"/>
      <c r="AM224" s="807"/>
      <c r="AN224" s="807"/>
      <c r="AO224" s="807"/>
      <c r="AP224" s="807"/>
    </row>
    <row r="225" spans="1:42" s="5" customFormat="1" x14ac:dyDescent="0.25">
      <c r="A225" s="805"/>
      <c r="B225" s="806"/>
      <c r="C225" s="806"/>
      <c r="D225" s="806"/>
      <c r="E225" s="807"/>
      <c r="F225" s="807"/>
      <c r="G225" s="807"/>
      <c r="H225" s="807"/>
      <c r="I225" s="807"/>
      <c r="J225" s="807"/>
      <c r="K225" s="807"/>
      <c r="L225" s="807"/>
      <c r="M225" s="807"/>
      <c r="N225" s="807"/>
      <c r="O225" s="807"/>
      <c r="P225" s="807"/>
      <c r="Q225" s="807"/>
      <c r="R225" s="807"/>
      <c r="S225" s="807"/>
      <c r="T225" s="807"/>
      <c r="U225" s="807"/>
      <c r="V225" s="807"/>
      <c r="W225" s="807"/>
      <c r="X225" s="807"/>
      <c r="Y225" s="807"/>
      <c r="Z225" s="807"/>
      <c r="AA225" s="807"/>
      <c r="AB225" s="807"/>
      <c r="AC225" s="807"/>
      <c r="AD225" s="807"/>
      <c r="AE225" s="807"/>
      <c r="AF225" s="807"/>
      <c r="AG225" s="807"/>
      <c r="AH225" s="807"/>
      <c r="AI225" s="807"/>
      <c r="AJ225" s="807"/>
      <c r="AK225" s="807"/>
      <c r="AL225" s="807"/>
      <c r="AM225" s="807"/>
      <c r="AN225" s="807"/>
      <c r="AO225" s="807"/>
      <c r="AP225" s="807"/>
    </row>
    <row r="226" spans="1:42" s="5" customFormat="1" x14ac:dyDescent="0.25">
      <c r="A226" s="805"/>
      <c r="B226" s="806"/>
      <c r="C226" s="806"/>
      <c r="D226" s="806"/>
      <c r="E226" s="807"/>
      <c r="F226" s="807"/>
      <c r="G226" s="807"/>
      <c r="H226" s="807"/>
      <c r="I226" s="807"/>
      <c r="J226" s="807"/>
      <c r="K226" s="807"/>
      <c r="L226" s="807"/>
      <c r="M226" s="807"/>
      <c r="N226" s="807"/>
      <c r="O226" s="807"/>
      <c r="P226" s="807"/>
      <c r="Q226" s="807"/>
      <c r="R226" s="807"/>
      <c r="S226" s="807"/>
      <c r="T226" s="807"/>
      <c r="U226" s="807"/>
      <c r="V226" s="807"/>
      <c r="W226" s="807"/>
      <c r="X226" s="807"/>
      <c r="Y226" s="807"/>
      <c r="Z226" s="807"/>
      <c r="AA226" s="807"/>
      <c r="AB226" s="807"/>
      <c r="AC226" s="807"/>
      <c r="AD226" s="807"/>
      <c r="AE226" s="807"/>
      <c r="AF226" s="807"/>
      <c r="AG226" s="807"/>
      <c r="AH226" s="807"/>
      <c r="AI226" s="807"/>
      <c r="AJ226" s="807"/>
      <c r="AK226" s="807"/>
      <c r="AL226" s="807"/>
      <c r="AM226" s="807"/>
      <c r="AN226" s="807"/>
      <c r="AO226" s="807"/>
      <c r="AP226" s="807"/>
    </row>
    <row r="227" spans="1:42" s="5" customFormat="1" x14ac:dyDescent="0.25">
      <c r="A227" s="805"/>
      <c r="B227" s="806"/>
      <c r="C227" s="806"/>
      <c r="D227" s="806"/>
      <c r="E227" s="807"/>
      <c r="F227" s="807"/>
      <c r="G227" s="807"/>
      <c r="H227" s="807"/>
      <c r="I227" s="807"/>
      <c r="J227" s="807"/>
      <c r="K227" s="807"/>
      <c r="L227" s="807"/>
      <c r="M227" s="807"/>
      <c r="N227" s="807"/>
      <c r="O227" s="807"/>
      <c r="P227" s="807"/>
      <c r="Q227" s="807"/>
      <c r="R227" s="807"/>
      <c r="S227" s="807"/>
      <c r="T227" s="807"/>
      <c r="U227" s="807"/>
      <c r="V227" s="807"/>
      <c r="W227" s="807"/>
      <c r="X227" s="807"/>
      <c r="Y227" s="807"/>
      <c r="Z227" s="807"/>
      <c r="AA227" s="807"/>
      <c r="AB227" s="807"/>
      <c r="AC227" s="807"/>
      <c r="AD227" s="807"/>
      <c r="AE227" s="807"/>
      <c r="AF227" s="807"/>
      <c r="AG227" s="807"/>
      <c r="AH227" s="807"/>
      <c r="AI227" s="807"/>
      <c r="AJ227" s="807"/>
      <c r="AK227" s="807"/>
      <c r="AL227" s="807"/>
      <c r="AM227" s="807"/>
      <c r="AN227" s="807"/>
      <c r="AO227" s="807"/>
      <c r="AP227" s="807"/>
    </row>
    <row r="228" spans="1:42" s="5" customFormat="1" x14ac:dyDescent="0.25">
      <c r="A228" s="805"/>
      <c r="B228" s="806"/>
      <c r="C228" s="806"/>
      <c r="D228" s="806"/>
      <c r="E228" s="807"/>
      <c r="F228" s="807"/>
      <c r="G228" s="807"/>
      <c r="H228" s="807"/>
      <c r="I228" s="807"/>
      <c r="J228" s="807"/>
      <c r="K228" s="807"/>
      <c r="L228" s="807"/>
      <c r="M228" s="807"/>
      <c r="N228" s="807"/>
      <c r="O228" s="807"/>
      <c r="P228" s="807"/>
      <c r="Q228" s="807"/>
      <c r="R228" s="807"/>
      <c r="S228" s="807"/>
      <c r="T228" s="807"/>
      <c r="U228" s="807"/>
      <c r="V228" s="807"/>
      <c r="W228" s="807"/>
      <c r="X228" s="807"/>
      <c r="Y228" s="807"/>
      <c r="Z228" s="807"/>
      <c r="AA228" s="807"/>
      <c r="AB228" s="807"/>
      <c r="AC228" s="807"/>
      <c r="AD228" s="807"/>
      <c r="AE228" s="807"/>
      <c r="AF228" s="807"/>
      <c r="AG228" s="807"/>
      <c r="AH228" s="807"/>
      <c r="AI228" s="807"/>
      <c r="AJ228" s="807"/>
      <c r="AK228" s="807"/>
      <c r="AL228" s="807"/>
      <c r="AM228" s="807"/>
      <c r="AN228" s="807"/>
      <c r="AO228" s="807"/>
      <c r="AP228" s="807"/>
    </row>
    <row r="229" spans="1:42" s="5" customFormat="1" x14ac:dyDescent="0.25">
      <c r="A229" s="805"/>
      <c r="B229" s="806"/>
      <c r="C229" s="806"/>
      <c r="D229" s="806"/>
      <c r="E229" s="807"/>
      <c r="F229" s="807"/>
      <c r="G229" s="807"/>
      <c r="H229" s="807"/>
      <c r="I229" s="807"/>
      <c r="J229" s="807"/>
      <c r="K229" s="807"/>
      <c r="L229" s="807"/>
      <c r="M229" s="807"/>
      <c r="N229" s="807"/>
      <c r="O229" s="807"/>
      <c r="P229" s="807"/>
      <c r="Q229" s="807"/>
      <c r="R229" s="807"/>
      <c r="S229" s="807"/>
      <c r="T229" s="807"/>
      <c r="U229" s="807"/>
      <c r="V229" s="807"/>
      <c r="W229" s="807"/>
      <c r="X229" s="807"/>
      <c r="Y229" s="807"/>
      <c r="Z229" s="807"/>
      <c r="AA229" s="807"/>
      <c r="AB229" s="807"/>
      <c r="AC229" s="807"/>
      <c r="AD229" s="807"/>
      <c r="AE229" s="807"/>
      <c r="AF229" s="807"/>
      <c r="AG229" s="807"/>
      <c r="AH229" s="807"/>
      <c r="AI229" s="807"/>
      <c r="AJ229" s="807"/>
      <c r="AK229" s="807"/>
      <c r="AL229" s="807"/>
      <c r="AM229" s="807"/>
      <c r="AN229" s="807"/>
      <c r="AO229" s="807"/>
      <c r="AP229" s="807"/>
    </row>
    <row r="230" spans="1:42" s="5" customFormat="1" x14ac:dyDescent="0.25">
      <c r="A230" s="805"/>
      <c r="B230" s="806"/>
      <c r="C230" s="806"/>
      <c r="D230" s="806"/>
      <c r="E230" s="807"/>
      <c r="F230" s="807"/>
      <c r="G230" s="807"/>
      <c r="H230" s="807"/>
      <c r="I230" s="807"/>
      <c r="J230" s="807"/>
      <c r="K230" s="807"/>
      <c r="L230" s="807"/>
      <c r="M230" s="807"/>
      <c r="N230" s="807"/>
      <c r="O230" s="807"/>
      <c r="P230" s="807"/>
      <c r="Q230" s="807"/>
      <c r="R230" s="807"/>
      <c r="S230" s="807"/>
      <c r="T230" s="807"/>
      <c r="U230" s="807"/>
      <c r="V230" s="807"/>
      <c r="W230" s="807"/>
      <c r="X230" s="807"/>
      <c r="Y230" s="807"/>
      <c r="Z230" s="807"/>
      <c r="AA230" s="807"/>
      <c r="AB230" s="807"/>
      <c r="AC230" s="807"/>
      <c r="AD230" s="807"/>
      <c r="AE230" s="807"/>
      <c r="AF230" s="807"/>
      <c r="AG230" s="807"/>
      <c r="AH230" s="807"/>
      <c r="AI230" s="807"/>
      <c r="AJ230" s="807"/>
      <c r="AK230" s="807"/>
      <c r="AL230" s="807"/>
      <c r="AM230" s="807"/>
      <c r="AN230" s="807"/>
      <c r="AO230" s="807"/>
      <c r="AP230" s="807"/>
    </row>
    <row r="231" spans="1:42" s="5" customFormat="1" x14ac:dyDescent="0.25">
      <c r="A231" s="805"/>
      <c r="B231" s="806"/>
      <c r="C231" s="806"/>
      <c r="D231" s="806"/>
      <c r="E231" s="807"/>
      <c r="F231" s="807"/>
      <c r="G231" s="807"/>
      <c r="H231" s="807"/>
      <c r="I231" s="807"/>
      <c r="J231" s="807"/>
      <c r="K231" s="807"/>
      <c r="L231" s="807"/>
      <c r="M231" s="807"/>
      <c r="N231" s="807"/>
      <c r="O231" s="807"/>
      <c r="P231" s="807"/>
      <c r="Q231" s="807"/>
      <c r="R231" s="807"/>
      <c r="S231" s="807"/>
      <c r="T231" s="807"/>
      <c r="U231" s="807"/>
      <c r="V231" s="807"/>
      <c r="W231" s="807"/>
      <c r="X231" s="807"/>
      <c r="Y231" s="807"/>
      <c r="Z231" s="807"/>
      <c r="AA231" s="807"/>
      <c r="AB231" s="807"/>
      <c r="AC231" s="807"/>
      <c r="AD231" s="807"/>
      <c r="AE231" s="807"/>
      <c r="AF231" s="807"/>
      <c r="AG231" s="807"/>
      <c r="AH231" s="807"/>
      <c r="AI231" s="807"/>
      <c r="AJ231" s="807"/>
      <c r="AK231" s="807"/>
      <c r="AL231" s="807"/>
      <c r="AM231" s="807"/>
      <c r="AN231" s="807"/>
      <c r="AO231" s="807"/>
      <c r="AP231" s="807"/>
    </row>
    <row r="232" spans="1:42" s="5" customFormat="1" x14ac:dyDescent="0.25">
      <c r="A232" s="805"/>
      <c r="B232" s="806"/>
      <c r="C232" s="806"/>
      <c r="D232" s="806"/>
      <c r="E232" s="807"/>
      <c r="F232" s="807"/>
      <c r="G232" s="807"/>
      <c r="H232" s="807"/>
      <c r="I232" s="807"/>
      <c r="J232" s="807"/>
      <c r="K232" s="807"/>
      <c r="L232" s="807"/>
      <c r="M232" s="807"/>
      <c r="N232" s="807"/>
      <c r="O232" s="807"/>
      <c r="P232" s="807"/>
      <c r="Q232" s="807"/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807"/>
      <c r="AE232" s="807"/>
      <c r="AF232" s="807"/>
      <c r="AG232" s="807"/>
      <c r="AH232" s="807"/>
      <c r="AI232" s="807"/>
      <c r="AJ232" s="807"/>
      <c r="AK232" s="807"/>
      <c r="AL232" s="807"/>
      <c r="AM232" s="807"/>
      <c r="AN232" s="807"/>
      <c r="AO232" s="807"/>
      <c r="AP232" s="807"/>
    </row>
    <row r="233" spans="1:42" s="5" customFormat="1" x14ac:dyDescent="0.25">
      <c r="A233" s="805"/>
      <c r="B233" s="806"/>
      <c r="C233" s="806"/>
      <c r="D233" s="806"/>
      <c r="E233" s="807"/>
      <c r="F233" s="807"/>
      <c r="G233" s="807"/>
      <c r="H233" s="807"/>
      <c r="I233" s="807"/>
      <c r="J233" s="807"/>
      <c r="K233" s="807"/>
      <c r="L233" s="807"/>
      <c r="M233" s="807"/>
      <c r="N233" s="807"/>
      <c r="O233" s="807"/>
      <c r="P233" s="807"/>
      <c r="Q233" s="807"/>
      <c r="R233" s="807"/>
      <c r="S233" s="807"/>
      <c r="T233" s="807"/>
      <c r="U233" s="807"/>
      <c r="V233" s="807"/>
      <c r="W233" s="807"/>
      <c r="X233" s="807"/>
      <c r="Y233" s="807"/>
      <c r="Z233" s="807"/>
      <c r="AA233" s="807"/>
      <c r="AB233" s="807"/>
      <c r="AC233" s="807"/>
      <c r="AD233" s="807"/>
      <c r="AE233" s="807"/>
      <c r="AF233" s="807"/>
      <c r="AG233" s="807"/>
      <c r="AH233" s="807"/>
      <c r="AI233" s="807"/>
      <c r="AJ233" s="807"/>
      <c r="AK233" s="807"/>
      <c r="AL233" s="807"/>
      <c r="AM233" s="807"/>
      <c r="AN233" s="807"/>
      <c r="AO233" s="807"/>
      <c r="AP233" s="807"/>
    </row>
    <row r="234" spans="1:42" s="5" customFormat="1" x14ac:dyDescent="0.25">
      <c r="A234" s="805"/>
      <c r="B234" s="806"/>
      <c r="C234" s="806"/>
      <c r="D234" s="806"/>
      <c r="E234" s="807"/>
      <c r="F234" s="807"/>
      <c r="G234" s="807"/>
      <c r="H234" s="807"/>
      <c r="I234" s="807"/>
      <c r="J234" s="807"/>
      <c r="K234" s="807"/>
      <c r="L234" s="807"/>
      <c r="M234" s="807"/>
      <c r="N234" s="807"/>
      <c r="O234" s="807"/>
      <c r="P234" s="807"/>
      <c r="Q234" s="807"/>
      <c r="R234" s="807"/>
      <c r="S234" s="807"/>
      <c r="T234" s="807"/>
      <c r="U234" s="807"/>
      <c r="V234" s="807"/>
      <c r="W234" s="807"/>
      <c r="X234" s="807"/>
      <c r="Y234" s="807"/>
      <c r="Z234" s="807"/>
      <c r="AA234" s="807"/>
      <c r="AB234" s="807"/>
      <c r="AC234" s="807"/>
      <c r="AD234" s="807"/>
      <c r="AE234" s="807"/>
      <c r="AF234" s="807"/>
      <c r="AG234" s="807"/>
      <c r="AH234" s="807"/>
      <c r="AI234" s="807"/>
      <c r="AJ234" s="807"/>
      <c r="AK234" s="807"/>
      <c r="AL234" s="807"/>
      <c r="AM234" s="807"/>
      <c r="AN234" s="807"/>
      <c r="AO234" s="807"/>
      <c r="AP234" s="807"/>
    </row>
    <row r="235" spans="1:42" s="5" customFormat="1" x14ac:dyDescent="0.25">
      <c r="A235" s="805"/>
      <c r="B235" s="806"/>
      <c r="C235" s="806"/>
      <c r="D235" s="806"/>
      <c r="E235" s="807"/>
      <c r="F235" s="807"/>
      <c r="G235" s="807"/>
      <c r="H235" s="807"/>
      <c r="I235" s="807"/>
      <c r="J235" s="807"/>
      <c r="K235" s="807"/>
      <c r="L235" s="807"/>
      <c r="M235" s="807"/>
      <c r="N235" s="807"/>
      <c r="O235" s="807"/>
      <c r="P235" s="807"/>
      <c r="Q235" s="807"/>
      <c r="R235" s="807"/>
      <c r="S235" s="807"/>
      <c r="T235" s="807"/>
      <c r="U235" s="807"/>
      <c r="V235" s="807"/>
      <c r="W235" s="807"/>
      <c r="X235" s="807"/>
      <c r="Y235" s="807"/>
      <c r="Z235" s="807"/>
      <c r="AA235" s="807"/>
      <c r="AB235" s="807"/>
      <c r="AC235" s="807"/>
      <c r="AD235" s="807"/>
      <c r="AE235" s="807"/>
      <c r="AF235" s="807"/>
      <c r="AG235" s="807"/>
      <c r="AH235" s="807"/>
      <c r="AI235" s="807"/>
      <c r="AJ235" s="807"/>
      <c r="AK235" s="807"/>
      <c r="AL235" s="807"/>
      <c r="AM235" s="807"/>
      <c r="AN235" s="807"/>
      <c r="AO235" s="807"/>
      <c r="AP235" s="807"/>
    </row>
    <row r="236" spans="1:42" s="5" customFormat="1" x14ac:dyDescent="0.25">
      <c r="A236" s="805"/>
      <c r="B236" s="806"/>
      <c r="C236" s="806"/>
      <c r="D236" s="806"/>
      <c r="E236" s="807"/>
      <c r="F236" s="807"/>
      <c r="G236" s="807"/>
      <c r="H236" s="807"/>
      <c r="I236" s="807"/>
      <c r="J236" s="807"/>
      <c r="K236" s="807"/>
      <c r="L236" s="807"/>
      <c r="M236" s="807"/>
      <c r="N236" s="807"/>
      <c r="O236" s="807"/>
      <c r="P236" s="807"/>
      <c r="Q236" s="807"/>
      <c r="R236" s="807"/>
      <c r="S236" s="807"/>
      <c r="T236" s="807"/>
      <c r="U236" s="807"/>
      <c r="V236" s="807"/>
      <c r="W236" s="807"/>
      <c r="X236" s="807"/>
      <c r="Y236" s="807"/>
      <c r="Z236" s="807"/>
      <c r="AA236" s="807"/>
      <c r="AB236" s="807"/>
      <c r="AC236" s="807"/>
      <c r="AD236" s="807"/>
      <c r="AE236" s="807"/>
      <c r="AF236" s="807"/>
      <c r="AG236" s="807"/>
      <c r="AH236" s="807"/>
      <c r="AI236" s="807"/>
      <c r="AJ236" s="807"/>
      <c r="AK236" s="807"/>
      <c r="AL236" s="807"/>
      <c r="AM236" s="807"/>
      <c r="AN236" s="807"/>
      <c r="AO236" s="807"/>
      <c r="AP236" s="807"/>
    </row>
    <row r="237" spans="1:42" s="5" customFormat="1" x14ac:dyDescent="0.25">
      <c r="A237" s="805"/>
      <c r="B237" s="806"/>
      <c r="C237" s="806"/>
      <c r="D237" s="806"/>
      <c r="E237" s="807"/>
      <c r="F237" s="807"/>
      <c r="G237" s="807"/>
      <c r="H237" s="807"/>
      <c r="I237" s="807"/>
      <c r="J237" s="807"/>
      <c r="K237" s="807"/>
      <c r="L237" s="807"/>
      <c r="M237" s="807"/>
      <c r="N237" s="807"/>
      <c r="O237" s="807"/>
      <c r="P237" s="807"/>
      <c r="Q237" s="807"/>
      <c r="R237" s="807"/>
      <c r="S237" s="807"/>
      <c r="T237" s="807"/>
      <c r="U237" s="807"/>
      <c r="V237" s="807"/>
      <c r="W237" s="807"/>
      <c r="X237" s="807"/>
      <c r="Y237" s="807"/>
      <c r="Z237" s="807"/>
      <c r="AA237" s="807"/>
      <c r="AB237" s="807"/>
      <c r="AC237" s="807"/>
      <c r="AD237" s="807"/>
      <c r="AE237" s="807"/>
      <c r="AF237" s="807"/>
      <c r="AG237" s="807"/>
      <c r="AH237" s="807"/>
      <c r="AI237" s="807"/>
      <c r="AJ237" s="807"/>
      <c r="AK237" s="807"/>
      <c r="AL237" s="807"/>
      <c r="AM237" s="807"/>
      <c r="AN237" s="807"/>
      <c r="AO237" s="807"/>
      <c r="AP237" s="807"/>
    </row>
    <row r="238" spans="1:42" s="5" customFormat="1" x14ac:dyDescent="0.25">
      <c r="A238" s="805"/>
      <c r="B238" s="806"/>
      <c r="C238" s="806"/>
      <c r="D238" s="806"/>
      <c r="E238" s="807"/>
      <c r="F238" s="807"/>
      <c r="G238" s="807"/>
      <c r="H238" s="807"/>
      <c r="I238" s="807"/>
      <c r="J238" s="807"/>
      <c r="K238" s="807"/>
      <c r="L238" s="807"/>
      <c r="M238" s="807"/>
      <c r="N238" s="807"/>
      <c r="O238" s="807"/>
      <c r="P238" s="807"/>
      <c r="Q238" s="807"/>
      <c r="R238" s="807"/>
      <c r="S238" s="807"/>
      <c r="T238" s="807"/>
      <c r="U238" s="807"/>
      <c r="V238" s="807"/>
      <c r="W238" s="807"/>
      <c r="X238" s="807"/>
      <c r="Y238" s="807"/>
      <c r="Z238" s="807"/>
      <c r="AA238" s="807"/>
      <c r="AB238" s="807"/>
      <c r="AC238" s="807"/>
      <c r="AD238" s="807"/>
      <c r="AE238" s="807"/>
      <c r="AF238" s="807"/>
      <c r="AG238" s="807"/>
      <c r="AH238" s="807"/>
      <c r="AI238" s="807"/>
      <c r="AJ238" s="807"/>
      <c r="AK238" s="807"/>
      <c r="AL238" s="807"/>
      <c r="AM238" s="807"/>
      <c r="AN238" s="807"/>
      <c r="AO238" s="807"/>
      <c r="AP238" s="807"/>
    </row>
    <row r="239" spans="1:42" s="5" customFormat="1" x14ac:dyDescent="0.25">
      <c r="A239" s="805"/>
      <c r="B239" s="806"/>
      <c r="C239" s="806"/>
      <c r="D239" s="806"/>
      <c r="E239" s="807"/>
      <c r="F239" s="807"/>
      <c r="G239" s="807"/>
      <c r="H239" s="807"/>
      <c r="I239" s="807"/>
      <c r="J239" s="807"/>
      <c r="K239" s="807"/>
      <c r="L239" s="807"/>
      <c r="M239" s="807"/>
      <c r="N239" s="807"/>
      <c r="O239" s="807"/>
      <c r="P239" s="807"/>
      <c r="Q239" s="807"/>
      <c r="R239" s="807"/>
      <c r="S239" s="807"/>
      <c r="T239" s="807"/>
      <c r="U239" s="807"/>
      <c r="V239" s="807"/>
      <c r="W239" s="807"/>
      <c r="X239" s="807"/>
      <c r="Y239" s="807"/>
      <c r="Z239" s="807"/>
      <c r="AA239" s="807"/>
      <c r="AB239" s="807"/>
      <c r="AC239" s="807"/>
      <c r="AD239" s="807"/>
      <c r="AE239" s="807"/>
      <c r="AF239" s="807"/>
      <c r="AG239" s="807"/>
      <c r="AH239" s="807"/>
      <c r="AI239" s="807"/>
      <c r="AJ239" s="807"/>
      <c r="AK239" s="807"/>
      <c r="AL239" s="807"/>
      <c r="AM239" s="807"/>
      <c r="AN239" s="807"/>
      <c r="AO239" s="807"/>
      <c r="AP239" s="807"/>
    </row>
    <row r="240" spans="1:42" s="5" customFormat="1" x14ac:dyDescent="0.25">
      <c r="A240" s="805"/>
      <c r="B240" s="806"/>
      <c r="C240" s="806"/>
      <c r="D240" s="806"/>
      <c r="E240" s="807"/>
      <c r="F240" s="807"/>
      <c r="G240" s="807"/>
      <c r="H240" s="807"/>
      <c r="I240" s="807"/>
      <c r="J240" s="807"/>
      <c r="K240" s="807"/>
      <c r="L240" s="807"/>
      <c r="M240" s="807"/>
      <c r="N240" s="807"/>
      <c r="O240" s="807"/>
      <c r="P240" s="807"/>
      <c r="Q240" s="807"/>
      <c r="R240" s="807"/>
      <c r="S240" s="807"/>
      <c r="T240" s="807"/>
      <c r="U240" s="807"/>
      <c r="V240" s="807"/>
      <c r="W240" s="807"/>
      <c r="X240" s="807"/>
      <c r="Y240" s="807"/>
      <c r="Z240" s="807"/>
      <c r="AA240" s="807"/>
      <c r="AB240" s="807"/>
      <c r="AC240" s="807"/>
      <c r="AD240" s="807"/>
      <c r="AE240" s="807"/>
      <c r="AF240" s="807"/>
      <c r="AG240" s="807"/>
      <c r="AH240" s="807"/>
      <c r="AI240" s="807"/>
      <c r="AJ240" s="807"/>
      <c r="AK240" s="807"/>
      <c r="AL240" s="807"/>
      <c r="AM240" s="807"/>
      <c r="AN240" s="807"/>
      <c r="AO240" s="807"/>
      <c r="AP240" s="807"/>
    </row>
    <row r="241" spans="1:42" s="5" customFormat="1" x14ac:dyDescent="0.25">
      <c r="A241" s="805"/>
      <c r="B241" s="806"/>
      <c r="C241" s="806"/>
      <c r="D241" s="806"/>
      <c r="E241" s="807"/>
      <c r="F241" s="807"/>
      <c r="G241" s="807"/>
      <c r="H241" s="807"/>
      <c r="I241" s="807"/>
      <c r="J241" s="807"/>
      <c r="K241" s="807"/>
      <c r="L241" s="807"/>
      <c r="M241" s="807"/>
      <c r="N241" s="807"/>
      <c r="O241" s="807"/>
      <c r="P241" s="807"/>
      <c r="Q241" s="807"/>
      <c r="R241" s="807"/>
      <c r="S241" s="807"/>
      <c r="T241" s="807"/>
      <c r="U241" s="807"/>
      <c r="V241" s="807"/>
      <c r="W241" s="807"/>
      <c r="X241" s="807"/>
      <c r="Y241" s="807"/>
      <c r="Z241" s="807"/>
      <c r="AA241" s="807"/>
      <c r="AB241" s="807"/>
      <c r="AC241" s="807"/>
      <c r="AD241" s="807"/>
      <c r="AE241" s="807"/>
      <c r="AF241" s="807"/>
      <c r="AG241" s="807"/>
      <c r="AH241" s="807"/>
      <c r="AI241" s="807"/>
      <c r="AJ241" s="807"/>
      <c r="AK241" s="807"/>
      <c r="AL241" s="807"/>
      <c r="AM241" s="807"/>
      <c r="AN241" s="807"/>
      <c r="AO241" s="807"/>
      <c r="AP241" s="807"/>
    </row>
    <row r="242" spans="1:42" s="5" customFormat="1" x14ac:dyDescent="0.25">
      <c r="A242" s="805"/>
      <c r="B242" s="806"/>
      <c r="C242" s="806"/>
      <c r="D242" s="806"/>
      <c r="E242" s="807"/>
      <c r="F242" s="807"/>
      <c r="G242" s="807"/>
      <c r="H242" s="807"/>
      <c r="I242" s="807"/>
      <c r="J242" s="807"/>
      <c r="K242" s="807"/>
      <c r="L242" s="807"/>
      <c r="M242" s="807"/>
      <c r="N242" s="807"/>
      <c r="O242" s="807"/>
      <c r="P242" s="807"/>
      <c r="Q242" s="807"/>
      <c r="R242" s="807"/>
      <c r="S242" s="807"/>
      <c r="T242" s="807"/>
      <c r="U242" s="807"/>
      <c r="V242" s="807"/>
      <c r="W242" s="807"/>
      <c r="X242" s="807"/>
      <c r="Y242" s="807"/>
      <c r="Z242" s="807"/>
      <c r="AA242" s="807"/>
      <c r="AB242" s="807"/>
      <c r="AC242" s="807"/>
      <c r="AD242" s="807"/>
      <c r="AE242" s="807"/>
      <c r="AF242" s="807"/>
      <c r="AG242" s="807"/>
      <c r="AH242" s="807"/>
      <c r="AI242" s="807"/>
      <c r="AJ242" s="807"/>
      <c r="AK242" s="807"/>
      <c r="AL242" s="807"/>
      <c r="AM242" s="807"/>
      <c r="AN242" s="807"/>
      <c r="AO242" s="807"/>
      <c r="AP242" s="807"/>
    </row>
    <row r="243" spans="1:42" s="5" customFormat="1" x14ac:dyDescent="0.25">
      <c r="A243" s="805"/>
      <c r="B243" s="806"/>
      <c r="C243" s="806"/>
      <c r="D243" s="806"/>
      <c r="E243" s="807"/>
      <c r="F243" s="807"/>
      <c r="G243" s="807"/>
      <c r="H243" s="807"/>
      <c r="I243" s="807"/>
      <c r="J243" s="807"/>
      <c r="K243" s="807"/>
      <c r="L243" s="807"/>
      <c r="M243" s="807"/>
      <c r="N243" s="807"/>
      <c r="O243" s="807"/>
      <c r="P243" s="807"/>
      <c r="Q243" s="807"/>
      <c r="R243" s="807"/>
      <c r="S243" s="807"/>
      <c r="T243" s="807"/>
      <c r="U243" s="807"/>
      <c r="V243" s="807"/>
      <c r="W243" s="807"/>
      <c r="X243" s="807"/>
      <c r="Y243" s="807"/>
      <c r="Z243" s="807"/>
      <c r="AA243" s="807"/>
      <c r="AB243" s="807"/>
      <c r="AC243" s="807"/>
      <c r="AD243" s="807"/>
      <c r="AE243" s="807"/>
      <c r="AF243" s="807"/>
      <c r="AG243" s="807"/>
      <c r="AH243" s="807"/>
      <c r="AI243" s="807"/>
      <c r="AJ243" s="807"/>
      <c r="AK243" s="807"/>
      <c r="AL243" s="807"/>
      <c r="AM243" s="807"/>
      <c r="AN243" s="807"/>
      <c r="AO243" s="807"/>
      <c r="AP243" s="807"/>
    </row>
    <row r="244" spans="1:42" s="5" customFormat="1" x14ac:dyDescent="0.25">
      <c r="A244" s="805"/>
      <c r="B244" s="806"/>
      <c r="C244" s="806"/>
      <c r="D244" s="806"/>
      <c r="E244" s="807"/>
      <c r="F244" s="807"/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807"/>
      <c r="T244" s="807"/>
      <c r="U244" s="807"/>
      <c r="V244" s="807"/>
      <c r="W244" s="807"/>
      <c r="X244" s="807"/>
      <c r="Y244" s="807"/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807"/>
      <c r="AJ244" s="807"/>
      <c r="AK244" s="807"/>
      <c r="AL244" s="807"/>
      <c r="AM244" s="807"/>
      <c r="AN244" s="807"/>
      <c r="AO244" s="807"/>
      <c r="AP244" s="807"/>
    </row>
    <row r="245" spans="1:42" s="5" customFormat="1" x14ac:dyDescent="0.25">
      <c r="A245" s="805"/>
      <c r="B245" s="806"/>
      <c r="C245" s="806"/>
      <c r="D245" s="806"/>
      <c r="E245" s="807"/>
      <c r="F245" s="807"/>
      <c r="G245" s="807"/>
      <c r="H245" s="807"/>
      <c r="I245" s="807"/>
      <c r="J245" s="807"/>
      <c r="K245" s="807"/>
      <c r="L245" s="807"/>
      <c r="M245" s="807"/>
      <c r="N245" s="807"/>
      <c r="O245" s="807"/>
      <c r="P245" s="807"/>
      <c r="Q245" s="807"/>
      <c r="R245" s="807"/>
      <c r="S245" s="807"/>
      <c r="T245" s="807"/>
      <c r="U245" s="807"/>
      <c r="V245" s="807"/>
      <c r="W245" s="807"/>
      <c r="X245" s="807"/>
      <c r="Y245" s="807"/>
      <c r="Z245" s="807"/>
      <c r="AA245" s="807"/>
      <c r="AB245" s="807"/>
      <c r="AC245" s="807"/>
      <c r="AD245" s="807"/>
      <c r="AE245" s="807"/>
      <c r="AF245" s="807"/>
      <c r="AG245" s="807"/>
      <c r="AH245" s="807"/>
      <c r="AI245" s="807"/>
      <c r="AJ245" s="807"/>
      <c r="AK245" s="807"/>
      <c r="AL245" s="807"/>
      <c r="AM245" s="807"/>
      <c r="AN245" s="807"/>
      <c r="AO245" s="807"/>
      <c r="AP245" s="807"/>
    </row>
    <row r="246" spans="1:42" s="5" customFormat="1" x14ac:dyDescent="0.25">
      <c r="A246" s="805"/>
      <c r="B246" s="806"/>
      <c r="C246" s="806"/>
      <c r="D246" s="806"/>
      <c r="E246" s="807"/>
      <c r="F246" s="807"/>
      <c r="G246" s="807"/>
      <c r="H246" s="807"/>
      <c r="I246" s="807"/>
      <c r="J246" s="807"/>
      <c r="K246" s="807"/>
      <c r="L246" s="807"/>
      <c r="M246" s="807"/>
      <c r="N246" s="807"/>
      <c r="O246" s="807"/>
      <c r="P246" s="807"/>
      <c r="Q246" s="807"/>
      <c r="R246" s="807"/>
      <c r="S246" s="807"/>
      <c r="T246" s="807"/>
      <c r="U246" s="807"/>
      <c r="V246" s="807"/>
      <c r="W246" s="807"/>
      <c r="X246" s="807"/>
      <c r="Y246" s="807"/>
      <c r="Z246" s="807"/>
      <c r="AA246" s="807"/>
      <c r="AB246" s="807"/>
      <c r="AC246" s="807"/>
      <c r="AD246" s="807"/>
      <c r="AE246" s="807"/>
      <c r="AF246" s="807"/>
      <c r="AG246" s="807"/>
      <c r="AH246" s="807"/>
      <c r="AI246" s="807"/>
      <c r="AJ246" s="807"/>
      <c r="AK246" s="807"/>
      <c r="AL246" s="807"/>
      <c r="AM246" s="807"/>
      <c r="AN246" s="807"/>
      <c r="AO246" s="807"/>
      <c r="AP246" s="807"/>
    </row>
    <row r="247" spans="1:42" s="5" customFormat="1" x14ac:dyDescent="0.25">
      <c r="A247" s="805"/>
      <c r="B247" s="806"/>
      <c r="C247" s="806"/>
      <c r="D247" s="806"/>
      <c r="E247" s="807"/>
      <c r="F247" s="807"/>
      <c r="G247" s="807"/>
      <c r="H247" s="807"/>
      <c r="I247" s="807"/>
      <c r="J247" s="807"/>
      <c r="K247" s="807"/>
      <c r="L247" s="807"/>
      <c r="M247" s="807"/>
      <c r="N247" s="807"/>
      <c r="O247" s="807"/>
      <c r="P247" s="807"/>
      <c r="Q247" s="807"/>
      <c r="R247" s="807"/>
      <c r="S247" s="807"/>
      <c r="T247" s="807"/>
      <c r="U247" s="807"/>
      <c r="V247" s="807"/>
      <c r="W247" s="807"/>
      <c r="X247" s="807"/>
      <c r="Y247" s="807"/>
      <c r="Z247" s="807"/>
      <c r="AA247" s="807"/>
      <c r="AB247" s="807"/>
      <c r="AC247" s="807"/>
      <c r="AD247" s="807"/>
      <c r="AE247" s="807"/>
      <c r="AF247" s="807"/>
      <c r="AG247" s="807"/>
      <c r="AH247" s="807"/>
      <c r="AI247" s="807"/>
      <c r="AJ247" s="807"/>
      <c r="AK247" s="807"/>
      <c r="AL247" s="807"/>
      <c r="AM247" s="807"/>
      <c r="AN247" s="807"/>
      <c r="AO247" s="807"/>
      <c r="AP247" s="807"/>
    </row>
    <row r="248" spans="1:42" s="5" customFormat="1" x14ac:dyDescent="0.25">
      <c r="A248" s="805"/>
      <c r="B248" s="806"/>
      <c r="C248" s="806"/>
      <c r="D248" s="806"/>
      <c r="E248" s="807"/>
      <c r="F248" s="807"/>
      <c r="G248" s="807"/>
      <c r="H248" s="807"/>
      <c r="I248" s="807"/>
      <c r="J248" s="807"/>
      <c r="K248" s="807"/>
      <c r="L248" s="807"/>
      <c r="M248" s="807"/>
      <c r="N248" s="807"/>
      <c r="O248" s="807"/>
      <c r="P248" s="807"/>
      <c r="Q248" s="807"/>
      <c r="R248" s="807"/>
      <c r="S248" s="807"/>
      <c r="T248" s="807"/>
      <c r="U248" s="807"/>
      <c r="V248" s="807"/>
      <c r="W248" s="807"/>
      <c r="X248" s="807"/>
      <c r="Y248" s="807"/>
      <c r="Z248" s="807"/>
      <c r="AA248" s="807"/>
      <c r="AB248" s="807"/>
      <c r="AC248" s="807"/>
      <c r="AD248" s="807"/>
      <c r="AE248" s="807"/>
      <c r="AF248" s="807"/>
      <c r="AG248" s="807"/>
      <c r="AH248" s="807"/>
      <c r="AI248" s="807"/>
      <c r="AJ248" s="807"/>
      <c r="AK248" s="807"/>
      <c r="AL248" s="807"/>
      <c r="AM248" s="807"/>
      <c r="AN248" s="807"/>
      <c r="AO248" s="807"/>
      <c r="AP248" s="807"/>
    </row>
    <row r="249" spans="1:42" s="5" customFormat="1" x14ac:dyDescent="0.25">
      <c r="A249" s="805"/>
      <c r="B249" s="806"/>
      <c r="C249" s="806"/>
      <c r="D249" s="806"/>
      <c r="E249" s="807"/>
      <c r="F249" s="807"/>
      <c r="G249" s="807"/>
      <c r="H249" s="807"/>
      <c r="I249" s="807"/>
      <c r="J249" s="807"/>
      <c r="K249" s="807"/>
      <c r="L249" s="807"/>
      <c r="M249" s="807"/>
      <c r="N249" s="807"/>
      <c r="O249" s="807"/>
      <c r="P249" s="807"/>
      <c r="Q249" s="807"/>
      <c r="R249" s="807"/>
      <c r="S249" s="807"/>
      <c r="T249" s="807"/>
      <c r="U249" s="807"/>
      <c r="V249" s="807"/>
      <c r="W249" s="807"/>
      <c r="X249" s="807"/>
      <c r="Y249" s="807"/>
      <c r="Z249" s="807"/>
      <c r="AA249" s="807"/>
      <c r="AB249" s="807"/>
      <c r="AC249" s="807"/>
      <c r="AD249" s="807"/>
      <c r="AE249" s="807"/>
      <c r="AF249" s="807"/>
      <c r="AG249" s="807"/>
      <c r="AH249" s="807"/>
      <c r="AI249" s="807"/>
      <c r="AJ249" s="807"/>
      <c r="AK249" s="807"/>
      <c r="AL249" s="807"/>
      <c r="AM249" s="807"/>
      <c r="AN249" s="807"/>
      <c r="AO249" s="807"/>
      <c r="AP249" s="807"/>
    </row>
    <row r="250" spans="1:42" s="5" customFormat="1" x14ac:dyDescent="0.25">
      <c r="A250" s="805"/>
      <c r="B250" s="806"/>
      <c r="C250" s="806"/>
      <c r="D250" s="806"/>
      <c r="E250" s="807"/>
      <c r="F250" s="807"/>
      <c r="G250" s="807"/>
      <c r="H250" s="807"/>
      <c r="I250" s="807"/>
      <c r="J250" s="807"/>
      <c r="K250" s="807"/>
      <c r="L250" s="807"/>
      <c r="M250" s="807"/>
      <c r="N250" s="807"/>
      <c r="O250" s="807"/>
      <c r="P250" s="807"/>
      <c r="Q250" s="807"/>
      <c r="R250" s="807"/>
      <c r="S250" s="807"/>
      <c r="T250" s="807"/>
      <c r="U250" s="807"/>
      <c r="V250" s="807"/>
      <c r="W250" s="807"/>
      <c r="X250" s="807"/>
      <c r="Y250" s="807"/>
      <c r="Z250" s="807"/>
      <c r="AA250" s="807"/>
      <c r="AB250" s="807"/>
      <c r="AC250" s="807"/>
      <c r="AD250" s="807"/>
      <c r="AE250" s="807"/>
      <c r="AF250" s="807"/>
      <c r="AG250" s="807"/>
      <c r="AH250" s="807"/>
      <c r="AI250" s="807"/>
      <c r="AJ250" s="807"/>
      <c r="AK250" s="807"/>
      <c r="AL250" s="807"/>
      <c r="AM250" s="807"/>
      <c r="AN250" s="807"/>
      <c r="AO250" s="807"/>
      <c r="AP250" s="807"/>
    </row>
    <row r="251" spans="1:42" s="5" customFormat="1" x14ac:dyDescent="0.25">
      <c r="A251" s="805"/>
      <c r="B251" s="806"/>
      <c r="C251" s="806"/>
      <c r="D251" s="806"/>
      <c r="E251" s="807"/>
      <c r="F251" s="807"/>
      <c r="G251" s="807"/>
      <c r="H251" s="807"/>
      <c r="I251" s="807"/>
      <c r="J251" s="807"/>
      <c r="K251" s="807"/>
      <c r="L251" s="807"/>
      <c r="M251" s="807"/>
      <c r="N251" s="807"/>
      <c r="O251" s="807"/>
      <c r="P251" s="807"/>
      <c r="Q251" s="807"/>
      <c r="R251" s="807"/>
      <c r="S251" s="807"/>
      <c r="T251" s="807"/>
      <c r="U251" s="807"/>
      <c r="V251" s="807"/>
      <c r="W251" s="807"/>
      <c r="X251" s="807"/>
      <c r="Y251" s="807"/>
      <c r="Z251" s="807"/>
      <c r="AA251" s="807"/>
      <c r="AB251" s="807"/>
      <c r="AC251" s="807"/>
      <c r="AD251" s="807"/>
      <c r="AE251" s="807"/>
      <c r="AF251" s="807"/>
      <c r="AG251" s="807"/>
      <c r="AH251" s="807"/>
      <c r="AI251" s="807"/>
      <c r="AJ251" s="807"/>
      <c r="AK251" s="807"/>
      <c r="AL251" s="807"/>
      <c r="AM251" s="807"/>
      <c r="AN251" s="807"/>
      <c r="AO251" s="807"/>
      <c r="AP251" s="807"/>
    </row>
    <row r="252" spans="1:42" s="5" customFormat="1" x14ac:dyDescent="0.25">
      <c r="A252" s="805"/>
      <c r="B252" s="806"/>
      <c r="C252" s="806"/>
      <c r="D252" s="806"/>
      <c r="E252" s="807"/>
      <c r="F252" s="807"/>
      <c r="G252" s="807"/>
      <c r="H252" s="807"/>
      <c r="I252" s="807"/>
      <c r="J252" s="807"/>
      <c r="K252" s="807"/>
      <c r="L252" s="807"/>
      <c r="M252" s="807"/>
      <c r="N252" s="807"/>
      <c r="O252" s="807"/>
      <c r="P252" s="807"/>
      <c r="Q252" s="807"/>
      <c r="R252" s="807"/>
      <c r="S252" s="807"/>
      <c r="T252" s="807"/>
      <c r="U252" s="807"/>
      <c r="V252" s="807"/>
      <c r="W252" s="807"/>
      <c r="X252" s="807"/>
      <c r="Y252" s="807"/>
      <c r="Z252" s="807"/>
      <c r="AA252" s="807"/>
      <c r="AB252" s="807"/>
      <c r="AC252" s="807"/>
      <c r="AD252" s="807"/>
      <c r="AE252" s="807"/>
      <c r="AF252" s="807"/>
      <c r="AG252" s="807"/>
      <c r="AH252" s="807"/>
      <c r="AI252" s="807"/>
      <c r="AJ252" s="807"/>
      <c r="AK252" s="807"/>
      <c r="AL252" s="807"/>
      <c r="AM252" s="807"/>
      <c r="AN252" s="807"/>
      <c r="AO252" s="807"/>
      <c r="AP252" s="807"/>
    </row>
    <row r="253" spans="1:42" s="5" customFormat="1" x14ac:dyDescent="0.25">
      <c r="A253" s="805"/>
      <c r="B253" s="806"/>
      <c r="C253" s="806"/>
      <c r="D253" s="806"/>
      <c r="E253" s="807"/>
      <c r="F253" s="807"/>
      <c r="G253" s="807"/>
      <c r="H253" s="807"/>
      <c r="I253" s="807"/>
      <c r="J253" s="807"/>
      <c r="K253" s="807"/>
      <c r="L253" s="807"/>
      <c r="M253" s="807"/>
      <c r="N253" s="807"/>
      <c r="O253" s="807"/>
      <c r="P253" s="807"/>
      <c r="Q253" s="807"/>
      <c r="R253" s="807"/>
      <c r="S253" s="807"/>
      <c r="T253" s="807"/>
      <c r="U253" s="807"/>
      <c r="V253" s="807"/>
      <c r="W253" s="807"/>
      <c r="X253" s="807"/>
      <c r="Y253" s="807"/>
      <c r="Z253" s="807"/>
      <c r="AA253" s="807"/>
      <c r="AB253" s="807"/>
      <c r="AC253" s="807"/>
      <c r="AD253" s="807"/>
      <c r="AE253" s="807"/>
      <c r="AF253" s="807"/>
      <c r="AG253" s="807"/>
      <c r="AH253" s="807"/>
      <c r="AI253" s="807"/>
      <c r="AJ253" s="807"/>
      <c r="AK253" s="807"/>
      <c r="AL253" s="807"/>
      <c r="AM253" s="807"/>
      <c r="AN253" s="807"/>
      <c r="AO253" s="807"/>
      <c r="AP253" s="807"/>
    </row>
    <row r="254" spans="1:42" s="5" customFormat="1" x14ac:dyDescent="0.25">
      <c r="A254" s="805"/>
      <c r="B254" s="806"/>
      <c r="C254" s="806"/>
      <c r="D254" s="806"/>
      <c r="E254" s="807"/>
      <c r="F254" s="807"/>
      <c r="G254" s="807"/>
      <c r="H254" s="807"/>
      <c r="I254" s="807"/>
      <c r="J254" s="807"/>
      <c r="K254" s="807"/>
      <c r="L254" s="807"/>
      <c r="M254" s="807"/>
      <c r="N254" s="807"/>
      <c r="O254" s="807"/>
      <c r="P254" s="807"/>
      <c r="Q254" s="807"/>
      <c r="R254" s="807"/>
      <c r="S254" s="807"/>
      <c r="T254" s="807"/>
      <c r="U254" s="807"/>
      <c r="V254" s="807"/>
      <c r="W254" s="807"/>
      <c r="X254" s="807"/>
      <c r="Y254" s="807"/>
      <c r="Z254" s="807"/>
      <c r="AA254" s="807"/>
      <c r="AB254" s="807"/>
      <c r="AC254" s="807"/>
      <c r="AD254" s="807"/>
      <c r="AE254" s="807"/>
      <c r="AF254" s="807"/>
      <c r="AG254" s="807"/>
      <c r="AH254" s="807"/>
      <c r="AI254" s="807"/>
      <c r="AJ254" s="807"/>
      <c r="AK254" s="807"/>
      <c r="AL254" s="807"/>
      <c r="AM254" s="807"/>
      <c r="AN254" s="807"/>
      <c r="AO254" s="807"/>
      <c r="AP254" s="807"/>
    </row>
    <row r="255" spans="1:42" s="5" customFormat="1" x14ac:dyDescent="0.25">
      <c r="A255" s="805"/>
      <c r="B255" s="806"/>
      <c r="C255" s="806"/>
      <c r="D255" s="806"/>
      <c r="E255" s="807"/>
      <c r="F255" s="807"/>
      <c r="G255" s="807"/>
      <c r="H255" s="807"/>
      <c r="I255" s="807"/>
      <c r="J255" s="807"/>
      <c r="K255" s="807"/>
      <c r="L255" s="807"/>
      <c r="M255" s="807"/>
      <c r="N255" s="807"/>
      <c r="O255" s="807"/>
      <c r="P255" s="807"/>
      <c r="Q255" s="807"/>
      <c r="R255" s="807"/>
      <c r="S255" s="807"/>
      <c r="T255" s="807"/>
      <c r="U255" s="807"/>
      <c r="V255" s="807"/>
      <c r="W255" s="807"/>
      <c r="X255" s="807"/>
      <c r="Y255" s="807"/>
      <c r="Z255" s="807"/>
      <c r="AA255" s="807"/>
      <c r="AB255" s="807"/>
      <c r="AC255" s="807"/>
      <c r="AD255" s="807"/>
      <c r="AE255" s="807"/>
      <c r="AF255" s="807"/>
      <c r="AG255" s="807"/>
      <c r="AH255" s="807"/>
      <c r="AI255" s="807"/>
      <c r="AJ255" s="807"/>
      <c r="AK255" s="807"/>
      <c r="AL255" s="807"/>
      <c r="AM255" s="807"/>
      <c r="AN255" s="807"/>
      <c r="AO255" s="807"/>
      <c r="AP255" s="807"/>
    </row>
    <row r="256" spans="1:42" s="5" customFormat="1" x14ac:dyDescent="0.25">
      <c r="A256" s="805"/>
      <c r="B256" s="806"/>
      <c r="C256" s="806"/>
      <c r="D256" s="806"/>
      <c r="E256" s="807"/>
      <c r="F256" s="807"/>
      <c r="G256" s="807"/>
      <c r="H256" s="807"/>
      <c r="I256" s="807"/>
      <c r="J256" s="807"/>
      <c r="K256" s="807"/>
      <c r="L256" s="807"/>
      <c r="M256" s="807"/>
      <c r="N256" s="807"/>
      <c r="O256" s="807"/>
      <c r="P256" s="807"/>
      <c r="Q256" s="807"/>
      <c r="R256" s="807"/>
      <c r="S256" s="807"/>
      <c r="T256" s="807"/>
      <c r="U256" s="807"/>
      <c r="V256" s="807"/>
      <c r="W256" s="807"/>
      <c r="X256" s="807"/>
      <c r="Y256" s="807"/>
      <c r="Z256" s="807"/>
      <c r="AA256" s="807"/>
      <c r="AB256" s="807"/>
      <c r="AC256" s="807"/>
      <c r="AD256" s="807"/>
      <c r="AE256" s="807"/>
      <c r="AF256" s="807"/>
      <c r="AG256" s="807"/>
      <c r="AH256" s="807"/>
      <c r="AI256" s="807"/>
      <c r="AJ256" s="807"/>
      <c r="AK256" s="807"/>
      <c r="AL256" s="807"/>
      <c r="AM256" s="807"/>
      <c r="AN256" s="807"/>
      <c r="AO256" s="807"/>
      <c r="AP256" s="807"/>
    </row>
    <row r="257" spans="1:42" s="5" customFormat="1" x14ac:dyDescent="0.25">
      <c r="A257" s="805"/>
      <c r="B257" s="806"/>
      <c r="C257" s="806"/>
      <c r="D257" s="806"/>
      <c r="E257" s="807"/>
      <c r="F257" s="807"/>
      <c r="G257" s="807"/>
      <c r="H257" s="807"/>
      <c r="I257" s="807"/>
      <c r="J257" s="807"/>
      <c r="K257" s="807"/>
      <c r="L257" s="807"/>
      <c r="M257" s="807"/>
      <c r="N257" s="807"/>
      <c r="O257" s="807"/>
      <c r="P257" s="807"/>
      <c r="Q257" s="807"/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807"/>
      <c r="AE257" s="807"/>
      <c r="AF257" s="807"/>
      <c r="AG257" s="807"/>
      <c r="AH257" s="807"/>
      <c r="AI257" s="807"/>
      <c r="AJ257" s="807"/>
      <c r="AK257" s="807"/>
      <c r="AL257" s="807"/>
      <c r="AM257" s="807"/>
      <c r="AN257" s="807"/>
      <c r="AO257" s="807"/>
      <c r="AP257" s="807"/>
    </row>
    <row r="258" spans="1:42" s="5" customFormat="1" x14ac:dyDescent="0.25">
      <c r="A258" s="805"/>
      <c r="B258" s="806"/>
      <c r="C258" s="806"/>
      <c r="D258" s="806"/>
      <c r="E258" s="807"/>
      <c r="F258" s="807"/>
      <c r="G258" s="807"/>
      <c r="H258" s="807"/>
      <c r="I258" s="807"/>
      <c r="J258" s="807"/>
      <c r="K258" s="807"/>
      <c r="L258" s="807"/>
      <c r="M258" s="807"/>
      <c r="N258" s="807"/>
      <c r="O258" s="807"/>
      <c r="P258" s="807"/>
      <c r="Q258" s="807"/>
      <c r="R258" s="807"/>
      <c r="S258" s="807"/>
      <c r="T258" s="807"/>
      <c r="U258" s="807"/>
      <c r="V258" s="807"/>
      <c r="W258" s="807"/>
      <c r="X258" s="807"/>
      <c r="Y258" s="807"/>
      <c r="Z258" s="807"/>
      <c r="AA258" s="807"/>
      <c r="AB258" s="807"/>
      <c r="AC258" s="807"/>
      <c r="AD258" s="807"/>
      <c r="AE258" s="807"/>
      <c r="AF258" s="807"/>
      <c r="AG258" s="807"/>
      <c r="AH258" s="807"/>
      <c r="AI258" s="807"/>
      <c r="AJ258" s="807"/>
      <c r="AK258" s="807"/>
      <c r="AL258" s="807"/>
      <c r="AM258" s="807"/>
      <c r="AN258" s="807"/>
      <c r="AO258" s="807"/>
      <c r="AP258" s="807"/>
    </row>
    <row r="259" spans="1:42" s="5" customFormat="1" x14ac:dyDescent="0.25">
      <c r="A259" s="805"/>
      <c r="B259" s="806"/>
      <c r="C259" s="806"/>
      <c r="D259" s="806"/>
      <c r="E259" s="807"/>
      <c r="F259" s="807"/>
      <c r="G259" s="807"/>
      <c r="H259" s="807"/>
      <c r="I259" s="807"/>
      <c r="J259" s="807"/>
      <c r="K259" s="807"/>
      <c r="L259" s="807"/>
      <c r="M259" s="807"/>
      <c r="N259" s="807"/>
      <c r="O259" s="807"/>
      <c r="P259" s="807"/>
      <c r="Q259" s="807"/>
      <c r="R259" s="807"/>
      <c r="S259" s="807"/>
      <c r="T259" s="807"/>
      <c r="U259" s="807"/>
      <c r="V259" s="807"/>
      <c r="W259" s="807"/>
      <c r="X259" s="807"/>
      <c r="Y259" s="807"/>
      <c r="Z259" s="807"/>
      <c r="AA259" s="807"/>
      <c r="AB259" s="807"/>
      <c r="AC259" s="807"/>
      <c r="AD259" s="807"/>
      <c r="AE259" s="807"/>
      <c r="AF259" s="807"/>
      <c r="AG259" s="807"/>
      <c r="AH259" s="807"/>
      <c r="AI259" s="807"/>
      <c r="AJ259" s="807"/>
      <c r="AK259" s="807"/>
      <c r="AL259" s="807"/>
      <c r="AM259" s="807"/>
      <c r="AN259" s="807"/>
      <c r="AO259" s="807"/>
      <c r="AP259" s="807"/>
    </row>
    <row r="260" spans="1:42" s="5" customFormat="1" x14ac:dyDescent="0.25">
      <c r="A260" s="805"/>
      <c r="B260" s="806"/>
      <c r="C260" s="806"/>
      <c r="D260" s="806"/>
      <c r="E260" s="807"/>
      <c r="F260" s="807"/>
      <c r="G260" s="807"/>
      <c r="H260" s="807"/>
      <c r="I260" s="807"/>
      <c r="J260" s="807"/>
      <c r="K260" s="807"/>
      <c r="L260" s="807"/>
      <c r="M260" s="807"/>
      <c r="N260" s="807"/>
      <c r="O260" s="807"/>
      <c r="P260" s="807"/>
      <c r="Q260" s="807"/>
      <c r="R260" s="807"/>
      <c r="S260" s="807"/>
      <c r="T260" s="807"/>
      <c r="U260" s="807"/>
      <c r="V260" s="807"/>
      <c r="W260" s="807"/>
      <c r="X260" s="807"/>
      <c r="Y260" s="807"/>
      <c r="Z260" s="807"/>
      <c r="AA260" s="807"/>
      <c r="AB260" s="807"/>
      <c r="AC260" s="807"/>
      <c r="AD260" s="807"/>
      <c r="AE260" s="807"/>
      <c r="AF260" s="807"/>
      <c r="AG260" s="807"/>
      <c r="AH260" s="807"/>
      <c r="AI260" s="807"/>
      <c r="AJ260" s="807"/>
      <c r="AK260" s="807"/>
      <c r="AL260" s="807"/>
      <c r="AM260" s="807"/>
      <c r="AN260" s="807"/>
      <c r="AO260" s="807"/>
      <c r="AP260" s="807"/>
    </row>
    <row r="261" spans="1:42" s="5" customFormat="1" x14ac:dyDescent="0.25">
      <c r="A261" s="805"/>
      <c r="B261" s="806"/>
      <c r="C261" s="806"/>
      <c r="D261" s="806"/>
      <c r="E261" s="807"/>
      <c r="F261" s="807"/>
      <c r="G261" s="807"/>
      <c r="H261" s="807"/>
      <c r="I261" s="807"/>
      <c r="J261" s="807"/>
      <c r="K261" s="807"/>
      <c r="L261" s="807"/>
      <c r="M261" s="807"/>
      <c r="N261" s="807"/>
      <c r="O261" s="807"/>
      <c r="P261" s="807"/>
      <c r="Q261" s="807"/>
      <c r="R261" s="807"/>
      <c r="S261" s="807"/>
      <c r="T261" s="807"/>
      <c r="U261" s="807"/>
      <c r="V261" s="807"/>
      <c r="W261" s="807"/>
      <c r="X261" s="807"/>
      <c r="Y261" s="807"/>
      <c r="Z261" s="807"/>
      <c r="AA261" s="807"/>
      <c r="AB261" s="807"/>
      <c r="AC261" s="807"/>
      <c r="AD261" s="807"/>
      <c r="AE261" s="807"/>
      <c r="AF261" s="807"/>
      <c r="AG261" s="807"/>
      <c r="AH261" s="807"/>
      <c r="AI261" s="807"/>
      <c r="AJ261" s="807"/>
      <c r="AK261" s="807"/>
      <c r="AL261" s="807"/>
      <c r="AM261" s="807"/>
      <c r="AN261" s="807"/>
      <c r="AO261" s="807"/>
      <c r="AP261" s="807"/>
    </row>
    <row r="262" spans="1:42" s="5" customFormat="1" x14ac:dyDescent="0.25">
      <c r="A262" s="805"/>
      <c r="B262" s="806"/>
      <c r="C262" s="806"/>
      <c r="D262" s="806"/>
      <c r="E262" s="807"/>
      <c r="F262" s="807"/>
      <c r="G262" s="807"/>
      <c r="H262" s="807"/>
      <c r="I262" s="807"/>
      <c r="J262" s="807"/>
      <c r="K262" s="807"/>
      <c r="L262" s="807"/>
      <c r="M262" s="807"/>
      <c r="N262" s="807"/>
      <c r="O262" s="807"/>
      <c r="P262" s="807"/>
      <c r="Q262" s="807"/>
      <c r="R262" s="807"/>
      <c r="S262" s="807"/>
      <c r="T262" s="807"/>
      <c r="U262" s="807"/>
      <c r="V262" s="807"/>
      <c r="W262" s="807"/>
      <c r="X262" s="807"/>
      <c r="Y262" s="807"/>
      <c r="Z262" s="807"/>
      <c r="AA262" s="807"/>
      <c r="AB262" s="807"/>
      <c r="AC262" s="807"/>
      <c r="AD262" s="807"/>
      <c r="AE262" s="807"/>
      <c r="AF262" s="807"/>
      <c r="AG262" s="807"/>
      <c r="AH262" s="807"/>
      <c r="AI262" s="807"/>
      <c r="AJ262" s="807"/>
      <c r="AK262" s="807"/>
      <c r="AL262" s="807"/>
      <c r="AM262" s="807"/>
      <c r="AN262" s="807"/>
      <c r="AO262" s="807"/>
      <c r="AP262" s="807"/>
    </row>
    <row r="263" spans="1:42" s="5" customFormat="1" x14ac:dyDescent="0.25">
      <c r="A263" s="805"/>
      <c r="B263" s="806"/>
      <c r="C263" s="806"/>
      <c r="D263" s="806"/>
      <c r="E263" s="807"/>
      <c r="F263" s="807"/>
      <c r="G263" s="807"/>
      <c r="H263" s="807"/>
      <c r="I263" s="807"/>
      <c r="J263" s="807"/>
      <c r="K263" s="807"/>
      <c r="L263" s="807"/>
      <c r="M263" s="807"/>
      <c r="N263" s="807"/>
      <c r="O263" s="807"/>
      <c r="P263" s="807"/>
      <c r="Q263" s="807"/>
      <c r="R263" s="807"/>
      <c r="S263" s="807"/>
      <c r="T263" s="807"/>
      <c r="U263" s="807"/>
      <c r="V263" s="807"/>
      <c r="W263" s="807"/>
      <c r="X263" s="807"/>
      <c r="Y263" s="807"/>
      <c r="Z263" s="807"/>
      <c r="AA263" s="807"/>
      <c r="AB263" s="807"/>
      <c r="AC263" s="807"/>
      <c r="AD263" s="807"/>
      <c r="AE263" s="807"/>
      <c r="AF263" s="807"/>
      <c r="AG263" s="807"/>
      <c r="AH263" s="807"/>
      <c r="AI263" s="807"/>
      <c r="AJ263" s="807"/>
      <c r="AK263" s="807"/>
      <c r="AL263" s="807"/>
      <c r="AM263" s="807"/>
      <c r="AN263" s="807"/>
      <c r="AO263" s="807"/>
      <c r="AP263" s="807"/>
    </row>
    <row r="264" spans="1:42" s="5" customFormat="1" x14ac:dyDescent="0.25">
      <c r="A264" s="805"/>
      <c r="B264" s="806"/>
      <c r="C264" s="806"/>
      <c r="D264" s="806"/>
      <c r="E264" s="807"/>
      <c r="F264" s="807"/>
      <c r="G264" s="807"/>
      <c r="H264" s="807"/>
      <c r="I264" s="807"/>
      <c r="J264" s="807"/>
      <c r="K264" s="807"/>
      <c r="L264" s="807"/>
      <c r="M264" s="807"/>
      <c r="N264" s="807"/>
      <c r="O264" s="807"/>
      <c r="P264" s="807"/>
      <c r="Q264" s="807"/>
      <c r="R264" s="807"/>
      <c r="S264" s="807"/>
      <c r="T264" s="807"/>
      <c r="U264" s="807"/>
      <c r="V264" s="807"/>
      <c r="W264" s="807"/>
      <c r="X264" s="807"/>
      <c r="Y264" s="807"/>
      <c r="Z264" s="807"/>
      <c r="AA264" s="807"/>
      <c r="AB264" s="807"/>
      <c r="AC264" s="807"/>
      <c r="AD264" s="807"/>
      <c r="AE264" s="807"/>
      <c r="AF264" s="807"/>
      <c r="AG264" s="807"/>
      <c r="AH264" s="807"/>
      <c r="AI264" s="807"/>
      <c r="AJ264" s="807"/>
      <c r="AK264" s="807"/>
      <c r="AL264" s="807"/>
      <c r="AM264" s="807"/>
      <c r="AN264" s="807"/>
      <c r="AO264" s="807"/>
      <c r="AP264" s="807"/>
    </row>
    <row r="265" spans="1:42" s="5" customFormat="1" x14ac:dyDescent="0.25">
      <c r="A265" s="805"/>
      <c r="B265" s="806"/>
      <c r="C265" s="806"/>
      <c r="D265" s="806"/>
      <c r="E265" s="807"/>
      <c r="F265" s="807"/>
      <c r="G265" s="807"/>
      <c r="H265" s="807"/>
      <c r="I265" s="807"/>
      <c r="J265" s="807"/>
      <c r="K265" s="807"/>
      <c r="L265" s="807"/>
      <c r="M265" s="807"/>
      <c r="N265" s="807"/>
      <c r="O265" s="807"/>
      <c r="P265" s="807"/>
      <c r="Q265" s="807"/>
      <c r="R265" s="807"/>
      <c r="S265" s="807"/>
      <c r="T265" s="807"/>
      <c r="U265" s="807"/>
      <c r="V265" s="807"/>
      <c r="W265" s="807"/>
      <c r="X265" s="807"/>
      <c r="Y265" s="807"/>
      <c r="Z265" s="807"/>
      <c r="AA265" s="807"/>
      <c r="AB265" s="807"/>
      <c r="AC265" s="807"/>
      <c r="AD265" s="807"/>
      <c r="AE265" s="807"/>
      <c r="AF265" s="807"/>
      <c r="AG265" s="807"/>
      <c r="AH265" s="807"/>
      <c r="AI265" s="807"/>
      <c r="AJ265" s="807"/>
      <c r="AK265" s="807"/>
      <c r="AL265" s="807"/>
      <c r="AM265" s="807"/>
      <c r="AN265" s="807"/>
      <c r="AO265" s="807"/>
      <c r="AP265" s="807"/>
    </row>
    <row r="266" spans="1:42" s="5" customFormat="1" x14ac:dyDescent="0.25">
      <c r="A266" s="805"/>
      <c r="B266" s="806"/>
      <c r="C266" s="806"/>
      <c r="D266" s="806"/>
      <c r="E266" s="807"/>
      <c r="F266" s="807"/>
      <c r="G266" s="807"/>
      <c r="H266" s="807"/>
      <c r="I266" s="807"/>
      <c r="J266" s="807"/>
      <c r="K266" s="807"/>
      <c r="L266" s="807"/>
      <c r="M266" s="807"/>
      <c r="N266" s="807"/>
      <c r="O266" s="807"/>
      <c r="P266" s="807"/>
      <c r="Q266" s="807"/>
      <c r="R266" s="807"/>
      <c r="S266" s="807"/>
      <c r="T266" s="807"/>
      <c r="U266" s="807"/>
      <c r="V266" s="807"/>
      <c r="W266" s="807"/>
      <c r="X266" s="807"/>
      <c r="Y266" s="807"/>
      <c r="Z266" s="807"/>
      <c r="AA266" s="807"/>
      <c r="AB266" s="807"/>
      <c r="AC266" s="807"/>
      <c r="AD266" s="807"/>
      <c r="AE266" s="807"/>
      <c r="AF266" s="807"/>
      <c r="AG266" s="807"/>
      <c r="AH266" s="807"/>
      <c r="AI266" s="807"/>
      <c r="AJ266" s="807"/>
      <c r="AK266" s="807"/>
      <c r="AL266" s="807"/>
      <c r="AM266" s="807"/>
      <c r="AN266" s="807"/>
      <c r="AO266" s="807"/>
      <c r="AP266" s="807"/>
    </row>
    <row r="267" spans="1:42" s="5" customFormat="1" x14ac:dyDescent="0.25">
      <c r="A267" s="805"/>
      <c r="B267" s="806"/>
      <c r="C267" s="806"/>
      <c r="D267" s="806"/>
      <c r="E267" s="807"/>
      <c r="F267" s="807"/>
      <c r="G267" s="807"/>
      <c r="H267" s="807"/>
      <c r="I267" s="807"/>
      <c r="J267" s="807"/>
      <c r="K267" s="807"/>
      <c r="L267" s="807"/>
      <c r="M267" s="807"/>
      <c r="N267" s="807"/>
      <c r="O267" s="807"/>
      <c r="P267" s="807"/>
      <c r="Q267" s="807"/>
      <c r="R267" s="807"/>
      <c r="S267" s="807"/>
      <c r="T267" s="807"/>
      <c r="U267" s="807"/>
      <c r="V267" s="807"/>
      <c r="W267" s="807"/>
      <c r="X267" s="807"/>
      <c r="Y267" s="807"/>
      <c r="Z267" s="807"/>
      <c r="AA267" s="807"/>
      <c r="AB267" s="807"/>
      <c r="AC267" s="807"/>
      <c r="AD267" s="807"/>
      <c r="AE267" s="807"/>
      <c r="AF267" s="807"/>
      <c r="AG267" s="807"/>
      <c r="AH267" s="807"/>
      <c r="AI267" s="807"/>
      <c r="AJ267" s="807"/>
      <c r="AK267" s="807"/>
      <c r="AL267" s="807"/>
      <c r="AM267" s="807"/>
      <c r="AN267" s="807"/>
      <c r="AO267" s="807"/>
      <c r="AP267" s="807"/>
    </row>
    <row r="268" spans="1:42" s="5" customFormat="1" x14ac:dyDescent="0.25">
      <c r="A268" s="805"/>
      <c r="B268" s="806"/>
      <c r="C268" s="806"/>
      <c r="D268" s="806"/>
      <c r="E268" s="807"/>
      <c r="F268" s="807"/>
      <c r="G268" s="807"/>
      <c r="H268" s="807"/>
      <c r="I268" s="807"/>
      <c r="J268" s="807"/>
      <c r="K268" s="807"/>
      <c r="L268" s="807"/>
      <c r="M268" s="807"/>
      <c r="N268" s="807"/>
      <c r="O268" s="807"/>
      <c r="P268" s="807"/>
      <c r="Q268" s="807"/>
      <c r="R268" s="807"/>
      <c r="S268" s="807"/>
      <c r="T268" s="807"/>
      <c r="U268" s="807"/>
      <c r="V268" s="807"/>
      <c r="W268" s="807"/>
      <c r="X268" s="807"/>
      <c r="Y268" s="807"/>
      <c r="Z268" s="807"/>
      <c r="AA268" s="807"/>
      <c r="AB268" s="807"/>
      <c r="AC268" s="807"/>
      <c r="AD268" s="807"/>
      <c r="AE268" s="807"/>
      <c r="AF268" s="807"/>
      <c r="AG268" s="807"/>
      <c r="AH268" s="807"/>
      <c r="AI268" s="807"/>
      <c r="AJ268" s="807"/>
      <c r="AK268" s="807"/>
      <c r="AL268" s="807"/>
      <c r="AM268" s="807"/>
      <c r="AN268" s="807"/>
      <c r="AO268" s="807"/>
      <c r="AP268" s="807"/>
    </row>
    <row r="269" spans="1:42" s="5" customFormat="1" x14ac:dyDescent="0.25">
      <c r="A269" s="805"/>
      <c r="B269" s="806"/>
      <c r="C269" s="806"/>
      <c r="D269" s="806"/>
      <c r="E269" s="807"/>
      <c r="F269" s="807"/>
      <c r="G269" s="807"/>
      <c r="H269" s="807"/>
      <c r="I269" s="807"/>
      <c r="J269" s="807"/>
      <c r="K269" s="807"/>
      <c r="L269" s="807"/>
      <c r="M269" s="807"/>
      <c r="N269" s="807"/>
      <c r="O269" s="807"/>
      <c r="P269" s="807"/>
      <c r="Q269" s="807"/>
      <c r="R269" s="807"/>
      <c r="S269" s="807"/>
      <c r="T269" s="807"/>
      <c r="U269" s="807"/>
      <c r="V269" s="807"/>
      <c r="W269" s="807"/>
      <c r="X269" s="807"/>
      <c r="Y269" s="807"/>
      <c r="Z269" s="807"/>
      <c r="AA269" s="807"/>
      <c r="AB269" s="807"/>
      <c r="AC269" s="807"/>
      <c r="AD269" s="807"/>
      <c r="AE269" s="807"/>
      <c r="AF269" s="807"/>
      <c r="AG269" s="807"/>
      <c r="AH269" s="807"/>
      <c r="AI269" s="807"/>
      <c r="AJ269" s="807"/>
      <c r="AK269" s="807"/>
      <c r="AL269" s="807"/>
      <c r="AM269" s="807"/>
      <c r="AN269" s="807"/>
      <c r="AO269" s="807"/>
      <c r="AP269" s="807"/>
    </row>
    <row r="270" spans="1:42" s="5" customFormat="1" x14ac:dyDescent="0.25">
      <c r="A270" s="805"/>
      <c r="B270" s="806"/>
      <c r="C270" s="806"/>
      <c r="D270" s="806"/>
      <c r="E270" s="807"/>
      <c r="F270" s="807"/>
      <c r="G270" s="807"/>
      <c r="H270" s="807"/>
      <c r="I270" s="807"/>
      <c r="J270" s="807"/>
      <c r="K270" s="807"/>
      <c r="L270" s="807"/>
      <c r="M270" s="807"/>
      <c r="N270" s="807"/>
      <c r="O270" s="807"/>
      <c r="P270" s="807"/>
      <c r="Q270" s="807"/>
      <c r="R270" s="807"/>
      <c r="S270" s="807"/>
      <c r="T270" s="807"/>
      <c r="U270" s="807"/>
      <c r="V270" s="807"/>
      <c r="W270" s="807"/>
      <c r="X270" s="807"/>
      <c r="Y270" s="807"/>
      <c r="Z270" s="807"/>
      <c r="AA270" s="807"/>
      <c r="AB270" s="807"/>
      <c r="AC270" s="807"/>
      <c r="AD270" s="807"/>
      <c r="AE270" s="807"/>
      <c r="AF270" s="807"/>
      <c r="AG270" s="807"/>
      <c r="AH270" s="807"/>
      <c r="AI270" s="807"/>
      <c r="AJ270" s="807"/>
      <c r="AK270" s="807"/>
      <c r="AL270" s="807"/>
      <c r="AM270" s="807"/>
      <c r="AN270" s="807"/>
      <c r="AO270" s="807"/>
      <c r="AP270" s="807"/>
    </row>
    <row r="271" spans="1:42" s="5" customFormat="1" x14ac:dyDescent="0.25">
      <c r="A271" s="805"/>
      <c r="B271" s="806"/>
      <c r="C271" s="806"/>
      <c r="D271" s="806"/>
      <c r="E271" s="807"/>
      <c r="F271" s="807"/>
      <c r="G271" s="807"/>
      <c r="H271" s="807"/>
      <c r="I271" s="807"/>
      <c r="J271" s="807"/>
      <c r="K271" s="807"/>
      <c r="L271" s="807"/>
      <c r="M271" s="807"/>
      <c r="N271" s="807"/>
      <c r="O271" s="807"/>
      <c r="P271" s="807"/>
      <c r="Q271" s="807"/>
      <c r="R271" s="807"/>
      <c r="S271" s="807"/>
      <c r="T271" s="807"/>
      <c r="U271" s="807"/>
      <c r="V271" s="807"/>
      <c r="W271" s="807"/>
      <c r="X271" s="807"/>
      <c r="Y271" s="807"/>
      <c r="Z271" s="807"/>
      <c r="AA271" s="807"/>
      <c r="AB271" s="807"/>
      <c r="AC271" s="807"/>
      <c r="AD271" s="807"/>
      <c r="AE271" s="807"/>
      <c r="AF271" s="807"/>
      <c r="AG271" s="807"/>
      <c r="AH271" s="807"/>
      <c r="AI271" s="807"/>
      <c r="AJ271" s="807"/>
      <c r="AK271" s="807"/>
      <c r="AL271" s="807"/>
      <c r="AM271" s="807"/>
      <c r="AN271" s="807"/>
      <c r="AO271" s="807"/>
      <c r="AP271" s="807"/>
    </row>
    <row r="272" spans="1:42" s="5" customFormat="1" x14ac:dyDescent="0.25">
      <c r="A272" s="805"/>
      <c r="B272" s="806"/>
      <c r="C272" s="806"/>
      <c r="D272" s="806"/>
      <c r="E272" s="807"/>
      <c r="F272" s="807"/>
      <c r="G272" s="807"/>
      <c r="H272" s="807"/>
      <c r="I272" s="807"/>
      <c r="J272" s="807"/>
      <c r="K272" s="807"/>
      <c r="L272" s="807"/>
      <c r="M272" s="807"/>
      <c r="N272" s="807"/>
      <c r="O272" s="807"/>
      <c r="P272" s="807"/>
      <c r="Q272" s="807"/>
      <c r="R272" s="807"/>
      <c r="S272" s="807"/>
      <c r="T272" s="807"/>
      <c r="U272" s="807"/>
      <c r="V272" s="807"/>
      <c r="W272" s="807"/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807"/>
      <c r="AI272" s="807"/>
      <c r="AJ272" s="807"/>
      <c r="AK272" s="807"/>
      <c r="AL272" s="807"/>
      <c r="AM272" s="807"/>
      <c r="AN272" s="807"/>
      <c r="AO272" s="807"/>
      <c r="AP272" s="807"/>
    </row>
    <row r="273" spans="1:42" s="5" customFormat="1" x14ac:dyDescent="0.25">
      <c r="A273" s="805"/>
      <c r="B273" s="806"/>
      <c r="C273" s="806"/>
      <c r="D273" s="806"/>
      <c r="E273" s="807"/>
      <c r="F273" s="807"/>
      <c r="G273" s="807"/>
      <c r="H273" s="807"/>
      <c r="I273" s="807"/>
      <c r="J273" s="807"/>
      <c r="K273" s="807"/>
      <c r="L273" s="807"/>
      <c r="M273" s="807"/>
      <c r="N273" s="807"/>
      <c r="O273" s="807"/>
      <c r="P273" s="807"/>
      <c r="Q273" s="807"/>
      <c r="R273" s="807"/>
      <c r="S273" s="807"/>
      <c r="T273" s="807"/>
      <c r="U273" s="807"/>
      <c r="V273" s="807"/>
      <c r="W273" s="807"/>
      <c r="X273" s="807"/>
      <c r="Y273" s="807"/>
      <c r="Z273" s="807"/>
      <c r="AA273" s="807"/>
      <c r="AB273" s="807"/>
      <c r="AC273" s="807"/>
      <c r="AD273" s="807"/>
      <c r="AE273" s="807"/>
      <c r="AF273" s="807"/>
      <c r="AG273" s="807"/>
      <c r="AH273" s="807"/>
      <c r="AI273" s="807"/>
      <c r="AJ273" s="807"/>
      <c r="AK273" s="807"/>
      <c r="AL273" s="807"/>
      <c r="AM273" s="807"/>
      <c r="AN273" s="807"/>
      <c r="AO273" s="807"/>
      <c r="AP273" s="807"/>
    </row>
    <row r="274" spans="1:42" s="5" customFormat="1" x14ac:dyDescent="0.25">
      <c r="A274" s="805"/>
      <c r="B274" s="806"/>
      <c r="C274" s="806"/>
      <c r="D274" s="806"/>
      <c r="E274" s="807"/>
      <c r="F274" s="807"/>
      <c r="G274" s="807"/>
      <c r="H274" s="807"/>
      <c r="I274" s="807"/>
      <c r="J274" s="807"/>
      <c r="K274" s="807"/>
      <c r="L274" s="807"/>
      <c r="M274" s="807"/>
      <c r="N274" s="807"/>
      <c r="O274" s="807"/>
      <c r="P274" s="807"/>
      <c r="Q274" s="807"/>
      <c r="R274" s="807"/>
      <c r="S274" s="807"/>
      <c r="T274" s="807"/>
      <c r="U274" s="807"/>
      <c r="V274" s="807"/>
      <c r="W274" s="807"/>
      <c r="X274" s="807"/>
      <c r="Y274" s="807"/>
      <c r="Z274" s="807"/>
      <c r="AA274" s="807"/>
      <c r="AB274" s="807"/>
      <c r="AC274" s="807"/>
      <c r="AD274" s="807"/>
      <c r="AE274" s="807"/>
      <c r="AF274" s="807"/>
      <c r="AG274" s="807"/>
      <c r="AH274" s="807"/>
      <c r="AI274" s="807"/>
      <c r="AJ274" s="807"/>
      <c r="AK274" s="807"/>
      <c r="AL274" s="807"/>
      <c r="AM274" s="807"/>
      <c r="AN274" s="807"/>
      <c r="AO274" s="807"/>
      <c r="AP274" s="807"/>
    </row>
    <row r="275" spans="1:42" s="5" customFormat="1" x14ac:dyDescent="0.25">
      <c r="A275" s="805"/>
      <c r="B275" s="806"/>
      <c r="C275" s="806"/>
      <c r="D275" s="806"/>
      <c r="E275" s="807"/>
      <c r="F275" s="807"/>
      <c r="G275" s="807"/>
      <c r="H275" s="807"/>
      <c r="I275" s="807"/>
      <c r="J275" s="807"/>
      <c r="K275" s="807"/>
      <c r="L275" s="807"/>
      <c r="M275" s="807"/>
      <c r="N275" s="807"/>
      <c r="O275" s="807"/>
      <c r="P275" s="807"/>
      <c r="Q275" s="807"/>
      <c r="R275" s="807"/>
      <c r="S275" s="807"/>
      <c r="T275" s="807"/>
      <c r="U275" s="807"/>
      <c r="V275" s="807"/>
      <c r="W275" s="807"/>
      <c r="X275" s="807"/>
      <c r="Y275" s="807"/>
      <c r="Z275" s="807"/>
      <c r="AA275" s="807"/>
      <c r="AB275" s="807"/>
      <c r="AC275" s="807"/>
      <c r="AD275" s="807"/>
      <c r="AE275" s="807"/>
      <c r="AF275" s="807"/>
      <c r="AG275" s="807"/>
      <c r="AH275" s="807"/>
      <c r="AI275" s="807"/>
      <c r="AJ275" s="807"/>
      <c r="AK275" s="807"/>
      <c r="AL275" s="807"/>
      <c r="AM275" s="807"/>
      <c r="AN275" s="807"/>
      <c r="AO275" s="807"/>
      <c r="AP275" s="807"/>
    </row>
    <row r="276" spans="1:42" s="5" customFormat="1" x14ac:dyDescent="0.25">
      <c r="A276" s="805"/>
      <c r="B276" s="806"/>
      <c r="C276" s="806"/>
      <c r="D276" s="806"/>
      <c r="E276" s="807"/>
      <c r="F276" s="807"/>
      <c r="G276" s="807"/>
      <c r="H276" s="807"/>
      <c r="I276" s="807"/>
      <c r="J276" s="807"/>
      <c r="K276" s="807"/>
      <c r="L276" s="807"/>
      <c r="M276" s="807"/>
      <c r="N276" s="807"/>
      <c r="O276" s="807"/>
      <c r="P276" s="807"/>
      <c r="Q276" s="807"/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807"/>
      <c r="AE276" s="807"/>
      <c r="AF276" s="807"/>
      <c r="AG276" s="807"/>
      <c r="AH276" s="807"/>
      <c r="AI276" s="807"/>
      <c r="AJ276" s="807"/>
      <c r="AK276" s="807"/>
      <c r="AL276" s="807"/>
      <c r="AM276" s="807"/>
      <c r="AN276" s="807"/>
      <c r="AO276" s="807"/>
      <c r="AP276" s="807"/>
    </row>
    <row r="277" spans="1:42" s="5" customFormat="1" x14ac:dyDescent="0.25">
      <c r="A277" s="805"/>
      <c r="B277" s="806"/>
      <c r="C277" s="806"/>
      <c r="D277" s="806"/>
      <c r="E277" s="807"/>
      <c r="F277" s="807"/>
      <c r="G277" s="807"/>
      <c r="H277" s="807"/>
      <c r="I277" s="807"/>
      <c r="J277" s="807"/>
      <c r="K277" s="807"/>
      <c r="L277" s="807"/>
      <c r="M277" s="807"/>
      <c r="N277" s="807"/>
      <c r="O277" s="807"/>
      <c r="P277" s="807"/>
      <c r="Q277" s="807"/>
      <c r="R277" s="807"/>
      <c r="S277" s="807"/>
      <c r="T277" s="807"/>
      <c r="U277" s="807"/>
      <c r="V277" s="807"/>
      <c r="W277" s="807"/>
      <c r="X277" s="807"/>
      <c r="Y277" s="807"/>
      <c r="Z277" s="807"/>
      <c r="AA277" s="807"/>
      <c r="AB277" s="807"/>
      <c r="AC277" s="807"/>
      <c r="AD277" s="807"/>
      <c r="AE277" s="807"/>
      <c r="AF277" s="807"/>
      <c r="AG277" s="807"/>
      <c r="AH277" s="807"/>
      <c r="AI277" s="807"/>
      <c r="AJ277" s="807"/>
      <c r="AK277" s="807"/>
      <c r="AL277" s="807"/>
      <c r="AM277" s="807"/>
      <c r="AN277" s="807"/>
      <c r="AO277" s="807"/>
      <c r="AP277" s="807"/>
    </row>
    <row r="278" spans="1:42" s="5" customFormat="1" x14ac:dyDescent="0.25">
      <c r="A278" s="805"/>
      <c r="B278" s="806"/>
      <c r="C278" s="806"/>
      <c r="D278" s="806"/>
      <c r="E278" s="807"/>
      <c r="F278" s="807"/>
      <c r="G278" s="807"/>
      <c r="H278" s="807"/>
      <c r="I278" s="807"/>
      <c r="J278" s="807"/>
      <c r="K278" s="807"/>
      <c r="L278" s="807"/>
      <c r="M278" s="807"/>
      <c r="N278" s="807"/>
      <c r="O278" s="807"/>
      <c r="P278" s="807"/>
      <c r="Q278" s="807"/>
      <c r="R278" s="807"/>
      <c r="S278" s="807"/>
      <c r="T278" s="807"/>
      <c r="U278" s="807"/>
      <c r="V278" s="807"/>
      <c r="W278" s="807"/>
      <c r="X278" s="807"/>
      <c r="Y278" s="807"/>
      <c r="Z278" s="807"/>
      <c r="AA278" s="807"/>
      <c r="AB278" s="807"/>
      <c r="AC278" s="807"/>
      <c r="AD278" s="807"/>
      <c r="AE278" s="807"/>
      <c r="AF278" s="807"/>
      <c r="AG278" s="807"/>
      <c r="AH278" s="807"/>
      <c r="AI278" s="807"/>
      <c r="AJ278" s="807"/>
      <c r="AK278" s="807"/>
      <c r="AL278" s="807"/>
      <c r="AM278" s="807"/>
      <c r="AN278" s="807"/>
      <c r="AO278" s="807"/>
      <c r="AP278" s="807"/>
    </row>
    <row r="279" spans="1:42" s="5" customFormat="1" x14ac:dyDescent="0.25">
      <c r="A279" s="805"/>
      <c r="B279" s="806"/>
      <c r="C279" s="806"/>
      <c r="D279" s="806"/>
      <c r="E279" s="807"/>
      <c r="F279" s="807"/>
      <c r="G279" s="807"/>
      <c r="H279" s="807"/>
      <c r="I279" s="807"/>
      <c r="J279" s="807"/>
      <c r="K279" s="807"/>
      <c r="L279" s="807"/>
      <c r="M279" s="807"/>
      <c r="N279" s="807"/>
      <c r="O279" s="807"/>
      <c r="P279" s="807"/>
      <c r="Q279" s="807"/>
      <c r="R279" s="807"/>
      <c r="S279" s="807"/>
      <c r="T279" s="807"/>
      <c r="U279" s="807"/>
      <c r="V279" s="807"/>
      <c r="W279" s="807"/>
      <c r="X279" s="807"/>
      <c r="Y279" s="807"/>
      <c r="Z279" s="807"/>
      <c r="AA279" s="807"/>
      <c r="AB279" s="807"/>
      <c r="AC279" s="807"/>
      <c r="AD279" s="807"/>
      <c r="AE279" s="807"/>
      <c r="AF279" s="807"/>
      <c r="AG279" s="807"/>
      <c r="AH279" s="807"/>
      <c r="AI279" s="807"/>
      <c r="AJ279" s="807"/>
      <c r="AK279" s="807"/>
      <c r="AL279" s="807"/>
      <c r="AM279" s="807"/>
      <c r="AN279" s="807"/>
      <c r="AO279" s="807"/>
      <c r="AP279" s="807"/>
    </row>
    <row r="280" spans="1:42" s="5" customFormat="1" x14ac:dyDescent="0.25">
      <c r="A280" s="805"/>
      <c r="B280" s="806"/>
      <c r="C280" s="806"/>
      <c r="D280" s="806"/>
      <c r="E280" s="807"/>
      <c r="F280" s="807"/>
      <c r="G280" s="807"/>
      <c r="H280" s="807"/>
      <c r="I280" s="807"/>
      <c r="J280" s="807"/>
      <c r="K280" s="807"/>
      <c r="L280" s="807"/>
      <c r="M280" s="807"/>
      <c r="N280" s="807"/>
      <c r="O280" s="807"/>
      <c r="P280" s="807"/>
      <c r="Q280" s="807"/>
      <c r="R280" s="807"/>
      <c r="S280" s="807"/>
      <c r="T280" s="807"/>
      <c r="U280" s="807"/>
      <c r="V280" s="807"/>
      <c r="W280" s="807"/>
      <c r="X280" s="807"/>
      <c r="Y280" s="807"/>
      <c r="Z280" s="807"/>
      <c r="AA280" s="807"/>
      <c r="AB280" s="807"/>
      <c r="AC280" s="807"/>
      <c r="AD280" s="807"/>
      <c r="AE280" s="807"/>
      <c r="AF280" s="807"/>
      <c r="AG280" s="807"/>
      <c r="AH280" s="807"/>
      <c r="AI280" s="807"/>
      <c r="AJ280" s="807"/>
      <c r="AK280" s="807"/>
      <c r="AL280" s="807"/>
      <c r="AM280" s="807"/>
      <c r="AN280" s="807"/>
      <c r="AO280" s="807"/>
      <c r="AP280" s="807"/>
    </row>
    <row r="281" spans="1:42" s="5" customFormat="1" x14ac:dyDescent="0.25">
      <c r="A281" s="805"/>
      <c r="B281" s="806"/>
      <c r="C281" s="806"/>
      <c r="D281" s="806"/>
      <c r="E281" s="807"/>
      <c r="F281" s="807"/>
      <c r="G281" s="807"/>
      <c r="H281" s="807"/>
      <c r="I281" s="807"/>
      <c r="J281" s="807"/>
      <c r="K281" s="807"/>
      <c r="L281" s="807"/>
      <c r="M281" s="807"/>
      <c r="N281" s="807"/>
      <c r="O281" s="807"/>
      <c r="P281" s="807"/>
      <c r="Q281" s="807"/>
      <c r="R281" s="807"/>
      <c r="S281" s="807"/>
      <c r="T281" s="807"/>
      <c r="U281" s="807"/>
      <c r="V281" s="807"/>
      <c r="W281" s="807"/>
      <c r="X281" s="807"/>
      <c r="Y281" s="807"/>
      <c r="Z281" s="807"/>
      <c r="AA281" s="807"/>
      <c r="AB281" s="807"/>
      <c r="AC281" s="807"/>
      <c r="AD281" s="807"/>
      <c r="AE281" s="807"/>
      <c r="AF281" s="807"/>
      <c r="AG281" s="807"/>
      <c r="AH281" s="807"/>
      <c r="AI281" s="807"/>
      <c r="AJ281" s="807"/>
      <c r="AK281" s="807"/>
      <c r="AL281" s="807"/>
      <c r="AM281" s="807"/>
      <c r="AN281" s="807"/>
      <c r="AO281" s="807"/>
      <c r="AP281" s="807"/>
    </row>
    <row r="282" spans="1:42" s="5" customFormat="1" x14ac:dyDescent="0.25">
      <c r="A282" s="805"/>
      <c r="B282" s="806"/>
      <c r="C282" s="806"/>
      <c r="D282" s="806"/>
      <c r="E282" s="807"/>
      <c r="F282" s="807"/>
      <c r="G282" s="807"/>
      <c r="H282" s="807"/>
      <c r="I282" s="807"/>
      <c r="J282" s="807"/>
      <c r="K282" s="807"/>
      <c r="L282" s="807"/>
      <c r="M282" s="807"/>
      <c r="N282" s="807"/>
      <c r="O282" s="807"/>
      <c r="P282" s="807"/>
      <c r="Q282" s="807"/>
      <c r="R282" s="807"/>
      <c r="S282" s="807"/>
      <c r="T282" s="807"/>
      <c r="U282" s="807"/>
      <c r="V282" s="807"/>
      <c r="W282" s="807"/>
      <c r="X282" s="807"/>
      <c r="Y282" s="807"/>
      <c r="Z282" s="807"/>
      <c r="AA282" s="807"/>
      <c r="AB282" s="807"/>
      <c r="AC282" s="807"/>
      <c r="AD282" s="807"/>
      <c r="AE282" s="807"/>
      <c r="AF282" s="807"/>
      <c r="AG282" s="807"/>
      <c r="AH282" s="807"/>
      <c r="AI282" s="807"/>
      <c r="AJ282" s="807"/>
      <c r="AK282" s="807"/>
      <c r="AL282" s="807"/>
      <c r="AM282" s="807"/>
      <c r="AN282" s="807"/>
      <c r="AO282" s="807"/>
      <c r="AP282" s="807"/>
    </row>
    <row r="283" spans="1:42" s="5" customFormat="1" x14ac:dyDescent="0.25">
      <c r="A283" s="805"/>
      <c r="B283" s="806"/>
      <c r="C283" s="806"/>
      <c r="D283" s="806"/>
      <c r="E283" s="807"/>
      <c r="F283" s="807"/>
      <c r="G283" s="807"/>
      <c r="H283" s="807"/>
      <c r="I283" s="807"/>
      <c r="J283" s="807"/>
      <c r="K283" s="807"/>
      <c r="L283" s="807"/>
      <c r="M283" s="807"/>
      <c r="N283" s="807"/>
      <c r="O283" s="807"/>
      <c r="P283" s="807"/>
      <c r="Q283" s="807"/>
      <c r="R283" s="807"/>
      <c r="S283" s="807"/>
      <c r="T283" s="807"/>
      <c r="U283" s="807"/>
      <c r="V283" s="807"/>
      <c r="W283" s="807"/>
      <c r="X283" s="807"/>
      <c r="Y283" s="807"/>
      <c r="Z283" s="807"/>
      <c r="AA283" s="807"/>
      <c r="AB283" s="807"/>
      <c r="AC283" s="807"/>
      <c r="AD283" s="807"/>
      <c r="AE283" s="807"/>
      <c r="AF283" s="807"/>
      <c r="AG283" s="807"/>
      <c r="AH283" s="807"/>
      <c r="AI283" s="807"/>
      <c r="AJ283" s="807"/>
      <c r="AK283" s="807"/>
      <c r="AL283" s="807"/>
      <c r="AM283" s="807"/>
      <c r="AN283" s="807"/>
      <c r="AO283" s="807"/>
      <c r="AP283" s="807"/>
    </row>
    <row r="284" spans="1:42" s="5" customFormat="1" x14ac:dyDescent="0.25">
      <c r="A284" s="805"/>
      <c r="B284" s="806"/>
      <c r="C284" s="806"/>
      <c r="D284" s="806"/>
      <c r="E284" s="807"/>
      <c r="F284" s="807"/>
      <c r="G284" s="807"/>
      <c r="H284" s="807"/>
      <c r="I284" s="807"/>
      <c r="J284" s="807"/>
      <c r="K284" s="807"/>
      <c r="L284" s="807"/>
      <c r="M284" s="807"/>
      <c r="N284" s="807"/>
      <c r="O284" s="807"/>
      <c r="P284" s="807"/>
      <c r="Q284" s="807"/>
      <c r="R284" s="807"/>
      <c r="S284" s="807"/>
      <c r="T284" s="807"/>
      <c r="U284" s="807"/>
      <c r="V284" s="807"/>
      <c r="W284" s="807"/>
      <c r="X284" s="807"/>
      <c r="Y284" s="807"/>
      <c r="Z284" s="807"/>
      <c r="AA284" s="807"/>
      <c r="AB284" s="807"/>
      <c r="AC284" s="807"/>
      <c r="AD284" s="807"/>
      <c r="AE284" s="807"/>
      <c r="AF284" s="807"/>
      <c r="AG284" s="807"/>
      <c r="AH284" s="807"/>
      <c r="AI284" s="807"/>
      <c r="AJ284" s="807"/>
      <c r="AK284" s="807"/>
      <c r="AL284" s="807"/>
      <c r="AM284" s="807"/>
      <c r="AN284" s="807"/>
      <c r="AO284" s="807"/>
      <c r="AP284" s="807"/>
    </row>
    <row r="285" spans="1:42" s="5" customFormat="1" x14ac:dyDescent="0.25">
      <c r="A285" s="805"/>
      <c r="B285" s="806"/>
      <c r="C285" s="806"/>
      <c r="D285" s="806"/>
      <c r="E285" s="807"/>
      <c r="F285" s="807"/>
      <c r="G285" s="807"/>
      <c r="H285" s="807"/>
      <c r="I285" s="807"/>
      <c r="J285" s="807"/>
      <c r="K285" s="807"/>
      <c r="L285" s="807"/>
      <c r="M285" s="807"/>
      <c r="N285" s="807"/>
      <c r="O285" s="807"/>
      <c r="P285" s="807"/>
      <c r="Q285" s="807"/>
      <c r="R285" s="807"/>
      <c r="S285" s="807"/>
      <c r="T285" s="807"/>
      <c r="U285" s="807"/>
      <c r="V285" s="807"/>
      <c r="W285" s="807"/>
      <c r="X285" s="807"/>
      <c r="Y285" s="807"/>
      <c r="Z285" s="807"/>
      <c r="AA285" s="807"/>
      <c r="AB285" s="807"/>
      <c r="AC285" s="807"/>
      <c r="AD285" s="807"/>
      <c r="AE285" s="807"/>
      <c r="AF285" s="807"/>
      <c r="AG285" s="807"/>
      <c r="AH285" s="807"/>
      <c r="AI285" s="807"/>
      <c r="AJ285" s="807"/>
      <c r="AK285" s="807"/>
      <c r="AL285" s="807"/>
      <c r="AM285" s="807"/>
      <c r="AN285" s="807"/>
      <c r="AO285" s="807"/>
      <c r="AP285" s="807"/>
    </row>
    <row r="286" spans="1:42" s="5" customFormat="1" x14ac:dyDescent="0.25">
      <c r="A286" s="805"/>
      <c r="B286" s="806"/>
      <c r="C286" s="806"/>
      <c r="D286" s="806"/>
      <c r="E286" s="807"/>
      <c r="F286" s="807"/>
      <c r="G286" s="807"/>
      <c r="H286" s="807"/>
      <c r="I286" s="807"/>
      <c r="J286" s="807"/>
      <c r="K286" s="807"/>
      <c r="L286" s="807"/>
      <c r="M286" s="807"/>
      <c r="N286" s="807"/>
      <c r="O286" s="807"/>
      <c r="P286" s="807"/>
      <c r="Q286" s="807"/>
      <c r="R286" s="807"/>
      <c r="S286" s="807"/>
      <c r="T286" s="807"/>
      <c r="U286" s="807"/>
      <c r="V286" s="807"/>
      <c r="W286" s="807"/>
      <c r="X286" s="807"/>
      <c r="Y286" s="807"/>
      <c r="Z286" s="807"/>
      <c r="AA286" s="807"/>
      <c r="AB286" s="807"/>
      <c r="AC286" s="807"/>
      <c r="AD286" s="807"/>
      <c r="AE286" s="807"/>
      <c r="AF286" s="807"/>
      <c r="AG286" s="807"/>
      <c r="AH286" s="807"/>
      <c r="AI286" s="807"/>
      <c r="AJ286" s="807"/>
      <c r="AK286" s="807"/>
      <c r="AL286" s="807"/>
      <c r="AM286" s="807"/>
      <c r="AN286" s="807"/>
      <c r="AO286" s="807"/>
      <c r="AP286" s="807"/>
    </row>
    <row r="287" spans="1:42" s="5" customFormat="1" x14ac:dyDescent="0.25">
      <c r="A287" s="805"/>
      <c r="B287" s="806"/>
      <c r="C287" s="806"/>
      <c r="D287" s="806"/>
      <c r="E287" s="807"/>
      <c r="F287" s="807"/>
      <c r="G287" s="807"/>
      <c r="H287" s="807"/>
      <c r="I287" s="807"/>
      <c r="J287" s="807"/>
      <c r="K287" s="807"/>
      <c r="L287" s="807"/>
      <c r="M287" s="807"/>
      <c r="N287" s="807"/>
      <c r="O287" s="807"/>
      <c r="P287" s="807"/>
      <c r="Q287" s="807"/>
      <c r="R287" s="807"/>
      <c r="S287" s="807"/>
      <c r="T287" s="807"/>
      <c r="U287" s="807"/>
      <c r="V287" s="807"/>
      <c r="W287" s="807"/>
      <c r="X287" s="807"/>
      <c r="Y287" s="807"/>
      <c r="Z287" s="807"/>
      <c r="AA287" s="807"/>
      <c r="AB287" s="807"/>
      <c r="AC287" s="807"/>
      <c r="AD287" s="807"/>
      <c r="AE287" s="807"/>
      <c r="AF287" s="807"/>
      <c r="AG287" s="807"/>
      <c r="AH287" s="807"/>
      <c r="AI287" s="807"/>
      <c r="AJ287" s="807"/>
      <c r="AK287" s="807"/>
      <c r="AL287" s="807"/>
      <c r="AM287" s="807"/>
      <c r="AN287" s="807"/>
      <c r="AO287" s="807"/>
      <c r="AP287" s="807"/>
    </row>
    <row r="288" spans="1:42" s="5" customFormat="1" x14ac:dyDescent="0.25">
      <c r="A288" s="805"/>
      <c r="B288" s="806"/>
      <c r="C288" s="806"/>
      <c r="D288" s="806"/>
      <c r="E288" s="807"/>
      <c r="F288" s="807"/>
      <c r="G288" s="807"/>
      <c r="H288" s="807"/>
      <c r="I288" s="807"/>
      <c r="J288" s="807"/>
      <c r="K288" s="807"/>
      <c r="L288" s="807"/>
      <c r="M288" s="807"/>
      <c r="N288" s="807"/>
      <c r="O288" s="807"/>
      <c r="P288" s="807"/>
      <c r="Q288" s="807"/>
      <c r="R288" s="807"/>
      <c r="S288" s="807"/>
      <c r="T288" s="807"/>
      <c r="U288" s="807"/>
      <c r="V288" s="807"/>
      <c r="W288" s="807"/>
      <c r="X288" s="807"/>
      <c r="Y288" s="807"/>
      <c r="Z288" s="807"/>
      <c r="AA288" s="807"/>
      <c r="AB288" s="807"/>
      <c r="AC288" s="807"/>
      <c r="AD288" s="807"/>
      <c r="AE288" s="807"/>
      <c r="AF288" s="807"/>
      <c r="AG288" s="807"/>
      <c r="AH288" s="807"/>
      <c r="AI288" s="807"/>
      <c r="AJ288" s="807"/>
      <c r="AK288" s="807"/>
      <c r="AL288" s="807"/>
      <c r="AM288" s="807"/>
      <c r="AN288" s="807"/>
      <c r="AO288" s="807"/>
      <c r="AP288" s="807"/>
    </row>
    <row r="289" spans="1:42" s="5" customFormat="1" x14ac:dyDescent="0.25">
      <c r="A289" s="805"/>
      <c r="B289" s="806"/>
      <c r="C289" s="806"/>
      <c r="D289" s="806"/>
      <c r="E289" s="807"/>
      <c r="F289" s="807"/>
      <c r="G289" s="807"/>
      <c r="H289" s="807"/>
      <c r="I289" s="807"/>
      <c r="J289" s="807"/>
      <c r="K289" s="807"/>
      <c r="L289" s="807"/>
      <c r="M289" s="807"/>
      <c r="N289" s="807"/>
      <c r="O289" s="807"/>
      <c r="P289" s="807"/>
      <c r="Q289" s="807"/>
      <c r="R289" s="807"/>
      <c r="S289" s="807"/>
      <c r="T289" s="807"/>
      <c r="U289" s="807"/>
      <c r="V289" s="807"/>
      <c r="W289" s="807"/>
      <c r="X289" s="807"/>
      <c r="Y289" s="807"/>
      <c r="Z289" s="807"/>
      <c r="AA289" s="807"/>
      <c r="AB289" s="807"/>
      <c r="AC289" s="807"/>
      <c r="AD289" s="807"/>
      <c r="AE289" s="807"/>
      <c r="AF289" s="807"/>
      <c r="AG289" s="807"/>
      <c r="AH289" s="807"/>
      <c r="AI289" s="807"/>
      <c r="AJ289" s="807"/>
      <c r="AK289" s="807"/>
      <c r="AL289" s="807"/>
      <c r="AM289" s="807"/>
      <c r="AN289" s="807"/>
      <c r="AO289" s="807"/>
      <c r="AP289" s="807"/>
    </row>
    <row r="290" spans="1:42" s="5" customFormat="1" x14ac:dyDescent="0.25">
      <c r="A290" s="805"/>
      <c r="B290" s="806"/>
      <c r="C290" s="806"/>
      <c r="D290" s="806"/>
      <c r="E290" s="807"/>
      <c r="F290" s="807"/>
      <c r="G290" s="807"/>
      <c r="H290" s="807"/>
      <c r="I290" s="807"/>
      <c r="J290" s="807"/>
      <c r="K290" s="807"/>
      <c r="L290" s="807"/>
      <c r="M290" s="807"/>
      <c r="N290" s="807"/>
      <c r="O290" s="807"/>
      <c r="P290" s="807"/>
      <c r="Q290" s="807"/>
      <c r="R290" s="807"/>
      <c r="S290" s="807"/>
      <c r="T290" s="807"/>
      <c r="U290" s="807"/>
      <c r="V290" s="807"/>
      <c r="W290" s="807"/>
      <c r="X290" s="807"/>
      <c r="Y290" s="807"/>
      <c r="Z290" s="807"/>
      <c r="AA290" s="807"/>
      <c r="AB290" s="807"/>
      <c r="AC290" s="807"/>
      <c r="AD290" s="807"/>
      <c r="AE290" s="807"/>
      <c r="AF290" s="807"/>
      <c r="AG290" s="807"/>
      <c r="AH290" s="807"/>
      <c r="AI290" s="807"/>
      <c r="AJ290" s="807"/>
      <c r="AK290" s="807"/>
      <c r="AL290" s="807"/>
      <c r="AM290" s="807"/>
      <c r="AN290" s="807"/>
      <c r="AO290" s="807"/>
      <c r="AP290" s="807"/>
    </row>
    <row r="291" spans="1:42" s="5" customFormat="1" x14ac:dyDescent="0.25">
      <c r="A291" s="805"/>
      <c r="B291" s="806"/>
      <c r="C291" s="806"/>
      <c r="D291" s="806"/>
      <c r="E291" s="807"/>
      <c r="F291" s="807"/>
      <c r="G291" s="807"/>
      <c r="H291" s="807"/>
      <c r="I291" s="807"/>
      <c r="J291" s="807"/>
      <c r="K291" s="807"/>
      <c r="L291" s="807"/>
      <c r="M291" s="807"/>
      <c r="N291" s="807"/>
      <c r="O291" s="807"/>
      <c r="P291" s="807"/>
      <c r="Q291" s="807"/>
      <c r="R291" s="807"/>
      <c r="S291" s="807"/>
      <c r="T291" s="807"/>
      <c r="U291" s="807"/>
      <c r="V291" s="807"/>
      <c r="W291" s="807"/>
      <c r="X291" s="807"/>
      <c r="Y291" s="807"/>
      <c r="Z291" s="807"/>
      <c r="AA291" s="807"/>
      <c r="AB291" s="807"/>
      <c r="AC291" s="807"/>
      <c r="AD291" s="807"/>
      <c r="AE291" s="807"/>
      <c r="AF291" s="807"/>
      <c r="AG291" s="807"/>
      <c r="AH291" s="807"/>
      <c r="AI291" s="807"/>
      <c r="AJ291" s="807"/>
      <c r="AK291" s="807"/>
      <c r="AL291" s="807"/>
      <c r="AM291" s="807"/>
      <c r="AN291" s="807"/>
      <c r="AO291" s="807"/>
      <c r="AP291" s="807"/>
    </row>
    <row r="292" spans="1:42" s="5" customFormat="1" x14ac:dyDescent="0.25">
      <c r="A292" s="805"/>
      <c r="B292" s="806"/>
      <c r="C292" s="806"/>
      <c r="D292" s="806"/>
      <c r="E292" s="807"/>
      <c r="F292" s="807"/>
      <c r="G292" s="807"/>
      <c r="H292" s="807"/>
      <c r="I292" s="807"/>
      <c r="J292" s="807"/>
      <c r="K292" s="807"/>
      <c r="L292" s="807"/>
      <c r="M292" s="807"/>
      <c r="N292" s="807"/>
      <c r="O292" s="807"/>
      <c r="P292" s="807"/>
      <c r="Q292" s="807"/>
      <c r="R292" s="807"/>
      <c r="S292" s="807"/>
      <c r="T292" s="807"/>
      <c r="U292" s="807"/>
      <c r="V292" s="807"/>
      <c r="W292" s="807"/>
      <c r="X292" s="807"/>
      <c r="Y292" s="807"/>
      <c r="Z292" s="807"/>
      <c r="AA292" s="807"/>
      <c r="AB292" s="807"/>
      <c r="AC292" s="807"/>
      <c r="AD292" s="807"/>
      <c r="AE292" s="807"/>
      <c r="AF292" s="807"/>
      <c r="AG292" s="807"/>
      <c r="AH292" s="807"/>
      <c r="AI292" s="807"/>
      <c r="AJ292" s="807"/>
      <c r="AK292" s="807"/>
      <c r="AL292" s="807"/>
      <c r="AM292" s="807"/>
      <c r="AN292" s="807"/>
      <c r="AO292" s="807"/>
      <c r="AP292" s="807"/>
    </row>
    <row r="293" spans="1:42" s="5" customFormat="1" x14ac:dyDescent="0.25">
      <c r="A293" s="805"/>
      <c r="B293" s="806"/>
      <c r="C293" s="806"/>
      <c r="D293" s="806"/>
      <c r="E293" s="807"/>
      <c r="F293" s="807"/>
      <c r="G293" s="807"/>
      <c r="H293" s="807"/>
      <c r="I293" s="807"/>
      <c r="J293" s="807"/>
      <c r="K293" s="807"/>
      <c r="L293" s="807"/>
      <c r="M293" s="807"/>
      <c r="N293" s="807"/>
      <c r="O293" s="807"/>
      <c r="P293" s="807"/>
      <c r="Q293" s="807"/>
      <c r="R293" s="807"/>
      <c r="S293" s="807"/>
      <c r="T293" s="807"/>
      <c r="U293" s="807"/>
      <c r="V293" s="807"/>
      <c r="W293" s="807"/>
      <c r="X293" s="807"/>
      <c r="Y293" s="807"/>
      <c r="Z293" s="807"/>
      <c r="AA293" s="807"/>
      <c r="AB293" s="807"/>
      <c r="AC293" s="807"/>
      <c r="AD293" s="807"/>
      <c r="AE293" s="807"/>
      <c r="AF293" s="807"/>
      <c r="AG293" s="807"/>
      <c r="AH293" s="807"/>
      <c r="AI293" s="807"/>
      <c r="AJ293" s="807"/>
      <c r="AK293" s="807"/>
      <c r="AL293" s="807"/>
      <c r="AM293" s="807"/>
      <c r="AN293" s="807"/>
      <c r="AO293" s="807"/>
      <c r="AP293" s="807"/>
    </row>
    <row r="294" spans="1:42" s="5" customFormat="1" x14ac:dyDescent="0.25">
      <c r="A294" s="805"/>
      <c r="B294" s="806"/>
      <c r="C294" s="806"/>
      <c r="D294" s="806"/>
      <c r="E294" s="807"/>
      <c r="F294" s="807"/>
      <c r="G294" s="807"/>
      <c r="H294" s="807"/>
      <c r="I294" s="807"/>
      <c r="J294" s="807"/>
      <c r="K294" s="807"/>
      <c r="L294" s="807"/>
      <c r="M294" s="807"/>
      <c r="N294" s="807"/>
      <c r="O294" s="807"/>
      <c r="P294" s="807"/>
      <c r="Q294" s="807"/>
      <c r="R294" s="807"/>
      <c r="S294" s="807"/>
      <c r="T294" s="807"/>
      <c r="U294" s="807"/>
      <c r="V294" s="807"/>
      <c r="W294" s="807"/>
      <c r="X294" s="807"/>
      <c r="Y294" s="807"/>
      <c r="Z294" s="807"/>
      <c r="AA294" s="807"/>
      <c r="AB294" s="807"/>
      <c r="AC294" s="807"/>
      <c r="AD294" s="807"/>
      <c r="AE294" s="807"/>
      <c r="AF294" s="807"/>
      <c r="AG294" s="807"/>
      <c r="AH294" s="807"/>
      <c r="AI294" s="807"/>
      <c r="AJ294" s="807"/>
      <c r="AK294" s="807"/>
      <c r="AL294" s="807"/>
      <c r="AM294" s="807"/>
      <c r="AN294" s="807"/>
      <c r="AO294" s="807"/>
      <c r="AP294" s="807"/>
    </row>
    <row r="295" spans="1:42" s="5" customFormat="1" x14ac:dyDescent="0.25">
      <c r="A295" s="805"/>
      <c r="B295" s="806"/>
      <c r="C295" s="806"/>
      <c r="D295" s="806"/>
      <c r="E295" s="807"/>
      <c r="F295" s="807"/>
      <c r="G295" s="807"/>
      <c r="H295" s="807"/>
      <c r="I295" s="807"/>
      <c r="J295" s="807"/>
      <c r="K295" s="807"/>
      <c r="L295" s="807"/>
      <c r="M295" s="807"/>
      <c r="N295" s="807"/>
      <c r="O295" s="807"/>
      <c r="P295" s="807"/>
      <c r="Q295" s="807"/>
      <c r="R295" s="807"/>
      <c r="S295" s="807"/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/>
      <c r="AD295" s="807"/>
      <c r="AE295" s="807"/>
      <c r="AF295" s="807"/>
      <c r="AG295" s="807"/>
      <c r="AH295" s="807"/>
      <c r="AI295" s="807"/>
      <c r="AJ295" s="807"/>
      <c r="AK295" s="807"/>
      <c r="AL295" s="807"/>
      <c r="AM295" s="807"/>
      <c r="AN295" s="807"/>
      <c r="AO295" s="807"/>
      <c r="AP295" s="807"/>
    </row>
    <row r="296" spans="1:42" s="5" customFormat="1" x14ac:dyDescent="0.25">
      <c r="A296" s="805"/>
      <c r="B296" s="806"/>
      <c r="C296" s="806"/>
      <c r="D296" s="806"/>
      <c r="E296" s="807"/>
      <c r="F296" s="807"/>
      <c r="G296" s="807"/>
      <c r="H296" s="807"/>
      <c r="I296" s="807"/>
      <c r="J296" s="807"/>
      <c r="K296" s="807"/>
      <c r="L296" s="807"/>
      <c r="M296" s="807"/>
      <c r="N296" s="807"/>
      <c r="O296" s="807"/>
      <c r="P296" s="807"/>
      <c r="Q296" s="807"/>
      <c r="R296" s="807"/>
      <c r="S296" s="807"/>
      <c r="T296" s="807"/>
      <c r="U296" s="807"/>
      <c r="V296" s="807"/>
      <c r="W296" s="807"/>
      <c r="X296" s="807"/>
      <c r="Y296" s="807"/>
      <c r="Z296" s="807"/>
      <c r="AA296" s="807"/>
      <c r="AB296" s="807"/>
      <c r="AC296" s="807"/>
      <c r="AD296" s="807"/>
      <c r="AE296" s="807"/>
      <c r="AF296" s="807"/>
      <c r="AG296" s="807"/>
      <c r="AH296" s="807"/>
      <c r="AI296" s="807"/>
      <c r="AJ296" s="807"/>
      <c r="AK296" s="807"/>
      <c r="AL296" s="807"/>
      <c r="AM296" s="807"/>
      <c r="AN296" s="807"/>
      <c r="AO296" s="807"/>
      <c r="AP296" s="807"/>
    </row>
    <row r="297" spans="1:42" s="5" customFormat="1" x14ac:dyDescent="0.25">
      <c r="A297" s="805"/>
      <c r="B297" s="806"/>
      <c r="C297" s="806"/>
      <c r="D297" s="806"/>
      <c r="E297" s="807"/>
      <c r="F297" s="807"/>
      <c r="G297" s="807"/>
      <c r="H297" s="807"/>
      <c r="I297" s="807"/>
      <c r="J297" s="807"/>
      <c r="K297" s="807"/>
      <c r="L297" s="807"/>
      <c r="M297" s="807"/>
      <c r="N297" s="807"/>
      <c r="O297" s="807"/>
      <c r="P297" s="807"/>
      <c r="Q297" s="807"/>
      <c r="R297" s="807"/>
      <c r="S297" s="807"/>
      <c r="T297" s="807"/>
      <c r="U297" s="807"/>
      <c r="V297" s="807"/>
      <c r="W297" s="807"/>
      <c r="X297" s="807"/>
      <c r="Y297" s="807"/>
      <c r="Z297" s="807"/>
      <c r="AA297" s="807"/>
      <c r="AB297" s="807"/>
      <c r="AC297" s="807"/>
      <c r="AD297" s="807"/>
      <c r="AE297" s="807"/>
      <c r="AF297" s="807"/>
      <c r="AG297" s="807"/>
      <c r="AH297" s="807"/>
      <c r="AI297" s="807"/>
      <c r="AJ297" s="807"/>
      <c r="AK297" s="807"/>
      <c r="AL297" s="807"/>
      <c r="AM297" s="807"/>
      <c r="AN297" s="807"/>
      <c r="AO297" s="807"/>
      <c r="AP297" s="807"/>
    </row>
    <row r="298" spans="1:42" s="5" customFormat="1" x14ac:dyDescent="0.25">
      <c r="A298" s="805"/>
      <c r="B298" s="806"/>
      <c r="C298" s="806"/>
      <c r="D298" s="806"/>
      <c r="E298" s="807"/>
      <c r="F298" s="807"/>
      <c r="G298" s="807"/>
      <c r="H298" s="807"/>
      <c r="I298" s="807"/>
      <c r="J298" s="807"/>
      <c r="K298" s="807"/>
      <c r="L298" s="807"/>
      <c r="M298" s="807"/>
      <c r="N298" s="807"/>
      <c r="O298" s="807"/>
      <c r="P298" s="807"/>
      <c r="Q298" s="807"/>
      <c r="R298" s="807"/>
      <c r="S298" s="807"/>
      <c r="T298" s="807"/>
      <c r="U298" s="807"/>
      <c r="V298" s="807"/>
      <c r="W298" s="807"/>
      <c r="X298" s="807"/>
      <c r="Y298" s="807"/>
      <c r="Z298" s="807"/>
      <c r="AA298" s="807"/>
      <c r="AB298" s="807"/>
      <c r="AC298" s="807"/>
      <c r="AD298" s="807"/>
      <c r="AE298" s="807"/>
      <c r="AF298" s="807"/>
      <c r="AG298" s="807"/>
      <c r="AH298" s="807"/>
      <c r="AI298" s="807"/>
      <c r="AJ298" s="807"/>
      <c r="AK298" s="807"/>
      <c r="AL298" s="807"/>
      <c r="AM298" s="807"/>
      <c r="AN298" s="807"/>
      <c r="AO298" s="807"/>
      <c r="AP298" s="807"/>
    </row>
    <row r="299" spans="1:42" s="5" customFormat="1" x14ac:dyDescent="0.25">
      <c r="A299" s="805"/>
      <c r="B299" s="806"/>
      <c r="C299" s="806"/>
      <c r="D299" s="806"/>
      <c r="E299" s="807"/>
      <c r="F299" s="807"/>
      <c r="G299" s="807"/>
      <c r="H299" s="807"/>
      <c r="I299" s="807"/>
      <c r="J299" s="807"/>
      <c r="K299" s="807"/>
      <c r="L299" s="807"/>
      <c r="M299" s="807"/>
      <c r="N299" s="807"/>
      <c r="O299" s="807"/>
      <c r="P299" s="807"/>
      <c r="Q299" s="807"/>
      <c r="R299" s="807"/>
      <c r="S299" s="807"/>
      <c r="T299" s="807"/>
      <c r="U299" s="807"/>
      <c r="V299" s="807"/>
      <c r="W299" s="807"/>
      <c r="X299" s="807"/>
      <c r="Y299" s="807"/>
      <c r="Z299" s="807"/>
      <c r="AA299" s="807"/>
      <c r="AB299" s="807"/>
      <c r="AC299" s="807"/>
      <c r="AD299" s="807"/>
      <c r="AE299" s="807"/>
      <c r="AF299" s="807"/>
      <c r="AG299" s="807"/>
      <c r="AH299" s="807"/>
      <c r="AI299" s="807"/>
      <c r="AJ299" s="807"/>
      <c r="AK299" s="807"/>
      <c r="AL299" s="807"/>
      <c r="AM299" s="807"/>
      <c r="AN299" s="807"/>
      <c r="AO299" s="807"/>
      <c r="AP299" s="807"/>
    </row>
    <row r="300" spans="1:42" s="5" customFormat="1" x14ac:dyDescent="0.25">
      <c r="A300" s="805"/>
      <c r="B300" s="806"/>
      <c r="C300" s="806"/>
      <c r="D300" s="806"/>
      <c r="E300" s="807"/>
      <c r="F300" s="807"/>
      <c r="G300" s="807"/>
      <c r="H300" s="807"/>
      <c r="I300" s="807"/>
      <c r="J300" s="807"/>
      <c r="K300" s="807"/>
      <c r="L300" s="807"/>
      <c r="M300" s="807"/>
      <c r="N300" s="807"/>
      <c r="O300" s="807"/>
      <c r="P300" s="807"/>
      <c r="Q300" s="807"/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807"/>
      <c r="AE300" s="807"/>
      <c r="AF300" s="807"/>
      <c r="AG300" s="807"/>
      <c r="AH300" s="807"/>
      <c r="AI300" s="807"/>
      <c r="AJ300" s="807"/>
      <c r="AK300" s="807"/>
      <c r="AL300" s="807"/>
      <c r="AM300" s="807"/>
      <c r="AN300" s="807"/>
      <c r="AO300" s="807"/>
      <c r="AP300" s="807"/>
    </row>
    <row r="301" spans="1:42" s="5" customFormat="1" x14ac:dyDescent="0.25">
      <c r="A301" s="805"/>
      <c r="B301" s="806"/>
      <c r="C301" s="806"/>
      <c r="D301" s="806"/>
      <c r="E301" s="807"/>
      <c r="F301" s="807"/>
      <c r="G301" s="807"/>
      <c r="H301" s="807"/>
      <c r="I301" s="807"/>
      <c r="J301" s="807"/>
      <c r="K301" s="807"/>
      <c r="L301" s="807"/>
      <c r="M301" s="807"/>
      <c r="N301" s="807"/>
      <c r="O301" s="807"/>
      <c r="P301" s="807"/>
      <c r="Q301" s="807"/>
      <c r="R301" s="807"/>
      <c r="S301" s="807"/>
      <c r="T301" s="807"/>
      <c r="U301" s="807"/>
      <c r="V301" s="807"/>
      <c r="W301" s="807"/>
      <c r="X301" s="807"/>
      <c r="Y301" s="807"/>
      <c r="Z301" s="807"/>
      <c r="AA301" s="807"/>
      <c r="AB301" s="807"/>
      <c r="AC301" s="807"/>
      <c r="AD301" s="807"/>
      <c r="AE301" s="807"/>
      <c r="AF301" s="807"/>
      <c r="AG301" s="807"/>
      <c r="AH301" s="807"/>
      <c r="AI301" s="807"/>
      <c r="AJ301" s="807"/>
      <c r="AK301" s="807"/>
      <c r="AL301" s="807"/>
      <c r="AM301" s="807"/>
      <c r="AN301" s="807"/>
      <c r="AO301" s="807"/>
      <c r="AP301" s="807"/>
    </row>
    <row r="302" spans="1:42" s="5" customFormat="1" x14ac:dyDescent="0.25">
      <c r="A302" s="805"/>
      <c r="B302" s="806"/>
      <c r="C302" s="806"/>
      <c r="D302" s="806"/>
      <c r="E302" s="807"/>
      <c r="F302" s="807"/>
      <c r="G302" s="807"/>
      <c r="H302" s="807"/>
      <c r="I302" s="807"/>
      <c r="J302" s="807"/>
      <c r="K302" s="807"/>
      <c r="L302" s="807"/>
      <c r="M302" s="807"/>
      <c r="N302" s="807"/>
      <c r="O302" s="807"/>
      <c r="P302" s="807"/>
      <c r="Q302" s="807"/>
      <c r="R302" s="807"/>
      <c r="S302" s="807"/>
      <c r="T302" s="807"/>
      <c r="U302" s="807"/>
      <c r="V302" s="807"/>
      <c r="W302" s="807"/>
      <c r="X302" s="807"/>
      <c r="Y302" s="807"/>
      <c r="Z302" s="807"/>
      <c r="AA302" s="807"/>
      <c r="AB302" s="807"/>
      <c r="AC302" s="807"/>
      <c r="AD302" s="807"/>
      <c r="AE302" s="807"/>
      <c r="AF302" s="807"/>
      <c r="AG302" s="807"/>
      <c r="AH302" s="807"/>
      <c r="AI302" s="807"/>
      <c r="AJ302" s="807"/>
      <c r="AK302" s="807"/>
      <c r="AL302" s="807"/>
      <c r="AM302" s="807"/>
      <c r="AN302" s="807"/>
      <c r="AO302" s="807"/>
      <c r="AP302" s="807"/>
    </row>
    <row r="303" spans="1:42" s="5" customFormat="1" x14ac:dyDescent="0.25">
      <c r="A303" s="805"/>
      <c r="B303" s="806"/>
      <c r="C303" s="806"/>
      <c r="D303" s="806"/>
      <c r="E303" s="807"/>
      <c r="F303" s="807"/>
      <c r="G303" s="807"/>
      <c r="H303" s="807"/>
      <c r="I303" s="807"/>
      <c r="J303" s="807"/>
      <c r="K303" s="807"/>
      <c r="L303" s="807"/>
      <c r="M303" s="807"/>
      <c r="N303" s="807"/>
      <c r="O303" s="807"/>
      <c r="P303" s="807"/>
      <c r="Q303" s="807"/>
      <c r="R303" s="807"/>
      <c r="S303" s="807"/>
      <c r="T303" s="807"/>
      <c r="U303" s="807"/>
      <c r="V303" s="807"/>
      <c r="W303" s="807"/>
      <c r="X303" s="807"/>
      <c r="Y303" s="807"/>
      <c r="Z303" s="807"/>
      <c r="AA303" s="807"/>
      <c r="AB303" s="807"/>
      <c r="AC303" s="807"/>
      <c r="AD303" s="807"/>
      <c r="AE303" s="807"/>
      <c r="AF303" s="807"/>
      <c r="AG303" s="807"/>
      <c r="AH303" s="807"/>
      <c r="AI303" s="807"/>
      <c r="AJ303" s="807"/>
      <c r="AK303" s="807"/>
      <c r="AL303" s="807"/>
      <c r="AM303" s="807"/>
      <c r="AN303" s="807"/>
      <c r="AO303" s="807"/>
      <c r="AP303" s="807"/>
    </row>
    <row r="304" spans="1:42" s="5" customFormat="1" x14ac:dyDescent="0.25">
      <c r="A304" s="805"/>
      <c r="B304" s="806"/>
      <c r="C304" s="806"/>
      <c r="D304" s="806"/>
      <c r="E304" s="807"/>
      <c r="F304" s="807"/>
      <c r="G304" s="807"/>
      <c r="H304" s="807"/>
      <c r="I304" s="807"/>
      <c r="J304" s="807"/>
      <c r="K304" s="807"/>
      <c r="L304" s="807"/>
      <c r="M304" s="807"/>
      <c r="N304" s="807"/>
      <c r="O304" s="807"/>
      <c r="P304" s="807"/>
      <c r="Q304" s="807"/>
      <c r="R304" s="807"/>
      <c r="S304" s="807"/>
      <c r="T304" s="807"/>
      <c r="U304" s="807"/>
      <c r="V304" s="807"/>
      <c r="W304" s="807"/>
      <c r="X304" s="807"/>
      <c r="Y304" s="807"/>
      <c r="Z304" s="807"/>
      <c r="AA304" s="807"/>
      <c r="AB304" s="807"/>
      <c r="AC304" s="807"/>
      <c r="AD304" s="807"/>
      <c r="AE304" s="807"/>
      <c r="AF304" s="807"/>
      <c r="AG304" s="807"/>
      <c r="AH304" s="807"/>
      <c r="AI304" s="807"/>
      <c r="AJ304" s="807"/>
      <c r="AK304" s="807"/>
      <c r="AL304" s="807"/>
      <c r="AM304" s="807"/>
      <c r="AN304" s="807"/>
      <c r="AO304" s="807"/>
      <c r="AP304" s="807"/>
    </row>
    <row r="305" spans="1:42" s="5" customFormat="1" x14ac:dyDescent="0.25">
      <c r="A305" s="805"/>
      <c r="B305" s="806"/>
      <c r="C305" s="806"/>
      <c r="D305" s="806"/>
      <c r="E305" s="807"/>
      <c r="F305" s="807"/>
      <c r="G305" s="807"/>
      <c r="H305" s="807"/>
      <c r="I305" s="807"/>
      <c r="J305" s="807"/>
      <c r="K305" s="807"/>
      <c r="L305" s="807"/>
      <c r="M305" s="807"/>
      <c r="N305" s="807"/>
      <c r="O305" s="807"/>
      <c r="P305" s="807"/>
      <c r="Q305" s="807"/>
      <c r="R305" s="807"/>
      <c r="S305" s="807"/>
      <c r="T305" s="807"/>
      <c r="U305" s="807"/>
      <c r="V305" s="807"/>
      <c r="W305" s="807"/>
      <c r="X305" s="807"/>
      <c r="Y305" s="807"/>
      <c r="Z305" s="807"/>
      <c r="AA305" s="807"/>
      <c r="AB305" s="807"/>
      <c r="AC305" s="807"/>
      <c r="AD305" s="807"/>
      <c r="AE305" s="807"/>
      <c r="AF305" s="807"/>
      <c r="AG305" s="807"/>
      <c r="AH305" s="807"/>
      <c r="AI305" s="807"/>
      <c r="AJ305" s="807"/>
      <c r="AK305" s="807"/>
      <c r="AL305" s="807"/>
      <c r="AM305" s="807"/>
      <c r="AN305" s="807"/>
      <c r="AO305" s="807"/>
      <c r="AP305" s="807"/>
    </row>
    <row r="306" spans="1:42" s="5" customFormat="1" x14ac:dyDescent="0.25">
      <c r="A306" s="805"/>
      <c r="B306" s="806"/>
      <c r="C306" s="806"/>
      <c r="D306" s="806"/>
      <c r="E306" s="807"/>
      <c r="F306" s="807"/>
      <c r="G306" s="807"/>
      <c r="H306" s="807"/>
      <c r="I306" s="807"/>
      <c r="J306" s="807"/>
      <c r="K306" s="807"/>
      <c r="L306" s="807"/>
      <c r="M306" s="807"/>
      <c r="N306" s="807"/>
      <c r="O306" s="807"/>
      <c r="P306" s="807"/>
      <c r="Q306" s="807"/>
      <c r="R306" s="807"/>
      <c r="S306" s="807"/>
      <c r="T306" s="807"/>
      <c r="U306" s="807"/>
      <c r="V306" s="807"/>
      <c r="W306" s="807"/>
      <c r="X306" s="807"/>
      <c r="Y306" s="807"/>
      <c r="Z306" s="807"/>
      <c r="AA306" s="807"/>
      <c r="AB306" s="807"/>
      <c r="AC306" s="807"/>
      <c r="AD306" s="807"/>
      <c r="AE306" s="807"/>
      <c r="AF306" s="807"/>
      <c r="AG306" s="807"/>
      <c r="AH306" s="807"/>
      <c r="AI306" s="807"/>
      <c r="AJ306" s="807"/>
      <c r="AK306" s="807"/>
      <c r="AL306" s="807"/>
      <c r="AM306" s="807"/>
      <c r="AN306" s="807"/>
      <c r="AO306" s="807"/>
      <c r="AP306" s="807"/>
    </row>
    <row r="307" spans="1:42" s="5" customFormat="1" x14ac:dyDescent="0.25">
      <c r="A307" s="805"/>
      <c r="B307" s="806"/>
      <c r="C307" s="806"/>
      <c r="D307" s="806"/>
      <c r="E307" s="807"/>
      <c r="F307" s="807"/>
      <c r="G307" s="807"/>
      <c r="H307" s="807"/>
      <c r="I307" s="807"/>
      <c r="J307" s="807"/>
      <c r="K307" s="807"/>
      <c r="L307" s="807"/>
      <c r="M307" s="807"/>
      <c r="N307" s="807"/>
      <c r="O307" s="807"/>
      <c r="P307" s="807"/>
      <c r="Q307" s="807"/>
      <c r="R307" s="807"/>
      <c r="S307" s="807"/>
      <c r="T307" s="807"/>
      <c r="U307" s="807"/>
      <c r="V307" s="807"/>
      <c r="W307" s="807"/>
      <c r="X307" s="807"/>
      <c r="Y307" s="807"/>
      <c r="Z307" s="807"/>
      <c r="AA307" s="807"/>
      <c r="AB307" s="807"/>
      <c r="AC307" s="807"/>
      <c r="AD307" s="807"/>
      <c r="AE307" s="807"/>
      <c r="AF307" s="807"/>
      <c r="AG307" s="807"/>
      <c r="AH307" s="807"/>
      <c r="AI307" s="807"/>
      <c r="AJ307" s="807"/>
      <c r="AK307" s="807"/>
      <c r="AL307" s="807"/>
      <c r="AM307" s="807"/>
      <c r="AN307" s="807"/>
      <c r="AO307" s="807"/>
      <c r="AP307" s="807"/>
    </row>
    <row r="308" spans="1:42" s="5" customFormat="1" x14ac:dyDescent="0.25">
      <c r="A308" s="805"/>
      <c r="B308" s="806"/>
      <c r="C308" s="806"/>
      <c r="D308" s="806"/>
      <c r="E308" s="807"/>
      <c r="F308" s="807"/>
      <c r="G308" s="807"/>
      <c r="H308" s="807"/>
      <c r="I308" s="807"/>
      <c r="J308" s="807"/>
      <c r="K308" s="807"/>
      <c r="L308" s="807"/>
      <c r="M308" s="807"/>
      <c r="N308" s="807"/>
      <c r="O308" s="807"/>
      <c r="P308" s="807"/>
      <c r="Q308" s="807"/>
      <c r="R308" s="807"/>
      <c r="S308" s="807"/>
      <c r="T308" s="807"/>
      <c r="U308" s="807"/>
      <c r="V308" s="807"/>
      <c r="W308" s="807"/>
      <c r="X308" s="807"/>
      <c r="Y308" s="807"/>
      <c r="Z308" s="807"/>
      <c r="AA308" s="807"/>
      <c r="AB308" s="807"/>
      <c r="AC308" s="807"/>
      <c r="AD308" s="807"/>
      <c r="AE308" s="807"/>
      <c r="AF308" s="807"/>
      <c r="AG308" s="807"/>
      <c r="AH308" s="807"/>
      <c r="AI308" s="807"/>
      <c r="AJ308" s="807"/>
      <c r="AK308" s="807"/>
      <c r="AL308" s="807"/>
      <c r="AM308" s="807"/>
      <c r="AN308" s="807"/>
      <c r="AO308" s="807"/>
      <c r="AP308" s="807"/>
    </row>
    <row r="309" spans="1:42" s="5" customFormat="1" x14ac:dyDescent="0.25">
      <c r="A309" s="805"/>
      <c r="B309" s="806"/>
      <c r="C309" s="806"/>
      <c r="D309" s="806"/>
      <c r="E309" s="807"/>
      <c r="F309" s="807"/>
      <c r="G309" s="807"/>
      <c r="H309" s="807"/>
      <c r="I309" s="807"/>
      <c r="J309" s="807"/>
      <c r="K309" s="807"/>
      <c r="L309" s="807"/>
      <c r="M309" s="807"/>
      <c r="N309" s="807"/>
      <c r="O309" s="807"/>
      <c r="P309" s="807"/>
      <c r="Q309" s="807"/>
      <c r="R309" s="807"/>
      <c r="S309" s="807"/>
      <c r="T309" s="807"/>
      <c r="U309" s="807"/>
      <c r="V309" s="807"/>
      <c r="W309" s="807"/>
      <c r="X309" s="807"/>
      <c r="Y309" s="807"/>
      <c r="Z309" s="807"/>
      <c r="AA309" s="807"/>
      <c r="AB309" s="807"/>
      <c r="AC309" s="807"/>
      <c r="AD309" s="807"/>
      <c r="AE309" s="807"/>
      <c r="AF309" s="807"/>
      <c r="AG309" s="807"/>
      <c r="AH309" s="807"/>
      <c r="AI309" s="807"/>
      <c r="AJ309" s="807"/>
      <c r="AK309" s="807"/>
      <c r="AL309" s="807"/>
      <c r="AM309" s="807"/>
      <c r="AN309" s="807"/>
      <c r="AO309" s="807"/>
      <c r="AP309" s="807"/>
    </row>
    <row r="310" spans="1:42" s="5" customFormat="1" x14ac:dyDescent="0.25">
      <c r="A310" s="805"/>
      <c r="B310" s="806"/>
      <c r="C310" s="806"/>
      <c r="D310" s="806"/>
      <c r="E310" s="807"/>
      <c r="F310" s="807"/>
      <c r="G310" s="807"/>
      <c r="H310" s="807"/>
      <c r="I310" s="807"/>
      <c r="J310" s="807"/>
      <c r="K310" s="807"/>
      <c r="L310" s="807"/>
      <c r="M310" s="807"/>
      <c r="N310" s="807"/>
      <c r="O310" s="807"/>
      <c r="P310" s="807"/>
      <c r="Q310" s="807"/>
      <c r="R310" s="807"/>
      <c r="S310" s="807"/>
      <c r="T310" s="807"/>
      <c r="U310" s="807"/>
      <c r="V310" s="807"/>
      <c r="W310" s="807"/>
      <c r="X310" s="807"/>
      <c r="Y310" s="807"/>
      <c r="Z310" s="807"/>
      <c r="AA310" s="807"/>
      <c r="AB310" s="807"/>
      <c r="AC310" s="807"/>
      <c r="AD310" s="807"/>
      <c r="AE310" s="807"/>
      <c r="AF310" s="807"/>
      <c r="AG310" s="807"/>
      <c r="AH310" s="807"/>
      <c r="AI310" s="807"/>
      <c r="AJ310" s="807"/>
      <c r="AK310" s="807"/>
      <c r="AL310" s="807"/>
      <c r="AM310" s="807"/>
      <c r="AN310" s="807"/>
      <c r="AO310" s="807"/>
      <c r="AP310" s="807"/>
    </row>
    <row r="311" spans="1:42" s="5" customFormat="1" x14ac:dyDescent="0.25">
      <c r="A311" s="805"/>
      <c r="B311" s="806"/>
      <c r="C311" s="806"/>
      <c r="D311" s="806"/>
      <c r="E311" s="807"/>
      <c r="F311" s="807"/>
      <c r="G311" s="807"/>
      <c r="H311" s="807"/>
      <c r="I311" s="807"/>
      <c r="J311" s="807"/>
      <c r="K311" s="807"/>
      <c r="L311" s="807"/>
      <c r="M311" s="807"/>
      <c r="N311" s="807"/>
      <c r="O311" s="807"/>
      <c r="P311" s="807"/>
      <c r="Q311" s="807"/>
      <c r="R311" s="807"/>
      <c r="S311" s="807"/>
      <c r="T311" s="807"/>
      <c r="U311" s="807"/>
      <c r="V311" s="807"/>
      <c r="W311" s="807"/>
      <c r="X311" s="807"/>
      <c r="Y311" s="807"/>
      <c r="Z311" s="807"/>
      <c r="AA311" s="807"/>
      <c r="AB311" s="807"/>
      <c r="AC311" s="807"/>
      <c r="AD311" s="807"/>
      <c r="AE311" s="807"/>
      <c r="AF311" s="807"/>
      <c r="AG311" s="807"/>
      <c r="AH311" s="807"/>
      <c r="AI311" s="807"/>
      <c r="AJ311" s="807"/>
      <c r="AK311" s="807"/>
      <c r="AL311" s="807"/>
      <c r="AM311" s="807"/>
      <c r="AN311" s="807"/>
      <c r="AO311" s="807"/>
      <c r="AP311" s="807"/>
    </row>
    <row r="312" spans="1:42" s="5" customFormat="1" x14ac:dyDescent="0.25">
      <c r="A312" s="805"/>
      <c r="B312" s="806"/>
      <c r="C312" s="806"/>
      <c r="D312" s="806"/>
      <c r="E312" s="807"/>
      <c r="F312" s="807"/>
      <c r="G312" s="807"/>
      <c r="H312" s="807"/>
      <c r="I312" s="807"/>
      <c r="J312" s="807"/>
      <c r="K312" s="807"/>
      <c r="L312" s="807"/>
      <c r="M312" s="807"/>
      <c r="N312" s="807"/>
      <c r="O312" s="807"/>
      <c r="P312" s="807"/>
      <c r="Q312" s="807"/>
      <c r="R312" s="807"/>
      <c r="S312" s="807"/>
      <c r="T312" s="807"/>
      <c r="U312" s="807"/>
      <c r="V312" s="807"/>
      <c r="W312" s="807"/>
      <c r="X312" s="807"/>
      <c r="Y312" s="807"/>
      <c r="Z312" s="807"/>
      <c r="AA312" s="807"/>
      <c r="AB312" s="807"/>
      <c r="AC312" s="807"/>
      <c r="AD312" s="807"/>
      <c r="AE312" s="807"/>
      <c r="AF312" s="807"/>
      <c r="AG312" s="807"/>
      <c r="AH312" s="807"/>
      <c r="AI312" s="807"/>
      <c r="AJ312" s="807"/>
      <c r="AK312" s="807"/>
      <c r="AL312" s="807"/>
      <c r="AM312" s="807"/>
      <c r="AN312" s="807"/>
      <c r="AO312" s="807"/>
      <c r="AP312" s="807"/>
    </row>
    <row r="313" spans="1:42" s="5" customFormat="1" x14ac:dyDescent="0.25">
      <c r="A313" s="805"/>
      <c r="B313" s="806"/>
      <c r="C313" s="806"/>
      <c r="D313" s="806"/>
      <c r="E313" s="807"/>
      <c r="F313" s="807"/>
      <c r="G313" s="807"/>
      <c r="H313" s="807"/>
      <c r="I313" s="807"/>
      <c r="J313" s="807"/>
      <c r="K313" s="807"/>
      <c r="L313" s="807"/>
      <c r="M313" s="807"/>
      <c r="N313" s="807"/>
      <c r="O313" s="807"/>
      <c r="P313" s="807"/>
      <c r="Q313" s="807"/>
      <c r="R313" s="807"/>
      <c r="S313" s="807"/>
      <c r="T313" s="807"/>
      <c r="U313" s="807"/>
      <c r="V313" s="807"/>
      <c r="W313" s="807"/>
      <c r="X313" s="807"/>
      <c r="Y313" s="807"/>
      <c r="Z313" s="807"/>
      <c r="AA313" s="807"/>
      <c r="AB313" s="807"/>
      <c r="AC313" s="807"/>
      <c r="AD313" s="807"/>
      <c r="AE313" s="807"/>
      <c r="AF313" s="807"/>
      <c r="AG313" s="807"/>
      <c r="AH313" s="807"/>
      <c r="AI313" s="807"/>
      <c r="AJ313" s="807"/>
      <c r="AK313" s="807"/>
      <c r="AL313" s="807"/>
      <c r="AM313" s="807"/>
      <c r="AN313" s="807"/>
      <c r="AO313" s="807"/>
      <c r="AP313" s="807"/>
    </row>
    <row r="314" spans="1:42" s="5" customFormat="1" x14ac:dyDescent="0.25">
      <c r="A314" s="805"/>
      <c r="B314" s="806"/>
      <c r="C314" s="806"/>
      <c r="D314" s="806"/>
      <c r="E314" s="807"/>
      <c r="F314" s="807"/>
      <c r="G314" s="807"/>
      <c r="H314" s="807"/>
      <c r="I314" s="807"/>
      <c r="J314" s="807"/>
      <c r="K314" s="807"/>
      <c r="L314" s="807"/>
      <c r="M314" s="807"/>
      <c r="N314" s="807"/>
      <c r="O314" s="807"/>
      <c r="P314" s="807"/>
      <c r="Q314" s="807"/>
      <c r="R314" s="807"/>
      <c r="S314" s="807"/>
      <c r="T314" s="807"/>
      <c r="U314" s="807"/>
      <c r="V314" s="807"/>
      <c r="W314" s="807"/>
      <c r="X314" s="807"/>
      <c r="Y314" s="807"/>
      <c r="Z314" s="807"/>
      <c r="AA314" s="807"/>
      <c r="AB314" s="807"/>
      <c r="AC314" s="807"/>
      <c r="AD314" s="807"/>
      <c r="AE314" s="807"/>
      <c r="AF314" s="807"/>
      <c r="AG314" s="807"/>
      <c r="AH314" s="807"/>
      <c r="AI314" s="807"/>
      <c r="AJ314" s="807"/>
      <c r="AK314" s="807"/>
      <c r="AL314" s="807"/>
      <c r="AM314" s="807"/>
      <c r="AN314" s="807"/>
      <c r="AO314" s="807"/>
      <c r="AP314" s="807"/>
    </row>
    <row r="315" spans="1:42" s="5" customFormat="1" x14ac:dyDescent="0.25">
      <c r="A315" s="805"/>
      <c r="B315" s="806"/>
      <c r="C315" s="806"/>
      <c r="D315" s="806"/>
      <c r="E315" s="807"/>
      <c r="F315" s="807"/>
      <c r="G315" s="807"/>
      <c r="H315" s="807"/>
      <c r="I315" s="807"/>
      <c r="J315" s="807"/>
      <c r="K315" s="807"/>
      <c r="L315" s="807"/>
      <c r="M315" s="807"/>
      <c r="N315" s="807"/>
      <c r="O315" s="807"/>
      <c r="P315" s="807"/>
      <c r="Q315" s="807"/>
      <c r="R315" s="807"/>
      <c r="S315" s="807"/>
      <c r="T315" s="807"/>
      <c r="U315" s="807"/>
      <c r="V315" s="807"/>
      <c r="W315" s="807"/>
      <c r="X315" s="807"/>
      <c r="Y315" s="807"/>
      <c r="Z315" s="807"/>
      <c r="AA315" s="807"/>
      <c r="AB315" s="807"/>
      <c r="AC315" s="807"/>
      <c r="AD315" s="807"/>
      <c r="AE315" s="807"/>
      <c r="AF315" s="807"/>
      <c r="AG315" s="807"/>
      <c r="AH315" s="807"/>
      <c r="AI315" s="807"/>
      <c r="AJ315" s="807"/>
      <c r="AK315" s="807"/>
      <c r="AL315" s="807"/>
      <c r="AM315" s="807"/>
      <c r="AN315" s="807"/>
      <c r="AO315" s="807"/>
      <c r="AP315" s="807"/>
    </row>
    <row r="316" spans="1:42" s="5" customFormat="1" x14ac:dyDescent="0.25">
      <c r="A316" s="805"/>
      <c r="B316" s="806"/>
      <c r="C316" s="806"/>
      <c r="D316" s="806"/>
      <c r="E316" s="807"/>
      <c r="F316" s="807"/>
      <c r="G316" s="807"/>
      <c r="H316" s="807"/>
      <c r="I316" s="807"/>
      <c r="J316" s="807"/>
      <c r="K316" s="807"/>
      <c r="L316" s="807"/>
      <c r="M316" s="807"/>
      <c r="N316" s="807"/>
      <c r="O316" s="807"/>
      <c r="P316" s="807"/>
      <c r="Q316" s="807"/>
      <c r="R316" s="807"/>
      <c r="S316" s="807"/>
      <c r="T316" s="807"/>
      <c r="U316" s="807"/>
      <c r="V316" s="807"/>
      <c r="W316" s="807"/>
      <c r="X316" s="807"/>
      <c r="Y316" s="807"/>
      <c r="Z316" s="807"/>
      <c r="AA316" s="807"/>
      <c r="AB316" s="807"/>
      <c r="AC316" s="807"/>
      <c r="AD316" s="807"/>
      <c r="AE316" s="807"/>
      <c r="AF316" s="807"/>
      <c r="AG316" s="807"/>
      <c r="AH316" s="807"/>
      <c r="AI316" s="807"/>
      <c r="AJ316" s="807"/>
      <c r="AK316" s="807"/>
      <c r="AL316" s="807"/>
      <c r="AM316" s="807"/>
      <c r="AN316" s="807"/>
      <c r="AO316" s="807"/>
      <c r="AP316" s="807"/>
    </row>
    <row r="317" spans="1:42" s="5" customFormat="1" x14ac:dyDescent="0.25">
      <c r="A317" s="805"/>
      <c r="B317" s="806"/>
      <c r="C317" s="806"/>
      <c r="D317" s="806"/>
      <c r="E317" s="807"/>
      <c r="F317" s="807"/>
      <c r="G317" s="807"/>
      <c r="H317" s="807"/>
      <c r="I317" s="807"/>
      <c r="J317" s="807"/>
      <c r="K317" s="807"/>
      <c r="L317" s="807"/>
      <c r="M317" s="807"/>
      <c r="N317" s="807"/>
      <c r="O317" s="807"/>
      <c r="P317" s="807"/>
      <c r="Q317" s="807"/>
      <c r="R317" s="807"/>
      <c r="S317" s="807"/>
      <c r="T317" s="807"/>
      <c r="U317" s="807"/>
      <c r="V317" s="807"/>
      <c r="W317" s="807"/>
      <c r="X317" s="807"/>
      <c r="Y317" s="807"/>
      <c r="Z317" s="807"/>
      <c r="AA317" s="807"/>
      <c r="AB317" s="807"/>
      <c r="AC317" s="807"/>
      <c r="AD317" s="807"/>
      <c r="AE317" s="807"/>
      <c r="AF317" s="807"/>
      <c r="AG317" s="807"/>
      <c r="AH317" s="807"/>
      <c r="AI317" s="807"/>
      <c r="AJ317" s="807"/>
      <c r="AK317" s="807"/>
      <c r="AL317" s="807"/>
      <c r="AM317" s="807"/>
      <c r="AN317" s="807"/>
      <c r="AO317" s="807"/>
      <c r="AP317" s="807"/>
    </row>
    <row r="318" spans="1:42" s="5" customFormat="1" x14ac:dyDescent="0.25">
      <c r="A318" s="805"/>
      <c r="B318" s="806"/>
      <c r="C318" s="806"/>
      <c r="D318" s="806"/>
      <c r="E318" s="807"/>
      <c r="F318" s="807"/>
      <c r="G318" s="807"/>
      <c r="H318" s="807"/>
      <c r="I318" s="807"/>
      <c r="J318" s="807"/>
      <c r="K318" s="807"/>
      <c r="L318" s="807"/>
      <c r="M318" s="807"/>
      <c r="N318" s="807"/>
      <c r="O318" s="807"/>
      <c r="P318" s="807"/>
      <c r="Q318" s="807"/>
      <c r="R318" s="807"/>
      <c r="S318" s="807"/>
      <c r="T318" s="807"/>
      <c r="U318" s="807"/>
      <c r="V318" s="807"/>
      <c r="W318" s="807"/>
      <c r="X318" s="807"/>
      <c r="Y318" s="807"/>
      <c r="Z318" s="807"/>
      <c r="AA318" s="807"/>
      <c r="AB318" s="807"/>
      <c r="AC318" s="807"/>
      <c r="AD318" s="807"/>
      <c r="AE318" s="807"/>
      <c r="AF318" s="807"/>
      <c r="AG318" s="807"/>
      <c r="AH318" s="807"/>
      <c r="AI318" s="807"/>
      <c r="AJ318" s="807"/>
      <c r="AK318" s="807"/>
      <c r="AL318" s="807"/>
      <c r="AM318" s="807"/>
      <c r="AN318" s="807"/>
      <c r="AO318" s="807"/>
      <c r="AP318" s="807"/>
    </row>
    <row r="319" spans="1:42" s="5" customFormat="1" x14ac:dyDescent="0.25">
      <c r="A319" s="805"/>
      <c r="B319" s="806"/>
      <c r="C319" s="806"/>
      <c r="D319" s="806"/>
      <c r="E319" s="807"/>
      <c r="F319" s="807"/>
      <c r="G319" s="807"/>
      <c r="H319" s="807"/>
      <c r="I319" s="807"/>
      <c r="J319" s="807"/>
      <c r="K319" s="807"/>
      <c r="L319" s="807"/>
      <c r="M319" s="807"/>
      <c r="N319" s="807"/>
      <c r="O319" s="807"/>
      <c r="P319" s="807"/>
      <c r="Q319" s="807"/>
      <c r="R319" s="807"/>
      <c r="S319" s="807"/>
      <c r="T319" s="807"/>
      <c r="U319" s="807"/>
      <c r="V319" s="807"/>
      <c r="W319" s="807"/>
      <c r="X319" s="807"/>
      <c r="Y319" s="807"/>
      <c r="Z319" s="807"/>
      <c r="AA319" s="807"/>
      <c r="AB319" s="807"/>
      <c r="AC319" s="807"/>
      <c r="AD319" s="807"/>
      <c r="AE319" s="807"/>
      <c r="AF319" s="807"/>
      <c r="AG319" s="807"/>
      <c r="AH319" s="807"/>
      <c r="AI319" s="807"/>
      <c r="AJ319" s="807"/>
      <c r="AK319" s="807"/>
      <c r="AL319" s="807"/>
      <c r="AM319" s="807"/>
      <c r="AN319" s="807"/>
      <c r="AO319" s="807"/>
      <c r="AP319" s="807"/>
    </row>
    <row r="320" spans="1:42" s="5" customFormat="1" x14ac:dyDescent="0.25">
      <c r="A320" s="805"/>
      <c r="B320" s="806"/>
      <c r="C320" s="806"/>
      <c r="D320" s="806"/>
      <c r="E320" s="807"/>
      <c r="F320" s="807"/>
      <c r="G320" s="807"/>
      <c r="H320" s="807"/>
      <c r="I320" s="807"/>
      <c r="J320" s="807"/>
      <c r="K320" s="807"/>
      <c r="L320" s="807"/>
      <c r="M320" s="807"/>
      <c r="N320" s="807"/>
      <c r="O320" s="807"/>
      <c r="P320" s="807"/>
      <c r="Q320" s="807"/>
      <c r="R320" s="807"/>
      <c r="S320" s="807"/>
      <c r="T320" s="807"/>
      <c r="U320" s="807"/>
      <c r="V320" s="807"/>
      <c r="W320" s="807"/>
      <c r="X320" s="807"/>
      <c r="Y320" s="807"/>
      <c r="Z320" s="807"/>
      <c r="AA320" s="807"/>
      <c r="AB320" s="807"/>
      <c r="AC320" s="807"/>
      <c r="AD320" s="807"/>
      <c r="AE320" s="807"/>
      <c r="AF320" s="807"/>
      <c r="AG320" s="807"/>
      <c r="AH320" s="807"/>
      <c r="AI320" s="807"/>
      <c r="AJ320" s="807"/>
      <c r="AK320" s="807"/>
      <c r="AL320" s="807"/>
      <c r="AM320" s="807"/>
      <c r="AN320" s="807"/>
      <c r="AO320" s="807"/>
      <c r="AP320" s="807"/>
    </row>
    <row r="321" spans="1:42" s="5" customFormat="1" x14ac:dyDescent="0.25">
      <c r="A321" s="805"/>
      <c r="B321" s="806"/>
      <c r="C321" s="806"/>
      <c r="D321" s="806"/>
      <c r="E321" s="807"/>
      <c r="F321" s="807"/>
      <c r="G321" s="807"/>
      <c r="H321" s="807"/>
      <c r="I321" s="807"/>
      <c r="J321" s="807"/>
      <c r="K321" s="807"/>
      <c r="L321" s="807"/>
      <c r="M321" s="807"/>
      <c r="N321" s="807"/>
      <c r="O321" s="807"/>
      <c r="P321" s="807"/>
      <c r="Q321" s="807"/>
      <c r="R321" s="807"/>
      <c r="S321" s="807"/>
      <c r="T321" s="807"/>
      <c r="U321" s="807"/>
      <c r="V321" s="807"/>
      <c r="W321" s="807"/>
      <c r="X321" s="807"/>
      <c r="Y321" s="807"/>
      <c r="Z321" s="807"/>
      <c r="AA321" s="807"/>
      <c r="AB321" s="807"/>
      <c r="AC321" s="807"/>
      <c r="AD321" s="807"/>
      <c r="AE321" s="807"/>
      <c r="AF321" s="807"/>
      <c r="AG321" s="807"/>
      <c r="AH321" s="807"/>
      <c r="AI321" s="807"/>
      <c r="AJ321" s="807"/>
      <c r="AK321" s="807"/>
      <c r="AL321" s="807"/>
      <c r="AM321" s="807"/>
      <c r="AN321" s="807"/>
      <c r="AO321" s="807"/>
      <c r="AP321" s="807"/>
    </row>
    <row r="322" spans="1:42" s="5" customFormat="1" x14ac:dyDescent="0.25">
      <c r="A322" s="805"/>
      <c r="B322" s="806"/>
      <c r="C322" s="806"/>
      <c r="D322" s="806"/>
      <c r="E322" s="807"/>
      <c r="F322" s="807"/>
      <c r="G322" s="807"/>
      <c r="H322" s="807"/>
      <c r="I322" s="807"/>
      <c r="J322" s="807"/>
      <c r="K322" s="807"/>
      <c r="L322" s="807"/>
      <c r="M322" s="807"/>
      <c r="N322" s="807"/>
      <c r="O322" s="807"/>
      <c r="P322" s="807"/>
      <c r="Q322" s="807"/>
      <c r="R322" s="807"/>
      <c r="S322" s="807"/>
      <c r="T322" s="807"/>
      <c r="U322" s="807"/>
      <c r="V322" s="807"/>
      <c r="W322" s="807"/>
      <c r="X322" s="807"/>
      <c r="Y322" s="807"/>
      <c r="Z322" s="807"/>
      <c r="AA322" s="807"/>
      <c r="AB322" s="807"/>
      <c r="AC322" s="807"/>
      <c r="AD322" s="807"/>
      <c r="AE322" s="807"/>
      <c r="AF322" s="807"/>
      <c r="AG322" s="807"/>
      <c r="AH322" s="807"/>
      <c r="AI322" s="807"/>
      <c r="AJ322" s="807"/>
      <c r="AK322" s="807"/>
      <c r="AL322" s="807"/>
      <c r="AM322" s="807"/>
      <c r="AN322" s="807"/>
      <c r="AO322" s="807"/>
      <c r="AP322" s="807"/>
    </row>
    <row r="323" spans="1:42" s="5" customFormat="1" x14ac:dyDescent="0.25">
      <c r="A323" s="805"/>
      <c r="B323" s="806"/>
      <c r="C323" s="806"/>
      <c r="D323" s="806"/>
      <c r="E323" s="807"/>
      <c r="F323" s="807"/>
      <c r="G323" s="807"/>
      <c r="H323" s="807"/>
      <c r="I323" s="807"/>
      <c r="J323" s="807"/>
      <c r="K323" s="807"/>
      <c r="L323" s="807"/>
      <c r="M323" s="807"/>
      <c r="N323" s="807"/>
      <c r="O323" s="807"/>
      <c r="P323" s="807"/>
      <c r="Q323" s="807"/>
      <c r="R323" s="807"/>
      <c r="S323" s="807"/>
      <c r="T323" s="807"/>
      <c r="U323" s="807"/>
      <c r="V323" s="807"/>
      <c r="W323" s="807"/>
      <c r="X323" s="807"/>
      <c r="Y323" s="807"/>
      <c r="Z323" s="807"/>
      <c r="AA323" s="807"/>
      <c r="AB323" s="807"/>
      <c r="AC323" s="807"/>
      <c r="AD323" s="807"/>
      <c r="AE323" s="807"/>
      <c r="AF323" s="807"/>
      <c r="AG323" s="807"/>
      <c r="AH323" s="807"/>
      <c r="AI323" s="807"/>
      <c r="AJ323" s="807"/>
      <c r="AK323" s="807"/>
      <c r="AL323" s="807"/>
      <c r="AM323" s="807"/>
      <c r="AN323" s="807"/>
      <c r="AO323" s="807"/>
      <c r="AP323" s="807"/>
    </row>
    <row r="324" spans="1:42" s="5" customFormat="1" x14ac:dyDescent="0.25">
      <c r="A324" s="805"/>
      <c r="B324" s="806"/>
      <c r="C324" s="806"/>
      <c r="D324" s="806"/>
      <c r="E324" s="807"/>
      <c r="F324" s="807"/>
      <c r="G324" s="807"/>
      <c r="H324" s="807"/>
      <c r="I324" s="807"/>
      <c r="J324" s="807"/>
      <c r="K324" s="807"/>
      <c r="L324" s="807"/>
      <c r="M324" s="807"/>
      <c r="N324" s="807"/>
      <c r="O324" s="807"/>
      <c r="P324" s="807"/>
      <c r="Q324" s="807"/>
      <c r="R324" s="807"/>
      <c r="S324" s="807"/>
      <c r="T324" s="807"/>
      <c r="U324" s="807"/>
      <c r="V324" s="807"/>
      <c r="W324" s="807"/>
      <c r="X324" s="807"/>
      <c r="Y324" s="807"/>
      <c r="Z324" s="807"/>
      <c r="AA324" s="807"/>
      <c r="AB324" s="807"/>
      <c r="AC324" s="807"/>
      <c r="AD324" s="807"/>
      <c r="AE324" s="807"/>
      <c r="AF324" s="807"/>
      <c r="AG324" s="807"/>
      <c r="AH324" s="807"/>
      <c r="AI324" s="807"/>
      <c r="AJ324" s="807"/>
      <c r="AK324" s="807"/>
      <c r="AL324" s="807"/>
      <c r="AM324" s="807"/>
      <c r="AN324" s="807"/>
      <c r="AO324" s="807"/>
      <c r="AP324" s="807"/>
    </row>
    <row r="325" spans="1:42" s="5" customFormat="1" x14ac:dyDescent="0.25">
      <c r="A325" s="805"/>
      <c r="B325" s="806"/>
      <c r="C325" s="806"/>
      <c r="D325" s="806"/>
      <c r="E325" s="807"/>
      <c r="F325" s="807"/>
      <c r="G325" s="807"/>
      <c r="H325" s="807"/>
      <c r="I325" s="807"/>
      <c r="J325" s="807"/>
      <c r="K325" s="807"/>
      <c r="L325" s="807"/>
      <c r="M325" s="807"/>
      <c r="N325" s="807"/>
      <c r="O325" s="807"/>
      <c r="P325" s="807"/>
      <c r="Q325" s="807"/>
      <c r="R325" s="807"/>
      <c r="S325" s="807"/>
      <c r="T325" s="807"/>
      <c r="U325" s="807"/>
      <c r="V325" s="807"/>
      <c r="W325" s="807"/>
      <c r="X325" s="807"/>
      <c r="Y325" s="807"/>
      <c r="Z325" s="807"/>
      <c r="AA325" s="807"/>
      <c r="AB325" s="807"/>
      <c r="AC325" s="807"/>
      <c r="AD325" s="807"/>
      <c r="AE325" s="807"/>
      <c r="AF325" s="807"/>
      <c r="AG325" s="807"/>
      <c r="AH325" s="807"/>
      <c r="AI325" s="807"/>
      <c r="AJ325" s="807"/>
      <c r="AK325" s="807"/>
      <c r="AL325" s="807"/>
      <c r="AM325" s="807"/>
      <c r="AN325" s="807"/>
      <c r="AO325" s="807"/>
      <c r="AP325" s="807"/>
    </row>
    <row r="326" spans="1:42" s="5" customFormat="1" x14ac:dyDescent="0.25">
      <c r="A326" s="805"/>
      <c r="B326" s="806"/>
      <c r="C326" s="806"/>
      <c r="D326" s="806"/>
      <c r="E326" s="807"/>
      <c r="F326" s="807"/>
      <c r="G326" s="807"/>
      <c r="H326" s="807"/>
      <c r="I326" s="807"/>
      <c r="J326" s="807"/>
      <c r="K326" s="807"/>
      <c r="L326" s="807"/>
      <c r="M326" s="807"/>
      <c r="N326" s="807"/>
      <c r="O326" s="807"/>
      <c r="P326" s="807"/>
      <c r="Q326" s="807"/>
      <c r="R326" s="807"/>
      <c r="S326" s="807"/>
      <c r="T326" s="807"/>
      <c r="U326" s="807"/>
      <c r="V326" s="807"/>
      <c r="W326" s="807"/>
      <c r="X326" s="807"/>
      <c r="Y326" s="807"/>
      <c r="Z326" s="807"/>
      <c r="AA326" s="807"/>
      <c r="AB326" s="807"/>
      <c r="AC326" s="807"/>
      <c r="AD326" s="807"/>
      <c r="AE326" s="807"/>
      <c r="AF326" s="807"/>
      <c r="AG326" s="807"/>
      <c r="AH326" s="807"/>
      <c r="AI326" s="807"/>
      <c r="AJ326" s="807"/>
      <c r="AK326" s="807"/>
      <c r="AL326" s="807"/>
      <c r="AM326" s="807"/>
      <c r="AN326" s="807"/>
      <c r="AO326" s="807"/>
      <c r="AP326" s="807"/>
    </row>
    <row r="327" spans="1:42" s="5" customFormat="1" x14ac:dyDescent="0.25">
      <c r="A327" s="805"/>
      <c r="B327" s="806"/>
      <c r="C327" s="806"/>
      <c r="D327" s="806"/>
      <c r="E327" s="807"/>
      <c r="F327" s="807"/>
      <c r="G327" s="807"/>
      <c r="H327" s="807"/>
      <c r="I327" s="807"/>
      <c r="J327" s="807"/>
      <c r="K327" s="807"/>
      <c r="L327" s="807"/>
      <c r="M327" s="807"/>
      <c r="N327" s="807"/>
      <c r="O327" s="807"/>
      <c r="P327" s="807"/>
      <c r="Q327" s="807"/>
      <c r="R327" s="807"/>
      <c r="S327" s="807"/>
      <c r="T327" s="807"/>
      <c r="U327" s="807"/>
      <c r="V327" s="807"/>
      <c r="W327" s="807"/>
      <c r="X327" s="807"/>
      <c r="Y327" s="807"/>
      <c r="Z327" s="807"/>
      <c r="AA327" s="807"/>
      <c r="AB327" s="807"/>
      <c r="AC327" s="807"/>
      <c r="AD327" s="807"/>
      <c r="AE327" s="807"/>
      <c r="AF327" s="807"/>
      <c r="AG327" s="807"/>
      <c r="AH327" s="807"/>
      <c r="AI327" s="807"/>
      <c r="AJ327" s="807"/>
      <c r="AK327" s="807"/>
      <c r="AL327" s="807"/>
      <c r="AM327" s="807"/>
      <c r="AN327" s="807"/>
      <c r="AO327" s="807"/>
      <c r="AP327" s="807"/>
    </row>
    <row r="328" spans="1:42" s="5" customFormat="1" x14ac:dyDescent="0.25">
      <c r="A328" s="805"/>
      <c r="B328" s="806"/>
      <c r="C328" s="806"/>
      <c r="D328" s="806"/>
      <c r="E328" s="807"/>
      <c r="F328" s="807"/>
      <c r="G328" s="807"/>
      <c r="H328" s="807"/>
      <c r="I328" s="807"/>
      <c r="J328" s="807"/>
      <c r="K328" s="807"/>
      <c r="L328" s="807"/>
      <c r="M328" s="807"/>
      <c r="N328" s="807"/>
      <c r="O328" s="807"/>
      <c r="P328" s="807"/>
      <c r="Q328" s="807"/>
      <c r="R328" s="807"/>
      <c r="S328" s="807"/>
      <c r="T328" s="807"/>
      <c r="U328" s="807"/>
      <c r="V328" s="807"/>
      <c r="W328" s="807"/>
      <c r="X328" s="807"/>
      <c r="Y328" s="807"/>
      <c r="Z328" s="807"/>
      <c r="AA328" s="807"/>
      <c r="AB328" s="807"/>
      <c r="AC328" s="807"/>
      <c r="AD328" s="807"/>
      <c r="AE328" s="807"/>
      <c r="AF328" s="807"/>
      <c r="AG328" s="807"/>
      <c r="AH328" s="807"/>
      <c r="AI328" s="807"/>
      <c r="AJ328" s="807"/>
      <c r="AK328" s="807"/>
      <c r="AL328" s="807"/>
      <c r="AM328" s="807"/>
      <c r="AN328" s="807"/>
      <c r="AO328" s="807"/>
      <c r="AP328" s="807"/>
    </row>
    <row r="329" spans="1:42" s="5" customFormat="1" x14ac:dyDescent="0.25">
      <c r="A329" s="805"/>
      <c r="B329" s="806"/>
      <c r="C329" s="806"/>
      <c r="D329" s="806"/>
      <c r="E329" s="807"/>
      <c r="F329" s="807"/>
      <c r="G329" s="807"/>
      <c r="H329" s="807"/>
      <c r="I329" s="807"/>
      <c r="J329" s="807"/>
      <c r="K329" s="807"/>
      <c r="L329" s="807"/>
      <c r="M329" s="807"/>
      <c r="N329" s="807"/>
      <c r="O329" s="807"/>
      <c r="P329" s="807"/>
      <c r="Q329" s="807"/>
      <c r="R329" s="807"/>
      <c r="S329" s="807"/>
      <c r="T329" s="807"/>
      <c r="U329" s="807"/>
      <c r="V329" s="807"/>
      <c r="W329" s="807"/>
      <c r="X329" s="807"/>
      <c r="Y329" s="807"/>
      <c r="Z329" s="807"/>
      <c r="AA329" s="807"/>
      <c r="AB329" s="807"/>
      <c r="AC329" s="807"/>
      <c r="AD329" s="807"/>
      <c r="AE329" s="807"/>
      <c r="AF329" s="807"/>
      <c r="AG329" s="807"/>
      <c r="AH329" s="807"/>
      <c r="AI329" s="807"/>
      <c r="AJ329" s="807"/>
      <c r="AK329" s="807"/>
      <c r="AL329" s="807"/>
      <c r="AM329" s="807"/>
      <c r="AN329" s="807"/>
      <c r="AO329" s="807"/>
      <c r="AP329" s="807"/>
    </row>
    <row r="330" spans="1:42" s="5" customFormat="1" x14ac:dyDescent="0.25">
      <c r="A330" s="805"/>
      <c r="B330" s="806"/>
      <c r="C330" s="806"/>
      <c r="D330" s="806"/>
      <c r="E330" s="807"/>
      <c r="F330" s="807"/>
      <c r="G330" s="807"/>
      <c r="H330" s="807"/>
      <c r="I330" s="807"/>
      <c r="J330" s="807"/>
      <c r="K330" s="807"/>
      <c r="L330" s="807"/>
      <c r="M330" s="807"/>
      <c r="N330" s="807"/>
      <c r="O330" s="807"/>
      <c r="P330" s="807"/>
      <c r="Q330" s="807"/>
      <c r="R330" s="807"/>
      <c r="S330" s="807"/>
      <c r="T330" s="807"/>
      <c r="U330" s="807"/>
      <c r="V330" s="807"/>
      <c r="W330" s="807"/>
      <c r="X330" s="807"/>
      <c r="Y330" s="807"/>
      <c r="Z330" s="807"/>
      <c r="AA330" s="807"/>
      <c r="AB330" s="807"/>
      <c r="AC330" s="807"/>
      <c r="AD330" s="807"/>
      <c r="AE330" s="807"/>
      <c r="AF330" s="807"/>
      <c r="AG330" s="807"/>
      <c r="AH330" s="807"/>
      <c r="AI330" s="807"/>
      <c r="AJ330" s="807"/>
      <c r="AK330" s="807"/>
      <c r="AL330" s="807"/>
      <c r="AM330" s="807"/>
      <c r="AN330" s="807"/>
      <c r="AO330" s="807"/>
      <c r="AP330" s="807"/>
    </row>
    <row r="331" spans="1:42" s="5" customFormat="1" x14ac:dyDescent="0.25">
      <c r="A331" s="805"/>
      <c r="B331" s="806"/>
      <c r="C331" s="806"/>
      <c r="D331" s="806"/>
      <c r="E331" s="807"/>
      <c r="F331" s="807"/>
      <c r="G331" s="807"/>
      <c r="H331" s="807"/>
      <c r="I331" s="807"/>
      <c r="J331" s="807"/>
      <c r="K331" s="807"/>
      <c r="L331" s="807"/>
      <c r="M331" s="807"/>
      <c r="N331" s="807"/>
      <c r="O331" s="807"/>
      <c r="P331" s="807"/>
      <c r="Q331" s="807"/>
      <c r="R331" s="807"/>
      <c r="S331" s="807"/>
      <c r="T331" s="807"/>
      <c r="U331" s="807"/>
      <c r="V331" s="807"/>
      <c r="W331" s="807"/>
      <c r="X331" s="807"/>
      <c r="Y331" s="807"/>
      <c r="Z331" s="807"/>
      <c r="AA331" s="807"/>
      <c r="AB331" s="807"/>
      <c r="AC331" s="807"/>
      <c r="AD331" s="807"/>
      <c r="AE331" s="807"/>
      <c r="AF331" s="807"/>
      <c r="AG331" s="807"/>
      <c r="AH331" s="807"/>
      <c r="AI331" s="807"/>
      <c r="AJ331" s="807"/>
      <c r="AK331" s="807"/>
      <c r="AL331" s="807"/>
      <c r="AM331" s="807"/>
      <c r="AN331" s="807"/>
      <c r="AO331" s="807"/>
      <c r="AP331" s="807"/>
    </row>
    <row r="332" spans="1:42" s="5" customFormat="1" x14ac:dyDescent="0.25">
      <c r="A332" s="805"/>
      <c r="B332" s="806"/>
      <c r="C332" s="806"/>
      <c r="D332" s="806"/>
      <c r="E332" s="807"/>
      <c r="F332" s="807"/>
      <c r="G332" s="807"/>
      <c r="H332" s="807"/>
      <c r="I332" s="807"/>
      <c r="J332" s="807"/>
      <c r="K332" s="807"/>
      <c r="L332" s="807"/>
      <c r="M332" s="807"/>
      <c r="N332" s="807"/>
      <c r="O332" s="807"/>
      <c r="P332" s="807"/>
      <c r="Q332" s="807"/>
      <c r="R332" s="807"/>
      <c r="S332" s="807"/>
      <c r="T332" s="807"/>
      <c r="U332" s="807"/>
      <c r="V332" s="807"/>
      <c r="W332" s="807"/>
      <c r="X332" s="807"/>
      <c r="Y332" s="807"/>
      <c r="Z332" s="807"/>
      <c r="AA332" s="807"/>
      <c r="AB332" s="807"/>
      <c r="AC332" s="807"/>
      <c r="AD332" s="807"/>
      <c r="AE332" s="807"/>
      <c r="AF332" s="807"/>
      <c r="AG332" s="807"/>
      <c r="AH332" s="807"/>
      <c r="AI332" s="807"/>
      <c r="AJ332" s="807"/>
      <c r="AK332" s="807"/>
      <c r="AL332" s="807"/>
      <c r="AM332" s="807"/>
      <c r="AN332" s="807"/>
      <c r="AO332" s="807"/>
      <c r="AP332" s="807"/>
    </row>
    <row r="333" spans="1:42" s="5" customFormat="1" x14ac:dyDescent="0.25">
      <c r="A333" s="805"/>
      <c r="B333" s="806"/>
      <c r="C333" s="806"/>
      <c r="D333" s="806"/>
      <c r="E333" s="807"/>
      <c r="F333" s="807"/>
      <c r="G333" s="807"/>
      <c r="H333" s="807"/>
      <c r="I333" s="807"/>
      <c r="J333" s="807"/>
      <c r="K333" s="807"/>
      <c r="L333" s="807"/>
      <c r="M333" s="807"/>
      <c r="N333" s="807"/>
      <c r="O333" s="807"/>
      <c r="P333" s="807"/>
      <c r="Q333" s="807"/>
      <c r="R333" s="807"/>
      <c r="S333" s="807"/>
      <c r="T333" s="807"/>
      <c r="U333" s="807"/>
      <c r="V333" s="807"/>
      <c r="W333" s="807"/>
      <c r="X333" s="807"/>
      <c r="Y333" s="807"/>
      <c r="Z333" s="807"/>
      <c r="AA333" s="807"/>
      <c r="AB333" s="807"/>
      <c r="AC333" s="807"/>
      <c r="AD333" s="807"/>
      <c r="AE333" s="807"/>
      <c r="AF333" s="807"/>
      <c r="AG333" s="807"/>
      <c r="AH333" s="807"/>
      <c r="AI333" s="807"/>
      <c r="AJ333" s="807"/>
      <c r="AK333" s="807"/>
      <c r="AL333" s="807"/>
      <c r="AM333" s="807"/>
      <c r="AN333" s="807"/>
      <c r="AO333" s="807"/>
      <c r="AP333" s="807"/>
    </row>
    <row r="334" spans="1:42" s="5" customFormat="1" x14ac:dyDescent="0.25">
      <c r="A334" s="805"/>
      <c r="B334" s="806"/>
      <c r="C334" s="806"/>
      <c r="D334" s="806"/>
      <c r="E334" s="807"/>
      <c r="F334" s="807"/>
      <c r="G334" s="807"/>
      <c r="H334" s="807"/>
      <c r="I334" s="807"/>
      <c r="J334" s="807"/>
      <c r="K334" s="807"/>
      <c r="L334" s="807"/>
      <c r="M334" s="807"/>
      <c r="N334" s="807"/>
      <c r="O334" s="807"/>
      <c r="P334" s="807"/>
      <c r="Q334" s="807"/>
      <c r="R334" s="807"/>
      <c r="S334" s="807"/>
      <c r="T334" s="807"/>
      <c r="U334" s="807"/>
      <c r="V334" s="807"/>
      <c r="W334" s="807"/>
      <c r="X334" s="807"/>
      <c r="Y334" s="807"/>
      <c r="Z334" s="807"/>
      <c r="AA334" s="807"/>
      <c r="AB334" s="807"/>
      <c r="AC334" s="807"/>
      <c r="AD334" s="807"/>
      <c r="AE334" s="807"/>
      <c r="AF334" s="807"/>
      <c r="AG334" s="807"/>
      <c r="AH334" s="807"/>
      <c r="AI334" s="807"/>
      <c r="AJ334" s="807"/>
      <c r="AK334" s="807"/>
      <c r="AL334" s="807"/>
      <c r="AM334" s="807"/>
      <c r="AN334" s="807"/>
      <c r="AO334" s="807"/>
      <c r="AP334" s="807"/>
    </row>
    <row r="335" spans="1:42" s="5" customFormat="1" x14ac:dyDescent="0.25">
      <c r="A335" s="805"/>
      <c r="B335" s="806"/>
      <c r="C335" s="806"/>
      <c r="D335" s="806"/>
      <c r="E335" s="807"/>
      <c r="F335" s="807"/>
      <c r="G335" s="807"/>
      <c r="H335" s="807"/>
      <c r="I335" s="807"/>
      <c r="J335" s="807"/>
      <c r="K335" s="807"/>
      <c r="L335" s="807"/>
      <c r="M335" s="807"/>
      <c r="N335" s="807"/>
      <c r="O335" s="807"/>
      <c r="P335" s="807"/>
      <c r="Q335" s="807"/>
      <c r="R335" s="807"/>
      <c r="S335" s="807"/>
      <c r="T335" s="807"/>
      <c r="U335" s="807"/>
      <c r="V335" s="807"/>
      <c r="W335" s="807"/>
      <c r="X335" s="807"/>
      <c r="Y335" s="807"/>
      <c r="Z335" s="807"/>
      <c r="AA335" s="807"/>
      <c r="AB335" s="807"/>
      <c r="AC335" s="807"/>
      <c r="AD335" s="807"/>
      <c r="AE335" s="807"/>
      <c r="AF335" s="807"/>
      <c r="AG335" s="807"/>
      <c r="AH335" s="807"/>
      <c r="AI335" s="807"/>
      <c r="AJ335" s="807"/>
      <c r="AK335" s="807"/>
      <c r="AL335" s="807"/>
      <c r="AM335" s="807"/>
      <c r="AN335" s="807"/>
      <c r="AO335" s="807"/>
      <c r="AP335" s="807"/>
    </row>
    <row r="336" spans="1:42" s="5" customFormat="1" x14ac:dyDescent="0.25">
      <c r="A336" s="805"/>
      <c r="B336" s="806"/>
      <c r="C336" s="806"/>
      <c r="D336" s="806"/>
      <c r="E336" s="807"/>
      <c r="F336" s="807"/>
      <c r="G336" s="807"/>
      <c r="H336" s="807"/>
      <c r="I336" s="807"/>
      <c r="J336" s="807"/>
      <c r="K336" s="807"/>
      <c r="L336" s="807"/>
      <c r="M336" s="807"/>
      <c r="N336" s="807"/>
      <c r="O336" s="807"/>
      <c r="P336" s="807"/>
      <c r="Q336" s="807"/>
      <c r="R336" s="807"/>
      <c r="S336" s="807"/>
      <c r="T336" s="807"/>
      <c r="U336" s="807"/>
      <c r="V336" s="807"/>
      <c r="W336" s="807"/>
      <c r="X336" s="807"/>
      <c r="Y336" s="807"/>
      <c r="Z336" s="807"/>
      <c r="AA336" s="807"/>
      <c r="AB336" s="807"/>
      <c r="AC336" s="807"/>
      <c r="AD336" s="807"/>
      <c r="AE336" s="807"/>
      <c r="AF336" s="807"/>
      <c r="AG336" s="807"/>
      <c r="AH336" s="807"/>
      <c r="AI336" s="807"/>
      <c r="AJ336" s="807"/>
      <c r="AK336" s="807"/>
      <c r="AL336" s="807"/>
      <c r="AM336" s="807"/>
      <c r="AN336" s="807"/>
      <c r="AO336" s="807"/>
      <c r="AP336" s="807"/>
    </row>
    <row r="337" spans="1:42" s="5" customFormat="1" x14ac:dyDescent="0.25">
      <c r="A337" s="805"/>
      <c r="B337" s="806"/>
      <c r="C337" s="806"/>
      <c r="D337" s="806"/>
      <c r="E337" s="807"/>
      <c r="F337" s="807"/>
      <c r="G337" s="807"/>
      <c r="H337" s="807"/>
      <c r="I337" s="807"/>
      <c r="J337" s="807"/>
      <c r="K337" s="807"/>
      <c r="L337" s="807"/>
      <c r="M337" s="807"/>
      <c r="N337" s="807"/>
      <c r="O337" s="807"/>
      <c r="P337" s="807"/>
      <c r="Q337" s="807"/>
      <c r="R337" s="807"/>
      <c r="S337" s="807"/>
      <c r="T337" s="807"/>
      <c r="U337" s="807"/>
      <c r="V337" s="807"/>
      <c r="W337" s="807"/>
      <c r="X337" s="807"/>
      <c r="Y337" s="807"/>
      <c r="Z337" s="807"/>
      <c r="AA337" s="807"/>
      <c r="AB337" s="807"/>
      <c r="AC337" s="807"/>
      <c r="AD337" s="807"/>
      <c r="AE337" s="807"/>
      <c r="AF337" s="807"/>
      <c r="AG337" s="807"/>
      <c r="AH337" s="807"/>
      <c r="AI337" s="807"/>
      <c r="AJ337" s="807"/>
      <c r="AK337" s="807"/>
      <c r="AL337" s="807"/>
      <c r="AM337" s="807"/>
      <c r="AN337" s="807"/>
      <c r="AO337" s="807"/>
      <c r="AP337" s="807"/>
    </row>
    <row r="338" spans="1:42" s="5" customFormat="1" x14ac:dyDescent="0.25">
      <c r="A338" s="805"/>
      <c r="B338" s="806"/>
      <c r="C338" s="806"/>
      <c r="D338" s="806"/>
      <c r="E338" s="807"/>
      <c r="F338" s="807"/>
      <c r="G338" s="807"/>
      <c r="H338" s="807"/>
      <c r="I338" s="807"/>
      <c r="J338" s="807"/>
      <c r="K338" s="807"/>
      <c r="L338" s="807"/>
      <c r="M338" s="807"/>
      <c r="N338" s="807"/>
      <c r="O338" s="807"/>
      <c r="P338" s="807"/>
      <c r="Q338" s="807"/>
      <c r="R338" s="807"/>
      <c r="S338" s="807"/>
      <c r="T338" s="807"/>
      <c r="U338" s="807"/>
      <c r="V338" s="807"/>
      <c r="W338" s="807"/>
      <c r="X338" s="807"/>
      <c r="Y338" s="807"/>
      <c r="Z338" s="807"/>
      <c r="AA338" s="807"/>
      <c r="AB338" s="807"/>
      <c r="AC338" s="807"/>
      <c r="AD338" s="807"/>
      <c r="AE338" s="807"/>
      <c r="AF338" s="807"/>
      <c r="AG338" s="807"/>
      <c r="AH338" s="807"/>
      <c r="AI338" s="807"/>
      <c r="AJ338" s="807"/>
      <c r="AK338" s="807"/>
      <c r="AL338" s="807"/>
      <c r="AM338" s="807"/>
      <c r="AN338" s="807"/>
      <c r="AO338" s="807"/>
      <c r="AP338" s="807"/>
    </row>
    <row r="339" spans="1:42" s="5" customFormat="1" x14ac:dyDescent="0.25">
      <c r="A339" s="805"/>
      <c r="B339" s="806"/>
      <c r="C339" s="806"/>
      <c r="D339" s="806"/>
      <c r="E339" s="807"/>
      <c r="F339" s="807"/>
      <c r="G339" s="807"/>
      <c r="H339" s="807"/>
      <c r="I339" s="807"/>
      <c r="J339" s="807"/>
      <c r="K339" s="807"/>
      <c r="L339" s="807"/>
      <c r="M339" s="807"/>
      <c r="N339" s="807"/>
      <c r="O339" s="807"/>
      <c r="P339" s="807"/>
      <c r="Q339" s="807"/>
      <c r="R339" s="807"/>
      <c r="S339" s="807"/>
      <c r="T339" s="807"/>
      <c r="U339" s="807"/>
      <c r="V339" s="807"/>
      <c r="W339" s="807"/>
      <c r="X339" s="807"/>
      <c r="Y339" s="807"/>
      <c r="Z339" s="807"/>
      <c r="AA339" s="807"/>
      <c r="AB339" s="807"/>
      <c r="AC339" s="807"/>
      <c r="AD339" s="807"/>
      <c r="AE339" s="807"/>
      <c r="AF339" s="807"/>
      <c r="AG339" s="807"/>
      <c r="AH339" s="807"/>
      <c r="AI339" s="807"/>
      <c r="AJ339" s="807"/>
      <c r="AK339" s="807"/>
      <c r="AL339" s="807"/>
      <c r="AM339" s="807"/>
      <c r="AN339" s="807"/>
      <c r="AO339" s="807"/>
      <c r="AP339" s="807"/>
    </row>
    <row r="340" spans="1:42" s="5" customFormat="1" x14ac:dyDescent="0.25">
      <c r="A340" s="805"/>
      <c r="B340" s="806"/>
      <c r="C340" s="806"/>
      <c r="D340" s="806"/>
      <c r="E340" s="807"/>
      <c r="F340" s="807"/>
      <c r="G340" s="807"/>
      <c r="H340" s="807"/>
      <c r="I340" s="807"/>
      <c r="J340" s="807"/>
      <c r="K340" s="807"/>
      <c r="L340" s="807"/>
      <c r="M340" s="807"/>
      <c r="N340" s="807"/>
      <c r="O340" s="807"/>
      <c r="P340" s="807"/>
      <c r="Q340" s="807"/>
      <c r="R340" s="807"/>
      <c r="S340" s="807"/>
      <c r="T340" s="807"/>
      <c r="U340" s="807"/>
      <c r="V340" s="807"/>
      <c r="W340" s="807"/>
      <c r="X340" s="807"/>
      <c r="Y340" s="807"/>
      <c r="Z340" s="807"/>
      <c r="AA340" s="807"/>
      <c r="AB340" s="807"/>
      <c r="AC340" s="807"/>
      <c r="AD340" s="807"/>
      <c r="AE340" s="807"/>
      <c r="AF340" s="807"/>
      <c r="AG340" s="807"/>
      <c r="AH340" s="807"/>
      <c r="AI340" s="807"/>
      <c r="AJ340" s="807"/>
      <c r="AK340" s="807"/>
      <c r="AL340" s="807"/>
      <c r="AM340" s="807"/>
      <c r="AN340" s="807"/>
      <c r="AO340" s="807"/>
      <c r="AP340" s="807"/>
    </row>
    <row r="341" spans="1:42" s="5" customFormat="1" x14ac:dyDescent="0.25">
      <c r="A341" s="805"/>
      <c r="B341" s="806"/>
      <c r="C341" s="806"/>
      <c r="D341" s="806"/>
      <c r="E341" s="807"/>
      <c r="F341" s="807"/>
      <c r="G341" s="807"/>
      <c r="H341" s="807"/>
      <c r="I341" s="807"/>
      <c r="J341" s="807"/>
      <c r="K341" s="807"/>
      <c r="L341" s="807"/>
      <c r="M341" s="807"/>
      <c r="N341" s="807"/>
      <c r="O341" s="807"/>
      <c r="P341" s="807"/>
      <c r="Q341" s="807"/>
      <c r="R341" s="807"/>
      <c r="S341" s="807"/>
      <c r="T341" s="807"/>
      <c r="U341" s="807"/>
      <c r="V341" s="807"/>
      <c r="W341" s="807"/>
      <c r="X341" s="807"/>
      <c r="Y341" s="807"/>
      <c r="Z341" s="807"/>
      <c r="AA341" s="807"/>
      <c r="AB341" s="807"/>
      <c r="AC341" s="807"/>
      <c r="AD341" s="807"/>
      <c r="AE341" s="807"/>
      <c r="AF341" s="807"/>
      <c r="AG341" s="807"/>
      <c r="AH341" s="807"/>
      <c r="AI341" s="807"/>
      <c r="AJ341" s="807"/>
      <c r="AK341" s="807"/>
      <c r="AL341" s="807"/>
      <c r="AM341" s="807"/>
      <c r="AN341" s="807"/>
      <c r="AO341" s="807"/>
      <c r="AP341" s="807"/>
    </row>
    <row r="342" spans="1:42" s="5" customFormat="1" x14ac:dyDescent="0.25">
      <c r="A342" s="805"/>
      <c r="B342" s="806"/>
      <c r="C342" s="806"/>
      <c r="D342" s="806"/>
      <c r="E342" s="807"/>
      <c r="F342" s="807"/>
      <c r="G342" s="807"/>
      <c r="H342" s="807"/>
      <c r="I342" s="807"/>
      <c r="J342" s="807"/>
      <c r="K342" s="807"/>
      <c r="L342" s="807"/>
      <c r="M342" s="807"/>
      <c r="N342" s="807"/>
      <c r="O342" s="807"/>
      <c r="P342" s="807"/>
      <c r="Q342" s="807"/>
      <c r="R342" s="807"/>
      <c r="S342" s="807"/>
      <c r="T342" s="807"/>
      <c r="U342" s="807"/>
      <c r="V342" s="807"/>
      <c r="W342" s="807"/>
      <c r="X342" s="807"/>
      <c r="Y342" s="807"/>
      <c r="Z342" s="807"/>
      <c r="AA342" s="807"/>
      <c r="AB342" s="807"/>
      <c r="AC342" s="807"/>
      <c r="AD342" s="807"/>
      <c r="AE342" s="807"/>
      <c r="AF342" s="807"/>
      <c r="AG342" s="807"/>
      <c r="AH342" s="807"/>
      <c r="AI342" s="807"/>
      <c r="AJ342" s="807"/>
      <c r="AK342" s="807"/>
      <c r="AL342" s="807"/>
      <c r="AM342" s="807"/>
      <c r="AN342" s="807"/>
      <c r="AO342" s="807"/>
      <c r="AP342" s="807"/>
    </row>
    <row r="343" spans="1:42" s="5" customFormat="1" x14ac:dyDescent="0.25">
      <c r="A343" s="805"/>
      <c r="B343" s="806"/>
      <c r="C343" s="806"/>
      <c r="D343" s="806"/>
      <c r="E343" s="807"/>
      <c r="F343" s="807"/>
      <c r="G343" s="807"/>
      <c r="H343" s="807"/>
      <c r="I343" s="807"/>
      <c r="J343" s="807"/>
      <c r="K343" s="807"/>
      <c r="L343" s="807"/>
      <c r="M343" s="807"/>
      <c r="N343" s="807"/>
      <c r="O343" s="807"/>
      <c r="P343" s="807"/>
      <c r="Q343" s="807"/>
      <c r="R343" s="807"/>
      <c r="S343" s="807"/>
      <c r="T343" s="807"/>
      <c r="U343" s="807"/>
      <c r="V343" s="807"/>
      <c r="W343" s="807"/>
      <c r="X343" s="807"/>
      <c r="Y343" s="807"/>
      <c r="Z343" s="807"/>
      <c r="AA343" s="807"/>
      <c r="AB343" s="807"/>
      <c r="AC343" s="807"/>
      <c r="AD343" s="807"/>
      <c r="AE343" s="807"/>
      <c r="AF343" s="807"/>
      <c r="AG343" s="807"/>
      <c r="AH343" s="807"/>
      <c r="AI343" s="807"/>
      <c r="AJ343" s="807"/>
      <c r="AK343" s="807"/>
      <c r="AL343" s="807"/>
      <c r="AM343" s="807"/>
      <c r="AN343" s="807"/>
      <c r="AO343" s="807"/>
      <c r="AP343" s="807"/>
    </row>
    <row r="344" spans="1:42" s="5" customFormat="1" x14ac:dyDescent="0.25">
      <c r="A344" s="805"/>
      <c r="B344" s="806"/>
      <c r="C344" s="806"/>
      <c r="D344" s="806"/>
      <c r="E344" s="807"/>
      <c r="F344" s="807"/>
      <c r="G344" s="807"/>
      <c r="H344" s="807"/>
      <c r="I344" s="807"/>
      <c r="J344" s="807"/>
      <c r="K344" s="807"/>
      <c r="L344" s="807"/>
      <c r="M344" s="807"/>
      <c r="N344" s="807"/>
      <c r="O344" s="807"/>
      <c r="P344" s="807"/>
      <c r="Q344" s="807"/>
      <c r="R344" s="807"/>
      <c r="S344" s="807"/>
      <c r="T344" s="807"/>
      <c r="U344" s="807"/>
      <c r="V344" s="807"/>
      <c r="W344" s="807"/>
      <c r="X344" s="807"/>
      <c r="Y344" s="807"/>
      <c r="Z344" s="807"/>
      <c r="AA344" s="807"/>
      <c r="AB344" s="807"/>
      <c r="AC344" s="807"/>
      <c r="AD344" s="807"/>
      <c r="AE344" s="807"/>
      <c r="AF344" s="807"/>
      <c r="AG344" s="807"/>
      <c r="AH344" s="807"/>
      <c r="AI344" s="807"/>
      <c r="AJ344" s="807"/>
      <c r="AK344" s="807"/>
      <c r="AL344" s="807"/>
      <c r="AM344" s="807"/>
      <c r="AN344" s="807"/>
      <c r="AO344" s="807"/>
      <c r="AP344" s="807"/>
    </row>
    <row r="345" spans="1:42" s="5" customFormat="1" x14ac:dyDescent="0.25">
      <c r="A345" s="805"/>
      <c r="B345" s="806"/>
      <c r="C345" s="806"/>
      <c r="D345" s="806"/>
      <c r="E345" s="807"/>
      <c r="F345" s="807"/>
      <c r="G345" s="807"/>
      <c r="H345" s="807"/>
      <c r="I345" s="807"/>
      <c r="J345" s="807"/>
      <c r="K345" s="807"/>
      <c r="L345" s="807"/>
      <c r="M345" s="807"/>
      <c r="N345" s="807"/>
      <c r="O345" s="807"/>
      <c r="P345" s="807"/>
      <c r="Q345" s="807"/>
      <c r="R345" s="807"/>
      <c r="S345" s="807"/>
      <c r="T345" s="807"/>
      <c r="U345" s="807"/>
      <c r="V345" s="807"/>
      <c r="W345" s="807"/>
      <c r="X345" s="807"/>
      <c r="Y345" s="807"/>
      <c r="Z345" s="807"/>
      <c r="AA345" s="807"/>
      <c r="AB345" s="807"/>
      <c r="AC345" s="807"/>
      <c r="AD345" s="807"/>
      <c r="AE345" s="807"/>
      <c r="AF345" s="807"/>
      <c r="AG345" s="807"/>
      <c r="AH345" s="807"/>
      <c r="AI345" s="807"/>
      <c r="AJ345" s="807"/>
      <c r="AK345" s="807"/>
      <c r="AL345" s="807"/>
      <c r="AM345" s="807"/>
      <c r="AN345" s="807"/>
      <c r="AO345" s="807"/>
      <c r="AP345" s="807"/>
    </row>
    <row r="346" spans="1:42" s="5" customFormat="1" x14ac:dyDescent="0.25">
      <c r="A346" s="805"/>
      <c r="B346" s="806"/>
      <c r="C346" s="806"/>
      <c r="D346" s="806"/>
      <c r="E346" s="807"/>
      <c r="F346" s="807"/>
      <c r="G346" s="807"/>
      <c r="H346" s="807"/>
      <c r="I346" s="807"/>
      <c r="J346" s="807"/>
      <c r="K346" s="807"/>
      <c r="L346" s="807"/>
      <c r="M346" s="807"/>
      <c r="N346" s="807"/>
      <c r="O346" s="807"/>
      <c r="P346" s="807"/>
      <c r="Q346" s="807"/>
      <c r="R346" s="807"/>
      <c r="S346" s="807"/>
      <c r="T346" s="807"/>
      <c r="U346" s="807"/>
      <c r="V346" s="807"/>
      <c r="W346" s="807"/>
      <c r="X346" s="807"/>
      <c r="Y346" s="807"/>
      <c r="Z346" s="807"/>
      <c r="AA346" s="807"/>
      <c r="AB346" s="807"/>
      <c r="AC346" s="807"/>
      <c r="AD346" s="807"/>
      <c r="AE346" s="807"/>
      <c r="AF346" s="807"/>
      <c r="AG346" s="807"/>
      <c r="AH346" s="807"/>
      <c r="AI346" s="807"/>
      <c r="AJ346" s="807"/>
      <c r="AK346" s="807"/>
      <c r="AL346" s="807"/>
      <c r="AM346" s="807"/>
      <c r="AN346" s="807"/>
      <c r="AO346" s="807"/>
      <c r="AP346" s="807"/>
    </row>
    <row r="347" spans="1:42" s="5" customFormat="1" x14ac:dyDescent="0.25">
      <c r="A347" s="805"/>
      <c r="B347" s="806"/>
      <c r="C347" s="806"/>
      <c r="D347" s="806"/>
      <c r="E347" s="807"/>
      <c r="F347" s="807"/>
      <c r="G347" s="807"/>
      <c r="H347" s="807"/>
      <c r="I347" s="807"/>
      <c r="J347" s="807"/>
      <c r="K347" s="807"/>
      <c r="L347" s="807"/>
      <c r="M347" s="807"/>
      <c r="N347" s="807"/>
      <c r="O347" s="807"/>
      <c r="P347" s="807"/>
      <c r="Q347" s="807"/>
      <c r="R347" s="807"/>
      <c r="S347" s="807"/>
      <c r="T347" s="807"/>
      <c r="U347" s="807"/>
      <c r="V347" s="807"/>
      <c r="W347" s="807"/>
      <c r="X347" s="807"/>
      <c r="Y347" s="807"/>
      <c r="Z347" s="807"/>
      <c r="AA347" s="807"/>
      <c r="AB347" s="807"/>
      <c r="AC347" s="807"/>
      <c r="AD347" s="807"/>
      <c r="AE347" s="807"/>
      <c r="AF347" s="807"/>
      <c r="AG347" s="807"/>
      <c r="AH347" s="807"/>
      <c r="AI347" s="807"/>
      <c r="AJ347" s="807"/>
      <c r="AK347" s="807"/>
      <c r="AL347" s="807"/>
      <c r="AM347" s="807"/>
      <c r="AN347" s="807"/>
      <c r="AO347" s="807"/>
      <c r="AP347" s="807"/>
    </row>
    <row r="348" spans="1:42" s="5" customFormat="1" x14ac:dyDescent="0.25">
      <c r="A348" s="805"/>
      <c r="B348" s="806"/>
      <c r="C348" s="806"/>
      <c r="D348" s="806"/>
      <c r="E348" s="807"/>
      <c r="F348" s="807"/>
      <c r="G348" s="807"/>
      <c r="H348" s="807"/>
      <c r="I348" s="807"/>
      <c r="J348" s="807"/>
      <c r="K348" s="807"/>
      <c r="L348" s="807"/>
      <c r="M348" s="807"/>
      <c r="N348" s="807"/>
      <c r="O348" s="807"/>
      <c r="P348" s="807"/>
      <c r="Q348" s="807"/>
      <c r="R348" s="807"/>
      <c r="S348" s="807"/>
      <c r="T348" s="807"/>
      <c r="U348" s="807"/>
      <c r="V348" s="807"/>
      <c r="W348" s="807"/>
      <c r="X348" s="807"/>
      <c r="Y348" s="807"/>
      <c r="Z348" s="807"/>
      <c r="AA348" s="807"/>
      <c r="AB348" s="807"/>
      <c r="AC348" s="807"/>
      <c r="AD348" s="807"/>
      <c r="AE348" s="807"/>
      <c r="AF348" s="807"/>
      <c r="AG348" s="807"/>
      <c r="AH348" s="807"/>
      <c r="AI348" s="807"/>
      <c r="AJ348" s="807"/>
      <c r="AK348" s="807"/>
      <c r="AL348" s="807"/>
      <c r="AM348" s="807"/>
      <c r="AN348" s="807"/>
      <c r="AO348" s="807"/>
      <c r="AP348" s="807"/>
    </row>
    <row r="349" spans="1:42" s="5" customFormat="1" x14ac:dyDescent="0.25">
      <c r="A349" s="805"/>
      <c r="B349" s="806"/>
      <c r="C349" s="806"/>
      <c r="D349" s="806"/>
      <c r="E349" s="807"/>
      <c r="F349" s="807"/>
      <c r="G349" s="807"/>
      <c r="H349" s="807"/>
      <c r="I349" s="807"/>
      <c r="J349" s="807"/>
      <c r="K349" s="807"/>
      <c r="L349" s="807"/>
      <c r="M349" s="807"/>
      <c r="N349" s="807"/>
      <c r="O349" s="807"/>
      <c r="P349" s="807"/>
      <c r="Q349" s="807"/>
      <c r="R349" s="807"/>
      <c r="S349" s="807"/>
      <c r="T349" s="807"/>
      <c r="U349" s="807"/>
      <c r="V349" s="807"/>
      <c r="W349" s="807"/>
      <c r="X349" s="807"/>
      <c r="Y349" s="807"/>
      <c r="Z349" s="807"/>
      <c r="AA349" s="807"/>
      <c r="AB349" s="807"/>
      <c r="AC349" s="807"/>
      <c r="AD349" s="807"/>
      <c r="AE349" s="807"/>
      <c r="AF349" s="807"/>
      <c r="AG349" s="807"/>
      <c r="AH349" s="807"/>
      <c r="AI349" s="807"/>
      <c r="AJ349" s="807"/>
      <c r="AK349" s="807"/>
      <c r="AL349" s="807"/>
      <c r="AM349" s="807"/>
      <c r="AN349" s="807"/>
      <c r="AO349" s="807"/>
      <c r="AP349" s="807"/>
    </row>
    <row r="350" spans="1:42" s="5" customFormat="1" x14ac:dyDescent="0.25">
      <c r="A350" s="805"/>
      <c r="B350" s="806"/>
      <c r="C350" s="806"/>
      <c r="D350" s="806"/>
      <c r="E350" s="807"/>
      <c r="F350" s="807"/>
      <c r="G350" s="807"/>
      <c r="H350" s="807"/>
      <c r="I350" s="807"/>
      <c r="J350" s="807"/>
      <c r="K350" s="807"/>
      <c r="L350" s="807"/>
      <c r="M350" s="807"/>
      <c r="N350" s="807"/>
      <c r="O350" s="807"/>
      <c r="P350" s="807"/>
      <c r="Q350" s="807"/>
      <c r="R350" s="807"/>
      <c r="S350" s="807"/>
      <c r="T350" s="807"/>
      <c r="U350" s="807"/>
      <c r="V350" s="807"/>
      <c r="W350" s="807"/>
      <c r="X350" s="807"/>
      <c r="Y350" s="807"/>
      <c r="Z350" s="807"/>
      <c r="AA350" s="807"/>
      <c r="AB350" s="807"/>
      <c r="AC350" s="807"/>
      <c r="AD350" s="807"/>
      <c r="AE350" s="807"/>
      <c r="AF350" s="807"/>
      <c r="AG350" s="807"/>
      <c r="AH350" s="807"/>
      <c r="AI350" s="807"/>
      <c r="AJ350" s="807"/>
      <c r="AK350" s="807"/>
      <c r="AL350" s="807"/>
      <c r="AM350" s="807"/>
      <c r="AN350" s="807"/>
      <c r="AO350" s="807"/>
      <c r="AP350" s="807"/>
    </row>
    <row r="351" spans="1:42" s="5" customFormat="1" x14ac:dyDescent="0.25">
      <c r="A351" s="805"/>
      <c r="B351" s="806"/>
      <c r="C351" s="806"/>
      <c r="D351" s="806"/>
      <c r="E351" s="807"/>
      <c r="F351" s="807"/>
      <c r="G351" s="807"/>
      <c r="H351" s="807"/>
      <c r="I351" s="807"/>
      <c r="J351" s="807"/>
      <c r="K351" s="807"/>
      <c r="L351" s="807"/>
      <c r="M351" s="807"/>
      <c r="N351" s="807"/>
      <c r="O351" s="807"/>
      <c r="P351" s="807"/>
      <c r="Q351" s="807"/>
      <c r="R351" s="807"/>
      <c r="S351" s="807"/>
      <c r="T351" s="807"/>
      <c r="U351" s="807"/>
      <c r="V351" s="807"/>
      <c r="W351" s="807"/>
      <c r="X351" s="807"/>
      <c r="Y351" s="807"/>
      <c r="Z351" s="807"/>
      <c r="AA351" s="807"/>
      <c r="AB351" s="807"/>
      <c r="AC351" s="807"/>
      <c r="AD351" s="807"/>
      <c r="AE351" s="807"/>
      <c r="AF351" s="807"/>
      <c r="AG351" s="807"/>
      <c r="AH351" s="807"/>
      <c r="AI351" s="807"/>
      <c r="AJ351" s="807"/>
      <c r="AK351" s="807"/>
      <c r="AL351" s="807"/>
      <c r="AM351" s="807"/>
      <c r="AN351" s="807"/>
      <c r="AO351" s="807"/>
      <c r="AP351" s="807"/>
    </row>
    <row r="352" spans="1:42" s="5" customFormat="1" x14ac:dyDescent="0.25">
      <c r="A352" s="805"/>
      <c r="B352" s="806"/>
      <c r="C352" s="806"/>
      <c r="D352" s="806"/>
      <c r="E352" s="807"/>
      <c r="F352" s="807"/>
      <c r="G352" s="807"/>
      <c r="H352" s="807"/>
      <c r="I352" s="807"/>
      <c r="J352" s="807"/>
      <c r="K352" s="807"/>
      <c r="L352" s="807"/>
      <c r="M352" s="807"/>
      <c r="N352" s="807"/>
      <c r="O352" s="807"/>
      <c r="P352" s="807"/>
      <c r="Q352" s="807"/>
      <c r="R352" s="807"/>
      <c r="S352" s="807"/>
      <c r="T352" s="807"/>
      <c r="U352" s="807"/>
      <c r="V352" s="807"/>
      <c r="W352" s="807"/>
      <c r="X352" s="807"/>
      <c r="Y352" s="807"/>
      <c r="Z352" s="807"/>
      <c r="AA352" s="807"/>
      <c r="AB352" s="807"/>
      <c r="AC352" s="807"/>
      <c r="AD352" s="807"/>
      <c r="AE352" s="807"/>
      <c r="AF352" s="807"/>
      <c r="AG352" s="807"/>
      <c r="AH352" s="807"/>
      <c r="AI352" s="807"/>
      <c r="AJ352" s="807"/>
      <c r="AK352" s="807"/>
      <c r="AL352" s="807"/>
      <c r="AM352" s="807"/>
      <c r="AN352" s="807"/>
      <c r="AO352" s="807"/>
      <c r="AP352" s="807"/>
    </row>
    <row r="353" spans="1:42" s="5" customFormat="1" x14ac:dyDescent="0.25">
      <c r="A353" s="805"/>
      <c r="B353" s="806"/>
      <c r="C353" s="806"/>
      <c r="D353" s="806"/>
      <c r="E353" s="807"/>
      <c r="F353" s="807"/>
      <c r="G353" s="807"/>
      <c r="H353" s="807"/>
      <c r="I353" s="807"/>
      <c r="J353" s="807"/>
      <c r="K353" s="807"/>
      <c r="L353" s="807"/>
      <c r="M353" s="807"/>
      <c r="N353" s="807"/>
      <c r="O353" s="807"/>
      <c r="P353" s="807"/>
      <c r="Q353" s="807"/>
      <c r="R353" s="807"/>
      <c r="S353" s="807"/>
      <c r="T353" s="807"/>
      <c r="U353" s="807"/>
      <c r="V353" s="807"/>
      <c r="W353" s="807"/>
      <c r="X353" s="807"/>
      <c r="Y353" s="807"/>
      <c r="Z353" s="807"/>
      <c r="AA353" s="807"/>
      <c r="AB353" s="807"/>
      <c r="AC353" s="807"/>
      <c r="AD353" s="807"/>
      <c r="AE353" s="807"/>
      <c r="AF353" s="807"/>
      <c r="AG353" s="807"/>
      <c r="AH353" s="807"/>
      <c r="AI353" s="807"/>
      <c r="AJ353" s="807"/>
      <c r="AK353" s="807"/>
      <c r="AL353" s="807"/>
      <c r="AM353" s="807"/>
      <c r="AN353" s="807"/>
      <c r="AO353" s="807"/>
      <c r="AP353" s="807"/>
    </row>
    <row r="354" spans="1:42" s="5" customFormat="1" x14ac:dyDescent="0.25">
      <c r="A354" s="805"/>
      <c r="B354" s="806"/>
      <c r="C354" s="806"/>
      <c r="D354" s="806"/>
      <c r="E354" s="807"/>
      <c r="F354" s="807"/>
      <c r="G354" s="807"/>
      <c r="H354" s="807"/>
      <c r="I354" s="807"/>
      <c r="J354" s="807"/>
      <c r="K354" s="807"/>
      <c r="L354" s="807"/>
      <c r="M354" s="807"/>
      <c r="N354" s="807"/>
      <c r="O354" s="807"/>
      <c r="P354" s="807"/>
      <c r="Q354" s="807"/>
      <c r="R354" s="807"/>
      <c r="S354" s="807"/>
      <c r="T354" s="807"/>
      <c r="U354" s="807"/>
      <c r="V354" s="807"/>
      <c r="W354" s="807"/>
      <c r="X354" s="807"/>
      <c r="Y354" s="807"/>
      <c r="Z354" s="807"/>
      <c r="AA354" s="807"/>
      <c r="AB354" s="807"/>
      <c r="AC354" s="807"/>
      <c r="AD354" s="807"/>
      <c r="AE354" s="807"/>
      <c r="AF354" s="807"/>
      <c r="AG354" s="807"/>
      <c r="AH354" s="807"/>
      <c r="AI354" s="807"/>
      <c r="AJ354" s="807"/>
      <c r="AK354" s="807"/>
      <c r="AL354" s="807"/>
      <c r="AM354" s="807"/>
      <c r="AN354" s="807"/>
      <c r="AO354" s="807"/>
      <c r="AP354" s="807"/>
    </row>
    <row r="355" spans="1:42" s="5" customFormat="1" x14ac:dyDescent="0.25">
      <c r="A355" s="805"/>
      <c r="B355" s="806"/>
      <c r="C355" s="806"/>
      <c r="D355" s="806"/>
      <c r="E355" s="807"/>
      <c r="F355" s="807"/>
      <c r="G355" s="807"/>
      <c r="H355" s="807"/>
      <c r="I355" s="807"/>
      <c r="J355" s="807"/>
      <c r="K355" s="807"/>
      <c r="L355" s="807"/>
      <c r="M355" s="807"/>
      <c r="N355" s="807"/>
      <c r="O355" s="807"/>
      <c r="P355" s="807"/>
      <c r="Q355" s="807"/>
      <c r="R355" s="807"/>
      <c r="S355" s="807"/>
      <c r="T355" s="807"/>
      <c r="U355" s="807"/>
      <c r="V355" s="807"/>
      <c r="W355" s="807"/>
      <c r="X355" s="807"/>
      <c r="Y355" s="807"/>
      <c r="Z355" s="807"/>
      <c r="AA355" s="807"/>
      <c r="AB355" s="807"/>
      <c r="AC355" s="807"/>
      <c r="AD355" s="807"/>
      <c r="AE355" s="807"/>
      <c r="AF355" s="807"/>
      <c r="AG355" s="807"/>
      <c r="AH355" s="807"/>
      <c r="AI355" s="807"/>
      <c r="AJ355" s="807"/>
      <c r="AK355" s="807"/>
      <c r="AL355" s="807"/>
      <c r="AM355" s="807"/>
      <c r="AN355" s="807"/>
      <c r="AO355" s="807"/>
      <c r="AP355" s="807"/>
    </row>
    <row r="356" spans="1:42" s="5" customFormat="1" x14ac:dyDescent="0.25">
      <c r="A356" s="805"/>
      <c r="B356" s="806"/>
      <c r="C356" s="806"/>
      <c r="D356" s="806"/>
      <c r="E356" s="807"/>
      <c r="F356" s="807"/>
      <c r="G356" s="807"/>
      <c r="H356" s="807"/>
      <c r="I356" s="807"/>
      <c r="J356" s="807"/>
      <c r="K356" s="807"/>
      <c r="L356" s="807"/>
      <c r="M356" s="807"/>
      <c r="N356" s="807"/>
      <c r="O356" s="807"/>
      <c r="P356" s="807"/>
      <c r="Q356" s="807"/>
      <c r="R356" s="807"/>
      <c r="S356" s="807"/>
      <c r="T356" s="807"/>
      <c r="U356" s="807"/>
      <c r="V356" s="807"/>
      <c r="W356" s="807"/>
      <c r="X356" s="807"/>
      <c r="Y356" s="807"/>
      <c r="Z356" s="807"/>
      <c r="AA356" s="807"/>
      <c r="AB356" s="807"/>
      <c r="AC356" s="807"/>
      <c r="AD356" s="807"/>
      <c r="AE356" s="807"/>
      <c r="AF356" s="807"/>
      <c r="AG356" s="807"/>
      <c r="AH356" s="807"/>
      <c r="AI356" s="807"/>
      <c r="AJ356" s="807"/>
      <c r="AK356" s="807"/>
      <c r="AL356" s="807"/>
      <c r="AM356" s="807"/>
      <c r="AN356" s="807"/>
      <c r="AO356" s="807"/>
      <c r="AP356" s="807"/>
    </row>
    <row r="357" spans="1:42" s="5" customFormat="1" x14ac:dyDescent="0.25">
      <c r="A357" s="805"/>
      <c r="B357" s="806"/>
      <c r="C357" s="806"/>
      <c r="D357" s="806"/>
      <c r="E357" s="807"/>
      <c r="F357" s="807"/>
      <c r="G357" s="807"/>
      <c r="H357" s="807"/>
      <c r="I357" s="807"/>
      <c r="J357" s="807"/>
      <c r="K357" s="807"/>
      <c r="L357" s="807"/>
      <c r="M357" s="807"/>
      <c r="N357" s="807"/>
      <c r="O357" s="807"/>
      <c r="P357" s="807"/>
      <c r="Q357" s="807"/>
      <c r="R357" s="807"/>
      <c r="S357" s="807"/>
      <c r="T357" s="807"/>
      <c r="U357" s="807"/>
      <c r="V357" s="807"/>
      <c r="W357" s="807"/>
      <c r="X357" s="807"/>
      <c r="Y357" s="807"/>
      <c r="Z357" s="807"/>
      <c r="AA357" s="807"/>
      <c r="AB357" s="807"/>
      <c r="AC357" s="807"/>
      <c r="AD357" s="807"/>
      <c r="AE357" s="807"/>
      <c r="AF357" s="807"/>
      <c r="AG357" s="807"/>
      <c r="AH357" s="807"/>
      <c r="AI357" s="807"/>
      <c r="AJ357" s="807"/>
      <c r="AK357" s="807"/>
      <c r="AL357" s="807"/>
      <c r="AM357" s="807"/>
      <c r="AN357" s="807"/>
      <c r="AO357" s="807"/>
      <c r="AP357" s="807"/>
    </row>
    <row r="358" spans="1:42" s="5" customFormat="1" x14ac:dyDescent="0.25">
      <c r="A358" s="805"/>
      <c r="B358" s="806"/>
      <c r="C358" s="806"/>
      <c r="D358" s="806"/>
      <c r="E358" s="807"/>
      <c r="F358" s="807"/>
      <c r="G358" s="807"/>
      <c r="H358" s="807"/>
      <c r="I358" s="807"/>
      <c r="J358" s="807"/>
      <c r="K358" s="807"/>
      <c r="L358" s="807"/>
      <c r="M358" s="807"/>
      <c r="N358" s="807"/>
      <c r="O358" s="807"/>
      <c r="P358" s="807"/>
      <c r="Q358" s="807"/>
      <c r="R358" s="807"/>
      <c r="S358" s="807"/>
      <c r="T358" s="807"/>
      <c r="U358" s="807"/>
      <c r="V358" s="807"/>
      <c r="W358" s="807"/>
      <c r="X358" s="807"/>
      <c r="Y358" s="807"/>
      <c r="Z358" s="807"/>
      <c r="AA358" s="807"/>
      <c r="AB358" s="807"/>
      <c r="AC358" s="807"/>
      <c r="AD358" s="807"/>
      <c r="AE358" s="807"/>
      <c r="AF358" s="807"/>
      <c r="AG358" s="807"/>
      <c r="AH358" s="807"/>
      <c r="AI358" s="807"/>
      <c r="AJ358" s="807"/>
      <c r="AK358" s="807"/>
      <c r="AL358" s="807"/>
      <c r="AM358" s="807"/>
      <c r="AN358" s="807"/>
      <c r="AO358" s="807"/>
      <c r="AP358" s="807"/>
    </row>
    <row r="359" spans="1:42" s="5" customFormat="1" x14ac:dyDescent="0.25">
      <c r="A359" s="805"/>
      <c r="B359" s="806"/>
      <c r="C359" s="806"/>
      <c r="D359" s="806"/>
      <c r="E359" s="807"/>
      <c r="F359" s="807"/>
      <c r="G359" s="807"/>
      <c r="H359" s="807"/>
      <c r="I359" s="807"/>
      <c r="J359" s="807"/>
      <c r="K359" s="807"/>
      <c r="L359" s="807"/>
      <c r="M359" s="807"/>
      <c r="N359" s="807"/>
      <c r="O359" s="807"/>
      <c r="P359" s="807"/>
      <c r="Q359" s="807"/>
      <c r="R359" s="807"/>
      <c r="S359" s="807"/>
      <c r="T359" s="807"/>
      <c r="U359" s="807"/>
      <c r="V359" s="807"/>
      <c r="W359" s="807"/>
      <c r="X359" s="807"/>
      <c r="Y359" s="807"/>
      <c r="Z359" s="807"/>
      <c r="AA359" s="807"/>
      <c r="AB359" s="807"/>
      <c r="AC359" s="807"/>
      <c r="AD359" s="807"/>
      <c r="AE359" s="807"/>
      <c r="AF359" s="807"/>
      <c r="AG359" s="807"/>
      <c r="AH359" s="807"/>
      <c r="AI359" s="807"/>
      <c r="AJ359" s="807"/>
      <c r="AK359" s="807"/>
      <c r="AL359" s="807"/>
      <c r="AM359" s="807"/>
      <c r="AN359" s="807"/>
      <c r="AO359" s="807"/>
      <c r="AP359" s="807"/>
    </row>
    <row r="360" spans="1:42" s="5" customFormat="1" x14ac:dyDescent="0.25">
      <c r="A360" s="805"/>
      <c r="B360" s="806"/>
      <c r="C360" s="806"/>
      <c r="D360" s="806"/>
      <c r="E360" s="807"/>
      <c r="F360" s="807"/>
      <c r="G360" s="807"/>
      <c r="H360" s="807"/>
      <c r="I360" s="807"/>
      <c r="J360" s="807"/>
      <c r="K360" s="807"/>
      <c r="L360" s="807"/>
      <c r="M360" s="807"/>
      <c r="N360" s="807"/>
      <c r="O360" s="807"/>
      <c r="P360" s="807"/>
      <c r="Q360" s="807"/>
      <c r="R360" s="807"/>
      <c r="S360" s="807"/>
      <c r="T360" s="807"/>
      <c r="U360" s="807"/>
      <c r="V360" s="807"/>
      <c r="W360" s="807"/>
      <c r="X360" s="807"/>
      <c r="Y360" s="807"/>
      <c r="Z360" s="807"/>
      <c r="AA360" s="807"/>
      <c r="AB360" s="807"/>
      <c r="AC360" s="807"/>
      <c r="AD360" s="807"/>
      <c r="AE360" s="807"/>
      <c r="AF360" s="807"/>
      <c r="AG360" s="807"/>
      <c r="AH360" s="807"/>
      <c r="AI360" s="807"/>
      <c r="AJ360" s="807"/>
      <c r="AK360" s="807"/>
      <c r="AL360" s="807"/>
      <c r="AM360" s="807"/>
      <c r="AN360" s="807"/>
      <c r="AO360" s="807"/>
      <c r="AP360" s="807"/>
    </row>
    <row r="361" spans="1:42" s="5" customFormat="1" x14ac:dyDescent="0.25">
      <c r="A361" s="805"/>
      <c r="B361" s="806"/>
      <c r="C361" s="806"/>
      <c r="D361" s="806"/>
      <c r="E361" s="807"/>
      <c r="F361" s="807"/>
      <c r="G361" s="807"/>
      <c r="H361" s="807"/>
      <c r="I361" s="807"/>
      <c r="J361" s="807"/>
      <c r="K361" s="807"/>
      <c r="L361" s="807"/>
      <c r="M361" s="807"/>
      <c r="N361" s="807"/>
      <c r="O361" s="807"/>
      <c r="P361" s="807"/>
      <c r="Q361" s="807"/>
      <c r="R361" s="807"/>
      <c r="S361" s="807"/>
      <c r="T361" s="807"/>
      <c r="U361" s="807"/>
      <c r="V361" s="807"/>
      <c r="W361" s="807"/>
      <c r="X361" s="807"/>
      <c r="Y361" s="807"/>
      <c r="Z361" s="807"/>
      <c r="AA361" s="807"/>
      <c r="AB361" s="807"/>
      <c r="AC361" s="807"/>
      <c r="AD361" s="807"/>
      <c r="AE361" s="807"/>
      <c r="AF361" s="807"/>
      <c r="AG361" s="807"/>
      <c r="AH361" s="807"/>
      <c r="AI361" s="807"/>
      <c r="AJ361" s="807"/>
      <c r="AK361" s="807"/>
      <c r="AL361" s="807"/>
      <c r="AM361" s="807"/>
      <c r="AN361" s="807"/>
      <c r="AO361" s="807"/>
      <c r="AP361" s="807"/>
    </row>
    <row r="362" spans="1:42" s="5" customFormat="1" x14ac:dyDescent="0.25">
      <c r="A362" s="805"/>
      <c r="B362" s="806"/>
      <c r="C362" s="806"/>
      <c r="D362" s="806"/>
      <c r="E362" s="807"/>
      <c r="F362" s="807"/>
      <c r="G362" s="807"/>
      <c r="H362" s="807"/>
      <c r="I362" s="807"/>
      <c r="J362" s="807"/>
      <c r="K362" s="807"/>
      <c r="L362" s="807"/>
      <c r="M362" s="807"/>
      <c r="N362" s="807"/>
      <c r="O362" s="807"/>
      <c r="P362" s="807"/>
      <c r="Q362" s="807"/>
      <c r="R362" s="807"/>
      <c r="S362" s="807"/>
      <c r="T362" s="807"/>
      <c r="U362" s="807"/>
      <c r="V362" s="807"/>
      <c r="W362" s="807"/>
      <c r="X362" s="807"/>
      <c r="Y362" s="807"/>
      <c r="Z362" s="807"/>
      <c r="AA362" s="807"/>
      <c r="AB362" s="807"/>
      <c r="AC362" s="807"/>
      <c r="AD362" s="807"/>
      <c r="AE362" s="807"/>
      <c r="AF362" s="807"/>
      <c r="AG362" s="807"/>
      <c r="AH362" s="807"/>
      <c r="AI362" s="807"/>
      <c r="AJ362" s="807"/>
      <c r="AK362" s="807"/>
      <c r="AL362" s="807"/>
      <c r="AM362" s="807"/>
      <c r="AN362" s="807"/>
      <c r="AO362" s="807"/>
      <c r="AP362" s="807"/>
    </row>
    <row r="363" spans="1:42" s="5" customFormat="1" x14ac:dyDescent="0.25">
      <c r="A363" s="805"/>
      <c r="B363" s="806"/>
      <c r="C363" s="806"/>
      <c r="D363" s="806"/>
      <c r="E363" s="807"/>
      <c r="F363" s="807"/>
      <c r="G363" s="807"/>
      <c r="H363" s="807"/>
      <c r="I363" s="807"/>
      <c r="J363" s="807"/>
      <c r="K363" s="807"/>
      <c r="L363" s="807"/>
      <c r="M363" s="807"/>
      <c r="N363" s="807"/>
      <c r="O363" s="807"/>
      <c r="P363" s="807"/>
      <c r="Q363" s="807"/>
      <c r="R363" s="807"/>
      <c r="S363" s="807"/>
      <c r="T363" s="807"/>
      <c r="U363" s="807"/>
      <c r="V363" s="807"/>
      <c r="W363" s="807"/>
      <c r="X363" s="807"/>
      <c r="Y363" s="807"/>
      <c r="Z363" s="807"/>
      <c r="AA363" s="807"/>
      <c r="AB363" s="807"/>
      <c r="AC363" s="807"/>
      <c r="AD363" s="807"/>
      <c r="AE363" s="807"/>
      <c r="AF363" s="807"/>
      <c r="AG363" s="807"/>
      <c r="AH363" s="807"/>
      <c r="AI363" s="807"/>
      <c r="AJ363" s="807"/>
      <c r="AK363" s="807"/>
      <c r="AL363" s="807"/>
      <c r="AM363" s="807"/>
      <c r="AN363" s="807"/>
      <c r="AO363" s="807"/>
      <c r="AP363" s="807"/>
    </row>
    <row r="364" spans="1:42" s="5" customFormat="1" x14ac:dyDescent="0.25">
      <c r="A364" s="805"/>
      <c r="B364" s="806"/>
      <c r="C364" s="806"/>
      <c r="D364" s="806"/>
      <c r="E364" s="807"/>
      <c r="F364" s="807"/>
      <c r="G364" s="807"/>
      <c r="H364" s="807"/>
      <c r="I364" s="807"/>
      <c r="J364" s="807"/>
      <c r="K364" s="807"/>
      <c r="L364" s="807"/>
      <c r="M364" s="807"/>
      <c r="N364" s="807"/>
      <c r="O364" s="807"/>
      <c r="P364" s="807"/>
      <c r="Q364" s="807"/>
      <c r="R364" s="807"/>
      <c r="S364" s="807"/>
      <c r="T364" s="807"/>
      <c r="U364" s="807"/>
      <c r="V364" s="807"/>
      <c r="W364" s="807"/>
      <c r="X364" s="807"/>
      <c r="Y364" s="807"/>
      <c r="Z364" s="807"/>
      <c r="AA364" s="807"/>
      <c r="AB364" s="807"/>
      <c r="AC364" s="807"/>
      <c r="AD364" s="807"/>
      <c r="AE364" s="807"/>
      <c r="AF364" s="807"/>
      <c r="AG364" s="807"/>
      <c r="AH364" s="807"/>
      <c r="AI364" s="807"/>
      <c r="AJ364" s="807"/>
      <c r="AK364" s="807"/>
      <c r="AL364" s="807"/>
      <c r="AM364" s="807"/>
      <c r="AN364" s="807"/>
      <c r="AO364" s="807"/>
      <c r="AP364" s="807"/>
    </row>
    <row r="365" spans="1:42" s="5" customFormat="1" x14ac:dyDescent="0.25">
      <c r="A365" s="805"/>
      <c r="B365" s="806"/>
      <c r="C365" s="806"/>
      <c r="D365" s="806"/>
      <c r="E365" s="807"/>
      <c r="F365" s="807"/>
      <c r="G365" s="807"/>
      <c r="H365" s="807"/>
      <c r="I365" s="807"/>
      <c r="J365" s="807"/>
      <c r="K365" s="807"/>
      <c r="L365" s="807"/>
      <c r="M365" s="807"/>
      <c r="N365" s="807"/>
      <c r="O365" s="807"/>
      <c r="P365" s="807"/>
      <c r="Q365" s="807"/>
      <c r="R365" s="807"/>
      <c r="S365" s="807"/>
      <c r="T365" s="807"/>
      <c r="U365" s="807"/>
      <c r="V365" s="807"/>
      <c r="W365" s="807"/>
      <c r="X365" s="807"/>
      <c r="Y365" s="807"/>
      <c r="Z365" s="807"/>
      <c r="AA365" s="807"/>
      <c r="AB365" s="807"/>
      <c r="AC365" s="807"/>
      <c r="AD365" s="807"/>
      <c r="AE365" s="807"/>
      <c r="AF365" s="807"/>
      <c r="AG365" s="807"/>
      <c r="AH365" s="807"/>
      <c r="AI365" s="807"/>
      <c r="AJ365" s="807"/>
      <c r="AK365" s="807"/>
      <c r="AL365" s="807"/>
      <c r="AM365" s="807"/>
      <c r="AN365" s="807"/>
      <c r="AO365" s="807"/>
      <c r="AP365" s="807"/>
    </row>
    <row r="366" spans="1:42" s="5" customFormat="1" x14ac:dyDescent="0.25">
      <c r="A366" s="805"/>
      <c r="B366" s="806"/>
      <c r="C366" s="806"/>
      <c r="D366" s="806"/>
      <c r="E366" s="807"/>
      <c r="F366" s="807"/>
      <c r="G366" s="807"/>
      <c r="H366" s="807"/>
      <c r="I366" s="807"/>
      <c r="J366" s="807"/>
      <c r="K366" s="807"/>
      <c r="L366" s="807"/>
      <c r="M366" s="807"/>
      <c r="N366" s="807"/>
      <c r="O366" s="807"/>
      <c r="P366" s="807"/>
      <c r="Q366" s="807"/>
      <c r="R366" s="807"/>
      <c r="S366" s="807"/>
      <c r="T366" s="807"/>
      <c r="U366" s="807"/>
      <c r="V366" s="807"/>
      <c r="W366" s="807"/>
      <c r="X366" s="807"/>
      <c r="Y366" s="807"/>
      <c r="Z366" s="807"/>
      <c r="AA366" s="807"/>
      <c r="AB366" s="807"/>
      <c r="AC366" s="807"/>
      <c r="AD366" s="807"/>
      <c r="AE366" s="807"/>
      <c r="AF366" s="807"/>
      <c r="AG366" s="807"/>
      <c r="AH366" s="807"/>
      <c r="AI366" s="807"/>
      <c r="AJ366" s="807"/>
      <c r="AK366" s="807"/>
      <c r="AL366" s="807"/>
      <c r="AM366" s="807"/>
      <c r="AN366" s="807"/>
      <c r="AO366" s="807"/>
      <c r="AP366" s="807"/>
    </row>
    <row r="367" spans="1:42" s="5" customFormat="1" x14ac:dyDescent="0.25">
      <c r="A367" s="805"/>
      <c r="B367" s="806"/>
      <c r="C367" s="806"/>
      <c r="D367" s="806"/>
      <c r="E367" s="807"/>
      <c r="F367" s="807"/>
      <c r="G367" s="807"/>
      <c r="H367" s="807"/>
      <c r="I367" s="807"/>
      <c r="J367" s="807"/>
      <c r="K367" s="807"/>
      <c r="L367" s="807"/>
      <c r="M367" s="807"/>
      <c r="N367" s="807"/>
      <c r="O367" s="807"/>
      <c r="P367" s="807"/>
      <c r="Q367" s="807"/>
      <c r="R367" s="807"/>
      <c r="S367" s="807"/>
      <c r="T367" s="807"/>
      <c r="U367" s="807"/>
      <c r="V367" s="807"/>
      <c r="W367" s="807"/>
      <c r="X367" s="807"/>
      <c r="Y367" s="807"/>
      <c r="Z367" s="807"/>
      <c r="AA367" s="807"/>
      <c r="AB367" s="807"/>
      <c r="AC367" s="807"/>
      <c r="AD367" s="807"/>
      <c r="AE367" s="807"/>
      <c r="AF367" s="807"/>
      <c r="AG367" s="807"/>
      <c r="AH367" s="807"/>
      <c r="AI367" s="807"/>
      <c r="AJ367" s="807"/>
      <c r="AK367" s="807"/>
      <c r="AL367" s="807"/>
      <c r="AM367" s="807"/>
      <c r="AN367" s="807"/>
      <c r="AO367" s="807"/>
      <c r="AP367" s="807"/>
    </row>
    <row r="368" spans="1:42" s="5" customFormat="1" x14ac:dyDescent="0.25">
      <c r="A368" s="805"/>
      <c r="B368" s="806"/>
      <c r="C368" s="806"/>
      <c r="D368" s="806"/>
      <c r="E368" s="807"/>
      <c r="F368" s="807"/>
      <c r="G368" s="807"/>
      <c r="H368" s="807"/>
      <c r="I368" s="807"/>
      <c r="J368" s="807"/>
      <c r="K368" s="807"/>
      <c r="L368" s="807"/>
      <c r="M368" s="807"/>
      <c r="N368" s="807"/>
      <c r="O368" s="807"/>
      <c r="P368" s="807"/>
      <c r="Q368" s="807"/>
      <c r="R368" s="807"/>
      <c r="S368" s="807"/>
      <c r="T368" s="807"/>
      <c r="U368" s="807"/>
      <c r="V368" s="807"/>
      <c r="W368" s="807"/>
      <c r="X368" s="807"/>
      <c r="Y368" s="807"/>
      <c r="Z368" s="807"/>
      <c r="AA368" s="807"/>
      <c r="AB368" s="807"/>
      <c r="AC368" s="807"/>
      <c r="AD368" s="807"/>
      <c r="AE368" s="807"/>
      <c r="AF368" s="807"/>
      <c r="AG368" s="807"/>
      <c r="AH368" s="807"/>
      <c r="AI368" s="807"/>
      <c r="AJ368" s="807"/>
      <c r="AK368" s="807"/>
      <c r="AL368" s="807"/>
      <c r="AM368" s="807"/>
      <c r="AN368" s="807"/>
      <c r="AO368" s="807"/>
      <c r="AP368" s="807"/>
    </row>
    <row r="369" spans="1:42" s="5" customFormat="1" x14ac:dyDescent="0.25">
      <c r="A369" s="805"/>
      <c r="B369" s="806"/>
      <c r="C369" s="806"/>
      <c r="D369" s="806"/>
      <c r="E369" s="807"/>
      <c r="F369" s="807"/>
      <c r="G369" s="807"/>
      <c r="H369" s="807"/>
      <c r="I369" s="807"/>
      <c r="J369" s="807"/>
      <c r="K369" s="807"/>
      <c r="L369" s="807"/>
      <c r="M369" s="807"/>
      <c r="N369" s="807"/>
      <c r="O369" s="807"/>
      <c r="P369" s="807"/>
      <c r="Q369" s="807"/>
      <c r="R369" s="807"/>
      <c r="S369" s="807"/>
      <c r="T369" s="807"/>
      <c r="U369" s="807"/>
      <c r="V369" s="807"/>
      <c r="W369" s="807"/>
      <c r="X369" s="807"/>
      <c r="Y369" s="807"/>
      <c r="Z369" s="807"/>
      <c r="AA369" s="807"/>
      <c r="AB369" s="807"/>
      <c r="AC369" s="807"/>
      <c r="AD369" s="807"/>
      <c r="AE369" s="807"/>
      <c r="AF369" s="807"/>
      <c r="AG369" s="807"/>
      <c r="AH369" s="807"/>
      <c r="AI369" s="807"/>
      <c r="AJ369" s="807"/>
      <c r="AK369" s="807"/>
      <c r="AL369" s="807"/>
      <c r="AM369" s="807"/>
      <c r="AN369" s="807"/>
      <c r="AO369" s="807"/>
      <c r="AP369" s="807"/>
    </row>
    <row r="370" spans="1:42" s="5" customFormat="1" x14ac:dyDescent="0.25">
      <c r="A370" s="805"/>
      <c r="B370" s="806"/>
      <c r="C370" s="806"/>
      <c r="D370" s="806"/>
      <c r="E370" s="807"/>
      <c r="F370" s="807"/>
      <c r="G370" s="807"/>
      <c r="H370" s="807"/>
      <c r="I370" s="807"/>
      <c r="J370" s="807"/>
      <c r="K370" s="807"/>
      <c r="L370" s="807"/>
      <c r="M370" s="807"/>
      <c r="N370" s="807"/>
      <c r="O370" s="807"/>
      <c r="P370" s="807"/>
      <c r="Q370" s="807"/>
      <c r="R370" s="807"/>
      <c r="S370" s="807"/>
      <c r="T370" s="807"/>
      <c r="U370" s="807"/>
      <c r="V370" s="807"/>
      <c r="W370" s="807"/>
      <c r="X370" s="807"/>
      <c r="Y370" s="807"/>
      <c r="Z370" s="807"/>
      <c r="AA370" s="807"/>
      <c r="AB370" s="807"/>
      <c r="AC370" s="807"/>
      <c r="AD370" s="807"/>
      <c r="AE370" s="807"/>
      <c r="AF370" s="807"/>
      <c r="AG370" s="807"/>
      <c r="AH370" s="807"/>
      <c r="AI370" s="807"/>
      <c r="AJ370" s="807"/>
      <c r="AK370" s="807"/>
      <c r="AL370" s="807"/>
      <c r="AM370" s="807"/>
      <c r="AN370" s="807"/>
      <c r="AO370" s="807"/>
      <c r="AP370" s="807"/>
    </row>
    <row r="371" spans="1:42" s="5" customFormat="1" x14ac:dyDescent="0.25">
      <c r="A371" s="805"/>
      <c r="B371" s="806"/>
      <c r="C371" s="806"/>
      <c r="D371" s="806"/>
      <c r="E371" s="807"/>
      <c r="F371" s="807"/>
      <c r="G371" s="807"/>
      <c r="H371" s="807"/>
      <c r="I371" s="807"/>
      <c r="J371" s="807"/>
      <c r="K371" s="807"/>
      <c r="L371" s="807"/>
      <c r="M371" s="807"/>
      <c r="N371" s="807"/>
      <c r="O371" s="807"/>
      <c r="P371" s="807"/>
      <c r="Q371" s="807"/>
      <c r="R371" s="807"/>
      <c r="S371" s="807"/>
      <c r="T371" s="807"/>
      <c r="U371" s="807"/>
      <c r="V371" s="807"/>
      <c r="W371" s="807"/>
      <c r="X371" s="807"/>
      <c r="Y371" s="807"/>
      <c r="Z371" s="807"/>
      <c r="AA371" s="807"/>
      <c r="AB371" s="807"/>
      <c r="AC371" s="807"/>
      <c r="AD371" s="807"/>
      <c r="AE371" s="807"/>
      <c r="AF371" s="807"/>
      <c r="AG371" s="807"/>
      <c r="AH371" s="807"/>
      <c r="AI371" s="807"/>
      <c r="AJ371" s="807"/>
      <c r="AK371" s="807"/>
      <c r="AL371" s="807"/>
      <c r="AM371" s="807"/>
      <c r="AN371" s="807"/>
      <c r="AO371" s="807"/>
      <c r="AP371" s="807"/>
    </row>
    <row r="372" spans="1:42" s="5" customFormat="1" x14ac:dyDescent="0.25">
      <c r="A372" s="805"/>
      <c r="B372" s="806"/>
      <c r="C372" s="806"/>
      <c r="D372" s="806"/>
      <c r="E372" s="807"/>
      <c r="F372" s="807"/>
      <c r="G372" s="807"/>
      <c r="H372" s="807"/>
      <c r="I372" s="807"/>
      <c r="J372" s="807"/>
      <c r="K372" s="807"/>
      <c r="L372" s="807"/>
      <c r="M372" s="807"/>
      <c r="N372" s="807"/>
      <c r="O372" s="807"/>
      <c r="P372" s="807"/>
      <c r="Q372" s="807"/>
      <c r="R372" s="807"/>
      <c r="S372" s="807"/>
      <c r="T372" s="807"/>
      <c r="U372" s="807"/>
      <c r="V372" s="807"/>
      <c r="W372" s="807"/>
      <c r="X372" s="807"/>
      <c r="Y372" s="807"/>
      <c r="Z372" s="807"/>
      <c r="AA372" s="807"/>
      <c r="AB372" s="807"/>
      <c r="AC372" s="807"/>
      <c r="AD372" s="807"/>
      <c r="AE372" s="807"/>
      <c r="AF372" s="807"/>
      <c r="AG372" s="807"/>
      <c r="AH372" s="807"/>
      <c r="AI372" s="807"/>
      <c r="AJ372" s="807"/>
      <c r="AK372" s="807"/>
      <c r="AL372" s="807"/>
      <c r="AM372" s="807"/>
      <c r="AN372" s="807"/>
      <c r="AO372" s="807"/>
      <c r="AP372" s="807"/>
    </row>
    <row r="373" spans="1:42" s="5" customFormat="1" x14ac:dyDescent="0.25">
      <c r="A373" s="805"/>
      <c r="B373" s="806"/>
      <c r="C373" s="806"/>
      <c r="D373" s="806"/>
      <c r="E373" s="807"/>
      <c r="F373" s="807"/>
      <c r="G373" s="807"/>
      <c r="H373" s="807"/>
      <c r="I373" s="807"/>
      <c r="J373" s="807"/>
      <c r="K373" s="807"/>
      <c r="L373" s="807"/>
      <c r="M373" s="807"/>
      <c r="N373" s="807"/>
      <c r="O373" s="807"/>
      <c r="P373" s="807"/>
      <c r="Q373" s="807"/>
      <c r="R373" s="807"/>
      <c r="S373" s="807"/>
      <c r="T373" s="807"/>
      <c r="U373" s="807"/>
      <c r="V373" s="807"/>
      <c r="W373" s="807"/>
      <c r="X373" s="807"/>
      <c r="Y373" s="807"/>
      <c r="Z373" s="807"/>
      <c r="AA373" s="807"/>
      <c r="AB373" s="807"/>
      <c r="AC373" s="807"/>
      <c r="AD373" s="807"/>
      <c r="AE373" s="807"/>
      <c r="AF373" s="807"/>
      <c r="AG373" s="807"/>
      <c r="AH373" s="807"/>
      <c r="AI373" s="807"/>
      <c r="AJ373" s="807"/>
      <c r="AK373" s="807"/>
      <c r="AL373" s="807"/>
      <c r="AM373" s="807"/>
      <c r="AN373" s="807"/>
      <c r="AO373" s="807"/>
      <c r="AP373" s="807"/>
    </row>
    <row r="374" spans="1:42" s="5" customFormat="1" x14ac:dyDescent="0.25">
      <c r="A374" s="805"/>
      <c r="B374" s="806"/>
      <c r="C374" s="806"/>
      <c r="D374" s="806"/>
      <c r="E374" s="807"/>
      <c r="F374" s="807"/>
      <c r="G374" s="807"/>
      <c r="H374" s="807"/>
      <c r="I374" s="807"/>
      <c r="J374" s="807"/>
      <c r="K374" s="807"/>
      <c r="L374" s="807"/>
      <c r="M374" s="807"/>
      <c r="N374" s="807"/>
      <c r="O374" s="807"/>
      <c r="P374" s="807"/>
      <c r="Q374" s="807"/>
      <c r="R374" s="807"/>
      <c r="S374" s="807"/>
      <c r="T374" s="807"/>
      <c r="U374" s="807"/>
      <c r="V374" s="807"/>
      <c r="W374" s="807"/>
      <c r="X374" s="807"/>
      <c r="Y374" s="807"/>
      <c r="Z374" s="807"/>
      <c r="AA374" s="807"/>
      <c r="AB374" s="807"/>
      <c r="AC374" s="807"/>
      <c r="AD374" s="807"/>
      <c r="AE374" s="807"/>
      <c r="AF374" s="807"/>
      <c r="AG374" s="807"/>
      <c r="AH374" s="807"/>
      <c r="AI374" s="807"/>
      <c r="AJ374" s="807"/>
      <c r="AK374" s="807"/>
      <c r="AL374" s="807"/>
      <c r="AM374" s="807"/>
      <c r="AN374" s="807"/>
      <c r="AO374" s="807"/>
      <c r="AP374" s="807"/>
    </row>
    <row r="375" spans="1:42" s="5" customFormat="1" x14ac:dyDescent="0.25">
      <c r="A375" s="805"/>
      <c r="B375" s="806"/>
      <c r="C375" s="806"/>
      <c r="D375" s="806"/>
      <c r="E375" s="807"/>
      <c r="F375" s="807"/>
      <c r="G375" s="807"/>
      <c r="H375" s="807"/>
      <c r="I375" s="807"/>
      <c r="J375" s="807"/>
      <c r="K375" s="807"/>
      <c r="L375" s="807"/>
      <c r="M375" s="807"/>
      <c r="N375" s="807"/>
      <c r="O375" s="807"/>
      <c r="P375" s="807"/>
      <c r="Q375" s="807"/>
      <c r="R375" s="807"/>
      <c r="S375" s="807"/>
      <c r="T375" s="807"/>
      <c r="U375" s="807"/>
      <c r="V375" s="807"/>
      <c r="W375" s="807"/>
      <c r="X375" s="807"/>
      <c r="Y375" s="807"/>
      <c r="Z375" s="807"/>
      <c r="AA375" s="807"/>
      <c r="AB375" s="807"/>
      <c r="AC375" s="807"/>
      <c r="AD375" s="807"/>
      <c r="AE375" s="807"/>
      <c r="AF375" s="807"/>
      <c r="AG375" s="807"/>
      <c r="AH375" s="807"/>
      <c r="AI375" s="807"/>
      <c r="AJ375" s="807"/>
      <c r="AK375" s="807"/>
      <c r="AL375" s="807"/>
      <c r="AM375" s="807"/>
      <c r="AN375" s="807"/>
      <c r="AO375" s="807"/>
      <c r="AP375" s="807"/>
    </row>
    <row r="376" spans="1:42" s="5" customFormat="1" x14ac:dyDescent="0.25">
      <c r="A376" s="805"/>
      <c r="B376" s="806"/>
      <c r="C376" s="806"/>
      <c r="D376" s="806"/>
      <c r="E376" s="807"/>
      <c r="F376" s="807"/>
      <c r="G376" s="807"/>
      <c r="H376" s="807"/>
      <c r="I376" s="807"/>
      <c r="J376" s="807"/>
      <c r="K376" s="807"/>
      <c r="L376" s="807"/>
      <c r="M376" s="807"/>
      <c r="N376" s="807"/>
      <c r="O376" s="807"/>
      <c r="P376" s="807"/>
      <c r="Q376" s="807"/>
      <c r="R376" s="807"/>
      <c r="S376" s="807"/>
      <c r="T376" s="807"/>
      <c r="U376" s="807"/>
      <c r="V376" s="807"/>
      <c r="W376" s="807"/>
      <c r="X376" s="807"/>
      <c r="Y376" s="807"/>
      <c r="Z376" s="807"/>
      <c r="AA376" s="807"/>
      <c r="AB376" s="807"/>
      <c r="AC376" s="807"/>
      <c r="AD376" s="807"/>
      <c r="AE376" s="807"/>
      <c r="AF376" s="807"/>
      <c r="AG376" s="807"/>
      <c r="AH376" s="807"/>
      <c r="AI376" s="807"/>
      <c r="AJ376" s="807"/>
      <c r="AK376" s="807"/>
      <c r="AL376" s="807"/>
      <c r="AM376" s="807"/>
      <c r="AN376" s="807"/>
      <c r="AO376" s="807"/>
      <c r="AP376" s="807"/>
    </row>
    <row r="377" spans="1:42" s="5" customFormat="1" x14ac:dyDescent="0.25">
      <c r="A377" s="805"/>
      <c r="B377" s="806"/>
      <c r="C377" s="806"/>
      <c r="D377" s="806"/>
      <c r="E377" s="807"/>
      <c r="F377" s="807"/>
      <c r="G377" s="807"/>
      <c r="H377" s="807"/>
      <c r="I377" s="807"/>
      <c r="J377" s="807"/>
      <c r="K377" s="807"/>
      <c r="L377" s="807"/>
      <c r="M377" s="807"/>
      <c r="N377" s="807"/>
      <c r="O377" s="807"/>
      <c r="P377" s="807"/>
      <c r="Q377" s="807"/>
      <c r="R377" s="807"/>
      <c r="S377" s="807"/>
      <c r="T377" s="807"/>
      <c r="U377" s="807"/>
      <c r="V377" s="807"/>
      <c r="W377" s="807"/>
      <c r="X377" s="807"/>
      <c r="Y377" s="807"/>
      <c r="Z377" s="807"/>
      <c r="AA377" s="807"/>
      <c r="AB377" s="807"/>
      <c r="AC377" s="807"/>
      <c r="AD377" s="807"/>
      <c r="AE377" s="807"/>
      <c r="AF377" s="807"/>
      <c r="AG377" s="807"/>
      <c r="AH377" s="807"/>
      <c r="AI377" s="807"/>
      <c r="AJ377" s="807"/>
      <c r="AK377" s="807"/>
      <c r="AL377" s="807"/>
      <c r="AM377" s="807"/>
      <c r="AN377" s="807"/>
      <c r="AO377" s="807"/>
      <c r="AP377" s="807"/>
    </row>
    <row r="378" spans="1:42" s="5" customFormat="1" x14ac:dyDescent="0.25">
      <c r="A378" s="805"/>
      <c r="B378" s="806"/>
      <c r="C378" s="806"/>
      <c r="D378" s="806"/>
      <c r="E378" s="807"/>
      <c r="F378" s="807"/>
      <c r="G378" s="807"/>
      <c r="H378" s="807"/>
      <c r="I378" s="807"/>
      <c r="J378" s="807"/>
      <c r="K378" s="807"/>
      <c r="L378" s="807"/>
      <c r="M378" s="807"/>
      <c r="N378" s="807"/>
      <c r="O378" s="807"/>
      <c r="P378" s="807"/>
      <c r="Q378" s="807"/>
      <c r="R378" s="807"/>
      <c r="S378" s="807"/>
      <c r="T378" s="807"/>
      <c r="U378" s="807"/>
      <c r="V378" s="807"/>
      <c r="W378" s="807"/>
      <c r="X378" s="807"/>
      <c r="Y378" s="807"/>
      <c r="Z378" s="807"/>
      <c r="AA378" s="807"/>
      <c r="AB378" s="807"/>
      <c r="AC378" s="807"/>
      <c r="AD378" s="807"/>
      <c r="AE378" s="807"/>
      <c r="AF378" s="807"/>
      <c r="AG378" s="807"/>
      <c r="AH378" s="807"/>
      <c r="AI378" s="807"/>
      <c r="AJ378" s="807"/>
      <c r="AK378" s="807"/>
      <c r="AL378" s="807"/>
      <c r="AM378" s="807"/>
      <c r="AN378" s="807"/>
      <c r="AO378" s="807"/>
      <c r="AP378" s="807"/>
    </row>
    <row r="379" spans="1:42" s="5" customFormat="1" x14ac:dyDescent="0.25">
      <c r="A379" s="805"/>
      <c r="B379" s="806"/>
      <c r="C379" s="806"/>
      <c r="D379" s="806"/>
      <c r="E379" s="807"/>
      <c r="F379" s="807"/>
      <c r="G379" s="807"/>
      <c r="H379" s="807"/>
      <c r="I379" s="807"/>
      <c r="J379" s="807"/>
      <c r="K379" s="807"/>
      <c r="L379" s="807"/>
      <c r="M379" s="807"/>
      <c r="N379" s="807"/>
      <c r="O379" s="807"/>
      <c r="P379" s="807"/>
      <c r="Q379" s="807"/>
      <c r="R379" s="807"/>
      <c r="S379" s="807"/>
      <c r="T379" s="807"/>
      <c r="U379" s="807"/>
      <c r="V379" s="807"/>
      <c r="W379" s="807"/>
      <c r="X379" s="807"/>
      <c r="Y379" s="807"/>
      <c r="Z379" s="807"/>
      <c r="AA379" s="807"/>
      <c r="AB379" s="807"/>
      <c r="AC379" s="807"/>
      <c r="AD379" s="807"/>
      <c r="AE379" s="807"/>
      <c r="AF379" s="807"/>
      <c r="AG379" s="807"/>
      <c r="AH379" s="807"/>
      <c r="AI379" s="807"/>
      <c r="AJ379" s="807"/>
      <c r="AK379" s="807"/>
      <c r="AL379" s="807"/>
      <c r="AM379" s="807"/>
      <c r="AN379" s="807"/>
      <c r="AO379" s="807"/>
      <c r="AP379" s="807"/>
    </row>
    <row r="380" spans="1:42" s="5" customFormat="1" x14ac:dyDescent="0.25">
      <c r="A380" s="805"/>
      <c r="B380" s="806"/>
      <c r="C380" s="806"/>
      <c r="D380" s="806"/>
      <c r="E380" s="807"/>
      <c r="F380" s="807"/>
      <c r="G380" s="807"/>
      <c r="H380" s="807"/>
      <c r="I380" s="807"/>
      <c r="J380" s="807"/>
      <c r="K380" s="807"/>
      <c r="L380" s="807"/>
      <c r="M380" s="807"/>
      <c r="N380" s="807"/>
      <c r="O380" s="807"/>
      <c r="P380" s="807"/>
      <c r="Q380" s="807"/>
      <c r="R380" s="807"/>
      <c r="S380" s="807"/>
      <c r="T380" s="807"/>
      <c r="U380" s="807"/>
      <c r="V380" s="807"/>
      <c r="W380" s="807"/>
      <c r="X380" s="807"/>
      <c r="Y380" s="807"/>
      <c r="Z380" s="807"/>
      <c r="AA380" s="807"/>
      <c r="AB380" s="807"/>
      <c r="AC380" s="807"/>
      <c r="AD380" s="807"/>
      <c r="AE380" s="807"/>
      <c r="AF380" s="807"/>
      <c r="AG380" s="807"/>
      <c r="AH380" s="807"/>
      <c r="AI380" s="807"/>
      <c r="AJ380" s="807"/>
      <c r="AK380" s="807"/>
      <c r="AL380" s="807"/>
      <c r="AM380" s="807"/>
      <c r="AN380" s="807"/>
      <c r="AO380" s="807"/>
      <c r="AP380" s="807"/>
    </row>
    <row r="381" spans="1:42" s="5" customFormat="1" x14ac:dyDescent="0.25">
      <c r="A381" s="805"/>
      <c r="B381" s="806"/>
      <c r="C381" s="806"/>
      <c r="D381" s="806"/>
      <c r="E381" s="807"/>
      <c r="F381" s="807"/>
      <c r="G381" s="807"/>
      <c r="H381" s="807"/>
      <c r="I381" s="807"/>
      <c r="J381" s="807"/>
      <c r="K381" s="807"/>
      <c r="L381" s="807"/>
      <c r="M381" s="807"/>
      <c r="N381" s="807"/>
      <c r="O381" s="807"/>
      <c r="P381" s="807"/>
      <c r="Q381" s="807"/>
      <c r="R381" s="807"/>
      <c r="S381" s="807"/>
      <c r="T381" s="807"/>
      <c r="U381" s="807"/>
      <c r="V381" s="807"/>
      <c r="W381" s="807"/>
      <c r="X381" s="807"/>
      <c r="Y381" s="807"/>
      <c r="Z381" s="807"/>
      <c r="AA381" s="807"/>
      <c r="AB381" s="807"/>
      <c r="AC381" s="807"/>
      <c r="AD381" s="807"/>
      <c r="AE381" s="807"/>
      <c r="AF381" s="807"/>
      <c r="AG381" s="807"/>
      <c r="AH381" s="807"/>
      <c r="AI381" s="807"/>
      <c r="AJ381" s="807"/>
      <c r="AK381" s="807"/>
      <c r="AL381" s="807"/>
      <c r="AM381" s="807"/>
      <c r="AN381" s="807"/>
      <c r="AO381" s="807"/>
      <c r="AP381" s="807"/>
    </row>
    <row r="382" spans="1:42" s="5" customFormat="1" x14ac:dyDescent="0.25">
      <c r="A382" s="805"/>
      <c r="B382" s="806"/>
      <c r="C382" s="806"/>
      <c r="D382" s="806"/>
      <c r="E382" s="807"/>
      <c r="F382" s="807"/>
      <c r="G382" s="807"/>
      <c r="H382" s="807"/>
      <c r="I382" s="807"/>
      <c r="J382" s="807"/>
      <c r="K382" s="807"/>
      <c r="L382" s="807"/>
      <c r="M382" s="807"/>
      <c r="N382" s="807"/>
      <c r="O382" s="807"/>
      <c r="P382" s="807"/>
      <c r="Q382" s="807"/>
      <c r="R382" s="807"/>
      <c r="S382" s="807"/>
      <c r="T382" s="807"/>
      <c r="U382" s="807"/>
      <c r="V382" s="807"/>
      <c r="W382" s="807"/>
      <c r="X382" s="807"/>
      <c r="Y382" s="807"/>
      <c r="Z382" s="807"/>
      <c r="AA382" s="807"/>
      <c r="AB382" s="807"/>
      <c r="AC382" s="807"/>
      <c r="AD382" s="807"/>
      <c r="AE382" s="807"/>
      <c r="AF382" s="807"/>
      <c r="AG382" s="807"/>
      <c r="AH382" s="807"/>
      <c r="AI382" s="807"/>
      <c r="AJ382" s="807"/>
      <c r="AK382" s="807"/>
      <c r="AL382" s="807"/>
      <c r="AM382" s="807"/>
      <c r="AN382" s="807"/>
      <c r="AO382" s="807"/>
      <c r="AP382" s="807"/>
    </row>
    <row r="383" spans="1:42" s="5" customFormat="1" x14ac:dyDescent="0.25">
      <c r="A383" s="805"/>
      <c r="B383" s="806"/>
      <c r="C383" s="806"/>
      <c r="D383" s="806"/>
      <c r="E383" s="807"/>
      <c r="F383" s="807"/>
      <c r="G383" s="807"/>
      <c r="H383" s="807"/>
      <c r="I383" s="807"/>
      <c r="J383" s="807"/>
      <c r="K383" s="807"/>
      <c r="L383" s="807"/>
      <c r="M383" s="807"/>
      <c r="N383" s="807"/>
      <c r="O383" s="807"/>
      <c r="P383" s="807"/>
      <c r="Q383" s="807"/>
      <c r="R383" s="807"/>
      <c r="S383" s="807"/>
      <c r="T383" s="807"/>
      <c r="U383" s="807"/>
      <c r="V383" s="807"/>
      <c r="W383" s="807"/>
      <c r="X383" s="807"/>
      <c r="Y383" s="807"/>
      <c r="Z383" s="807"/>
      <c r="AA383" s="807"/>
      <c r="AB383" s="807"/>
      <c r="AC383" s="807"/>
      <c r="AD383" s="807"/>
      <c r="AE383" s="807"/>
      <c r="AF383" s="807"/>
      <c r="AG383" s="807"/>
      <c r="AH383" s="807"/>
      <c r="AI383" s="807"/>
      <c r="AJ383" s="807"/>
      <c r="AK383" s="807"/>
      <c r="AL383" s="807"/>
      <c r="AM383" s="807"/>
      <c r="AN383" s="807"/>
      <c r="AO383" s="807"/>
      <c r="AP383" s="807"/>
    </row>
    <row r="384" spans="1:42" s="5" customFormat="1" x14ac:dyDescent="0.25">
      <c r="A384" s="805"/>
      <c r="B384" s="806"/>
      <c r="C384" s="806"/>
      <c r="D384" s="806"/>
      <c r="E384" s="807"/>
      <c r="F384" s="807"/>
      <c r="G384" s="807"/>
      <c r="H384" s="807"/>
      <c r="I384" s="807"/>
      <c r="J384" s="807"/>
      <c r="K384" s="807"/>
      <c r="L384" s="807"/>
      <c r="M384" s="807"/>
      <c r="N384" s="807"/>
      <c r="O384" s="807"/>
      <c r="P384" s="807"/>
      <c r="Q384" s="807"/>
      <c r="R384" s="807"/>
      <c r="S384" s="807"/>
      <c r="T384" s="807"/>
      <c r="U384" s="807"/>
      <c r="V384" s="807"/>
      <c r="W384" s="807"/>
      <c r="X384" s="807"/>
      <c r="Y384" s="807"/>
      <c r="Z384" s="807"/>
      <c r="AA384" s="807"/>
      <c r="AB384" s="807"/>
      <c r="AC384" s="807"/>
      <c r="AD384" s="807"/>
      <c r="AE384" s="807"/>
      <c r="AF384" s="807"/>
      <c r="AG384" s="807"/>
      <c r="AH384" s="807"/>
      <c r="AI384" s="807"/>
      <c r="AJ384" s="807"/>
      <c r="AK384" s="807"/>
      <c r="AL384" s="807"/>
      <c r="AM384" s="807"/>
      <c r="AN384" s="807"/>
      <c r="AO384" s="807"/>
      <c r="AP384" s="807"/>
    </row>
    <row r="385" spans="1:42" s="5" customFormat="1" x14ac:dyDescent="0.25">
      <c r="A385" s="805"/>
      <c r="B385" s="806"/>
      <c r="C385" s="806"/>
      <c r="D385" s="806"/>
      <c r="E385" s="807"/>
      <c r="F385" s="807"/>
      <c r="G385" s="807"/>
      <c r="H385" s="807"/>
      <c r="I385" s="807"/>
      <c r="J385" s="807"/>
      <c r="K385" s="807"/>
      <c r="L385" s="807"/>
      <c r="M385" s="807"/>
      <c r="N385" s="807"/>
      <c r="O385" s="807"/>
      <c r="P385" s="807"/>
      <c r="Q385" s="807"/>
      <c r="R385" s="807"/>
      <c r="S385" s="807"/>
      <c r="T385" s="807"/>
      <c r="U385" s="807"/>
      <c r="V385" s="807"/>
      <c r="W385" s="807"/>
      <c r="X385" s="807"/>
      <c r="Y385" s="807"/>
      <c r="Z385" s="807"/>
      <c r="AA385" s="807"/>
      <c r="AB385" s="807"/>
      <c r="AC385" s="807"/>
      <c r="AD385" s="807"/>
      <c r="AE385" s="807"/>
      <c r="AF385" s="807"/>
      <c r="AG385" s="807"/>
      <c r="AH385" s="807"/>
      <c r="AI385" s="807"/>
      <c r="AJ385" s="807"/>
      <c r="AK385" s="807"/>
      <c r="AL385" s="807"/>
      <c r="AM385" s="807"/>
      <c r="AN385" s="807"/>
      <c r="AO385" s="807"/>
      <c r="AP385" s="807"/>
    </row>
    <row r="386" spans="1:42" s="5" customFormat="1" x14ac:dyDescent="0.25">
      <c r="A386" s="805"/>
      <c r="B386" s="806"/>
      <c r="C386" s="806"/>
      <c r="D386" s="806"/>
      <c r="E386" s="807"/>
      <c r="F386" s="807"/>
      <c r="G386" s="807"/>
      <c r="H386" s="807"/>
      <c r="I386" s="807"/>
      <c r="J386" s="807"/>
      <c r="K386" s="807"/>
      <c r="L386" s="807"/>
      <c r="M386" s="807"/>
      <c r="N386" s="807"/>
      <c r="O386" s="807"/>
      <c r="P386" s="807"/>
      <c r="Q386" s="807"/>
      <c r="R386" s="807"/>
      <c r="S386" s="807"/>
      <c r="T386" s="807"/>
      <c r="U386" s="807"/>
      <c r="V386" s="807"/>
      <c r="W386" s="807"/>
      <c r="X386" s="807"/>
      <c r="Y386" s="807"/>
      <c r="Z386" s="807"/>
      <c r="AA386" s="807"/>
      <c r="AB386" s="807"/>
      <c r="AC386" s="807"/>
      <c r="AD386" s="807"/>
      <c r="AE386" s="807"/>
      <c r="AF386" s="807"/>
      <c r="AG386" s="807"/>
      <c r="AH386" s="807"/>
      <c r="AI386" s="807"/>
      <c r="AJ386" s="807"/>
      <c r="AK386" s="807"/>
      <c r="AL386" s="807"/>
      <c r="AM386" s="807"/>
      <c r="AN386" s="807"/>
      <c r="AO386" s="807"/>
      <c r="AP386" s="807"/>
    </row>
    <row r="387" spans="1:42" s="5" customFormat="1" x14ac:dyDescent="0.25">
      <c r="A387" s="805"/>
      <c r="B387" s="806"/>
      <c r="C387" s="806"/>
      <c r="D387" s="806"/>
      <c r="E387" s="807"/>
      <c r="F387" s="807"/>
      <c r="G387" s="807"/>
      <c r="H387" s="807"/>
      <c r="I387" s="807"/>
      <c r="J387" s="807"/>
      <c r="K387" s="807"/>
      <c r="L387" s="807"/>
      <c r="M387" s="807"/>
      <c r="N387" s="807"/>
      <c r="O387" s="807"/>
      <c r="P387" s="807"/>
      <c r="Q387" s="807"/>
      <c r="R387" s="807"/>
      <c r="S387" s="807"/>
      <c r="T387" s="807"/>
      <c r="U387" s="807"/>
      <c r="V387" s="807"/>
      <c r="W387" s="807"/>
      <c r="X387" s="807"/>
      <c r="Y387" s="807"/>
      <c r="Z387" s="807"/>
      <c r="AA387" s="807"/>
      <c r="AB387" s="807"/>
      <c r="AC387" s="807"/>
      <c r="AD387" s="807"/>
      <c r="AE387" s="807"/>
      <c r="AF387" s="807"/>
      <c r="AG387" s="807"/>
      <c r="AH387" s="807"/>
      <c r="AI387" s="807"/>
      <c r="AJ387" s="807"/>
      <c r="AK387" s="807"/>
      <c r="AL387" s="807"/>
      <c r="AM387" s="807"/>
      <c r="AN387" s="807"/>
      <c r="AO387" s="807"/>
      <c r="AP387" s="807"/>
    </row>
    <row r="388" spans="1:42" s="5" customFormat="1" x14ac:dyDescent="0.25">
      <c r="A388" s="805"/>
      <c r="B388" s="806"/>
      <c r="C388" s="806"/>
      <c r="D388" s="806"/>
      <c r="E388" s="807"/>
      <c r="F388" s="807"/>
      <c r="G388" s="807"/>
      <c r="H388" s="807"/>
      <c r="I388" s="807"/>
      <c r="J388" s="807"/>
      <c r="K388" s="807"/>
      <c r="L388" s="807"/>
      <c r="M388" s="807"/>
      <c r="N388" s="807"/>
      <c r="O388" s="807"/>
      <c r="P388" s="807"/>
      <c r="Q388" s="807"/>
      <c r="R388" s="807"/>
      <c r="S388" s="807"/>
      <c r="T388" s="807"/>
      <c r="U388" s="807"/>
      <c r="V388" s="807"/>
      <c r="W388" s="807"/>
      <c r="X388" s="807"/>
      <c r="Y388" s="807"/>
      <c r="Z388" s="807"/>
      <c r="AA388" s="807"/>
      <c r="AB388" s="807"/>
      <c r="AC388" s="807"/>
      <c r="AD388" s="807"/>
      <c r="AE388" s="807"/>
      <c r="AF388" s="807"/>
      <c r="AG388" s="807"/>
      <c r="AH388" s="807"/>
      <c r="AI388" s="807"/>
      <c r="AJ388" s="807"/>
      <c r="AK388" s="807"/>
      <c r="AL388" s="807"/>
      <c r="AM388" s="807"/>
      <c r="AN388" s="807"/>
      <c r="AO388" s="807"/>
      <c r="AP388" s="807"/>
    </row>
    <row r="389" spans="1:42" s="5" customFormat="1" x14ac:dyDescent="0.25">
      <c r="A389" s="805"/>
      <c r="B389" s="806"/>
      <c r="C389" s="806"/>
      <c r="D389" s="806"/>
      <c r="E389" s="807"/>
      <c r="F389" s="807"/>
      <c r="G389" s="807"/>
      <c r="H389" s="807"/>
      <c r="I389" s="807"/>
      <c r="J389" s="807"/>
      <c r="K389" s="807"/>
      <c r="L389" s="807"/>
      <c r="M389" s="807"/>
      <c r="N389" s="807"/>
      <c r="O389" s="807"/>
      <c r="P389" s="807"/>
      <c r="Q389" s="807"/>
      <c r="R389" s="807"/>
      <c r="S389" s="807"/>
      <c r="T389" s="807"/>
      <c r="U389" s="807"/>
      <c r="V389" s="807"/>
      <c r="W389" s="807"/>
      <c r="X389" s="807"/>
      <c r="Y389" s="807"/>
      <c r="Z389" s="807"/>
      <c r="AA389" s="807"/>
      <c r="AB389" s="807"/>
      <c r="AC389" s="807"/>
      <c r="AD389" s="807"/>
      <c r="AE389" s="807"/>
      <c r="AF389" s="807"/>
      <c r="AG389" s="807"/>
      <c r="AH389" s="807"/>
      <c r="AI389" s="807"/>
      <c r="AJ389" s="807"/>
      <c r="AK389" s="807"/>
      <c r="AL389" s="807"/>
      <c r="AM389" s="807"/>
      <c r="AN389" s="807"/>
      <c r="AO389" s="807"/>
      <c r="AP389" s="807"/>
    </row>
    <row r="390" spans="1:42" s="5" customFormat="1" x14ac:dyDescent="0.25">
      <c r="A390" s="805"/>
      <c r="B390" s="806"/>
      <c r="C390" s="806"/>
      <c r="D390" s="806"/>
      <c r="E390" s="807"/>
      <c r="F390" s="807"/>
      <c r="G390" s="807"/>
      <c r="H390" s="807"/>
      <c r="I390" s="807"/>
      <c r="J390" s="807"/>
      <c r="K390" s="807"/>
      <c r="L390" s="807"/>
      <c r="M390" s="807"/>
      <c r="N390" s="807"/>
      <c r="O390" s="807"/>
      <c r="P390" s="807"/>
      <c r="Q390" s="807"/>
      <c r="R390" s="807"/>
      <c r="S390" s="807"/>
      <c r="T390" s="807"/>
      <c r="U390" s="807"/>
      <c r="V390" s="807"/>
      <c r="W390" s="807"/>
      <c r="X390" s="807"/>
      <c r="Y390" s="807"/>
      <c r="Z390" s="807"/>
      <c r="AA390" s="807"/>
      <c r="AB390" s="807"/>
      <c r="AC390" s="807"/>
      <c r="AD390" s="807"/>
      <c r="AE390" s="807"/>
      <c r="AF390" s="807"/>
      <c r="AG390" s="807"/>
      <c r="AH390" s="807"/>
      <c r="AI390" s="807"/>
      <c r="AJ390" s="807"/>
      <c r="AK390" s="807"/>
      <c r="AL390" s="807"/>
      <c r="AM390" s="807"/>
      <c r="AN390" s="807"/>
      <c r="AO390" s="807"/>
      <c r="AP390" s="807"/>
    </row>
    <row r="391" spans="1:42" s="5" customFormat="1" x14ac:dyDescent="0.25">
      <c r="A391" s="805"/>
      <c r="B391" s="806"/>
      <c r="C391" s="806"/>
      <c r="D391" s="806"/>
      <c r="E391" s="807"/>
      <c r="F391" s="807"/>
      <c r="G391" s="807"/>
      <c r="H391" s="807"/>
      <c r="I391" s="807"/>
      <c r="J391" s="807"/>
      <c r="K391" s="807"/>
      <c r="L391" s="807"/>
      <c r="M391" s="807"/>
      <c r="N391" s="807"/>
      <c r="O391" s="807"/>
      <c r="P391" s="807"/>
      <c r="Q391" s="807"/>
      <c r="R391" s="807"/>
      <c r="S391" s="807"/>
      <c r="T391" s="807"/>
      <c r="U391" s="807"/>
      <c r="V391" s="807"/>
      <c r="W391" s="807"/>
      <c r="X391" s="807"/>
      <c r="Y391" s="807"/>
      <c r="Z391" s="807"/>
      <c r="AA391" s="807"/>
      <c r="AB391" s="807"/>
      <c r="AC391" s="807"/>
      <c r="AD391" s="807"/>
      <c r="AE391" s="807"/>
      <c r="AF391" s="807"/>
      <c r="AG391" s="807"/>
      <c r="AH391" s="807"/>
      <c r="AI391" s="807"/>
      <c r="AJ391" s="807"/>
      <c r="AK391" s="807"/>
      <c r="AL391" s="807"/>
      <c r="AM391" s="807"/>
      <c r="AN391" s="807"/>
      <c r="AO391" s="807"/>
      <c r="AP391" s="807"/>
    </row>
    <row r="392" spans="1:42" s="5" customFormat="1" x14ac:dyDescent="0.25">
      <c r="A392" s="805"/>
      <c r="B392" s="806"/>
      <c r="C392" s="806"/>
      <c r="D392" s="806"/>
      <c r="E392" s="807"/>
      <c r="F392" s="807"/>
      <c r="G392" s="807"/>
      <c r="H392" s="807"/>
      <c r="I392" s="807"/>
      <c r="J392" s="807"/>
      <c r="K392" s="807"/>
      <c r="L392" s="807"/>
      <c r="M392" s="807"/>
      <c r="N392" s="807"/>
      <c r="O392" s="807"/>
      <c r="P392" s="807"/>
      <c r="Q392" s="807"/>
      <c r="R392" s="807"/>
      <c r="S392" s="807"/>
      <c r="T392" s="807"/>
      <c r="U392" s="807"/>
      <c r="V392" s="807"/>
      <c r="W392" s="807"/>
      <c r="X392" s="807"/>
      <c r="Y392" s="807"/>
      <c r="Z392" s="807"/>
      <c r="AA392" s="807"/>
      <c r="AB392" s="807"/>
      <c r="AC392" s="807"/>
      <c r="AD392" s="807"/>
      <c r="AE392" s="807"/>
      <c r="AF392" s="807"/>
      <c r="AG392" s="807"/>
      <c r="AH392" s="807"/>
      <c r="AI392" s="807"/>
      <c r="AJ392" s="807"/>
      <c r="AK392" s="807"/>
      <c r="AL392" s="807"/>
      <c r="AM392" s="807"/>
      <c r="AN392" s="807"/>
      <c r="AO392" s="807"/>
      <c r="AP392" s="807"/>
    </row>
    <row r="393" spans="1:42" s="5" customFormat="1" x14ac:dyDescent="0.25">
      <c r="A393" s="805"/>
      <c r="B393" s="806"/>
      <c r="C393" s="806"/>
      <c r="D393" s="806"/>
      <c r="E393" s="807"/>
      <c r="F393" s="807"/>
      <c r="G393" s="807"/>
      <c r="H393" s="807"/>
      <c r="I393" s="807"/>
      <c r="J393" s="807"/>
      <c r="K393" s="807"/>
      <c r="L393" s="807"/>
      <c r="M393" s="807"/>
      <c r="N393" s="807"/>
      <c r="O393" s="807"/>
      <c r="P393" s="807"/>
      <c r="Q393" s="807"/>
      <c r="R393" s="807"/>
      <c r="S393" s="807"/>
      <c r="T393" s="807"/>
      <c r="U393" s="807"/>
      <c r="V393" s="807"/>
      <c r="W393" s="807"/>
      <c r="X393" s="807"/>
      <c r="Y393" s="807"/>
      <c r="Z393" s="807"/>
      <c r="AA393" s="807"/>
      <c r="AB393" s="807"/>
      <c r="AC393" s="807"/>
      <c r="AD393" s="807"/>
      <c r="AE393" s="807"/>
      <c r="AF393" s="807"/>
      <c r="AG393" s="807"/>
      <c r="AH393" s="807"/>
      <c r="AI393" s="807"/>
      <c r="AJ393" s="807"/>
      <c r="AK393" s="807"/>
      <c r="AL393" s="807"/>
      <c r="AM393" s="807"/>
      <c r="AN393" s="807"/>
      <c r="AO393" s="807"/>
      <c r="AP393" s="807"/>
    </row>
    <row r="394" spans="1:42" s="5" customFormat="1" x14ac:dyDescent="0.25">
      <c r="A394" s="805"/>
      <c r="B394" s="806"/>
      <c r="C394" s="806"/>
      <c r="D394" s="806"/>
      <c r="E394" s="807"/>
      <c r="F394" s="807"/>
      <c r="G394" s="807"/>
      <c r="H394" s="807"/>
      <c r="I394" s="807"/>
      <c r="J394" s="807"/>
      <c r="K394" s="807"/>
      <c r="L394" s="807"/>
      <c r="M394" s="807"/>
      <c r="N394" s="807"/>
      <c r="O394" s="807"/>
      <c r="P394" s="807"/>
      <c r="Q394" s="807"/>
      <c r="R394" s="807"/>
      <c r="S394" s="807"/>
      <c r="T394" s="807"/>
      <c r="U394" s="807"/>
      <c r="V394" s="807"/>
      <c r="W394" s="807"/>
      <c r="X394" s="807"/>
      <c r="Y394" s="807"/>
      <c r="Z394" s="807"/>
      <c r="AA394" s="807"/>
      <c r="AB394" s="807"/>
      <c r="AC394" s="807"/>
      <c r="AD394" s="807"/>
      <c r="AE394" s="807"/>
      <c r="AF394" s="807"/>
      <c r="AG394" s="807"/>
      <c r="AH394" s="807"/>
      <c r="AI394" s="807"/>
      <c r="AJ394" s="807"/>
      <c r="AK394" s="807"/>
      <c r="AL394" s="807"/>
      <c r="AM394" s="807"/>
      <c r="AN394" s="807"/>
      <c r="AO394" s="807"/>
      <c r="AP394" s="807"/>
    </row>
    <row r="395" spans="1:42" s="5" customFormat="1" x14ac:dyDescent="0.25">
      <c r="A395" s="805"/>
      <c r="B395" s="806"/>
      <c r="C395" s="806"/>
      <c r="D395" s="806"/>
      <c r="E395" s="807"/>
      <c r="F395" s="807"/>
      <c r="G395" s="807"/>
      <c r="H395" s="807"/>
      <c r="I395" s="807"/>
      <c r="J395" s="807"/>
      <c r="K395" s="807"/>
      <c r="L395" s="807"/>
      <c r="M395" s="807"/>
      <c r="N395" s="807"/>
      <c r="O395" s="807"/>
      <c r="P395" s="807"/>
      <c r="Q395" s="807"/>
      <c r="R395" s="807"/>
      <c r="S395" s="807"/>
      <c r="T395" s="807"/>
      <c r="U395" s="807"/>
      <c r="V395" s="807"/>
      <c r="W395" s="807"/>
      <c r="X395" s="807"/>
      <c r="Y395" s="807"/>
      <c r="Z395" s="807"/>
      <c r="AA395" s="807"/>
      <c r="AB395" s="807"/>
      <c r="AC395" s="807"/>
      <c r="AD395" s="807"/>
      <c r="AE395" s="807"/>
      <c r="AF395" s="807"/>
      <c r="AG395" s="807"/>
      <c r="AH395" s="807"/>
      <c r="AI395" s="807"/>
      <c r="AJ395" s="807"/>
      <c r="AK395" s="807"/>
      <c r="AL395" s="807"/>
      <c r="AM395" s="807"/>
      <c r="AN395" s="807"/>
      <c r="AO395" s="807"/>
      <c r="AP395" s="807"/>
    </row>
    <row r="396" spans="1:42" s="5" customFormat="1" x14ac:dyDescent="0.25">
      <c r="A396" s="805"/>
      <c r="B396" s="806"/>
      <c r="C396" s="806"/>
      <c r="D396" s="806"/>
      <c r="E396" s="807"/>
      <c r="F396" s="807"/>
      <c r="G396" s="807"/>
      <c r="H396" s="807"/>
      <c r="I396" s="807"/>
      <c r="J396" s="807"/>
      <c r="K396" s="807"/>
      <c r="L396" s="807"/>
      <c r="M396" s="807"/>
      <c r="N396" s="807"/>
      <c r="O396" s="807"/>
      <c r="P396" s="807"/>
      <c r="Q396" s="807"/>
      <c r="R396" s="807"/>
      <c r="S396" s="807"/>
      <c r="T396" s="807"/>
      <c r="U396" s="807"/>
      <c r="V396" s="807"/>
      <c r="W396" s="807"/>
      <c r="X396" s="807"/>
      <c r="Y396" s="807"/>
      <c r="Z396" s="807"/>
      <c r="AA396" s="807"/>
      <c r="AB396" s="807"/>
      <c r="AC396" s="807"/>
      <c r="AD396" s="807"/>
      <c r="AE396" s="807"/>
      <c r="AF396" s="807"/>
      <c r="AG396" s="807"/>
      <c r="AH396" s="807"/>
      <c r="AI396" s="807"/>
      <c r="AJ396" s="807"/>
      <c r="AK396" s="807"/>
      <c r="AL396" s="807"/>
      <c r="AM396" s="807"/>
      <c r="AN396" s="807"/>
      <c r="AO396" s="807"/>
      <c r="AP396" s="807"/>
    </row>
    <row r="397" spans="1:42" s="5" customFormat="1" x14ac:dyDescent="0.25">
      <c r="A397" s="805"/>
      <c r="B397" s="806"/>
      <c r="C397" s="806"/>
      <c r="D397" s="806"/>
      <c r="E397" s="807"/>
      <c r="F397" s="807"/>
      <c r="G397" s="807"/>
      <c r="H397" s="807"/>
      <c r="I397" s="807"/>
      <c r="J397" s="807"/>
      <c r="K397" s="807"/>
      <c r="L397" s="807"/>
      <c r="M397" s="807"/>
      <c r="N397" s="807"/>
      <c r="O397" s="807"/>
      <c r="P397" s="807"/>
      <c r="Q397" s="807"/>
      <c r="R397" s="807"/>
      <c r="S397" s="807"/>
      <c r="T397" s="807"/>
      <c r="U397" s="807"/>
      <c r="V397" s="807"/>
      <c r="W397" s="807"/>
      <c r="X397" s="807"/>
      <c r="Y397" s="807"/>
      <c r="Z397" s="807"/>
      <c r="AA397" s="807"/>
      <c r="AB397" s="807"/>
      <c r="AC397" s="807"/>
      <c r="AD397" s="807"/>
      <c r="AE397" s="807"/>
      <c r="AF397" s="807"/>
      <c r="AG397" s="807"/>
      <c r="AH397" s="807"/>
      <c r="AI397" s="807"/>
      <c r="AJ397" s="807"/>
      <c r="AK397" s="807"/>
      <c r="AL397" s="807"/>
      <c r="AM397" s="807"/>
      <c r="AN397" s="807"/>
      <c r="AO397" s="807"/>
      <c r="AP397" s="807"/>
    </row>
    <row r="398" spans="1:42" s="5" customFormat="1" x14ac:dyDescent="0.25">
      <c r="A398" s="805"/>
      <c r="B398" s="806"/>
      <c r="C398" s="806"/>
      <c r="D398" s="806"/>
      <c r="E398" s="807"/>
      <c r="F398" s="807"/>
      <c r="G398" s="807"/>
      <c r="H398" s="807"/>
      <c r="I398" s="807"/>
      <c r="J398" s="807"/>
      <c r="K398" s="807"/>
      <c r="L398" s="807"/>
      <c r="M398" s="807"/>
      <c r="N398" s="807"/>
      <c r="O398" s="807"/>
      <c r="P398" s="807"/>
      <c r="Q398" s="807"/>
      <c r="R398" s="807"/>
      <c r="S398" s="807"/>
      <c r="T398" s="807"/>
      <c r="U398" s="807"/>
      <c r="V398" s="807"/>
      <c r="W398" s="807"/>
      <c r="X398" s="807"/>
      <c r="Y398" s="807"/>
      <c r="Z398" s="807"/>
      <c r="AA398" s="807"/>
      <c r="AB398" s="807"/>
      <c r="AC398" s="807"/>
      <c r="AD398" s="807"/>
      <c r="AE398" s="807"/>
      <c r="AF398" s="807"/>
      <c r="AG398" s="807"/>
      <c r="AH398" s="807"/>
      <c r="AI398" s="807"/>
      <c r="AJ398" s="807"/>
      <c r="AK398" s="807"/>
      <c r="AL398" s="807"/>
      <c r="AM398" s="807"/>
      <c r="AN398" s="807"/>
      <c r="AO398" s="807"/>
      <c r="AP398" s="807"/>
    </row>
    <row r="399" spans="1:42" s="5" customFormat="1" x14ac:dyDescent="0.25">
      <c r="A399" s="805"/>
      <c r="B399" s="806"/>
      <c r="C399" s="806"/>
      <c r="D399" s="806"/>
      <c r="E399" s="807"/>
      <c r="F399" s="807"/>
      <c r="G399" s="807"/>
      <c r="H399" s="807"/>
      <c r="I399" s="807"/>
      <c r="J399" s="807"/>
      <c r="K399" s="807"/>
      <c r="L399" s="807"/>
      <c r="M399" s="807"/>
      <c r="N399" s="807"/>
      <c r="O399" s="807"/>
      <c r="P399" s="807"/>
      <c r="Q399" s="807"/>
      <c r="R399" s="807"/>
      <c r="S399" s="807"/>
      <c r="T399" s="807"/>
      <c r="U399" s="807"/>
      <c r="V399" s="807"/>
      <c r="W399" s="807"/>
      <c r="X399" s="807"/>
      <c r="Y399" s="807"/>
      <c r="Z399" s="807"/>
      <c r="AA399" s="807"/>
      <c r="AB399" s="807"/>
      <c r="AC399" s="807"/>
      <c r="AD399" s="807"/>
      <c r="AE399" s="807"/>
      <c r="AF399" s="807"/>
      <c r="AG399" s="807"/>
      <c r="AH399" s="807"/>
      <c r="AI399" s="807"/>
      <c r="AJ399" s="807"/>
      <c r="AK399" s="807"/>
      <c r="AL399" s="807"/>
      <c r="AM399" s="807"/>
      <c r="AN399" s="807"/>
      <c r="AO399" s="807"/>
      <c r="AP399" s="807"/>
    </row>
    <row r="400" spans="1:42" s="5" customFormat="1" x14ac:dyDescent="0.25">
      <c r="A400" s="805"/>
      <c r="B400" s="806"/>
      <c r="C400" s="806"/>
      <c r="D400" s="806"/>
      <c r="E400" s="807"/>
      <c r="F400" s="807"/>
      <c r="G400" s="807"/>
      <c r="H400" s="807"/>
      <c r="I400" s="807"/>
      <c r="J400" s="807"/>
      <c r="K400" s="807"/>
      <c r="L400" s="807"/>
      <c r="M400" s="807"/>
      <c r="N400" s="807"/>
      <c r="O400" s="807"/>
      <c r="P400" s="807"/>
      <c r="Q400" s="807"/>
      <c r="R400" s="807"/>
      <c r="S400" s="807"/>
      <c r="T400" s="807"/>
      <c r="U400" s="807"/>
      <c r="V400" s="807"/>
      <c r="W400" s="807"/>
      <c r="X400" s="807"/>
      <c r="Y400" s="807"/>
      <c r="Z400" s="807"/>
      <c r="AA400" s="807"/>
      <c r="AB400" s="807"/>
      <c r="AC400" s="807"/>
      <c r="AD400" s="807"/>
      <c r="AE400" s="807"/>
      <c r="AF400" s="807"/>
      <c r="AG400" s="807"/>
      <c r="AH400" s="807"/>
      <c r="AI400" s="807"/>
      <c r="AJ400" s="807"/>
      <c r="AK400" s="807"/>
      <c r="AL400" s="807"/>
      <c r="AM400" s="807"/>
      <c r="AN400" s="807"/>
      <c r="AO400" s="807"/>
      <c r="AP400" s="807"/>
    </row>
    <row r="401" spans="1:42" s="5" customFormat="1" x14ac:dyDescent="0.25">
      <c r="A401" s="805"/>
      <c r="B401" s="806"/>
      <c r="C401" s="806"/>
      <c r="D401" s="806"/>
      <c r="E401" s="807"/>
      <c r="F401" s="807"/>
      <c r="G401" s="807"/>
      <c r="H401" s="807"/>
      <c r="I401" s="807"/>
      <c r="J401" s="807"/>
      <c r="K401" s="807"/>
      <c r="L401" s="807"/>
      <c r="M401" s="807"/>
      <c r="N401" s="807"/>
      <c r="O401" s="807"/>
      <c r="P401" s="807"/>
      <c r="Q401" s="807"/>
      <c r="R401" s="807"/>
      <c r="S401" s="807"/>
      <c r="T401" s="807"/>
      <c r="U401" s="807"/>
      <c r="V401" s="807"/>
      <c r="W401" s="807"/>
      <c r="X401" s="807"/>
      <c r="Y401" s="807"/>
      <c r="Z401" s="807"/>
      <c r="AA401" s="807"/>
      <c r="AB401" s="807"/>
      <c r="AC401" s="807"/>
      <c r="AD401" s="807"/>
      <c r="AE401" s="807"/>
      <c r="AF401" s="807"/>
      <c r="AG401" s="807"/>
      <c r="AH401" s="807"/>
      <c r="AI401" s="807"/>
      <c r="AJ401" s="807"/>
      <c r="AK401" s="807"/>
      <c r="AL401" s="807"/>
      <c r="AM401" s="807"/>
      <c r="AN401" s="807"/>
      <c r="AO401" s="807"/>
      <c r="AP401" s="807"/>
    </row>
    <row r="402" spans="1:42" s="5" customFormat="1" x14ac:dyDescent="0.25">
      <c r="A402" s="805"/>
      <c r="B402" s="806"/>
      <c r="C402" s="806"/>
      <c r="D402" s="806"/>
      <c r="E402" s="807"/>
      <c r="F402" s="807"/>
      <c r="G402" s="807"/>
      <c r="H402" s="807"/>
      <c r="I402" s="807"/>
      <c r="J402" s="807"/>
      <c r="K402" s="807"/>
      <c r="L402" s="807"/>
      <c r="M402" s="807"/>
      <c r="N402" s="807"/>
      <c r="O402" s="807"/>
      <c r="P402" s="807"/>
      <c r="Q402" s="807"/>
      <c r="R402" s="807"/>
      <c r="S402" s="807"/>
      <c r="T402" s="807"/>
      <c r="U402" s="807"/>
      <c r="V402" s="807"/>
      <c r="W402" s="807"/>
      <c r="X402" s="807"/>
      <c r="Y402" s="807"/>
      <c r="Z402" s="807"/>
      <c r="AA402" s="807"/>
      <c r="AB402" s="807"/>
      <c r="AC402" s="807"/>
      <c r="AD402" s="807"/>
      <c r="AE402" s="807"/>
      <c r="AF402" s="807"/>
      <c r="AG402" s="807"/>
      <c r="AH402" s="807"/>
      <c r="AI402" s="807"/>
      <c r="AJ402" s="807"/>
      <c r="AK402" s="807"/>
      <c r="AL402" s="807"/>
      <c r="AM402" s="807"/>
      <c r="AN402" s="807"/>
      <c r="AO402" s="807"/>
      <c r="AP402" s="807"/>
    </row>
    <row r="403" spans="1:42" s="5" customFormat="1" x14ac:dyDescent="0.25">
      <c r="A403" s="805"/>
      <c r="B403" s="806"/>
      <c r="C403" s="806"/>
      <c r="D403" s="806"/>
      <c r="E403" s="807"/>
      <c r="F403" s="807"/>
      <c r="G403" s="807"/>
      <c r="H403" s="807"/>
      <c r="I403" s="807"/>
      <c r="J403" s="807"/>
      <c r="K403" s="807"/>
      <c r="L403" s="807"/>
      <c r="M403" s="807"/>
      <c r="N403" s="807"/>
      <c r="O403" s="807"/>
      <c r="P403" s="807"/>
      <c r="Q403" s="807"/>
      <c r="R403" s="807"/>
      <c r="S403" s="807"/>
      <c r="T403" s="807"/>
      <c r="U403" s="807"/>
      <c r="V403" s="807"/>
      <c r="W403" s="807"/>
      <c r="X403" s="807"/>
      <c r="Y403" s="807"/>
      <c r="Z403" s="807"/>
      <c r="AA403" s="807"/>
      <c r="AB403" s="807"/>
      <c r="AC403" s="807"/>
      <c r="AD403" s="807"/>
      <c r="AE403" s="807"/>
      <c r="AF403" s="807"/>
      <c r="AG403" s="807"/>
      <c r="AH403" s="807"/>
      <c r="AI403" s="807"/>
      <c r="AJ403" s="807"/>
      <c r="AK403" s="807"/>
      <c r="AL403" s="807"/>
      <c r="AM403" s="807"/>
      <c r="AN403" s="807"/>
      <c r="AO403" s="807"/>
      <c r="AP403" s="807"/>
    </row>
    <row r="404" spans="1:42" s="5" customFormat="1" x14ac:dyDescent="0.25">
      <c r="A404" s="805"/>
      <c r="B404" s="806"/>
      <c r="C404" s="806"/>
      <c r="D404" s="806"/>
      <c r="E404" s="807"/>
      <c r="F404" s="807"/>
      <c r="G404" s="807"/>
      <c r="H404" s="807"/>
      <c r="I404" s="807"/>
      <c r="J404" s="807"/>
      <c r="K404" s="807"/>
      <c r="L404" s="807"/>
      <c r="M404" s="807"/>
      <c r="N404" s="807"/>
      <c r="O404" s="807"/>
      <c r="P404" s="807"/>
      <c r="Q404" s="807"/>
      <c r="R404" s="807"/>
      <c r="S404" s="807"/>
      <c r="T404" s="807"/>
      <c r="U404" s="807"/>
      <c r="V404" s="807"/>
      <c r="W404" s="807"/>
      <c r="X404" s="807"/>
      <c r="Y404" s="807"/>
      <c r="Z404" s="807"/>
      <c r="AA404" s="807"/>
      <c r="AB404" s="807"/>
      <c r="AC404" s="807"/>
      <c r="AD404" s="807"/>
      <c r="AE404" s="807"/>
      <c r="AF404" s="807"/>
      <c r="AG404" s="807"/>
      <c r="AH404" s="807"/>
      <c r="AI404" s="807"/>
      <c r="AJ404" s="807"/>
      <c r="AK404" s="807"/>
      <c r="AL404" s="807"/>
      <c r="AM404" s="807"/>
      <c r="AN404" s="807"/>
      <c r="AO404" s="807"/>
      <c r="AP404" s="807"/>
    </row>
    <row r="405" spans="1:42" s="5" customFormat="1" x14ac:dyDescent="0.25">
      <c r="A405" s="805"/>
      <c r="B405" s="806"/>
      <c r="C405" s="806"/>
      <c r="D405" s="806"/>
      <c r="E405" s="807"/>
      <c r="F405" s="807"/>
      <c r="G405" s="807"/>
      <c r="H405" s="807"/>
      <c r="I405" s="807"/>
      <c r="J405" s="807"/>
      <c r="K405" s="807"/>
      <c r="L405" s="807"/>
      <c r="M405" s="807"/>
      <c r="N405" s="807"/>
      <c r="O405" s="807"/>
      <c r="P405" s="807"/>
      <c r="Q405" s="807"/>
      <c r="R405" s="807"/>
      <c r="S405" s="807"/>
      <c r="T405" s="807"/>
      <c r="U405" s="807"/>
      <c r="V405" s="807"/>
      <c r="W405" s="807"/>
      <c r="X405" s="807"/>
      <c r="Y405" s="807"/>
      <c r="Z405" s="807"/>
      <c r="AA405" s="807"/>
      <c r="AB405" s="807"/>
      <c r="AC405" s="807"/>
      <c r="AD405" s="807"/>
      <c r="AE405" s="807"/>
      <c r="AF405" s="807"/>
      <c r="AG405" s="807"/>
      <c r="AH405" s="807"/>
      <c r="AI405" s="807"/>
      <c r="AJ405" s="807"/>
      <c r="AK405" s="807"/>
      <c r="AL405" s="807"/>
      <c r="AM405" s="807"/>
      <c r="AN405" s="807"/>
      <c r="AO405" s="807"/>
      <c r="AP405" s="807"/>
    </row>
    <row r="406" spans="1:42" s="5" customFormat="1" x14ac:dyDescent="0.25">
      <c r="A406" s="805"/>
      <c r="B406" s="806"/>
      <c r="C406" s="806"/>
      <c r="D406" s="806"/>
      <c r="E406" s="807"/>
      <c r="F406" s="807"/>
      <c r="G406" s="807"/>
      <c r="H406" s="807"/>
      <c r="I406" s="807"/>
      <c r="J406" s="807"/>
      <c r="K406" s="807"/>
      <c r="L406" s="807"/>
      <c r="M406" s="807"/>
      <c r="N406" s="807"/>
      <c r="O406" s="807"/>
      <c r="P406" s="807"/>
      <c r="Q406" s="807"/>
      <c r="R406" s="807"/>
      <c r="S406" s="807"/>
      <c r="T406" s="807"/>
      <c r="U406" s="807"/>
      <c r="V406" s="807"/>
      <c r="W406" s="807"/>
      <c r="X406" s="807"/>
      <c r="Y406" s="807"/>
      <c r="Z406" s="807"/>
      <c r="AA406" s="807"/>
      <c r="AB406" s="807"/>
      <c r="AC406" s="807"/>
      <c r="AD406" s="807"/>
      <c r="AE406" s="807"/>
      <c r="AF406" s="807"/>
      <c r="AG406" s="807"/>
      <c r="AH406" s="807"/>
      <c r="AI406" s="807"/>
      <c r="AJ406" s="807"/>
      <c r="AK406" s="807"/>
      <c r="AL406" s="807"/>
      <c r="AM406" s="807"/>
      <c r="AN406" s="807"/>
      <c r="AO406" s="807"/>
      <c r="AP406" s="807"/>
    </row>
    <row r="407" spans="1:42" s="5" customFormat="1" x14ac:dyDescent="0.25">
      <c r="A407" s="805"/>
      <c r="B407" s="806"/>
      <c r="C407" s="806"/>
      <c r="D407" s="806"/>
      <c r="E407" s="807"/>
      <c r="F407" s="807"/>
      <c r="G407" s="807"/>
      <c r="H407" s="807"/>
      <c r="I407" s="807"/>
      <c r="J407" s="807"/>
      <c r="K407" s="807"/>
      <c r="L407" s="807"/>
      <c r="M407" s="807"/>
      <c r="N407" s="807"/>
      <c r="O407" s="807"/>
      <c r="P407" s="807"/>
      <c r="Q407" s="807"/>
      <c r="R407" s="807"/>
      <c r="S407" s="807"/>
      <c r="T407" s="807"/>
      <c r="U407" s="807"/>
      <c r="V407" s="807"/>
      <c r="W407" s="807"/>
      <c r="X407" s="807"/>
      <c r="Y407" s="807"/>
      <c r="Z407" s="807"/>
      <c r="AA407" s="807"/>
      <c r="AB407" s="807"/>
      <c r="AC407" s="807"/>
      <c r="AD407" s="807"/>
      <c r="AE407" s="807"/>
      <c r="AF407" s="807"/>
      <c r="AG407" s="807"/>
      <c r="AH407" s="807"/>
      <c r="AI407" s="807"/>
      <c r="AJ407" s="807"/>
      <c r="AK407" s="807"/>
      <c r="AL407" s="807"/>
      <c r="AM407" s="807"/>
      <c r="AN407" s="807"/>
      <c r="AO407" s="807"/>
      <c r="AP407" s="807"/>
    </row>
    <row r="408" spans="1:42" s="5" customFormat="1" x14ac:dyDescent="0.25">
      <c r="A408" s="805"/>
      <c r="B408" s="806"/>
      <c r="C408" s="806"/>
      <c r="D408" s="806"/>
      <c r="E408" s="807"/>
      <c r="F408" s="807"/>
      <c r="G408" s="807"/>
      <c r="H408" s="807"/>
      <c r="I408" s="807"/>
      <c r="J408" s="807"/>
      <c r="K408" s="807"/>
      <c r="L408" s="807"/>
      <c r="M408" s="807"/>
      <c r="N408" s="807"/>
      <c r="O408" s="807"/>
      <c r="P408" s="807"/>
      <c r="Q408" s="807"/>
      <c r="R408" s="807"/>
      <c r="S408" s="807"/>
      <c r="T408" s="807"/>
      <c r="U408" s="807"/>
      <c r="V408" s="807"/>
      <c r="W408" s="807"/>
      <c r="X408" s="807"/>
      <c r="Y408" s="807"/>
      <c r="Z408" s="807"/>
      <c r="AA408" s="807"/>
      <c r="AB408" s="807"/>
      <c r="AC408" s="807"/>
      <c r="AD408" s="807"/>
      <c r="AE408" s="807"/>
      <c r="AF408" s="807"/>
      <c r="AG408" s="807"/>
      <c r="AH408" s="807"/>
      <c r="AI408" s="807"/>
      <c r="AJ408" s="807"/>
      <c r="AK408" s="807"/>
      <c r="AL408" s="807"/>
      <c r="AM408" s="807"/>
      <c r="AN408" s="807"/>
      <c r="AO408" s="807"/>
      <c r="AP408" s="807"/>
    </row>
    <row r="409" spans="1:42" s="5" customFormat="1" x14ac:dyDescent="0.25">
      <c r="A409" s="805"/>
      <c r="B409" s="806"/>
      <c r="C409" s="806"/>
      <c r="D409" s="806"/>
      <c r="E409" s="807"/>
      <c r="F409" s="807"/>
      <c r="G409" s="807"/>
      <c r="H409" s="807"/>
      <c r="I409" s="807"/>
      <c r="J409" s="807"/>
      <c r="K409" s="807"/>
      <c r="L409" s="807"/>
      <c r="M409" s="807"/>
      <c r="N409" s="807"/>
      <c r="O409" s="807"/>
      <c r="P409" s="807"/>
      <c r="Q409" s="807"/>
      <c r="R409" s="807"/>
      <c r="S409" s="807"/>
      <c r="T409" s="807"/>
      <c r="U409" s="807"/>
      <c r="V409" s="807"/>
      <c r="W409" s="807"/>
      <c r="X409" s="807"/>
      <c r="Y409" s="807"/>
      <c r="Z409" s="807"/>
      <c r="AA409" s="807"/>
      <c r="AB409" s="807"/>
      <c r="AC409" s="807"/>
      <c r="AD409" s="807"/>
      <c r="AE409" s="807"/>
      <c r="AF409" s="807"/>
      <c r="AG409" s="807"/>
      <c r="AH409" s="807"/>
      <c r="AI409" s="807"/>
      <c r="AJ409" s="807"/>
      <c r="AK409" s="807"/>
      <c r="AL409" s="807"/>
      <c r="AM409" s="807"/>
      <c r="AN409" s="807"/>
      <c r="AO409" s="807"/>
      <c r="AP409" s="807"/>
    </row>
    <row r="410" spans="1:42" s="5" customFormat="1" x14ac:dyDescent="0.25">
      <c r="A410" s="805"/>
      <c r="B410" s="806"/>
      <c r="C410" s="806"/>
      <c r="D410" s="806"/>
      <c r="E410" s="807"/>
      <c r="F410" s="807"/>
      <c r="G410" s="807"/>
      <c r="H410" s="807"/>
      <c r="I410" s="807"/>
      <c r="J410" s="807"/>
      <c r="K410" s="807"/>
      <c r="L410" s="807"/>
      <c r="M410" s="807"/>
      <c r="N410" s="807"/>
      <c r="O410" s="807"/>
      <c r="P410" s="807"/>
      <c r="Q410" s="807"/>
      <c r="R410" s="807"/>
      <c r="S410" s="807"/>
      <c r="T410" s="807"/>
      <c r="U410" s="807"/>
      <c r="V410" s="807"/>
      <c r="W410" s="807"/>
      <c r="X410" s="807"/>
      <c r="Y410" s="807"/>
      <c r="Z410" s="807"/>
      <c r="AA410" s="807"/>
      <c r="AB410" s="807"/>
      <c r="AC410" s="807"/>
      <c r="AD410" s="807"/>
      <c r="AE410" s="807"/>
      <c r="AF410" s="807"/>
      <c r="AG410" s="807"/>
      <c r="AH410" s="807"/>
      <c r="AI410" s="807"/>
      <c r="AJ410" s="807"/>
      <c r="AK410" s="807"/>
      <c r="AL410" s="807"/>
      <c r="AM410" s="807"/>
      <c r="AN410" s="807"/>
      <c r="AO410" s="807"/>
      <c r="AP410" s="807"/>
    </row>
    <row r="411" spans="1:42" s="5" customFormat="1" x14ac:dyDescent="0.25">
      <c r="A411" s="805"/>
      <c r="B411" s="806"/>
      <c r="C411" s="806"/>
      <c r="D411" s="806"/>
      <c r="E411" s="807"/>
      <c r="F411" s="807"/>
      <c r="G411" s="807"/>
      <c r="H411" s="807"/>
      <c r="I411" s="807"/>
      <c r="J411" s="807"/>
      <c r="K411" s="807"/>
      <c r="L411" s="807"/>
      <c r="M411" s="807"/>
      <c r="N411" s="807"/>
      <c r="O411" s="807"/>
      <c r="P411" s="807"/>
      <c r="Q411" s="807"/>
      <c r="R411" s="807"/>
      <c r="S411" s="807"/>
      <c r="T411" s="807"/>
      <c r="U411" s="807"/>
      <c r="V411" s="807"/>
      <c r="W411" s="807"/>
      <c r="X411" s="807"/>
      <c r="Y411" s="807"/>
      <c r="Z411" s="807"/>
      <c r="AA411" s="807"/>
      <c r="AB411" s="807"/>
      <c r="AC411" s="807"/>
      <c r="AD411" s="807"/>
      <c r="AE411" s="807"/>
      <c r="AF411" s="807"/>
      <c r="AG411" s="807"/>
      <c r="AH411" s="807"/>
      <c r="AI411" s="807"/>
      <c r="AJ411" s="807"/>
      <c r="AK411" s="807"/>
      <c r="AL411" s="807"/>
      <c r="AM411" s="807"/>
      <c r="AN411" s="807"/>
      <c r="AO411" s="807"/>
      <c r="AP411" s="807"/>
    </row>
    <row r="412" spans="1:42" s="5" customFormat="1" x14ac:dyDescent="0.25">
      <c r="A412" s="805"/>
      <c r="B412" s="806"/>
      <c r="C412" s="806"/>
      <c r="D412" s="806"/>
      <c r="E412" s="807"/>
      <c r="F412" s="807"/>
      <c r="G412" s="807"/>
      <c r="H412" s="807"/>
      <c r="I412" s="807"/>
      <c r="J412" s="807"/>
      <c r="K412" s="807"/>
      <c r="L412" s="807"/>
      <c r="M412" s="807"/>
      <c r="N412" s="807"/>
      <c r="O412" s="807"/>
      <c r="P412" s="807"/>
      <c r="Q412" s="807"/>
      <c r="R412" s="807"/>
      <c r="S412" s="807"/>
      <c r="T412" s="807"/>
      <c r="U412" s="807"/>
      <c r="V412" s="807"/>
      <c r="W412" s="807"/>
      <c r="X412" s="807"/>
      <c r="Y412" s="807"/>
      <c r="Z412" s="807"/>
      <c r="AA412" s="807"/>
      <c r="AB412" s="807"/>
      <c r="AC412" s="807"/>
      <c r="AD412" s="807"/>
      <c r="AE412" s="807"/>
      <c r="AF412" s="807"/>
      <c r="AG412" s="807"/>
      <c r="AH412" s="807"/>
      <c r="AI412" s="807"/>
      <c r="AJ412" s="807"/>
      <c r="AK412" s="807"/>
      <c r="AL412" s="807"/>
      <c r="AM412" s="807"/>
      <c r="AN412" s="807"/>
      <c r="AO412" s="807"/>
      <c r="AP412" s="807"/>
    </row>
    <row r="413" spans="1:42" s="5" customFormat="1" x14ac:dyDescent="0.25">
      <c r="A413" s="805"/>
      <c r="B413" s="806"/>
      <c r="C413" s="806"/>
      <c r="D413" s="806"/>
      <c r="E413" s="807"/>
      <c r="F413" s="807"/>
      <c r="G413" s="807"/>
      <c r="H413" s="807"/>
      <c r="I413" s="807"/>
      <c r="J413" s="807"/>
      <c r="K413" s="807"/>
      <c r="L413" s="807"/>
      <c r="M413" s="807"/>
      <c r="N413" s="807"/>
      <c r="O413" s="807"/>
      <c r="P413" s="807"/>
      <c r="Q413" s="807"/>
      <c r="R413" s="807"/>
      <c r="S413" s="807"/>
      <c r="T413" s="807"/>
      <c r="U413" s="807"/>
      <c r="V413" s="807"/>
      <c r="W413" s="807"/>
      <c r="X413" s="807"/>
      <c r="Y413" s="807"/>
      <c r="Z413" s="807"/>
      <c r="AA413" s="807"/>
      <c r="AB413" s="807"/>
      <c r="AC413" s="807"/>
      <c r="AD413" s="807"/>
      <c r="AE413" s="807"/>
      <c r="AF413" s="807"/>
      <c r="AG413" s="807"/>
      <c r="AH413" s="807"/>
      <c r="AI413" s="807"/>
      <c r="AJ413" s="807"/>
      <c r="AK413" s="807"/>
      <c r="AL413" s="807"/>
      <c r="AM413" s="807"/>
      <c r="AN413" s="807"/>
      <c r="AO413" s="807"/>
      <c r="AP413" s="807"/>
    </row>
    <row r="414" spans="1:42" s="5" customFormat="1" x14ac:dyDescent="0.25">
      <c r="A414" s="805"/>
      <c r="B414" s="806"/>
      <c r="C414" s="806"/>
      <c r="D414" s="806"/>
      <c r="E414" s="807"/>
      <c r="F414" s="807"/>
      <c r="G414" s="807"/>
      <c r="H414" s="807"/>
      <c r="I414" s="807"/>
      <c r="J414" s="807"/>
      <c r="K414" s="807"/>
      <c r="L414" s="807"/>
      <c r="M414" s="807"/>
      <c r="N414" s="807"/>
      <c r="O414" s="807"/>
      <c r="P414" s="807"/>
      <c r="Q414" s="807"/>
      <c r="R414" s="807"/>
      <c r="S414" s="807"/>
      <c r="T414" s="807"/>
      <c r="U414" s="807"/>
      <c r="V414" s="807"/>
      <c r="W414" s="807"/>
      <c r="X414" s="807"/>
      <c r="Y414" s="807"/>
      <c r="Z414" s="807"/>
      <c r="AA414" s="807"/>
      <c r="AB414" s="807"/>
      <c r="AC414" s="807"/>
      <c r="AD414" s="807"/>
      <c r="AE414" s="807"/>
      <c r="AF414" s="807"/>
      <c r="AG414" s="807"/>
      <c r="AH414" s="807"/>
      <c r="AI414" s="807"/>
      <c r="AJ414" s="807"/>
      <c r="AK414" s="807"/>
      <c r="AL414" s="807"/>
      <c r="AM414" s="807"/>
      <c r="AN414" s="807"/>
      <c r="AO414" s="807"/>
      <c r="AP414" s="807"/>
    </row>
    <row r="415" spans="1:42" s="5" customFormat="1" x14ac:dyDescent="0.25">
      <c r="A415" s="805"/>
      <c r="B415" s="806"/>
      <c r="C415" s="806"/>
      <c r="D415" s="806"/>
      <c r="E415" s="807"/>
      <c r="F415" s="807"/>
      <c r="G415" s="807"/>
      <c r="H415" s="807"/>
      <c r="I415" s="807"/>
      <c r="J415" s="807"/>
      <c r="K415" s="807"/>
      <c r="L415" s="807"/>
      <c r="M415" s="807"/>
      <c r="N415" s="807"/>
      <c r="O415" s="807"/>
      <c r="P415" s="807"/>
      <c r="Q415" s="807"/>
      <c r="R415" s="807"/>
      <c r="S415" s="807"/>
      <c r="T415" s="807"/>
      <c r="U415" s="807"/>
      <c r="V415" s="807"/>
      <c r="W415" s="807"/>
      <c r="X415" s="807"/>
      <c r="Y415" s="807"/>
      <c r="Z415" s="807"/>
      <c r="AA415" s="807"/>
      <c r="AB415" s="807"/>
      <c r="AC415" s="807"/>
      <c r="AD415" s="807"/>
      <c r="AE415" s="807"/>
      <c r="AF415" s="807"/>
      <c r="AG415" s="807"/>
      <c r="AH415" s="807"/>
      <c r="AI415" s="807"/>
      <c r="AJ415" s="807"/>
      <c r="AK415" s="807"/>
      <c r="AL415" s="807"/>
      <c r="AM415" s="807"/>
      <c r="AN415" s="807"/>
      <c r="AO415" s="807"/>
      <c r="AP415" s="807"/>
    </row>
    <row r="416" spans="1:42" s="5" customFormat="1" x14ac:dyDescent="0.25">
      <c r="A416" s="805"/>
      <c r="B416" s="806"/>
      <c r="C416" s="806"/>
      <c r="D416" s="806"/>
      <c r="E416" s="807"/>
      <c r="F416" s="807"/>
      <c r="G416" s="807"/>
      <c r="H416" s="807"/>
      <c r="I416" s="807"/>
      <c r="J416" s="807"/>
      <c r="K416" s="807"/>
      <c r="L416" s="807"/>
      <c r="M416" s="807"/>
      <c r="N416" s="807"/>
      <c r="O416" s="807"/>
      <c r="P416" s="807"/>
      <c r="Q416" s="807"/>
      <c r="R416" s="807"/>
      <c r="S416" s="807"/>
      <c r="T416" s="807"/>
      <c r="U416" s="807"/>
      <c r="V416" s="807"/>
      <c r="W416" s="807"/>
      <c r="X416" s="807"/>
      <c r="Y416" s="807"/>
      <c r="Z416" s="807"/>
      <c r="AA416" s="807"/>
      <c r="AB416" s="807"/>
      <c r="AC416" s="807"/>
      <c r="AD416" s="807"/>
      <c r="AE416" s="807"/>
      <c r="AF416" s="807"/>
      <c r="AG416" s="807"/>
      <c r="AH416" s="807"/>
      <c r="AI416" s="807"/>
      <c r="AJ416" s="807"/>
      <c r="AK416" s="807"/>
      <c r="AL416" s="807"/>
      <c r="AM416" s="807"/>
      <c r="AN416" s="807"/>
      <c r="AO416" s="807"/>
      <c r="AP416" s="807"/>
    </row>
    <row r="417" spans="1:42" s="5" customFormat="1" x14ac:dyDescent="0.25">
      <c r="A417" s="805"/>
      <c r="B417" s="806"/>
      <c r="C417" s="806"/>
      <c r="D417" s="806"/>
      <c r="E417" s="807"/>
      <c r="F417" s="807"/>
      <c r="G417" s="807"/>
      <c r="H417" s="807"/>
      <c r="I417" s="807"/>
      <c r="J417" s="807"/>
      <c r="K417" s="807"/>
      <c r="L417" s="807"/>
      <c r="M417" s="807"/>
      <c r="N417" s="807"/>
      <c r="O417" s="807"/>
      <c r="P417" s="807"/>
      <c r="Q417" s="807"/>
      <c r="R417" s="807"/>
      <c r="S417" s="807"/>
      <c r="T417" s="807"/>
      <c r="U417" s="807"/>
      <c r="V417" s="807"/>
      <c r="W417" s="807"/>
      <c r="X417" s="807"/>
      <c r="Y417" s="807"/>
      <c r="Z417" s="807"/>
      <c r="AA417" s="807"/>
      <c r="AB417" s="807"/>
      <c r="AC417" s="807"/>
      <c r="AD417" s="807"/>
      <c r="AE417" s="807"/>
      <c r="AF417" s="807"/>
      <c r="AG417" s="807"/>
      <c r="AH417" s="807"/>
      <c r="AI417" s="807"/>
      <c r="AJ417" s="807"/>
      <c r="AK417" s="807"/>
      <c r="AL417" s="807"/>
      <c r="AM417" s="807"/>
      <c r="AN417" s="807"/>
      <c r="AO417" s="807"/>
      <c r="AP417" s="807"/>
    </row>
    <row r="418" spans="1:42" s="5" customFormat="1" x14ac:dyDescent="0.25">
      <c r="A418" s="805"/>
      <c r="B418" s="806"/>
      <c r="C418" s="806"/>
      <c r="D418" s="806"/>
      <c r="E418" s="807"/>
      <c r="F418" s="807"/>
      <c r="G418" s="807"/>
      <c r="H418" s="807"/>
      <c r="I418" s="807"/>
      <c r="J418" s="807"/>
      <c r="K418" s="807"/>
      <c r="L418" s="807"/>
      <c r="M418" s="807"/>
      <c r="N418" s="807"/>
      <c r="O418" s="807"/>
      <c r="P418" s="807"/>
      <c r="Q418" s="807"/>
      <c r="R418" s="807"/>
      <c r="S418" s="807"/>
      <c r="T418" s="807"/>
      <c r="U418" s="807"/>
      <c r="V418" s="807"/>
      <c r="W418" s="807"/>
      <c r="X418" s="807"/>
      <c r="Y418" s="807"/>
      <c r="Z418" s="807"/>
      <c r="AA418" s="807"/>
      <c r="AB418" s="807"/>
      <c r="AC418" s="807"/>
      <c r="AD418" s="807"/>
      <c r="AE418" s="807"/>
      <c r="AF418" s="807"/>
      <c r="AG418" s="807"/>
      <c r="AH418" s="807"/>
      <c r="AI418" s="807"/>
      <c r="AJ418" s="807"/>
      <c r="AK418" s="807"/>
      <c r="AL418" s="807"/>
      <c r="AM418" s="807"/>
      <c r="AN418" s="807"/>
      <c r="AO418" s="807"/>
      <c r="AP418" s="807"/>
    </row>
    <row r="419" spans="1:42" s="5" customFormat="1" x14ac:dyDescent="0.25">
      <c r="A419" s="805"/>
      <c r="B419" s="806"/>
      <c r="C419" s="806"/>
      <c r="D419" s="806"/>
      <c r="E419" s="807"/>
      <c r="F419" s="807"/>
      <c r="G419" s="807"/>
      <c r="H419" s="807"/>
      <c r="I419" s="807"/>
      <c r="J419" s="807"/>
      <c r="K419" s="807"/>
      <c r="L419" s="807"/>
      <c r="M419" s="807"/>
      <c r="N419" s="807"/>
      <c r="O419" s="807"/>
      <c r="P419" s="807"/>
      <c r="Q419" s="807"/>
      <c r="R419" s="807"/>
      <c r="S419" s="807"/>
      <c r="T419" s="807"/>
      <c r="U419" s="807"/>
      <c r="V419" s="807"/>
      <c r="W419" s="807"/>
      <c r="X419" s="807"/>
      <c r="Y419" s="807"/>
      <c r="Z419" s="807"/>
      <c r="AA419" s="807"/>
      <c r="AB419" s="807"/>
      <c r="AC419" s="807"/>
      <c r="AD419" s="807"/>
      <c r="AE419" s="807"/>
      <c r="AF419" s="807"/>
      <c r="AG419" s="807"/>
      <c r="AH419" s="807"/>
      <c r="AI419" s="807"/>
      <c r="AJ419" s="807"/>
      <c r="AK419" s="807"/>
      <c r="AL419" s="807"/>
      <c r="AM419" s="807"/>
      <c r="AN419" s="807"/>
      <c r="AO419" s="807"/>
      <c r="AP419" s="807"/>
    </row>
    <row r="420" spans="1:42" s="5" customFormat="1" x14ac:dyDescent="0.25">
      <c r="A420" s="805"/>
      <c r="B420" s="806"/>
      <c r="C420" s="806"/>
      <c r="D420" s="806"/>
      <c r="E420" s="807"/>
      <c r="F420" s="807"/>
      <c r="G420" s="807"/>
      <c r="H420" s="807"/>
      <c r="I420" s="807"/>
      <c r="J420" s="807"/>
      <c r="K420" s="807"/>
      <c r="L420" s="807"/>
      <c r="M420" s="807"/>
      <c r="N420" s="807"/>
      <c r="O420" s="807"/>
      <c r="P420" s="807"/>
      <c r="Q420" s="807"/>
      <c r="R420" s="807"/>
      <c r="S420" s="807"/>
      <c r="T420" s="807"/>
      <c r="U420" s="807"/>
      <c r="V420" s="807"/>
      <c r="W420" s="807"/>
      <c r="X420" s="807"/>
      <c r="Y420" s="807"/>
      <c r="Z420" s="807"/>
      <c r="AA420" s="807"/>
      <c r="AB420" s="807"/>
      <c r="AC420" s="807"/>
      <c r="AD420" s="807"/>
      <c r="AE420" s="807"/>
      <c r="AF420" s="807"/>
      <c r="AG420" s="807"/>
      <c r="AH420" s="807"/>
      <c r="AI420" s="807"/>
      <c r="AJ420" s="807"/>
      <c r="AK420" s="807"/>
      <c r="AL420" s="807"/>
      <c r="AM420" s="807"/>
      <c r="AN420" s="807"/>
      <c r="AO420" s="807"/>
      <c r="AP420" s="807"/>
    </row>
    <row r="421" spans="1:42" s="5" customFormat="1" x14ac:dyDescent="0.25">
      <c r="A421" s="805"/>
      <c r="B421" s="806"/>
      <c r="C421" s="806"/>
      <c r="D421" s="806"/>
      <c r="E421" s="807"/>
      <c r="F421" s="807"/>
      <c r="G421" s="807"/>
      <c r="H421" s="807"/>
      <c r="I421" s="807"/>
      <c r="J421" s="807"/>
      <c r="K421" s="807"/>
      <c r="L421" s="807"/>
      <c r="M421" s="807"/>
      <c r="N421" s="807"/>
      <c r="O421" s="807"/>
      <c r="P421" s="807"/>
      <c r="Q421" s="807"/>
      <c r="R421" s="807"/>
      <c r="S421" s="807"/>
      <c r="T421" s="807"/>
      <c r="U421" s="807"/>
      <c r="V421" s="807"/>
      <c r="W421" s="807"/>
      <c r="X421" s="807"/>
      <c r="Y421" s="807"/>
      <c r="Z421" s="807"/>
      <c r="AA421" s="807"/>
      <c r="AB421" s="807"/>
      <c r="AC421" s="807"/>
      <c r="AD421" s="807"/>
      <c r="AE421" s="807"/>
      <c r="AF421" s="807"/>
      <c r="AG421" s="807"/>
      <c r="AH421" s="807"/>
      <c r="AI421" s="807"/>
      <c r="AJ421" s="807"/>
      <c r="AK421" s="807"/>
      <c r="AL421" s="807"/>
      <c r="AM421" s="807"/>
      <c r="AN421" s="807"/>
      <c r="AO421" s="807"/>
      <c r="AP421" s="807"/>
    </row>
    <row r="422" spans="1:42" s="5" customFormat="1" x14ac:dyDescent="0.25">
      <c r="A422" s="805"/>
      <c r="B422" s="806"/>
      <c r="C422" s="806"/>
      <c r="D422" s="806"/>
      <c r="E422" s="807"/>
      <c r="F422" s="807"/>
      <c r="G422" s="807"/>
      <c r="H422" s="807"/>
      <c r="I422" s="807"/>
      <c r="J422" s="807"/>
      <c r="K422" s="807"/>
      <c r="L422" s="807"/>
      <c r="M422" s="807"/>
      <c r="N422" s="807"/>
      <c r="O422" s="807"/>
      <c r="P422" s="807"/>
      <c r="Q422" s="807"/>
      <c r="R422" s="807"/>
      <c r="S422" s="807"/>
      <c r="T422" s="807"/>
      <c r="U422" s="807"/>
      <c r="V422" s="807"/>
      <c r="W422" s="807"/>
      <c r="X422" s="807"/>
      <c r="Y422" s="807"/>
      <c r="Z422" s="807"/>
      <c r="AA422" s="807"/>
      <c r="AB422" s="807"/>
      <c r="AC422" s="807"/>
      <c r="AD422" s="807"/>
      <c r="AE422" s="807"/>
      <c r="AF422" s="807"/>
      <c r="AG422" s="807"/>
      <c r="AH422" s="807"/>
      <c r="AI422" s="807"/>
      <c r="AJ422" s="807"/>
      <c r="AK422" s="807"/>
      <c r="AL422" s="807"/>
      <c r="AM422" s="807"/>
      <c r="AN422" s="807"/>
      <c r="AO422" s="807"/>
      <c r="AP422" s="807"/>
    </row>
    <row r="423" spans="1:42" s="5" customFormat="1" x14ac:dyDescent="0.25">
      <c r="A423" s="805"/>
      <c r="B423" s="806"/>
      <c r="C423" s="806"/>
      <c r="D423" s="806"/>
      <c r="E423" s="807"/>
      <c r="F423" s="807"/>
      <c r="G423" s="807"/>
      <c r="H423" s="807"/>
      <c r="I423" s="807"/>
      <c r="J423" s="807"/>
      <c r="K423" s="807"/>
      <c r="L423" s="807"/>
      <c r="M423" s="807"/>
      <c r="N423" s="807"/>
      <c r="O423" s="807"/>
      <c r="P423" s="807"/>
      <c r="Q423" s="807"/>
      <c r="R423" s="807"/>
      <c r="S423" s="807"/>
      <c r="T423" s="807"/>
      <c r="U423" s="807"/>
      <c r="V423" s="807"/>
      <c r="W423" s="807"/>
      <c r="X423" s="807"/>
      <c r="Y423" s="807"/>
      <c r="Z423" s="807"/>
      <c r="AA423" s="807"/>
      <c r="AB423" s="807"/>
      <c r="AC423" s="807"/>
      <c r="AD423" s="807"/>
      <c r="AE423" s="807"/>
      <c r="AF423" s="807"/>
      <c r="AG423" s="807"/>
      <c r="AH423" s="807"/>
      <c r="AI423" s="807"/>
      <c r="AJ423" s="807"/>
      <c r="AK423" s="807"/>
      <c r="AL423" s="807"/>
      <c r="AM423" s="807"/>
      <c r="AN423" s="807"/>
      <c r="AO423" s="807"/>
      <c r="AP423" s="807"/>
    </row>
    <row r="424" spans="1:42" s="5" customFormat="1" x14ac:dyDescent="0.25">
      <c r="A424" s="805"/>
      <c r="B424" s="806"/>
      <c r="C424" s="806"/>
      <c r="D424" s="806"/>
      <c r="E424" s="807"/>
      <c r="F424" s="807"/>
      <c r="G424" s="807"/>
      <c r="H424" s="807"/>
      <c r="I424" s="807"/>
      <c r="J424" s="807"/>
      <c r="K424" s="807"/>
      <c r="L424" s="807"/>
      <c r="M424" s="807"/>
      <c r="N424" s="807"/>
      <c r="O424" s="807"/>
      <c r="P424" s="807"/>
      <c r="Q424" s="807"/>
      <c r="R424" s="807"/>
      <c r="S424" s="807"/>
      <c r="T424" s="807"/>
      <c r="U424" s="807"/>
      <c r="V424" s="807"/>
      <c r="W424" s="807"/>
      <c r="X424" s="807"/>
      <c r="Y424" s="807"/>
      <c r="Z424" s="807"/>
      <c r="AA424" s="807"/>
      <c r="AB424" s="807"/>
      <c r="AC424" s="807"/>
      <c r="AD424" s="807"/>
      <c r="AE424" s="807"/>
      <c r="AF424" s="807"/>
      <c r="AG424" s="807"/>
      <c r="AH424" s="807"/>
      <c r="AI424" s="807"/>
      <c r="AJ424" s="807"/>
      <c r="AK424" s="807"/>
      <c r="AL424" s="807"/>
      <c r="AM424" s="807"/>
      <c r="AN424" s="807"/>
      <c r="AO424" s="807"/>
      <c r="AP424" s="807"/>
    </row>
    <row r="425" spans="1:42" s="5" customFormat="1" x14ac:dyDescent="0.25">
      <c r="A425" s="805"/>
      <c r="B425" s="806"/>
      <c r="C425" s="806"/>
      <c r="D425" s="806"/>
      <c r="E425" s="807"/>
      <c r="F425" s="807"/>
      <c r="G425" s="807"/>
      <c r="H425" s="807"/>
      <c r="I425" s="807"/>
      <c r="J425" s="807"/>
      <c r="K425" s="807"/>
      <c r="L425" s="807"/>
      <c r="M425" s="807"/>
      <c r="N425" s="807"/>
      <c r="O425" s="807"/>
      <c r="P425" s="807"/>
      <c r="Q425" s="807"/>
      <c r="R425" s="807"/>
      <c r="S425" s="807"/>
      <c r="T425" s="807"/>
      <c r="U425" s="807"/>
      <c r="V425" s="807"/>
      <c r="W425" s="807"/>
      <c r="X425" s="807"/>
      <c r="Y425" s="807"/>
      <c r="Z425" s="807"/>
      <c r="AA425" s="807"/>
      <c r="AB425" s="807"/>
      <c r="AC425" s="807"/>
      <c r="AD425" s="807"/>
      <c r="AE425" s="807"/>
      <c r="AF425" s="807"/>
      <c r="AG425" s="807"/>
      <c r="AH425" s="807"/>
      <c r="AI425" s="807"/>
      <c r="AJ425" s="807"/>
      <c r="AK425" s="807"/>
      <c r="AL425" s="807"/>
      <c r="AM425" s="807"/>
      <c r="AN425" s="807"/>
      <c r="AO425" s="807"/>
      <c r="AP425" s="807"/>
    </row>
    <row r="426" spans="1:42" s="5" customFormat="1" x14ac:dyDescent="0.25">
      <c r="A426" s="805"/>
      <c r="B426" s="806"/>
      <c r="C426" s="806"/>
      <c r="D426" s="806"/>
      <c r="E426" s="807"/>
      <c r="F426" s="807"/>
      <c r="G426" s="807"/>
      <c r="H426" s="807"/>
      <c r="I426" s="807"/>
      <c r="J426" s="807"/>
      <c r="K426" s="807"/>
      <c r="L426" s="807"/>
      <c r="M426" s="807"/>
      <c r="N426" s="807"/>
      <c r="O426" s="807"/>
      <c r="P426" s="807"/>
      <c r="Q426" s="807"/>
      <c r="R426" s="807"/>
      <c r="S426" s="807"/>
      <c r="T426" s="807"/>
      <c r="U426" s="807"/>
      <c r="V426" s="807"/>
      <c r="W426" s="807"/>
      <c r="X426" s="807"/>
      <c r="Y426" s="807"/>
      <c r="Z426" s="807"/>
      <c r="AA426" s="807"/>
      <c r="AB426" s="807"/>
      <c r="AC426" s="807"/>
      <c r="AD426" s="807"/>
      <c r="AE426" s="807"/>
      <c r="AF426" s="807"/>
      <c r="AG426" s="807"/>
      <c r="AH426" s="807"/>
      <c r="AI426" s="807"/>
      <c r="AJ426" s="807"/>
      <c r="AK426" s="807"/>
      <c r="AL426" s="807"/>
      <c r="AM426" s="807"/>
      <c r="AN426" s="807"/>
      <c r="AO426" s="807"/>
      <c r="AP426" s="807"/>
    </row>
    <row r="427" spans="1:42" s="5" customFormat="1" x14ac:dyDescent="0.25">
      <c r="A427" s="805"/>
      <c r="B427" s="806"/>
      <c r="C427" s="806"/>
      <c r="D427" s="806"/>
      <c r="E427" s="807"/>
      <c r="F427" s="807"/>
      <c r="G427" s="807"/>
      <c r="H427" s="807"/>
      <c r="I427" s="807"/>
      <c r="J427" s="807"/>
      <c r="K427" s="807"/>
      <c r="L427" s="807"/>
      <c r="M427" s="807"/>
      <c r="N427" s="807"/>
      <c r="O427" s="807"/>
      <c r="P427" s="807"/>
      <c r="Q427" s="807"/>
      <c r="R427" s="807"/>
      <c r="S427" s="807"/>
      <c r="T427" s="807"/>
      <c r="U427" s="807"/>
      <c r="V427" s="807"/>
      <c r="W427" s="807"/>
      <c r="X427" s="807"/>
      <c r="Y427" s="807"/>
      <c r="Z427" s="807"/>
      <c r="AA427" s="807"/>
      <c r="AB427" s="807"/>
      <c r="AC427" s="807"/>
      <c r="AD427" s="807"/>
      <c r="AE427" s="807"/>
      <c r="AF427" s="807"/>
      <c r="AG427" s="807"/>
      <c r="AH427" s="807"/>
      <c r="AI427" s="807"/>
      <c r="AJ427" s="807"/>
      <c r="AK427" s="807"/>
      <c r="AL427" s="807"/>
      <c r="AM427" s="807"/>
      <c r="AN427" s="807"/>
      <c r="AO427" s="807"/>
      <c r="AP427" s="807"/>
    </row>
    <row r="428" spans="1:42" s="5" customFormat="1" x14ac:dyDescent="0.25">
      <c r="A428" s="805"/>
      <c r="B428" s="806"/>
      <c r="C428" s="806"/>
      <c r="D428" s="806"/>
      <c r="E428" s="807"/>
      <c r="F428" s="807"/>
      <c r="G428" s="807"/>
      <c r="H428" s="807"/>
      <c r="I428" s="807"/>
      <c r="J428" s="807"/>
      <c r="K428" s="807"/>
      <c r="L428" s="807"/>
      <c r="M428" s="807"/>
      <c r="N428" s="807"/>
      <c r="O428" s="807"/>
      <c r="P428" s="807"/>
      <c r="Q428" s="807"/>
      <c r="R428" s="807"/>
      <c r="S428" s="807"/>
      <c r="T428" s="807"/>
      <c r="U428" s="807"/>
      <c r="V428" s="807"/>
      <c r="W428" s="807"/>
      <c r="X428" s="807"/>
      <c r="Y428" s="807"/>
      <c r="Z428" s="807"/>
      <c r="AA428" s="807"/>
      <c r="AB428" s="807"/>
      <c r="AC428" s="807"/>
      <c r="AD428" s="807"/>
      <c r="AE428" s="807"/>
      <c r="AF428" s="807"/>
      <c r="AG428" s="807"/>
      <c r="AH428" s="807"/>
      <c r="AI428" s="807"/>
      <c r="AJ428" s="807"/>
      <c r="AK428" s="807"/>
      <c r="AL428" s="807"/>
      <c r="AM428" s="807"/>
      <c r="AN428" s="807"/>
      <c r="AO428" s="807"/>
      <c r="AP428" s="807"/>
    </row>
    <row r="429" spans="1:42" s="5" customFormat="1" x14ac:dyDescent="0.25">
      <c r="A429" s="805"/>
      <c r="B429" s="806"/>
      <c r="C429" s="806"/>
      <c r="D429" s="806"/>
      <c r="E429" s="807"/>
      <c r="F429" s="807"/>
      <c r="G429" s="807"/>
      <c r="H429" s="807"/>
      <c r="I429" s="807"/>
      <c r="J429" s="807"/>
      <c r="K429" s="807"/>
      <c r="L429" s="807"/>
      <c r="M429" s="807"/>
      <c r="N429" s="807"/>
      <c r="O429" s="807"/>
      <c r="P429" s="807"/>
      <c r="Q429" s="807"/>
      <c r="R429" s="807"/>
      <c r="S429" s="807"/>
      <c r="T429" s="807"/>
      <c r="U429" s="807"/>
      <c r="V429" s="807"/>
      <c r="W429" s="807"/>
      <c r="X429" s="807"/>
      <c r="Y429" s="807"/>
      <c r="Z429" s="807"/>
      <c r="AA429" s="807"/>
      <c r="AB429" s="807"/>
      <c r="AC429" s="807"/>
      <c r="AD429" s="807"/>
      <c r="AE429" s="807"/>
      <c r="AF429" s="807"/>
      <c r="AG429" s="807"/>
      <c r="AH429" s="807"/>
      <c r="AI429" s="807"/>
      <c r="AJ429" s="807"/>
      <c r="AK429" s="807"/>
      <c r="AL429" s="807"/>
      <c r="AM429" s="807"/>
      <c r="AN429" s="807"/>
      <c r="AO429" s="807"/>
      <c r="AP429" s="807"/>
    </row>
    <row r="430" spans="1:42" s="5" customFormat="1" x14ac:dyDescent="0.25">
      <c r="A430" s="805"/>
      <c r="B430" s="806"/>
      <c r="C430" s="806"/>
      <c r="D430" s="806"/>
      <c r="E430" s="807"/>
      <c r="F430" s="807"/>
      <c r="G430" s="807"/>
      <c r="H430" s="807"/>
      <c r="I430" s="807"/>
      <c r="J430" s="807"/>
      <c r="K430" s="807"/>
      <c r="L430" s="807"/>
      <c r="M430" s="807"/>
      <c r="N430" s="807"/>
      <c r="O430" s="807"/>
      <c r="P430" s="807"/>
      <c r="Q430" s="807"/>
      <c r="R430" s="807"/>
      <c r="S430" s="807"/>
      <c r="T430" s="807"/>
      <c r="U430" s="807"/>
      <c r="V430" s="807"/>
      <c r="W430" s="807"/>
      <c r="X430" s="807"/>
      <c r="Y430" s="807"/>
      <c r="Z430" s="807"/>
      <c r="AA430" s="807"/>
      <c r="AB430" s="807"/>
      <c r="AC430" s="807"/>
      <c r="AD430" s="807"/>
      <c r="AE430" s="807"/>
      <c r="AF430" s="807"/>
      <c r="AG430" s="807"/>
      <c r="AH430" s="807"/>
      <c r="AI430" s="807"/>
      <c r="AJ430" s="807"/>
      <c r="AK430" s="807"/>
      <c r="AL430" s="807"/>
      <c r="AM430" s="807"/>
      <c r="AN430" s="807"/>
      <c r="AO430" s="807"/>
      <c r="AP430" s="807"/>
    </row>
    <row r="431" spans="1:42" s="5" customFormat="1" x14ac:dyDescent="0.25">
      <c r="A431" s="805"/>
      <c r="B431" s="806"/>
      <c r="C431" s="806"/>
      <c r="D431" s="806"/>
      <c r="E431" s="807"/>
      <c r="F431" s="807"/>
      <c r="G431" s="807"/>
      <c r="H431" s="807"/>
      <c r="I431" s="807"/>
      <c r="J431" s="807"/>
      <c r="K431" s="807"/>
      <c r="L431" s="807"/>
      <c r="M431" s="807"/>
      <c r="N431" s="807"/>
      <c r="O431" s="807"/>
      <c r="P431" s="807"/>
      <c r="Q431" s="807"/>
      <c r="R431" s="807"/>
      <c r="S431" s="807"/>
      <c r="T431" s="807"/>
      <c r="U431" s="807"/>
      <c r="V431" s="807"/>
      <c r="W431" s="807"/>
      <c r="X431" s="807"/>
      <c r="Y431" s="807"/>
      <c r="Z431" s="807"/>
      <c r="AA431" s="807"/>
      <c r="AB431" s="807"/>
      <c r="AC431" s="807"/>
      <c r="AD431" s="807"/>
      <c r="AE431" s="807"/>
      <c r="AF431" s="807"/>
      <c r="AG431" s="807"/>
      <c r="AH431" s="807"/>
      <c r="AI431" s="807"/>
      <c r="AJ431" s="807"/>
      <c r="AK431" s="807"/>
      <c r="AL431" s="807"/>
      <c r="AM431" s="807"/>
      <c r="AN431" s="807"/>
      <c r="AO431" s="807"/>
      <c r="AP431" s="807"/>
    </row>
    <row r="432" spans="1:42" s="5" customFormat="1" x14ac:dyDescent="0.25">
      <c r="A432" s="805"/>
      <c r="B432" s="806"/>
      <c r="C432" s="806"/>
      <c r="D432" s="806"/>
      <c r="E432" s="807"/>
      <c r="F432" s="807"/>
      <c r="G432" s="807"/>
      <c r="H432" s="807"/>
      <c r="I432" s="807"/>
      <c r="J432" s="807"/>
      <c r="K432" s="807"/>
      <c r="L432" s="807"/>
      <c r="M432" s="807"/>
      <c r="N432" s="807"/>
      <c r="O432" s="807"/>
      <c r="P432" s="807"/>
      <c r="Q432" s="807"/>
      <c r="R432" s="807"/>
      <c r="S432" s="807"/>
      <c r="T432" s="807"/>
      <c r="U432" s="807"/>
      <c r="V432" s="807"/>
      <c r="W432" s="807"/>
      <c r="X432" s="807"/>
      <c r="Y432" s="807"/>
      <c r="Z432" s="807"/>
      <c r="AA432" s="807"/>
      <c r="AB432" s="807"/>
      <c r="AC432" s="807"/>
      <c r="AD432" s="807"/>
      <c r="AE432" s="807"/>
      <c r="AF432" s="807"/>
      <c r="AG432" s="807"/>
      <c r="AH432" s="807"/>
      <c r="AI432" s="807"/>
      <c r="AJ432" s="807"/>
      <c r="AK432" s="807"/>
      <c r="AL432" s="807"/>
      <c r="AM432" s="807"/>
      <c r="AN432" s="807"/>
      <c r="AO432" s="807"/>
      <c r="AP432" s="807"/>
    </row>
    <row r="433" spans="1:42" s="5" customFormat="1" x14ac:dyDescent="0.25">
      <c r="A433" s="805"/>
      <c r="B433" s="806"/>
      <c r="C433" s="806"/>
      <c r="D433" s="806"/>
      <c r="E433" s="807"/>
      <c r="F433" s="807"/>
      <c r="G433" s="807"/>
      <c r="H433" s="807"/>
      <c r="I433" s="807"/>
      <c r="J433" s="807"/>
      <c r="K433" s="807"/>
      <c r="L433" s="807"/>
      <c r="M433" s="807"/>
      <c r="N433" s="807"/>
      <c r="O433" s="807"/>
      <c r="P433" s="807"/>
      <c r="Q433" s="807"/>
      <c r="R433" s="807"/>
      <c r="S433" s="807"/>
      <c r="T433" s="807"/>
      <c r="U433" s="807"/>
      <c r="V433" s="807"/>
      <c r="W433" s="807"/>
      <c r="X433" s="807"/>
      <c r="Y433" s="807"/>
      <c r="Z433" s="807"/>
      <c r="AA433" s="807"/>
      <c r="AB433" s="807"/>
      <c r="AC433" s="807"/>
      <c r="AD433" s="807"/>
      <c r="AE433" s="807"/>
      <c r="AF433" s="807"/>
      <c r="AG433" s="807"/>
      <c r="AH433" s="807"/>
      <c r="AI433" s="807"/>
      <c r="AJ433" s="807"/>
      <c r="AK433" s="807"/>
      <c r="AL433" s="807"/>
      <c r="AM433" s="807"/>
      <c r="AN433" s="807"/>
      <c r="AO433" s="807"/>
      <c r="AP433" s="807"/>
    </row>
    <row r="434" spans="1:42" s="5" customFormat="1" x14ac:dyDescent="0.25">
      <c r="A434" s="805"/>
      <c r="B434" s="806"/>
      <c r="C434" s="806"/>
      <c r="D434" s="806"/>
      <c r="E434" s="807"/>
      <c r="F434" s="807"/>
      <c r="G434" s="807"/>
      <c r="H434" s="807"/>
      <c r="I434" s="807"/>
      <c r="J434" s="807"/>
      <c r="K434" s="807"/>
      <c r="L434" s="807"/>
      <c r="M434" s="807"/>
      <c r="N434" s="807"/>
      <c r="O434" s="807"/>
      <c r="P434" s="807"/>
      <c r="Q434" s="807"/>
      <c r="R434" s="807"/>
      <c r="S434" s="807"/>
      <c r="T434" s="807"/>
      <c r="U434" s="807"/>
      <c r="V434" s="807"/>
      <c r="W434" s="807"/>
      <c r="X434" s="807"/>
      <c r="Y434" s="807"/>
      <c r="Z434" s="807"/>
      <c r="AA434" s="807"/>
      <c r="AB434" s="807"/>
      <c r="AC434" s="807"/>
      <c r="AD434" s="807"/>
      <c r="AE434" s="807"/>
      <c r="AF434" s="807"/>
      <c r="AG434" s="807"/>
      <c r="AH434" s="807"/>
      <c r="AI434" s="807"/>
      <c r="AJ434" s="807"/>
      <c r="AK434" s="807"/>
      <c r="AL434" s="807"/>
      <c r="AM434" s="807"/>
      <c r="AN434" s="807"/>
      <c r="AO434" s="807"/>
      <c r="AP434" s="807"/>
    </row>
    <row r="435" spans="1:42" s="5" customFormat="1" x14ac:dyDescent="0.25">
      <c r="A435" s="805"/>
      <c r="B435" s="806"/>
      <c r="C435" s="806"/>
      <c r="D435" s="806"/>
      <c r="E435" s="807"/>
      <c r="F435" s="807"/>
      <c r="G435" s="807"/>
      <c r="H435" s="807"/>
      <c r="I435" s="807"/>
      <c r="J435" s="807"/>
      <c r="K435" s="807"/>
      <c r="L435" s="807"/>
      <c r="M435" s="807"/>
      <c r="N435" s="807"/>
      <c r="O435" s="807"/>
      <c r="P435" s="807"/>
      <c r="Q435" s="807"/>
      <c r="R435" s="807"/>
      <c r="S435" s="807"/>
      <c r="T435" s="807"/>
      <c r="U435" s="807"/>
      <c r="V435" s="807"/>
      <c r="W435" s="807"/>
      <c r="X435" s="807"/>
      <c r="Y435" s="807"/>
      <c r="Z435" s="807"/>
      <c r="AA435" s="807"/>
      <c r="AB435" s="807"/>
      <c r="AC435" s="807"/>
      <c r="AD435" s="807"/>
      <c r="AE435" s="807"/>
      <c r="AF435" s="807"/>
      <c r="AG435" s="807"/>
      <c r="AH435" s="807"/>
      <c r="AI435" s="807"/>
      <c r="AJ435" s="807"/>
      <c r="AK435" s="807"/>
      <c r="AL435" s="807"/>
      <c r="AM435" s="807"/>
      <c r="AN435" s="807"/>
      <c r="AO435" s="807"/>
      <c r="AP435" s="807"/>
    </row>
    <row r="436" spans="1:42" s="5" customFormat="1" x14ac:dyDescent="0.25">
      <c r="A436" s="805"/>
      <c r="B436" s="806"/>
      <c r="C436" s="806"/>
      <c r="D436" s="806"/>
      <c r="E436" s="807"/>
      <c r="F436" s="807"/>
      <c r="G436" s="807"/>
      <c r="H436" s="807"/>
      <c r="I436" s="807"/>
      <c r="J436" s="807"/>
      <c r="K436" s="807"/>
      <c r="L436" s="807"/>
      <c r="M436" s="807"/>
      <c r="N436" s="807"/>
      <c r="O436" s="807"/>
      <c r="P436" s="807"/>
      <c r="Q436" s="807"/>
      <c r="R436" s="807"/>
      <c r="S436" s="807"/>
      <c r="T436" s="807"/>
      <c r="U436" s="807"/>
      <c r="V436" s="807"/>
      <c r="W436" s="807"/>
      <c r="X436" s="807"/>
      <c r="Y436" s="807"/>
      <c r="Z436" s="807"/>
      <c r="AA436" s="807"/>
      <c r="AB436" s="807"/>
      <c r="AC436" s="807"/>
      <c r="AD436" s="807"/>
      <c r="AE436" s="807"/>
      <c r="AF436" s="807"/>
      <c r="AG436" s="807"/>
      <c r="AH436" s="807"/>
      <c r="AI436" s="807"/>
      <c r="AJ436" s="807"/>
      <c r="AK436" s="807"/>
      <c r="AL436" s="807"/>
      <c r="AM436" s="807"/>
      <c r="AN436" s="807"/>
      <c r="AO436" s="807"/>
      <c r="AP436" s="807"/>
    </row>
    <row r="437" spans="1:42" s="5" customFormat="1" x14ac:dyDescent="0.25">
      <c r="A437" s="805"/>
      <c r="B437" s="806"/>
      <c r="C437" s="806"/>
      <c r="D437" s="806"/>
      <c r="E437" s="807"/>
      <c r="F437" s="807"/>
      <c r="G437" s="807"/>
      <c r="H437" s="807"/>
      <c r="I437" s="807"/>
      <c r="J437" s="807"/>
      <c r="K437" s="807"/>
      <c r="L437" s="807"/>
      <c r="M437" s="807"/>
      <c r="N437" s="807"/>
      <c r="O437" s="807"/>
      <c r="P437" s="807"/>
      <c r="Q437" s="807"/>
      <c r="R437" s="807"/>
      <c r="S437" s="807"/>
      <c r="T437" s="807"/>
      <c r="U437" s="807"/>
      <c r="V437" s="807"/>
      <c r="W437" s="807"/>
      <c r="X437" s="807"/>
      <c r="Y437" s="807"/>
      <c r="Z437" s="807"/>
      <c r="AA437" s="807"/>
      <c r="AB437" s="807"/>
      <c r="AC437" s="807"/>
      <c r="AD437" s="807"/>
      <c r="AE437" s="807"/>
      <c r="AF437" s="807"/>
      <c r="AG437" s="807"/>
      <c r="AH437" s="807"/>
      <c r="AI437" s="807"/>
      <c r="AJ437" s="807"/>
      <c r="AK437" s="807"/>
      <c r="AL437" s="807"/>
      <c r="AM437" s="807"/>
      <c r="AN437" s="807"/>
      <c r="AO437" s="807"/>
      <c r="AP437" s="807"/>
    </row>
    <row r="438" spans="1:42" s="5" customFormat="1" x14ac:dyDescent="0.25">
      <c r="A438" s="805"/>
      <c r="B438" s="806"/>
      <c r="C438" s="806"/>
      <c r="D438" s="806"/>
      <c r="E438" s="807"/>
      <c r="F438" s="807"/>
      <c r="G438" s="807"/>
      <c r="H438" s="807"/>
      <c r="I438" s="807"/>
      <c r="J438" s="807"/>
      <c r="K438" s="807"/>
      <c r="L438" s="807"/>
      <c r="M438" s="807"/>
      <c r="N438" s="807"/>
      <c r="O438" s="807"/>
      <c r="P438" s="807"/>
      <c r="Q438" s="807"/>
      <c r="R438" s="807"/>
      <c r="S438" s="807"/>
      <c r="T438" s="807"/>
      <c r="U438" s="807"/>
      <c r="V438" s="807"/>
      <c r="W438" s="807"/>
      <c r="X438" s="807"/>
      <c r="Y438" s="807"/>
      <c r="Z438" s="807"/>
      <c r="AA438" s="807"/>
      <c r="AB438" s="807"/>
      <c r="AC438" s="807"/>
      <c r="AD438" s="807"/>
      <c r="AE438" s="807"/>
      <c r="AF438" s="807"/>
      <c r="AG438" s="807"/>
      <c r="AH438" s="807"/>
      <c r="AI438" s="807"/>
      <c r="AJ438" s="807"/>
      <c r="AK438" s="807"/>
      <c r="AL438" s="807"/>
      <c r="AM438" s="807"/>
      <c r="AN438" s="807"/>
      <c r="AO438" s="807"/>
      <c r="AP438" s="807"/>
    </row>
    <row r="439" spans="1:42" s="5" customFormat="1" x14ac:dyDescent="0.25">
      <c r="A439" s="805"/>
      <c r="B439" s="806"/>
      <c r="C439" s="806"/>
      <c r="D439" s="806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07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07"/>
      <c r="AN439" s="807"/>
      <c r="AO439" s="807"/>
      <c r="AP439" s="807"/>
    </row>
    <row r="440" spans="1:42" s="5" customFormat="1" x14ac:dyDescent="0.25">
      <c r="A440" s="805"/>
      <c r="B440" s="806"/>
      <c r="C440" s="806"/>
      <c r="D440" s="806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07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07"/>
      <c r="AN440" s="807"/>
      <c r="AO440" s="807"/>
      <c r="AP440" s="807"/>
    </row>
    <row r="441" spans="1:42" s="5" customFormat="1" x14ac:dyDescent="0.25">
      <c r="A441" s="805"/>
      <c r="B441" s="806"/>
      <c r="C441" s="806"/>
      <c r="D441" s="806"/>
      <c r="E441" s="807"/>
      <c r="F441" s="807"/>
      <c r="G441" s="807"/>
      <c r="H441" s="807"/>
      <c r="I441" s="807"/>
      <c r="J441" s="807"/>
      <c r="K441" s="807"/>
      <c r="L441" s="807"/>
      <c r="M441" s="807"/>
      <c r="N441" s="807"/>
      <c r="O441" s="807"/>
      <c r="P441" s="807"/>
      <c r="Q441" s="807"/>
      <c r="R441" s="807"/>
      <c r="S441" s="807"/>
      <c r="T441" s="807"/>
      <c r="U441" s="807"/>
      <c r="V441" s="807"/>
      <c r="W441" s="807"/>
      <c r="X441" s="807"/>
      <c r="Y441" s="807"/>
      <c r="Z441" s="807"/>
      <c r="AA441" s="807"/>
      <c r="AB441" s="807"/>
      <c r="AC441" s="807"/>
      <c r="AD441" s="807"/>
      <c r="AE441" s="807"/>
      <c r="AF441" s="807"/>
      <c r="AG441" s="807"/>
      <c r="AH441" s="807"/>
      <c r="AI441" s="807"/>
      <c r="AJ441" s="807"/>
      <c r="AK441" s="807"/>
      <c r="AL441" s="807"/>
      <c r="AM441" s="807"/>
      <c r="AN441" s="807"/>
      <c r="AO441" s="807"/>
      <c r="AP441" s="807"/>
    </row>
    <row r="442" spans="1:42" s="5" customFormat="1" x14ac:dyDescent="0.25">
      <c r="A442" s="805"/>
      <c r="B442" s="806"/>
      <c r="C442" s="806"/>
      <c r="D442" s="806"/>
      <c r="E442" s="807"/>
      <c r="F442" s="807"/>
      <c r="G442" s="807"/>
      <c r="H442" s="807"/>
      <c r="I442" s="807"/>
      <c r="J442" s="807"/>
      <c r="K442" s="807"/>
      <c r="L442" s="807"/>
      <c r="M442" s="807"/>
      <c r="N442" s="807"/>
      <c r="O442" s="807"/>
      <c r="P442" s="807"/>
      <c r="Q442" s="807"/>
      <c r="R442" s="807"/>
      <c r="S442" s="807"/>
      <c r="T442" s="807"/>
      <c r="U442" s="807"/>
      <c r="V442" s="807"/>
      <c r="W442" s="807"/>
      <c r="X442" s="807"/>
      <c r="Y442" s="807"/>
      <c r="Z442" s="807"/>
      <c r="AA442" s="807"/>
      <c r="AB442" s="807"/>
      <c r="AC442" s="807"/>
      <c r="AD442" s="807"/>
      <c r="AE442" s="807"/>
      <c r="AF442" s="807"/>
      <c r="AG442" s="807"/>
      <c r="AH442" s="807"/>
      <c r="AI442" s="807"/>
      <c r="AJ442" s="807"/>
      <c r="AK442" s="807"/>
      <c r="AL442" s="807"/>
      <c r="AM442" s="807"/>
      <c r="AN442" s="807"/>
      <c r="AO442" s="807"/>
      <c r="AP442" s="807"/>
    </row>
    <row r="443" spans="1:42" s="5" customFormat="1" x14ac:dyDescent="0.25">
      <c r="A443" s="805"/>
      <c r="B443" s="806"/>
      <c r="C443" s="806"/>
      <c r="D443" s="806"/>
      <c r="E443" s="807"/>
      <c r="F443" s="807"/>
      <c r="G443" s="807"/>
      <c r="H443" s="807"/>
      <c r="I443" s="807"/>
      <c r="J443" s="807"/>
      <c r="K443" s="807"/>
      <c r="L443" s="807"/>
      <c r="M443" s="807"/>
      <c r="N443" s="807"/>
      <c r="O443" s="807"/>
      <c r="P443" s="807"/>
      <c r="Q443" s="807"/>
      <c r="R443" s="807"/>
      <c r="S443" s="807"/>
      <c r="T443" s="807"/>
      <c r="U443" s="807"/>
      <c r="V443" s="807"/>
      <c r="W443" s="807"/>
      <c r="X443" s="807"/>
      <c r="Y443" s="807"/>
      <c r="Z443" s="807"/>
      <c r="AA443" s="807"/>
      <c r="AB443" s="807"/>
      <c r="AC443" s="807"/>
      <c r="AD443" s="807"/>
      <c r="AE443" s="807"/>
      <c r="AF443" s="807"/>
      <c r="AG443" s="807"/>
      <c r="AH443" s="807"/>
      <c r="AI443" s="807"/>
      <c r="AJ443" s="807"/>
      <c r="AK443" s="807"/>
      <c r="AL443" s="807"/>
      <c r="AM443" s="807"/>
      <c r="AN443" s="807"/>
      <c r="AO443" s="807"/>
      <c r="AP443" s="807"/>
    </row>
    <row r="444" spans="1:42" s="5" customFormat="1" x14ac:dyDescent="0.25">
      <c r="A444" s="805"/>
      <c r="B444" s="806"/>
      <c r="C444" s="806"/>
      <c r="D444" s="806"/>
      <c r="E444" s="807"/>
      <c r="F444" s="807"/>
      <c r="G444" s="807"/>
      <c r="H444" s="807"/>
      <c r="I444" s="807"/>
      <c r="J444" s="807"/>
      <c r="K444" s="807"/>
      <c r="L444" s="807"/>
      <c r="M444" s="807"/>
      <c r="N444" s="807"/>
      <c r="O444" s="807"/>
      <c r="P444" s="807"/>
      <c r="Q444" s="807"/>
      <c r="R444" s="807"/>
      <c r="S444" s="807"/>
      <c r="T444" s="807"/>
      <c r="U444" s="807"/>
      <c r="V444" s="807"/>
      <c r="W444" s="807"/>
      <c r="X444" s="807"/>
      <c r="Y444" s="807"/>
      <c r="Z444" s="807"/>
      <c r="AA444" s="807"/>
      <c r="AB444" s="807"/>
      <c r="AC444" s="807"/>
      <c r="AD444" s="807"/>
      <c r="AE444" s="807"/>
      <c r="AF444" s="807"/>
      <c r="AG444" s="807"/>
      <c r="AH444" s="807"/>
      <c r="AI444" s="807"/>
      <c r="AJ444" s="807"/>
      <c r="AK444" s="807"/>
      <c r="AL444" s="807"/>
      <c r="AM444" s="807"/>
      <c r="AN444" s="807"/>
      <c r="AO444" s="807"/>
      <c r="AP444" s="807"/>
    </row>
    <row r="445" spans="1:42" s="5" customFormat="1" x14ac:dyDescent="0.25">
      <c r="A445" s="805"/>
      <c r="B445" s="806"/>
      <c r="C445" s="806"/>
      <c r="D445" s="806"/>
      <c r="E445" s="807"/>
      <c r="F445" s="807"/>
      <c r="G445" s="807"/>
      <c r="H445" s="807"/>
      <c r="I445" s="807"/>
      <c r="J445" s="807"/>
      <c r="K445" s="807"/>
      <c r="L445" s="807"/>
      <c r="M445" s="807"/>
      <c r="N445" s="807"/>
      <c r="O445" s="807"/>
      <c r="P445" s="807"/>
      <c r="Q445" s="807"/>
      <c r="R445" s="807"/>
      <c r="S445" s="807"/>
      <c r="T445" s="807"/>
      <c r="U445" s="807"/>
      <c r="V445" s="807"/>
      <c r="W445" s="807"/>
      <c r="X445" s="807"/>
      <c r="Y445" s="807"/>
      <c r="Z445" s="807"/>
      <c r="AA445" s="807"/>
      <c r="AB445" s="807"/>
      <c r="AC445" s="807"/>
      <c r="AD445" s="807"/>
      <c r="AE445" s="807"/>
      <c r="AF445" s="807"/>
      <c r="AG445" s="807"/>
      <c r="AH445" s="807"/>
      <c r="AI445" s="807"/>
      <c r="AJ445" s="807"/>
      <c r="AK445" s="807"/>
      <c r="AL445" s="807"/>
      <c r="AM445" s="807"/>
      <c r="AN445" s="807"/>
      <c r="AO445" s="807"/>
      <c r="AP445" s="807"/>
    </row>
    <row r="446" spans="1:42" s="5" customFormat="1" x14ac:dyDescent="0.25">
      <c r="A446" s="805"/>
      <c r="B446" s="806"/>
      <c r="C446" s="806"/>
      <c r="D446" s="806"/>
      <c r="E446" s="807"/>
      <c r="F446" s="807"/>
      <c r="G446" s="807"/>
      <c r="H446" s="807"/>
      <c r="I446" s="807"/>
      <c r="J446" s="807"/>
      <c r="K446" s="807"/>
      <c r="L446" s="807"/>
      <c r="M446" s="807"/>
      <c r="N446" s="807"/>
      <c r="O446" s="807"/>
      <c r="P446" s="807"/>
      <c r="Q446" s="807"/>
      <c r="R446" s="807"/>
      <c r="S446" s="807"/>
      <c r="T446" s="807"/>
      <c r="U446" s="807"/>
      <c r="V446" s="807"/>
      <c r="W446" s="807"/>
      <c r="X446" s="807"/>
      <c r="Y446" s="807"/>
      <c r="Z446" s="807"/>
      <c r="AA446" s="807"/>
      <c r="AB446" s="807"/>
      <c r="AC446" s="807"/>
      <c r="AD446" s="807"/>
      <c r="AE446" s="807"/>
      <c r="AF446" s="807"/>
      <c r="AG446" s="807"/>
      <c r="AH446" s="807"/>
      <c r="AI446" s="807"/>
      <c r="AJ446" s="807"/>
      <c r="AK446" s="807"/>
      <c r="AL446" s="807"/>
      <c r="AM446" s="807"/>
      <c r="AN446" s="807"/>
      <c r="AO446" s="807"/>
      <c r="AP446" s="807"/>
    </row>
    <row r="447" spans="1:42" s="5" customFormat="1" x14ac:dyDescent="0.25">
      <c r="A447" s="805"/>
      <c r="B447" s="806"/>
      <c r="C447" s="806"/>
      <c r="D447" s="806"/>
      <c r="E447" s="807"/>
      <c r="F447" s="807"/>
      <c r="G447" s="807"/>
      <c r="H447" s="807"/>
      <c r="I447" s="807"/>
      <c r="J447" s="807"/>
      <c r="K447" s="807"/>
      <c r="L447" s="807"/>
      <c r="M447" s="807"/>
      <c r="N447" s="807"/>
      <c r="O447" s="807"/>
      <c r="P447" s="807"/>
      <c r="Q447" s="807"/>
      <c r="R447" s="807"/>
      <c r="S447" s="807"/>
      <c r="T447" s="807"/>
      <c r="U447" s="807"/>
      <c r="V447" s="807"/>
      <c r="W447" s="807"/>
      <c r="X447" s="807"/>
      <c r="Y447" s="807"/>
      <c r="Z447" s="807"/>
      <c r="AA447" s="807"/>
      <c r="AB447" s="807"/>
      <c r="AC447" s="807"/>
      <c r="AD447" s="807"/>
      <c r="AE447" s="807"/>
      <c r="AF447" s="807"/>
      <c r="AG447" s="807"/>
      <c r="AH447" s="807"/>
      <c r="AI447" s="807"/>
      <c r="AJ447" s="807"/>
      <c r="AK447" s="807"/>
      <c r="AL447" s="807"/>
      <c r="AM447" s="807"/>
      <c r="AN447" s="807"/>
      <c r="AO447" s="807"/>
      <c r="AP447" s="807"/>
    </row>
    <row r="448" spans="1:42" s="5" customFormat="1" x14ac:dyDescent="0.25">
      <c r="A448" s="805"/>
      <c r="B448" s="806"/>
      <c r="C448" s="806"/>
      <c r="D448" s="806"/>
      <c r="E448" s="807"/>
      <c r="F448" s="807"/>
      <c r="G448" s="807"/>
      <c r="H448" s="807"/>
      <c r="I448" s="807"/>
      <c r="J448" s="807"/>
      <c r="K448" s="807"/>
      <c r="L448" s="807"/>
      <c r="M448" s="807"/>
      <c r="N448" s="807"/>
      <c r="O448" s="807"/>
      <c r="P448" s="807"/>
      <c r="Q448" s="807"/>
      <c r="R448" s="807"/>
      <c r="S448" s="807"/>
      <c r="T448" s="807"/>
      <c r="U448" s="807"/>
      <c r="V448" s="807"/>
      <c r="W448" s="807"/>
      <c r="X448" s="807"/>
      <c r="Y448" s="807"/>
      <c r="Z448" s="807"/>
      <c r="AA448" s="807"/>
      <c r="AB448" s="807"/>
      <c r="AC448" s="807"/>
      <c r="AD448" s="807"/>
      <c r="AE448" s="807"/>
      <c r="AF448" s="807"/>
      <c r="AG448" s="807"/>
      <c r="AH448" s="807"/>
      <c r="AI448" s="807"/>
      <c r="AJ448" s="807"/>
      <c r="AK448" s="807"/>
      <c r="AL448" s="807"/>
      <c r="AM448" s="807"/>
      <c r="AN448" s="807"/>
      <c r="AO448" s="807"/>
      <c r="AP448" s="807"/>
    </row>
    <row r="449" spans="1:42" s="5" customFormat="1" x14ac:dyDescent="0.25">
      <c r="A449" s="805"/>
      <c r="B449" s="806"/>
      <c r="C449" s="806"/>
      <c r="D449" s="806"/>
      <c r="E449" s="807"/>
      <c r="F449" s="807"/>
      <c r="G449" s="807"/>
      <c r="H449" s="807"/>
      <c r="I449" s="807"/>
      <c r="J449" s="807"/>
      <c r="K449" s="807"/>
      <c r="L449" s="807"/>
      <c r="M449" s="807"/>
      <c r="N449" s="807"/>
      <c r="O449" s="807"/>
      <c r="P449" s="807"/>
      <c r="Q449" s="807"/>
      <c r="R449" s="807"/>
      <c r="S449" s="807"/>
      <c r="T449" s="807"/>
      <c r="U449" s="807"/>
      <c r="V449" s="807"/>
      <c r="W449" s="807"/>
      <c r="X449" s="807"/>
      <c r="Y449" s="807"/>
      <c r="Z449" s="807"/>
      <c r="AA449" s="807"/>
      <c r="AB449" s="807"/>
      <c r="AC449" s="807"/>
      <c r="AD449" s="807"/>
      <c r="AE449" s="807"/>
      <c r="AF449" s="807"/>
      <c r="AG449" s="807"/>
      <c r="AH449" s="807"/>
      <c r="AI449" s="807"/>
      <c r="AJ449" s="807"/>
      <c r="AK449" s="807"/>
      <c r="AL449" s="807"/>
      <c r="AM449" s="807"/>
      <c r="AN449" s="807"/>
      <c r="AO449" s="807"/>
      <c r="AP449" s="807"/>
    </row>
    <row r="450" spans="1:42" s="5" customFormat="1" x14ac:dyDescent="0.25">
      <c r="A450" s="805"/>
      <c r="B450" s="806"/>
      <c r="C450" s="806"/>
      <c r="D450" s="806"/>
      <c r="E450" s="807"/>
      <c r="F450" s="807"/>
      <c r="G450" s="807"/>
      <c r="H450" s="807"/>
      <c r="I450" s="807"/>
      <c r="J450" s="807"/>
      <c r="K450" s="807"/>
      <c r="L450" s="807"/>
      <c r="M450" s="807"/>
      <c r="N450" s="807"/>
      <c r="O450" s="807"/>
      <c r="P450" s="807"/>
      <c r="Q450" s="807"/>
      <c r="R450" s="807"/>
      <c r="S450" s="807"/>
      <c r="T450" s="807"/>
      <c r="U450" s="807"/>
      <c r="V450" s="807"/>
      <c r="W450" s="807"/>
      <c r="X450" s="807"/>
      <c r="Y450" s="807"/>
      <c r="Z450" s="807"/>
      <c r="AA450" s="807"/>
      <c r="AB450" s="807"/>
      <c r="AC450" s="807"/>
      <c r="AD450" s="807"/>
      <c r="AE450" s="807"/>
      <c r="AF450" s="807"/>
      <c r="AG450" s="807"/>
      <c r="AH450" s="807"/>
      <c r="AI450" s="807"/>
      <c r="AJ450" s="807"/>
      <c r="AK450" s="807"/>
      <c r="AL450" s="807"/>
      <c r="AM450" s="807"/>
      <c r="AN450" s="807"/>
      <c r="AO450" s="807"/>
      <c r="AP450" s="807"/>
    </row>
    <row r="451" spans="1:42" s="5" customFormat="1" x14ac:dyDescent="0.25">
      <c r="A451" s="805"/>
      <c r="B451" s="806"/>
      <c r="C451" s="806"/>
      <c r="D451" s="806"/>
      <c r="E451" s="807"/>
      <c r="F451" s="807"/>
      <c r="G451" s="807"/>
      <c r="H451" s="807"/>
      <c r="I451" s="807"/>
      <c r="J451" s="807"/>
      <c r="K451" s="807"/>
      <c r="L451" s="807"/>
      <c r="M451" s="807"/>
      <c r="N451" s="807"/>
      <c r="O451" s="807"/>
      <c r="P451" s="807"/>
      <c r="Q451" s="807"/>
      <c r="R451" s="807"/>
      <c r="S451" s="807"/>
      <c r="T451" s="807"/>
      <c r="U451" s="807"/>
      <c r="V451" s="807"/>
      <c r="W451" s="807"/>
      <c r="X451" s="807"/>
      <c r="Y451" s="807"/>
      <c r="Z451" s="807"/>
      <c r="AA451" s="807"/>
      <c r="AB451" s="807"/>
      <c r="AC451" s="807"/>
      <c r="AD451" s="807"/>
      <c r="AE451" s="807"/>
      <c r="AF451" s="807"/>
      <c r="AG451" s="807"/>
      <c r="AH451" s="807"/>
      <c r="AI451" s="807"/>
      <c r="AJ451" s="807"/>
      <c r="AK451" s="807"/>
      <c r="AL451" s="807"/>
      <c r="AM451" s="807"/>
      <c r="AN451" s="807"/>
      <c r="AO451" s="807"/>
      <c r="AP451" s="807"/>
    </row>
    <row r="452" spans="1:42" s="5" customFormat="1" x14ac:dyDescent="0.25">
      <c r="A452" s="805"/>
      <c r="B452" s="806"/>
      <c r="C452" s="806"/>
      <c r="D452" s="806"/>
      <c r="E452" s="807"/>
      <c r="F452" s="807"/>
      <c r="G452" s="807"/>
      <c r="H452" s="807"/>
      <c r="I452" s="807"/>
      <c r="J452" s="807"/>
      <c r="K452" s="807"/>
      <c r="L452" s="807"/>
      <c r="M452" s="807"/>
      <c r="N452" s="807"/>
      <c r="O452" s="807"/>
      <c r="P452" s="807"/>
      <c r="Q452" s="807"/>
      <c r="R452" s="807"/>
      <c r="S452" s="807"/>
      <c r="T452" s="807"/>
      <c r="U452" s="807"/>
      <c r="V452" s="807"/>
      <c r="W452" s="807"/>
      <c r="X452" s="807"/>
      <c r="Y452" s="807"/>
      <c r="Z452" s="807"/>
      <c r="AA452" s="807"/>
      <c r="AB452" s="807"/>
      <c r="AC452" s="807"/>
      <c r="AD452" s="807"/>
      <c r="AE452" s="807"/>
      <c r="AF452" s="807"/>
      <c r="AG452" s="807"/>
      <c r="AH452" s="807"/>
      <c r="AI452" s="807"/>
      <c r="AJ452" s="807"/>
      <c r="AK452" s="807"/>
      <c r="AL452" s="807"/>
      <c r="AM452" s="807"/>
      <c r="AN452" s="807"/>
      <c r="AO452" s="807"/>
      <c r="AP452" s="807"/>
    </row>
    <row r="453" spans="1:42" s="5" customFormat="1" x14ac:dyDescent="0.25">
      <c r="A453" s="805"/>
      <c r="B453" s="806"/>
      <c r="C453" s="806"/>
      <c r="D453" s="806"/>
      <c r="E453" s="807"/>
      <c r="F453" s="807"/>
      <c r="G453" s="807"/>
      <c r="H453" s="807"/>
      <c r="I453" s="807"/>
      <c r="J453" s="807"/>
      <c r="K453" s="807"/>
      <c r="L453" s="807"/>
      <c r="M453" s="807"/>
      <c r="N453" s="807"/>
      <c r="O453" s="807"/>
      <c r="P453" s="807"/>
      <c r="Q453" s="807"/>
      <c r="R453" s="807"/>
      <c r="S453" s="807"/>
      <c r="T453" s="807"/>
      <c r="U453" s="807"/>
      <c r="V453" s="807"/>
      <c r="W453" s="807"/>
      <c r="X453" s="807"/>
      <c r="Y453" s="807"/>
      <c r="Z453" s="807"/>
      <c r="AA453" s="807"/>
      <c r="AB453" s="807"/>
      <c r="AC453" s="807"/>
      <c r="AD453" s="807"/>
      <c r="AE453" s="807"/>
      <c r="AF453" s="807"/>
      <c r="AG453" s="807"/>
      <c r="AH453" s="807"/>
      <c r="AI453" s="807"/>
      <c r="AJ453" s="807"/>
      <c r="AK453" s="807"/>
      <c r="AL453" s="807"/>
      <c r="AM453" s="807"/>
      <c r="AN453" s="807"/>
      <c r="AO453" s="807"/>
      <c r="AP453" s="807"/>
    </row>
    <row r="454" spans="1:42" s="5" customFormat="1" x14ac:dyDescent="0.25">
      <c r="A454" s="805"/>
      <c r="B454" s="806"/>
      <c r="C454" s="806"/>
      <c r="D454" s="806"/>
      <c r="E454" s="807"/>
      <c r="F454" s="807"/>
      <c r="G454" s="807"/>
      <c r="H454" s="807"/>
      <c r="I454" s="807"/>
      <c r="J454" s="807"/>
      <c r="K454" s="807"/>
      <c r="L454" s="807"/>
      <c r="M454" s="807"/>
      <c r="N454" s="807"/>
      <c r="O454" s="807"/>
      <c r="P454" s="807"/>
      <c r="Q454" s="807"/>
      <c r="R454" s="807"/>
      <c r="S454" s="807"/>
      <c r="T454" s="807"/>
      <c r="U454" s="807"/>
      <c r="V454" s="807"/>
      <c r="W454" s="807"/>
      <c r="X454" s="807"/>
      <c r="Y454" s="807"/>
      <c r="Z454" s="807"/>
      <c r="AA454" s="807"/>
      <c r="AB454" s="807"/>
      <c r="AC454" s="807"/>
      <c r="AD454" s="807"/>
      <c r="AE454" s="807"/>
      <c r="AF454" s="807"/>
      <c r="AG454" s="807"/>
      <c r="AH454" s="807"/>
      <c r="AI454" s="807"/>
      <c r="AJ454" s="807"/>
      <c r="AK454" s="807"/>
      <c r="AL454" s="807"/>
      <c r="AM454" s="807"/>
      <c r="AN454" s="807"/>
      <c r="AO454" s="807"/>
      <c r="AP454" s="807"/>
    </row>
    <row r="455" spans="1:42" s="5" customFormat="1" x14ac:dyDescent="0.25">
      <c r="A455" s="805"/>
      <c r="B455" s="806"/>
      <c r="C455" s="806"/>
      <c r="D455" s="806"/>
      <c r="E455" s="807"/>
      <c r="F455" s="807"/>
      <c r="G455" s="807"/>
      <c r="H455" s="807"/>
      <c r="I455" s="807"/>
      <c r="J455" s="807"/>
      <c r="K455" s="807"/>
      <c r="L455" s="807"/>
      <c r="M455" s="807"/>
      <c r="N455" s="807"/>
      <c r="O455" s="807"/>
      <c r="P455" s="807"/>
      <c r="Q455" s="807"/>
      <c r="R455" s="807"/>
      <c r="S455" s="807"/>
      <c r="T455" s="807"/>
      <c r="U455" s="807"/>
      <c r="V455" s="807"/>
      <c r="W455" s="807"/>
      <c r="X455" s="807"/>
      <c r="Y455" s="807"/>
      <c r="Z455" s="807"/>
      <c r="AA455" s="807"/>
      <c r="AB455" s="807"/>
      <c r="AC455" s="807"/>
      <c r="AD455" s="807"/>
      <c r="AE455" s="807"/>
      <c r="AF455" s="807"/>
      <c r="AG455" s="807"/>
      <c r="AH455" s="807"/>
      <c r="AI455" s="807"/>
      <c r="AJ455" s="807"/>
      <c r="AK455" s="807"/>
      <c r="AL455" s="807"/>
      <c r="AM455" s="807"/>
      <c r="AN455" s="807"/>
      <c r="AO455" s="807"/>
      <c r="AP455" s="807"/>
    </row>
    <row r="456" spans="1:42" s="5" customFormat="1" x14ac:dyDescent="0.25">
      <c r="A456" s="805"/>
      <c r="B456" s="806"/>
      <c r="C456" s="806"/>
      <c r="D456" s="806"/>
      <c r="E456" s="807"/>
      <c r="F456" s="807"/>
      <c r="G456" s="807"/>
      <c r="H456" s="807"/>
      <c r="I456" s="807"/>
      <c r="J456" s="807"/>
      <c r="K456" s="807"/>
      <c r="L456" s="807"/>
      <c r="M456" s="807"/>
      <c r="N456" s="807"/>
      <c r="O456" s="807"/>
      <c r="P456" s="807"/>
      <c r="Q456" s="807"/>
      <c r="R456" s="807"/>
      <c r="S456" s="807"/>
      <c r="T456" s="807"/>
      <c r="U456" s="807"/>
      <c r="V456" s="807"/>
      <c r="W456" s="807"/>
      <c r="X456" s="807"/>
      <c r="Y456" s="807"/>
      <c r="Z456" s="807"/>
      <c r="AA456" s="807"/>
      <c r="AB456" s="807"/>
      <c r="AC456" s="807"/>
      <c r="AD456" s="807"/>
      <c r="AE456" s="807"/>
      <c r="AF456" s="807"/>
      <c r="AG456" s="807"/>
      <c r="AH456" s="807"/>
      <c r="AI456" s="807"/>
      <c r="AJ456" s="807"/>
      <c r="AK456" s="807"/>
      <c r="AL456" s="807"/>
      <c r="AM456" s="807"/>
      <c r="AN456" s="807"/>
      <c r="AO456" s="807"/>
      <c r="AP456" s="807"/>
    </row>
    <row r="457" spans="1:42" s="5" customFormat="1" x14ac:dyDescent="0.25">
      <c r="A457" s="805"/>
      <c r="B457" s="806"/>
      <c r="C457" s="806"/>
      <c r="D457" s="806"/>
      <c r="E457" s="807"/>
      <c r="F457" s="807"/>
      <c r="G457" s="807"/>
      <c r="H457" s="807"/>
      <c r="I457" s="807"/>
      <c r="J457" s="807"/>
      <c r="K457" s="807"/>
      <c r="L457" s="807"/>
      <c r="M457" s="807"/>
      <c r="N457" s="807"/>
      <c r="O457" s="807"/>
      <c r="P457" s="807"/>
      <c r="Q457" s="807"/>
      <c r="R457" s="807"/>
      <c r="S457" s="807"/>
      <c r="T457" s="807"/>
      <c r="U457" s="807"/>
      <c r="V457" s="807"/>
      <c r="W457" s="807"/>
      <c r="X457" s="807"/>
      <c r="Y457" s="807"/>
      <c r="Z457" s="807"/>
      <c r="AA457" s="807"/>
      <c r="AB457" s="807"/>
      <c r="AC457" s="807"/>
      <c r="AD457" s="807"/>
      <c r="AE457" s="807"/>
      <c r="AF457" s="807"/>
      <c r="AG457" s="807"/>
      <c r="AH457" s="807"/>
      <c r="AI457" s="807"/>
      <c r="AJ457" s="807"/>
      <c r="AK457" s="807"/>
      <c r="AL457" s="807"/>
      <c r="AM457" s="807"/>
      <c r="AN457" s="807"/>
      <c r="AO457" s="807"/>
      <c r="AP457" s="807"/>
    </row>
    <row r="458" spans="1:42" s="5" customFormat="1" x14ac:dyDescent="0.25">
      <c r="A458" s="805"/>
      <c r="B458" s="806"/>
      <c r="C458" s="806"/>
      <c r="D458" s="806"/>
      <c r="E458" s="807"/>
      <c r="F458" s="807"/>
      <c r="G458" s="807"/>
      <c r="H458" s="807"/>
      <c r="I458" s="807"/>
      <c r="J458" s="807"/>
      <c r="K458" s="807"/>
      <c r="L458" s="807"/>
      <c r="M458" s="807"/>
      <c r="N458" s="807"/>
      <c r="O458" s="807"/>
      <c r="P458" s="807"/>
      <c r="Q458" s="807"/>
      <c r="R458" s="807"/>
      <c r="S458" s="807"/>
      <c r="T458" s="807"/>
      <c r="U458" s="807"/>
      <c r="V458" s="807"/>
      <c r="W458" s="807"/>
      <c r="X458" s="807"/>
      <c r="Y458" s="807"/>
      <c r="Z458" s="807"/>
      <c r="AA458" s="807"/>
      <c r="AB458" s="807"/>
      <c r="AC458" s="807"/>
      <c r="AD458" s="807"/>
      <c r="AE458" s="807"/>
      <c r="AF458" s="807"/>
      <c r="AG458" s="807"/>
      <c r="AH458" s="807"/>
      <c r="AI458" s="807"/>
      <c r="AJ458" s="807"/>
      <c r="AK458" s="807"/>
      <c r="AL458" s="807"/>
      <c r="AM458" s="807"/>
      <c r="AN458" s="807"/>
      <c r="AO458" s="807"/>
      <c r="AP458" s="807"/>
    </row>
    <row r="459" spans="1:42" s="5" customFormat="1" x14ac:dyDescent="0.25">
      <c r="A459" s="805"/>
      <c r="B459" s="806"/>
      <c r="C459" s="806"/>
      <c r="D459" s="806"/>
      <c r="E459" s="807"/>
      <c r="F459" s="807"/>
      <c r="G459" s="807"/>
      <c r="H459" s="807"/>
      <c r="I459" s="807"/>
      <c r="J459" s="807"/>
      <c r="K459" s="807"/>
      <c r="L459" s="807"/>
      <c r="M459" s="807"/>
      <c r="N459" s="807"/>
      <c r="O459" s="807"/>
      <c r="P459" s="807"/>
      <c r="Q459" s="807"/>
      <c r="R459" s="807"/>
      <c r="S459" s="807"/>
      <c r="T459" s="807"/>
      <c r="U459" s="807"/>
      <c r="V459" s="807"/>
      <c r="W459" s="807"/>
      <c r="X459" s="807"/>
      <c r="Y459" s="807"/>
      <c r="Z459" s="807"/>
      <c r="AA459" s="807"/>
      <c r="AB459" s="807"/>
      <c r="AC459" s="807"/>
      <c r="AD459" s="807"/>
      <c r="AE459" s="807"/>
      <c r="AF459" s="807"/>
      <c r="AG459" s="807"/>
      <c r="AH459" s="807"/>
      <c r="AI459" s="807"/>
      <c r="AJ459" s="807"/>
      <c r="AK459" s="807"/>
      <c r="AL459" s="807"/>
      <c r="AM459" s="807"/>
      <c r="AN459" s="807"/>
      <c r="AO459" s="807"/>
      <c r="AP459" s="807"/>
    </row>
    <row r="460" spans="1:42" s="5" customFormat="1" x14ac:dyDescent="0.25">
      <c r="A460" s="805"/>
      <c r="B460" s="806"/>
      <c r="C460" s="806"/>
      <c r="D460" s="806"/>
      <c r="E460" s="807"/>
      <c r="F460" s="807"/>
      <c r="G460" s="807"/>
      <c r="H460" s="807"/>
      <c r="I460" s="807"/>
      <c r="J460" s="807"/>
      <c r="K460" s="807"/>
      <c r="L460" s="807"/>
      <c r="M460" s="807"/>
      <c r="N460" s="807"/>
      <c r="O460" s="807"/>
      <c r="P460" s="807"/>
      <c r="Q460" s="807"/>
      <c r="R460" s="807"/>
      <c r="S460" s="807"/>
      <c r="T460" s="807"/>
      <c r="U460" s="807"/>
      <c r="V460" s="807"/>
      <c r="W460" s="807"/>
      <c r="X460" s="807"/>
      <c r="Y460" s="807"/>
      <c r="Z460" s="807"/>
      <c r="AA460" s="807"/>
      <c r="AB460" s="807"/>
      <c r="AC460" s="807"/>
      <c r="AD460" s="807"/>
      <c r="AE460" s="807"/>
      <c r="AF460" s="807"/>
      <c r="AG460" s="807"/>
      <c r="AH460" s="807"/>
      <c r="AI460" s="807"/>
      <c r="AJ460" s="807"/>
      <c r="AK460" s="807"/>
      <c r="AL460" s="807"/>
      <c r="AM460" s="807"/>
      <c r="AN460" s="807"/>
      <c r="AO460" s="807"/>
      <c r="AP460" s="807"/>
    </row>
    <row r="461" spans="1:42" s="5" customFormat="1" x14ac:dyDescent="0.25">
      <c r="A461" s="805"/>
      <c r="B461" s="806"/>
      <c r="C461" s="806"/>
      <c r="D461" s="806"/>
      <c r="E461" s="807"/>
      <c r="F461" s="807"/>
      <c r="G461" s="807"/>
      <c r="H461" s="807"/>
      <c r="I461" s="807"/>
      <c r="J461" s="807"/>
      <c r="K461" s="807"/>
      <c r="L461" s="807"/>
      <c r="M461" s="807"/>
      <c r="N461" s="807"/>
      <c r="O461" s="807"/>
      <c r="P461" s="807"/>
      <c r="Q461" s="807"/>
      <c r="R461" s="807"/>
      <c r="S461" s="807"/>
      <c r="T461" s="807"/>
      <c r="U461" s="807"/>
      <c r="V461" s="807"/>
      <c r="W461" s="807"/>
      <c r="X461" s="807"/>
      <c r="Y461" s="807"/>
      <c r="Z461" s="807"/>
      <c r="AA461" s="807"/>
      <c r="AB461" s="807"/>
      <c r="AC461" s="807"/>
      <c r="AD461" s="807"/>
      <c r="AE461" s="807"/>
      <c r="AF461" s="807"/>
      <c r="AG461" s="807"/>
      <c r="AH461" s="807"/>
      <c r="AI461" s="807"/>
      <c r="AJ461" s="807"/>
      <c r="AK461" s="807"/>
      <c r="AL461" s="807"/>
      <c r="AM461" s="807"/>
      <c r="AN461" s="807"/>
      <c r="AO461" s="807"/>
      <c r="AP461" s="807"/>
    </row>
    <row r="462" spans="1:42" s="5" customFormat="1" x14ac:dyDescent="0.25">
      <c r="A462" s="805"/>
      <c r="B462" s="806"/>
      <c r="C462" s="806"/>
      <c r="D462" s="806"/>
      <c r="E462" s="807"/>
      <c r="F462" s="807"/>
      <c r="G462" s="807"/>
      <c r="H462" s="807"/>
      <c r="I462" s="807"/>
      <c r="J462" s="807"/>
      <c r="K462" s="807"/>
      <c r="L462" s="807"/>
      <c r="M462" s="807"/>
      <c r="N462" s="807"/>
      <c r="O462" s="807"/>
      <c r="P462" s="807"/>
      <c r="Q462" s="807"/>
      <c r="R462" s="807"/>
      <c r="S462" s="807"/>
      <c r="T462" s="807"/>
      <c r="U462" s="807"/>
      <c r="V462" s="807"/>
      <c r="W462" s="807"/>
      <c r="X462" s="807"/>
      <c r="Y462" s="807"/>
      <c r="Z462" s="807"/>
      <c r="AA462" s="807"/>
      <c r="AB462" s="807"/>
      <c r="AC462" s="807"/>
      <c r="AD462" s="807"/>
      <c r="AE462" s="807"/>
      <c r="AF462" s="807"/>
      <c r="AG462" s="807"/>
      <c r="AH462" s="807"/>
      <c r="AI462" s="807"/>
      <c r="AJ462" s="807"/>
      <c r="AK462" s="807"/>
      <c r="AL462" s="807"/>
      <c r="AM462" s="807"/>
      <c r="AN462" s="807"/>
      <c r="AO462" s="807"/>
      <c r="AP462" s="807"/>
    </row>
    <row r="463" spans="1:42" s="5" customFormat="1" x14ac:dyDescent="0.25">
      <c r="A463" s="805"/>
      <c r="B463" s="806"/>
      <c r="C463" s="806"/>
      <c r="D463" s="806"/>
      <c r="E463" s="807"/>
      <c r="F463" s="807"/>
      <c r="G463" s="807"/>
      <c r="H463" s="807"/>
      <c r="I463" s="807"/>
      <c r="J463" s="807"/>
      <c r="K463" s="807"/>
      <c r="L463" s="807"/>
      <c r="M463" s="807"/>
      <c r="N463" s="807"/>
      <c r="O463" s="807"/>
      <c r="P463" s="807"/>
      <c r="Q463" s="807"/>
      <c r="R463" s="807"/>
      <c r="S463" s="807"/>
      <c r="T463" s="807"/>
      <c r="U463" s="807"/>
      <c r="V463" s="807"/>
      <c r="W463" s="807"/>
      <c r="X463" s="807"/>
      <c r="Y463" s="807"/>
      <c r="Z463" s="807"/>
      <c r="AA463" s="807"/>
      <c r="AB463" s="807"/>
      <c r="AC463" s="807"/>
      <c r="AD463" s="807"/>
      <c r="AE463" s="807"/>
      <c r="AF463" s="807"/>
      <c r="AG463" s="807"/>
      <c r="AH463" s="807"/>
      <c r="AI463" s="807"/>
      <c r="AJ463" s="807"/>
      <c r="AK463" s="807"/>
      <c r="AL463" s="807"/>
      <c r="AM463" s="807"/>
      <c r="AN463" s="807"/>
      <c r="AO463" s="807"/>
      <c r="AP463" s="807"/>
    </row>
    <row r="464" spans="1:42" s="5" customFormat="1" x14ac:dyDescent="0.25">
      <c r="A464" s="805"/>
      <c r="B464" s="806"/>
      <c r="C464" s="806"/>
      <c r="D464" s="806"/>
      <c r="E464" s="807"/>
      <c r="F464" s="807"/>
      <c r="G464" s="807"/>
      <c r="H464" s="807"/>
      <c r="I464" s="807"/>
      <c r="J464" s="807"/>
      <c r="K464" s="807"/>
      <c r="L464" s="807"/>
      <c r="M464" s="807"/>
      <c r="N464" s="807"/>
      <c r="O464" s="807"/>
      <c r="P464" s="807"/>
      <c r="Q464" s="807"/>
      <c r="R464" s="807"/>
      <c r="S464" s="807"/>
      <c r="T464" s="807"/>
      <c r="U464" s="807"/>
      <c r="V464" s="807"/>
      <c r="W464" s="807"/>
      <c r="X464" s="807"/>
      <c r="Y464" s="807"/>
      <c r="Z464" s="807"/>
      <c r="AA464" s="807"/>
      <c r="AB464" s="807"/>
      <c r="AC464" s="807"/>
      <c r="AD464" s="807"/>
      <c r="AE464" s="807"/>
      <c r="AF464" s="807"/>
      <c r="AG464" s="807"/>
      <c r="AH464" s="807"/>
      <c r="AI464" s="807"/>
      <c r="AJ464" s="807"/>
      <c r="AK464" s="807"/>
      <c r="AL464" s="807"/>
      <c r="AM464" s="807"/>
      <c r="AN464" s="807"/>
      <c r="AO464" s="807"/>
      <c r="AP464" s="807"/>
    </row>
    <row r="465" spans="1:42" s="5" customFormat="1" x14ac:dyDescent="0.25">
      <c r="A465" s="805"/>
      <c r="B465" s="806"/>
      <c r="C465" s="806"/>
      <c r="D465" s="806"/>
      <c r="E465" s="807"/>
      <c r="F465" s="807"/>
      <c r="G465" s="807"/>
      <c r="H465" s="807"/>
      <c r="I465" s="807"/>
      <c r="J465" s="807"/>
      <c r="K465" s="807"/>
      <c r="L465" s="807"/>
      <c r="M465" s="807"/>
      <c r="N465" s="807"/>
      <c r="O465" s="807"/>
      <c r="P465" s="807"/>
      <c r="Q465" s="807"/>
      <c r="R465" s="807"/>
      <c r="S465" s="807"/>
      <c r="T465" s="807"/>
      <c r="U465" s="807"/>
      <c r="V465" s="807"/>
      <c r="W465" s="807"/>
      <c r="X465" s="807"/>
      <c r="Y465" s="807"/>
      <c r="Z465" s="807"/>
      <c r="AA465" s="807"/>
      <c r="AB465" s="807"/>
      <c r="AC465" s="807"/>
      <c r="AD465" s="807"/>
      <c r="AE465" s="807"/>
      <c r="AF465" s="807"/>
      <c r="AG465" s="807"/>
      <c r="AH465" s="807"/>
      <c r="AI465" s="807"/>
      <c r="AJ465" s="807"/>
      <c r="AK465" s="807"/>
      <c r="AL465" s="807"/>
      <c r="AM465" s="807"/>
      <c r="AN465" s="807"/>
      <c r="AO465" s="807"/>
      <c r="AP465" s="807"/>
    </row>
    <row r="466" spans="1:42" s="5" customFormat="1" x14ac:dyDescent="0.25">
      <c r="A466" s="805"/>
      <c r="B466" s="806"/>
      <c r="C466" s="806"/>
      <c r="D466" s="806"/>
      <c r="E466" s="807"/>
      <c r="F466" s="807"/>
      <c r="G466" s="807"/>
      <c r="H466" s="807"/>
      <c r="I466" s="807"/>
      <c r="J466" s="807"/>
      <c r="K466" s="807"/>
      <c r="L466" s="807"/>
      <c r="M466" s="807"/>
      <c r="N466" s="807"/>
      <c r="O466" s="807"/>
      <c r="P466" s="807"/>
      <c r="Q466" s="807"/>
      <c r="R466" s="807"/>
      <c r="S466" s="807"/>
      <c r="T466" s="807"/>
      <c r="U466" s="807"/>
      <c r="V466" s="807"/>
      <c r="W466" s="807"/>
      <c r="X466" s="807"/>
      <c r="Y466" s="807"/>
      <c r="Z466" s="807"/>
      <c r="AA466" s="807"/>
      <c r="AB466" s="807"/>
      <c r="AC466" s="807"/>
      <c r="AD466" s="807"/>
      <c r="AE466" s="807"/>
      <c r="AF466" s="807"/>
      <c r="AG466" s="807"/>
      <c r="AH466" s="807"/>
      <c r="AI466" s="807"/>
      <c r="AJ466" s="807"/>
      <c r="AK466" s="807"/>
      <c r="AL466" s="807"/>
      <c r="AM466" s="807"/>
      <c r="AN466" s="807"/>
      <c r="AO466" s="807"/>
      <c r="AP466" s="807"/>
    </row>
    <row r="467" spans="1:42" s="5" customFormat="1" x14ac:dyDescent="0.25">
      <c r="A467" s="805"/>
      <c r="B467" s="806"/>
      <c r="C467" s="806"/>
      <c r="D467" s="806"/>
      <c r="E467" s="807"/>
      <c r="F467" s="807"/>
      <c r="G467" s="807"/>
      <c r="H467" s="807"/>
      <c r="I467" s="807"/>
      <c r="J467" s="807"/>
      <c r="K467" s="807"/>
      <c r="L467" s="807"/>
      <c r="M467" s="807"/>
      <c r="N467" s="807"/>
      <c r="O467" s="807"/>
      <c r="P467" s="807"/>
      <c r="Q467" s="807"/>
      <c r="R467" s="807"/>
      <c r="S467" s="807"/>
      <c r="T467" s="807"/>
      <c r="U467" s="807"/>
      <c r="V467" s="807"/>
      <c r="W467" s="807"/>
      <c r="X467" s="807"/>
      <c r="Y467" s="807"/>
      <c r="Z467" s="807"/>
      <c r="AA467" s="807"/>
      <c r="AB467" s="807"/>
      <c r="AC467" s="807"/>
      <c r="AD467" s="807"/>
      <c r="AE467" s="807"/>
      <c r="AF467" s="807"/>
      <c r="AG467" s="807"/>
      <c r="AH467" s="807"/>
      <c r="AI467" s="807"/>
      <c r="AJ467" s="807"/>
      <c r="AK467" s="807"/>
      <c r="AL467" s="807"/>
      <c r="AM467" s="807"/>
      <c r="AN467" s="807"/>
      <c r="AO467" s="807"/>
      <c r="AP467" s="807"/>
    </row>
    <row r="468" spans="1:42" s="5" customFormat="1" x14ac:dyDescent="0.25">
      <c r="A468" s="805"/>
      <c r="B468" s="806"/>
      <c r="C468" s="806"/>
      <c r="D468" s="806"/>
      <c r="E468" s="807"/>
      <c r="F468" s="807"/>
      <c r="G468" s="807"/>
      <c r="H468" s="807"/>
      <c r="I468" s="807"/>
      <c r="J468" s="807"/>
      <c r="K468" s="807"/>
      <c r="L468" s="807"/>
      <c r="M468" s="807"/>
      <c r="N468" s="807"/>
      <c r="O468" s="807"/>
      <c r="P468" s="807"/>
      <c r="Q468" s="807"/>
      <c r="R468" s="807"/>
      <c r="S468" s="807"/>
      <c r="T468" s="807"/>
      <c r="U468" s="807"/>
      <c r="V468" s="807"/>
      <c r="W468" s="807"/>
      <c r="X468" s="807"/>
      <c r="Y468" s="807"/>
      <c r="Z468" s="807"/>
      <c r="AA468" s="807"/>
      <c r="AB468" s="807"/>
      <c r="AC468" s="807"/>
      <c r="AD468" s="807"/>
      <c r="AE468" s="807"/>
      <c r="AF468" s="807"/>
      <c r="AG468" s="807"/>
      <c r="AH468" s="807"/>
      <c r="AI468" s="807"/>
      <c r="AJ468" s="807"/>
      <c r="AK468" s="807"/>
      <c r="AL468" s="807"/>
      <c r="AM468" s="807"/>
      <c r="AN468" s="807"/>
      <c r="AO468" s="807"/>
      <c r="AP468" s="807"/>
    </row>
    <row r="469" spans="1:42" s="5" customFormat="1" x14ac:dyDescent="0.25">
      <c r="A469" s="805"/>
      <c r="B469" s="806"/>
      <c r="C469" s="806"/>
      <c r="D469" s="806"/>
      <c r="E469" s="807"/>
      <c r="F469" s="807"/>
      <c r="G469" s="807"/>
      <c r="H469" s="807"/>
      <c r="I469" s="807"/>
      <c r="J469" s="807"/>
      <c r="K469" s="807"/>
      <c r="L469" s="807"/>
      <c r="M469" s="807"/>
      <c r="N469" s="807"/>
      <c r="O469" s="807"/>
      <c r="P469" s="807"/>
      <c r="Q469" s="807"/>
      <c r="R469" s="807"/>
      <c r="S469" s="807"/>
      <c r="T469" s="807"/>
      <c r="U469" s="807"/>
      <c r="V469" s="807"/>
      <c r="W469" s="807"/>
      <c r="X469" s="807"/>
      <c r="Y469" s="807"/>
      <c r="Z469" s="807"/>
      <c r="AA469" s="807"/>
      <c r="AB469" s="807"/>
      <c r="AC469" s="807"/>
      <c r="AD469" s="807"/>
      <c r="AE469" s="807"/>
      <c r="AF469" s="807"/>
      <c r="AG469" s="807"/>
      <c r="AH469" s="807"/>
      <c r="AI469" s="807"/>
      <c r="AJ469" s="807"/>
      <c r="AK469" s="807"/>
      <c r="AL469" s="807"/>
      <c r="AM469" s="807"/>
      <c r="AN469" s="807"/>
      <c r="AO469" s="807"/>
      <c r="AP469" s="807"/>
    </row>
    <row r="470" spans="1:42" s="5" customFormat="1" x14ac:dyDescent="0.25">
      <c r="A470" s="805"/>
      <c r="B470" s="806"/>
      <c r="C470" s="806"/>
      <c r="D470" s="806"/>
      <c r="E470" s="807"/>
      <c r="F470" s="807"/>
      <c r="G470" s="807"/>
      <c r="H470" s="807"/>
      <c r="I470" s="807"/>
      <c r="J470" s="807"/>
      <c r="K470" s="807"/>
      <c r="L470" s="807"/>
      <c r="M470" s="807"/>
      <c r="N470" s="807"/>
      <c r="O470" s="807"/>
      <c r="P470" s="807"/>
      <c r="Q470" s="807"/>
      <c r="R470" s="807"/>
      <c r="S470" s="807"/>
      <c r="T470" s="807"/>
      <c r="U470" s="807"/>
      <c r="V470" s="807"/>
      <c r="W470" s="807"/>
      <c r="X470" s="807"/>
      <c r="Y470" s="807"/>
      <c r="Z470" s="807"/>
      <c r="AA470" s="807"/>
      <c r="AB470" s="807"/>
      <c r="AC470" s="807"/>
      <c r="AD470" s="807"/>
      <c r="AE470" s="807"/>
      <c r="AF470" s="807"/>
      <c r="AG470" s="807"/>
      <c r="AH470" s="807"/>
      <c r="AI470" s="807"/>
      <c r="AJ470" s="807"/>
      <c r="AK470" s="807"/>
      <c r="AL470" s="807"/>
      <c r="AM470" s="807"/>
      <c r="AN470" s="807"/>
      <c r="AO470" s="807"/>
      <c r="AP470" s="807"/>
    </row>
    <row r="471" spans="1:42" s="5" customFormat="1" x14ac:dyDescent="0.25">
      <c r="A471" s="805"/>
      <c r="B471" s="806"/>
      <c r="C471" s="806"/>
      <c r="D471" s="806"/>
      <c r="E471" s="807"/>
      <c r="F471" s="807"/>
      <c r="G471" s="807"/>
      <c r="H471" s="807"/>
      <c r="I471" s="807"/>
      <c r="J471" s="807"/>
      <c r="K471" s="807"/>
      <c r="L471" s="807"/>
      <c r="M471" s="807"/>
      <c r="N471" s="807"/>
      <c r="O471" s="807"/>
      <c r="P471" s="807"/>
      <c r="Q471" s="807"/>
      <c r="R471" s="807"/>
      <c r="S471" s="807"/>
      <c r="T471" s="807"/>
      <c r="U471" s="807"/>
      <c r="V471" s="807"/>
      <c r="W471" s="807"/>
      <c r="X471" s="807"/>
      <c r="Y471" s="807"/>
      <c r="Z471" s="807"/>
      <c r="AA471" s="807"/>
      <c r="AB471" s="807"/>
      <c r="AC471" s="807"/>
      <c r="AD471" s="807"/>
      <c r="AE471" s="807"/>
      <c r="AF471" s="807"/>
      <c r="AG471" s="807"/>
      <c r="AH471" s="807"/>
      <c r="AI471" s="807"/>
      <c r="AJ471" s="807"/>
      <c r="AK471" s="807"/>
      <c r="AL471" s="807"/>
      <c r="AM471" s="807"/>
      <c r="AN471" s="807"/>
      <c r="AO471" s="807"/>
      <c r="AP471" s="807"/>
    </row>
    <row r="472" spans="1:42" s="5" customFormat="1" x14ac:dyDescent="0.25">
      <c r="A472" s="805"/>
      <c r="B472" s="806"/>
      <c r="C472" s="806"/>
      <c r="D472" s="806"/>
      <c r="E472" s="807"/>
      <c r="F472" s="807"/>
      <c r="G472" s="807"/>
      <c r="H472" s="807"/>
      <c r="I472" s="807"/>
      <c r="J472" s="807"/>
      <c r="K472" s="807"/>
      <c r="L472" s="807"/>
      <c r="M472" s="807"/>
      <c r="N472" s="807"/>
      <c r="O472" s="807"/>
      <c r="P472" s="807"/>
      <c r="Q472" s="807"/>
      <c r="R472" s="807"/>
      <c r="S472" s="807"/>
      <c r="T472" s="807"/>
      <c r="U472" s="807"/>
      <c r="V472" s="807"/>
      <c r="W472" s="807"/>
      <c r="X472" s="807"/>
      <c r="Y472" s="807"/>
      <c r="Z472" s="807"/>
      <c r="AA472" s="807"/>
      <c r="AB472" s="807"/>
      <c r="AC472" s="807"/>
      <c r="AD472" s="807"/>
      <c r="AE472" s="807"/>
      <c r="AF472" s="807"/>
      <c r="AG472" s="807"/>
      <c r="AH472" s="807"/>
      <c r="AI472" s="807"/>
      <c r="AJ472" s="807"/>
      <c r="AK472" s="807"/>
      <c r="AL472" s="807"/>
      <c r="AM472" s="807"/>
      <c r="AN472" s="807"/>
      <c r="AO472" s="807"/>
      <c r="AP472" s="807"/>
    </row>
    <row r="473" spans="1:42" s="5" customFormat="1" x14ac:dyDescent="0.25">
      <c r="A473" s="805"/>
      <c r="B473" s="806"/>
      <c r="C473" s="806"/>
      <c r="D473" s="806"/>
      <c r="E473" s="807"/>
      <c r="F473" s="807"/>
      <c r="G473" s="807"/>
      <c r="H473" s="807"/>
      <c r="I473" s="807"/>
      <c r="J473" s="807"/>
      <c r="K473" s="807"/>
      <c r="L473" s="807"/>
      <c r="M473" s="807"/>
      <c r="N473" s="807"/>
      <c r="O473" s="807"/>
      <c r="P473" s="807"/>
      <c r="Q473" s="807"/>
      <c r="R473" s="807"/>
      <c r="S473" s="807"/>
      <c r="T473" s="807"/>
      <c r="U473" s="807"/>
      <c r="V473" s="807"/>
      <c r="W473" s="807"/>
      <c r="X473" s="807"/>
      <c r="Y473" s="807"/>
      <c r="Z473" s="807"/>
      <c r="AA473" s="807"/>
      <c r="AB473" s="807"/>
      <c r="AC473" s="807"/>
      <c r="AD473" s="807"/>
      <c r="AE473" s="807"/>
      <c r="AF473" s="807"/>
      <c r="AG473" s="807"/>
      <c r="AH473" s="807"/>
      <c r="AI473" s="807"/>
      <c r="AJ473" s="807"/>
      <c r="AK473" s="807"/>
      <c r="AL473" s="807"/>
      <c r="AM473" s="807"/>
      <c r="AN473" s="807"/>
      <c r="AO473" s="807"/>
      <c r="AP473" s="807"/>
    </row>
    <row r="474" spans="1:42" s="5" customFormat="1" x14ac:dyDescent="0.25">
      <c r="A474" s="805"/>
      <c r="B474" s="806"/>
      <c r="C474" s="806"/>
      <c r="D474" s="806"/>
      <c r="E474" s="807"/>
      <c r="F474" s="807"/>
      <c r="G474" s="807"/>
      <c r="H474" s="807"/>
      <c r="I474" s="807"/>
      <c r="J474" s="807"/>
      <c r="K474" s="807"/>
      <c r="L474" s="807"/>
      <c r="M474" s="807"/>
      <c r="N474" s="807"/>
      <c r="O474" s="807"/>
      <c r="P474" s="807"/>
      <c r="Q474" s="807"/>
      <c r="R474" s="807"/>
      <c r="S474" s="807"/>
      <c r="T474" s="807"/>
      <c r="U474" s="807"/>
      <c r="V474" s="807"/>
      <c r="W474" s="807"/>
      <c r="X474" s="807"/>
      <c r="Y474" s="807"/>
      <c r="Z474" s="807"/>
      <c r="AA474" s="807"/>
      <c r="AB474" s="807"/>
      <c r="AC474" s="807"/>
      <c r="AD474" s="807"/>
      <c r="AE474" s="807"/>
      <c r="AF474" s="807"/>
      <c r="AG474" s="807"/>
      <c r="AH474" s="807"/>
      <c r="AI474" s="807"/>
      <c r="AJ474" s="807"/>
      <c r="AK474" s="807"/>
      <c r="AL474" s="807"/>
      <c r="AM474" s="807"/>
      <c r="AN474" s="807"/>
      <c r="AO474" s="807"/>
      <c r="AP474" s="807"/>
    </row>
    <row r="475" spans="1:42" s="5" customFormat="1" x14ac:dyDescent="0.25">
      <c r="A475" s="805"/>
      <c r="B475" s="806"/>
      <c r="C475" s="806"/>
      <c r="D475" s="806"/>
      <c r="E475" s="807"/>
      <c r="F475" s="807"/>
      <c r="G475" s="807"/>
      <c r="H475" s="807"/>
      <c r="I475" s="807"/>
      <c r="J475" s="807"/>
      <c r="K475" s="807"/>
      <c r="L475" s="807"/>
      <c r="M475" s="807"/>
      <c r="N475" s="807"/>
      <c r="O475" s="807"/>
      <c r="P475" s="807"/>
      <c r="Q475" s="807"/>
      <c r="R475" s="807"/>
      <c r="S475" s="807"/>
      <c r="T475" s="807"/>
      <c r="U475" s="807"/>
      <c r="V475" s="807"/>
      <c r="W475" s="807"/>
      <c r="X475" s="807"/>
      <c r="Y475" s="807"/>
      <c r="Z475" s="807"/>
      <c r="AA475" s="807"/>
      <c r="AB475" s="807"/>
      <c r="AC475" s="807"/>
      <c r="AD475" s="807"/>
      <c r="AE475" s="807"/>
      <c r="AF475" s="807"/>
      <c r="AG475" s="807"/>
      <c r="AH475" s="807"/>
      <c r="AI475" s="807"/>
      <c r="AJ475" s="807"/>
      <c r="AK475" s="807"/>
      <c r="AL475" s="807"/>
      <c r="AM475" s="807"/>
      <c r="AN475" s="807"/>
      <c r="AO475" s="807"/>
      <c r="AP475" s="807"/>
    </row>
    <row r="476" spans="1:42" s="5" customFormat="1" x14ac:dyDescent="0.25">
      <c r="A476" s="805"/>
      <c r="B476" s="806"/>
      <c r="C476" s="806"/>
      <c r="D476" s="806"/>
      <c r="E476" s="807"/>
      <c r="F476" s="807"/>
      <c r="G476" s="807"/>
      <c r="H476" s="807"/>
      <c r="I476" s="807"/>
      <c r="J476" s="807"/>
      <c r="K476" s="807"/>
      <c r="L476" s="807"/>
      <c r="M476" s="807"/>
      <c r="N476" s="807"/>
      <c r="O476" s="807"/>
      <c r="P476" s="807"/>
      <c r="Q476" s="807"/>
      <c r="R476" s="807"/>
      <c r="S476" s="807"/>
      <c r="T476" s="807"/>
      <c r="U476" s="807"/>
      <c r="V476" s="807"/>
      <c r="W476" s="807"/>
      <c r="X476" s="807"/>
      <c r="Y476" s="807"/>
      <c r="Z476" s="807"/>
      <c r="AA476" s="807"/>
      <c r="AB476" s="807"/>
      <c r="AC476" s="807"/>
      <c r="AD476" s="807"/>
      <c r="AE476" s="807"/>
      <c r="AF476" s="807"/>
      <c r="AG476" s="807"/>
      <c r="AH476" s="807"/>
      <c r="AI476" s="807"/>
      <c r="AJ476" s="807"/>
      <c r="AK476" s="807"/>
      <c r="AL476" s="807"/>
      <c r="AM476" s="807"/>
      <c r="AN476" s="807"/>
      <c r="AO476" s="807"/>
      <c r="AP476" s="807"/>
    </row>
    <row r="477" spans="1:42" s="5" customFormat="1" x14ac:dyDescent="0.25">
      <c r="A477" s="805"/>
      <c r="B477" s="806"/>
      <c r="C477" s="806"/>
      <c r="D477" s="806"/>
      <c r="E477" s="807"/>
      <c r="F477" s="807"/>
      <c r="G477" s="807"/>
      <c r="H477" s="807"/>
      <c r="I477" s="807"/>
      <c r="J477" s="807"/>
      <c r="K477" s="807"/>
      <c r="L477" s="807"/>
      <c r="M477" s="807"/>
      <c r="N477" s="807"/>
      <c r="O477" s="807"/>
      <c r="P477" s="807"/>
      <c r="Q477" s="807"/>
      <c r="R477" s="807"/>
      <c r="S477" s="807"/>
      <c r="T477" s="807"/>
      <c r="U477" s="807"/>
      <c r="V477" s="807"/>
      <c r="W477" s="807"/>
      <c r="X477" s="807"/>
      <c r="Y477" s="807"/>
      <c r="Z477" s="807"/>
      <c r="AA477" s="807"/>
      <c r="AB477" s="807"/>
      <c r="AC477" s="807"/>
      <c r="AD477" s="807"/>
      <c r="AE477" s="807"/>
      <c r="AF477" s="807"/>
      <c r="AG477" s="807"/>
      <c r="AH477" s="807"/>
      <c r="AI477" s="807"/>
      <c r="AJ477" s="807"/>
      <c r="AK477" s="807"/>
      <c r="AL477" s="807"/>
      <c r="AM477" s="807"/>
      <c r="AN477" s="807"/>
      <c r="AO477" s="807"/>
      <c r="AP477" s="807"/>
    </row>
    <row r="478" spans="1:42" s="5" customFormat="1" x14ac:dyDescent="0.25">
      <c r="A478" s="805"/>
      <c r="B478" s="806"/>
      <c r="C478" s="806"/>
      <c r="D478" s="806"/>
      <c r="E478" s="807"/>
      <c r="F478" s="807"/>
      <c r="G478" s="807"/>
      <c r="H478" s="807"/>
      <c r="I478" s="807"/>
      <c r="J478" s="807"/>
      <c r="K478" s="807"/>
      <c r="L478" s="807"/>
      <c r="M478" s="807"/>
      <c r="N478" s="807"/>
      <c r="O478" s="807"/>
      <c r="P478" s="807"/>
      <c r="Q478" s="807"/>
      <c r="R478" s="807"/>
      <c r="S478" s="807"/>
      <c r="T478" s="807"/>
      <c r="U478" s="807"/>
      <c r="V478" s="807"/>
      <c r="W478" s="807"/>
      <c r="X478" s="807"/>
      <c r="Y478" s="807"/>
      <c r="Z478" s="807"/>
      <c r="AA478" s="807"/>
      <c r="AB478" s="807"/>
      <c r="AC478" s="807"/>
      <c r="AD478" s="807"/>
      <c r="AE478" s="807"/>
      <c r="AF478" s="807"/>
      <c r="AG478" s="807"/>
      <c r="AH478" s="807"/>
      <c r="AI478" s="807"/>
      <c r="AJ478" s="807"/>
      <c r="AK478" s="807"/>
      <c r="AL478" s="807"/>
      <c r="AM478" s="807"/>
      <c r="AN478" s="807"/>
      <c r="AO478" s="807"/>
      <c r="AP478" s="807"/>
    </row>
    <row r="479" spans="1:42" s="5" customFormat="1" x14ac:dyDescent="0.25">
      <c r="A479" s="805"/>
      <c r="B479" s="806"/>
      <c r="C479" s="806"/>
      <c r="D479" s="806"/>
      <c r="E479" s="807"/>
      <c r="F479" s="807"/>
      <c r="G479" s="807"/>
      <c r="H479" s="807"/>
      <c r="I479" s="807"/>
      <c r="J479" s="807"/>
      <c r="K479" s="807"/>
      <c r="L479" s="807"/>
      <c r="M479" s="807"/>
      <c r="N479" s="807"/>
      <c r="O479" s="807"/>
      <c r="P479" s="807"/>
      <c r="Q479" s="807"/>
      <c r="R479" s="807"/>
      <c r="S479" s="807"/>
      <c r="T479" s="807"/>
      <c r="U479" s="807"/>
      <c r="V479" s="807"/>
      <c r="W479" s="807"/>
      <c r="X479" s="807"/>
      <c r="Y479" s="807"/>
      <c r="Z479" s="807"/>
      <c r="AA479" s="807"/>
      <c r="AB479" s="807"/>
      <c r="AC479" s="807"/>
      <c r="AD479" s="807"/>
      <c r="AE479" s="807"/>
      <c r="AF479" s="807"/>
      <c r="AG479" s="807"/>
      <c r="AH479" s="807"/>
      <c r="AI479" s="807"/>
      <c r="AJ479" s="807"/>
      <c r="AK479" s="807"/>
      <c r="AL479" s="807"/>
      <c r="AM479" s="807"/>
      <c r="AN479" s="807"/>
      <c r="AO479" s="807"/>
      <c r="AP479" s="807"/>
    </row>
    <row r="480" spans="1:42" s="5" customFormat="1" x14ac:dyDescent="0.25">
      <c r="A480" s="805"/>
      <c r="B480" s="806"/>
      <c r="C480" s="806"/>
      <c r="D480" s="806"/>
      <c r="E480" s="807"/>
      <c r="F480" s="807"/>
      <c r="G480" s="807"/>
      <c r="H480" s="807"/>
      <c r="I480" s="807"/>
      <c r="J480" s="807"/>
      <c r="K480" s="807"/>
      <c r="L480" s="807"/>
      <c r="M480" s="807"/>
      <c r="N480" s="807"/>
      <c r="O480" s="807"/>
      <c r="P480" s="807"/>
      <c r="Q480" s="807"/>
      <c r="R480" s="807"/>
      <c r="S480" s="807"/>
      <c r="T480" s="807"/>
      <c r="U480" s="807"/>
      <c r="V480" s="807"/>
      <c r="W480" s="807"/>
      <c r="X480" s="807"/>
      <c r="Y480" s="807"/>
      <c r="Z480" s="807"/>
      <c r="AA480" s="807"/>
      <c r="AB480" s="807"/>
      <c r="AC480" s="807"/>
      <c r="AD480" s="807"/>
      <c r="AE480" s="807"/>
      <c r="AF480" s="807"/>
      <c r="AG480" s="807"/>
      <c r="AH480" s="807"/>
      <c r="AI480" s="807"/>
      <c r="AJ480" s="807"/>
      <c r="AK480" s="807"/>
      <c r="AL480" s="807"/>
      <c r="AM480" s="807"/>
      <c r="AN480" s="807"/>
      <c r="AO480" s="807"/>
      <c r="AP480" s="807"/>
    </row>
    <row r="481" spans="1:42" s="5" customFormat="1" x14ac:dyDescent="0.25">
      <c r="A481" s="805"/>
      <c r="B481" s="806"/>
      <c r="C481" s="806"/>
      <c r="D481" s="806"/>
      <c r="E481" s="807"/>
      <c r="F481" s="807"/>
      <c r="G481" s="807"/>
      <c r="H481" s="807"/>
      <c r="I481" s="807"/>
      <c r="J481" s="807"/>
      <c r="K481" s="807"/>
      <c r="L481" s="807"/>
      <c r="M481" s="807"/>
      <c r="N481" s="807"/>
      <c r="O481" s="807"/>
      <c r="P481" s="807"/>
      <c r="Q481" s="807"/>
      <c r="R481" s="807"/>
      <c r="S481" s="807"/>
      <c r="T481" s="807"/>
      <c r="U481" s="807"/>
      <c r="V481" s="807"/>
      <c r="W481" s="807"/>
      <c r="X481" s="807"/>
      <c r="Y481" s="807"/>
      <c r="Z481" s="807"/>
      <c r="AA481" s="807"/>
      <c r="AB481" s="807"/>
      <c r="AC481" s="807"/>
      <c r="AD481" s="807"/>
      <c r="AE481" s="807"/>
      <c r="AF481" s="807"/>
      <c r="AG481" s="807"/>
      <c r="AH481" s="807"/>
      <c r="AI481" s="807"/>
      <c r="AJ481" s="807"/>
      <c r="AK481" s="807"/>
      <c r="AL481" s="807"/>
      <c r="AM481" s="807"/>
      <c r="AN481" s="807"/>
      <c r="AO481" s="807"/>
      <c r="AP481" s="807"/>
    </row>
    <row r="482" spans="1:42" s="5" customFormat="1" x14ac:dyDescent="0.25">
      <c r="A482" s="805"/>
      <c r="B482" s="806"/>
      <c r="C482" s="806"/>
      <c r="D482" s="806"/>
      <c r="E482" s="807"/>
      <c r="F482" s="807"/>
      <c r="G482" s="807"/>
      <c r="H482" s="807"/>
      <c r="I482" s="807"/>
      <c r="J482" s="807"/>
      <c r="K482" s="807"/>
      <c r="L482" s="807"/>
      <c r="M482" s="807"/>
      <c r="N482" s="807"/>
      <c r="O482" s="807"/>
      <c r="P482" s="807"/>
      <c r="Q482" s="807"/>
      <c r="R482" s="807"/>
      <c r="S482" s="807"/>
      <c r="T482" s="807"/>
      <c r="U482" s="807"/>
      <c r="V482" s="807"/>
      <c r="W482" s="807"/>
      <c r="X482" s="807"/>
      <c r="Y482" s="807"/>
      <c r="Z482" s="807"/>
      <c r="AA482" s="807"/>
      <c r="AB482" s="807"/>
      <c r="AC482" s="807"/>
      <c r="AD482" s="807"/>
      <c r="AE482" s="807"/>
      <c r="AF482" s="807"/>
      <c r="AG482" s="807"/>
      <c r="AH482" s="807"/>
      <c r="AI482" s="807"/>
      <c r="AJ482" s="807"/>
      <c r="AK482" s="807"/>
      <c r="AL482" s="807"/>
      <c r="AM482" s="807"/>
      <c r="AN482" s="807"/>
      <c r="AO482" s="807"/>
      <c r="AP482" s="807"/>
    </row>
    <row r="483" spans="1:42" s="5" customFormat="1" x14ac:dyDescent="0.25">
      <c r="A483" s="805"/>
      <c r="B483" s="806"/>
      <c r="C483" s="806"/>
      <c r="D483" s="806"/>
      <c r="E483" s="807"/>
      <c r="F483" s="807"/>
      <c r="G483" s="807"/>
      <c r="H483" s="807"/>
      <c r="I483" s="807"/>
      <c r="J483" s="807"/>
      <c r="K483" s="807"/>
      <c r="L483" s="807"/>
      <c r="M483" s="807"/>
      <c r="N483" s="807"/>
      <c r="O483" s="807"/>
      <c r="P483" s="807"/>
      <c r="Q483" s="807"/>
      <c r="R483" s="807"/>
      <c r="S483" s="807"/>
      <c r="T483" s="807"/>
      <c r="U483" s="807"/>
      <c r="V483" s="807"/>
      <c r="W483" s="807"/>
      <c r="X483" s="807"/>
      <c r="Y483" s="807"/>
      <c r="Z483" s="807"/>
      <c r="AA483" s="807"/>
      <c r="AB483" s="807"/>
      <c r="AC483" s="807"/>
      <c r="AD483" s="807"/>
      <c r="AE483" s="807"/>
      <c r="AF483" s="807"/>
      <c r="AG483" s="807"/>
      <c r="AH483" s="807"/>
      <c r="AI483" s="807"/>
      <c r="AJ483" s="807"/>
      <c r="AK483" s="807"/>
      <c r="AL483" s="807"/>
      <c r="AM483" s="807"/>
      <c r="AN483" s="807"/>
      <c r="AO483" s="807"/>
      <c r="AP483" s="807"/>
    </row>
    <row r="484" spans="1:42" s="5" customFormat="1" x14ac:dyDescent="0.25">
      <c r="A484" s="805"/>
      <c r="B484" s="806"/>
      <c r="C484" s="806"/>
      <c r="D484" s="806"/>
      <c r="E484" s="807"/>
      <c r="F484" s="807"/>
      <c r="G484" s="807"/>
      <c r="H484" s="807"/>
      <c r="I484" s="807"/>
      <c r="J484" s="807"/>
      <c r="K484" s="807"/>
      <c r="L484" s="807"/>
      <c r="M484" s="807"/>
      <c r="N484" s="807"/>
      <c r="O484" s="807"/>
      <c r="P484" s="807"/>
      <c r="Q484" s="807"/>
      <c r="R484" s="807"/>
      <c r="S484" s="807"/>
      <c r="T484" s="807"/>
      <c r="U484" s="807"/>
      <c r="V484" s="807"/>
      <c r="W484" s="807"/>
      <c r="X484" s="807"/>
      <c r="Y484" s="807"/>
      <c r="Z484" s="807"/>
      <c r="AA484" s="807"/>
      <c r="AB484" s="807"/>
      <c r="AC484" s="807"/>
      <c r="AD484" s="807"/>
      <c r="AE484" s="807"/>
      <c r="AF484" s="807"/>
      <c r="AG484" s="807"/>
      <c r="AH484" s="807"/>
      <c r="AI484" s="807"/>
      <c r="AJ484" s="807"/>
      <c r="AK484" s="807"/>
      <c r="AL484" s="807"/>
      <c r="AM484" s="807"/>
      <c r="AN484" s="807"/>
      <c r="AO484" s="807"/>
      <c r="AP484" s="807"/>
    </row>
    <row r="485" spans="1:42" s="5" customFormat="1" x14ac:dyDescent="0.25">
      <c r="A485" s="805"/>
      <c r="B485" s="806"/>
      <c r="C485" s="806"/>
      <c r="D485" s="806"/>
      <c r="E485" s="807"/>
      <c r="F485" s="807"/>
      <c r="G485" s="807"/>
      <c r="H485" s="807"/>
      <c r="I485" s="807"/>
      <c r="J485" s="807"/>
      <c r="K485" s="807"/>
      <c r="L485" s="807"/>
      <c r="M485" s="807"/>
      <c r="N485" s="807"/>
      <c r="O485" s="807"/>
      <c r="P485" s="807"/>
      <c r="Q485" s="807"/>
      <c r="R485" s="807"/>
      <c r="S485" s="807"/>
      <c r="T485" s="807"/>
      <c r="U485" s="807"/>
      <c r="V485" s="807"/>
      <c r="W485" s="807"/>
      <c r="X485" s="807"/>
      <c r="Y485" s="807"/>
      <c r="Z485" s="807"/>
      <c r="AA485" s="807"/>
      <c r="AB485" s="807"/>
      <c r="AC485" s="807"/>
      <c r="AD485" s="807"/>
      <c r="AE485" s="807"/>
      <c r="AF485" s="807"/>
      <c r="AG485" s="807"/>
      <c r="AH485" s="807"/>
      <c r="AI485" s="807"/>
      <c r="AJ485" s="807"/>
      <c r="AK485" s="807"/>
      <c r="AL485" s="807"/>
      <c r="AM485" s="807"/>
      <c r="AN485" s="807"/>
      <c r="AO485" s="807"/>
      <c r="AP485" s="807"/>
    </row>
    <row r="486" spans="1:42" s="5" customFormat="1" x14ac:dyDescent="0.25">
      <c r="A486" s="805"/>
      <c r="B486" s="806"/>
      <c r="C486" s="806"/>
      <c r="D486" s="806"/>
      <c r="E486" s="807"/>
      <c r="F486" s="807"/>
      <c r="G486" s="807"/>
      <c r="H486" s="807"/>
      <c r="I486" s="807"/>
      <c r="J486" s="807"/>
      <c r="K486" s="807"/>
      <c r="L486" s="807"/>
      <c r="M486" s="807"/>
      <c r="N486" s="807"/>
      <c r="O486" s="807"/>
      <c r="P486" s="807"/>
      <c r="Q486" s="807"/>
      <c r="R486" s="807"/>
      <c r="S486" s="807"/>
      <c r="T486" s="807"/>
      <c r="U486" s="807"/>
      <c r="V486" s="807"/>
      <c r="W486" s="807"/>
      <c r="X486" s="807"/>
      <c r="Y486" s="807"/>
      <c r="Z486" s="807"/>
      <c r="AA486" s="807"/>
      <c r="AB486" s="807"/>
      <c r="AC486" s="807"/>
      <c r="AD486" s="807"/>
      <c r="AE486" s="807"/>
      <c r="AF486" s="807"/>
      <c r="AG486" s="807"/>
      <c r="AH486" s="807"/>
      <c r="AI486" s="807"/>
      <c r="AJ486" s="807"/>
      <c r="AK486" s="807"/>
      <c r="AL486" s="807"/>
      <c r="AM486" s="807"/>
      <c r="AN486" s="807"/>
      <c r="AO486" s="807"/>
      <c r="AP486" s="807"/>
    </row>
    <row r="487" spans="1:42" s="5" customFormat="1" x14ac:dyDescent="0.25">
      <c r="A487" s="805"/>
      <c r="B487" s="806"/>
      <c r="C487" s="806"/>
      <c r="D487" s="806"/>
      <c r="E487" s="807"/>
      <c r="F487" s="807"/>
      <c r="G487" s="807"/>
      <c r="H487" s="807"/>
      <c r="I487" s="807"/>
      <c r="J487" s="807"/>
      <c r="K487" s="807"/>
      <c r="L487" s="807"/>
      <c r="M487" s="807"/>
      <c r="N487" s="807"/>
      <c r="O487" s="807"/>
      <c r="P487" s="807"/>
      <c r="Q487" s="807"/>
      <c r="R487" s="807"/>
      <c r="S487" s="807"/>
      <c r="T487" s="807"/>
      <c r="U487" s="807"/>
      <c r="V487" s="807"/>
      <c r="W487" s="807"/>
      <c r="X487" s="807"/>
      <c r="Y487" s="807"/>
      <c r="Z487" s="807"/>
      <c r="AA487" s="807"/>
      <c r="AB487" s="807"/>
      <c r="AC487" s="807"/>
      <c r="AD487" s="807"/>
      <c r="AE487" s="807"/>
      <c r="AF487" s="807"/>
      <c r="AG487" s="807"/>
      <c r="AH487" s="807"/>
      <c r="AI487" s="807"/>
      <c r="AJ487" s="807"/>
      <c r="AK487" s="807"/>
      <c r="AL487" s="807"/>
      <c r="AM487" s="807"/>
      <c r="AN487" s="807"/>
      <c r="AO487" s="807"/>
      <c r="AP487" s="807"/>
    </row>
    <row r="488" spans="1:42" s="5" customFormat="1" x14ac:dyDescent="0.25">
      <c r="A488" s="805"/>
      <c r="B488" s="806"/>
      <c r="C488" s="806"/>
      <c r="D488" s="806"/>
      <c r="E488" s="807"/>
      <c r="F488" s="807"/>
      <c r="G488" s="807"/>
      <c r="H488" s="807"/>
      <c r="I488" s="807"/>
      <c r="J488" s="807"/>
      <c r="K488" s="807"/>
      <c r="L488" s="807"/>
      <c r="M488" s="807"/>
      <c r="N488" s="807"/>
      <c r="O488" s="807"/>
      <c r="P488" s="807"/>
      <c r="Q488" s="807"/>
      <c r="R488" s="807"/>
      <c r="S488" s="807"/>
      <c r="T488" s="807"/>
      <c r="U488" s="807"/>
      <c r="V488" s="807"/>
      <c r="W488" s="807"/>
      <c r="X488" s="807"/>
      <c r="Y488" s="807"/>
      <c r="Z488" s="807"/>
      <c r="AA488" s="807"/>
      <c r="AB488" s="807"/>
      <c r="AC488" s="807"/>
      <c r="AD488" s="807"/>
      <c r="AE488" s="807"/>
      <c r="AF488" s="807"/>
      <c r="AG488" s="807"/>
      <c r="AH488" s="807"/>
      <c r="AI488" s="807"/>
      <c r="AJ488" s="807"/>
      <c r="AK488" s="807"/>
      <c r="AL488" s="807"/>
      <c r="AM488" s="807"/>
      <c r="AN488" s="807"/>
      <c r="AO488" s="807"/>
      <c r="AP488" s="807"/>
    </row>
    <row r="489" spans="1:42" s="5" customFormat="1" x14ac:dyDescent="0.25">
      <c r="A489" s="805"/>
      <c r="B489" s="806"/>
      <c r="C489" s="806"/>
      <c r="D489" s="806"/>
      <c r="E489" s="807"/>
      <c r="F489" s="807"/>
      <c r="G489" s="807"/>
      <c r="H489" s="807"/>
      <c r="I489" s="807"/>
      <c r="J489" s="807"/>
      <c r="K489" s="807"/>
      <c r="L489" s="807"/>
      <c r="M489" s="807"/>
      <c r="N489" s="807"/>
      <c r="O489" s="807"/>
      <c r="P489" s="807"/>
      <c r="Q489" s="807"/>
      <c r="R489" s="807"/>
      <c r="S489" s="807"/>
      <c r="T489" s="807"/>
      <c r="U489" s="807"/>
      <c r="V489" s="807"/>
      <c r="W489" s="807"/>
      <c r="X489" s="807"/>
      <c r="Y489" s="807"/>
      <c r="Z489" s="807"/>
      <c r="AA489" s="807"/>
      <c r="AB489" s="807"/>
      <c r="AC489" s="807"/>
      <c r="AD489" s="807"/>
      <c r="AE489" s="807"/>
      <c r="AF489" s="807"/>
      <c r="AG489" s="807"/>
      <c r="AH489" s="807"/>
      <c r="AI489" s="807"/>
      <c r="AJ489" s="807"/>
      <c r="AK489" s="807"/>
      <c r="AL489" s="807"/>
      <c r="AM489" s="807"/>
      <c r="AN489" s="807"/>
      <c r="AO489" s="807"/>
      <c r="AP489" s="807"/>
    </row>
    <row r="490" spans="1:42" s="5" customFormat="1" x14ac:dyDescent="0.25">
      <c r="A490" s="805"/>
      <c r="B490" s="806"/>
      <c r="C490" s="806"/>
      <c r="D490" s="806"/>
      <c r="E490" s="807"/>
      <c r="F490" s="807"/>
      <c r="G490" s="807"/>
      <c r="H490" s="807"/>
      <c r="I490" s="807"/>
      <c r="J490" s="807"/>
      <c r="K490" s="807"/>
      <c r="L490" s="807"/>
      <c r="M490" s="807"/>
      <c r="N490" s="807"/>
      <c r="O490" s="807"/>
      <c r="P490" s="807"/>
      <c r="Q490" s="807"/>
      <c r="R490" s="807"/>
      <c r="S490" s="807"/>
      <c r="T490" s="807"/>
      <c r="U490" s="807"/>
      <c r="V490" s="807"/>
      <c r="W490" s="807"/>
      <c r="X490" s="807"/>
      <c r="Y490" s="807"/>
      <c r="Z490" s="807"/>
      <c r="AA490" s="807"/>
      <c r="AB490" s="807"/>
      <c r="AC490" s="807"/>
      <c r="AD490" s="807"/>
      <c r="AE490" s="807"/>
      <c r="AF490" s="807"/>
      <c r="AG490" s="807"/>
      <c r="AH490" s="807"/>
      <c r="AI490" s="807"/>
      <c r="AJ490" s="807"/>
      <c r="AK490" s="807"/>
      <c r="AL490" s="807"/>
      <c r="AM490" s="807"/>
      <c r="AN490" s="807"/>
      <c r="AO490" s="807"/>
      <c r="AP490" s="807"/>
    </row>
    <row r="491" spans="1:42" s="5" customFormat="1" x14ac:dyDescent="0.25">
      <c r="A491" s="805"/>
      <c r="B491" s="806"/>
      <c r="C491" s="806"/>
      <c r="D491" s="806"/>
      <c r="E491" s="807"/>
      <c r="F491" s="807"/>
      <c r="G491" s="807"/>
      <c r="H491" s="807"/>
      <c r="I491" s="807"/>
      <c r="J491" s="807"/>
      <c r="K491" s="807"/>
      <c r="L491" s="807"/>
      <c r="M491" s="807"/>
      <c r="N491" s="807"/>
      <c r="O491" s="807"/>
      <c r="P491" s="807"/>
      <c r="Q491" s="807"/>
      <c r="R491" s="807"/>
      <c r="S491" s="807"/>
      <c r="T491" s="807"/>
      <c r="U491" s="807"/>
      <c r="V491" s="807"/>
      <c r="W491" s="807"/>
      <c r="X491" s="807"/>
      <c r="Y491" s="807"/>
      <c r="Z491" s="807"/>
      <c r="AA491" s="807"/>
      <c r="AB491" s="807"/>
      <c r="AC491" s="807"/>
      <c r="AD491" s="807"/>
      <c r="AE491" s="807"/>
      <c r="AF491" s="807"/>
      <c r="AG491" s="807"/>
      <c r="AH491" s="807"/>
      <c r="AI491" s="807"/>
      <c r="AJ491" s="807"/>
      <c r="AK491" s="807"/>
      <c r="AL491" s="807"/>
      <c r="AM491" s="807"/>
      <c r="AN491" s="807"/>
      <c r="AO491" s="807"/>
      <c r="AP491" s="807"/>
    </row>
    <row r="492" spans="1:42" s="5" customFormat="1" x14ac:dyDescent="0.25">
      <c r="A492" s="805"/>
      <c r="B492" s="806"/>
      <c r="C492" s="806"/>
      <c r="D492" s="806"/>
      <c r="E492" s="807"/>
      <c r="F492" s="807"/>
      <c r="G492" s="807"/>
      <c r="H492" s="807"/>
      <c r="I492" s="807"/>
      <c r="J492" s="807"/>
      <c r="K492" s="807"/>
      <c r="L492" s="807"/>
      <c r="M492" s="807"/>
      <c r="N492" s="807"/>
      <c r="O492" s="807"/>
      <c r="P492" s="807"/>
      <c r="Q492" s="807"/>
      <c r="R492" s="807"/>
      <c r="S492" s="807"/>
      <c r="T492" s="807"/>
      <c r="U492" s="807"/>
      <c r="V492" s="807"/>
      <c r="W492" s="807"/>
      <c r="X492" s="807"/>
      <c r="Y492" s="807"/>
      <c r="Z492" s="807"/>
      <c r="AA492" s="807"/>
      <c r="AB492" s="807"/>
      <c r="AC492" s="807"/>
      <c r="AD492" s="807"/>
      <c r="AE492" s="807"/>
      <c r="AF492" s="807"/>
      <c r="AG492" s="807"/>
      <c r="AH492" s="807"/>
      <c r="AI492" s="807"/>
      <c r="AJ492" s="807"/>
      <c r="AK492" s="807"/>
      <c r="AL492" s="807"/>
      <c r="AM492" s="807"/>
      <c r="AN492" s="807"/>
      <c r="AO492" s="807"/>
      <c r="AP492" s="807"/>
    </row>
    <row r="493" spans="1:42" s="5" customFormat="1" x14ac:dyDescent="0.25">
      <c r="A493" s="805"/>
      <c r="B493" s="806"/>
      <c r="C493" s="806"/>
      <c r="D493" s="806"/>
      <c r="E493" s="807"/>
      <c r="F493" s="807"/>
      <c r="G493" s="807"/>
      <c r="H493" s="807"/>
      <c r="I493" s="807"/>
      <c r="J493" s="807"/>
      <c r="K493" s="807"/>
      <c r="L493" s="807"/>
      <c r="M493" s="807"/>
      <c r="N493" s="807"/>
      <c r="O493" s="807"/>
      <c r="P493" s="807"/>
      <c r="Q493" s="807"/>
      <c r="R493" s="807"/>
      <c r="S493" s="807"/>
      <c r="T493" s="807"/>
      <c r="U493" s="807"/>
      <c r="V493" s="807"/>
      <c r="W493" s="807"/>
      <c r="X493" s="807"/>
      <c r="Y493" s="807"/>
      <c r="Z493" s="807"/>
      <c r="AA493" s="807"/>
      <c r="AB493" s="807"/>
      <c r="AC493" s="807"/>
      <c r="AD493" s="807"/>
      <c r="AE493" s="807"/>
      <c r="AF493" s="807"/>
      <c r="AG493" s="807"/>
      <c r="AH493" s="807"/>
      <c r="AI493" s="807"/>
      <c r="AJ493" s="807"/>
      <c r="AK493" s="807"/>
      <c r="AL493" s="807"/>
      <c r="AM493" s="807"/>
      <c r="AN493" s="807"/>
      <c r="AO493" s="807"/>
      <c r="AP493" s="807"/>
    </row>
    <row r="494" spans="1:42" s="5" customFormat="1" x14ac:dyDescent="0.25">
      <c r="A494" s="805"/>
      <c r="B494" s="806"/>
      <c r="C494" s="806"/>
      <c r="D494" s="806"/>
      <c r="E494" s="807"/>
      <c r="F494" s="807"/>
      <c r="G494" s="807"/>
      <c r="H494" s="807"/>
      <c r="I494" s="807"/>
      <c r="J494" s="807"/>
      <c r="K494" s="807"/>
      <c r="L494" s="807"/>
      <c r="M494" s="807"/>
      <c r="N494" s="807"/>
      <c r="O494" s="807"/>
      <c r="P494" s="807"/>
      <c r="Q494" s="807"/>
      <c r="R494" s="807"/>
      <c r="S494" s="807"/>
      <c r="T494" s="807"/>
      <c r="U494" s="807"/>
      <c r="V494" s="807"/>
      <c r="W494" s="807"/>
      <c r="X494" s="807"/>
      <c r="Y494" s="807"/>
      <c r="Z494" s="807"/>
      <c r="AA494" s="807"/>
      <c r="AB494" s="807"/>
      <c r="AC494" s="807"/>
      <c r="AD494" s="807"/>
      <c r="AE494" s="807"/>
      <c r="AF494" s="807"/>
      <c r="AG494" s="807"/>
      <c r="AH494" s="807"/>
      <c r="AI494" s="807"/>
      <c r="AJ494" s="807"/>
      <c r="AK494" s="807"/>
      <c r="AL494" s="807"/>
      <c r="AM494" s="807"/>
      <c r="AN494" s="807"/>
      <c r="AO494" s="807"/>
      <c r="AP494" s="807"/>
    </row>
    <row r="495" spans="1:42" s="5" customFormat="1" x14ac:dyDescent="0.25">
      <c r="A495" s="805"/>
      <c r="B495" s="806"/>
      <c r="C495" s="806"/>
      <c r="D495" s="806"/>
      <c r="E495" s="807"/>
      <c r="F495" s="807"/>
      <c r="G495" s="807"/>
      <c r="H495" s="807"/>
      <c r="I495" s="807"/>
      <c r="J495" s="807"/>
      <c r="K495" s="807"/>
      <c r="L495" s="807"/>
      <c r="M495" s="807"/>
      <c r="N495" s="807"/>
      <c r="O495" s="807"/>
      <c r="P495" s="807"/>
      <c r="Q495" s="807"/>
      <c r="R495" s="807"/>
      <c r="S495" s="807"/>
      <c r="T495" s="807"/>
      <c r="U495" s="807"/>
      <c r="V495" s="807"/>
      <c r="W495" s="807"/>
      <c r="X495" s="807"/>
      <c r="Y495" s="807"/>
      <c r="Z495" s="807"/>
      <c r="AA495" s="807"/>
      <c r="AB495" s="807"/>
      <c r="AC495" s="807"/>
      <c r="AD495" s="807"/>
      <c r="AE495" s="807"/>
      <c r="AF495" s="807"/>
      <c r="AG495" s="807"/>
      <c r="AH495" s="807"/>
      <c r="AI495" s="807"/>
      <c r="AJ495" s="807"/>
      <c r="AK495" s="807"/>
      <c r="AL495" s="807"/>
      <c r="AM495" s="807"/>
      <c r="AN495" s="807"/>
      <c r="AO495" s="807"/>
      <c r="AP495" s="807"/>
    </row>
    <row r="496" spans="1:42" s="5" customFormat="1" x14ac:dyDescent="0.25">
      <c r="A496" s="805"/>
      <c r="B496" s="806"/>
      <c r="C496" s="806"/>
      <c r="D496" s="806"/>
      <c r="E496" s="807"/>
      <c r="F496" s="807"/>
      <c r="G496" s="807"/>
      <c r="H496" s="807"/>
      <c r="I496" s="807"/>
      <c r="J496" s="807"/>
      <c r="K496" s="807"/>
      <c r="L496" s="807"/>
      <c r="M496" s="807"/>
      <c r="N496" s="807"/>
      <c r="O496" s="807"/>
      <c r="P496" s="807"/>
      <c r="Q496" s="807"/>
      <c r="R496" s="807"/>
      <c r="S496" s="807"/>
      <c r="T496" s="807"/>
      <c r="U496" s="807"/>
      <c r="V496" s="807"/>
      <c r="W496" s="807"/>
      <c r="X496" s="807"/>
      <c r="Y496" s="807"/>
      <c r="Z496" s="807"/>
      <c r="AA496" s="807"/>
      <c r="AB496" s="807"/>
      <c r="AC496" s="807"/>
      <c r="AD496" s="807"/>
      <c r="AE496" s="807"/>
      <c r="AF496" s="807"/>
      <c r="AG496" s="807"/>
      <c r="AH496" s="807"/>
      <c r="AI496" s="807"/>
      <c r="AJ496" s="807"/>
      <c r="AK496" s="807"/>
      <c r="AL496" s="807"/>
      <c r="AM496" s="807"/>
      <c r="AN496" s="807"/>
      <c r="AO496" s="807"/>
      <c r="AP496" s="807"/>
    </row>
    <row r="497" spans="1:42" s="5" customFormat="1" x14ac:dyDescent="0.25">
      <c r="A497" s="805"/>
      <c r="B497" s="806"/>
      <c r="C497" s="806"/>
      <c r="D497" s="806"/>
      <c r="E497" s="807"/>
      <c r="F497" s="807"/>
      <c r="G497" s="807"/>
      <c r="H497" s="807"/>
      <c r="I497" s="807"/>
      <c r="J497" s="807"/>
      <c r="K497" s="807"/>
      <c r="L497" s="807"/>
      <c r="M497" s="807"/>
      <c r="N497" s="807"/>
      <c r="O497" s="807"/>
      <c r="P497" s="807"/>
      <c r="Q497" s="807"/>
      <c r="R497" s="807"/>
      <c r="S497" s="807"/>
      <c r="T497" s="807"/>
      <c r="U497" s="807"/>
      <c r="V497" s="807"/>
      <c r="W497" s="807"/>
      <c r="X497" s="807"/>
      <c r="Y497" s="807"/>
      <c r="Z497" s="807"/>
      <c r="AA497" s="807"/>
      <c r="AB497" s="807"/>
      <c r="AC497" s="807"/>
      <c r="AD497" s="807"/>
      <c r="AE497" s="807"/>
      <c r="AF497" s="807"/>
      <c r="AG497" s="807"/>
      <c r="AH497" s="807"/>
      <c r="AI497" s="807"/>
      <c r="AJ497" s="807"/>
      <c r="AK497" s="807"/>
      <c r="AL497" s="807"/>
      <c r="AM497" s="807"/>
      <c r="AN497" s="807"/>
      <c r="AO497" s="807"/>
      <c r="AP497" s="807"/>
    </row>
    <row r="498" spans="1:42" s="5" customFormat="1" x14ac:dyDescent="0.25">
      <c r="A498" s="805"/>
      <c r="B498" s="806"/>
      <c r="C498" s="806"/>
      <c r="D498" s="806"/>
      <c r="E498" s="807"/>
      <c r="F498" s="807"/>
      <c r="G498" s="807"/>
      <c r="H498" s="807"/>
      <c r="I498" s="807"/>
      <c r="J498" s="807"/>
      <c r="K498" s="807"/>
      <c r="L498" s="807"/>
      <c r="M498" s="807"/>
      <c r="N498" s="807"/>
      <c r="O498" s="807"/>
      <c r="P498" s="807"/>
      <c r="Q498" s="807"/>
      <c r="R498" s="807"/>
      <c r="S498" s="807"/>
      <c r="T498" s="807"/>
      <c r="U498" s="807"/>
      <c r="V498" s="807"/>
      <c r="W498" s="807"/>
      <c r="X498" s="807"/>
      <c r="Y498" s="807"/>
      <c r="Z498" s="807"/>
      <c r="AA498" s="807"/>
      <c r="AB498" s="807"/>
      <c r="AC498" s="807"/>
      <c r="AD498" s="807"/>
      <c r="AE498" s="807"/>
      <c r="AF498" s="807"/>
      <c r="AG498" s="807"/>
      <c r="AH498" s="807"/>
      <c r="AI498" s="807"/>
      <c r="AJ498" s="807"/>
      <c r="AK498" s="807"/>
      <c r="AL498" s="807"/>
      <c r="AM498" s="807"/>
      <c r="AN498" s="807"/>
      <c r="AO498" s="807"/>
      <c r="AP498" s="807"/>
    </row>
    <row r="499" spans="1:42" s="5" customFormat="1" x14ac:dyDescent="0.25">
      <c r="A499" s="805"/>
      <c r="B499" s="806"/>
      <c r="C499" s="806"/>
      <c r="D499" s="806"/>
      <c r="E499" s="807"/>
      <c r="F499" s="807"/>
      <c r="G499" s="807"/>
      <c r="H499" s="807"/>
      <c r="I499" s="807"/>
      <c r="J499" s="807"/>
      <c r="K499" s="807"/>
      <c r="L499" s="807"/>
      <c r="M499" s="807"/>
      <c r="N499" s="807"/>
      <c r="O499" s="807"/>
      <c r="P499" s="807"/>
      <c r="Q499" s="807"/>
      <c r="R499" s="807"/>
      <c r="S499" s="807"/>
      <c r="T499" s="807"/>
      <c r="U499" s="807"/>
      <c r="V499" s="807"/>
      <c r="W499" s="807"/>
      <c r="X499" s="807"/>
      <c r="Y499" s="807"/>
      <c r="Z499" s="807"/>
      <c r="AA499" s="807"/>
      <c r="AB499" s="807"/>
      <c r="AC499" s="807"/>
      <c r="AD499" s="807"/>
      <c r="AE499" s="807"/>
      <c r="AF499" s="807"/>
      <c r="AG499" s="807"/>
      <c r="AH499" s="807"/>
      <c r="AI499" s="807"/>
      <c r="AJ499" s="807"/>
      <c r="AK499" s="807"/>
      <c r="AL499" s="807"/>
      <c r="AM499" s="807"/>
      <c r="AN499" s="807"/>
      <c r="AO499" s="807"/>
      <c r="AP499" s="807"/>
    </row>
    <row r="500" spans="1:42" s="5" customFormat="1" x14ac:dyDescent="0.25">
      <c r="A500" s="805"/>
      <c r="B500" s="806"/>
      <c r="C500" s="806"/>
      <c r="D500" s="806"/>
      <c r="E500" s="807"/>
      <c r="F500" s="807"/>
      <c r="G500" s="807"/>
      <c r="H500" s="807"/>
      <c r="I500" s="807"/>
      <c r="J500" s="807"/>
      <c r="K500" s="807"/>
      <c r="L500" s="807"/>
      <c r="M500" s="807"/>
      <c r="N500" s="807"/>
      <c r="O500" s="807"/>
      <c r="P500" s="807"/>
      <c r="Q500" s="807"/>
      <c r="R500" s="807"/>
      <c r="S500" s="807"/>
      <c r="T500" s="807"/>
      <c r="U500" s="807"/>
      <c r="V500" s="807"/>
      <c r="W500" s="807"/>
      <c r="X500" s="807"/>
      <c r="Y500" s="807"/>
      <c r="Z500" s="807"/>
      <c r="AA500" s="807"/>
      <c r="AB500" s="807"/>
      <c r="AC500" s="807"/>
      <c r="AD500" s="807"/>
      <c r="AE500" s="807"/>
      <c r="AF500" s="807"/>
      <c r="AG500" s="807"/>
      <c r="AH500" s="807"/>
      <c r="AI500" s="807"/>
      <c r="AJ500" s="807"/>
      <c r="AK500" s="807"/>
      <c r="AL500" s="807"/>
      <c r="AM500" s="807"/>
      <c r="AN500" s="807"/>
      <c r="AO500" s="807"/>
      <c r="AP500" s="807"/>
    </row>
    <row r="501" spans="1:42" s="5" customFormat="1" x14ac:dyDescent="0.25">
      <c r="A501" s="805"/>
      <c r="B501" s="806"/>
      <c r="C501" s="806"/>
      <c r="D501" s="806"/>
      <c r="E501" s="807"/>
      <c r="F501" s="807"/>
      <c r="G501" s="807"/>
      <c r="H501" s="807"/>
      <c r="I501" s="807"/>
      <c r="J501" s="807"/>
      <c r="K501" s="807"/>
      <c r="L501" s="807"/>
      <c r="M501" s="807"/>
      <c r="N501" s="807"/>
      <c r="O501" s="807"/>
      <c r="P501" s="807"/>
      <c r="Q501" s="807"/>
      <c r="R501" s="807"/>
      <c r="S501" s="807"/>
      <c r="T501" s="807"/>
      <c r="U501" s="807"/>
      <c r="V501" s="807"/>
      <c r="W501" s="807"/>
      <c r="X501" s="807"/>
      <c r="Y501" s="807"/>
      <c r="Z501" s="807"/>
      <c r="AA501" s="807"/>
      <c r="AB501" s="807"/>
      <c r="AC501" s="807"/>
      <c r="AD501" s="807"/>
      <c r="AE501" s="807"/>
      <c r="AF501" s="807"/>
      <c r="AG501" s="807"/>
      <c r="AH501" s="807"/>
      <c r="AI501" s="807"/>
      <c r="AJ501" s="807"/>
      <c r="AK501" s="807"/>
      <c r="AL501" s="807"/>
      <c r="AM501" s="807"/>
      <c r="AN501" s="807"/>
      <c r="AO501" s="807"/>
      <c r="AP501" s="807"/>
    </row>
    <row r="502" spans="1:42" s="5" customFormat="1" x14ac:dyDescent="0.25">
      <c r="A502" s="805"/>
      <c r="B502" s="806"/>
      <c r="C502" s="806"/>
      <c r="D502" s="806"/>
      <c r="E502" s="807"/>
      <c r="F502" s="807"/>
      <c r="G502" s="807"/>
      <c r="H502" s="807"/>
      <c r="I502" s="807"/>
      <c r="J502" s="807"/>
      <c r="K502" s="807"/>
      <c r="L502" s="807"/>
      <c r="M502" s="807"/>
      <c r="N502" s="807"/>
      <c r="O502" s="807"/>
      <c r="P502" s="807"/>
      <c r="Q502" s="807"/>
      <c r="R502" s="807"/>
      <c r="S502" s="807"/>
      <c r="T502" s="807"/>
      <c r="U502" s="807"/>
      <c r="V502" s="807"/>
      <c r="W502" s="807"/>
      <c r="X502" s="807"/>
      <c r="Y502" s="807"/>
      <c r="Z502" s="807"/>
      <c r="AA502" s="807"/>
      <c r="AB502" s="807"/>
      <c r="AC502" s="807"/>
      <c r="AD502" s="807"/>
      <c r="AE502" s="807"/>
      <c r="AF502" s="807"/>
      <c r="AG502" s="807"/>
      <c r="AH502" s="807"/>
      <c r="AI502" s="807"/>
      <c r="AJ502" s="807"/>
      <c r="AK502" s="807"/>
      <c r="AL502" s="807"/>
      <c r="AM502" s="807"/>
      <c r="AN502" s="807"/>
      <c r="AO502" s="807"/>
      <c r="AP502" s="807"/>
    </row>
    <row r="503" spans="1:42" s="5" customFormat="1" x14ac:dyDescent="0.25">
      <c r="A503" s="805"/>
      <c r="B503" s="806"/>
      <c r="C503" s="806"/>
      <c r="D503" s="806"/>
      <c r="E503" s="807"/>
      <c r="F503" s="807"/>
      <c r="G503" s="807"/>
      <c r="H503" s="807"/>
      <c r="I503" s="807"/>
      <c r="J503" s="807"/>
      <c r="K503" s="807"/>
      <c r="L503" s="807"/>
      <c r="M503" s="807"/>
      <c r="N503" s="807"/>
      <c r="O503" s="807"/>
      <c r="P503" s="807"/>
      <c r="Q503" s="807"/>
      <c r="R503" s="807"/>
      <c r="S503" s="807"/>
      <c r="T503" s="807"/>
      <c r="U503" s="807"/>
      <c r="V503" s="807"/>
      <c r="W503" s="807"/>
      <c r="X503" s="807"/>
      <c r="Y503" s="807"/>
      <c r="Z503" s="807"/>
      <c r="AA503" s="807"/>
      <c r="AB503" s="807"/>
      <c r="AC503" s="807"/>
      <c r="AD503" s="807"/>
      <c r="AE503" s="807"/>
      <c r="AF503" s="807"/>
      <c r="AG503" s="807"/>
      <c r="AH503" s="807"/>
      <c r="AI503" s="807"/>
      <c r="AJ503" s="807"/>
      <c r="AK503" s="807"/>
      <c r="AL503" s="807"/>
      <c r="AM503" s="807"/>
      <c r="AN503" s="807"/>
      <c r="AO503" s="807"/>
      <c r="AP503" s="807"/>
    </row>
    <row r="504" spans="1:42" s="5" customFormat="1" x14ac:dyDescent="0.25">
      <c r="A504" s="805"/>
      <c r="B504" s="806"/>
      <c r="C504" s="806"/>
      <c r="D504" s="806"/>
      <c r="E504" s="807"/>
      <c r="F504" s="807"/>
      <c r="G504" s="807"/>
      <c r="H504" s="807"/>
      <c r="I504" s="807"/>
      <c r="J504" s="807"/>
      <c r="K504" s="807"/>
      <c r="L504" s="807"/>
      <c r="M504" s="807"/>
      <c r="N504" s="807"/>
      <c r="O504" s="807"/>
      <c r="P504" s="807"/>
      <c r="Q504" s="807"/>
      <c r="R504" s="807"/>
      <c r="S504" s="807"/>
      <c r="T504" s="807"/>
      <c r="U504" s="807"/>
      <c r="V504" s="807"/>
      <c r="W504" s="807"/>
      <c r="X504" s="807"/>
      <c r="Y504" s="807"/>
      <c r="Z504" s="807"/>
      <c r="AA504" s="807"/>
      <c r="AB504" s="807"/>
      <c r="AC504" s="807"/>
      <c r="AD504" s="807"/>
      <c r="AE504" s="807"/>
      <c r="AF504" s="807"/>
      <c r="AG504" s="807"/>
      <c r="AH504" s="807"/>
      <c r="AI504" s="807"/>
      <c r="AJ504" s="807"/>
      <c r="AK504" s="807"/>
      <c r="AL504" s="807"/>
      <c r="AM504" s="807"/>
      <c r="AN504" s="807"/>
      <c r="AO504" s="807"/>
      <c r="AP504" s="807"/>
    </row>
    <row r="505" spans="1:42" s="5" customFormat="1" x14ac:dyDescent="0.25">
      <c r="A505" s="805"/>
      <c r="B505" s="806"/>
      <c r="C505" s="806"/>
      <c r="D505" s="806"/>
      <c r="E505" s="807"/>
      <c r="F505" s="807"/>
      <c r="G505" s="807"/>
      <c r="H505" s="807"/>
      <c r="I505" s="807"/>
      <c r="J505" s="807"/>
      <c r="K505" s="807"/>
      <c r="L505" s="807"/>
      <c r="M505" s="807"/>
      <c r="N505" s="807"/>
      <c r="O505" s="807"/>
      <c r="P505" s="807"/>
      <c r="Q505" s="807"/>
      <c r="R505" s="807"/>
      <c r="S505" s="807"/>
      <c r="T505" s="807"/>
      <c r="U505" s="807"/>
      <c r="V505" s="807"/>
      <c r="W505" s="807"/>
      <c r="X505" s="807"/>
      <c r="Y505" s="807"/>
      <c r="Z505" s="807"/>
      <c r="AA505" s="807"/>
      <c r="AB505" s="807"/>
      <c r="AC505" s="807"/>
      <c r="AD505" s="807"/>
      <c r="AE505" s="807"/>
      <c r="AF505" s="807"/>
      <c r="AG505" s="807"/>
      <c r="AH505" s="807"/>
      <c r="AI505" s="807"/>
      <c r="AJ505" s="807"/>
      <c r="AK505" s="807"/>
      <c r="AL505" s="807"/>
      <c r="AM505" s="807"/>
      <c r="AN505" s="807"/>
      <c r="AO505" s="807"/>
      <c r="AP505" s="807"/>
    </row>
    <row r="506" spans="1:42" s="5" customFormat="1" x14ac:dyDescent="0.25">
      <c r="A506" s="805"/>
      <c r="B506" s="806"/>
      <c r="C506" s="806"/>
      <c r="D506" s="806"/>
      <c r="E506" s="807"/>
      <c r="F506" s="807"/>
      <c r="G506" s="807"/>
      <c r="H506" s="807"/>
      <c r="I506" s="807"/>
      <c r="J506" s="807"/>
      <c r="K506" s="807"/>
      <c r="L506" s="807"/>
      <c r="M506" s="807"/>
      <c r="N506" s="807"/>
      <c r="O506" s="807"/>
      <c r="P506" s="807"/>
      <c r="Q506" s="807"/>
      <c r="R506" s="807"/>
      <c r="S506" s="807"/>
      <c r="T506" s="807"/>
      <c r="U506" s="807"/>
      <c r="V506" s="807"/>
      <c r="W506" s="807"/>
      <c r="X506" s="807"/>
      <c r="Y506" s="807"/>
      <c r="Z506" s="807"/>
      <c r="AA506" s="807"/>
      <c r="AB506" s="807"/>
      <c r="AC506" s="807"/>
      <c r="AD506" s="807"/>
      <c r="AE506" s="807"/>
      <c r="AF506" s="807"/>
      <c r="AG506" s="807"/>
      <c r="AH506" s="807"/>
      <c r="AI506" s="807"/>
      <c r="AJ506" s="807"/>
      <c r="AK506" s="807"/>
      <c r="AL506" s="807"/>
      <c r="AM506" s="807"/>
      <c r="AN506" s="807"/>
      <c r="AO506" s="807"/>
      <c r="AP506" s="807"/>
    </row>
    <row r="507" spans="1:42" s="5" customFormat="1" x14ac:dyDescent="0.25">
      <c r="A507" s="805"/>
      <c r="B507" s="806"/>
      <c r="C507" s="806"/>
      <c r="D507" s="806"/>
      <c r="E507" s="807"/>
      <c r="F507" s="807"/>
      <c r="G507" s="807"/>
      <c r="H507" s="807"/>
      <c r="I507" s="807"/>
      <c r="J507" s="807"/>
      <c r="K507" s="807"/>
      <c r="L507" s="807"/>
      <c r="M507" s="807"/>
      <c r="N507" s="807"/>
      <c r="O507" s="807"/>
      <c r="P507" s="807"/>
      <c r="Q507" s="807"/>
      <c r="R507" s="807"/>
      <c r="S507" s="807"/>
      <c r="T507" s="807"/>
      <c r="U507" s="807"/>
      <c r="V507" s="807"/>
      <c r="W507" s="807"/>
      <c r="X507" s="807"/>
      <c r="Y507" s="807"/>
      <c r="Z507" s="807"/>
      <c r="AA507" s="807"/>
      <c r="AB507" s="807"/>
      <c r="AC507" s="807"/>
      <c r="AD507" s="807"/>
      <c r="AE507" s="807"/>
      <c r="AF507" s="807"/>
      <c r="AG507" s="807"/>
      <c r="AH507" s="807"/>
      <c r="AI507" s="807"/>
      <c r="AJ507" s="807"/>
      <c r="AK507" s="807"/>
      <c r="AL507" s="807"/>
      <c r="AM507" s="807"/>
      <c r="AN507" s="807"/>
      <c r="AO507" s="807"/>
      <c r="AP507" s="807"/>
    </row>
    <row r="508" spans="1:42" s="5" customFormat="1" x14ac:dyDescent="0.25">
      <c r="A508" s="805"/>
      <c r="B508" s="806"/>
      <c r="C508" s="806"/>
      <c r="D508" s="806"/>
      <c r="E508" s="807"/>
      <c r="F508" s="807"/>
      <c r="G508" s="807"/>
      <c r="H508" s="807"/>
      <c r="I508" s="807"/>
      <c r="J508" s="807"/>
      <c r="K508" s="807"/>
      <c r="L508" s="807"/>
      <c r="M508" s="807"/>
      <c r="N508" s="807"/>
      <c r="O508" s="807"/>
      <c r="P508" s="807"/>
      <c r="Q508" s="807"/>
      <c r="R508" s="807"/>
      <c r="S508" s="807"/>
      <c r="T508" s="807"/>
      <c r="U508" s="807"/>
      <c r="V508" s="807"/>
      <c r="W508" s="807"/>
      <c r="X508" s="807"/>
      <c r="Y508" s="807"/>
      <c r="Z508" s="807"/>
      <c r="AA508" s="807"/>
      <c r="AB508" s="807"/>
      <c r="AC508" s="807"/>
      <c r="AD508" s="807"/>
      <c r="AE508" s="807"/>
      <c r="AF508" s="807"/>
      <c r="AG508" s="807"/>
      <c r="AH508" s="807"/>
      <c r="AI508" s="807"/>
      <c r="AJ508" s="807"/>
      <c r="AK508" s="807"/>
      <c r="AL508" s="807"/>
      <c r="AM508" s="807"/>
      <c r="AN508" s="807"/>
      <c r="AO508" s="807"/>
      <c r="AP508" s="807"/>
    </row>
    <row r="509" spans="1:42" s="5" customFormat="1" x14ac:dyDescent="0.25">
      <c r="A509" s="805"/>
      <c r="B509" s="806"/>
      <c r="C509" s="806"/>
      <c r="D509" s="806"/>
      <c r="E509" s="807"/>
      <c r="F509" s="807"/>
      <c r="G509" s="807"/>
      <c r="H509" s="807"/>
      <c r="I509" s="807"/>
      <c r="J509" s="807"/>
      <c r="K509" s="807"/>
      <c r="L509" s="807"/>
      <c r="M509" s="807"/>
      <c r="N509" s="807"/>
      <c r="O509" s="807"/>
      <c r="P509" s="807"/>
      <c r="Q509" s="807"/>
      <c r="R509" s="807"/>
      <c r="S509" s="807"/>
      <c r="T509" s="807"/>
      <c r="U509" s="807"/>
      <c r="V509" s="807"/>
      <c r="W509" s="807"/>
      <c r="X509" s="807"/>
      <c r="Y509" s="807"/>
      <c r="Z509" s="807"/>
      <c r="AA509" s="807"/>
      <c r="AB509" s="807"/>
      <c r="AC509" s="807"/>
      <c r="AD509" s="807"/>
      <c r="AE509" s="807"/>
      <c r="AF509" s="807"/>
      <c r="AG509" s="807"/>
      <c r="AH509" s="807"/>
      <c r="AI509" s="807"/>
      <c r="AJ509" s="807"/>
      <c r="AK509" s="807"/>
      <c r="AL509" s="807"/>
      <c r="AM509" s="807"/>
      <c r="AN509" s="807"/>
      <c r="AO509" s="807"/>
      <c r="AP509" s="807"/>
    </row>
    <row r="510" spans="1:42" s="5" customFormat="1" x14ac:dyDescent="0.25">
      <c r="A510" s="805"/>
      <c r="B510" s="806"/>
      <c r="C510" s="806"/>
      <c r="D510" s="806"/>
      <c r="E510" s="807"/>
      <c r="F510" s="807"/>
      <c r="G510" s="807"/>
      <c r="H510" s="807"/>
      <c r="I510" s="807"/>
      <c r="J510" s="807"/>
      <c r="K510" s="807"/>
      <c r="L510" s="807"/>
      <c r="M510" s="807"/>
      <c r="N510" s="807"/>
      <c r="O510" s="807"/>
      <c r="P510" s="807"/>
      <c r="Q510" s="807"/>
      <c r="R510" s="807"/>
      <c r="S510" s="807"/>
      <c r="T510" s="807"/>
      <c r="U510" s="807"/>
      <c r="V510" s="807"/>
      <c r="W510" s="807"/>
      <c r="X510" s="807"/>
      <c r="Y510" s="807"/>
      <c r="Z510" s="807"/>
      <c r="AA510" s="807"/>
      <c r="AB510" s="807"/>
      <c r="AC510" s="807"/>
      <c r="AD510" s="807"/>
      <c r="AE510" s="807"/>
      <c r="AF510" s="807"/>
      <c r="AG510" s="807"/>
      <c r="AH510" s="807"/>
      <c r="AI510" s="807"/>
      <c r="AJ510" s="807"/>
      <c r="AK510" s="807"/>
      <c r="AL510" s="807"/>
      <c r="AM510" s="807"/>
      <c r="AN510" s="807"/>
      <c r="AO510" s="807"/>
      <c r="AP510" s="807"/>
    </row>
    <row r="511" spans="1:42" s="5" customFormat="1" x14ac:dyDescent="0.25">
      <c r="A511" s="805"/>
      <c r="B511" s="806"/>
      <c r="C511" s="806"/>
      <c r="D511" s="806"/>
      <c r="E511" s="807"/>
      <c r="F511" s="807"/>
      <c r="G511" s="807"/>
      <c r="H511" s="807"/>
      <c r="I511" s="807"/>
      <c r="J511" s="807"/>
      <c r="K511" s="807"/>
      <c r="L511" s="807"/>
      <c r="M511" s="807"/>
      <c r="N511" s="807"/>
      <c r="O511" s="807"/>
      <c r="P511" s="807"/>
      <c r="Q511" s="807"/>
      <c r="R511" s="807"/>
      <c r="S511" s="807"/>
      <c r="T511" s="807"/>
      <c r="U511" s="807"/>
      <c r="V511" s="807"/>
      <c r="W511" s="807"/>
      <c r="X511" s="807"/>
      <c r="Y511" s="807"/>
      <c r="Z511" s="807"/>
      <c r="AA511" s="807"/>
      <c r="AB511" s="807"/>
      <c r="AC511" s="807"/>
      <c r="AD511" s="807"/>
      <c r="AE511" s="807"/>
      <c r="AF511" s="807"/>
      <c r="AG511" s="807"/>
      <c r="AH511" s="807"/>
      <c r="AI511" s="807"/>
      <c r="AJ511" s="807"/>
      <c r="AK511" s="807"/>
      <c r="AL511" s="807"/>
      <c r="AM511" s="807"/>
      <c r="AN511" s="807"/>
      <c r="AO511" s="807"/>
      <c r="AP511" s="807"/>
    </row>
    <row r="512" spans="1:42" s="5" customFormat="1" x14ac:dyDescent="0.25">
      <c r="A512" s="805"/>
      <c r="B512" s="806"/>
      <c r="C512" s="806"/>
      <c r="D512" s="806"/>
      <c r="E512" s="807"/>
      <c r="F512" s="807"/>
      <c r="G512" s="807"/>
      <c r="H512" s="807"/>
      <c r="I512" s="807"/>
      <c r="J512" s="807"/>
      <c r="K512" s="807"/>
      <c r="L512" s="807"/>
      <c r="M512" s="807"/>
      <c r="N512" s="807"/>
      <c r="O512" s="807"/>
      <c r="P512" s="807"/>
      <c r="Q512" s="807"/>
      <c r="R512" s="807"/>
      <c r="S512" s="807"/>
      <c r="T512" s="807"/>
      <c r="U512" s="807"/>
      <c r="V512" s="807"/>
      <c r="W512" s="807"/>
      <c r="X512" s="807"/>
      <c r="Y512" s="807"/>
      <c r="Z512" s="807"/>
      <c r="AA512" s="807"/>
      <c r="AB512" s="807"/>
      <c r="AC512" s="807"/>
      <c r="AD512" s="807"/>
      <c r="AE512" s="807"/>
      <c r="AF512" s="807"/>
      <c r="AG512" s="807"/>
      <c r="AH512" s="807"/>
      <c r="AI512" s="807"/>
      <c r="AJ512" s="807"/>
      <c r="AK512" s="807"/>
      <c r="AL512" s="807"/>
      <c r="AM512" s="807"/>
      <c r="AN512" s="807"/>
      <c r="AO512" s="807"/>
      <c r="AP512" s="807"/>
    </row>
    <row r="513" spans="1:42" s="5" customFormat="1" x14ac:dyDescent="0.25">
      <c r="A513" s="805"/>
      <c r="B513" s="806"/>
      <c r="C513" s="806"/>
      <c r="D513" s="806"/>
      <c r="E513" s="807"/>
      <c r="F513" s="807"/>
      <c r="G513" s="807"/>
      <c r="H513" s="807"/>
      <c r="I513" s="807"/>
      <c r="J513" s="807"/>
      <c r="K513" s="807"/>
      <c r="L513" s="807"/>
      <c r="M513" s="807"/>
      <c r="N513" s="807"/>
      <c r="O513" s="807"/>
      <c r="P513" s="807"/>
      <c r="Q513" s="807"/>
      <c r="R513" s="807"/>
      <c r="S513" s="807"/>
      <c r="T513" s="807"/>
      <c r="U513" s="807"/>
      <c r="V513" s="807"/>
      <c r="W513" s="807"/>
      <c r="X513" s="807"/>
      <c r="Y513" s="807"/>
      <c r="Z513" s="807"/>
      <c r="AA513" s="807"/>
      <c r="AB513" s="807"/>
      <c r="AC513" s="807"/>
      <c r="AD513" s="807"/>
      <c r="AE513" s="807"/>
      <c r="AF513" s="807"/>
      <c r="AG513" s="807"/>
      <c r="AH513" s="807"/>
      <c r="AI513" s="807"/>
      <c r="AJ513" s="807"/>
      <c r="AK513" s="807"/>
      <c r="AL513" s="807"/>
      <c r="AM513" s="807"/>
      <c r="AN513" s="807"/>
      <c r="AO513" s="807"/>
      <c r="AP513" s="807"/>
    </row>
    <row r="514" spans="1:42" s="5" customFormat="1" x14ac:dyDescent="0.25">
      <c r="A514" s="805"/>
      <c r="B514" s="806"/>
      <c r="C514" s="806"/>
      <c r="D514" s="806"/>
      <c r="E514" s="807"/>
      <c r="F514" s="807"/>
      <c r="G514" s="807"/>
      <c r="H514" s="807"/>
      <c r="I514" s="807"/>
      <c r="J514" s="807"/>
      <c r="K514" s="807"/>
      <c r="L514" s="807"/>
      <c r="M514" s="807"/>
      <c r="N514" s="807"/>
      <c r="O514" s="807"/>
      <c r="P514" s="807"/>
      <c r="Q514" s="807"/>
      <c r="R514" s="807"/>
      <c r="S514" s="807"/>
      <c r="T514" s="807"/>
      <c r="U514" s="807"/>
      <c r="V514" s="807"/>
      <c r="W514" s="807"/>
      <c r="X514" s="807"/>
      <c r="Y514" s="807"/>
      <c r="Z514" s="807"/>
      <c r="AA514" s="807"/>
      <c r="AB514" s="807"/>
      <c r="AC514" s="807"/>
      <c r="AD514" s="807"/>
      <c r="AE514" s="807"/>
      <c r="AF514" s="807"/>
      <c r="AG514" s="807"/>
      <c r="AH514" s="807"/>
      <c r="AI514" s="807"/>
      <c r="AJ514" s="807"/>
      <c r="AK514" s="807"/>
      <c r="AL514" s="807"/>
      <c r="AM514" s="807"/>
      <c r="AN514" s="807"/>
      <c r="AO514" s="807"/>
      <c r="AP514" s="807"/>
    </row>
    <row r="515" spans="1:42" s="5" customFormat="1" x14ac:dyDescent="0.25">
      <c r="A515" s="805"/>
      <c r="B515" s="806"/>
      <c r="C515" s="806"/>
      <c r="D515" s="806"/>
      <c r="E515" s="807"/>
      <c r="F515" s="807"/>
      <c r="G515" s="807"/>
      <c r="H515" s="807"/>
      <c r="I515" s="807"/>
      <c r="J515" s="807"/>
      <c r="K515" s="807"/>
      <c r="L515" s="807"/>
      <c r="M515" s="807"/>
      <c r="N515" s="807"/>
      <c r="O515" s="807"/>
      <c r="P515" s="807"/>
      <c r="Q515" s="807"/>
      <c r="R515" s="807"/>
      <c r="S515" s="807"/>
      <c r="T515" s="807"/>
      <c r="U515" s="807"/>
      <c r="V515" s="807"/>
      <c r="W515" s="807"/>
      <c r="X515" s="807"/>
      <c r="Y515" s="807"/>
      <c r="Z515" s="807"/>
      <c r="AA515" s="807"/>
      <c r="AB515" s="807"/>
      <c r="AC515" s="807"/>
      <c r="AD515" s="807"/>
      <c r="AE515" s="807"/>
      <c r="AF515" s="807"/>
      <c r="AG515" s="807"/>
      <c r="AH515" s="807"/>
      <c r="AI515" s="807"/>
      <c r="AJ515" s="807"/>
      <c r="AK515" s="807"/>
      <c r="AL515" s="807"/>
      <c r="AM515" s="807"/>
      <c r="AN515" s="807"/>
      <c r="AO515" s="807"/>
      <c r="AP515" s="807"/>
    </row>
    <row r="516" spans="1:42" s="5" customFormat="1" x14ac:dyDescent="0.25">
      <c r="A516" s="805"/>
      <c r="B516" s="806"/>
      <c r="C516" s="806"/>
      <c r="D516" s="806"/>
      <c r="E516" s="807"/>
      <c r="F516" s="807"/>
      <c r="G516" s="807"/>
      <c r="H516" s="807"/>
      <c r="I516" s="807"/>
      <c r="J516" s="807"/>
      <c r="K516" s="807"/>
      <c r="L516" s="807"/>
      <c r="M516" s="807"/>
      <c r="N516" s="807"/>
      <c r="O516" s="807"/>
      <c r="P516" s="807"/>
      <c r="Q516" s="807"/>
      <c r="R516" s="807"/>
      <c r="S516" s="807"/>
      <c r="T516" s="807"/>
      <c r="U516" s="807"/>
      <c r="V516" s="807"/>
      <c r="W516" s="807"/>
      <c r="X516" s="807"/>
      <c r="Y516" s="807"/>
      <c r="Z516" s="807"/>
      <c r="AA516" s="807"/>
      <c r="AB516" s="807"/>
      <c r="AC516" s="807"/>
      <c r="AD516" s="807"/>
      <c r="AE516" s="807"/>
      <c r="AF516" s="807"/>
      <c r="AG516" s="807"/>
      <c r="AH516" s="807"/>
      <c r="AI516" s="807"/>
      <c r="AJ516" s="807"/>
      <c r="AK516" s="807"/>
      <c r="AL516" s="807"/>
      <c r="AM516" s="807"/>
      <c r="AN516" s="807"/>
      <c r="AO516" s="807"/>
      <c r="AP516" s="807"/>
    </row>
    <row r="517" spans="1:42" s="5" customFormat="1" x14ac:dyDescent="0.25">
      <c r="A517" s="805"/>
      <c r="B517" s="806"/>
      <c r="C517" s="806"/>
      <c r="D517" s="806"/>
      <c r="E517" s="807"/>
      <c r="F517" s="807"/>
      <c r="G517" s="807"/>
      <c r="H517" s="807"/>
      <c r="I517" s="807"/>
      <c r="J517" s="807"/>
      <c r="K517" s="807"/>
      <c r="L517" s="807"/>
      <c r="M517" s="807"/>
      <c r="N517" s="807"/>
      <c r="O517" s="807"/>
      <c r="P517" s="807"/>
      <c r="Q517" s="807"/>
      <c r="R517" s="807"/>
      <c r="S517" s="807"/>
      <c r="T517" s="807"/>
      <c r="U517" s="807"/>
      <c r="V517" s="807"/>
      <c r="W517" s="807"/>
      <c r="X517" s="807"/>
      <c r="Y517" s="807"/>
      <c r="Z517" s="807"/>
      <c r="AA517" s="807"/>
      <c r="AB517" s="807"/>
      <c r="AC517" s="807"/>
      <c r="AD517" s="807"/>
      <c r="AE517" s="807"/>
      <c r="AF517" s="807"/>
      <c r="AG517" s="807"/>
      <c r="AH517" s="807"/>
      <c r="AI517" s="807"/>
      <c r="AJ517" s="807"/>
      <c r="AK517" s="807"/>
      <c r="AL517" s="807"/>
      <c r="AM517" s="807"/>
      <c r="AN517" s="807"/>
      <c r="AO517" s="807"/>
      <c r="AP517" s="807"/>
    </row>
    <row r="518" spans="1:42" s="5" customFormat="1" x14ac:dyDescent="0.25">
      <c r="A518" s="805"/>
      <c r="B518" s="806"/>
      <c r="C518" s="806"/>
      <c r="D518" s="806"/>
      <c r="E518" s="807"/>
      <c r="F518" s="807"/>
      <c r="G518" s="807"/>
      <c r="H518" s="807"/>
      <c r="I518" s="807"/>
      <c r="J518" s="807"/>
      <c r="K518" s="807"/>
      <c r="L518" s="807"/>
      <c r="M518" s="807"/>
      <c r="N518" s="807"/>
      <c r="O518" s="807"/>
      <c r="P518" s="807"/>
      <c r="Q518" s="807"/>
      <c r="R518" s="807"/>
      <c r="S518" s="807"/>
      <c r="T518" s="807"/>
      <c r="U518" s="807"/>
      <c r="V518" s="807"/>
      <c r="W518" s="807"/>
      <c r="X518" s="807"/>
      <c r="Y518" s="807"/>
      <c r="Z518" s="807"/>
      <c r="AA518" s="807"/>
      <c r="AB518" s="807"/>
      <c r="AC518" s="807"/>
      <c r="AD518" s="807"/>
      <c r="AE518" s="807"/>
      <c r="AF518" s="807"/>
      <c r="AG518" s="807"/>
      <c r="AH518" s="807"/>
      <c r="AI518" s="807"/>
      <c r="AJ518" s="807"/>
      <c r="AK518" s="807"/>
      <c r="AL518" s="807"/>
      <c r="AM518" s="807"/>
      <c r="AN518" s="807"/>
      <c r="AO518" s="807"/>
      <c r="AP518" s="807"/>
    </row>
    <row r="519" spans="1:42" s="5" customFormat="1" x14ac:dyDescent="0.25">
      <c r="A519" s="805"/>
      <c r="B519" s="806"/>
      <c r="C519" s="806"/>
      <c r="D519" s="806"/>
      <c r="E519" s="807"/>
      <c r="F519" s="807"/>
      <c r="G519" s="807"/>
      <c r="H519" s="807"/>
      <c r="I519" s="807"/>
      <c r="J519" s="807"/>
      <c r="K519" s="807"/>
      <c r="L519" s="807"/>
      <c r="M519" s="807"/>
      <c r="N519" s="807"/>
      <c r="O519" s="807"/>
      <c r="P519" s="807"/>
      <c r="Q519" s="807"/>
      <c r="R519" s="807"/>
      <c r="S519" s="807"/>
      <c r="T519" s="807"/>
      <c r="U519" s="807"/>
      <c r="V519" s="807"/>
      <c r="W519" s="807"/>
      <c r="X519" s="807"/>
      <c r="Y519" s="807"/>
      <c r="Z519" s="807"/>
      <c r="AA519" s="807"/>
      <c r="AB519" s="807"/>
      <c r="AC519" s="807"/>
      <c r="AD519" s="807"/>
      <c r="AE519" s="807"/>
      <c r="AF519" s="807"/>
      <c r="AG519" s="807"/>
      <c r="AH519" s="807"/>
      <c r="AI519" s="807"/>
      <c r="AJ519" s="807"/>
      <c r="AK519" s="807"/>
      <c r="AL519" s="807"/>
      <c r="AM519" s="807"/>
      <c r="AN519" s="807"/>
      <c r="AO519" s="807"/>
      <c r="AP519" s="807"/>
    </row>
    <row r="520" spans="1:42" s="5" customFormat="1" x14ac:dyDescent="0.25">
      <c r="A520" s="805"/>
      <c r="B520" s="806"/>
      <c r="C520" s="806"/>
      <c r="D520" s="806"/>
      <c r="E520" s="807"/>
      <c r="F520" s="807"/>
      <c r="G520" s="807"/>
      <c r="H520" s="807"/>
      <c r="I520" s="807"/>
      <c r="J520" s="807"/>
      <c r="K520" s="807"/>
      <c r="L520" s="807"/>
      <c r="M520" s="807"/>
      <c r="N520" s="807"/>
      <c r="O520" s="807"/>
      <c r="P520" s="807"/>
      <c r="Q520" s="807"/>
      <c r="R520" s="807"/>
      <c r="S520" s="807"/>
      <c r="T520" s="807"/>
      <c r="U520" s="807"/>
      <c r="V520" s="807"/>
      <c r="W520" s="807"/>
      <c r="X520" s="807"/>
      <c r="Y520" s="807"/>
      <c r="Z520" s="807"/>
      <c r="AA520" s="807"/>
      <c r="AB520" s="807"/>
      <c r="AC520" s="807"/>
      <c r="AD520" s="807"/>
      <c r="AE520" s="807"/>
      <c r="AF520" s="807"/>
      <c r="AG520" s="807"/>
      <c r="AH520" s="807"/>
      <c r="AI520" s="807"/>
      <c r="AJ520" s="807"/>
      <c r="AK520" s="807"/>
      <c r="AL520" s="807"/>
      <c r="AM520" s="807"/>
      <c r="AN520" s="807"/>
      <c r="AO520" s="807"/>
      <c r="AP520" s="807"/>
    </row>
    <row r="521" spans="1:42" s="5" customFormat="1" x14ac:dyDescent="0.25">
      <c r="A521" s="805"/>
      <c r="B521" s="806"/>
      <c r="C521" s="806"/>
      <c r="D521" s="806"/>
      <c r="E521" s="807"/>
      <c r="F521" s="807"/>
      <c r="G521" s="807"/>
      <c r="H521" s="807"/>
      <c r="I521" s="807"/>
      <c r="J521" s="807"/>
      <c r="K521" s="807"/>
      <c r="L521" s="807"/>
      <c r="M521" s="807"/>
      <c r="N521" s="807"/>
      <c r="O521" s="807"/>
      <c r="P521" s="807"/>
      <c r="Q521" s="807"/>
      <c r="R521" s="807"/>
      <c r="S521" s="807"/>
      <c r="T521" s="807"/>
      <c r="U521" s="807"/>
      <c r="V521" s="807"/>
      <c r="W521" s="807"/>
      <c r="X521" s="807"/>
      <c r="Y521" s="807"/>
      <c r="Z521" s="807"/>
      <c r="AA521" s="807"/>
      <c r="AB521" s="807"/>
      <c r="AC521" s="807"/>
      <c r="AD521" s="807"/>
      <c r="AE521" s="807"/>
      <c r="AF521" s="807"/>
      <c r="AG521" s="807"/>
      <c r="AH521" s="807"/>
      <c r="AI521" s="807"/>
      <c r="AJ521" s="807"/>
      <c r="AK521" s="807"/>
      <c r="AL521" s="807"/>
      <c r="AM521" s="807"/>
      <c r="AN521" s="807"/>
      <c r="AO521" s="807"/>
      <c r="AP521" s="807"/>
    </row>
    <row r="522" spans="1:42" s="5" customFormat="1" x14ac:dyDescent="0.25">
      <c r="A522" s="805"/>
      <c r="B522" s="806"/>
      <c r="C522" s="806"/>
      <c r="D522" s="806"/>
      <c r="E522" s="807"/>
      <c r="F522" s="807"/>
      <c r="G522" s="807"/>
      <c r="H522" s="807"/>
      <c r="I522" s="807"/>
      <c r="J522" s="807"/>
      <c r="K522" s="807"/>
      <c r="L522" s="807"/>
      <c r="M522" s="807"/>
      <c r="N522" s="807"/>
      <c r="O522" s="807"/>
      <c r="P522" s="807"/>
      <c r="Q522" s="807"/>
      <c r="R522" s="807"/>
      <c r="S522" s="807"/>
      <c r="T522" s="807"/>
      <c r="U522" s="807"/>
      <c r="V522" s="807"/>
      <c r="W522" s="807"/>
      <c r="X522" s="807"/>
      <c r="Y522" s="807"/>
      <c r="Z522" s="807"/>
      <c r="AA522" s="807"/>
      <c r="AB522" s="807"/>
      <c r="AC522" s="807"/>
      <c r="AD522" s="807"/>
      <c r="AE522" s="807"/>
      <c r="AF522" s="807"/>
      <c r="AG522" s="807"/>
      <c r="AH522" s="807"/>
      <c r="AI522" s="807"/>
      <c r="AJ522" s="807"/>
      <c r="AK522" s="807"/>
      <c r="AL522" s="807"/>
      <c r="AM522" s="807"/>
      <c r="AN522" s="807"/>
      <c r="AO522" s="807"/>
      <c r="AP522" s="807"/>
    </row>
    <row r="523" spans="1:42" s="5" customFormat="1" x14ac:dyDescent="0.25">
      <c r="A523" s="805"/>
      <c r="B523" s="806"/>
      <c r="C523" s="806"/>
      <c r="D523" s="806"/>
      <c r="E523" s="807"/>
      <c r="F523" s="807"/>
      <c r="G523" s="807"/>
      <c r="H523" s="807"/>
      <c r="I523" s="807"/>
      <c r="J523" s="807"/>
      <c r="K523" s="807"/>
      <c r="L523" s="807"/>
      <c r="M523" s="807"/>
      <c r="N523" s="807"/>
      <c r="O523" s="807"/>
      <c r="P523" s="807"/>
      <c r="Q523" s="807"/>
      <c r="R523" s="807"/>
      <c r="S523" s="807"/>
      <c r="T523" s="807"/>
      <c r="U523" s="807"/>
      <c r="V523" s="807"/>
      <c r="W523" s="807"/>
      <c r="X523" s="807"/>
      <c r="Y523" s="807"/>
      <c r="Z523" s="807"/>
      <c r="AA523" s="807"/>
      <c r="AB523" s="807"/>
      <c r="AC523" s="807"/>
      <c r="AD523" s="807"/>
      <c r="AE523" s="807"/>
      <c r="AF523" s="807"/>
      <c r="AG523" s="807"/>
      <c r="AH523" s="807"/>
      <c r="AI523" s="807"/>
      <c r="AJ523" s="807"/>
      <c r="AK523" s="807"/>
      <c r="AL523" s="807"/>
      <c r="AM523" s="807"/>
      <c r="AN523" s="807"/>
      <c r="AO523" s="807"/>
      <c r="AP523" s="807"/>
    </row>
    <row r="524" spans="1:42" s="5" customFormat="1" x14ac:dyDescent="0.25">
      <c r="A524" s="805"/>
      <c r="B524" s="806"/>
      <c r="C524" s="806"/>
      <c r="D524" s="806"/>
      <c r="E524" s="807"/>
      <c r="F524" s="807"/>
      <c r="G524" s="807"/>
      <c r="H524" s="807"/>
      <c r="I524" s="807"/>
      <c r="J524" s="807"/>
      <c r="K524" s="807"/>
      <c r="L524" s="807"/>
      <c r="M524" s="807"/>
      <c r="N524" s="807"/>
      <c r="O524" s="807"/>
      <c r="P524" s="807"/>
      <c r="Q524" s="807"/>
      <c r="R524" s="807"/>
      <c r="S524" s="807"/>
      <c r="T524" s="807"/>
      <c r="U524" s="807"/>
      <c r="V524" s="807"/>
      <c r="W524" s="807"/>
      <c r="X524" s="807"/>
      <c r="Y524" s="807"/>
      <c r="Z524" s="807"/>
      <c r="AA524" s="807"/>
      <c r="AB524" s="807"/>
      <c r="AC524" s="807"/>
      <c r="AD524" s="807"/>
      <c r="AE524" s="807"/>
      <c r="AF524" s="807"/>
      <c r="AG524" s="807"/>
      <c r="AH524" s="807"/>
      <c r="AI524" s="807"/>
      <c r="AJ524" s="807"/>
      <c r="AK524" s="807"/>
      <c r="AL524" s="807"/>
      <c r="AM524" s="807"/>
      <c r="AN524" s="807"/>
      <c r="AO524" s="807"/>
      <c r="AP524" s="807"/>
    </row>
    <row r="525" spans="1:42" s="5" customFormat="1" x14ac:dyDescent="0.25">
      <c r="A525" s="805"/>
      <c r="B525" s="806"/>
      <c r="C525" s="806"/>
      <c r="D525" s="806"/>
      <c r="E525" s="807"/>
      <c r="F525" s="807"/>
      <c r="G525" s="807"/>
      <c r="H525" s="807"/>
      <c r="I525" s="807"/>
      <c r="J525" s="807"/>
      <c r="K525" s="807"/>
      <c r="L525" s="807"/>
      <c r="M525" s="807"/>
      <c r="N525" s="807"/>
      <c r="O525" s="807"/>
      <c r="P525" s="807"/>
      <c r="Q525" s="807"/>
      <c r="R525" s="807"/>
      <c r="S525" s="807"/>
      <c r="T525" s="807"/>
      <c r="U525" s="807"/>
      <c r="V525" s="807"/>
      <c r="W525" s="807"/>
      <c r="X525" s="807"/>
      <c r="Y525" s="807"/>
      <c r="Z525" s="807"/>
      <c r="AA525" s="807"/>
      <c r="AB525" s="807"/>
      <c r="AC525" s="807"/>
      <c r="AD525" s="807"/>
      <c r="AE525" s="807"/>
      <c r="AF525" s="807"/>
      <c r="AG525" s="807"/>
      <c r="AH525" s="807"/>
      <c r="AI525" s="807"/>
      <c r="AJ525" s="807"/>
      <c r="AK525" s="807"/>
      <c r="AL525" s="807"/>
      <c r="AM525" s="807"/>
      <c r="AN525" s="807"/>
      <c r="AO525" s="807"/>
      <c r="AP525" s="807"/>
    </row>
    <row r="526" spans="1:42" s="5" customFormat="1" x14ac:dyDescent="0.25">
      <c r="A526" s="805"/>
      <c r="B526" s="806"/>
      <c r="C526" s="806"/>
      <c r="D526" s="806"/>
      <c r="E526" s="807"/>
      <c r="F526" s="807"/>
      <c r="G526" s="807"/>
      <c r="H526" s="807"/>
      <c r="I526" s="807"/>
      <c r="J526" s="807"/>
      <c r="K526" s="807"/>
      <c r="L526" s="807"/>
      <c r="M526" s="807"/>
      <c r="N526" s="807"/>
      <c r="O526" s="807"/>
      <c r="P526" s="807"/>
      <c r="Q526" s="807"/>
      <c r="R526" s="807"/>
      <c r="S526" s="807"/>
      <c r="T526" s="807"/>
      <c r="U526" s="807"/>
      <c r="V526" s="807"/>
      <c r="W526" s="807"/>
      <c r="X526" s="807"/>
      <c r="Y526" s="807"/>
      <c r="Z526" s="807"/>
      <c r="AA526" s="807"/>
      <c r="AB526" s="807"/>
      <c r="AC526" s="807"/>
      <c r="AD526" s="807"/>
      <c r="AE526" s="807"/>
      <c r="AF526" s="807"/>
      <c r="AG526" s="807"/>
      <c r="AH526" s="807"/>
      <c r="AI526" s="807"/>
      <c r="AJ526" s="807"/>
      <c r="AK526" s="807"/>
      <c r="AL526" s="807"/>
      <c r="AM526" s="807"/>
      <c r="AN526" s="807"/>
      <c r="AO526" s="807"/>
      <c r="AP526" s="807"/>
    </row>
    <row r="527" spans="1:42" s="5" customFormat="1" x14ac:dyDescent="0.25">
      <c r="A527" s="805"/>
      <c r="B527" s="806"/>
      <c r="C527" s="806"/>
      <c r="D527" s="806"/>
      <c r="E527" s="807"/>
      <c r="F527" s="807"/>
      <c r="G527" s="807"/>
      <c r="H527" s="807"/>
      <c r="I527" s="807"/>
      <c r="J527" s="807"/>
      <c r="K527" s="807"/>
      <c r="L527" s="807"/>
      <c r="M527" s="807"/>
      <c r="N527" s="807"/>
      <c r="O527" s="807"/>
      <c r="P527" s="807"/>
      <c r="Q527" s="807"/>
      <c r="R527" s="807"/>
      <c r="S527" s="807"/>
      <c r="T527" s="807"/>
      <c r="U527" s="807"/>
      <c r="V527" s="807"/>
      <c r="W527" s="807"/>
      <c r="X527" s="807"/>
      <c r="Y527" s="807"/>
      <c r="Z527" s="807"/>
      <c r="AA527" s="807"/>
      <c r="AB527" s="807"/>
      <c r="AC527" s="807"/>
      <c r="AD527" s="807"/>
      <c r="AE527" s="807"/>
      <c r="AF527" s="807"/>
      <c r="AG527" s="807"/>
      <c r="AH527" s="807"/>
      <c r="AI527" s="807"/>
      <c r="AJ527" s="807"/>
      <c r="AK527" s="807"/>
      <c r="AL527" s="807"/>
      <c r="AM527" s="807"/>
      <c r="AN527" s="807"/>
      <c r="AO527" s="807"/>
      <c r="AP527" s="807"/>
    </row>
    <row r="528" spans="1:42" s="5" customFormat="1" x14ac:dyDescent="0.25">
      <c r="A528" s="805"/>
      <c r="B528" s="806"/>
      <c r="C528" s="806"/>
      <c r="D528" s="806"/>
      <c r="E528" s="807"/>
      <c r="F528" s="807"/>
      <c r="G528" s="807"/>
      <c r="H528" s="807"/>
      <c r="I528" s="807"/>
      <c r="J528" s="807"/>
      <c r="K528" s="807"/>
      <c r="L528" s="807"/>
      <c r="M528" s="807"/>
      <c r="N528" s="807"/>
      <c r="O528" s="807"/>
      <c r="P528" s="807"/>
      <c r="Q528" s="807"/>
      <c r="R528" s="807"/>
      <c r="S528" s="807"/>
      <c r="T528" s="807"/>
      <c r="U528" s="807"/>
      <c r="V528" s="807"/>
      <c r="W528" s="807"/>
      <c r="X528" s="807"/>
      <c r="Y528" s="807"/>
      <c r="Z528" s="807"/>
      <c r="AA528" s="807"/>
      <c r="AB528" s="807"/>
      <c r="AC528" s="807"/>
      <c r="AD528" s="807"/>
      <c r="AE528" s="807"/>
      <c r="AF528" s="807"/>
      <c r="AG528" s="807"/>
      <c r="AH528" s="807"/>
      <c r="AI528" s="807"/>
      <c r="AJ528" s="807"/>
      <c r="AK528" s="807"/>
      <c r="AL528" s="807"/>
      <c r="AM528" s="807"/>
      <c r="AN528" s="807"/>
      <c r="AO528" s="807"/>
      <c r="AP528" s="807"/>
    </row>
    <row r="529" spans="1:42" s="5" customFormat="1" x14ac:dyDescent="0.25">
      <c r="A529" s="805"/>
      <c r="B529" s="806"/>
      <c r="C529" s="806"/>
      <c r="D529" s="806"/>
      <c r="E529" s="807"/>
      <c r="F529" s="807"/>
      <c r="G529" s="807"/>
      <c r="H529" s="807"/>
      <c r="I529" s="807"/>
      <c r="J529" s="807"/>
      <c r="K529" s="807"/>
      <c r="L529" s="807"/>
      <c r="M529" s="807"/>
      <c r="N529" s="807"/>
      <c r="O529" s="807"/>
      <c r="P529" s="807"/>
      <c r="Q529" s="807"/>
      <c r="R529" s="807"/>
      <c r="S529" s="807"/>
      <c r="T529" s="807"/>
      <c r="U529" s="807"/>
      <c r="V529" s="807"/>
      <c r="W529" s="807"/>
      <c r="X529" s="807"/>
      <c r="Y529" s="807"/>
      <c r="Z529" s="807"/>
      <c r="AA529" s="807"/>
      <c r="AB529" s="807"/>
      <c r="AC529" s="807"/>
      <c r="AD529" s="807"/>
      <c r="AE529" s="807"/>
      <c r="AF529" s="807"/>
      <c r="AG529" s="807"/>
      <c r="AH529" s="807"/>
      <c r="AI529" s="807"/>
      <c r="AJ529" s="807"/>
      <c r="AK529" s="807"/>
      <c r="AL529" s="807"/>
      <c r="AM529" s="807"/>
      <c r="AN529" s="807"/>
      <c r="AO529" s="807"/>
      <c r="AP529" s="807"/>
    </row>
    <row r="530" spans="1:42" s="5" customFormat="1" x14ac:dyDescent="0.25">
      <c r="A530" s="805"/>
      <c r="B530" s="806"/>
      <c r="C530" s="806"/>
      <c r="D530" s="806"/>
      <c r="E530" s="807"/>
      <c r="F530" s="807"/>
      <c r="G530" s="807"/>
      <c r="H530" s="807"/>
      <c r="I530" s="807"/>
      <c r="J530" s="807"/>
      <c r="K530" s="807"/>
      <c r="L530" s="807"/>
      <c r="M530" s="807"/>
      <c r="N530" s="807"/>
      <c r="O530" s="807"/>
      <c r="P530" s="807"/>
      <c r="Q530" s="807"/>
      <c r="R530" s="807"/>
      <c r="S530" s="807"/>
      <c r="T530" s="807"/>
      <c r="U530" s="807"/>
      <c r="V530" s="807"/>
      <c r="W530" s="807"/>
      <c r="X530" s="807"/>
      <c r="Y530" s="807"/>
      <c r="Z530" s="807"/>
      <c r="AA530" s="807"/>
      <c r="AB530" s="807"/>
      <c r="AC530" s="807"/>
      <c r="AD530" s="807"/>
      <c r="AE530" s="807"/>
      <c r="AF530" s="807"/>
      <c r="AG530" s="807"/>
      <c r="AH530" s="807"/>
      <c r="AI530" s="807"/>
      <c r="AJ530" s="807"/>
      <c r="AK530" s="807"/>
      <c r="AL530" s="807"/>
      <c r="AM530" s="807"/>
      <c r="AN530" s="807"/>
      <c r="AO530" s="807"/>
      <c r="AP530" s="807"/>
    </row>
    <row r="531" spans="1:42" s="5" customFormat="1" x14ac:dyDescent="0.25">
      <c r="A531" s="805"/>
      <c r="B531" s="806"/>
      <c r="C531" s="806"/>
      <c r="D531" s="806"/>
      <c r="E531" s="807"/>
      <c r="F531" s="807"/>
      <c r="G531" s="807"/>
      <c r="H531" s="807"/>
      <c r="I531" s="807"/>
      <c r="J531" s="807"/>
      <c r="K531" s="807"/>
      <c r="L531" s="807"/>
      <c r="M531" s="807"/>
      <c r="N531" s="807"/>
      <c r="O531" s="807"/>
      <c r="P531" s="807"/>
      <c r="Q531" s="807"/>
      <c r="R531" s="807"/>
      <c r="S531" s="807"/>
      <c r="T531" s="807"/>
      <c r="U531" s="807"/>
      <c r="V531" s="807"/>
      <c r="W531" s="807"/>
      <c r="X531" s="807"/>
      <c r="Y531" s="807"/>
      <c r="Z531" s="807"/>
      <c r="AA531" s="807"/>
      <c r="AB531" s="807"/>
      <c r="AC531" s="807"/>
      <c r="AD531" s="807"/>
      <c r="AE531" s="807"/>
      <c r="AF531" s="807"/>
      <c r="AG531" s="807"/>
      <c r="AH531" s="807"/>
      <c r="AI531" s="807"/>
      <c r="AJ531" s="807"/>
      <c r="AK531" s="807"/>
      <c r="AL531" s="807"/>
      <c r="AM531" s="807"/>
      <c r="AN531" s="807"/>
      <c r="AO531" s="807"/>
      <c r="AP531" s="807"/>
    </row>
    <row r="532" spans="1:42" s="5" customFormat="1" x14ac:dyDescent="0.25">
      <c r="A532" s="805"/>
      <c r="B532" s="806"/>
      <c r="C532" s="806"/>
      <c r="D532" s="806"/>
      <c r="E532" s="807"/>
      <c r="F532" s="807"/>
      <c r="G532" s="807"/>
      <c r="H532" s="807"/>
      <c r="I532" s="807"/>
      <c r="J532" s="807"/>
      <c r="K532" s="807"/>
      <c r="L532" s="807"/>
      <c r="M532" s="807"/>
      <c r="N532" s="807"/>
      <c r="O532" s="807"/>
      <c r="P532" s="807"/>
      <c r="Q532" s="807"/>
      <c r="R532" s="807"/>
      <c r="S532" s="807"/>
      <c r="T532" s="807"/>
      <c r="U532" s="807"/>
      <c r="V532" s="807"/>
      <c r="W532" s="807"/>
      <c r="X532" s="807"/>
      <c r="Y532" s="807"/>
      <c r="Z532" s="807"/>
      <c r="AA532" s="807"/>
      <c r="AB532" s="807"/>
      <c r="AC532" s="807"/>
      <c r="AD532" s="807"/>
      <c r="AE532" s="807"/>
      <c r="AF532" s="807"/>
      <c r="AG532" s="807"/>
      <c r="AH532" s="807"/>
      <c r="AI532" s="807"/>
      <c r="AJ532" s="807"/>
      <c r="AK532" s="807"/>
      <c r="AL532" s="807"/>
      <c r="AM532" s="807"/>
      <c r="AN532" s="807"/>
      <c r="AO532" s="807"/>
      <c r="AP532" s="807"/>
    </row>
    <row r="533" spans="1:42" s="5" customFormat="1" x14ac:dyDescent="0.25">
      <c r="A533" s="805"/>
      <c r="B533" s="806"/>
      <c r="C533" s="806"/>
      <c r="D533" s="806"/>
      <c r="E533" s="807"/>
      <c r="F533" s="807"/>
      <c r="G533" s="807"/>
      <c r="H533" s="807"/>
      <c r="I533" s="807"/>
      <c r="J533" s="807"/>
      <c r="K533" s="807"/>
      <c r="L533" s="807"/>
      <c r="M533" s="807"/>
      <c r="N533" s="807"/>
      <c r="O533" s="807"/>
      <c r="P533" s="807"/>
      <c r="Q533" s="807"/>
      <c r="R533" s="807"/>
      <c r="S533" s="807"/>
      <c r="T533" s="807"/>
      <c r="U533" s="807"/>
      <c r="V533" s="807"/>
      <c r="W533" s="807"/>
      <c r="X533" s="807"/>
      <c r="Y533" s="807"/>
      <c r="Z533" s="807"/>
      <c r="AA533" s="807"/>
      <c r="AB533" s="807"/>
      <c r="AC533" s="807"/>
      <c r="AD533" s="807"/>
      <c r="AE533" s="807"/>
      <c r="AF533" s="807"/>
      <c r="AG533" s="807"/>
      <c r="AH533" s="807"/>
      <c r="AI533" s="807"/>
      <c r="AJ533" s="807"/>
      <c r="AK533" s="807"/>
      <c r="AL533" s="807"/>
      <c r="AM533" s="807"/>
      <c r="AN533" s="807"/>
      <c r="AO533" s="807"/>
      <c r="AP533" s="807"/>
    </row>
    <row r="534" spans="1:42" s="5" customFormat="1" x14ac:dyDescent="0.25">
      <c r="A534" s="805"/>
      <c r="B534" s="806"/>
      <c r="C534" s="806"/>
      <c r="D534" s="806"/>
      <c r="E534" s="807"/>
      <c r="F534" s="807"/>
      <c r="G534" s="807"/>
      <c r="H534" s="807"/>
      <c r="I534" s="807"/>
      <c r="J534" s="807"/>
      <c r="K534" s="807"/>
      <c r="L534" s="807"/>
      <c r="M534" s="807"/>
      <c r="N534" s="807"/>
      <c r="O534" s="807"/>
      <c r="P534" s="807"/>
      <c r="Q534" s="807"/>
      <c r="R534" s="807"/>
      <c r="S534" s="807"/>
      <c r="T534" s="807"/>
      <c r="U534" s="807"/>
      <c r="V534" s="807"/>
      <c r="W534" s="807"/>
      <c r="X534" s="807"/>
      <c r="Y534" s="807"/>
      <c r="Z534" s="807"/>
      <c r="AA534" s="807"/>
      <c r="AB534" s="807"/>
      <c r="AC534" s="807"/>
      <c r="AD534" s="807"/>
      <c r="AE534" s="807"/>
      <c r="AF534" s="807"/>
      <c r="AG534" s="807"/>
      <c r="AH534" s="807"/>
      <c r="AI534" s="807"/>
      <c r="AJ534" s="807"/>
      <c r="AK534" s="807"/>
      <c r="AL534" s="807"/>
      <c r="AM534" s="807"/>
      <c r="AN534" s="807"/>
      <c r="AO534" s="807"/>
      <c r="AP534" s="807"/>
    </row>
    <row r="535" spans="1:42" s="5" customFormat="1" x14ac:dyDescent="0.25">
      <c r="A535" s="805"/>
      <c r="B535" s="806"/>
      <c r="C535" s="806"/>
      <c r="D535" s="806"/>
      <c r="E535" s="807"/>
      <c r="F535" s="807"/>
      <c r="G535" s="807"/>
      <c r="H535" s="807"/>
      <c r="I535" s="807"/>
      <c r="J535" s="807"/>
      <c r="K535" s="807"/>
      <c r="L535" s="807"/>
      <c r="M535" s="807"/>
      <c r="N535" s="807"/>
      <c r="O535" s="807"/>
      <c r="P535" s="807"/>
      <c r="Q535" s="807"/>
      <c r="R535" s="807"/>
      <c r="S535" s="807"/>
      <c r="T535" s="807"/>
      <c r="U535" s="807"/>
      <c r="V535" s="807"/>
      <c r="W535" s="807"/>
      <c r="X535" s="807"/>
      <c r="Y535" s="807"/>
      <c r="Z535" s="807"/>
      <c r="AA535" s="807"/>
      <c r="AB535" s="807"/>
      <c r="AC535" s="807"/>
      <c r="AD535" s="807"/>
      <c r="AE535" s="807"/>
      <c r="AF535" s="807"/>
      <c r="AG535" s="807"/>
      <c r="AH535" s="807"/>
      <c r="AI535" s="807"/>
      <c r="AJ535" s="807"/>
      <c r="AK535" s="807"/>
      <c r="AL535" s="807"/>
      <c r="AM535" s="807"/>
      <c r="AN535" s="807"/>
      <c r="AO535" s="807"/>
      <c r="AP535" s="807"/>
    </row>
    <row r="536" spans="1:42" s="5" customFormat="1" x14ac:dyDescent="0.25">
      <c r="A536" s="805"/>
      <c r="B536" s="806"/>
      <c r="C536" s="806"/>
      <c r="D536" s="806"/>
      <c r="E536" s="807"/>
      <c r="F536" s="807"/>
      <c r="G536" s="807"/>
      <c r="H536" s="807"/>
      <c r="I536" s="807"/>
      <c r="J536" s="807"/>
      <c r="K536" s="807"/>
      <c r="L536" s="807"/>
      <c r="M536" s="807"/>
      <c r="N536" s="807"/>
      <c r="O536" s="807"/>
      <c r="P536" s="807"/>
      <c r="Q536" s="807"/>
      <c r="R536" s="807"/>
      <c r="S536" s="807"/>
      <c r="T536" s="807"/>
      <c r="U536" s="807"/>
      <c r="V536" s="807"/>
      <c r="W536" s="807"/>
      <c r="X536" s="807"/>
      <c r="Y536" s="807"/>
      <c r="Z536" s="807"/>
      <c r="AA536" s="807"/>
      <c r="AB536" s="807"/>
      <c r="AC536" s="807"/>
      <c r="AD536" s="807"/>
      <c r="AE536" s="807"/>
      <c r="AF536" s="807"/>
      <c r="AG536" s="807"/>
      <c r="AH536" s="807"/>
      <c r="AI536" s="807"/>
      <c r="AJ536" s="807"/>
      <c r="AK536" s="807"/>
      <c r="AL536" s="807"/>
      <c r="AM536" s="807"/>
      <c r="AN536" s="807"/>
      <c r="AO536" s="807"/>
      <c r="AP536" s="807"/>
    </row>
    <row r="537" spans="1:42" s="5" customFormat="1" x14ac:dyDescent="0.25">
      <c r="A537" s="805"/>
      <c r="B537" s="806"/>
      <c r="C537" s="806"/>
      <c r="D537" s="806"/>
      <c r="E537" s="807"/>
      <c r="F537" s="807"/>
      <c r="G537" s="807"/>
      <c r="H537" s="807"/>
      <c r="I537" s="807"/>
      <c r="J537" s="807"/>
      <c r="K537" s="807"/>
      <c r="L537" s="807"/>
      <c r="M537" s="807"/>
      <c r="N537" s="807"/>
      <c r="O537" s="807"/>
      <c r="P537" s="807"/>
      <c r="Q537" s="807"/>
      <c r="R537" s="807"/>
      <c r="S537" s="807"/>
      <c r="T537" s="807"/>
      <c r="U537" s="807"/>
      <c r="V537" s="807"/>
      <c r="W537" s="807"/>
      <c r="X537" s="807"/>
      <c r="Y537" s="807"/>
      <c r="Z537" s="807"/>
      <c r="AA537" s="807"/>
      <c r="AB537" s="807"/>
      <c r="AC537" s="807"/>
      <c r="AD537" s="807"/>
      <c r="AE537" s="807"/>
      <c r="AF537" s="807"/>
      <c r="AG537" s="807"/>
      <c r="AH537" s="807"/>
      <c r="AI537" s="807"/>
      <c r="AJ537" s="807"/>
      <c r="AK537" s="807"/>
      <c r="AL537" s="807"/>
      <c r="AM537" s="807"/>
      <c r="AN537" s="807"/>
      <c r="AO537" s="807"/>
      <c r="AP537" s="807"/>
    </row>
    <row r="538" spans="1:42" s="5" customFormat="1" x14ac:dyDescent="0.25">
      <c r="A538" s="805"/>
      <c r="B538" s="806"/>
      <c r="C538" s="806"/>
      <c r="D538" s="806"/>
      <c r="E538" s="807"/>
      <c r="F538" s="807"/>
      <c r="G538" s="807"/>
      <c r="H538" s="807"/>
      <c r="I538" s="807"/>
      <c r="J538" s="807"/>
      <c r="K538" s="807"/>
      <c r="L538" s="807"/>
      <c r="M538" s="807"/>
      <c r="N538" s="807"/>
      <c r="O538" s="807"/>
      <c r="P538" s="807"/>
      <c r="Q538" s="807"/>
      <c r="R538" s="807"/>
      <c r="S538" s="807"/>
      <c r="T538" s="807"/>
      <c r="U538" s="807"/>
      <c r="V538" s="807"/>
      <c r="W538" s="807"/>
      <c r="X538" s="807"/>
      <c r="Y538" s="807"/>
      <c r="Z538" s="807"/>
      <c r="AA538" s="807"/>
      <c r="AB538" s="807"/>
      <c r="AC538" s="807"/>
      <c r="AD538" s="807"/>
      <c r="AE538" s="807"/>
      <c r="AF538" s="807"/>
      <c r="AG538" s="807"/>
      <c r="AH538" s="807"/>
      <c r="AI538" s="807"/>
      <c r="AJ538" s="807"/>
      <c r="AK538" s="807"/>
      <c r="AL538" s="807"/>
      <c r="AM538" s="807"/>
      <c r="AN538" s="807"/>
      <c r="AO538" s="807"/>
      <c r="AP538" s="807"/>
    </row>
    <row r="539" spans="1:42" s="5" customFormat="1" x14ac:dyDescent="0.25">
      <c r="A539" s="805"/>
      <c r="B539" s="806"/>
      <c r="C539" s="806"/>
      <c r="D539" s="806"/>
      <c r="E539" s="807"/>
      <c r="F539" s="807"/>
      <c r="G539" s="807"/>
      <c r="H539" s="807"/>
      <c r="I539" s="807"/>
      <c r="J539" s="807"/>
      <c r="K539" s="807"/>
      <c r="L539" s="807"/>
      <c r="M539" s="807"/>
      <c r="N539" s="807"/>
      <c r="O539" s="807"/>
      <c r="P539" s="807"/>
      <c r="Q539" s="807"/>
      <c r="R539" s="807"/>
      <c r="S539" s="807"/>
      <c r="T539" s="807"/>
      <c r="U539" s="807"/>
      <c r="V539" s="807"/>
      <c r="W539" s="807"/>
      <c r="X539" s="807"/>
      <c r="Y539" s="807"/>
      <c r="Z539" s="807"/>
      <c r="AA539" s="807"/>
      <c r="AB539" s="807"/>
      <c r="AC539" s="807"/>
      <c r="AD539" s="807"/>
      <c r="AE539" s="807"/>
      <c r="AF539" s="807"/>
      <c r="AG539" s="807"/>
      <c r="AH539" s="807"/>
      <c r="AI539" s="807"/>
      <c r="AJ539" s="807"/>
      <c r="AK539" s="807"/>
      <c r="AL539" s="807"/>
      <c r="AM539" s="807"/>
      <c r="AN539" s="807"/>
      <c r="AO539" s="807"/>
      <c r="AP539" s="807"/>
    </row>
    <row r="540" spans="1:42" s="5" customFormat="1" x14ac:dyDescent="0.25">
      <c r="A540" s="805"/>
      <c r="B540" s="806"/>
      <c r="C540" s="806"/>
      <c r="D540" s="806"/>
      <c r="E540" s="807"/>
      <c r="F540" s="807"/>
      <c r="G540" s="807"/>
      <c r="H540" s="807"/>
      <c r="I540" s="807"/>
      <c r="J540" s="807"/>
      <c r="K540" s="807"/>
      <c r="L540" s="807"/>
      <c r="M540" s="807"/>
      <c r="N540" s="807"/>
      <c r="O540" s="807"/>
      <c r="P540" s="807"/>
      <c r="Q540" s="807"/>
      <c r="R540" s="807"/>
      <c r="S540" s="807"/>
      <c r="T540" s="807"/>
      <c r="U540" s="807"/>
      <c r="V540" s="807"/>
      <c r="W540" s="807"/>
      <c r="X540" s="807"/>
      <c r="Y540" s="807"/>
      <c r="Z540" s="807"/>
      <c r="AA540" s="807"/>
      <c r="AB540" s="807"/>
      <c r="AC540" s="807"/>
      <c r="AD540" s="807"/>
      <c r="AE540" s="807"/>
      <c r="AF540" s="807"/>
      <c r="AG540" s="807"/>
      <c r="AH540" s="807"/>
      <c r="AI540" s="807"/>
      <c r="AJ540" s="807"/>
      <c r="AK540" s="807"/>
      <c r="AL540" s="807"/>
      <c r="AM540" s="807"/>
      <c r="AN540" s="807"/>
      <c r="AO540" s="807"/>
      <c r="AP540" s="807"/>
    </row>
    <row r="541" spans="1:42" s="5" customFormat="1" x14ac:dyDescent="0.25">
      <c r="A541" s="805"/>
      <c r="B541" s="806"/>
      <c r="C541" s="806"/>
      <c r="D541" s="806"/>
      <c r="E541" s="807"/>
      <c r="F541" s="807"/>
      <c r="G541" s="807"/>
      <c r="H541" s="807"/>
      <c r="I541" s="807"/>
      <c r="J541" s="807"/>
      <c r="K541" s="807"/>
      <c r="L541" s="807"/>
      <c r="M541" s="807"/>
      <c r="N541" s="807"/>
      <c r="O541" s="807"/>
      <c r="P541" s="807"/>
      <c r="Q541" s="807"/>
      <c r="R541" s="807"/>
      <c r="S541" s="807"/>
      <c r="T541" s="807"/>
      <c r="U541" s="807"/>
      <c r="V541" s="807"/>
      <c r="W541" s="807"/>
      <c r="X541" s="807"/>
      <c r="Y541" s="807"/>
      <c r="Z541" s="807"/>
      <c r="AA541" s="807"/>
      <c r="AB541" s="807"/>
      <c r="AC541" s="807"/>
      <c r="AD541" s="807"/>
      <c r="AE541" s="807"/>
      <c r="AF541" s="807"/>
      <c r="AG541" s="807"/>
      <c r="AH541" s="807"/>
      <c r="AI541" s="807"/>
      <c r="AJ541" s="807"/>
      <c r="AK541" s="807"/>
      <c r="AL541" s="807"/>
      <c r="AM541" s="807"/>
      <c r="AN541" s="807"/>
      <c r="AO541" s="807"/>
      <c r="AP541" s="807"/>
    </row>
    <row r="542" spans="1:42" s="5" customFormat="1" x14ac:dyDescent="0.25">
      <c r="A542" s="805"/>
      <c r="B542" s="806"/>
      <c r="C542" s="806"/>
      <c r="D542" s="806"/>
      <c r="E542" s="807"/>
      <c r="F542" s="807"/>
      <c r="G542" s="807"/>
      <c r="H542" s="807"/>
      <c r="I542" s="807"/>
      <c r="J542" s="807"/>
      <c r="K542" s="807"/>
      <c r="L542" s="807"/>
      <c r="M542" s="807"/>
      <c r="N542" s="807"/>
      <c r="O542" s="807"/>
      <c r="P542" s="807"/>
      <c r="Q542" s="807"/>
      <c r="R542" s="807"/>
      <c r="S542" s="807"/>
      <c r="T542" s="807"/>
      <c r="U542" s="807"/>
      <c r="V542" s="807"/>
      <c r="W542" s="807"/>
      <c r="X542" s="807"/>
      <c r="Y542" s="807"/>
      <c r="Z542" s="807"/>
      <c r="AA542" s="807"/>
      <c r="AB542" s="807"/>
      <c r="AC542" s="807"/>
      <c r="AD542" s="807"/>
      <c r="AE542" s="807"/>
      <c r="AF542" s="807"/>
      <c r="AG542" s="807"/>
      <c r="AH542" s="807"/>
      <c r="AI542" s="807"/>
      <c r="AJ542" s="807"/>
      <c r="AK542" s="807"/>
      <c r="AL542" s="807"/>
      <c r="AM542" s="807"/>
      <c r="AN542" s="807"/>
      <c r="AO542" s="807"/>
      <c r="AP542" s="807"/>
    </row>
    <row r="543" spans="1:42" s="5" customFormat="1" x14ac:dyDescent="0.25">
      <c r="A543" s="805"/>
      <c r="B543" s="806"/>
      <c r="C543" s="806"/>
      <c r="D543" s="806"/>
      <c r="E543" s="807"/>
      <c r="F543" s="807"/>
      <c r="G543" s="807"/>
      <c r="H543" s="807"/>
      <c r="I543" s="807"/>
      <c r="J543" s="807"/>
      <c r="K543" s="807"/>
      <c r="L543" s="807"/>
      <c r="M543" s="807"/>
      <c r="N543" s="807"/>
      <c r="O543" s="807"/>
      <c r="P543" s="807"/>
      <c r="Q543" s="807"/>
      <c r="R543" s="807"/>
      <c r="S543" s="807"/>
      <c r="T543" s="807"/>
      <c r="U543" s="807"/>
      <c r="V543" s="807"/>
      <c r="W543" s="807"/>
      <c r="X543" s="807"/>
      <c r="Y543" s="807"/>
      <c r="Z543" s="807"/>
      <c r="AA543" s="807"/>
      <c r="AB543" s="807"/>
      <c r="AC543" s="807"/>
      <c r="AD543" s="807"/>
      <c r="AE543" s="807"/>
      <c r="AF543" s="807"/>
      <c r="AG543" s="807"/>
      <c r="AH543" s="807"/>
      <c r="AI543" s="807"/>
      <c r="AJ543" s="807"/>
      <c r="AK543" s="807"/>
      <c r="AL543" s="807"/>
      <c r="AM543" s="807"/>
      <c r="AN543" s="807"/>
      <c r="AO543" s="807"/>
      <c r="AP543" s="807"/>
    </row>
    <row r="544" spans="1:42" s="5" customFormat="1" x14ac:dyDescent="0.25">
      <c r="A544" s="805"/>
      <c r="B544" s="806"/>
      <c r="C544" s="806"/>
      <c r="D544" s="806"/>
      <c r="E544" s="807"/>
      <c r="F544" s="807"/>
      <c r="G544" s="807"/>
      <c r="H544" s="807"/>
      <c r="I544" s="807"/>
      <c r="J544" s="807"/>
      <c r="K544" s="807"/>
      <c r="L544" s="807"/>
      <c r="M544" s="807"/>
      <c r="N544" s="807"/>
      <c r="O544" s="807"/>
      <c r="P544" s="807"/>
      <c r="Q544" s="807"/>
      <c r="R544" s="807"/>
      <c r="S544" s="807"/>
      <c r="T544" s="807"/>
      <c r="U544" s="807"/>
      <c r="V544" s="807"/>
      <c r="W544" s="807"/>
      <c r="X544" s="807"/>
      <c r="Y544" s="807"/>
      <c r="Z544" s="807"/>
      <c r="AA544" s="807"/>
      <c r="AB544" s="807"/>
      <c r="AC544" s="807"/>
      <c r="AD544" s="807"/>
      <c r="AE544" s="807"/>
      <c r="AF544" s="807"/>
      <c r="AG544" s="807"/>
      <c r="AH544" s="807"/>
      <c r="AI544" s="807"/>
      <c r="AJ544" s="807"/>
      <c r="AK544" s="807"/>
      <c r="AL544" s="807"/>
      <c r="AM544" s="807"/>
      <c r="AN544" s="807"/>
      <c r="AO544" s="807"/>
      <c r="AP544" s="807"/>
    </row>
    <row r="545" spans="1:42" s="5" customFormat="1" x14ac:dyDescent="0.25">
      <c r="A545" s="805"/>
      <c r="B545" s="806"/>
      <c r="C545" s="806"/>
      <c r="D545" s="806"/>
      <c r="E545" s="807"/>
      <c r="F545" s="807"/>
      <c r="G545" s="807"/>
      <c r="H545" s="807"/>
      <c r="I545" s="807"/>
      <c r="J545" s="807"/>
      <c r="K545" s="807"/>
      <c r="L545" s="807"/>
      <c r="M545" s="807"/>
      <c r="N545" s="807"/>
      <c r="O545" s="807"/>
      <c r="P545" s="807"/>
      <c r="Q545" s="807"/>
      <c r="R545" s="807"/>
      <c r="S545" s="807"/>
      <c r="T545" s="807"/>
      <c r="U545" s="807"/>
      <c r="V545" s="807"/>
      <c r="W545" s="807"/>
      <c r="X545" s="807"/>
      <c r="Y545" s="807"/>
      <c r="Z545" s="807"/>
      <c r="AA545" s="807"/>
      <c r="AB545" s="807"/>
      <c r="AC545" s="807"/>
      <c r="AD545" s="807"/>
      <c r="AE545" s="807"/>
      <c r="AF545" s="807"/>
      <c r="AG545" s="807"/>
      <c r="AH545" s="807"/>
      <c r="AI545" s="807"/>
      <c r="AJ545" s="807"/>
      <c r="AK545" s="807"/>
      <c r="AL545" s="807"/>
      <c r="AM545" s="807"/>
      <c r="AN545" s="807"/>
      <c r="AO545" s="807"/>
      <c r="AP545" s="807"/>
    </row>
    <row r="546" spans="1:42" s="5" customFormat="1" x14ac:dyDescent="0.25">
      <c r="A546" s="805"/>
      <c r="B546" s="806"/>
      <c r="C546" s="806"/>
      <c r="D546" s="806"/>
      <c r="E546" s="807"/>
      <c r="F546" s="807"/>
      <c r="G546" s="807"/>
      <c r="H546" s="807"/>
      <c r="I546" s="807"/>
      <c r="J546" s="807"/>
      <c r="K546" s="807"/>
      <c r="L546" s="807"/>
      <c r="M546" s="807"/>
      <c r="N546" s="807"/>
      <c r="O546" s="807"/>
      <c r="P546" s="807"/>
      <c r="Q546" s="807"/>
      <c r="R546" s="807"/>
      <c r="S546" s="807"/>
      <c r="T546" s="807"/>
      <c r="U546" s="807"/>
      <c r="V546" s="807"/>
      <c r="W546" s="807"/>
      <c r="X546" s="807"/>
      <c r="Y546" s="807"/>
      <c r="Z546" s="807"/>
      <c r="AA546" s="807"/>
      <c r="AB546" s="807"/>
      <c r="AC546" s="807"/>
      <c r="AD546" s="807"/>
      <c r="AE546" s="807"/>
      <c r="AF546" s="807"/>
      <c r="AG546" s="807"/>
      <c r="AH546" s="807"/>
      <c r="AI546" s="807"/>
      <c r="AJ546" s="807"/>
      <c r="AK546" s="807"/>
      <c r="AL546" s="807"/>
      <c r="AM546" s="807"/>
      <c r="AN546" s="807"/>
      <c r="AO546" s="807"/>
      <c r="AP546" s="807"/>
    </row>
    <row r="547" spans="1:42" s="5" customFormat="1" x14ac:dyDescent="0.25">
      <c r="A547" s="805"/>
      <c r="B547" s="806"/>
      <c r="C547" s="806"/>
      <c r="D547" s="806"/>
      <c r="E547" s="807"/>
      <c r="F547" s="807"/>
      <c r="G547" s="807"/>
      <c r="H547" s="807"/>
      <c r="I547" s="807"/>
      <c r="J547" s="807"/>
      <c r="K547" s="807"/>
      <c r="L547" s="807"/>
      <c r="M547" s="807"/>
      <c r="N547" s="807"/>
      <c r="O547" s="807"/>
      <c r="P547" s="807"/>
      <c r="Q547" s="807"/>
      <c r="R547" s="807"/>
      <c r="S547" s="807"/>
      <c r="T547" s="807"/>
      <c r="U547" s="807"/>
      <c r="V547" s="807"/>
      <c r="W547" s="807"/>
      <c r="X547" s="807"/>
      <c r="Y547" s="807"/>
      <c r="Z547" s="807"/>
      <c r="AA547" s="807"/>
      <c r="AB547" s="807"/>
      <c r="AC547" s="807"/>
      <c r="AD547" s="807"/>
      <c r="AE547" s="807"/>
      <c r="AF547" s="807"/>
      <c r="AG547" s="807"/>
      <c r="AH547" s="807"/>
      <c r="AI547" s="807"/>
      <c r="AJ547" s="807"/>
      <c r="AK547" s="807"/>
      <c r="AL547" s="807"/>
      <c r="AM547" s="807"/>
      <c r="AN547" s="807"/>
      <c r="AO547" s="807"/>
      <c r="AP547" s="807"/>
    </row>
    <row r="548" spans="1:42" s="5" customFormat="1" x14ac:dyDescent="0.25">
      <c r="A548" s="805"/>
      <c r="B548" s="806"/>
      <c r="C548" s="806"/>
      <c r="D548" s="806"/>
      <c r="E548" s="807"/>
      <c r="F548" s="807"/>
      <c r="G548" s="807"/>
      <c r="H548" s="807"/>
      <c r="I548" s="807"/>
      <c r="J548" s="807"/>
      <c r="K548" s="807"/>
      <c r="L548" s="807"/>
      <c r="M548" s="807"/>
      <c r="N548" s="807"/>
      <c r="O548" s="807"/>
      <c r="P548" s="807"/>
      <c r="Q548" s="807"/>
      <c r="R548" s="807"/>
      <c r="S548" s="807"/>
      <c r="T548" s="807"/>
      <c r="U548" s="807"/>
      <c r="V548" s="807"/>
      <c r="W548" s="807"/>
      <c r="X548" s="807"/>
      <c r="Y548" s="807"/>
      <c r="Z548" s="807"/>
      <c r="AA548" s="807"/>
      <c r="AB548" s="807"/>
      <c r="AC548" s="807"/>
      <c r="AD548" s="807"/>
      <c r="AE548" s="807"/>
      <c r="AF548" s="807"/>
      <c r="AG548" s="807"/>
      <c r="AH548" s="807"/>
      <c r="AI548" s="807"/>
      <c r="AJ548" s="807"/>
      <c r="AK548" s="807"/>
      <c r="AL548" s="807"/>
      <c r="AM548" s="807"/>
      <c r="AN548" s="807"/>
      <c r="AO548" s="807"/>
      <c r="AP548" s="807"/>
    </row>
    <row r="549" spans="1:42" s="5" customFormat="1" x14ac:dyDescent="0.25">
      <c r="A549" s="805"/>
      <c r="B549" s="806"/>
      <c r="C549" s="806"/>
      <c r="D549" s="806"/>
      <c r="E549" s="807"/>
      <c r="F549" s="807"/>
      <c r="G549" s="807"/>
      <c r="H549" s="807"/>
      <c r="I549" s="807"/>
      <c r="J549" s="807"/>
      <c r="K549" s="807"/>
      <c r="L549" s="807"/>
      <c r="M549" s="807"/>
      <c r="N549" s="807"/>
      <c r="O549" s="807"/>
      <c r="P549" s="807"/>
      <c r="Q549" s="807"/>
      <c r="R549" s="807"/>
      <c r="S549" s="807"/>
      <c r="T549" s="807"/>
      <c r="U549" s="807"/>
      <c r="V549" s="807"/>
      <c r="W549" s="807"/>
      <c r="X549" s="807"/>
      <c r="Y549" s="807"/>
      <c r="Z549" s="807"/>
      <c r="AA549" s="807"/>
      <c r="AB549" s="807"/>
      <c r="AC549" s="807"/>
      <c r="AD549" s="807"/>
      <c r="AE549" s="807"/>
      <c r="AF549" s="807"/>
      <c r="AG549" s="807"/>
      <c r="AH549" s="807"/>
      <c r="AI549" s="807"/>
      <c r="AJ549" s="807"/>
      <c r="AK549" s="807"/>
      <c r="AL549" s="807"/>
      <c r="AM549" s="807"/>
      <c r="AN549" s="807"/>
      <c r="AO549" s="807"/>
      <c r="AP549" s="807"/>
    </row>
    <row r="550" spans="1:42" s="5" customFormat="1" x14ac:dyDescent="0.25">
      <c r="A550" s="805"/>
      <c r="B550" s="806"/>
      <c r="C550" s="806"/>
      <c r="D550" s="806"/>
      <c r="E550" s="807"/>
      <c r="F550" s="807"/>
      <c r="G550" s="807"/>
      <c r="H550" s="807"/>
      <c r="I550" s="807"/>
      <c r="J550" s="807"/>
      <c r="K550" s="807"/>
      <c r="L550" s="807"/>
      <c r="M550" s="807"/>
      <c r="N550" s="807"/>
      <c r="O550" s="807"/>
      <c r="P550" s="807"/>
      <c r="Q550" s="807"/>
      <c r="R550" s="807"/>
      <c r="S550" s="807"/>
      <c r="T550" s="807"/>
      <c r="U550" s="807"/>
      <c r="V550" s="807"/>
      <c r="W550" s="807"/>
      <c r="X550" s="807"/>
      <c r="Y550" s="807"/>
      <c r="Z550" s="807"/>
      <c r="AA550" s="807"/>
      <c r="AB550" s="807"/>
      <c r="AC550" s="807"/>
      <c r="AD550" s="807"/>
      <c r="AE550" s="807"/>
      <c r="AF550" s="807"/>
      <c r="AG550" s="807"/>
      <c r="AH550" s="807"/>
      <c r="AI550" s="807"/>
      <c r="AJ550" s="807"/>
      <c r="AK550" s="807"/>
      <c r="AL550" s="807"/>
      <c r="AM550" s="807"/>
      <c r="AN550" s="807"/>
      <c r="AO550" s="807"/>
      <c r="AP550" s="807"/>
    </row>
    <row r="551" spans="1:42" s="5" customFormat="1" x14ac:dyDescent="0.25">
      <c r="A551" s="805"/>
      <c r="B551" s="806"/>
      <c r="C551" s="806"/>
      <c r="D551" s="806"/>
      <c r="E551" s="807"/>
      <c r="F551" s="807"/>
      <c r="G551" s="807"/>
      <c r="H551" s="807"/>
      <c r="I551" s="807"/>
      <c r="J551" s="807"/>
      <c r="K551" s="807"/>
      <c r="L551" s="807"/>
      <c r="M551" s="807"/>
      <c r="N551" s="807"/>
      <c r="O551" s="807"/>
      <c r="P551" s="807"/>
      <c r="Q551" s="807"/>
      <c r="R551" s="807"/>
      <c r="S551" s="807"/>
      <c r="T551" s="807"/>
      <c r="U551" s="807"/>
      <c r="V551" s="807"/>
      <c r="W551" s="807"/>
      <c r="X551" s="807"/>
      <c r="Y551" s="807"/>
      <c r="Z551" s="807"/>
      <c r="AA551" s="807"/>
      <c r="AB551" s="807"/>
      <c r="AC551" s="807"/>
      <c r="AD551" s="807"/>
      <c r="AE551" s="807"/>
      <c r="AF551" s="807"/>
      <c r="AG551" s="807"/>
      <c r="AH551" s="807"/>
      <c r="AI551" s="807"/>
      <c r="AJ551" s="807"/>
      <c r="AK551" s="807"/>
      <c r="AL551" s="807"/>
      <c r="AM551" s="807"/>
      <c r="AN551" s="807"/>
      <c r="AO551" s="807"/>
      <c r="AP551" s="807"/>
    </row>
    <row r="552" spans="1:42" s="5" customFormat="1" x14ac:dyDescent="0.25">
      <c r="A552" s="805"/>
      <c r="B552" s="806"/>
      <c r="C552" s="806"/>
      <c r="D552" s="806"/>
      <c r="E552" s="807"/>
      <c r="F552" s="807"/>
      <c r="G552" s="807"/>
      <c r="H552" s="807"/>
      <c r="I552" s="807"/>
      <c r="J552" s="807"/>
      <c r="K552" s="807"/>
      <c r="L552" s="807"/>
      <c r="M552" s="807"/>
      <c r="N552" s="807"/>
      <c r="O552" s="807"/>
      <c r="P552" s="807"/>
      <c r="Q552" s="807"/>
      <c r="R552" s="807"/>
      <c r="S552" s="807"/>
      <c r="T552" s="807"/>
      <c r="U552" s="807"/>
      <c r="V552" s="807"/>
      <c r="W552" s="807"/>
      <c r="X552" s="807"/>
      <c r="Y552" s="807"/>
      <c r="Z552" s="807"/>
      <c r="AA552" s="807"/>
      <c r="AB552" s="807"/>
      <c r="AC552" s="807"/>
      <c r="AD552" s="807"/>
      <c r="AE552" s="807"/>
      <c r="AF552" s="807"/>
      <c r="AG552" s="807"/>
      <c r="AH552" s="807"/>
      <c r="AI552" s="807"/>
      <c r="AJ552" s="807"/>
      <c r="AK552" s="807"/>
      <c r="AL552" s="807"/>
      <c r="AM552" s="807"/>
      <c r="AN552" s="807"/>
      <c r="AO552" s="807"/>
      <c r="AP552" s="807"/>
    </row>
    <row r="553" spans="1:42" s="5" customFormat="1" x14ac:dyDescent="0.25">
      <c r="A553" s="805"/>
      <c r="B553" s="806"/>
      <c r="C553" s="806"/>
      <c r="D553" s="806"/>
      <c r="E553" s="807"/>
      <c r="F553" s="807"/>
      <c r="G553" s="807"/>
      <c r="H553" s="807"/>
      <c r="I553" s="807"/>
      <c r="J553" s="807"/>
      <c r="K553" s="807"/>
      <c r="L553" s="807"/>
      <c r="M553" s="807"/>
      <c r="N553" s="807"/>
      <c r="O553" s="807"/>
      <c r="P553" s="807"/>
      <c r="Q553" s="807"/>
      <c r="R553" s="807"/>
      <c r="S553" s="807"/>
      <c r="T553" s="807"/>
      <c r="U553" s="807"/>
      <c r="V553" s="807"/>
      <c r="W553" s="807"/>
      <c r="X553" s="807"/>
      <c r="Y553" s="807"/>
      <c r="Z553" s="807"/>
      <c r="AA553" s="807"/>
      <c r="AB553" s="807"/>
      <c r="AC553" s="807"/>
      <c r="AD553" s="807"/>
      <c r="AE553" s="807"/>
      <c r="AF553" s="807"/>
      <c r="AG553" s="807"/>
      <c r="AH553" s="807"/>
      <c r="AI553" s="807"/>
      <c r="AJ553" s="807"/>
      <c r="AK553" s="807"/>
      <c r="AL553" s="807"/>
      <c r="AM553" s="807"/>
      <c r="AN553" s="807"/>
      <c r="AO553" s="807"/>
      <c r="AP553" s="807"/>
    </row>
    <row r="554" spans="1:42" s="5" customFormat="1" x14ac:dyDescent="0.25">
      <c r="A554" s="805"/>
      <c r="B554" s="806"/>
      <c r="C554" s="806"/>
      <c r="D554" s="806"/>
      <c r="E554" s="807"/>
      <c r="F554" s="807"/>
      <c r="G554" s="807"/>
      <c r="H554" s="807"/>
      <c r="I554" s="807"/>
      <c r="J554" s="807"/>
      <c r="K554" s="807"/>
      <c r="L554" s="807"/>
      <c r="M554" s="807"/>
      <c r="N554" s="807"/>
      <c r="O554" s="807"/>
      <c r="P554" s="807"/>
      <c r="Q554" s="807"/>
      <c r="R554" s="807"/>
      <c r="S554" s="807"/>
      <c r="T554" s="807"/>
      <c r="U554" s="807"/>
      <c r="V554" s="807"/>
      <c r="W554" s="807"/>
      <c r="X554" s="807"/>
      <c r="Y554" s="807"/>
      <c r="Z554" s="807"/>
      <c r="AA554" s="807"/>
      <c r="AB554" s="807"/>
      <c r="AC554" s="807"/>
      <c r="AD554" s="807"/>
      <c r="AE554" s="807"/>
      <c r="AF554" s="807"/>
      <c r="AG554" s="807"/>
      <c r="AH554" s="807"/>
      <c r="AI554" s="807"/>
      <c r="AJ554" s="807"/>
      <c r="AK554" s="807"/>
      <c r="AL554" s="807"/>
      <c r="AM554" s="807"/>
      <c r="AN554" s="807"/>
      <c r="AO554" s="807"/>
      <c r="AP554" s="807"/>
    </row>
    <row r="555" spans="1:42" s="5" customFormat="1" x14ac:dyDescent="0.25">
      <c r="A555" s="805"/>
      <c r="B555" s="806"/>
      <c r="C555" s="806"/>
      <c r="D555" s="806"/>
      <c r="E555" s="807"/>
      <c r="F555" s="807"/>
      <c r="G555" s="807"/>
      <c r="H555" s="807"/>
      <c r="I555" s="807"/>
      <c r="J555" s="807"/>
      <c r="K555" s="807"/>
      <c r="L555" s="807"/>
      <c r="M555" s="807"/>
      <c r="N555" s="807"/>
      <c r="O555" s="807"/>
      <c r="P555" s="807"/>
      <c r="Q555" s="807"/>
      <c r="R555" s="807"/>
      <c r="S555" s="807"/>
      <c r="T555" s="807"/>
      <c r="U555" s="807"/>
      <c r="V555" s="807"/>
      <c r="W555" s="807"/>
      <c r="X555" s="807"/>
      <c r="Y555" s="807"/>
      <c r="Z555" s="807"/>
      <c r="AA555" s="807"/>
      <c r="AB555" s="807"/>
      <c r="AC555" s="807"/>
      <c r="AD555" s="807"/>
      <c r="AE555" s="807"/>
      <c r="AF555" s="807"/>
      <c r="AG555" s="807"/>
      <c r="AH555" s="807"/>
      <c r="AI555" s="807"/>
      <c r="AJ555" s="807"/>
      <c r="AK555" s="807"/>
      <c r="AL555" s="807"/>
      <c r="AM555" s="807"/>
      <c r="AN555" s="807"/>
      <c r="AO555" s="807"/>
      <c r="AP555" s="807"/>
    </row>
    <row r="556" spans="1:42" s="5" customFormat="1" x14ac:dyDescent="0.25">
      <c r="A556" s="805"/>
      <c r="B556" s="806"/>
      <c r="C556" s="806"/>
      <c r="D556" s="806"/>
      <c r="E556" s="807"/>
      <c r="F556" s="807"/>
      <c r="G556" s="807"/>
      <c r="H556" s="807"/>
      <c r="I556" s="807"/>
      <c r="J556" s="807"/>
      <c r="K556" s="807"/>
      <c r="L556" s="807"/>
      <c r="M556" s="807"/>
      <c r="N556" s="807"/>
      <c r="O556" s="807"/>
      <c r="P556" s="807"/>
      <c r="Q556" s="807"/>
      <c r="R556" s="807"/>
      <c r="S556" s="807"/>
      <c r="T556" s="807"/>
      <c r="U556" s="807"/>
      <c r="V556" s="807"/>
      <c r="W556" s="807"/>
      <c r="X556" s="807"/>
      <c r="Y556" s="807"/>
      <c r="Z556" s="807"/>
      <c r="AA556" s="807"/>
      <c r="AB556" s="807"/>
      <c r="AC556" s="807"/>
      <c r="AD556" s="807"/>
      <c r="AE556" s="807"/>
      <c r="AF556" s="807"/>
      <c r="AG556" s="807"/>
      <c r="AH556" s="807"/>
      <c r="AI556" s="807"/>
      <c r="AJ556" s="807"/>
      <c r="AK556" s="807"/>
      <c r="AL556" s="807"/>
      <c r="AM556" s="807"/>
      <c r="AN556" s="807"/>
      <c r="AO556" s="807"/>
      <c r="AP556" s="807"/>
    </row>
    <row r="557" spans="1:42" s="5" customFormat="1" x14ac:dyDescent="0.25">
      <c r="A557" s="805"/>
      <c r="B557" s="806"/>
      <c r="C557" s="806"/>
      <c r="D557" s="806"/>
      <c r="E557" s="807"/>
      <c r="F557" s="807"/>
      <c r="G557" s="807"/>
      <c r="H557" s="807"/>
      <c r="I557" s="807"/>
      <c r="J557" s="807"/>
      <c r="K557" s="807"/>
      <c r="L557" s="807"/>
      <c r="M557" s="807"/>
      <c r="N557" s="807"/>
      <c r="O557" s="807"/>
      <c r="P557" s="807"/>
      <c r="Q557" s="807"/>
      <c r="R557" s="807"/>
      <c r="S557" s="807"/>
      <c r="T557" s="807"/>
      <c r="U557" s="807"/>
      <c r="V557" s="807"/>
      <c r="W557" s="807"/>
      <c r="X557" s="807"/>
      <c r="Y557" s="807"/>
      <c r="Z557" s="807"/>
      <c r="AA557" s="807"/>
      <c r="AB557" s="807"/>
      <c r="AC557" s="807"/>
      <c r="AD557" s="807"/>
      <c r="AE557" s="807"/>
      <c r="AF557" s="807"/>
      <c r="AG557" s="807"/>
      <c r="AH557" s="807"/>
      <c r="AI557" s="807"/>
      <c r="AJ557" s="807"/>
      <c r="AK557" s="807"/>
      <c r="AL557" s="807"/>
      <c r="AM557" s="807"/>
      <c r="AN557" s="807"/>
      <c r="AO557" s="807"/>
      <c r="AP557" s="807"/>
    </row>
    <row r="558" spans="1:42" s="5" customFormat="1" x14ac:dyDescent="0.25">
      <c r="A558" s="805"/>
      <c r="B558" s="806"/>
      <c r="C558" s="806"/>
      <c r="D558" s="806"/>
      <c r="E558" s="807"/>
      <c r="F558" s="807"/>
      <c r="G558" s="807"/>
      <c r="H558" s="807"/>
      <c r="I558" s="807"/>
      <c r="J558" s="807"/>
      <c r="K558" s="807"/>
      <c r="L558" s="807"/>
      <c r="M558" s="807"/>
      <c r="N558" s="807"/>
      <c r="O558" s="807"/>
      <c r="P558" s="807"/>
      <c r="Q558" s="807"/>
      <c r="R558" s="807"/>
      <c r="S558" s="807"/>
      <c r="T558" s="807"/>
      <c r="U558" s="807"/>
      <c r="V558" s="807"/>
      <c r="W558" s="807"/>
      <c r="X558" s="807"/>
      <c r="Y558" s="807"/>
      <c r="Z558" s="807"/>
      <c r="AA558" s="807"/>
      <c r="AB558" s="807"/>
      <c r="AC558" s="807"/>
      <c r="AD558" s="807"/>
      <c r="AE558" s="807"/>
      <c r="AF558" s="807"/>
      <c r="AG558" s="807"/>
      <c r="AH558" s="807"/>
      <c r="AI558" s="807"/>
      <c r="AJ558" s="807"/>
      <c r="AK558" s="807"/>
      <c r="AL558" s="807"/>
      <c r="AM558" s="807"/>
      <c r="AN558" s="807"/>
      <c r="AO558" s="807"/>
      <c r="AP558" s="807"/>
    </row>
    <row r="559" spans="1:42" s="5" customFormat="1" x14ac:dyDescent="0.25">
      <c r="A559" s="805"/>
      <c r="B559" s="806"/>
      <c r="C559" s="806"/>
      <c r="D559" s="806"/>
      <c r="E559" s="807"/>
      <c r="F559" s="807"/>
      <c r="G559" s="807"/>
      <c r="H559" s="807"/>
      <c r="I559" s="807"/>
      <c r="J559" s="807"/>
      <c r="K559" s="807"/>
      <c r="L559" s="807"/>
      <c r="M559" s="807"/>
      <c r="N559" s="807"/>
      <c r="O559" s="807"/>
      <c r="P559" s="807"/>
      <c r="Q559" s="807"/>
      <c r="R559" s="807"/>
      <c r="S559" s="807"/>
      <c r="T559" s="807"/>
      <c r="U559" s="807"/>
      <c r="V559" s="807"/>
      <c r="W559" s="807"/>
      <c r="X559" s="807"/>
      <c r="Y559" s="807"/>
      <c r="Z559" s="807"/>
      <c r="AA559" s="807"/>
      <c r="AB559" s="807"/>
      <c r="AC559" s="807"/>
      <c r="AD559" s="807"/>
      <c r="AE559" s="807"/>
      <c r="AF559" s="807"/>
      <c r="AG559" s="807"/>
      <c r="AH559" s="807"/>
      <c r="AI559" s="807"/>
      <c r="AJ559" s="807"/>
      <c r="AK559" s="807"/>
      <c r="AL559" s="807"/>
      <c r="AM559" s="807"/>
      <c r="AN559" s="807"/>
      <c r="AO559" s="807"/>
      <c r="AP559" s="807"/>
    </row>
    <row r="560" spans="1:42" s="5" customFormat="1" x14ac:dyDescent="0.25">
      <c r="A560" s="805"/>
      <c r="B560" s="806"/>
      <c r="C560" s="806"/>
      <c r="D560" s="806"/>
      <c r="E560" s="807"/>
      <c r="F560" s="807"/>
      <c r="G560" s="807"/>
      <c r="H560" s="807"/>
      <c r="I560" s="807"/>
      <c r="J560" s="807"/>
      <c r="K560" s="807"/>
      <c r="L560" s="807"/>
      <c r="M560" s="807"/>
      <c r="N560" s="807"/>
      <c r="O560" s="807"/>
      <c r="P560" s="807"/>
      <c r="Q560" s="807"/>
      <c r="R560" s="807"/>
      <c r="S560" s="807"/>
      <c r="T560" s="807"/>
      <c r="U560" s="807"/>
      <c r="V560" s="807"/>
      <c r="W560" s="807"/>
      <c r="X560" s="807"/>
      <c r="Y560" s="807"/>
      <c r="Z560" s="807"/>
      <c r="AA560" s="807"/>
      <c r="AB560" s="807"/>
      <c r="AC560" s="807"/>
      <c r="AD560" s="807"/>
      <c r="AE560" s="807"/>
      <c r="AF560" s="807"/>
      <c r="AG560" s="807"/>
      <c r="AH560" s="807"/>
      <c r="AI560" s="807"/>
      <c r="AJ560" s="807"/>
      <c r="AK560" s="807"/>
      <c r="AL560" s="807"/>
      <c r="AM560" s="807"/>
      <c r="AN560" s="807"/>
      <c r="AO560" s="807"/>
      <c r="AP560" s="807"/>
    </row>
    <row r="561" spans="1:42" s="5" customFormat="1" x14ac:dyDescent="0.25">
      <c r="A561" s="805"/>
      <c r="B561" s="806"/>
      <c r="C561" s="806"/>
      <c r="D561" s="806"/>
      <c r="E561" s="807"/>
      <c r="F561" s="807"/>
      <c r="G561" s="807"/>
      <c r="H561" s="807"/>
      <c r="I561" s="807"/>
      <c r="J561" s="807"/>
      <c r="K561" s="807"/>
      <c r="L561" s="807"/>
      <c r="M561" s="807"/>
      <c r="N561" s="807"/>
      <c r="O561" s="807"/>
      <c r="P561" s="807"/>
      <c r="Q561" s="807"/>
      <c r="R561" s="807"/>
      <c r="S561" s="807"/>
      <c r="T561" s="807"/>
      <c r="U561" s="807"/>
      <c r="V561" s="807"/>
      <c r="W561" s="807"/>
      <c r="X561" s="807"/>
      <c r="Y561" s="807"/>
      <c r="Z561" s="807"/>
      <c r="AA561" s="807"/>
      <c r="AB561" s="807"/>
      <c r="AC561" s="807"/>
      <c r="AD561" s="807"/>
      <c r="AE561" s="807"/>
      <c r="AF561" s="807"/>
      <c r="AG561" s="807"/>
      <c r="AH561" s="807"/>
      <c r="AI561" s="807"/>
      <c r="AJ561" s="807"/>
      <c r="AK561" s="807"/>
      <c r="AL561" s="807"/>
      <c r="AM561" s="807"/>
      <c r="AN561" s="807"/>
      <c r="AO561" s="807"/>
      <c r="AP561" s="807"/>
    </row>
    <row r="562" spans="1:42" s="5" customFormat="1" x14ac:dyDescent="0.25">
      <c r="A562" s="805"/>
      <c r="B562" s="806"/>
      <c r="C562" s="806"/>
      <c r="D562" s="806"/>
      <c r="E562" s="807"/>
      <c r="F562" s="807"/>
      <c r="G562" s="807"/>
      <c r="H562" s="807"/>
      <c r="I562" s="807"/>
      <c r="J562" s="807"/>
      <c r="K562" s="807"/>
      <c r="L562" s="807"/>
      <c r="M562" s="807"/>
      <c r="N562" s="807"/>
      <c r="O562" s="807"/>
      <c r="P562" s="807"/>
      <c r="Q562" s="807"/>
      <c r="R562" s="807"/>
      <c r="S562" s="807"/>
      <c r="T562" s="807"/>
      <c r="U562" s="807"/>
      <c r="V562" s="807"/>
      <c r="W562" s="807"/>
      <c r="X562" s="807"/>
      <c r="Y562" s="807"/>
      <c r="Z562" s="807"/>
      <c r="AA562" s="807"/>
      <c r="AB562" s="807"/>
      <c r="AC562" s="807"/>
      <c r="AD562" s="807"/>
      <c r="AE562" s="807"/>
      <c r="AF562" s="807"/>
      <c r="AG562" s="807"/>
      <c r="AH562" s="807"/>
      <c r="AI562" s="807"/>
      <c r="AJ562" s="807"/>
      <c r="AK562" s="807"/>
      <c r="AL562" s="807"/>
      <c r="AM562" s="807"/>
      <c r="AN562" s="807"/>
      <c r="AO562" s="807"/>
      <c r="AP562" s="807"/>
    </row>
    <row r="563" spans="1:42" s="5" customFormat="1" x14ac:dyDescent="0.25">
      <c r="A563" s="805"/>
      <c r="B563" s="806"/>
      <c r="C563" s="806"/>
      <c r="D563" s="806"/>
      <c r="E563" s="807"/>
      <c r="F563" s="807"/>
      <c r="G563" s="807"/>
      <c r="H563" s="807"/>
      <c r="I563" s="807"/>
      <c r="J563" s="807"/>
      <c r="K563" s="807"/>
      <c r="L563" s="807"/>
      <c r="M563" s="807"/>
      <c r="N563" s="807"/>
      <c r="O563" s="807"/>
      <c r="P563" s="807"/>
      <c r="Q563" s="807"/>
      <c r="R563" s="807"/>
      <c r="S563" s="807"/>
      <c r="T563" s="807"/>
      <c r="U563" s="807"/>
      <c r="V563" s="807"/>
      <c r="W563" s="807"/>
      <c r="X563" s="807"/>
      <c r="Y563" s="807"/>
      <c r="Z563" s="807"/>
      <c r="AA563" s="807"/>
      <c r="AB563" s="807"/>
      <c r="AC563" s="807"/>
      <c r="AD563" s="807"/>
      <c r="AE563" s="807"/>
      <c r="AF563" s="807"/>
      <c r="AG563" s="807"/>
      <c r="AH563" s="807"/>
      <c r="AI563" s="807"/>
      <c r="AJ563" s="807"/>
      <c r="AK563" s="807"/>
      <c r="AL563" s="807"/>
      <c r="AM563" s="807"/>
      <c r="AN563" s="807"/>
      <c r="AO563" s="807"/>
      <c r="AP563" s="807"/>
    </row>
    <row r="564" spans="1:42" s="5" customFormat="1" x14ac:dyDescent="0.25">
      <c r="A564" s="805"/>
      <c r="B564" s="806"/>
      <c r="C564" s="806"/>
      <c r="D564" s="806"/>
      <c r="E564" s="807"/>
      <c r="F564" s="807"/>
      <c r="G564" s="807"/>
      <c r="H564" s="807"/>
      <c r="I564" s="807"/>
      <c r="J564" s="807"/>
      <c r="K564" s="807"/>
      <c r="L564" s="807"/>
      <c r="M564" s="807"/>
      <c r="N564" s="807"/>
      <c r="O564" s="807"/>
      <c r="P564" s="807"/>
      <c r="Q564" s="807"/>
      <c r="R564" s="807"/>
      <c r="S564" s="807"/>
      <c r="T564" s="807"/>
      <c r="U564" s="807"/>
      <c r="V564" s="807"/>
      <c r="W564" s="807"/>
      <c r="X564" s="807"/>
      <c r="Y564" s="807"/>
      <c r="Z564" s="807"/>
      <c r="AA564" s="807"/>
      <c r="AB564" s="807"/>
      <c r="AC564" s="807"/>
      <c r="AD564" s="807"/>
      <c r="AE564" s="807"/>
      <c r="AF564" s="807"/>
      <c r="AG564" s="807"/>
      <c r="AH564" s="807"/>
      <c r="AI564" s="807"/>
      <c r="AJ564" s="807"/>
      <c r="AK564" s="807"/>
      <c r="AL564" s="807"/>
      <c r="AM564" s="807"/>
      <c r="AN564" s="807"/>
      <c r="AO564" s="807"/>
      <c r="AP564" s="807"/>
    </row>
    <row r="565" spans="1:42" s="5" customFormat="1" x14ac:dyDescent="0.25">
      <c r="A565" s="805"/>
      <c r="B565" s="806"/>
      <c r="C565" s="806"/>
      <c r="D565" s="806"/>
      <c r="E565" s="807"/>
      <c r="F565" s="807"/>
      <c r="G565" s="807"/>
      <c r="H565" s="807"/>
      <c r="I565" s="807"/>
      <c r="J565" s="807"/>
      <c r="K565" s="807"/>
      <c r="L565" s="807"/>
      <c r="M565" s="807"/>
      <c r="N565" s="807"/>
      <c r="O565" s="807"/>
      <c r="P565" s="807"/>
      <c r="Q565" s="807"/>
      <c r="R565" s="807"/>
      <c r="S565" s="807"/>
      <c r="T565" s="807"/>
      <c r="U565" s="807"/>
      <c r="V565" s="807"/>
      <c r="W565" s="807"/>
      <c r="X565" s="807"/>
      <c r="Y565" s="807"/>
      <c r="Z565" s="807"/>
      <c r="AA565" s="807"/>
      <c r="AB565" s="807"/>
      <c r="AC565" s="807"/>
      <c r="AD565" s="807"/>
      <c r="AE565" s="807"/>
      <c r="AF565" s="807"/>
      <c r="AG565" s="807"/>
      <c r="AH565" s="807"/>
      <c r="AI565" s="807"/>
      <c r="AJ565" s="807"/>
      <c r="AK565" s="807"/>
      <c r="AL565" s="807"/>
      <c r="AM565" s="807"/>
      <c r="AN565" s="807"/>
      <c r="AO565" s="807"/>
      <c r="AP565" s="807"/>
    </row>
    <row r="566" spans="1:42" s="5" customFormat="1" x14ac:dyDescent="0.25">
      <c r="A566" s="805"/>
      <c r="B566" s="806"/>
      <c r="C566" s="806"/>
      <c r="D566" s="806"/>
      <c r="E566" s="807"/>
      <c r="F566" s="807"/>
      <c r="G566" s="807"/>
      <c r="H566" s="807"/>
      <c r="I566" s="807"/>
      <c r="J566" s="807"/>
      <c r="K566" s="807"/>
      <c r="L566" s="807"/>
      <c r="M566" s="807"/>
      <c r="N566" s="807"/>
      <c r="O566" s="807"/>
      <c r="P566" s="807"/>
      <c r="Q566" s="807"/>
      <c r="R566" s="807"/>
      <c r="S566" s="807"/>
      <c r="T566" s="807"/>
      <c r="U566" s="807"/>
      <c r="V566" s="807"/>
      <c r="W566" s="807"/>
      <c r="X566" s="807"/>
      <c r="Y566" s="807"/>
      <c r="Z566" s="807"/>
      <c r="AA566" s="807"/>
      <c r="AB566" s="807"/>
      <c r="AC566" s="807"/>
      <c r="AD566" s="807"/>
      <c r="AE566" s="807"/>
      <c r="AF566" s="807"/>
      <c r="AG566" s="807"/>
      <c r="AH566" s="807"/>
      <c r="AI566" s="807"/>
      <c r="AJ566" s="807"/>
      <c r="AK566" s="807"/>
      <c r="AL566" s="807"/>
      <c r="AM566" s="807"/>
      <c r="AN566" s="807"/>
      <c r="AO566" s="807"/>
      <c r="AP566" s="807"/>
    </row>
    <row r="567" spans="1:42" s="5" customFormat="1" x14ac:dyDescent="0.25">
      <c r="A567" s="805"/>
      <c r="B567" s="806"/>
      <c r="C567" s="806"/>
      <c r="D567" s="806"/>
      <c r="E567" s="807"/>
      <c r="F567" s="807"/>
      <c r="G567" s="807"/>
      <c r="H567" s="807"/>
      <c r="I567" s="807"/>
      <c r="J567" s="807"/>
      <c r="K567" s="807"/>
      <c r="L567" s="807"/>
      <c r="M567" s="807"/>
      <c r="N567" s="807"/>
      <c r="O567" s="807"/>
      <c r="P567" s="807"/>
      <c r="Q567" s="807"/>
      <c r="R567" s="807"/>
      <c r="S567" s="807"/>
      <c r="T567" s="807"/>
      <c r="U567" s="807"/>
      <c r="V567" s="807"/>
      <c r="W567" s="807"/>
      <c r="X567" s="807"/>
      <c r="Y567" s="807"/>
      <c r="Z567" s="807"/>
      <c r="AA567" s="807"/>
      <c r="AB567" s="807"/>
      <c r="AC567" s="807"/>
      <c r="AD567" s="807"/>
      <c r="AE567" s="807"/>
      <c r="AF567" s="807"/>
      <c r="AG567" s="807"/>
      <c r="AH567" s="807"/>
      <c r="AI567" s="807"/>
      <c r="AJ567" s="807"/>
      <c r="AK567" s="807"/>
      <c r="AL567" s="807"/>
      <c r="AM567" s="807"/>
      <c r="AN567" s="807"/>
      <c r="AO567" s="807"/>
      <c r="AP567" s="807"/>
    </row>
    <row r="568" spans="1:42" s="5" customFormat="1" x14ac:dyDescent="0.25">
      <c r="A568" s="805"/>
      <c r="B568" s="806"/>
      <c r="C568" s="806"/>
      <c r="D568" s="806"/>
      <c r="E568" s="807"/>
      <c r="F568" s="807"/>
      <c r="G568" s="807"/>
      <c r="H568" s="807"/>
      <c r="I568" s="807"/>
      <c r="J568" s="807"/>
      <c r="K568" s="807"/>
      <c r="L568" s="807"/>
      <c r="M568" s="807"/>
      <c r="N568" s="807"/>
      <c r="O568" s="807"/>
      <c r="P568" s="807"/>
      <c r="Q568" s="807"/>
      <c r="R568" s="807"/>
      <c r="S568" s="807"/>
      <c r="T568" s="807"/>
      <c r="U568" s="807"/>
      <c r="V568" s="807"/>
      <c r="W568" s="807"/>
      <c r="X568" s="807"/>
      <c r="Y568" s="807"/>
      <c r="Z568" s="807"/>
      <c r="AA568" s="807"/>
      <c r="AB568" s="807"/>
      <c r="AC568" s="807"/>
      <c r="AD568" s="807"/>
      <c r="AE568" s="807"/>
      <c r="AF568" s="807"/>
      <c r="AG568" s="807"/>
      <c r="AH568" s="807"/>
      <c r="AI568" s="807"/>
      <c r="AJ568" s="807"/>
      <c r="AK568" s="807"/>
      <c r="AL568" s="807"/>
      <c r="AM568" s="807"/>
      <c r="AN568" s="807"/>
      <c r="AO568" s="807"/>
      <c r="AP568" s="807"/>
    </row>
    <row r="569" spans="1:42" s="5" customFormat="1" x14ac:dyDescent="0.25">
      <c r="A569" s="805"/>
      <c r="B569" s="806"/>
      <c r="C569" s="806"/>
      <c r="D569" s="806"/>
      <c r="E569" s="807"/>
      <c r="F569" s="807"/>
      <c r="G569" s="807"/>
      <c r="H569" s="807"/>
      <c r="I569" s="807"/>
      <c r="J569" s="807"/>
      <c r="K569" s="807"/>
      <c r="L569" s="807"/>
      <c r="M569" s="807"/>
      <c r="N569" s="807"/>
      <c r="O569" s="807"/>
      <c r="P569" s="807"/>
      <c r="Q569" s="807"/>
      <c r="R569" s="807"/>
      <c r="S569" s="807"/>
      <c r="T569" s="807"/>
      <c r="U569" s="807"/>
      <c r="V569" s="807"/>
      <c r="W569" s="807"/>
      <c r="X569" s="807"/>
      <c r="Y569" s="807"/>
      <c r="Z569" s="807"/>
      <c r="AA569" s="807"/>
      <c r="AB569" s="807"/>
      <c r="AC569" s="807"/>
      <c r="AD569" s="807"/>
      <c r="AE569" s="807"/>
      <c r="AF569" s="807"/>
      <c r="AG569" s="807"/>
      <c r="AH569" s="807"/>
      <c r="AI569" s="807"/>
      <c r="AJ569" s="807"/>
      <c r="AK569" s="807"/>
      <c r="AL569" s="807"/>
      <c r="AM569" s="807"/>
      <c r="AN569" s="807"/>
      <c r="AO569" s="807"/>
      <c r="AP569" s="807"/>
    </row>
    <row r="570" spans="1:42" s="5" customFormat="1" x14ac:dyDescent="0.25">
      <c r="A570" s="805"/>
      <c r="B570" s="806"/>
      <c r="C570" s="806"/>
      <c r="D570" s="806"/>
      <c r="E570" s="807"/>
      <c r="F570" s="807"/>
      <c r="G570" s="807"/>
      <c r="H570" s="807"/>
      <c r="I570" s="807"/>
      <c r="J570" s="807"/>
      <c r="K570" s="807"/>
      <c r="L570" s="807"/>
      <c r="M570" s="807"/>
      <c r="N570" s="807"/>
      <c r="O570" s="807"/>
      <c r="P570" s="807"/>
      <c r="Q570" s="807"/>
      <c r="R570" s="807"/>
      <c r="S570" s="807"/>
      <c r="T570" s="807"/>
      <c r="U570" s="807"/>
      <c r="V570" s="807"/>
      <c r="W570" s="807"/>
      <c r="X570" s="807"/>
      <c r="Y570" s="807"/>
      <c r="Z570" s="807"/>
      <c r="AA570" s="807"/>
      <c r="AB570" s="807"/>
      <c r="AC570" s="807"/>
      <c r="AD570" s="807"/>
      <c r="AE570" s="807"/>
      <c r="AF570" s="807"/>
      <c r="AG570" s="807"/>
      <c r="AH570" s="807"/>
      <c r="AI570" s="807"/>
      <c r="AJ570" s="807"/>
      <c r="AK570" s="807"/>
      <c r="AL570" s="807"/>
      <c r="AM570" s="807"/>
      <c r="AN570" s="807"/>
      <c r="AO570" s="807"/>
      <c r="AP570" s="807"/>
    </row>
    <row r="571" spans="1:42" s="5" customFormat="1" x14ac:dyDescent="0.25">
      <c r="A571" s="805"/>
      <c r="B571" s="806"/>
      <c r="C571" s="806"/>
      <c r="D571" s="806"/>
      <c r="E571" s="807"/>
      <c r="F571" s="807"/>
      <c r="G571" s="807"/>
      <c r="H571" s="807"/>
      <c r="I571" s="807"/>
      <c r="J571" s="807"/>
      <c r="K571" s="807"/>
      <c r="L571" s="807"/>
      <c r="M571" s="807"/>
      <c r="N571" s="807"/>
      <c r="O571" s="807"/>
      <c r="P571" s="807"/>
      <c r="Q571" s="807"/>
      <c r="R571" s="807"/>
      <c r="S571" s="807"/>
      <c r="T571" s="807"/>
      <c r="U571" s="807"/>
      <c r="V571" s="807"/>
      <c r="W571" s="807"/>
      <c r="X571" s="807"/>
      <c r="Y571" s="807"/>
      <c r="Z571" s="807"/>
      <c r="AA571" s="807"/>
      <c r="AB571" s="807"/>
      <c r="AC571" s="807"/>
      <c r="AD571" s="807"/>
      <c r="AE571" s="807"/>
      <c r="AF571" s="807"/>
      <c r="AG571" s="807"/>
      <c r="AH571" s="807"/>
      <c r="AI571" s="807"/>
      <c r="AJ571" s="807"/>
      <c r="AK571" s="807"/>
      <c r="AL571" s="807"/>
      <c r="AM571" s="807"/>
      <c r="AN571" s="807"/>
      <c r="AO571" s="807"/>
      <c r="AP571" s="807"/>
    </row>
    <row r="572" spans="1:42" s="5" customFormat="1" x14ac:dyDescent="0.25">
      <c r="A572" s="805"/>
      <c r="B572" s="806"/>
      <c r="C572" s="806"/>
      <c r="D572" s="806"/>
      <c r="E572" s="807"/>
      <c r="F572" s="807"/>
      <c r="G572" s="807"/>
      <c r="H572" s="807"/>
      <c r="I572" s="807"/>
      <c r="J572" s="807"/>
      <c r="K572" s="807"/>
      <c r="L572" s="807"/>
      <c r="M572" s="807"/>
      <c r="N572" s="807"/>
      <c r="O572" s="807"/>
      <c r="P572" s="807"/>
      <c r="Q572" s="807"/>
      <c r="R572" s="807"/>
      <c r="S572" s="807"/>
      <c r="T572" s="807"/>
      <c r="U572" s="807"/>
      <c r="V572" s="807"/>
      <c r="W572" s="807"/>
      <c r="X572" s="807"/>
      <c r="Y572" s="807"/>
      <c r="Z572" s="807"/>
      <c r="AA572" s="807"/>
      <c r="AB572" s="807"/>
      <c r="AC572" s="807"/>
      <c r="AD572" s="807"/>
      <c r="AE572" s="807"/>
      <c r="AF572" s="807"/>
      <c r="AG572" s="807"/>
      <c r="AH572" s="807"/>
      <c r="AI572" s="807"/>
      <c r="AJ572" s="807"/>
      <c r="AK572" s="807"/>
      <c r="AL572" s="807"/>
      <c r="AM572" s="807"/>
      <c r="AN572" s="807"/>
      <c r="AO572" s="807"/>
      <c r="AP572" s="807"/>
    </row>
    <row r="573" spans="1:42" s="5" customFormat="1" x14ac:dyDescent="0.25">
      <c r="A573" s="805"/>
      <c r="B573" s="806"/>
      <c r="C573" s="806"/>
      <c r="D573" s="806"/>
      <c r="E573" s="807"/>
      <c r="F573" s="807"/>
      <c r="G573" s="807"/>
      <c r="H573" s="807"/>
      <c r="I573" s="807"/>
      <c r="J573" s="807"/>
      <c r="K573" s="807"/>
      <c r="L573" s="807"/>
      <c r="M573" s="807"/>
      <c r="N573" s="807"/>
      <c r="O573" s="807"/>
      <c r="P573" s="807"/>
      <c r="Q573" s="807"/>
      <c r="R573" s="807"/>
      <c r="S573" s="807"/>
      <c r="T573" s="807"/>
      <c r="U573" s="807"/>
      <c r="V573" s="807"/>
      <c r="W573" s="807"/>
      <c r="X573" s="807"/>
      <c r="Y573" s="807"/>
      <c r="Z573" s="807"/>
      <c r="AA573" s="807"/>
      <c r="AB573" s="807"/>
      <c r="AC573" s="807"/>
      <c r="AD573" s="807"/>
      <c r="AE573" s="807"/>
      <c r="AF573" s="807"/>
      <c r="AG573" s="807"/>
      <c r="AH573" s="807"/>
      <c r="AI573" s="807"/>
      <c r="AJ573" s="807"/>
      <c r="AK573" s="807"/>
      <c r="AL573" s="807"/>
      <c r="AM573" s="807"/>
      <c r="AN573" s="807"/>
      <c r="AO573" s="807"/>
      <c r="AP573" s="807"/>
    </row>
    <row r="574" spans="1:42" s="5" customFormat="1" x14ac:dyDescent="0.25">
      <c r="A574" s="805"/>
      <c r="B574" s="806"/>
      <c r="C574" s="806"/>
      <c r="D574" s="806"/>
      <c r="E574" s="807"/>
      <c r="F574" s="807"/>
      <c r="G574" s="807"/>
      <c r="H574" s="807"/>
      <c r="I574" s="807"/>
      <c r="J574" s="807"/>
      <c r="K574" s="807"/>
      <c r="L574" s="807"/>
      <c r="M574" s="807"/>
      <c r="N574" s="807"/>
      <c r="O574" s="807"/>
      <c r="P574" s="807"/>
      <c r="Q574" s="807"/>
      <c r="R574" s="807"/>
      <c r="S574" s="807"/>
      <c r="T574" s="807"/>
      <c r="U574" s="807"/>
      <c r="V574" s="807"/>
      <c r="W574" s="807"/>
      <c r="X574" s="807"/>
      <c r="Y574" s="807"/>
      <c r="Z574" s="807"/>
      <c r="AA574" s="807"/>
      <c r="AB574" s="807"/>
      <c r="AC574" s="807"/>
      <c r="AD574" s="807"/>
      <c r="AE574" s="807"/>
      <c r="AF574" s="807"/>
      <c r="AG574" s="807"/>
      <c r="AH574" s="807"/>
      <c r="AI574" s="807"/>
      <c r="AJ574" s="807"/>
      <c r="AK574" s="807"/>
      <c r="AL574" s="807"/>
      <c r="AM574" s="807"/>
      <c r="AN574" s="807"/>
      <c r="AO574" s="807"/>
      <c r="AP574" s="807"/>
    </row>
    <row r="575" spans="1:42" s="5" customFormat="1" x14ac:dyDescent="0.25">
      <c r="A575" s="805"/>
      <c r="B575" s="806"/>
      <c r="C575" s="806"/>
      <c r="D575" s="806"/>
      <c r="E575" s="807"/>
      <c r="F575" s="807"/>
      <c r="G575" s="807"/>
      <c r="H575" s="807"/>
      <c r="I575" s="807"/>
      <c r="J575" s="807"/>
      <c r="K575" s="807"/>
      <c r="L575" s="807"/>
      <c r="M575" s="807"/>
      <c r="N575" s="807"/>
      <c r="O575" s="807"/>
      <c r="P575" s="807"/>
      <c r="Q575" s="807"/>
      <c r="R575" s="807"/>
      <c r="S575" s="807"/>
      <c r="T575" s="807"/>
      <c r="U575" s="807"/>
      <c r="V575" s="807"/>
      <c r="W575" s="807"/>
      <c r="X575" s="807"/>
      <c r="Y575" s="807"/>
      <c r="Z575" s="807"/>
      <c r="AA575" s="807"/>
      <c r="AB575" s="807"/>
      <c r="AC575" s="807"/>
      <c r="AD575" s="807"/>
      <c r="AE575" s="807"/>
      <c r="AF575" s="807"/>
      <c r="AG575" s="807"/>
      <c r="AH575" s="807"/>
      <c r="AI575" s="807"/>
      <c r="AJ575" s="807"/>
      <c r="AK575" s="807"/>
      <c r="AL575" s="807"/>
      <c r="AM575" s="807"/>
      <c r="AN575" s="807"/>
      <c r="AO575" s="807"/>
      <c r="AP575" s="807"/>
    </row>
    <row r="576" spans="1:42" s="5" customFormat="1" x14ac:dyDescent="0.25">
      <c r="A576" s="805"/>
      <c r="B576" s="806"/>
      <c r="C576" s="806"/>
      <c r="D576" s="806"/>
      <c r="E576" s="807"/>
      <c r="F576" s="807"/>
      <c r="G576" s="807"/>
      <c r="H576" s="807"/>
      <c r="I576" s="807"/>
      <c r="J576" s="807"/>
      <c r="K576" s="807"/>
      <c r="L576" s="807"/>
      <c r="M576" s="807"/>
      <c r="N576" s="807"/>
      <c r="O576" s="807"/>
      <c r="P576" s="807"/>
      <c r="Q576" s="807"/>
      <c r="R576" s="807"/>
      <c r="S576" s="807"/>
      <c r="T576" s="807"/>
      <c r="U576" s="807"/>
      <c r="V576" s="807"/>
      <c r="W576" s="807"/>
      <c r="X576" s="807"/>
      <c r="Y576" s="807"/>
      <c r="Z576" s="807"/>
      <c r="AA576" s="807"/>
      <c r="AB576" s="807"/>
      <c r="AC576" s="807"/>
      <c r="AD576" s="807"/>
      <c r="AE576" s="807"/>
      <c r="AF576" s="807"/>
      <c r="AG576" s="807"/>
      <c r="AH576" s="807"/>
      <c r="AI576" s="807"/>
      <c r="AJ576" s="807"/>
      <c r="AK576" s="807"/>
      <c r="AL576" s="807"/>
      <c r="AM576" s="807"/>
      <c r="AN576" s="807"/>
      <c r="AO576" s="807"/>
      <c r="AP576" s="807"/>
    </row>
    <row r="577" spans="1:42" s="5" customFormat="1" x14ac:dyDescent="0.25">
      <c r="A577" s="805"/>
      <c r="B577" s="806"/>
      <c r="C577" s="806"/>
      <c r="D577" s="806"/>
      <c r="E577" s="807"/>
      <c r="F577" s="807"/>
      <c r="G577" s="807"/>
      <c r="H577" s="807"/>
      <c r="I577" s="807"/>
      <c r="J577" s="807"/>
      <c r="K577" s="807"/>
      <c r="L577" s="807"/>
      <c r="M577" s="807"/>
      <c r="N577" s="807"/>
      <c r="O577" s="807"/>
      <c r="P577" s="807"/>
      <c r="Q577" s="807"/>
      <c r="R577" s="807"/>
      <c r="S577" s="807"/>
      <c r="T577" s="807"/>
      <c r="U577" s="807"/>
      <c r="V577" s="807"/>
      <c r="W577" s="807"/>
      <c r="X577" s="807"/>
      <c r="Y577" s="807"/>
      <c r="Z577" s="807"/>
      <c r="AA577" s="807"/>
      <c r="AB577" s="807"/>
      <c r="AC577" s="807"/>
      <c r="AD577" s="807"/>
      <c r="AE577" s="807"/>
      <c r="AF577" s="807"/>
      <c r="AG577" s="807"/>
      <c r="AH577" s="807"/>
      <c r="AI577" s="807"/>
      <c r="AJ577" s="807"/>
      <c r="AK577" s="807"/>
      <c r="AL577" s="807"/>
      <c r="AM577" s="807"/>
      <c r="AN577" s="807"/>
      <c r="AO577" s="807"/>
      <c r="AP577" s="807"/>
    </row>
    <row r="578" spans="1:42" s="5" customFormat="1" x14ac:dyDescent="0.25">
      <c r="A578" s="805"/>
      <c r="B578" s="806"/>
      <c r="C578" s="806"/>
      <c r="D578" s="806"/>
      <c r="E578" s="807"/>
      <c r="F578" s="807"/>
      <c r="G578" s="807"/>
      <c r="H578" s="807"/>
      <c r="I578" s="807"/>
      <c r="J578" s="807"/>
      <c r="K578" s="807"/>
      <c r="L578" s="807"/>
      <c r="M578" s="807"/>
      <c r="N578" s="807"/>
      <c r="O578" s="807"/>
      <c r="P578" s="807"/>
      <c r="Q578" s="807"/>
      <c r="R578" s="807"/>
      <c r="S578" s="807"/>
      <c r="T578" s="807"/>
      <c r="U578" s="807"/>
      <c r="V578" s="807"/>
      <c r="W578" s="807"/>
      <c r="X578" s="807"/>
      <c r="Y578" s="807"/>
      <c r="Z578" s="807"/>
      <c r="AA578" s="807"/>
      <c r="AB578" s="807"/>
      <c r="AC578" s="807"/>
      <c r="AD578" s="807"/>
      <c r="AE578" s="807"/>
      <c r="AF578" s="807"/>
      <c r="AG578" s="807"/>
      <c r="AH578" s="807"/>
      <c r="AI578" s="807"/>
      <c r="AJ578" s="807"/>
      <c r="AK578" s="807"/>
      <c r="AL578" s="807"/>
      <c r="AM578" s="807"/>
      <c r="AN578" s="807"/>
      <c r="AO578" s="807"/>
      <c r="AP578" s="807"/>
    </row>
    <row r="579" spans="1:42" s="5" customFormat="1" x14ac:dyDescent="0.25">
      <c r="A579" s="805"/>
      <c r="B579" s="806"/>
      <c r="C579" s="806"/>
      <c r="D579" s="806"/>
      <c r="E579" s="807"/>
      <c r="F579" s="807"/>
      <c r="G579" s="807"/>
      <c r="H579" s="807"/>
      <c r="I579" s="807"/>
      <c r="J579" s="807"/>
      <c r="K579" s="807"/>
      <c r="L579" s="807"/>
      <c r="M579" s="807"/>
      <c r="N579" s="807"/>
      <c r="O579" s="807"/>
      <c r="P579" s="807"/>
      <c r="Q579" s="807"/>
      <c r="R579" s="807"/>
      <c r="S579" s="807"/>
      <c r="T579" s="807"/>
      <c r="U579" s="807"/>
      <c r="V579" s="807"/>
      <c r="W579" s="807"/>
      <c r="X579" s="807"/>
      <c r="Y579" s="807"/>
      <c r="Z579" s="807"/>
      <c r="AA579" s="807"/>
      <c r="AB579" s="807"/>
      <c r="AC579" s="807"/>
      <c r="AD579" s="807"/>
      <c r="AE579" s="807"/>
      <c r="AF579" s="807"/>
      <c r="AG579" s="807"/>
      <c r="AH579" s="807"/>
      <c r="AI579" s="807"/>
      <c r="AJ579" s="807"/>
      <c r="AK579" s="807"/>
      <c r="AL579" s="807"/>
      <c r="AM579" s="807"/>
      <c r="AN579" s="807"/>
      <c r="AO579" s="807"/>
      <c r="AP579" s="807"/>
    </row>
    <row r="580" spans="1:42" s="5" customFormat="1" x14ac:dyDescent="0.25">
      <c r="A580" s="805"/>
      <c r="B580" s="806"/>
      <c r="C580" s="806"/>
      <c r="D580" s="806"/>
      <c r="E580" s="807"/>
      <c r="F580" s="807"/>
      <c r="G580" s="807"/>
      <c r="H580" s="807"/>
      <c r="I580" s="807"/>
      <c r="J580" s="807"/>
      <c r="K580" s="807"/>
      <c r="L580" s="807"/>
      <c r="M580" s="807"/>
      <c r="N580" s="807"/>
      <c r="O580" s="807"/>
      <c r="P580" s="807"/>
      <c r="Q580" s="807"/>
      <c r="R580" s="807"/>
      <c r="S580" s="807"/>
      <c r="T580" s="807"/>
      <c r="U580" s="807"/>
      <c r="V580" s="807"/>
      <c r="W580" s="807"/>
      <c r="X580" s="807"/>
      <c r="Y580" s="807"/>
      <c r="Z580" s="807"/>
      <c r="AA580" s="807"/>
      <c r="AB580" s="807"/>
      <c r="AC580" s="807"/>
      <c r="AD580" s="807"/>
      <c r="AE580" s="807"/>
      <c r="AF580" s="807"/>
      <c r="AG580" s="807"/>
      <c r="AH580" s="807"/>
      <c r="AI580" s="807"/>
      <c r="AJ580" s="807"/>
      <c r="AK580" s="807"/>
      <c r="AL580" s="807"/>
      <c r="AM580" s="807"/>
      <c r="AN580" s="807"/>
      <c r="AO580" s="807"/>
      <c r="AP580" s="807"/>
    </row>
    <row r="581" spans="1:42" s="5" customFormat="1" x14ac:dyDescent="0.25">
      <c r="A581" s="805"/>
      <c r="B581" s="806"/>
      <c r="C581" s="806"/>
      <c r="D581" s="806"/>
      <c r="E581" s="807"/>
      <c r="F581" s="807"/>
      <c r="G581" s="807"/>
      <c r="H581" s="807"/>
      <c r="I581" s="807"/>
      <c r="J581" s="807"/>
      <c r="K581" s="807"/>
      <c r="L581" s="807"/>
      <c r="M581" s="807"/>
      <c r="N581" s="807"/>
      <c r="O581" s="807"/>
      <c r="P581" s="807"/>
      <c r="Q581" s="807"/>
      <c r="R581" s="807"/>
      <c r="S581" s="807"/>
      <c r="T581" s="807"/>
      <c r="U581" s="807"/>
      <c r="V581" s="807"/>
      <c r="W581" s="807"/>
      <c r="X581" s="807"/>
      <c r="Y581" s="807"/>
      <c r="Z581" s="807"/>
      <c r="AA581" s="807"/>
      <c r="AB581" s="807"/>
      <c r="AC581" s="807"/>
      <c r="AD581" s="807"/>
      <c r="AE581" s="807"/>
      <c r="AF581" s="807"/>
      <c r="AG581" s="807"/>
      <c r="AH581" s="807"/>
      <c r="AI581" s="807"/>
      <c r="AJ581" s="807"/>
      <c r="AK581" s="807"/>
      <c r="AL581" s="807"/>
      <c r="AM581" s="807"/>
      <c r="AN581" s="807"/>
      <c r="AO581" s="807"/>
      <c r="AP581" s="807"/>
    </row>
    <row r="582" spans="1:42" s="5" customFormat="1" x14ac:dyDescent="0.25">
      <c r="A582" s="805"/>
      <c r="B582" s="806"/>
      <c r="C582" s="806"/>
      <c r="D582" s="806"/>
      <c r="E582" s="807"/>
      <c r="F582" s="807"/>
      <c r="G582" s="807"/>
      <c r="H582" s="807"/>
      <c r="I582" s="807"/>
      <c r="J582" s="807"/>
      <c r="K582" s="807"/>
      <c r="L582" s="807"/>
      <c r="M582" s="807"/>
      <c r="N582" s="807"/>
      <c r="O582" s="807"/>
      <c r="P582" s="807"/>
      <c r="Q582" s="807"/>
      <c r="R582" s="807"/>
      <c r="S582" s="807"/>
      <c r="T582" s="807"/>
      <c r="U582" s="807"/>
      <c r="V582" s="807"/>
      <c r="W582" s="807"/>
      <c r="X582" s="807"/>
      <c r="Y582" s="807"/>
      <c r="Z582" s="807"/>
      <c r="AA582" s="807"/>
      <c r="AB582" s="807"/>
      <c r="AC582" s="807"/>
      <c r="AD582" s="807"/>
      <c r="AE582" s="807"/>
      <c r="AF582" s="807"/>
      <c r="AG582" s="807"/>
      <c r="AH582" s="807"/>
      <c r="AI582" s="807"/>
      <c r="AJ582" s="807"/>
      <c r="AK582" s="807"/>
      <c r="AL582" s="807"/>
      <c r="AM582" s="807"/>
      <c r="AN582" s="807"/>
      <c r="AO582" s="807"/>
      <c r="AP582" s="807"/>
    </row>
    <row r="583" spans="1:42" s="5" customFormat="1" x14ac:dyDescent="0.25">
      <c r="A583" s="805"/>
      <c r="B583" s="806"/>
      <c r="C583" s="806"/>
      <c r="D583" s="806"/>
      <c r="E583" s="807"/>
      <c r="F583" s="807"/>
      <c r="G583" s="807"/>
      <c r="H583" s="807"/>
      <c r="I583" s="807"/>
      <c r="J583" s="807"/>
      <c r="K583" s="807"/>
      <c r="L583" s="807"/>
      <c r="M583" s="807"/>
      <c r="N583" s="807"/>
      <c r="O583" s="807"/>
      <c r="P583" s="807"/>
      <c r="Q583" s="807"/>
      <c r="R583" s="807"/>
      <c r="S583" s="807"/>
      <c r="T583" s="807"/>
      <c r="U583" s="807"/>
      <c r="V583" s="807"/>
      <c r="W583" s="807"/>
      <c r="X583" s="807"/>
      <c r="Y583" s="807"/>
      <c r="Z583" s="807"/>
      <c r="AA583" s="807"/>
      <c r="AB583" s="807"/>
      <c r="AC583" s="807"/>
      <c r="AD583" s="807"/>
      <c r="AE583" s="807"/>
      <c r="AF583" s="807"/>
      <c r="AG583" s="807"/>
      <c r="AH583" s="807"/>
      <c r="AI583" s="807"/>
      <c r="AJ583" s="807"/>
      <c r="AK583" s="807"/>
      <c r="AL583" s="807"/>
      <c r="AM583" s="807"/>
      <c r="AN583" s="807"/>
      <c r="AO583" s="807"/>
      <c r="AP583" s="807"/>
    </row>
    <row r="584" spans="1:42" s="5" customFormat="1" x14ac:dyDescent="0.25">
      <c r="A584" s="805"/>
      <c r="B584" s="806"/>
      <c r="C584" s="806"/>
      <c r="D584" s="806"/>
      <c r="E584" s="807"/>
      <c r="F584" s="807"/>
      <c r="G584" s="807"/>
      <c r="H584" s="807"/>
      <c r="I584" s="807"/>
      <c r="J584" s="807"/>
      <c r="K584" s="807"/>
      <c r="L584" s="807"/>
      <c r="M584" s="807"/>
      <c r="N584" s="807"/>
      <c r="O584" s="807"/>
      <c r="P584" s="807"/>
      <c r="Q584" s="807"/>
      <c r="R584" s="807"/>
      <c r="S584" s="807"/>
      <c r="T584" s="807"/>
      <c r="U584" s="807"/>
      <c r="V584" s="807"/>
      <c r="W584" s="807"/>
      <c r="X584" s="807"/>
      <c r="Y584" s="807"/>
      <c r="Z584" s="807"/>
      <c r="AA584" s="807"/>
      <c r="AB584" s="807"/>
      <c r="AC584" s="807"/>
      <c r="AD584" s="807"/>
      <c r="AE584" s="807"/>
      <c r="AF584" s="807"/>
      <c r="AG584" s="807"/>
      <c r="AH584" s="807"/>
      <c r="AI584" s="807"/>
      <c r="AJ584" s="807"/>
      <c r="AK584" s="807"/>
      <c r="AL584" s="807"/>
      <c r="AM584" s="807"/>
      <c r="AN584" s="807"/>
      <c r="AO584" s="807"/>
      <c r="AP584" s="807"/>
    </row>
    <row r="585" spans="1:42" s="5" customFormat="1" x14ac:dyDescent="0.25">
      <c r="A585" s="805"/>
      <c r="B585" s="806"/>
      <c r="C585" s="806"/>
      <c r="D585" s="806"/>
      <c r="E585" s="807"/>
      <c r="F585" s="807"/>
      <c r="G585" s="807"/>
      <c r="H585" s="807"/>
      <c r="I585" s="807"/>
      <c r="J585" s="807"/>
      <c r="K585" s="807"/>
      <c r="L585" s="807"/>
      <c r="M585" s="807"/>
      <c r="N585" s="807"/>
      <c r="O585" s="807"/>
      <c r="P585" s="807"/>
      <c r="Q585" s="807"/>
      <c r="R585" s="807"/>
      <c r="S585" s="807"/>
      <c r="T585" s="807"/>
      <c r="U585" s="807"/>
      <c r="V585" s="807"/>
      <c r="W585" s="807"/>
      <c r="X585" s="807"/>
      <c r="Y585" s="807"/>
      <c r="Z585" s="807"/>
      <c r="AA585" s="807"/>
      <c r="AB585" s="807"/>
      <c r="AC585" s="807"/>
      <c r="AD585" s="807"/>
      <c r="AE585" s="807"/>
      <c r="AF585" s="807"/>
      <c r="AG585" s="807"/>
      <c r="AH585" s="807"/>
      <c r="AI585" s="807"/>
      <c r="AJ585" s="807"/>
      <c r="AK585" s="807"/>
      <c r="AL585" s="807"/>
      <c r="AM585" s="807"/>
      <c r="AN585" s="807"/>
      <c r="AO585" s="807"/>
      <c r="AP585" s="807"/>
    </row>
    <row r="586" spans="1:42" s="5" customFormat="1" x14ac:dyDescent="0.25">
      <c r="A586" s="805"/>
      <c r="B586" s="806"/>
      <c r="C586" s="806"/>
      <c r="D586" s="806"/>
      <c r="E586" s="807"/>
      <c r="F586" s="807"/>
      <c r="G586" s="807"/>
      <c r="H586" s="807"/>
      <c r="I586" s="807"/>
      <c r="J586" s="807"/>
      <c r="K586" s="807"/>
      <c r="L586" s="807"/>
      <c r="M586" s="807"/>
      <c r="N586" s="807"/>
      <c r="O586" s="807"/>
      <c r="P586" s="807"/>
      <c r="Q586" s="807"/>
      <c r="R586" s="807"/>
      <c r="S586" s="807"/>
      <c r="T586" s="807"/>
      <c r="U586" s="807"/>
      <c r="V586" s="807"/>
      <c r="W586" s="807"/>
      <c r="X586" s="807"/>
      <c r="Y586" s="807"/>
      <c r="Z586" s="807"/>
      <c r="AA586" s="807"/>
      <c r="AB586" s="807"/>
      <c r="AC586" s="807"/>
      <c r="AD586" s="807"/>
      <c r="AE586" s="807"/>
      <c r="AF586" s="807"/>
      <c r="AG586" s="807"/>
      <c r="AH586" s="807"/>
      <c r="AI586" s="807"/>
      <c r="AJ586" s="807"/>
      <c r="AK586" s="807"/>
      <c r="AL586" s="807"/>
      <c r="AM586" s="807"/>
      <c r="AN586" s="807"/>
      <c r="AO586" s="807"/>
      <c r="AP586" s="807"/>
    </row>
    <row r="587" spans="1:42" s="5" customFormat="1" x14ac:dyDescent="0.25">
      <c r="A587" s="805"/>
      <c r="B587" s="806"/>
      <c r="C587" s="806"/>
      <c r="D587" s="806"/>
      <c r="E587" s="807"/>
      <c r="F587" s="807"/>
      <c r="G587" s="807"/>
      <c r="H587" s="807"/>
      <c r="I587" s="807"/>
      <c r="J587" s="807"/>
      <c r="K587" s="807"/>
      <c r="L587" s="807"/>
      <c r="M587" s="807"/>
      <c r="N587" s="807"/>
      <c r="O587" s="807"/>
      <c r="P587" s="807"/>
      <c r="Q587" s="807"/>
      <c r="R587" s="807"/>
      <c r="S587" s="807"/>
      <c r="T587" s="807"/>
      <c r="U587" s="807"/>
      <c r="V587" s="807"/>
      <c r="W587" s="807"/>
      <c r="X587" s="807"/>
      <c r="Y587" s="807"/>
      <c r="Z587" s="807"/>
      <c r="AA587" s="807"/>
      <c r="AB587" s="807"/>
      <c r="AC587" s="807"/>
      <c r="AD587" s="807"/>
      <c r="AE587" s="807"/>
      <c r="AF587" s="807"/>
      <c r="AG587" s="807"/>
      <c r="AH587" s="807"/>
      <c r="AI587" s="807"/>
      <c r="AJ587" s="807"/>
      <c r="AK587" s="807"/>
      <c r="AL587" s="807"/>
      <c r="AM587" s="807"/>
      <c r="AN587" s="807"/>
      <c r="AO587" s="807"/>
      <c r="AP587" s="807"/>
    </row>
    <row r="588" spans="1:42" s="5" customFormat="1" x14ac:dyDescent="0.25">
      <c r="A588" s="805"/>
      <c r="B588" s="806"/>
      <c r="C588" s="806"/>
      <c r="D588" s="806"/>
      <c r="E588" s="807"/>
      <c r="F588" s="807"/>
      <c r="G588" s="807"/>
      <c r="H588" s="807"/>
      <c r="I588" s="807"/>
      <c r="J588" s="807"/>
      <c r="K588" s="807"/>
      <c r="L588" s="807"/>
      <c r="M588" s="807"/>
      <c r="N588" s="807"/>
      <c r="O588" s="807"/>
      <c r="P588" s="807"/>
      <c r="Q588" s="807"/>
      <c r="R588" s="807"/>
      <c r="S588" s="807"/>
      <c r="T588" s="807"/>
      <c r="U588" s="807"/>
      <c r="V588" s="807"/>
      <c r="W588" s="807"/>
      <c r="X588" s="807"/>
      <c r="Y588" s="807"/>
      <c r="Z588" s="807"/>
      <c r="AA588" s="807"/>
      <c r="AB588" s="807"/>
      <c r="AC588" s="807"/>
      <c r="AD588" s="807"/>
      <c r="AE588" s="807"/>
      <c r="AF588" s="807"/>
      <c r="AG588" s="807"/>
      <c r="AH588" s="807"/>
      <c r="AI588" s="807"/>
      <c r="AJ588" s="807"/>
      <c r="AK588" s="807"/>
      <c r="AL588" s="807"/>
      <c r="AM588" s="807"/>
      <c r="AN588" s="807"/>
      <c r="AO588" s="807"/>
      <c r="AP588" s="807"/>
    </row>
    <row r="589" spans="1:42" s="5" customFormat="1" x14ac:dyDescent="0.25">
      <c r="A589" s="805"/>
      <c r="B589" s="806"/>
      <c r="C589" s="806"/>
      <c r="D589" s="806"/>
      <c r="E589" s="807"/>
      <c r="F589" s="807"/>
      <c r="G589" s="807"/>
      <c r="H589" s="807"/>
      <c r="I589" s="807"/>
      <c r="J589" s="807"/>
      <c r="K589" s="807"/>
      <c r="L589" s="807"/>
      <c r="M589" s="807"/>
      <c r="N589" s="807"/>
      <c r="O589" s="807"/>
      <c r="P589" s="807"/>
      <c r="Q589" s="807"/>
      <c r="R589" s="807"/>
      <c r="S589" s="807"/>
      <c r="T589" s="807"/>
      <c r="U589" s="807"/>
      <c r="V589" s="807"/>
      <c r="W589" s="807"/>
      <c r="X589" s="807"/>
      <c r="Y589" s="807"/>
      <c r="Z589" s="807"/>
      <c r="AA589" s="807"/>
      <c r="AB589" s="807"/>
      <c r="AC589" s="807"/>
      <c r="AD589" s="807"/>
      <c r="AE589" s="807"/>
      <c r="AF589" s="807"/>
      <c r="AG589" s="807"/>
      <c r="AH589" s="807"/>
      <c r="AI589" s="807"/>
      <c r="AJ589" s="807"/>
      <c r="AK589" s="807"/>
      <c r="AL589" s="807"/>
      <c r="AM589" s="807"/>
      <c r="AN589" s="807"/>
      <c r="AO589" s="807"/>
      <c r="AP589" s="807"/>
    </row>
    <row r="590" spans="1:42" s="5" customFormat="1" x14ac:dyDescent="0.25">
      <c r="A590" s="805"/>
      <c r="B590" s="806"/>
      <c r="C590" s="806"/>
      <c r="D590" s="806"/>
      <c r="E590" s="807"/>
      <c r="F590" s="807"/>
      <c r="G590" s="807"/>
      <c r="H590" s="807"/>
      <c r="I590" s="807"/>
      <c r="J590" s="807"/>
      <c r="K590" s="807"/>
      <c r="L590" s="807"/>
      <c r="M590" s="807"/>
      <c r="N590" s="807"/>
      <c r="O590" s="807"/>
      <c r="P590" s="807"/>
      <c r="Q590" s="807"/>
      <c r="R590" s="807"/>
      <c r="S590" s="807"/>
      <c r="T590" s="807"/>
      <c r="U590" s="807"/>
      <c r="V590" s="807"/>
      <c r="W590" s="807"/>
      <c r="X590" s="807"/>
      <c r="Y590" s="807"/>
      <c r="Z590" s="807"/>
      <c r="AA590" s="807"/>
      <c r="AB590" s="807"/>
      <c r="AC590" s="807"/>
      <c r="AD590" s="807"/>
      <c r="AE590" s="807"/>
      <c r="AF590" s="807"/>
      <c r="AG590" s="807"/>
      <c r="AH590" s="807"/>
      <c r="AI590" s="807"/>
      <c r="AJ590" s="807"/>
      <c r="AK590" s="807"/>
      <c r="AL590" s="807"/>
      <c r="AM590" s="807"/>
      <c r="AN590" s="807"/>
      <c r="AO590" s="807"/>
      <c r="AP590" s="807"/>
    </row>
    <row r="591" spans="1:42" s="5" customFormat="1" x14ac:dyDescent="0.25">
      <c r="A591" s="805"/>
      <c r="B591" s="806"/>
      <c r="C591" s="806"/>
      <c r="D591" s="806"/>
      <c r="E591" s="807"/>
      <c r="F591" s="807"/>
      <c r="G591" s="807"/>
      <c r="H591" s="807"/>
      <c r="I591" s="807"/>
      <c r="J591" s="807"/>
      <c r="K591" s="807"/>
      <c r="L591" s="807"/>
      <c r="M591" s="807"/>
      <c r="N591" s="807"/>
      <c r="O591" s="807"/>
      <c r="P591" s="807"/>
      <c r="Q591" s="807"/>
      <c r="R591" s="807"/>
      <c r="S591" s="807"/>
      <c r="T591" s="807"/>
      <c r="U591" s="807"/>
      <c r="V591" s="807"/>
      <c r="W591" s="807"/>
      <c r="X591" s="807"/>
      <c r="Y591" s="807"/>
      <c r="Z591" s="807"/>
      <c r="AA591" s="807"/>
      <c r="AB591" s="807"/>
      <c r="AC591" s="807"/>
      <c r="AD591" s="807"/>
      <c r="AE591" s="807"/>
      <c r="AF591" s="807"/>
      <c r="AG591" s="807"/>
      <c r="AH591" s="807"/>
      <c r="AI591" s="807"/>
      <c r="AJ591" s="807"/>
      <c r="AK591" s="807"/>
      <c r="AL591" s="807"/>
      <c r="AM591" s="807"/>
      <c r="AN591" s="807"/>
      <c r="AO591" s="807"/>
      <c r="AP591" s="807"/>
    </row>
    <row r="592" spans="1:42" s="5" customFormat="1" x14ac:dyDescent="0.25">
      <c r="A592" s="805"/>
      <c r="B592" s="806"/>
      <c r="C592" s="806"/>
      <c r="D592" s="806"/>
      <c r="E592" s="807"/>
      <c r="F592" s="807"/>
      <c r="G592" s="807"/>
      <c r="H592" s="807"/>
      <c r="I592" s="807"/>
      <c r="J592" s="807"/>
      <c r="K592" s="807"/>
      <c r="L592" s="807"/>
      <c r="M592" s="807"/>
      <c r="N592" s="807"/>
      <c r="O592" s="807"/>
      <c r="P592" s="807"/>
      <c r="Q592" s="807"/>
      <c r="R592" s="807"/>
      <c r="S592" s="807"/>
      <c r="T592" s="807"/>
      <c r="U592" s="807"/>
      <c r="V592" s="807"/>
      <c r="W592" s="807"/>
      <c r="X592" s="807"/>
      <c r="Y592" s="807"/>
      <c r="Z592" s="807"/>
      <c r="AA592" s="807"/>
      <c r="AB592" s="807"/>
      <c r="AC592" s="807"/>
      <c r="AD592" s="807"/>
      <c r="AE592" s="807"/>
      <c r="AF592" s="807"/>
      <c r="AG592" s="807"/>
      <c r="AH592" s="807"/>
      <c r="AI592" s="807"/>
      <c r="AJ592" s="807"/>
      <c r="AK592" s="807"/>
      <c r="AL592" s="807"/>
      <c r="AM592" s="807"/>
      <c r="AN592" s="807"/>
      <c r="AO592" s="807"/>
      <c r="AP592" s="807"/>
    </row>
    <row r="593" spans="1:42" s="5" customFormat="1" x14ac:dyDescent="0.25">
      <c r="A593" s="805"/>
      <c r="B593" s="806"/>
      <c r="C593" s="806"/>
      <c r="D593" s="806"/>
      <c r="E593" s="807"/>
      <c r="F593" s="807"/>
      <c r="G593" s="807"/>
      <c r="H593" s="807"/>
      <c r="I593" s="807"/>
      <c r="J593" s="807"/>
      <c r="K593" s="807"/>
      <c r="L593" s="807"/>
      <c r="M593" s="807"/>
      <c r="N593" s="807"/>
      <c r="O593" s="807"/>
      <c r="P593" s="807"/>
      <c r="Q593" s="807"/>
      <c r="R593" s="807"/>
      <c r="S593" s="807"/>
      <c r="T593" s="807"/>
      <c r="U593" s="807"/>
      <c r="V593" s="807"/>
      <c r="W593" s="807"/>
      <c r="X593" s="807"/>
      <c r="Y593" s="807"/>
      <c r="Z593" s="807"/>
      <c r="AA593" s="807"/>
      <c r="AB593" s="807"/>
      <c r="AC593" s="807"/>
      <c r="AD593" s="807"/>
      <c r="AE593" s="807"/>
      <c r="AF593" s="807"/>
      <c r="AG593" s="807"/>
      <c r="AH593" s="807"/>
      <c r="AI593" s="807"/>
      <c r="AJ593" s="807"/>
      <c r="AK593" s="807"/>
      <c r="AL593" s="807"/>
      <c r="AM593" s="807"/>
      <c r="AN593" s="807"/>
      <c r="AO593" s="807"/>
      <c r="AP593" s="807"/>
    </row>
    <row r="594" spans="1:42" s="5" customFormat="1" x14ac:dyDescent="0.25">
      <c r="A594" s="805"/>
      <c r="B594" s="806"/>
      <c r="C594" s="806"/>
      <c r="D594" s="806"/>
      <c r="E594" s="807"/>
      <c r="F594" s="807"/>
      <c r="G594" s="807"/>
      <c r="H594" s="807"/>
      <c r="I594" s="807"/>
      <c r="J594" s="807"/>
      <c r="K594" s="807"/>
      <c r="L594" s="807"/>
      <c r="M594" s="807"/>
      <c r="N594" s="807"/>
      <c r="O594" s="807"/>
      <c r="P594" s="807"/>
      <c r="Q594" s="807"/>
      <c r="R594" s="807"/>
      <c r="S594" s="807"/>
      <c r="T594" s="807"/>
      <c r="U594" s="807"/>
      <c r="V594" s="807"/>
      <c r="W594" s="807"/>
      <c r="X594" s="807"/>
      <c r="Y594" s="807"/>
      <c r="Z594" s="807"/>
      <c r="AA594" s="807"/>
      <c r="AB594" s="807"/>
      <c r="AC594" s="807"/>
      <c r="AD594" s="807"/>
      <c r="AE594" s="807"/>
      <c r="AF594" s="807"/>
      <c r="AG594" s="807"/>
      <c r="AH594" s="807"/>
      <c r="AI594" s="807"/>
      <c r="AJ594" s="807"/>
      <c r="AK594" s="807"/>
      <c r="AL594" s="807"/>
      <c r="AM594" s="807"/>
      <c r="AN594" s="807"/>
      <c r="AO594" s="807"/>
      <c r="AP594" s="807"/>
    </row>
    <row r="595" spans="1:42" s="5" customFormat="1" x14ac:dyDescent="0.25">
      <c r="A595" s="805"/>
      <c r="B595" s="806"/>
      <c r="C595" s="806"/>
      <c r="D595" s="806"/>
      <c r="E595" s="807"/>
      <c r="F595" s="807"/>
      <c r="G595" s="807"/>
      <c r="H595" s="807"/>
      <c r="I595" s="807"/>
      <c r="J595" s="807"/>
      <c r="K595" s="807"/>
      <c r="L595" s="807"/>
      <c r="M595" s="807"/>
      <c r="N595" s="807"/>
      <c r="O595" s="807"/>
      <c r="P595" s="807"/>
      <c r="Q595" s="807"/>
      <c r="R595" s="807"/>
      <c r="S595" s="807"/>
      <c r="T595" s="807"/>
      <c r="U595" s="807"/>
      <c r="V595" s="807"/>
      <c r="W595" s="807"/>
      <c r="X595" s="807"/>
      <c r="Y595" s="807"/>
      <c r="Z595" s="807"/>
      <c r="AA595" s="807"/>
      <c r="AB595" s="807"/>
      <c r="AC595" s="807"/>
      <c r="AD595" s="807"/>
      <c r="AE595" s="807"/>
      <c r="AF595" s="807"/>
      <c r="AG595" s="807"/>
      <c r="AH595" s="807"/>
      <c r="AI595" s="807"/>
      <c r="AJ595" s="807"/>
      <c r="AK595" s="807"/>
      <c r="AL595" s="807"/>
      <c r="AM595" s="807"/>
      <c r="AN595" s="807"/>
      <c r="AO595" s="807"/>
      <c r="AP595" s="807"/>
    </row>
    <row r="596" spans="1:42" s="5" customFormat="1" x14ac:dyDescent="0.25">
      <c r="A596" s="805"/>
      <c r="B596" s="806"/>
      <c r="C596" s="806"/>
      <c r="D596" s="806"/>
      <c r="E596" s="807"/>
      <c r="F596" s="807"/>
      <c r="G596" s="807"/>
      <c r="H596" s="807"/>
      <c r="I596" s="807"/>
      <c r="J596" s="807"/>
      <c r="K596" s="807"/>
      <c r="L596" s="807"/>
      <c r="M596" s="807"/>
      <c r="N596" s="807"/>
      <c r="O596" s="807"/>
      <c r="P596" s="807"/>
      <c r="Q596" s="807"/>
      <c r="R596" s="807"/>
      <c r="S596" s="807"/>
      <c r="T596" s="807"/>
      <c r="U596" s="807"/>
      <c r="V596" s="807"/>
      <c r="W596" s="807"/>
      <c r="X596" s="807"/>
      <c r="Y596" s="807"/>
      <c r="Z596" s="807"/>
      <c r="AA596" s="807"/>
      <c r="AB596" s="807"/>
      <c r="AC596" s="807"/>
      <c r="AD596" s="807"/>
      <c r="AE596" s="807"/>
      <c r="AF596" s="807"/>
      <c r="AG596" s="807"/>
      <c r="AH596" s="807"/>
      <c r="AI596" s="807"/>
      <c r="AJ596" s="807"/>
      <c r="AK596" s="807"/>
      <c r="AL596" s="807"/>
      <c r="AM596" s="807"/>
      <c r="AN596" s="807"/>
      <c r="AO596" s="807"/>
      <c r="AP596" s="807"/>
    </row>
    <row r="597" spans="1:42" s="5" customFormat="1" x14ac:dyDescent="0.25">
      <c r="A597" s="805"/>
      <c r="B597" s="806"/>
      <c r="C597" s="806"/>
      <c r="D597" s="806"/>
      <c r="E597" s="807"/>
      <c r="F597" s="807"/>
      <c r="G597" s="807"/>
      <c r="H597" s="807"/>
      <c r="I597" s="807"/>
      <c r="J597" s="807"/>
      <c r="K597" s="807"/>
      <c r="L597" s="807"/>
      <c r="M597" s="807"/>
      <c r="N597" s="807"/>
      <c r="O597" s="807"/>
      <c r="P597" s="807"/>
      <c r="Q597" s="807"/>
      <c r="R597" s="807"/>
      <c r="S597" s="807"/>
      <c r="T597" s="807"/>
      <c r="U597" s="807"/>
      <c r="V597" s="807"/>
      <c r="W597" s="807"/>
      <c r="X597" s="807"/>
      <c r="Y597" s="807"/>
      <c r="Z597" s="807"/>
      <c r="AA597" s="807"/>
      <c r="AB597" s="807"/>
      <c r="AC597" s="807"/>
      <c r="AD597" s="807"/>
      <c r="AE597" s="807"/>
      <c r="AF597" s="807"/>
      <c r="AG597" s="807"/>
      <c r="AH597" s="807"/>
      <c r="AI597" s="807"/>
      <c r="AJ597" s="807"/>
      <c r="AK597" s="807"/>
      <c r="AL597" s="807"/>
      <c r="AM597" s="807"/>
      <c r="AN597" s="807"/>
      <c r="AO597" s="807"/>
      <c r="AP597" s="807"/>
    </row>
    <row r="598" spans="1:42" s="5" customFormat="1" x14ac:dyDescent="0.25">
      <c r="A598" s="805"/>
      <c r="B598" s="806"/>
      <c r="C598" s="806"/>
      <c r="D598" s="806"/>
      <c r="E598" s="807"/>
      <c r="F598" s="807"/>
      <c r="G598" s="807"/>
      <c r="H598" s="807"/>
      <c r="I598" s="807"/>
      <c r="J598" s="807"/>
      <c r="K598" s="807"/>
      <c r="L598" s="807"/>
      <c r="M598" s="807"/>
      <c r="N598" s="807"/>
      <c r="O598" s="807"/>
      <c r="P598" s="807"/>
      <c r="Q598" s="807"/>
      <c r="R598" s="807"/>
      <c r="S598" s="807"/>
      <c r="T598" s="807"/>
      <c r="U598" s="807"/>
      <c r="V598" s="807"/>
      <c r="W598" s="807"/>
      <c r="X598" s="807"/>
      <c r="Y598" s="807"/>
      <c r="Z598" s="807"/>
      <c r="AA598" s="807"/>
      <c r="AB598" s="807"/>
      <c r="AC598" s="807"/>
      <c r="AD598" s="807"/>
      <c r="AE598" s="807"/>
      <c r="AF598" s="807"/>
      <c r="AG598" s="807"/>
      <c r="AH598" s="807"/>
      <c r="AI598" s="807"/>
      <c r="AJ598" s="807"/>
      <c r="AK598" s="807"/>
      <c r="AL598" s="807"/>
      <c r="AM598" s="807"/>
      <c r="AN598" s="807"/>
      <c r="AO598" s="807"/>
      <c r="AP598" s="807"/>
    </row>
    <row r="599" spans="1:42" s="5" customFormat="1" x14ac:dyDescent="0.25">
      <c r="A599" s="805"/>
      <c r="B599" s="806"/>
      <c r="C599" s="806"/>
      <c r="D599" s="806"/>
      <c r="E599" s="807"/>
      <c r="F599" s="807"/>
      <c r="G599" s="807"/>
      <c r="H599" s="807"/>
      <c r="I599" s="807"/>
      <c r="J599" s="807"/>
      <c r="K599" s="807"/>
      <c r="L599" s="807"/>
      <c r="M599" s="807"/>
      <c r="N599" s="807"/>
      <c r="O599" s="807"/>
      <c r="P599" s="807"/>
      <c r="Q599" s="807"/>
      <c r="R599" s="807"/>
      <c r="S599" s="807"/>
      <c r="T599" s="807"/>
      <c r="U599" s="807"/>
      <c r="V599" s="807"/>
      <c r="W599" s="807"/>
      <c r="X599" s="807"/>
      <c r="Y599" s="807"/>
      <c r="Z599" s="807"/>
      <c r="AA599" s="807"/>
      <c r="AB599" s="807"/>
      <c r="AC599" s="807"/>
      <c r="AD599" s="807"/>
      <c r="AE599" s="807"/>
      <c r="AF599" s="807"/>
      <c r="AG599" s="807"/>
      <c r="AH599" s="807"/>
      <c r="AI599" s="807"/>
      <c r="AJ599" s="807"/>
      <c r="AK599" s="807"/>
      <c r="AL599" s="807"/>
      <c r="AM599" s="807"/>
      <c r="AN599" s="807"/>
      <c r="AO599" s="807"/>
      <c r="AP599" s="807"/>
    </row>
    <row r="600" spans="1:42" s="5" customFormat="1" x14ac:dyDescent="0.25">
      <c r="A600" s="805"/>
      <c r="B600" s="806"/>
      <c r="C600" s="806"/>
      <c r="D600" s="806"/>
      <c r="E600" s="807"/>
      <c r="F600" s="807"/>
      <c r="G600" s="807"/>
      <c r="H600" s="807"/>
      <c r="I600" s="807"/>
      <c r="J600" s="807"/>
      <c r="K600" s="807"/>
      <c r="L600" s="807"/>
      <c r="M600" s="807"/>
      <c r="N600" s="807"/>
      <c r="O600" s="807"/>
      <c r="P600" s="807"/>
      <c r="Q600" s="807"/>
      <c r="R600" s="807"/>
      <c r="S600" s="807"/>
      <c r="T600" s="807"/>
      <c r="U600" s="807"/>
      <c r="V600" s="807"/>
      <c r="W600" s="807"/>
      <c r="X600" s="807"/>
      <c r="Y600" s="807"/>
      <c r="Z600" s="807"/>
      <c r="AA600" s="807"/>
      <c r="AB600" s="807"/>
      <c r="AC600" s="807"/>
      <c r="AD600" s="807"/>
      <c r="AE600" s="807"/>
      <c r="AF600" s="807"/>
      <c r="AG600" s="807"/>
      <c r="AH600" s="807"/>
      <c r="AI600" s="807"/>
      <c r="AJ600" s="807"/>
      <c r="AK600" s="807"/>
      <c r="AL600" s="807"/>
      <c r="AM600" s="807"/>
      <c r="AN600" s="807"/>
      <c r="AO600" s="807"/>
      <c r="AP600" s="807"/>
    </row>
    <row r="601" spans="1:42" s="5" customFormat="1" x14ac:dyDescent="0.25">
      <c r="A601" s="805"/>
      <c r="B601" s="806"/>
      <c r="C601" s="806"/>
      <c r="D601" s="806"/>
      <c r="E601" s="807"/>
      <c r="F601" s="807"/>
      <c r="G601" s="807"/>
      <c r="H601" s="807"/>
      <c r="I601" s="807"/>
      <c r="J601" s="807"/>
      <c r="K601" s="807"/>
      <c r="L601" s="807"/>
      <c r="M601" s="807"/>
      <c r="N601" s="807"/>
      <c r="O601" s="807"/>
      <c r="P601" s="807"/>
      <c r="Q601" s="807"/>
      <c r="R601" s="807"/>
      <c r="S601" s="807"/>
      <c r="T601" s="807"/>
      <c r="U601" s="807"/>
      <c r="V601" s="807"/>
      <c r="W601" s="807"/>
      <c r="X601" s="807"/>
      <c r="Y601" s="807"/>
      <c r="Z601" s="807"/>
      <c r="AA601" s="807"/>
      <c r="AB601" s="807"/>
      <c r="AC601" s="807"/>
      <c r="AD601" s="807"/>
      <c r="AE601" s="807"/>
      <c r="AF601" s="807"/>
      <c r="AG601" s="807"/>
      <c r="AH601" s="807"/>
      <c r="AI601" s="807"/>
      <c r="AJ601" s="807"/>
      <c r="AK601" s="807"/>
      <c r="AL601" s="807"/>
      <c r="AM601" s="807"/>
      <c r="AN601" s="807"/>
      <c r="AO601" s="807"/>
      <c r="AP601" s="807"/>
    </row>
    <row r="602" spans="1:42" s="5" customFormat="1" x14ac:dyDescent="0.25">
      <c r="A602" s="805"/>
      <c r="B602" s="806"/>
      <c r="C602" s="806"/>
      <c r="D602" s="806"/>
      <c r="E602" s="807"/>
      <c r="F602" s="807"/>
      <c r="G602" s="807"/>
      <c r="H602" s="807"/>
      <c r="I602" s="807"/>
      <c r="J602" s="807"/>
      <c r="K602" s="807"/>
      <c r="L602" s="807"/>
      <c r="M602" s="807"/>
      <c r="N602" s="807"/>
      <c r="O602" s="807"/>
      <c r="P602" s="807"/>
      <c r="Q602" s="807"/>
      <c r="R602" s="807"/>
      <c r="S602" s="807"/>
      <c r="T602" s="807"/>
      <c r="U602" s="807"/>
      <c r="V602" s="807"/>
      <c r="W602" s="807"/>
      <c r="X602" s="807"/>
      <c r="Y602" s="807"/>
      <c r="Z602" s="807"/>
      <c r="AA602" s="807"/>
      <c r="AB602" s="807"/>
      <c r="AC602" s="807"/>
      <c r="AD602" s="807"/>
      <c r="AE602" s="807"/>
      <c r="AF602" s="807"/>
      <c r="AG602" s="807"/>
      <c r="AH602" s="807"/>
      <c r="AI602" s="807"/>
      <c r="AJ602" s="807"/>
      <c r="AK602" s="807"/>
      <c r="AL602" s="807"/>
      <c r="AM602" s="807"/>
      <c r="AN602" s="807"/>
      <c r="AO602" s="807"/>
      <c r="AP602" s="807"/>
    </row>
    <row r="603" spans="1:42" s="5" customFormat="1" x14ac:dyDescent="0.25">
      <c r="A603" s="805"/>
      <c r="B603" s="806"/>
      <c r="C603" s="806"/>
      <c r="D603" s="806"/>
      <c r="E603" s="807"/>
      <c r="F603" s="807"/>
      <c r="G603" s="807"/>
      <c r="H603" s="807"/>
      <c r="I603" s="807"/>
      <c r="J603" s="807"/>
      <c r="K603" s="807"/>
      <c r="L603" s="807"/>
      <c r="M603" s="807"/>
      <c r="N603" s="807"/>
      <c r="O603" s="807"/>
      <c r="P603" s="807"/>
      <c r="Q603" s="807"/>
      <c r="R603" s="807"/>
      <c r="S603" s="807"/>
      <c r="T603" s="807"/>
      <c r="U603" s="807"/>
      <c r="V603" s="807"/>
      <c r="W603" s="807"/>
      <c r="X603" s="807"/>
      <c r="Y603" s="807"/>
      <c r="Z603" s="807"/>
      <c r="AA603" s="807"/>
      <c r="AB603" s="807"/>
      <c r="AC603" s="807"/>
      <c r="AD603" s="807"/>
      <c r="AE603" s="807"/>
      <c r="AF603" s="807"/>
      <c r="AG603" s="807"/>
      <c r="AH603" s="807"/>
      <c r="AI603" s="807"/>
      <c r="AJ603" s="807"/>
      <c r="AK603" s="807"/>
      <c r="AL603" s="807"/>
      <c r="AM603" s="807"/>
      <c r="AN603" s="807"/>
      <c r="AO603" s="807"/>
      <c r="AP603" s="807"/>
    </row>
    <row r="604" spans="1:42" s="5" customFormat="1" x14ac:dyDescent="0.25">
      <c r="A604" s="805"/>
      <c r="B604" s="806"/>
      <c r="C604" s="806"/>
      <c r="D604" s="806"/>
      <c r="E604" s="807"/>
      <c r="F604" s="807"/>
      <c r="G604" s="807"/>
      <c r="H604" s="807"/>
      <c r="I604" s="807"/>
      <c r="J604" s="807"/>
      <c r="K604" s="807"/>
      <c r="L604" s="807"/>
      <c r="M604" s="807"/>
      <c r="N604" s="807"/>
      <c r="O604" s="807"/>
      <c r="P604" s="807"/>
      <c r="Q604" s="807"/>
      <c r="R604" s="807"/>
      <c r="S604" s="807"/>
      <c r="T604" s="807"/>
      <c r="U604" s="807"/>
      <c r="V604" s="807"/>
      <c r="W604" s="807"/>
      <c r="X604" s="807"/>
      <c r="Y604" s="807"/>
      <c r="Z604" s="807"/>
      <c r="AA604" s="807"/>
      <c r="AB604" s="807"/>
      <c r="AC604" s="807"/>
      <c r="AD604" s="807"/>
      <c r="AE604" s="807"/>
      <c r="AF604" s="807"/>
      <c r="AG604" s="807"/>
      <c r="AH604" s="807"/>
      <c r="AI604" s="807"/>
      <c r="AJ604" s="807"/>
      <c r="AK604" s="807"/>
      <c r="AL604" s="807"/>
      <c r="AM604" s="807"/>
      <c r="AN604" s="807"/>
      <c r="AO604" s="807"/>
      <c r="AP604" s="807"/>
    </row>
    <row r="605" spans="1:42" s="5" customFormat="1" x14ac:dyDescent="0.25">
      <c r="A605" s="805"/>
      <c r="B605" s="806"/>
      <c r="C605" s="806"/>
      <c r="D605" s="806"/>
      <c r="E605" s="807"/>
      <c r="F605" s="807"/>
      <c r="G605" s="807"/>
      <c r="H605" s="807"/>
      <c r="I605" s="807"/>
      <c r="J605" s="807"/>
      <c r="K605" s="807"/>
      <c r="L605" s="807"/>
      <c r="M605" s="807"/>
      <c r="N605" s="807"/>
      <c r="O605" s="807"/>
      <c r="P605" s="807"/>
      <c r="Q605" s="807"/>
      <c r="R605" s="807"/>
      <c r="S605" s="807"/>
      <c r="T605" s="807"/>
      <c r="U605" s="807"/>
      <c r="V605" s="807"/>
      <c r="W605" s="807"/>
      <c r="X605" s="807"/>
      <c r="Y605" s="807"/>
      <c r="Z605" s="807"/>
      <c r="AA605" s="807"/>
      <c r="AB605" s="807"/>
      <c r="AC605" s="807"/>
      <c r="AD605" s="807"/>
      <c r="AE605" s="807"/>
      <c r="AF605" s="807"/>
      <c r="AG605" s="807"/>
      <c r="AH605" s="807"/>
      <c r="AI605" s="807"/>
      <c r="AJ605" s="807"/>
      <c r="AK605" s="807"/>
      <c r="AL605" s="807"/>
      <c r="AM605" s="807"/>
      <c r="AN605" s="807"/>
      <c r="AO605" s="807"/>
      <c r="AP605" s="807"/>
    </row>
    <row r="606" spans="1:42" s="5" customFormat="1" x14ac:dyDescent="0.25">
      <c r="A606" s="805"/>
      <c r="B606" s="806"/>
      <c r="C606" s="806"/>
      <c r="D606" s="806"/>
      <c r="E606" s="807"/>
      <c r="F606" s="807"/>
      <c r="G606" s="807"/>
      <c r="H606" s="807"/>
      <c r="I606" s="807"/>
      <c r="J606" s="807"/>
      <c r="K606" s="807"/>
      <c r="L606" s="807"/>
      <c r="M606" s="807"/>
      <c r="N606" s="807"/>
      <c r="O606" s="807"/>
      <c r="P606" s="807"/>
      <c r="Q606" s="807"/>
      <c r="R606" s="807"/>
      <c r="S606" s="807"/>
      <c r="T606" s="807"/>
      <c r="U606" s="807"/>
      <c r="V606" s="807"/>
      <c r="W606" s="807"/>
      <c r="X606" s="807"/>
      <c r="Y606" s="807"/>
      <c r="Z606" s="807"/>
      <c r="AA606" s="807"/>
      <c r="AB606" s="807"/>
      <c r="AC606" s="807"/>
      <c r="AD606" s="807"/>
      <c r="AE606" s="807"/>
      <c r="AF606" s="807"/>
      <c r="AG606" s="807"/>
      <c r="AH606" s="807"/>
      <c r="AI606" s="807"/>
      <c r="AJ606" s="807"/>
      <c r="AK606" s="807"/>
      <c r="AL606" s="807"/>
      <c r="AM606" s="807"/>
      <c r="AN606" s="807"/>
      <c r="AO606" s="807"/>
      <c r="AP606" s="807"/>
    </row>
    <row r="607" spans="1:42" s="5" customFormat="1" x14ac:dyDescent="0.25">
      <c r="A607" s="805"/>
      <c r="B607" s="806"/>
      <c r="C607" s="806"/>
      <c r="D607" s="806"/>
      <c r="E607" s="807"/>
      <c r="F607" s="807"/>
      <c r="G607" s="807"/>
      <c r="H607" s="807"/>
      <c r="I607" s="807"/>
      <c r="J607" s="807"/>
      <c r="K607" s="807"/>
      <c r="L607" s="807"/>
      <c r="M607" s="807"/>
      <c r="N607" s="807"/>
      <c r="O607" s="807"/>
      <c r="P607" s="807"/>
      <c r="Q607" s="807"/>
      <c r="R607" s="807"/>
      <c r="S607" s="807"/>
      <c r="T607" s="807"/>
      <c r="U607" s="807"/>
      <c r="V607" s="807"/>
      <c r="W607" s="807"/>
      <c r="X607" s="807"/>
      <c r="Y607" s="807"/>
      <c r="Z607" s="807"/>
      <c r="AA607" s="807"/>
      <c r="AB607" s="807"/>
      <c r="AC607" s="807"/>
      <c r="AD607" s="807"/>
      <c r="AE607" s="807"/>
      <c r="AF607" s="807"/>
      <c r="AG607" s="807"/>
      <c r="AH607" s="807"/>
      <c r="AI607" s="807"/>
      <c r="AJ607" s="807"/>
      <c r="AK607" s="807"/>
      <c r="AL607" s="807"/>
      <c r="AM607" s="807"/>
      <c r="AN607" s="807"/>
      <c r="AO607" s="807"/>
      <c r="AP607" s="807"/>
    </row>
    <row r="608" spans="1:42" s="5" customFormat="1" x14ac:dyDescent="0.25">
      <c r="A608" s="805"/>
      <c r="B608" s="806"/>
      <c r="C608" s="806"/>
      <c r="D608" s="806"/>
      <c r="E608" s="807"/>
      <c r="F608" s="807"/>
      <c r="G608" s="807"/>
      <c r="H608" s="807"/>
      <c r="I608" s="807"/>
      <c r="J608" s="807"/>
      <c r="K608" s="807"/>
      <c r="L608" s="807"/>
      <c r="M608" s="807"/>
      <c r="N608" s="807"/>
      <c r="O608" s="807"/>
      <c r="P608" s="807"/>
      <c r="Q608" s="807"/>
      <c r="R608" s="807"/>
      <c r="S608" s="807"/>
      <c r="T608" s="807"/>
      <c r="U608" s="807"/>
      <c r="V608" s="807"/>
      <c r="W608" s="807"/>
      <c r="X608" s="807"/>
      <c r="Y608" s="807"/>
      <c r="Z608" s="807"/>
      <c r="AA608" s="807"/>
      <c r="AB608" s="807"/>
      <c r="AC608" s="807"/>
      <c r="AD608" s="807"/>
      <c r="AE608" s="807"/>
      <c r="AF608" s="807"/>
      <c r="AG608" s="807"/>
      <c r="AH608" s="807"/>
      <c r="AI608" s="807"/>
      <c r="AJ608" s="807"/>
      <c r="AK608" s="807"/>
      <c r="AL608" s="807"/>
      <c r="AM608" s="807"/>
      <c r="AN608" s="807"/>
      <c r="AO608" s="807"/>
      <c r="AP608" s="807"/>
    </row>
    <row r="609" spans="1:42" s="5" customFormat="1" x14ac:dyDescent="0.25">
      <c r="A609" s="805"/>
      <c r="B609" s="806"/>
      <c r="C609" s="806"/>
      <c r="D609" s="806"/>
      <c r="E609" s="807"/>
      <c r="F609" s="807"/>
      <c r="G609" s="807"/>
      <c r="H609" s="807"/>
      <c r="I609" s="807"/>
      <c r="J609" s="807"/>
      <c r="K609" s="807"/>
      <c r="L609" s="807"/>
      <c r="M609" s="807"/>
      <c r="N609" s="807"/>
      <c r="O609" s="807"/>
      <c r="P609" s="807"/>
      <c r="Q609" s="807"/>
      <c r="R609" s="807"/>
      <c r="S609" s="807"/>
      <c r="T609" s="807"/>
      <c r="U609" s="807"/>
      <c r="V609" s="807"/>
      <c r="W609" s="807"/>
      <c r="X609" s="807"/>
      <c r="Y609" s="807"/>
      <c r="Z609" s="807"/>
      <c r="AA609" s="807"/>
      <c r="AB609" s="807"/>
      <c r="AC609" s="807"/>
      <c r="AD609" s="807"/>
      <c r="AE609" s="807"/>
      <c r="AF609" s="807"/>
      <c r="AG609" s="807"/>
      <c r="AH609" s="807"/>
      <c r="AI609" s="807"/>
      <c r="AJ609" s="807"/>
      <c r="AK609" s="807"/>
      <c r="AL609" s="807"/>
      <c r="AM609" s="807"/>
      <c r="AN609" s="807"/>
      <c r="AO609" s="807"/>
      <c r="AP609" s="807"/>
    </row>
    <row r="610" spans="1:42" s="5" customFormat="1" x14ac:dyDescent="0.25">
      <c r="A610" s="805"/>
      <c r="B610" s="806"/>
      <c r="C610" s="806"/>
      <c r="D610" s="806"/>
      <c r="E610" s="807"/>
      <c r="F610" s="807"/>
      <c r="G610" s="807"/>
      <c r="H610" s="807"/>
      <c r="I610" s="807"/>
      <c r="J610" s="807"/>
      <c r="K610" s="807"/>
      <c r="L610" s="807"/>
      <c r="M610" s="807"/>
      <c r="N610" s="807"/>
      <c r="O610" s="807"/>
      <c r="P610" s="807"/>
      <c r="Q610" s="807"/>
      <c r="R610" s="807"/>
      <c r="S610" s="807"/>
      <c r="T610" s="807"/>
      <c r="U610" s="807"/>
      <c r="V610" s="807"/>
      <c r="W610" s="807"/>
      <c r="X610" s="807"/>
      <c r="Y610" s="807"/>
      <c r="Z610" s="807"/>
      <c r="AA610" s="807"/>
      <c r="AB610" s="807"/>
      <c r="AC610" s="807"/>
      <c r="AD610" s="807"/>
      <c r="AE610" s="807"/>
      <c r="AF610" s="807"/>
      <c r="AG610" s="807"/>
      <c r="AH610" s="807"/>
      <c r="AI610" s="807"/>
      <c r="AJ610" s="807"/>
      <c r="AK610" s="807"/>
      <c r="AL610" s="807"/>
      <c r="AM610" s="807"/>
      <c r="AN610" s="807"/>
      <c r="AO610" s="807"/>
      <c r="AP610" s="807"/>
    </row>
    <row r="611" spans="1:42" s="5" customFormat="1" x14ac:dyDescent="0.25">
      <c r="A611" s="805"/>
      <c r="B611" s="806"/>
      <c r="C611" s="806"/>
      <c r="D611" s="806"/>
      <c r="E611" s="807"/>
      <c r="F611" s="807"/>
      <c r="G611" s="807"/>
      <c r="H611" s="807"/>
      <c r="I611" s="807"/>
      <c r="J611" s="807"/>
      <c r="K611" s="807"/>
      <c r="L611" s="807"/>
      <c r="M611" s="807"/>
      <c r="N611" s="807"/>
      <c r="O611" s="807"/>
      <c r="P611" s="807"/>
      <c r="Q611" s="807"/>
      <c r="R611" s="807"/>
      <c r="S611" s="807"/>
      <c r="T611" s="807"/>
      <c r="U611" s="807"/>
      <c r="V611" s="807"/>
      <c r="W611" s="807"/>
      <c r="X611" s="807"/>
      <c r="Y611" s="807"/>
      <c r="Z611" s="807"/>
      <c r="AA611" s="807"/>
      <c r="AB611" s="807"/>
      <c r="AC611" s="807"/>
      <c r="AD611" s="807"/>
      <c r="AE611" s="807"/>
      <c r="AF611" s="807"/>
      <c r="AG611" s="807"/>
      <c r="AH611" s="807"/>
      <c r="AI611" s="807"/>
      <c r="AJ611" s="807"/>
      <c r="AK611" s="807"/>
      <c r="AL611" s="807"/>
      <c r="AM611" s="807"/>
      <c r="AN611" s="807"/>
      <c r="AO611" s="807"/>
      <c r="AP611" s="807"/>
    </row>
    <row r="612" spans="1:42" s="5" customFormat="1" x14ac:dyDescent="0.25">
      <c r="A612" s="805"/>
      <c r="B612" s="806"/>
      <c r="C612" s="806"/>
      <c r="D612" s="806"/>
      <c r="E612" s="807"/>
      <c r="F612" s="807"/>
      <c r="G612" s="807"/>
      <c r="H612" s="807"/>
      <c r="I612" s="807"/>
      <c r="J612" s="807"/>
      <c r="K612" s="807"/>
      <c r="L612" s="807"/>
      <c r="M612" s="807"/>
      <c r="N612" s="807"/>
      <c r="O612" s="807"/>
      <c r="P612" s="807"/>
      <c r="Q612" s="807"/>
      <c r="R612" s="807"/>
      <c r="S612" s="807"/>
      <c r="T612" s="807"/>
      <c r="U612" s="807"/>
      <c r="V612" s="807"/>
      <c r="W612" s="807"/>
      <c r="X612" s="807"/>
      <c r="Y612" s="807"/>
      <c r="Z612" s="807"/>
      <c r="AA612" s="807"/>
      <c r="AB612" s="807"/>
      <c r="AC612" s="807"/>
      <c r="AD612" s="807"/>
      <c r="AE612" s="807"/>
      <c r="AF612" s="807"/>
      <c r="AG612" s="807"/>
      <c r="AH612" s="807"/>
      <c r="AI612" s="807"/>
      <c r="AJ612" s="807"/>
      <c r="AK612" s="807"/>
      <c r="AL612" s="807"/>
      <c r="AM612" s="807"/>
      <c r="AN612" s="807"/>
      <c r="AO612" s="807"/>
      <c r="AP612" s="807"/>
    </row>
    <row r="613" spans="1:42" s="5" customFormat="1" x14ac:dyDescent="0.25">
      <c r="A613" s="805"/>
      <c r="B613" s="806"/>
      <c r="C613" s="806"/>
      <c r="D613" s="806"/>
      <c r="E613" s="807"/>
      <c r="F613" s="807"/>
      <c r="G613" s="807"/>
      <c r="H613" s="807"/>
      <c r="I613" s="807"/>
      <c r="J613" s="807"/>
      <c r="K613" s="807"/>
      <c r="L613" s="807"/>
      <c r="M613" s="807"/>
      <c r="N613" s="807"/>
      <c r="O613" s="807"/>
      <c r="P613" s="807"/>
      <c r="Q613" s="807"/>
      <c r="R613" s="807"/>
      <c r="S613" s="807"/>
      <c r="T613" s="807"/>
      <c r="U613" s="807"/>
      <c r="V613" s="807"/>
      <c r="W613" s="807"/>
      <c r="X613" s="807"/>
      <c r="Y613" s="807"/>
      <c r="Z613" s="807"/>
      <c r="AA613" s="807"/>
      <c r="AB613" s="807"/>
      <c r="AC613" s="807"/>
      <c r="AD613" s="807"/>
      <c r="AE613" s="807"/>
      <c r="AF613" s="807"/>
      <c r="AG613" s="807"/>
      <c r="AH613" s="807"/>
      <c r="AI613" s="807"/>
      <c r="AJ613" s="807"/>
      <c r="AK613" s="807"/>
      <c r="AL613" s="807"/>
      <c r="AM613" s="807"/>
      <c r="AN613" s="807"/>
      <c r="AO613" s="807"/>
      <c r="AP613" s="807"/>
    </row>
    <row r="614" spans="1:42" s="5" customFormat="1" x14ac:dyDescent="0.25">
      <c r="A614" s="805"/>
      <c r="B614" s="806"/>
      <c r="C614" s="806"/>
      <c r="D614" s="806"/>
      <c r="E614" s="807"/>
      <c r="F614" s="807"/>
      <c r="G614" s="807"/>
      <c r="H614" s="807"/>
      <c r="I614" s="807"/>
      <c r="J614" s="807"/>
      <c r="K614" s="807"/>
      <c r="L614" s="807"/>
      <c r="M614" s="807"/>
      <c r="N614" s="807"/>
      <c r="O614" s="807"/>
      <c r="P614" s="807"/>
      <c r="Q614" s="807"/>
      <c r="R614" s="807"/>
      <c r="S614" s="807"/>
      <c r="T614" s="807"/>
      <c r="U614" s="807"/>
      <c r="V614" s="807"/>
      <c r="W614" s="807"/>
      <c r="X614" s="807"/>
      <c r="Y614" s="807"/>
      <c r="Z614" s="807"/>
      <c r="AA614" s="807"/>
      <c r="AB614" s="807"/>
      <c r="AC614" s="807"/>
      <c r="AD614" s="807"/>
      <c r="AE614" s="807"/>
      <c r="AF614" s="807"/>
      <c r="AG614" s="807"/>
      <c r="AH614" s="807"/>
      <c r="AI614" s="807"/>
      <c r="AJ614" s="807"/>
      <c r="AK614" s="807"/>
      <c r="AL614" s="807"/>
      <c r="AM614" s="807"/>
      <c r="AN614" s="807"/>
      <c r="AO614" s="807"/>
      <c r="AP614" s="807"/>
    </row>
    <row r="615" spans="1:42" s="5" customFormat="1" x14ac:dyDescent="0.25">
      <c r="A615" s="805"/>
      <c r="B615" s="806"/>
      <c r="C615" s="806"/>
      <c r="D615" s="806"/>
      <c r="E615" s="807"/>
      <c r="F615" s="807"/>
      <c r="G615" s="807"/>
      <c r="H615" s="807"/>
      <c r="I615" s="807"/>
      <c r="J615" s="807"/>
      <c r="K615" s="807"/>
      <c r="L615" s="807"/>
      <c r="M615" s="807"/>
      <c r="N615" s="807"/>
      <c r="O615" s="807"/>
      <c r="P615" s="807"/>
      <c r="Q615" s="807"/>
      <c r="R615" s="807"/>
      <c r="S615" s="807"/>
      <c r="T615" s="807"/>
      <c r="U615" s="807"/>
      <c r="V615" s="807"/>
      <c r="W615" s="807"/>
      <c r="X615" s="807"/>
      <c r="Y615" s="807"/>
      <c r="Z615" s="807"/>
      <c r="AA615" s="807"/>
      <c r="AB615" s="807"/>
      <c r="AC615" s="807"/>
      <c r="AD615" s="807"/>
      <c r="AE615" s="807"/>
      <c r="AF615" s="807"/>
      <c r="AG615" s="807"/>
      <c r="AH615" s="807"/>
      <c r="AI615" s="807"/>
      <c r="AJ615" s="807"/>
      <c r="AK615" s="807"/>
      <c r="AL615" s="807"/>
      <c r="AM615" s="807"/>
      <c r="AN615" s="807"/>
      <c r="AO615" s="807"/>
      <c r="AP615" s="807"/>
    </row>
    <row r="616" spans="1:42" s="5" customFormat="1" x14ac:dyDescent="0.25">
      <c r="A616" s="805"/>
      <c r="B616" s="806"/>
      <c r="C616" s="806"/>
      <c r="D616" s="806"/>
      <c r="E616" s="807"/>
      <c r="F616" s="807"/>
      <c r="G616" s="807"/>
      <c r="H616" s="807"/>
      <c r="I616" s="807"/>
      <c r="J616" s="807"/>
      <c r="K616" s="807"/>
      <c r="L616" s="807"/>
      <c r="M616" s="807"/>
      <c r="N616" s="807"/>
      <c r="O616" s="807"/>
      <c r="P616" s="807"/>
      <c r="Q616" s="807"/>
      <c r="R616" s="807"/>
      <c r="S616" s="807"/>
      <c r="T616" s="807"/>
      <c r="U616" s="807"/>
      <c r="V616" s="807"/>
      <c r="W616" s="807"/>
      <c r="X616" s="807"/>
      <c r="Y616" s="807"/>
      <c r="Z616" s="807"/>
      <c r="AA616" s="807"/>
      <c r="AB616" s="807"/>
      <c r="AC616" s="807"/>
      <c r="AD616" s="807"/>
      <c r="AE616" s="807"/>
      <c r="AF616" s="807"/>
      <c r="AG616" s="807"/>
      <c r="AH616" s="807"/>
      <c r="AI616" s="807"/>
      <c r="AJ616" s="807"/>
      <c r="AK616" s="807"/>
      <c r="AL616" s="807"/>
      <c r="AM616" s="807"/>
      <c r="AN616" s="807"/>
      <c r="AO616" s="807"/>
      <c r="AP616" s="807"/>
    </row>
    <row r="617" spans="1:42" s="5" customFormat="1" x14ac:dyDescent="0.25">
      <c r="A617" s="805"/>
      <c r="B617" s="806"/>
      <c r="C617" s="806"/>
      <c r="D617" s="806"/>
      <c r="E617" s="807"/>
      <c r="F617" s="807"/>
      <c r="G617" s="807"/>
      <c r="H617" s="807"/>
      <c r="I617" s="807"/>
      <c r="J617" s="807"/>
      <c r="K617" s="807"/>
      <c r="L617" s="807"/>
      <c r="M617" s="807"/>
      <c r="N617" s="807"/>
      <c r="O617" s="807"/>
      <c r="P617" s="807"/>
      <c r="Q617" s="807"/>
      <c r="R617" s="807"/>
      <c r="S617" s="807"/>
      <c r="T617" s="807"/>
      <c r="U617" s="807"/>
      <c r="V617" s="807"/>
      <c r="W617" s="807"/>
      <c r="X617" s="807"/>
      <c r="Y617" s="807"/>
      <c r="Z617" s="807"/>
      <c r="AA617" s="807"/>
      <c r="AB617" s="807"/>
      <c r="AC617" s="807"/>
      <c r="AD617" s="807"/>
      <c r="AE617" s="807"/>
      <c r="AF617" s="807"/>
      <c r="AG617" s="807"/>
      <c r="AH617" s="807"/>
      <c r="AI617" s="807"/>
      <c r="AJ617" s="807"/>
      <c r="AK617" s="807"/>
      <c r="AL617" s="807"/>
      <c r="AM617" s="807"/>
      <c r="AN617" s="807"/>
      <c r="AO617" s="807"/>
      <c r="AP617" s="807"/>
    </row>
    <row r="618" spans="1:42" s="5" customFormat="1" x14ac:dyDescent="0.25">
      <c r="A618" s="805"/>
      <c r="B618" s="806"/>
      <c r="C618" s="806"/>
      <c r="D618" s="806"/>
      <c r="E618" s="807"/>
      <c r="F618" s="807"/>
      <c r="G618" s="807"/>
      <c r="H618" s="807"/>
      <c r="I618" s="807"/>
      <c r="J618" s="807"/>
      <c r="K618" s="807"/>
      <c r="L618" s="807"/>
      <c r="M618" s="807"/>
      <c r="N618" s="807"/>
      <c r="O618" s="807"/>
      <c r="P618" s="807"/>
      <c r="Q618" s="807"/>
      <c r="R618" s="807"/>
      <c r="S618" s="807"/>
      <c r="T618" s="807"/>
      <c r="U618" s="807"/>
      <c r="V618" s="807"/>
      <c r="W618" s="807"/>
      <c r="X618" s="807"/>
      <c r="Y618" s="807"/>
      <c r="Z618" s="807"/>
      <c r="AA618" s="807"/>
      <c r="AB618" s="807"/>
      <c r="AC618" s="807"/>
      <c r="AD618" s="807"/>
      <c r="AE618" s="807"/>
      <c r="AF618" s="807"/>
      <c r="AG618" s="807"/>
      <c r="AH618" s="807"/>
      <c r="AI618" s="807"/>
      <c r="AJ618" s="807"/>
      <c r="AK618" s="807"/>
      <c r="AL618" s="807"/>
      <c r="AM618" s="807"/>
      <c r="AN618" s="807"/>
      <c r="AO618" s="807"/>
      <c r="AP618" s="807"/>
    </row>
    <row r="619" spans="1:42" s="5" customFormat="1" x14ac:dyDescent="0.25">
      <c r="A619" s="805"/>
      <c r="B619" s="806"/>
      <c r="C619" s="806"/>
      <c r="D619" s="806"/>
      <c r="E619" s="807"/>
      <c r="F619" s="807"/>
      <c r="G619" s="807"/>
      <c r="H619" s="807"/>
      <c r="I619" s="807"/>
      <c r="J619" s="807"/>
      <c r="K619" s="807"/>
      <c r="L619" s="807"/>
      <c r="M619" s="807"/>
      <c r="N619" s="807"/>
      <c r="O619" s="807"/>
      <c r="P619" s="807"/>
      <c r="Q619" s="807"/>
      <c r="R619" s="807"/>
      <c r="S619" s="807"/>
      <c r="T619" s="807"/>
      <c r="U619" s="807"/>
      <c r="V619" s="807"/>
      <c r="W619" s="807"/>
      <c r="X619" s="807"/>
      <c r="Y619" s="807"/>
      <c r="Z619" s="807"/>
      <c r="AA619" s="807"/>
      <c r="AB619" s="807"/>
      <c r="AC619" s="807"/>
      <c r="AD619" s="807"/>
      <c r="AE619" s="807"/>
      <c r="AF619" s="807"/>
      <c r="AG619" s="807"/>
      <c r="AH619" s="807"/>
      <c r="AI619" s="807"/>
      <c r="AJ619" s="807"/>
      <c r="AK619" s="807"/>
      <c r="AL619" s="807"/>
      <c r="AM619" s="807"/>
      <c r="AN619" s="807"/>
      <c r="AO619" s="807"/>
      <c r="AP619" s="807"/>
    </row>
    <row r="620" spans="1:42" s="5" customFormat="1" x14ac:dyDescent="0.25">
      <c r="A620" s="805"/>
      <c r="B620" s="806"/>
      <c r="C620" s="806"/>
      <c r="D620" s="806"/>
      <c r="E620" s="807"/>
      <c r="F620" s="807"/>
      <c r="G620" s="807"/>
      <c r="H620" s="807"/>
      <c r="I620" s="807"/>
      <c r="J620" s="807"/>
      <c r="K620" s="807"/>
      <c r="L620" s="807"/>
      <c r="M620" s="807"/>
      <c r="N620" s="807"/>
      <c r="O620" s="807"/>
      <c r="P620" s="807"/>
      <c r="Q620" s="807"/>
      <c r="R620" s="807"/>
      <c r="S620" s="807"/>
      <c r="T620" s="807"/>
      <c r="U620" s="807"/>
      <c r="V620" s="807"/>
      <c r="W620" s="807"/>
      <c r="X620" s="807"/>
      <c r="Y620" s="807"/>
      <c r="Z620" s="807"/>
      <c r="AA620" s="807"/>
      <c r="AB620" s="807"/>
      <c r="AC620" s="807"/>
      <c r="AD620" s="807"/>
      <c r="AE620" s="807"/>
      <c r="AF620" s="807"/>
      <c r="AG620" s="807"/>
      <c r="AH620" s="807"/>
      <c r="AI620" s="807"/>
      <c r="AJ620" s="807"/>
      <c r="AK620" s="807"/>
      <c r="AL620" s="807"/>
      <c r="AM620" s="807"/>
      <c r="AN620" s="807"/>
      <c r="AO620" s="807"/>
      <c r="AP620" s="807"/>
    </row>
    <row r="621" spans="1:42" s="5" customFormat="1" x14ac:dyDescent="0.25">
      <c r="A621" s="805"/>
      <c r="B621" s="806"/>
      <c r="C621" s="806"/>
      <c r="D621" s="806"/>
      <c r="E621" s="807"/>
      <c r="F621" s="807"/>
      <c r="G621" s="807"/>
      <c r="H621" s="807"/>
      <c r="I621" s="807"/>
      <c r="J621" s="807"/>
      <c r="K621" s="807"/>
      <c r="L621" s="807"/>
      <c r="M621" s="807"/>
      <c r="N621" s="807"/>
      <c r="O621" s="807"/>
      <c r="P621" s="807"/>
      <c r="Q621" s="807"/>
      <c r="R621" s="807"/>
      <c r="S621" s="807"/>
      <c r="T621" s="807"/>
      <c r="U621" s="807"/>
      <c r="V621" s="807"/>
      <c r="W621" s="807"/>
      <c r="X621" s="807"/>
      <c r="Y621" s="807"/>
      <c r="Z621" s="807"/>
      <c r="AA621" s="807"/>
      <c r="AB621" s="807"/>
      <c r="AC621" s="807"/>
      <c r="AD621" s="807"/>
      <c r="AE621" s="807"/>
      <c r="AF621" s="807"/>
      <c r="AG621" s="807"/>
      <c r="AH621" s="807"/>
      <c r="AI621" s="807"/>
      <c r="AJ621" s="807"/>
      <c r="AK621" s="807"/>
      <c r="AL621" s="807"/>
      <c r="AM621" s="807"/>
      <c r="AN621" s="807"/>
      <c r="AO621" s="807"/>
      <c r="AP621" s="807"/>
    </row>
    <row r="622" spans="1:42" s="5" customFormat="1" x14ac:dyDescent="0.25">
      <c r="A622" s="805"/>
      <c r="B622" s="806"/>
      <c r="C622" s="806"/>
      <c r="D622" s="806"/>
      <c r="E622" s="807"/>
      <c r="F622" s="807"/>
      <c r="G622" s="807"/>
      <c r="H622" s="807"/>
      <c r="I622" s="807"/>
      <c r="J622" s="807"/>
      <c r="K622" s="807"/>
      <c r="L622" s="807"/>
      <c r="M622" s="807"/>
      <c r="N622" s="807"/>
      <c r="O622" s="807"/>
      <c r="P622" s="807"/>
      <c r="Q622" s="807"/>
      <c r="R622" s="807"/>
      <c r="S622" s="807"/>
      <c r="T622" s="807"/>
      <c r="U622" s="807"/>
      <c r="V622" s="807"/>
      <c r="W622" s="807"/>
      <c r="X622" s="807"/>
      <c r="Y622" s="807"/>
      <c r="Z622" s="807"/>
      <c r="AA622" s="807"/>
      <c r="AB622" s="807"/>
      <c r="AC622" s="807"/>
      <c r="AD622" s="807"/>
      <c r="AE622" s="807"/>
      <c r="AF622" s="807"/>
      <c r="AG622" s="807"/>
      <c r="AH622" s="807"/>
      <c r="AI622" s="807"/>
      <c r="AJ622" s="807"/>
      <c r="AK622" s="807"/>
      <c r="AL622" s="807"/>
      <c r="AM622" s="807"/>
      <c r="AN622" s="807"/>
      <c r="AO622" s="807"/>
      <c r="AP622" s="807"/>
    </row>
    <row r="623" spans="1:42" s="5" customFormat="1" x14ac:dyDescent="0.25">
      <c r="A623" s="805"/>
      <c r="B623" s="806"/>
      <c r="C623" s="806"/>
      <c r="D623" s="806"/>
      <c r="E623" s="807"/>
      <c r="F623" s="807"/>
      <c r="G623" s="807"/>
      <c r="H623" s="807"/>
      <c r="I623" s="807"/>
      <c r="J623" s="807"/>
      <c r="K623" s="807"/>
      <c r="L623" s="807"/>
      <c r="M623" s="807"/>
      <c r="N623" s="807"/>
      <c r="O623" s="807"/>
      <c r="P623" s="807"/>
      <c r="Q623" s="807"/>
      <c r="R623" s="807"/>
      <c r="S623" s="807"/>
      <c r="T623" s="807"/>
      <c r="U623" s="807"/>
      <c r="V623" s="807"/>
      <c r="W623" s="807"/>
      <c r="X623" s="807"/>
      <c r="Y623" s="807"/>
      <c r="Z623" s="807"/>
      <c r="AA623" s="807"/>
      <c r="AB623" s="807"/>
      <c r="AC623" s="807"/>
      <c r="AD623" s="807"/>
      <c r="AE623" s="807"/>
      <c r="AF623" s="807"/>
      <c r="AG623" s="807"/>
      <c r="AH623" s="807"/>
      <c r="AI623" s="807"/>
      <c r="AJ623" s="807"/>
      <c r="AK623" s="807"/>
      <c r="AL623" s="807"/>
      <c r="AM623" s="807"/>
      <c r="AN623" s="807"/>
      <c r="AO623" s="807"/>
      <c r="AP623" s="807"/>
    </row>
    <row r="624" spans="1:42" s="5" customFormat="1" x14ac:dyDescent="0.25">
      <c r="A624" s="805"/>
      <c r="B624" s="806"/>
      <c r="C624" s="806"/>
      <c r="D624" s="806"/>
      <c r="E624" s="807"/>
      <c r="F624" s="807"/>
      <c r="G624" s="807"/>
      <c r="H624" s="807"/>
      <c r="I624" s="807"/>
      <c r="J624" s="807"/>
      <c r="K624" s="807"/>
      <c r="L624" s="807"/>
      <c r="M624" s="807"/>
      <c r="N624" s="807"/>
      <c r="O624" s="807"/>
      <c r="P624" s="807"/>
      <c r="Q624" s="807"/>
      <c r="R624" s="807"/>
      <c r="S624" s="807"/>
      <c r="T624" s="807"/>
      <c r="U624" s="807"/>
      <c r="V624" s="807"/>
      <c r="W624" s="807"/>
      <c r="X624" s="807"/>
      <c r="Y624" s="807"/>
      <c r="Z624" s="807"/>
      <c r="AA624" s="807"/>
      <c r="AB624" s="807"/>
      <c r="AC624" s="807"/>
      <c r="AD624" s="807"/>
      <c r="AE624" s="807"/>
      <c r="AF624" s="807"/>
      <c r="AG624" s="807"/>
      <c r="AH624" s="807"/>
      <c r="AI624" s="807"/>
      <c r="AJ624" s="807"/>
      <c r="AK624" s="807"/>
      <c r="AL624" s="807"/>
      <c r="AM624" s="807"/>
      <c r="AN624" s="807"/>
      <c r="AO624" s="807"/>
      <c r="AP624" s="807"/>
    </row>
    <row r="625" spans="1:42" s="5" customFormat="1" x14ac:dyDescent="0.25">
      <c r="A625" s="805"/>
      <c r="B625" s="806"/>
      <c r="C625" s="806"/>
      <c r="D625" s="806"/>
      <c r="E625" s="807"/>
      <c r="F625" s="807"/>
      <c r="G625" s="807"/>
      <c r="H625" s="807"/>
      <c r="I625" s="807"/>
      <c r="J625" s="807"/>
      <c r="K625" s="807"/>
      <c r="L625" s="807"/>
      <c r="M625" s="807"/>
      <c r="N625" s="807"/>
      <c r="O625" s="807"/>
      <c r="P625" s="807"/>
      <c r="Q625" s="807"/>
      <c r="R625" s="807"/>
      <c r="S625" s="807"/>
      <c r="T625" s="807"/>
      <c r="U625" s="807"/>
      <c r="V625" s="807"/>
      <c r="W625" s="807"/>
      <c r="X625" s="807"/>
      <c r="Y625" s="807"/>
      <c r="Z625" s="807"/>
      <c r="AA625" s="807"/>
      <c r="AB625" s="807"/>
      <c r="AC625" s="807"/>
      <c r="AD625" s="807"/>
      <c r="AE625" s="807"/>
      <c r="AF625" s="807"/>
      <c r="AG625" s="807"/>
      <c r="AH625" s="807"/>
      <c r="AI625" s="807"/>
      <c r="AJ625" s="807"/>
      <c r="AK625" s="807"/>
      <c r="AL625" s="807"/>
      <c r="AM625" s="807"/>
      <c r="AN625" s="807"/>
      <c r="AO625" s="807"/>
      <c r="AP625" s="807"/>
    </row>
    <row r="626" spans="1:42" s="5" customFormat="1" x14ac:dyDescent="0.25">
      <c r="A626" s="805"/>
      <c r="B626" s="806"/>
      <c r="C626" s="806"/>
      <c r="D626" s="806"/>
      <c r="E626" s="807"/>
      <c r="F626" s="807"/>
      <c r="G626" s="807"/>
      <c r="H626" s="807"/>
      <c r="I626" s="807"/>
      <c r="J626" s="807"/>
      <c r="K626" s="807"/>
      <c r="L626" s="807"/>
      <c r="M626" s="807"/>
      <c r="N626" s="807"/>
      <c r="O626" s="807"/>
      <c r="P626" s="807"/>
      <c r="Q626" s="807"/>
      <c r="R626" s="807"/>
      <c r="S626" s="807"/>
      <c r="T626" s="807"/>
      <c r="U626" s="807"/>
      <c r="V626" s="807"/>
      <c r="W626" s="807"/>
      <c r="X626" s="807"/>
      <c r="Y626" s="807"/>
      <c r="Z626" s="807"/>
      <c r="AA626" s="807"/>
      <c r="AB626" s="807"/>
      <c r="AC626" s="807"/>
      <c r="AD626" s="807"/>
      <c r="AE626" s="807"/>
      <c r="AF626" s="807"/>
      <c r="AG626" s="807"/>
      <c r="AH626" s="807"/>
      <c r="AI626" s="807"/>
      <c r="AJ626" s="807"/>
      <c r="AK626" s="807"/>
      <c r="AL626" s="807"/>
      <c r="AM626" s="807"/>
      <c r="AN626" s="807"/>
      <c r="AO626" s="807"/>
      <c r="AP626" s="807"/>
    </row>
    <row r="627" spans="1:42" s="5" customFormat="1" x14ac:dyDescent="0.25">
      <c r="A627" s="805"/>
      <c r="B627" s="806"/>
      <c r="C627" s="806"/>
      <c r="D627" s="806"/>
      <c r="E627" s="807"/>
      <c r="F627" s="807"/>
      <c r="G627" s="807"/>
      <c r="H627" s="807"/>
      <c r="I627" s="807"/>
      <c r="J627" s="807"/>
      <c r="K627" s="807"/>
      <c r="L627" s="807"/>
      <c r="M627" s="807"/>
      <c r="N627" s="807"/>
      <c r="O627" s="807"/>
      <c r="P627" s="807"/>
      <c r="Q627" s="807"/>
      <c r="R627" s="807"/>
      <c r="S627" s="807"/>
      <c r="T627" s="807"/>
      <c r="U627" s="807"/>
      <c r="V627" s="807"/>
      <c r="W627" s="807"/>
      <c r="X627" s="807"/>
      <c r="Y627" s="807"/>
      <c r="Z627" s="807"/>
      <c r="AA627" s="807"/>
      <c r="AB627" s="807"/>
      <c r="AC627" s="807"/>
      <c r="AD627" s="807"/>
      <c r="AE627" s="807"/>
      <c r="AF627" s="807"/>
      <c r="AG627" s="807"/>
      <c r="AH627" s="807"/>
      <c r="AI627" s="807"/>
      <c r="AJ627" s="807"/>
      <c r="AK627" s="807"/>
      <c r="AL627" s="807"/>
      <c r="AM627" s="807"/>
      <c r="AN627" s="807"/>
      <c r="AO627" s="807"/>
      <c r="AP627" s="807"/>
    </row>
    <row r="628" spans="1:42" s="5" customFormat="1" x14ac:dyDescent="0.25">
      <c r="A628" s="805"/>
      <c r="B628" s="806"/>
      <c r="C628" s="806"/>
      <c r="D628" s="806"/>
      <c r="E628" s="807"/>
      <c r="F628" s="807"/>
      <c r="G628" s="807"/>
      <c r="H628" s="807"/>
      <c r="I628" s="807"/>
      <c r="J628" s="807"/>
      <c r="K628" s="807"/>
      <c r="L628" s="807"/>
      <c r="M628" s="807"/>
      <c r="N628" s="807"/>
      <c r="O628" s="807"/>
      <c r="P628" s="807"/>
      <c r="Q628" s="807"/>
      <c r="R628" s="807"/>
      <c r="S628" s="807"/>
      <c r="T628" s="807"/>
      <c r="U628" s="807"/>
      <c r="V628" s="807"/>
      <c r="W628" s="807"/>
      <c r="X628" s="807"/>
      <c r="Y628" s="807"/>
      <c r="Z628" s="807"/>
      <c r="AA628" s="807"/>
      <c r="AB628" s="807"/>
      <c r="AC628" s="807"/>
      <c r="AD628" s="807"/>
      <c r="AE628" s="807"/>
      <c r="AF628" s="807"/>
      <c r="AG628" s="807"/>
      <c r="AH628" s="807"/>
      <c r="AI628" s="807"/>
      <c r="AJ628" s="807"/>
      <c r="AK628" s="807"/>
      <c r="AL628" s="807"/>
      <c r="AM628" s="807"/>
      <c r="AN628" s="807"/>
      <c r="AO628" s="807"/>
      <c r="AP628" s="807"/>
    </row>
    <row r="629" spans="1:42" s="5" customFormat="1" x14ac:dyDescent="0.25">
      <c r="A629" s="805"/>
      <c r="B629" s="806"/>
      <c r="C629" s="806"/>
      <c r="D629" s="806"/>
      <c r="E629" s="807"/>
      <c r="F629" s="807"/>
      <c r="G629" s="807"/>
      <c r="H629" s="807"/>
      <c r="I629" s="807"/>
      <c r="J629" s="807"/>
      <c r="K629" s="807"/>
      <c r="L629" s="807"/>
      <c r="M629" s="807"/>
      <c r="N629" s="807"/>
      <c r="O629" s="807"/>
      <c r="P629" s="807"/>
      <c r="Q629" s="807"/>
      <c r="R629" s="807"/>
      <c r="S629" s="807"/>
      <c r="T629" s="807"/>
      <c r="U629" s="807"/>
      <c r="V629" s="807"/>
      <c r="W629" s="807"/>
      <c r="X629" s="807"/>
      <c r="Y629" s="807"/>
      <c r="Z629" s="807"/>
      <c r="AA629" s="807"/>
      <c r="AB629" s="807"/>
      <c r="AC629" s="807"/>
      <c r="AD629" s="807"/>
      <c r="AE629" s="807"/>
      <c r="AF629" s="807"/>
      <c r="AG629" s="807"/>
      <c r="AH629" s="807"/>
      <c r="AI629" s="807"/>
      <c r="AJ629" s="807"/>
      <c r="AK629" s="807"/>
      <c r="AL629" s="807"/>
      <c r="AM629" s="807"/>
      <c r="AN629" s="807"/>
      <c r="AO629" s="807"/>
      <c r="AP629" s="807"/>
    </row>
    <row r="630" spans="1:42" s="5" customFormat="1" x14ac:dyDescent="0.25">
      <c r="A630" s="805"/>
      <c r="B630" s="806"/>
      <c r="C630" s="806"/>
      <c r="D630" s="806"/>
      <c r="E630" s="807"/>
      <c r="F630" s="807"/>
      <c r="G630" s="807"/>
      <c r="H630" s="807"/>
      <c r="I630" s="807"/>
      <c r="J630" s="807"/>
      <c r="K630" s="807"/>
      <c r="L630" s="807"/>
      <c r="M630" s="807"/>
      <c r="N630" s="807"/>
      <c r="O630" s="807"/>
      <c r="P630" s="807"/>
      <c r="Q630" s="807"/>
      <c r="R630" s="807"/>
      <c r="S630" s="807"/>
      <c r="T630" s="807"/>
      <c r="U630" s="807"/>
      <c r="V630" s="807"/>
      <c r="W630" s="807"/>
      <c r="X630" s="807"/>
      <c r="Y630" s="807"/>
      <c r="Z630" s="807"/>
      <c r="AA630" s="807"/>
      <c r="AB630" s="807"/>
      <c r="AC630" s="807"/>
      <c r="AD630" s="807"/>
      <c r="AE630" s="807"/>
      <c r="AF630" s="807"/>
      <c r="AG630" s="807"/>
      <c r="AH630" s="807"/>
      <c r="AI630" s="807"/>
      <c r="AJ630" s="807"/>
      <c r="AK630" s="807"/>
      <c r="AL630" s="807"/>
      <c r="AM630" s="807"/>
      <c r="AN630" s="807"/>
      <c r="AO630" s="807"/>
      <c r="AP630" s="807"/>
    </row>
    <row r="631" spans="1:42" s="5" customFormat="1" x14ac:dyDescent="0.25">
      <c r="A631" s="805"/>
      <c r="B631" s="806"/>
      <c r="C631" s="806"/>
      <c r="D631" s="806"/>
      <c r="E631" s="807"/>
      <c r="F631" s="807"/>
      <c r="G631" s="807"/>
      <c r="H631" s="807"/>
      <c r="I631" s="807"/>
      <c r="J631" s="807"/>
      <c r="K631" s="807"/>
      <c r="L631" s="807"/>
      <c r="M631" s="807"/>
      <c r="N631" s="807"/>
      <c r="O631" s="807"/>
      <c r="P631" s="807"/>
      <c r="Q631" s="807"/>
      <c r="R631" s="807"/>
      <c r="S631" s="807"/>
      <c r="T631" s="807"/>
      <c r="U631" s="807"/>
      <c r="V631" s="807"/>
      <c r="W631" s="807"/>
      <c r="X631" s="807"/>
      <c r="Y631" s="807"/>
      <c r="Z631" s="807"/>
      <c r="AA631" s="807"/>
      <c r="AB631" s="807"/>
      <c r="AC631" s="807"/>
      <c r="AD631" s="807"/>
      <c r="AE631" s="807"/>
      <c r="AF631" s="807"/>
      <c r="AG631" s="807"/>
      <c r="AH631" s="807"/>
      <c r="AI631" s="807"/>
      <c r="AJ631" s="807"/>
      <c r="AK631" s="807"/>
      <c r="AL631" s="807"/>
      <c r="AM631" s="807"/>
      <c r="AN631" s="807"/>
      <c r="AO631" s="807"/>
      <c r="AP631" s="807"/>
    </row>
    <row r="632" spans="1:42" s="5" customFormat="1" x14ac:dyDescent="0.25">
      <c r="A632" s="805"/>
      <c r="B632" s="806"/>
      <c r="C632" s="806"/>
      <c r="D632" s="806"/>
      <c r="E632" s="807"/>
      <c r="F632" s="807"/>
      <c r="G632" s="807"/>
      <c r="H632" s="807"/>
      <c r="I632" s="807"/>
      <c r="J632" s="807"/>
      <c r="K632" s="807"/>
      <c r="L632" s="807"/>
      <c r="M632" s="807"/>
      <c r="N632" s="807"/>
      <c r="O632" s="807"/>
      <c r="P632" s="807"/>
      <c r="Q632" s="807"/>
      <c r="R632" s="807"/>
      <c r="S632" s="807"/>
      <c r="T632" s="807"/>
      <c r="U632" s="807"/>
      <c r="V632" s="807"/>
      <c r="W632" s="807"/>
      <c r="X632" s="807"/>
      <c r="Y632" s="807"/>
      <c r="Z632" s="807"/>
      <c r="AA632" s="807"/>
      <c r="AB632" s="807"/>
      <c r="AC632" s="807"/>
      <c r="AD632" s="807"/>
      <c r="AE632" s="807"/>
      <c r="AF632" s="807"/>
      <c r="AG632" s="807"/>
      <c r="AH632" s="807"/>
      <c r="AI632" s="807"/>
      <c r="AJ632" s="807"/>
      <c r="AK632" s="807"/>
      <c r="AL632" s="807"/>
      <c r="AM632" s="807"/>
      <c r="AN632" s="807"/>
      <c r="AO632" s="807"/>
      <c r="AP632" s="807"/>
    </row>
    <row r="633" spans="1:42" s="5" customFormat="1" x14ac:dyDescent="0.25">
      <c r="A633" s="805"/>
      <c r="B633" s="806"/>
      <c r="C633" s="806"/>
      <c r="D633" s="806"/>
      <c r="E633" s="807"/>
      <c r="F633" s="807"/>
      <c r="G633" s="807"/>
      <c r="H633" s="807"/>
      <c r="I633" s="807"/>
      <c r="J633" s="807"/>
      <c r="K633" s="807"/>
      <c r="L633" s="807"/>
      <c r="M633" s="807"/>
      <c r="N633" s="807"/>
      <c r="O633" s="807"/>
      <c r="P633" s="807"/>
      <c r="Q633" s="807"/>
      <c r="R633" s="807"/>
      <c r="S633" s="807"/>
      <c r="T633" s="807"/>
      <c r="U633" s="807"/>
      <c r="V633" s="807"/>
      <c r="W633" s="807"/>
      <c r="X633" s="807"/>
      <c r="Y633" s="807"/>
      <c r="Z633" s="807"/>
      <c r="AA633" s="807"/>
      <c r="AB633" s="807"/>
      <c r="AC633" s="807"/>
      <c r="AD633" s="807"/>
      <c r="AE633" s="807"/>
      <c r="AF633" s="807"/>
      <c r="AG633" s="807"/>
      <c r="AH633" s="807"/>
      <c r="AI633" s="807"/>
      <c r="AJ633" s="807"/>
      <c r="AK633" s="807"/>
      <c r="AL633" s="807"/>
      <c r="AM633" s="807"/>
      <c r="AN633" s="807"/>
      <c r="AO633" s="807"/>
      <c r="AP633" s="807"/>
    </row>
    <row r="634" spans="1:42" s="5" customFormat="1" x14ac:dyDescent="0.25">
      <c r="A634" s="805"/>
      <c r="B634" s="806"/>
      <c r="C634" s="806"/>
      <c r="D634" s="806"/>
      <c r="E634" s="807"/>
      <c r="F634" s="807"/>
      <c r="G634" s="807"/>
      <c r="H634" s="807"/>
      <c r="I634" s="807"/>
      <c r="J634" s="807"/>
      <c r="K634" s="807"/>
      <c r="L634" s="807"/>
      <c r="M634" s="807"/>
      <c r="N634" s="807"/>
      <c r="O634" s="807"/>
      <c r="P634" s="807"/>
      <c r="Q634" s="807"/>
      <c r="R634" s="807"/>
      <c r="S634" s="807"/>
      <c r="T634" s="807"/>
      <c r="U634" s="807"/>
      <c r="V634" s="807"/>
      <c r="W634" s="807"/>
      <c r="X634" s="807"/>
      <c r="Y634" s="807"/>
      <c r="Z634" s="807"/>
      <c r="AA634" s="807"/>
      <c r="AB634" s="807"/>
      <c r="AC634" s="807"/>
      <c r="AD634" s="807"/>
      <c r="AE634" s="807"/>
      <c r="AF634" s="807"/>
      <c r="AG634" s="807"/>
      <c r="AH634" s="807"/>
      <c r="AI634" s="807"/>
      <c r="AJ634" s="807"/>
      <c r="AK634" s="807"/>
      <c r="AL634" s="807"/>
      <c r="AM634" s="807"/>
      <c r="AN634" s="807"/>
      <c r="AO634" s="807"/>
      <c r="AP634" s="807"/>
    </row>
    <row r="635" spans="1:42" s="5" customFormat="1" x14ac:dyDescent="0.25">
      <c r="A635" s="805"/>
      <c r="B635" s="806"/>
      <c r="C635" s="806"/>
      <c r="D635" s="806"/>
      <c r="E635" s="807"/>
      <c r="F635" s="807"/>
      <c r="G635" s="807"/>
      <c r="H635" s="807"/>
      <c r="I635" s="807"/>
      <c r="J635" s="807"/>
      <c r="K635" s="807"/>
      <c r="L635" s="807"/>
      <c r="M635" s="807"/>
      <c r="N635" s="807"/>
      <c r="O635" s="807"/>
      <c r="P635" s="807"/>
      <c r="Q635" s="807"/>
      <c r="R635" s="807"/>
      <c r="S635" s="807"/>
      <c r="T635" s="807"/>
      <c r="U635" s="807"/>
      <c r="V635" s="807"/>
      <c r="W635" s="807"/>
      <c r="X635" s="807"/>
      <c r="Y635" s="807"/>
      <c r="Z635" s="807"/>
      <c r="AA635" s="807"/>
      <c r="AB635" s="807"/>
      <c r="AC635" s="807"/>
      <c r="AD635" s="807"/>
      <c r="AE635" s="807"/>
      <c r="AF635" s="807"/>
      <c r="AG635" s="807"/>
      <c r="AH635" s="807"/>
      <c r="AI635" s="807"/>
      <c r="AJ635" s="807"/>
      <c r="AK635" s="807"/>
      <c r="AL635" s="807"/>
      <c r="AM635" s="807"/>
      <c r="AN635" s="807"/>
      <c r="AO635" s="807"/>
      <c r="AP635" s="807"/>
    </row>
    <row r="636" spans="1:42" s="5" customFormat="1" x14ac:dyDescent="0.25">
      <c r="A636" s="805"/>
      <c r="B636" s="806"/>
      <c r="C636" s="806"/>
      <c r="D636" s="806"/>
      <c r="E636" s="807"/>
      <c r="F636" s="807"/>
      <c r="G636" s="807"/>
      <c r="H636" s="807"/>
      <c r="I636" s="807"/>
      <c r="J636" s="807"/>
      <c r="K636" s="807"/>
      <c r="L636" s="807"/>
      <c r="M636" s="807"/>
      <c r="N636" s="807"/>
      <c r="O636" s="807"/>
      <c r="P636" s="807"/>
      <c r="Q636" s="807"/>
      <c r="R636" s="807"/>
      <c r="S636" s="807"/>
      <c r="T636" s="807"/>
      <c r="U636" s="807"/>
      <c r="V636" s="807"/>
      <c r="W636" s="807"/>
      <c r="X636" s="807"/>
      <c r="Y636" s="807"/>
      <c r="Z636" s="807"/>
      <c r="AA636" s="807"/>
      <c r="AB636" s="807"/>
      <c r="AC636" s="807"/>
      <c r="AD636" s="807"/>
      <c r="AE636" s="807"/>
      <c r="AF636" s="807"/>
      <c r="AG636" s="807"/>
      <c r="AH636" s="807"/>
      <c r="AI636" s="807"/>
      <c r="AJ636" s="807"/>
      <c r="AK636" s="807"/>
      <c r="AL636" s="807"/>
      <c r="AM636" s="807"/>
      <c r="AN636" s="807"/>
      <c r="AO636" s="807"/>
      <c r="AP636" s="807"/>
    </row>
    <row r="637" spans="1:42" s="5" customFormat="1" x14ac:dyDescent="0.25">
      <c r="A637" s="805"/>
      <c r="B637" s="806"/>
      <c r="C637" s="806"/>
      <c r="D637" s="806"/>
      <c r="E637" s="807"/>
      <c r="F637" s="807"/>
      <c r="G637" s="807"/>
      <c r="H637" s="807"/>
      <c r="I637" s="807"/>
      <c r="J637" s="807"/>
      <c r="K637" s="807"/>
      <c r="L637" s="807"/>
      <c r="M637" s="807"/>
      <c r="N637" s="807"/>
      <c r="O637" s="807"/>
      <c r="P637" s="807"/>
      <c r="Q637" s="807"/>
      <c r="R637" s="807"/>
      <c r="S637" s="807"/>
      <c r="T637" s="807"/>
      <c r="U637" s="807"/>
      <c r="V637" s="807"/>
      <c r="W637" s="807"/>
      <c r="X637" s="807"/>
      <c r="Y637" s="807"/>
      <c r="Z637" s="807"/>
      <c r="AA637" s="807"/>
      <c r="AB637" s="807"/>
      <c r="AC637" s="807"/>
      <c r="AD637" s="807"/>
      <c r="AE637" s="807"/>
      <c r="AF637" s="807"/>
      <c r="AG637" s="807"/>
      <c r="AH637" s="807"/>
      <c r="AI637" s="807"/>
      <c r="AJ637" s="807"/>
      <c r="AK637" s="807"/>
      <c r="AL637" s="807"/>
      <c r="AM637" s="807"/>
      <c r="AN637" s="807"/>
      <c r="AO637" s="807"/>
      <c r="AP637" s="807"/>
    </row>
    <row r="638" spans="1:42" s="5" customFormat="1" x14ac:dyDescent="0.25">
      <c r="A638" s="805"/>
      <c r="B638" s="806"/>
      <c r="C638" s="806"/>
      <c r="D638" s="806"/>
      <c r="E638" s="807"/>
      <c r="F638" s="807"/>
      <c r="G638" s="807"/>
      <c r="H638" s="807"/>
      <c r="I638" s="807"/>
      <c r="J638" s="807"/>
      <c r="K638" s="807"/>
      <c r="L638" s="807"/>
      <c r="M638" s="807"/>
      <c r="N638" s="807"/>
      <c r="O638" s="807"/>
      <c r="P638" s="807"/>
      <c r="Q638" s="807"/>
      <c r="R638" s="807"/>
      <c r="S638" s="807"/>
      <c r="T638" s="807"/>
      <c r="U638" s="807"/>
      <c r="V638" s="807"/>
      <c r="W638" s="807"/>
      <c r="X638" s="807"/>
      <c r="Y638" s="807"/>
      <c r="Z638" s="807"/>
      <c r="AA638" s="807"/>
      <c r="AB638" s="807"/>
      <c r="AC638" s="807"/>
      <c r="AD638" s="807"/>
      <c r="AE638" s="807"/>
      <c r="AF638" s="807"/>
      <c r="AG638" s="807"/>
      <c r="AH638" s="807"/>
      <c r="AI638" s="807"/>
      <c r="AJ638" s="807"/>
      <c r="AK638" s="807"/>
      <c r="AL638" s="807"/>
      <c r="AM638" s="807"/>
      <c r="AN638" s="807"/>
      <c r="AO638" s="807"/>
      <c r="AP638" s="807"/>
    </row>
    <row r="639" spans="1:42" s="5" customFormat="1" x14ac:dyDescent="0.25">
      <c r="A639" s="805"/>
      <c r="B639" s="806"/>
      <c r="C639" s="806"/>
      <c r="D639" s="806"/>
      <c r="E639" s="807"/>
      <c r="F639" s="807"/>
      <c r="G639" s="807"/>
      <c r="H639" s="807"/>
      <c r="I639" s="807"/>
      <c r="J639" s="807"/>
      <c r="K639" s="807"/>
      <c r="L639" s="807"/>
      <c r="M639" s="807"/>
      <c r="N639" s="807"/>
      <c r="O639" s="807"/>
      <c r="P639" s="807"/>
      <c r="Q639" s="807"/>
      <c r="R639" s="807"/>
      <c r="S639" s="807"/>
      <c r="T639" s="807"/>
      <c r="U639" s="807"/>
      <c r="V639" s="807"/>
      <c r="W639" s="807"/>
      <c r="X639" s="807"/>
      <c r="Y639" s="807"/>
      <c r="Z639" s="807"/>
      <c r="AA639" s="807"/>
      <c r="AB639" s="807"/>
      <c r="AC639" s="807"/>
      <c r="AD639" s="807"/>
      <c r="AE639" s="807"/>
      <c r="AF639" s="807"/>
      <c r="AG639" s="807"/>
      <c r="AH639" s="807"/>
      <c r="AI639" s="807"/>
      <c r="AJ639" s="807"/>
      <c r="AK639" s="807"/>
      <c r="AL639" s="807"/>
      <c r="AM639" s="807"/>
      <c r="AN639" s="807"/>
      <c r="AO639" s="807"/>
      <c r="AP639" s="807"/>
    </row>
    <row r="640" spans="1:42" s="5" customFormat="1" x14ac:dyDescent="0.25">
      <c r="A640" s="805"/>
      <c r="B640" s="806"/>
      <c r="C640" s="806"/>
      <c r="D640" s="806"/>
      <c r="E640" s="807"/>
      <c r="F640" s="807"/>
      <c r="G640" s="807"/>
      <c r="H640" s="807"/>
      <c r="I640" s="807"/>
      <c r="J640" s="807"/>
      <c r="K640" s="807"/>
      <c r="L640" s="807"/>
      <c r="M640" s="807"/>
      <c r="N640" s="807"/>
      <c r="O640" s="807"/>
      <c r="P640" s="807"/>
      <c r="Q640" s="807"/>
      <c r="R640" s="807"/>
      <c r="S640" s="807"/>
      <c r="T640" s="807"/>
      <c r="U640" s="807"/>
      <c r="V640" s="807"/>
      <c r="W640" s="807"/>
      <c r="X640" s="807"/>
      <c r="Y640" s="807"/>
      <c r="Z640" s="807"/>
      <c r="AA640" s="807"/>
      <c r="AB640" s="807"/>
      <c r="AC640" s="807"/>
      <c r="AD640" s="807"/>
      <c r="AE640" s="807"/>
      <c r="AF640" s="807"/>
      <c r="AG640" s="807"/>
      <c r="AH640" s="807"/>
      <c r="AI640" s="807"/>
      <c r="AJ640" s="807"/>
      <c r="AK640" s="807"/>
      <c r="AL640" s="807"/>
      <c r="AM640" s="807"/>
      <c r="AN640" s="807"/>
      <c r="AO640" s="807"/>
      <c r="AP640" s="807"/>
    </row>
    <row r="641" spans="1:42" s="5" customFormat="1" x14ac:dyDescent="0.25">
      <c r="A641" s="805"/>
      <c r="B641" s="806"/>
      <c r="C641" s="806"/>
      <c r="D641" s="806"/>
      <c r="E641" s="807"/>
      <c r="F641" s="807"/>
      <c r="G641" s="807"/>
      <c r="H641" s="807"/>
      <c r="I641" s="807"/>
      <c r="J641" s="807"/>
      <c r="K641" s="807"/>
      <c r="L641" s="807"/>
      <c r="M641" s="807"/>
      <c r="N641" s="807"/>
      <c r="O641" s="807"/>
      <c r="P641" s="807"/>
      <c r="Q641" s="807"/>
      <c r="R641" s="807"/>
      <c r="S641" s="807"/>
      <c r="T641" s="807"/>
      <c r="U641" s="807"/>
      <c r="V641" s="807"/>
      <c r="W641" s="807"/>
      <c r="X641" s="807"/>
      <c r="Y641" s="807"/>
      <c r="Z641" s="807"/>
      <c r="AA641" s="807"/>
      <c r="AB641" s="807"/>
      <c r="AC641" s="807"/>
      <c r="AD641" s="807"/>
      <c r="AE641" s="807"/>
      <c r="AF641" s="807"/>
      <c r="AG641" s="807"/>
      <c r="AH641" s="807"/>
      <c r="AI641" s="807"/>
      <c r="AJ641" s="807"/>
      <c r="AK641" s="807"/>
      <c r="AL641" s="807"/>
      <c r="AM641" s="807"/>
      <c r="AN641" s="807"/>
      <c r="AO641" s="807"/>
      <c r="AP641" s="807"/>
    </row>
    <row r="642" spans="1:42" s="5" customFormat="1" x14ac:dyDescent="0.25">
      <c r="A642" s="805"/>
      <c r="B642" s="806"/>
      <c r="C642" s="806"/>
      <c r="D642" s="806"/>
      <c r="E642" s="807"/>
      <c r="F642" s="807"/>
      <c r="G642" s="807"/>
      <c r="H642" s="807"/>
      <c r="I642" s="807"/>
      <c r="J642" s="807"/>
      <c r="K642" s="807"/>
      <c r="L642" s="807"/>
      <c r="M642" s="807"/>
      <c r="N642" s="807"/>
      <c r="O642" s="807"/>
      <c r="P642" s="807"/>
      <c r="Q642" s="807"/>
      <c r="R642" s="807"/>
      <c r="S642" s="807"/>
      <c r="T642" s="807"/>
      <c r="U642" s="807"/>
      <c r="V642" s="807"/>
      <c r="W642" s="807"/>
      <c r="X642" s="807"/>
      <c r="Y642" s="807"/>
      <c r="Z642" s="807"/>
      <c r="AA642" s="807"/>
      <c r="AB642" s="807"/>
      <c r="AC642" s="807"/>
      <c r="AD642" s="807"/>
      <c r="AE642" s="807"/>
      <c r="AF642" s="807"/>
      <c r="AG642" s="807"/>
      <c r="AH642" s="807"/>
      <c r="AI642" s="807"/>
      <c r="AJ642" s="807"/>
      <c r="AK642" s="807"/>
      <c r="AL642" s="807"/>
      <c r="AM642" s="807"/>
      <c r="AN642" s="807"/>
      <c r="AO642" s="807"/>
      <c r="AP642" s="807"/>
    </row>
    <row r="643" spans="1:42" s="5" customFormat="1" x14ac:dyDescent="0.25">
      <c r="A643" s="805"/>
      <c r="B643" s="806"/>
      <c r="C643" s="806"/>
      <c r="D643" s="806"/>
      <c r="E643" s="807"/>
      <c r="F643" s="807"/>
      <c r="G643" s="807"/>
      <c r="H643" s="807"/>
      <c r="I643" s="807"/>
      <c r="J643" s="807"/>
      <c r="K643" s="807"/>
      <c r="L643" s="807"/>
      <c r="M643" s="807"/>
      <c r="N643" s="807"/>
      <c r="O643" s="807"/>
      <c r="P643" s="807"/>
      <c r="Q643" s="807"/>
      <c r="R643" s="807"/>
      <c r="S643" s="807"/>
      <c r="T643" s="807"/>
      <c r="U643" s="807"/>
      <c r="V643" s="807"/>
      <c r="W643" s="807"/>
      <c r="X643" s="807"/>
      <c r="Y643" s="807"/>
      <c r="Z643" s="807"/>
      <c r="AA643" s="807"/>
      <c r="AB643" s="807"/>
      <c r="AC643" s="807"/>
      <c r="AD643" s="807"/>
      <c r="AE643" s="807"/>
      <c r="AF643" s="807"/>
      <c r="AG643" s="807"/>
      <c r="AH643" s="807"/>
      <c r="AI643" s="807"/>
      <c r="AJ643" s="807"/>
      <c r="AK643" s="807"/>
      <c r="AL643" s="807"/>
      <c r="AM643" s="807"/>
      <c r="AN643" s="807"/>
      <c r="AO643" s="807"/>
      <c r="AP643" s="807"/>
    </row>
    <row r="644" spans="1:42" s="5" customFormat="1" x14ac:dyDescent="0.25">
      <c r="A644" s="805"/>
      <c r="B644" s="806"/>
      <c r="C644" s="806"/>
      <c r="D644" s="806"/>
      <c r="E644" s="807"/>
      <c r="F644" s="807"/>
      <c r="G644" s="807"/>
      <c r="H644" s="807"/>
      <c r="I644" s="807"/>
      <c r="J644" s="807"/>
      <c r="K644" s="807"/>
      <c r="L644" s="807"/>
      <c r="M644" s="807"/>
      <c r="N644" s="807"/>
      <c r="O644" s="807"/>
      <c r="P644" s="807"/>
      <c r="Q644" s="807"/>
      <c r="R644" s="807"/>
      <c r="S644" s="807"/>
      <c r="T644" s="807"/>
      <c r="U644" s="807"/>
      <c r="V644" s="807"/>
      <c r="W644" s="807"/>
      <c r="X644" s="807"/>
      <c r="Y644" s="807"/>
      <c r="Z644" s="807"/>
      <c r="AA644" s="807"/>
      <c r="AB644" s="807"/>
      <c r="AC644" s="807"/>
      <c r="AD644" s="807"/>
      <c r="AE644" s="807"/>
      <c r="AF644" s="807"/>
      <c r="AG644" s="807"/>
      <c r="AH644" s="807"/>
      <c r="AI644" s="807"/>
      <c r="AJ644" s="807"/>
      <c r="AK644" s="807"/>
      <c r="AL644" s="807"/>
      <c r="AM644" s="807"/>
      <c r="AN644" s="807"/>
      <c r="AO644" s="807"/>
      <c r="AP644" s="807"/>
    </row>
    <row r="645" spans="1:42" s="5" customFormat="1" x14ac:dyDescent="0.25">
      <c r="A645" s="805"/>
      <c r="B645" s="806"/>
      <c r="C645" s="806"/>
      <c r="D645" s="806"/>
      <c r="E645" s="807"/>
      <c r="F645" s="807"/>
      <c r="G645" s="807"/>
      <c r="H645" s="807"/>
      <c r="I645" s="807"/>
      <c r="J645" s="807"/>
      <c r="K645" s="807"/>
      <c r="L645" s="807"/>
      <c r="M645" s="807"/>
      <c r="N645" s="807"/>
      <c r="O645" s="807"/>
      <c r="P645" s="807"/>
      <c r="Q645" s="807"/>
      <c r="R645" s="807"/>
      <c r="S645" s="807"/>
      <c r="T645" s="807"/>
      <c r="U645" s="807"/>
      <c r="V645" s="807"/>
      <c r="W645" s="807"/>
      <c r="X645" s="807"/>
      <c r="Y645" s="807"/>
      <c r="Z645" s="807"/>
      <c r="AA645" s="807"/>
      <c r="AB645" s="807"/>
      <c r="AC645" s="807"/>
      <c r="AD645" s="807"/>
      <c r="AE645" s="807"/>
      <c r="AF645" s="807"/>
      <c r="AG645" s="807"/>
      <c r="AH645" s="807"/>
      <c r="AI645" s="807"/>
      <c r="AJ645" s="807"/>
      <c r="AK645" s="807"/>
      <c r="AL645" s="807"/>
      <c r="AM645" s="807"/>
      <c r="AN645" s="807"/>
      <c r="AO645" s="807"/>
      <c r="AP645" s="807"/>
    </row>
    <row r="646" spans="1:42" s="5" customFormat="1" x14ac:dyDescent="0.25">
      <c r="A646" s="805"/>
      <c r="B646" s="806"/>
      <c r="C646" s="806"/>
      <c r="D646" s="806"/>
      <c r="E646" s="807"/>
      <c r="F646" s="807"/>
      <c r="G646" s="807"/>
      <c r="H646" s="807"/>
      <c r="I646" s="807"/>
      <c r="J646" s="807"/>
      <c r="K646" s="807"/>
      <c r="L646" s="807"/>
      <c r="M646" s="807"/>
      <c r="N646" s="807"/>
      <c r="O646" s="807"/>
      <c r="P646" s="807"/>
      <c r="Q646" s="807"/>
      <c r="R646" s="807"/>
      <c r="S646" s="807"/>
      <c r="T646" s="807"/>
      <c r="U646" s="807"/>
      <c r="V646" s="807"/>
      <c r="W646" s="807"/>
      <c r="X646" s="807"/>
      <c r="Y646" s="807"/>
      <c r="Z646" s="807"/>
      <c r="AA646" s="807"/>
      <c r="AB646" s="807"/>
      <c r="AC646" s="807"/>
      <c r="AD646" s="807"/>
      <c r="AE646" s="807"/>
      <c r="AF646" s="807"/>
      <c r="AG646" s="807"/>
      <c r="AH646" s="807"/>
      <c r="AI646" s="807"/>
      <c r="AJ646" s="807"/>
      <c r="AK646" s="807"/>
      <c r="AL646" s="807"/>
      <c r="AM646" s="807"/>
      <c r="AN646" s="807"/>
      <c r="AO646" s="807"/>
      <c r="AP646" s="807"/>
    </row>
    <row r="647" spans="1:42" s="5" customFormat="1" x14ac:dyDescent="0.25">
      <c r="A647" s="805"/>
      <c r="B647" s="806"/>
      <c r="C647" s="806"/>
      <c r="D647" s="806"/>
      <c r="E647" s="807"/>
      <c r="F647" s="807"/>
      <c r="G647" s="807"/>
      <c r="H647" s="807"/>
      <c r="I647" s="807"/>
      <c r="J647" s="807"/>
      <c r="K647" s="807"/>
      <c r="L647" s="807"/>
      <c r="M647" s="807"/>
      <c r="N647" s="807"/>
      <c r="O647" s="807"/>
      <c r="P647" s="807"/>
      <c r="Q647" s="807"/>
      <c r="R647" s="807"/>
      <c r="S647" s="807"/>
      <c r="T647" s="807"/>
      <c r="U647" s="807"/>
      <c r="V647" s="807"/>
      <c r="W647" s="807"/>
      <c r="X647" s="807"/>
      <c r="Y647" s="807"/>
      <c r="Z647" s="807"/>
      <c r="AA647" s="807"/>
      <c r="AB647" s="807"/>
      <c r="AC647" s="807"/>
      <c r="AD647" s="807"/>
      <c r="AE647" s="807"/>
      <c r="AF647" s="807"/>
      <c r="AG647" s="807"/>
      <c r="AH647" s="807"/>
      <c r="AI647" s="807"/>
      <c r="AJ647" s="807"/>
      <c r="AK647" s="807"/>
      <c r="AL647" s="807"/>
      <c r="AM647" s="807"/>
      <c r="AN647" s="807"/>
      <c r="AO647" s="807"/>
      <c r="AP647" s="807"/>
    </row>
    <row r="648" spans="1:42" s="5" customFormat="1" x14ac:dyDescent="0.25">
      <c r="A648" s="805"/>
      <c r="B648" s="806"/>
      <c r="C648" s="806"/>
      <c r="D648" s="806"/>
      <c r="E648" s="807"/>
      <c r="F648" s="807"/>
      <c r="G648" s="807"/>
      <c r="H648" s="807"/>
      <c r="I648" s="807"/>
      <c r="J648" s="807"/>
      <c r="K648" s="807"/>
      <c r="L648" s="807"/>
      <c r="M648" s="807"/>
      <c r="N648" s="807"/>
      <c r="O648" s="807"/>
      <c r="P648" s="807"/>
      <c r="Q648" s="807"/>
      <c r="R648" s="807"/>
      <c r="S648" s="807"/>
      <c r="T648" s="807"/>
      <c r="U648" s="807"/>
      <c r="V648" s="807"/>
      <c r="W648" s="807"/>
      <c r="X648" s="807"/>
      <c r="Y648" s="807"/>
      <c r="Z648" s="807"/>
      <c r="AA648" s="807"/>
      <c r="AB648" s="807"/>
      <c r="AC648" s="807"/>
      <c r="AD648" s="807"/>
      <c r="AE648" s="807"/>
      <c r="AF648" s="807"/>
      <c r="AG648" s="807"/>
      <c r="AH648" s="807"/>
      <c r="AI648" s="807"/>
      <c r="AJ648" s="807"/>
      <c r="AK648" s="807"/>
      <c r="AL648" s="807"/>
      <c r="AM648" s="807"/>
      <c r="AN648" s="807"/>
      <c r="AO648" s="807"/>
      <c r="AP648" s="807"/>
    </row>
    <row r="649" spans="1:42" s="5" customFormat="1" x14ac:dyDescent="0.25">
      <c r="A649" s="805"/>
      <c r="B649" s="806"/>
      <c r="C649" s="806"/>
      <c r="D649" s="806"/>
      <c r="E649" s="807"/>
      <c r="F649" s="807"/>
      <c r="G649" s="807"/>
      <c r="H649" s="807"/>
      <c r="I649" s="807"/>
      <c r="J649" s="807"/>
      <c r="K649" s="807"/>
      <c r="L649" s="807"/>
      <c r="M649" s="807"/>
      <c r="N649" s="807"/>
      <c r="O649" s="807"/>
      <c r="P649" s="807"/>
      <c r="Q649" s="807"/>
      <c r="R649" s="807"/>
      <c r="S649" s="807"/>
      <c r="T649" s="807"/>
      <c r="U649" s="807"/>
      <c r="V649" s="807"/>
      <c r="W649" s="807"/>
      <c r="X649" s="807"/>
      <c r="Y649" s="807"/>
      <c r="Z649" s="807"/>
      <c r="AA649" s="807"/>
      <c r="AB649" s="807"/>
      <c r="AC649" s="807"/>
      <c r="AD649" s="807"/>
      <c r="AE649" s="807"/>
      <c r="AF649" s="807"/>
      <c r="AG649" s="807"/>
      <c r="AH649" s="807"/>
      <c r="AI649" s="807"/>
      <c r="AJ649" s="807"/>
      <c r="AK649" s="807"/>
      <c r="AL649" s="807"/>
      <c r="AM649" s="807"/>
      <c r="AN649" s="807"/>
      <c r="AO649" s="807"/>
      <c r="AP649" s="807"/>
    </row>
    <row r="650" spans="1:42" s="5" customFormat="1" x14ac:dyDescent="0.25">
      <c r="A650" s="805"/>
      <c r="B650" s="806"/>
      <c r="C650" s="806"/>
      <c r="D650" s="806"/>
      <c r="E650" s="807"/>
      <c r="F650" s="807"/>
      <c r="G650" s="807"/>
      <c r="H650" s="807"/>
      <c r="I650" s="807"/>
      <c r="J650" s="807"/>
      <c r="K650" s="807"/>
      <c r="L650" s="807"/>
      <c r="M650" s="807"/>
      <c r="N650" s="807"/>
      <c r="O650" s="807"/>
      <c r="P650" s="807"/>
      <c r="Q650" s="807"/>
      <c r="R650" s="807"/>
      <c r="S650" s="807"/>
      <c r="T650" s="807"/>
      <c r="U650" s="807"/>
      <c r="V650" s="807"/>
      <c r="W650" s="807"/>
      <c r="X650" s="807"/>
      <c r="Y650" s="807"/>
      <c r="Z650" s="807"/>
      <c r="AA650" s="807"/>
      <c r="AB650" s="807"/>
      <c r="AC650" s="807"/>
      <c r="AD650" s="807"/>
      <c r="AE650" s="807"/>
      <c r="AF650" s="807"/>
      <c r="AG650" s="807"/>
      <c r="AH650" s="807"/>
      <c r="AI650" s="807"/>
      <c r="AJ650" s="807"/>
      <c r="AK650" s="807"/>
      <c r="AL650" s="807"/>
      <c r="AM650" s="807"/>
      <c r="AN650" s="807"/>
      <c r="AO650" s="807"/>
      <c r="AP650" s="807"/>
    </row>
    <row r="651" spans="1:42" s="5" customFormat="1" x14ac:dyDescent="0.25">
      <c r="A651" s="805"/>
      <c r="B651" s="806"/>
      <c r="C651" s="806"/>
      <c r="D651" s="806"/>
      <c r="E651" s="807"/>
      <c r="F651" s="807"/>
      <c r="G651" s="807"/>
      <c r="H651" s="807"/>
      <c r="I651" s="807"/>
      <c r="J651" s="807"/>
      <c r="K651" s="807"/>
      <c r="L651" s="807"/>
      <c r="M651" s="807"/>
      <c r="N651" s="807"/>
      <c r="O651" s="807"/>
      <c r="P651" s="807"/>
      <c r="Q651" s="807"/>
      <c r="R651" s="807"/>
      <c r="S651" s="807"/>
      <c r="T651" s="807"/>
      <c r="U651" s="807"/>
      <c r="V651" s="807"/>
      <c r="W651" s="807"/>
      <c r="X651" s="807"/>
      <c r="Y651" s="807"/>
      <c r="Z651" s="807"/>
      <c r="AA651" s="807"/>
      <c r="AB651" s="807"/>
      <c r="AC651" s="807"/>
      <c r="AD651" s="807"/>
      <c r="AE651" s="807"/>
      <c r="AF651" s="807"/>
      <c r="AG651" s="807"/>
      <c r="AH651" s="807"/>
      <c r="AI651" s="807"/>
      <c r="AJ651" s="807"/>
      <c r="AK651" s="807"/>
      <c r="AL651" s="807"/>
      <c r="AM651" s="807"/>
      <c r="AN651" s="807"/>
      <c r="AO651" s="807"/>
      <c r="AP651" s="807"/>
    </row>
    <row r="652" spans="1:42" s="5" customFormat="1" x14ac:dyDescent="0.25">
      <c r="A652" s="805"/>
      <c r="B652" s="806"/>
      <c r="C652" s="806"/>
      <c r="D652" s="806"/>
      <c r="E652" s="807"/>
      <c r="F652" s="807"/>
      <c r="G652" s="807"/>
      <c r="H652" s="807"/>
      <c r="I652" s="807"/>
      <c r="J652" s="807"/>
      <c r="K652" s="807"/>
      <c r="L652" s="807"/>
      <c r="M652" s="807"/>
      <c r="N652" s="807"/>
      <c r="O652" s="807"/>
      <c r="P652" s="807"/>
      <c r="Q652" s="807"/>
      <c r="R652" s="807"/>
      <c r="S652" s="807"/>
      <c r="T652" s="807"/>
      <c r="U652" s="807"/>
      <c r="V652" s="807"/>
      <c r="W652" s="807"/>
      <c r="X652" s="807"/>
      <c r="Y652" s="807"/>
      <c r="Z652" s="807"/>
      <c r="AA652" s="807"/>
      <c r="AB652" s="807"/>
      <c r="AC652" s="807"/>
      <c r="AD652" s="807"/>
      <c r="AE652" s="807"/>
      <c r="AF652" s="807"/>
      <c r="AG652" s="807"/>
      <c r="AH652" s="807"/>
      <c r="AI652" s="807"/>
      <c r="AJ652" s="807"/>
      <c r="AK652" s="807"/>
      <c r="AL652" s="807"/>
      <c r="AM652" s="807"/>
      <c r="AN652" s="807"/>
      <c r="AO652" s="807"/>
      <c r="AP652" s="807"/>
    </row>
    <row r="653" spans="1:42" s="5" customFormat="1" x14ac:dyDescent="0.25">
      <c r="A653" s="805"/>
      <c r="B653" s="806"/>
      <c r="C653" s="806"/>
      <c r="D653" s="806"/>
      <c r="E653" s="807"/>
      <c r="F653" s="807"/>
      <c r="G653" s="807"/>
      <c r="H653" s="807"/>
      <c r="I653" s="807"/>
      <c r="J653" s="807"/>
      <c r="K653" s="807"/>
      <c r="L653" s="807"/>
      <c r="M653" s="807"/>
      <c r="N653" s="807"/>
      <c r="O653" s="807"/>
      <c r="P653" s="807"/>
      <c r="Q653" s="807"/>
      <c r="R653" s="807"/>
      <c r="S653" s="807"/>
      <c r="T653" s="807"/>
      <c r="U653" s="807"/>
      <c r="V653" s="807"/>
      <c r="W653" s="807"/>
      <c r="X653" s="807"/>
      <c r="Y653" s="807"/>
      <c r="Z653" s="807"/>
      <c r="AA653" s="807"/>
      <c r="AB653" s="807"/>
      <c r="AC653" s="807"/>
      <c r="AD653" s="807"/>
      <c r="AE653" s="807"/>
      <c r="AF653" s="807"/>
      <c r="AG653" s="807"/>
      <c r="AH653" s="807"/>
      <c r="AI653" s="807"/>
      <c r="AJ653" s="807"/>
      <c r="AK653" s="807"/>
      <c r="AL653" s="807"/>
      <c r="AM653" s="807"/>
      <c r="AN653" s="807"/>
      <c r="AO653" s="807"/>
      <c r="AP653" s="807"/>
    </row>
    <row r="654" spans="1:42" s="5" customFormat="1" x14ac:dyDescent="0.25">
      <c r="A654" s="805"/>
      <c r="B654" s="806"/>
      <c r="C654" s="806"/>
      <c r="D654" s="806"/>
      <c r="E654" s="807"/>
      <c r="F654" s="807"/>
      <c r="G654" s="807"/>
      <c r="H654" s="807"/>
      <c r="I654" s="807"/>
      <c r="J654" s="807"/>
      <c r="K654" s="807"/>
      <c r="L654" s="807"/>
      <c r="M654" s="807"/>
      <c r="N654" s="807"/>
      <c r="O654" s="807"/>
      <c r="P654" s="807"/>
      <c r="Q654" s="807"/>
      <c r="R654" s="807"/>
      <c r="S654" s="807"/>
      <c r="T654" s="807"/>
      <c r="U654" s="807"/>
      <c r="V654" s="807"/>
      <c r="W654" s="807"/>
      <c r="X654" s="807"/>
      <c r="Y654" s="807"/>
      <c r="Z654" s="807"/>
      <c r="AA654" s="807"/>
      <c r="AB654" s="807"/>
      <c r="AC654" s="807"/>
      <c r="AD654" s="807"/>
      <c r="AE654" s="807"/>
      <c r="AF654" s="807"/>
      <c r="AG654" s="807"/>
      <c r="AH654" s="807"/>
      <c r="AI654" s="807"/>
      <c r="AJ654" s="807"/>
      <c r="AK654" s="807"/>
      <c r="AL654" s="807"/>
      <c r="AM654" s="807"/>
      <c r="AN654" s="807"/>
      <c r="AO654" s="807"/>
      <c r="AP654" s="807"/>
    </row>
    <row r="655" spans="1:42" s="5" customFormat="1" x14ac:dyDescent="0.25">
      <c r="A655" s="805"/>
      <c r="B655" s="806"/>
      <c r="C655" s="806"/>
      <c r="D655" s="806"/>
      <c r="E655" s="807"/>
      <c r="F655" s="807"/>
      <c r="G655" s="807"/>
      <c r="H655" s="807"/>
      <c r="I655" s="807"/>
      <c r="J655" s="807"/>
      <c r="K655" s="807"/>
      <c r="L655" s="807"/>
      <c r="M655" s="807"/>
      <c r="N655" s="807"/>
      <c r="O655" s="807"/>
      <c r="P655" s="807"/>
      <c r="Q655" s="807"/>
      <c r="R655" s="807"/>
      <c r="S655" s="807"/>
      <c r="T655" s="807"/>
      <c r="U655" s="807"/>
      <c r="V655" s="807"/>
      <c r="W655" s="807"/>
      <c r="X655" s="807"/>
      <c r="Y655" s="807"/>
      <c r="Z655" s="807"/>
      <c r="AA655" s="807"/>
      <c r="AB655" s="807"/>
      <c r="AC655" s="807"/>
      <c r="AD655" s="807"/>
      <c r="AE655" s="807"/>
      <c r="AF655" s="807"/>
      <c r="AG655" s="807"/>
      <c r="AH655" s="807"/>
      <c r="AI655" s="807"/>
      <c r="AJ655" s="807"/>
      <c r="AK655" s="807"/>
      <c r="AL655" s="807"/>
      <c r="AM655" s="807"/>
      <c r="AN655" s="807"/>
      <c r="AO655" s="807"/>
      <c r="AP655" s="807"/>
    </row>
    <row r="656" spans="1:42" s="5" customFormat="1" x14ac:dyDescent="0.25">
      <c r="A656" s="805"/>
      <c r="B656" s="806"/>
      <c r="C656" s="806"/>
      <c r="D656" s="806"/>
      <c r="E656" s="807"/>
      <c r="F656" s="807"/>
      <c r="G656" s="807"/>
      <c r="H656" s="807"/>
      <c r="I656" s="807"/>
      <c r="J656" s="807"/>
      <c r="K656" s="807"/>
      <c r="L656" s="807"/>
      <c r="M656" s="807"/>
      <c r="N656" s="807"/>
      <c r="O656" s="807"/>
      <c r="P656" s="807"/>
      <c r="Q656" s="807"/>
      <c r="R656" s="807"/>
      <c r="S656" s="807"/>
      <c r="T656" s="807"/>
      <c r="U656" s="807"/>
      <c r="V656" s="807"/>
      <c r="W656" s="807"/>
      <c r="X656" s="807"/>
      <c r="Y656" s="807"/>
      <c r="Z656" s="807"/>
      <c r="AA656" s="807"/>
      <c r="AB656" s="807"/>
      <c r="AC656" s="807"/>
      <c r="AD656" s="807"/>
      <c r="AE656" s="807"/>
      <c r="AF656" s="807"/>
      <c r="AG656" s="807"/>
      <c r="AH656" s="807"/>
      <c r="AI656" s="807"/>
      <c r="AJ656" s="807"/>
      <c r="AK656" s="807"/>
      <c r="AL656" s="807"/>
      <c r="AM656" s="807"/>
      <c r="AN656" s="807"/>
      <c r="AO656" s="807"/>
      <c r="AP656" s="807"/>
    </row>
    <row r="657" spans="1:42" s="5" customFormat="1" x14ac:dyDescent="0.25">
      <c r="A657" s="805"/>
      <c r="B657" s="806"/>
      <c r="C657" s="806"/>
      <c r="D657" s="806"/>
      <c r="E657" s="807"/>
      <c r="F657" s="807"/>
      <c r="G657" s="807"/>
      <c r="H657" s="807"/>
      <c r="I657" s="807"/>
      <c r="J657" s="807"/>
      <c r="K657" s="807"/>
      <c r="L657" s="807"/>
      <c r="M657" s="807"/>
      <c r="N657" s="807"/>
      <c r="O657" s="807"/>
      <c r="P657" s="807"/>
      <c r="Q657" s="807"/>
      <c r="R657" s="807"/>
      <c r="S657" s="807"/>
      <c r="T657" s="807"/>
      <c r="U657" s="807"/>
      <c r="V657" s="807"/>
      <c r="W657" s="807"/>
      <c r="X657" s="807"/>
      <c r="Y657" s="807"/>
      <c r="Z657" s="807"/>
      <c r="AA657" s="807"/>
      <c r="AB657" s="807"/>
      <c r="AC657" s="807"/>
      <c r="AD657" s="807"/>
      <c r="AE657" s="807"/>
      <c r="AF657" s="807"/>
      <c r="AG657" s="807"/>
      <c r="AH657" s="807"/>
      <c r="AI657" s="807"/>
      <c r="AJ657" s="807"/>
      <c r="AK657" s="807"/>
      <c r="AL657" s="807"/>
      <c r="AM657" s="807"/>
      <c r="AN657" s="807"/>
      <c r="AO657" s="807"/>
      <c r="AP657" s="807"/>
    </row>
    <row r="658" spans="1:42" s="5" customFormat="1" x14ac:dyDescent="0.25">
      <c r="A658" s="805"/>
      <c r="B658" s="806"/>
      <c r="C658" s="806"/>
      <c r="D658" s="806"/>
      <c r="E658" s="807"/>
      <c r="F658" s="807"/>
      <c r="G658" s="807"/>
      <c r="H658" s="807"/>
      <c r="I658" s="807"/>
      <c r="J658" s="807"/>
      <c r="K658" s="807"/>
      <c r="L658" s="807"/>
      <c r="M658" s="807"/>
      <c r="N658" s="807"/>
      <c r="O658" s="807"/>
      <c r="P658" s="807"/>
      <c r="Q658" s="807"/>
      <c r="R658" s="807"/>
      <c r="S658" s="807"/>
      <c r="T658" s="807"/>
      <c r="U658" s="807"/>
      <c r="V658" s="807"/>
      <c r="W658" s="807"/>
      <c r="X658" s="807"/>
      <c r="Y658" s="807"/>
      <c r="Z658" s="807"/>
      <c r="AA658" s="807"/>
      <c r="AB658" s="807"/>
      <c r="AC658" s="807"/>
      <c r="AD658" s="807"/>
      <c r="AE658" s="807"/>
      <c r="AF658" s="807"/>
      <c r="AG658" s="807"/>
      <c r="AH658" s="807"/>
      <c r="AI658" s="807"/>
      <c r="AJ658" s="807"/>
      <c r="AK658" s="807"/>
      <c r="AL658" s="807"/>
      <c r="AM658" s="807"/>
      <c r="AN658" s="807"/>
      <c r="AO658" s="807"/>
      <c r="AP658" s="807"/>
    </row>
    <row r="659" spans="1:42" s="5" customFormat="1" x14ac:dyDescent="0.25">
      <c r="A659" s="805"/>
      <c r="B659" s="806"/>
      <c r="C659" s="806"/>
      <c r="D659" s="806"/>
      <c r="E659" s="807"/>
      <c r="F659" s="807"/>
      <c r="G659" s="807"/>
      <c r="H659" s="807"/>
      <c r="I659" s="807"/>
      <c r="J659" s="807"/>
      <c r="K659" s="807"/>
      <c r="L659" s="807"/>
      <c r="M659" s="807"/>
      <c r="N659" s="807"/>
      <c r="O659" s="807"/>
      <c r="P659" s="807"/>
      <c r="Q659" s="807"/>
      <c r="R659" s="807"/>
      <c r="S659" s="807"/>
      <c r="T659" s="807"/>
      <c r="U659" s="807"/>
      <c r="V659" s="807"/>
      <c r="W659" s="807"/>
      <c r="X659" s="807"/>
      <c r="Y659" s="807"/>
      <c r="Z659" s="807"/>
      <c r="AA659" s="807"/>
      <c r="AB659" s="807"/>
      <c r="AC659" s="807"/>
      <c r="AD659" s="807"/>
      <c r="AE659" s="807"/>
      <c r="AF659" s="807"/>
      <c r="AG659" s="807"/>
      <c r="AH659" s="807"/>
      <c r="AI659" s="807"/>
      <c r="AJ659" s="807"/>
      <c r="AK659" s="807"/>
      <c r="AL659" s="807"/>
      <c r="AM659" s="807"/>
      <c r="AN659" s="807"/>
      <c r="AO659" s="807"/>
      <c r="AP659" s="807"/>
    </row>
    <row r="660" spans="1:42" s="5" customFormat="1" x14ac:dyDescent="0.25">
      <c r="A660" s="805"/>
      <c r="B660" s="806"/>
      <c r="C660" s="806"/>
      <c r="D660" s="806"/>
      <c r="E660" s="807"/>
      <c r="F660" s="807"/>
      <c r="G660" s="807"/>
      <c r="H660" s="807"/>
      <c r="I660" s="807"/>
      <c r="J660" s="807"/>
      <c r="K660" s="807"/>
      <c r="L660" s="807"/>
      <c r="M660" s="807"/>
      <c r="N660" s="807"/>
      <c r="O660" s="807"/>
      <c r="P660" s="807"/>
      <c r="Q660" s="807"/>
      <c r="R660" s="807"/>
      <c r="S660" s="807"/>
      <c r="T660" s="807"/>
      <c r="U660" s="807"/>
      <c r="V660" s="807"/>
      <c r="W660" s="807"/>
      <c r="X660" s="807"/>
      <c r="Y660" s="807"/>
      <c r="Z660" s="807"/>
      <c r="AA660" s="807"/>
      <c r="AB660" s="807"/>
      <c r="AC660" s="807"/>
      <c r="AD660" s="807"/>
      <c r="AE660" s="807"/>
      <c r="AF660" s="807"/>
      <c r="AG660" s="807"/>
      <c r="AH660" s="807"/>
      <c r="AI660" s="807"/>
      <c r="AJ660" s="807"/>
      <c r="AK660" s="807"/>
      <c r="AL660" s="807"/>
      <c r="AM660" s="807"/>
      <c r="AN660" s="807"/>
      <c r="AO660" s="807"/>
      <c r="AP660" s="807"/>
    </row>
    <row r="661" spans="1:42" s="5" customFormat="1" x14ac:dyDescent="0.25">
      <c r="A661" s="805"/>
      <c r="B661" s="806"/>
      <c r="C661" s="806"/>
      <c r="D661" s="806"/>
      <c r="E661" s="807"/>
      <c r="F661" s="807"/>
      <c r="G661" s="807"/>
      <c r="H661" s="807"/>
      <c r="I661" s="807"/>
      <c r="J661" s="807"/>
      <c r="K661" s="807"/>
      <c r="L661" s="807"/>
      <c r="M661" s="807"/>
      <c r="N661" s="807"/>
      <c r="O661" s="807"/>
      <c r="P661" s="807"/>
      <c r="Q661" s="807"/>
      <c r="R661" s="807"/>
      <c r="S661" s="807"/>
      <c r="T661" s="807"/>
      <c r="U661" s="807"/>
      <c r="V661" s="807"/>
      <c r="W661" s="807"/>
      <c r="X661" s="807"/>
      <c r="Y661" s="807"/>
      <c r="Z661" s="807"/>
      <c r="AA661" s="807"/>
      <c r="AB661" s="807"/>
      <c r="AC661" s="807"/>
      <c r="AD661" s="807"/>
      <c r="AE661" s="807"/>
      <c r="AF661" s="807"/>
      <c r="AG661" s="807"/>
      <c r="AH661" s="807"/>
      <c r="AI661" s="807"/>
      <c r="AJ661" s="807"/>
      <c r="AK661" s="807"/>
      <c r="AL661" s="807"/>
      <c r="AM661" s="807"/>
      <c r="AN661" s="807"/>
      <c r="AO661" s="807"/>
      <c r="AP661" s="807"/>
    </row>
    <row r="662" spans="1:42" s="5" customFormat="1" x14ac:dyDescent="0.25">
      <c r="A662" s="805"/>
      <c r="B662" s="806"/>
      <c r="C662" s="806"/>
      <c r="D662" s="806"/>
      <c r="E662" s="807"/>
      <c r="F662" s="807"/>
      <c r="G662" s="807"/>
      <c r="H662" s="807"/>
      <c r="I662" s="807"/>
      <c r="J662" s="807"/>
      <c r="K662" s="807"/>
      <c r="L662" s="807"/>
      <c r="M662" s="807"/>
      <c r="N662" s="807"/>
      <c r="O662" s="807"/>
      <c r="P662" s="807"/>
      <c r="Q662" s="807"/>
      <c r="R662" s="807"/>
      <c r="S662" s="807"/>
      <c r="T662" s="807"/>
      <c r="U662" s="807"/>
      <c r="V662" s="807"/>
      <c r="W662" s="807"/>
      <c r="X662" s="807"/>
      <c r="Y662" s="807"/>
      <c r="Z662" s="807"/>
      <c r="AA662" s="807"/>
      <c r="AB662" s="807"/>
      <c r="AC662" s="807"/>
      <c r="AD662" s="807"/>
      <c r="AE662" s="807"/>
      <c r="AF662" s="807"/>
      <c r="AG662" s="807"/>
      <c r="AH662" s="807"/>
      <c r="AI662" s="807"/>
      <c r="AJ662" s="807"/>
      <c r="AK662" s="807"/>
      <c r="AL662" s="807"/>
      <c r="AM662" s="807"/>
      <c r="AN662" s="807"/>
      <c r="AO662" s="807"/>
      <c r="AP662" s="807"/>
    </row>
    <row r="663" spans="1:42" s="5" customFormat="1" x14ac:dyDescent="0.25">
      <c r="A663" s="805"/>
      <c r="B663" s="806"/>
      <c r="C663" s="806"/>
      <c r="D663" s="806"/>
      <c r="E663" s="807"/>
      <c r="F663" s="807"/>
      <c r="G663" s="807"/>
      <c r="H663" s="807"/>
      <c r="I663" s="807"/>
      <c r="J663" s="807"/>
      <c r="K663" s="807"/>
      <c r="L663" s="807"/>
      <c r="M663" s="807"/>
      <c r="N663" s="807"/>
      <c r="O663" s="807"/>
      <c r="P663" s="807"/>
      <c r="Q663" s="807"/>
      <c r="R663" s="807"/>
      <c r="S663" s="807"/>
      <c r="T663" s="807"/>
      <c r="U663" s="807"/>
      <c r="V663" s="807"/>
      <c r="W663" s="807"/>
      <c r="X663" s="807"/>
      <c r="Y663" s="807"/>
      <c r="Z663" s="807"/>
      <c r="AA663" s="807"/>
      <c r="AB663" s="807"/>
      <c r="AC663" s="807"/>
      <c r="AD663" s="807"/>
      <c r="AE663" s="807"/>
      <c r="AF663" s="807"/>
      <c r="AG663" s="807"/>
      <c r="AH663" s="807"/>
      <c r="AI663" s="807"/>
      <c r="AJ663" s="807"/>
      <c r="AK663" s="807"/>
      <c r="AL663" s="807"/>
      <c r="AM663" s="807"/>
      <c r="AN663" s="807"/>
      <c r="AO663" s="807"/>
      <c r="AP663" s="807"/>
    </row>
    <row r="664" spans="1:42" s="5" customFormat="1" x14ac:dyDescent="0.25">
      <c r="A664" s="805"/>
      <c r="B664" s="806"/>
      <c r="C664" s="806"/>
      <c r="D664" s="806"/>
      <c r="E664" s="807"/>
      <c r="F664" s="807"/>
      <c r="G664" s="807"/>
      <c r="H664" s="807"/>
      <c r="I664" s="807"/>
      <c r="J664" s="807"/>
      <c r="K664" s="807"/>
      <c r="L664" s="807"/>
      <c r="M664" s="807"/>
      <c r="N664" s="807"/>
      <c r="O664" s="807"/>
      <c r="P664" s="807"/>
      <c r="Q664" s="807"/>
      <c r="R664" s="807"/>
      <c r="S664" s="807"/>
      <c r="T664" s="807"/>
      <c r="U664" s="807"/>
      <c r="V664" s="807"/>
      <c r="W664" s="807"/>
      <c r="X664" s="807"/>
      <c r="Y664" s="807"/>
      <c r="Z664" s="807"/>
      <c r="AA664" s="807"/>
      <c r="AB664" s="807"/>
      <c r="AC664" s="807"/>
      <c r="AD664" s="807"/>
      <c r="AE664" s="807"/>
      <c r="AF664" s="807"/>
      <c r="AG664" s="807"/>
      <c r="AH664" s="807"/>
      <c r="AI664" s="807"/>
      <c r="AJ664" s="807"/>
      <c r="AK664" s="807"/>
      <c r="AL664" s="807"/>
      <c r="AM664" s="807"/>
      <c r="AN664" s="807"/>
      <c r="AO664" s="807"/>
      <c r="AP664" s="807"/>
    </row>
    <row r="665" spans="1:42" s="5" customFormat="1" x14ac:dyDescent="0.25">
      <c r="A665" s="805"/>
      <c r="B665" s="806"/>
      <c r="C665" s="806"/>
      <c r="D665" s="806"/>
      <c r="E665" s="807"/>
      <c r="F665" s="807"/>
      <c r="G665" s="807"/>
      <c r="H665" s="807"/>
      <c r="I665" s="807"/>
      <c r="J665" s="807"/>
      <c r="K665" s="807"/>
      <c r="L665" s="807"/>
      <c r="M665" s="807"/>
      <c r="N665" s="807"/>
      <c r="O665" s="807"/>
      <c r="P665" s="807"/>
      <c r="Q665" s="807"/>
      <c r="R665" s="807"/>
      <c r="S665" s="807"/>
      <c r="T665" s="807"/>
      <c r="U665" s="807"/>
      <c r="V665" s="807"/>
      <c r="W665" s="807"/>
      <c r="X665" s="807"/>
      <c r="Y665" s="807"/>
      <c r="Z665" s="807"/>
      <c r="AA665" s="807"/>
      <c r="AB665" s="807"/>
      <c r="AC665" s="807"/>
      <c r="AD665" s="807"/>
      <c r="AE665" s="807"/>
      <c r="AF665" s="807"/>
      <c r="AG665" s="807"/>
      <c r="AH665" s="807"/>
      <c r="AI665" s="807"/>
      <c r="AJ665" s="807"/>
      <c r="AK665" s="807"/>
      <c r="AL665" s="807"/>
      <c r="AM665" s="807"/>
      <c r="AN665" s="807"/>
      <c r="AO665" s="807"/>
      <c r="AP665" s="807"/>
    </row>
    <row r="666" spans="1:42" s="5" customFormat="1" x14ac:dyDescent="0.25">
      <c r="A666" s="805"/>
      <c r="B666" s="806"/>
      <c r="C666" s="806"/>
      <c r="D666" s="806"/>
      <c r="E666" s="807"/>
      <c r="F666" s="807"/>
      <c r="G666" s="807"/>
      <c r="H666" s="807"/>
      <c r="I666" s="807"/>
      <c r="J666" s="807"/>
      <c r="K666" s="807"/>
      <c r="L666" s="807"/>
      <c r="M666" s="807"/>
      <c r="N666" s="807"/>
      <c r="O666" s="807"/>
      <c r="P666" s="807"/>
      <c r="Q666" s="807"/>
      <c r="R666" s="807"/>
      <c r="S666" s="807"/>
      <c r="T666" s="807"/>
      <c r="U666" s="807"/>
      <c r="V666" s="807"/>
      <c r="W666" s="807"/>
      <c r="X666" s="807"/>
      <c r="Y666" s="807"/>
      <c r="Z666" s="807"/>
      <c r="AA666" s="807"/>
      <c r="AB666" s="807"/>
      <c r="AC666" s="807"/>
      <c r="AD666" s="807"/>
      <c r="AE666" s="807"/>
      <c r="AF666" s="807"/>
      <c r="AG666" s="807"/>
      <c r="AH666" s="807"/>
      <c r="AI666" s="807"/>
      <c r="AJ666" s="807"/>
      <c r="AK666" s="807"/>
      <c r="AL666" s="807"/>
      <c r="AM666" s="807"/>
      <c r="AN666" s="807"/>
      <c r="AO666" s="807"/>
      <c r="AP666" s="807"/>
    </row>
    <row r="667" spans="1:42" s="5" customFormat="1" x14ac:dyDescent="0.25">
      <c r="A667" s="805"/>
      <c r="B667" s="806"/>
      <c r="C667" s="806"/>
      <c r="D667" s="806"/>
      <c r="E667" s="807"/>
      <c r="F667" s="807"/>
      <c r="G667" s="807"/>
      <c r="H667" s="807"/>
      <c r="I667" s="807"/>
      <c r="J667" s="807"/>
      <c r="K667" s="807"/>
      <c r="L667" s="807"/>
      <c r="M667" s="807"/>
      <c r="N667" s="807"/>
      <c r="O667" s="807"/>
      <c r="P667" s="807"/>
      <c r="Q667" s="807"/>
      <c r="R667" s="807"/>
      <c r="S667" s="807"/>
      <c r="T667" s="807"/>
      <c r="U667" s="807"/>
      <c r="V667" s="807"/>
      <c r="W667" s="807"/>
      <c r="X667" s="807"/>
      <c r="Y667" s="807"/>
      <c r="Z667" s="807"/>
      <c r="AA667" s="807"/>
      <c r="AB667" s="807"/>
      <c r="AC667" s="807"/>
      <c r="AD667" s="807"/>
      <c r="AE667" s="807"/>
      <c r="AF667" s="807"/>
      <c r="AG667" s="807"/>
      <c r="AH667" s="807"/>
      <c r="AI667" s="807"/>
      <c r="AJ667" s="807"/>
      <c r="AK667" s="807"/>
      <c r="AL667" s="807"/>
      <c r="AM667" s="807"/>
      <c r="AN667" s="807"/>
      <c r="AO667" s="807"/>
      <c r="AP667" s="807"/>
    </row>
    <row r="668" spans="1:42" s="5" customFormat="1" x14ac:dyDescent="0.25">
      <c r="A668" s="805"/>
      <c r="B668" s="806"/>
      <c r="C668" s="806"/>
      <c r="D668" s="806"/>
      <c r="E668" s="807"/>
      <c r="F668" s="807"/>
      <c r="G668" s="807"/>
      <c r="H668" s="807"/>
      <c r="I668" s="807"/>
      <c r="J668" s="807"/>
      <c r="K668" s="807"/>
      <c r="L668" s="807"/>
      <c r="M668" s="807"/>
      <c r="N668" s="807"/>
      <c r="O668" s="807"/>
      <c r="P668" s="807"/>
      <c r="Q668" s="807"/>
      <c r="R668" s="807"/>
      <c r="S668" s="807"/>
      <c r="T668" s="807"/>
      <c r="U668" s="807"/>
      <c r="V668" s="807"/>
      <c r="W668" s="807"/>
      <c r="X668" s="807"/>
      <c r="Y668" s="807"/>
      <c r="Z668" s="807"/>
      <c r="AA668" s="807"/>
      <c r="AB668" s="807"/>
      <c r="AC668" s="807"/>
      <c r="AD668" s="807"/>
      <c r="AE668" s="807"/>
      <c r="AF668" s="807"/>
      <c r="AG668" s="807"/>
      <c r="AH668" s="807"/>
      <c r="AI668" s="807"/>
      <c r="AJ668" s="807"/>
      <c r="AK668" s="807"/>
      <c r="AL668" s="807"/>
      <c r="AM668" s="807"/>
      <c r="AN668" s="807"/>
      <c r="AO668" s="807"/>
      <c r="AP668" s="807"/>
    </row>
    <row r="669" spans="1:42" s="5" customFormat="1" x14ac:dyDescent="0.25">
      <c r="A669" s="805"/>
      <c r="B669" s="806"/>
      <c r="C669" s="806"/>
      <c r="D669" s="806"/>
      <c r="E669" s="807"/>
      <c r="F669" s="807"/>
      <c r="G669" s="807"/>
      <c r="H669" s="807"/>
      <c r="I669" s="807"/>
      <c r="J669" s="807"/>
      <c r="K669" s="807"/>
      <c r="L669" s="807"/>
      <c r="M669" s="807"/>
      <c r="N669" s="807"/>
      <c r="O669" s="807"/>
      <c r="P669" s="807"/>
      <c r="Q669" s="807"/>
      <c r="R669" s="807"/>
      <c r="S669" s="807"/>
      <c r="T669" s="807"/>
      <c r="U669" s="807"/>
      <c r="V669" s="807"/>
      <c r="W669" s="807"/>
      <c r="X669" s="807"/>
      <c r="Y669" s="807"/>
      <c r="Z669" s="807"/>
      <c r="AA669" s="807"/>
      <c r="AB669" s="807"/>
      <c r="AC669" s="807"/>
      <c r="AD669" s="807"/>
      <c r="AE669" s="807"/>
      <c r="AF669" s="807"/>
      <c r="AG669" s="807"/>
      <c r="AH669" s="807"/>
      <c r="AI669" s="807"/>
      <c r="AJ669" s="807"/>
      <c r="AK669" s="807"/>
      <c r="AL669" s="807"/>
      <c r="AM669" s="807"/>
      <c r="AN669" s="807"/>
      <c r="AO669" s="807"/>
      <c r="AP669" s="807"/>
    </row>
    <row r="670" spans="1:42" s="5" customFormat="1" x14ac:dyDescent="0.25">
      <c r="A670" s="805"/>
      <c r="B670" s="806"/>
      <c r="C670" s="806"/>
      <c r="D670" s="806"/>
      <c r="E670" s="807"/>
      <c r="F670" s="807"/>
      <c r="G670" s="807"/>
      <c r="H670" s="807"/>
      <c r="I670" s="807"/>
      <c r="J670" s="807"/>
      <c r="K670" s="807"/>
      <c r="L670" s="807"/>
      <c r="M670" s="807"/>
      <c r="N670" s="807"/>
      <c r="O670" s="807"/>
      <c r="P670" s="807"/>
      <c r="Q670" s="807"/>
      <c r="R670" s="807"/>
      <c r="S670" s="807"/>
      <c r="T670" s="807"/>
      <c r="U670" s="807"/>
      <c r="V670" s="807"/>
      <c r="W670" s="807"/>
      <c r="X670" s="807"/>
      <c r="Y670" s="807"/>
      <c r="Z670" s="807"/>
      <c r="AA670" s="807"/>
      <c r="AB670" s="807"/>
      <c r="AC670" s="807"/>
      <c r="AD670" s="807"/>
      <c r="AE670" s="807"/>
      <c r="AF670" s="807"/>
      <c r="AG670" s="807"/>
      <c r="AH670" s="807"/>
      <c r="AI670" s="807"/>
      <c r="AJ670" s="807"/>
      <c r="AK670" s="807"/>
      <c r="AL670" s="807"/>
      <c r="AM670" s="807"/>
      <c r="AN670" s="807"/>
      <c r="AO670" s="807"/>
      <c r="AP670" s="807"/>
    </row>
    <row r="671" spans="1:42" s="5" customFormat="1" x14ac:dyDescent="0.25">
      <c r="A671" s="805"/>
      <c r="B671" s="806"/>
      <c r="C671" s="806"/>
      <c r="D671" s="806"/>
      <c r="E671" s="807"/>
      <c r="F671" s="807"/>
      <c r="G671" s="807"/>
      <c r="H671" s="807"/>
      <c r="I671" s="807"/>
      <c r="J671" s="807"/>
      <c r="K671" s="807"/>
      <c r="L671" s="807"/>
      <c r="M671" s="807"/>
      <c r="N671" s="807"/>
      <c r="O671" s="807"/>
      <c r="P671" s="807"/>
      <c r="Q671" s="807"/>
      <c r="R671" s="807"/>
      <c r="S671" s="807"/>
      <c r="T671" s="807"/>
      <c r="U671" s="807"/>
      <c r="V671" s="807"/>
      <c r="W671" s="807"/>
      <c r="X671" s="807"/>
      <c r="Y671" s="807"/>
      <c r="Z671" s="807"/>
      <c r="AA671" s="807"/>
      <c r="AB671" s="807"/>
      <c r="AC671" s="807"/>
      <c r="AD671" s="807"/>
      <c r="AE671" s="807"/>
      <c r="AF671" s="807"/>
      <c r="AG671" s="807"/>
      <c r="AH671" s="807"/>
      <c r="AI671" s="807"/>
      <c r="AJ671" s="807"/>
      <c r="AK671" s="807"/>
      <c r="AL671" s="807"/>
      <c r="AM671" s="807"/>
      <c r="AN671" s="807"/>
      <c r="AO671" s="807"/>
      <c r="AP671" s="807"/>
    </row>
    <row r="672" spans="1:42" s="5" customFormat="1" x14ac:dyDescent="0.25">
      <c r="A672" s="805"/>
      <c r="B672" s="806"/>
      <c r="C672" s="806"/>
      <c r="D672" s="806"/>
      <c r="E672" s="807"/>
      <c r="F672" s="807"/>
      <c r="G672" s="807"/>
      <c r="H672" s="807"/>
      <c r="I672" s="807"/>
      <c r="J672" s="807"/>
      <c r="K672" s="807"/>
      <c r="L672" s="807"/>
      <c r="M672" s="807"/>
      <c r="N672" s="807"/>
      <c r="O672" s="807"/>
      <c r="P672" s="807"/>
      <c r="Q672" s="807"/>
      <c r="R672" s="807"/>
      <c r="S672" s="807"/>
      <c r="T672" s="807"/>
      <c r="U672" s="807"/>
      <c r="V672" s="807"/>
      <c r="W672" s="807"/>
      <c r="X672" s="807"/>
      <c r="Y672" s="807"/>
      <c r="Z672" s="807"/>
      <c r="AA672" s="807"/>
      <c r="AB672" s="807"/>
      <c r="AC672" s="807"/>
      <c r="AD672" s="807"/>
      <c r="AE672" s="807"/>
      <c r="AF672" s="807"/>
      <c r="AG672" s="807"/>
      <c r="AH672" s="807"/>
      <c r="AI672" s="807"/>
      <c r="AJ672" s="807"/>
      <c r="AK672" s="807"/>
      <c r="AL672" s="807"/>
      <c r="AM672" s="807"/>
      <c r="AN672" s="807"/>
      <c r="AO672" s="807"/>
      <c r="AP672" s="807"/>
    </row>
    <row r="673" spans="1:42" s="5" customFormat="1" x14ac:dyDescent="0.25">
      <c r="A673" s="805"/>
      <c r="B673" s="806"/>
      <c r="C673" s="806"/>
      <c r="D673" s="806"/>
      <c r="E673" s="807"/>
      <c r="F673" s="807"/>
      <c r="G673" s="807"/>
      <c r="H673" s="807"/>
      <c r="I673" s="807"/>
      <c r="J673" s="807"/>
      <c r="K673" s="807"/>
      <c r="L673" s="807"/>
      <c r="M673" s="807"/>
      <c r="N673" s="807"/>
      <c r="O673" s="807"/>
      <c r="P673" s="807"/>
      <c r="Q673" s="807"/>
      <c r="R673" s="807"/>
      <c r="S673" s="807"/>
      <c r="T673" s="807"/>
      <c r="U673" s="807"/>
      <c r="V673" s="807"/>
      <c r="W673" s="807"/>
      <c r="X673" s="807"/>
      <c r="Y673" s="807"/>
      <c r="Z673" s="807"/>
      <c r="AA673" s="807"/>
      <c r="AB673" s="807"/>
      <c r="AC673" s="807"/>
      <c r="AD673" s="807"/>
      <c r="AE673" s="807"/>
      <c r="AF673" s="807"/>
      <c r="AG673" s="807"/>
      <c r="AH673" s="807"/>
      <c r="AI673" s="807"/>
      <c r="AJ673" s="807"/>
      <c r="AK673" s="807"/>
      <c r="AL673" s="807"/>
      <c r="AM673" s="807"/>
      <c r="AN673" s="807"/>
      <c r="AO673" s="807"/>
      <c r="AP673" s="807"/>
    </row>
    <row r="674" spans="1:42" s="5" customFormat="1" x14ac:dyDescent="0.25">
      <c r="A674" s="805"/>
      <c r="B674" s="806"/>
      <c r="C674" s="806"/>
      <c r="D674" s="806"/>
      <c r="E674" s="807"/>
      <c r="F674" s="807"/>
      <c r="G674" s="807"/>
      <c r="H674" s="807"/>
      <c r="I674" s="807"/>
      <c r="J674" s="807"/>
      <c r="K674" s="807"/>
      <c r="L674" s="807"/>
      <c r="M674" s="807"/>
      <c r="N674" s="807"/>
      <c r="O674" s="807"/>
      <c r="P674" s="807"/>
      <c r="Q674" s="807"/>
      <c r="R674" s="807"/>
      <c r="S674" s="807"/>
      <c r="T674" s="807"/>
      <c r="U674" s="807"/>
      <c r="V674" s="807"/>
      <c r="W674" s="807"/>
      <c r="X674" s="807"/>
      <c r="Y674" s="807"/>
      <c r="Z674" s="807"/>
      <c r="AA674" s="807"/>
      <c r="AB674" s="807"/>
      <c r="AC674" s="807"/>
      <c r="AD674" s="807"/>
      <c r="AE674" s="807"/>
      <c r="AF674" s="807"/>
      <c r="AG674" s="807"/>
      <c r="AH674" s="807"/>
      <c r="AI674" s="807"/>
      <c r="AJ674" s="807"/>
      <c r="AK674" s="807"/>
      <c r="AL674" s="807"/>
      <c r="AM674" s="807"/>
      <c r="AN674" s="807"/>
      <c r="AO674" s="807"/>
      <c r="AP674" s="807"/>
    </row>
    <row r="675" spans="1:42" s="5" customFormat="1" x14ac:dyDescent="0.25">
      <c r="A675" s="805"/>
      <c r="B675" s="806"/>
      <c r="C675" s="806"/>
      <c r="D675" s="806"/>
      <c r="E675" s="807"/>
      <c r="F675" s="807"/>
      <c r="G675" s="807"/>
      <c r="H675" s="807"/>
      <c r="I675" s="807"/>
      <c r="J675" s="807"/>
      <c r="K675" s="807"/>
      <c r="L675" s="807"/>
      <c r="M675" s="807"/>
      <c r="N675" s="807"/>
      <c r="O675" s="807"/>
      <c r="P675" s="807"/>
      <c r="Q675" s="807"/>
      <c r="R675" s="807"/>
      <c r="S675" s="807"/>
      <c r="T675" s="807"/>
      <c r="U675" s="807"/>
      <c r="V675" s="807"/>
      <c r="W675" s="807"/>
      <c r="X675" s="807"/>
      <c r="Y675" s="807"/>
      <c r="Z675" s="807"/>
      <c r="AA675" s="807"/>
      <c r="AB675" s="807"/>
      <c r="AC675" s="807"/>
      <c r="AD675" s="807"/>
      <c r="AE675" s="807"/>
      <c r="AF675" s="807"/>
      <c r="AG675" s="807"/>
      <c r="AH675" s="807"/>
      <c r="AI675" s="807"/>
      <c r="AJ675" s="807"/>
      <c r="AK675" s="807"/>
      <c r="AL675" s="807"/>
      <c r="AM675" s="807"/>
      <c r="AN675" s="807"/>
      <c r="AO675" s="807"/>
      <c r="AP675" s="807"/>
    </row>
    <row r="676" spans="1:42" s="5" customFormat="1" x14ac:dyDescent="0.25">
      <c r="A676" s="805"/>
      <c r="B676" s="806"/>
      <c r="C676" s="806"/>
      <c r="D676" s="806"/>
      <c r="E676" s="807"/>
      <c r="F676" s="807"/>
      <c r="G676" s="807"/>
      <c r="H676" s="807"/>
      <c r="I676" s="807"/>
      <c r="J676" s="807"/>
      <c r="K676" s="807"/>
      <c r="L676" s="807"/>
      <c r="M676" s="807"/>
      <c r="N676" s="807"/>
      <c r="O676" s="807"/>
      <c r="P676" s="807"/>
      <c r="Q676" s="807"/>
      <c r="R676" s="807"/>
      <c r="S676" s="807"/>
      <c r="T676" s="807"/>
      <c r="U676" s="807"/>
      <c r="V676" s="807"/>
      <c r="W676" s="807"/>
      <c r="X676" s="807"/>
      <c r="Y676" s="807"/>
      <c r="Z676" s="807"/>
      <c r="AA676" s="807"/>
      <c r="AB676" s="807"/>
      <c r="AC676" s="807"/>
      <c r="AD676" s="807"/>
      <c r="AE676" s="807"/>
      <c r="AF676" s="807"/>
      <c r="AG676" s="807"/>
      <c r="AH676" s="807"/>
      <c r="AI676" s="807"/>
      <c r="AJ676" s="807"/>
      <c r="AK676" s="807"/>
      <c r="AL676" s="807"/>
      <c r="AM676" s="807"/>
      <c r="AN676" s="807"/>
      <c r="AO676" s="807"/>
      <c r="AP676" s="807"/>
    </row>
    <row r="677" spans="1:42" s="5" customFormat="1" x14ac:dyDescent="0.25">
      <c r="A677" s="805"/>
      <c r="B677" s="806"/>
      <c r="C677" s="806"/>
      <c r="D677" s="806"/>
      <c r="E677" s="807"/>
      <c r="F677" s="807"/>
      <c r="G677" s="807"/>
      <c r="H677" s="807"/>
      <c r="I677" s="807"/>
      <c r="J677" s="807"/>
      <c r="K677" s="807"/>
      <c r="L677" s="807"/>
      <c r="M677" s="807"/>
      <c r="N677" s="807"/>
      <c r="O677" s="807"/>
      <c r="P677" s="807"/>
      <c r="Q677" s="807"/>
      <c r="R677" s="807"/>
      <c r="S677" s="807"/>
      <c r="T677" s="807"/>
      <c r="U677" s="807"/>
      <c r="V677" s="807"/>
      <c r="W677" s="807"/>
      <c r="X677" s="807"/>
      <c r="Y677" s="807"/>
      <c r="Z677" s="807"/>
      <c r="AA677" s="807"/>
      <c r="AB677" s="807"/>
      <c r="AC677" s="807"/>
      <c r="AD677" s="807"/>
      <c r="AE677" s="807"/>
      <c r="AF677" s="807"/>
      <c r="AG677" s="807"/>
      <c r="AH677" s="807"/>
      <c r="AI677" s="807"/>
      <c r="AJ677" s="807"/>
      <c r="AK677" s="807"/>
      <c r="AL677" s="807"/>
      <c r="AM677" s="807"/>
      <c r="AN677" s="807"/>
      <c r="AO677" s="807"/>
      <c r="AP677" s="807"/>
    </row>
  </sheetData>
  <sheetProtection selectLockedCells="1" selectUnlockedCells="1"/>
  <mergeCells count="2">
    <mergeCell ref="A4:A5"/>
    <mergeCell ref="A2:E2"/>
  </mergeCells>
  <conditionalFormatting sqref="A2:A3">
    <cfRule type="duplicateValues" dxfId="1049" priority="45"/>
  </conditionalFormatting>
  <conditionalFormatting sqref="U57:U60">
    <cfRule type="containsText" dxfId="1048" priority="35" operator="containsText" text="o">
      <formula>NOT(ISERROR(SEARCH("o",U57)))</formula>
    </cfRule>
  </conditionalFormatting>
  <conditionalFormatting sqref="N62:N66">
    <cfRule type="containsText" dxfId="1047" priority="32" operator="containsText" text="o">
      <formula>NOT(ISERROR(SEARCH("o",N62)))</formula>
    </cfRule>
  </conditionalFormatting>
  <conditionalFormatting sqref="O62:O66">
    <cfRule type="containsText" dxfId="1046" priority="31" operator="containsText" text="o">
      <formula>NOT(ISERROR(SEARCH("o",O62)))</formula>
    </cfRule>
  </conditionalFormatting>
  <conditionalFormatting sqref="O69:O73">
    <cfRule type="containsText" dxfId="1045" priority="24" operator="containsText" text="o">
      <formula>NOT(ISERROR(SEARCH("o",O69)))</formula>
    </cfRule>
  </conditionalFormatting>
  <conditionalFormatting sqref="N72">
    <cfRule type="containsText" dxfId="1044" priority="23" operator="containsText" text="o">
      <formula>NOT(ISERROR(SEARCH("o",N72)))</formula>
    </cfRule>
  </conditionalFormatting>
  <conditionalFormatting sqref="U69:U73">
    <cfRule type="containsText" dxfId="1043" priority="22" operator="containsText" text="o">
      <formula>NOT(ISERROR(SEARCH("o",U69)))</formula>
    </cfRule>
  </conditionalFormatting>
  <conditionalFormatting sqref="N81">
    <cfRule type="containsText" dxfId="1042" priority="21" operator="containsText" text="o">
      <formula>NOT(ISERROR(SEARCH("o",N81)))</formula>
    </cfRule>
  </conditionalFormatting>
  <conditionalFormatting sqref="N81">
    <cfRule type="containsText" dxfId="1041" priority="20" operator="containsText" text="u">
      <formula>NOT(ISERROR(SEARCH("u",N81)))</formula>
    </cfRule>
  </conditionalFormatting>
  <conditionalFormatting sqref="O81">
    <cfRule type="containsText" dxfId="1040" priority="19" operator="containsText" text="o">
      <formula>NOT(ISERROR(SEARCH("o",O81)))</formula>
    </cfRule>
  </conditionalFormatting>
  <conditionalFormatting sqref="O81">
    <cfRule type="containsText" dxfId="1039" priority="18" operator="containsText" text="u">
      <formula>NOT(ISERROR(SEARCH("u",O81)))</formula>
    </cfRule>
  </conditionalFormatting>
  <conditionalFormatting sqref="Q81">
    <cfRule type="containsText" dxfId="1038" priority="17" operator="containsText" text="o">
      <formula>NOT(ISERROR(SEARCH("o",Q81)))</formula>
    </cfRule>
  </conditionalFormatting>
  <conditionalFormatting sqref="Q81">
    <cfRule type="containsText" dxfId="1037" priority="16" operator="containsText" text="u">
      <formula>NOT(ISERROR(SEARCH("u",Q81)))</formula>
    </cfRule>
  </conditionalFormatting>
  <conditionalFormatting sqref="U84">
    <cfRule type="containsText" dxfId="1036" priority="15" operator="containsText" text="o">
      <formula>NOT(ISERROR(SEARCH("o",U84)))</formula>
    </cfRule>
  </conditionalFormatting>
  <conditionalFormatting sqref="N95">
    <cfRule type="containsText" dxfId="1035" priority="14" operator="containsText" text="o">
      <formula>NOT(ISERROR(SEARCH("o",N95)))</formula>
    </cfRule>
  </conditionalFormatting>
  <conditionalFormatting sqref="U95">
    <cfRule type="containsText" dxfId="1034" priority="13" operator="containsText" text="o">
      <formula>NOT(ISERROR(SEARCH("o",U95)))</formula>
    </cfRule>
  </conditionalFormatting>
  <conditionalFormatting sqref="S95:S96">
    <cfRule type="containsText" dxfId="1033" priority="12" operator="containsText" text="o">
      <formula>NOT(ISERROR(SEARCH("o",S95)))</formula>
    </cfRule>
  </conditionalFormatting>
  <conditionalFormatting sqref="T95">
    <cfRule type="containsText" dxfId="1032" priority="11" operator="containsText" text="o">
      <formula>NOT(ISERROR(SEARCH("o",T95)))</formula>
    </cfRule>
  </conditionalFormatting>
  <conditionalFormatting sqref="R95">
    <cfRule type="containsText" dxfId="1031" priority="10" operator="containsText" text="o">
      <formula>NOT(ISERROR(SEARCH("o",R95)))</formula>
    </cfRule>
  </conditionalFormatting>
  <conditionalFormatting sqref="O95">
    <cfRule type="containsText" dxfId="1030" priority="9" operator="containsText" text="o">
      <formula>NOT(ISERROR(SEARCH("o",O95)))</formula>
    </cfRule>
  </conditionalFormatting>
  <conditionalFormatting sqref="N98">
    <cfRule type="containsText" dxfId="1029" priority="8" operator="containsText" text="o">
      <formula>NOT(ISERROR(SEARCH("o",N98)))</formula>
    </cfRule>
  </conditionalFormatting>
  <conditionalFormatting sqref="O98">
    <cfRule type="containsText" dxfId="1028" priority="7" operator="containsText" text="o">
      <formula>NOT(ISERROR(SEARCH("o",O98)))</formula>
    </cfRule>
  </conditionalFormatting>
  <conditionalFormatting sqref="N99">
    <cfRule type="containsText" dxfId="1027" priority="6" operator="containsText" text="o">
      <formula>NOT(ISERROR(SEARCH("o",N99)))</formula>
    </cfRule>
  </conditionalFormatting>
  <conditionalFormatting sqref="S99">
    <cfRule type="containsText" dxfId="1026" priority="5" operator="containsText" text="o">
      <formula>NOT(ISERROR(SEARCH("o",S99)))</formula>
    </cfRule>
  </conditionalFormatting>
  <conditionalFormatting sqref="U99">
    <cfRule type="containsText" dxfId="1025" priority="4" operator="containsText" text="o">
      <formula>NOT(ISERROR(SEARCH("o",U99)))</formula>
    </cfRule>
  </conditionalFormatting>
  <conditionalFormatting sqref="T99">
    <cfRule type="containsText" dxfId="1024" priority="3" operator="containsText" text="o">
      <formula>NOT(ISERROR(SEARCH("o",T99)))</formula>
    </cfRule>
  </conditionalFormatting>
  <conditionalFormatting sqref="R99">
    <cfRule type="containsText" dxfId="1023" priority="2" operator="containsText" text="o">
      <formula>NOT(ISERROR(SEARCH("o",R99)))</formula>
    </cfRule>
  </conditionalFormatting>
  <conditionalFormatting sqref="O99">
    <cfRule type="containsText" dxfId="1022" priority="1" operator="containsText" text="o">
      <formula>NOT(ISERROR(SEARCH("o",O99)))</formula>
    </cfRule>
  </conditionalFormatting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theme="3" tint="-0.249977111117893"/>
  </sheetPr>
  <dimension ref="A1:ACV1446"/>
  <sheetViews>
    <sheetView zoomScale="85" zoomScaleNormal="85" workbookViewId="0">
      <pane ySplit="4" topLeftCell="A1432" activePane="bottomLeft" state="frozen"/>
      <selection activeCell="B1" sqref="B1"/>
      <selection pane="bottomLeft" activeCell="B1446" sqref="B1446"/>
    </sheetView>
  </sheetViews>
  <sheetFormatPr baseColWidth="10" defaultRowHeight="15.75" x14ac:dyDescent="0.25"/>
  <cols>
    <col min="1" max="1" width="10.875" style="585"/>
    <col min="2" max="2" width="25.375" style="1" customWidth="1"/>
    <col min="3" max="3" width="10.5" style="2" customWidth="1"/>
    <col min="4" max="4" width="10.5" style="3" customWidth="1"/>
    <col min="5" max="5" width="13.625" style="3" customWidth="1"/>
    <col min="6" max="6" width="12.5" style="26" customWidth="1"/>
    <col min="7" max="7" width="10.5" style="3" customWidth="1"/>
    <col min="8" max="8" width="10.875" style="3" bestFit="1" customWidth="1"/>
    <col min="9" max="9" width="10.5" style="26" customWidth="1"/>
    <col min="10" max="22" width="10.5" style="3" customWidth="1"/>
    <col min="23" max="323" width="10.875" style="5"/>
  </cols>
  <sheetData>
    <row r="1" spans="1:323" s="11" customFormat="1" ht="18" x14ac:dyDescent="0.25">
      <c r="A1" s="1903" t="s">
        <v>136</v>
      </c>
      <c r="F1" s="12"/>
      <c r="I1" s="12"/>
      <c r="W1" s="1063"/>
      <c r="X1" s="1063"/>
      <c r="Y1" s="1063"/>
      <c r="Z1" s="1063"/>
      <c r="AA1" s="1064"/>
      <c r="AB1" s="1064"/>
      <c r="AC1" s="1063"/>
      <c r="AD1" s="1065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  <c r="BC1" s="1063"/>
      <c r="BD1" s="1063"/>
      <c r="BE1" s="1063"/>
      <c r="BF1" s="1063"/>
      <c r="BG1" s="1063"/>
      <c r="BH1" s="1063"/>
      <c r="BI1" s="1063"/>
      <c r="BJ1" s="1063"/>
      <c r="BK1" s="1063"/>
      <c r="BL1" s="1063"/>
      <c r="BM1" s="1063"/>
      <c r="BN1" s="1063"/>
      <c r="BO1" s="1063"/>
      <c r="BP1" s="1063"/>
      <c r="BQ1" s="1063"/>
      <c r="BR1" s="1063"/>
      <c r="BS1" s="1063"/>
      <c r="BT1" s="1063"/>
      <c r="BU1" s="1063"/>
      <c r="BV1" s="1063"/>
      <c r="BW1" s="1063"/>
      <c r="BX1" s="1063"/>
      <c r="BY1" s="1063"/>
      <c r="BZ1" s="1063"/>
      <c r="CA1" s="1063"/>
      <c r="CB1" s="1063"/>
      <c r="CC1" s="1063"/>
      <c r="CD1" s="1063"/>
      <c r="CE1" s="1063"/>
      <c r="CF1" s="1063"/>
      <c r="CG1" s="1063"/>
      <c r="CH1" s="1063"/>
      <c r="CI1" s="1063"/>
      <c r="CJ1" s="1063"/>
      <c r="CK1" s="1063"/>
      <c r="CL1" s="1063"/>
      <c r="CM1" s="1063"/>
      <c r="CN1" s="1063"/>
      <c r="CO1" s="1063"/>
      <c r="CP1" s="1063"/>
      <c r="CQ1" s="1063"/>
      <c r="CR1" s="1063"/>
      <c r="CS1" s="1063"/>
      <c r="CT1" s="1063"/>
      <c r="CU1" s="1063"/>
      <c r="CV1" s="1063"/>
      <c r="CW1" s="1063"/>
      <c r="CX1" s="1063"/>
      <c r="CY1" s="1063"/>
      <c r="CZ1" s="1063"/>
      <c r="DA1" s="1063"/>
      <c r="DB1" s="1063"/>
      <c r="DC1" s="1063"/>
      <c r="DD1" s="1063"/>
      <c r="DE1" s="1063"/>
      <c r="DF1" s="1063"/>
      <c r="DG1" s="1063"/>
      <c r="DH1" s="1063"/>
      <c r="DI1" s="1063"/>
      <c r="DJ1" s="1063"/>
      <c r="DK1" s="1063"/>
      <c r="DL1" s="1063"/>
      <c r="DM1" s="1063"/>
      <c r="DN1" s="1063"/>
      <c r="DO1" s="1063"/>
      <c r="DP1" s="1063"/>
      <c r="DQ1" s="1063"/>
      <c r="DR1" s="1063"/>
      <c r="DS1" s="1063"/>
      <c r="DT1" s="1063"/>
      <c r="DU1" s="1063"/>
      <c r="DV1" s="1063"/>
      <c r="DW1" s="1063"/>
      <c r="DX1" s="1063"/>
      <c r="DY1" s="1063"/>
      <c r="DZ1" s="1063"/>
      <c r="EA1" s="1063"/>
      <c r="EB1" s="1063"/>
      <c r="EC1" s="1063"/>
      <c r="ED1" s="1063"/>
      <c r="EE1" s="1063"/>
      <c r="EF1" s="1063"/>
      <c r="EG1" s="1063"/>
      <c r="EH1" s="1063"/>
      <c r="EI1" s="1063"/>
      <c r="EJ1" s="1063"/>
      <c r="EK1" s="1063"/>
      <c r="EL1" s="1063"/>
      <c r="EM1" s="1063"/>
      <c r="EN1" s="1063"/>
      <c r="EO1" s="1063"/>
      <c r="EP1" s="1063"/>
      <c r="EQ1" s="1063"/>
      <c r="ER1" s="1063"/>
      <c r="ES1" s="1063"/>
      <c r="ET1" s="1063"/>
      <c r="EU1" s="1063"/>
      <c r="EV1" s="1063"/>
      <c r="EW1" s="1063"/>
      <c r="EX1" s="1063"/>
      <c r="EY1" s="1063"/>
      <c r="EZ1" s="1063"/>
      <c r="FA1" s="1063"/>
      <c r="FB1" s="1063"/>
      <c r="FC1" s="1063"/>
      <c r="FD1" s="1063"/>
      <c r="FE1" s="1063"/>
      <c r="FF1" s="1063"/>
      <c r="FG1" s="1063"/>
      <c r="FH1" s="1063"/>
      <c r="FI1" s="1063"/>
      <c r="FJ1" s="1063"/>
      <c r="FK1" s="1063"/>
      <c r="FL1" s="1063"/>
      <c r="FM1" s="1063"/>
      <c r="FN1" s="1063"/>
      <c r="FO1" s="1063"/>
      <c r="FP1" s="1063"/>
      <c r="FQ1" s="1063"/>
      <c r="FR1" s="1063"/>
      <c r="FS1" s="1063"/>
      <c r="FT1" s="1063"/>
      <c r="FU1" s="1063"/>
      <c r="FV1" s="1063"/>
      <c r="FW1" s="1063"/>
      <c r="FX1" s="1063"/>
      <c r="FY1" s="1063"/>
      <c r="FZ1" s="1063"/>
      <c r="GA1" s="1063"/>
      <c r="GB1" s="1063"/>
      <c r="GC1" s="1063"/>
      <c r="GD1" s="1063"/>
      <c r="GE1" s="1063"/>
      <c r="GF1" s="1063"/>
      <c r="GG1" s="1063"/>
      <c r="GH1" s="1063"/>
      <c r="GI1" s="1063"/>
      <c r="GJ1" s="1063"/>
      <c r="GK1" s="1063"/>
      <c r="GL1" s="1063"/>
      <c r="GM1" s="1063"/>
      <c r="GN1" s="1063"/>
      <c r="GO1" s="1063"/>
      <c r="GP1" s="1063"/>
      <c r="GQ1" s="1063"/>
      <c r="GR1" s="1063"/>
      <c r="GS1" s="1063"/>
      <c r="GT1" s="1063"/>
      <c r="GU1" s="1063"/>
      <c r="GV1" s="1063"/>
      <c r="GW1" s="1063"/>
      <c r="GX1" s="1063"/>
      <c r="GY1" s="1063"/>
      <c r="GZ1" s="1063"/>
      <c r="HA1" s="1063"/>
      <c r="HB1" s="1063"/>
      <c r="HC1" s="1063"/>
      <c r="HD1" s="1063"/>
      <c r="HE1" s="1063"/>
      <c r="HF1" s="1063"/>
      <c r="HG1" s="1063"/>
      <c r="HH1" s="1063"/>
      <c r="HI1" s="1063"/>
      <c r="HJ1" s="1063"/>
      <c r="HK1" s="1063"/>
      <c r="HL1" s="1063"/>
      <c r="HM1" s="1063"/>
      <c r="HN1" s="1063"/>
      <c r="HO1" s="1063"/>
      <c r="HP1" s="1063"/>
      <c r="HQ1" s="1063"/>
      <c r="HR1" s="1063"/>
      <c r="HS1" s="1063"/>
      <c r="HT1" s="1063"/>
      <c r="HU1" s="1063"/>
      <c r="HV1" s="1063"/>
      <c r="HW1" s="1063"/>
      <c r="HX1" s="1063"/>
      <c r="HY1" s="1063"/>
      <c r="HZ1" s="1063"/>
      <c r="IA1" s="1063"/>
      <c r="IB1" s="1063"/>
      <c r="IC1" s="1063"/>
      <c r="ID1" s="1063"/>
      <c r="IE1" s="1063"/>
      <c r="IF1" s="1063"/>
      <c r="IG1" s="1063"/>
      <c r="IH1" s="1063"/>
      <c r="II1" s="1063"/>
      <c r="IJ1" s="1063"/>
      <c r="IK1" s="1063"/>
      <c r="IL1" s="1063"/>
      <c r="IM1" s="1063"/>
      <c r="IN1" s="1063"/>
      <c r="IO1" s="1063"/>
      <c r="IP1" s="1063"/>
      <c r="IQ1" s="1063"/>
      <c r="IR1" s="1063"/>
      <c r="IS1" s="1063"/>
      <c r="IT1" s="1063"/>
      <c r="IU1" s="1063"/>
      <c r="IV1" s="1063"/>
      <c r="IW1" s="1063"/>
      <c r="IX1" s="1063"/>
      <c r="IY1" s="1063"/>
      <c r="IZ1" s="1063"/>
      <c r="JA1" s="1063"/>
      <c r="JB1" s="1063"/>
      <c r="JC1" s="1063"/>
      <c r="JD1" s="1063"/>
      <c r="JE1" s="1063"/>
      <c r="JF1" s="1063"/>
      <c r="JG1" s="1063"/>
      <c r="JH1" s="1063"/>
      <c r="JI1" s="1063"/>
      <c r="JJ1" s="1063"/>
      <c r="JK1" s="1063"/>
      <c r="JL1" s="1063"/>
      <c r="JM1" s="1063"/>
      <c r="JN1" s="1063"/>
      <c r="JO1" s="1063"/>
      <c r="JP1" s="1063"/>
      <c r="JQ1" s="1063"/>
      <c r="JR1" s="1063"/>
      <c r="JS1" s="1063"/>
      <c r="JT1" s="1063"/>
      <c r="JU1" s="1063"/>
      <c r="JV1" s="1063"/>
      <c r="JW1" s="1063"/>
      <c r="JX1" s="1063"/>
      <c r="JY1" s="1063"/>
      <c r="JZ1" s="1063"/>
      <c r="KA1" s="1063"/>
      <c r="KB1" s="1063"/>
      <c r="KC1" s="1063"/>
      <c r="KD1" s="1063"/>
      <c r="KE1" s="1063"/>
      <c r="KF1" s="1063"/>
      <c r="KG1" s="1063"/>
      <c r="KH1" s="1063"/>
      <c r="KI1" s="1063"/>
      <c r="KJ1" s="1063"/>
      <c r="KK1" s="1063"/>
      <c r="KL1" s="1063"/>
      <c r="KM1" s="1063"/>
      <c r="KN1" s="1063"/>
      <c r="KO1" s="1063"/>
      <c r="KP1" s="1063"/>
      <c r="KQ1" s="1063"/>
      <c r="KR1" s="1063"/>
      <c r="KS1" s="1063"/>
      <c r="KT1" s="1063"/>
      <c r="KU1" s="1063"/>
      <c r="KV1" s="1063"/>
      <c r="KW1" s="1063"/>
      <c r="KX1" s="1063"/>
      <c r="KY1" s="1063"/>
      <c r="KZ1" s="1063"/>
      <c r="LA1" s="1063"/>
      <c r="LB1" s="1063"/>
      <c r="LC1" s="1063"/>
      <c r="LD1" s="1063"/>
      <c r="LE1" s="1063"/>
      <c r="LF1" s="1063"/>
      <c r="LG1" s="1063"/>
      <c r="LH1" s="1063"/>
      <c r="LI1" s="1063"/>
      <c r="LJ1" s="1063"/>
      <c r="LK1" s="1063"/>
    </row>
    <row r="2" spans="1:323" s="11" customFormat="1" ht="18" x14ac:dyDescent="0.25">
      <c r="A2" s="1903" t="s">
        <v>534</v>
      </c>
      <c r="F2" s="12"/>
      <c r="I2" s="12">
        <f ca="1">O2*(RANDBETWEEN(160,166)/100)</f>
        <v>0</v>
      </c>
      <c r="W2" s="1063"/>
      <c r="X2" s="1063"/>
      <c r="Y2" s="1063"/>
      <c r="Z2" s="1063"/>
      <c r="AA2" s="1064"/>
      <c r="AB2" s="1064"/>
      <c r="AC2" s="1063"/>
      <c r="AD2" s="1065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1063"/>
      <c r="BB2" s="1063"/>
      <c r="BC2" s="1063"/>
      <c r="BD2" s="1063"/>
      <c r="BE2" s="1063"/>
      <c r="BF2" s="1063"/>
      <c r="BG2" s="1063"/>
      <c r="BH2" s="1063"/>
      <c r="BI2" s="1063"/>
      <c r="BJ2" s="1063"/>
      <c r="BK2" s="1063"/>
      <c r="BL2" s="1063"/>
      <c r="BM2" s="1063"/>
      <c r="BN2" s="1063"/>
      <c r="BO2" s="1063"/>
      <c r="BP2" s="1063"/>
      <c r="BQ2" s="1063"/>
      <c r="BR2" s="1063"/>
      <c r="BS2" s="1063"/>
      <c r="BT2" s="1063"/>
      <c r="BU2" s="1063"/>
      <c r="BV2" s="1063"/>
      <c r="BW2" s="1063"/>
      <c r="BX2" s="1063"/>
      <c r="BY2" s="1063"/>
      <c r="BZ2" s="1063"/>
      <c r="CA2" s="1063"/>
      <c r="CB2" s="1063"/>
      <c r="CC2" s="1063"/>
      <c r="CD2" s="1063"/>
      <c r="CE2" s="1063"/>
      <c r="CF2" s="1063"/>
      <c r="CG2" s="1063"/>
      <c r="CH2" s="1063"/>
      <c r="CI2" s="1063"/>
      <c r="CJ2" s="1063"/>
      <c r="CK2" s="1063"/>
      <c r="CL2" s="1063"/>
      <c r="CM2" s="1063"/>
      <c r="CN2" s="1063"/>
      <c r="CO2" s="1063"/>
      <c r="CP2" s="1063"/>
      <c r="CQ2" s="1063"/>
      <c r="CR2" s="1063"/>
      <c r="CS2" s="1063"/>
      <c r="CT2" s="1063"/>
      <c r="CU2" s="1063"/>
      <c r="CV2" s="1063"/>
      <c r="CW2" s="1063"/>
      <c r="CX2" s="1063"/>
      <c r="CY2" s="1063"/>
      <c r="CZ2" s="1063"/>
      <c r="DA2" s="1063"/>
      <c r="DB2" s="1063"/>
      <c r="DC2" s="1063"/>
      <c r="DD2" s="1063"/>
      <c r="DE2" s="1063"/>
      <c r="DF2" s="1063"/>
      <c r="DG2" s="1063"/>
      <c r="DH2" s="1063"/>
      <c r="DI2" s="1063"/>
      <c r="DJ2" s="1063"/>
      <c r="DK2" s="1063"/>
      <c r="DL2" s="1063"/>
      <c r="DM2" s="1063"/>
      <c r="DN2" s="1063"/>
      <c r="DO2" s="1063"/>
      <c r="DP2" s="1063"/>
      <c r="DQ2" s="1063"/>
      <c r="DR2" s="1063"/>
      <c r="DS2" s="1063"/>
      <c r="DT2" s="1063"/>
      <c r="DU2" s="1063"/>
      <c r="DV2" s="1063"/>
      <c r="DW2" s="1063"/>
      <c r="DX2" s="1063"/>
      <c r="DY2" s="1063"/>
      <c r="DZ2" s="1063"/>
      <c r="EA2" s="1063"/>
      <c r="EB2" s="1063"/>
      <c r="EC2" s="1063"/>
      <c r="ED2" s="1063"/>
      <c r="EE2" s="1063"/>
      <c r="EF2" s="1063"/>
      <c r="EG2" s="1063"/>
      <c r="EH2" s="1063"/>
      <c r="EI2" s="1063"/>
      <c r="EJ2" s="1063"/>
      <c r="EK2" s="1063"/>
      <c r="EL2" s="1063"/>
      <c r="EM2" s="1063"/>
      <c r="EN2" s="1063"/>
      <c r="EO2" s="1063"/>
      <c r="EP2" s="1063"/>
      <c r="EQ2" s="1063"/>
      <c r="ER2" s="1063"/>
      <c r="ES2" s="1063"/>
      <c r="ET2" s="1063"/>
      <c r="EU2" s="1063"/>
      <c r="EV2" s="1063"/>
      <c r="EW2" s="1063"/>
      <c r="EX2" s="1063"/>
      <c r="EY2" s="1063"/>
      <c r="EZ2" s="1063"/>
      <c r="FA2" s="1063"/>
      <c r="FB2" s="1063"/>
      <c r="FC2" s="1063"/>
      <c r="FD2" s="1063"/>
      <c r="FE2" s="1063"/>
      <c r="FF2" s="1063"/>
      <c r="FG2" s="1063"/>
      <c r="FH2" s="1063"/>
      <c r="FI2" s="1063"/>
      <c r="FJ2" s="1063"/>
      <c r="FK2" s="1063"/>
      <c r="FL2" s="1063"/>
      <c r="FM2" s="1063"/>
      <c r="FN2" s="1063"/>
      <c r="FO2" s="1063"/>
      <c r="FP2" s="1063"/>
      <c r="FQ2" s="1063"/>
      <c r="FR2" s="1063"/>
      <c r="FS2" s="1063"/>
      <c r="FT2" s="1063"/>
      <c r="FU2" s="1063"/>
      <c r="FV2" s="1063"/>
      <c r="FW2" s="1063"/>
      <c r="FX2" s="1063"/>
      <c r="FY2" s="1063"/>
      <c r="FZ2" s="1063"/>
      <c r="GA2" s="1063"/>
      <c r="GB2" s="1063"/>
      <c r="GC2" s="1063"/>
      <c r="GD2" s="1063"/>
      <c r="GE2" s="1063"/>
      <c r="GF2" s="1063"/>
      <c r="GG2" s="1063"/>
      <c r="GH2" s="1063"/>
      <c r="GI2" s="1063"/>
      <c r="GJ2" s="1063"/>
      <c r="GK2" s="1063"/>
      <c r="GL2" s="1063"/>
      <c r="GM2" s="1063"/>
      <c r="GN2" s="1063"/>
      <c r="GO2" s="1063"/>
      <c r="GP2" s="1063"/>
      <c r="GQ2" s="1063"/>
      <c r="GR2" s="1063"/>
      <c r="GS2" s="1063"/>
      <c r="GT2" s="1063"/>
      <c r="GU2" s="1063"/>
      <c r="GV2" s="1063"/>
      <c r="GW2" s="1063"/>
      <c r="GX2" s="1063"/>
      <c r="GY2" s="1063"/>
      <c r="GZ2" s="1063"/>
      <c r="HA2" s="1063"/>
      <c r="HB2" s="1063"/>
      <c r="HC2" s="1063"/>
      <c r="HD2" s="1063"/>
      <c r="HE2" s="1063"/>
      <c r="HF2" s="1063"/>
      <c r="HG2" s="1063"/>
      <c r="HH2" s="1063"/>
      <c r="HI2" s="1063"/>
      <c r="HJ2" s="1063"/>
      <c r="HK2" s="1063"/>
      <c r="HL2" s="1063"/>
      <c r="HM2" s="1063"/>
      <c r="HN2" s="1063"/>
      <c r="HO2" s="1063"/>
      <c r="HP2" s="1063"/>
      <c r="HQ2" s="1063"/>
      <c r="HR2" s="1063"/>
      <c r="HS2" s="1063"/>
      <c r="HT2" s="1063"/>
      <c r="HU2" s="1063"/>
      <c r="HV2" s="1063"/>
      <c r="HW2" s="1063"/>
      <c r="HX2" s="1063"/>
      <c r="HY2" s="1063"/>
      <c r="HZ2" s="1063"/>
      <c r="IA2" s="1063"/>
      <c r="IB2" s="1063"/>
      <c r="IC2" s="1063"/>
      <c r="ID2" s="1063"/>
      <c r="IE2" s="1063"/>
      <c r="IF2" s="1063"/>
      <c r="IG2" s="1063"/>
      <c r="IH2" s="1063"/>
      <c r="II2" s="1063"/>
      <c r="IJ2" s="1063"/>
      <c r="IK2" s="1063"/>
      <c r="IL2" s="1063"/>
      <c r="IM2" s="1063"/>
      <c r="IN2" s="1063"/>
      <c r="IO2" s="1063"/>
      <c r="IP2" s="1063"/>
      <c r="IQ2" s="1063"/>
      <c r="IR2" s="1063"/>
      <c r="IS2" s="1063"/>
      <c r="IT2" s="1063"/>
      <c r="IU2" s="1063"/>
      <c r="IV2" s="1063"/>
      <c r="IW2" s="1063"/>
      <c r="IX2" s="1063"/>
      <c r="IY2" s="1063"/>
      <c r="IZ2" s="1063"/>
      <c r="JA2" s="1063"/>
      <c r="JB2" s="1063"/>
      <c r="JC2" s="1063"/>
      <c r="JD2" s="1063"/>
      <c r="JE2" s="1063"/>
      <c r="JF2" s="1063"/>
      <c r="JG2" s="1063"/>
      <c r="JH2" s="1063"/>
      <c r="JI2" s="1063"/>
      <c r="JJ2" s="1063"/>
      <c r="JK2" s="1063"/>
      <c r="JL2" s="1063"/>
      <c r="JM2" s="1063"/>
      <c r="JN2" s="1063"/>
      <c r="JO2" s="1063"/>
      <c r="JP2" s="1063"/>
      <c r="JQ2" s="1063"/>
      <c r="JR2" s="1063"/>
      <c r="JS2" s="1063"/>
      <c r="JT2" s="1063"/>
      <c r="JU2" s="1063"/>
      <c r="JV2" s="1063"/>
      <c r="JW2" s="1063"/>
      <c r="JX2" s="1063"/>
      <c r="JY2" s="1063"/>
      <c r="JZ2" s="1063"/>
      <c r="KA2" s="1063"/>
      <c r="KB2" s="1063"/>
      <c r="KC2" s="1063"/>
      <c r="KD2" s="1063"/>
      <c r="KE2" s="1063"/>
      <c r="KF2" s="1063"/>
      <c r="KG2" s="1063"/>
      <c r="KH2" s="1063"/>
      <c r="KI2" s="1063"/>
      <c r="KJ2" s="1063"/>
      <c r="KK2" s="1063"/>
      <c r="KL2" s="1063"/>
      <c r="KM2" s="1063"/>
      <c r="KN2" s="1063"/>
      <c r="KO2" s="1063"/>
      <c r="KP2" s="1063"/>
      <c r="KQ2" s="1063"/>
      <c r="KR2" s="1063"/>
      <c r="KS2" s="1063"/>
      <c r="KT2" s="1063"/>
      <c r="KU2" s="1063"/>
      <c r="KV2" s="1063"/>
      <c r="KW2" s="1063"/>
      <c r="KX2" s="1063"/>
      <c r="KY2" s="1063"/>
      <c r="KZ2" s="1063"/>
      <c r="LA2" s="1063"/>
      <c r="LB2" s="1063"/>
      <c r="LC2" s="1063"/>
      <c r="LD2" s="1063"/>
      <c r="LE2" s="1063"/>
      <c r="LF2" s="1063"/>
      <c r="LG2" s="1063"/>
      <c r="LH2" s="1063"/>
      <c r="LI2" s="1063"/>
      <c r="LJ2" s="1063"/>
      <c r="LK2" s="1063"/>
    </row>
    <row r="3" spans="1:323" s="655" customFormat="1" x14ac:dyDescent="0.25">
      <c r="A3" s="2101" t="s">
        <v>0</v>
      </c>
      <c r="B3" s="2102" t="s">
        <v>36</v>
      </c>
      <c r="C3" s="652" t="s">
        <v>1</v>
      </c>
      <c r="D3" s="653" t="s">
        <v>3</v>
      </c>
      <c r="E3" s="653" t="s">
        <v>4</v>
      </c>
      <c r="F3" s="654" t="s">
        <v>5</v>
      </c>
      <c r="G3" s="653" t="s">
        <v>6</v>
      </c>
      <c r="H3" s="653" t="s">
        <v>7</v>
      </c>
      <c r="I3" s="654" t="s">
        <v>8</v>
      </c>
      <c r="J3" s="653" t="s">
        <v>9</v>
      </c>
      <c r="K3" s="653" t="s">
        <v>37</v>
      </c>
      <c r="L3" s="653" t="s">
        <v>10</v>
      </c>
      <c r="M3" s="653" t="s">
        <v>11</v>
      </c>
      <c r="N3" s="653" t="s">
        <v>38</v>
      </c>
      <c r="O3" s="653" t="s">
        <v>39</v>
      </c>
      <c r="P3" s="653" t="s">
        <v>40</v>
      </c>
      <c r="Q3" s="653" t="s">
        <v>41</v>
      </c>
      <c r="R3" s="653" t="s">
        <v>13</v>
      </c>
      <c r="S3" s="653" t="s">
        <v>14</v>
      </c>
      <c r="T3" s="653" t="s">
        <v>15</v>
      </c>
      <c r="U3" s="653" t="s">
        <v>16</v>
      </c>
      <c r="V3" s="653" t="s">
        <v>17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1066"/>
      <c r="AL3" s="1066"/>
      <c r="AM3" s="1066"/>
      <c r="AN3" s="1066"/>
      <c r="AO3" s="1066"/>
      <c r="AP3" s="1066"/>
      <c r="AQ3" s="1066"/>
      <c r="AR3" s="1066"/>
      <c r="AS3" s="1066"/>
      <c r="AT3" s="1066"/>
      <c r="AU3" s="1066"/>
      <c r="AV3" s="1066"/>
      <c r="AW3" s="1066"/>
      <c r="AX3" s="1066"/>
      <c r="AY3" s="1066"/>
      <c r="AZ3" s="1066"/>
      <c r="BA3" s="1066"/>
      <c r="BB3" s="1066"/>
      <c r="BC3" s="1066"/>
      <c r="BD3" s="1066"/>
      <c r="BE3" s="1066"/>
      <c r="BF3" s="1066"/>
      <c r="BG3" s="1066"/>
      <c r="BH3" s="1066"/>
      <c r="BI3" s="1066"/>
      <c r="BJ3" s="1066"/>
      <c r="BK3" s="1066"/>
      <c r="BL3" s="1066"/>
      <c r="BM3" s="1066"/>
      <c r="BN3" s="1066"/>
      <c r="BO3" s="1066"/>
      <c r="BP3" s="1066"/>
      <c r="BQ3" s="1066"/>
      <c r="BR3" s="1066"/>
      <c r="BS3" s="1066"/>
      <c r="BT3" s="1066"/>
      <c r="BU3" s="1066"/>
      <c r="BV3" s="1066"/>
      <c r="BW3" s="1066"/>
      <c r="BX3" s="1066"/>
      <c r="BY3" s="1066"/>
      <c r="BZ3" s="1066"/>
      <c r="CA3" s="1066"/>
      <c r="CB3" s="1066"/>
      <c r="CC3" s="1066"/>
      <c r="CD3" s="1066"/>
      <c r="CE3" s="1066"/>
      <c r="CF3" s="1066"/>
      <c r="CG3" s="1066"/>
      <c r="CH3" s="1066"/>
      <c r="CI3" s="1066"/>
      <c r="CJ3" s="1066"/>
      <c r="CK3" s="1066"/>
      <c r="CL3" s="1066"/>
      <c r="CM3" s="1066"/>
      <c r="CN3" s="1066"/>
      <c r="CO3" s="1066"/>
      <c r="CP3" s="1066"/>
      <c r="CQ3" s="1066"/>
      <c r="CR3" s="1066"/>
      <c r="CS3" s="1066"/>
      <c r="CT3" s="1066"/>
      <c r="CU3" s="1066"/>
      <c r="CV3" s="1066"/>
      <c r="CW3" s="1066"/>
      <c r="CX3" s="1066"/>
      <c r="CY3" s="1066"/>
      <c r="CZ3" s="1066"/>
      <c r="DA3" s="1066"/>
      <c r="DB3" s="1066"/>
      <c r="DC3" s="1066"/>
      <c r="DD3" s="1066"/>
      <c r="DE3" s="1066"/>
      <c r="DF3" s="1066"/>
      <c r="DG3" s="1066"/>
      <c r="DH3" s="1066"/>
      <c r="DI3" s="1066"/>
      <c r="DJ3" s="1066"/>
      <c r="DK3" s="1066"/>
      <c r="DL3" s="1066"/>
      <c r="DM3" s="1066"/>
      <c r="DN3" s="1066"/>
      <c r="DO3" s="1066"/>
      <c r="DP3" s="1066"/>
      <c r="DQ3" s="1066"/>
      <c r="DR3" s="1066"/>
      <c r="DS3" s="1066"/>
      <c r="DT3" s="1066"/>
      <c r="DU3" s="1066"/>
      <c r="DV3" s="1066"/>
      <c r="DW3" s="1066"/>
      <c r="DX3" s="1066"/>
      <c r="DY3" s="1066"/>
      <c r="DZ3" s="1066"/>
      <c r="EA3" s="1066"/>
      <c r="EB3" s="1066"/>
      <c r="EC3" s="1066"/>
      <c r="ED3" s="1066"/>
      <c r="EE3" s="1066"/>
      <c r="EF3" s="1066"/>
      <c r="EG3" s="1066"/>
      <c r="EH3" s="1066"/>
      <c r="EI3" s="1066"/>
      <c r="EJ3" s="1066"/>
      <c r="EK3" s="1066"/>
      <c r="EL3" s="1066"/>
      <c r="EM3" s="1066"/>
      <c r="EN3" s="1066"/>
      <c r="EO3" s="1066"/>
      <c r="EP3" s="1066"/>
      <c r="EQ3" s="1066"/>
      <c r="ER3" s="1066"/>
      <c r="ES3" s="1066"/>
      <c r="ET3" s="1066"/>
      <c r="EU3" s="1066"/>
      <c r="EV3" s="1066"/>
      <c r="EW3" s="1066"/>
      <c r="EX3" s="1066"/>
      <c r="EY3" s="1066"/>
      <c r="EZ3" s="1066"/>
      <c r="FA3" s="1066"/>
      <c r="FB3" s="1066"/>
      <c r="FC3" s="1066"/>
      <c r="FD3" s="1066"/>
      <c r="FE3" s="1066"/>
      <c r="FF3" s="1066"/>
      <c r="FG3" s="1066"/>
      <c r="FH3" s="1066"/>
      <c r="FI3" s="1066"/>
      <c r="FJ3" s="1066"/>
      <c r="FK3" s="1066"/>
      <c r="FL3" s="1066"/>
      <c r="FM3" s="1066"/>
      <c r="FN3" s="1066"/>
      <c r="FO3" s="1066"/>
      <c r="FP3" s="1066"/>
      <c r="FQ3" s="1066"/>
      <c r="FR3" s="1066"/>
      <c r="FS3" s="1066"/>
      <c r="FT3" s="1066"/>
      <c r="FU3" s="1066"/>
      <c r="FV3" s="1066"/>
      <c r="FW3" s="1066"/>
      <c r="FX3" s="1066"/>
      <c r="FY3" s="1066"/>
      <c r="FZ3" s="1066"/>
      <c r="GA3" s="1066"/>
      <c r="GB3" s="1066"/>
      <c r="GC3" s="1066"/>
      <c r="GD3" s="1066"/>
      <c r="GE3" s="1066"/>
      <c r="GF3" s="1066"/>
      <c r="GG3" s="1066"/>
      <c r="GH3" s="1066"/>
      <c r="GI3" s="1066"/>
      <c r="GJ3" s="1066"/>
      <c r="GK3" s="1066"/>
      <c r="GL3" s="1066"/>
      <c r="GM3" s="1066"/>
      <c r="GN3" s="1066"/>
      <c r="GO3" s="1066"/>
      <c r="GP3" s="1066"/>
      <c r="GQ3" s="1066"/>
      <c r="GR3" s="1066"/>
      <c r="GS3" s="1066"/>
      <c r="GT3" s="1066"/>
      <c r="GU3" s="1066"/>
      <c r="GV3" s="1066"/>
      <c r="GW3" s="1066"/>
      <c r="GX3" s="1066"/>
      <c r="GY3" s="1066"/>
      <c r="GZ3" s="1066"/>
      <c r="HA3" s="1066"/>
      <c r="HB3" s="1066"/>
      <c r="HC3" s="1066"/>
      <c r="HD3" s="1066"/>
      <c r="HE3" s="1066"/>
      <c r="HF3" s="1066"/>
      <c r="HG3" s="1066"/>
      <c r="HH3" s="1066"/>
      <c r="HI3" s="1066"/>
      <c r="HJ3" s="1066"/>
      <c r="HK3" s="1066"/>
      <c r="HL3" s="1066"/>
      <c r="HM3" s="1066"/>
      <c r="HN3" s="1066"/>
      <c r="HO3" s="1066"/>
      <c r="HP3" s="1066"/>
      <c r="HQ3" s="1066"/>
      <c r="HR3" s="1066"/>
      <c r="HS3" s="1066"/>
      <c r="HT3" s="1066"/>
      <c r="HU3" s="1066"/>
      <c r="HV3" s="1066"/>
      <c r="HW3" s="1066"/>
      <c r="HX3" s="1066"/>
      <c r="HY3" s="1066"/>
      <c r="HZ3" s="1066"/>
      <c r="IA3" s="1066"/>
      <c r="IB3" s="1066"/>
      <c r="IC3" s="1066"/>
      <c r="ID3" s="1066"/>
      <c r="IE3" s="1066"/>
      <c r="IF3" s="1066"/>
      <c r="IG3" s="1066"/>
      <c r="IH3" s="1066"/>
      <c r="II3" s="1066"/>
      <c r="IJ3" s="1066"/>
      <c r="IK3" s="1066"/>
      <c r="IL3" s="1066"/>
      <c r="IM3" s="1066"/>
      <c r="IN3" s="1066"/>
      <c r="IO3" s="1066"/>
      <c r="IP3" s="1066"/>
      <c r="IQ3" s="1066"/>
      <c r="IR3" s="1066"/>
      <c r="IS3" s="1066"/>
      <c r="IT3" s="1066"/>
      <c r="IU3" s="1066"/>
      <c r="IV3" s="1066"/>
      <c r="IW3" s="1066"/>
      <c r="IX3" s="1066"/>
      <c r="IY3" s="1066"/>
      <c r="IZ3" s="1066"/>
      <c r="JA3" s="1066"/>
      <c r="JB3" s="1066"/>
      <c r="JC3" s="1066"/>
      <c r="JD3" s="1066"/>
      <c r="JE3" s="1066"/>
      <c r="JF3" s="1066"/>
      <c r="JG3" s="1066"/>
      <c r="JH3" s="1066"/>
      <c r="JI3" s="1066"/>
      <c r="JJ3" s="1066"/>
      <c r="JK3" s="1066"/>
      <c r="JL3" s="1066"/>
      <c r="JM3" s="1066"/>
      <c r="JN3" s="1066"/>
      <c r="JO3" s="1066"/>
      <c r="JP3" s="1066"/>
      <c r="JQ3" s="1066"/>
      <c r="JR3" s="1066"/>
      <c r="JS3" s="1066"/>
      <c r="JT3" s="1066"/>
      <c r="JU3" s="1066"/>
      <c r="JV3" s="1066"/>
      <c r="JW3" s="1066"/>
      <c r="JX3" s="1066"/>
      <c r="JY3" s="1066"/>
      <c r="JZ3" s="1066"/>
      <c r="KA3" s="1066"/>
      <c r="KB3" s="1066"/>
      <c r="KC3" s="1066"/>
      <c r="KD3" s="1066"/>
      <c r="KE3" s="1066"/>
      <c r="KF3" s="1066"/>
      <c r="KG3" s="1066"/>
      <c r="KH3" s="1066"/>
      <c r="KI3" s="1066"/>
      <c r="KJ3" s="1066"/>
      <c r="KK3" s="1066"/>
      <c r="KL3" s="1066"/>
      <c r="KM3" s="1066"/>
      <c r="KN3" s="1066"/>
      <c r="KO3" s="1066"/>
      <c r="KP3" s="1066"/>
      <c r="KQ3" s="1066"/>
      <c r="KR3" s="1066"/>
      <c r="KS3" s="1066"/>
      <c r="KT3" s="1066"/>
      <c r="KU3" s="1066"/>
      <c r="KV3" s="1066"/>
      <c r="KW3" s="1066"/>
      <c r="KX3" s="1066"/>
      <c r="KY3" s="1066"/>
      <c r="KZ3" s="1066"/>
      <c r="LA3" s="1066"/>
      <c r="LB3" s="1066"/>
      <c r="LC3" s="1066"/>
      <c r="LD3" s="1066"/>
      <c r="LE3" s="1066"/>
      <c r="LF3" s="1066"/>
      <c r="LG3" s="1066"/>
      <c r="LH3" s="1066"/>
      <c r="LI3" s="1066"/>
      <c r="LJ3" s="1066"/>
      <c r="LK3" s="1066"/>
    </row>
    <row r="4" spans="1:323" s="655" customFormat="1" x14ac:dyDescent="0.25">
      <c r="A4" s="2101"/>
      <c r="B4" s="2102"/>
      <c r="C4" s="656" t="s">
        <v>32</v>
      </c>
      <c r="D4" s="657" t="s">
        <v>34</v>
      </c>
      <c r="E4" s="657" t="s">
        <v>35</v>
      </c>
      <c r="F4" s="658" t="s">
        <v>33</v>
      </c>
      <c r="G4" s="657" t="s">
        <v>33</v>
      </c>
      <c r="H4" s="657" t="s">
        <v>33</v>
      </c>
      <c r="I4" s="658" t="s">
        <v>33</v>
      </c>
      <c r="J4" s="657" t="s">
        <v>33</v>
      </c>
      <c r="K4" s="657" t="s">
        <v>33</v>
      </c>
      <c r="L4" s="657" t="s">
        <v>33</v>
      </c>
      <c r="M4" s="657" t="s">
        <v>33</v>
      </c>
      <c r="N4" s="657" t="s">
        <v>33</v>
      </c>
      <c r="O4" s="657" t="s">
        <v>33</v>
      </c>
      <c r="P4" s="657" t="s">
        <v>33</v>
      </c>
      <c r="Q4" s="657" t="s">
        <v>33</v>
      </c>
      <c r="R4" s="657" t="s">
        <v>33</v>
      </c>
      <c r="S4" s="657" t="s">
        <v>33</v>
      </c>
      <c r="T4" s="657" t="s">
        <v>33</v>
      </c>
      <c r="U4" s="657" t="s">
        <v>33</v>
      </c>
      <c r="V4" s="657" t="s">
        <v>33</v>
      </c>
      <c r="W4" s="1066"/>
      <c r="X4" s="1066"/>
      <c r="Y4" s="1066"/>
      <c r="Z4" s="1066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066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A4" s="1066"/>
      <c r="BB4" s="1066"/>
      <c r="BC4" s="1066"/>
      <c r="BD4" s="1066"/>
      <c r="BE4" s="1066"/>
      <c r="BF4" s="1066"/>
      <c r="BG4" s="1066"/>
      <c r="BH4" s="1066"/>
      <c r="BI4" s="1066"/>
      <c r="BJ4" s="1066"/>
      <c r="BK4" s="1066"/>
      <c r="BL4" s="1066"/>
      <c r="BM4" s="1066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  <c r="BX4" s="1066"/>
      <c r="BY4" s="1066"/>
      <c r="BZ4" s="1066"/>
      <c r="CA4" s="1066"/>
      <c r="CB4" s="1066"/>
      <c r="CC4" s="1066"/>
      <c r="CD4" s="1066"/>
      <c r="CE4" s="1066"/>
      <c r="CF4" s="1066"/>
      <c r="CG4" s="1066"/>
      <c r="CH4" s="1066"/>
      <c r="CI4" s="1066"/>
      <c r="CJ4" s="1066"/>
      <c r="CK4" s="1066"/>
      <c r="CL4" s="1066"/>
      <c r="CM4" s="1066"/>
      <c r="CN4" s="1066"/>
      <c r="CO4" s="1066"/>
      <c r="CP4" s="1066"/>
      <c r="CQ4" s="1066"/>
      <c r="CR4" s="1066"/>
      <c r="CS4" s="1066"/>
      <c r="CT4" s="1066"/>
      <c r="CU4" s="1066"/>
      <c r="CV4" s="1066"/>
      <c r="CW4" s="1066"/>
      <c r="CX4" s="1066"/>
      <c r="CY4" s="1066"/>
      <c r="CZ4" s="1066"/>
      <c r="DA4" s="1066"/>
      <c r="DB4" s="1066"/>
      <c r="DC4" s="1066"/>
      <c r="DD4" s="1066"/>
      <c r="DE4" s="1066"/>
      <c r="DF4" s="1066"/>
      <c r="DG4" s="1066"/>
      <c r="DH4" s="1066"/>
      <c r="DI4" s="1066"/>
      <c r="DJ4" s="1066"/>
      <c r="DK4" s="1066"/>
      <c r="DL4" s="1066"/>
      <c r="DM4" s="1066"/>
      <c r="DN4" s="1066"/>
      <c r="DO4" s="1066"/>
      <c r="DP4" s="1066"/>
      <c r="DQ4" s="1066"/>
      <c r="DR4" s="1066"/>
      <c r="DS4" s="1066"/>
      <c r="DT4" s="1066"/>
      <c r="DU4" s="1066"/>
      <c r="DV4" s="1066"/>
      <c r="DW4" s="1066"/>
      <c r="DX4" s="1066"/>
      <c r="DY4" s="1066"/>
      <c r="DZ4" s="1066"/>
      <c r="EA4" s="1066"/>
      <c r="EB4" s="1066"/>
      <c r="EC4" s="1066"/>
      <c r="ED4" s="1066"/>
      <c r="EE4" s="1066"/>
      <c r="EF4" s="1066"/>
      <c r="EG4" s="1066"/>
      <c r="EH4" s="1066"/>
      <c r="EI4" s="1066"/>
      <c r="EJ4" s="1066"/>
      <c r="EK4" s="1066"/>
      <c r="EL4" s="1066"/>
      <c r="EM4" s="1066"/>
      <c r="EN4" s="1066"/>
      <c r="EO4" s="1066"/>
      <c r="EP4" s="1066"/>
      <c r="EQ4" s="1066"/>
      <c r="ER4" s="1066"/>
      <c r="ES4" s="1066"/>
      <c r="ET4" s="1066"/>
      <c r="EU4" s="1066"/>
      <c r="EV4" s="1066"/>
      <c r="EW4" s="1066"/>
      <c r="EX4" s="1066"/>
      <c r="EY4" s="1066"/>
      <c r="EZ4" s="1066"/>
      <c r="FA4" s="1066"/>
      <c r="FB4" s="1066"/>
      <c r="FC4" s="1066"/>
      <c r="FD4" s="1066"/>
      <c r="FE4" s="1066"/>
      <c r="FF4" s="1066"/>
      <c r="FG4" s="1066"/>
      <c r="FH4" s="1066"/>
      <c r="FI4" s="1066"/>
      <c r="FJ4" s="1066"/>
      <c r="FK4" s="1066"/>
      <c r="FL4" s="1066"/>
      <c r="FM4" s="1066"/>
      <c r="FN4" s="1066"/>
      <c r="FO4" s="1066"/>
      <c r="FP4" s="1066"/>
      <c r="FQ4" s="1066"/>
      <c r="FR4" s="1066"/>
      <c r="FS4" s="1066"/>
      <c r="FT4" s="1066"/>
      <c r="FU4" s="1066"/>
      <c r="FV4" s="1066"/>
      <c r="FW4" s="1066"/>
      <c r="FX4" s="1066"/>
      <c r="FY4" s="1066"/>
      <c r="FZ4" s="1066"/>
      <c r="GA4" s="1066"/>
      <c r="GB4" s="1066"/>
      <c r="GC4" s="1066"/>
      <c r="GD4" s="1066"/>
      <c r="GE4" s="1066"/>
      <c r="GF4" s="1066"/>
      <c r="GG4" s="1066"/>
      <c r="GH4" s="1066"/>
      <c r="GI4" s="1066"/>
      <c r="GJ4" s="1066"/>
      <c r="GK4" s="1066"/>
      <c r="GL4" s="1066"/>
      <c r="GM4" s="1066"/>
      <c r="GN4" s="1066"/>
      <c r="GO4" s="1066"/>
      <c r="GP4" s="1066"/>
      <c r="GQ4" s="1066"/>
      <c r="GR4" s="1066"/>
      <c r="GS4" s="1066"/>
      <c r="GT4" s="1066"/>
      <c r="GU4" s="1066"/>
      <c r="GV4" s="1066"/>
      <c r="GW4" s="1066"/>
      <c r="GX4" s="1066"/>
      <c r="GY4" s="1066"/>
      <c r="GZ4" s="1066"/>
      <c r="HA4" s="1066"/>
      <c r="HB4" s="1066"/>
      <c r="HC4" s="1066"/>
      <c r="HD4" s="1066"/>
      <c r="HE4" s="1066"/>
      <c r="HF4" s="1066"/>
      <c r="HG4" s="1066"/>
      <c r="HH4" s="1066"/>
      <c r="HI4" s="1066"/>
      <c r="HJ4" s="1066"/>
      <c r="HK4" s="1066"/>
      <c r="HL4" s="1066"/>
      <c r="HM4" s="1066"/>
      <c r="HN4" s="1066"/>
      <c r="HO4" s="1066"/>
      <c r="HP4" s="1066"/>
      <c r="HQ4" s="1066"/>
      <c r="HR4" s="1066"/>
      <c r="HS4" s="1066"/>
      <c r="HT4" s="1066"/>
      <c r="HU4" s="1066"/>
      <c r="HV4" s="1066"/>
      <c r="HW4" s="1066"/>
      <c r="HX4" s="1066"/>
      <c r="HY4" s="1066"/>
      <c r="HZ4" s="1066"/>
      <c r="IA4" s="1066"/>
      <c r="IB4" s="1066"/>
      <c r="IC4" s="1066"/>
      <c r="ID4" s="1066"/>
      <c r="IE4" s="1066"/>
      <c r="IF4" s="1066"/>
      <c r="IG4" s="1066"/>
      <c r="IH4" s="1066"/>
      <c r="II4" s="1066"/>
      <c r="IJ4" s="1066"/>
      <c r="IK4" s="1066"/>
      <c r="IL4" s="1066"/>
      <c r="IM4" s="1066"/>
      <c r="IN4" s="1066"/>
      <c r="IO4" s="1066"/>
      <c r="IP4" s="1066"/>
      <c r="IQ4" s="1066"/>
      <c r="IR4" s="1066"/>
      <c r="IS4" s="1066"/>
      <c r="IT4" s="1066"/>
      <c r="IU4" s="1066"/>
      <c r="IV4" s="1066"/>
      <c r="IW4" s="1066"/>
      <c r="IX4" s="1066"/>
      <c r="IY4" s="1066"/>
      <c r="IZ4" s="1066"/>
      <c r="JA4" s="1066"/>
      <c r="JB4" s="1066"/>
      <c r="JC4" s="1066"/>
      <c r="JD4" s="1066"/>
      <c r="JE4" s="1066"/>
      <c r="JF4" s="1066"/>
      <c r="JG4" s="1066"/>
      <c r="JH4" s="1066"/>
      <c r="JI4" s="1066"/>
      <c r="JJ4" s="1066"/>
      <c r="JK4" s="1066"/>
      <c r="JL4" s="1066"/>
      <c r="JM4" s="1066"/>
      <c r="JN4" s="1066"/>
      <c r="JO4" s="1066"/>
      <c r="JP4" s="1066"/>
      <c r="JQ4" s="1066"/>
      <c r="JR4" s="1066"/>
      <c r="JS4" s="1066"/>
      <c r="JT4" s="1066"/>
      <c r="JU4" s="1066"/>
      <c r="JV4" s="1066"/>
      <c r="JW4" s="1066"/>
      <c r="JX4" s="1066"/>
      <c r="JY4" s="1066"/>
      <c r="JZ4" s="1066"/>
      <c r="KA4" s="1066"/>
      <c r="KB4" s="1066"/>
      <c r="KC4" s="1066"/>
      <c r="KD4" s="1066"/>
      <c r="KE4" s="1066"/>
      <c r="KF4" s="1066"/>
      <c r="KG4" s="1066"/>
      <c r="KH4" s="1066"/>
      <c r="KI4" s="1066"/>
      <c r="KJ4" s="1066"/>
      <c r="KK4" s="1066"/>
      <c r="KL4" s="1066"/>
      <c r="KM4" s="1066"/>
      <c r="KN4" s="1066"/>
      <c r="KO4" s="1066"/>
      <c r="KP4" s="1066"/>
      <c r="KQ4" s="1066"/>
      <c r="KR4" s="1066"/>
      <c r="KS4" s="1066"/>
      <c r="KT4" s="1066"/>
      <c r="KU4" s="1066"/>
      <c r="KV4" s="1066"/>
      <c r="KW4" s="1066"/>
      <c r="KX4" s="1066"/>
      <c r="KY4" s="1066"/>
      <c r="KZ4" s="1066"/>
      <c r="LA4" s="1066"/>
      <c r="LB4" s="1066"/>
      <c r="LC4" s="1066"/>
      <c r="LD4" s="1066"/>
      <c r="LE4" s="1066"/>
      <c r="LF4" s="1066"/>
      <c r="LG4" s="1066"/>
      <c r="LH4" s="1066"/>
      <c r="LI4" s="1066"/>
      <c r="LJ4" s="1066"/>
      <c r="LK4" s="1066"/>
    </row>
    <row r="5" spans="1:323" s="15" customFormat="1" x14ac:dyDescent="0.25">
      <c r="A5" s="572" t="s">
        <v>305</v>
      </c>
      <c r="B5" s="572" t="e">
        <f>"-"&amp;TEXT((F5/62+G5/46+I5/35.5+J5/48+K5/97+L5/61),"0,00")&amp;"/+"&amp;TEXT((N5/39+O5/23+P5/20+Q5/12+H5/14),"0,00")&amp;"  (EC  "&amp;E5*10&amp;")"</f>
        <v>#VALUE!</v>
      </c>
      <c r="C5" s="384"/>
      <c r="D5" s="385">
        <v>7.48</v>
      </c>
      <c r="E5" s="385" t="s">
        <v>274</v>
      </c>
      <c r="F5" s="386" t="s">
        <v>275</v>
      </c>
      <c r="G5" s="385"/>
      <c r="H5" s="385" t="s">
        <v>276</v>
      </c>
      <c r="I5" s="386">
        <v>39.47</v>
      </c>
      <c r="J5" s="385" t="s">
        <v>277</v>
      </c>
      <c r="K5" s="385" t="s">
        <v>278</v>
      </c>
      <c r="L5" s="385">
        <v>237.6</v>
      </c>
      <c r="M5" s="385"/>
      <c r="N5" s="387" t="s">
        <v>279</v>
      </c>
      <c r="O5" s="387">
        <v>19.56833</v>
      </c>
      <c r="P5" s="387" t="s">
        <v>280</v>
      </c>
      <c r="Q5" s="387" t="s">
        <v>281</v>
      </c>
      <c r="R5" s="385"/>
      <c r="S5" s="385"/>
      <c r="T5" s="385"/>
      <c r="U5" s="385"/>
      <c r="V5" s="385"/>
    </row>
    <row r="6" spans="1:323" s="15" customFormat="1" x14ac:dyDescent="0.25">
      <c r="A6" s="572" t="s">
        <v>282</v>
      </c>
      <c r="B6" s="383" t="e">
        <f>"-"&amp;TEXT((F6/62+G6/46+I6/35.5+J6/48+K6/97+L6/61),"0,00")&amp;"/+"&amp;TEXT((N6/39+O6/23+P6/20+Q6/12+H6/14),"0,00")&amp;"  (EC  "&amp;E6*10&amp;")"</f>
        <v>#VALUE!</v>
      </c>
      <c r="C6" s="384">
        <v>5</v>
      </c>
      <c r="D6" s="385">
        <v>7.46</v>
      </c>
      <c r="E6" s="385">
        <v>1.47</v>
      </c>
      <c r="F6" s="386">
        <v>2.91</v>
      </c>
      <c r="G6" s="386"/>
      <c r="H6" s="385" t="s">
        <v>283</v>
      </c>
      <c r="I6" s="386" t="s">
        <v>284</v>
      </c>
      <c r="J6" s="385" t="s">
        <v>285</v>
      </c>
      <c r="K6" s="385" t="s">
        <v>278</v>
      </c>
      <c r="L6" s="385">
        <v>165.6</v>
      </c>
      <c r="M6" s="385"/>
      <c r="N6" s="385">
        <v>1.59</v>
      </c>
      <c r="O6" s="385" t="s">
        <v>286</v>
      </c>
      <c r="P6" s="385" t="s">
        <v>287</v>
      </c>
      <c r="Q6" s="385" t="s">
        <v>288</v>
      </c>
      <c r="R6" s="388" t="s">
        <v>289</v>
      </c>
      <c r="S6" s="388" t="s">
        <v>290</v>
      </c>
      <c r="T6" s="388" t="s">
        <v>290</v>
      </c>
      <c r="U6" s="385" t="s">
        <v>291</v>
      </c>
      <c r="V6" s="385"/>
    </row>
    <row r="7" spans="1:323" s="1677" customFormat="1" x14ac:dyDescent="0.25">
      <c r="A7" s="1681">
        <v>200218</v>
      </c>
      <c r="B7" s="1675" t="str">
        <f t="shared" ref="B7" si="0">"-"&amp;TEXT((F7/62+G7/46+I7/35.5+J7/48+K7/97+L7/61),"0,00")&amp;"/+"&amp;TEXT((N7/39+O7/23+P7/20+Q7/12+H7/14),"0,00")&amp;"  (EC  "&amp;E7*10&amp;")"</f>
        <v>-46,69/+46,94  (EC  45,5)</v>
      </c>
      <c r="C7" s="1680"/>
      <c r="D7" s="1679">
        <v>7.61</v>
      </c>
      <c r="E7" s="1679">
        <v>4.55</v>
      </c>
      <c r="F7" s="1678">
        <v>6.61</v>
      </c>
      <c r="G7" s="1678">
        <v>0</v>
      </c>
      <c r="H7" s="1679">
        <v>0.05</v>
      </c>
      <c r="I7" s="1678">
        <v>733.7600000000001</v>
      </c>
      <c r="J7" s="1679">
        <v>1204.2</v>
      </c>
      <c r="K7" s="1679">
        <v>0</v>
      </c>
      <c r="L7" s="1679">
        <v>50.400000000000006</v>
      </c>
      <c r="M7" s="1679">
        <v>0</v>
      </c>
      <c r="N7" s="1679">
        <v>9.99</v>
      </c>
      <c r="O7" s="1679">
        <v>458.6</v>
      </c>
      <c r="P7" s="1676">
        <v>400.2</v>
      </c>
      <c r="Q7" s="1679">
        <v>80.819999999999993</v>
      </c>
      <c r="R7" s="1679">
        <v>0.02</v>
      </c>
      <c r="S7" s="1679">
        <v>1E-3</v>
      </c>
      <c r="T7" s="1679">
        <v>0.01</v>
      </c>
      <c r="U7" s="1679">
        <v>0.02</v>
      </c>
      <c r="V7" s="1679"/>
    </row>
    <row r="8" spans="1:323" s="15" customFormat="1" x14ac:dyDescent="0.25">
      <c r="A8" s="572" t="s">
        <v>292</v>
      </c>
      <c r="B8" s="383" t="e">
        <f>"-"&amp;TEXT((F8/62+G8/46+I8/35.5+J8/48+K8/97+L8/61),"0,00")&amp;"/+"&amp;TEXT((N8/39+O8/23+P8/20+Q8/12+H8/14),"0,00")&amp;"  (EC  "&amp;E8*10&amp;")"</f>
        <v>#VALUE!</v>
      </c>
      <c r="C8" s="384">
        <v>5.5</v>
      </c>
      <c r="D8" s="385">
        <v>7.42</v>
      </c>
      <c r="E8" s="385" t="s">
        <v>293</v>
      </c>
      <c r="F8" s="386">
        <v>2.99</v>
      </c>
      <c r="G8" s="386"/>
      <c r="H8" s="385" t="s">
        <v>294</v>
      </c>
      <c r="I8" s="386">
        <v>73.459999999999994</v>
      </c>
      <c r="J8" s="385" t="s">
        <v>295</v>
      </c>
      <c r="K8" s="385" t="s">
        <v>278</v>
      </c>
      <c r="L8" s="385">
        <v>120.01</v>
      </c>
      <c r="M8" s="385"/>
      <c r="N8" s="385" t="s">
        <v>296</v>
      </c>
      <c r="O8" s="385">
        <v>14.26</v>
      </c>
      <c r="P8" s="385">
        <v>82.11</v>
      </c>
      <c r="Q8" s="385">
        <v>39.549999999999997</v>
      </c>
      <c r="R8" s="388" t="s">
        <v>297</v>
      </c>
      <c r="S8" s="388" t="s">
        <v>290</v>
      </c>
      <c r="T8" s="385" t="s">
        <v>298</v>
      </c>
      <c r="U8" s="385" t="s">
        <v>291</v>
      </c>
      <c r="V8" s="385"/>
    </row>
    <row r="9" spans="1:323" s="15" customFormat="1" x14ac:dyDescent="0.25">
      <c r="A9" s="572" t="s">
        <v>299</v>
      </c>
      <c r="B9" s="383" t="e">
        <f>"-"&amp;TEXT((F9/62+G9/46+I9/35.5+J9/48+K9/97+L9/61),"0,00")&amp;"/+"&amp;TEXT((N9/39+O9/23+P9/20+Q9/12+H9/14),"0,00")&amp;"  (EC  "&amp;E9*10&amp;")"</f>
        <v>#VALUE!</v>
      </c>
      <c r="C9" s="384">
        <v>4.3</v>
      </c>
      <c r="D9" s="385">
        <v>7.37</v>
      </c>
      <c r="E9" s="385" t="s">
        <v>300</v>
      </c>
      <c r="F9" s="386">
        <v>4.72</v>
      </c>
      <c r="G9" s="386"/>
      <c r="H9" s="385" t="s">
        <v>294</v>
      </c>
      <c r="I9" s="386">
        <v>75.64</v>
      </c>
      <c r="J9" s="385" t="s">
        <v>301</v>
      </c>
      <c r="K9" s="385" t="s">
        <v>278</v>
      </c>
      <c r="L9" s="385">
        <v>242.4</v>
      </c>
      <c r="M9" s="385"/>
      <c r="N9" s="385">
        <v>62.28</v>
      </c>
      <c r="O9" s="385" t="s">
        <v>302</v>
      </c>
      <c r="P9" s="385">
        <v>62.28</v>
      </c>
      <c r="Q9" s="385">
        <v>39.229999999999997</v>
      </c>
      <c r="R9" s="388" t="s">
        <v>303</v>
      </c>
      <c r="S9" s="388" t="s">
        <v>290</v>
      </c>
      <c r="T9" s="388" t="s">
        <v>290</v>
      </c>
      <c r="U9" s="385" t="s">
        <v>291</v>
      </c>
      <c r="V9" s="385"/>
    </row>
    <row r="10" spans="1:323" s="15" customFormat="1" x14ac:dyDescent="0.25">
      <c r="A10" s="572" t="s">
        <v>304</v>
      </c>
      <c r="B10" s="383" t="str">
        <f t="shared" ref="B10:B37" si="1">"-"&amp;TEXT((F10/62+G10/46+I10/35.5+J10/48+K10/97+L10/61),"0,00")&amp;"/+"&amp;TEXT((N10/39+O10/23+P10/20+Q10/12+H10/14),"0,00")&amp;"  (EC  "&amp;E10*10&amp;")"</f>
        <v>-5,32/+6,48  (EC  6,8)</v>
      </c>
      <c r="C10" s="384">
        <v>5.4</v>
      </c>
      <c r="D10" s="385">
        <v>7.89</v>
      </c>
      <c r="E10" s="385">
        <v>0.68</v>
      </c>
      <c r="F10" s="386">
        <v>3.17</v>
      </c>
      <c r="G10" s="386"/>
      <c r="H10" s="385">
        <v>0.13</v>
      </c>
      <c r="I10" s="386">
        <v>31.85</v>
      </c>
      <c r="J10" s="385">
        <v>28.54</v>
      </c>
      <c r="K10" s="385">
        <v>0.22</v>
      </c>
      <c r="L10" s="385">
        <v>230.4</v>
      </c>
      <c r="M10" s="385"/>
      <c r="N10" s="385">
        <v>1.24</v>
      </c>
      <c r="O10" s="385">
        <v>14.81</v>
      </c>
      <c r="P10" s="385">
        <v>48.13</v>
      </c>
      <c r="Q10" s="385">
        <v>40.630000000000003</v>
      </c>
      <c r="R10" s="388">
        <v>0.01</v>
      </c>
      <c r="S10" s="388">
        <v>1E-3</v>
      </c>
      <c r="T10" s="388">
        <v>1E-3</v>
      </c>
      <c r="U10" s="385">
        <v>0.12</v>
      </c>
      <c r="V10" s="385"/>
    </row>
    <row r="11" spans="1:323" s="15" customFormat="1" x14ac:dyDescent="0.25">
      <c r="A11" s="572">
        <v>800006</v>
      </c>
      <c r="B11" s="383" t="str">
        <f t="shared" si="1"/>
        <v>-49,03/+49,47  (EC  50,8)</v>
      </c>
      <c r="C11" s="384">
        <v>4.3</v>
      </c>
      <c r="D11" s="385">
        <v>7.67</v>
      </c>
      <c r="E11" s="385">
        <v>5.08</v>
      </c>
      <c r="F11" s="386">
        <v>6.19</v>
      </c>
      <c r="G11" s="386"/>
      <c r="H11" s="385">
        <v>0.15</v>
      </c>
      <c r="I11" s="386">
        <v>1217.5999999999999</v>
      </c>
      <c r="J11" s="385">
        <v>490.90000000000003</v>
      </c>
      <c r="K11" s="385">
        <v>0.22</v>
      </c>
      <c r="L11" s="385">
        <v>268.8</v>
      </c>
      <c r="M11" s="385"/>
      <c r="N11" s="385">
        <v>7.06</v>
      </c>
      <c r="O11" s="385">
        <v>610.96</v>
      </c>
      <c r="P11" s="385">
        <v>222.61</v>
      </c>
      <c r="Q11" s="385">
        <v>139.06</v>
      </c>
      <c r="R11" s="388">
        <v>0.01</v>
      </c>
      <c r="S11" s="388">
        <v>1E-3</v>
      </c>
      <c r="T11" s="385">
        <v>0.01</v>
      </c>
      <c r="U11" s="385">
        <v>0.02</v>
      </c>
      <c r="V11" s="385"/>
    </row>
    <row r="12" spans="1:323" s="15" customFormat="1" x14ac:dyDescent="0.25">
      <c r="A12" s="572">
        <v>800007</v>
      </c>
      <c r="B12" s="383" t="str">
        <f t="shared" si="1"/>
        <v>-6,15/+7,60  (EC  8,3)</v>
      </c>
      <c r="C12" s="384">
        <v>21.7</v>
      </c>
      <c r="D12" s="385">
        <v>7.64</v>
      </c>
      <c r="E12" s="385">
        <v>0.83</v>
      </c>
      <c r="F12" s="386">
        <v>6.73</v>
      </c>
      <c r="G12" s="385"/>
      <c r="H12" s="386">
        <f>0.1*1.288</f>
        <v>0.1288</v>
      </c>
      <c r="I12" s="386">
        <v>15.67</v>
      </c>
      <c r="J12" s="385">
        <v>43.88</v>
      </c>
      <c r="K12" s="385">
        <v>0.22</v>
      </c>
      <c r="L12" s="385">
        <v>285.60000000000002</v>
      </c>
      <c r="M12" s="385"/>
      <c r="N12" s="386">
        <v>0.14445</v>
      </c>
      <c r="O12" s="385">
        <v>24.47</v>
      </c>
      <c r="P12" s="385">
        <v>74.94</v>
      </c>
      <c r="Q12" s="385">
        <v>33.299999999999997</v>
      </c>
      <c r="R12" s="385"/>
      <c r="S12" s="385"/>
      <c r="T12" s="385"/>
      <c r="U12" s="385"/>
      <c r="V12" s="385"/>
    </row>
    <row r="13" spans="1:323" s="15" customFormat="1" x14ac:dyDescent="0.25">
      <c r="A13" s="572">
        <v>800008</v>
      </c>
      <c r="B13" s="383" t="str">
        <f t="shared" si="1"/>
        <v>-4,19/+4,84  (EC  5,5)</v>
      </c>
      <c r="C13" s="384">
        <v>21.6</v>
      </c>
      <c r="D13" s="385">
        <v>7.94</v>
      </c>
      <c r="E13" s="385">
        <v>0.55000000000000004</v>
      </c>
      <c r="F13" s="386">
        <v>6.24</v>
      </c>
      <c r="G13" s="385"/>
      <c r="H13" s="386">
        <f>0.13*1.288</f>
        <v>0.16744000000000001</v>
      </c>
      <c r="I13" s="386">
        <v>13.92</v>
      </c>
      <c r="J13" s="385">
        <v>35.840000000000003</v>
      </c>
      <c r="K13" s="385">
        <v>0.22</v>
      </c>
      <c r="L13" s="385">
        <v>180</v>
      </c>
      <c r="M13" s="385"/>
      <c r="N13" s="385">
        <v>0.81</v>
      </c>
      <c r="O13" s="385">
        <v>17.920000000000002</v>
      </c>
      <c r="P13" s="385">
        <v>44.29</v>
      </c>
      <c r="Q13" s="385">
        <v>21.75</v>
      </c>
      <c r="R13" s="385">
        <v>0.01</v>
      </c>
      <c r="S13" s="385">
        <v>1E-3</v>
      </c>
      <c r="T13" s="385">
        <v>0.01</v>
      </c>
      <c r="U13" s="385">
        <v>0.02</v>
      </c>
      <c r="V13" s="385"/>
    </row>
    <row r="14" spans="1:323" s="15" customFormat="1" x14ac:dyDescent="0.25">
      <c r="A14" s="572">
        <v>800009</v>
      </c>
      <c r="B14" s="383" t="str">
        <f t="shared" si="1"/>
        <v>-13,55/+15,29  (EC  14,1)</v>
      </c>
      <c r="C14" s="384">
        <v>5</v>
      </c>
      <c r="D14" s="385">
        <v>7.43</v>
      </c>
      <c r="E14" s="385">
        <v>1.41</v>
      </c>
      <c r="F14" s="386">
        <v>9.56</v>
      </c>
      <c r="G14" s="385"/>
      <c r="H14" s="386">
        <v>0.21896000000000002</v>
      </c>
      <c r="I14" s="386">
        <v>204.63</v>
      </c>
      <c r="J14" s="385">
        <v>158.43</v>
      </c>
      <c r="K14" s="385">
        <v>0.22</v>
      </c>
      <c r="L14" s="385">
        <v>264</v>
      </c>
      <c r="M14" s="385"/>
      <c r="N14" s="385">
        <v>0.57999999999999996</v>
      </c>
      <c r="O14" s="385">
        <v>174.98</v>
      </c>
      <c r="P14" s="385">
        <v>73.25</v>
      </c>
      <c r="Q14" s="385">
        <v>47.86</v>
      </c>
      <c r="R14" s="385">
        <v>0.01</v>
      </c>
      <c r="S14" s="385">
        <v>1E-3</v>
      </c>
      <c r="T14" s="385">
        <v>0.01</v>
      </c>
      <c r="U14" s="385">
        <v>0.02</v>
      </c>
      <c r="V14" s="385"/>
    </row>
    <row r="15" spans="1:323" s="15" customFormat="1" x14ac:dyDescent="0.25">
      <c r="A15" s="572">
        <v>800010</v>
      </c>
      <c r="B15" s="383" t="str">
        <f t="shared" si="1"/>
        <v>-20,07/+21,57  (EC  21)</v>
      </c>
      <c r="C15" s="384">
        <v>5</v>
      </c>
      <c r="D15" s="385">
        <v>7.42</v>
      </c>
      <c r="E15" s="385">
        <v>2.1</v>
      </c>
      <c r="F15" s="386">
        <v>13.8</v>
      </c>
      <c r="G15" s="385"/>
      <c r="H15" s="386">
        <v>0.21896000000000002</v>
      </c>
      <c r="I15" s="386">
        <v>399.55</v>
      </c>
      <c r="J15" s="385">
        <v>194.18</v>
      </c>
      <c r="K15" s="385">
        <v>0.22</v>
      </c>
      <c r="L15" s="385">
        <v>277.2</v>
      </c>
      <c r="M15" s="385"/>
      <c r="N15" s="385">
        <v>0.63</v>
      </c>
      <c r="O15" s="385">
        <v>355.98</v>
      </c>
      <c r="P15" s="385">
        <v>97.62</v>
      </c>
      <c r="Q15" s="385">
        <v>14.18</v>
      </c>
      <c r="R15" s="385"/>
      <c r="S15" s="385"/>
      <c r="T15" s="385"/>
      <c r="U15" s="385"/>
      <c r="V15" s="385"/>
    </row>
    <row r="16" spans="1:323" s="15" customFormat="1" x14ac:dyDescent="0.25">
      <c r="A16" s="572">
        <v>800011</v>
      </c>
      <c r="B16" s="383" t="str">
        <f t="shared" si="1"/>
        <v>-33,27/+35,69  (EC  34,3)</v>
      </c>
      <c r="C16" s="384">
        <v>5</v>
      </c>
      <c r="D16" s="385">
        <v>7.31</v>
      </c>
      <c r="E16" s="385">
        <v>3.43</v>
      </c>
      <c r="F16" s="386">
        <v>7.82</v>
      </c>
      <c r="G16" s="385"/>
      <c r="H16" s="386">
        <v>0.21896000000000002</v>
      </c>
      <c r="I16" s="386">
        <v>805.66</v>
      </c>
      <c r="J16" s="385">
        <v>286</v>
      </c>
      <c r="K16" s="385">
        <v>0.22</v>
      </c>
      <c r="L16" s="385">
        <v>273.60000000000002</v>
      </c>
      <c r="M16" s="385"/>
      <c r="N16" s="385">
        <v>4.3499999999999996</v>
      </c>
      <c r="O16" s="385">
        <v>491.59</v>
      </c>
      <c r="P16" s="385">
        <v>219.73</v>
      </c>
      <c r="Q16" s="385">
        <v>38.49</v>
      </c>
      <c r="R16" s="385"/>
      <c r="S16" s="385"/>
      <c r="T16" s="385"/>
      <c r="U16" s="385"/>
      <c r="V16" s="385"/>
    </row>
    <row r="17" spans="1:22" s="15" customFormat="1" x14ac:dyDescent="0.25">
      <c r="A17" s="572">
        <v>800012</v>
      </c>
      <c r="B17" s="383" t="str">
        <f t="shared" si="1"/>
        <v>-21,45/+23,24  (EC  22,6)</v>
      </c>
      <c r="C17" s="384">
        <v>5</v>
      </c>
      <c r="D17" s="385">
        <v>7.47</v>
      </c>
      <c r="E17" s="385">
        <v>2.2599999999999998</v>
      </c>
      <c r="F17" s="386">
        <v>14.52</v>
      </c>
      <c r="G17" s="385"/>
      <c r="H17" s="386">
        <v>6.4967999999999998E-2</v>
      </c>
      <c r="I17" s="386">
        <v>350.27</v>
      </c>
      <c r="J17" s="385">
        <v>414.20000000000005</v>
      </c>
      <c r="K17" s="385">
        <v>0.22</v>
      </c>
      <c r="L17" s="385">
        <v>165.60000000000002</v>
      </c>
      <c r="M17" s="385"/>
      <c r="N17" s="385">
        <v>75.459999999999994</v>
      </c>
      <c r="O17" s="385">
        <v>238.93</v>
      </c>
      <c r="P17" s="385">
        <v>104.81</v>
      </c>
      <c r="Q17" s="385">
        <v>68.09</v>
      </c>
      <c r="R17" s="385">
        <v>0.01</v>
      </c>
      <c r="S17" s="385">
        <v>1E-3</v>
      </c>
      <c r="T17" s="385">
        <v>0.01</v>
      </c>
      <c r="U17" s="385">
        <v>0.02</v>
      </c>
      <c r="V17" s="385"/>
    </row>
    <row r="18" spans="1:22" s="15" customFormat="1" x14ac:dyDescent="0.25">
      <c r="A18" s="572">
        <v>800013</v>
      </c>
      <c r="B18" s="383" t="str">
        <f t="shared" si="1"/>
        <v>-18,61/+19,19  (EC  18,4)</v>
      </c>
      <c r="C18" s="384">
        <v>5</v>
      </c>
      <c r="D18" s="385">
        <v>7.77</v>
      </c>
      <c r="E18" s="385">
        <v>1.84</v>
      </c>
      <c r="F18" s="386">
        <v>9.73</v>
      </c>
      <c r="G18" s="385"/>
      <c r="H18" s="386">
        <v>0.21896000000000002</v>
      </c>
      <c r="I18" s="386">
        <v>390.72</v>
      </c>
      <c r="J18" s="385">
        <v>140.11000000000001</v>
      </c>
      <c r="K18" s="385">
        <v>0.22</v>
      </c>
      <c r="L18" s="385">
        <v>276</v>
      </c>
      <c r="M18" s="385"/>
      <c r="N18" s="385">
        <v>1.55</v>
      </c>
      <c r="O18" s="385">
        <v>239.87</v>
      </c>
      <c r="P18" s="385">
        <v>80.61</v>
      </c>
      <c r="Q18" s="385">
        <v>56.13</v>
      </c>
      <c r="R18" s="385">
        <v>0.01</v>
      </c>
      <c r="S18" s="385">
        <v>1E-3</v>
      </c>
      <c r="T18" s="385">
        <v>0.01</v>
      </c>
      <c r="U18" s="385">
        <v>0.02</v>
      </c>
      <c r="V18" s="385"/>
    </row>
    <row r="19" spans="1:22" s="15" customFormat="1" x14ac:dyDescent="0.25">
      <c r="A19" s="572">
        <v>800014</v>
      </c>
      <c r="B19" s="383" t="str">
        <f t="shared" si="1"/>
        <v>-12,31/+14,61  (EC  13,7)</v>
      </c>
      <c r="C19" s="384">
        <v>5</v>
      </c>
      <c r="D19" s="385">
        <v>7.64</v>
      </c>
      <c r="E19" s="385">
        <v>1.37</v>
      </c>
      <c r="F19" s="386">
        <v>7.12</v>
      </c>
      <c r="G19" s="385"/>
      <c r="H19" s="386">
        <v>0.20608000000000001</v>
      </c>
      <c r="I19" s="386">
        <v>205.6</v>
      </c>
      <c r="J19" s="385">
        <v>131.57</v>
      </c>
      <c r="K19" s="385">
        <v>0.22</v>
      </c>
      <c r="L19" s="385">
        <v>223.20000000000002</v>
      </c>
      <c r="M19" s="385"/>
      <c r="N19" s="385">
        <v>1.42</v>
      </c>
      <c r="O19" s="385">
        <v>171.08</v>
      </c>
      <c r="P19" s="385">
        <v>67.430000000000007</v>
      </c>
      <c r="Q19" s="385">
        <v>44.96</v>
      </c>
      <c r="R19" s="385">
        <v>0.01</v>
      </c>
      <c r="S19" s="385">
        <v>1E-3</v>
      </c>
      <c r="T19" s="385">
        <v>0.01</v>
      </c>
      <c r="U19" s="385">
        <v>0.02</v>
      </c>
      <c r="V19" s="385"/>
    </row>
    <row r="20" spans="1:22" s="15" customFormat="1" x14ac:dyDescent="0.25">
      <c r="A20" s="572">
        <v>800015</v>
      </c>
      <c r="B20" s="383" t="str">
        <f t="shared" si="1"/>
        <v>-63,88/+63,96  (EC  63)</v>
      </c>
      <c r="C20" s="384">
        <v>5</v>
      </c>
      <c r="D20" s="385">
        <v>7.25</v>
      </c>
      <c r="E20" s="385">
        <v>6.3</v>
      </c>
      <c r="F20" s="386">
        <v>2.56</v>
      </c>
      <c r="G20" s="385"/>
      <c r="H20" s="386">
        <v>0.23183999999999999</v>
      </c>
      <c r="I20" s="386">
        <v>734.2</v>
      </c>
      <c r="J20" s="385">
        <v>1973</v>
      </c>
      <c r="K20" s="385">
        <v>0.22</v>
      </c>
      <c r="L20" s="385">
        <v>124.80000000000001</v>
      </c>
      <c r="M20" s="385"/>
      <c r="N20" s="385">
        <v>1.1200000000000001</v>
      </c>
      <c r="O20" s="385">
        <v>714.8</v>
      </c>
      <c r="P20" s="385">
        <v>407.76</v>
      </c>
      <c r="Q20" s="385">
        <v>149.35</v>
      </c>
      <c r="R20" s="385"/>
      <c r="S20" s="385"/>
      <c r="T20" s="385"/>
      <c r="U20" s="385"/>
      <c r="V20" s="385"/>
    </row>
    <row r="21" spans="1:22" s="15" customFormat="1" x14ac:dyDescent="0.25">
      <c r="A21" s="572">
        <v>800016</v>
      </c>
      <c r="B21" s="383" t="str">
        <f t="shared" si="1"/>
        <v>-14,03/+13,16  (EC  13,9)</v>
      </c>
      <c r="C21" s="384">
        <v>5</v>
      </c>
      <c r="D21" s="385">
        <v>7.07</v>
      </c>
      <c r="E21" s="385">
        <v>1.39</v>
      </c>
      <c r="F21" s="386">
        <v>0.3</v>
      </c>
      <c r="G21" s="385"/>
      <c r="H21" s="386">
        <v>1.8</v>
      </c>
      <c r="I21" s="386">
        <v>321.39999999999998</v>
      </c>
      <c r="J21" s="385">
        <v>10.9</v>
      </c>
      <c r="K21" s="385">
        <v>0.22</v>
      </c>
      <c r="L21" s="389">
        <v>289.39393939393938</v>
      </c>
      <c r="M21" s="385"/>
      <c r="N21" s="385">
        <v>7.48</v>
      </c>
      <c r="O21" s="385">
        <v>137.22</v>
      </c>
      <c r="P21" s="385">
        <v>102.2</v>
      </c>
      <c r="Q21" s="385">
        <v>21.15</v>
      </c>
      <c r="R21" s="385"/>
      <c r="S21" s="385"/>
      <c r="T21" s="385"/>
      <c r="U21" s="385"/>
      <c r="V21" s="385"/>
    </row>
    <row r="22" spans="1:22" s="15" customFormat="1" x14ac:dyDescent="0.25">
      <c r="A22" s="572">
        <v>800017</v>
      </c>
      <c r="B22" s="383" t="str">
        <f t="shared" si="1"/>
        <v>-20,40/+19,52  (EC  21,3)</v>
      </c>
      <c r="C22" s="384">
        <v>5</v>
      </c>
      <c r="D22" s="385">
        <v>7.18</v>
      </c>
      <c r="E22" s="385">
        <v>2.13</v>
      </c>
      <c r="F22" s="386">
        <v>0.18</v>
      </c>
      <c r="G22" s="385"/>
      <c r="H22" s="386">
        <v>0.42</v>
      </c>
      <c r="I22" s="386">
        <v>459.7</v>
      </c>
      <c r="J22" s="385">
        <v>72.61</v>
      </c>
      <c r="K22" s="385">
        <v>0.22</v>
      </c>
      <c r="L22" s="389">
        <v>362.12121212121207</v>
      </c>
      <c r="M22" s="385"/>
      <c r="N22" s="385">
        <v>2.1800000000000002</v>
      </c>
      <c r="O22" s="385">
        <v>236.55</v>
      </c>
      <c r="P22" s="385">
        <v>124.95</v>
      </c>
      <c r="Q22" s="385">
        <v>34.85</v>
      </c>
      <c r="R22" s="385"/>
      <c r="S22" s="385"/>
      <c r="T22" s="385"/>
      <c r="U22" s="385"/>
      <c r="V22" s="385"/>
    </row>
    <row r="23" spans="1:22" s="15" customFormat="1" x14ac:dyDescent="0.25">
      <c r="A23" s="572">
        <v>800018</v>
      </c>
      <c r="B23" s="383" t="str">
        <f t="shared" si="1"/>
        <v>-20,74/+20,54  (EC  21,7)</v>
      </c>
      <c r="C23" s="384">
        <v>5</v>
      </c>
      <c r="D23" s="385">
        <v>7.3</v>
      </c>
      <c r="E23" s="385">
        <v>2.17</v>
      </c>
      <c r="F23" s="386">
        <v>0.01</v>
      </c>
      <c r="G23" s="385"/>
      <c r="H23" s="386">
        <v>0.28000000000000003</v>
      </c>
      <c r="I23" s="386">
        <v>497.1</v>
      </c>
      <c r="J23" s="385">
        <v>62.04</v>
      </c>
      <c r="K23" s="385">
        <v>0.22</v>
      </c>
      <c r="L23" s="389">
        <v>331.81818181818176</v>
      </c>
      <c r="M23" s="385"/>
      <c r="N23" s="385">
        <v>1.38</v>
      </c>
      <c r="O23" s="385">
        <v>237.82</v>
      </c>
      <c r="P23" s="385">
        <v>144.38</v>
      </c>
      <c r="Q23" s="385">
        <v>35.06</v>
      </c>
      <c r="R23" s="385"/>
      <c r="S23" s="385"/>
      <c r="T23" s="385"/>
      <c r="U23" s="385"/>
      <c r="V23" s="385"/>
    </row>
    <row r="24" spans="1:22" s="15" customFormat="1" x14ac:dyDescent="0.25">
      <c r="A24" s="572">
        <v>800019</v>
      </c>
      <c r="B24" s="383" t="str">
        <f t="shared" si="1"/>
        <v>-11,43/+11,11  (EC  10,7)</v>
      </c>
      <c r="C24" s="384">
        <v>5</v>
      </c>
      <c r="D24" s="385">
        <v>7.35</v>
      </c>
      <c r="E24" s="385">
        <v>1.07</v>
      </c>
      <c r="F24" s="386">
        <v>2.4900000000000002</v>
      </c>
      <c r="G24" s="385"/>
      <c r="H24" s="386">
        <v>0.25</v>
      </c>
      <c r="I24" s="386">
        <v>36.61</v>
      </c>
      <c r="J24" s="385">
        <v>307.60000000000002</v>
      </c>
      <c r="K24" s="385">
        <v>0.22</v>
      </c>
      <c r="L24" s="389">
        <v>240.90909090909093</v>
      </c>
      <c r="M24" s="385"/>
      <c r="N24" s="385">
        <v>4.58</v>
      </c>
      <c r="O24" s="385">
        <v>27.88</v>
      </c>
      <c r="P24" s="385">
        <v>100.95</v>
      </c>
      <c r="Q24" s="385">
        <v>56.59</v>
      </c>
      <c r="R24" s="385">
        <v>1E-4</v>
      </c>
      <c r="S24" s="385">
        <v>1E-4</v>
      </c>
      <c r="T24" s="385">
        <v>0.02</v>
      </c>
      <c r="U24" s="385">
        <v>0.79</v>
      </c>
      <c r="V24" s="385"/>
    </row>
    <row r="25" spans="1:22" s="15" customFormat="1" x14ac:dyDescent="0.25">
      <c r="A25" s="572">
        <v>800020</v>
      </c>
      <c r="B25" s="383" t="str">
        <f t="shared" si="1"/>
        <v>-31,88/+31,06  (EC  31,7)</v>
      </c>
      <c r="C25" s="384">
        <v>5</v>
      </c>
      <c r="D25" s="385">
        <v>7.18</v>
      </c>
      <c r="E25" s="385">
        <v>3.17</v>
      </c>
      <c r="F25" s="386">
        <v>10.07</v>
      </c>
      <c r="G25" s="385"/>
      <c r="H25" s="386">
        <v>0.24</v>
      </c>
      <c r="I25" s="386">
        <v>664.80000000000007</v>
      </c>
      <c r="J25" s="385">
        <v>413.7</v>
      </c>
      <c r="K25" s="385">
        <v>0.22</v>
      </c>
      <c r="L25" s="389">
        <v>266.66666666666669</v>
      </c>
      <c r="M25" s="385"/>
      <c r="N25" s="385">
        <v>3.11</v>
      </c>
      <c r="O25" s="385">
        <v>89.92</v>
      </c>
      <c r="P25" s="385">
        <v>382.5</v>
      </c>
      <c r="Q25" s="385">
        <v>95.19</v>
      </c>
      <c r="R25" s="385">
        <v>1E-4</v>
      </c>
      <c r="S25" s="385">
        <v>1E-4</v>
      </c>
      <c r="T25" s="385">
        <v>1E-4</v>
      </c>
      <c r="U25" s="385">
        <v>0.01</v>
      </c>
      <c r="V25" s="385"/>
    </row>
    <row r="26" spans="1:22" s="15" customFormat="1" x14ac:dyDescent="0.25">
      <c r="A26" s="572">
        <v>800021</v>
      </c>
      <c r="B26" s="383" t="str">
        <f t="shared" si="1"/>
        <v>-94,87/+94,61  (EC  94,5)</v>
      </c>
      <c r="C26" s="384">
        <v>5</v>
      </c>
      <c r="D26" s="385">
        <v>6.99</v>
      </c>
      <c r="E26" s="385">
        <v>9.4499999999999993</v>
      </c>
      <c r="F26" s="386">
        <v>1.67</v>
      </c>
      <c r="G26" s="385"/>
      <c r="H26" s="386">
        <v>0.25</v>
      </c>
      <c r="I26" s="386">
        <v>1727.1000000000001</v>
      </c>
      <c r="J26" s="385">
        <v>1681.6999999999998</v>
      </c>
      <c r="K26" s="385">
        <v>0.22</v>
      </c>
      <c r="L26" s="389">
        <v>680.30303030303025</v>
      </c>
      <c r="M26" s="385"/>
      <c r="N26" s="385">
        <v>25.46</v>
      </c>
      <c r="O26" s="385">
        <v>1129.8599999999999</v>
      </c>
      <c r="P26" s="385">
        <v>379.67</v>
      </c>
      <c r="Q26" s="385">
        <v>309.92</v>
      </c>
      <c r="R26" s="385">
        <v>1E-4</v>
      </c>
      <c r="S26" s="385">
        <v>1E-4</v>
      </c>
      <c r="T26" s="385">
        <v>1E-4</v>
      </c>
      <c r="U26" s="385">
        <v>1E-4</v>
      </c>
      <c r="V26" s="385"/>
    </row>
    <row r="27" spans="1:22" s="15" customFormat="1" x14ac:dyDescent="0.25">
      <c r="A27" s="572">
        <v>800022</v>
      </c>
      <c r="B27" s="383" t="str">
        <f t="shared" si="1"/>
        <v>-20,49/+19,94  (EC  20,6)</v>
      </c>
      <c r="C27" s="384">
        <v>5</v>
      </c>
      <c r="D27" s="385">
        <v>7.2</v>
      </c>
      <c r="E27" s="385">
        <v>2.06</v>
      </c>
      <c r="F27" s="386">
        <v>2.08</v>
      </c>
      <c r="G27" s="385"/>
      <c r="H27" s="386">
        <v>0.23</v>
      </c>
      <c r="I27" s="386">
        <v>256.70000000000005</v>
      </c>
      <c r="J27" s="385">
        <v>457.2</v>
      </c>
      <c r="K27" s="385">
        <v>0.22</v>
      </c>
      <c r="L27" s="389">
        <v>225.75757575757578</v>
      </c>
      <c r="M27" s="385"/>
      <c r="N27" s="385">
        <v>10.99</v>
      </c>
      <c r="O27" s="385">
        <v>108.72</v>
      </c>
      <c r="P27" s="385">
        <v>152.44999999999999</v>
      </c>
      <c r="Q27" s="385">
        <v>87.45</v>
      </c>
      <c r="R27" s="385">
        <v>1E-4</v>
      </c>
      <c r="S27" s="385">
        <v>1E-4</v>
      </c>
      <c r="T27" s="385">
        <v>1E-4</v>
      </c>
      <c r="U27" s="385">
        <v>1E-4</v>
      </c>
      <c r="V27" s="385"/>
    </row>
    <row r="28" spans="1:22" s="15" customFormat="1" x14ac:dyDescent="0.25">
      <c r="A28" s="572">
        <v>800023</v>
      </c>
      <c r="B28" s="383" t="str">
        <f t="shared" si="1"/>
        <v>-20,26/+20,37  (EC  20,4)</v>
      </c>
      <c r="C28" s="384">
        <v>5</v>
      </c>
      <c r="D28" s="385">
        <v>7.06</v>
      </c>
      <c r="E28" s="385">
        <v>2.04</v>
      </c>
      <c r="F28" s="386">
        <v>2.0299999999999998</v>
      </c>
      <c r="G28" s="385"/>
      <c r="H28" s="386">
        <v>0.24</v>
      </c>
      <c r="I28" s="386">
        <v>96.2</v>
      </c>
      <c r="J28" s="385">
        <v>686.9</v>
      </c>
      <c r="K28" s="385">
        <v>0.22</v>
      </c>
      <c r="L28" s="389">
        <v>195.4545454545455</v>
      </c>
      <c r="M28" s="385"/>
      <c r="N28" s="385">
        <v>10.68</v>
      </c>
      <c r="O28" s="385">
        <v>85.08</v>
      </c>
      <c r="P28" s="385">
        <v>169.25</v>
      </c>
      <c r="Q28" s="385">
        <v>94.95</v>
      </c>
      <c r="R28" s="385">
        <v>1E-4</v>
      </c>
      <c r="S28" s="385">
        <v>1E-4</v>
      </c>
      <c r="T28" s="385">
        <v>1E-4</v>
      </c>
      <c r="U28" s="385">
        <v>1E-4</v>
      </c>
      <c r="V28" s="385"/>
    </row>
    <row r="29" spans="1:22" s="15" customFormat="1" x14ac:dyDescent="0.25">
      <c r="A29" s="572">
        <v>800024</v>
      </c>
      <c r="B29" s="383" t="str">
        <f t="shared" si="1"/>
        <v>-19,81/+19,34  (EC  19)</v>
      </c>
      <c r="C29" s="384">
        <v>5</v>
      </c>
      <c r="D29" s="385">
        <v>7.26</v>
      </c>
      <c r="E29" s="385">
        <v>1.9</v>
      </c>
      <c r="F29" s="386">
        <v>2.85</v>
      </c>
      <c r="G29" s="385"/>
      <c r="H29" s="386">
        <v>0.23</v>
      </c>
      <c r="I29" s="386">
        <v>166.4</v>
      </c>
      <c r="J29" s="385">
        <v>506.4</v>
      </c>
      <c r="K29" s="385">
        <v>0.22</v>
      </c>
      <c r="L29" s="389">
        <v>275.75757575757575</v>
      </c>
      <c r="M29" s="385"/>
      <c r="N29" s="385">
        <v>8.39</v>
      </c>
      <c r="O29" s="385">
        <v>82.59</v>
      </c>
      <c r="P29" s="385">
        <v>173.88</v>
      </c>
      <c r="Q29" s="385">
        <v>81.849999999999994</v>
      </c>
      <c r="R29" s="385">
        <v>1E-4</v>
      </c>
      <c r="S29" s="385">
        <v>1E-4</v>
      </c>
      <c r="T29" s="385">
        <v>1E-4</v>
      </c>
      <c r="U29" s="385">
        <v>1E-4</v>
      </c>
      <c r="V29" s="385"/>
    </row>
    <row r="30" spans="1:22" s="15" customFormat="1" x14ac:dyDescent="0.25">
      <c r="A30" s="572">
        <v>800025</v>
      </c>
      <c r="B30" s="383" t="str">
        <f t="shared" si="1"/>
        <v>-20,68/+19,64  (EC  20,6)</v>
      </c>
      <c r="C30" s="384">
        <v>5</v>
      </c>
      <c r="D30" s="385">
        <v>7.32</v>
      </c>
      <c r="E30" s="385">
        <v>2.06</v>
      </c>
      <c r="F30" s="386">
        <v>2.65</v>
      </c>
      <c r="G30" s="385"/>
      <c r="H30" s="386">
        <v>0.24</v>
      </c>
      <c r="I30" s="386">
        <v>117</v>
      </c>
      <c r="J30" s="385">
        <v>634.20000000000005</v>
      </c>
      <c r="K30" s="385">
        <v>0.22</v>
      </c>
      <c r="L30" s="389">
        <v>251.51515151515153</v>
      </c>
      <c r="M30" s="385"/>
      <c r="N30" s="385">
        <v>9.1999999999999993</v>
      </c>
      <c r="O30" s="385">
        <v>75.489999999999995</v>
      </c>
      <c r="P30" s="385">
        <v>175.58</v>
      </c>
      <c r="Q30" s="385">
        <v>87.86</v>
      </c>
      <c r="R30" s="385">
        <v>1E-4</v>
      </c>
      <c r="S30" s="385">
        <v>1E-4</v>
      </c>
      <c r="T30" s="385">
        <v>1E-4</v>
      </c>
      <c r="U30" s="385">
        <v>1E-4</v>
      </c>
      <c r="V30" s="385"/>
    </row>
    <row r="31" spans="1:22" s="15" customFormat="1" x14ac:dyDescent="0.25">
      <c r="A31" s="572">
        <v>800026</v>
      </c>
      <c r="B31" s="383" t="str">
        <f t="shared" si="1"/>
        <v>-20,06/+19,19  (EC  19,9)</v>
      </c>
      <c r="C31" s="384">
        <v>5</v>
      </c>
      <c r="D31" s="385">
        <v>7.31</v>
      </c>
      <c r="E31" s="385">
        <v>1.99</v>
      </c>
      <c r="F31" s="386">
        <v>2.71</v>
      </c>
      <c r="G31" s="385"/>
      <c r="H31" s="386">
        <v>0.24</v>
      </c>
      <c r="I31" s="386">
        <v>171.4</v>
      </c>
      <c r="J31" s="385">
        <v>515.4</v>
      </c>
      <c r="K31" s="385">
        <v>0.22</v>
      </c>
      <c r="L31" s="389">
        <v>271.21212121212119</v>
      </c>
      <c r="M31" s="385"/>
      <c r="N31" s="385">
        <v>8.69</v>
      </c>
      <c r="O31" s="385">
        <v>73.45</v>
      </c>
      <c r="P31" s="385">
        <v>178.76</v>
      </c>
      <c r="Q31" s="385">
        <v>81.86</v>
      </c>
      <c r="R31" s="385">
        <v>1E-4</v>
      </c>
      <c r="S31" s="385">
        <v>1E-4</v>
      </c>
      <c r="T31" s="385">
        <v>1E-4</v>
      </c>
      <c r="U31" s="385">
        <v>1E-4</v>
      </c>
      <c r="V31" s="385"/>
    </row>
    <row r="32" spans="1:22" s="15" customFormat="1" x14ac:dyDescent="0.25">
      <c r="A32" s="572">
        <v>800027</v>
      </c>
      <c r="B32" s="383" t="str">
        <f t="shared" si="1"/>
        <v>-14,65/+14,88  (EC  13,6)</v>
      </c>
      <c r="C32" s="384">
        <v>5</v>
      </c>
      <c r="D32" s="385">
        <v>7.28</v>
      </c>
      <c r="E32" s="385">
        <v>1.36</v>
      </c>
      <c r="F32" s="386">
        <v>4.2699999999999996</v>
      </c>
      <c r="G32" s="385"/>
      <c r="H32" s="386">
        <v>0.24</v>
      </c>
      <c r="I32" s="386">
        <v>211.70000000000002</v>
      </c>
      <c r="J32" s="385">
        <v>235.8</v>
      </c>
      <c r="K32" s="385">
        <v>0.22</v>
      </c>
      <c r="L32" s="389">
        <v>225.75757575757578</v>
      </c>
      <c r="M32" s="385"/>
      <c r="N32" s="385">
        <v>2.12</v>
      </c>
      <c r="O32" s="385">
        <v>59.57</v>
      </c>
      <c r="P32" s="385">
        <v>122.61</v>
      </c>
      <c r="Q32" s="385">
        <v>73.05</v>
      </c>
      <c r="R32" s="385">
        <v>1E-4</v>
      </c>
      <c r="S32" s="385">
        <v>1E-4</v>
      </c>
      <c r="T32" s="385">
        <v>1E-4</v>
      </c>
      <c r="U32" s="385">
        <v>1E-4</v>
      </c>
      <c r="V32" s="385"/>
    </row>
    <row r="33" spans="1:22" s="15" customFormat="1" x14ac:dyDescent="0.25">
      <c r="A33" s="572">
        <v>800028</v>
      </c>
      <c r="B33" s="383" t="str">
        <f t="shared" si="1"/>
        <v>-6,15/+6,03  (EC  5,4)</v>
      </c>
      <c r="C33" s="384">
        <v>5</v>
      </c>
      <c r="D33" s="385">
        <v>7.57</v>
      </c>
      <c r="E33" s="385">
        <v>0.54</v>
      </c>
      <c r="F33" s="386">
        <v>1.79</v>
      </c>
      <c r="G33" s="385"/>
      <c r="H33" s="386">
        <v>0.23</v>
      </c>
      <c r="I33" s="386">
        <v>29.96</v>
      </c>
      <c r="J33" s="385">
        <v>51.61</v>
      </c>
      <c r="K33" s="385">
        <v>0.22</v>
      </c>
      <c r="L33" s="389">
        <v>256.06060606060606</v>
      </c>
      <c r="M33" s="385"/>
      <c r="N33" s="385">
        <v>1.35</v>
      </c>
      <c r="O33" s="385">
        <v>19.73</v>
      </c>
      <c r="P33" s="385">
        <v>58.5</v>
      </c>
      <c r="Q33" s="385">
        <v>26.36</v>
      </c>
      <c r="R33" s="385">
        <v>1E-4</v>
      </c>
      <c r="S33" s="385">
        <v>1E-4</v>
      </c>
      <c r="T33" s="385">
        <v>1E-4</v>
      </c>
      <c r="U33" s="385">
        <v>1E-4</v>
      </c>
      <c r="V33" s="385"/>
    </row>
    <row r="34" spans="1:22" s="15" customFormat="1" x14ac:dyDescent="0.25">
      <c r="A34" s="572">
        <v>800029</v>
      </c>
      <c r="B34" s="383" t="str">
        <f t="shared" si="1"/>
        <v>-24,55/+25,24  (EC  24,5)</v>
      </c>
      <c r="C34" s="384">
        <v>5</v>
      </c>
      <c r="D34" s="385">
        <v>7.66</v>
      </c>
      <c r="E34" s="385">
        <v>2.4500000000000002</v>
      </c>
      <c r="F34" s="386">
        <f>23.41</f>
        <v>23.41</v>
      </c>
      <c r="G34" s="385"/>
      <c r="H34" s="385">
        <v>0.18</v>
      </c>
      <c r="I34" s="386">
        <v>482.36</v>
      </c>
      <c r="J34" s="385">
        <v>132.13999999999999</v>
      </c>
      <c r="K34" s="385">
        <v>0.22</v>
      </c>
      <c r="L34" s="385">
        <f>(20-0.1)*24</f>
        <v>477.59999999999997</v>
      </c>
      <c r="M34" s="385"/>
      <c r="N34" s="385">
        <v>2.67</v>
      </c>
      <c r="O34" s="385">
        <v>207.06</v>
      </c>
      <c r="P34" s="385">
        <v>135.88999999999999</v>
      </c>
      <c r="Q34" s="385">
        <v>112.3</v>
      </c>
      <c r="R34" s="385">
        <v>1E-4</v>
      </c>
      <c r="S34" s="385">
        <v>1E-4</v>
      </c>
      <c r="T34" s="385">
        <v>1E-4</v>
      </c>
      <c r="U34" s="385">
        <v>1E-4</v>
      </c>
      <c r="V34" s="385"/>
    </row>
    <row r="35" spans="1:22" s="15" customFormat="1" x14ac:dyDescent="0.25">
      <c r="A35" s="572">
        <v>800030</v>
      </c>
      <c r="B35" s="383" t="str">
        <f t="shared" si="1"/>
        <v>-42,08/+41,97  (EC  41)</v>
      </c>
      <c r="C35" s="384">
        <v>5</v>
      </c>
      <c r="D35" s="385">
        <v>7.08</v>
      </c>
      <c r="E35" s="385">
        <v>4.0999999999999996</v>
      </c>
      <c r="F35" s="386">
        <v>9.9</v>
      </c>
      <c r="G35" s="385"/>
      <c r="H35" s="386">
        <v>0.24</v>
      </c>
      <c r="I35" s="386">
        <v>1220</v>
      </c>
      <c r="J35" s="385">
        <v>77.34</v>
      </c>
      <c r="K35" s="385">
        <v>0.22</v>
      </c>
      <c r="L35" s="389">
        <v>362.12121212121207</v>
      </c>
      <c r="M35" s="385"/>
      <c r="N35" s="385">
        <v>4.22</v>
      </c>
      <c r="O35" s="385">
        <v>429.11</v>
      </c>
      <c r="P35" s="385">
        <v>183.83</v>
      </c>
      <c r="Q35" s="385">
        <v>167.96</v>
      </c>
      <c r="R35" s="385">
        <v>1E-4</v>
      </c>
      <c r="S35" s="385">
        <v>1E-4</v>
      </c>
      <c r="T35" s="385">
        <v>1E-4</v>
      </c>
      <c r="U35" s="385">
        <v>0.01</v>
      </c>
      <c r="V35" s="385"/>
    </row>
    <row r="36" spans="1:22" s="15" customFormat="1" x14ac:dyDescent="0.25">
      <c r="A36" s="572">
        <v>800031</v>
      </c>
      <c r="B36" s="383" t="str">
        <f t="shared" si="1"/>
        <v>-8,52/+9,18  (EC  8,5)</v>
      </c>
      <c r="C36" s="384">
        <v>5</v>
      </c>
      <c r="D36" s="385">
        <v>7.55</v>
      </c>
      <c r="E36" s="385">
        <v>0.85</v>
      </c>
      <c r="F36" s="386">
        <v>1.06</v>
      </c>
      <c r="G36" s="385"/>
      <c r="H36" s="386">
        <v>0.24</v>
      </c>
      <c r="I36" s="386">
        <v>75.72</v>
      </c>
      <c r="J36" s="385">
        <v>160.30000000000001</v>
      </c>
      <c r="K36" s="385">
        <v>0.22</v>
      </c>
      <c r="L36" s="389">
        <v>184.84848484848484</v>
      </c>
      <c r="M36" s="385"/>
      <c r="N36" s="385">
        <v>2.1800000000000002</v>
      </c>
      <c r="O36" s="385">
        <v>56.29</v>
      </c>
      <c r="P36" s="385">
        <v>61.03</v>
      </c>
      <c r="Q36" s="385">
        <v>43.29</v>
      </c>
      <c r="R36" s="385">
        <v>1E-4</v>
      </c>
      <c r="S36" s="385">
        <v>1E-4</v>
      </c>
      <c r="T36" s="385">
        <v>1E-4</v>
      </c>
      <c r="U36" s="385">
        <v>1E-4</v>
      </c>
      <c r="V36" s="385"/>
    </row>
    <row r="37" spans="1:22" s="15" customFormat="1" x14ac:dyDescent="0.25">
      <c r="A37" s="572">
        <v>800032</v>
      </c>
      <c r="B37" s="383" t="str">
        <f t="shared" si="1"/>
        <v>-0,00/+0,00  (EC  36,4)</v>
      </c>
      <c r="C37" s="384">
        <v>5</v>
      </c>
      <c r="D37" s="385">
        <v>7.84</v>
      </c>
      <c r="E37" s="385">
        <v>3.64</v>
      </c>
      <c r="F37" s="386"/>
      <c r="G37" s="385"/>
      <c r="H37" s="386"/>
      <c r="I37" s="386"/>
      <c r="J37" s="385"/>
      <c r="K37" s="385"/>
      <c r="L37" s="389"/>
      <c r="M37" s="385"/>
      <c r="N37" s="385"/>
      <c r="O37" s="385"/>
      <c r="P37" s="385"/>
      <c r="Q37" s="385"/>
      <c r="R37" s="385"/>
      <c r="S37" s="385"/>
      <c r="T37" s="385"/>
      <c r="U37" s="385"/>
      <c r="V37" s="385"/>
    </row>
    <row r="38" spans="1:22" s="15" customFormat="1" x14ac:dyDescent="0.25">
      <c r="A38" s="572">
        <v>800033</v>
      </c>
      <c r="B38" s="383" t="s">
        <v>113</v>
      </c>
      <c r="C38" s="384" t="s">
        <v>114</v>
      </c>
      <c r="D38" s="385">
        <v>7.75</v>
      </c>
      <c r="E38" s="385">
        <v>1.9</v>
      </c>
      <c r="F38" s="386">
        <v>0.8</v>
      </c>
      <c r="G38" s="385"/>
      <c r="H38" s="386">
        <v>0.49</v>
      </c>
      <c r="I38" s="386">
        <v>378.7</v>
      </c>
      <c r="J38" s="385">
        <v>21.34</v>
      </c>
      <c r="K38" s="385">
        <v>0.22</v>
      </c>
      <c r="L38" s="385">
        <v>580.79999999999995</v>
      </c>
      <c r="M38" s="385"/>
      <c r="N38" s="385">
        <v>1.0900000000000001</v>
      </c>
      <c r="O38" s="385">
        <v>258.02</v>
      </c>
      <c r="P38" s="385">
        <v>89.82</v>
      </c>
      <c r="Q38" s="385">
        <v>48.19</v>
      </c>
      <c r="R38" s="385">
        <v>1E-4</v>
      </c>
      <c r="S38" s="385">
        <v>0.1</v>
      </c>
      <c r="T38" s="385">
        <v>1E-4</v>
      </c>
      <c r="U38" s="385">
        <v>0.01</v>
      </c>
      <c r="V38" s="385"/>
    </row>
    <row r="39" spans="1:22" s="15" customFormat="1" x14ac:dyDescent="0.25">
      <c r="A39" s="572">
        <v>800034</v>
      </c>
      <c r="B39" s="383" t="s">
        <v>115</v>
      </c>
      <c r="C39" s="384" t="s">
        <v>114</v>
      </c>
      <c r="D39" s="385">
        <v>7.25</v>
      </c>
      <c r="E39" s="385">
        <v>1.8</v>
      </c>
      <c r="F39" s="386">
        <v>6.4</v>
      </c>
      <c r="G39" s="385"/>
      <c r="H39" s="386">
        <v>0.43</v>
      </c>
      <c r="I39" s="386">
        <v>246.7</v>
      </c>
      <c r="J39" s="385">
        <v>88.75</v>
      </c>
      <c r="K39" s="385">
        <v>0.22</v>
      </c>
      <c r="L39" s="385">
        <v>578.4</v>
      </c>
      <c r="M39" s="385"/>
      <c r="N39" s="385">
        <v>1.71</v>
      </c>
      <c r="O39" s="385">
        <v>218.26</v>
      </c>
      <c r="P39" s="385">
        <v>77.77</v>
      </c>
      <c r="Q39" s="385">
        <v>65.77</v>
      </c>
      <c r="R39" s="385">
        <v>0.01</v>
      </c>
      <c r="S39" s="385">
        <v>1E-4</v>
      </c>
      <c r="T39" s="385">
        <v>1E-4</v>
      </c>
      <c r="U39" s="385">
        <v>0.04</v>
      </c>
      <c r="V39" s="385"/>
    </row>
    <row r="40" spans="1:22" s="15" customFormat="1" x14ac:dyDescent="0.25">
      <c r="A40" s="572">
        <v>800035</v>
      </c>
      <c r="B40" s="383" t="s">
        <v>116</v>
      </c>
      <c r="C40" s="384" t="s">
        <v>114</v>
      </c>
      <c r="D40" s="385">
        <v>7.47</v>
      </c>
      <c r="E40" s="385">
        <v>1.46</v>
      </c>
      <c r="F40" s="386">
        <v>27.1</v>
      </c>
      <c r="G40" s="385"/>
      <c r="H40" s="386">
        <v>0.12</v>
      </c>
      <c r="I40" s="386">
        <v>226.09</v>
      </c>
      <c r="J40" s="385">
        <v>54.36</v>
      </c>
      <c r="K40" s="385">
        <v>0.22</v>
      </c>
      <c r="L40" s="385">
        <v>357.6</v>
      </c>
      <c r="M40" s="385"/>
      <c r="N40" s="385">
        <v>2.08</v>
      </c>
      <c r="O40" s="385">
        <v>170.05</v>
      </c>
      <c r="P40" s="385">
        <v>63.07</v>
      </c>
      <c r="Q40" s="385">
        <v>44.43</v>
      </c>
      <c r="R40" s="385">
        <v>1E-4</v>
      </c>
      <c r="S40" s="385">
        <v>1E-4</v>
      </c>
      <c r="T40" s="385">
        <v>1E-4</v>
      </c>
      <c r="U40" s="385">
        <v>0.01</v>
      </c>
      <c r="V40" s="385"/>
    </row>
    <row r="41" spans="1:22" s="15" customFormat="1" x14ac:dyDescent="0.25">
      <c r="A41" s="572">
        <v>800036</v>
      </c>
      <c r="B41" s="383" t="s">
        <v>117</v>
      </c>
      <c r="C41" s="384" t="s">
        <v>114</v>
      </c>
      <c r="D41" s="385">
        <v>7.64</v>
      </c>
      <c r="E41" s="385">
        <v>1.42</v>
      </c>
      <c r="F41" s="386">
        <v>28.9</v>
      </c>
      <c r="G41" s="385"/>
      <c r="H41" s="386">
        <v>0.15</v>
      </c>
      <c r="I41" s="386">
        <v>199.64</v>
      </c>
      <c r="J41" s="385">
        <v>51.06</v>
      </c>
      <c r="K41" s="385">
        <v>0.22</v>
      </c>
      <c r="L41" s="385">
        <v>367.2</v>
      </c>
      <c r="M41" s="385"/>
      <c r="N41" s="385">
        <v>1.99</v>
      </c>
      <c r="O41" s="385">
        <v>168.95</v>
      </c>
      <c r="P41" s="385">
        <v>59.39</v>
      </c>
      <c r="Q41" s="385">
        <v>42.44</v>
      </c>
      <c r="R41" s="385">
        <v>1E-4</v>
      </c>
      <c r="S41" s="385">
        <v>1E-4</v>
      </c>
      <c r="T41" s="385">
        <v>1E-4</v>
      </c>
      <c r="U41" s="385">
        <v>0.01</v>
      </c>
      <c r="V41" s="385"/>
    </row>
    <row r="42" spans="1:22" s="15" customFormat="1" x14ac:dyDescent="0.25">
      <c r="A42" s="572">
        <v>800037</v>
      </c>
      <c r="B42" s="383" t="s">
        <v>118</v>
      </c>
      <c r="C42" s="384" t="s">
        <v>114</v>
      </c>
      <c r="D42" s="385">
        <v>7.6</v>
      </c>
      <c r="E42" s="385">
        <v>0.55000000000000004</v>
      </c>
      <c r="F42" s="386">
        <v>28</v>
      </c>
      <c r="G42" s="385"/>
      <c r="H42" s="386">
        <v>0.09</v>
      </c>
      <c r="I42" s="386">
        <v>28.5</v>
      </c>
      <c r="J42" s="385">
        <v>19.579999999999998</v>
      </c>
      <c r="K42" s="385">
        <v>0.22</v>
      </c>
      <c r="L42" s="385">
        <v>180.96</v>
      </c>
      <c r="M42" s="385"/>
      <c r="N42" s="385">
        <v>0.71</v>
      </c>
      <c r="O42" s="385">
        <v>18.25</v>
      </c>
      <c r="P42" s="385">
        <v>62.17</v>
      </c>
      <c r="Q42" s="385">
        <v>16.75</v>
      </c>
      <c r="R42" s="385">
        <v>1E-4</v>
      </c>
      <c r="S42" s="385">
        <v>1E-4</v>
      </c>
      <c r="T42" s="385">
        <v>1E-4</v>
      </c>
      <c r="U42" s="385">
        <v>1E-4</v>
      </c>
      <c r="V42" s="385"/>
    </row>
    <row r="43" spans="1:22" s="15" customFormat="1" x14ac:dyDescent="0.25">
      <c r="A43" s="572">
        <v>800041</v>
      </c>
      <c r="B43" s="383" t="str">
        <f t="shared" ref="B43:B106" si="2">"-"&amp;TEXT((F43/62+G43/46+I43/35.5+J43/48+K43/97+L43/61),"0,00")&amp;"/+"&amp;TEXT((N43/39+O43/23+P43/20+Q43/12+H43/14),"0,00")&amp;"  (EC  "&amp;E43*10&amp;")"</f>
        <v>-0,82/+0,77  (EC  0,7)</v>
      </c>
      <c r="C43" s="384">
        <v>5</v>
      </c>
      <c r="D43" s="385">
        <v>6.5</v>
      </c>
      <c r="E43" s="385">
        <v>7.0000000000000007E-2</v>
      </c>
      <c r="F43" s="386">
        <v>4.07</v>
      </c>
      <c r="G43" s="385"/>
      <c r="H43" s="386">
        <v>0.15456</v>
      </c>
      <c r="I43" s="386">
        <v>0.18</v>
      </c>
      <c r="J43" s="386">
        <v>9.57</v>
      </c>
      <c r="K43" s="386">
        <v>0.22</v>
      </c>
      <c r="L43" s="387">
        <v>33.599999999999994</v>
      </c>
      <c r="M43" s="385"/>
      <c r="N43" s="385">
        <v>3.52</v>
      </c>
      <c r="O43" s="385">
        <v>6.02</v>
      </c>
      <c r="P43" s="385">
        <v>5.16</v>
      </c>
      <c r="Q43" s="385">
        <v>1.83</v>
      </c>
      <c r="R43" s="385">
        <v>1E-4</v>
      </c>
      <c r="S43" s="385">
        <v>1E-4</v>
      </c>
      <c r="T43" s="385">
        <v>0.11</v>
      </c>
      <c r="U43" s="385">
        <v>0.01</v>
      </c>
      <c r="V43" s="385"/>
    </row>
    <row r="44" spans="1:22" s="15" customFormat="1" x14ac:dyDescent="0.25">
      <c r="A44" s="572">
        <v>800042</v>
      </c>
      <c r="B44" s="383" t="str">
        <f t="shared" si="2"/>
        <v>-86,67/+86,73  (EC  86)</v>
      </c>
      <c r="C44" s="384">
        <v>5</v>
      </c>
      <c r="D44" s="385">
        <v>6.43</v>
      </c>
      <c r="E44" s="385">
        <v>8.6</v>
      </c>
      <c r="F44" s="386">
        <v>107.4</v>
      </c>
      <c r="G44" s="385"/>
      <c r="H44" s="386">
        <v>2.8336000000000001</v>
      </c>
      <c r="I44" s="386">
        <v>2305.8000000000002</v>
      </c>
      <c r="J44" s="387">
        <v>366.4</v>
      </c>
      <c r="K44" s="386">
        <v>0.22</v>
      </c>
      <c r="L44" s="389">
        <v>753.59999999999991</v>
      </c>
      <c r="M44" s="385"/>
      <c r="N44" s="385">
        <v>21.44</v>
      </c>
      <c r="O44" s="385">
        <v>1571.89</v>
      </c>
      <c r="P44" s="385">
        <v>234.22</v>
      </c>
      <c r="Q44" s="385">
        <v>71.13</v>
      </c>
      <c r="R44" s="385">
        <v>1E-4</v>
      </c>
      <c r="S44" s="385">
        <v>1E-4</v>
      </c>
      <c r="T44" s="385">
        <v>0.05</v>
      </c>
      <c r="U44" s="385">
        <v>0.04</v>
      </c>
      <c r="V44" s="385"/>
    </row>
    <row r="45" spans="1:22" s="15" customFormat="1" x14ac:dyDescent="0.25">
      <c r="A45" s="572">
        <v>800043</v>
      </c>
      <c r="B45" s="383" t="str">
        <f t="shared" si="2"/>
        <v>-16,98/+16,98  (EC  15,6)</v>
      </c>
      <c r="C45" s="384">
        <v>5</v>
      </c>
      <c r="D45" s="385">
        <v>6.91</v>
      </c>
      <c r="E45" s="385">
        <v>1.56</v>
      </c>
      <c r="F45" s="386">
        <v>9.11</v>
      </c>
      <c r="G45" s="385"/>
      <c r="H45" s="386">
        <v>0.15456</v>
      </c>
      <c r="I45" s="386">
        <v>194.35</v>
      </c>
      <c r="J45" s="387">
        <v>305.2</v>
      </c>
      <c r="K45" s="386">
        <v>0.22</v>
      </c>
      <c r="L45" s="389">
        <v>304.8</v>
      </c>
      <c r="M45" s="385"/>
      <c r="N45" s="385">
        <v>2.9847999999999999</v>
      </c>
      <c r="O45" s="385">
        <v>92.59</v>
      </c>
      <c r="P45" s="385">
        <v>177.59899999999999</v>
      </c>
      <c r="Q45" s="385">
        <v>47.83</v>
      </c>
      <c r="R45" s="385">
        <v>0.01</v>
      </c>
      <c r="S45" s="385">
        <v>1E-4</v>
      </c>
      <c r="T45" s="385">
        <v>0.03</v>
      </c>
      <c r="U45" s="385">
        <v>0.01</v>
      </c>
      <c r="V45" s="385"/>
    </row>
    <row r="46" spans="1:22" s="15" customFormat="1" x14ac:dyDescent="0.25">
      <c r="A46" s="572">
        <v>800044</v>
      </c>
      <c r="B46" s="383" t="str">
        <f t="shared" si="2"/>
        <v>-13,12/+11,34  (EC  12)</v>
      </c>
      <c r="C46" s="384">
        <v>5</v>
      </c>
      <c r="D46" s="385">
        <v>7.32</v>
      </c>
      <c r="E46" s="385">
        <v>1.2</v>
      </c>
      <c r="F46" s="386">
        <v>18</v>
      </c>
      <c r="G46" s="385"/>
      <c r="H46" s="386">
        <v>0.16744000000000001</v>
      </c>
      <c r="I46" s="386">
        <v>37.409999999999997</v>
      </c>
      <c r="J46" s="387">
        <v>321.39999999999998</v>
      </c>
      <c r="K46" s="386">
        <v>0.22</v>
      </c>
      <c r="L46" s="389">
        <v>309.60000000000002</v>
      </c>
      <c r="M46" s="385"/>
      <c r="N46" s="385">
        <v>1.5961000000000001</v>
      </c>
      <c r="O46" s="385">
        <v>37.06</v>
      </c>
      <c r="P46" s="385">
        <v>88.632999999999996</v>
      </c>
      <c r="Q46" s="385">
        <v>62.87</v>
      </c>
      <c r="R46" s="385">
        <v>0.01</v>
      </c>
      <c r="S46" s="385">
        <v>1E-4</v>
      </c>
      <c r="T46" s="385">
        <v>1E-4</v>
      </c>
      <c r="U46" s="385">
        <v>7.0000000000000007E-2</v>
      </c>
      <c r="V46" s="385"/>
    </row>
    <row r="47" spans="1:22" s="15" customFormat="1" x14ac:dyDescent="0.25">
      <c r="A47" s="572">
        <v>800045</v>
      </c>
      <c r="B47" s="383" t="str">
        <f t="shared" si="2"/>
        <v>-8,72/+9,32  (EC  8,4)</v>
      </c>
      <c r="C47" s="384">
        <v>5</v>
      </c>
      <c r="D47" s="385">
        <v>7.36</v>
      </c>
      <c r="E47" s="385">
        <v>0.84</v>
      </c>
      <c r="F47" s="386">
        <v>22.07</v>
      </c>
      <c r="G47" s="385"/>
      <c r="H47" s="386">
        <v>0.15456</v>
      </c>
      <c r="I47" s="386">
        <v>49.2</v>
      </c>
      <c r="J47" s="387">
        <v>99.01</v>
      </c>
      <c r="K47" s="386">
        <v>0.22</v>
      </c>
      <c r="L47" s="389">
        <v>300</v>
      </c>
      <c r="M47" s="385"/>
      <c r="N47" s="385">
        <v>1.5537000000000001</v>
      </c>
      <c r="O47" s="385">
        <v>36.64</v>
      </c>
      <c r="P47" s="385">
        <v>76.415999999999997</v>
      </c>
      <c r="Q47" s="385">
        <v>46.3</v>
      </c>
      <c r="R47" s="385">
        <v>1E-4</v>
      </c>
      <c r="S47" s="385">
        <v>1E-4</v>
      </c>
      <c r="T47" s="385">
        <v>1E-4</v>
      </c>
      <c r="U47" s="385">
        <v>1E-4</v>
      </c>
      <c r="V47" s="385"/>
    </row>
    <row r="48" spans="1:22" s="15" customFormat="1" ht="17.100000000000001" customHeight="1" x14ac:dyDescent="0.25">
      <c r="A48" s="572">
        <v>800038</v>
      </c>
      <c r="B48" s="383" t="str">
        <f t="shared" si="2"/>
        <v>-5,18/+4,72  (EC  5,4)</v>
      </c>
      <c r="C48" s="384">
        <v>5</v>
      </c>
      <c r="D48" s="385">
        <v>7.79</v>
      </c>
      <c r="E48" s="385">
        <v>0.54</v>
      </c>
      <c r="F48" s="386">
        <v>17.350000000000001</v>
      </c>
      <c r="G48" s="385"/>
      <c r="H48" s="386">
        <f>0.06*1.288</f>
        <v>7.7280000000000001E-2</v>
      </c>
      <c r="I48" s="386">
        <v>19.940000000000001</v>
      </c>
      <c r="J48" s="385">
        <v>32.65</v>
      </c>
      <c r="K48" s="385">
        <v>0.22</v>
      </c>
      <c r="L48" s="385">
        <f>(9.4-0.1)*24</f>
        <v>223.20000000000002</v>
      </c>
      <c r="M48" s="385"/>
      <c r="N48" s="385">
        <v>1.1599999999999999</v>
      </c>
      <c r="O48" s="385">
        <v>19.059999999999999</v>
      </c>
      <c r="P48" s="385">
        <v>49.57</v>
      </c>
      <c r="Q48" s="385">
        <v>16.5</v>
      </c>
      <c r="R48" s="385">
        <v>1E-4</v>
      </c>
      <c r="S48" s="385">
        <v>1E-4</v>
      </c>
      <c r="T48" s="385">
        <v>1E-4</v>
      </c>
      <c r="U48" s="385">
        <v>1E-4</v>
      </c>
      <c r="V48" s="385"/>
    </row>
    <row r="49" spans="1:22" s="15" customFormat="1" x14ac:dyDescent="0.25">
      <c r="A49" s="572">
        <v>800039</v>
      </c>
      <c r="B49" s="383" t="str">
        <f t="shared" si="2"/>
        <v>-2,27/+2,19  (EC  1,9)</v>
      </c>
      <c r="C49" s="384">
        <v>5</v>
      </c>
      <c r="D49" s="385">
        <v>7.16</v>
      </c>
      <c r="E49" s="385">
        <v>0.19</v>
      </c>
      <c r="F49" s="386">
        <v>2.91</v>
      </c>
      <c r="G49" s="385"/>
      <c r="H49" s="386">
        <f>0.08*1.288</f>
        <v>0.10304000000000001</v>
      </c>
      <c r="I49" s="386">
        <v>0.01</v>
      </c>
      <c r="J49" s="385">
        <v>10.119999999999999</v>
      </c>
      <c r="K49" s="385">
        <v>0.22</v>
      </c>
      <c r="L49" s="385">
        <f>(5.2-0.1)*24</f>
        <v>122.4</v>
      </c>
      <c r="M49" s="385"/>
      <c r="N49" s="385">
        <v>1.41</v>
      </c>
      <c r="O49" s="385">
        <v>4.9400000000000004</v>
      </c>
      <c r="P49" s="385">
        <v>28.28</v>
      </c>
      <c r="Q49" s="385">
        <v>6.18</v>
      </c>
      <c r="R49" s="385">
        <v>1E-4</v>
      </c>
      <c r="S49" s="385">
        <v>1E-4</v>
      </c>
      <c r="T49" s="385">
        <v>1E-4</v>
      </c>
      <c r="U49" s="385">
        <v>1E-4</v>
      </c>
      <c r="V49" s="385"/>
    </row>
    <row r="50" spans="1:22" s="15" customFormat="1" x14ac:dyDescent="0.25">
      <c r="A50" s="572">
        <v>800040</v>
      </c>
      <c r="B50" s="383" t="str">
        <f t="shared" si="2"/>
        <v>-0,92/+0,65  (EC  0,6)</v>
      </c>
      <c r="C50" s="384">
        <v>5</v>
      </c>
      <c r="D50" s="385">
        <v>6.35</v>
      </c>
      <c r="E50" s="385">
        <v>0.06</v>
      </c>
      <c r="F50" s="386">
        <v>5.6</v>
      </c>
      <c r="G50" s="385"/>
      <c r="H50" s="386">
        <f>0.15*1.288</f>
        <v>0.19320000000000001</v>
      </c>
      <c r="I50" s="386">
        <v>3.37</v>
      </c>
      <c r="J50" s="385">
        <v>12.29</v>
      </c>
      <c r="K50" s="385">
        <v>0.22</v>
      </c>
      <c r="L50" s="385">
        <f>(1.3-0.1)*24</f>
        <v>28.799999999999997</v>
      </c>
      <c r="M50" s="385"/>
      <c r="N50" s="385">
        <v>3.68</v>
      </c>
      <c r="O50" s="385">
        <v>3.65</v>
      </c>
      <c r="P50" s="385">
        <v>5.37</v>
      </c>
      <c r="Q50" s="385">
        <v>1.34</v>
      </c>
      <c r="R50" s="385">
        <v>1E-4</v>
      </c>
      <c r="S50" s="385">
        <v>1E-4</v>
      </c>
      <c r="T50" s="385">
        <v>1E-4</v>
      </c>
      <c r="U50" s="385">
        <v>0.14000000000000001</v>
      </c>
      <c r="V50" s="385"/>
    </row>
    <row r="51" spans="1:22" s="15" customFormat="1" x14ac:dyDescent="0.25">
      <c r="A51" s="572">
        <v>800046</v>
      </c>
      <c r="B51" s="383" t="str">
        <f t="shared" si="2"/>
        <v>-9,21/+9,99  (EC  9,9)</v>
      </c>
      <c r="C51" s="384">
        <v>5</v>
      </c>
      <c r="D51" s="385">
        <v>7.19</v>
      </c>
      <c r="E51" s="385">
        <v>0.99</v>
      </c>
      <c r="F51" s="386">
        <v>18.149999999999999</v>
      </c>
      <c r="G51" s="385"/>
      <c r="H51" s="386">
        <f>0.2*1.288</f>
        <v>0.2576</v>
      </c>
      <c r="I51" s="386">
        <v>120.85</v>
      </c>
      <c r="J51" s="385">
        <v>24.5</v>
      </c>
      <c r="K51" s="385">
        <v>0.22</v>
      </c>
      <c r="L51" s="385">
        <f>(12.8-0.1)*24</f>
        <v>304.8</v>
      </c>
      <c r="M51" s="385"/>
      <c r="N51" s="385">
        <v>0.34</v>
      </c>
      <c r="O51" s="385">
        <v>53.71</v>
      </c>
      <c r="P51" s="385">
        <v>94.37</v>
      </c>
      <c r="Q51" s="385">
        <v>34.85</v>
      </c>
      <c r="R51" s="385">
        <v>1E-4</v>
      </c>
      <c r="S51" s="385">
        <v>1E-4</v>
      </c>
      <c r="T51" s="385">
        <v>1E-4</v>
      </c>
      <c r="U51" s="385">
        <v>1E-4</v>
      </c>
      <c r="V51" s="385"/>
    </row>
    <row r="52" spans="1:22" s="15" customFormat="1" x14ac:dyDescent="0.25">
      <c r="A52" s="572">
        <v>800047</v>
      </c>
      <c r="B52" s="383" t="str">
        <f t="shared" si="2"/>
        <v>-17,40/+18,99  (EC  17,8)</v>
      </c>
      <c r="C52" s="384">
        <v>5</v>
      </c>
      <c r="D52" s="385">
        <v>7.17</v>
      </c>
      <c r="E52" s="385">
        <v>1.78</v>
      </c>
      <c r="F52" s="386">
        <v>21.08</v>
      </c>
      <c r="G52" s="385"/>
      <c r="H52" s="386">
        <f>1.288*0.2</f>
        <v>0.2576</v>
      </c>
      <c r="I52" s="386">
        <v>276.13</v>
      </c>
      <c r="J52" s="385">
        <v>139.55000000000001</v>
      </c>
      <c r="K52" s="385">
        <v>0.22</v>
      </c>
      <c r="L52" s="385">
        <f>(16.3-0.1)*24</f>
        <v>388.79999999999995</v>
      </c>
      <c r="M52" s="385"/>
      <c r="N52" s="385">
        <v>2.41</v>
      </c>
      <c r="O52" s="385">
        <v>242.41</v>
      </c>
      <c r="P52" s="385">
        <v>70.42</v>
      </c>
      <c r="Q52" s="385">
        <v>58.16</v>
      </c>
      <c r="R52" s="385">
        <v>1E-4</v>
      </c>
      <c r="S52" s="385">
        <v>1E-4</v>
      </c>
      <c r="T52" s="385">
        <v>1E-4</v>
      </c>
      <c r="U52" s="385">
        <v>1E-4</v>
      </c>
      <c r="V52" s="385"/>
    </row>
    <row r="53" spans="1:22" s="15" customFormat="1" x14ac:dyDescent="0.25">
      <c r="A53" s="572">
        <v>800048</v>
      </c>
      <c r="B53" s="383" t="str">
        <f t="shared" si="2"/>
        <v>-35,03/+36,55  (EC  35,3)</v>
      </c>
      <c r="C53" s="384">
        <v>5</v>
      </c>
      <c r="D53" s="386">
        <v>7</v>
      </c>
      <c r="E53" s="385">
        <v>3.53</v>
      </c>
      <c r="F53" s="386">
        <v>23.11</v>
      </c>
      <c r="G53" s="385"/>
      <c r="H53" s="386">
        <f>1.288*0.2</f>
        <v>0.2576</v>
      </c>
      <c r="I53" s="386">
        <f>43.87*20</f>
        <v>877.4</v>
      </c>
      <c r="J53" s="385">
        <f>11.49*20</f>
        <v>229.8</v>
      </c>
      <c r="K53" s="385">
        <v>0.22</v>
      </c>
      <c r="L53" s="385">
        <f>(13.2-0.1)*24</f>
        <v>314.39999999999998</v>
      </c>
      <c r="M53" s="385"/>
      <c r="N53" s="385">
        <v>3.7</v>
      </c>
      <c r="O53" s="385">
        <v>336.75</v>
      </c>
      <c r="P53" s="385">
        <v>179.16</v>
      </c>
      <c r="Q53" s="385">
        <v>154.02000000000001</v>
      </c>
      <c r="R53" s="385">
        <v>1E-4</v>
      </c>
      <c r="S53" s="385">
        <v>1E-4</v>
      </c>
      <c r="T53" s="385">
        <v>1E-4</v>
      </c>
      <c r="U53" s="385">
        <v>1E-4</v>
      </c>
      <c r="V53" s="385"/>
    </row>
    <row r="54" spans="1:22" s="15" customFormat="1" x14ac:dyDescent="0.25">
      <c r="A54" s="572">
        <v>800049</v>
      </c>
      <c r="B54" s="383" t="str">
        <f t="shared" si="2"/>
        <v>-5,87/+6,17  (EC  6,1)</v>
      </c>
      <c r="C54" s="384">
        <v>5</v>
      </c>
      <c r="D54" s="385">
        <v>7.76</v>
      </c>
      <c r="E54" s="385">
        <v>0.61</v>
      </c>
      <c r="F54" s="386">
        <v>4.68</v>
      </c>
      <c r="G54" s="385"/>
      <c r="H54" s="386">
        <f>0.21*1.288</f>
        <v>0.27048</v>
      </c>
      <c r="I54" s="386">
        <v>78.27</v>
      </c>
      <c r="J54" s="385">
        <v>27.01</v>
      </c>
      <c r="K54" s="385">
        <v>0.22</v>
      </c>
      <c r="L54" s="385">
        <f>(7.8-0.1)*24</f>
        <v>184.8</v>
      </c>
      <c r="M54" s="385"/>
      <c r="N54" s="385">
        <v>2.54</v>
      </c>
      <c r="O54" s="385">
        <v>41.08</v>
      </c>
      <c r="P54" s="385">
        <v>47.96</v>
      </c>
      <c r="Q54" s="385">
        <v>22.83</v>
      </c>
      <c r="R54" s="385">
        <v>1E-4</v>
      </c>
      <c r="S54" s="385">
        <v>1E-4</v>
      </c>
      <c r="T54" s="385">
        <v>1E-4</v>
      </c>
      <c r="U54" s="385">
        <v>1E-4</v>
      </c>
      <c r="V54" s="385"/>
    </row>
    <row r="55" spans="1:22" s="15" customFormat="1" x14ac:dyDescent="0.25">
      <c r="A55" s="572">
        <v>800050</v>
      </c>
      <c r="B55" s="383" t="str">
        <f t="shared" si="2"/>
        <v>-7,89/+8,82  (EC  7,9)</v>
      </c>
      <c r="C55" s="384">
        <v>5</v>
      </c>
      <c r="D55" s="385">
        <v>7.13</v>
      </c>
      <c r="E55" s="385">
        <v>0.79</v>
      </c>
      <c r="F55" s="386">
        <v>10.96</v>
      </c>
      <c r="G55" s="385"/>
      <c r="H55" s="386">
        <f>0.21*1.288</f>
        <v>0.27048</v>
      </c>
      <c r="I55" s="386">
        <v>47.39</v>
      </c>
      <c r="J55" s="385">
        <v>28.4</v>
      </c>
      <c r="K55" s="385">
        <v>0.22</v>
      </c>
      <c r="L55" s="385">
        <f>(14.8-0.1)*24</f>
        <v>352.8</v>
      </c>
      <c r="M55" s="385"/>
      <c r="N55" s="385">
        <v>1.9</v>
      </c>
      <c r="O55" s="385">
        <v>20.71</v>
      </c>
      <c r="P55" s="385">
        <v>79.790000000000006</v>
      </c>
      <c r="Q55" s="385">
        <v>46.36</v>
      </c>
      <c r="R55" s="385">
        <v>0.14000000000000001</v>
      </c>
      <c r="S55" s="385">
        <v>1E-4</v>
      </c>
      <c r="T55" s="385">
        <v>0.01</v>
      </c>
      <c r="U55" s="385">
        <v>0.03</v>
      </c>
      <c r="V55" s="385"/>
    </row>
    <row r="56" spans="1:22" s="15" customFormat="1" x14ac:dyDescent="0.25">
      <c r="A56" s="572">
        <v>800051</v>
      </c>
      <c r="B56" s="383" t="str">
        <f t="shared" si="2"/>
        <v>-14,94/+13,38  (EC  13)</v>
      </c>
      <c r="C56" s="384">
        <v>5</v>
      </c>
      <c r="D56" s="385">
        <v>7.37</v>
      </c>
      <c r="E56" s="385">
        <v>1.3</v>
      </c>
      <c r="F56" s="386">
        <v>30.8</v>
      </c>
      <c r="G56" s="385"/>
      <c r="H56" s="385">
        <v>0.23</v>
      </c>
      <c r="I56" s="386">
        <v>275.2</v>
      </c>
      <c r="J56" s="385">
        <v>48.93</v>
      </c>
      <c r="K56" s="385">
        <v>0.22</v>
      </c>
      <c r="L56" s="385">
        <v>345.6</v>
      </c>
      <c r="M56" s="385"/>
      <c r="N56" s="385">
        <v>2.82</v>
      </c>
      <c r="O56" s="385">
        <v>56.67</v>
      </c>
      <c r="P56" s="385">
        <v>95.97</v>
      </c>
      <c r="Q56" s="385">
        <v>72.349999999999994</v>
      </c>
      <c r="R56" s="385">
        <v>1E-4</v>
      </c>
      <c r="S56" s="385">
        <v>1E-4</v>
      </c>
      <c r="T56" s="385">
        <v>0.02</v>
      </c>
      <c r="U56" s="385">
        <v>0.01</v>
      </c>
      <c r="V56" s="385"/>
    </row>
    <row r="57" spans="1:22" s="15" customFormat="1" x14ac:dyDescent="0.25">
      <c r="A57" s="572">
        <v>800054</v>
      </c>
      <c r="B57" s="383" t="str">
        <f t="shared" si="2"/>
        <v>-12,90/+13,14  (EC  12,1)</v>
      </c>
      <c r="C57" s="384">
        <v>5</v>
      </c>
      <c r="D57" s="385">
        <v>7.38</v>
      </c>
      <c r="E57" s="385">
        <v>1.21</v>
      </c>
      <c r="F57" s="386">
        <v>36.800000000000004</v>
      </c>
      <c r="G57" s="385"/>
      <c r="H57" s="385">
        <v>0.23</v>
      </c>
      <c r="I57" s="386">
        <v>152.34</v>
      </c>
      <c r="J57" s="385">
        <v>49.5</v>
      </c>
      <c r="K57" s="385">
        <v>0.22</v>
      </c>
      <c r="L57" s="385">
        <v>425.6</v>
      </c>
      <c r="M57" s="385"/>
      <c r="N57" s="385">
        <v>2.2799999999999998</v>
      </c>
      <c r="O57" s="385">
        <v>146.93</v>
      </c>
      <c r="P57" s="385">
        <v>58.46</v>
      </c>
      <c r="Q57" s="385">
        <v>45.04</v>
      </c>
      <c r="R57" s="385">
        <v>0.01</v>
      </c>
      <c r="S57" s="385">
        <v>1E-4</v>
      </c>
      <c r="T57" s="385">
        <v>0.02</v>
      </c>
      <c r="U57" s="385">
        <v>0.01</v>
      </c>
      <c r="V57" s="385"/>
    </row>
    <row r="58" spans="1:22" s="15" customFormat="1" x14ac:dyDescent="0.25">
      <c r="A58" s="572">
        <v>800055</v>
      </c>
      <c r="B58" s="383" t="str">
        <f t="shared" si="2"/>
        <v>-23,95/+24,18  (EC  23,3)</v>
      </c>
      <c r="C58" s="384">
        <v>5</v>
      </c>
      <c r="D58" s="385">
        <v>7.4</v>
      </c>
      <c r="E58" s="385">
        <v>2.33</v>
      </c>
      <c r="F58" s="386">
        <v>79</v>
      </c>
      <c r="G58" s="385"/>
      <c r="H58" s="385">
        <v>0.23</v>
      </c>
      <c r="I58" s="386">
        <v>454.4</v>
      </c>
      <c r="J58" s="385">
        <v>275.39999999999998</v>
      </c>
      <c r="K58" s="385">
        <v>0.22</v>
      </c>
      <c r="L58" s="385">
        <v>252</v>
      </c>
      <c r="M58" s="385"/>
      <c r="N58" s="385">
        <v>5.26</v>
      </c>
      <c r="O58" s="385">
        <v>372.49</v>
      </c>
      <c r="P58" s="385">
        <v>69.36</v>
      </c>
      <c r="Q58" s="385">
        <v>52.36</v>
      </c>
      <c r="R58" s="385">
        <v>1.1000000000000001</v>
      </c>
      <c r="S58" s="385">
        <v>1E-4</v>
      </c>
      <c r="T58" s="385">
        <v>0.03</v>
      </c>
      <c r="U58" s="385">
        <v>0.01</v>
      </c>
      <c r="V58" s="385"/>
    </row>
    <row r="59" spans="1:22" s="15" customFormat="1" x14ac:dyDescent="0.25">
      <c r="A59" s="572">
        <v>800056</v>
      </c>
      <c r="B59" s="383" t="str">
        <f t="shared" si="2"/>
        <v>-25,06/+24,03  (EC  24)</v>
      </c>
      <c r="C59" s="384">
        <v>5</v>
      </c>
      <c r="D59" s="385">
        <v>7.24</v>
      </c>
      <c r="E59" s="385">
        <v>2.4</v>
      </c>
      <c r="F59" s="386">
        <v>70.8</v>
      </c>
      <c r="G59" s="385"/>
      <c r="H59" s="385">
        <v>0.22</v>
      </c>
      <c r="I59" s="386">
        <v>454.20000000000005</v>
      </c>
      <c r="J59" s="385">
        <v>265.79999999999995</v>
      </c>
      <c r="K59" s="385">
        <v>0.22</v>
      </c>
      <c r="L59" s="385">
        <v>340.8</v>
      </c>
      <c r="M59" s="385"/>
      <c r="N59" s="385">
        <v>3.28</v>
      </c>
      <c r="O59" s="385">
        <v>315.27</v>
      </c>
      <c r="P59" s="385">
        <v>85.51</v>
      </c>
      <c r="Q59" s="385">
        <v>71.37</v>
      </c>
      <c r="R59" s="385">
        <v>0.61</v>
      </c>
      <c r="S59" s="385">
        <v>1E-4</v>
      </c>
      <c r="T59" s="385">
        <v>0.01</v>
      </c>
      <c r="U59" s="385">
        <v>1E-4</v>
      </c>
      <c r="V59" s="385"/>
    </row>
    <row r="60" spans="1:22" s="15" customFormat="1" x14ac:dyDescent="0.25">
      <c r="A60" s="572">
        <v>800057</v>
      </c>
      <c r="B60" s="383" t="str">
        <f t="shared" si="2"/>
        <v>-123,35/+138,74  (EC  135,1)</v>
      </c>
      <c r="C60" s="384">
        <v>5</v>
      </c>
      <c r="D60" s="385">
        <v>6.79</v>
      </c>
      <c r="E60" s="385">
        <v>13.51</v>
      </c>
      <c r="F60" s="386">
        <v>36</v>
      </c>
      <c r="G60" s="385"/>
      <c r="H60" s="385">
        <v>0.23</v>
      </c>
      <c r="I60" s="386">
        <v>2701.2</v>
      </c>
      <c r="J60" s="385">
        <v>354</v>
      </c>
      <c r="K60" s="385">
        <v>0.22</v>
      </c>
      <c r="L60" s="385">
        <v>2397.6000000000004</v>
      </c>
      <c r="M60" s="385"/>
      <c r="N60" s="385">
        <v>12.8</v>
      </c>
      <c r="O60" s="385">
        <v>1677.16</v>
      </c>
      <c r="P60" s="385">
        <v>536.54</v>
      </c>
      <c r="Q60" s="385">
        <v>463.84</v>
      </c>
      <c r="R60" s="385">
        <v>0.23</v>
      </c>
      <c r="S60" s="385">
        <v>0.05</v>
      </c>
      <c r="T60" s="385">
        <v>9.9999999999999995E-8</v>
      </c>
      <c r="U60" s="385">
        <v>1E-4</v>
      </c>
      <c r="V60" s="385"/>
    </row>
    <row r="61" spans="1:22" s="15" customFormat="1" x14ac:dyDescent="0.25">
      <c r="A61" s="572">
        <v>800058</v>
      </c>
      <c r="B61" s="383" t="str">
        <f t="shared" si="2"/>
        <v>-7,69/+8,03  (EC  7)</v>
      </c>
      <c r="C61" s="384">
        <v>5</v>
      </c>
      <c r="D61" s="385">
        <v>7.27</v>
      </c>
      <c r="E61" s="385">
        <v>0.7</v>
      </c>
      <c r="F61" s="386">
        <v>6</v>
      </c>
      <c r="G61" s="385"/>
      <c r="H61" s="385">
        <v>0.24</v>
      </c>
      <c r="I61" s="386">
        <v>35.04</v>
      </c>
      <c r="J61" s="385">
        <v>31.6</v>
      </c>
      <c r="K61" s="385">
        <v>0.22</v>
      </c>
      <c r="L61" s="385">
        <v>362.4</v>
      </c>
      <c r="M61" s="385"/>
      <c r="N61" s="385">
        <v>1.85</v>
      </c>
      <c r="O61" s="385">
        <v>33.19</v>
      </c>
      <c r="P61" s="385">
        <v>66.5</v>
      </c>
      <c r="Q61" s="385">
        <v>38.39</v>
      </c>
      <c r="R61" s="385"/>
      <c r="S61" s="385"/>
      <c r="T61" s="385"/>
      <c r="U61" s="385"/>
      <c r="V61" s="385"/>
    </row>
    <row r="62" spans="1:22" s="15" customFormat="1" x14ac:dyDescent="0.25">
      <c r="A62" s="572">
        <v>800059</v>
      </c>
      <c r="B62" s="383" t="str">
        <f t="shared" si="2"/>
        <v>-7,79/+8,31  (EC  6,8)</v>
      </c>
      <c r="C62" s="384">
        <v>5</v>
      </c>
      <c r="D62" s="385">
        <v>7.29</v>
      </c>
      <c r="E62" s="385">
        <v>0.68</v>
      </c>
      <c r="F62" s="386">
        <v>11.6</v>
      </c>
      <c r="G62" s="385"/>
      <c r="H62" s="385">
        <v>0.22</v>
      </c>
      <c r="I62" s="386">
        <v>12.16</v>
      </c>
      <c r="J62" s="385">
        <v>74.42</v>
      </c>
      <c r="K62" s="385">
        <v>0.22</v>
      </c>
      <c r="L62" s="385">
        <v>348</v>
      </c>
      <c r="M62" s="385"/>
      <c r="N62" s="385">
        <v>1.81</v>
      </c>
      <c r="O62" s="385">
        <v>6.63</v>
      </c>
      <c r="P62" s="385">
        <v>107.73</v>
      </c>
      <c r="Q62" s="385">
        <v>30.85</v>
      </c>
      <c r="R62" s="385"/>
      <c r="S62" s="385"/>
      <c r="T62" s="385"/>
      <c r="U62" s="385"/>
      <c r="V62" s="385"/>
    </row>
    <row r="63" spans="1:22" s="15" customFormat="1" x14ac:dyDescent="0.25">
      <c r="A63" s="572">
        <v>800060</v>
      </c>
      <c r="B63" s="383" t="str">
        <f t="shared" si="2"/>
        <v>-19,13/+20,37  (EC  19,8)</v>
      </c>
      <c r="C63" s="384">
        <v>5</v>
      </c>
      <c r="D63" s="385">
        <v>7.23</v>
      </c>
      <c r="E63" s="385">
        <v>1.98</v>
      </c>
      <c r="F63" s="386">
        <v>224.60000000000002</v>
      </c>
      <c r="G63" s="385"/>
      <c r="H63" s="385">
        <v>1.1100000000000001</v>
      </c>
      <c r="I63" s="386">
        <v>136.03</v>
      </c>
      <c r="J63" s="385">
        <v>89.96</v>
      </c>
      <c r="K63" s="385">
        <v>0.22</v>
      </c>
      <c r="L63" s="385">
        <v>597.59999999999991</v>
      </c>
      <c r="M63" s="385"/>
      <c r="N63" s="385">
        <v>0.6</v>
      </c>
      <c r="O63" s="385">
        <v>57.2</v>
      </c>
      <c r="P63" s="385">
        <v>329.48</v>
      </c>
      <c r="Q63" s="385">
        <v>15.78</v>
      </c>
      <c r="R63" s="385"/>
      <c r="S63" s="385"/>
      <c r="T63" s="385"/>
      <c r="U63" s="385"/>
      <c r="V63" s="385"/>
    </row>
    <row r="64" spans="1:22" s="15" customFormat="1" x14ac:dyDescent="0.25">
      <c r="A64" s="572">
        <v>800061</v>
      </c>
      <c r="B64" s="383" t="str">
        <f t="shared" si="2"/>
        <v>-39,17/+40,87  (EC  40,2)</v>
      </c>
      <c r="C64" s="384">
        <v>5</v>
      </c>
      <c r="D64" s="385">
        <v>6.9</v>
      </c>
      <c r="E64" s="385">
        <v>4.0199999999999996</v>
      </c>
      <c r="F64" s="386">
        <v>227.8</v>
      </c>
      <c r="G64" s="385"/>
      <c r="H64" s="385">
        <v>0.39</v>
      </c>
      <c r="I64" s="386">
        <v>770.6</v>
      </c>
      <c r="J64" s="385">
        <v>238.6</v>
      </c>
      <c r="K64" s="385">
        <v>0.22</v>
      </c>
      <c r="L64" s="385">
        <v>537.6</v>
      </c>
      <c r="M64" s="385"/>
      <c r="N64" s="385">
        <v>2.88</v>
      </c>
      <c r="O64" s="385">
        <v>320.2</v>
      </c>
      <c r="P64" s="385">
        <v>169.64</v>
      </c>
      <c r="Q64" s="385">
        <v>220.33</v>
      </c>
      <c r="R64" s="385"/>
      <c r="S64" s="385"/>
      <c r="T64" s="385"/>
      <c r="U64" s="385"/>
      <c r="V64" s="385"/>
    </row>
    <row r="65" spans="1:22" s="15" customFormat="1" x14ac:dyDescent="0.25">
      <c r="A65" s="572">
        <v>800062</v>
      </c>
      <c r="B65" s="383" t="str">
        <f t="shared" si="2"/>
        <v>-17,07/+18,20  (EC  17)</v>
      </c>
      <c r="C65" s="384">
        <v>5</v>
      </c>
      <c r="D65" s="385">
        <v>7.26</v>
      </c>
      <c r="E65" s="385">
        <v>1.7</v>
      </c>
      <c r="F65" s="386">
        <v>174</v>
      </c>
      <c r="G65" s="385"/>
      <c r="H65" s="385">
        <v>0.43</v>
      </c>
      <c r="I65" s="386">
        <v>114.45</v>
      </c>
      <c r="J65" s="385">
        <v>78.599999999999994</v>
      </c>
      <c r="K65" s="385">
        <v>0.22</v>
      </c>
      <c r="L65" s="385">
        <v>573.59999999999991</v>
      </c>
      <c r="M65" s="385"/>
      <c r="N65" s="385">
        <v>0.7</v>
      </c>
      <c r="O65" s="385">
        <v>44.29</v>
      </c>
      <c r="P65" s="385">
        <v>306.58999999999997</v>
      </c>
      <c r="Q65" s="385">
        <v>10.8</v>
      </c>
      <c r="R65" s="385"/>
      <c r="S65" s="385"/>
      <c r="T65" s="385"/>
      <c r="U65" s="385"/>
      <c r="V65" s="385"/>
    </row>
    <row r="66" spans="1:22" s="15" customFormat="1" x14ac:dyDescent="0.25">
      <c r="A66" s="572">
        <v>800063</v>
      </c>
      <c r="B66" s="383" t="str">
        <f t="shared" si="2"/>
        <v>-16,52/+14,57  (EC  15,4)</v>
      </c>
      <c r="C66" s="384">
        <v>5</v>
      </c>
      <c r="D66" s="385">
        <v>7.3</v>
      </c>
      <c r="E66" s="385">
        <v>1.54</v>
      </c>
      <c r="F66" s="386">
        <v>155.80000000000001</v>
      </c>
      <c r="G66" s="385"/>
      <c r="H66" s="385">
        <v>0.59</v>
      </c>
      <c r="I66" s="386">
        <v>176.41</v>
      </c>
      <c r="J66" s="385">
        <v>256.39999999999998</v>
      </c>
      <c r="K66" s="385">
        <v>0.22</v>
      </c>
      <c r="L66" s="385">
        <v>225.60000000000002</v>
      </c>
      <c r="M66" s="385"/>
      <c r="N66" s="385">
        <v>0.82</v>
      </c>
      <c r="O66" s="385">
        <v>90.71</v>
      </c>
      <c r="P66" s="385">
        <v>115.85</v>
      </c>
      <c r="Q66" s="385">
        <v>57.21</v>
      </c>
      <c r="R66" s="385"/>
      <c r="S66" s="385"/>
      <c r="T66" s="385"/>
      <c r="U66" s="385"/>
      <c r="V66" s="385"/>
    </row>
    <row r="67" spans="1:22" s="15" customFormat="1" x14ac:dyDescent="0.25">
      <c r="A67" s="572">
        <v>800064</v>
      </c>
      <c r="B67" s="383" t="str">
        <f t="shared" si="2"/>
        <v>-14,23/+15,26  (EC  16,6)</v>
      </c>
      <c r="C67" s="384">
        <v>5</v>
      </c>
      <c r="D67" s="385">
        <v>7.26</v>
      </c>
      <c r="E67" s="385">
        <v>1.66</v>
      </c>
      <c r="F67" s="386">
        <v>208.6</v>
      </c>
      <c r="G67" s="385"/>
      <c r="H67" s="385">
        <v>0.77</v>
      </c>
      <c r="I67" s="386">
        <v>106.6</v>
      </c>
      <c r="J67" s="385">
        <v>260</v>
      </c>
      <c r="K67" s="385">
        <v>0.22</v>
      </c>
      <c r="L67" s="385">
        <v>148.80000000000001</v>
      </c>
      <c r="M67" s="385"/>
      <c r="N67" s="385">
        <v>1.48</v>
      </c>
      <c r="O67" s="385">
        <v>96.75</v>
      </c>
      <c r="P67" s="385">
        <v>119.9</v>
      </c>
      <c r="Q67" s="385">
        <v>59.54</v>
      </c>
      <c r="R67" s="385"/>
      <c r="S67" s="385"/>
      <c r="T67" s="385"/>
      <c r="U67" s="385"/>
      <c r="V67" s="385"/>
    </row>
    <row r="68" spans="1:22" s="15" customFormat="1" x14ac:dyDescent="0.25">
      <c r="A68" s="572">
        <v>800065</v>
      </c>
      <c r="B68" s="383" t="str">
        <f t="shared" si="2"/>
        <v>-17,58/+18,26  (EC  17,3)</v>
      </c>
      <c r="C68" s="384">
        <v>5</v>
      </c>
      <c r="D68" s="385">
        <v>7.22</v>
      </c>
      <c r="E68" s="385">
        <v>1.73</v>
      </c>
      <c r="F68" s="386">
        <v>77</v>
      </c>
      <c r="G68" s="385"/>
      <c r="H68" s="385">
        <v>0.3</v>
      </c>
      <c r="I68" s="386">
        <v>282.2</v>
      </c>
      <c r="J68" s="385">
        <v>215.39999999999998</v>
      </c>
      <c r="K68" s="385">
        <v>0.22</v>
      </c>
      <c r="L68" s="385">
        <v>237.60000000000002</v>
      </c>
      <c r="M68" s="385"/>
      <c r="N68" s="385">
        <v>1.1100000000000001</v>
      </c>
      <c r="O68" s="385">
        <v>277.33999999999997</v>
      </c>
      <c r="P68" s="385">
        <v>84.75</v>
      </c>
      <c r="Q68" s="385">
        <v>23</v>
      </c>
      <c r="R68" s="385"/>
      <c r="S68" s="385"/>
      <c r="T68" s="385"/>
      <c r="U68" s="385"/>
      <c r="V68" s="385"/>
    </row>
    <row r="69" spans="1:22" s="15" customFormat="1" x14ac:dyDescent="0.25">
      <c r="A69" s="572">
        <v>800066</v>
      </c>
      <c r="B69" s="383" t="str">
        <f t="shared" si="2"/>
        <v>-6,36/+6,24  (EC  6)</v>
      </c>
      <c r="C69" s="384">
        <v>5</v>
      </c>
      <c r="D69" s="385">
        <v>7.39</v>
      </c>
      <c r="E69" s="385">
        <v>0.6</v>
      </c>
      <c r="F69" s="386">
        <v>102.8</v>
      </c>
      <c r="G69" s="385"/>
      <c r="H69" s="385">
        <v>0.32</v>
      </c>
      <c r="I69" s="386">
        <v>46.99</v>
      </c>
      <c r="J69" s="385">
        <v>22.38</v>
      </c>
      <c r="K69" s="385">
        <v>0.22</v>
      </c>
      <c r="L69" s="385">
        <v>177.60000000000002</v>
      </c>
      <c r="M69" s="385"/>
      <c r="N69" s="385">
        <v>0.78</v>
      </c>
      <c r="O69" s="385">
        <v>27.41</v>
      </c>
      <c r="P69" s="385">
        <v>90.94</v>
      </c>
      <c r="Q69" s="385">
        <v>5.45</v>
      </c>
      <c r="R69" s="385"/>
      <c r="S69" s="385"/>
      <c r="T69" s="385"/>
      <c r="U69" s="385"/>
      <c r="V69" s="385"/>
    </row>
    <row r="70" spans="1:22" s="15" customFormat="1" x14ac:dyDescent="0.25">
      <c r="A70" s="572">
        <v>800071</v>
      </c>
      <c r="B70" s="383" t="str">
        <f t="shared" si="2"/>
        <v>-12,84/+13,36  (EC  12)</v>
      </c>
      <c r="C70" s="384">
        <v>6.9</v>
      </c>
      <c r="D70" s="385">
        <v>7.35</v>
      </c>
      <c r="E70" s="386">
        <v>1.2</v>
      </c>
      <c r="F70" s="386">
        <v>17.82</v>
      </c>
      <c r="G70" s="385"/>
      <c r="H70" s="386">
        <v>0.55384</v>
      </c>
      <c r="I70" s="386">
        <v>68.03</v>
      </c>
      <c r="J70" s="385">
        <v>40.11</v>
      </c>
      <c r="K70" s="385">
        <v>0.22</v>
      </c>
      <c r="L70" s="385">
        <f>(25-0.1)*24</f>
        <v>597.59999999999991</v>
      </c>
      <c r="M70" s="385"/>
      <c r="N70" s="385">
        <v>4.05</v>
      </c>
      <c r="O70" s="385">
        <v>49.06</v>
      </c>
      <c r="P70" s="385">
        <v>207.68</v>
      </c>
      <c r="Q70" s="385">
        <v>8.4499999999999993</v>
      </c>
      <c r="R70" s="385"/>
      <c r="S70" s="385"/>
      <c r="T70" s="385"/>
      <c r="U70" s="385"/>
      <c r="V70" s="385"/>
    </row>
    <row r="71" spans="1:22" s="15" customFormat="1" x14ac:dyDescent="0.25">
      <c r="A71" s="572">
        <v>800072</v>
      </c>
      <c r="B71" s="383" t="str">
        <f t="shared" si="2"/>
        <v>-4,96/+5,85  (EC  5,75)</v>
      </c>
      <c r="C71" s="384">
        <v>6.9</v>
      </c>
      <c r="D71" s="385">
        <v>7.65</v>
      </c>
      <c r="E71" s="386">
        <v>0.57499999999999996</v>
      </c>
      <c r="F71" s="386">
        <v>7.08</v>
      </c>
      <c r="G71" s="385"/>
      <c r="H71" s="386">
        <v>0.81144000000000005</v>
      </c>
      <c r="I71" s="386">
        <v>27.14</v>
      </c>
      <c r="J71" s="385">
        <v>8.83</v>
      </c>
      <c r="K71" s="385">
        <v>0.22</v>
      </c>
      <c r="L71" s="385">
        <f>(10-0.1)*24</f>
        <v>237.60000000000002</v>
      </c>
      <c r="M71" s="385"/>
      <c r="N71" s="385">
        <v>2.65</v>
      </c>
      <c r="O71" s="385">
        <v>36.33</v>
      </c>
      <c r="P71" s="385">
        <v>69.2</v>
      </c>
      <c r="Q71" s="385">
        <v>8.18</v>
      </c>
      <c r="R71" s="385"/>
      <c r="S71" s="385"/>
      <c r="T71" s="385"/>
      <c r="U71" s="385"/>
      <c r="V71" s="385"/>
    </row>
    <row r="72" spans="1:22" s="15" customFormat="1" x14ac:dyDescent="0.25">
      <c r="A72" s="572">
        <v>800073</v>
      </c>
      <c r="B72" s="383" t="str">
        <f t="shared" si="2"/>
        <v>-4,07/+5,83  (EC  5,72)</v>
      </c>
      <c r="C72" s="384">
        <v>6.9</v>
      </c>
      <c r="D72" s="385">
        <v>7.72</v>
      </c>
      <c r="E72" s="386">
        <v>0.57199999999999995</v>
      </c>
      <c r="F72" s="386">
        <v>4.2699999999999996</v>
      </c>
      <c r="G72" s="385"/>
      <c r="H72" s="386">
        <v>0.99176000000000009</v>
      </c>
      <c r="I72" s="386">
        <v>27.79</v>
      </c>
      <c r="J72" s="385">
        <v>12.69</v>
      </c>
      <c r="K72" s="385">
        <v>0.22</v>
      </c>
      <c r="L72" s="385">
        <f>(7.6-0.1)*24</f>
        <v>180</v>
      </c>
      <c r="M72" s="385"/>
      <c r="N72" s="385">
        <v>2.59</v>
      </c>
      <c r="O72" s="385">
        <v>36.15</v>
      </c>
      <c r="P72" s="385">
        <v>68.33</v>
      </c>
      <c r="Q72" s="385">
        <v>8.4700000000000006</v>
      </c>
      <c r="R72" s="385"/>
      <c r="S72" s="385"/>
      <c r="T72" s="385"/>
      <c r="U72" s="385"/>
      <c r="V72" s="385"/>
    </row>
    <row r="73" spans="1:22" s="15" customFormat="1" x14ac:dyDescent="0.25">
      <c r="A73" s="572">
        <v>800074</v>
      </c>
      <c r="B73" s="383" t="str">
        <f t="shared" si="2"/>
        <v>-17,03/+18,45  (EC  17,34)</v>
      </c>
      <c r="C73" s="384">
        <v>6.9</v>
      </c>
      <c r="D73" s="385">
        <v>7.54</v>
      </c>
      <c r="E73" s="386">
        <v>1.734</v>
      </c>
      <c r="F73" s="386">
        <v>18.11</v>
      </c>
      <c r="G73" s="385"/>
      <c r="H73" s="386">
        <v>0.56672</v>
      </c>
      <c r="I73" s="386">
        <v>138.80000000000001</v>
      </c>
      <c r="J73" s="385">
        <v>71.760000000000005</v>
      </c>
      <c r="K73" s="385">
        <v>0.22</v>
      </c>
      <c r="L73" s="385">
        <f>(28.9-0.1)*24</f>
        <v>691.19999999999993</v>
      </c>
      <c r="M73" s="385"/>
      <c r="N73" s="385">
        <v>0.26</v>
      </c>
      <c r="O73" s="385">
        <v>57.6</v>
      </c>
      <c r="P73" s="385">
        <v>305.14999999999998</v>
      </c>
      <c r="Q73" s="385">
        <v>7.66</v>
      </c>
      <c r="R73" s="385"/>
      <c r="S73" s="385"/>
      <c r="T73" s="385"/>
      <c r="U73" s="385"/>
      <c r="V73" s="385"/>
    </row>
    <row r="74" spans="1:22" s="15" customFormat="1" x14ac:dyDescent="0.25">
      <c r="A74" s="572">
        <v>800075</v>
      </c>
      <c r="B74" s="383" t="str">
        <f t="shared" si="2"/>
        <v>-10,10/+12,32  (EC  11,3)</v>
      </c>
      <c r="C74" s="384">
        <v>6.9</v>
      </c>
      <c r="D74" s="385">
        <v>7.68</v>
      </c>
      <c r="E74" s="386">
        <v>1.1299999999999999</v>
      </c>
      <c r="F74" s="386">
        <v>18.02</v>
      </c>
      <c r="G74" s="385"/>
      <c r="H74" s="386">
        <v>0.59248000000000001</v>
      </c>
      <c r="I74" s="386">
        <v>59.22</v>
      </c>
      <c r="J74" s="385">
        <v>105.66</v>
      </c>
      <c r="K74" s="385">
        <v>0.22</v>
      </c>
      <c r="L74" s="385">
        <f>(15.2-0.1)*24</f>
        <v>362.4</v>
      </c>
      <c r="M74" s="385"/>
      <c r="N74" s="385">
        <v>1.39</v>
      </c>
      <c r="O74" s="385">
        <v>57.88</v>
      </c>
      <c r="P74" s="385">
        <v>179.54</v>
      </c>
      <c r="Q74" s="385">
        <v>9.01</v>
      </c>
      <c r="R74" s="385"/>
      <c r="S74" s="385"/>
      <c r="T74" s="385"/>
      <c r="U74" s="385"/>
      <c r="V74" s="385"/>
    </row>
    <row r="75" spans="1:22" s="15" customFormat="1" x14ac:dyDescent="0.25">
      <c r="A75" s="572">
        <v>800076</v>
      </c>
      <c r="B75" s="383" t="str">
        <f t="shared" si="2"/>
        <v>-12,42/+12,15  (EC  12,35)</v>
      </c>
      <c r="C75" s="384">
        <v>6.9</v>
      </c>
      <c r="D75" s="385">
        <v>7.8</v>
      </c>
      <c r="E75" s="386">
        <v>1.2350000000000001</v>
      </c>
      <c r="F75" s="386">
        <v>11.51</v>
      </c>
      <c r="G75" s="385"/>
      <c r="H75" s="386">
        <v>0.5796</v>
      </c>
      <c r="I75" s="386">
        <v>252.31</v>
      </c>
      <c r="J75" s="385">
        <v>134.44999999999999</v>
      </c>
      <c r="K75" s="385">
        <v>0.22</v>
      </c>
      <c r="L75" s="385">
        <f>(6-0.1)*24</f>
        <v>141.60000000000002</v>
      </c>
      <c r="M75" s="385"/>
      <c r="N75" s="385">
        <v>2.46</v>
      </c>
      <c r="O75" s="385">
        <v>77.58</v>
      </c>
      <c r="P75" s="385">
        <v>77.58</v>
      </c>
      <c r="Q75" s="385">
        <v>57.55</v>
      </c>
      <c r="R75" s="385">
        <v>1E-4</v>
      </c>
      <c r="S75" s="385">
        <v>1E-4</v>
      </c>
      <c r="T75" s="385">
        <v>1E-4</v>
      </c>
      <c r="U75" s="385">
        <v>1E-4</v>
      </c>
      <c r="V75" s="385"/>
    </row>
    <row r="76" spans="1:22" s="15" customFormat="1" x14ac:dyDescent="0.25">
      <c r="A76" s="572">
        <v>800077</v>
      </c>
      <c r="B76" s="383" t="str">
        <f t="shared" si="2"/>
        <v>-30,49/+32,79  (EC  31,3)</v>
      </c>
      <c r="C76" s="384">
        <v>6.9</v>
      </c>
      <c r="D76" s="385">
        <v>7.9</v>
      </c>
      <c r="E76" s="386">
        <v>3.13</v>
      </c>
      <c r="F76" s="386">
        <v>4.21</v>
      </c>
      <c r="G76" s="385"/>
      <c r="H76" s="386">
        <v>0.56672</v>
      </c>
      <c r="I76" s="386">
        <v>529.13</v>
      </c>
      <c r="J76" s="385">
        <v>176.17</v>
      </c>
      <c r="K76" s="385">
        <v>0.22</v>
      </c>
      <c r="L76" s="385">
        <f>(30.2-0.1)*24</f>
        <v>722.4</v>
      </c>
      <c r="M76" s="385"/>
      <c r="N76" s="385">
        <v>6.52</v>
      </c>
      <c r="O76" s="385">
        <v>383.91</v>
      </c>
      <c r="P76" s="385">
        <v>166.65</v>
      </c>
      <c r="Q76" s="385">
        <v>90.69</v>
      </c>
      <c r="R76" s="385"/>
      <c r="S76" s="385"/>
      <c r="T76" s="385"/>
      <c r="U76" s="385"/>
      <c r="V76" s="385"/>
    </row>
    <row r="77" spans="1:22" s="15" customFormat="1" x14ac:dyDescent="0.25">
      <c r="A77" s="572">
        <v>800078</v>
      </c>
      <c r="B77" s="383" t="str">
        <f>"-"&amp;TEXT((F77/62+G77/46+I77/35.5+J77/48+K77/97+L77/61),"0,00")&amp;"/+"&amp;TEXT((N77/39+O77/23+P77/20+Q77/12+H77/14),"0,00")&amp;"  (EC  "&amp;E77*10&amp;")"</f>
        <v>-83,69/+84,15  (EC  82)</v>
      </c>
      <c r="C77" s="384">
        <v>6.9</v>
      </c>
      <c r="D77" s="385">
        <v>7.34</v>
      </c>
      <c r="E77" s="386">
        <v>8.1999999999999993</v>
      </c>
      <c r="F77" s="386">
        <v>4.7300000000000004</v>
      </c>
      <c r="G77" s="385"/>
      <c r="H77" s="386">
        <v>0.5796</v>
      </c>
      <c r="I77" s="386">
        <v>2335.14</v>
      </c>
      <c r="J77" s="385">
        <v>480.03</v>
      </c>
      <c r="K77" s="385">
        <v>0.22</v>
      </c>
      <c r="L77" s="385">
        <f>(20-0.1)*24</f>
        <v>477.59999999999997</v>
      </c>
      <c r="M77" s="385"/>
      <c r="N77" s="385">
        <v>10.72</v>
      </c>
      <c r="O77" s="385">
        <v>1070.3499999999999</v>
      </c>
      <c r="P77" s="385">
        <v>393.44</v>
      </c>
      <c r="Q77" s="385">
        <v>211.47</v>
      </c>
      <c r="R77" s="385"/>
      <c r="S77" s="385"/>
      <c r="T77" s="385"/>
      <c r="U77" s="385"/>
      <c r="V77" s="385"/>
    </row>
    <row r="78" spans="1:22" s="15" customFormat="1" x14ac:dyDescent="0.25">
      <c r="A78" s="572">
        <v>800079</v>
      </c>
      <c r="B78" s="383" t="str">
        <f t="shared" si="2"/>
        <v>-6,88/+7,89  (EC  7,07)</v>
      </c>
      <c r="C78" s="384">
        <v>6.9</v>
      </c>
      <c r="D78" s="385">
        <v>8.0299999999999994</v>
      </c>
      <c r="E78" s="386">
        <v>0.70699999999999996</v>
      </c>
      <c r="F78" s="386">
        <v>2.73</v>
      </c>
      <c r="G78" s="385"/>
      <c r="H78" s="386">
        <v>0.48944000000000004</v>
      </c>
      <c r="I78" s="386">
        <v>38.380000000000003</v>
      </c>
      <c r="J78" s="385">
        <v>28.94</v>
      </c>
      <c r="K78" s="385">
        <v>0.22</v>
      </c>
      <c r="L78" s="385">
        <f>(13.2-0.1)*24</f>
        <v>314.39999999999998</v>
      </c>
      <c r="M78" s="385"/>
      <c r="N78" s="385">
        <v>1.52</v>
      </c>
      <c r="O78" s="385">
        <v>19.41</v>
      </c>
      <c r="P78" s="385">
        <v>64.37</v>
      </c>
      <c r="Q78" s="385">
        <v>45.03</v>
      </c>
      <c r="R78" s="385"/>
      <c r="S78" s="385"/>
      <c r="T78" s="385"/>
      <c r="U78" s="385"/>
      <c r="V78" s="385"/>
    </row>
    <row r="79" spans="1:22" s="15" customFormat="1" x14ac:dyDescent="0.25">
      <c r="A79" s="572">
        <v>800080</v>
      </c>
      <c r="B79" s="383" t="str">
        <f t="shared" si="2"/>
        <v>-5,01/+6,48  (EC  5,85)</v>
      </c>
      <c r="C79" s="384">
        <v>6.9</v>
      </c>
      <c r="D79" s="385">
        <v>7.47</v>
      </c>
      <c r="E79" s="386">
        <v>0.58499999999999996</v>
      </c>
      <c r="F79" s="386">
        <v>2.19</v>
      </c>
      <c r="G79" s="385"/>
      <c r="H79" s="386">
        <v>0.55384</v>
      </c>
      <c r="I79" s="386">
        <v>12.28</v>
      </c>
      <c r="J79" s="385">
        <v>91.84</v>
      </c>
      <c r="K79" s="385">
        <v>0.22</v>
      </c>
      <c r="L79" s="385">
        <f>(7-0.1)*24</f>
        <v>165.60000000000002</v>
      </c>
      <c r="M79" s="385"/>
      <c r="N79" s="385">
        <v>0.95</v>
      </c>
      <c r="O79" s="385">
        <v>19.16</v>
      </c>
      <c r="P79" s="385">
        <v>76.849999999999994</v>
      </c>
      <c r="Q79" s="385">
        <v>20.89</v>
      </c>
      <c r="R79" s="385">
        <v>1E-4</v>
      </c>
      <c r="S79" s="385">
        <v>2.5999999999999999E-2</v>
      </c>
      <c r="T79" s="385">
        <v>1E-4</v>
      </c>
      <c r="U79" s="385">
        <v>1E-4</v>
      </c>
      <c r="V79" s="385"/>
    </row>
    <row r="80" spans="1:22" s="15" customFormat="1" x14ac:dyDescent="0.25">
      <c r="A80" s="572">
        <v>800067</v>
      </c>
      <c r="B80" s="383" t="str">
        <f t="shared" si="2"/>
        <v>-14,33/+16,97  (EC  14,1)</v>
      </c>
      <c r="C80" s="384">
        <v>6.9</v>
      </c>
      <c r="D80" s="385">
        <v>7.58</v>
      </c>
      <c r="E80" s="385">
        <v>1.41</v>
      </c>
      <c r="F80" s="386">
        <v>20.82</v>
      </c>
      <c r="G80" s="385"/>
      <c r="H80" s="385">
        <v>0.17</v>
      </c>
      <c r="I80" s="386">
        <v>169.33</v>
      </c>
      <c r="J80" s="385">
        <v>104.64</v>
      </c>
      <c r="K80" s="385">
        <v>0.22</v>
      </c>
      <c r="L80" s="385">
        <f>(18-0.1)*24</f>
        <v>429.59999999999997</v>
      </c>
      <c r="M80" s="385"/>
      <c r="N80" s="385">
        <v>2.19</v>
      </c>
      <c r="O80" s="385">
        <v>231.14</v>
      </c>
      <c r="P80" s="385">
        <v>62.68</v>
      </c>
      <c r="Q80" s="385">
        <v>44.64</v>
      </c>
      <c r="R80" s="385">
        <v>1E-4</v>
      </c>
      <c r="S80" s="385">
        <v>1E-4</v>
      </c>
      <c r="T80" s="385">
        <v>1E-4</v>
      </c>
      <c r="U80" s="385">
        <v>1E-4</v>
      </c>
      <c r="V80" s="385"/>
    </row>
    <row r="81" spans="1:22" s="15" customFormat="1" x14ac:dyDescent="0.25">
      <c r="A81" s="572">
        <v>800068</v>
      </c>
      <c r="B81" s="383" t="str">
        <f t="shared" si="2"/>
        <v>-22,34/+24,06  (EC  22,7)</v>
      </c>
      <c r="C81" s="384">
        <v>6.9</v>
      </c>
      <c r="D81" s="385">
        <v>7.49</v>
      </c>
      <c r="E81" s="385">
        <v>2.27</v>
      </c>
      <c r="F81" s="386">
        <v>31</v>
      </c>
      <c r="G81" s="385"/>
      <c r="H81" s="385">
        <v>0.18</v>
      </c>
      <c r="I81" s="386">
        <v>475.96</v>
      </c>
      <c r="J81" s="385">
        <v>47.85</v>
      </c>
      <c r="K81" s="385">
        <v>0.22</v>
      </c>
      <c r="L81" s="385">
        <f>(19-0.1)*24</f>
        <v>453.59999999999997</v>
      </c>
      <c r="M81" s="385"/>
      <c r="N81" s="385">
        <v>2.38</v>
      </c>
      <c r="O81" s="385">
        <v>200.13</v>
      </c>
      <c r="P81" s="385">
        <v>171.84</v>
      </c>
      <c r="Q81" s="385">
        <v>80.3</v>
      </c>
      <c r="R81" s="385">
        <v>1E-4</v>
      </c>
      <c r="S81" s="385">
        <v>1E-4</v>
      </c>
      <c r="T81" s="385">
        <v>1E-4</v>
      </c>
      <c r="U81" s="385">
        <v>1E-4</v>
      </c>
      <c r="V81" s="385"/>
    </row>
    <row r="82" spans="1:22" s="15" customFormat="1" x14ac:dyDescent="0.25">
      <c r="A82" s="572">
        <v>800069</v>
      </c>
      <c r="B82" s="383" t="str">
        <f t="shared" si="2"/>
        <v>-5,59/+6,71  (EC  6)</v>
      </c>
      <c r="C82" s="384">
        <v>6.9</v>
      </c>
      <c r="D82" s="386">
        <v>7</v>
      </c>
      <c r="E82" s="385">
        <v>0.6</v>
      </c>
      <c r="F82" s="386">
        <v>4.0599999999999996</v>
      </c>
      <c r="G82" s="385"/>
      <c r="H82" s="385">
        <v>0.18</v>
      </c>
      <c r="I82" s="386">
        <v>40.39</v>
      </c>
      <c r="J82" s="385">
        <v>23.61</v>
      </c>
      <c r="K82" s="385">
        <v>0.22</v>
      </c>
      <c r="L82" s="385">
        <f>(10-0.1)*24</f>
        <v>237.60000000000002</v>
      </c>
      <c r="M82" s="385"/>
      <c r="N82" s="385">
        <v>1.81</v>
      </c>
      <c r="O82" s="385">
        <v>13.95</v>
      </c>
      <c r="P82" s="385">
        <v>45.24</v>
      </c>
      <c r="Q82" s="385">
        <v>45.37</v>
      </c>
      <c r="R82" s="385"/>
      <c r="S82" s="385"/>
      <c r="T82" s="385"/>
      <c r="U82" s="385"/>
      <c r="V82" s="385"/>
    </row>
    <row r="83" spans="1:22" s="15" customFormat="1" x14ac:dyDescent="0.25">
      <c r="A83" s="572">
        <v>800070</v>
      </c>
      <c r="B83" s="383" t="str">
        <f t="shared" si="2"/>
        <v>-10,15/+10,11  (EC  9,8)</v>
      </c>
      <c r="C83" s="384">
        <v>6.9</v>
      </c>
      <c r="D83" s="385">
        <v>7.19</v>
      </c>
      <c r="E83" s="385">
        <v>0.98</v>
      </c>
      <c r="F83" s="386">
        <f>3.34*10</f>
        <v>33.4</v>
      </c>
      <c r="G83" s="385"/>
      <c r="H83" s="385">
        <v>0.17</v>
      </c>
      <c r="I83" s="386">
        <v>51.54</v>
      </c>
      <c r="J83" s="385">
        <f>24.78*10</f>
        <v>247.8</v>
      </c>
      <c r="K83" s="385">
        <v>0.22</v>
      </c>
      <c r="L83" s="385">
        <f>(7.7-0.1)*24</f>
        <v>182.4</v>
      </c>
      <c r="M83" s="385"/>
      <c r="N83" s="385">
        <v>2.0699999999999998</v>
      </c>
      <c r="O83" s="385">
        <v>36.64</v>
      </c>
      <c r="P83" s="385">
        <v>83.53</v>
      </c>
      <c r="Q83" s="385">
        <v>51.25</v>
      </c>
      <c r="R83" s="385">
        <v>1E-4</v>
      </c>
      <c r="S83" s="385">
        <v>1E-4</v>
      </c>
      <c r="T83" s="385">
        <v>1E-4</v>
      </c>
      <c r="U83" s="385">
        <v>1E-4</v>
      </c>
      <c r="V83" s="385"/>
    </row>
    <row r="84" spans="1:22" s="393" customFormat="1" x14ac:dyDescent="0.25">
      <c r="A84" s="573">
        <v>800081</v>
      </c>
      <c r="B84" s="390" t="str">
        <f t="shared" si="2"/>
        <v>-158,61/+160,15  (EC  160)</v>
      </c>
      <c r="C84" s="384">
        <v>6.9</v>
      </c>
      <c r="D84" s="391">
        <v>7.01</v>
      </c>
      <c r="E84" s="391">
        <v>16</v>
      </c>
      <c r="F84" s="392">
        <v>6.16</v>
      </c>
      <c r="G84" s="391"/>
      <c r="H84" s="392">
        <v>0.5796</v>
      </c>
      <c r="I84" s="392">
        <f>370.56*10</f>
        <v>3705.6</v>
      </c>
      <c r="J84" s="391">
        <f>131.59*10</f>
        <v>1315.9</v>
      </c>
      <c r="K84" s="391">
        <v>0.22</v>
      </c>
      <c r="L84" s="391">
        <f>(68-0.1)*24</f>
        <v>1629.6000000000001</v>
      </c>
      <c r="M84" s="391"/>
      <c r="N84" s="391">
        <v>161.19999999999999</v>
      </c>
      <c r="O84" s="391">
        <v>1573.7</v>
      </c>
      <c r="P84" s="391">
        <v>940.59</v>
      </c>
      <c r="Q84" s="391">
        <v>486.33</v>
      </c>
      <c r="R84" s="385">
        <v>1E-4</v>
      </c>
      <c r="S84" s="385">
        <v>1E-4</v>
      </c>
      <c r="T84" s="385">
        <v>1E-4</v>
      </c>
      <c r="U84" s="385">
        <v>1E-4</v>
      </c>
      <c r="V84" s="391"/>
    </row>
    <row r="85" spans="1:22" s="393" customFormat="1" x14ac:dyDescent="0.25">
      <c r="A85" s="573">
        <v>800082</v>
      </c>
      <c r="B85" s="390" t="str">
        <f t="shared" si="2"/>
        <v>-164,62/+168,13  (EC  165)</v>
      </c>
      <c r="C85" s="384">
        <v>6.9</v>
      </c>
      <c r="D85" s="391">
        <v>6.79</v>
      </c>
      <c r="E85" s="391">
        <v>16.5</v>
      </c>
      <c r="F85" s="392">
        <v>4.84</v>
      </c>
      <c r="G85" s="391"/>
      <c r="H85" s="392">
        <v>0.72128000000000003</v>
      </c>
      <c r="I85" s="392">
        <f>384.74*10</f>
        <v>3847.4</v>
      </c>
      <c r="J85" s="391">
        <f>148.91*10</f>
        <v>1489.1</v>
      </c>
      <c r="K85" s="391">
        <v>0.22</v>
      </c>
      <c r="L85" s="391">
        <f>(64-0.1)*24</f>
        <v>1533.6</v>
      </c>
      <c r="M85" s="391"/>
      <c r="N85" s="391">
        <v>103.61</v>
      </c>
      <c r="O85" s="391">
        <v>1894.07</v>
      </c>
      <c r="P85" s="391">
        <v>854.27</v>
      </c>
      <c r="Q85" s="391">
        <v>484.3</v>
      </c>
      <c r="R85" s="385">
        <v>1E-4</v>
      </c>
      <c r="S85" s="385">
        <v>1E-4</v>
      </c>
      <c r="T85" s="385">
        <v>1E-4</v>
      </c>
      <c r="U85" s="385">
        <v>1E-4</v>
      </c>
      <c r="V85" s="391"/>
    </row>
    <row r="86" spans="1:22" s="393" customFormat="1" x14ac:dyDescent="0.25">
      <c r="A86" s="573">
        <v>800083</v>
      </c>
      <c r="B86" s="390" t="str">
        <f t="shared" si="2"/>
        <v>-19,12/+19,12  (EC  17,4)</v>
      </c>
      <c r="C86" s="384">
        <v>6.9</v>
      </c>
      <c r="D86" s="391">
        <v>7.32</v>
      </c>
      <c r="E86" s="391">
        <v>1.74</v>
      </c>
      <c r="F86" s="392">
        <v>12.09</v>
      </c>
      <c r="G86" s="391"/>
      <c r="H86" s="392">
        <v>0.56672</v>
      </c>
      <c r="I86" s="392">
        <v>309.12</v>
      </c>
      <c r="J86" s="391">
        <f>22.8*10</f>
        <v>228</v>
      </c>
      <c r="K86" s="391">
        <v>0.22</v>
      </c>
      <c r="L86" s="391">
        <f>(14-0.1)*24</f>
        <v>333.6</v>
      </c>
      <c r="M86" s="391"/>
      <c r="N86" s="391">
        <v>2.89</v>
      </c>
      <c r="O86" s="391">
        <v>222.59</v>
      </c>
      <c r="P86" s="391">
        <v>82.83</v>
      </c>
      <c r="Q86" s="391">
        <v>62.18</v>
      </c>
      <c r="R86" s="385">
        <v>1E-4</v>
      </c>
      <c r="S86" s="385">
        <v>1E-4</v>
      </c>
      <c r="T86" s="385">
        <v>1E-4</v>
      </c>
      <c r="U86" s="391">
        <v>0.01</v>
      </c>
      <c r="V86" s="391"/>
    </row>
    <row r="87" spans="1:22" s="393" customFormat="1" x14ac:dyDescent="0.25">
      <c r="A87" s="573">
        <v>800084</v>
      </c>
      <c r="B87" s="390" t="str">
        <f t="shared" si="2"/>
        <v>-16,95/+18,19  (EC  16,6)</v>
      </c>
      <c r="C87" s="384">
        <v>6.9</v>
      </c>
      <c r="D87" s="391">
        <v>7.31</v>
      </c>
      <c r="E87" s="391">
        <v>1.66</v>
      </c>
      <c r="F87" s="392">
        <v>10.76</v>
      </c>
      <c r="G87" s="391"/>
      <c r="H87" s="392">
        <v>0.59248000000000001</v>
      </c>
      <c r="I87" s="392">
        <v>283.27</v>
      </c>
      <c r="J87" s="391">
        <f>19.75*10</f>
        <v>197.5</v>
      </c>
      <c r="K87" s="391">
        <v>0.22</v>
      </c>
      <c r="L87" s="391">
        <f>(12-0.1)*24</f>
        <v>285.60000000000002</v>
      </c>
      <c r="M87" s="391"/>
      <c r="N87" s="391">
        <v>2.5099999999999998</v>
      </c>
      <c r="O87" s="391">
        <v>228.79</v>
      </c>
      <c r="P87" s="391">
        <v>70.62</v>
      </c>
      <c r="Q87" s="391">
        <v>55.27</v>
      </c>
      <c r="R87" s="385">
        <v>1E-4</v>
      </c>
      <c r="S87" s="385">
        <v>1E-4</v>
      </c>
      <c r="T87" s="385">
        <v>1E-4</v>
      </c>
      <c r="U87" s="391">
        <v>0.02</v>
      </c>
      <c r="V87" s="391"/>
    </row>
    <row r="88" spans="1:22" s="393" customFormat="1" x14ac:dyDescent="0.25">
      <c r="A88" s="573">
        <v>800085</v>
      </c>
      <c r="B88" s="390" t="str">
        <f t="shared" si="2"/>
        <v>-27,38/+27,12  (EC  26,4)</v>
      </c>
      <c r="C88" s="384">
        <v>6.9</v>
      </c>
      <c r="D88" s="391">
        <v>7.17</v>
      </c>
      <c r="E88" s="391">
        <v>2.64</v>
      </c>
      <c r="F88" s="392">
        <v>12.72</v>
      </c>
      <c r="G88" s="391"/>
      <c r="H88" s="392">
        <v>0.5796</v>
      </c>
      <c r="I88" s="392">
        <v>521.89</v>
      </c>
      <c r="J88" s="391">
        <f>14.72*10</f>
        <v>147.20000000000002</v>
      </c>
      <c r="K88" s="391">
        <v>0.22</v>
      </c>
      <c r="L88" s="391">
        <f>(24-0.1)*24</f>
        <v>573.59999999999991</v>
      </c>
      <c r="M88" s="391"/>
      <c r="N88" s="391">
        <v>3.05</v>
      </c>
      <c r="O88" s="391">
        <v>301.77999999999997</v>
      </c>
      <c r="P88" s="391">
        <v>132.57</v>
      </c>
      <c r="Q88" s="391">
        <v>87.03</v>
      </c>
      <c r="R88" s="391">
        <v>0.52</v>
      </c>
      <c r="S88" s="385">
        <v>1E-4</v>
      </c>
      <c r="T88" s="385">
        <v>1E-4</v>
      </c>
      <c r="U88" s="391">
        <v>0.03</v>
      </c>
      <c r="V88" s="391"/>
    </row>
    <row r="89" spans="1:22" s="393" customFormat="1" x14ac:dyDescent="0.25">
      <c r="A89" s="573">
        <v>800086</v>
      </c>
      <c r="B89" s="390" t="str">
        <f t="shared" si="2"/>
        <v>-26,15/+26,42  (EC  25,1)</v>
      </c>
      <c r="C89" s="384">
        <v>6.9</v>
      </c>
      <c r="D89" s="391">
        <v>7.23</v>
      </c>
      <c r="E89" s="391">
        <v>2.5099999999999998</v>
      </c>
      <c r="F89" s="392">
        <v>11.1</v>
      </c>
      <c r="G89" s="391"/>
      <c r="H89" s="392">
        <v>0.59248000000000001</v>
      </c>
      <c r="I89" s="392">
        <v>520.57000000000005</v>
      </c>
      <c r="J89" s="391">
        <f>18.56*10</f>
        <v>185.6</v>
      </c>
      <c r="K89" s="391">
        <v>0.22</v>
      </c>
      <c r="L89" s="391">
        <f>(19-0.1)*24</f>
        <v>453.59999999999997</v>
      </c>
      <c r="M89" s="391"/>
      <c r="N89" s="391">
        <v>3.75</v>
      </c>
      <c r="O89" s="391">
        <v>318.10000000000002</v>
      </c>
      <c r="P89" s="391">
        <v>106.52</v>
      </c>
      <c r="Q89" s="391">
        <v>85.48</v>
      </c>
      <c r="R89" s="385">
        <v>1E-4</v>
      </c>
      <c r="S89" s="385">
        <v>1E-4</v>
      </c>
      <c r="T89" s="385">
        <v>1E-4</v>
      </c>
      <c r="U89" s="391">
        <v>0.01</v>
      </c>
      <c r="V89" s="391"/>
    </row>
    <row r="90" spans="1:22" s="393" customFormat="1" x14ac:dyDescent="0.25">
      <c r="A90" s="573">
        <v>800087</v>
      </c>
      <c r="B90" s="390" t="str">
        <f t="shared" si="2"/>
        <v>-33,27/+33,23  (EC  32,3)</v>
      </c>
      <c r="C90" s="384">
        <v>6.9</v>
      </c>
      <c r="D90" s="391">
        <v>7.15</v>
      </c>
      <c r="E90" s="391">
        <v>3.23</v>
      </c>
      <c r="F90" s="392">
        <v>11.15</v>
      </c>
      <c r="G90" s="391"/>
      <c r="H90" s="392">
        <v>0.59248000000000001</v>
      </c>
      <c r="I90" s="392">
        <v>622.16</v>
      </c>
      <c r="J90" s="391">
        <f>18.25*10</f>
        <v>182.5</v>
      </c>
      <c r="K90" s="391">
        <v>0.22</v>
      </c>
      <c r="L90" s="391">
        <f>(30-0.1)*24</f>
        <v>717.59999999999991</v>
      </c>
      <c r="M90" s="391"/>
      <c r="N90" s="391">
        <v>4.13</v>
      </c>
      <c r="O90" s="391">
        <v>384.06</v>
      </c>
      <c r="P90" s="391">
        <v>155.49</v>
      </c>
      <c r="Q90" s="391">
        <v>103.28</v>
      </c>
      <c r="R90" s="385">
        <v>1E-4</v>
      </c>
      <c r="S90" s="385">
        <v>1E-4</v>
      </c>
      <c r="T90" s="385">
        <v>1E-4</v>
      </c>
      <c r="U90" s="385">
        <v>1E-4</v>
      </c>
      <c r="V90" s="391"/>
    </row>
    <row r="91" spans="1:22" s="393" customFormat="1" x14ac:dyDescent="0.25">
      <c r="A91" s="573">
        <v>800088</v>
      </c>
      <c r="B91" s="390" t="str">
        <f t="shared" si="2"/>
        <v>-27,79/+28,12  (EC  27,1)</v>
      </c>
      <c r="C91" s="384">
        <v>6.9</v>
      </c>
      <c r="D91" s="392">
        <v>7.2</v>
      </c>
      <c r="E91" s="391">
        <v>2.71</v>
      </c>
      <c r="F91" s="392">
        <v>11.76</v>
      </c>
      <c r="G91" s="391"/>
      <c r="H91" s="392">
        <v>0.68264000000000002</v>
      </c>
      <c r="I91" s="392">
        <v>559.62</v>
      </c>
      <c r="J91" s="391">
        <v>173.19</v>
      </c>
      <c r="K91" s="391">
        <v>0.22</v>
      </c>
      <c r="L91" s="391">
        <f>(21-0.1)*24</f>
        <v>501.59999999999997</v>
      </c>
      <c r="M91" s="391"/>
      <c r="N91" s="391">
        <v>4.1100000000000003</v>
      </c>
      <c r="O91" s="391">
        <v>327.3</v>
      </c>
      <c r="P91" s="391">
        <v>124.45</v>
      </c>
      <c r="Q91" s="391">
        <v>90.12</v>
      </c>
      <c r="R91" s="385">
        <v>1E-4</v>
      </c>
      <c r="S91" s="385">
        <v>1E-4</v>
      </c>
      <c r="T91" s="385">
        <v>1E-4</v>
      </c>
      <c r="U91" s="385">
        <v>1E-4</v>
      </c>
      <c r="V91" s="391"/>
    </row>
    <row r="92" spans="1:22" s="15" customFormat="1" x14ac:dyDescent="0.25">
      <c r="A92" s="572">
        <v>800089</v>
      </c>
      <c r="B92" s="390" t="str">
        <f t="shared" si="2"/>
        <v>-11,69/+12,21  (EC  10,4)</v>
      </c>
      <c r="C92" s="384">
        <v>8.9</v>
      </c>
      <c r="D92" s="385">
        <v>7.37</v>
      </c>
      <c r="E92" s="385">
        <v>1.04</v>
      </c>
      <c r="F92" s="386">
        <v>16.52</v>
      </c>
      <c r="G92" s="385"/>
      <c r="H92" s="385">
        <v>0.94</v>
      </c>
      <c r="I92" s="386">
        <v>95.27</v>
      </c>
      <c r="J92" s="385">
        <f>17.59*10</f>
        <v>175.9</v>
      </c>
      <c r="K92" s="385">
        <v>0.22</v>
      </c>
      <c r="L92" s="391">
        <f>(13-0.1)*24</f>
        <v>309.60000000000002</v>
      </c>
      <c r="M92" s="385"/>
      <c r="N92" s="385">
        <v>0.66600000000000004</v>
      </c>
      <c r="O92" s="385">
        <v>54.13</v>
      </c>
      <c r="P92" s="385">
        <v>181.33</v>
      </c>
      <c r="Q92" s="385">
        <v>8.42</v>
      </c>
      <c r="R92" s="385"/>
      <c r="S92" s="385"/>
      <c r="T92" s="385"/>
      <c r="U92" s="385"/>
      <c r="V92" s="385"/>
    </row>
    <row r="93" spans="1:22" s="15" customFormat="1" x14ac:dyDescent="0.25">
      <c r="A93" s="572">
        <v>800090</v>
      </c>
      <c r="B93" s="390" t="str">
        <f t="shared" si="2"/>
        <v>-34,07/+35,78  (EC  34)</v>
      </c>
      <c r="C93" s="384">
        <v>9</v>
      </c>
      <c r="D93" s="385">
        <v>7.15</v>
      </c>
      <c r="E93" s="385">
        <v>3.4</v>
      </c>
      <c r="F93" s="386">
        <v>16.34</v>
      </c>
      <c r="G93" s="385"/>
      <c r="H93" s="385">
        <v>0.95</v>
      </c>
      <c r="I93" s="386">
        <f>73.27*10</f>
        <v>732.69999999999993</v>
      </c>
      <c r="J93" s="385">
        <f>30.35*10</f>
        <v>303.5</v>
      </c>
      <c r="K93" s="385">
        <v>0.22</v>
      </c>
      <c r="L93" s="391">
        <f>(17.5-0.1)*24</f>
        <v>417.59999999999997</v>
      </c>
      <c r="M93" s="385"/>
      <c r="N93" s="385">
        <v>12.385999999999999</v>
      </c>
      <c r="O93" s="385">
        <v>438.8</v>
      </c>
      <c r="P93" s="385">
        <v>181.33</v>
      </c>
      <c r="Q93" s="385">
        <v>87.02</v>
      </c>
      <c r="R93" s="385">
        <v>1E-4</v>
      </c>
      <c r="S93" s="385">
        <v>1E-4</v>
      </c>
      <c r="T93" s="385">
        <v>1E-4</v>
      </c>
      <c r="U93" s="385">
        <v>1E-4</v>
      </c>
      <c r="V93" s="385"/>
    </row>
    <row r="94" spans="1:22" s="15" customFormat="1" ht="15" customHeight="1" x14ac:dyDescent="0.25">
      <c r="A94" s="572">
        <v>800091</v>
      </c>
      <c r="B94" s="394" t="str">
        <f t="shared" si="2"/>
        <v>-8,95/+10,51  (EC  9,8)</v>
      </c>
      <c r="C94" s="384">
        <v>5.6</v>
      </c>
      <c r="D94" s="385">
        <v>7.13</v>
      </c>
      <c r="E94" s="385">
        <v>0.98</v>
      </c>
      <c r="F94" s="386">
        <v>5.99</v>
      </c>
      <c r="G94" s="385"/>
      <c r="H94" s="385">
        <v>0.82</v>
      </c>
      <c r="I94" s="386">
        <v>25.26</v>
      </c>
      <c r="J94" s="385">
        <f>7.16*10</f>
        <v>71.599999999999994</v>
      </c>
      <c r="K94" s="385">
        <v>0.22</v>
      </c>
      <c r="L94" s="395">
        <f>(17-0.1)*24</f>
        <v>405.59999999999997</v>
      </c>
      <c r="M94" s="385"/>
      <c r="N94" s="385">
        <v>2</v>
      </c>
      <c r="O94" s="385">
        <v>26.56</v>
      </c>
      <c r="P94" s="385">
        <v>96.08</v>
      </c>
      <c r="Q94" s="385">
        <v>53.33</v>
      </c>
      <c r="R94" s="385">
        <v>1E-4</v>
      </c>
      <c r="S94" s="385">
        <v>1E-4</v>
      </c>
      <c r="T94" s="385">
        <v>1E-4</v>
      </c>
      <c r="U94" s="385">
        <v>1E-4</v>
      </c>
      <c r="V94" s="385"/>
    </row>
    <row r="95" spans="1:22" s="15" customFormat="1" x14ac:dyDescent="0.25">
      <c r="A95" s="572">
        <v>800092</v>
      </c>
      <c r="B95" s="394" t="str">
        <f t="shared" si="2"/>
        <v>-13,48/+12,63  (EC  12,1)</v>
      </c>
      <c r="C95" s="384">
        <v>5.6</v>
      </c>
      <c r="D95" s="385">
        <v>7.52</v>
      </c>
      <c r="E95" s="385">
        <v>1.21</v>
      </c>
      <c r="F95" s="386">
        <v>10.96</v>
      </c>
      <c r="G95" s="385"/>
      <c r="H95" s="385">
        <v>0.92</v>
      </c>
      <c r="I95" s="386">
        <v>128.13</v>
      </c>
      <c r="J95" s="385">
        <f>14.97*10</f>
        <v>149.70000000000002</v>
      </c>
      <c r="K95" s="385">
        <v>0.22</v>
      </c>
      <c r="L95" s="395">
        <f>(16.8-0.1)*24</f>
        <v>400.79999999999995</v>
      </c>
      <c r="M95" s="385"/>
      <c r="N95" s="385">
        <v>3.35</v>
      </c>
      <c r="O95" s="385">
        <v>88.28</v>
      </c>
      <c r="P95" s="385">
        <v>74.400000000000006</v>
      </c>
      <c r="Q95" s="385">
        <v>59.03</v>
      </c>
      <c r="R95" s="385">
        <v>1E-4</v>
      </c>
      <c r="S95" s="385">
        <v>1E-4</v>
      </c>
      <c r="T95" s="385">
        <v>1E-4</v>
      </c>
      <c r="U95" s="385">
        <v>1E-4</v>
      </c>
      <c r="V95" s="385"/>
    </row>
    <row r="96" spans="1:22" s="15" customFormat="1" x14ac:dyDescent="0.25">
      <c r="A96" s="572">
        <v>800093</v>
      </c>
      <c r="B96" s="394" t="str">
        <f t="shared" si="2"/>
        <v>-21,93/+24,37  (EC  22,6)</v>
      </c>
      <c r="C96" s="384">
        <v>5.6</v>
      </c>
      <c r="D96" s="385">
        <v>7.1</v>
      </c>
      <c r="E96" s="385">
        <v>2.2599999999999998</v>
      </c>
      <c r="F96" s="386">
        <v>10.41</v>
      </c>
      <c r="G96" s="385"/>
      <c r="H96" s="385">
        <v>0.94</v>
      </c>
      <c r="I96" s="386">
        <v>146.38</v>
      </c>
      <c r="J96" s="385">
        <f>20.65*10</f>
        <v>206.5</v>
      </c>
      <c r="K96" s="385">
        <v>0.22</v>
      </c>
      <c r="L96" s="395">
        <f>(34-0.1)*24</f>
        <v>813.59999999999991</v>
      </c>
      <c r="M96" s="385"/>
      <c r="N96" s="385">
        <v>3.84</v>
      </c>
      <c r="O96" s="385">
        <v>220.85</v>
      </c>
      <c r="P96" s="385">
        <v>144.05000000000001</v>
      </c>
      <c r="Q96" s="385">
        <v>88.74</v>
      </c>
      <c r="R96" s="385">
        <v>1E-4</v>
      </c>
      <c r="S96" s="385">
        <v>1E-4</v>
      </c>
      <c r="T96" s="385">
        <v>1E-4</v>
      </c>
      <c r="U96" s="385">
        <v>0.01</v>
      </c>
      <c r="V96" s="385"/>
    </row>
    <row r="97" spans="1:22" s="15" customFormat="1" x14ac:dyDescent="0.25">
      <c r="A97" s="572">
        <v>800094</v>
      </c>
      <c r="B97" s="394" t="str">
        <f t="shared" si="2"/>
        <v>-10,07/+10,02  (EC  9,2)</v>
      </c>
      <c r="C97" s="384">
        <v>5.6</v>
      </c>
      <c r="D97" s="385">
        <v>7.37</v>
      </c>
      <c r="E97" s="385">
        <v>0.92</v>
      </c>
      <c r="F97" s="386">
        <v>5.54</v>
      </c>
      <c r="G97" s="385"/>
      <c r="H97" s="385">
        <v>1.01</v>
      </c>
      <c r="I97" s="386">
        <v>38.090000000000003</v>
      </c>
      <c r="J97" s="385">
        <v>98.81</v>
      </c>
      <c r="K97" s="385">
        <v>0.22</v>
      </c>
      <c r="L97" s="395">
        <f>(17.5-0.1)*24</f>
        <v>417.59999999999997</v>
      </c>
      <c r="M97" s="385"/>
      <c r="N97" s="385">
        <v>2.33</v>
      </c>
      <c r="O97" s="385">
        <v>22.52</v>
      </c>
      <c r="P97" s="385">
        <v>83.34</v>
      </c>
      <c r="Q97" s="385">
        <v>56.88</v>
      </c>
      <c r="R97" s="385">
        <v>1E-4</v>
      </c>
      <c r="S97" s="385">
        <v>1E-4</v>
      </c>
      <c r="T97" s="385">
        <v>1E-4</v>
      </c>
      <c r="U97" s="385">
        <v>0.01</v>
      </c>
      <c r="V97" s="385"/>
    </row>
    <row r="98" spans="1:22" s="15" customFormat="1" x14ac:dyDescent="0.25">
      <c r="A98" s="572">
        <v>800095</v>
      </c>
      <c r="B98" s="394" t="str">
        <f t="shared" si="2"/>
        <v>-21,82/+19,51  (EC  20)</v>
      </c>
      <c r="C98" s="384">
        <v>5.6</v>
      </c>
      <c r="D98" s="385">
        <v>3.3</v>
      </c>
      <c r="E98" s="385">
        <v>2</v>
      </c>
      <c r="F98" s="386">
        <v>0.62</v>
      </c>
      <c r="G98" s="385"/>
      <c r="H98" s="385">
        <v>2.95</v>
      </c>
      <c r="I98" s="386">
        <v>155.82</v>
      </c>
      <c r="J98" s="385">
        <f>61.52*10</f>
        <v>615.20000000000005</v>
      </c>
      <c r="K98" s="385">
        <v>0.22</v>
      </c>
      <c r="L98" s="395">
        <f>(11.8-0.1)*24</f>
        <v>280.8</v>
      </c>
      <c r="M98" s="385"/>
      <c r="N98" s="385">
        <v>10.26</v>
      </c>
      <c r="O98" s="385">
        <v>169.78</v>
      </c>
      <c r="P98" s="385">
        <v>155.25</v>
      </c>
      <c r="Q98" s="385">
        <v>46.71</v>
      </c>
      <c r="R98" s="385">
        <v>0.03</v>
      </c>
      <c r="S98" s="385">
        <v>1E-4</v>
      </c>
      <c r="T98" s="385">
        <v>2.09</v>
      </c>
      <c r="U98" s="385">
        <v>0.72</v>
      </c>
      <c r="V98" s="385"/>
    </row>
    <row r="99" spans="1:22" s="15" customFormat="1" x14ac:dyDescent="0.25">
      <c r="A99" s="572">
        <v>800096</v>
      </c>
      <c r="B99" s="394" t="str">
        <f t="shared" si="2"/>
        <v>-11,73/+13,06  (EC  12,6)</v>
      </c>
      <c r="C99" s="384">
        <v>5.6</v>
      </c>
      <c r="D99" s="385">
        <v>6.8</v>
      </c>
      <c r="E99" s="385">
        <v>1.26</v>
      </c>
      <c r="F99" s="386">
        <v>15.36</v>
      </c>
      <c r="G99" s="385"/>
      <c r="H99" s="385">
        <v>10.14</v>
      </c>
      <c r="I99" s="386">
        <v>131.06</v>
      </c>
      <c r="J99" s="385">
        <v>54.47</v>
      </c>
      <c r="K99" s="385">
        <v>0.22</v>
      </c>
      <c r="L99" s="395">
        <f>(17-0.1)*24</f>
        <v>405.59999999999997</v>
      </c>
      <c r="M99" s="385"/>
      <c r="N99" s="385">
        <v>2.88</v>
      </c>
      <c r="O99" s="385">
        <v>38.979999999999997</v>
      </c>
      <c r="P99" s="385">
        <v>194.1</v>
      </c>
      <c r="Q99" s="385">
        <v>10.38</v>
      </c>
      <c r="R99" s="385">
        <v>0.08</v>
      </c>
      <c r="S99" s="385">
        <v>1E-4</v>
      </c>
      <c r="T99" s="385">
        <v>0.01</v>
      </c>
      <c r="U99" s="385">
        <v>1E-4</v>
      </c>
      <c r="V99" s="385"/>
    </row>
    <row r="100" spans="1:22" s="15" customFormat="1" x14ac:dyDescent="0.25">
      <c r="A100" s="572">
        <v>800097</v>
      </c>
      <c r="B100" s="394" t="str">
        <f t="shared" si="2"/>
        <v>-12,58/+12,43  (EC  11,7)</v>
      </c>
      <c r="C100" s="384">
        <v>5.6</v>
      </c>
      <c r="D100" s="385">
        <v>7.37</v>
      </c>
      <c r="E100" s="385">
        <v>1.17</v>
      </c>
      <c r="F100" s="386">
        <v>15.31</v>
      </c>
      <c r="G100" s="385"/>
      <c r="H100" s="385">
        <v>1.21</v>
      </c>
      <c r="I100" s="386">
        <v>115.69</v>
      </c>
      <c r="J100" s="385">
        <v>106.63</v>
      </c>
      <c r="K100" s="385">
        <v>0.22</v>
      </c>
      <c r="L100" s="395">
        <f>(17.5-0.1)*24</f>
        <v>417.59999999999997</v>
      </c>
      <c r="M100" s="385"/>
      <c r="N100" s="385">
        <v>0.42</v>
      </c>
      <c r="O100" s="385">
        <v>65.56</v>
      </c>
      <c r="P100" s="385">
        <v>172.82</v>
      </c>
      <c r="Q100" s="385">
        <v>10.09</v>
      </c>
      <c r="R100" s="385">
        <v>0.01</v>
      </c>
      <c r="S100" s="385">
        <v>1E-4</v>
      </c>
      <c r="T100" s="385">
        <v>1E-4</v>
      </c>
      <c r="U100" s="385">
        <v>1E-4</v>
      </c>
      <c r="V100" s="385"/>
    </row>
    <row r="101" spans="1:22" s="15" customFormat="1" x14ac:dyDescent="0.25">
      <c r="A101" s="572">
        <v>800098</v>
      </c>
      <c r="B101" s="394" t="str">
        <f t="shared" si="2"/>
        <v>-5,41/+6,27  (EC  6)</v>
      </c>
      <c r="C101" s="384">
        <v>5.6</v>
      </c>
      <c r="D101" s="385">
        <v>7.81</v>
      </c>
      <c r="E101" s="385">
        <v>0.6</v>
      </c>
      <c r="F101" s="386">
        <v>13.78</v>
      </c>
      <c r="G101" s="385"/>
      <c r="H101" s="385">
        <v>1.42</v>
      </c>
      <c r="I101" s="386">
        <v>36.6</v>
      </c>
      <c r="J101" s="385">
        <v>50.45</v>
      </c>
      <c r="K101" s="385">
        <v>0.22</v>
      </c>
      <c r="L101" s="395">
        <f>(8-0.1)*24</f>
        <v>189.60000000000002</v>
      </c>
      <c r="M101" s="385"/>
      <c r="N101" s="385">
        <v>0.67</v>
      </c>
      <c r="O101" s="385">
        <v>18.63</v>
      </c>
      <c r="P101" s="385">
        <v>95.71</v>
      </c>
      <c r="Q101" s="385">
        <v>6.7</v>
      </c>
      <c r="R101" s="385">
        <v>1E-4</v>
      </c>
      <c r="S101" s="385">
        <v>1E-4</v>
      </c>
      <c r="T101" s="385">
        <v>1E-4</v>
      </c>
      <c r="U101" s="385">
        <v>1E-4</v>
      </c>
      <c r="V101" s="385"/>
    </row>
    <row r="102" spans="1:22" s="15" customFormat="1" x14ac:dyDescent="0.25">
      <c r="A102" s="572">
        <v>800099</v>
      </c>
      <c r="B102" s="394" t="str">
        <f t="shared" si="2"/>
        <v>-12,88/+13,79  (EC  12,5)</v>
      </c>
      <c r="C102" s="384">
        <v>5.6</v>
      </c>
      <c r="D102" s="385">
        <v>5</v>
      </c>
      <c r="E102" s="385">
        <v>1.25</v>
      </c>
      <c r="F102" s="386">
        <v>1.89</v>
      </c>
      <c r="G102" s="385"/>
      <c r="H102" s="385">
        <v>1.4</v>
      </c>
      <c r="I102" s="386">
        <v>128.6</v>
      </c>
      <c r="J102" s="385">
        <f>12.55*10</f>
        <v>125.5</v>
      </c>
      <c r="K102" s="385">
        <v>0.22</v>
      </c>
      <c r="L102" s="395">
        <f>(16.9-0.1)*24</f>
        <v>403.19999999999993</v>
      </c>
      <c r="M102" s="385"/>
      <c r="N102" s="385">
        <v>33.57</v>
      </c>
      <c r="O102" s="385">
        <v>74.930000000000007</v>
      </c>
      <c r="P102" s="385">
        <v>167.14</v>
      </c>
      <c r="Q102" s="385">
        <v>14.62</v>
      </c>
      <c r="R102" s="385">
        <v>0.04</v>
      </c>
      <c r="S102" s="385">
        <v>1E-4</v>
      </c>
      <c r="T102" s="385">
        <v>0.26</v>
      </c>
      <c r="U102" s="385">
        <v>4.29</v>
      </c>
      <c r="V102" s="385"/>
    </row>
    <row r="103" spans="1:22" s="15" customFormat="1" x14ac:dyDescent="0.25">
      <c r="A103" s="572">
        <v>800100</v>
      </c>
      <c r="B103" s="394" t="str">
        <f t="shared" si="2"/>
        <v>-4,46/+5,58  (EC  5,2)</v>
      </c>
      <c r="C103" s="384">
        <v>5.6</v>
      </c>
      <c r="D103" s="385">
        <v>7.34</v>
      </c>
      <c r="E103" s="385">
        <v>0.52</v>
      </c>
      <c r="F103" s="386">
        <v>1.31</v>
      </c>
      <c r="G103" s="385"/>
      <c r="H103" s="385">
        <v>1.32</v>
      </c>
      <c r="I103" s="386">
        <v>39.44</v>
      </c>
      <c r="J103" s="385">
        <v>48.44</v>
      </c>
      <c r="K103" s="385">
        <v>0.22</v>
      </c>
      <c r="L103" s="395">
        <f>(6-0.1)*24</f>
        <v>141.60000000000002</v>
      </c>
      <c r="M103" s="385"/>
      <c r="N103" s="385">
        <v>1.96</v>
      </c>
      <c r="O103" s="385">
        <v>36.4</v>
      </c>
      <c r="P103" s="385">
        <v>60.9</v>
      </c>
      <c r="Q103" s="385">
        <v>9.64</v>
      </c>
      <c r="R103" s="385">
        <v>9.9999999999999995E-8</v>
      </c>
      <c r="S103" s="385">
        <v>1E-4</v>
      </c>
      <c r="T103" s="385">
        <v>1E-4</v>
      </c>
      <c r="U103" s="385">
        <v>1E-4</v>
      </c>
      <c r="V103" s="385"/>
    </row>
    <row r="104" spans="1:22" s="15" customFormat="1" x14ac:dyDescent="0.25">
      <c r="A104" s="572">
        <v>800101</v>
      </c>
      <c r="B104" s="394" t="str">
        <f t="shared" si="2"/>
        <v>-14,32/+16,60  (EC  15,6)</v>
      </c>
      <c r="C104" s="384">
        <v>5.6</v>
      </c>
      <c r="D104" s="385">
        <v>7.36</v>
      </c>
      <c r="E104" s="385">
        <v>1.56</v>
      </c>
      <c r="F104" s="386">
        <v>14.85</v>
      </c>
      <c r="G104" s="385"/>
      <c r="H104" s="385">
        <v>1.59</v>
      </c>
      <c r="I104" s="386">
        <v>78.180000000000007</v>
      </c>
      <c r="J104" s="386">
        <f>8.1*10</f>
        <v>81</v>
      </c>
      <c r="K104" s="385">
        <v>0.22</v>
      </c>
      <c r="L104" s="395">
        <f>(26-0.1)*24</f>
        <v>621.59999999999991</v>
      </c>
      <c r="M104" s="385"/>
      <c r="N104" s="385">
        <v>0.55000000000000004</v>
      </c>
      <c r="O104" s="385">
        <v>73.27</v>
      </c>
      <c r="P104" s="385">
        <v>115.02</v>
      </c>
      <c r="Q104" s="385">
        <v>90.4</v>
      </c>
      <c r="R104" s="385">
        <v>0.01</v>
      </c>
      <c r="S104" s="385">
        <v>1E-4</v>
      </c>
      <c r="T104" s="385">
        <v>1E-4</v>
      </c>
      <c r="U104" s="385">
        <v>0.04</v>
      </c>
      <c r="V104" s="385"/>
    </row>
    <row r="105" spans="1:22" s="15" customFormat="1" x14ac:dyDescent="0.25">
      <c r="A105" s="572">
        <v>800102</v>
      </c>
      <c r="B105" s="394" t="str">
        <f t="shared" si="2"/>
        <v>-11,03/+13,72  (EC  12,4)</v>
      </c>
      <c r="C105" s="384">
        <v>5.6</v>
      </c>
      <c r="D105" s="385">
        <v>7.2</v>
      </c>
      <c r="E105" s="385">
        <v>1.24</v>
      </c>
      <c r="F105" s="386">
        <v>11.18</v>
      </c>
      <c r="G105" s="385"/>
      <c r="H105" s="385">
        <v>1.62</v>
      </c>
      <c r="I105" s="386">
        <v>62.59</v>
      </c>
      <c r="J105" s="385">
        <f>7.93*10</f>
        <v>79.3</v>
      </c>
      <c r="K105" s="385">
        <v>0.22</v>
      </c>
      <c r="L105" s="395">
        <f>(19-0.1)*24</f>
        <v>453.59999999999997</v>
      </c>
      <c r="M105" s="385"/>
      <c r="N105" s="385">
        <v>0.68</v>
      </c>
      <c r="O105" s="385">
        <v>47.64</v>
      </c>
      <c r="P105" s="385">
        <v>120.78</v>
      </c>
      <c r="Q105" s="385">
        <v>65.680000000000007</v>
      </c>
      <c r="R105" s="385">
        <v>0.01</v>
      </c>
      <c r="S105" s="385">
        <v>1E-4</v>
      </c>
      <c r="T105" s="385">
        <v>1E-4</v>
      </c>
      <c r="U105" s="385">
        <v>1E-4</v>
      </c>
      <c r="V105" s="385"/>
    </row>
    <row r="106" spans="1:22" s="15" customFormat="1" x14ac:dyDescent="0.25">
      <c r="A106" s="572">
        <v>800103</v>
      </c>
      <c r="B106" s="394" t="str">
        <f t="shared" si="2"/>
        <v>-10,68/+11,93  (EC  11)</v>
      </c>
      <c r="C106" s="384">
        <v>5.6</v>
      </c>
      <c r="D106" s="385">
        <v>7.1</v>
      </c>
      <c r="E106" s="385">
        <v>1.1000000000000001</v>
      </c>
      <c r="F106" s="386">
        <v>8.09</v>
      </c>
      <c r="G106" s="385"/>
      <c r="H106" s="385">
        <v>0.43</v>
      </c>
      <c r="I106" s="386">
        <v>51.47</v>
      </c>
      <c r="J106" s="385">
        <v>107.94</v>
      </c>
      <c r="K106" s="385">
        <v>0.22</v>
      </c>
      <c r="L106" s="395">
        <f>(17.5-0.1)*24</f>
        <v>417.59999999999997</v>
      </c>
      <c r="M106" s="385"/>
      <c r="N106" s="385">
        <v>0.39</v>
      </c>
      <c r="O106" s="385">
        <v>46.09</v>
      </c>
      <c r="P106" s="385">
        <v>119.31</v>
      </c>
      <c r="Q106" s="385">
        <v>47.05</v>
      </c>
      <c r="R106" s="385">
        <v>1E-4</v>
      </c>
      <c r="S106" s="385">
        <v>1E-4</v>
      </c>
      <c r="T106" s="385">
        <v>1E-4</v>
      </c>
      <c r="U106" s="385">
        <v>1E-4</v>
      </c>
      <c r="V106" s="385"/>
    </row>
    <row r="107" spans="1:22" s="15" customFormat="1" x14ac:dyDescent="0.25">
      <c r="A107" s="572">
        <v>800104</v>
      </c>
      <c r="B107" s="394" t="str">
        <f t="shared" ref="B107:B147" si="3">"-"&amp;TEXT((F107/62+G107/46+I107/35.5+J107/48+K107/97+L107/61),"0,00")&amp;"/+"&amp;TEXT((N107/39+O107/23+P107/20+Q107/12+H107/14),"0,00")&amp;"  (EC  "&amp;E107*10&amp;")"</f>
        <v>-9,54/+12,69  (EC  11,5)</v>
      </c>
      <c r="C107" s="384">
        <v>5.6</v>
      </c>
      <c r="D107" s="385">
        <v>7.09</v>
      </c>
      <c r="E107" s="385">
        <v>1.1499999999999999</v>
      </c>
      <c r="F107" s="386">
        <v>11</v>
      </c>
      <c r="G107" s="385"/>
      <c r="H107" s="385">
        <v>0.44</v>
      </c>
      <c r="I107" s="386">
        <v>39.299999999999997</v>
      </c>
      <c r="J107" s="386">
        <f>5.42*10</f>
        <v>54.2</v>
      </c>
      <c r="K107" s="385">
        <v>0.22</v>
      </c>
      <c r="L107" s="395">
        <f>(18.2-0.1)*24</f>
        <v>434.4</v>
      </c>
      <c r="M107" s="385"/>
      <c r="N107" s="385">
        <v>0.42</v>
      </c>
      <c r="O107" s="385">
        <v>61.96</v>
      </c>
      <c r="P107" s="385">
        <v>127.62</v>
      </c>
      <c r="Q107" s="385">
        <v>42.83</v>
      </c>
      <c r="R107" s="385">
        <v>1E-4</v>
      </c>
      <c r="S107" s="385">
        <v>1E-4</v>
      </c>
      <c r="T107" s="385">
        <v>1E-4</v>
      </c>
      <c r="U107" s="385">
        <v>1E-4</v>
      </c>
      <c r="V107" s="385"/>
    </row>
    <row r="108" spans="1:22" s="15" customFormat="1" x14ac:dyDescent="0.25">
      <c r="A108" s="572">
        <v>800105</v>
      </c>
      <c r="B108" s="394" t="str">
        <f t="shared" si="3"/>
        <v>-9,71/+12,40  (EC  12,3)</v>
      </c>
      <c r="C108" s="384">
        <v>5.6</v>
      </c>
      <c r="D108" s="385">
        <v>7.73</v>
      </c>
      <c r="E108" s="385">
        <v>1.23</v>
      </c>
      <c r="F108" s="386">
        <v>15.02</v>
      </c>
      <c r="G108" s="385"/>
      <c r="H108" s="385">
        <v>0.42</v>
      </c>
      <c r="I108" s="386">
        <v>26.48</v>
      </c>
      <c r="J108" s="385">
        <f>5.41*10</f>
        <v>54.1</v>
      </c>
      <c r="K108" s="385">
        <v>0.22</v>
      </c>
      <c r="L108" s="395">
        <f>(19.4-0.1)*24</f>
        <v>463.19999999999993</v>
      </c>
      <c r="M108" s="385"/>
      <c r="N108" s="385">
        <v>2.5</v>
      </c>
      <c r="O108" s="385">
        <v>76.069999999999993</v>
      </c>
      <c r="P108" s="385">
        <v>105.11</v>
      </c>
      <c r="Q108" s="385">
        <v>44.87</v>
      </c>
      <c r="R108" s="385">
        <v>0.01</v>
      </c>
      <c r="S108" s="385">
        <v>1E-4</v>
      </c>
      <c r="T108" s="385">
        <v>1E-4</v>
      </c>
      <c r="U108" s="385">
        <v>0.02</v>
      </c>
      <c r="V108" s="385"/>
    </row>
    <row r="109" spans="1:22" s="15" customFormat="1" x14ac:dyDescent="0.25">
      <c r="A109" s="572">
        <v>800106</v>
      </c>
      <c r="B109" s="394" t="str">
        <f t="shared" si="3"/>
        <v>-10,90/+9,76  (EC  9,3)</v>
      </c>
      <c r="C109" s="384">
        <v>5.6</v>
      </c>
      <c r="D109" s="385">
        <v>7.86</v>
      </c>
      <c r="E109" s="385">
        <v>0.93</v>
      </c>
      <c r="F109" s="386">
        <v>14.87</v>
      </c>
      <c r="G109" s="385"/>
      <c r="H109" s="385">
        <v>0.41</v>
      </c>
      <c r="I109" s="386">
        <v>92.07</v>
      </c>
      <c r="J109" s="385">
        <v>105.68</v>
      </c>
      <c r="K109" s="385">
        <v>0.22</v>
      </c>
      <c r="L109" s="395">
        <f>(15-0.1)*24</f>
        <v>357.6</v>
      </c>
      <c r="M109" s="385"/>
      <c r="N109" s="385">
        <v>0.65</v>
      </c>
      <c r="O109" s="385">
        <v>53.56</v>
      </c>
      <c r="P109" s="385">
        <v>136.84</v>
      </c>
      <c r="Q109" s="385">
        <v>6.55</v>
      </c>
      <c r="R109" s="385">
        <v>0.01</v>
      </c>
      <c r="S109" s="385">
        <v>1E-4</v>
      </c>
      <c r="T109" s="385">
        <v>1E-4</v>
      </c>
      <c r="U109" s="385">
        <v>1E-4</v>
      </c>
      <c r="V109" s="385"/>
    </row>
    <row r="110" spans="1:22" s="15" customFormat="1" x14ac:dyDescent="0.25">
      <c r="A110" s="572">
        <v>800107</v>
      </c>
      <c r="B110" s="394" t="str">
        <f t="shared" si="3"/>
        <v>-11,69/+10,78  (EC  10,1)</v>
      </c>
      <c r="C110" s="384">
        <v>5.6</v>
      </c>
      <c r="D110" s="385">
        <v>7.66</v>
      </c>
      <c r="E110" s="385">
        <v>1.01</v>
      </c>
      <c r="F110" s="386">
        <v>14.54</v>
      </c>
      <c r="G110" s="385"/>
      <c r="H110" s="385">
        <v>0.43</v>
      </c>
      <c r="I110" s="386">
        <v>93.15</v>
      </c>
      <c r="J110" s="385">
        <f>9.5*10</f>
        <v>95</v>
      </c>
      <c r="K110" s="385">
        <v>0.22</v>
      </c>
      <c r="L110" s="395">
        <f>(17.5-0.1)*24</f>
        <v>417.59999999999997</v>
      </c>
      <c r="M110" s="385"/>
      <c r="N110" s="385">
        <v>0.34</v>
      </c>
      <c r="O110" s="385">
        <v>61.98</v>
      </c>
      <c r="P110" s="385">
        <v>146.69999999999999</v>
      </c>
      <c r="Q110" s="385">
        <v>8.5</v>
      </c>
      <c r="R110" s="385">
        <v>0.01</v>
      </c>
      <c r="S110" s="385">
        <v>1E-4</v>
      </c>
      <c r="T110" s="385">
        <v>1E-4</v>
      </c>
      <c r="U110" s="385">
        <v>0.05</v>
      </c>
      <c r="V110" s="385"/>
    </row>
    <row r="111" spans="1:22" s="15" customFormat="1" x14ac:dyDescent="0.25">
      <c r="A111" s="572">
        <v>800108</v>
      </c>
      <c r="B111" s="394" t="str">
        <f t="shared" si="3"/>
        <v>-12,84/+11,34  (EC  11)</v>
      </c>
      <c r="C111" s="384">
        <v>5.6</v>
      </c>
      <c r="D111" s="385">
        <v>7.54</v>
      </c>
      <c r="E111" s="385">
        <v>1.1000000000000001</v>
      </c>
      <c r="F111" s="386">
        <v>15.03</v>
      </c>
      <c r="G111" s="385"/>
      <c r="H111" s="385">
        <v>0.47</v>
      </c>
      <c r="I111" s="386">
        <v>116.16</v>
      </c>
      <c r="J111" s="385">
        <f>11.9*10</f>
        <v>119</v>
      </c>
      <c r="K111" s="385">
        <v>0.22</v>
      </c>
      <c r="L111" s="395">
        <f>(17.5-0.1)*24</f>
        <v>417.59999999999997</v>
      </c>
      <c r="M111" s="385"/>
      <c r="N111" s="385">
        <v>0.73</v>
      </c>
      <c r="O111" s="385">
        <v>70.58</v>
      </c>
      <c r="P111" s="385">
        <v>148.30000000000001</v>
      </c>
      <c r="Q111" s="385">
        <v>9.61</v>
      </c>
      <c r="R111" s="385">
        <v>1E-4</v>
      </c>
      <c r="S111" s="385">
        <v>1E-4</v>
      </c>
      <c r="T111" s="385">
        <v>1E-4</v>
      </c>
      <c r="U111" s="385">
        <v>0.01</v>
      </c>
      <c r="V111" s="385"/>
    </row>
    <row r="112" spans="1:22" s="15" customFormat="1" x14ac:dyDescent="0.25">
      <c r="A112" s="572">
        <v>800109</v>
      </c>
      <c r="B112" s="394" t="str">
        <f t="shared" si="3"/>
        <v>-6,88/+5,95  (EC  5,6)</v>
      </c>
      <c r="C112" s="384">
        <v>5.6</v>
      </c>
      <c r="D112" s="385">
        <v>7.79</v>
      </c>
      <c r="E112" s="385">
        <v>0.56000000000000005</v>
      </c>
      <c r="F112" s="386">
        <v>3.87</v>
      </c>
      <c r="G112" s="385"/>
      <c r="H112" s="385">
        <v>0.42</v>
      </c>
      <c r="I112" s="386">
        <v>40.020000000000003</v>
      </c>
      <c r="J112" s="385">
        <v>63.54</v>
      </c>
      <c r="K112" s="385">
        <v>0.22</v>
      </c>
      <c r="L112" s="395">
        <f>(11.2-0.1)*24</f>
        <v>266.39999999999998</v>
      </c>
      <c r="M112" s="385"/>
      <c r="N112" s="385">
        <v>2.69</v>
      </c>
      <c r="O112" s="385">
        <v>39.49</v>
      </c>
      <c r="P112" s="385">
        <v>65.290000000000006</v>
      </c>
      <c r="Q112" s="385">
        <v>10.43</v>
      </c>
      <c r="R112" s="385">
        <v>0.01</v>
      </c>
      <c r="S112" s="385">
        <v>1E-4</v>
      </c>
      <c r="T112" s="385">
        <v>1E-4</v>
      </c>
      <c r="U112" s="385">
        <v>0.02</v>
      </c>
      <c r="V112" s="385"/>
    </row>
    <row r="113" spans="1:22" s="15" customFormat="1" x14ac:dyDescent="0.25">
      <c r="A113" s="572">
        <v>800110</v>
      </c>
      <c r="B113" s="394" t="str">
        <f t="shared" si="3"/>
        <v>-5,07/+5,70  (EC  5,3)</v>
      </c>
      <c r="C113" s="384">
        <v>5.6</v>
      </c>
      <c r="D113" s="385">
        <v>7.68</v>
      </c>
      <c r="E113" s="385">
        <v>0.53</v>
      </c>
      <c r="F113" s="386">
        <v>1.62</v>
      </c>
      <c r="G113" s="385"/>
      <c r="H113" s="385">
        <v>0.49</v>
      </c>
      <c r="I113" s="386">
        <v>36.61</v>
      </c>
      <c r="J113" s="385">
        <v>62.34</v>
      </c>
      <c r="K113" s="385">
        <v>0.22</v>
      </c>
      <c r="L113" s="395">
        <f>(7-0.1)*24</f>
        <v>165.60000000000002</v>
      </c>
      <c r="M113" s="385"/>
      <c r="N113" s="385">
        <v>2.11</v>
      </c>
      <c r="O113" s="385">
        <v>38.43</v>
      </c>
      <c r="P113" s="385">
        <v>62</v>
      </c>
      <c r="Q113" s="385">
        <v>10.14</v>
      </c>
      <c r="R113" s="385">
        <v>0.01</v>
      </c>
      <c r="S113" s="385">
        <v>1E-4</v>
      </c>
      <c r="T113" s="385">
        <v>1E-4</v>
      </c>
      <c r="U113" s="385">
        <v>1E-4</v>
      </c>
      <c r="V113" s="385"/>
    </row>
    <row r="114" spans="1:22" s="15" customFormat="1" x14ac:dyDescent="0.25">
      <c r="A114" s="572">
        <v>800111</v>
      </c>
      <c r="B114" s="394" t="str">
        <f t="shared" si="3"/>
        <v>-5,42/+5,69  (EC  5,3)</v>
      </c>
      <c r="C114" s="384">
        <v>5.6</v>
      </c>
      <c r="D114" s="385">
        <v>7.87</v>
      </c>
      <c r="E114" s="385">
        <v>0.53</v>
      </c>
      <c r="F114" s="386">
        <v>1.43</v>
      </c>
      <c r="G114" s="385"/>
      <c r="H114" s="385">
        <v>0.5</v>
      </c>
      <c r="I114" s="386">
        <v>36.229999999999997</v>
      </c>
      <c r="J114" s="385">
        <v>58.77</v>
      </c>
      <c r="K114" s="385">
        <v>0.22</v>
      </c>
      <c r="L114" s="395">
        <f>(8.1-0.1)*24</f>
        <v>192</v>
      </c>
      <c r="M114" s="385"/>
      <c r="N114" s="385">
        <v>2.09</v>
      </c>
      <c r="O114" s="385">
        <v>38.17</v>
      </c>
      <c r="P114" s="385">
        <v>61.88</v>
      </c>
      <c r="Q114" s="385">
        <v>10.18</v>
      </c>
      <c r="R114" s="385">
        <v>1E-4</v>
      </c>
      <c r="S114" s="385">
        <v>1E-4</v>
      </c>
      <c r="T114" s="385">
        <v>1E-4</v>
      </c>
      <c r="U114" s="385">
        <v>1E-4</v>
      </c>
      <c r="V114" s="385"/>
    </row>
    <row r="115" spans="1:22" s="15" customFormat="1" x14ac:dyDescent="0.25">
      <c r="A115" s="572">
        <v>800112</v>
      </c>
      <c r="B115" s="394" t="str">
        <f t="shared" si="3"/>
        <v>-7,88/+8,71  (EC  8)</v>
      </c>
      <c r="C115" s="384">
        <v>6</v>
      </c>
      <c r="D115" s="385">
        <v>7.9</v>
      </c>
      <c r="E115" s="385">
        <v>0.8</v>
      </c>
      <c r="F115" s="386">
        <v>2.62</v>
      </c>
      <c r="G115" s="385"/>
      <c r="H115" s="385">
        <v>1.61</v>
      </c>
      <c r="I115" s="386">
        <v>71.239999999999995</v>
      </c>
      <c r="J115" s="385">
        <f>12.87*10</f>
        <v>128.69999999999999</v>
      </c>
      <c r="K115" s="385">
        <v>0.22</v>
      </c>
      <c r="L115" s="395">
        <f>(8.1-0.1)*24</f>
        <v>192</v>
      </c>
      <c r="M115" s="385"/>
      <c r="N115" s="385">
        <v>2.23</v>
      </c>
      <c r="O115" s="385">
        <v>30.98</v>
      </c>
      <c r="P115" s="385">
        <v>75.45</v>
      </c>
      <c r="Q115" s="385">
        <v>40.99</v>
      </c>
      <c r="R115" s="385">
        <v>9.9999999999999995E-8</v>
      </c>
      <c r="S115" s="385">
        <v>9.9999999999999995E-8</v>
      </c>
      <c r="T115" s="385">
        <v>9.9999999999999995E-8</v>
      </c>
      <c r="U115" s="385">
        <v>0.33</v>
      </c>
      <c r="V115" s="385"/>
    </row>
    <row r="116" spans="1:22" s="15" customFormat="1" x14ac:dyDescent="0.25">
      <c r="A116" s="572">
        <v>800113</v>
      </c>
      <c r="B116" s="394" t="str">
        <f t="shared" si="3"/>
        <v>-13,18/+14,93  (EC  13,8)</v>
      </c>
      <c r="C116" s="384">
        <v>6</v>
      </c>
      <c r="D116" s="385">
        <v>7.57</v>
      </c>
      <c r="E116" s="385">
        <v>1.38</v>
      </c>
      <c r="F116" s="386">
        <f>0.69*10</f>
        <v>6.8999999999999995</v>
      </c>
      <c r="G116" s="385"/>
      <c r="H116" s="385">
        <v>1.61</v>
      </c>
      <c r="I116" s="386">
        <v>96.34</v>
      </c>
      <c r="J116" s="385">
        <f>35.72*10</f>
        <v>357.2</v>
      </c>
      <c r="K116" s="385">
        <v>0.22</v>
      </c>
      <c r="L116" s="395">
        <f>(7.5-0.1)*24</f>
        <v>177.60000000000002</v>
      </c>
      <c r="M116" s="385"/>
      <c r="N116" s="385">
        <v>3.38</v>
      </c>
      <c r="O116" s="385">
        <v>63.79</v>
      </c>
      <c r="P116" s="385">
        <v>109.59</v>
      </c>
      <c r="Q116" s="385">
        <v>77.72</v>
      </c>
      <c r="R116" s="385">
        <v>9.9999999999999995E-8</v>
      </c>
      <c r="S116" s="385">
        <v>9.9999999999999995E-8</v>
      </c>
      <c r="T116" s="385">
        <v>9.9999999999999995E-8</v>
      </c>
      <c r="U116" s="385">
        <v>9.9999999999999995E-8</v>
      </c>
      <c r="V116" s="385"/>
    </row>
    <row r="117" spans="1:22" s="15" customFormat="1" x14ac:dyDescent="0.25">
      <c r="A117" s="572">
        <v>800114</v>
      </c>
      <c r="B117" s="394" t="str">
        <f t="shared" si="3"/>
        <v>-4,13/+6,52  (EC  5,9)</v>
      </c>
      <c r="C117" s="384">
        <v>6</v>
      </c>
      <c r="D117" s="385">
        <v>7.58</v>
      </c>
      <c r="E117" s="385">
        <v>0.59</v>
      </c>
      <c r="F117" s="386">
        <v>1.45</v>
      </c>
      <c r="G117" s="385"/>
      <c r="H117" s="385">
        <v>1.6</v>
      </c>
      <c r="I117" s="386">
        <v>28.42</v>
      </c>
      <c r="J117" s="385">
        <v>28.43</v>
      </c>
      <c r="K117" s="385">
        <v>0.22</v>
      </c>
      <c r="L117" s="395">
        <f>(7-0.1)*24</f>
        <v>165.60000000000002</v>
      </c>
      <c r="M117" s="385"/>
      <c r="N117" s="385">
        <v>1.84</v>
      </c>
      <c r="O117" s="385">
        <v>14.11</v>
      </c>
      <c r="P117" s="385">
        <v>65.66</v>
      </c>
      <c r="Q117" s="385">
        <v>29.53</v>
      </c>
      <c r="R117" s="385"/>
      <c r="S117" s="385"/>
      <c r="T117" s="385"/>
      <c r="U117" s="385"/>
      <c r="V117" s="385"/>
    </row>
    <row r="118" spans="1:22" s="15" customFormat="1" x14ac:dyDescent="0.25">
      <c r="A118" s="572">
        <v>800115</v>
      </c>
      <c r="B118" s="394" t="str">
        <f t="shared" si="3"/>
        <v>-12,41/+14,67  (EC  13)</v>
      </c>
      <c r="C118" s="384">
        <v>6</v>
      </c>
      <c r="D118" s="385">
        <v>7.36</v>
      </c>
      <c r="E118" s="385">
        <v>1.3</v>
      </c>
      <c r="F118" s="386">
        <v>0.35</v>
      </c>
      <c r="G118" s="385"/>
      <c r="H118" s="385">
        <v>0.45</v>
      </c>
      <c r="I118" s="386">
        <f>62.66</f>
        <v>62.66</v>
      </c>
      <c r="J118" s="385">
        <v>59.39</v>
      </c>
      <c r="K118" s="385">
        <v>0.22</v>
      </c>
      <c r="L118" s="395">
        <f>(24-0.1)*24</f>
        <v>573.59999999999991</v>
      </c>
      <c r="M118" s="385"/>
      <c r="N118" s="385">
        <v>5.77</v>
      </c>
      <c r="O118" s="385">
        <v>83.74</v>
      </c>
      <c r="P118" s="385">
        <v>167.79</v>
      </c>
      <c r="Q118" s="385">
        <v>29.5</v>
      </c>
      <c r="R118" s="385"/>
      <c r="S118" s="385"/>
      <c r="T118" s="385"/>
      <c r="U118" s="385"/>
      <c r="V118" s="385"/>
    </row>
    <row r="119" spans="1:22" s="15" customFormat="1" x14ac:dyDescent="0.25">
      <c r="A119" s="572">
        <v>800116</v>
      </c>
      <c r="B119" s="394" t="str">
        <f t="shared" si="3"/>
        <v>-6,68/+7,34  (EC  7,6)</v>
      </c>
      <c r="C119" s="384">
        <v>6</v>
      </c>
      <c r="D119" s="385">
        <v>7.34</v>
      </c>
      <c r="E119" s="385">
        <v>0.76</v>
      </c>
      <c r="F119" s="386">
        <f>0.95*10</f>
        <v>9.5</v>
      </c>
      <c r="G119" s="385"/>
      <c r="H119" s="385">
        <v>1.6</v>
      </c>
      <c r="I119" s="386">
        <v>104.62</v>
      </c>
      <c r="J119" s="385">
        <v>17.02</v>
      </c>
      <c r="K119" s="385">
        <v>0.22</v>
      </c>
      <c r="L119" s="395">
        <f>(8.3-0.1)*24</f>
        <v>196.8</v>
      </c>
      <c r="M119" s="385"/>
      <c r="N119" s="385">
        <v>8.01</v>
      </c>
      <c r="O119" s="385">
        <v>23.77</v>
      </c>
      <c r="P119" s="385">
        <v>104.06</v>
      </c>
      <c r="Q119" s="385">
        <v>9.44</v>
      </c>
      <c r="R119" s="385"/>
      <c r="S119" s="385"/>
      <c r="T119" s="385"/>
      <c r="U119" s="385"/>
      <c r="V119" s="385"/>
    </row>
    <row r="120" spans="1:22" s="15" customFormat="1" x14ac:dyDescent="0.25">
      <c r="A120" s="572">
        <v>800117</v>
      </c>
      <c r="B120" s="394" t="str">
        <f t="shared" si="3"/>
        <v>-7,71/+8,21  (EC  8,1)</v>
      </c>
      <c r="C120" s="384">
        <v>6</v>
      </c>
      <c r="D120" s="385">
        <v>7.34</v>
      </c>
      <c r="E120" s="385">
        <v>0.81</v>
      </c>
      <c r="F120" s="386">
        <v>0.89</v>
      </c>
      <c r="G120" s="385"/>
      <c r="H120" s="385">
        <v>1.62</v>
      </c>
      <c r="I120" s="386">
        <v>124.57</v>
      </c>
      <c r="J120" s="385">
        <v>59.44</v>
      </c>
      <c r="K120" s="385">
        <v>0.22</v>
      </c>
      <c r="L120" s="395">
        <f>(7.6-0.1)*24</f>
        <v>180</v>
      </c>
      <c r="M120" s="385"/>
      <c r="N120" s="385">
        <v>11.62</v>
      </c>
      <c r="O120" s="385">
        <v>57.47</v>
      </c>
      <c r="P120" s="385">
        <v>85.21</v>
      </c>
      <c r="Q120" s="385">
        <v>12.47</v>
      </c>
      <c r="R120" s="385">
        <v>1E-4</v>
      </c>
      <c r="S120" s="385">
        <v>1E-4</v>
      </c>
      <c r="T120" s="385">
        <v>0.06</v>
      </c>
      <c r="U120" s="385">
        <v>1E-4</v>
      </c>
      <c r="V120" s="385"/>
    </row>
    <row r="121" spans="1:22" s="15" customFormat="1" x14ac:dyDescent="0.25">
      <c r="A121" s="572">
        <v>800118</v>
      </c>
      <c r="B121" s="394" t="str">
        <f t="shared" si="3"/>
        <v>-7,83/+7,45  (EC  7,3)</v>
      </c>
      <c r="C121" s="384">
        <v>6</v>
      </c>
      <c r="D121" s="385">
        <v>7.53</v>
      </c>
      <c r="E121" s="385">
        <v>0.73</v>
      </c>
      <c r="F121" s="386">
        <v>3.24</v>
      </c>
      <c r="G121" s="385"/>
      <c r="H121" s="385">
        <v>1.63</v>
      </c>
      <c r="I121" s="386">
        <v>65.52</v>
      </c>
      <c r="J121" s="385">
        <v>60.1</v>
      </c>
      <c r="K121" s="385">
        <v>0.22</v>
      </c>
      <c r="L121" s="395">
        <f>(12-0.1)*24</f>
        <v>285.60000000000002</v>
      </c>
      <c r="M121" s="385"/>
      <c r="N121" s="385">
        <v>2.66</v>
      </c>
      <c r="O121" s="385">
        <v>48</v>
      </c>
      <c r="P121" s="385">
        <v>86.67</v>
      </c>
      <c r="Q121" s="385">
        <v>10.119999999999999</v>
      </c>
      <c r="R121" s="385">
        <v>1E-4</v>
      </c>
      <c r="S121" s="385">
        <v>1E-4</v>
      </c>
      <c r="T121" s="385">
        <v>1E-4</v>
      </c>
      <c r="U121" s="385">
        <v>1E-4</v>
      </c>
      <c r="V121" s="385"/>
    </row>
    <row r="122" spans="1:22" s="15" customFormat="1" x14ac:dyDescent="0.25">
      <c r="A122" s="572">
        <v>800119</v>
      </c>
      <c r="B122" s="394" t="str">
        <f t="shared" si="3"/>
        <v>-5,56/+5,62  (EC  5,6)</v>
      </c>
      <c r="C122" s="384">
        <v>6</v>
      </c>
      <c r="D122" s="385">
        <v>7.63</v>
      </c>
      <c r="E122" s="385">
        <v>0.56000000000000005</v>
      </c>
      <c r="F122" s="386">
        <v>0.95</v>
      </c>
      <c r="G122" s="385"/>
      <c r="H122" s="385">
        <v>1.62</v>
      </c>
      <c r="I122" s="386">
        <v>58.88</v>
      </c>
      <c r="J122" s="385">
        <v>40.98</v>
      </c>
      <c r="K122" s="385">
        <v>0.22</v>
      </c>
      <c r="L122" s="395">
        <f>(7.8-0.1)*24</f>
        <v>184.8</v>
      </c>
      <c r="M122" s="385"/>
      <c r="N122" s="385">
        <v>2.4500000000000002</v>
      </c>
      <c r="O122" s="385">
        <v>40.549999999999997</v>
      </c>
      <c r="P122" s="385">
        <v>56.38</v>
      </c>
      <c r="Q122" s="385">
        <v>10.36</v>
      </c>
      <c r="R122" s="385">
        <v>1E-4</v>
      </c>
      <c r="S122" s="385">
        <v>1E-4</v>
      </c>
      <c r="T122" s="385">
        <v>1E-4</v>
      </c>
      <c r="U122" s="385">
        <v>0.01</v>
      </c>
      <c r="V122" s="385"/>
    </row>
    <row r="123" spans="1:22" s="15" customFormat="1" x14ac:dyDescent="0.25">
      <c r="A123" s="572">
        <v>800120</v>
      </c>
      <c r="B123" s="394" t="str">
        <f t="shared" si="3"/>
        <v>-11,58/+11,43  (EC  11,4)</v>
      </c>
      <c r="C123" s="384">
        <v>6</v>
      </c>
      <c r="D123" s="385">
        <v>7.56</v>
      </c>
      <c r="E123" s="385">
        <v>1.1399999999999999</v>
      </c>
      <c r="F123" s="386">
        <f>3.66*10</f>
        <v>36.6</v>
      </c>
      <c r="G123" s="385"/>
      <c r="H123" s="385">
        <v>1.63</v>
      </c>
      <c r="I123" s="386">
        <v>98.78</v>
      </c>
      <c r="J123" s="385">
        <v>93.57</v>
      </c>
      <c r="K123" s="385">
        <v>0.22</v>
      </c>
      <c r="L123" s="395">
        <f>(16-0.1)*24</f>
        <v>381.6</v>
      </c>
      <c r="M123" s="385"/>
      <c r="N123" s="385">
        <v>0.33</v>
      </c>
      <c r="O123" s="385">
        <v>57.65</v>
      </c>
      <c r="P123" s="385">
        <v>159.68</v>
      </c>
      <c r="Q123" s="385">
        <v>9.75</v>
      </c>
      <c r="R123" s="385">
        <v>0.01</v>
      </c>
      <c r="S123" s="385">
        <v>1E-4</v>
      </c>
      <c r="T123" s="385">
        <v>1E-4</v>
      </c>
      <c r="U123" s="385">
        <v>1E-4</v>
      </c>
      <c r="V123" s="385"/>
    </row>
    <row r="124" spans="1:22" s="15" customFormat="1" x14ac:dyDescent="0.25">
      <c r="A124" s="572">
        <v>800121</v>
      </c>
      <c r="B124" s="394" t="str">
        <f t="shared" si="3"/>
        <v>-19,88/+19,68  (EC  20,4)</v>
      </c>
      <c r="C124" s="384">
        <v>6</v>
      </c>
      <c r="D124" s="385">
        <v>7.29</v>
      </c>
      <c r="E124" s="385">
        <v>2.04</v>
      </c>
      <c r="F124" s="386">
        <f>5.15*10</f>
        <v>51.5</v>
      </c>
      <c r="G124" s="385"/>
      <c r="H124" s="385">
        <v>0.86</v>
      </c>
      <c r="I124" s="386">
        <f>35.09*10</f>
        <v>350.90000000000003</v>
      </c>
      <c r="J124" s="385">
        <f>15.86*10</f>
        <v>158.6</v>
      </c>
      <c r="K124" s="385">
        <v>0.22</v>
      </c>
      <c r="L124" s="395">
        <f>(15-0.1)*24</f>
        <v>357.6</v>
      </c>
      <c r="M124" s="385"/>
      <c r="N124" s="385">
        <v>0.93</v>
      </c>
      <c r="O124" s="385">
        <v>118.09</v>
      </c>
      <c r="P124" s="385">
        <v>254.75</v>
      </c>
      <c r="Q124" s="385">
        <v>20.63</v>
      </c>
      <c r="R124" s="385">
        <v>0.01</v>
      </c>
      <c r="S124" s="385">
        <v>1E-4</v>
      </c>
      <c r="T124" s="385">
        <v>1E-4</v>
      </c>
      <c r="U124" s="385">
        <v>1E-4</v>
      </c>
      <c r="V124" s="385"/>
    </row>
    <row r="125" spans="1:22" s="15" customFormat="1" x14ac:dyDescent="0.25">
      <c r="A125" s="572">
        <v>800122</v>
      </c>
      <c r="B125" s="394" t="str">
        <f t="shared" si="3"/>
        <v>-7,41/+7,65  (EC  7,6)</v>
      </c>
      <c r="C125" s="384">
        <v>6</v>
      </c>
      <c r="D125" s="385">
        <v>7.93</v>
      </c>
      <c r="E125" s="385">
        <v>0.76</v>
      </c>
      <c r="F125" s="386">
        <v>12</v>
      </c>
      <c r="G125" s="385"/>
      <c r="H125" s="385">
        <v>0.28999999999999998</v>
      </c>
      <c r="I125" s="386">
        <v>77</v>
      </c>
      <c r="J125" s="385">
        <v>45.9</v>
      </c>
      <c r="K125" s="385">
        <v>0.22</v>
      </c>
      <c r="L125" s="395">
        <f>(10.5-0.1)*24</f>
        <v>249.60000000000002</v>
      </c>
      <c r="M125" s="385">
        <v>0.01</v>
      </c>
      <c r="N125" s="385">
        <v>2.29</v>
      </c>
      <c r="O125" s="385">
        <v>25.96</v>
      </c>
      <c r="P125" s="385">
        <v>74.58</v>
      </c>
      <c r="Q125" s="385">
        <v>32.57</v>
      </c>
      <c r="R125" s="385">
        <v>0.01</v>
      </c>
      <c r="S125" s="385">
        <v>1E-4</v>
      </c>
      <c r="T125" s="385">
        <v>1E-4</v>
      </c>
      <c r="U125" s="385">
        <v>1E-4</v>
      </c>
      <c r="V125" s="385"/>
    </row>
    <row r="126" spans="1:22" s="15" customFormat="1" x14ac:dyDescent="0.25">
      <c r="A126" s="572">
        <v>800123</v>
      </c>
      <c r="B126" s="394" t="str">
        <f t="shared" si="3"/>
        <v>-9,45/+9,56  (EC  9,4)</v>
      </c>
      <c r="C126" s="384">
        <v>6</v>
      </c>
      <c r="D126" s="385">
        <v>7.63</v>
      </c>
      <c r="E126" s="385">
        <v>0.94</v>
      </c>
      <c r="F126" s="386">
        <v>5.13</v>
      </c>
      <c r="G126" s="385">
        <v>0.01</v>
      </c>
      <c r="H126" s="385">
        <v>1.64</v>
      </c>
      <c r="I126" s="386">
        <v>98.25</v>
      </c>
      <c r="J126" s="385">
        <v>31.54</v>
      </c>
      <c r="K126" s="385">
        <v>0.22</v>
      </c>
      <c r="L126" s="395">
        <f>(15.2-0.1)*24</f>
        <v>362.4</v>
      </c>
      <c r="M126" s="385">
        <v>0.01</v>
      </c>
      <c r="N126" s="385">
        <v>1.72</v>
      </c>
      <c r="O126" s="385">
        <v>33.22</v>
      </c>
      <c r="P126" s="385">
        <v>84.89</v>
      </c>
      <c r="Q126" s="385">
        <v>44.53</v>
      </c>
      <c r="R126" s="385">
        <v>0.01</v>
      </c>
      <c r="S126" s="385">
        <v>1E-4</v>
      </c>
      <c r="T126" s="385">
        <v>1E-4</v>
      </c>
      <c r="U126" s="385">
        <v>1E-4</v>
      </c>
      <c r="V126" s="385"/>
    </row>
    <row r="127" spans="1:22" s="15" customFormat="1" x14ac:dyDescent="0.25">
      <c r="A127" s="572">
        <v>800124</v>
      </c>
      <c r="B127" s="394" t="str">
        <f t="shared" si="3"/>
        <v>-9,05/+9,34  (EC  9)</v>
      </c>
      <c r="C127" s="384">
        <v>6</v>
      </c>
      <c r="D127" s="385">
        <v>7.67</v>
      </c>
      <c r="E127" s="385">
        <v>0.9</v>
      </c>
      <c r="F127" s="386">
        <v>5.27</v>
      </c>
      <c r="G127" s="385">
        <v>0.01</v>
      </c>
      <c r="H127" s="385">
        <v>1.63</v>
      </c>
      <c r="I127" s="386">
        <v>84.59</v>
      </c>
      <c r="J127" s="385">
        <v>34.24</v>
      </c>
      <c r="K127" s="385">
        <v>0.22</v>
      </c>
      <c r="L127" s="395">
        <f>(15-0.1)*24</f>
        <v>357.6</v>
      </c>
      <c r="M127" s="385">
        <v>0.01</v>
      </c>
      <c r="N127" s="385">
        <v>1.69</v>
      </c>
      <c r="O127" s="385">
        <v>25.71</v>
      </c>
      <c r="P127" s="385">
        <v>84.27</v>
      </c>
      <c r="Q127" s="385">
        <v>46.23</v>
      </c>
      <c r="R127" s="385">
        <v>0.01</v>
      </c>
      <c r="S127" s="385">
        <v>1E-4</v>
      </c>
      <c r="T127" s="385">
        <v>1E-4</v>
      </c>
      <c r="U127" s="385">
        <v>1E-4</v>
      </c>
      <c r="V127" s="385"/>
    </row>
    <row r="128" spans="1:22" s="15" customFormat="1" x14ac:dyDescent="0.25">
      <c r="A128" s="572">
        <v>800125</v>
      </c>
      <c r="B128" s="394" t="str">
        <f t="shared" si="3"/>
        <v>-9,82/+9,98  (EC  9,7)</v>
      </c>
      <c r="C128" s="384">
        <v>6</v>
      </c>
      <c r="D128" s="385">
        <v>7.6</v>
      </c>
      <c r="E128" s="385">
        <v>0.97</v>
      </c>
      <c r="F128" s="386">
        <v>5.16</v>
      </c>
      <c r="G128" s="385">
        <v>0.01</v>
      </c>
      <c r="H128" s="385">
        <v>1.65</v>
      </c>
      <c r="I128" s="386">
        <v>113.85</v>
      </c>
      <c r="J128" s="385">
        <v>31.78</v>
      </c>
      <c r="K128" s="385">
        <v>0.22</v>
      </c>
      <c r="L128" s="395">
        <f>(15-0.1)*24</f>
        <v>357.6</v>
      </c>
      <c r="M128" s="385">
        <v>0.01</v>
      </c>
      <c r="N128" s="385">
        <v>1.79</v>
      </c>
      <c r="O128" s="385">
        <v>24.58</v>
      </c>
      <c r="P128" s="385">
        <v>90.24</v>
      </c>
      <c r="Q128" s="385">
        <v>50.87</v>
      </c>
      <c r="R128" s="385">
        <v>0.01</v>
      </c>
      <c r="S128" s="385">
        <v>1E-4</v>
      </c>
      <c r="T128" s="385">
        <v>1E-4</v>
      </c>
      <c r="U128" s="385">
        <v>1E-4</v>
      </c>
      <c r="V128" s="385"/>
    </row>
    <row r="129" spans="1:22" s="15" customFormat="1" x14ac:dyDescent="0.25">
      <c r="A129" s="572">
        <v>800126</v>
      </c>
      <c r="B129" s="394" t="str">
        <f t="shared" si="3"/>
        <v>-8,52/+8,65  (EC  8,4)</v>
      </c>
      <c r="C129" s="384">
        <v>6</v>
      </c>
      <c r="D129" s="385">
        <v>7.69</v>
      </c>
      <c r="E129" s="385">
        <v>0.84</v>
      </c>
      <c r="F129" s="386">
        <v>2.04</v>
      </c>
      <c r="G129" s="385">
        <v>0.01</v>
      </c>
      <c r="H129" s="385">
        <v>1.6</v>
      </c>
      <c r="I129" s="386">
        <v>54.11</v>
      </c>
      <c r="J129" s="385">
        <v>94.49</v>
      </c>
      <c r="K129" s="385">
        <v>0.22</v>
      </c>
      <c r="L129" s="395">
        <f>(12.8-0.1)*24</f>
        <v>304.8</v>
      </c>
      <c r="M129" s="385">
        <v>0.01</v>
      </c>
      <c r="N129" s="385">
        <v>3.13</v>
      </c>
      <c r="O129" s="385">
        <v>36.11</v>
      </c>
      <c r="P129" s="385">
        <v>73.64</v>
      </c>
      <c r="Q129" s="385">
        <v>38.450000000000003</v>
      </c>
      <c r="R129" s="385">
        <v>0.01</v>
      </c>
      <c r="S129" s="385">
        <v>1E-4</v>
      </c>
      <c r="T129" s="385">
        <v>1E-4</v>
      </c>
      <c r="U129" s="385">
        <v>1E-4</v>
      </c>
      <c r="V129" s="385"/>
    </row>
    <row r="130" spans="1:22" s="15" customFormat="1" x14ac:dyDescent="0.25">
      <c r="A130" s="572">
        <v>800127</v>
      </c>
      <c r="B130" s="394" t="str">
        <f t="shared" si="3"/>
        <v>-10,03/+10,00  (EC  9,8)</v>
      </c>
      <c r="C130" s="384">
        <v>6</v>
      </c>
      <c r="D130" s="385">
        <v>7.77</v>
      </c>
      <c r="E130" s="385">
        <v>0.98</v>
      </c>
      <c r="F130" s="386">
        <v>4.96</v>
      </c>
      <c r="G130" s="385">
        <v>0.01</v>
      </c>
      <c r="H130" s="385">
        <v>1.61</v>
      </c>
      <c r="I130" s="386">
        <v>114.68</v>
      </c>
      <c r="J130" s="385">
        <v>31.48</v>
      </c>
      <c r="K130" s="385">
        <v>0.22</v>
      </c>
      <c r="L130" s="395">
        <f>(15.5-0.1)*24</f>
        <v>369.6</v>
      </c>
      <c r="M130" s="385">
        <v>0.01</v>
      </c>
      <c r="N130" s="385">
        <v>1.76</v>
      </c>
      <c r="O130" s="385">
        <v>24.62</v>
      </c>
      <c r="P130" s="385">
        <v>90.49</v>
      </c>
      <c r="Q130" s="385">
        <v>50.96</v>
      </c>
      <c r="R130" s="385">
        <v>0.01</v>
      </c>
      <c r="S130" s="385">
        <v>1E-4</v>
      </c>
      <c r="T130" s="385">
        <v>1E-4</v>
      </c>
      <c r="U130" s="385">
        <v>1E-4</v>
      </c>
      <c r="V130" s="385"/>
    </row>
    <row r="131" spans="1:22" s="15" customFormat="1" x14ac:dyDescent="0.25">
      <c r="A131" s="572">
        <v>800128</v>
      </c>
      <c r="B131" s="394" t="str">
        <f t="shared" si="3"/>
        <v>-16,96/+16,17  (EC  16,1)</v>
      </c>
      <c r="C131" s="384" t="s">
        <v>139</v>
      </c>
      <c r="D131" s="385">
        <v>7.67</v>
      </c>
      <c r="E131" s="385">
        <v>1.61</v>
      </c>
      <c r="F131" s="386">
        <v>24</v>
      </c>
      <c r="G131" s="385"/>
      <c r="H131" s="385">
        <v>0.22</v>
      </c>
      <c r="I131" s="386">
        <v>279.10000000000002</v>
      </c>
      <c r="J131" s="385">
        <v>160</v>
      </c>
      <c r="K131" s="385">
        <v>0.2</v>
      </c>
      <c r="L131" s="395">
        <v>328</v>
      </c>
      <c r="M131" s="385"/>
      <c r="N131" s="385">
        <v>5.79</v>
      </c>
      <c r="O131" s="385">
        <v>180.85</v>
      </c>
      <c r="P131" s="385">
        <v>91.37</v>
      </c>
      <c r="Q131" s="385">
        <v>42.87</v>
      </c>
      <c r="R131" s="385">
        <v>1E-3</v>
      </c>
      <c r="S131" s="385">
        <v>1E-3</v>
      </c>
      <c r="T131" s="385">
        <v>1E-3</v>
      </c>
      <c r="U131" s="385">
        <v>1E-3</v>
      </c>
      <c r="V131" s="385"/>
    </row>
    <row r="132" spans="1:22" s="15" customFormat="1" x14ac:dyDescent="0.25">
      <c r="A132" s="572">
        <v>800129</v>
      </c>
      <c r="B132" s="394" t="str">
        <f t="shared" si="3"/>
        <v>-37,88/+39,27  (EC  38,1)</v>
      </c>
      <c r="C132" s="384" t="s">
        <v>139</v>
      </c>
      <c r="D132" s="385">
        <v>7.54</v>
      </c>
      <c r="E132" s="385">
        <v>3.81</v>
      </c>
      <c r="F132" s="386">
        <v>29</v>
      </c>
      <c r="G132" s="385"/>
      <c r="H132" s="385">
        <v>0.11</v>
      </c>
      <c r="I132" s="386">
        <v>842.4</v>
      </c>
      <c r="J132" s="385">
        <v>420</v>
      </c>
      <c r="K132" s="385">
        <v>0.14000000000000001</v>
      </c>
      <c r="L132" s="395">
        <v>301</v>
      </c>
      <c r="M132" s="385"/>
      <c r="N132" s="385">
        <v>4.1900000000000004</v>
      </c>
      <c r="O132" s="385">
        <v>481.01</v>
      </c>
      <c r="P132" s="385">
        <v>183.25</v>
      </c>
      <c r="Q132" s="385">
        <v>108.94</v>
      </c>
      <c r="R132" s="385">
        <v>1E-3</v>
      </c>
      <c r="S132" s="385">
        <v>1E-3</v>
      </c>
      <c r="T132" s="385">
        <v>1E-3</v>
      </c>
      <c r="U132" s="385">
        <v>1E-3</v>
      </c>
      <c r="V132" s="385"/>
    </row>
    <row r="133" spans="1:22" s="15" customFormat="1" x14ac:dyDescent="0.25">
      <c r="A133" s="572">
        <v>800130</v>
      </c>
      <c r="B133" s="394" t="str">
        <f t="shared" si="3"/>
        <v>-61,55/+62,03  (EC  62,7)</v>
      </c>
      <c r="C133" s="384" t="s">
        <v>139</v>
      </c>
      <c r="D133" s="385">
        <v>7.18</v>
      </c>
      <c r="E133" s="385">
        <v>6.27</v>
      </c>
      <c r="F133" s="386">
        <v>27</v>
      </c>
      <c r="G133" s="385"/>
      <c r="H133" s="385">
        <v>0.12</v>
      </c>
      <c r="I133" s="386">
        <v>1210.3</v>
      </c>
      <c r="J133" s="385">
        <v>960</v>
      </c>
      <c r="K133" s="385">
        <v>0.21</v>
      </c>
      <c r="L133" s="395">
        <v>428</v>
      </c>
      <c r="M133" s="385"/>
      <c r="N133" s="385">
        <v>11.92</v>
      </c>
      <c r="O133" s="385">
        <v>824.96</v>
      </c>
      <c r="P133" s="385">
        <v>251.11</v>
      </c>
      <c r="Q133" s="385">
        <v>159.54</v>
      </c>
      <c r="R133" s="385">
        <v>1E-3</v>
      </c>
      <c r="S133" s="385">
        <v>1E-3</v>
      </c>
      <c r="T133" s="385">
        <v>1E-3</v>
      </c>
      <c r="U133" s="385">
        <v>1E-3</v>
      </c>
      <c r="V133" s="385"/>
    </row>
    <row r="134" spans="1:22" s="15" customFormat="1" x14ac:dyDescent="0.25">
      <c r="A134" s="572">
        <v>800131</v>
      </c>
      <c r="B134" s="394" t="str">
        <f t="shared" si="3"/>
        <v>-52,52/+50,76  (EC  51,2)</v>
      </c>
      <c r="C134" s="384" t="s">
        <v>139</v>
      </c>
      <c r="D134" s="385">
        <v>7.02</v>
      </c>
      <c r="E134" s="385">
        <v>5.12</v>
      </c>
      <c r="F134" s="386">
        <v>31</v>
      </c>
      <c r="G134" s="385"/>
      <c r="H134" s="385">
        <v>0.14000000000000001</v>
      </c>
      <c r="I134" s="386">
        <v>1125.4000000000001</v>
      </c>
      <c r="J134" s="385">
        <v>725</v>
      </c>
      <c r="K134" s="385">
        <v>0.13</v>
      </c>
      <c r="L134" s="395">
        <v>318</v>
      </c>
      <c r="M134" s="385"/>
      <c r="N134" s="385">
        <v>5.56</v>
      </c>
      <c r="O134" s="385">
        <v>469.97</v>
      </c>
      <c r="P134" s="385">
        <v>258.33</v>
      </c>
      <c r="Q134" s="385">
        <v>207.1</v>
      </c>
      <c r="R134" s="385">
        <v>1E-3</v>
      </c>
      <c r="S134" s="385">
        <v>1E-3</v>
      </c>
      <c r="T134" s="385">
        <v>1E-3</v>
      </c>
      <c r="U134" s="385">
        <v>1E-3</v>
      </c>
      <c r="V134" s="385"/>
    </row>
    <row r="135" spans="1:22" s="15" customFormat="1" x14ac:dyDescent="0.25">
      <c r="A135" s="572">
        <v>800132</v>
      </c>
      <c r="B135" s="394" t="str">
        <f t="shared" si="3"/>
        <v>-24,54/+24,79  (EC  24,8)</v>
      </c>
      <c r="C135" s="384" t="s">
        <v>139</v>
      </c>
      <c r="D135" s="385">
        <v>7.45</v>
      </c>
      <c r="E135" s="385">
        <v>2.48</v>
      </c>
      <c r="F135" s="386">
        <v>22</v>
      </c>
      <c r="G135" s="385"/>
      <c r="H135" s="385">
        <v>0.13</v>
      </c>
      <c r="I135" s="386">
        <v>557.70000000000005</v>
      </c>
      <c r="J135" s="385">
        <v>148</v>
      </c>
      <c r="K135" s="385">
        <v>0.19</v>
      </c>
      <c r="L135" s="395">
        <v>329</v>
      </c>
      <c r="M135" s="385"/>
      <c r="N135" s="385">
        <v>3.09</v>
      </c>
      <c r="O135" s="385">
        <v>331.34</v>
      </c>
      <c r="P135" s="385">
        <v>89.62</v>
      </c>
      <c r="Q135" s="385">
        <v>69.83</v>
      </c>
      <c r="R135" s="385">
        <v>1E-3</v>
      </c>
      <c r="S135" s="385">
        <v>1E-3</v>
      </c>
      <c r="T135" s="385">
        <v>1E-3</v>
      </c>
      <c r="U135" s="385">
        <v>1E-3</v>
      </c>
      <c r="V135" s="385"/>
    </row>
    <row r="136" spans="1:22" s="15" customFormat="1" x14ac:dyDescent="0.25">
      <c r="A136" s="572">
        <v>800133</v>
      </c>
      <c r="B136" s="394" t="str">
        <f t="shared" si="3"/>
        <v>-18,51/+17,66  (EC  17,4)</v>
      </c>
      <c r="C136" s="384" t="s">
        <v>139</v>
      </c>
      <c r="D136" s="385">
        <v>7.48</v>
      </c>
      <c r="E136" s="385">
        <v>1.74</v>
      </c>
      <c r="F136" s="386">
        <v>30</v>
      </c>
      <c r="G136" s="385"/>
      <c r="H136" s="385">
        <v>0.22</v>
      </c>
      <c r="I136" s="386">
        <v>420.6</v>
      </c>
      <c r="J136" s="385">
        <v>121</v>
      </c>
      <c r="K136" s="385">
        <v>0.16</v>
      </c>
      <c r="L136" s="395">
        <v>223</v>
      </c>
      <c r="M136" s="385"/>
      <c r="N136" s="385">
        <v>2.42</v>
      </c>
      <c r="O136" s="385">
        <v>272.52</v>
      </c>
      <c r="P136" s="385">
        <v>62.78</v>
      </c>
      <c r="Q136" s="385">
        <v>31.09</v>
      </c>
      <c r="R136" s="385">
        <v>1E-3</v>
      </c>
      <c r="S136" s="385">
        <v>1E-3</v>
      </c>
      <c r="T136" s="385">
        <v>1E-3</v>
      </c>
      <c r="U136" s="385"/>
      <c r="V136" s="385"/>
    </row>
    <row r="137" spans="1:22" s="400" customFormat="1" x14ac:dyDescent="0.25">
      <c r="A137" s="574">
        <v>800135</v>
      </c>
      <c r="B137" s="396" t="str">
        <f>"-"&amp;TEXT((F137/62+G137/46+I137/35.5+J137/48+K137/97+L137/61),"0,00")&amp;"/+"&amp;TEXT((N137/39+O137/23+P137/20+Q137/12+H136/14),"0,00")&amp;"  (EC  "&amp;E137*10&amp;")"</f>
        <v>-28,09/+27,54  (EC  27,3)</v>
      </c>
      <c r="C137" s="24">
        <v>6</v>
      </c>
      <c r="D137" s="397">
        <v>7.09</v>
      </c>
      <c r="E137" s="398">
        <v>2.73</v>
      </c>
      <c r="F137" s="399">
        <v>0.99</v>
      </c>
      <c r="G137" s="397">
        <v>0.01</v>
      </c>
      <c r="H137" s="397">
        <v>0.04</v>
      </c>
      <c r="I137" s="399">
        <f>199.67</f>
        <v>199.67</v>
      </c>
      <c r="J137" s="397">
        <f>90.56*10</f>
        <v>905.6</v>
      </c>
      <c r="K137" s="397">
        <v>0.22</v>
      </c>
      <c r="L137" s="24">
        <f>(9.2-0.1)*24</f>
        <v>218.39999999999998</v>
      </c>
      <c r="M137" s="397">
        <v>0.01</v>
      </c>
      <c r="N137" s="397">
        <v>14.952999999999999</v>
      </c>
      <c r="O137" s="397">
        <v>175.16</v>
      </c>
      <c r="P137" s="397">
        <v>233.12</v>
      </c>
      <c r="Q137" s="397">
        <v>94.393000000000001</v>
      </c>
      <c r="R137" s="385">
        <v>1E-3</v>
      </c>
      <c r="S137" s="385">
        <v>1E-3</v>
      </c>
      <c r="T137" s="397">
        <v>0.35</v>
      </c>
      <c r="U137" s="397">
        <v>0.02</v>
      </c>
      <c r="V137" s="397"/>
    </row>
    <row r="138" spans="1:22" s="15" customFormat="1" x14ac:dyDescent="0.25">
      <c r="A138" s="572">
        <v>800134</v>
      </c>
      <c r="B138" s="394" t="str">
        <f t="shared" si="3"/>
        <v>-13,35/+13,74  (EC  13,9)</v>
      </c>
      <c r="C138" s="384" t="s">
        <v>139</v>
      </c>
      <c r="D138" s="385">
        <v>7.45</v>
      </c>
      <c r="E138" s="385">
        <v>1.39</v>
      </c>
      <c r="F138" s="386">
        <v>27</v>
      </c>
      <c r="G138" s="385"/>
      <c r="H138" s="385">
        <v>0.15</v>
      </c>
      <c r="I138" s="386">
        <v>205.5</v>
      </c>
      <c r="J138" s="385">
        <v>106</v>
      </c>
      <c r="K138" s="385">
        <v>0.18</v>
      </c>
      <c r="L138" s="395">
        <v>300</v>
      </c>
      <c r="M138" s="385"/>
      <c r="N138" s="385">
        <v>3.25</v>
      </c>
      <c r="O138" s="385">
        <v>68.38</v>
      </c>
      <c r="P138" s="385">
        <v>102.38</v>
      </c>
      <c r="Q138" s="385">
        <v>66.61</v>
      </c>
      <c r="R138" s="385">
        <v>1E-3</v>
      </c>
      <c r="S138" s="385">
        <v>1E-3</v>
      </c>
      <c r="T138" s="385">
        <v>1E-3</v>
      </c>
      <c r="U138" s="385">
        <v>1E-3</v>
      </c>
      <c r="V138" s="385"/>
    </row>
    <row r="139" spans="1:22" s="15" customFormat="1" x14ac:dyDescent="0.25">
      <c r="A139" s="572">
        <v>800140</v>
      </c>
      <c r="B139" s="394" t="str">
        <f t="shared" si="3"/>
        <v>-10,91/+10,84  (EC  10,7)</v>
      </c>
      <c r="C139" s="384">
        <v>7</v>
      </c>
      <c r="D139" s="385">
        <v>7.96</v>
      </c>
      <c r="E139" s="385">
        <v>1.07</v>
      </c>
      <c r="F139" s="386">
        <v>0.25</v>
      </c>
      <c r="G139" s="385">
        <v>0.01</v>
      </c>
      <c r="H139" s="385">
        <v>0.14000000000000001</v>
      </c>
      <c r="I139" s="386">
        <v>222.18</v>
      </c>
      <c r="J139" s="385">
        <v>81.42</v>
      </c>
      <c r="K139" s="385">
        <v>0.22</v>
      </c>
      <c r="L139" s="395">
        <f>(7.6-0.1)*24</f>
        <v>180</v>
      </c>
      <c r="M139" s="385">
        <v>0.01</v>
      </c>
      <c r="N139" s="385">
        <v>3.1949999999999998</v>
      </c>
      <c r="O139" s="385">
        <v>162.38</v>
      </c>
      <c r="P139" s="385">
        <v>37.78</v>
      </c>
      <c r="Q139" s="385">
        <v>21.608000000000001</v>
      </c>
      <c r="R139" s="385">
        <v>1E-3</v>
      </c>
      <c r="S139" s="385">
        <v>1E-3</v>
      </c>
      <c r="T139" s="385">
        <v>1E-3</v>
      </c>
      <c r="U139" s="385">
        <v>1E-3</v>
      </c>
      <c r="V139" s="385"/>
    </row>
    <row r="140" spans="1:22" s="15" customFormat="1" x14ac:dyDescent="0.25">
      <c r="A140" s="572">
        <v>800141</v>
      </c>
      <c r="B140" s="394" t="str">
        <f t="shared" si="3"/>
        <v>-16,78/+18,32  (EC  17,6)</v>
      </c>
      <c r="C140" s="384">
        <v>7</v>
      </c>
      <c r="D140" s="385">
        <v>7.26</v>
      </c>
      <c r="E140" s="385">
        <v>1.76</v>
      </c>
      <c r="F140" s="386">
        <f>0.88*10</f>
        <v>8.8000000000000007</v>
      </c>
      <c r="G140" s="385">
        <v>0.01</v>
      </c>
      <c r="H140" s="385">
        <v>0.03</v>
      </c>
      <c r="I140" s="386">
        <v>214.53</v>
      </c>
      <c r="J140" s="385">
        <v>94.95</v>
      </c>
      <c r="K140" s="385">
        <v>0.22</v>
      </c>
      <c r="L140" s="395">
        <f>(22-0.1)*24</f>
        <v>525.59999999999991</v>
      </c>
      <c r="M140" s="385">
        <v>0.01</v>
      </c>
      <c r="N140" s="385">
        <v>2.5569999999999999</v>
      </c>
      <c r="O140" s="385">
        <v>203.62</v>
      </c>
      <c r="P140" s="385">
        <v>86.26</v>
      </c>
      <c r="Q140" s="385">
        <v>60.991999999999997</v>
      </c>
      <c r="R140" s="385">
        <v>1E-3</v>
      </c>
      <c r="S140" s="385">
        <v>1E-3</v>
      </c>
      <c r="T140" s="385">
        <v>1E-3</v>
      </c>
      <c r="U140" s="385">
        <v>1E-3</v>
      </c>
      <c r="V140" s="385"/>
    </row>
    <row r="141" spans="1:22" s="15" customFormat="1" x14ac:dyDescent="0.25">
      <c r="A141" s="572">
        <v>800142</v>
      </c>
      <c r="B141" s="394" t="str">
        <f t="shared" si="3"/>
        <v>-5,51/+6,63  (EC  6,2)</v>
      </c>
      <c r="C141" s="384">
        <v>7</v>
      </c>
      <c r="D141" s="385">
        <v>7.91</v>
      </c>
      <c r="E141" s="385">
        <v>0.62</v>
      </c>
      <c r="F141" s="386">
        <v>2.5099999999999998</v>
      </c>
      <c r="G141" s="385">
        <v>0.01</v>
      </c>
      <c r="H141" s="385">
        <v>0.02</v>
      </c>
      <c r="I141" s="386">
        <v>38.130000000000003</v>
      </c>
      <c r="J141" s="385">
        <v>69.319999999999993</v>
      </c>
      <c r="K141" s="385">
        <v>0.22</v>
      </c>
      <c r="L141" s="395">
        <f>(7.6-0.1)*24</f>
        <v>180</v>
      </c>
      <c r="M141" s="385">
        <v>0.01</v>
      </c>
      <c r="N141" s="385">
        <v>2.8580000000000001</v>
      </c>
      <c r="O141" s="385">
        <v>38.92</v>
      </c>
      <c r="P141" s="385">
        <v>46.7</v>
      </c>
      <c r="Q141" s="385">
        <v>30.359000000000002</v>
      </c>
      <c r="R141" s="385">
        <v>1E-3</v>
      </c>
      <c r="S141" s="385">
        <v>1E-3</v>
      </c>
      <c r="T141" s="385">
        <v>1E-3</v>
      </c>
      <c r="U141" s="385">
        <v>1E-3</v>
      </c>
      <c r="V141" s="385"/>
    </row>
    <row r="142" spans="1:22" s="15" customFormat="1" x14ac:dyDescent="0.25">
      <c r="A142" s="572">
        <v>800143</v>
      </c>
      <c r="B142" s="394" t="str">
        <f t="shared" si="3"/>
        <v>-10,01/+11,70  (EC  11,3)</v>
      </c>
      <c r="C142" s="384">
        <v>7</v>
      </c>
      <c r="D142" s="385">
        <v>7.21</v>
      </c>
      <c r="E142" s="385">
        <v>1.1299999999999999</v>
      </c>
      <c r="F142" s="386">
        <v>4.68</v>
      </c>
      <c r="G142" s="385">
        <v>0.01</v>
      </c>
      <c r="H142" s="385">
        <v>0.05</v>
      </c>
      <c r="I142" s="386">
        <v>128.66</v>
      </c>
      <c r="J142" s="385">
        <v>78.09</v>
      </c>
      <c r="K142" s="385">
        <v>0.22</v>
      </c>
      <c r="L142" s="395">
        <f>(12-0.1)*24</f>
        <v>285.60000000000002</v>
      </c>
      <c r="M142" s="385">
        <v>0.01</v>
      </c>
      <c r="N142" s="385">
        <v>2.9929999999999999</v>
      </c>
      <c r="O142" s="385">
        <v>51.59</v>
      </c>
      <c r="P142" s="385">
        <v>99.12</v>
      </c>
      <c r="Q142" s="385">
        <v>53.046999999999997</v>
      </c>
      <c r="R142" s="385">
        <v>1E-3</v>
      </c>
      <c r="S142" s="385">
        <v>1E-3</v>
      </c>
      <c r="T142" s="385">
        <v>1E-3</v>
      </c>
      <c r="U142" s="385">
        <v>1E-3</v>
      </c>
      <c r="V142" s="385"/>
    </row>
    <row r="143" spans="1:22" s="15" customFormat="1" x14ac:dyDescent="0.25">
      <c r="A143" s="572">
        <v>800145</v>
      </c>
      <c r="B143" s="394" t="str">
        <f t="shared" si="3"/>
        <v>-36,92/+38,04  (EC  37)</v>
      </c>
      <c r="C143" s="384">
        <v>6.9</v>
      </c>
      <c r="D143" s="385">
        <v>7.56</v>
      </c>
      <c r="E143" s="385">
        <v>3.7</v>
      </c>
      <c r="F143" s="386">
        <v>2.56</v>
      </c>
      <c r="G143" s="385">
        <v>0.01</v>
      </c>
      <c r="H143" s="385">
        <v>0.74</v>
      </c>
      <c r="I143" s="386">
        <v>677.59</v>
      </c>
      <c r="J143" s="385">
        <f>38.93*5</f>
        <v>194.65</v>
      </c>
      <c r="K143" s="385">
        <v>0.22</v>
      </c>
      <c r="L143" s="395">
        <f>(35-0.1)*24</f>
        <v>837.59999999999991</v>
      </c>
      <c r="M143" s="385">
        <v>0.01</v>
      </c>
      <c r="N143" s="385">
        <v>7.09</v>
      </c>
      <c r="O143" s="385">
        <v>460.07</v>
      </c>
      <c r="P143" s="385">
        <v>191.88</v>
      </c>
      <c r="Q143" s="385">
        <v>98.46</v>
      </c>
      <c r="R143" s="385"/>
      <c r="S143" s="385"/>
      <c r="T143" s="385"/>
      <c r="U143" s="385"/>
      <c r="V143" s="385"/>
    </row>
    <row r="144" spans="1:22" s="15" customFormat="1" x14ac:dyDescent="0.25">
      <c r="A144" s="572">
        <v>800146</v>
      </c>
      <c r="B144" s="394" t="str">
        <f t="shared" si="3"/>
        <v>-6,51/+6,88  (EC  6,1)</v>
      </c>
      <c r="C144" s="384">
        <v>6.9</v>
      </c>
      <c r="D144" s="385">
        <v>7.89</v>
      </c>
      <c r="E144" s="385">
        <v>0.61</v>
      </c>
      <c r="F144" s="386">
        <v>0.01</v>
      </c>
      <c r="G144" s="385">
        <v>0.01</v>
      </c>
      <c r="H144" s="385">
        <v>7.0000000000000007E-2</v>
      </c>
      <c r="I144" s="386">
        <v>24.86</v>
      </c>
      <c r="J144" s="385">
        <v>53.84</v>
      </c>
      <c r="K144" s="385">
        <v>0.22</v>
      </c>
      <c r="L144" s="395">
        <f>(12-0.1)*24</f>
        <v>285.60000000000002</v>
      </c>
      <c r="M144" s="385">
        <v>0.01</v>
      </c>
      <c r="N144" s="385">
        <v>1.47</v>
      </c>
      <c r="O144" s="385">
        <v>6.2</v>
      </c>
      <c r="P144" s="385">
        <v>56.03</v>
      </c>
      <c r="Q144" s="385">
        <v>45.18</v>
      </c>
      <c r="R144" s="385"/>
      <c r="S144" s="385"/>
      <c r="T144" s="385"/>
      <c r="U144" s="385"/>
      <c r="V144" s="385"/>
    </row>
    <row r="145" spans="1:22" s="15" customFormat="1" x14ac:dyDescent="0.25">
      <c r="A145" s="572">
        <v>800147</v>
      </c>
      <c r="B145" s="394" t="str">
        <f t="shared" si="3"/>
        <v>-6,40/+8,47  (EC  7,5)</v>
      </c>
      <c r="C145" s="384">
        <v>6.9</v>
      </c>
      <c r="D145" s="385">
        <v>7.34</v>
      </c>
      <c r="E145" s="385">
        <v>0.75</v>
      </c>
      <c r="F145" s="386">
        <v>2.81</v>
      </c>
      <c r="G145" s="385">
        <v>0.01</v>
      </c>
      <c r="H145" s="385">
        <v>0.13</v>
      </c>
      <c r="I145" s="386">
        <v>29.88</v>
      </c>
      <c r="J145" s="385">
        <v>58.86</v>
      </c>
      <c r="K145" s="385">
        <v>0.22</v>
      </c>
      <c r="L145" s="395">
        <f>(11-0.1)*24</f>
        <v>261.60000000000002</v>
      </c>
      <c r="M145" s="385">
        <v>0.01</v>
      </c>
      <c r="N145" s="385">
        <v>1.85</v>
      </c>
      <c r="O145" s="385">
        <v>15.3</v>
      </c>
      <c r="P145" s="385">
        <v>86.27</v>
      </c>
      <c r="Q145" s="385">
        <v>41.22</v>
      </c>
      <c r="R145" s="385"/>
      <c r="S145" s="385"/>
      <c r="T145" s="385"/>
      <c r="U145" s="385"/>
      <c r="V145" s="385"/>
    </row>
    <row r="146" spans="1:22" s="15" customFormat="1" x14ac:dyDescent="0.25">
      <c r="A146" s="572">
        <v>800148</v>
      </c>
      <c r="B146" s="394" t="str">
        <f t="shared" si="3"/>
        <v>-9,75/+10,33  (EC  10,2)</v>
      </c>
      <c r="C146" s="384">
        <v>6.9</v>
      </c>
      <c r="D146" s="385">
        <v>7.67</v>
      </c>
      <c r="E146" s="385">
        <v>1.02</v>
      </c>
      <c r="F146" s="386">
        <v>0.88</v>
      </c>
      <c r="G146" s="385">
        <v>0.01</v>
      </c>
      <c r="H146" s="385">
        <v>7.0000000000000007E-2</v>
      </c>
      <c r="I146" s="386">
        <v>144.53</v>
      </c>
      <c r="J146" s="385">
        <v>46.86</v>
      </c>
      <c r="K146" s="385">
        <v>0.22</v>
      </c>
      <c r="L146" s="395">
        <f>(12-0.1)*24</f>
        <v>285.60000000000002</v>
      </c>
      <c r="M146" s="385">
        <v>0.01</v>
      </c>
      <c r="N146" s="385">
        <v>2.4700000000000002</v>
      </c>
      <c r="O146" s="385">
        <v>104.6</v>
      </c>
      <c r="P146" s="385">
        <v>47.62</v>
      </c>
      <c r="Q146" s="385">
        <v>40</v>
      </c>
      <c r="R146" s="385"/>
      <c r="S146" s="385"/>
      <c r="T146" s="385"/>
      <c r="U146" s="385"/>
      <c r="V146" s="385"/>
    </row>
    <row r="147" spans="1:22" s="15" customFormat="1" x14ac:dyDescent="0.25">
      <c r="A147" s="572">
        <v>800144</v>
      </c>
      <c r="B147" s="394" t="str">
        <f t="shared" si="3"/>
        <v>-75,30/+75,98  (EC  74,9)</v>
      </c>
      <c r="C147" s="384">
        <v>6.9</v>
      </c>
      <c r="D147" s="385">
        <v>7.22</v>
      </c>
      <c r="E147" s="385">
        <v>7.49</v>
      </c>
      <c r="F147" s="386">
        <v>3.19</v>
      </c>
      <c r="G147" s="385">
        <v>0.01</v>
      </c>
      <c r="H147" s="385">
        <v>0.77</v>
      </c>
      <c r="I147" s="386">
        <f>215.24*10</f>
        <v>2152.4</v>
      </c>
      <c r="J147" s="385">
        <f>106.67*5</f>
        <v>533.35</v>
      </c>
      <c r="K147" s="385">
        <v>0.22</v>
      </c>
      <c r="L147" s="395">
        <f>(9-0.1)*24</f>
        <v>213.60000000000002</v>
      </c>
      <c r="M147" s="385">
        <v>0.01</v>
      </c>
      <c r="N147" s="385">
        <v>10.57</v>
      </c>
      <c r="O147" s="385">
        <v>937.05</v>
      </c>
      <c r="P147" s="385">
        <v>361.98</v>
      </c>
      <c r="Q147" s="385">
        <v>201.72</v>
      </c>
      <c r="R147" s="385"/>
      <c r="S147" s="385"/>
      <c r="T147" s="385"/>
      <c r="U147" s="385"/>
      <c r="V147" s="385"/>
    </row>
    <row r="148" spans="1:22" s="15" customFormat="1" x14ac:dyDescent="0.25">
      <c r="A148" s="572">
        <v>800149</v>
      </c>
      <c r="B148" s="394" t="str">
        <f>"-"&amp;TEXT((F148/62+G148/46+I148/35.5+J148/48+K148/97+L148/61),"0,00")&amp;"/+"&amp;TEXT((N148/39+O148/23+P148/20+Q148/12+H148/14),"0,00")&amp;"  (EC  "&amp;E148*10&amp;")"</f>
        <v>-23,26/+25,24  (EC  25,7)</v>
      </c>
      <c r="C148" s="384">
        <v>7.6</v>
      </c>
      <c r="D148" s="385">
        <v>7.64</v>
      </c>
      <c r="E148" s="385">
        <v>2.57</v>
      </c>
      <c r="F148" s="386">
        <v>0.84142857142857141</v>
      </c>
      <c r="G148" s="385"/>
      <c r="H148" s="385">
        <v>14.76</v>
      </c>
      <c r="I148" s="386">
        <f>45.81*10</f>
        <v>458.1</v>
      </c>
      <c r="J148" s="385">
        <v>120.75</v>
      </c>
      <c r="K148" s="385">
        <v>0.01</v>
      </c>
      <c r="L148" s="395">
        <f>(20-0.1)*24</f>
        <v>477.59999999999997</v>
      </c>
      <c r="M148" s="385">
        <v>0.01</v>
      </c>
      <c r="N148" s="385">
        <v>1.44</v>
      </c>
      <c r="O148" s="385">
        <v>167.56</v>
      </c>
      <c r="P148" s="385">
        <v>196.04</v>
      </c>
      <c r="Q148" s="385">
        <v>84.78</v>
      </c>
      <c r="R148" s="385">
        <v>0.03</v>
      </c>
      <c r="S148" s="385">
        <v>1E-3</v>
      </c>
      <c r="T148" s="385">
        <v>1E-3</v>
      </c>
      <c r="U148" s="385">
        <v>1E-3</v>
      </c>
      <c r="V148" s="385"/>
    </row>
    <row r="149" spans="1:22" s="15" customFormat="1" x14ac:dyDescent="0.25">
      <c r="A149" s="572">
        <v>800150</v>
      </c>
      <c r="B149" s="394" t="str">
        <f t="shared" ref="B149:B159" si="4">"-"&amp;TEXT((F149/62+G149/46+I149/35.5+J149/48+K149/97+L149/61),"0,00")&amp;"/+"&amp;TEXT((N149/39+O149/23+P149/20+Q149/12+H149/14),"0,00")&amp;"  (EC  "&amp;E149*10&amp;")"</f>
        <v>-8,43/+9,25  (EC  8,7)</v>
      </c>
      <c r="C149" s="384">
        <v>7.6</v>
      </c>
      <c r="D149" s="385">
        <v>7.26</v>
      </c>
      <c r="E149" s="385">
        <v>0.87</v>
      </c>
      <c r="F149" s="386">
        <v>0.92999999999999994</v>
      </c>
      <c r="G149" s="385"/>
      <c r="H149" s="385">
        <v>5.17</v>
      </c>
      <c r="I149" s="386">
        <v>80.87</v>
      </c>
      <c r="J149" s="385">
        <v>32.130000000000003</v>
      </c>
      <c r="K149" s="385">
        <v>0.01</v>
      </c>
      <c r="L149" s="395">
        <f>(14-0.1)*24</f>
        <v>333.6</v>
      </c>
      <c r="M149" s="385">
        <v>0.01</v>
      </c>
      <c r="N149" s="385">
        <v>2.23</v>
      </c>
      <c r="O149" s="385">
        <v>28.03</v>
      </c>
      <c r="P149" s="385">
        <v>75.92</v>
      </c>
      <c r="Q149" s="385">
        <v>45.66</v>
      </c>
      <c r="R149" s="385">
        <v>1E-3</v>
      </c>
      <c r="S149" s="385">
        <v>1E-3</v>
      </c>
      <c r="T149" s="385">
        <v>1E-3</v>
      </c>
      <c r="U149" s="385">
        <v>1E-3</v>
      </c>
      <c r="V149" s="385"/>
    </row>
    <row r="150" spans="1:22" s="15" customFormat="1" x14ac:dyDescent="0.25">
      <c r="A150" s="572">
        <v>800151</v>
      </c>
      <c r="B150" s="394" t="str">
        <f t="shared" si="4"/>
        <v>-33,13/+34,42  (EC  33,7)</v>
      </c>
      <c r="C150" s="384">
        <v>7.6</v>
      </c>
      <c r="D150" s="385">
        <v>7.59</v>
      </c>
      <c r="E150" s="385">
        <v>3.37</v>
      </c>
      <c r="F150" s="386">
        <v>1.6385714285714286</v>
      </c>
      <c r="G150" s="385"/>
      <c r="H150" s="385">
        <v>6.57</v>
      </c>
      <c r="I150" s="386">
        <f>78.17*10</f>
        <v>781.7</v>
      </c>
      <c r="J150" s="385">
        <v>99.61</v>
      </c>
      <c r="K150" s="385">
        <v>1.9979188345473468E-2</v>
      </c>
      <c r="L150" s="395">
        <f>(23-0.1)*24</f>
        <v>549.59999999999991</v>
      </c>
      <c r="M150" s="385">
        <v>0.01</v>
      </c>
      <c r="N150" s="385">
        <v>4.32</v>
      </c>
      <c r="O150" s="385">
        <v>316.42</v>
      </c>
      <c r="P150" s="385">
        <v>159.27000000000001</v>
      </c>
      <c r="Q150" s="385">
        <v>145.4</v>
      </c>
      <c r="R150" s="385">
        <v>1E-3</v>
      </c>
      <c r="S150" s="385">
        <v>1E-3</v>
      </c>
      <c r="T150" s="385">
        <v>1E-3</v>
      </c>
      <c r="U150" s="385">
        <v>1E-3</v>
      </c>
      <c r="V150" s="385"/>
    </row>
    <row r="151" spans="1:22" s="15" customFormat="1" x14ac:dyDescent="0.25">
      <c r="A151" s="572">
        <v>800152</v>
      </c>
      <c r="B151" s="394" t="str">
        <f t="shared" si="4"/>
        <v>-57,66/+61,66  (EC  59,9)</v>
      </c>
      <c r="C151" s="384">
        <v>7.6</v>
      </c>
      <c r="D151" s="385">
        <v>7.48</v>
      </c>
      <c r="E151" s="385">
        <v>5.99</v>
      </c>
      <c r="F151" s="386">
        <v>1.6828571428571428</v>
      </c>
      <c r="G151" s="385"/>
      <c r="H151" s="385">
        <v>13.12</v>
      </c>
      <c r="I151" s="386">
        <f>139.38*10</f>
        <v>1393.8</v>
      </c>
      <c r="J151" s="385">
        <v>164.87</v>
      </c>
      <c r="K151" s="385">
        <v>2.1078043704474507</v>
      </c>
      <c r="L151" s="395">
        <f>(38-0.1)*24</f>
        <v>909.59999999999991</v>
      </c>
      <c r="M151" s="385">
        <v>0.01</v>
      </c>
      <c r="N151" s="385">
        <v>21.71</v>
      </c>
      <c r="O151" s="385">
        <v>547.86</v>
      </c>
      <c r="P151" s="385">
        <v>337.4</v>
      </c>
      <c r="Q151" s="385">
        <v>233.67</v>
      </c>
      <c r="R151" s="385">
        <v>1E-3</v>
      </c>
      <c r="S151" s="385">
        <v>0.03</v>
      </c>
      <c r="T151" s="385">
        <v>1E-3</v>
      </c>
      <c r="U151" s="385">
        <v>1E-3</v>
      </c>
      <c r="V151" s="385"/>
    </row>
    <row r="152" spans="1:22" s="15" customFormat="1" x14ac:dyDescent="0.25">
      <c r="A152" s="572">
        <v>800153</v>
      </c>
      <c r="B152" s="394" t="str">
        <f t="shared" si="4"/>
        <v>-38,65/+39,91  (EC  38)</v>
      </c>
      <c r="C152" s="384">
        <v>7.6</v>
      </c>
      <c r="D152" s="385">
        <v>7.29</v>
      </c>
      <c r="E152" s="385">
        <v>3.8</v>
      </c>
      <c r="F152" s="386">
        <v>49.245714285714278</v>
      </c>
      <c r="G152" s="385"/>
      <c r="H152" s="385">
        <v>12.54</v>
      </c>
      <c r="I152" s="386">
        <f>88.6*10</f>
        <v>886</v>
      </c>
      <c r="J152" s="385">
        <v>127.19</v>
      </c>
      <c r="K152" s="385">
        <v>5.9518002081165449</v>
      </c>
      <c r="L152" s="395">
        <f>(26-0.1)*24</f>
        <v>621.59999999999991</v>
      </c>
      <c r="M152" s="385">
        <v>0.01</v>
      </c>
      <c r="N152" s="385">
        <v>153.63999999999999</v>
      </c>
      <c r="O152" s="385">
        <v>313.14999999999998</v>
      </c>
      <c r="P152" s="385">
        <v>189.45</v>
      </c>
      <c r="Q152" s="385">
        <v>143.85</v>
      </c>
      <c r="R152" s="385">
        <v>1E-3</v>
      </c>
      <c r="S152" s="385">
        <v>1E-3</v>
      </c>
      <c r="T152" s="385">
        <v>1E-3</v>
      </c>
      <c r="U152" s="385">
        <v>1E-3</v>
      </c>
      <c r="V152" s="385"/>
    </row>
    <row r="153" spans="1:22" s="15" customFormat="1" x14ac:dyDescent="0.25">
      <c r="A153" s="572">
        <v>800154</v>
      </c>
      <c r="B153" s="394" t="str">
        <f t="shared" si="4"/>
        <v>-12,23/+13,68  (EC  13,2)</v>
      </c>
      <c r="C153" s="384">
        <v>7.6</v>
      </c>
      <c r="D153" s="385">
        <v>7.4</v>
      </c>
      <c r="E153" s="385">
        <v>1.32</v>
      </c>
      <c r="F153" s="386">
        <v>2.3028571428571429</v>
      </c>
      <c r="G153" s="385"/>
      <c r="H153" s="385">
        <v>9.6300000000000008</v>
      </c>
      <c r="I153" s="386">
        <v>159.5</v>
      </c>
      <c r="J153" s="385">
        <v>73.290000000000006</v>
      </c>
      <c r="K153" s="385">
        <v>0.01</v>
      </c>
      <c r="L153" s="395">
        <f>(15.8-0.1)*24</f>
        <v>376.8</v>
      </c>
      <c r="M153" s="385">
        <v>0.01</v>
      </c>
      <c r="N153" s="385">
        <v>2.44</v>
      </c>
      <c r="O153" s="385">
        <v>137.63999999999999</v>
      </c>
      <c r="P153" s="385">
        <v>65.09</v>
      </c>
      <c r="Q153" s="385">
        <v>44.31</v>
      </c>
      <c r="R153" s="385">
        <v>1E-3</v>
      </c>
      <c r="S153" s="385">
        <v>1E-3</v>
      </c>
      <c r="T153" s="385">
        <v>1E-3</v>
      </c>
      <c r="U153" s="385">
        <v>1E-3</v>
      </c>
      <c r="V153" s="385"/>
    </row>
    <row r="154" spans="1:22" s="15" customFormat="1" x14ac:dyDescent="0.25">
      <c r="A154" s="572">
        <v>800155</v>
      </c>
      <c r="B154" s="394" t="str">
        <f t="shared" si="4"/>
        <v>-12,03/+14,38  (EC  13,1)</v>
      </c>
      <c r="C154" s="384">
        <v>7.6</v>
      </c>
      <c r="D154" s="385">
        <v>7.47</v>
      </c>
      <c r="E154" s="385">
        <v>1.31</v>
      </c>
      <c r="F154" s="386">
        <v>0.66428571428571426</v>
      </c>
      <c r="G154" s="385"/>
      <c r="H154" s="385">
        <v>8.23</v>
      </c>
      <c r="I154" s="386">
        <v>152.07</v>
      </c>
      <c r="J154" s="385">
        <v>61.52</v>
      </c>
      <c r="K154" s="385">
        <v>0.14684703433922996</v>
      </c>
      <c r="L154" s="395">
        <f>(16.5-0.1)*24</f>
        <v>393.59999999999997</v>
      </c>
      <c r="M154" s="385">
        <v>0.01</v>
      </c>
      <c r="N154" s="385">
        <v>7.18</v>
      </c>
      <c r="O154" s="385">
        <v>154.84</v>
      </c>
      <c r="P154" s="385">
        <v>65.87</v>
      </c>
      <c r="Q154" s="385">
        <v>42.95</v>
      </c>
      <c r="R154" s="385">
        <v>0.01</v>
      </c>
      <c r="S154" s="385">
        <v>0.34</v>
      </c>
      <c r="T154" s="385">
        <v>1E-3</v>
      </c>
      <c r="U154" s="385">
        <v>1E-3</v>
      </c>
      <c r="V154" s="385"/>
    </row>
    <row r="155" spans="1:22" s="15" customFormat="1" x14ac:dyDescent="0.25">
      <c r="A155" s="572">
        <v>800156</v>
      </c>
      <c r="B155" s="394" t="str">
        <f t="shared" si="4"/>
        <v>-19,85/+21,00  (EC  21)</v>
      </c>
      <c r="C155" s="384">
        <v>7.6</v>
      </c>
      <c r="D155" s="385">
        <v>6.84</v>
      </c>
      <c r="E155" s="385">
        <v>2.1</v>
      </c>
      <c r="F155" s="386">
        <v>56.508571428571429</v>
      </c>
      <c r="G155" s="385"/>
      <c r="H155" s="385">
        <v>10.77</v>
      </c>
      <c r="I155" s="386">
        <v>154.44</v>
      </c>
      <c r="J155" s="385">
        <v>130.61000000000001</v>
      </c>
      <c r="K155" s="385">
        <v>9.751841831425601</v>
      </c>
      <c r="L155" s="395">
        <f>(30-0.1)*24</f>
        <v>717.59999999999991</v>
      </c>
      <c r="M155" s="385">
        <v>0.01</v>
      </c>
      <c r="N155" s="385">
        <v>213.31</v>
      </c>
      <c r="O155" s="385">
        <v>137.77000000000001</v>
      </c>
      <c r="P155" s="385">
        <v>105.27</v>
      </c>
      <c r="Q155" s="385">
        <v>42.14</v>
      </c>
      <c r="R155" s="385">
        <v>0.47</v>
      </c>
      <c r="S155" s="385">
        <v>0.56000000000000005</v>
      </c>
      <c r="T155" s="385">
        <v>0.51</v>
      </c>
      <c r="U155" s="385">
        <v>0.75</v>
      </c>
      <c r="V155" s="385"/>
    </row>
    <row r="156" spans="1:22" s="15" customFormat="1" x14ac:dyDescent="0.25">
      <c r="A156" s="572">
        <v>800157</v>
      </c>
      <c r="B156" s="394" t="str">
        <f t="shared" si="4"/>
        <v>-23,26/+24,71  (EC  23,4)</v>
      </c>
      <c r="C156" s="384">
        <v>7.6</v>
      </c>
      <c r="D156" s="385">
        <v>6.75</v>
      </c>
      <c r="E156" s="385">
        <v>2.34</v>
      </c>
      <c r="F156" s="386">
        <v>48.404285714285713</v>
      </c>
      <c r="G156" s="385"/>
      <c r="H156" s="385">
        <v>10.119999999999999</v>
      </c>
      <c r="I156" s="386">
        <f>23.07*10</f>
        <v>230.7</v>
      </c>
      <c r="J156" s="385">
        <v>161.22</v>
      </c>
      <c r="K156" s="385">
        <v>6.9397710718002079</v>
      </c>
      <c r="L156" s="395">
        <f>(32-0.1)*24</f>
        <v>765.59999999999991</v>
      </c>
      <c r="M156" s="385">
        <v>0.01</v>
      </c>
      <c r="N156" s="385">
        <v>150.19</v>
      </c>
      <c r="O156" s="385">
        <v>231.29</v>
      </c>
      <c r="P156" s="385">
        <v>107.86</v>
      </c>
      <c r="Q156" s="385">
        <v>56.27</v>
      </c>
      <c r="R156" s="385">
        <v>0.44</v>
      </c>
      <c r="S156" s="385">
        <v>0.24</v>
      </c>
      <c r="T156" s="385">
        <v>1E-3</v>
      </c>
      <c r="U156" s="385">
        <v>0.77</v>
      </c>
      <c r="V156" s="385"/>
    </row>
    <row r="157" spans="1:22" s="15" customFormat="1" x14ac:dyDescent="0.25">
      <c r="A157" s="572">
        <v>800158</v>
      </c>
      <c r="B157" s="394" t="str">
        <f t="shared" si="4"/>
        <v>-7,44/+8,82  (EC  8)</v>
      </c>
      <c r="C157" s="384">
        <v>7.6</v>
      </c>
      <c r="D157" s="385">
        <v>6.76</v>
      </c>
      <c r="E157" s="385">
        <v>0.8</v>
      </c>
      <c r="F157" s="386">
        <v>1.0628571428571427</v>
      </c>
      <c r="G157" s="385"/>
      <c r="H157" s="385">
        <v>8.9499999999999993</v>
      </c>
      <c r="I157" s="386">
        <v>64.430000000000007</v>
      </c>
      <c r="J157" s="385">
        <v>27.64</v>
      </c>
      <c r="K157" s="385">
        <v>0.01</v>
      </c>
      <c r="L157" s="395">
        <f>(12.9-0.1)*24</f>
        <v>307.20000000000005</v>
      </c>
      <c r="M157" s="385">
        <v>0.01</v>
      </c>
      <c r="N157" s="385">
        <v>3.74</v>
      </c>
      <c r="O157" s="385">
        <v>24.85</v>
      </c>
      <c r="P157" s="385">
        <v>70.19</v>
      </c>
      <c r="Q157" s="385">
        <v>41.91</v>
      </c>
      <c r="R157" s="385">
        <v>1E-3</v>
      </c>
      <c r="S157" s="385">
        <v>0.25</v>
      </c>
      <c r="T157" s="385">
        <v>1E-3</v>
      </c>
      <c r="U157" s="385">
        <v>9.9999999999999995E-8</v>
      </c>
      <c r="V157" s="385"/>
    </row>
    <row r="158" spans="1:22" s="15" customFormat="1" x14ac:dyDescent="0.25">
      <c r="A158" s="572">
        <v>800159</v>
      </c>
      <c r="B158" s="394" t="str">
        <f t="shared" si="4"/>
        <v>-16,68/+16,30  (EC  17,5)</v>
      </c>
      <c r="C158" s="384">
        <v>7.6</v>
      </c>
      <c r="D158" s="385">
        <v>6.79</v>
      </c>
      <c r="E158" s="385">
        <v>1.75</v>
      </c>
      <c r="F158" s="386">
        <v>55.312857142857141</v>
      </c>
      <c r="G158" s="385"/>
      <c r="H158" s="385">
        <v>8.89</v>
      </c>
      <c r="I158" s="386">
        <v>62.84</v>
      </c>
      <c r="J158" s="385">
        <v>136.12</v>
      </c>
      <c r="K158" s="385">
        <v>4.3354838709677415</v>
      </c>
      <c r="L158" s="395">
        <f>(28.4-0.1)*24</f>
        <v>679.19999999999993</v>
      </c>
      <c r="M158" s="385">
        <v>0.01</v>
      </c>
      <c r="N158" s="385">
        <v>199.57</v>
      </c>
      <c r="O158" s="385">
        <v>24.2</v>
      </c>
      <c r="P158" s="385">
        <v>122.57</v>
      </c>
      <c r="Q158" s="385">
        <v>40.43</v>
      </c>
      <c r="R158" s="385">
        <v>1E-3</v>
      </c>
      <c r="S158" s="385">
        <v>1E-3</v>
      </c>
      <c r="T158" s="385">
        <v>1E-3</v>
      </c>
      <c r="U158" s="385">
        <v>1E-3</v>
      </c>
      <c r="V158" s="385"/>
    </row>
    <row r="159" spans="1:22" s="15" customFormat="1" x14ac:dyDescent="0.25">
      <c r="A159" s="572">
        <v>800160</v>
      </c>
      <c r="B159" s="394" t="str">
        <f t="shared" si="4"/>
        <v>-20,77/+21,26  (EC  21,7)</v>
      </c>
      <c r="C159" s="384">
        <v>7.6</v>
      </c>
      <c r="D159" s="385">
        <v>7.49</v>
      </c>
      <c r="E159" s="385">
        <v>2.17</v>
      </c>
      <c r="F159" s="386">
        <v>3.1</v>
      </c>
      <c r="G159" s="385"/>
      <c r="H159" s="385">
        <v>8.26</v>
      </c>
      <c r="I159" s="386">
        <v>146.94999999999999</v>
      </c>
      <c r="J159" s="385">
        <v>164.68</v>
      </c>
      <c r="K159" s="385">
        <v>1.2726742976066598</v>
      </c>
      <c r="L159" s="395">
        <f>(33.5-0.1)*24</f>
        <v>801.59999999999991</v>
      </c>
      <c r="M159" s="385">
        <v>0.01</v>
      </c>
      <c r="N159" s="385">
        <v>70.430000000000007</v>
      </c>
      <c r="O159" s="385">
        <v>90.89</v>
      </c>
      <c r="P159" s="385">
        <v>139.47999999999999</v>
      </c>
      <c r="Q159" s="385">
        <v>95.27</v>
      </c>
      <c r="R159" s="385">
        <v>0.18</v>
      </c>
      <c r="S159" s="385">
        <v>1E-3</v>
      </c>
      <c r="T159" s="385">
        <v>1E-3</v>
      </c>
      <c r="U159" s="385">
        <v>7.0000000000000007E-2</v>
      </c>
      <c r="V159" s="385"/>
    </row>
    <row r="160" spans="1:22" s="15" customFormat="1" x14ac:dyDescent="0.25">
      <c r="A160" s="572">
        <v>800161</v>
      </c>
      <c r="B160" s="394" t="str">
        <f>"-"&amp;TEXT((F160/62+G160/46+I160/35.5+J160/48+K160/97+L160/61),"0,00")&amp;"/+"&amp;TEXT((N160/39+O160/23+P160/20+Q160/12+H160/14),"0,00")&amp;"  (EC  "&amp;E160*10&amp;")"</f>
        <v>-30,44/+32,85  (EC  32,8)</v>
      </c>
      <c r="C160" s="384">
        <v>5</v>
      </c>
      <c r="D160" s="385">
        <v>7.52</v>
      </c>
      <c r="E160" s="385">
        <v>3.28</v>
      </c>
      <c r="F160" s="386">
        <v>19.707142857142859</v>
      </c>
      <c r="G160" s="385"/>
      <c r="H160" s="385">
        <v>0.16</v>
      </c>
      <c r="I160" s="386">
        <v>701.93</v>
      </c>
      <c r="J160" s="385">
        <v>298.66000000000003</v>
      </c>
      <c r="K160" s="385">
        <v>0.02</v>
      </c>
      <c r="L160" s="395">
        <v>252</v>
      </c>
      <c r="M160" s="385"/>
      <c r="N160" s="385">
        <v>4.04</v>
      </c>
      <c r="O160" s="385">
        <v>394.53</v>
      </c>
      <c r="P160" s="385">
        <v>187.21</v>
      </c>
      <c r="Q160" s="385">
        <v>74.709999999999994</v>
      </c>
      <c r="R160" s="385"/>
      <c r="S160" s="385"/>
      <c r="T160" s="385"/>
      <c r="U160" s="385"/>
      <c r="V160" s="385"/>
    </row>
    <row r="161" spans="1:22" s="15" customFormat="1" x14ac:dyDescent="0.25">
      <c r="A161" s="572">
        <v>800162</v>
      </c>
      <c r="B161" s="394" t="str">
        <f t="shared" ref="B161:B167" si="5">"-"&amp;TEXT((F161/62+G161/46+I161/35.5+J161/48+K161/97+L161/61),"0,00")&amp;"/+"&amp;TEXT((N161/39+O161/23+P161/20+Q161/12+H161/14),"0,00")&amp;"  (EC  "&amp;E161*10&amp;")"</f>
        <v>-31,88/+33,59  (EC  32,5)</v>
      </c>
      <c r="C161" s="384">
        <v>5</v>
      </c>
      <c r="D161" s="385">
        <v>7.4</v>
      </c>
      <c r="E161" s="385">
        <v>3.25</v>
      </c>
      <c r="F161" s="386">
        <v>53.604285714285702</v>
      </c>
      <c r="G161" s="385"/>
      <c r="H161" s="385">
        <v>0.13</v>
      </c>
      <c r="I161" s="386">
        <v>800.14</v>
      </c>
      <c r="J161" s="385">
        <v>242.51</v>
      </c>
      <c r="K161" s="385">
        <v>0.19</v>
      </c>
      <c r="L161" s="395">
        <v>208.8</v>
      </c>
      <c r="M161" s="385"/>
      <c r="N161" s="385">
        <v>3.84</v>
      </c>
      <c r="O161" s="385">
        <v>399.62</v>
      </c>
      <c r="P161" s="385">
        <v>199.13</v>
      </c>
      <c r="Q161" s="385">
        <v>73.86</v>
      </c>
      <c r="R161" s="385"/>
      <c r="S161" s="385"/>
      <c r="T161" s="385"/>
      <c r="U161" s="385"/>
      <c r="V161" s="385"/>
    </row>
    <row r="162" spans="1:22" s="15" customFormat="1" x14ac:dyDescent="0.25">
      <c r="A162" s="572">
        <v>800163</v>
      </c>
      <c r="B162" s="394" t="str">
        <f t="shared" si="5"/>
        <v>-14,95/+14,28  (EC  14,1)</v>
      </c>
      <c r="C162" s="384">
        <v>5</v>
      </c>
      <c r="D162" s="385">
        <v>7.67</v>
      </c>
      <c r="E162" s="385">
        <v>1.41</v>
      </c>
      <c r="F162" s="386">
        <v>68.617142857142895</v>
      </c>
      <c r="G162" s="385"/>
      <c r="H162" s="385">
        <v>0.03</v>
      </c>
      <c r="I162" s="386">
        <v>284.85000000000002</v>
      </c>
      <c r="J162" s="385">
        <v>11.17</v>
      </c>
      <c r="K162" s="385">
        <v>0.11</v>
      </c>
      <c r="L162" s="395">
        <v>340.8</v>
      </c>
      <c r="M162" s="385"/>
      <c r="N162" s="385">
        <v>4.0199999999999996</v>
      </c>
      <c r="O162" s="385">
        <v>64.349999999999994</v>
      </c>
      <c r="P162" s="385">
        <v>147.38</v>
      </c>
      <c r="Q162" s="385">
        <v>48.05</v>
      </c>
      <c r="R162" s="385">
        <v>0.21</v>
      </c>
      <c r="S162" s="385">
        <v>0.04</v>
      </c>
      <c r="T162" s="385">
        <v>0.02</v>
      </c>
      <c r="U162" s="385">
        <v>0.02</v>
      </c>
      <c r="V162" s="385"/>
    </row>
    <row r="163" spans="1:22" s="15" customFormat="1" x14ac:dyDescent="0.25">
      <c r="A163" s="572">
        <v>800164</v>
      </c>
      <c r="B163" s="394" t="str">
        <f t="shared" si="5"/>
        <v>-8,18/+8,92  (EC  8,4)</v>
      </c>
      <c r="C163" s="384">
        <v>5</v>
      </c>
      <c r="D163" s="385">
        <v>7.7</v>
      </c>
      <c r="E163" s="385">
        <v>0.84</v>
      </c>
      <c r="F163" s="386">
        <v>14.392857142857142</v>
      </c>
      <c r="G163" s="385"/>
      <c r="H163" s="385">
        <v>0.13</v>
      </c>
      <c r="I163" s="386">
        <v>78.14</v>
      </c>
      <c r="J163" s="385">
        <v>37.64</v>
      </c>
      <c r="K163" s="385">
        <v>0.14000000000000001</v>
      </c>
      <c r="L163" s="395">
        <v>302.39999999999998</v>
      </c>
      <c r="M163" s="385"/>
      <c r="N163" s="385">
        <v>1.88</v>
      </c>
      <c r="O163" s="385">
        <v>26.97</v>
      </c>
      <c r="P163" s="385">
        <v>69.260000000000005</v>
      </c>
      <c r="Q163" s="385">
        <v>50.76</v>
      </c>
      <c r="R163" s="385">
        <v>0.02</v>
      </c>
      <c r="S163" s="385">
        <v>0.04</v>
      </c>
      <c r="T163" s="385">
        <v>0.01</v>
      </c>
      <c r="U163" s="385">
        <v>0.02</v>
      </c>
      <c r="V163" s="385"/>
    </row>
    <row r="164" spans="1:22" s="15" customFormat="1" x14ac:dyDescent="0.25">
      <c r="A164" s="572">
        <v>800165</v>
      </c>
      <c r="B164" s="394" t="str">
        <f t="shared" si="5"/>
        <v>-25,61/+25,99  (EC  26,7)</v>
      </c>
      <c r="C164" s="384">
        <v>5</v>
      </c>
      <c r="D164" s="385">
        <v>7.48</v>
      </c>
      <c r="E164" s="385">
        <v>2.67</v>
      </c>
      <c r="F164" s="386">
        <v>90.158571428571406</v>
      </c>
      <c r="G164" s="385"/>
      <c r="H164" s="385">
        <v>0.04</v>
      </c>
      <c r="I164" s="386">
        <v>492.35</v>
      </c>
      <c r="J164" s="385">
        <v>176.42</v>
      </c>
      <c r="K164" s="385">
        <v>1.4E-2</v>
      </c>
      <c r="L164" s="395">
        <v>403.19999999999993</v>
      </c>
      <c r="M164" s="385"/>
      <c r="N164" s="385">
        <v>3.84</v>
      </c>
      <c r="O164" s="385">
        <v>85.12</v>
      </c>
      <c r="P164" s="385">
        <v>226.56</v>
      </c>
      <c r="Q164" s="385">
        <v>130.36000000000001</v>
      </c>
      <c r="R164" s="385">
        <v>0.01</v>
      </c>
      <c r="S164" s="385">
        <v>1E-3</v>
      </c>
      <c r="T164" s="385">
        <v>1E-3</v>
      </c>
      <c r="U164" s="385">
        <v>1E-3</v>
      </c>
      <c r="V164" s="385"/>
    </row>
    <row r="165" spans="1:22" s="15" customFormat="1" x14ac:dyDescent="0.25">
      <c r="A165" s="572">
        <v>800166</v>
      </c>
      <c r="B165" s="394" t="str">
        <f t="shared" si="5"/>
        <v>-9,75/+9,05  (EC  8,5)</v>
      </c>
      <c r="C165" s="384">
        <v>5</v>
      </c>
      <c r="D165" s="385">
        <v>7.86</v>
      </c>
      <c r="E165" s="385">
        <v>0.85</v>
      </c>
      <c r="F165" s="386">
        <v>15.145714285714286</v>
      </c>
      <c r="G165" s="385"/>
      <c r="H165" s="385">
        <v>0.12</v>
      </c>
      <c r="I165" s="386">
        <v>76.819999999999993</v>
      </c>
      <c r="J165" s="385">
        <v>144.15</v>
      </c>
      <c r="K165" s="385">
        <v>0.2</v>
      </c>
      <c r="L165" s="395">
        <v>264.8</v>
      </c>
      <c r="M165" s="385"/>
      <c r="N165" s="385">
        <v>1.92</v>
      </c>
      <c r="O165" s="385">
        <v>33.25</v>
      </c>
      <c r="P165" s="385">
        <v>69.08</v>
      </c>
      <c r="Q165" s="385">
        <v>49.09</v>
      </c>
      <c r="R165" s="385">
        <v>1E-3</v>
      </c>
      <c r="S165" s="385">
        <v>1E-3</v>
      </c>
      <c r="T165" s="385">
        <v>1E-3</v>
      </c>
      <c r="U165" s="385">
        <v>0.02</v>
      </c>
      <c r="V165" s="385"/>
    </row>
    <row r="166" spans="1:22" s="15" customFormat="1" x14ac:dyDescent="0.25">
      <c r="A166" s="572">
        <v>800167</v>
      </c>
      <c r="B166" s="394" t="str">
        <f t="shared" si="5"/>
        <v>-23,01/+22,03  (EC  24,3)</v>
      </c>
      <c r="C166" s="384">
        <v>5</v>
      </c>
      <c r="D166" s="385">
        <v>7.39</v>
      </c>
      <c r="E166" s="385">
        <v>2.4300000000000002</v>
      </c>
      <c r="F166" s="386">
        <v>96.394285714285701</v>
      </c>
      <c r="G166" s="385"/>
      <c r="H166" s="385">
        <v>0.09</v>
      </c>
      <c r="I166" s="386">
        <v>302.12</v>
      </c>
      <c r="J166" s="385">
        <v>321.20999999999998</v>
      </c>
      <c r="K166" s="385">
        <v>0.2</v>
      </c>
      <c r="L166" s="395">
        <v>381.6</v>
      </c>
      <c r="M166" s="385"/>
      <c r="N166" s="385">
        <v>4.04</v>
      </c>
      <c r="O166" s="385">
        <v>160.24</v>
      </c>
      <c r="P166" s="385">
        <v>120.68</v>
      </c>
      <c r="Q166" s="385">
        <v>107</v>
      </c>
      <c r="R166" s="385">
        <v>0.02</v>
      </c>
      <c r="S166" s="385">
        <v>1E-3</v>
      </c>
      <c r="T166" s="385">
        <v>1E-3</v>
      </c>
      <c r="U166" s="385">
        <v>0.02</v>
      </c>
      <c r="V166" s="385"/>
    </row>
    <row r="167" spans="1:22" s="15" customFormat="1" x14ac:dyDescent="0.25">
      <c r="A167" s="572">
        <v>800168</v>
      </c>
      <c r="B167" s="394" t="str">
        <f t="shared" si="5"/>
        <v>-14,92/+15,19  (EC  14,9)</v>
      </c>
      <c r="C167" s="384">
        <v>5</v>
      </c>
      <c r="D167" s="385">
        <v>8.06</v>
      </c>
      <c r="E167" s="385">
        <v>1.49</v>
      </c>
      <c r="F167" s="386">
        <v>89.2542857142857</v>
      </c>
      <c r="G167" s="385"/>
      <c r="H167" s="385">
        <v>0.09</v>
      </c>
      <c r="I167" s="386">
        <v>174</v>
      </c>
      <c r="J167" s="385">
        <v>196.43</v>
      </c>
      <c r="K167" s="385">
        <v>0.01</v>
      </c>
      <c r="L167" s="395">
        <v>273.60000000000002</v>
      </c>
      <c r="M167" s="385"/>
      <c r="N167" s="385">
        <v>9.5500000000000007</v>
      </c>
      <c r="O167" s="385">
        <v>99.52</v>
      </c>
      <c r="P167" s="385">
        <v>90.28</v>
      </c>
      <c r="Q167" s="385">
        <v>73.16</v>
      </c>
      <c r="R167" s="385">
        <v>0.01</v>
      </c>
      <c r="S167" s="385">
        <v>1E-3</v>
      </c>
      <c r="T167" s="385">
        <v>1E-3</v>
      </c>
      <c r="U167" s="385">
        <v>0.03</v>
      </c>
      <c r="V167" s="385"/>
    </row>
    <row r="168" spans="1:22" s="15" customFormat="1" x14ac:dyDescent="0.25">
      <c r="A168" s="572">
        <v>800174</v>
      </c>
      <c r="B168" s="394" t="s">
        <v>142</v>
      </c>
      <c r="C168" s="384">
        <v>7.6</v>
      </c>
      <c r="D168" s="385" t="s">
        <v>143</v>
      </c>
      <c r="E168" s="385">
        <v>1.7</v>
      </c>
      <c r="F168" s="386">
        <v>2.2142857142857144</v>
      </c>
      <c r="G168" s="385"/>
      <c r="H168" s="385">
        <v>0.15</v>
      </c>
      <c r="I168" s="386">
        <v>131.88999999999999</v>
      </c>
      <c r="J168" s="385">
        <v>206.66</v>
      </c>
      <c r="K168" s="385">
        <v>0.11</v>
      </c>
      <c r="L168" s="395">
        <v>525.6</v>
      </c>
      <c r="M168" s="385"/>
      <c r="N168" s="385">
        <v>2.73</v>
      </c>
      <c r="O168" s="385">
        <v>65.16</v>
      </c>
      <c r="P168" s="385">
        <v>174.77</v>
      </c>
      <c r="Q168" s="385">
        <v>71.86</v>
      </c>
      <c r="R168" s="385">
        <v>1E-3</v>
      </c>
      <c r="S168" s="385">
        <v>1E-3</v>
      </c>
      <c r="T168" s="385">
        <v>1E-3</v>
      </c>
      <c r="U168" s="385">
        <v>1E-3</v>
      </c>
      <c r="V168" s="385"/>
    </row>
    <row r="169" spans="1:22" s="15" customFormat="1" x14ac:dyDescent="0.25">
      <c r="A169" s="572">
        <v>800175</v>
      </c>
      <c r="B169" s="394" t="s">
        <v>144</v>
      </c>
      <c r="C169" s="384">
        <v>7.6</v>
      </c>
      <c r="D169" s="385" t="s">
        <v>145</v>
      </c>
      <c r="E169" s="385">
        <v>1.68</v>
      </c>
      <c r="F169" s="386">
        <v>1.7714285714285716</v>
      </c>
      <c r="G169" s="385"/>
      <c r="H169" s="385">
        <v>0.13</v>
      </c>
      <c r="I169" s="386">
        <v>117.64</v>
      </c>
      <c r="J169" s="385">
        <v>240.58</v>
      </c>
      <c r="K169" s="385">
        <v>0.14000000000000001</v>
      </c>
      <c r="L169" s="395">
        <v>415.2</v>
      </c>
      <c r="M169" s="385"/>
      <c r="N169" s="385">
        <v>3.12</v>
      </c>
      <c r="O169" s="385">
        <v>57.77</v>
      </c>
      <c r="P169" s="385">
        <v>172.09</v>
      </c>
      <c r="Q169" s="385">
        <v>78.45</v>
      </c>
      <c r="R169" s="385">
        <v>0.18</v>
      </c>
      <c r="S169" s="385">
        <v>1E-3</v>
      </c>
      <c r="T169" s="385">
        <v>1E-3</v>
      </c>
      <c r="U169" s="385">
        <v>7.0000000000000007E-2</v>
      </c>
      <c r="V169" s="385"/>
    </row>
    <row r="170" spans="1:22" s="15" customFormat="1" x14ac:dyDescent="0.25">
      <c r="A170" s="572">
        <v>800171</v>
      </c>
      <c r="B170" s="394" t="s">
        <v>146</v>
      </c>
      <c r="C170" s="384">
        <v>7.6</v>
      </c>
      <c r="D170" s="385" t="s">
        <v>149</v>
      </c>
      <c r="E170" s="385">
        <v>2.88</v>
      </c>
      <c r="F170" s="386">
        <v>57.8</v>
      </c>
      <c r="G170" s="385"/>
      <c r="H170" s="385">
        <v>0.08</v>
      </c>
      <c r="I170" s="386">
        <v>308.39</v>
      </c>
      <c r="J170" s="385">
        <v>426.05</v>
      </c>
      <c r="K170" s="385">
        <v>0.11</v>
      </c>
      <c r="L170" s="395">
        <v>595.20000000000005</v>
      </c>
      <c r="M170" s="385"/>
      <c r="N170" s="385">
        <v>3.6</v>
      </c>
      <c r="O170" s="385">
        <v>139.65</v>
      </c>
      <c r="P170" s="385">
        <v>282.19</v>
      </c>
      <c r="Q170" s="385">
        <v>94.79</v>
      </c>
      <c r="R170" s="385">
        <v>1E-3</v>
      </c>
      <c r="S170" s="385">
        <v>1E-3</v>
      </c>
      <c r="T170" s="385">
        <v>1E-3</v>
      </c>
      <c r="U170" s="385">
        <v>1E-3</v>
      </c>
      <c r="V170" s="385"/>
    </row>
    <row r="171" spans="1:22" s="15" customFormat="1" x14ac:dyDescent="0.25">
      <c r="A171" s="572">
        <v>800172</v>
      </c>
      <c r="B171" s="394" t="s">
        <v>147</v>
      </c>
      <c r="C171" s="384">
        <v>7.6</v>
      </c>
      <c r="D171" s="385" t="s">
        <v>150</v>
      </c>
      <c r="E171" s="385">
        <v>2.67</v>
      </c>
      <c r="F171" s="386">
        <v>51.1</v>
      </c>
      <c r="G171" s="385"/>
      <c r="H171" s="385">
        <v>0.26</v>
      </c>
      <c r="I171" s="386">
        <v>313.02999999999997</v>
      </c>
      <c r="J171" s="385">
        <v>386.53</v>
      </c>
      <c r="K171" s="385">
        <v>0.11</v>
      </c>
      <c r="L171" s="395">
        <v>520.79999999999995</v>
      </c>
      <c r="M171" s="385"/>
      <c r="N171" s="385">
        <v>3.54</v>
      </c>
      <c r="O171" s="385">
        <v>159.35</v>
      </c>
      <c r="P171" s="385">
        <v>250.18</v>
      </c>
      <c r="Q171" s="385">
        <v>94.12</v>
      </c>
      <c r="R171" s="385">
        <v>1E-3</v>
      </c>
      <c r="S171" s="385">
        <v>1E-3</v>
      </c>
      <c r="T171" s="385">
        <v>1E-3</v>
      </c>
      <c r="U171" s="385">
        <v>1E-3</v>
      </c>
      <c r="V171" s="385"/>
    </row>
    <row r="172" spans="1:22" s="15" customFormat="1" x14ac:dyDescent="0.25">
      <c r="A172" s="572">
        <v>800173</v>
      </c>
      <c r="B172" s="394" t="s">
        <v>148</v>
      </c>
      <c r="C172" s="384">
        <v>7.6</v>
      </c>
      <c r="D172" s="385" t="s">
        <v>151</v>
      </c>
      <c r="E172" s="385">
        <v>2.59</v>
      </c>
      <c r="F172" s="386">
        <v>53.1</v>
      </c>
      <c r="G172" s="385"/>
      <c r="H172" s="385">
        <v>0.11</v>
      </c>
      <c r="I172" s="386">
        <v>301.85000000000002</v>
      </c>
      <c r="J172" s="385">
        <v>307.38</v>
      </c>
      <c r="K172" s="385">
        <v>0.11</v>
      </c>
      <c r="L172" s="395">
        <v>573.6</v>
      </c>
      <c r="M172" s="385"/>
      <c r="N172" s="385">
        <v>3.22</v>
      </c>
      <c r="O172" s="385">
        <v>128.74</v>
      </c>
      <c r="P172" s="385">
        <v>250.18</v>
      </c>
      <c r="Q172" s="385">
        <v>94.12</v>
      </c>
      <c r="R172" s="385">
        <v>1E-3</v>
      </c>
      <c r="S172" s="385">
        <v>1E-3</v>
      </c>
      <c r="T172" s="385">
        <v>1E-3</v>
      </c>
      <c r="U172" s="385">
        <v>0.01</v>
      </c>
      <c r="V172" s="385"/>
    </row>
    <row r="173" spans="1:22" s="15" customFormat="1" x14ac:dyDescent="0.25">
      <c r="A173" s="572">
        <v>800169</v>
      </c>
      <c r="B173" s="394" t="str">
        <f t="shared" ref="B173:B204" si="6">"-"&amp;TEXT((F173/62+G173/46+I173/35.5+J173/48+K173/97+L173/61),"0,00")&amp;"/+"&amp;TEXT((N173/39+O173/23+P173/20+Q173/12+H173/14),"0,00")&amp;"  (EC  "&amp;E173*10&amp;")"</f>
        <v>-33,66/+35,04  (EC  34,6)</v>
      </c>
      <c r="C173" s="384">
        <v>7.6</v>
      </c>
      <c r="D173" s="385">
        <v>7.73</v>
      </c>
      <c r="E173" s="385">
        <v>3.46</v>
      </c>
      <c r="F173" s="386">
        <v>28.342857142857145</v>
      </c>
      <c r="G173" s="385"/>
      <c r="H173" s="385">
        <v>0.13</v>
      </c>
      <c r="I173" s="386">
        <v>519.41999999999996</v>
      </c>
      <c r="J173" s="385">
        <v>270.19</v>
      </c>
      <c r="K173" s="385">
        <v>0.11</v>
      </c>
      <c r="L173" s="395">
        <f>(33-0.1)*24</f>
        <v>789.59999999999991</v>
      </c>
      <c r="M173" s="385"/>
      <c r="N173" s="385">
        <v>3.68</v>
      </c>
      <c r="O173" s="385">
        <v>422.99</v>
      </c>
      <c r="P173" s="385">
        <v>210.43</v>
      </c>
      <c r="Q173" s="385">
        <v>72.25</v>
      </c>
      <c r="R173" s="385"/>
      <c r="S173" s="385"/>
      <c r="T173" s="385"/>
      <c r="U173" s="385"/>
      <c r="V173" s="385"/>
    </row>
    <row r="174" spans="1:22" s="15" customFormat="1" x14ac:dyDescent="0.25">
      <c r="A174" s="572">
        <v>800185</v>
      </c>
      <c r="B174" s="394" t="str">
        <f t="shared" si="6"/>
        <v>-7,09/+7,76  (EC  6,81)</v>
      </c>
      <c r="C174" s="384">
        <v>5</v>
      </c>
      <c r="D174" s="385">
        <v>7.43</v>
      </c>
      <c r="E174" s="385">
        <v>0.68100000000000005</v>
      </c>
      <c r="F174" s="386">
        <v>1.08</v>
      </c>
      <c r="G174" s="385"/>
      <c r="H174" s="385">
        <v>0.08</v>
      </c>
      <c r="I174" s="386">
        <v>9.89</v>
      </c>
      <c r="J174" s="385">
        <v>65.7</v>
      </c>
      <c r="K174" s="385">
        <v>0.01</v>
      </c>
      <c r="L174" s="395">
        <f>(13.9-0.1)*24</f>
        <v>331.20000000000005</v>
      </c>
      <c r="M174" s="385">
        <v>0.01</v>
      </c>
      <c r="N174" s="385">
        <v>1.22</v>
      </c>
      <c r="O174" s="385">
        <v>15.87</v>
      </c>
      <c r="P174" s="385">
        <v>74.45</v>
      </c>
      <c r="Q174" s="385">
        <v>39.69</v>
      </c>
      <c r="R174" s="385">
        <v>1E-3</v>
      </c>
      <c r="S174" s="385">
        <v>1E-3</v>
      </c>
      <c r="T174" s="385">
        <v>1E-3</v>
      </c>
      <c r="U174" s="385">
        <v>1E-3</v>
      </c>
      <c r="V174" s="385"/>
    </row>
    <row r="175" spans="1:22" s="15" customFormat="1" x14ac:dyDescent="0.25">
      <c r="A175" s="572">
        <v>800186</v>
      </c>
      <c r="B175" s="394" t="str">
        <f t="shared" si="6"/>
        <v>-7,89/+7,21  (EC  6,37)</v>
      </c>
      <c r="C175" s="384">
        <v>5</v>
      </c>
      <c r="D175" s="385">
        <v>7.46</v>
      </c>
      <c r="E175" s="385">
        <v>0.63700000000000001</v>
      </c>
      <c r="F175" s="386">
        <v>3.32</v>
      </c>
      <c r="G175" s="385"/>
      <c r="H175" s="385">
        <v>0.08</v>
      </c>
      <c r="I175" s="386">
        <v>9.6300000000000008</v>
      </c>
      <c r="J175" s="385">
        <v>136.4</v>
      </c>
      <c r="K175" s="385">
        <v>0.01</v>
      </c>
      <c r="L175" s="395">
        <f>(12.1-0.1)*24</f>
        <v>288</v>
      </c>
      <c r="M175" s="385">
        <v>0.01</v>
      </c>
      <c r="N175" s="385">
        <v>1.26</v>
      </c>
      <c r="O175" s="385">
        <v>16.53</v>
      </c>
      <c r="P175" s="385">
        <v>68.83</v>
      </c>
      <c r="Q175" s="385">
        <v>36.130000000000003</v>
      </c>
      <c r="R175" s="385">
        <v>0.04</v>
      </c>
      <c r="S175" s="385">
        <v>1E-3</v>
      </c>
      <c r="T175" s="385">
        <v>0.05</v>
      </c>
      <c r="U175" s="385">
        <v>1E-3</v>
      </c>
      <c r="V175" s="385"/>
    </row>
    <row r="176" spans="1:22" s="15" customFormat="1" x14ac:dyDescent="0.25">
      <c r="A176" s="572">
        <v>800187</v>
      </c>
      <c r="B176" s="394" t="str">
        <f t="shared" si="6"/>
        <v>-12,07/+13,61  (EC  13,9)</v>
      </c>
      <c r="C176" s="384">
        <v>5</v>
      </c>
      <c r="D176" s="385">
        <v>7.36</v>
      </c>
      <c r="E176" s="385">
        <v>1.39</v>
      </c>
      <c r="F176" s="386">
        <v>2.11</v>
      </c>
      <c r="G176" s="385"/>
      <c r="H176" s="385">
        <v>0.08</v>
      </c>
      <c r="I176" s="386">
        <v>9.66</v>
      </c>
      <c r="J176" s="385">
        <v>56.8</v>
      </c>
      <c r="K176" s="385">
        <v>0.01</v>
      </c>
      <c r="L176" s="395">
        <f>(27-0.1)*24</f>
        <v>645.59999999999991</v>
      </c>
      <c r="M176" s="385">
        <v>0.01</v>
      </c>
      <c r="N176" s="385">
        <v>2.17</v>
      </c>
      <c r="O176" s="385">
        <v>71.569999999999993</v>
      </c>
      <c r="P176" s="385">
        <v>138.22</v>
      </c>
      <c r="Q176" s="385">
        <v>42.36</v>
      </c>
      <c r="R176" s="385">
        <v>0.05</v>
      </c>
      <c r="S176" s="385">
        <v>1E-3</v>
      </c>
      <c r="T176" s="385">
        <v>1E-3</v>
      </c>
      <c r="U176" s="385">
        <v>0.03</v>
      </c>
      <c r="V176" s="385"/>
    </row>
    <row r="177" spans="1:22" s="15" customFormat="1" x14ac:dyDescent="0.25">
      <c r="A177" s="572">
        <v>800188</v>
      </c>
      <c r="B177" s="394" t="str">
        <f t="shared" si="6"/>
        <v>-7,70/+6,34  (EC  5,97)</v>
      </c>
      <c r="C177" s="384">
        <v>5</v>
      </c>
      <c r="D177" s="385">
        <v>7.57</v>
      </c>
      <c r="E177" s="385">
        <v>0.59699999999999998</v>
      </c>
      <c r="F177" s="386">
        <v>2.42</v>
      </c>
      <c r="G177" s="385"/>
      <c r="H177" s="385">
        <v>0.09</v>
      </c>
      <c r="I177" s="386">
        <v>36</v>
      </c>
      <c r="J177" s="385">
        <v>117</v>
      </c>
      <c r="K177" s="385">
        <v>0.01</v>
      </c>
      <c r="L177" s="395">
        <f>(10.8-0.1)*24</f>
        <v>256.8</v>
      </c>
      <c r="M177" s="385">
        <v>0.01</v>
      </c>
      <c r="N177" s="385">
        <v>1.24</v>
      </c>
      <c r="O177" s="385">
        <v>27.78</v>
      </c>
      <c r="P177" s="385">
        <v>67.88</v>
      </c>
      <c r="Q177" s="385">
        <v>20.41</v>
      </c>
      <c r="R177" s="385">
        <v>0.02</v>
      </c>
      <c r="S177" s="385">
        <v>1E-3</v>
      </c>
      <c r="T177" s="385">
        <v>1E-3</v>
      </c>
      <c r="U177" s="385">
        <v>1E-3</v>
      </c>
      <c r="V177" s="385"/>
    </row>
    <row r="178" spans="1:22" s="15" customFormat="1" x14ac:dyDescent="0.25">
      <c r="A178" s="572">
        <v>800189</v>
      </c>
      <c r="B178" s="394" t="str">
        <f t="shared" si="6"/>
        <v>-16,51/+18,40  (EC  17,3)</v>
      </c>
      <c r="C178" s="384">
        <v>5</v>
      </c>
      <c r="D178" s="385">
        <v>7.31</v>
      </c>
      <c r="E178" s="385">
        <v>1.73</v>
      </c>
      <c r="F178" s="386">
        <v>4.2300000000000004</v>
      </c>
      <c r="G178" s="385"/>
      <c r="H178" s="385">
        <v>0.08</v>
      </c>
      <c r="I178" s="386">
        <v>41.31</v>
      </c>
      <c r="J178" s="385">
        <v>183.8</v>
      </c>
      <c r="K178" s="385">
        <v>0.01</v>
      </c>
      <c r="L178" s="395">
        <f>(29.2-0.1)*24</f>
        <v>698.4</v>
      </c>
      <c r="M178" s="385">
        <v>0.01</v>
      </c>
      <c r="N178" s="385">
        <v>2.34</v>
      </c>
      <c r="O178" s="385">
        <v>151.58000000000001</v>
      </c>
      <c r="P178" s="385">
        <v>157.27000000000001</v>
      </c>
      <c r="Q178" s="385">
        <v>46.52</v>
      </c>
      <c r="R178" s="385">
        <v>0.21</v>
      </c>
      <c r="S178" s="385">
        <v>1E-3</v>
      </c>
      <c r="T178" s="385">
        <v>1E-3</v>
      </c>
      <c r="U178" s="385">
        <v>0.04</v>
      </c>
      <c r="V178" s="385"/>
    </row>
    <row r="179" spans="1:22" s="15" customFormat="1" x14ac:dyDescent="0.25">
      <c r="A179" s="572">
        <v>800190</v>
      </c>
      <c r="B179" s="394" t="str">
        <f t="shared" si="6"/>
        <v>-12,57/+12,22  (EC  12,4)</v>
      </c>
      <c r="C179" s="384">
        <v>5</v>
      </c>
      <c r="D179" s="385">
        <v>7.38</v>
      </c>
      <c r="E179" s="385">
        <v>1.24</v>
      </c>
      <c r="F179" s="386">
        <v>13.1</v>
      </c>
      <c r="G179" s="385"/>
      <c r="H179" s="385">
        <v>0.08</v>
      </c>
      <c r="I179" s="386">
        <v>253.78</v>
      </c>
      <c r="J179" s="385">
        <v>63.3</v>
      </c>
      <c r="K179" s="385">
        <v>0.01</v>
      </c>
      <c r="L179" s="395">
        <f>(10-0.1)*24</f>
        <v>237.60000000000002</v>
      </c>
      <c r="M179" s="385">
        <v>0.01</v>
      </c>
      <c r="N179" s="385">
        <v>2.0299999999999998</v>
      </c>
      <c r="O179" s="385">
        <v>64.28</v>
      </c>
      <c r="P179" s="385">
        <v>126.9</v>
      </c>
      <c r="Q179" s="385">
        <v>36.31</v>
      </c>
      <c r="R179" s="385">
        <v>0.02</v>
      </c>
      <c r="S179" s="385">
        <v>1E-3</v>
      </c>
      <c r="T179" s="385">
        <v>1E-3</v>
      </c>
      <c r="U179" s="385">
        <v>1E-3</v>
      </c>
      <c r="V179" s="385"/>
    </row>
    <row r="180" spans="1:22" s="15" customFormat="1" x14ac:dyDescent="0.25">
      <c r="A180" s="572">
        <v>800191</v>
      </c>
      <c r="B180" s="394" t="str">
        <f t="shared" si="6"/>
        <v>-7,39/+7,09  (EC  7,54)</v>
      </c>
      <c r="C180" s="384">
        <v>5</v>
      </c>
      <c r="D180" s="385">
        <v>7.57</v>
      </c>
      <c r="E180" s="385">
        <v>0.754</v>
      </c>
      <c r="F180" s="386">
        <v>1.54</v>
      </c>
      <c r="G180" s="385"/>
      <c r="H180" s="385">
        <v>0.08</v>
      </c>
      <c r="I180" s="386">
        <v>129</v>
      </c>
      <c r="J180" s="385">
        <v>58.3</v>
      </c>
      <c r="K180" s="385">
        <v>0.01</v>
      </c>
      <c r="L180" s="395">
        <f>(6.5-0.1)*24</f>
        <v>153.60000000000002</v>
      </c>
      <c r="M180" s="385">
        <v>0.01</v>
      </c>
      <c r="N180" s="385">
        <v>0.42</v>
      </c>
      <c r="O180" s="385">
        <v>31.44</v>
      </c>
      <c r="P180" s="385">
        <v>103.82</v>
      </c>
      <c r="Q180" s="385">
        <v>6.22</v>
      </c>
      <c r="R180" s="385">
        <v>1E-3</v>
      </c>
      <c r="S180" s="385">
        <v>1E-3</v>
      </c>
      <c r="T180" s="385">
        <v>1E-3</v>
      </c>
      <c r="U180" s="385">
        <v>1E-3</v>
      </c>
      <c r="V180" s="385"/>
    </row>
    <row r="181" spans="1:22" s="15" customFormat="1" x14ac:dyDescent="0.25">
      <c r="A181" s="572">
        <v>800192</v>
      </c>
      <c r="B181" s="394" t="str">
        <f t="shared" si="6"/>
        <v>-12,24/+12,59  (EC  12,9)</v>
      </c>
      <c r="C181" s="384">
        <v>5</v>
      </c>
      <c r="D181" s="385">
        <v>5.0199999999999996</v>
      </c>
      <c r="E181" s="385">
        <v>1.29</v>
      </c>
      <c r="F181" s="386">
        <v>102.18</v>
      </c>
      <c r="G181" s="385"/>
      <c r="H181" s="385">
        <v>0.09</v>
      </c>
      <c r="I181" s="386">
        <v>82.55</v>
      </c>
      <c r="J181" s="385">
        <v>172.2</v>
      </c>
      <c r="K181" s="385">
        <v>0.01</v>
      </c>
      <c r="L181" s="395">
        <f>(12-0.1)*24</f>
        <v>285.60000000000002</v>
      </c>
      <c r="M181" s="385">
        <v>0.01</v>
      </c>
      <c r="N181" s="385">
        <v>28.19</v>
      </c>
      <c r="O181" s="385">
        <v>72.34</v>
      </c>
      <c r="P181" s="385">
        <v>156.76</v>
      </c>
      <c r="Q181" s="385">
        <v>10.49</v>
      </c>
      <c r="R181" s="385">
        <v>0.04</v>
      </c>
      <c r="S181" s="385">
        <v>1E-3</v>
      </c>
      <c r="T181" s="385">
        <v>0.02</v>
      </c>
      <c r="U181" s="385">
        <v>0.11</v>
      </c>
      <c r="V181" s="385"/>
    </row>
    <row r="182" spans="1:22" s="15" customFormat="1" x14ac:dyDescent="0.25">
      <c r="A182" s="572">
        <v>800193</v>
      </c>
      <c r="B182" s="394" t="str">
        <f t="shared" si="6"/>
        <v>-8,82/+6,82  (EC  7,45)</v>
      </c>
      <c r="C182" s="384">
        <v>5</v>
      </c>
      <c r="D182" s="385">
        <v>7.73</v>
      </c>
      <c r="E182" s="385">
        <v>0.745</v>
      </c>
      <c r="F182" s="386">
        <v>87.39</v>
      </c>
      <c r="G182" s="385"/>
      <c r="H182" s="385">
        <v>0.09</v>
      </c>
      <c r="I182" s="386">
        <v>186.4</v>
      </c>
      <c r="J182" s="385">
        <v>47</v>
      </c>
      <c r="K182" s="385">
        <v>0.01</v>
      </c>
      <c r="L182" s="395">
        <f>(3.1-0.1)*24</f>
        <v>72</v>
      </c>
      <c r="M182" s="385">
        <v>0.01</v>
      </c>
      <c r="N182" s="385">
        <v>0.52</v>
      </c>
      <c r="O182" s="385">
        <v>26.79</v>
      </c>
      <c r="P182" s="385">
        <v>104.11</v>
      </c>
      <c r="Q182" s="385">
        <v>5.0999999999999996</v>
      </c>
      <c r="R182" s="385">
        <v>0.01</v>
      </c>
      <c r="S182" s="385">
        <v>1E-3</v>
      </c>
      <c r="T182" s="385">
        <v>1E-3</v>
      </c>
      <c r="U182" s="385">
        <v>1E-3</v>
      </c>
      <c r="V182" s="385"/>
    </row>
    <row r="183" spans="1:22" s="15" customFormat="1" x14ac:dyDescent="0.25">
      <c r="A183" s="572">
        <v>800182</v>
      </c>
      <c r="B183" s="394" t="str">
        <f t="shared" si="6"/>
        <v>-7,81/+7,85  (EC  6,9)</v>
      </c>
      <c r="C183" s="384">
        <v>5</v>
      </c>
      <c r="D183" s="385">
        <v>7.37</v>
      </c>
      <c r="E183" s="385">
        <v>0.69</v>
      </c>
      <c r="F183" s="386">
        <v>81.62</v>
      </c>
      <c r="G183" s="385"/>
      <c r="H183" s="385">
        <v>1.58</v>
      </c>
      <c r="I183" s="386">
        <v>103.94</v>
      </c>
      <c r="J183" s="385">
        <v>83.8</v>
      </c>
      <c r="K183" s="385">
        <v>0.01</v>
      </c>
      <c r="L183" s="395">
        <v>111</v>
      </c>
      <c r="M183" s="385">
        <v>0.01</v>
      </c>
      <c r="N183" s="385">
        <v>5.16</v>
      </c>
      <c r="O183" s="385">
        <v>56.29</v>
      </c>
      <c r="P183" s="385">
        <v>72.290000000000006</v>
      </c>
      <c r="Q183" s="385">
        <v>18.510000000000002</v>
      </c>
      <c r="R183" s="385"/>
      <c r="S183" s="385"/>
      <c r="T183" s="385"/>
      <c r="U183" s="385"/>
      <c r="V183" s="385"/>
    </row>
    <row r="184" spans="1:22" s="15" customFormat="1" x14ac:dyDescent="0.25">
      <c r="A184" s="572">
        <v>800183</v>
      </c>
      <c r="B184" s="394" t="str">
        <f t="shared" si="6"/>
        <v>-26,85/+28,60  (EC  26,9)</v>
      </c>
      <c r="C184" s="384">
        <v>5</v>
      </c>
      <c r="D184" s="385">
        <v>6.75</v>
      </c>
      <c r="E184" s="385">
        <v>2.69</v>
      </c>
      <c r="F184" s="386">
        <v>12</v>
      </c>
      <c r="G184" s="385"/>
      <c r="H184" s="385">
        <v>0.1</v>
      </c>
      <c r="I184" s="386">
        <v>432.63</v>
      </c>
      <c r="J184" s="385">
        <v>398.1</v>
      </c>
      <c r="K184" s="385">
        <v>0.01</v>
      </c>
      <c r="L184" s="395">
        <f>(15.8-0.1)*24</f>
        <v>376.8</v>
      </c>
      <c r="M184" s="385">
        <v>0.01</v>
      </c>
      <c r="N184" s="385">
        <v>5.82</v>
      </c>
      <c r="O184" s="385">
        <v>234.58</v>
      </c>
      <c r="P184" s="385">
        <v>231.03</v>
      </c>
      <c r="Q184" s="385">
        <v>80.33</v>
      </c>
      <c r="R184" s="385"/>
      <c r="S184" s="385"/>
      <c r="T184" s="385"/>
      <c r="U184" s="385"/>
      <c r="V184" s="385"/>
    </row>
    <row r="185" spans="1:22" s="15" customFormat="1" x14ac:dyDescent="0.25">
      <c r="A185" s="572">
        <v>800184</v>
      </c>
      <c r="B185" s="394" t="str">
        <f t="shared" si="6"/>
        <v>-7,05/+6,68  (EC  6,01)</v>
      </c>
      <c r="C185" s="384">
        <v>5</v>
      </c>
      <c r="D185" s="385">
        <v>7.54</v>
      </c>
      <c r="E185" s="385">
        <v>0.60099999999999998</v>
      </c>
      <c r="F185" s="386">
        <v>27.54</v>
      </c>
      <c r="G185" s="385"/>
      <c r="H185" s="385">
        <v>0.1</v>
      </c>
      <c r="I185" s="386">
        <v>47.06</v>
      </c>
      <c r="J185" s="385">
        <v>83.5</v>
      </c>
      <c r="K185" s="385">
        <v>0.01</v>
      </c>
      <c r="L185" s="395">
        <f>(9.1-0.1)*24</f>
        <v>216</v>
      </c>
      <c r="M185" s="385">
        <v>0.01</v>
      </c>
      <c r="N185" s="385">
        <v>1.1200000000000001</v>
      </c>
      <c r="O185" s="385">
        <v>14.2</v>
      </c>
      <c r="P185" s="385">
        <v>63.47</v>
      </c>
      <c r="Q185" s="385">
        <v>34.229999999999997</v>
      </c>
      <c r="R185" s="385">
        <v>0.03</v>
      </c>
      <c r="S185" s="385">
        <v>1E-3</v>
      </c>
      <c r="T185" s="385">
        <v>1E-3</v>
      </c>
      <c r="U185" s="385">
        <v>1E-3</v>
      </c>
      <c r="V185" s="385"/>
    </row>
    <row r="186" spans="1:22" s="15" customFormat="1" x14ac:dyDescent="0.25">
      <c r="A186" s="572">
        <v>800170</v>
      </c>
      <c r="B186" s="394" t="str">
        <f t="shared" si="6"/>
        <v>-146,45/+148,72  (EC  147)</v>
      </c>
      <c r="C186" s="384">
        <v>5</v>
      </c>
      <c r="D186" s="385">
        <v>7.9</v>
      </c>
      <c r="E186" s="385">
        <f>2.94*5</f>
        <v>14.7</v>
      </c>
      <c r="F186" s="386">
        <v>105.92</v>
      </c>
      <c r="G186" s="385"/>
      <c r="H186" s="385">
        <v>0.17</v>
      </c>
      <c r="I186" s="386">
        <v>4157.79</v>
      </c>
      <c r="J186" s="385">
        <v>1063.2</v>
      </c>
      <c r="K186" s="385"/>
      <c r="L186" s="395">
        <f>(14-0.1)*24</f>
        <v>333.6</v>
      </c>
      <c r="M186" s="385">
        <v>0.01</v>
      </c>
      <c r="N186" s="385">
        <v>34.590000000000003</v>
      </c>
      <c r="O186" s="385">
        <v>1966.4</v>
      </c>
      <c r="P186" s="385">
        <v>387.97</v>
      </c>
      <c r="Q186" s="385">
        <v>515.12</v>
      </c>
      <c r="R186" s="385">
        <v>1E-3</v>
      </c>
      <c r="S186" s="385">
        <v>0.01</v>
      </c>
      <c r="T186" s="385">
        <v>1E-3</v>
      </c>
      <c r="U186" s="385">
        <v>0.01</v>
      </c>
      <c r="V186" s="385"/>
    </row>
    <row r="187" spans="1:22" s="15" customFormat="1" x14ac:dyDescent="0.25">
      <c r="A187" s="572">
        <v>800218</v>
      </c>
      <c r="B187" s="394" t="str">
        <f t="shared" si="6"/>
        <v>-12,45/+12,89  (EC  11,78)</v>
      </c>
      <c r="C187" s="384"/>
      <c r="D187" s="385">
        <v>7.37</v>
      </c>
      <c r="E187" s="385">
        <v>1.1779999999999999</v>
      </c>
      <c r="F187" s="386">
        <f>5.12*5</f>
        <v>25.6</v>
      </c>
      <c r="G187" s="385">
        <v>0.01</v>
      </c>
      <c r="H187" s="385">
        <v>0.1</v>
      </c>
      <c r="I187" s="386">
        <f>30.67*5</f>
        <v>153.35000000000002</v>
      </c>
      <c r="J187" s="385">
        <v>70</v>
      </c>
      <c r="K187" s="385">
        <v>0.11</v>
      </c>
      <c r="L187" s="395">
        <f>(16-0.1)*24</f>
        <v>381.6</v>
      </c>
      <c r="M187" s="385"/>
      <c r="N187" s="385">
        <v>3.44</v>
      </c>
      <c r="O187" s="385">
        <v>99.92</v>
      </c>
      <c r="P187" s="385">
        <v>73.319999999999993</v>
      </c>
      <c r="Q187" s="385">
        <v>57.45</v>
      </c>
      <c r="R187" s="385"/>
      <c r="S187" s="385"/>
      <c r="T187" s="385"/>
      <c r="U187" s="385"/>
      <c r="V187" s="385"/>
    </row>
    <row r="188" spans="1:22" s="15" customFormat="1" x14ac:dyDescent="0.25">
      <c r="A188" s="572">
        <v>800194</v>
      </c>
      <c r="B188" s="394" t="str">
        <f t="shared" si="6"/>
        <v>-21,65/+19,63  (EC  19,6)</v>
      </c>
      <c r="C188" s="384"/>
      <c r="D188" s="385">
        <v>7.5</v>
      </c>
      <c r="E188" s="385">
        <v>1.96</v>
      </c>
      <c r="F188" s="386">
        <v>68.67</v>
      </c>
      <c r="G188" s="385">
        <v>0.01</v>
      </c>
      <c r="H188" s="385">
        <v>0.25</v>
      </c>
      <c r="I188" s="386">
        <v>409.6</v>
      </c>
      <c r="J188" s="385">
        <f>78.1*5</f>
        <v>390.5</v>
      </c>
      <c r="K188" s="385">
        <v>0.01</v>
      </c>
      <c r="L188" s="395">
        <f>(2.3-0.1)*24</f>
        <v>52.8</v>
      </c>
      <c r="M188" s="385"/>
      <c r="N188" s="385">
        <v>4.49</v>
      </c>
      <c r="O188" s="385">
        <v>237.47</v>
      </c>
      <c r="P188" s="385">
        <v>93.8</v>
      </c>
      <c r="Q188" s="385">
        <v>53.8</v>
      </c>
      <c r="R188" s="385"/>
      <c r="S188" s="385"/>
      <c r="T188" s="385"/>
      <c r="U188" s="385"/>
      <c r="V188" s="385"/>
    </row>
    <row r="189" spans="1:22" s="15" customFormat="1" x14ac:dyDescent="0.25">
      <c r="A189" s="572">
        <v>800195</v>
      </c>
      <c r="B189" s="394" t="str">
        <f t="shared" si="6"/>
        <v>-27,03/+27,62  (EC  26,5)</v>
      </c>
      <c r="C189" s="384"/>
      <c r="D189" s="385">
        <v>7.3</v>
      </c>
      <c r="E189" s="385">
        <v>2.65</v>
      </c>
      <c r="F189" s="386">
        <v>1.03</v>
      </c>
      <c r="G189" s="385">
        <v>0.01</v>
      </c>
      <c r="H189" s="385">
        <v>0.23</v>
      </c>
      <c r="I189" s="386">
        <v>421.6</v>
      </c>
      <c r="J189" s="385">
        <f>117.7*5</f>
        <v>588.5</v>
      </c>
      <c r="K189" s="385">
        <v>0.01</v>
      </c>
      <c r="L189" s="395">
        <f>(7.4-0.1)*24</f>
        <v>175.20000000000002</v>
      </c>
      <c r="M189" s="385"/>
      <c r="N189" s="385">
        <v>6.17</v>
      </c>
      <c r="O189" s="385">
        <v>336.03</v>
      </c>
      <c r="P189" s="385">
        <v>74.790000000000006</v>
      </c>
      <c r="Q189" s="385">
        <v>109.19</v>
      </c>
      <c r="R189" s="385"/>
      <c r="S189" s="385"/>
      <c r="T189" s="385"/>
      <c r="U189" s="385"/>
      <c r="V189" s="385"/>
    </row>
    <row r="190" spans="1:22" s="15" customFormat="1" x14ac:dyDescent="0.25">
      <c r="A190" s="572">
        <v>800196</v>
      </c>
      <c r="B190" s="394" t="str">
        <f t="shared" si="6"/>
        <v>-7,32/+6,63  (EC  6,18)</v>
      </c>
      <c r="C190" s="384"/>
      <c r="D190" s="385">
        <v>7.58</v>
      </c>
      <c r="E190" s="385">
        <v>0.61799999999999999</v>
      </c>
      <c r="F190" s="386">
        <v>13.64</v>
      </c>
      <c r="G190" s="385">
        <v>0.01</v>
      </c>
      <c r="H190" s="385">
        <v>0.22</v>
      </c>
      <c r="I190" s="386">
        <v>23.66</v>
      </c>
      <c r="J190" s="385">
        <v>68.900000000000006</v>
      </c>
      <c r="K190" s="385">
        <v>0.01</v>
      </c>
      <c r="L190" s="395">
        <f>(12.8-0.1)*24</f>
        <v>304.8</v>
      </c>
      <c r="M190" s="385"/>
      <c r="N190" s="385">
        <v>2.37</v>
      </c>
      <c r="O190" s="385">
        <v>24.5</v>
      </c>
      <c r="P190" s="385">
        <v>55.81</v>
      </c>
      <c r="Q190" s="385">
        <v>32.4</v>
      </c>
      <c r="R190" s="385">
        <v>9.9999999999999995E-8</v>
      </c>
      <c r="S190" s="385">
        <v>9.9999999999999995E-8</v>
      </c>
      <c r="T190" s="385">
        <v>9.9999999999999995E-8</v>
      </c>
      <c r="U190" s="385">
        <v>9.9999999999999995E-8</v>
      </c>
      <c r="V190" s="385"/>
    </row>
    <row r="191" spans="1:22" s="15" customFormat="1" x14ac:dyDescent="0.25">
      <c r="A191" s="572">
        <v>800197</v>
      </c>
      <c r="B191" s="394" t="str">
        <f t="shared" si="6"/>
        <v>-7,35/+6,50  (EC  6,05)</v>
      </c>
      <c r="C191" s="384"/>
      <c r="D191" s="385">
        <v>7.56</v>
      </c>
      <c r="E191" s="385">
        <v>0.60499999999999998</v>
      </c>
      <c r="F191" s="386">
        <v>14.24</v>
      </c>
      <c r="G191" s="385">
        <v>0.01</v>
      </c>
      <c r="H191" s="385">
        <v>0.22</v>
      </c>
      <c r="I191" s="386">
        <v>21.85</v>
      </c>
      <c r="J191" s="385">
        <v>68.7</v>
      </c>
      <c r="K191" s="385">
        <v>0.01</v>
      </c>
      <c r="L191" s="395">
        <f>(13-0.1)*24</f>
        <v>309.60000000000002</v>
      </c>
      <c r="M191" s="385"/>
      <c r="N191" s="385">
        <v>2.4300000000000002</v>
      </c>
      <c r="O191" s="385">
        <v>24.03</v>
      </c>
      <c r="P191" s="385">
        <v>51.95</v>
      </c>
      <c r="Q191" s="385">
        <v>33.31</v>
      </c>
      <c r="R191" s="385">
        <v>0.11</v>
      </c>
      <c r="S191" s="385">
        <v>9.9999999999999995E-8</v>
      </c>
      <c r="T191" s="385">
        <v>9.9999999999999995E-8</v>
      </c>
      <c r="U191" s="385">
        <v>9.9999999999999995E-8</v>
      </c>
      <c r="V191" s="385"/>
    </row>
    <row r="192" spans="1:22" s="15" customFormat="1" x14ac:dyDescent="0.25">
      <c r="A192" s="572">
        <v>800198</v>
      </c>
      <c r="B192" s="394" t="str">
        <f t="shared" si="6"/>
        <v>-5,43/+4,92  (EC  4,84)</v>
      </c>
      <c r="C192" s="384"/>
      <c r="D192" s="385">
        <v>7.67</v>
      </c>
      <c r="E192" s="385">
        <v>0.48399999999999999</v>
      </c>
      <c r="F192" s="386">
        <v>7.15</v>
      </c>
      <c r="G192" s="385">
        <v>0.01</v>
      </c>
      <c r="H192" s="385">
        <v>0.28000000000000003</v>
      </c>
      <c r="I192" s="386">
        <v>63.2</v>
      </c>
      <c r="J192" s="385">
        <v>32</v>
      </c>
      <c r="K192" s="385">
        <v>0.01</v>
      </c>
      <c r="L192" s="395">
        <f>(7.4-0.1)*24</f>
        <v>175.20000000000002</v>
      </c>
      <c r="M192" s="385"/>
      <c r="N192" s="385">
        <v>3.17</v>
      </c>
      <c r="O192" s="385">
        <v>30.69</v>
      </c>
      <c r="P192" s="385">
        <v>40.6</v>
      </c>
      <c r="Q192" s="385">
        <v>17.399999999999999</v>
      </c>
      <c r="R192" s="385">
        <v>9.9999999999999995E-8</v>
      </c>
      <c r="S192" s="385">
        <v>0.45</v>
      </c>
      <c r="T192" s="385">
        <v>9.9999999999999995E-8</v>
      </c>
      <c r="U192" s="385">
        <v>0.12</v>
      </c>
      <c r="V192" s="385"/>
    </row>
    <row r="193" spans="1:22" s="15" customFormat="1" x14ac:dyDescent="0.25">
      <c r="A193" s="572">
        <v>800199</v>
      </c>
      <c r="B193" s="394" t="str">
        <f t="shared" si="6"/>
        <v>-10,29/+9,23  (EC  9,55)</v>
      </c>
      <c r="C193" s="384"/>
      <c r="D193" s="385">
        <v>7.05</v>
      </c>
      <c r="E193" s="385">
        <v>0.95499999999999996</v>
      </c>
      <c r="F193" s="386">
        <v>21.3</v>
      </c>
      <c r="G193" s="385">
        <v>0.01</v>
      </c>
      <c r="H193" s="385">
        <v>0.22</v>
      </c>
      <c r="I193" s="386">
        <v>71.92</v>
      </c>
      <c r="J193" s="385">
        <v>64.7</v>
      </c>
      <c r="K193" s="385">
        <v>0.01</v>
      </c>
      <c r="L193" s="395">
        <f>(16.8-0.1)*24</f>
        <v>400.79999999999995</v>
      </c>
      <c r="M193" s="385"/>
      <c r="N193" s="385">
        <v>1.67</v>
      </c>
      <c r="O193" s="385">
        <v>54.83</v>
      </c>
      <c r="P193" s="385">
        <v>61.23</v>
      </c>
      <c r="Q193" s="385">
        <v>44.69</v>
      </c>
      <c r="R193" s="385">
        <v>0.11</v>
      </c>
      <c r="S193" s="385">
        <v>9.9999999999999995E-8</v>
      </c>
      <c r="T193" s="385">
        <v>9.9999999999999995E-8</v>
      </c>
      <c r="U193" s="385">
        <v>9.9999999999999995E-8</v>
      </c>
      <c r="V193" s="385"/>
    </row>
    <row r="194" spans="1:22" s="15" customFormat="1" x14ac:dyDescent="0.25">
      <c r="A194" s="572">
        <v>800200</v>
      </c>
      <c r="B194" s="394" t="str">
        <f t="shared" si="6"/>
        <v>-5,54/+6,18  (EC  6,8)</v>
      </c>
      <c r="C194" s="384"/>
      <c r="D194" s="385">
        <v>6.07</v>
      </c>
      <c r="E194" s="385">
        <v>0.68</v>
      </c>
      <c r="F194" s="386">
        <v>90.34</v>
      </c>
      <c r="G194" s="385">
        <v>0.01</v>
      </c>
      <c r="H194" s="385">
        <v>5.25</v>
      </c>
      <c r="I194" s="386">
        <v>80.599999999999994</v>
      </c>
      <c r="J194" s="385">
        <f>61.6</f>
        <v>61.6</v>
      </c>
      <c r="K194" s="385">
        <v>5.8967999999999998</v>
      </c>
      <c r="L194" s="395">
        <f>(1.3-0.1)*24</f>
        <v>28.799999999999997</v>
      </c>
      <c r="M194" s="385"/>
      <c r="N194" s="385">
        <v>73.290000000000006</v>
      </c>
      <c r="O194" s="385">
        <v>33.81</v>
      </c>
      <c r="P194" s="385">
        <v>27.42</v>
      </c>
      <c r="Q194" s="385">
        <v>12.99</v>
      </c>
      <c r="R194" s="385">
        <v>0.57999999999999996</v>
      </c>
      <c r="S194" s="385">
        <v>0.17</v>
      </c>
      <c r="T194" s="385">
        <v>2.59</v>
      </c>
      <c r="U194" s="385">
        <v>1.02</v>
      </c>
      <c r="V194" s="385"/>
    </row>
    <row r="195" spans="1:22" s="15" customFormat="1" x14ac:dyDescent="0.25">
      <c r="A195" s="572">
        <v>800201</v>
      </c>
      <c r="B195" s="394" t="str">
        <f t="shared" si="6"/>
        <v>-13,75/+11,07  (EC  12,83)</v>
      </c>
      <c r="C195" s="384"/>
      <c r="D195" s="385">
        <v>4.6100000000000003</v>
      </c>
      <c r="E195" s="385">
        <v>1.2829999999999999</v>
      </c>
      <c r="F195" s="386">
        <v>72.77</v>
      </c>
      <c r="G195" s="385">
        <v>0.01</v>
      </c>
      <c r="H195" s="385">
        <v>5.34</v>
      </c>
      <c r="I195" s="386">
        <v>178.87</v>
      </c>
      <c r="J195" s="385">
        <f>62.7*5</f>
        <v>313.5</v>
      </c>
      <c r="K195" s="385">
        <v>78.655200000000008</v>
      </c>
      <c r="L195" s="395">
        <f>(0.6-0.1)*24</f>
        <v>12</v>
      </c>
      <c r="M195" s="385"/>
      <c r="N195" s="385">
        <v>45.97</v>
      </c>
      <c r="O195" s="385">
        <v>78.540000000000006</v>
      </c>
      <c r="P195" s="385">
        <v>52.54</v>
      </c>
      <c r="Q195" s="385">
        <v>41.57</v>
      </c>
      <c r="R195" s="385">
        <v>0.09</v>
      </c>
      <c r="S195" s="385">
        <v>9.9999999999999995E-8</v>
      </c>
      <c r="T195" s="385">
        <v>0.11</v>
      </c>
      <c r="U195" s="385">
        <v>0.13</v>
      </c>
      <c r="V195" s="385"/>
    </row>
    <row r="196" spans="1:22" s="15" customFormat="1" x14ac:dyDescent="0.25">
      <c r="A196" s="572">
        <v>800202</v>
      </c>
      <c r="B196" s="394" t="str">
        <f t="shared" si="6"/>
        <v>-15,88/+15,25  (EC  14,37)</v>
      </c>
      <c r="C196" s="384"/>
      <c r="D196" s="385">
        <v>6.9</v>
      </c>
      <c r="E196" s="385">
        <v>1.4370000000000001</v>
      </c>
      <c r="F196" s="386">
        <v>93.03</v>
      </c>
      <c r="G196" s="385">
        <v>0.01</v>
      </c>
      <c r="H196" s="385">
        <v>3.63</v>
      </c>
      <c r="I196" s="386">
        <v>74.319999999999993</v>
      </c>
      <c r="J196" s="385">
        <f>87.1*5</f>
        <v>435.5</v>
      </c>
      <c r="K196" s="385">
        <v>48.422400000000003</v>
      </c>
      <c r="L196" s="395">
        <f>(7-0.1)*24</f>
        <v>165.60000000000002</v>
      </c>
      <c r="M196" s="385"/>
      <c r="N196" s="385">
        <v>71</v>
      </c>
      <c r="O196" s="385">
        <v>41.3</v>
      </c>
      <c r="P196" s="385">
        <v>178.02</v>
      </c>
      <c r="Q196" s="385">
        <v>29.68</v>
      </c>
      <c r="R196" s="385">
        <v>0.46</v>
      </c>
      <c r="S196" s="385">
        <v>0.05</v>
      </c>
      <c r="T196" s="385">
        <v>0.79</v>
      </c>
      <c r="U196" s="385">
        <v>0.08</v>
      </c>
      <c r="V196" s="385"/>
    </row>
    <row r="197" spans="1:22" s="15" customFormat="1" x14ac:dyDescent="0.25">
      <c r="A197" s="572">
        <v>800203</v>
      </c>
      <c r="B197" s="394" t="str">
        <f t="shared" si="6"/>
        <v>-9,90/+10,56  (EC  10,2)</v>
      </c>
      <c r="C197" s="384"/>
      <c r="D197" s="385">
        <v>7.24</v>
      </c>
      <c r="E197" s="385">
        <v>1.02</v>
      </c>
      <c r="F197" s="386">
        <v>91.89</v>
      </c>
      <c r="G197" s="385">
        <v>0.01</v>
      </c>
      <c r="H197" s="385">
        <v>8.3000000000000007</v>
      </c>
      <c r="I197" s="386">
        <v>93.97</v>
      </c>
      <c r="J197" s="385">
        <v>104.4</v>
      </c>
      <c r="K197" s="385">
        <v>35.349600000000002</v>
      </c>
      <c r="L197" s="395">
        <f>(8.3-0.1)*24</f>
        <v>196.8</v>
      </c>
      <c r="M197" s="385"/>
      <c r="N197" s="385">
        <v>38.65</v>
      </c>
      <c r="O197" s="385">
        <v>64.180000000000007</v>
      </c>
      <c r="P197" s="385">
        <v>72.11</v>
      </c>
      <c r="Q197" s="385">
        <v>31.02</v>
      </c>
      <c r="R197" s="385">
        <v>0.06</v>
      </c>
      <c r="S197" s="385">
        <v>0.02</v>
      </c>
      <c r="T197" s="385">
        <v>9.9999999999999995E-8</v>
      </c>
      <c r="U197" s="385">
        <v>0.05</v>
      </c>
      <c r="V197" s="385"/>
    </row>
    <row r="198" spans="1:22" s="15" customFormat="1" x14ac:dyDescent="0.25">
      <c r="A198" s="572">
        <v>800204</v>
      </c>
      <c r="B198" s="394" t="str">
        <f t="shared" si="6"/>
        <v>-11,18/+9,17  (EC  10,02)</v>
      </c>
      <c r="C198" s="384"/>
      <c r="D198" s="385">
        <v>7.17</v>
      </c>
      <c r="E198" s="385">
        <v>1.002</v>
      </c>
      <c r="F198" s="386">
        <v>92.49</v>
      </c>
      <c r="G198" s="385">
        <v>0.01</v>
      </c>
      <c r="H198" s="385">
        <v>5.21</v>
      </c>
      <c r="I198" s="386">
        <v>68.349999999999994</v>
      </c>
      <c r="J198" s="385">
        <f>56.5*5</f>
        <v>282.5</v>
      </c>
      <c r="K198" s="385">
        <v>29.702400000000001</v>
      </c>
      <c r="L198" s="395">
        <f>(4.1-0.1)*24</f>
        <v>95.999999999999986</v>
      </c>
      <c r="M198" s="385"/>
      <c r="N198" s="385">
        <v>49.49</v>
      </c>
      <c r="O198" s="385">
        <v>36.83</v>
      </c>
      <c r="P198" s="385">
        <v>87.57</v>
      </c>
      <c r="Q198" s="385">
        <v>18.53</v>
      </c>
      <c r="R198" s="385">
        <v>0.12</v>
      </c>
      <c r="S198" s="385">
        <v>0.05</v>
      </c>
      <c r="T198" s="385">
        <v>0.28000000000000003</v>
      </c>
      <c r="U198" s="385">
        <v>0.02</v>
      </c>
      <c r="V198" s="385"/>
    </row>
    <row r="199" spans="1:22" s="15" customFormat="1" x14ac:dyDescent="0.25">
      <c r="A199" s="572">
        <v>800205</v>
      </c>
      <c r="B199" s="394" t="str">
        <f t="shared" si="6"/>
        <v>-5,51/+4,71  (EC  5,4)</v>
      </c>
      <c r="C199" s="384"/>
      <c r="D199" s="385">
        <v>5.55</v>
      </c>
      <c r="E199" s="385">
        <v>0.54</v>
      </c>
      <c r="F199" s="386">
        <v>91.14</v>
      </c>
      <c r="G199" s="385">
        <v>0.01</v>
      </c>
      <c r="H199" s="385">
        <v>7.21</v>
      </c>
      <c r="I199" s="386">
        <v>79.73</v>
      </c>
      <c r="J199" s="385">
        <v>54</v>
      </c>
      <c r="K199" s="385">
        <v>49.732799999999997</v>
      </c>
      <c r="L199" s="395">
        <f>(0.5-0.1)*24</f>
        <v>9.6000000000000014</v>
      </c>
      <c r="M199" s="385"/>
      <c r="N199" s="385">
        <v>10.75</v>
      </c>
      <c r="O199" s="385">
        <v>31.26</v>
      </c>
      <c r="P199" s="385">
        <v>23.41</v>
      </c>
      <c r="Q199" s="385">
        <v>16.63</v>
      </c>
      <c r="R199" s="385">
        <v>7.0000000000000007E-2</v>
      </c>
      <c r="S199" s="385">
        <v>9.9999999999999995E-8</v>
      </c>
      <c r="T199" s="385">
        <v>0.12</v>
      </c>
      <c r="U199" s="385">
        <v>0.08</v>
      </c>
      <c r="V199" s="385"/>
    </row>
    <row r="200" spans="1:22" s="15" customFormat="1" x14ac:dyDescent="0.25">
      <c r="A200" s="572">
        <v>800206</v>
      </c>
      <c r="B200" s="394" t="str">
        <f t="shared" si="6"/>
        <v>-11,45/+9,29  (EC  10,9)</v>
      </c>
      <c r="C200" s="384"/>
      <c r="D200" s="385">
        <v>6.36</v>
      </c>
      <c r="E200" s="385">
        <v>1.0900000000000001</v>
      </c>
      <c r="F200" s="386">
        <v>91.12</v>
      </c>
      <c r="G200" s="385">
        <v>0.01</v>
      </c>
      <c r="H200" s="385">
        <v>3.23</v>
      </c>
      <c r="I200" s="386">
        <v>88.22</v>
      </c>
      <c r="J200" s="385">
        <f>2*96.5</f>
        <v>193</v>
      </c>
      <c r="K200" s="385">
        <v>180.05520000000001</v>
      </c>
      <c r="L200" s="395">
        <f>(4.2-0.1)*24</f>
        <v>98.4</v>
      </c>
      <c r="M200" s="385"/>
      <c r="N200" s="385">
        <v>40.18</v>
      </c>
      <c r="O200" s="385">
        <v>45.84</v>
      </c>
      <c r="P200" s="385">
        <v>64.069999999999993</v>
      </c>
      <c r="Q200" s="385">
        <v>33.99</v>
      </c>
      <c r="R200" s="385">
        <v>0.03</v>
      </c>
      <c r="S200" s="385">
        <v>9.9999999999999995E-8</v>
      </c>
      <c r="T200" s="385">
        <v>0.03</v>
      </c>
      <c r="U200" s="385">
        <v>9.9999999999999995E-8</v>
      </c>
      <c r="V200" s="385"/>
    </row>
    <row r="201" spans="1:22" s="15" customFormat="1" x14ac:dyDescent="0.25">
      <c r="A201" s="572">
        <v>800207</v>
      </c>
      <c r="B201" s="394" t="str">
        <f t="shared" si="6"/>
        <v>-10,72/+9,49  (EC  10,96)</v>
      </c>
      <c r="C201" s="384"/>
      <c r="D201" s="385">
        <v>6.48</v>
      </c>
      <c r="E201" s="385">
        <v>1.0960000000000001</v>
      </c>
      <c r="F201" s="386">
        <v>90.88</v>
      </c>
      <c r="G201" s="385">
        <v>0.01</v>
      </c>
      <c r="H201" s="385">
        <v>6.93</v>
      </c>
      <c r="I201" s="386">
        <v>55.21</v>
      </c>
      <c r="J201" s="385">
        <v>104.6</v>
      </c>
      <c r="K201" s="385">
        <v>81.681600000000003</v>
      </c>
      <c r="L201" s="395">
        <f>(12-0.1)*24</f>
        <v>285.60000000000002</v>
      </c>
      <c r="M201" s="385"/>
      <c r="N201" s="385">
        <v>72.66</v>
      </c>
      <c r="O201" s="385">
        <v>28.1</v>
      </c>
      <c r="P201" s="385">
        <v>72.66</v>
      </c>
      <c r="Q201" s="385">
        <v>27.34</v>
      </c>
      <c r="R201" s="385">
        <v>0.03</v>
      </c>
      <c r="S201" s="385">
        <v>9.9999999999999995E-8</v>
      </c>
      <c r="T201" s="385">
        <v>0.03</v>
      </c>
      <c r="U201" s="385">
        <v>0.01</v>
      </c>
      <c r="V201" s="385"/>
    </row>
    <row r="202" spans="1:22" s="15" customFormat="1" x14ac:dyDescent="0.25">
      <c r="A202" s="572">
        <v>800208</v>
      </c>
      <c r="B202" s="394" t="str">
        <f t="shared" si="6"/>
        <v>-7,89/+7,92  (EC  8,9)</v>
      </c>
      <c r="C202" s="384"/>
      <c r="D202" s="385">
        <v>6.35</v>
      </c>
      <c r="E202" s="385">
        <v>0.89</v>
      </c>
      <c r="F202" s="386">
        <v>90.69</v>
      </c>
      <c r="G202" s="385">
        <v>0.01</v>
      </c>
      <c r="H202" s="385">
        <v>5.29</v>
      </c>
      <c r="I202" s="386">
        <v>67.510000000000005</v>
      </c>
      <c r="J202" s="385">
        <v>78</v>
      </c>
      <c r="K202" s="385">
        <v>56.409599999999998</v>
      </c>
      <c r="L202" s="395">
        <f>(6-0.1)*24</f>
        <v>141.60000000000002</v>
      </c>
      <c r="M202" s="385"/>
      <c r="N202" s="385">
        <v>31.18</v>
      </c>
      <c r="O202" s="385">
        <v>32.54</v>
      </c>
      <c r="P202" s="385">
        <v>70.7</v>
      </c>
      <c r="Q202" s="385">
        <v>21.55</v>
      </c>
      <c r="R202" s="385">
        <v>0.15</v>
      </c>
      <c r="S202" s="385">
        <v>9.9999999999999995E-8</v>
      </c>
      <c r="T202" s="385">
        <v>0.24</v>
      </c>
      <c r="U202" s="385">
        <v>0.1</v>
      </c>
      <c r="V202" s="385"/>
    </row>
    <row r="203" spans="1:22" s="15" customFormat="1" x14ac:dyDescent="0.25">
      <c r="A203" s="572">
        <v>800209</v>
      </c>
      <c r="B203" s="394" t="str">
        <f t="shared" si="6"/>
        <v>-73,95/+74,97  (EC  73,9)</v>
      </c>
      <c r="C203" s="384"/>
      <c r="D203" s="385">
        <v>6.8</v>
      </c>
      <c r="E203" s="385">
        <v>7.39</v>
      </c>
      <c r="F203" s="386">
        <v>48.84</v>
      </c>
      <c r="G203" s="385">
        <v>0.01</v>
      </c>
      <c r="H203" s="385">
        <v>0.28000000000000003</v>
      </c>
      <c r="I203" s="386">
        <v>640.5</v>
      </c>
      <c r="J203" s="385">
        <v>2273.5</v>
      </c>
      <c r="K203" s="385">
        <v>0.01</v>
      </c>
      <c r="L203" s="395">
        <f>(19.8-0.1)*24</f>
        <v>472.79999999999995</v>
      </c>
      <c r="M203" s="385"/>
      <c r="N203" s="385">
        <v>6.42</v>
      </c>
      <c r="O203" s="385">
        <v>317.8</v>
      </c>
      <c r="P203" s="385">
        <v>699.56</v>
      </c>
      <c r="Q203" s="385">
        <v>311.92</v>
      </c>
      <c r="R203" s="385"/>
      <c r="S203" s="385"/>
      <c r="T203" s="385"/>
      <c r="U203" s="385"/>
      <c r="V203" s="385"/>
    </row>
    <row r="204" spans="1:22" s="15" customFormat="1" x14ac:dyDescent="0.25">
      <c r="A204" s="572">
        <v>800210</v>
      </c>
      <c r="B204" s="394" t="str">
        <f t="shared" si="6"/>
        <v>-18,01/+39,19  (EC  0)</v>
      </c>
      <c r="C204" s="384"/>
      <c r="D204" s="34"/>
      <c r="E204" s="34"/>
      <c r="F204" s="386">
        <v>38.68</v>
      </c>
      <c r="G204" s="385">
        <v>0.01</v>
      </c>
      <c r="H204" s="385">
        <v>0.23</v>
      </c>
      <c r="I204" s="386">
        <v>9.4700000000000006</v>
      </c>
      <c r="J204" s="385">
        <f>164.3*5</f>
        <v>821.5</v>
      </c>
      <c r="K204" s="385">
        <v>0.15600000000000003</v>
      </c>
      <c r="L204" s="395"/>
      <c r="M204" s="385"/>
      <c r="N204" s="385">
        <v>10.75</v>
      </c>
      <c r="O204" s="385">
        <v>9.64</v>
      </c>
      <c r="P204" s="385">
        <v>628.57000000000005</v>
      </c>
      <c r="Q204" s="385">
        <v>84.6</v>
      </c>
      <c r="R204" s="385">
        <v>0.02</v>
      </c>
      <c r="S204" s="385">
        <v>9.9999999999999995E-8</v>
      </c>
      <c r="T204" s="385">
        <v>9.9999999999999995E-8</v>
      </c>
      <c r="U204" s="385">
        <v>9.9999999999999995E-8</v>
      </c>
      <c r="V204" s="385"/>
    </row>
    <row r="205" spans="1:22" s="15" customFormat="1" x14ac:dyDescent="0.25">
      <c r="A205" s="572">
        <v>800211</v>
      </c>
      <c r="B205" s="394" t="str">
        <f t="shared" ref="B205:B249" si="7">"-"&amp;TEXT((F205/62+G205/46+I205/35.5+J205/48+K205/97+L205/61),"0,00")&amp;"/+"&amp;TEXT((N205/39+O205/23+P205/20+Q205/12+H188/14),"0,00")&amp;"  (EC  "&amp;E205*10&amp;")"</f>
        <v>-35,61/+37,24  (EC  36,9)</v>
      </c>
      <c r="C205" s="384"/>
      <c r="D205" s="385">
        <v>7.48</v>
      </c>
      <c r="E205" s="385">
        <v>3.69</v>
      </c>
      <c r="F205" s="386">
        <v>69.430000000000007</v>
      </c>
      <c r="G205" s="385">
        <v>0.01</v>
      </c>
      <c r="H205" s="385">
        <v>0.23</v>
      </c>
      <c r="I205" s="386">
        <v>794.1</v>
      </c>
      <c r="J205" s="385">
        <f>92.2*5</f>
        <v>461</v>
      </c>
      <c r="K205" s="385">
        <v>0.01</v>
      </c>
      <c r="L205" s="395">
        <f>(6.5-0.1)*24</f>
        <v>153.60000000000002</v>
      </c>
      <c r="M205" s="385"/>
      <c r="N205" s="385">
        <v>8.2899999999999991</v>
      </c>
      <c r="O205" s="385">
        <v>388.35</v>
      </c>
      <c r="P205" s="385">
        <v>257.86</v>
      </c>
      <c r="Q205" s="385">
        <v>86.78</v>
      </c>
      <c r="R205" s="385"/>
      <c r="S205" s="385"/>
      <c r="T205" s="385"/>
      <c r="U205" s="385"/>
      <c r="V205" s="385"/>
    </row>
    <row r="206" spans="1:22" s="15" customFormat="1" x14ac:dyDescent="0.25">
      <c r="A206" s="572">
        <v>800212</v>
      </c>
      <c r="B206" s="394" t="str">
        <f t="shared" si="7"/>
        <v>-15,09/+16,15  (EC  15,6)</v>
      </c>
      <c r="C206" s="384"/>
      <c r="D206" s="385">
        <v>7.32</v>
      </c>
      <c r="E206" s="385">
        <v>1.56</v>
      </c>
      <c r="F206" s="386">
        <v>5.8</v>
      </c>
      <c r="G206" s="385">
        <v>0.01</v>
      </c>
      <c r="H206" s="385">
        <v>0.32</v>
      </c>
      <c r="I206" s="386">
        <v>185.76</v>
      </c>
      <c r="J206" s="385">
        <v>166.7</v>
      </c>
      <c r="K206" s="385">
        <v>0.01</v>
      </c>
      <c r="L206" s="395">
        <f>(16.1-0.1)*24</f>
        <v>384</v>
      </c>
      <c r="M206" s="385"/>
      <c r="N206" s="385">
        <v>1.86</v>
      </c>
      <c r="O206" s="385">
        <v>152.56</v>
      </c>
      <c r="P206" s="385">
        <v>135.31</v>
      </c>
      <c r="Q206" s="385">
        <v>32.19</v>
      </c>
      <c r="R206" s="385"/>
      <c r="S206" s="385"/>
      <c r="T206" s="385"/>
      <c r="U206" s="385"/>
      <c r="V206" s="385"/>
    </row>
    <row r="207" spans="1:22" s="15" customFormat="1" x14ac:dyDescent="0.25">
      <c r="A207" s="572">
        <v>800213</v>
      </c>
      <c r="B207" s="394" t="str">
        <f t="shared" si="7"/>
        <v>-178,10/+180,41  (EC  179,8)</v>
      </c>
      <c r="C207" s="384"/>
      <c r="D207" s="385">
        <v>7.63</v>
      </c>
      <c r="E207" s="385">
        <v>17.98</v>
      </c>
      <c r="F207" s="386">
        <v>10.199999999999999</v>
      </c>
      <c r="G207" s="385">
        <v>0.01</v>
      </c>
      <c r="H207" s="385">
        <v>0.23</v>
      </c>
      <c r="I207" s="386">
        <v>3631.4</v>
      </c>
      <c r="J207" s="385">
        <f>167.1*20</f>
        <v>3342</v>
      </c>
      <c r="K207" s="385">
        <v>0.01</v>
      </c>
      <c r="L207" s="395">
        <f>(15.4-0.1)*24</f>
        <v>367.20000000000005</v>
      </c>
      <c r="M207" s="385"/>
      <c r="N207" s="385">
        <v>51.81</v>
      </c>
      <c r="O207" s="385">
        <v>2145.08</v>
      </c>
      <c r="P207" s="385">
        <v>650.29999999999995</v>
      </c>
      <c r="Q207" s="385">
        <v>639.41999999999996</v>
      </c>
      <c r="R207" s="385"/>
      <c r="S207" s="385"/>
      <c r="T207" s="385"/>
      <c r="U207" s="385"/>
      <c r="V207" s="385"/>
    </row>
    <row r="208" spans="1:22" s="15" customFormat="1" x14ac:dyDescent="0.25">
      <c r="A208" s="572">
        <v>800214</v>
      </c>
      <c r="B208" s="394" t="str">
        <f t="shared" si="7"/>
        <v>-88,75/+88,04  (EC  87,2)</v>
      </c>
      <c r="C208" s="384"/>
      <c r="D208" s="385">
        <v>7.52</v>
      </c>
      <c r="E208" s="385">
        <v>8.7200000000000006</v>
      </c>
      <c r="F208" s="386">
        <v>16.100000000000001</v>
      </c>
      <c r="G208" s="385">
        <v>0.01</v>
      </c>
      <c r="H208" s="385">
        <v>0.22</v>
      </c>
      <c r="I208" s="386">
        <v>1881.6</v>
      </c>
      <c r="J208" s="385">
        <f>265.5*5</f>
        <v>1327.5</v>
      </c>
      <c r="K208" s="385">
        <v>0.01</v>
      </c>
      <c r="L208" s="395">
        <f>(20-0.1)*24</f>
        <v>477.59999999999997</v>
      </c>
      <c r="M208" s="385"/>
      <c r="N208" s="385">
        <v>61.73</v>
      </c>
      <c r="O208" s="385">
        <v>1072.71</v>
      </c>
      <c r="P208" s="385">
        <v>376.52</v>
      </c>
      <c r="Q208" s="385">
        <v>251.71</v>
      </c>
      <c r="R208" s="385"/>
      <c r="S208" s="385"/>
      <c r="T208" s="385"/>
      <c r="U208" s="385"/>
      <c r="V208" s="385"/>
    </row>
    <row r="209" spans="1:22" s="15" customFormat="1" x14ac:dyDescent="0.25">
      <c r="A209" s="572">
        <v>800215</v>
      </c>
      <c r="B209" s="394" t="str">
        <f>"-"&amp;TEXT((F209/62+G209/46+I209/35.5+J209/48+K209/97+L209/61),"0,00")&amp;"/+"&amp;TEXT((N209/39+O209/23+P209/20+Q209/12+H192/14),"0,00")&amp;"  (EC  "&amp;E209*10&amp;")"</f>
        <v>-92,61/+92,88  (EC  91,3)</v>
      </c>
      <c r="C209" s="384"/>
      <c r="D209" s="385">
        <v>7.29</v>
      </c>
      <c r="E209" s="385">
        <v>9.1300000000000008</v>
      </c>
      <c r="F209" s="386">
        <v>25.3</v>
      </c>
      <c r="G209" s="385">
        <v>0.01</v>
      </c>
      <c r="H209" s="385">
        <v>0.23</v>
      </c>
      <c r="I209" s="386">
        <v>2204.6</v>
      </c>
      <c r="J209" s="385">
        <f>154.9*7</f>
        <v>1084.3</v>
      </c>
      <c r="K209" s="385">
        <v>0.01</v>
      </c>
      <c r="L209" s="395">
        <f>(19.2-0.1)*24</f>
        <v>458.4</v>
      </c>
      <c r="M209" s="385"/>
      <c r="N209" s="385">
        <v>5.93</v>
      </c>
      <c r="O209" s="385">
        <v>1218.7</v>
      </c>
      <c r="P209" s="385">
        <v>399.66</v>
      </c>
      <c r="Q209" s="385">
        <v>236.84</v>
      </c>
      <c r="R209" s="385"/>
      <c r="S209" s="385"/>
      <c r="T209" s="385"/>
      <c r="U209" s="385"/>
      <c r="V209" s="385"/>
    </row>
    <row r="210" spans="1:22" s="15" customFormat="1" x14ac:dyDescent="0.25">
      <c r="A210" s="572">
        <v>800216</v>
      </c>
      <c r="B210" s="394" t="str">
        <f t="shared" si="7"/>
        <v>-50,76/+57,90  (EC  50,2)</v>
      </c>
      <c r="C210" s="384"/>
      <c r="D210" s="385">
        <v>7.33</v>
      </c>
      <c r="E210" s="385">
        <v>5.0199999999999996</v>
      </c>
      <c r="F210" s="386">
        <v>19.8</v>
      </c>
      <c r="G210" s="385">
        <v>0.01</v>
      </c>
      <c r="H210" s="385">
        <v>0.22</v>
      </c>
      <c r="I210" s="386">
        <v>1082.3</v>
      </c>
      <c r="J210" s="385">
        <f>131.1*5</f>
        <v>655.5</v>
      </c>
      <c r="K210" s="385">
        <v>0.01</v>
      </c>
      <c r="L210" s="395">
        <f>(16.1-0.1)*24</f>
        <v>384</v>
      </c>
      <c r="M210" s="385"/>
      <c r="N210" s="385">
        <v>5.33</v>
      </c>
      <c r="O210" s="385">
        <v>827.75</v>
      </c>
      <c r="P210" s="385">
        <v>162.58000000000001</v>
      </c>
      <c r="Q210" s="385">
        <v>163.58000000000001</v>
      </c>
      <c r="R210" s="385"/>
      <c r="S210" s="385"/>
      <c r="T210" s="385"/>
      <c r="U210" s="385"/>
      <c r="V210" s="385"/>
    </row>
    <row r="211" spans="1:22" s="15" customFormat="1" x14ac:dyDescent="0.25">
      <c r="A211" s="572">
        <v>800217</v>
      </c>
      <c r="B211" s="394" t="str">
        <f t="shared" si="7"/>
        <v>-106,73/+106,96  (EC  105,6)</v>
      </c>
      <c r="C211" s="384"/>
      <c r="D211" s="385">
        <v>7.55</v>
      </c>
      <c r="E211" s="385">
        <v>10.56</v>
      </c>
      <c r="F211" s="386">
        <v>59.7</v>
      </c>
      <c r="G211" s="385">
        <v>0.01</v>
      </c>
      <c r="H211" s="385">
        <v>0.22</v>
      </c>
      <c r="I211" s="386">
        <v>2860.03</v>
      </c>
      <c r="J211" s="385">
        <f>148.8*7</f>
        <v>1041.6000000000001</v>
      </c>
      <c r="K211" s="385">
        <v>0.01</v>
      </c>
      <c r="L211" s="395">
        <f>(9-0.1)*24</f>
        <v>213.60000000000002</v>
      </c>
      <c r="M211" s="385"/>
      <c r="N211" s="385">
        <v>25.21</v>
      </c>
      <c r="O211" s="385">
        <v>2038.62</v>
      </c>
      <c r="P211" s="385">
        <v>221.25</v>
      </c>
      <c r="Q211" s="385">
        <v>74.88</v>
      </c>
      <c r="R211" s="385"/>
      <c r="S211" s="385"/>
      <c r="T211" s="385"/>
      <c r="U211" s="385"/>
      <c r="V211" s="385"/>
    </row>
    <row r="212" spans="1:22" s="15" customFormat="1" x14ac:dyDescent="0.25">
      <c r="A212" s="572">
        <v>800218</v>
      </c>
      <c r="B212" s="394" t="str">
        <f t="shared" si="7"/>
        <v>-13,04/+14,57  (EC  13,78)</v>
      </c>
      <c r="C212" s="384"/>
      <c r="D212" s="385">
        <v>7.37</v>
      </c>
      <c r="E212" s="385">
        <v>1.3779999999999999</v>
      </c>
      <c r="F212" s="386">
        <v>43.2</v>
      </c>
      <c r="G212" s="385">
        <v>0.01</v>
      </c>
      <c r="H212" s="385">
        <v>0.01</v>
      </c>
      <c r="I212" s="386">
        <f>30.67*5</f>
        <v>153.35000000000002</v>
      </c>
      <c r="J212" s="385">
        <v>84.8</v>
      </c>
      <c r="K212" s="385">
        <v>0.01</v>
      </c>
      <c r="L212" s="395">
        <f>(16-0.1)*24</f>
        <v>381.6</v>
      </c>
      <c r="M212" s="385"/>
      <c r="N212" s="385">
        <v>3.44</v>
      </c>
      <c r="O212" s="385">
        <v>129.91999999999999</v>
      </c>
      <c r="P212" s="385">
        <v>73.319999999999993</v>
      </c>
      <c r="Q212" s="385">
        <v>57.45</v>
      </c>
      <c r="R212" s="385">
        <v>9.9999999999999995E-8</v>
      </c>
      <c r="S212" s="385">
        <v>9.9999999999999995E-8</v>
      </c>
      <c r="T212" s="385">
        <v>9.9999999999999995E-8</v>
      </c>
      <c r="U212" s="385">
        <v>9.9999999999999995E-8</v>
      </c>
      <c r="V212" s="385"/>
    </row>
    <row r="213" spans="1:22" s="15" customFormat="1" x14ac:dyDescent="0.25">
      <c r="A213" s="572">
        <v>800219</v>
      </c>
      <c r="B213" s="394" t="str">
        <f t="shared" si="7"/>
        <v>-9,37/+9,33  (EC  8,9)</v>
      </c>
      <c r="C213" s="384"/>
      <c r="D213" s="385">
        <v>7.25</v>
      </c>
      <c r="E213" s="385">
        <v>0.89</v>
      </c>
      <c r="F213" s="386">
        <v>11.8</v>
      </c>
      <c r="G213" s="385">
        <v>0.01</v>
      </c>
      <c r="H213" s="385">
        <v>0.22</v>
      </c>
      <c r="I213" s="386">
        <v>13.95</v>
      </c>
      <c r="J213" s="385">
        <f>47*5</f>
        <v>235</v>
      </c>
      <c r="K213" s="385">
        <v>3.1200000000000002E-2</v>
      </c>
      <c r="L213" s="395">
        <f>(10-0.1)*24</f>
        <v>237.60000000000002</v>
      </c>
      <c r="M213" s="385"/>
      <c r="N213" s="385">
        <v>1.51</v>
      </c>
      <c r="O213" s="385">
        <v>23.91</v>
      </c>
      <c r="P213" s="385">
        <v>82.29</v>
      </c>
      <c r="Q213" s="385">
        <v>46.51</v>
      </c>
      <c r="R213" s="385">
        <v>9.9999999999999995E-8</v>
      </c>
      <c r="S213" s="385">
        <v>9.9999999999999995E-8</v>
      </c>
      <c r="T213" s="385">
        <v>9.9999999999999995E-8</v>
      </c>
      <c r="U213" s="385">
        <v>9.9999999999999995E-8</v>
      </c>
      <c r="V213" s="385"/>
    </row>
    <row r="214" spans="1:22" s="15" customFormat="1" x14ac:dyDescent="0.25">
      <c r="A214" s="572">
        <v>800220</v>
      </c>
      <c r="B214" s="394" t="str">
        <f t="shared" si="7"/>
        <v>-7,41/+8,29  (EC  7,41)</v>
      </c>
      <c r="C214" s="384"/>
      <c r="D214" s="385">
        <v>7.52</v>
      </c>
      <c r="E214" s="385">
        <v>0.74099999999999999</v>
      </c>
      <c r="F214" s="386">
        <v>8.6999999999999993</v>
      </c>
      <c r="G214" s="385">
        <v>0.01</v>
      </c>
      <c r="H214" s="385">
        <v>0.21</v>
      </c>
      <c r="I214" s="386">
        <v>9.7899999999999991</v>
      </c>
      <c r="J214" s="385">
        <v>88.3</v>
      </c>
      <c r="K214" s="385">
        <v>6.2400000000000004E-2</v>
      </c>
      <c r="L214" s="395">
        <f>(13.2-0.1)*24</f>
        <v>314.39999999999998</v>
      </c>
      <c r="M214" s="385"/>
      <c r="N214" s="385">
        <v>1.3</v>
      </c>
      <c r="O214" s="385">
        <v>16.809999999999999</v>
      </c>
      <c r="P214" s="385">
        <v>71.510000000000005</v>
      </c>
      <c r="Q214" s="385">
        <v>40.32</v>
      </c>
      <c r="R214" s="385">
        <v>9.9999999999999995E-8</v>
      </c>
      <c r="S214" s="385">
        <v>9.9999999999999995E-8</v>
      </c>
      <c r="T214" s="385">
        <v>9.9999999999999995E-8</v>
      </c>
      <c r="U214" s="385">
        <v>9.9999999999999995E-8</v>
      </c>
      <c r="V214" s="385"/>
    </row>
    <row r="215" spans="1:22" s="15" customFormat="1" x14ac:dyDescent="0.25">
      <c r="A215" s="572">
        <v>800221</v>
      </c>
      <c r="B215" s="394" t="str">
        <f t="shared" si="7"/>
        <v>-15,55/+15,43  (EC  14,5)</v>
      </c>
      <c r="C215" s="384"/>
      <c r="D215" s="385">
        <v>7.41</v>
      </c>
      <c r="E215" s="385">
        <v>1.45</v>
      </c>
      <c r="F215" s="386">
        <v>74.5</v>
      </c>
      <c r="G215" s="385">
        <v>0.01</v>
      </c>
      <c r="H215" s="385">
        <v>0.22</v>
      </c>
      <c r="I215" s="386">
        <v>184.01</v>
      </c>
      <c r="J215" s="385">
        <v>109.3</v>
      </c>
      <c r="K215" s="385">
        <v>0.01</v>
      </c>
      <c r="L215" s="395">
        <f>(17.6-0.1)*24</f>
        <v>420</v>
      </c>
      <c r="M215" s="385"/>
      <c r="N215" s="385">
        <v>2.59</v>
      </c>
      <c r="O215" s="385">
        <v>169.83</v>
      </c>
      <c r="P215" s="385">
        <v>63.05</v>
      </c>
      <c r="Q215" s="385">
        <v>53.46</v>
      </c>
      <c r="R215" s="385">
        <v>9.9999999999999995E-8</v>
      </c>
      <c r="S215" s="385">
        <v>9.9999999999999995E-8</v>
      </c>
      <c r="T215" s="385">
        <v>9.9999999999999995E-8</v>
      </c>
      <c r="U215" s="385">
        <v>0.03</v>
      </c>
      <c r="V215" s="385"/>
    </row>
    <row r="216" spans="1:22" s="15" customFormat="1" x14ac:dyDescent="0.25">
      <c r="A216" s="572">
        <v>800222</v>
      </c>
      <c r="B216" s="394" t="str">
        <f t="shared" si="7"/>
        <v>-4,99/+4,86  (EC  4,11)</v>
      </c>
      <c r="C216" s="384"/>
      <c r="D216" s="385">
        <v>7.97</v>
      </c>
      <c r="E216" s="385">
        <v>0.41099999999999998</v>
      </c>
      <c r="F216" s="386">
        <v>3.8</v>
      </c>
      <c r="G216" s="385">
        <v>0.01</v>
      </c>
      <c r="H216" s="385">
        <v>0.24</v>
      </c>
      <c r="I216" s="386">
        <v>50.87</v>
      </c>
      <c r="J216" s="385">
        <v>39.4</v>
      </c>
      <c r="K216" s="385">
        <v>9.3600000000000003E-2</v>
      </c>
      <c r="L216" s="395">
        <f>(6.9-0.1)*24</f>
        <v>163.20000000000002</v>
      </c>
      <c r="M216" s="385"/>
      <c r="N216" s="385">
        <v>3.01</v>
      </c>
      <c r="O216" s="385">
        <v>29.38</v>
      </c>
      <c r="P216" s="385">
        <v>38.19</v>
      </c>
      <c r="Q216" s="385">
        <v>13.03</v>
      </c>
      <c r="R216" s="385">
        <v>9.9999999999999995E-8</v>
      </c>
      <c r="S216" s="385">
        <v>9.9999999999999995E-8</v>
      </c>
      <c r="T216" s="385">
        <v>9.9999999999999995E-8</v>
      </c>
      <c r="U216" s="385">
        <v>0.14000000000000001</v>
      </c>
      <c r="V216" s="385"/>
    </row>
    <row r="217" spans="1:22" s="15" customFormat="1" x14ac:dyDescent="0.25">
      <c r="A217" s="572">
        <v>800223</v>
      </c>
      <c r="B217" s="394" t="str">
        <f t="shared" si="7"/>
        <v>-21,29/+21,05  (EC  19,32)</v>
      </c>
      <c r="C217" s="384"/>
      <c r="D217" s="385">
        <v>7.43</v>
      </c>
      <c r="E217" s="385">
        <v>1.9319999999999999</v>
      </c>
      <c r="F217" s="386">
        <v>78.8</v>
      </c>
      <c r="G217" s="385">
        <v>0.01</v>
      </c>
      <c r="H217" s="385">
        <v>0.22</v>
      </c>
      <c r="I217" s="386">
        <v>359.2</v>
      </c>
      <c r="J217" s="385">
        <v>118.3</v>
      </c>
      <c r="K217" s="385">
        <v>0.01</v>
      </c>
      <c r="L217" s="395">
        <f>(19-0.1)*24</f>
        <v>453.59999999999997</v>
      </c>
      <c r="M217" s="385"/>
      <c r="N217" s="385">
        <v>2.37</v>
      </c>
      <c r="O217" s="385">
        <v>192.54</v>
      </c>
      <c r="P217" s="385">
        <v>193.96</v>
      </c>
      <c r="Q217" s="385">
        <v>32.270000000000003</v>
      </c>
      <c r="R217" s="385">
        <v>9.9999999999999995E-8</v>
      </c>
      <c r="S217" s="385">
        <v>9.9999999999999995E-8</v>
      </c>
      <c r="T217" s="385">
        <v>9.9999999999999995E-8</v>
      </c>
      <c r="U217" s="385">
        <v>0.05</v>
      </c>
      <c r="V217" s="385"/>
    </row>
    <row r="218" spans="1:22" s="15" customFormat="1" x14ac:dyDescent="0.25">
      <c r="A218" s="572">
        <v>800224</v>
      </c>
      <c r="B218" s="394" t="str">
        <f t="shared" si="7"/>
        <v>-18,94/+17,00  (EC  17,07)</v>
      </c>
      <c r="C218" s="384"/>
      <c r="D218" s="385">
        <v>6.83</v>
      </c>
      <c r="E218" s="385">
        <v>1.7070000000000001</v>
      </c>
      <c r="F218" s="386">
        <v>735.6</v>
      </c>
      <c r="G218" s="385">
        <v>0.01</v>
      </c>
      <c r="H218" s="385">
        <v>1.56</v>
      </c>
      <c r="I218" s="386">
        <v>108.45</v>
      </c>
      <c r="J218" s="385">
        <v>109.8</v>
      </c>
      <c r="K218" s="385">
        <v>0.40560000000000002</v>
      </c>
      <c r="L218" s="395">
        <f>(4.5-0.1)*24</f>
        <v>105.60000000000001</v>
      </c>
      <c r="M218" s="385"/>
      <c r="N218" s="385">
        <v>159.46</v>
      </c>
      <c r="O218" s="385">
        <v>76.459999999999994</v>
      </c>
      <c r="P218" s="385">
        <v>105.6</v>
      </c>
      <c r="Q218" s="385">
        <v>45.76</v>
      </c>
      <c r="R218" s="385">
        <v>9.9999999999999995E-8</v>
      </c>
      <c r="S218" s="385">
        <v>9.9999999999999995E-8</v>
      </c>
      <c r="T218" s="385">
        <v>9.9999999999999995E-8</v>
      </c>
      <c r="U218" s="385">
        <v>0.13</v>
      </c>
      <c r="V218" s="385"/>
    </row>
    <row r="219" spans="1:22" s="15" customFormat="1" x14ac:dyDescent="0.25">
      <c r="A219" s="572">
        <v>800225</v>
      </c>
      <c r="B219" s="394" t="str">
        <f t="shared" si="7"/>
        <v>-39,47/+41,17  (EC  40,2)</v>
      </c>
      <c r="C219" s="384"/>
      <c r="D219" s="385">
        <v>7.58</v>
      </c>
      <c r="E219" s="385">
        <v>4.0199999999999996</v>
      </c>
      <c r="F219" s="386">
        <v>977.3</v>
      </c>
      <c r="G219" s="385">
        <v>0.01</v>
      </c>
      <c r="H219" s="385">
        <v>0.22</v>
      </c>
      <c r="I219" s="386">
        <v>286.8</v>
      </c>
      <c r="J219" s="385">
        <f>98.2*5</f>
        <v>491</v>
      </c>
      <c r="K219" s="385">
        <v>16.0992</v>
      </c>
      <c r="L219" s="395">
        <f>(13.4-0.1)*24</f>
        <v>319.20000000000005</v>
      </c>
      <c r="M219" s="385"/>
      <c r="N219" s="385">
        <v>328.76</v>
      </c>
      <c r="O219" s="385">
        <v>312.68</v>
      </c>
      <c r="P219" s="385">
        <v>230.99</v>
      </c>
      <c r="Q219" s="385">
        <v>86.67</v>
      </c>
      <c r="R219" s="385">
        <v>9.9999999999999995E-8</v>
      </c>
      <c r="S219" s="385">
        <v>9.9999999999999995E-8</v>
      </c>
      <c r="T219" s="385">
        <v>9.9999999999999995E-8</v>
      </c>
      <c r="U219" s="385">
        <v>0.04</v>
      </c>
      <c r="V219" s="385"/>
    </row>
    <row r="220" spans="1:22" s="15" customFormat="1" x14ac:dyDescent="0.25">
      <c r="A220" s="572">
        <v>800226</v>
      </c>
      <c r="B220" s="394" t="str">
        <f t="shared" si="7"/>
        <v>-8,86/+8,00  (EC  7,79)</v>
      </c>
      <c r="C220" s="384"/>
      <c r="D220" s="385">
        <v>7.55</v>
      </c>
      <c r="E220" s="385">
        <v>0.77900000000000003</v>
      </c>
      <c r="F220" s="386">
        <v>56.6</v>
      </c>
      <c r="G220" s="385">
        <v>0.01</v>
      </c>
      <c r="H220" s="385">
        <v>0.32</v>
      </c>
      <c r="I220" s="386">
        <v>109.7</v>
      </c>
      <c r="J220" s="385">
        <v>51.8</v>
      </c>
      <c r="K220" s="385">
        <v>9.3600000000000003E-2</v>
      </c>
      <c r="L220" s="395">
        <f>(9.7-0.1)*24</f>
        <v>230.39999999999998</v>
      </c>
      <c r="M220" s="385"/>
      <c r="N220" s="385">
        <v>3.21</v>
      </c>
      <c r="O220" s="385">
        <v>79.459999999999994</v>
      </c>
      <c r="P220" s="385">
        <v>46.51</v>
      </c>
      <c r="Q220" s="385">
        <v>25.35</v>
      </c>
      <c r="R220" s="385">
        <v>9.9999999999999995E-8</v>
      </c>
      <c r="S220" s="385">
        <v>9.9999999999999995E-8</v>
      </c>
      <c r="T220" s="385">
        <v>9.9999999999999995E-8</v>
      </c>
      <c r="U220" s="385">
        <v>0.02</v>
      </c>
      <c r="V220" s="385"/>
    </row>
    <row r="221" spans="1:22" s="15" customFormat="1" x14ac:dyDescent="0.25">
      <c r="A221" s="572">
        <v>800227</v>
      </c>
      <c r="B221" s="394" t="str">
        <f t="shared" si="7"/>
        <v>-39,69/+40,82  (EC  39,2)</v>
      </c>
      <c r="C221" s="384"/>
      <c r="D221" s="385">
        <v>7.35</v>
      </c>
      <c r="E221" s="385">
        <v>3.92</v>
      </c>
      <c r="F221" s="386">
        <v>919.5</v>
      </c>
      <c r="G221" s="385">
        <v>0.01</v>
      </c>
      <c r="H221" s="385">
        <v>7.48</v>
      </c>
      <c r="I221" s="386">
        <v>347.7</v>
      </c>
      <c r="J221" s="385">
        <f>75.4*5</f>
        <v>377</v>
      </c>
      <c r="K221" s="385">
        <v>35.443199999999997</v>
      </c>
      <c r="L221" s="395">
        <f>(17.5-0.1)*24</f>
        <v>417.59999999999997</v>
      </c>
      <c r="M221" s="385"/>
      <c r="N221" s="385">
        <v>306.14</v>
      </c>
      <c r="O221" s="385">
        <v>324.45</v>
      </c>
      <c r="P221" s="385">
        <v>214.45</v>
      </c>
      <c r="Q221" s="385">
        <v>97.49</v>
      </c>
      <c r="R221" s="385">
        <v>9.9999999999999995E-8</v>
      </c>
      <c r="S221" s="385">
        <v>9.9999999999999995E-8</v>
      </c>
      <c r="T221" s="385">
        <v>0.22</v>
      </c>
      <c r="U221" s="385">
        <v>0.06</v>
      </c>
      <c r="V221" s="385"/>
    </row>
    <row r="222" spans="1:22" s="15" customFormat="1" x14ac:dyDescent="0.25">
      <c r="A222" s="572">
        <v>800228</v>
      </c>
      <c r="B222" s="394" t="str">
        <f t="shared" si="7"/>
        <v>-20,57/+19,31  (EC  18,32)</v>
      </c>
      <c r="C222" s="384"/>
      <c r="D222" s="385">
        <v>6.06</v>
      </c>
      <c r="E222" s="385">
        <v>1.8320000000000001</v>
      </c>
      <c r="F222" s="386">
        <v>899.7</v>
      </c>
      <c r="G222" s="385">
        <v>0.01</v>
      </c>
      <c r="H222" s="385">
        <v>4.38</v>
      </c>
      <c r="I222" s="386">
        <v>76.599999999999994</v>
      </c>
      <c r="J222" s="385">
        <v>88.4</v>
      </c>
      <c r="K222" s="385">
        <v>138.84</v>
      </c>
      <c r="L222" s="395">
        <f>(1.7-0.1)*24</f>
        <v>38.4</v>
      </c>
      <c r="M222" s="385"/>
      <c r="N222" s="385">
        <v>190.98</v>
      </c>
      <c r="O222" s="385">
        <v>59.85</v>
      </c>
      <c r="P222" s="385">
        <v>165.06</v>
      </c>
      <c r="Q222" s="385">
        <v>42.45</v>
      </c>
      <c r="R222" s="385">
        <v>0.6</v>
      </c>
      <c r="S222" s="385">
        <v>0.17</v>
      </c>
      <c r="T222" s="385">
        <v>0.66</v>
      </c>
      <c r="U222" s="385">
        <v>0.26</v>
      </c>
      <c r="V222" s="385"/>
    </row>
    <row r="223" spans="1:22" s="15" customFormat="1" x14ac:dyDescent="0.25">
      <c r="A223" s="572">
        <v>800229</v>
      </c>
      <c r="B223" s="394" t="str">
        <f t="shared" si="7"/>
        <v>-21,81/+22,78  (EC  20,09)</v>
      </c>
      <c r="C223" s="384"/>
      <c r="D223" s="385">
        <v>7.25</v>
      </c>
      <c r="E223" s="385">
        <v>2.0089999999999999</v>
      </c>
      <c r="F223" s="386">
        <v>542.1</v>
      </c>
      <c r="G223" s="385">
        <v>0.01</v>
      </c>
      <c r="H223" s="385">
        <v>0.26</v>
      </c>
      <c r="I223" s="386">
        <v>177.81</v>
      </c>
      <c r="J223" s="385">
        <f>60.5*5</f>
        <v>302.5</v>
      </c>
      <c r="K223" s="385">
        <v>85.956000000000003</v>
      </c>
      <c r="L223" s="395">
        <f>(2.3-0.1)*24</f>
        <v>52.8</v>
      </c>
      <c r="M223" s="385"/>
      <c r="N223" s="385">
        <v>130.26</v>
      </c>
      <c r="O223" s="385">
        <v>149.16</v>
      </c>
      <c r="P223" s="385">
        <v>170.28</v>
      </c>
      <c r="Q223" s="385">
        <v>53</v>
      </c>
      <c r="R223" s="385">
        <v>9.9999999999999995E-8</v>
      </c>
      <c r="S223" s="385">
        <v>9.9999999999999995E-8</v>
      </c>
      <c r="T223" s="385">
        <v>9.9999999999999995E-8</v>
      </c>
      <c r="U223" s="385">
        <v>0.15</v>
      </c>
      <c r="V223" s="385"/>
    </row>
    <row r="224" spans="1:22" s="15" customFormat="1" x14ac:dyDescent="0.25">
      <c r="A224" s="572">
        <v>800230</v>
      </c>
      <c r="B224" s="394" t="str">
        <f t="shared" si="7"/>
        <v>-44,38/+46,42  (EC  45)</v>
      </c>
      <c r="C224" s="384"/>
      <c r="D224" s="385">
        <v>5.73</v>
      </c>
      <c r="E224" s="385">
        <v>4.5</v>
      </c>
      <c r="F224" s="386">
        <v>999.6</v>
      </c>
      <c r="G224" s="385">
        <v>0.01</v>
      </c>
      <c r="H224" s="385">
        <v>1.95</v>
      </c>
      <c r="I224" s="386">
        <v>200.65</v>
      </c>
      <c r="J224" s="385">
        <f>88.6*5</f>
        <v>443</v>
      </c>
      <c r="K224" s="385">
        <v>423.4776</v>
      </c>
      <c r="L224" s="395">
        <f>(23-0.1)*24</f>
        <v>549.59999999999991</v>
      </c>
      <c r="M224" s="385"/>
      <c r="N224" s="385">
        <v>418.11</v>
      </c>
      <c r="O224" s="385">
        <v>182.86</v>
      </c>
      <c r="P224" s="385">
        <v>418.11</v>
      </c>
      <c r="Q224" s="385">
        <v>81.94</v>
      </c>
      <c r="R224" s="385">
        <v>1.32</v>
      </c>
      <c r="S224" s="385">
        <v>0.06</v>
      </c>
      <c r="T224" s="385">
        <v>0.66</v>
      </c>
      <c r="U224" s="385">
        <v>0.31</v>
      </c>
      <c r="V224" s="385"/>
    </row>
    <row r="225" spans="1:22" s="15" customFormat="1" x14ac:dyDescent="0.25">
      <c r="A225" s="572">
        <v>800231</v>
      </c>
      <c r="B225" s="394" t="str">
        <f t="shared" si="7"/>
        <v>-27,94/+25,33  (EC  26,6)</v>
      </c>
      <c r="C225" s="384"/>
      <c r="D225" s="385">
        <v>5.25</v>
      </c>
      <c r="E225" s="385">
        <v>2.66</v>
      </c>
      <c r="F225" s="386">
        <v>960.3</v>
      </c>
      <c r="G225" s="385">
        <v>0.01</v>
      </c>
      <c r="H225" s="385">
        <v>7.74</v>
      </c>
      <c r="I225" s="386">
        <v>77.62</v>
      </c>
      <c r="J225" s="385">
        <v>109.3</v>
      </c>
      <c r="K225" s="385">
        <v>167.5128</v>
      </c>
      <c r="L225" s="395">
        <f>(16-0.1)*24</f>
        <v>381.6</v>
      </c>
      <c r="M225" s="385"/>
      <c r="N225" s="385">
        <v>309.23</v>
      </c>
      <c r="O225" s="385">
        <v>45.86</v>
      </c>
      <c r="P225" s="385">
        <v>240.23</v>
      </c>
      <c r="Q225" s="385">
        <v>40.57</v>
      </c>
      <c r="R225" s="385">
        <v>1.25</v>
      </c>
      <c r="S225" s="385">
        <v>0.22</v>
      </c>
      <c r="T225" s="385">
        <v>0.93</v>
      </c>
      <c r="U225" s="385">
        <v>0.19</v>
      </c>
      <c r="V225" s="385"/>
    </row>
    <row r="226" spans="1:22" s="15" customFormat="1" x14ac:dyDescent="0.25">
      <c r="A226" s="572">
        <v>800232</v>
      </c>
      <c r="B226" s="394" t="str">
        <f t="shared" si="7"/>
        <v>-34,67/+34,47  (EC  33,1)</v>
      </c>
      <c r="C226" s="384"/>
      <c r="D226" s="385">
        <v>5.85</v>
      </c>
      <c r="E226" s="385">
        <v>3.31</v>
      </c>
      <c r="F226" s="386">
        <v>994.3</v>
      </c>
      <c r="G226" s="385">
        <v>0.01</v>
      </c>
      <c r="H226" s="385">
        <v>3.82</v>
      </c>
      <c r="I226" s="386">
        <v>139.61000000000001</v>
      </c>
      <c r="J226" s="385">
        <f>77.7*5</f>
        <v>388.5</v>
      </c>
      <c r="K226" s="385">
        <v>167.6688</v>
      </c>
      <c r="L226" s="395">
        <f>(12.5-0.1)*24</f>
        <v>297.60000000000002</v>
      </c>
      <c r="M226" s="385"/>
      <c r="N226" s="385">
        <v>314.16000000000003</v>
      </c>
      <c r="O226" s="385">
        <v>87.09</v>
      </c>
      <c r="P226" s="385">
        <v>336.32</v>
      </c>
      <c r="Q226" s="385">
        <v>69.540000000000006</v>
      </c>
      <c r="R226" s="385">
        <v>5</v>
      </c>
      <c r="S226" s="385">
        <v>9.9999999999999995E-8</v>
      </c>
      <c r="T226" s="385">
        <v>1.81</v>
      </c>
      <c r="U226" s="385">
        <v>0.16</v>
      </c>
      <c r="V226" s="385"/>
    </row>
    <row r="227" spans="1:22" s="15" customFormat="1" x14ac:dyDescent="0.25">
      <c r="A227" s="572">
        <v>800233</v>
      </c>
      <c r="B227" s="394" t="str">
        <f t="shared" si="7"/>
        <v>-21,63/+19,12  (EC  20)</v>
      </c>
      <c r="C227" s="384"/>
      <c r="D227" s="385">
        <v>5.75</v>
      </c>
      <c r="E227" s="385">
        <v>2</v>
      </c>
      <c r="F227" s="386">
        <v>861.4</v>
      </c>
      <c r="G227" s="385">
        <v>0.01</v>
      </c>
      <c r="H227" s="385">
        <v>4.72</v>
      </c>
      <c r="I227" s="386">
        <v>77.16</v>
      </c>
      <c r="J227" s="385">
        <v>126.2</v>
      </c>
      <c r="K227" s="385">
        <v>158.18400000000003</v>
      </c>
      <c r="L227" s="395">
        <f>(3.4-0.1)*24</f>
        <v>79.199999999999989</v>
      </c>
      <c r="M227" s="385"/>
      <c r="N227" s="385">
        <v>217.49</v>
      </c>
      <c r="O227" s="385">
        <v>45.66</v>
      </c>
      <c r="P227" s="385">
        <v>159.97999999999999</v>
      </c>
      <c r="Q227" s="385">
        <v>42.55</v>
      </c>
      <c r="R227" s="385">
        <v>3.06</v>
      </c>
      <c r="S227" s="385">
        <v>0.34</v>
      </c>
      <c r="T227" s="385">
        <v>1.8</v>
      </c>
      <c r="U227" s="385">
        <v>0.36</v>
      </c>
      <c r="V227" s="385"/>
    </row>
    <row r="228" spans="1:22" s="15" customFormat="1" x14ac:dyDescent="0.25">
      <c r="A228" s="572">
        <v>800234</v>
      </c>
      <c r="B228" s="394" t="str">
        <f t="shared" si="7"/>
        <v>-13,73/+11,16  (EC  12,01)</v>
      </c>
      <c r="C228" s="384"/>
      <c r="D228" s="385">
        <v>5.97</v>
      </c>
      <c r="E228" s="385">
        <v>1.2010000000000001</v>
      </c>
      <c r="F228" s="386">
        <v>131.9</v>
      </c>
      <c r="G228" s="385">
        <v>0.01</v>
      </c>
      <c r="H228" s="385">
        <v>7.14</v>
      </c>
      <c r="I228" s="386">
        <v>76.05</v>
      </c>
      <c r="J228" s="385">
        <f>47.3*5</f>
        <v>236.5</v>
      </c>
      <c r="K228" s="385">
        <v>119.02800000000001</v>
      </c>
      <c r="L228" s="395">
        <f>(8.5-0.1)*24</f>
        <v>201.60000000000002</v>
      </c>
      <c r="M228" s="385"/>
      <c r="N228" s="385">
        <v>171.11</v>
      </c>
      <c r="O228" s="385">
        <v>43.2</v>
      </c>
      <c r="P228" s="385">
        <v>67.81</v>
      </c>
      <c r="Q228" s="385">
        <v>17.809999999999999</v>
      </c>
      <c r="R228" s="385">
        <v>0.61</v>
      </c>
      <c r="S228" s="385">
        <v>0.15</v>
      </c>
      <c r="T228" s="385">
        <v>0.46</v>
      </c>
      <c r="U228" s="385">
        <v>0.88</v>
      </c>
      <c r="V228" s="385"/>
    </row>
    <row r="229" spans="1:22" s="15" customFormat="1" x14ac:dyDescent="0.25">
      <c r="A229" s="572">
        <v>800235</v>
      </c>
      <c r="B229" s="394" t="str">
        <f t="shared" si="7"/>
        <v>-24,73/+24,83  (EC  23,5)</v>
      </c>
      <c r="C229" s="384"/>
      <c r="D229" s="385">
        <v>3.78</v>
      </c>
      <c r="E229" s="385">
        <v>2.35</v>
      </c>
      <c r="F229" s="386">
        <v>301.2</v>
      </c>
      <c r="G229" s="385">
        <v>0.01</v>
      </c>
      <c r="H229" s="385">
        <v>4.04</v>
      </c>
      <c r="I229" s="386">
        <v>238.5</v>
      </c>
      <c r="J229" s="385">
        <f>63*5</f>
        <v>315</v>
      </c>
      <c r="K229" s="385">
        <v>192.47280000000001</v>
      </c>
      <c r="L229" s="395">
        <f>(11.8-0.1)*24</f>
        <v>280.8</v>
      </c>
      <c r="M229" s="385"/>
      <c r="N229" s="385">
        <v>69.19</v>
      </c>
      <c r="O229" s="385">
        <v>193.94</v>
      </c>
      <c r="P229" s="385">
        <v>169.81</v>
      </c>
      <c r="Q229" s="385">
        <v>73.56</v>
      </c>
      <c r="R229" s="385">
        <v>0.5</v>
      </c>
      <c r="S229" s="385">
        <v>9.9999999999999995E-8</v>
      </c>
      <c r="T229" s="385">
        <v>0.48</v>
      </c>
      <c r="U229" s="385">
        <v>0.04</v>
      </c>
      <c r="V229" s="385"/>
    </row>
    <row r="230" spans="1:22" s="15" customFormat="1" x14ac:dyDescent="0.25">
      <c r="A230" s="572">
        <v>800236</v>
      </c>
      <c r="B230" s="394" t="str">
        <f t="shared" si="7"/>
        <v>-18,87/+18,85  (EC  17,01)</v>
      </c>
      <c r="C230" s="384"/>
      <c r="D230" s="385">
        <v>5.04</v>
      </c>
      <c r="E230" s="385">
        <v>1.7010000000000001</v>
      </c>
      <c r="F230" s="386">
        <v>29.6</v>
      </c>
      <c r="G230" s="385">
        <v>0.01</v>
      </c>
      <c r="H230" s="385">
        <v>0.87</v>
      </c>
      <c r="I230" s="386">
        <v>205.6</v>
      </c>
      <c r="J230" s="385">
        <f>50.5*5</f>
        <v>252.5</v>
      </c>
      <c r="K230" s="385">
        <v>104.86320000000001</v>
      </c>
      <c r="L230" s="395">
        <f>(16-0.1)*24</f>
        <v>381.6</v>
      </c>
      <c r="M230" s="385"/>
      <c r="N230" s="385">
        <v>73.59</v>
      </c>
      <c r="O230" s="385">
        <v>191.03</v>
      </c>
      <c r="P230" s="385">
        <v>87.24</v>
      </c>
      <c r="Q230" s="385">
        <v>51.4</v>
      </c>
      <c r="R230" s="385">
        <v>0.56999999999999995</v>
      </c>
      <c r="S230" s="385">
        <v>9.9999999999999995E-8</v>
      </c>
      <c r="T230" s="385">
        <v>0.08</v>
      </c>
      <c r="U230" s="385">
        <v>0.6</v>
      </c>
      <c r="V230" s="385"/>
    </row>
    <row r="231" spans="1:22" s="15" customFormat="1" x14ac:dyDescent="0.25">
      <c r="A231" s="572">
        <v>800237</v>
      </c>
      <c r="B231" s="394" t="str">
        <f t="shared" si="7"/>
        <v>-11,19/+9,28  (EC  10,8)</v>
      </c>
      <c r="C231" s="384"/>
      <c r="D231" s="385">
        <v>6.12</v>
      </c>
      <c r="E231" s="385">
        <v>1.08</v>
      </c>
      <c r="F231" s="386">
        <v>123.6</v>
      </c>
      <c r="G231" s="385">
        <v>0.01</v>
      </c>
      <c r="H231" s="385">
        <v>7.61</v>
      </c>
      <c r="I231" s="386">
        <v>65.55</v>
      </c>
      <c r="J231" s="385">
        <f>43.6*5</f>
        <v>218</v>
      </c>
      <c r="K231" s="385">
        <v>104.92560000000002</v>
      </c>
      <c r="L231" s="395">
        <f>(4.5-0.1)*24</f>
        <v>105.60000000000001</v>
      </c>
      <c r="M231" s="385"/>
      <c r="N231" s="385">
        <v>109.69</v>
      </c>
      <c r="O231" s="385">
        <v>41.27</v>
      </c>
      <c r="P231" s="385">
        <v>64.75</v>
      </c>
      <c r="Q231" s="385">
        <v>17.100000000000001</v>
      </c>
      <c r="R231" s="385">
        <v>0.44</v>
      </c>
      <c r="S231" s="385">
        <v>0.15</v>
      </c>
      <c r="T231" s="385">
        <v>0.32</v>
      </c>
      <c r="U231" s="385">
        <v>0.28999999999999998</v>
      </c>
      <c r="V231" s="385"/>
    </row>
    <row r="232" spans="1:22" s="15" customFormat="1" x14ac:dyDescent="0.25">
      <c r="A232" s="572">
        <v>800238</v>
      </c>
      <c r="B232" s="394" t="str">
        <f t="shared" si="7"/>
        <v>-19,64/+18,49  (EC  18,67)</v>
      </c>
      <c r="C232" s="384"/>
      <c r="D232" s="385">
        <v>5.79</v>
      </c>
      <c r="E232" s="385">
        <v>1.867</v>
      </c>
      <c r="F232" s="386">
        <v>9.1</v>
      </c>
      <c r="G232" s="385">
        <v>0.01</v>
      </c>
      <c r="H232" s="385">
        <v>0.94</v>
      </c>
      <c r="I232" s="386">
        <v>273.7</v>
      </c>
      <c r="J232" s="385">
        <f>71.4*5</f>
        <v>357</v>
      </c>
      <c r="K232" s="385">
        <v>43.430399999999999</v>
      </c>
      <c r="L232" s="395">
        <f>(10-0.1)*24</f>
        <v>237.60000000000002</v>
      </c>
      <c r="M232" s="385"/>
      <c r="N232" s="385">
        <v>68.790000000000006</v>
      </c>
      <c r="O232" s="385">
        <v>175.28</v>
      </c>
      <c r="P232" s="385">
        <v>95.5</v>
      </c>
      <c r="Q232" s="385">
        <v>51.72</v>
      </c>
      <c r="R232" s="385">
        <v>0.15</v>
      </c>
      <c r="S232" s="385">
        <v>9.9999999999999995E-8</v>
      </c>
      <c r="T232" s="385">
        <v>7.0000000000000007E-2</v>
      </c>
      <c r="U232" s="385">
        <v>1.1599999999999999</v>
      </c>
      <c r="V232" s="385"/>
    </row>
    <row r="233" spans="1:22" s="15" customFormat="1" x14ac:dyDescent="0.25">
      <c r="A233" s="572">
        <v>800239</v>
      </c>
      <c r="B233" s="394" t="str">
        <f t="shared" si="7"/>
        <v>-13,02/+10,14  (EC  11,9)</v>
      </c>
      <c r="C233" s="384"/>
      <c r="D233" s="385">
        <v>4.82</v>
      </c>
      <c r="E233" s="385">
        <v>1.19</v>
      </c>
      <c r="F233" s="386">
        <v>145.6</v>
      </c>
      <c r="G233" s="385">
        <v>0.01</v>
      </c>
      <c r="H233" s="385">
        <v>3.21</v>
      </c>
      <c r="I233" s="386">
        <v>85.85</v>
      </c>
      <c r="J233" s="385">
        <f>57.1*5</f>
        <v>285.5</v>
      </c>
      <c r="K233" s="385">
        <v>67.017600000000002</v>
      </c>
      <c r="L233" s="395">
        <f>(4.2-0.1)*24</f>
        <v>98.4</v>
      </c>
      <c r="M233" s="385"/>
      <c r="N233" s="385">
        <v>53.68</v>
      </c>
      <c r="O233" s="385">
        <v>59.01</v>
      </c>
      <c r="P233" s="385">
        <v>71.17</v>
      </c>
      <c r="Q233" s="385">
        <v>31.42</v>
      </c>
      <c r="R233" s="385">
        <v>0.15</v>
      </c>
      <c r="S233" s="385">
        <v>9.9999999999999995E-8</v>
      </c>
      <c r="T233" s="385">
        <v>0.31</v>
      </c>
      <c r="U233" s="385">
        <v>0.03</v>
      </c>
      <c r="V233" s="385"/>
    </row>
    <row r="234" spans="1:22" s="15" customFormat="1" x14ac:dyDescent="0.25">
      <c r="A234" s="572">
        <v>800240</v>
      </c>
      <c r="B234" s="394" t="str">
        <f t="shared" si="7"/>
        <v>-14,27/+10,67  (EC  11,9)</v>
      </c>
      <c r="C234" s="384"/>
      <c r="D234" s="385">
        <v>5.65</v>
      </c>
      <c r="E234" s="385">
        <v>1.19</v>
      </c>
      <c r="F234" s="386">
        <v>583.1</v>
      </c>
      <c r="G234" s="385">
        <v>0.01</v>
      </c>
      <c r="H234" s="385">
        <v>6.98</v>
      </c>
      <c r="I234" s="386">
        <v>82.89</v>
      </c>
      <c r="J234" s="385">
        <v>54.1</v>
      </c>
      <c r="K234" s="385">
        <v>67.298400000000001</v>
      </c>
      <c r="L234" s="395">
        <f>(1.9-0.1)*24</f>
        <v>43.199999999999996</v>
      </c>
      <c r="M234" s="385">
        <v>0.01</v>
      </c>
      <c r="N234" s="385">
        <v>87.42</v>
      </c>
      <c r="O234" s="385">
        <v>60.47</v>
      </c>
      <c r="P234" s="385">
        <v>71.56</v>
      </c>
      <c r="Q234" s="385">
        <v>26.44</v>
      </c>
      <c r="R234" s="385">
        <v>0.99</v>
      </c>
      <c r="S234" s="385">
        <v>0.1</v>
      </c>
      <c r="T234" s="385">
        <v>0.8</v>
      </c>
      <c r="U234" s="385">
        <v>0.28000000000000003</v>
      </c>
      <c r="V234" s="385"/>
    </row>
    <row r="235" spans="1:22" s="15" customFormat="1" x14ac:dyDescent="0.25">
      <c r="A235" s="572">
        <v>800241</v>
      </c>
      <c r="B235" s="394" t="str">
        <f t="shared" si="7"/>
        <v>-6,24/+6,11  (EC  5,86)</v>
      </c>
      <c r="C235" s="384"/>
      <c r="D235" s="385">
        <v>7.71</v>
      </c>
      <c r="E235" s="385">
        <v>0.58599999999999997</v>
      </c>
      <c r="F235" s="386">
        <v>26.8</v>
      </c>
      <c r="G235" s="385">
        <v>0.01</v>
      </c>
      <c r="H235" s="385">
        <v>0.26</v>
      </c>
      <c r="I235" s="386">
        <v>81.099999999999994</v>
      </c>
      <c r="J235" s="385">
        <v>25.4</v>
      </c>
      <c r="K235" s="385">
        <v>0.12</v>
      </c>
      <c r="L235" s="395">
        <f>(7.7-0.1)*24</f>
        <v>182.4</v>
      </c>
      <c r="M235" s="385">
        <v>0.01</v>
      </c>
      <c r="N235" s="385">
        <v>3.05</v>
      </c>
      <c r="O235" s="385">
        <v>60.23</v>
      </c>
      <c r="P235" s="385">
        <v>38.020000000000003</v>
      </c>
      <c r="Q235" s="385">
        <v>16.86</v>
      </c>
      <c r="R235" s="385">
        <v>9.9999999999999995E-8</v>
      </c>
      <c r="S235" s="385">
        <v>9.9999999999999995E-8</v>
      </c>
      <c r="T235" s="385">
        <v>9.9999999999999995E-8</v>
      </c>
      <c r="U235" s="385">
        <v>0.02</v>
      </c>
      <c r="V235" s="385"/>
    </row>
    <row r="236" spans="1:22" s="15" customFormat="1" x14ac:dyDescent="0.25">
      <c r="A236" s="572">
        <v>800242</v>
      </c>
      <c r="B236" s="394" t="str">
        <f t="shared" si="7"/>
        <v>-11,74/+10,65  (EC  11)</v>
      </c>
      <c r="C236" s="384"/>
      <c r="D236" s="385">
        <v>6.52</v>
      </c>
      <c r="E236" s="385">
        <v>1.1000000000000001</v>
      </c>
      <c r="F236" s="386">
        <v>374.2</v>
      </c>
      <c r="G236" s="385">
        <v>0.01</v>
      </c>
      <c r="H236" s="385">
        <v>1.59</v>
      </c>
      <c r="I236" s="386">
        <v>78.12</v>
      </c>
      <c r="J236" s="385">
        <v>39.1</v>
      </c>
      <c r="K236" s="385">
        <v>50.980800000000002</v>
      </c>
      <c r="L236" s="395">
        <f>(5.6-0.1)*24</f>
        <v>132</v>
      </c>
      <c r="M236" s="385">
        <v>0.01</v>
      </c>
      <c r="N236" s="385">
        <v>62.15</v>
      </c>
      <c r="O236" s="385">
        <v>32.69</v>
      </c>
      <c r="P236" s="385">
        <v>89.28</v>
      </c>
      <c r="Q236" s="385">
        <v>37.880000000000003</v>
      </c>
      <c r="R236" s="385">
        <v>0.42</v>
      </c>
      <c r="S236" s="385">
        <v>0.09</v>
      </c>
      <c r="T236" s="385">
        <v>0.35</v>
      </c>
      <c r="U236" s="385">
        <v>0.12</v>
      </c>
      <c r="V236" s="385"/>
    </row>
    <row r="237" spans="1:22" s="15" customFormat="1" x14ac:dyDescent="0.25">
      <c r="A237" s="572">
        <v>800243</v>
      </c>
      <c r="B237" s="394" t="str">
        <f t="shared" si="7"/>
        <v>-12,36/+10,47  (EC  11,66)</v>
      </c>
      <c r="C237" s="384"/>
      <c r="D237" s="385">
        <v>6.13</v>
      </c>
      <c r="E237" s="385">
        <v>1.1659999999999999</v>
      </c>
      <c r="F237" s="386">
        <v>465.9</v>
      </c>
      <c r="G237" s="385">
        <v>0.01</v>
      </c>
      <c r="H237" s="385">
        <v>5.46</v>
      </c>
      <c r="I237" s="386">
        <v>80.03</v>
      </c>
      <c r="J237" s="385">
        <v>58.6</v>
      </c>
      <c r="K237" s="385">
        <v>56.440800000000003</v>
      </c>
      <c r="L237" s="395">
        <f>(2.1-0.1)*24</f>
        <v>48</v>
      </c>
      <c r="M237" s="385">
        <v>0.01</v>
      </c>
      <c r="N237" s="385">
        <v>61.51</v>
      </c>
      <c r="O237" s="385">
        <v>33.85</v>
      </c>
      <c r="P237" s="385">
        <v>87.68</v>
      </c>
      <c r="Q237" s="385">
        <v>36.22</v>
      </c>
      <c r="R237" s="385">
        <v>1</v>
      </c>
      <c r="S237" s="385">
        <v>0.13</v>
      </c>
      <c r="T237" s="385">
        <v>0.53</v>
      </c>
      <c r="U237" s="385">
        <v>0.22</v>
      </c>
      <c r="V237" s="385"/>
    </row>
    <row r="238" spans="1:22" s="15" customFormat="1" x14ac:dyDescent="0.25">
      <c r="A238" s="572">
        <v>800244</v>
      </c>
      <c r="B238" s="394" t="str">
        <f t="shared" si="7"/>
        <v>-13,46/+12,25  (EC  13,3)</v>
      </c>
      <c r="C238" s="384"/>
      <c r="D238" s="385">
        <v>3.77</v>
      </c>
      <c r="E238" s="385">
        <v>1.33</v>
      </c>
      <c r="F238" s="386">
        <v>458.2</v>
      </c>
      <c r="G238" s="385">
        <v>0.01</v>
      </c>
      <c r="H238" s="385">
        <v>1.07</v>
      </c>
      <c r="I238" s="386">
        <v>102.46</v>
      </c>
      <c r="J238" s="385">
        <v>77</v>
      </c>
      <c r="K238" s="385">
        <v>81.088799999999992</v>
      </c>
      <c r="L238" s="395">
        <f>(2-0.1)*24</f>
        <v>45.599999999999994</v>
      </c>
      <c r="M238" s="385">
        <v>0.01</v>
      </c>
      <c r="N238" s="385">
        <v>93.4</v>
      </c>
      <c r="O238" s="385">
        <v>51.06</v>
      </c>
      <c r="P238" s="385">
        <v>84.87</v>
      </c>
      <c r="Q238" s="385">
        <v>34.299999999999997</v>
      </c>
      <c r="R238" s="385">
        <v>0.35</v>
      </c>
      <c r="S238" s="385">
        <v>9.9999999999999995E-8</v>
      </c>
      <c r="T238" s="385">
        <v>0.15</v>
      </c>
      <c r="U238" s="385">
        <v>0.56000000000000005</v>
      </c>
      <c r="V238" s="385"/>
    </row>
    <row r="239" spans="1:22" s="15" customFormat="1" x14ac:dyDescent="0.25">
      <c r="A239" s="572">
        <v>800245</v>
      </c>
      <c r="B239" s="394" t="str">
        <f t="shared" si="7"/>
        <v>-15,44/+16,82  (EC  17,57)</v>
      </c>
      <c r="C239" s="384"/>
      <c r="D239" s="385">
        <v>6.02</v>
      </c>
      <c r="E239" s="385">
        <v>1.7569999999999999</v>
      </c>
      <c r="F239" s="386">
        <v>373.2</v>
      </c>
      <c r="G239" s="385">
        <v>0.01</v>
      </c>
      <c r="H239" s="385">
        <v>0.47</v>
      </c>
      <c r="I239" s="386">
        <v>198.85</v>
      </c>
      <c r="J239" s="385">
        <v>104.6</v>
      </c>
      <c r="K239" s="385">
        <v>98.186400000000006</v>
      </c>
      <c r="L239" s="395">
        <f>(1.7-0.1)*24</f>
        <v>38.4</v>
      </c>
      <c r="M239" s="385">
        <v>0.01</v>
      </c>
      <c r="N239" s="385">
        <v>104.91</v>
      </c>
      <c r="O239" s="385">
        <v>106.75</v>
      </c>
      <c r="P239" s="385">
        <v>104.03</v>
      </c>
      <c r="Q239" s="385">
        <v>47.71</v>
      </c>
      <c r="R239" s="385">
        <v>0.12</v>
      </c>
      <c r="S239" s="385">
        <v>9.9999999999999995E-8</v>
      </c>
      <c r="T239" s="385">
        <v>0.05</v>
      </c>
      <c r="U239" s="385">
        <v>0.47</v>
      </c>
      <c r="V239" s="385"/>
    </row>
    <row r="240" spans="1:22" s="15" customFormat="1" x14ac:dyDescent="0.25">
      <c r="A240" s="572">
        <v>800246</v>
      </c>
      <c r="B240" s="394" t="str">
        <f t="shared" si="7"/>
        <v>-22,97/+25,43  (EC  23,7)</v>
      </c>
      <c r="C240" s="384"/>
      <c r="D240" s="385">
        <v>4.92</v>
      </c>
      <c r="E240" s="385">
        <v>2.37</v>
      </c>
      <c r="F240" s="386">
        <v>403.3</v>
      </c>
      <c r="G240" s="385">
        <v>0.01</v>
      </c>
      <c r="H240" s="385">
        <v>2.95</v>
      </c>
      <c r="I240" s="386">
        <v>299.60000000000002</v>
      </c>
      <c r="J240" s="385">
        <f>61.5*5</f>
        <v>307.5</v>
      </c>
      <c r="K240" s="385">
        <v>142.20959999999999</v>
      </c>
      <c r="L240" s="395">
        <f>(0.5-0.1)*24</f>
        <v>9.6000000000000014</v>
      </c>
      <c r="M240" s="385">
        <v>0.01</v>
      </c>
      <c r="N240" s="385">
        <v>166.36</v>
      </c>
      <c r="O240" s="385">
        <v>171.77</v>
      </c>
      <c r="P240" s="385">
        <v>176.97</v>
      </c>
      <c r="Q240" s="385">
        <v>57.89</v>
      </c>
      <c r="R240" s="385">
        <v>7.0000000000000007E-2</v>
      </c>
      <c r="S240" s="385">
        <v>9.9999999999999995E-8</v>
      </c>
      <c r="T240" s="385">
        <v>0.16</v>
      </c>
      <c r="U240" s="385">
        <v>9.9999999999999995E-8</v>
      </c>
      <c r="V240" s="385"/>
    </row>
    <row r="241" spans="1:22" s="15" customFormat="1" x14ac:dyDescent="0.25">
      <c r="A241" s="572">
        <v>800247</v>
      </c>
      <c r="B241" s="394" t="str">
        <f t="shared" si="7"/>
        <v>-18,39/+18,80  (EC  19,3)</v>
      </c>
      <c r="C241" s="384"/>
      <c r="D241" s="385">
        <v>3.28</v>
      </c>
      <c r="E241" s="385">
        <v>1.93</v>
      </c>
      <c r="F241" s="386">
        <v>58.4</v>
      </c>
      <c r="G241" s="385">
        <v>0.01</v>
      </c>
      <c r="H241" s="385">
        <v>2.76</v>
      </c>
      <c r="I241" s="386">
        <v>112.74</v>
      </c>
      <c r="J241" s="385">
        <f>80.2*5</f>
        <v>401</v>
      </c>
      <c r="K241" s="385">
        <v>195.96720000000002</v>
      </c>
      <c r="L241" s="395">
        <f>(10-0.1)*24</f>
        <v>237.60000000000002</v>
      </c>
      <c r="M241" s="385">
        <v>0.01</v>
      </c>
      <c r="N241" s="385">
        <v>208.23</v>
      </c>
      <c r="O241" s="385">
        <v>82.32</v>
      </c>
      <c r="P241" s="385">
        <v>132.54</v>
      </c>
      <c r="Q241" s="385">
        <v>37.36</v>
      </c>
      <c r="R241" s="385">
        <v>2.1</v>
      </c>
      <c r="S241" s="385">
        <v>9.9999999999999995E-8</v>
      </c>
      <c r="T241" s="385">
        <v>0.02</v>
      </c>
      <c r="U241" s="385">
        <v>0.62</v>
      </c>
      <c r="V241" s="385"/>
    </row>
    <row r="242" spans="1:22" s="15" customFormat="1" x14ac:dyDescent="0.25">
      <c r="A242" s="572">
        <v>800248</v>
      </c>
      <c r="B242" s="394" t="str">
        <f t="shared" si="7"/>
        <v>-10,89/+8,67  (EC  10,4)</v>
      </c>
      <c r="C242" s="384"/>
      <c r="D242" s="385">
        <v>4.63</v>
      </c>
      <c r="E242" s="385">
        <v>1.04</v>
      </c>
      <c r="F242" s="386">
        <v>215.7</v>
      </c>
      <c r="G242" s="385">
        <v>0.01</v>
      </c>
      <c r="H242" s="385">
        <v>7.44</v>
      </c>
      <c r="I242" s="386">
        <v>41.13</v>
      </c>
      <c r="J242" s="385">
        <f>49*5</f>
        <v>245</v>
      </c>
      <c r="K242" s="385">
        <v>96.220799999999997</v>
      </c>
      <c r="L242" s="395">
        <f>(0.5-0.1)*24</f>
        <v>9.6000000000000014</v>
      </c>
      <c r="M242" s="385">
        <v>0.01</v>
      </c>
      <c r="N242" s="385">
        <v>101.25</v>
      </c>
      <c r="O242" s="385">
        <v>26.49</v>
      </c>
      <c r="P242" s="385">
        <v>59.72</v>
      </c>
      <c r="Q242" s="385">
        <v>16.59</v>
      </c>
      <c r="R242" s="385">
        <v>0.27</v>
      </c>
      <c r="S242" s="385">
        <v>9.9999999999999995E-8</v>
      </c>
      <c r="T242" s="385">
        <v>0.08</v>
      </c>
      <c r="U242" s="385">
        <v>0.03</v>
      </c>
      <c r="V242" s="385"/>
    </row>
    <row r="243" spans="1:22" s="15" customFormat="1" x14ac:dyDescent="0.25">
      <c r="A243" s="572">
        <v>800249</v>
      </c>
      <c r="B243" s="394" t="str">
        <f t="shared" si="7"/>
        <v>-24,84/+27,59  (EC  28,5)</v>
      </c>
      <c r="C243" s="384"/>
      <c r="D243" s="385">
        <v>3.96</v>
      </c>
      <c r="E243" s="385">
        <v>2.85</v>
      </c>
      <c r="F243" s="386">
        <v>218.8</v>
      </c>
      <c r="G243" s="385">
        <v>0.01</v>
      </c>
      <c r="H243" s="385">
        <v>6.16</v>
      </c>
      <c r="I243" s="386">
        <v>207.21</v>
      </c>
      <c r="J243" s="385">
        <f>124*5</f>
        <v>620</v>
      </c>
      <c r="K243" s="385">
        <v>229.44480000000001</v>
      </c>
      <c r="L243" s="395">
        <f>(0.6-0.1)*24</f>
        <v>12</v>
      </c>
      <c r="M243" s="385">
        <v>0.01</v>
      </c>
      <c r="N243" s="385">
        <v>211.38</v>
      </c>
      <c r="O243" s="385">
        <v>158.32</v>
      </c>
      <c r="P243" s="385">
        <v>196.27</v>
      </c>
      <c r="Q243" s="385">
        <v>62.4</v>
      </c>
      <c r="R243" s="385">
        <v>0.84</v>
      </c>
      <c r="S243" s="385">
        <v>9.9999999999999995E-8</v>
      </c>
      <c r="T243" s="385">
        <v>0.39</v>
      </c>
      <c r="U243" s="385">
        <v>0.03</v>
      </c>
      <c r="V243" s="385"/>
    </row>
    <row r="244" spans="1:22" s="15" customFormat="1" x14ac:dyDescent="0.25">
      <c r="A244" s="572">
        <v>800250</v>
      </c>
      <c r="B244" s="394" t="str">
        <f t="shared" si="7"/>
        <v>-15,83/+14,58  (EC  16,3)</v>
      </c>
      <c r="C244" s="384"/>
      <c r="D244" s="385">
        <v>3.08</v>
      </c>
      <c r="E244" s="385">
        <v>1.63</v>
      </c>
      <c r="F244" s="386">
        <v>151.69999999999999</v>
      </c>
      <c r="G244" s="385">
        <v>0.01</v>
      </c>
      <c r="H244" s="385">
        <v>4.3</v>
      </c>
      <c r="I244" s="386">
        <v>93.37</v>
      </c>
      <c r="J244" s="385">
        <f>134.5*3</f>
        <v>403.5</v>
      </c>
      <c r="K244" s="385">
        <v>154.90799999999999</v>
      </c>
      <c r="L244" s="395">
        <f>(2-0.1)*24</f>
        <v>45.599999999999994</v>
      </c>
      <c r="M244" s="385">
        <v>0.01</v>
      </c>
      <c r="N244" s="385">
        <v>150.16999999999999</v>
      </c>
      <c r="O244" s="385">
        <v>60.14</v>
      </c>
      <c r="P244" s="385">
        <v>105.9</v>
      </c>
      <c r="Q244" s="385">
        <v>29.74</v>
      </c>
      <c r="R244" s="385">
        <v>1.47</v>
      </c>
      <c r="S244" s="385">
        <v>9.9999999999999995E-8</v>
      </c>
      <c r="T244" s="385">
        <v>0.11</v>
      </c>
      <c r="U244" s="385">
        <v>0.39</v>
      </c>
      <c r="V244" s="385"/>
    </row>
    <row r="245" spans="1:22" s="15" customFormat="1" x14ac:dyDescent="0.25">
      <c r="A245" s="572">
        <v>800251</v>
      </c>
      <c r="B245" s="394" t="str">
        <f t="shared" si="7"/>
        <v>-9,92/+8,66  (EC  10,3)</v>
      </c>
      <c r="C245" s="384"/>
      <c r="D245" s="385">
        <v>4.42</v>
      </c>
      <c r="E245" s="385">
        <v>1.03</v>
      </c>
      <c r="F245" s="386">
        <v>204.8</v>
      </c>
      <c r="G245" s="385">
        <v>0.01</v>
      </c>
      <c r="H245" s="385">
        <v>7.35</v>
      </c>
      <c r="I245" s="386">
        <v>39.44</v>
      </c>
      <c r="J245" s="385">
        <f>41.7*5</f>
        <v>208.5</v>
      </c>
      <c r="K245" s="385">
        <v>97.125600000000006</v>
      </c>
      <c r="L245" s="395">
        <f>(0.5-0.1)*24</f>
        <v>9.6000000000000014</v>
      </c>
      <c r="M245" s="385">
        <v>0.01</v>
      </c>
      <c r="N245" s="385">
        <v>100.87</v>
      </c>
      <c r="O245" s="385">
        <v>25.96</v>
      </c>
      <c r="P245" s="385">
        <v>61.14</v>
      </c>
      <c r="Q245" s="385">
        <v>16.48</v>
      </c>
      <c r="R245" s="385">
        <v>0.27</v>
      </c>
      <c r="S245" s="385">
        <v>9.9999999999999995E-8</v>
      </c>
      <c r="T245" s="385">
        <v>0.08</v>
      </c>
      <c r="U245" s="385">
        <v>0.05</v>
      </c>
      <c r="V245" s="385"/>
    </row>
    <row r="246" spans="1:22" s="15" customFormat="1" x14ac:dyDescent="0.25">
      <c r="A246" s="572">
        <v>800252</v>
      </c>
      <c r="B246" s="394" t="str">
        <f t="shared" si="7"/>
        <v>-22,01/+20,26  (EC  21)</v>
      </c>
      <c r="C246" s="384"/>
      <c r="D246" s="385">
        <v>6.09</v>
      </c>
      <c r="E246" s="385">
        <v>2.1</v>
      </c>
      <c r="F246" s="386">
        <v>949.7</v>
      </c>
      <c r="G246" s="385">
        <v>0.01</v>
      </c>
      <c r="H246" s="385">
        <v>2.7</v>
      </c>
      <c r="I246" s="386">
        <v>126.28</v>
      </c>
      <c r="J246" s="385">
        <v>43</v>
      </c>
      <c r="K246" s="385">
        <v>133.00560000000002</v>
      </c>
      <c r="L246" s="395">
        <f>(2.3-0.1)*24</f>
        <v>52.8</v>
      </c>
      <c r="M246" s="385">
        <v>0.01</v>
      </c>
      <c r="N246" s="385">
        <v>139.11000000000001</v>
      </c>
      <c r="O246" s="385">
        <v>75.67</v>
      </c>
      <c r="P246" s="385">
        <v>178.59</v>
      </c>
      <c r="Q246" s="385">
        <v>50.26</v>
      </c>
      <c r="R246" s="385">
        <v>0.06</v>
      </c>
      <c r="S246" s="385">
        <v>9.9999999999999995E-8</v>
      </c>
      <c r="T246" s="385">
        <v>0.06</v>
      </c>
      <c r="U246" s="385">
        <v>0.08</v>
      </c>
      <c r="V246" s="385"/>
    </row>
    <row r="247" spans="1:22" s="15" customFormat="1" x14ac:dyDescent="0.25">
      <c r="A247" s="572">
        <v>800253</v>
      </c>
      <c r="B247" s="394" t="str">
        <f t="shared" si="7"/>
        <v>-18,96/+13,69  (EC  16,88)</v>
      </c>
      <c r="C247" s="384"/>
      <c r="D247" s="385">
        <v>9.2899999999999991</v>
      </c>
      <c r="E247" s="385">
        <v>1.6879999999999999</v>
      </c>
      <c r="F247" s="386">
        <v>889.3</v>
      </c>
      <c r="G247" s="385">
        <v>0.01</v>
      </c>
      <c r="H247" s="385">
        <v>6.07</v>
      </c>
      <c r="I247" s="386">
        <v>80.55</v>
      </c>
      <c r="J247" s="385">
        <v>27.5</v>
      </c>
      <c r="K247" s="385">
        <v>80.277600000000007</v>
      </c>
      <c r="L247" s="395">
        <f>(2.5-0.1)*24</f>
        <v>57.599999999999994</v>
      </c>
      <c r="M247" s="385">
        <v>0.01</v>
      </c>
      <c r="N247" s="385">
        <v>111.74</v>
      </c>
      <c r="O247" s="385">
        <v>45.1</v>
      </c>
      <c r="P247" s="385">
        <v>118.79</v>
      </c>
      <c r="Q247" s="385">
        <v>34.35</v>
      </c>
      <c r="R247" s="385">
        <v>0.25</v>
      </c>
      <c r="S247" s="385">
        <v>0.15</v>
      </c>
      <c r="T247" s="385">
        <v>0.56999999999999995</v>
      </c>
      <c r="U247" s="385">
        <v>0.16</v>
      </c>
      <c r="V247" s="385"/>
    </row>
    <row r="248" spans="1:22" s="15" customFormat="1" x14ac:dyDescent="0.25">
      <c r="A248" s="572">
        <v>800254</v>
      </c>
      <c r="B248" s="394" t="str">
        <f t="shared" si="7"/>
        <v>-23,73/+19,77  (EC  21,8)</v>
      </c>
      <c r="C248" s="384"/>
      <c r="D248" s="385">
        <v>6.34</v>
      </c>
      <c r="E248" s="385">
        <v>2.1800000000000002</v>
      </c>
      <c r="F248" s="386">
        <v>768.1</v>
      </c>
      <c r="G248" s="385">
        <v>0.01</v>
      </c>
      <c r="H248" s="385">
        <v>4.05</v>
      </c>
      <c r="I248" s="386">
        <v>178.29</v>
      </c>
      <c r="J248" s="385">
        <v>74.5</v>
      </c>
      <c r="K248" s="385">
        <v>156.9984</v>
      </c>
      <c r="L248" s="395">
        <f>(8.1-0.1)*24</f>
        <v>192</v>
      </c>
      <c r="M248" s="385">
        <v>0.01</v>
      </c>
      <c r="N248" s="385">
        <v>82.82</v>
      </c>
      <c r="O248" s="385">
        <v>50.22</v>
      </c>
      <c r="P248" s="385">
        <v>207.65</v>
      </c>
      <c r="Q248" s="385">
        <v>54.43</v>
      </c>
      <c r="R248" s="385">
        <v>0.02</v>
      </c>
      <c r="S248" s="385">
        <v>9.9999999999999995E-8</v>
      </c>
      <c r="T248" s="385">
        <v>0.3</v>
      </c>
      <c r="U248" s="385">
        <v>9.9999999999999995E-8</v>
      </c>
      <c r="V248" s="385"/>
    </row>
    <row r="249" spans="1:22" s="15" customFormat="1" x14ac:dyDescent="0.25">
      <c r="A249" s="572">
        <v>800255</v>
      </c>
      <c r="B249" s="394" t="str">
        <f t="shared" si="7"/>
        <v>-18,50/+17,59  (EC  17,3)</v>
      </c>
      <c r="C249" s="384"/>
      <c r="D249" s="385">
        <v>6.88</v>
      </c>
      <c r="E249" s="385">
        <v>1.73</v>
      </c>
      <c r="F249" s="386">
        <v>251.5</v>
      </c>
      <c r="G249" s="385">
        <v>0.01</v>
      </c>
      <c r="H249" s="385">
        <v>0.25</v>
      </c>
      <c r="I249" s="386">
        <v>300.8</v>
      </c>
      <c r="J249" s="385">
        <v>62</v>
      </c>
      <c r="K249" s="385">
        <v>0.12</v>
      </c>
      <c r="L249" s="395">
        <f>(12-0.1)*24</f>
        <v>285.60000000000002</v>
      </c>
      <c r="M249" s="385">
        <v>0.01</v>
      </c>
      <c r="N249" s="385">
        <v>1.42</v>
      </c>
      <c r="O249" s="385">
        <v>180.99</v>
      </c>
      <c r="P249" s="385">
        <v>163.46</v>
      </c>
      <c r="Q249" s="385">
        <v>17.38</v>
      </c>
      <c r="R249" s="385">
        <v>0.15</v>
      </c>
      <c r="S249" s="385">
        <v>9.9999999999999995E-8</v>
      </c>
      <c r="T249" s="385">
        <v>0.2</v>
      </c>
      <c r="U249" s="385">
        <v>9.9999999999999995E-8</v>
      </c>
      <c r="V249" s="385"/>
    </row>
    <row r="250" spans="1:22" s="15" customFormat="1" x14ac:dyDescent="0.25">
      <c r="A250" s="572">
        <v>800256</v>
      </c>
      <c r="B250" s="394" t="s">
        <v>153</v>
      </c>
      <c r="C250" s="384"/>
      <c r="D250" s="385">
        <v>7.33</v>
      </c>
      <c r="E250" s="385">
        <v>2.0699999999999998</v>
      </c>
      <c r="F250" s="386">
        <v>85.7</v>
      </c>
      <c r="G250" s="385">
        <v>0.01</v>
      </c>
      <c r="H250" s="385">
        <v>0.02</v>
      </c>
      <c r="I250" s="386">
        <v>331.01</v>
      </c>
      <c r="J250" s="385">
        <v>88.3</v>
      </c>
      <c r="K250" s="385">
        <v>0.01</v>
      </c>
      <c r="L250" s="395">
        <v>405.59999999999997</v>
      </c>
      <c r="M250" s="385">
        <v>0.01</v>
      </c>
      <c r="N250" s="385">
        <v>1.48</v>
      </c>
      <c r="O250" s="385">
        <v>319.67</v>
      </c>
      <c r="P250" s="385">
        <v>82.55</v>
      </c>
      <c r="Q250" s="385">
        <v>34.659999999999997</v>
      </c>
      <c r="R250" s="385">
        <v>9.9999999999999995E-7</v>
      </c>
      <c r="S250" s="385">
        <v>9.9999999999999995E-7</v>
      </c>
      <c r="T250" s="385">
        <v>9.9999999999999995E-7</v>
      </c>
      <c r="U250" s="385">
        <v>9.9999999999999995E-7</v>
      </c>
      <c r="V250" s="385"/>
    </row>
    <row r="251" spans="1:22" s="15" customFormat="1" x14ac:dyDescent="0.25">
      <c r="A251" s="572">
        <v>800257</v>
      </c>
      <c r="B251" s="394" t="s">
        <v>154</v>
      </c>
      <c r="C251" s="384"/>
      <c r="D251" s="385">
        <v>7.47</v>
      </c>
      <c r="E251" s="385">
        <v>0.57999999999999996</v>
      </c>
      <c r="F251" s="386">
        <v>12.25</v>
      </c>
      <c r="G251" s="385">
        <v>0.01</v>
      </c>
      <c r="H251" s="385">
        <v>0.02</v>
      </c>
      <c r="I251" s="386">
        <v>48.4</v>
      </c>
      <c r="J251" s="385">
        <v>22.4</v>
      </c>
      <c r="K251" s="385">
        <v>0.01</v>
      </c>
      <c r="L251" s="395">
        <v>213.60000000000002</v>
      </c>
      <c r="M251" s="385">
        <v>0.01</v>
      </c>
      <c r="N251" s="385">
        <v>1.67</v>
      </c>
      <c r="O251" s="385">
        <v>34.06</v>
      </c>
      <c r="P251" s="385">
        <v>60.09</v>
      </c>
      <c r="Q251" s="385">
        <v>21.59</v>
      </c>
      <c r="R251" s="385">
        <v>9.9999999999999995E-7</v>
      </c>
      <c r="S251" s="385">
        <v>9.9999999999999995E-7</v>
      </c>
      <c r="T251" s="385">
        <v>9.9999999999999995E-7</v>
      </c>
      <c r="U251" s="385">
        <v>9.9999999999999995E-7</v>
      </c>
      <c r="V251" s="385"/>
    </row>
    <row r="252" spans="1:22" s="15" customFormat="1" x14ac:dyDescent="0.25">
      <c r="A252" s="572">
        <v>800258</v>
      </c>
      <c r="B252" s="394" t="s">
        <v>155</v>
      </c>
      <c r="C252" s="384"/>
      <c r="D252" s="385">
        <v>7.4</v>
      </c>
      <c r="E252" s="385">
        <v>1.25</v>
      </c>
      <c r="F252" s="386">
        <v>68.61</v>
      </c>
      <c r="G252" s="385">
        <v>0.01</v>
      </c>
      <c r="H252" s="385">
        <v>0.02</v>
      </c>
      <c r="I252" s="386">
        <v>179.17</v>
      </c>
      <c r="J252" s="385">
        <v>59.4</v>
      </c>
      <c r="K252" s="385">
        <v>0.01</v>
      </c>
      <c r="L252" s="395">
        <v>345.6</v>
      </c>
      <c r="M252" s="385">
        <v>0.01</v>
      </c>
      <c r="N252" s="385">
        <v>2.13</v>
      </c>
      <c r="O252" s="385">
        <v>108.45</v>
      </c>
      <c r="P252" s="385">
        <v>83.01</v>
      </c>
      <c r="Q252" s="385">
        <v>53.54</v>
      </c>
      <c r="R252" s="385">
        <v>0.08</v>
      </c>
      <c r="S252" s="385">
        <v>9.9999999999999995E-7</v>
      </c>
      <c r="T252" s="385">
        <v>9.9999999999999995E-7</v>
      </c>
      <c r="U252" s="385">
        <v>9.9999999999999995E-7</v>
      </c>
      <c r="V252" s="385"/>
    </row>
    <row r="253" spans="1:22" s="15" customFormat="1" x14ac:dyDescent="0.25">
      <c r="A253" s="572">
        <v>800262</v>
      </c>
      <c r="B253" s="394" t="s">
        <v>156</v>
      </c>
      <c r="C253" s="384"/>
      <c r="D253" s="385">
        <v>6.82</v>
      </c>
      <c r="E253" s="385">
        <v>0.02</v>
      </c>
      <c r="F253" s="386">
        <v>0.01</v>
      </c>
      <c r="G253" s="385">
        <v>0.01</v>
      </c>
      <c r="H253" s="385">
        <v>0.03</v>
      </c>
      <c r="I253" s="386">
        <v>2.92</v>
      </c>
      <c r="J253" s="385">
        <v>0.01</v>
      </c>
      <c r="K253" s="385">
        <v>0.01</v>
      </c>
      <c r="L253" s="395">
        <v>14.399999999999999</v>
      </c>
      <c r="M253" s="385">
        <v>0.01</v>
      </c>
      <c r="N253" s="385">
        <v>2.93</v>
      </c>
      <c r="O253" s="385">
        <v>0.73</v>
      </c>
      <c r="P253" s="385">
        <v>0.49</v>
      </c>
      <c r="Q253" s="385">
        <v>0.4</v>
      </c>
      <c r="R253" s="385">
        <v>9.9999999999999995E-7</v>
      </c>
      <c r="S253" s="385">
        <v>9.9999999999999995E-7</v>
      </c>
      <c r="T253" s="385">
        <v>9.9999999999999995E-7</v>
      </c>
      <c r="U253" s="385">
        <v>9.9999999999999995E-7</v>
      </c>
      <c r="V253" s="385"/>
    </row>
    <row r="254" spans="1:22" s="15" customFormat="1" x14ac:dyDescent="0.25">
      <c r="A254" s="572">
        <v>800263</v>
      </c>
      <c r="B254" s="394" t="s">
        <v>157</v>
      </c>
      <c r="C254" s="384"/>
      <c r="D254" s="385">
        <v>6.69</v>
      </c>
      <c r="E254" s="385">
        <v>0.09</v>
      </c>
      <c r="F254" s="386">
        <v>0.01</v>
      </c>
      <c r="G254" s="385">
        <v>0.01</v>
      </c>
      <c r="H254" s="385">
        <v>7.0000000000000007E-2</v>
      </c>
      <c r="I254" s="386">
        <v>2.66</v>
      </c>
      <c r="J254" s="385">
        <v>0.01</v>
      </c>
      <c r="K254" s="385">
        <v>0.01</v>
      </c>
      <c r="L254" s="395">
        <v>60</v>
      </c>
      <c r="M254" s="385">
        <v>0.01</v>
      </c>
      <c r="N254" s="385">
        <v>2.96</v>
      </c>
      <c r="O254" s="385">
        <v>2.0699999999999998</v>
      </c>
      <c r="P254" s="385">
        <v>11.49</v>
      </c>
      <c r="Q254" s="385">
        <v>1.1100000000000001</v>
      </c>
      <c r="R254" s="385">
        <v>9.9999999999999995E-7</v>
      </c>
      <c r="S254" s="385">
        <v>9.9999999999999995E-7</v>
      </c>
      <c r="T254" s="385">
        <v>9.9999999999999995E-7</v>
      </c>
      <c r="U254" s="385">
        <v>9.9999999999999995E-7</v>
      </c>
      <c r="V254" s="385"/>
    </row>
    <row r="255" spans="1:22" s="15" customFormat="1" x14ac:dyDescent="0.25">
      <c r="A255" s="572">
        <v>800259</v>
      </c>
      <c r="B255" s="394" t="str">
        <f>"-"&amp;TEXT((F255/62+G255/46+I255/35.5+J255/48+K255/97+L255/61),"0,00")&amp;"/+"&amp;TEXT((N255/39+O255/23+P255/20+Q255/12+H238/14),"0,00")&amp;"  (EC  "&amp;E255*10&amp;")"</f>
        <v>-8,47/+8,31  (EC  9,4)</v>
      </c>
      <c r="C255" s="384"/>
      <c r="D255" s="385">
        <v>6.45</v>
      </c>
      <c r="E255" s="385">
        <v>0.94</v>
      </c>
      <c r="F255" s="386">
        <v>96.11</v>
      </c>
      <c r="G255" s="385"/>
      <c r="H255" s="385">
        <v>9.73</v>
      </c>
      <c r="I255" s="386">
        <v>111.63</v>
      </c>
      <c r="J255" s="385">
        <v>81</v>
      </c>
      <c r="K255" s="385">
        <f>37.34*3.06</f>
        <v>114.26040000000002</v>
      </c>
      <c r="L255" s="395">
        <f>(2.4-0.1)*24</f>
        <v>55.199999999999996</v>
      </c>
      <c r="M255" s="385">
        <v>0.01</v>
      </c>
      <c r="N255" s="385">
        <v>37.82</v>
      </c>
      <c r="O255" s="385">
        <v>67</v>
      </c>
      <c r="P255" s="385">
        <v>59.72</v>
      </c>
      <c r="Q255" s="385">
        <v>16.329999999999998</v>
      </c>
      <c r="R255" s="385"/>
      <c r="S255" s="385"/>
      <c r="T255" s="385"/>
      <c r="U255" s="385"/>
      <c r="V255" s="385"/>
    </row>
    <row r="256" spans="1:22" s="15" customFormat="1" x14ac:dyDescent="0.25">
      <c r="A256" s="572">
        <v>800260</v>
      </c>
      <c r="B256" s="394" t="str">
        <f>"-"&amp;TEXT((F256/62+G256/46+I256/35.5+J256/48+K256/97+L256/61),"0,00")&amp;"/+"&amp;TEXT((N256/39+O256/23+P256/20+Q256/12+H239/14),"0,00")&amp;"  (EC  "&amp;E256*10&amp;")"</f>
        <v>-12,52/+13,48  (EC  13,5)</v>
      </c>
      <c r="C256" s="384"/>
      <c r="D256" s="385">
        <v>6.31</v>
      </c>
      <c r="E256" s="385">
        <v>1.35</v>
      </c>
      <c r="F256" s="386">
        <v>98.01</v>
      </c>
      <c r="G256" s="385"/>
      <c r="H256" s="385">
        <v>7.05</v>
      </c>
      <c r="I256" s="386">
        <v>111</v>
      </c>
      <c r="J256" s="385">
        <v>66.5</v>
      </c>
      <c r="K256" s="385">
        <f>30.26*3.06</f>
        <v>92.595600000000005</v>
      </c>
      <c r="L256" s="395">
        <f>(14-0.1)*24</f>
        <v>333.6</v>
      </c>
      <c r="M256" s="385">
        <v>0.01</v>
      </c>
      <c r="N256" s="385">
        <v>91.04</v>
      </c>
      <c r="O256" s="385">
        <v>64.3</v>
      </c>
      <c r="P256" s="385">
        <v>129.99</v>
      </c>
      <c r="Q256" s="385">
        <v>21.86</v>
      </c>
      <c r="R256" s="385"/>
      <c r="S256" s="385"/>
      <c r="T256" s="385"/>
      <c r="U256" s="385"/>
      <c r="V256" s="385"/>
    </row>
    <row r="257" spans="1:22" s="15" customFormat="1" x14ac:dyDescent="0.25">
      <c r="A257" s="572">
        <v>800261</v>
      </c>
      <c r="B257" s="394" t="str">
        <f>"-"&amp;TEXT((F257/62+G257/46+I257/35.5+J257/48+K257/97+L257/61),"0,00")&amp;"/+"&amp;TEXT((N257/39+O257/23+P257/20+Q257/12+H240/14),"0,00")&amp;"  (EC  "&amp;E257*10&amp;")"</f>
        <v>-12,59/+13,17  (EC  12)</v>
      </c>
      <c r="C257" s="384"/>
      <c r="D257" s="385">
        <v>7.32</v>
      </c>
      <c r="E257" s="385">
        <v>1.2</v>
      </c>
      <c r="F257" s="386">
        <v>82</v>
      </c>
      <c r="G257" s="385"/>
      <c r="H257" s="385">
        <v>0.05</v>
      </c>
      <c r="I257" s="386">
        <v>42.78</v>
      </c>
      <c r="J257" s="385">
        <f>151.8*2</f>
        <v>303.60000000000002</v>
      </c>
      <c r="K257" s="385">
        <f>0*3.06</f>
        <v>0</v>
      </c>
      <c r="L257" s="395">
        <f>(9.6-0.1)*24</f>
        <v>228</v>
      </c>
      <c r="M257" s="385">
        <v>0.01</v>
      </c>
      <c r="N257" s="385">
        <v>1.34</v>
      </c>
      <c r="O257" s="385">
        <v>44.26</v>
      </c>
      <c r="P257" s="385">
        <v>131.78</v>
      </c>
      <c r="Q257" s="385">
        <v>52.88</v>
      </c>
      <c r="R257" s="385">
        <v>9.9999999999999995E-7</v>
      </c>
      <c r="S257" s="385">
        <v>9.9999999999999995E-7</v>
      </c>
      <c r="T257" s="385">
        <v>9.9999999999999995E-7</v>
      </c>
      <c r="U257" s="385">
        <v>0.04</v>
      </c>
      <c r="V257" s="385"/>
    </row>
    <row r="258" spans="1:22" s="403" customFormat="1" x14ac:dyDescent="0.25">
      <c r="A258" s="575">
        <v>800264</v>
      </c>
      <c r="B258" s="401" t="str">
        <f>"-"&amp;TEXT((F258/62+G258/46+I258/35.5+J258/48+K258/97+L258/61),"0,00")&amp;"/+"&amp;TEXT((N258/39+O258/23+P258/20+Q258/12+H241/14),"0,00")&amp;"  (EC  "&amp;E258*10&amp;")"</f>
        <v>-27,59/+29,21  (EC  28)</v>
      </c>
      <c r="C258" s="402"/>
      <c r="D258" s="42">
        <v>8.52</v>
      </c>
      <c r="E258" s="42">
        <v>2.8</v>
      </c>
      <c r="F258" s="44">
        <v>49.2</v>
      </c>
      <c r="G258" s="42">
        <v>0.01</v>
      </c>
      <c r="H258" s="42">
        <v>0.05</v>
      </c>
      <c r="I258" s="244">
        <v>550</v>
      </c>
      <c r="J258" s="42">
        <v>280</v>
      </c>
      <c r="K258" s="42">
        <f>0*3.06</f>
        <v>0</v>
      </c>
      <c r="L258" s="42">
        <f>(14-0.1)*24</f>
        <v>333.6</v>
      </c>
      <c r="M258" s="42">
        <v>0.01</v>
      </c>
      <c r="N258" s="42">
        <v>3.05</v>
      </c>
      <c r="O258" s="42">
        <v>365.02</v>
      </c>
      <c r="P258" s="42">
        <v>113.5</v>
      </c>
      <c r="Q258" s="42">
        <v>88.62</v>
      </c>
      <c r="R258" s="34">
        <v>1.0000000000000001E-5</v>
      </c>
      <c r="S258" s="34">
        <v>1.0000000000000001E-5</v>
      </c>
      <c r="T258" s="34">
        <v>1.0000000000000001E-5</v>
      </c>
      <c r="U258" s="34">
        <v>0.95</v>
      </c>
      <c r="V258" s="34"/>
    </row>
    <row r="259" spans="1:22" s="403" customFormat="1" x14ac:dyDescent="0.25">
      <c r="A259" s="575">
        <v>800265</v>
      </c>
      <c r="B259" s="401" t="str">
        <f>"-"&amp;TEXT((F259/62+G259/46+I259/35.5+J259/48+K259/97+L259/61),"0,00")&amp;"/+"&amp;TEXT((N259/39+O259/23+P259/20+Q259/12+H242/14),"0,00")&amp;"  (EC  "&amp;E259*10&amp;")"</f>
        <v>-5,64/+6,64  (EC  5,28)</v>
      </c>
      <c r="C259" s="402"/>
      <c r="D259" s="42">
        <v>8.11</v>
      </c>
      <c r="E259" s="42">
        <v>0.52800000000000002</v>
      </c>
      <c r="F259" s="44">
        <v>6.42</v>
      </c>
      <c r="G259" s="42">
        <v>0.01</v>
      </c>
      <c r="H259" s="42">
        <v>0.03</v>
      </c>
      <c r="I259" s="244">
        <v>18.28</v>
      </c>
      <c r="J259" s="42">
        <v>46.3</v>
      </c>
      <c r="K259" s="244">
        <f>0.01*3.06</f>
        <v>3.0600000000000002E-2</v>
      </c>
      <c r="L259" s="42">
        <f>(10.4-0.1)*24</f>
        <v>247.20000000000002</v>
      </c>
      <c r="M259" s="42">
        <v>0.01</v>
      </c>
      <c r="N259" s="42">
        <v>1.22</v>
      </c>
      <c r="O259" s="42">
        <v>17.75</v>
      </c>
      <c r="P259" s="42">
        <v>71.349999999999994</v>
      </c>
      <c r="Q259" s="42">
        <v>20.81</v>
      </c>
      <c r="R259" s="34">
        <v>9.9999999999999995E-7</v>
      </c>
      <c r="S259" s="34">
        <v>9.9999999999999995E-7</v>
      </c>
      <c r="T259" s="34">
        <v>9.9999999999999995E-7</v>
      </c>
      <c r="U259" s="34">
        <v>9.9999999999999995E-7</v>
      </c>
      <c r="V259" s="34"/>
    </row>
    <row r="260" spans="1:22" s="403" customFormat="1" x14ac:dyDescent="0.25">
      <c r="A260" s="575">
        <v>800266</v>
      </c>
      <c r="B260" s="401" t="s">
        <v>158</v>
      </c>
      <c r="C260" s="402"/>
      <c r="D260" s="42">
        <v>8.02</v>
      </c>
      <c r="E260" s="42">
        <v>0.92500000000000004</v>
      </c>
      <c r="F260" s="44">
        <v>10.41</v>
      </c>
      <c r="G260" s="42">
        <v>0.01</v>
      </c>
      <c r="H260" s="42">
        <v>0.1</v>
      </c>
      <c r="I260" s="244">
        <v>166.42</v>
      </c>
      <c r="J260" s="42">
        <v>52</v>
      </c>
      <c r="K260" s="244">
        <v>6.1200000000000004E-2</v>
      </c>
      <c r="L260" s="42">
        <v>175.20000000000002</v>
      </c>
      <c r="M260" s="42">
        <v>0.01</v>
      </c>
      <c r="N260" s="42">
        <v>5.16</v>
      </c>
      <c r="O260" s="42">
        <v>91.16</v>
      </c>
      <c r="P260" s="42">
        <v>58.8</v>
      </c>
      <c r="Q260" s="42">
        <v>33.51</v>
      </c>
      <c r="R260" s="34">
        <v>1.0000000000000001E-5</v>
      </c>
      <c r="S260" s="34">
        <v>1.0000000000000001E-5</v>
      </c>
      <c r="T260" s="34">
        <v>1.0000000000000001E-5</v>
      </c>
      <c r="U260" s="34">
        <v>0.95</v>
      </c>
      <c r="V260" s="34"/>
    </row>
    <row r="261" spans="1:22" s="403" customFormat="1" x14ac:dyDescent="0.25">
      <c r="A261" s="575">
        <v>800267</v>
      </c>
      <c r="B261" s="401" t="s">
        <v>159</v>
      </c>
      <c r="C261" s="402"/>
      <c r="D261" s="42">
        <v>7.98</v>
      </c>
      <c r="E261" s="42">
        <v>1.1000000000000001</v>
      </c>
      <c r="F261" s="44">
        <v>1.77</v>
      </c>
      <c r="G261" s="42">
        <v>0.01</v>
      </c>
      <c r="H261" s="42">
        <v>0.03</v>
      </c>
      <c r="I261" s="244">
        <v>161.30000000000001</v>
      </c>
      <c r="J261" s="42">
        <v>120.6</v>
      </c>
      <c r="K261" s="244">
        <v>3.0600000000000002E-2</v>
      </c>
      <c r="L261" s="42">
        <v>261.60000000000002</v>
      </c>
      <c r="M261" s="42">
        <v>0.01</v>
      </c>
      <c r="N261" s="42">
        <v>4.71</v>
      </c>
      <c r="O261" s="42">
        <v>122.83</v>
      </c>
      <c r="P261" s="42">
        <v>80.12</v>
      </c>
      <c r="Q261" s="42">
        <v>26.88</v>
      </c>
      <c r="R261" s="34">
        <v>1.0000000000000001E-5</v>
      </c>
      <c r="S261" s="34">
        <v>1.0000000000000001E-5</v>
      </c>
      <c r="T261" s="34">
        <v>1.0000000000000001E-5</v>
      </c>
      <c r="U261" s="34">
        <v>1.0000000000000001E-5</v>
      </c>
      <c r="V261" s="34"/>
    </row>
    <row r="262" spans="1:22" s="403" customFormat="1" x14ac:dyDescent="0.25">
      <c r="A262" s="575">
        <v>800269</v>
      </c>
      <c r="B262" s="401" t="s">
        <v>160</v>
      </c>
      <c r="C262" s="402"/>
      <c r="D262" s="42">
        <v>8.19</v>
      </c>
      <c r="E262" s="42">
        <v>3.62</v>
      </c>
      <c r="F262" s="44">
        <v>87.1</v>
      </c>
      <c r="G262" s="42">
        <v>0.01</v>
      </c>
      <c r="H262" s="42">
        <v>0.03</v>
      </c>
      <c r="I262" s="244">
        <v>511.81</v>
      </c>
      <c r="J262" s="42">
        <v>690</v>
      </c>
      <c r="K262" s="244">
        <v>6.1200000000000004E-2</v>
      </c>
      <c r="L262" s="42">
        <v>309.60000000000002</v>
      </c>
      <c r="M262" s="42">
        <v>0.01</v>
      </c>
      <c r="N262" s="42">
        <v>3.9</v>
      </c>
      <c r="O262" s="42">
        <v>411.85</v>
      </c>
      <c r="P262" s="42">
        <v>156.31</v>
      </c>
      <c r="Q262" s="42">
        <v>134.28</v>
      </c>
      <c r="R262" s="34">
        <v>0.04</v>
      </c>
      <c r="S262" s="34">
        <v>1.0000000000000001E-5</v>
      </c>
      <c r="T262" s="34">
        <v>1.0000000000000001E-5</v>
      </c>
      <c r="U262" s="34">
        <v>1.0000000000000001E-5</v>
      </c>
      <c r="V262" s="34"/>
    </row>
    <row r="263" spans="1:22" s="403" customFormat="1" x14ac:dyDescent="0.25">
      <c r="A263" s="575">
        <v>800270</v>
      </c>
      <c r="B263" s="401" t="s">
        <v>161</v>
      </c>
      <c r="C263" s="402"/>
      <c r="D263" s="42">
        <v>8.1999999999999993</v>
      </c>
      <c r="E263" s="42">
        <v>1.875</v>
      </c>
      <c r="F263" s="44">
        <v>52.38</v>
      </c>
      <c r="G263" s="42">
        <v>0.01</v>
      </c>
      <c r="H263" s="42">
        <v>0.11</v>
      </c>
      <c r="I263" s="244">
        <v>333.75</v>
      </c>
      <c r="J263" s="42">
        <v>90.1</v>
      </c>
      <c r="K263" s="244">
        <v>0.21420000000000003</v>
      </c>
      <c r="L263" s="42">
        <v>357.6</v>
      </c>
      <c r="M263" s="42">
        <v>0.01</v>
      </c>
      <c r="N263" s="42">
        <v>3.22</v>
      </c>
      <c r="O263" s="42">
        <v>222.74</v>
      </c>
      <c r="P263" s="42">
        <v>82.08</v>
      </c>
      <c r="Q263" s="42">
        <v>70.400000000000006</v>
      </c>
      <c r="R263" s="34">
        <v>0.48</v>
      </c>
      <c r="S263" s="34">
        <v>1.0000000000000001E-5</v>
      </c>
      <c r="T263" s="34">
        <v>1.0000000000000001E-5</v>
      </c>
      <c r="U263" s="34">
        <v>1.0000000000000001E-5</v>
      </c>
      <c r="V263" s="34"/>
    </row>
    <row r="264" spans="1:22" s="403" customFormat="1" x14ac:dyDescent="0.25">
      <c r="A264" s="575">
        <v>800271</v>
      </c>
      <c r="B264" s="401" t="s">
        <v>162</v>
      </c>
      <c r="C264" s="402"/>
      <c r="D264" s="42">
        <v>6.99</v>
      </c>
      <c r="E264" s="42">
        <v>0.12</v>
      </c>
      <c r="F264" s="44">
        <v>10.43</v>
      </c>
      <c r="G264" s="42">
        <v>0.01</v>
      </c>
      <c r="H264" s="42">
        <v>0.02</v>
      </c>
      <c r="I264" s="244">
        <v>25.38</v>
      </c>
      <c r="J264" s="42">
        <v>0.01</v>
      </c>
      <c r="K264" s="244">
        <v>3.0600000000000002E-2</v>
      </c>
      <c r="L264" s="42">
        <v>12</v>
      </c>
      <c r="M264" s="42">
        <v>0.01</v>
      </c>
      <c r="N264" s="42">
        <v>0.1</v>
      </c>
      <c r="O264" s="42">
        <v>19.86</v>
      </c>
      <c r="P264" s="42">
        <v>0.75</v>
      </c>
      <c r="Q264" s="42">
        <v>0.66</v>
      </c>
      <c r="R264" s="34">
        <v>1.0000000000000001E-5</v>
      </c>
      <c r="S264" s="34">
        <v>1.0000000000000001E-5</v>
      </c>
      <c r="T264" s="34">
        <v>1.0000000000000001E-5</v>
      </c>
      <c r="U264" s="34">
        <v>1.0000000000000001E-5</v>
      </c>
      <c r="V264" s="34"/>
    </row>
    <row r="265" spans="1:22" s="403" customFormat="1" x14ac:dyDescent="0.25">
      <c r="A265" s="575">
        <v>800272</v>
      </c>
      <c r="B265" s="401" t="s">
        <v>163</v>
      </c>
      <c r="C265" s="402"/>
      <c r="D265" s="42">
        <v>7.96</v>
      </c>
      <c r="E265" s="42">
        <v>18.600000000000001</v>
      </c>
      <c r="F265" s="44">
        <v>13.37</v>
      </c>
      <c r="G265" s="42">
        <v>0.01</v>
      </c>
      <c r="H265" s="42">
        <v>0.09</v>
      </c>
      <c r="I265" s="244">
        <v>4000</v>
      </c>
      <c r="J265" s="42">
        <v>3652</v>
      </c>
      <c r="K265" s="244">
        <v>6.1200000000000004E-2</v>
      </c>
      <c r="L265" s="42">
        <v>194.39999999999998</v>
      </c>
      <c r="M265" s="42">
        <v>0.01</v>
      </c>
      <c r="N265" s="42">
        <v>68.680000000000007</v>
      </c>
      <c r="O265" s="42">
        <v>2259</v>
      </c>
      <c r="P265" s="42">
        <v>610.29999999999995</v>
      </c>
      <c r="Q265" s="42">
        <v>669.87</v>
      </c>
      <c r="R265" s="34">
        <v>1.0000000000000001E-5</v>
      </c>
      <c r="S265" s="34">
        <v>1.0000000000000001E-5</v>
      </c>
      <c r="T265" s="34">
        <v>1.0000000000000001E-5</v>
      </c>
      <c r="U265" s="34">
        <v>0.95</v>
      </c>
      <c r="V265" s="34"/>
    </row>
    <row r="266" spans="1:22" s="403" customFormat="1" x14ac:dyDescent="0.25">
      <c r="A266" s="575">
        <v>800273</v>
      </c>
      <c r="B266" s="401" t="s">
        <v>164</v>
      </c>
      <c r="C266" s="402"/>
      <c r="D266" s="42">
        <v>8.0500000000000007</v>
      </c>
      <c r="E266" s="42">
        <v>2.74</v>
      </c>
      <c r="F266" s="44">
        <v>10.6</v>
      </c>
      <c r="G266" s="42">
        <v>0.01</v>
      </c>
      <c r="H266" s="42">
        <v>0.06</v>
      </c>
      <c r="I266" s="244">
        <v>550</v>
      </c>
      <c r="J266" s="42">
        <v>245</v>
      </c>
      <c r="K266" s="244">
        <v>3.0600000000000002E-2</v>
      </c>
      <c r="L266" s="42">
        <v>348</v>
      </c>
      <c r="M266" s="42">
        <v>0.01</v>
      </c>
      <c r="N266" s="42">
        <v>3.9</v>
      </c>
      <c r="O266" s="42">
        <v>311.49</v>
      </c>
      <c r="P266" s="42">
        <v>180.67</v>
      </c>
      <c r="Q266" s="42">
        <v>75.36</v>
      </c>
      <c r="R266" s="34">
        <v>1.0000000000000001E-5</v>
      </c>
      <c r="S266" s="34">
        <v>1.0000000000000001E-5</v>
      </c>
      <c r="T266" s="34">
        <v>1.0000000000000001E-5</v>
      </c>
      <c r="U266" s="34">
        <v>0.95</v>
      </c>
      <c r="V266" s="34"/>
    </row>
    <row r="267" spans="1:22" s="403" customFormat="1" x14ac:dyDescent="0.25">
      <c r="A267" s="575">
        <v>800274</v>
      </c>
      <c r="B267" s="401" t="s">
        <v>165</v>
      </c>
      <c r="C267" s="402"/>
      <c r="D267" s="42">
        <v>8.0299999999999994</v>
      </c>
      <c r="E267" s="42">
        <v>0.5</v>
      </c>
      <c r="F267" s="44">
        <v>19.47</v>
      </c>
      <c r="G267" s="42">
        <v>0.01</v>
      </c>
      <c r="H267" s="42">
        <v>0.04</v>
      </c>
      <c r="I267" s="244">
        <v>15.23</v>
      </c>
      <c r="J267" s="42">
        <v>17.399999999999999</v>
      </c>
      <c r="K267" s="244">
        <v>3.0600000000000002E-2</v>
      </c>
      <c r="L267" s="42">
        <v>261.60000000000002</v>
      </c>
      <c r="M267" s="42">
        <v>0.01</v>
      </c>
      <c r="N267" s="42">
        <v>1.58</v>
      </c>
      <c r="O267" s="42">
        <v>7.63</v>
      </c>
      <c r="P267" s="42">
        <v>66.66</v>
      </c>
      <c r="Q267" s="42">
        <v>29.14</v>
      </c>
      <c r="R267" s="34">
        <v>1.0000000000000001E-5</v>
      </c>
      <c r="S267" s="34">
        <v>1.0000000000000001E-5</v>
      </c>
      <c r="T267" s="34">
        <v>1.0000000000000001E-5</v>
      </c>
      <c r="U267" s="34">
        <v>0.95</v>
      </c>
      <c r="V267" s="34"/>
    </row>
    <row r="268" spans="1:22" s="403" customFormat="1" x14ac:dyDescent="0.25">
      <c r="A268" s="575">
        <v>800275</v>
      </c>
      <c r="B268" s="401" t="s">
        <v>166</v>
      </c>
      <c r="C268" s="402"/>
      <c r="D268" s="42">
        <v>8.1</v>
      </c>
      <c r="E268" s="42">
        <v>3.82</v>
      </c>
      <c r="F268" s="44">
        <v>58.3</v>
      </c>
      <c r="G268" s="42">
        <v>0.01</v>
      </c>
      <c r="H268" s="42">
        <v>0.04</v>
      </c>
      <c r="I268" s="244">
        <v>1243.3</v>
      </c>
      <c r="J268" s="42">
        <v>48.2</v>
      </c>
      <c r="K268" s="244">
        <v>0.01</v>
      </c>
      <c r="L268" s="42">
        <v>170.4</v>
      </c>
      <c r="M268" s="42">
        <v>0.01</v>
      </c>
      <c r="N268" s="42">
        <v>14.44</v>
      </c>
      <c r="O268" s="42">
        <v>304.47000000000003</v>
      </c>
      <c r="P268" s="42">
        <v>226.05</v>
      </c>
      <c r="Q268" s="42">
        <v>166.68</v>
      </c>
      <c r="R268" s="34">
        <v>1.0000000000000001E-5</v>
      </c>
      <c r="S268" s="34">
        <v>1.0000000000000001E-5</v>
      </c>
      <c r="T268" s="34">
        <v>1.0000000000000001E-5</v>
      </c>
      <c r="U268" s="34">
        <v>0.95</v>
      </c>
      <c r="V268" s="34"/>
    </row>
    <row r="269" spans="1:22" s="403" customFormat="1" x14ac:dyDescent="0.25">
      <c r="A269" s="575">
        <v>800276</v>
      </c>
      <c r="B269" s="401" t="s">
        <v>167</v>
      </c>
      <c r="C269" s="402"/>
      <c r="D269" s="42">
        <v>7.98</v>
      </c>
      <c r="E269" s="42">
        <v>3.4</v>
      </c>
      <c r="F269" s="44">
        <v>9.89</v>
      </c>
      <c r="G269" s="42">
        <v>0.01</v>
      </c>
      <c r="H269" s="42">
        <v>0.03</v>
      </c>
      <c r="I269" s="244">
        <v>1047.48</v>
      </c>
      <c r="J269" s="42">
        <v>50</v>
      </c>
      <c r="K269" s="244">
        <v>3.0600000000000002E-2</v>
      </c>
      <c r="L269" s="42">
        <v>259.20000000000005</v>
      </c>
      <c r="M269" s="42">
        <v>0.01</v>
      </c>
      <c r="N269" s="42">
        <v>9.11</v>
      </c>
      <c r="O269" s="42">
        <v>317.32</v>
      </c>
      <c r="P269" s="42">
        <v>176.15</v>
      </c>
      <c r="Q269" s="42">
        <v>144.49</v>
      </c>
      <c r="R269" s="34">
        <v>1.0000000000000001E-5</v>
      </c>
      <c r="S269" s="34">
        <v>1.0000000000000001E-5</v>
      </c>
      <c r="T269" s="34">
        <v>1.0000000000000001E-5</v>
      </c>
      <c r="U269" s="34">
        <v>0.95</v>
      </c>
      <c r="V269" s="34"/>
    </row>
    <row r="270" spans="1:22" s="403" customFormat="1" x14ac:dyDescent="0.25">
      <c r="A270" s="575">
        <v>800277</v>
      </c>
      <c r="B270" s="401" t="s">
        <v>168</v>
      </c>
      <c r="C270" s="402"/>
      <c r="D270" s="42">
        <v>8.17</v>
      </c>
      <c r="E270" s="42">
        <v>1.6</v>
      </c>
      <c r="F270" s="44">
        <v>52.45</v>
      </c>
      <c r="G270" s="42">
        <v>0.01</v>
      </c>
      <c r="H270" s="42">
        <v>0.06</v>
      </c>
      <c r="I270" s="244">
        <v>201.09</v>
      </c>
      <c r="J270" s="42">
        <v>430</v>
      </c>
      <c r="K270" s="244">
        <v>0.15300000000000002</v>
      </c>
      <c r="L270" s="42">
        <v>141.60000000000002</v>
      </c>
      <c r="M270" s="42">
        <v>0.01</v>
      </c>
      <c r="N270" s="42">
        <v>10.130000000000001</v>
      </c>
      <c r="O270" s="42">
        <v>119.45</v>
      </c>
      <c r="P270" s="42">
        <v>125.11</v>
      </c>
      <c r="Q270" s="42">
        <v>53.88</v>
      </c>
      <c r="R270" s="34">
        <v>1.0000000000000001E-5</v>
      </c>
      <c r="S270" s="34">
        <v>1.0000000000000001E-5</v>
      </c>
      <c r="T270" s="34">
        <v>1.0000000000000001E-5</v>
      </c>
      <c r="U270" s="34">
        <v>0.95</v>
      </c>
      <c r="V270" s="34"/>
    </row>
    <row r="271" spans="1:22" s="403" customFormat="1" x14ac:dyDescent="0.25">
      <c r="A271" s="575">
        <v>800278</v>
      </c>
      <c r="B271" s="401" t="s">
        <v>169</v>
      </c>
      <c r="C271" s="402"/>
      <c r="D271" s="42">
        <v>8.0500000000000007</v>
      </c>
      <c r="E271" s="42">
        <v>1.7</v>
      </c>
      <c r="F271" s="44">
        <v>21.51</v>
      </c>
      <c r="G271" s="42">
        <v>0.01</v>
      </c>
      <c r="H271" s="42">
        <v>0.04</v>
      </c>
      <c r="I271" s="244">
        <v>227.02</v>
      </c>
      <c r="J271" s="42">
        <v>392.5</v>
      </c>
      <c r="K271" s="244">
        <v>9.1799999999999993E-2</v>
      </c>
      <c r="L271" s="42">
        <v>307.20000000000005</v>
      </c>
      <c r="M271" s="42">
        <v>0.01</v>
      </c>
      <c r="N271" s="42">
        <v>1.56</v>
      </c>
      <c r="O271" s="42">
        <v>137.30000000000001</v>
      </c>
      <c r="P271" s="42">
        <v>137.29</v>
      </c>
      <c r="Q271" s="42">
        <v>63.24</v>
      </c>
      <c r="R271" s="34">
        <v>1.0000000000000001E-5</v>
      </c>
      <c r="S271" s="34">
        <v>1.0000000000000001E-5</v>
      </c>
      <c r="T271" s="34">
        <v>1.0000000000000001E-5</v>
      </c>
      <c r="U271" s="34">
        <v>0.04</v>
      </c>
      <c r="V271" s="34"/>
    </row>
    <row r="272" spans="1:22" s="403" customFormat="1" x14ac:dyDescent="0.25">
      <c r="A272" s="575">
        <v>800279</v>
      </c>
      <c r="B272" s="401" t="str">
        <f>"-"&amp;TEXT((F272/62+G272/46+I272/35.5+J272/48+K272/97+L272/61),"0,00")&amp;"/+"&amp;TEXT((N272/39+O272/23+P272/20+Q272/12+H255/14),"0,00")&amp;"  (EC  "&amp;E272*10&amp;")"</f>
        <v>-10,32/+11,97  (EC  10)</v>
      </c>
      <c r="C272" s="402"/>
      <c r="D272" s="42">
        <v>8.4600000000000009</v>
      </c>
      <c r="E272" s="42">
        <v>1</v>
      </c>
      <c r="F272" s="44">
        <v>37.21</v>
      </c>
      <c r="G272" s="42"/>
      <c r="H272" s="42">
        <v>0.03</v>
      </c>
      <c r="I272" s="244">
        <v>93.45</v>
      </c>
      <c r="J272" s="42">
        <v>87.1</v>
      </c>
      <c r="K272" s="244">
        <f>0*3.06</f>
        <v>0</v>
      </c>
      <c r="L272" s="42">
        <f>(13.5-0.1)*24</f>
        <v>321.60000000000002</v>
      </c>
      <c r="M272" s="42"/>
      <c r="N272" s="42">
        <v>2.39</v>
      </c>
      <c r="O272" s="42">
        <v>52.25</v>
      </c>
      <c r="P272" s="42">
        <v>80.930000000000007</v>
      </c>
      <c r="Q272" s="42">
        <v>58.78</v>
      </c>
      <c r="R272" s="34">
        <v>1.0000000000000001E-5</v>
      </c>
      <c r="S272" s="34">
        <v>1.0000000000000001E-5</v>
      </c>
      <c r="T272" s="34">
        <v>1.0000000000000001E-5</v>
      </c>
      <c r="U272" s="34">
        <v>1.0000000000000001E-5</v>
      </c>
      <c r="V272" s="34"/>
    </row>
    <row r="273" spans="1:22" s="403" customFormat="1" x14ac:dyDescent="0.25">
      <c r="A273" s="575">
        <v>800280</v>
      </c>
      <c r="B273" s="401" t="str">
        <f>"-"&amp;TEXT((F273/62+G273/46+I273/35.5+J273/48+K273/97+L273/61),"0,00")&amp;"/+"&amp;TEXT((N273/39+O273/23+P273/20+Q273/12+H256/14),"0,00")&amp;"  (EC  "&amp;E273*10&amp;")"</f>
        <v>-18,66/+20,66  (EC  19)</v>
      </c>
      <c r="C273" s="402"/>
      <c r="D273" s="42">
        <v>8.4600000000000009</v>
      </c>
      <c r="E273" s="42">
        <v>1.9</v>
      </c>
      <c r="F273" s="44">
        <v>0.85</v>
      </c>
      <c r="G273" s="42"/>
      <c r="H273" s="42">
        <v>0.11</v>
      </c>
      <c r="I273" s="244">
        <v>124.06</v>
      </c>
      <c r="J273" s="42">
        <f>54.6*10</f>
        <v>546</v>
      </c>
      <c r="K273" s="244">
        <f>0*3.06</f>
        <v>0</v>
      </c>
      <c r="L273" s="42">
        <f>(9.7-0.1)*24</f>
        <v>230.39999999999998</v>
      </c>
      <c r="M273" s="42"/>
      <c r="N273" s="42">
        <v>5.31</v>
      </c>
      <c r="O273" s="42">
        <v>250.18</v>
      </c>
      <c r="P273" s="42">
        <v>74.73</v>
      </c>
      <c r="Q273" s="42">
        <v>64.88</v>
      </c>
      <c r="R273" s="34">
        <v>1.0000000000000001E-5</v>
      </c>
      <c r="S273" s="34">
        <v>1.0000000000000001E-5</v>
      </c>
      <c r="T273" s="34">
        <v>1.0000000000000001E-5</v>
      </c>
      <c r="U273" s="34">
        <v>1.0000000000000001E-5</v>
      </c>
      <c r="V273" s="34"/>
    </row>
    <row r="274" spans="1:22" s="403" customFormat="1" x14ac:dyDescent="0.25">
      <c r="A274" s="575">
        <v>800281</v>
      </c>
      <c r="B274" s="401" t="s">
        <v>171</v>
      </c>
      <c r="C274" s="402"/>
      <c r="D274" s="42" t="s">
        <v>172</v>
      </c>
      <c r="E274" s="42">
        <v>3.6</v>
      </c>
      <c r="F274" s="44">
        <v>79.400000000000006</v>
      </c>
      <c r="G274" s="42">
        <v>0.01</v>
      </c>
      <c r="H274" s="42">
        <v>0.05</v>
      </c>
      <c r="I274" s="244">
        <v>770.4</v>
      </c>
      <c r="J274" s="42">
        <v>157.9</v>
      </c>
      <c r="K274" s="244">
        <v>0.06</v>
      </c>
      <c r="L274" s="42">
        <v>475.2</v>
      </c>
      <c r="M274" s="42">
        <v>0.01</v>
      </c>
      <c r="N274" s="42">
        <v>2.59</v>
      </c>
      <c r="O274" s="42">
        <v>437.27</v>
      </c>
      <c r="P274" s="42">
        <v>289.41000000000003</v>
      </c>
      <c r="Q274" s="42">
        <v>50.8</v>
      </c>
      <c r="R274" s="34">
        <v>1.0000000000000001E-5</v>
      </c>
      <c r="S274" s="34">
        <v>1.0000000000000001E-5</v>
      </c>
      <c r="T274" s="34">
        <v>1.0000000000000001E-5</v>
      </c>
      <c r="U274" s="34">
        <v>1.0000000000000001E-5</v>
      </c>
      <c r="V274" s="34"/>
    </row>
    <row r="275" spans="1:22" s="403" customFormat="1" x14ac:dyDescent="0.25">
      <c r="A275" s="575">
        <v>800282</v>
      </c>
      <c r="B275" s="401" t="s">
        <v>173</v>
      </c>
      <c r="C275" s="402"/>
      <c r="D275" s="42" t="s">
        <v>174</v>
      </c>
      <c r="E275" s="42">
        <v>6.28</v>
      </c>
      <c r="F275" s="44">
        <v>69.900000000000006</v>
      </c>
      <c r="G275" s="42">
        <v>0.01</v>
      </c>
      <c r="H275" s="42">
        <v>7.0000000000000007E-2</v>
      </c>
      <c r="I275" s="244">
        <v>1728.9</v>
      </c>
      <c r="J275" s="42">
        <v>232.4</v>
      </c>
      <c r="K275" s="244">
        <v>0.03</v>
      </c>
      <c r="L275" s="42">
        <v>424.8</v>
      </c>
      <c r="M275" s="42">
        <v>0.01</v>
      </c>
      <c r="N275" s="42">
        <v>4.28</v>
      </c>
      <c r="O275" s="42">
        <v>881.37</v>
      </c>
      <c r="P275" s="42">
        <v>357.96</v>
      </c>
      <c r="Q275" s="42">
        <v>81.08</v>
      </c>
      <c r="R275" s="34">
        <v>1.0000000000000001E-5</v>
      </c>
      <c r="S275" s="34">
        <v>1.0000000000000001E-5</v>
      </c>
      <c r="T275" s="34">
        <v>1.0000000000000001E-5</v>
      </c>
      <c r="U275" s="34">
        <v>1.0000000000000001E-5</v>
      </c>
      <c r="V275" s="34"/>
    </row>
    <row r="276" spans="1:22" s="403" customFormat="1" x14ac:dyDescent="0.25">
      <c r="A276" s="575">
        <v>900000</v>
      </c>
      <c r="B276" s="401" t="s">
        <v>175</v>
      </c>
      <c r="C276" s="402"/>
      <c r="D276" s="42" t="s">
        <v>176</v>
      </c>
      <c r="E276" s="42">
        <v>0.83</v>
      </c>
      <c r="F276" s="44">
        <v>52.7</v>
      </c>
      <c r="G276" s="42">
        <v>0.01</v>
      </c>
      <c r="H276" s="42">
        <v>0.03</v>
      </c>
      <c r="I276" s="244">
        <v>136.29</v>
      </c>
      <c r="J276" s="42">
        <v>37.5</v>
      </c>
      <c r="K276" s="244">
        <v>0.03</v>
      </c>
      <c r="L276" s="42">
        <v>172.8</v>
      </c>
      <c r="M276" s="42">
        <v>0.01</v>
      </c>
      <c r="N276" s="42">
        <v>2.12</v>
      </c>
      <c r="O276" s="42">
        <v>28.98</v>
      </c>
      <c r="P276" s="42">
        <v>108.46</v>
      </c>
      <c r="Q276" s="42">
        <v>17.87</v>
      </c>
      <c r="R276" s="34">
        <v>1.0000000000000001E-5</v>
      </c>
      <c r="S276" s="34">
        <v>1.0000000000000001E-5</v>
      </c>
      <c r="T276" s="34">
        <v>1.0000000000000001E-5</v>
      </c>
      <c r="U276" s="34">
        <v>1.0000000000000001E-5</v>
      </c>
      <c r="V276" s="34"/>
    </row>
    <row r="277" spans="1:22" s="403" customFormat="1" x14ac:dyDescent="0.25">
      <c r="A277" s="575">
        <v>901000</v>
      </c>
      <c r="B277" s="401" t="s">
        <v>177</v>
      </c>
      <c r="C277" s="402"/>
      <c r="D277" s="42" t="s">
        <v>178</v>
      </c>
      <c r="E277" s="42">
        <v>2.42</v>
      </c>
      <c r="F277" s="44">
        <v>927.3</v>
      </c>
      <c r="G277" s="42">
        <v>0.01</v>
      </c>
      <c r="H277" s="42">
        <v>4.09</v>
      </c>
      <c r="I277" s="244">
        <v>72.069999999999993</v>
      </c>
      <c r="J277" s="42">
        <v>53</v>
      </c>
      <c r="K277" s="244">
        <v>218.24</v>
      </c>
      <c r="L277" s="42">
        <v>213.6</v>
      </c>
      <c r="M277" s="42">
        <v>0.01</v>
      </c>
      <c r="N277" s="42">
        <v>334.21</v>
      </c>
      <c r="O277" s="42">
        <v>44.39</v>
      </c>
      <c r="P277" s="42">
        <v>227.08</v>
      </c>
      <c r="Q277" s="42">
        <v>44.95</v>
      </c>
      <c r="R277" s="34">
        <v>1.0000000000000001E-5</v>
      </c>
      <c r="S277" s="34">
        <v>1.0000000000000001E-5</v>
      </c>
      <c r="T277" s="34">
        <v>1.0000000000000001E-5</v>
      </c>
      <c r="U277" s="34">
        <v>1.0000000000000001E-5</v>
      </c>
      <c r="V277" s="34"/>
    </row>
    <row r="278" spans="1:22" s="403" customFormat="1" x14ac:dyDescent="0.25">
      <c r="A278" s="575">
        <v>901001</v>
      </c>
      <c r="B278" s="401" t="s">
        <v>179</v>
      </c>
      <c r="C278" s="402"/>
      <c r="D278" s="42" t="s">
        <v>180</v>
      </c>
      <c r="E278" s="42">
        <v>3.22</v>
      </c>
      <c r="F278" s="44">
        <v>937.8</v>
      </c>
      <c r="G278" s="42">
        <v>0.01</v>
      </c>
      <c r="H278" s="42">
        <v>0.27</v>
      </c>
      <c r="I278" s="244">
        <v>158.53</v>
      </c>
      <c r="J278" s="42">
        <v>100.6</v>
      </c>
      <c r="K278" s="244">
        <v>265.20999999999998</v>
      </c>
      <c r="L278" s="42">
        <v>405.6</v>
      </c>
      <c r="M278" s="42">
        <v>0.01</v>
      </c>
      <c r="N278" s="42">
        <v>361.99</v>
      </c>
      <c r="O278" s="42">
        <v>100.89</v>
      </c>
      <c r="P278" s="42">
        <v>281.41000000000003</v>
      </c>
      <c r="Q278" s="42">
        <v>63.49</v>
      </c>
      <c r="R278" s="34">
        <v>1.0000000000000001E-5</v>
      </c>
      <c r="S278" s="34">
        <v>1.0000000000000001E-5</v>
      </c>
      <c r="T278" s="34">
        <v>1.0000000000000001E-5</v>
      </c>
      <c r="U278" s="34">
        <v>1.0000000000000001E-5</v>
      </c>
      <c r="V278" s="34"/>
    </row>
    <row r="279" spans="1:22" s="403" customFormat="1" x14ac:dyDescent="0.25">
      <c r="A279" s="575">
        <v>901002</v>
      </c>
      <c r="B279" s="401" t="s">
        <v>181</v>
      </c>
      <c r="C279" s="402"/>
      <c r="D279" s="42" t="s">
        <v>182</v>
      </c>
      <c r="E279" s="42">
        <v>2.13</v>
      </c>
      <c r="F279" s="44">
        <v>926.1</v>
      </c>
      <c r="G279" s="42">
        <v>0.01</v>
      </c>
      <c r="H279" s="42">
        <v>3.67</v>
      </c>
      <c r="I279" s="244">
        <v>70.69</v>
      </c>
      <c r="J279" s="42">
        <v>111.3</v>
      </c>
      <c r="K279" s="244">
        <v>149.85</v>
      </c>
      <c r="L279" s="42">
        <v>33.6</v>
      </c>
      <c r="M279" s="42">
        <v>0.01</v>
      </c>
      <c r="N279" s="42">
        <v>227.59</v>
      </c>
      <c r="O279" s="42">
        <v>42.96</v>
      </c>
      <c r="P279" s="42">
        <v>171.44</v>
      </c>
      <c r="Q279" s="42">
        <v>35.75</v>
      </c>
      <c r="R279" s="34">
        <v>0.88</v>
      </c>
      <c r="S279" s="34">
        <v>0.2</v>
      </c>
      <c r="T279" s="34">
        <v>0.8</v>
      </c>
      <c r="U279" s="34">
        <v>0.22</v>
      </c>
      <c r="V279" s="34"/>
    </row>
    <row r="280" spans="1:22" s="403" customFormat="1" x14ac:dyDescent="0.25">
      <c r="A280" s="575">
        <v>901003</v>
      </c>
      <c r="B280" s="401" t="s">
        <v>183</v>
      </c>
      <c r="C280" s="402"/>
      <c r="D280" s="42" t="s">
        <v>184</v>
      </c>
      <c r="E280" s="42">
        <v>3.69</v>
      </c>
      <c r="F280" s="44">
        <v>936.5</v>
      </c>
      <c r="G280" s="42">
        <v>0.01</v>
      </c>
      <c r="H280" s="42">
        <v>0.15</v>
      </c>
      <c r="I280" s="244">
        <v>461.5</v>
      </c>
      <c r="J280" s="42">
        <v>110.15</v>
      </c>
      <c r="K280" s="244">
        <v>161.81</v>
      </c>
      <c r="L280" s="42">
        <v>127.2</v>
      </c>
      <c r="M280" s="42">
        <v>0.01</v>
      </c>
      <c r="N280" s="42">
        <v>317.83999999999997</v>
      </c>
      <c r="O280" s="42">
        <v>194.01</v>
      </c>
      <c r="P280" s="42">
        <v>229.09</v>
      </c>
      <c r="Q280" s="42">
        <v>71.62</v>
      </c>
      <c r="R280" s="34">
        <v>0.03</v>
      </c>
      <c r="S280" s="34">
        <v>0.26</v>
      </c>
      <c r="T280" s="34">
        <v>0.02</v>
      </c>
      <c r="U280" s="34">
        <v>0.71</v>
      </c>
      <c r="V280" s="34"/>
    </row>
    <row r="281" spans="1:22" s="403" customFormat="1" x14ac:dyDescent="0.25">
      <c r="A281" s="575">
        <v>900001</v>
      </c>
      <c r="B281" s="401" t="str">
        <f t="shared" ref="B281:B302" si="8">"-"&amp;TEXT((F281/62+G281/46+I281/35.5+J281/48+K281/97+L281/61),"0,00")&amp;"/+"&amp;TEXT((N281/39+O281/23+P281/20+Q281/12+H281/14),"0,00")&amp;"  (EC  "&amp;E281*10&amp;")"</f>
        <v>-9,72/+10,81  (EC  9)</v>
      </c>
      <c r="C281" s="402"/>
      <c r="D281" s="42">
        <v>7.42</v>
      </c>
      <c r="E281" s="42">
        <v>0.9</v>
      </c>
      <c r="F281" s="44">
        <v>53.28</v>
      </c>
      <c r="G281" s="42">
        <v>0.01</v>
      </c>
      <c r="H281" s="42">
        <v>1.01</v>
      </c>
      <c r="I281" s="244">
        <v>58.62</v>
      </c>
      <c r="J281" s="42">
        <v>78</v>
      </c>
      <c r="K281" s="244">
        <f>0.01*3.06</f>
        <v>3.0600000000000002E-2</v>
      </c>
      <c r="L281" s="42">
        <f>(14.3-0.1)*24</f>
        <v>340.8</v>
      </c>
      <c r="M281" s="42">
        <v>0.01</v>
      </c>
      <c r="N281" s="42">
        <v>3.94</v>
      </c>
      <c r="O281" s="42">
        <v>46.33</v>
      </c>
      <c r="P281" s="42">
        <v>71.849999999999994</v>
      </c>
      <c r="Q281" s="42">
        <v>60.33</v>
      </c>
      <c r="R281" s="34">
        <v>1.0000000000000001E-5</v>
      </c>
      <c r="S281" s="34">
        <v>1.0000000000000001E-5</v>
      </c>
      <c r="T281" s="34">
        <v>1.0000000000000001E-5</v>
      </c>
      <c r="U281" s="34">
        <v>1.0000000000000001E-5</v>
      </c>
      <c r="V281" s="34">
        <v>1.0000000000000001E-5</v>
      </c>
    </row>
    <row r="282" spans="1:22" s="403" customFormat="1" x14ac:dyDescent="0.25">
      <c r="A282" s="575">
        <v>900002</v>
      </c>
      <c r="B282" s="401" t="str">
        <f t="shared" si="8"/>
        <v>-16,23/+15,62  (EC  15)</v>
      </c>
      <c r="C282" s="402"/>
      <c r="D282" s="42">
        <v>7.14</v>
      </c>
      <c r="E282" s="42">
        <v>1.5</v>
      </c>
      <c r="F282" s="44">
        <v>12.83</v>
      </c>
      <c r="G282" s="42">
        <v>0.01</v>
      </c>
      <c r="H282" s="42">
        <v>0.09</v>
      </c>
      <c r="I282" s="244">
        <v>113.74</v>
      </c>
      <c r="J282" s="42">
        <v>141.30000000000001</v>
      </c>
      <c r="K282" s="244">
        <f>0.01*3.06</f>
        <v>3.0600000000000002E-2</v>
      </c>
      <c r="L282" s="42">
        <f>(25.2-0.1)*24</f>
        <v>602.4</v>
      </c>
      <c r="M282" s="42">
        <v>0.01</v>
      </c>
      <c r="N282" s="42">
        <v>3.95</v>
      </c>
      <c r="O282" s="42">
        <v>70.64</v>
      </c>
      <c r="P282" s="42">
        <v>99.01</v>
      </c>
      <c r="Q282" s="42">
        <v>89.9</v>
      </c>
      <c r="R282" s="34">
        <v>1.0000000000000001E-5</v>
      </c>
      <c r="S282" s="34">
        <v>1.0000000000000001E-5</v>
      </c>
      <c r="T282" s="34">
        <v>1.0000000000000001E-5</v>
      </c>
      <c r="U282" s="34">
        <v>1.0000000000000001E-5</v>
      </c>
      <c r="V282" s="34">
        <v>1.0000000000000001E-5</v>
      </c>
    </row>
    <row r="283" spans="1:22" s="403" customFormat="1" x14ac:dyDescent="0.25">
      <c r="A283" s="575">
        <v>900003</v>
      </c>
      <c r="B283" s="401" t="str">
        <f t="shared" si="8"/>
        <v>-6,13/+5,37  (EC  5,1)</v>
      </c>
      <c r="C283" s="402"/>
      <c r="D283" s="42">
        <v>7.19</v>
      </c>
      <c r="E283" s="42">
        <v>0.51</v>
      </c>
      <c r="F283" s="44">
        <v>48.5</v>
      </c>
      <c r="G283" s="42">
        <v>0.01</v>
      </c>
      <c r="H283" s="42">
        <v>0.13</v>
      </c>
      <c r="I283" s="244">
        <v>22.74</v>
      </c>
      <c r="J283" s="42">
        <v>16.399999999999999</v>
      </c>
      <c r="K283" s="244">
        <f>0.02*3.06</f>
        <v>6.1200000000000004E-2</v>
      </c>
      <c r="L283" s="42">
        <f>(11.2-0.1)*24</f>
        <v>266.39999999999998</v>
      </c>
      <c r="M283" s="42">
        <v>0.01</v>
      </c>
      <c r="N283" s="42">
        <v>1.24</v>
      </c>
      <c r="O283" s="42">
        <v>10.45</v>
      </c>
      <c r="P283" s="42">
        <v>48.05</v>
      </c>
      <c r="Q283" s="42">
        <v>29.62</v>
      </c>
      <c r="R283" s="34">
        <v>1.0000000000000001E-5</v>
      </c>
      <c r="S283" s="34">
        <v>1.0000000000000001E-5</v>
      </c>
      <c r="T283" s="34">
        <v>1.0000000000000001E-5</v>
      </c>
      <c r="U283" s="34">
        <v>1.0000000000000001E-5</v>
      </c>
      <c r="V283" s="34">
        <v>1.0000000000000001E-5</v>
      </c>
    </row>
    <row r="284" spans="1:22" s="403" customFormat="1" x14ac:dyDescent="0.25">
      <c r="A284" s="575">
        <v>900004</v>
      </c>
      <c r="B284" s="401" t="str">
        <f t="shared" si="8"/>
        <v>-6,92/+6,30  (EC  5,7)</v>
      </c>
      <c r="C284" s="402"/>
      <c r="D284" s="42">
        <v>7.33</v>
      </c>
      <c r="E284" s="42">
        <v>0.56999999999999995</v>
      </c>
      <c r="F284" s="44">
        <v>63.41</v>
      </c>
      <c r="G284" s="42">
        <v>0.01</v>
      </c>
      <c r="H284" s="42">
        <v>0.11</v>
      </c>
      <c r="I284" s="244">
        <v>19.690000000000001</v>
      </c>
      <c r="J284" s="42">
        <v>14.8</v>
      </c>
      <c r="K284" s="244">
        <f>0.01*3.06</f>
        <v>3.0600000000000002E-2</v>
      </c>
      <c r="L284" s="42">
        <f>(12.9-0.1)*24</f>
        <v>307.20000000000005</v>
      </c>
      <c r="M284" s="42">
        <v>0.01</v>
      </c>
      <c r="N284" s="42">
        <v>0.52</v>
      </c>
      <c r="O284" s="42">
        <v>3.57</v>
      </c>
      <c r="P284" s="42">
        <v>62.77</v>
      </c>
      <c r="Q284" s="42">
        <v>35.880000000000003</v>
      </c>
      <c r="R284" s="34">
        <v>1.0000000000000001E-5</v>
      </c>
      <c r="S284" s="34">
        <v>1.0000000000000001E-5</v>
      </c>
      <c r="T284" s="34">
        <v>1.0000000000000001E-5</v>
      </c>
      <c r="U284" s="34">
        <v>1.0000000000000001E-5</v>
      </c>
      <c r="V284" s="34">
        <v>1.0000000000000001E-5</v>
      </c>
    </row>
    <row r="285" spans="1:22" s="403" customFormat="1" x14ac:dyDescent="0.25">
      <c r="A285" s="575">
        <v>900005</v>
      </c>
      <c r="B285" s="401" t="str">
        <f t="shared" si="8"/>
        <v>-7,10/+7,28  (EC  6,6)</v>
      </c>
      <c r="C285" s="402"/>
      <c r="D285" s="42">
        <v>7.85</v>
      </c>
      <c r="E285" s="42">
        <v>0.66</v>
      </c>
      <c r="F285" s="44">
        <v>21.91</v>
      </c>
      <c r="G285" s="42">
        <v>0.01</v>
      </c>
      <c r="H285" s="42">
        <v>0.13</v>
      </c>
      <c r="I285" s="244">
        <v>38.729999999999997</v>
      </c>
      <c r="J285" s="42">
        <v>31.5</v>
      </c>
      <c r="K285" s="244">
        <f>0.01*3.06</f>
        <v>3.0600000000000002E-2</v>
      </c>
      <c r="L285" s="42">
        <f>(12.8-0.1)*24</f>
        <v>304.8</v>
      </c>
      <c r="M285" s="42">
        <v>0.01</v>
      </c>
      <c r="N285" s="42">
        <v>0.23</v>
      </c>
      <c r="O285" s="42">
        <v>12.88</v>
      </c>
      <c r="P285" s="42">
        <v>67.349999999999994</v>
      </c>
      <c r="Q285" s="42">
        <v>40</v>
      </c>
      <c r="R285" s="34">
        <v>1.0000000000000001E-5</v>
      </c>
      <c r="S285" s="34">
        <v>1.0000000000000001E-5</v>
      </c>
      <c r="T285" s="34">
        <v>1.0000000000000001E-5</v>
      </c>
      <c r="U285" s="34">
        <v>1.0000000000000001E-5</v>
      </c>
      <c r="V285" s="34">
        <v>1.0000000000000001E-5</v>
      </c>
    </row>
    <row r="286" spans="1:22" s="403" customFormat="1" x14ac:dyDescent="0.25">
      <c r="A286" s="575">
        <v>900006</v>
      </c>
      <c r="B286" s="401" t="str">
        <f t="shared" si="8"/>
        <v>-25,06/+25,83  (EC  26,7)</v>
      </c>
      <c r="C286" s="402"/>
      <c r="D286" s="42">
        <v>7.1</v>
      </c>
      <c r="E286" s="42">
        <v>2.67</v>
      </c>
      <c r="F286" s="44">
        <v>57.2</v>
      </c>
      <c r="G286" s="42">
        <v>0.01</v>
      </c>
      <c r="H286" s="42">
        <v>1.1299999999999999</v>
      </c>
      <c r="I286" s="244">
        <v>540.1</v>
      </c>
      <c r="J286" s="42">
        <v>127.9</v>
      </c>
      <c r="K286" s="244">
        <f>0.05*3.06</f>
        <v>0.15300000000000002</v>
      </c>
      <c r="L286" s="42">
        <f>(16-0.1)*24</f>
        <v>381.6</v>
      </c>
      <c r="M286" s="42">
        <v>0.01</v>
      </c>
      <c r="N286" s="42">
        <v>6.55</v>
      </c>
      <c r="O286" s="42">
        <v>307.37</v>
      </c>
      <c r="P286" s="42">
        <v>126.74</v>
      </c>
      <c r="Q286" s="42">
        <v>70.58</v>
      </c>
      <c r="R286" s="34">
        <v>1.0000000000000001E-5</v>
      </c>
      <c r="S286" s="34">
        <v>1.0000000000000001E-5</v>
      </c>
      <c r="T286" s="34">
        <v>1.0000000000000001E-5</v>
      </c>
      <c r="U286" s="34">
        <v>1.0000000000000001E-5</v>
      </c>
      <c r="V286" s="34">
        <v>1.0000000000000001E-5</v>
      </c>
    </row>
    <row r="287" spans="1:22" s="403" customFormat="1" x14ac:dyDescent="0.25">
      <c r="A287" s="575">
        <v>900007</v>
      </c>
      <c r="B287" s="401" t="str">
        <f t="shared" si="8"/>
        <v>-8,98/+9,84  (EC  7,8)</v>
      </c>
      <c r="C287" s="402"/>
      <c r="D287" s="42">
        <v>7.43</v>
      </c>
      <c r="E287" s="42">
        <v>0.78</v>
      </c>
      <c r="F287" s="44">
        <v>15.66</v>
      </c>
      <c r="G287" s="42">
        <v>0.01</v>
      </c>
      <c r="H287" s="42">
        <v>0.08</v>
      </c>
      <c r="I287" s="244">
        <v>10.24</v>
      </c>
      <c r="J287" s="42">
        <v>8.5</v>
      </c>
      <c r="K287" s="244">
        <f>0*3.06</f>
        <v>0</v>
      </c>
      <c r="L287" s="42">
        <f>(21.1-0.1)*24</f>
        <v>504</v>
      </c>
      <c r="M287" s="42">
        <v>0.01</v>
      </c>
      <c r="N287" s="42">
        <v>0.85</v>
      </c>
      <c r="O287" s="42">
        <v>3.01</v>
      </c>
      <c r="P287" s="42">
        <v>101.33</v>
      </c>
      <c r="Q287" s="42">
        <v>55.39</v>
      </c>
      <c r="R287" s="34"/>
      <c r="S287" s="34"/>
      <c r="T287" s="34"/>
      <c r="U287" s="34"/>
      <c r="V287" s="34"/>
    </row>
    <row r="288" spans="1:22" s="403" customFormat="1" x14ac:dyDescent="0.25">
      <c r="A288" s="575">
        <v>900008</v>
      </c>
      <c r="B288" s="401" t="str">
        <f t="shared" si="8"/>
        <v>-5,37/+6,04  (EC  4,9)</v>
      </c>
      <c r="C288" s="402"/>
      <c r="D288" s="42">
        <v>7.96</v>
      </c>
      <c r="E288" s="42">
        <v>0.49</v>
      </c>
      <c r="F288" s="44">
        <v>7.23</v>
      </c>
      <c r="G288" s="42">
        <v>0.01</v>
      </c>
      <c r="H288" s="42">
        <v>0.55000000000000004</v>
      </c>
      <c r="I288" s="244">
        <v>10.6</v>
      </c>
      <c r="J288" s="42">
        <v>11.1</v>
      </c>
      <c r="K288" s="244">
        <f>0.01*3.06</f>
        <v>3.0600000000000002E-2</v>
      </c>
      <c r="L288" s="42">
        <f>(12.1-0.1)*24</f>
        <v>288</v>
      </c>
      <c r="M288" s="42">
        <v>0.01</v>
      </c>
      <c r="N288" s="42">
        <v>0.95</v>
      </c>
      <c r="O288" s="42">
        <v>4.5999999999999996</v>
      </c>
      <c r="P288" s="42">
        <v>45.41</v>
      </c>
      <c r="Q288" s="42">
        <v>42.06</v>
      </c>
      <c r="R288" s="34"/>
      <c r="S288" s="34"/>
      <c r="T288" s="34"/>
      <c r="U288" s="34"/>
      <c r="V288" s="34"/>
    </row>
    <row r="289" spans="1:22" s="403" customFormat="1" x14ac:dyDescent="0.25">
      <c r="A289" s="575">
        <v>900009</v>
      </c>
      <c r="B289" s="401" t="str">
        <f t="shared" si="8"/>
        <v>-46,13/+47,78  (EC  47)</v>
      </c>
      <c r="C289" s="402"/>
      <c r="D289" s="42">
        <v>7.73</v>
      </c>
      <c r="E289" s="42">
        <v>4.7</v>
      </c>
      <c r="F289" s="44">
        <f>8.66*5</f>
        <v>43.3</v>
      </c>
      <c r="G289" s="42">
        <v>0.01</v>
      </c>
      <c r="H289" s="42">
        <v>7.0000000000000007E-2</v>
      </c>
      <c r="I289" s="244">
        <f>245.49*5</f>
        <v>1227.45</v>
      </c>
      <c r="J289" s="42">
        <v>98.2</v>
      </c>
      <c r="K289" s="244">
        <f>0.01*3.06</f>
        <v>3.0600000000000002E-2</v>
      </c>
      <c r="L289" s="42">
        <f>(22.5-0.1)*24</f>
        <v>537.59999999999991</v>
      </c>
      <c r="M289" s="42">
        <v>0.01</v>
      </c>
      <c r="N289" s="42">
        <v>1.24</v>
      </c>
      <c r="O289" s="42">
        <v>721.51</v>
      </c>
      <c r="P289" s="42">
        <v>196.26</v>
      </c>
      <c r="Q289" s="42">
        <v>78.7</v>
      </c>
      <c r="R289" s="34">
        <v>0.01</v>
      </c>
      <c r="S289" s="34">
        <v>1E-4</v>
      </c>
      <c r="T289" s="34">
        <v>1E-4</v>
      </c>
      <c r="U289" s="34">
        <v>1E-4</v>
      </c>
      <c r="V289" s="34">
        <v>1.4E-2</v>
      </c>
    </row>
    <row r="290" spans="1:22" s="403" customFormat="1" x14ac:dyDescent="0.25">
      <c r="A290" s="575">
        <v>900010</v>
      </c>
      <c r="B290" s="401" t="str">
        <f t="shared" si="8"/>
        <v>-12,65/+14,18  (EC  13,7)</v>
      </c>
      <c r="C290" s="402"/>
      <c r="D290" s="42">
        <v>8.1999999999999993</v>
      </c>
      <c r="E290" s="42">
        <v>1.37</v>
      </c>
      <c r="F290" s="44">
        <f>1.72*5</f>
        <v>8.6</v>
      </c>
      <c r="G290" s="42">
        <v>0.01</v>
      </c>
      <c r="H290" s="42">
        <v>0.1</v>
      </c>
      <c r="I290" s="244">
        <f>47.9*5</f>
        <v>239.5</v>
      </c>
      <c r="J290" s="42">
        <v>89.7</v>
      </c>
      <c r="K290" s="244">
        <f>0.01*3.06</f>
        <v>3.0600000000000002E-2</v>
      </c>
      <c r="L290" s="42">
        <f>(10-0.1)*24</f>
        <v>237.60000000000002</v>
      </c>
      <c r="M290" s="42">
        <v>0.01</v>
      </c>
      <c r="N290" s="42">
        <v>1.69</v>
      </c>
      <c r="O290" s="42">
        <v>139.76</v>
      </c>
      <c r="P290" s="42">
        <v>89.76</v>
      </c>
      <c r="Q290" s="42">
        <v>42.82</v>
      </c>
      <c r="R290" s="34">
        <v>0.01</v>
      </c>
      <c r="S290" s="34">
        <v>1E-4</v>
      </c>
      <c r="T290" s="34">
        <v>1E-4</v>
      </c>
      <c r="U290" s="34">
        <v>1E-4</v>
      </c>
      <c r="V290" s="34">
        <v>1.4999999999999999E-2</v>
      </c>
    </row>
    <row r="291" spans="1:22" s="403" customFormat="1" x14ac:dyDescent="0.25">
      <c r="A291" s="575">
        <v>900011</v>
      </c>
      <c r="B291" s="401" t="str">
        <f t="shared" si="8"/>
        <v>-20,54/+20,89  (EC  20,4)</v>
      </c>
      <c r="C291" s="402"/>
      <c r="D291" s="42">
        <v>8.68</v>
      </c>
      <c r="E291" s="42">
        <v>2.04</v>
      </c>
      <c r="F291" s="44">
        <v>3.7</v>
      </c>
      <c r="G291" s="42">
        <v>0.01</v>
      </c>
      <c r="H291" s="42">
        <v>0.09</v>
      </c>
      <c r="I291" s="244">
        <v>525.04999999999995</v>
      </c>
      <c r="J291" s="42">
        <v>105</v>
      </c>
      <c r="K291" s="244">
        <v>0.01</v>
      </c>
      <c r="L291" s="42">
        <v>213.6</v>
      </c>
      <c r="M291" s="42">
        <v>0.01</v>
      </c>
      <c r="N291" s="42">
        <v>5.23</v>
      </c>
      <c r="O291" s="42">
        <v>318.05</v>
      </c>
      <c r="P291" s="42">
        <v>67.39</v>
      </c>
      <c r="Q291" s="42">
        <v>42.58</v>
      </c>
      <c r="R291" s="34">
        <v>1.0000000000000001E-5</v>
      </c>
      <c r="S291" s="34">
        <v>1.0000000000000001E-5</v>
      </c>
      <c r="T291" s="34">
        <v>1.0000000000000001E-5</v>
      </c>
      <c r="U291" s="34">
        <v>0.04</v>
      </c>
      <c r="V291" s="34">
        <v>0.01</v>
      </c>
    </row>
    <row r="292" spans="1:22" s="403" customFormat="1" x14ac:dyDescent="0.25">
      <c r="A292" s="575">
        <v>900012</v>
      </c>
      <c r="B292" s="401" t="str">
        <f t="shared" si="8"/>
        <v>-45,00/+47,89  (EC  46,2)</v>
      </c>
      <c r="C292" s="402"/>
      <c r="D292" s="42">
        <v>7.59</v>
      </c>
      <c r="E292" s="42">
        <v>4.62</v>
      </c>
      <c r="F292" s="44">
        <v>203.9</v>
      </c>
      <c r="G292" s="42">
        <v>0.01</v>
      </c>
      <c r="H292" s="42">
        <v>0.09</v>
      </c>
      <c r="I292" s="244">
        <v>692.4</v>
      </c>
      <c r="J292" s="42">
        <v>708.8</v>
      </c>
      <c r="K292" s="244">
        <v>0.1</v>
      </c>
      <c r="L292" s="42">
        <v>453.6</v>
      </c>
      <c r="M292" s="42">
        <v>0.01</v>
      </c>
      <c r="N292" s="42">
        <v>4.58</v>
      </c>
      <c r="O292" s="42">
        <v>286.66000000000003</v>
      </c>
      <c r="P292" s="42">
        <v>443.18</v>
      </c>
      <c r="Q292" s="42">
        <v>157.77000000000001</v>
      </c>
      <c r="R292" s="34">
        <v>1.0000000000000001E-5</v>
      </c>
      <c r="S292" s="34">
        <v>1.0000000000000001E-5</v>
      </c>
      <c r="T292" s="34">
        <v>1.0000000000000001E-5</v>
      </c>
      <c r="U292" s="34">
        <v>0.02</v>
      </c>
      <c r="V292" s="34">
        <v>1.6E-2</v>
      </c>
    </row>
    <row r="293" spans="1:22" s="403" customFormat="1" x14ac:dyDescent="0.25">
      <c r="A293" s="575">
        <v>900013</v>
      </c>
      <c r="B293" s="401" t="str">
        <f t="shared" si="8"/>
        <v>-8,28/+8,74  (EC  7,4)</v>
      </c>
      <c r="C293" s="402"/>
      <c r="D293" s="42">
        <v>7.95</v>
      </c>
      <c r="E293" s="42">
        <v>0.74</v>
      </c>
      <c r="F293" s="44">
        <v>15.5</v>
      </c>
      <c r="G293" s="42">
        <v>0.01</v>
      </c>
      <c r="H293" s="42">
        <v>7.0000000000000007E-2</v>
      </c>
      <c r="I293" s="244">
        <v>30.49</v>
      </c>
      <c r="J293" s="42">
        <v>73.900000000000006</v>
      </c>
      <c r="K293" s="244">
        <v>0.2</v>
      </c>
      <c r="L293" s="42">
        <v>343.2</v>
      </c>
      <c r="M293" s="42">
        <v>0.01</v>
      </c>
      <c r="N293" s="42">
        <v>1.22</v>
      </c>
      <c r="O293" s="42">
        <v>29.35</v>
      </c>
      <c r="P293" s="42">
        <v>75.5</v>
      </c>
      <c r="Q293" s="42">
        <v>43.89</v>
      </c>
      <c r="R293" s="34">
        <v>1.0000000000000001E-5</v>
      </c>
      <c r="S293" s="34">
        <v>1.0000000000000001E-5</v>
      </c>
      <c r="T293" s="34">
        <v>1.0000000000000001E-5</v>
      </c>
      <c r="U293" s="34">
        <v>0.16</v>
      </c>
      <c r="V293" s="34">
        <v>1.4999999999999999E-2</v>
      </c>
    </row>
    <row r="294" spans="1:22" s="403" customFormat="1" x14ac:dyDescent="0.25">
      <c r="A294" s="575">
        <v>900014</v>
      </c>
      <c r="B294" s="401" t="str">
        <f t="shared" si="8"/>
        <v>-8,07/+8,56  (EC  7,3)</v>
      </c>
      <c r="C294" s="402"/>
      <c r="D294" s="42">
        <v>8.15</v>
      </c>
      <c r="E294" s="42">
        <v>0.73</v>
      </c>
      <c r="F294" s="44">
        <v>16.7</v>
      </c>
      <c r="G294" s="42">
        <v>0.01</v>
      </c>
      <c r="H294" s="42">
        <v>0.03</v>
      </c>
      <c r="I294" s="244">
        <v>32.65</v>
      </c>
      <c r="J294" s="42">
        <v>77</v>
      </c>
      <c r="K294" s="244">
        <v>0.01</v>
      </c>
      <c r="L294" s="42">
        <v>321.60000000000002</v>
      </c>
      <c r="M294" s="42">
        <v>0.01</v>
      </c>
      <c r="N294" s="42">
        <v>1.1599999999999999</v>
      </c>
      <c r="O294" s="42">
        <v>28.2</v>
      </c>
      <c r="P294" s="42">
        <v>75.66</v>
      </c>
      <c r="Q294" s="42">
        <v>42.18</v>
      </c>
      <c r="R294" s="34">
        <v>1.0000000000000001E-5</v>
      </c>
      <c r="S294" s="34">
        <v>1.0000000000000001E-5</v>
      </c>
      <c r="T294" s="34">
        <v>1.0000000000000001E-5</v>
      </c>
      <c r="U294" s="34">
        <v>1.0000000000000001E-5</v>
      </c>
      <c r="V294" s="34">
        <v>1.2E-2</v>
      </c>
    </row>
    <row r="295" spans="1:22" s="403" customFormat="1" x14ac:dyDescent="0.25">
      <c r="A295" s="575">
        <v>900015</v>
      </c>
      <c r="B295" s="401" t="str">
        <f t="shared" si="8"/>
        <v>-9,65/+10,01  (EC  9,1)</v>
      </c>
      <c r="C295" s="402"/>
      <c r="D295" s="42">
        <v>7.85</v>
      </c>
      <c r="E295" s="42">
        <v>0.91</v>
      </c>
      <c r="F295" s="44">
        <v>12.3</v>
      </c>
      <c r="G295" s="42">
        <v>0.01</v>
      </c>
      <c r="H295" s="42">
        <v>0.09</v>
      </c>
      <c r="I295" s="244">
        <v>25.41</v>
      </c>
      <c r="J295" s="42">
        <v>139.9</v>
      </c>
      <c r="K295" s="244">
        <v>0.01</v>
      </c>
      <c r="L295" s="42">
        <v>355.2</v>
      </c>
      <c r="M295" s="42">
        <v>0.01</v>
      </c>
      <c r="N295" s="42">
        <v>1.27</v>
      </c>
      <c r="O295" s="42">
        <v>37.82</v>
      </c>
      <c r="P295" s="42">
        <v>95.96</v>
      </c>
      <c r="Q295" s="42">
        <v>42.35</v>
      </c>
      <c r="R295" s="34">
        <v>1.0000000000000001E-5</v>
      </c>
      <c r="S295" s="34">
        <v>1.0000000000000001E-5</v>
      </c>
      <c r="T295" s="34">
        <v>1.0000000000000001E-5</v>
      </c>
      <c r="U295" s="34">
        <v>1.0000000000000001E-5</v>
      </c>
      <c r="V295" s="34">
        <v>1.0999999999999999E-2</v>
      </c>
    </row>
    <row r="296" spans="1:22" s="403" customFormat="1" x14ac:dyDescent="0.25">
      <c r="A296" s="575">
        <v>900016</v>
      </c>
      <c r="B296" s="401" t="str">
        <f t="shared" si="8"/>
        <v>-9,16/+9,42  (EC  8,2)</v>
      </c>
      <c r="C296" s="402"/>
      <c r="D296" s="42">
        <v>8.31</v>
      </c>
      <c r="E296" s="42">
        <v>0.82</v>
      </c>
      <c r="F296" s="44">
        <v>31.4</v>
      </c>
      <c r="G296" s="42">
        <v>0.01</v>
      </c>
      <c r="H296" s="42">
        <v>0.06</v>
      </c>
      <c r="I296" s="244">
        <v>61.67</v>
      </c>
      <c r="J296" s="42">
        <v>50.4</v>
      </c>
      <c r="K296" s="244">
        <v>0.01</v>
      </c>
      <c r="L296" s="42">
        <v>357.6</v>
      </c>
      <c r="M296" s="42">
        <v>0.01</v>
      </c>
      <c r="N296" s="42">
        <v>1.99</v>
      </c>
      <c r="O296" s="42">
        <v>29.49</v>
      </c>
      <c r="P296" s="42">
        <v>71.41</v>
      </c>
      <c r="Q296" s="42">
        <v>54.19</v>
      </c>
      <c r="R296" s="34">
        <v>0.24</v>
      </c>
      <c r="S296" s="34">
        <v>1.0000000000000001E-5</v>
      </c>
      <c r="T296" s="34">
        <v>1.0000000000000001E-5</v>
      </c>
      <c r="U296" s="34">
        <v>1.0000000000000001E-5</v>
      </c>
      <c r="V296" s="34">
        <v>1.2E-2</v>
      </c>
    </row>
    <row r="297" spans="1:22" s="403" customFormat="1" x14ac:dyDescent="0.25">
      <c r="A297" s="575">
        <v>900017</v>
      </c>
      <c r="B297" s="401" t="str">
        <f t="shared" si="8"/>
        <v>-8,94/+9,21  (EC  8,1)</v>
      </c>
      <c r="C297" s="402"/>
      <c r="D297" s="42">
        <v>8.2899999999999991</v>
      </c>
      <c r="E297" s="42">
        <v>0.81</v>
      </c>
      <c r="F297" s="44">
        <v>29</v>
      </c>
      <c r="G297" s="42">
        <v>0.01</v>
      </c>
      <c r="H297" s="42">
        <v>0.03</v>
      </c>
      <c r="I297" s="244">
        <v>64.849999999999994</v>
      </c>
      <c r="J297" s="42">
        <v>41.5</v>
      </c>
      <c r="K297" s="244">
        <v>0.01</v>
      </c>
      <c r="L297" s="42">
        <v>352.8</v>
      </c>
      <c r="M297" s="42">
        <v>0.01</v>
      </c>
      <c r="N297" s="42">
        <v>2.0699999999999998</v>
      </c>
      <c r="O297" s="42">
        <v>29.83</v>
      </c>
      <c r="P297" s="42">
        <v>68.599999999999994</v>
      </c>
      <c r="Q297" s="42">
        <v>53.11</v>
      </c>
      <c r="R297" s="34">
        <v>1.0000000000000001E-5</v>
      </c>
      <c r="S297" s="34">
        <v>1.0000000000000001E-5</v>
      </c>
      <c r="T297" s="34">
        <v>1.0000000000000001E-5</v>
      </c>
      <c r="U297" s="34">
        <v>1.0000000000000001E-5</v>
      </c>
      <c r="V297" s="34">
        <v>0.01</v>
      </c>
    </row>
    <row r="298" spans="1:22" s="403" customFormat="1" x14ac:dyDescent="0.25">
      <c r="A298" s="575">
        <v>900018</v>
      </c>
      <c r="B298" s="401" t="str">
        <f t="shared" si="8"/>
        <v>-7,89/+8,08  (EC  7,3)</v>
      </c>
      <c r="C298" s="402"/>
      <c r="D298" s="42">
        <v>8.19</v>
      </c>
      <c r="E298" s="42">
        <v>0.73</v>
      </c>
      <c r="F298" s="44">
        <v>25</v>
      </c>
      <c r="G298" s="42">
        <v>0.01</v>
      </c>
      <c r="H298" s="42">
        <v>0.09</v>
      </c>
      <c r="I298" s="244">
        <v>80.81</v>
      </c>
      <c r="J298" s="42">
        <v>21.4</v>
      </c>
      <c r="K298" s="244">
        <v>0.01</v>
      </c>
      <c r="L298" s="42">
        <v>290.39999999999998</v>
      </c>
      <c r="M298" s="42">
        <v>0.01</v>
      </c>
      <c r="N298" s="42">
        <v>2.2999999999999998</v>
      </c>
      <c r="O298" s="42">
        <v>35.5</v>
      </c>
      <c r="P298" s="42">
        <v>65.38</v>
      </c>
      <c r="Q298" s="42">
        <v>38.409999999999997</v>
      </c>
      <c r="R298" s="34">
        <v>1.0000000000000001E-5</v>
      </c>
      <c r="S298" s="34">
        <v>1.0000000000000001E-5</v>
      </c>
      <c r="T298" s="34">
        <v>1.0000000000000001E-5</v>
      </c>
      <c r="U298" s="34">
        <v>0.09</v>
      </c>
      <c r="V298" s="34">
        <v>1.4E-2</v>
      </c>
    </row>
    <row r="299" spans="1:22" s="403" customFormat="1" x14ac:dyDescent="0.25">
      <c r="A299" s="575">
        <v>900019</v>
      </c>
      <c r="B299" s="401" t="str">
        <f t="shared" si="8"/>
        <v>-7,79/+9,30  (EC  8,1)</v>
      </c>
      <c r="C299" s="402"/>
      <c r="D299" s="42">
        <v>8.5500000000000007</v>
      </c>
      <c r="E299" s="42">
        <v>0.81</v>
      </c>
      <c r="F299" s="44">
        <v>4.0999999999999996</v>
      </c>
      <c r="G299" s="42">
        <v>0.01</v>
      </c>
      <c r="H299" s="42">
        <v>0.09</v>
      </c>
      <c r="I299" s="244">
        <v>57.44</v>
      </c>
      <c r="J299" s="42">
        <v>127</v>
      </c>
      <c r="K299" s="244">
        <v>0.01</v>
      </c>
      <c r="L299" s="42">
        <v>211.2</v>
      </c>
      <c r="M299" s="42">
        <v>0.01</v>
      </c>
      <c r="N299" s="42">
        <v>3.68</v>
      </c>
      <c r="O299" s="42">
        <v>39.72</v>
      </c>
      <c r="P299" s="42">
        <v>87.83</v>
      </c>
      <c r="Q299" s="42">
        <v>36.950000000000003</v>
      </c>
      <c r="R299" s="34">
        <v>1.0000000000000001E-5</v>
      </c>
      <c r="S299" s="34">
        <v>1E-4</v>
      </c>
      <c r="T299" s="34">
        <v>1E-4</v>
      </c>
      <c r="U299" s="34">
        <v>1.0000000000000001E-5</v>
      </c>
      <c r="V299" s="34">
        <v>0.01</v>
      </c>
    </row>
    <row r="300" spans="1:22" s="403" customFormat="1" x14ac:dyDescent="0.25">
      <c r="A300" s="575">
        <v>900020</v>
      </c>
      <c r="B300" s="401" t="str">
        <f t="shared" si="8"/>
        <v>-5,21/+5,44  (EC  4,6)</v>
      </c>
      <c r="C300" s="402"/>
      <c r="D300" s="42">
        <v>8.25</v>
      </c>
      <c r="E300" s="42">
        <v>0.46</v>
      </c>
      <c r="F300" s="44">
        <v>40.799999999999997</v>
      </c>
      <c r="G300" s="42">
        <v>0.01</v>
      </c>
      <c r="H300" s="42">
        <v>0.09</v>
      </c>
      <c r="I300" s="244">
        <v>15.95</v>
      </c>
      <c r="J300" s="42">
        <v>19.2</v>
      </c>
      <c r="K300" s="244">
        <v>0.01</v>
      </c>
      <c r="L300" s="42">
        <v>225.6</v>
      </c>
      <c r="M300" s="42">
        <v>0.01</v>
      </c>
      <c r="N300" s="42">
        <v>1.43</v>
      </c>
      <c r="O300" s="42">
        <v>9.65</v>
      </c>
      <c r="P300" s="42">
        <v>54.33</v>
      </c>
      <c r="Q300" s="42">
        <v>27.09</v>
      </c>
      <c r="R300" s="34">
        <v>1.0000000000000001E-5</v>
      </c>
      <c r="S300" s="34">
        <v>1E-4</v>
      </c>
      <c r="T300" s="34">
        <v>1E-4</v>
      </c>
      <c r="U300" s="34">
        <v>1.0000000000000001E-5</v>
      </c>
      <c r="V300" s="34">
        <v>1.4E-2</v>
      </c>
    </row>
    <row r="301" spans="1:22" s="403" customFormat="1" x14ac:dyDescent="0.25">
      <c r="A301" s="575">
        <v>900021</v>
      </c>
      <c r="B301" s="401" t="str">
        <f t="shared" si="8"/>
        <v>-5,84/+5,48  (EC  4,6)</v>
      </c>
      <c r="C301" s="402"/>
      <c r="D301" s="42">
        <v>8.33</v>
      </c>
      <c r="E301" s="42">
        <v>0.46</v>
      </c>
      <c r="F301" s="44">
        <v>31.7</v>
      </c>
      <c r="G301" s="42">
        <v>0.01</v>
      </c>
      <c r="H301" s="42">
        <v>0.09</v>
      </c>
      <c r="I301" s="244">
        <v>13.8</v>
      </c>
      <c r="J301" s="42">
        <v>40.5</v>
      </c>
      <c r="K301" s="244">
        <v>0.01</v>
      </c>
      <c r="L301" s="42">
        <v>249.6</v>
      </c>
      <c r="M301" s="42">
        <v>0.01</v>
      </c>
      <c r="N301" s="42">
        <v>1.5</v>
      </c>
      <c r="O301" s="42">
        <v>8.86</v>
      </c>
      <c r="P301" s="42">
        <v>54.61</v>
      </c>
      <c r="Q301" s="42">
        <v>27.83</v>
      </c>
      <c r="R301" s="34">
        <v>1.0000000000000001E-5</v>
      </c>
      <c r="S301" s="34">
        <v>1E-4</v>
      </c>
      <c r="T301" s="34">
        <v>1E-4</v>
      </c>
      <c r="U301" s="34">
        <v>1.0000000000000001E-5</v>
      </c>
      <c r="V301" s="34">
        <v>1.7000000000000001E-2</v>
      </c>
    </row>
    <row r="302" spans="1:22" s="403" customFormat="1" x14ac:dyDescent="0.25">
      <c r="A302" s="575">
        <v>900022</v>
      </c>
      <c r="B302" s="401" t="str">
        <f t="shared" si="8"/>
        <v>-183,36/+184,32  (EC  183)</v>
      </c>
      <c r="C302" s="402"/>
      <c r="D302" s="42">
        <v>7.53</v>
      </c>
      <c r="E302" s="42">
        <v>18.3</v>
      </c>
      <c r="F302" s="44">
        <v>73.7</v>
      </c>
      <c r="G302" s="42">
        <v>0.01</v>
      </c>
      <c r="H302" s="244">
        <v>1</v>
      </c>
      <c r="I302" s="244">
        <v>3793.8</v>
      </c>
      <c r="J302" s="42">
        <v>3257.5</v>
      </c>
      <c r="K302" s="244">
        <v>0.1</v>
      </c>
      <c r="L302" s="42">
        <v>453.6</v>
      </c>
      <c r="M302" s="42">
        <v>0.01</v>
      </c>
      <c r="N302" s="42">
        <v>8.67</v>
      </c>
      <c r="O302" s="42">
        <v>1916.95</v>
      </c>
      <c r="P302" s="42">
        <v>890.05</v>
      </c>
      <c r="Q302" s="42">
        <v>674.11</v>
      </c>
      <c r="R302" s="34">
        <v>1.0000000000000001E-5</v>
      </c>
      <c r="S302" s="34">
        <v>1E-4</v>
      </c>
      <c r="T302" s="34">
        <v>1E-4</v>
      </c>
      <c r="U302" s="34">
        <v>1.0000000000000001E-5</v>
      </c>
      <c r="V302" s="34">
        <v>1.2999999999999999E-2</v>
      </c>
    </row>
    <row r="303" spans="1:22" s="400" customFormat="1" x14ac:dyDescent="0.25">
      <c r="A303" s="43">
        <v>901000</v>
      </c>
      <c r="B303" s="401" t="str">
        <f t="shared" ref="B303:B312" si="9">"-"&amp;TEXT((F303/62+G303/46+I303/35.5+J303/48+K303/97+L303/61),"0,00")&amp;"/+"&amp;TEXT((N303/39+O303/23+P303/20+Q303/12+H286/14),"0,00")&amp;"  (EC  "&amp;E303*10&amp;")"</f>
        <v>-23,84/+25,68  (EC  24,2)</v>
      </c>
      <c r="C303" s="405"/>
      <c r="D303" s="397">
        <v>6.07</v>
      </c>
      <c r="E303" s="397">
        <v>2.42</v>
      </c>
      <c r="F303" s="406">
        <f>92.73*10</f>
        <v>927.30000000000007</v>
      </c>
      <c r="G303" s="397">
        <v>0.01</v>
      </c>
      <c r="H303" s="397">
        <v>4.09</v>
      </c>
      <c r="I303" s="399">
        <v>72.069999999999993</v>
      </c>
      <c r="J303" s="397">
        <v>53</v>
      </c>
      <c r="K303" s="41">
        <f>71.32*3.06</f>
        <v>218.23919999999998</v>
      </c>
      <c r="L303" s="397">
        <f>(9-0.1)*24</f>
        <v>213.60000000000002</v>
      </c>
      <c r="M303" s="397">
        <v>0.01</v>
      </c>
      <c r="N303" s="397">
        <v>334.21</v>
      </c>
      <c r="O303" s="446">
        <v>44.39</v>
      </c>
      <c r="P303" s="397">
        <v>227.08</v>
      </c>
      <c r="Q303" s="397">
        <v>44.95</v>
      </c>
      <c r="R303" s="397"/>
      <c r="S303" s="397"/>
      <c r="T303" s="397"/>
      <c r="U303" s="397"/>
      <c r="V303" s="397"/>
    </row>
    <row r="304" spans="1:22" s="400" customFormat="1" x14ac:dyDescent="0.25">
      <c r="A304" s="43">
        <v>901001</v>
      </c>
      <c r="B304" s="401" t="str">
        <f t="shared" si="9"/>
        <v>-31,07/+33,04  (EC  32,2)</v>
      </c>
      <c r="C304" s="405"/>
      <c r="D304" s="397">
        <v>6.33</v>
      </c>
      <c r="E304" s="397">
        <v>3.22</v>
      </c>
      <c r="F304" s="406">
        <f>93.78*10</f>
        <v>937.8</v>
      </c>
      <c r="G304" s="397">
        <v>0.01</v>
      </c>
      <c r="H304" s="397">
        <v>0.27</v>
      </c>
      <c r="I304" s="399">
        <v>158.53</v>
      </c>
      <c r="J304" s="397">
        <v>100.6</v>
      </c>
      <c r="K304" s="41">
        <f>86.67*3.06</f>
        <v>265.21019999999999</v>
      </c>
      <c r="L304" s="397">
        <f>(17-0.1)*24</f>
        <v>405.59999999999997</v>
      </c>
      <c r="M304" s="397">
        <v>0.01</v>
      </c>
      <c r="N304" s="397">
        <v>361.99</v>
      </c>
      <c r="O304" s="446">
        <v>100.89</v>
      </c>
      <c r="P304" s="397">
        <v>281.41000000000003</v>
      </c>
      <c r="Q304" s="397">
        <v>63.49</v>
      </c>
      <c r="R304" s="397"/>
      <c r="S304" s="397"/>
      <c r="T304" s="397"/>
      <c r="U304" s="397"/>
      <c r="V304" s="397"/>
    </row>
    <row r="305" spans="1:22" s="400" customFormat="1" x14ac:dyDescent="0.25">
      <c r="A305" s="43">
        <v>901002</v>
      </c>
      <c r="B305" s="401" t="str">
        <f t="shared" si="9"/>
        <v>-21,34/+19,29  (EC  21,3)</v>
      </c>
      <c r="C305" s="405"/>
      <c r="D305" s="397">
        <v>6.08</v>
      </c>
      <c r="E305" s="397">
        <v>2.13</v>
      </c>
      <c r="F305" s="406">
        <f>92.61*10</f>
        <v>926.1</v>
      </c>
      <c r="G305" s="397">
        <v>0.01</v>
      </c>
      <c r="H305" s="397">
        <v>3.67</v>
      </c>
      <c r="I305" s="399">
        <v>70.69</v>
      </c>
      <c r="J305" s="397">
        <v>111.3</v>
      </c>
      <c r="K305" s="41">
        <f>48.97*3.06</f>
        <v>149.84819999999999</v>
      </c>
      <c r="L305" s="397">
        <f>(1.5-0.1)*24</f>
        <v>33.599999999999994</v>
      </c>
      <c r="M305" s="397">
        <v>0.01</v>
      </c>
      <c r="N305" s="397">
        <v>227.59</v>
      </c>
      <c r="O305" s="397">
        <v>42.96</v>
      </c>
      <c r="P305" s="397">
        <v>171.44</v>
      </c>
      <c r="Q305" s="397">
        <v>35.75</v>
      </c>
      <c r="R305" s="397">
        <v>0.88</v>
      </c>
      <c r="S305" s="397">
        <v>0.2</v>
      </c>
      <c r="T305" s="397">
        <v>0.8</v>
      </c>
      <c r="U305" s="397">
        <v>0.22</v>
      </c>
      <c r="V305" s="397"/>
    </row>
    <row r="306" spans="1:22" s="400" customFormat="1" x14ac:dyDescent="0.25">
      <c r="A306" s="43">
        <v>901003</v>
      </c>
      <c r="B306" s="401" t="str">
        <f t="shared" si="9"/>
        <v>-34,15/+34,01  (EC  36,9)</v>
      </c>
      <c r="C306" s="405"/>
      <c r="D306" s="399">
        <v>6.8</v>
      </c>
      <c r="E306" s="397">
        <v>3.69</v>
      </c>
      <c r="F306" s="406">
        <f>93.65*10</f>
        <v>936.5</v>
      </c>
      <c r="G306" s="397">
        <v>0.01</v>
      </c>
      <c r="H306" s="397">
        <v>0.15</v>
      </c>
      <c r="I306" s="399">
        <v>461.5</v>
      </c>
      <c r="J306" s="397">
        <v>110.15</v>
      </c>
      <c r="K306" s="41">
        <f>52.88*3.06</f>
        <v>161.81280000000001</v>
      </c>
      <c r="L306" s="397">
        <f>(5.4-0.1)*24</f>
        <v>127.20000000000002</v>
      </c>
      <c r="M306" s="397">
        <v>0.01</v>
      </c>
      <c r="N306" s="397">
        <v>317.83999999999997</v>
      </c>
      <c r="O306" s="397">
        <v>194.01</v>
      </c>
      <c r="P306" s="397">
        <v>229.09</v>
      </c>
      <c r="Q306" s="397">
        <v>71.62</v>
      </c>
      <c r="R306" s="397">
        <v>0.03</v>
      </c>
      <c r="S306" s="397">
        <v>0.26</v>
      </c>
      <c r="T306" s="397">
        <v>0.02</v>
      </c>
      <c r="U306" s="397">
        <v>0.71</v>
      </c>
      <c r="V306" s="397"/>
    </row>
    <row r="307" spans="1:22" s="400" customFormat="1" x14ac:dyDescent="0.25">
      <c r="A307" s="576">
        <v>901004</v>
      </c>
      <c r="B307" s="401" t="str">
        <f t="shared" si="9"/>
        <v>-8,84/+7,37  (EC  8)</v>
      </c>
      <c r="C307" s="405"/>
      <c r="D307" s="397">
        <v>6.44</v>
      </c>
      <c r="E307" s="397">
        <v>0.8</v>
      </c>
      <c r="F307" s="406">
        <v>55.54</v>
      </c>
      <c r="G307" s="397">
        <v>0.01</v>
      </c>
      <c r="H307" s="397">
        <v>0.6</v>
      </c>
      <c r="I307" s="399">
        <v>71.34</v>
      </c>
      <c r="J307" s="397">
        <v>232.6</v>
      </c>
      <c r="K307" s="41">
        <f>11.99*3.06</f>
        <v>36.689399999999999</v>
      </c>
      <c r="L307" s="397">
        <f>(1.9-0.1)*24</f>
        <v>43.199999999999996</v>
      </c>
      <c r="M307" s="397">
        <v>0.01</v>
      </c>
      <c r="N307" s="397">
        <v>40.98</v>
      </c>
      <c r="O307" s="397">
        <v>50.42</v>
      </c>
      <c r="P307" s="397">
        <v>50.22</v>
      </c>
      <c r="Q307" s="397">
        <v>19.28</v>
      </c>
      <c r="R307" s="397">
        <v>0.45</v>
      </c>
      <c r="S307" s="397">
        <v>7.0000000000000007E-2</v>
      </c>
      <c r="T307" s="397">
        <v>0.26</v>
      </c>
      <c r="U307" s="397">
        <v>0.45</v>
      </c>
      <c r="V307" s="397">
        <v>0.18</v>
      </c>
    </row>
    <row r="308" spans="1:22" s="400" customFormat="1" x14ac:dyDescent="0.25">
      <c r="A308" s="576">
        <v>901005</v>
      </c>
      <c r="B308" s="401" t="str">
        <f t="shared" si="9"/>
        <v>-15,29/+16,22  (EC  15,3)</v>
      </c>
      <c r="C308" s="405"/>
      <c r="D308" s="397">
        <v>4.03</v>
      </c>
      <c r="E308" s="397">
        <v>1.53</v>
      </c>
      <c r="F308" s="406">
        <v>1.0000000000000001E-5</v>
      </c>
      <c r="G308" s="397">
        <v>0.01</v>
      </c>
      <c r="H308" s="397">
        <v>0.05</v>
      </c>
      <c r="I308" s="399">
        <v>179.65</v>
      </c>
      <c r="J308" s="397">
        <v>448.5</v>
      </c>
      <c r="K308" s="41">
        <f>24.41*3.06</f>
        <v>74.694600000000008</v>
      </c>
      <c r="L308" s="42">
        <f>(0.4-0.1)*24</f>
        <v>7.2000000000000011</v>
      </c>
      <c r="M308" s="397">
        <v>0.01</v>
      </c>
      <c r="N308" s="397">
        <v>62.71</v>
      </c>
      <c r="O308" s="397">
        <v>122.25</v>
      </c>
      <c r="P308" s="397">
        <v>105.29</v>
      </c>
      <c r="Q308" s="397">
        <v>48.37</v>
      </c>
      <c r="R308" s="397">
        <v>0.48</v>
      </c>
      <c r="S308" s="397">
        <v>1E-4</v>
      </c>
      <c r="T308" s="397">
        <v>1E-4</v>
      </c>
      <c r="U308" s="397">
        <v>0.55000000000000004</v>
      </c>
      <c r="V308" s="397">
        <v>0.31</v>
      </c>
    </row>
    <row r="309" spans="1:22" s="400" customFormat="1" x14ac:dyDescent="0.25">
      <c r="A309" s="576">
        <v>901006</v>
      </c>
      <c r="B309" s="401" t="str">
        <f t="shared" si="9"/>
        <v>-7,46/+6,76  (EC  7,8)</v>
      </c>
      <c r="C309" s="405"/>
      <c r="D309" s="397">
        <v>5.38</v>
      </c>
      <c r="E309" s="397">
        <v>0.78</v>
      </c>
      <c r="F309" s="406">
        <v>97.86</v>
      </c>
      <c r="G309" s="397">
        <v>0.01</v>
      </c>
      <c r="H309" s="397">
        <v>0.93</v>
      </c>
      <c r="I309" s="399">
        <v>41.66</v>
      </c>
      <c r="J309" s="397">
        <v>187.7</v>
      </c>
      <c r="K309" s="41">
        <f>21.68*3.06</f>
        <v>66.340800000000002</v>
      </c>
      <c r="L309" s="34">
        <f>(0.4-0.1)*24</f>
        <v>7.2000000000000011</v>
      </c>
      <c r="M309" s="397">
        <v>0.01</v>
      </c>
      <c r="N309" s="397">
        <v>65.930000000000007</v>
      </c>
      <c r="O309" s="397">
        <v>29.7</v>
      </c>
      <c r="P309" s="397">
        <v>50.3</v>
      </c>
      <c r="Q309" s="397">
        <v>15.13</v>
      </c>
      <c r="R309" s="397">
        <v>0.53</v>
      </c>
      <c r="S309" s="397">
        <v>0.02</v>
      </c>
      <c r="T309" s="397">
        <v>0.34</v>
      </c>
      <c r="U309" s="397">
        <v>0.16</v>
      </c>
      <c r="V309" s="397">
        <v>0.24</v>
      </c>
    </row>
    <row r="310" spans="1:22" s="400" customFormat="1" x14ac:dyDescent="0.25">
      <c r="A310" s="576">
        <v>901007</v>
      </c>
      <c r="B310" s="401" t="str">
        <f t="shared" si="9"/>
        <v>-16,29/+15,70  (EC  16)</v>
      </c>
      <c r="C310" s="405"/>
      <c r="D310" s="397">
        <v>3.58</v>
      </c>
      <c r="E310" s="397">
        <v>1.6</v>
      </c>
      <c r="F310" s="406">
        <v>87.25</v>
      </c>
      <c r="G310" s="397">
        <v>0.01</v>
      </c>
      <c r="H310" s="397">
        <v>0.48</v>
      </c>
      <c r="I310" s="399">
        <v>117.35</v>
      </c>
      <c r="J310" s="397">
        <v>466.2</v>
      </c>
      <c r="K310" s="41">
        <f>54.18*3.06</f>
        <v>165.79079999999999</v>
      </c>
      <c r="L310" s="42">
        <f>(0.5-0.1)*24</f>
        <v>9.6000000000000014</v>
      </c>
      <c r="M310" s="397">
        <v>0.01</v>
      </c>
      <c r="N310" s="397">
        <v>173.52</v>
      </c>
      <c r="O310" s="397">
        <v>80.709999999999994</v>
      </c>
      <c r="P310" s="397">
        <v>101.7</v>
      </c>
      <c r="Q310" s="397">
        <v>31.76</v>
      </c>
      <c r="R310" s="397">
        <v>1.42</v>
      </c>
      <c r="S310" s="397">
        <v>1E-4</v>
      </c>
      <c r="T310" s="397">
        <v>0.13</v>
      </c>
      <c r="U310" s="397">
        <v>0.39</v>
      </c>
      <c r="V310" s="397">
        <v>7.0000000000000007E-2</v>
      </c>
    </row>
    <row r="311" spans="1:22" s="400" customFormat="1" x14ac:dyDescent="0.25">
      <c r="A311" s="576">
        <v>901008</v>
      </c>
      <c r="B311" s="401" t="str">
        <f t="shared" si="9"/>
        <v>-7,54/+6,81  (EC  7,8)</v>
      </c>
      <c r="C311" s="405"/>
      <c r="D311" s="397">
        <v>5.35</v>
      </c>
      <c r="E311" s="397">
        <v>0.78</v>
      </c>
      <c r="F311" s="406">
        <v>97.44</v>
      </c>
      <c r="G311" s="397">
        <v>0.01</v>
      </c>
      <c r="H311" s="397">
        <v>0.88</v>
      </c>
      <c r="I311" s="399">
        <v>40.89</v>
      </c>
      <c r="J311" s="397">
        <v>190.5</v>
      </c>
      <c r="K311" s="41">
        <f>21.81*3.06</f>
        <v>66.738599999999991</v>
      </c>
      <c r="L311" s="34">
        <f>(0.5-0.1)*24</f>
        <v>9.6000000000000014</v>
      </c>
      <c r="M311" s="397">
        <v>0.01</v>
      </c>
      <c r="N311" s="397">
        <v>66.45</v>
      </c>
      <c r="O311" s="397">
        <v>29.85</v>
      </c>
      <c r="P311" s="397">
        <v>50.8</v>
      </c>
      <c r="Q311" s="397">
        <v>15.17</v>
      </c>
      <c r="R311" s="397">
        <v>0.5</v>
      </c>
      <c r="S311" s="397">
        <v>0.02</v>
      </c>
      <c r="T311" s="397">
        <v>0.43</v>
      </c>
      <c r="U311" s="397">
        <v>0.08</v>
      </c>
      <c r="V311" s="397">
        <v>0.99</v>
      </c>
    </row>
    <row r="312" spans="1:22" s="400" customFormat="1" x14ac:dyDescent="0.25">
      <c r="A312" s="576">
        <v>901009</v>
      </c>
      <c r="B312" s="401" t="str">
        <f t="shared" si="9"/>
        <v>-17,99/+16,16  (EC  18)</v>
      </c>
      <c r="C312" s="405"/>
      <c r="D312" s="397">
        <v>3.21</v>
      </c>
      <c r="E312" s="397">
        <v>1.8</v>
      </c>
      <c r="F312" s="406">
        <v>4.0199999999999996</v>
      </c>
      <c r="G312" s="397">
        <v>0.01</v>
      </c>
      <c r="H312" s="397">
        <v>0.06</v>
      </c>
      <c r="I312" s="399">
        <v>128.16999999999999</v>
      </c>
      <c r="J312" s="397">
        <v>595</v>
      </c>
      <c r="K312" s="41">
        <f>55.7*3.06</f>
        <v>170.44200000000001</v>
      </c>
      <c r="L312" s="42">
        <f>(0.5-0.1)*24</f>
        <v>9.6000000000000014</v>
      </c>
      <c r="M312" s="397">
        <v>0.01</v>
      </c>
      <c r="N312" s="397">
        <v>188.34</v>
      </c>
      <c r="O312" s="397">
        <v>89.9</v>
      </c>
      <c r="P312" s="397">
        <v>102.75</v>
      </c>
      <c r="Q312" s="397">
        <v>27.31</v>
      </c>
      <c r="R312" s="397">
        <v>1.97</v>
      </c>
      <c r="S312" s="397">
        <v>1E-4</v>
      </c>
      <c r="T312" s="397">
        <v>1E-4</v>
      </c>
      <c r="U312" s="397">
        <v>0.21</v>
      </c>
      <c r="V312" s="34">
        <v>1.0000000000000001E-5</v>
      </c>
    </row>
    <row r="313" spans="1:22" s="400" customFormat="1" x14ac:dyDescent="0.25">
      <c r="A313" s="577">
        <v>900023</v>
      </c>
      <c r="B313" s="447" t="str">
        <f t="shared" ref="B313:B338" si="10">"-"&amp;TEXT((F313/62+G313/46+I313/35.5+J313/48+K313/97+L313/61),"0,00")&amp;"/+"&amp;TEXT((N313/39+O313/23+P313/20+Q313/12+H313/14),"0,00")&amp;"  (EC  "&amp;E313*10&amp;")"</f>
        <v>-25,98/+26,59  (EC  26,3)</v>
      </c>
      <c r="C313" s="448"/>
      <c r="D313" s="447">
        <v>7.6</v>
      </c>
      <c r="E313" s="447">
        <v>2.63</v>
      </c>
      <c r="F313" s="449">
        <v>17.43</v>
      </c>
      <c r="G313" s="447">
        <v>0.01</v>
      </c>
      <c r="H313" s="447">
        <v>7.0000000000000007E-2</v>
      </c>
      <c r="I313" s="834">
        <v>132.72999999999999</v>
      </c>
      <c r="J313" s="447">
        <f>116.9*8</f>
        <v>935.2</v>
      </c>
      <c r="K313" s="449">
        <f>0*3.06</f>
        <v>0</v>
      </c>
      <c r="L313" s="449">
        <f>(6.4-0.1)*24</f>
        <v>151.20000000000002</v>
      </c>
      <c r="M313" s="449">
        <v>0.01</v>
      </c>
      <c r="N313" s="449">
        <v>2.99</v>
      </c>
      <c r="O313" s="449">
        <v>88.7</v>
      </c>
      <c r="P313" s="447">
        <v>306.75</v>
      </c>
      <c r="Q313" s="447">
        <v>87.78</v>
      </c>
      <c r="R313" s="447">
        <v>0.11</v>
      </c>
      <c r="S313" s="447">
        <v>1.0000000000000001E-5</v>
      </c>
      <c r="T313" s="447">
        <v>1E-4</v>
      </c>
      <c r="U313" s="447">
        <v>0.05</v>
      </c>
      <c r="V313" s="34">
        <v>1.0000000000000001E-5</v>
      </c>
    </row>
    <row r="314" spans="1:22" s="400" customFormat="1" x14ac:dyDescent="0.25">
      <c r="A314" s="577">
        <v>900024</v>
      </c>
      <c r="B314" s="447" t="str">
        <f t="shared" si="10"/>
        <v>-25,57/+25,42  (EC  26)</v>
      </c>
      <c r="C314" s="448"/>
      <c r="D314" s="447">
        <v>8.08</v>
      </c>
      <c r="E314" s="447">
        <v>2.6</v>
      </c>
      <c r="F314" s="449">
        <v>16.91</v>
      </c>
      <c r="G314" s="447">
        <v>0.01</v>
      </c>
      <c r="H314" s="447">
        <v>0.06</v>
      </c>
      <c r="I314" s="834">
        <v>125.13</v>
      </c>
      <c r="J314" s="447">
        <f>116*8</f>
        <v>928</v>
      </c>
      <c r="K314" s="449">
        <f>0.01*3.06</f>
        <v>3.0600000000000002E-2</v>
      </c>
      <c r="L314" s="449">
        <f>(6.3-0.1)*24</f>
        <v>148.80000000000001</v>
      </c>
      <c r="M314" s="449">
        <v>0.01</v>
      </c>
      <c r="N314" s="449">
        <v>3.16</v>
      </c>
      <c r="O314" s="449">
        <v>84.01</v>
      </c>
      <c r="P314" s="447">
        <v>287.18</v>
      </c>
      <c r="Q314" s="447">
        <v>87.86</v>
      </c>
      <c r="R314" s="447">
        <v>0.04</v>
      </c>
      <c r="S314" s="447">
        <v>1.0000000000000001E-5</v>
      </c>
      <c r="T314" s="447">
        <v>1E-4</v>
      </c>
      <c r="U314" s="447">
        <v>0.06</v>
      </c>
      <c r="V314" s="34">
        <v>1.0000000000000001E-5</v>
      </c>
    </row>
    <row r="315" spans="1:22" s="400" customFormat="1" x14ac:dyDescent="0.25">
      <c r="A315" s="577">
        <v>900025</v>
      </c>
      <c r="B315" s="447" t="str">
        <f t="shared" si="10"/>
        <v>-11,88/+11,99  (EC  11,1)</v>
      </c>
      <c r="C315" s="448"/>
      <c r="D315" s="447">
        <v>8.0399999999999991</v>
      </c>
      <c r="E315" s="447">
        <v>1.1100000000000001</v>
      </c>
      <c r="F315" s="449">
        <v>95.06</v>
      </c>
      <c r="G315" s="447">
        <v>0.01</v>
      </c>
      <c r="H315" s="447">
        <v>0.06</v>
      </c>
      <c r="I315" s="834">
        <v>115.28</v>
      </c>
      <c r="J315" s="447">
        <v>48.2</v>
      </c>
      <c r="K315" s="449">
        <f>0*3.06</f>
        <v>0</v>
      </c>
      <c r="L315" s="449">
        <f>(15.6-0.1)*24</f>
        <v>372</v>
      </c>
      <c r="M315" s="449">
        <v>0.01</v>
      </c>
      <c r="N315" s="449">
        <v>0.88</v>
      </c>
      <c r="O315" s="449">
        <v>10.18</v>
      </c>
      <c r="P315" s="447">
        <v>111.73</v>
      </c>
      <c r="Q315" s="447">
        <v>71.25</v>
      </c>
      <c r="R315" s="447">
        <v>1.0000000000000001E-5</v>
      </c>
      <c r="S315" s="447">
        <v>1.0000000000000001E-5</v>
      </c>
      <c r="T315" s="447">
        <v>1E-4</v>
      </c>
      <c r="U315" s="447">
        <v>1E-4</v>
      </c>
      <c r="V315" s="34">
        <v>1.0000000000000001E-5</v>
      </c>
    </row>
    <row r="316" spans="1:22" s="400" customFormat="1" x14ac:dyDescent="0.25">
      <c r="A316" s="577">
        <v>900026</v>
      </c>
      <c r="B316" s="447" t="str">
        <f t="shared" si="10"/>
        <v>-14,10/+13,47  (EC  13)</v>
      </c>
      <c r="C316" s="448"/>
      <c r="D316" s="447">
        <v>7.82</v>
      </c>
      <c r="E316" s="447">
        <v>1.3</v>
      </c>
      <c r="F316" s="449">
        <v>91.62</v>
      </c>
      <c r="G316" s="447">
        <v>0.01</v>
      </c>
      <c r="H316" s="447">
        <v>0.09</v>
      </c>
      <c r="I316" s="834">
        <v>197.52</v>
      </c>
      <c r="J316" s="447">
        <v>83.6</v>
      </c>
      <c r="K316" s="449">
        <f>0.09*3.06</f>
        <v>0.27539999999999998</v>
      </c>
      <c r="L316" s="449">
        <f>(13.6-0.1)*24</f>
        <v>324</v>
      </c>
      <c r="M316" s="449">
        <v>0.01</v>
      </c>
      <c r="N316" s="449">
        <v>2.16</v>
      </c>
      <c r="O316" s="449">
        <v>27.05</v>
      </c>
      <c r="P316" s="447">
        <v>132.29</v>
      </c>
      <c r="Q316" s="447">
        <v>67.41</v>
      </c>
      <c r="R316" s="447">
        <v>1.0000000000000001E-5</v>
      </c>
      <c r="S316" s="447">
        <v>1.0000000000000001E-5</v>
      </c>
      <c r="T316" s="447">
        <v>1E-4</v>
      </c>
      <c r="U316" s="447">
        <v>0.03</v>
      </c>
      <c r="V316" s="34">
        <v>1.0000000000000001E-5</v>
      </c>
    </row>
    <row r="317" spans="1:22" s="400" customFormat="1" x14ac:dyDescent="0.25">
      <c r="A317" s="577">
        <v>900027</v>
      </c>
      <c r="B317" s="447" t="str">
        <f t="shared" si="10"/>
        <v>-7,03/+7,10  (EC  6)</v>
      </c>
      <c r="C317" s="448"/>
      <c r="D317" s="447">
        <v>7.69</v>
      </c>
      <c r="E317" s="447">
        <v>0.6</v>
      </c>
      <c r="F317" s="449">
        <v>50.03</v>
      </c>
      <c r="G317" s="447">
        <v>0.01</v>
      </c>
      <c r="H317" s="447">
        <v>0.4</v>
      </c>
      <c r="I317" s="834">
        <v>25.34</v>
      </c>
      <c r="J317" s="447">
        <v>9.3000000000000007</v>
      </c>
      <c r="K317" s="449">
        <f>0*3.06</f>
        <v>0</v>
      </c>
      <c r="L317" s="449">
        <f>(13.6-0.1)*24</f>
        <v>324</v>
      </c>
      <c r="M317" s="449">
        <v>0.01</v>
      </c>
      <c r="N317" s="449">
        <v>3.05</v>
      </c>
      <c r="O317" s="449">
        <v>13.07</v>
      </c>
      <c r="P317" s="447">
        <v>69.900000000000006</v>
      </c>
      <c r="Q317" s="447">
        <v>35.130000000000003</v>
      </c>
      <c r="R317" s="447">
        <v>0.06</v>
      </c>
      <c r="S317" s="447">
        <v>1.0000000000000001E-5</v>
      </c>
      <c r="T317" s="447">
        <v>1E-4</v>
      </c>
      <c r="U317" s="447">
        <v>1E-3</v>
      </c>
      <c r="V317" s="34">
        <v>1.0000000000000001E-5</v>
      </c>
    </row>
    <row r="318" spans="1:22" s="400" customFormat="1" x14ac:dyDescent="0.25">
      <c r="A318" s="577">
        <v>900028</v>
      </c>
      <c r="B318" s="447" t="str">
        <f t="shared" si="10"/>
        <v>-9,10/+8,74  (EC  8,6)</v>
      </c>
      <c r="C318" s="448"/>
      <c r="D318" s="447">
        <v>7.72</v>
      </c>
      <c r="E318" s="447">
        <v>0.86</v>
      </c>
      <c r="F318" s="449">
        <v>93.68</v>
      </c>
      <c r="G318" s="447">
        <v>0.01</v>
      </c>
      <c r="H318" s="447">
        <v>0.02</v>
      </c>
      <c r="I318" s="834">
        <v>58.2</v>
      </c>
      <c r="J318" s="447">
        <v>117.6</v>
      </c>
      <c r="K318" s="449">
        <f>0*3.06</f>
        <v>0</v>
      </c>
      <c r="L318" s="449">
        <f>(9-0.1)*24</f>
        <v>213.60000000000002</v>
      </c>
      <c r="M318" s="449">
        <v>0.01</v>
      </c>
      <c r="N318" s="449">
        <v>0.42</v>
      </c>
      <c r="O318" s="449">
        <v>22.47</v>
      </c>
      <c r="P318" s="447">
        <v>93.26</v>
      </c>
      <c r="Q318" s="447">
        <v>37.049999999999997</v>
      </c>
      <c r="R318" s="447">
        <v>0.15</v>
      </c>
      <c r="S318" s="447">
        <v>1.0000000000000001E-5</v>
      </c>
      <c r="T318" s="447">
        <v>1E-4</v>
      </c>
      <c r="U318" s="447">
        <v>1E-4</v>
      </c>
      <c r="V318" s="34">
        <v>1.0000000000000001E-5</v>
      </c>
    </row>
    <row r="319" spans="1:22" s="400" customFormat="1" x14ac:dyDescent="0.25">
      <c r="A319" s="577">
        <v>900029</v>
      </c>
      <c r="B319" s="447" t="str">
        <f t="shared" si="10"/>
        <v>-50,83/+52,25  (EC  51)</v>
      </c>
      <c r="C319" s="448"/>
      <c r="D319" s="447">
        <v>7.22</v>
      </c>
      <c r="E319" s="447">
        <v>5.0999999999999996</v>
      </c>
      <c r="F319" s="449">
        <f>88.89</f>
        <v>88.89</v>
      </c>
      <c r="G319" s="447">
        <v>0.01</v>
      </c>
      <c r="H319" s="447">
        <v>7.0000000000000007E-2</v>
      </c>
      <c r="I319" s="834">
        <v>890.69</v>
      </c>
      <c r="J319" s="447">
        <v>602</v>
      </c>
      <c r="K319" s="449">
        <f>0*3.06</f>
        <v>0</v>
      </c>
      <c r="L319" s="449">
        <f>(30-0.1)*24</f>
        <v>717.59999999999991</v>
      </c>
      <c r="M319" s="449">
        <v>0.01</v>
      </c>
      <c r="N319" s="449">
        <v>2.27</v>
      </c>
      <c r="O319" s="449">
        <v>496.76</v>
      </c>
      <c r="P319" s="447">
        <v>363.1</v>
      </c>
      <c r="Q319" s="447">
        <v>149.25</v>
      </c>
      <c r="R319" s="447">
        <v>1E-4</v>
      </c>
      <c r="S319" s="447">
        <v>1.0000000000000001E-5</v>
      </c>
      <c r="T319" s="447">
        <v>1E-4</v>
      </c>
      <c r="U319" s="447">
        <v>1E-4</v>
      </c>
      <c r="V319" s="34">
        <v>1.0000000000000001E-5</v>
      </c>
    </row>
    <row r="320" spans="1:22" s="400" customFormat="1" x14ac:dyDescent="0.25">
      <c r="A320" s="576">
        <v>900031</v>
      </c>
      <c r="B320" s="447" t="str">
        <f t="shared" si="10"/>
        <v>-12,31/+12,39  (EC  11,7)</v>
      </c>
      <c r="C320" s="405"/>
      <c r="D320" s="397">
        <v>7.7</v>
      </c>
      <c r="E320" s="397">
        <v>1.17</v>
      </c>
      <c r="F320" s="406">
        <v>85.62</v>
      </c>
      <c r="G320" s="397">
        <v>0.01</v>
      </c>
      <c r="H320" s="397">
        <v>0.11</v>
      </c>
      <c r="I320" s="399">
        <v>185.72</v>
      </c>
      <c r="J320" s="397">
        <v>26.3</v>
      </c>
      <c r="K320" s="397">
        <v>0.01</v>
      </c>
      <c r="L320" s="406">
        <v>314.39999999999998</v>
      </c>
      <c r="M320" s="397">
        <v>0.01</v>
      </c>
      <c r="N320" s="397">
        <v>2.69</v>
      </c>
      <c r="O320" s="397">
        <v>68.95</v>
      </c>
      <c r="P320" s="397">
        <v>131.19999999999999</v>
      </c>
      <c r="Q320" s="397">
        <v>33.020000000000003</v>
      </c>
      <c r="R320" s="450">
        <v>1E-4</v>
      </c>
      <c r="S320" s="450">
        <v>1E-4</v>
      </c>
      <c r="T320" s="450">
        <v>1E-4</v>
      </c>
      <c r="U320" s="450">
        <v>1.0000000000000001E-5</v>
      </c>
      <c r="V320" s="34">
        <v>1.0000000000000001E-5</v>
      </c>
    </row>
    <row r="321" spans="1:22" s="400" customFormat="1" x14ac:dyDescent="0.25">
      <c r="A321" s="576">
        <v>900032</v>
      </c>
      <c r="B321" s="447" t="str">
        <f t="shared" si="10"/>
        <v>-32,31/+32,48  (EC  31,2)</v>
      </c>
      <c r="C321" s="405"/>
      <c r="D321" s="397">
        <v>7.72</v>
      </c>
      <c r="E321" s="397">
        <v>3.12</v>
      </c>
      <c r="F321" s="406">
        <v>83.93</v>
      </c>
      <c r="G321" s="397">
        <v>0.01</v>
      </c>
      <c r="H321" s="397">
        <v>0.09</v>
      </c>
      <c r="I321" s="399">
        <v>643.75</v>
      </c>
      <c r="J321" s="397">
        <v>381</v>
      </c>
      <c r="K321" s="397">
        <v>0.15300000000000002</v>
      </c>
      <c r="L321" s="406">
        <v>297.60000000000002</v>
      </c>
      <c r="M321" s="397">
        <v>0.01</v>
      </c>
      <c r="N321" s="397">
        <v>4.55</v>
      </c>
      <c r="O321" s="397">
        <v>442.77</v>
      </c>
      <c r="P321" s="397">
        <v>178.91</v>
      </c>
      <c r="Q321" s="397">
        <v>49.88</v>
      </c>
      <c r="R321" s="34">
        <v>1.0000000000000001E-5</v>
      </c>
      <c r="S321" s="34">
        <v>1.0000000000000001E-5</v>
      </c>
      <c r="T321" s="34">
        <v>1.0000000000000001E-5</v>
      </c>
      <c r="U321" s="34">
        <v>1.0000000000000001E-5</v>
      </c>
      <c r="V321" s="34">
        <v>1.0000000000000001E-5</v>
      </c>
    </row>
    <row r="322" spans="1:22" s="400" customFormat="1" x14ac:dyDescent="0.25">
      <c r="A322" s="576">
        <v>900033</v>
      </c>
      <c r="B322" s="447" t="str">
        <f t="shared" si="10"/>
        <v>-37,97/+36,77  (EC  35,3)</v>
      </c>
      <c r="C322" s="405"/>
      <c r="D322" s="397">
        <v>7.88</v>
      </c>
      <c r="E322" s="397">
        <v>3.53</v>
      </c>
      <c r="F322" s="406">
        <v>54.45</v>
      </c>
      <c r="G322" s="397">
        <v>0.01</v>
      </c>
      <c r="H322" s="397">
        <v>0.31</v>
      </c>
      <c r="I322" s="399">
        <v>838.9</v>
      </c>
      <c r="J322" s="397">
        <v>429</v>
      </c>
      <c r="K322" s="397">
        <v>3.0600000000000002E-2</v>
      </c>
      <c r="L322" s="406">
        <v>276</v>
      </c>
      <c r="M322" s="397">
        <v>0.01</v>
      </c>
      <c r="N322" s="397">
        <v>5.58</v>
      </c>
      <c r="O322" s="397">
        <v>397.96</v>
      </c>
      <c r="P322" s="397">
        <v>269.67</v>
      </c>
      <c r="Q322" s="397">
        <v>69.83</v>
      </c>
      <c r="R322" s="34">
        <v>1.0000000000000001E-5</v>
      </c>
      <c r="S322" s="34">
        <v>1.0000000000000001E-5</v>
      </c>
      <c r="T322" s="34">
        <v>1.0000000000000001E-5</v>
      </c>
      <c r="U322" s="34">
        <v>1.0000000000000001E-5</v>
      </c>
      <c r="V322" s="34">
        <v>1.0000000000000001E-5</v>
      </c>
    </row>
    <row r="323" spans="1:22" s="400" customFormat="1" x14ac:dyDescent="0.25">
      <c r="A323" s="576">
        <v>900034</v>
      </c>
      <c r="B323" s="447" t="str">
        <f t="shared" si="10"/>
        <v>-45,62/+48,09  (EC  48,2)</v>
      </c>
      <c r="C323" s="405"/>
      <c r="D323" s="397">
        <v>7.67</v>
      </c>
      <c r="E323" s="397">
        <v>4.82</v>
      </c>
      <c r="F323" s="406">
        <v>67.745999999999995</v>
      </c>
      <c r="G323" s="397">
        <v>0.01</v>
      </c>
      <c r="H323" s="397">
        <v>0.09</v>
      </c>
      <c r="I323" s="399">
        <v>899.59999999999991</v>
      </c>
      <c r="J323" s="397">
        <v>677.5</v>
      </c>
      <c r="K323" s="397">
        <v>3.0600000000000002E-2</v>
      </c>
      <c r="L323" s="406">
        <v>309.60000000000002</v>
      </c>
      <c r="M323" s="397">
        <v>0.01</v>
      </c>
      <c r="N323" s="397">
        <v>6.28</v>
      </c>
      <c r="O323" s="397">
        <v>474.9</v>
      </c>
      <c r="P323" s="397">
        <v>408.92</v>
      </c>
      <c r="Q323" s="397">
        <v>81.99</v>
      </c>
      <c r="R323" s="34">
        <v>1.0000000000000001E-5</v>
      </c>
      <c r="S323" s="34">
        <v>1.0000000000000001E-5</v>
      </c>
      <c r="T323" s="34">
        <v>1.0000000000000001E-5</v>
      </c>
      <c r="U323" s="34">
        <v>1.0000000000000001E-5</v>
      </c>
      <c r="V323" s="34">
        <v>1.0000000000000001E-5</v>
      </c>
    </row>
    <row r="324" spans="1:22" s="400" customFormat="1" x14ac:dyDescent="0.25">
      <c r="A324" s="576">
        <v>900035</v>
      </c>
      <c r="B324" s="447" t="str">
        <f t="shared" si="10"/>
        <v>-5,96/+5,75  (EC  5,4)</v>
      </c>
      <c r="C324" s="405"/>
      <c r="D324" s="397">
        <v>8.08</v>
      </c>
      <c r="E324" s="397">
        <v>0.54</v>
      </c>
      <c r="F324" s="406">
        <v>55.72</v>
      </c>
      <c r="G324" s="397">
        <v>0.01</v>
      </c>
      <c r="H324" s="397">
        <v>0.09</v>
      </c>
      <c r="I324" s="399">
        <v>47.14</v>
      </c>
      <c r="J324" s="397">
        <v>22.2</v>
      </c>
      <c r="K324" s="397">
        <v>9.1799999999999993E-2</v>
      </c>
      <c r="L324" s="406">
        <v>199.20000000000002</v>
      </c>
      <c r="M324" s="397">
        <v>0.01</v>
      </c>
      <c r="N324" s="397">
        <v>0.8</v>
      </c>
      <c r="O324" s="397">
        <v>40.119999999999997</v>
      </c>
      <c r="P324" s="397">
        <v>43.76</v>
      </c>
      <c r="Q324" s="397">
        <v>21.54</v>
      </c>
      <c r="R324" s="34">
        <v>1.0000000000000001E-5</v>
      </c>
      <c r="S324" s="34">
        <v>1.0000000000000001E-5</v>
      </c>
      <c r="T324" s="34">
        <v>1.0000000000000001E-5</v>
      </c>
      <c r="U324" s="34">
        <v>1.0000000000000001E-5</v>
      </c>
      <c r="V324" s="34">
        <v>1.0000000000000001E-5</v>
      </c>
    </row>
    <row r="325" spans="1:22" s="400" customFormat="1" x14ac:dyDescent="0.25">
      <c r="A325" s="576">
        <v>900036</v>
      </c>
      <c r="B325" s="447" t="str">
        <f t="shared" si="10"/>
        <v>-39,91/+38,92  (EC  38,8)</v>
      </c>
      <c r="C325" s="405"/>
      <c r="D325" s="397">
        <v>7.52</v>
      </c>
      <c r="E325" s="397">
        <v>3.88</v>
      </c>
      <c r="F325" s="406">
        <v>1E-4</v>
      </c>
      <c r="G325" s="397">
        <v>0.01</v>
      </c>
      <c r="H325" s="397">
        <v>0.1</v>
      </c>
      <c r="I325" s="399">
        <v>241.31</v>
      </c>
      <c r="J325" s="397">
        <v>1425</v>
      </c>
      <c r="K325" s="397">
        <v>3.0600000000000002E-2</v>
      </c>
      <c r="L325" s="406">
        <v>208.8</v>
      </c>
      <c r="M325" s="397">
        <v>0.01</v>
      </c>
      <c r="N325" s="397">
        <v>16.41</v>
      </c>
      <c r="O325" s="397">
        <v>255.05</v>
      </c>
      <c r="P325" s="397">
        <v>320.58999999999997</v>
      </c>
      <c r="Q325" s="397">
        <v>136.49</v>
      </c>
      <c r="R325" s="450">
        <v>7.0000000000000007E-2</v>
      </c>
      <c r="S325" s="450">
        <v>1E-4</v>
      </c>
      <c r="T325" s="450">
        <v>7.0000000000000007E-2</v>
      </c>
      <c r="U325" s="450">
        <v>0.36</v>
      </c>
      <c r="V325" s="34">
        <v>1.0000000000000001E-5</v>
      </c>
    </row>
    <row r="326" spans="1:22" s="400" customFormat="1" x14ac:dyDescent="0.25">
      <c r="A326" s="576">
        <v>900037</v>
      </c>
      <c r="B326" s="447" t="str">
        <f t="shared" si="10"/>
        <v>-36,39/+38,39  (EC  36,2)</v>
      </c>
      <c r="C326" s="405"/>
      <c r="D326" s="397">
        <v>7.61</v>
      </c>
      <c r="E326" s="397">
        <v>3.62</v>
      </c>
      <c r="F326" s="406">
        <v>2.2000000000000002</v>
      </c>
      <c r="G326" s="397">
        <v>0.01</v>
      </c>
      <c r="H326" s="397">
        <v>0.09</v>
      </c>
      <c r="I326" s="399">
        <v>290.36</v>
      </c>
      <c r="J326" s="34">
        <v>1158</v>
      </c>
      <c r="K326" s="397">
        <v>0.01</v>
      </c>
      <c r="L326" s="406">
        <v>247.20000000000002</v>
      </c>
      <c r="M326" s="397">
        <v>0.01</v>
      </c>
      <c r="N326" s="397">
        <v>10.55</v>
      </c>
      <c r="O326" s="397">
        <v>220.07</v>
      </c>
      <c r="P326" s="397">
        <v>341.55</v>
      </c>
      <c r="Q326" s="397">
        <v>137.57</v>
      </c>
      <c r="R326" s="450">
        <v>0.09</v>
      </c>
      <c r="S326" s="450">
        <v>1E-4</v>
      </c>
      <c r="T326" s="450">
        <v>1E-4</v>
      </c>
      <c r="U326" s="450">
        <v>0.11</v>
      </c>
      <c r="V326" s="34">
        <v>1.0000000000000001E-5</v>
      </c>
    </row>
    <row r="327" spans="1:22" s="400" customFormat="1" x14ac:dyDescent="0.25">
      <c r="A327" s="576">
        <v>900038</v>
      </c>
      <c r="B327" s="447" t="str">
        <f t="shared" si="10"/>
        <v>-12,43/+11,47  (EC  11,5)</v>
      </c>
      <c r="C327" s="405"/>
      <c r="D327" s="397">
        <v>7.78</v>
      </c>
      <c r="E327" s="397">
        <v>1.1499999999999999</v>
      </c>
      <c r="F327" s="406">
        <v>71.12</v>
      </c>
      <c r="G327" s="397">
        <v>0.01</v>
      </c>
      <c r="H327" s="397">
        <v>0.08</v>
      </c>
      <c r="I327" s="399">
        <v>192.08</v>
      </c>
      <c r="J327" s="397">
        <v>102.2</v>
      </c>
      <c r="K327" s="397">
        <v>0.18359999999999999</v>
      </c>
      <c r="L327" s="406">
        <v>228</v>
      </c>
      <c r="M327" s="397">
        <v>0.01</v>
      </c>
      <c r="N327" s="397">
        <v>1.21</v>
      </c>
      <c r="O327" s="397">
        <v>48.4</v>
      </c>
      <c r="P327" s="397">
        <v>100.62</v>
      </c>
      <c r="Q327" s="397">
        <v>51.59</v>
      </c>
      <c r="R327" s="450">
        <v>1E-4</v>
      </c>
      <c r="S327" s="450">
        <v>1E-4</v>
      </c>
      <c r="T327" s="450">
        <v>1E-4</v>
      </c>
      <c r="U327" s="450">
        <v>7.0000000000000007E-2</v>
      </c>
      <c r="V327" s="34">
        <v>1.0000000000000001E-5</v>
      </c>
    </row>
    <row r="328" spans="1:22" s="400" customFormat="1" x14ac:dyDescent="0.25">
      <c r="A328" s="576">
        <v>900044</v>
      </c>
      <c r="B328" s="447" t="str">
        <f t="shared" si="10"/>
        <v>-4,10/+4,21  (EC  4,3)</v>
      </c>
      <c r="C328" s="405"/>
      <c r="D328" s="397">
        <v>7.59</v>
      </c>
      <c r="E328" s="397">
        <v>0.43</v>
      </c>
      <c r="F328" s="406">
        <v>31.06</v>
      </c>
      <c r="G328" s="397">
        <v>0.01</v>
      </c>
      <c r="H328" s="397">
        <v>1.42</v>
      </c>
      <c r="I328" s="399">
        <v>40.86</v>
      </c>
      <c r="J328" s="397">
        <v>3.6</v>
      </c>
      <c r="K328" s="399">
        <v>20.349</v>
      </c>
      <c r="L328" s="397">
        <v>132</v>
      </c>
      <c r="M328" s="397">
        <v>0.01</v>
      </c>
      <c r="N328" s="397">
        <v>11.7</v>
      </c>
      <c r="O328" s="397">
        <v>24.43</v>
      </c>
      <c r="P328" s="397">
        <v>47.41</v>
      </c>
      <c r="Q328" s="397">
        <v>4.49</v>
      </c>
      <c r="R328" s="450">
        <v>1E-4</v>
      </c>
      <c r="S328" s="450">
        <v>1E-4</v>
      </c>
      <c r="T328" s="450">
        <v>1E-4</v>
      </c>
      <c r="U328" s="450">
        <v>1E-4</v>
      </c>
      <c r="V328" s="34">
        <v>1.0000000000000001E-5</v>
      </c>
    </row>
    <row r="329" spans="1:22" s="400" customFormat="1" x14ac:dyDescent="0.25">
      <c r="A329" s="576">
        <v>900045</v>
      </c>
      <c r="B329" s="447" t="str">
        <f t="shared" si="10"/>
        <v>-2,77/+2,87  (EC  2,8)</v>
      </c>
      <c r="C329" s="405"/>
      <c r="D329" s="397">
        <v>7.98</v>
      </c>
      <c r="E329" s="397">
        <v>0.28000000000000003</v>
      </c>
      <c r="F329" s="406">
        <v>22.64</v>
      </c>
      <c r="G329" s="397">
        <v>0.01</v>
      </c>
      <c r="H329" s="397">
        <v>0.08</v>
      </c>
      <c r="I329" s="399">
        <v>20.399999999999999</v>
      </c>
      <c r="J329" s="397">
        <v>1</v>
      </c>
      <c r="K329" s="399">
        <v>3.0600000000000002E-2</v>
      </c>
      <c r="L329" s="397">
        <v>110.4</v>
      </c>
      <c r="M329" s="397">
        <v>0.01</v>
      </c>
      <c r="N329" s="397">
        <v>0.5</v>
      </c>
      <c r="O329" s="397">
        <v>14.58</v>
      </c>
      <c r="P329" s="397">
        <v>37</v>
      </c>
      <c r="Q329" s="397">
        <v>4.41</v>
      </c>
      <c r="R329" s="34">
        <v>1.0000000000000001E-5</v>
      </c>
      <c r="S329" s="34">
        <v>1.0000000000000001E-5</v>
      </c>
      <c r="T329" s="34">
        <v>1.0000000000000001E-5</v>
      </c>
      <c r="U329" s="34">
        <v>1.0000000000000001E-5</v>
      </c>
      <c r="V329" s="34">
        <v>1.0000000000000001E-5</v>
      </c>
    </row>
    <row r="330" spans="1:22" s="400" customFormat="1" x14ac:dyDescent="0.25">
      <c r="A330" s="576">
        <v>900046</v>
      </c>
      <c r="B330" s="447" t="str">
        <f t="shared" si="10"/>
        <v>-10,03/+10,48  (EC  9,9)</v>
      </c>
      <c r="C330" s="405"/>
      <c r="D330" s="397">
        <v>7.65</v>
      </c>
      <c r="E330" s="397">
        <v>0.99</v>
      </c>
      <c r="F330" s="406">
        <v>94.68</v>
      </c>
      <c r="G330" s="397">
        <v>0.01</v>
      </c>
      <c r="H330" s="397">
        <v>0.09</v>
      </c>
      <c r="I330" s="399">
        <v>91.6</v>
      </c>
      <c r="J330" s="397">
        <v>25.5</v>
      </c>
      <c r="K330" s="399">
        <v>0.15300000000000002</v>
      </c>
      <c r="L330" s="397">
        <v>328.8</v>
      </c>
      <c r="M330" s="397">
        <v>0.01</v>
      </c>
      <c r="N330" s="397">
        <v>0.44</v>
      </c>
      <c r="O330" s="397">
        <v>52</v>
      </c>
      <c r="P330" s="397">
        <v>125.41</v>
      </c>
      <c r="Q330" s="397">
        <v>23.15</v>
      </c>
      <c r="R330" s="450">
        <v>1E-4</v>
      </c>
      <c r="S330" s="450">
        <v>1E-4</v>
      </c>
      <c r="T330" s="450">
        <v>1.0000000000000001E-5</v>
      </c>
      <c r="U330" s="450">
        <v>1E-4</v>
      </c>
      <c r="V330" s="34">
        <v>1.0000000000000001E-5</v>
      </c>
    </row>
    <row r="331" spans="1:22" s="400" customFormat="1" x14ac:dyDescent="0.25">
      <c r="A331" s="576">
        <v>900047</v>
      </c>
      <c r="B331" s="447" t="str">
        <f t="shared" si="10"/>
        <v>-10,96/+10,48  (EC  9,6)</v>
      </c>
      <c r="C331" s="405"/>
      <c r="D331" s="397">
        <v>8.0399999999999991</v>
      </c>
      <c r="E331" s="397">
        <v>0.96</v>
      </c>
      <c r="F331" s="406">
        <v>19.87</v>
      </c>
      <c r="G331" s="397">
        <v>0.01</v>
      </c>
      <c r="H331" s="397">
        <v>0.11</v>
      </c>
      <c r="I331" s="399">
        <v>99.85</v>
      </c>
      <c r="J331" s="397">
        <v>109.3</v>
      </c>
      <c r="K331" s="399">
        <v>3.0600000000000002E-2</v>
      </c>
      <c r="L331" s="397">
        <v>338.4</v>
      </c>
      <c r="M331" s="397">
        <v>0.01</v>
      </c>
      <c r="N331" s="397">
        <v>2.4900000000000002</v>
      </c>
      <c r="O331" s="397">
        <v>42.73</v>
      </c>
      <c r="P331" s="397">
        <v>74.459999999999994</v>
      </c>
      <c r="Q331" s="397">
        <v>57.88</v>
      </c>
      <c r="R331" s="450">
        <v>1E-4</v>
      </c>
      <c r="S331" s="450">
        <v>1E-4</v>
      </c>
      <c r="T331" s="450">
        <v>1E-4</v>
      </c>
      <c r="U331" s="450">
        <v>0.04</v>
      </c>
      <c r="V331" s="34">
        <v>1.0000000000000001E-5</v>
      </c>
    </row>
    <row r="332" spans="1:22" s="400" customFormat="1" x14ac:dyDescent="0.25">
      <c r="A332" s="576">
        <v>901011</v>
      </c>
      <c r="B332" s="447" t="str">
        <f t="shared" si="10"/>
        <v>-7,16/+7,96  (EC  8,9)</v>
      </c>
      <c r="C332" s="405"/>
      <c r="D332" s="397">
        <v>7.19</v>
      </c>
      <c r="E332" s="397">
        <v>0.89</v>
      </c>
      <c r="F332" s="406">
        <v>71.260000000000005</v>
      </c>
      <c r="G332" s="397">
        <v>0.01</v>
      </c>
      <c r="H332" s="397">
        <v>3.28</v>
      </c>
      <c r="I332" s="399">
        <v>3.22</v>
      </c>
      <c r="J332" s="397">
        <f>28.6*5</f>
        <v>143</v>
      </c>
      <c r="K332" s="399">
        <f>4.56*3.06</f>
        <v>13.9536</v>
      </c>
      <c r="L332" s="397">
        <f>(7.2-0.1)*24</f>
        <v>170.4</v>
      </c>
      <c r="M332" s="397"/>
      <c r="N332" s="397">
        <v>64.819999999999993</v>
      </c>
      <c r="O332" s="397">
        <v>16.02</v>
      </c>
      <c r="P332" s="397">
        <v>67.260000000000005</v>
      </c>
      <c r="Q332" s="397">
        <v>24.04</v>
      </c>
      <c r="R332" s="397">
        <v>0.22</v>
      </c>
      <c r="S332" s="397">
        <v>1.0000000000000001E-5</v>
      </c>
      <c r="T332" s="397">
        <v>0.19</v>
      </c>
      <c r="U332" s="397">
        <v>0.16</v>
      </c>
      <c r="V332" s="397">
        <v>0.67</v>
      </c>
    </row>
    <row r="333" spans="1:22" s="400" customFormat="1" x14ac:dyDescent="0.25">
      <c r="A333" s="576">
        <v>900048</v>
      </c>
      <c r="B333" s="447" t="str">
        <f t="shared" si="10"/>
        <v>-9,80/+9,28  (EC  8,3)</v>
      </c>
      <c r="C333" s="405"/>
      <c r="D333" s="397">
        <v>7.58</v>
      </c>
      <c r="E333" s="397">
        <v>0.83</v>
      </c>
      <c r="F333" s="406">
        <v>43.25</v>
      </c>
      <c r="G333" s="397">
        <v>0.01</v>
      </c>
      <c r="H333" s="397">
        <v>0.01</v>
      </c>
      <c r="I333" s="399">
        <v>78.03</v>
      </c>
      <c r="J333" s="397">
        <v>40.5</v>
      </c>
      <c r="K333" s="399">
        <f>0.02*3.06</f>
        <v>6.1200000000000004E-2</v>
      </c>
      <c r="L333" s="397">
        <f>(15.5-0.1)*24</f>
        <v>369.6</v>
      </c>
      <c r="M333" s="397">
        <v>0.01</v>
      </c>
      <c r="N333" s="397">
        <v>1.53</v>
      </c>
      <c r="O333" s="397">
        <v>31.18</v>
      </c>
      <c r="P333" s="397">
        <v>82.29</v>
      </c>
      <c r="Q333" s="397">
        <v>45.24</v>
      </c>
      <c r="R333" s="450">
        <v>1E-4</v>
      </c>
      <c r="S333" s="450">
        <v>1E-4</v>
      </c>
      <c r="T333" s="450">
        <v>1E-4</v>
      </c>
      <c r="U333" s="450">
        <v>1E-4</v>
      </c>
      <c r="V333" s="450">
        <v>1E-4</v>
      </c>
    </row>
    <row r="334" spans="1:22" s="400" customFormat="1" x14ac:dyDescent="0.25">
      <c r="A334" s="576">
        <v>900049</v>
      </c>
      <c r="B334" s="447" t="str">
        <f t="shared" si="10"/>
        <v>-61,02/+60,37  (EC  59)</v>
      </c>
      <c r="C334" s="405"/>
      <c r="D334" s="397">
        <v>7.56</v>
      </c>
      <c r="E334" s="397">
        <v>5.9</v>
      </c>
      <c r="F334" s="406">
        <v>15.38</v>
      </c>
      <c r="G334" s="397">
        <v>0.01</v>
      </c>
      <c r="H334" s="397">
        <v>0.13</v>
      </c>
      <c r="I334" s="399">
        <v>1274</v>
      </c>
      <c r="J334" s="397">
        <v>998</v>
      </c>
      <c r="K334" s="399">
        <f>0.11*3.06</f>
        <v>0.33660000000000001</v>
      </c>
      <c r="L334" s="397">
        <f>(10.5-0.1)*24</f>
        <v>249.60000000000002</v>
      </c>
      <c r="M334" s="397">
        <v>0.01</v>
      </c>
      <c r="N334" s="397">
        <v>12.28</v>
      </c>
      <c r="O334" s="397">
        <v>553.41999999999996</v>
      </c>
      <c r="P334" s="397">
        <v>388.67</v>
      </c>
      <c r="Q334" s="397">
        <v>198.63</v>
      </c>
      <c r="R334" s="450">
        <v>1E-4</v>
      </c>
      <c r="S334" s="450">
        <v>1E-4</v>
      </c>
      <c r="T334" s="450">
        <v>1E-4</v>
      </c>
      <c r="U334" s="450">
        <v>1E-4</v>
      </c>
      <c r="V334" s="450">
        <v>1E-4</v>
      </c>
    </row>
    <row r="335" spans="1:22" s="400" customFormat="1" x14ac:dyDescent="0.25">
      <c r="A335" s="576">
        <v>900050</v>
      </c>
      <c r="B335" s="447" t="str">
        <f t="shared" si="10"/>
        <v>-27,83/+27,66  (EC  28)</v>
      </c>
      <c r="C335" s="405"/>
      <c r="D335" s="397">
        <v>7.69</v>
      </c>
      <c r="E335" s="397">
        <v>2.8</v>
      </c>
      <c r="F335" s="406">
        <v>44.87</v>
      </c>
      <c r="G335" s="397">
        <v>0.01</v>
      </c>
      <c r="H335" s="397">
        <v>0.01</v>
      </c>
      <c r="I335" s="399">
        <f>111.23*5</f>
        <v>556.15</v>
      </c>
      <c r="J335" s="397">
        <f>38.1*10</f>
        <v>381</v>
      </c>
      <c r="K335" s="399">
        <f>0.01*3.06</f>
        <v>3.0600000000000002E-2</v>
      </c>
      <c r="L335" s="397">
        <f>(9-0.1)*24</f>
        <v>213.60000000000002</v>
      </c>
      <c r="M335" s="397">
        <v>0.01</v>
      </c>
      <c r="N335" s="397">
        <v>1.94</v>
      </c>
      <c r="O335" s="397">
        <v>383.87</v>
      </c>
      <c r="P335" s="397">
        <v>88.61</v>
      </c>
      <c r="Q335" s="397">
        <v>77.819999999999993</v>
      </c>
      <c r="R335" s="450">
        <v>0.02</v>
      </c>
      <c r="S335" s="450">
        <v>1E-4</v>
      </c>
      <c r="T335" s="450">
        <v>1E-4</v>
      </c>
      <c r="U335" s="450">
        <v>1E-4</v>
      </c>
      <c r="V335" s="450">
        <v>1E-4</v>
      </c>
    </row>
    <row r="336" spans="1:22" s="400" customFormat="1" x14ac:dyDescent="0.25">
      <c r="A336" s="576">
        <v>900051</v>
      </c>
      <c r="B336" s="447" t="str">
        <f t="shared" si="10"/>
        <v>-32,41/+32,52  (EC  32,9)</v>
      </c>
      <c r="C336" s="405"/>
      <c r="D336" s="397">
        <v>7.65</v>
      </c>
      <c r="E336" s="397">
        <v>3.29</v>
      </c>
      <c r="F336" s="406">
        <v>58.64</v>
      </c>
      <c r="G336" s="397">
        <v>0.01</v>
      </c>
      <c r="H336" s="397">
        <v>0.02</v>
      </c>
      <c r="I336" s="399">
        <f>141.64*5</f>
        <v>708.19999999999993</v>
      </c>
      <c r="J336" s="397">
        <f>39.4*10</f>
        <v>394</v>
      </c>
      <c r="K336" s="399">
        <f>0*3.06</f>
        <v>0</v>
      </c>
      <c r="L336" s="397">
        <f>(8.5-0.1)*24</f>
        <v>201.60000000000002</v>
      </c>
      <c r="M336" s="397">
        <v>0.01</v>
      </c>
      <c r="N336" s="397">
        <v>2.14</v>
      </c>
      <c r="O336" s="397">
        <v>423.7</v>
      </c>
      <c r="P336" s="397">
        <v>116.02</v>
      </c>
      <c r="Q336" s="397">
        <v>98.9</v>
      </c>
      <c r="R336" s="450">
        <v>1E-4</v>
      </c>
      <c r="S336" s="450">
        <v>1E-4</v>
      </c>
      <c r="T336" s="450">
        <v>1E-4</v>
      </c>
      <c r="U336" s="450">
        <v>1E-4</v>
      </c>
      <c r="V336" s="450">
        <v>1E-4</v>
      </c>
    </row>
    <row r="337" spans="1:776" s="400" customFormat="1" x14ac:dyDescent="0.25">
      <c r="A337" s="578">
        <v>900052</v>
      </c>
      <c r="B337" s="447" t="str">
        <f t="shared" si="10"/>
        <v>-8,79/+8,88  (EC  8,1)</v>
      </c>
      <c r="C337" s="451"/>
      <c r="D337" s="451">
        <v>7.86</v>
      </c>
      <c r="E337" s="451">
        <v>0.81</v>
      </c>
      <c r="F337" s="451">
        <v>29.61</v>
      </c>
      <c r="G337" s="451">
        <v>0.01</v>
      </c>
      <c r="H337" s="451">
        <v>0.04</v>
      </c>
      <c r="I337" s="452">
        <v>68.040000000000006</v>
      </c>
      <c r="J337" s="451">
        <v>38.9</v>
      </c>
      <c r="K337" s="452">
        <f>0*3.06</f>
        <v>0</v>
      </c>
      <c r="L337" s="451">
        <f>(14.3-0.1)*24</f>
        <v>340.8</v>
      </c>
      <c r="M337" s="451">
        <v>0.01</v>
      </c>
      <c r="N337" s="451">
        <v>2.5099999999999998</v>
      </c>
      <c r="O337" s="451">
        <v>33.21</v>
      </c>
      <c r="P337" s="451">
        <v>74.97</v>
      </c>
      <c r="Q337" s="451">
        <v>43.4</v>
      </c>
      <c r="R337" s="451">
        <v>0.02</v>
      </c>
      <c r="S337" s="451">
        <v>1E-4</v>
      </c>
      <c r="T337" s="451">
        <v>1E-4</v>
      </c>
      <c r="U337" s="451">
        <v>0.02</v>
      </c>
      <c r="V337" s="450">
        <v>1E-4</v>
      </c>
    </row>
    <row r="338" spans="1:776" s="400" customFormat="1" x14ac:dyDescent="0.25">
      <c r="A338" s="578">
        <v>900053</v>
      </c>
      <c r="B338" s="447" t="str">
        <f t="shared" si="10"/>
        <v>-46,66/+44,75  (EC  45,1)</v>
      </c>
      <c r="C338" s="451"/>
      <c r="D338" s="451">
        <v>7.52</v>
      </c>
      <c r="E338" s="451">
        <v>4.51</v>
      </c>
      <c r="F338" s="451">
        <v>0.76</v>
      </c>
      <c r="G338" s="451">
        <v>0.01</v>
      </c>
      <c r="H338" s="451">
        <v>0.04</v>
      </c>
      <c r="I338" s="452">
        <v>667.31</v>
      </c>
      <c r="J338" s="451">
        <f>109.3*10</f>
        <v>1093</v>
      </c>
      <c r="K338" s="451">
        <f>0.01*3.06</f>
        <v>3.0600000000000002E-2</v>
      </c>
      <c r="L338" s="451">
        <f>(13-0.1)*24</f>
        <v>309.60000000000002</v>
      </c>
      <c r="M338" s="451">
        <v>0.01</v>
      </c>
      <c r="N338" s="451">
        <v>25.84</v>
      </c>
      <c r="O338" s="451">
        <v>462.22</v>
      </c>
      <c r="P338" s="451">
        <v>222.75</v>
      </c>
      <c r="Q338" s="451">
        <v>154.21</v>
      </c>
      <c r="R338" s="450">
        <v>1E-4</v>
      </c>
      <c r="S338" s="450">
        <v>1E-4</v>
      </c>
      <c r="T338" s="450">
        <v>1E-4</v>
      </c>
      <c r="U338" s="450">
        <v>1E-4</v>
      </c>
      <c r="V338" s="450">
        <v>1E-4</v>
      </c>
    </row>
    <row r="339" spans="1:776" s="400" customFormat="1" x14ac:dyDescent="0.25">
      <c r="A339" s="470">
        <v>900054</v>
      </c>
      <c r="B339" s="454" t="s">
        <v>190</v>
      </c>
      <c r="C339" s="455"/>
      <c r="D339" s="454" t="s">
        <v>191</v>
      </c>
      <c r="E339" s="454">
        <v>1.93</v>
      </c>
      <c r="F339" s="456">
        <v>26.16</v>
      </c>
      <c r="G339" s="454">
        <v>0.01</v>
      </c>
      <c r="H339" s="454">
        <v>0.17</v>
      </c>
      <c r="I339" s="456">
        <v>348.3</v>
      </c>
      <c r="J339" s="454">
        <v>257</v>
      </c>
      <c r="K339" s="399">
        <f>0.01*3.06</f>
        <v>3.0600000000000002E-2</v>
      </c>
      <c r="L339" s="454">
        <v>309.60000000000002</v>
      </c>
      <c r="M339" s="454"/>
      <c r="N339" s="454">
        <v>4.1399999999999997</v>
      </c>
      <c r="O339" s="454">
        <v>262.85000000000002</v>
      </c>
      <c r="P339" s="454">
        <v>81.77</v>
      </c>
      <c r="Q339" s="454">
        <v>40</v>
      </c>
      <c r="R339" s="454"/>
      <c r="S339" s="454"/>
      <c r="T339" s="454"/>
      <c r="U339" s="454"/>
      <c r="V339" s="454"/>
      <c r="W339" s="457"/>
      <c r="X339" s="457"/>
      <c r="Y339" s="457"/>
      <c r="Z339" s="457"/>
      <c r="AA339" s="457"/>
      <c r="AB339" s="457"/>
      <c r="AC339" s="457"/>
      <c r="AD339" s="457"/>
      <c r="AE339" s="457"/>
      <c r="AF339" s="457"/>
      <c r="AG339" s="457"/>
      <c r="AH339" s="457"/>
      <c r="AI339" s="457"/>
      <c r="AJ339" s="457"/>
      <c r="AK339" s="457"/>
      <c r="AL339" s="457"/>
      <c r="AM339" s="457"/>
      <c r="AN339" s="457"/>
      <c r="AO339" s="457"/>
      <c r="AP339" s="457"/>
      <c r="AQ339" s="457"/>
      <c r="AR339" s="457"/>
      <c r="AS339" s="457"/>
      <c r="AT339" s="457"/>
      <c r="AU339" s="457"/>
      <c r="AV339" s="457"/>
      <c r="AW339" s="457"/>
      <c r="AX339" s="457"/>
      <c r="AY339" s="457"/>
      <c r="AZ339" s="457"/>
      <c r="BA339" s="457"/>
      <c r="BB339" s="457"/>
      <c r="BC339" s="457"/>
      <c r="BD339" s="457"/>
      <c r="BE339" s="457"/>
      <c r="BF339" s="457"/>
      <c r="BG339" s="457"/>
      <c r="BH339" s="457"/>
      <c r="BI339" s="457"/>
      <c r="BJ339" s="457"/>
      <c r="BK339" s="457"/>
      <c r="BL339" s="457"/>
      <c r="BM339" s="457"/>
      <c r="BN339" s="457"/>
      <c r="BO339" s="457"/>
      <c r="BP339" s="457"/>
      <c r="BQ339" s="457"/>
      <c r="BR339" s="457"/>
      <c r="BS339" s="457"/>
      <c r="BT339" s="457"/>
      <c r="BU339" s="457"/>
      <c r="BV339" s="457"/>
      <c r="BW339" s="457"/>
      <c r="BX339" s="457"/>
      <c r="BY339" s="457"/>
      <c r="BZ339" s="457"/>
      <c r="CA339" s="457"/>
      <c r="CB339" s="457"/>
      <c r="CC339" s="457"/>
      <c r="CD339" s="457"/>
      <c r="CE339" s="457"/>
      <c r="CF339" s="457"/>
      <c r="CG339" s="457"/>
      <c r="CH339" s="457"/>
      <c r="CI339" s="457"/>
      <c r="CJ339" s="457"/>
      <c r="CK339" s="457"/>
      <c r="CL339" s="457"/>
      <c r="CM339" s="457"/>
      <c r="CN339" s="457"/>
      <c r="CO339" s="457"/>
      <c r="CP339" s="457"/>
      <c r="CQ339" s="457"/>
      <c r="CR339" s="457"/>
      <c r="CS339" s="457"/>
      <c r="CT339" s="457"/>
      <c r="CU339" s="457"/>
      <c r="CV339" s="457"/>
      <c r="CW339" s="457"/>
      <c r="CX339" s="457"/>
      <c r="CY339" s="457"/>
      <c r="CZ339" s="457"/>
      <c r="DA339" s="457"/>
      <c r="DB339" s="457"/>
      <c r="DC339" s="457"/>
      <c r="DD339" s="457"/>
      <c r="DE339" s="457"/>
      <c r="DF339" s="457"/>
      <c r="DG339" s="457"/>
      <c r="DH339" s="457"/>
      <c r="DI339" s="457"/>
      <c r="DJ339" s="457"/>
      <c r="DK339" s="457"/>
      <c r="DL339" s="457"/>
      <c r="DM339" s="457"/>
      <c r="DN339" s="457"/>
      <c r="DO339" s="457"/>
      <c r="DP339" s="457"/>
      <c r="DQ339" s="457"/>
      <c r="DR339" s="457"/>
      <c r="DS339" s="457"/>
      <c r="DT339" s="457"/>
      <c r="DU339" s="457"/>
      <c r="DV339" s="457"/>
      <c r="DW339" s="457"/>
      <c r="DX339" s="457"/>
      <c r="DY339" s="457"/>
      <c r="DZ339" s="457"/>
      <c r="EA339" s="457"/>
      <c r="EB339" s="457"/>
      <c r="EC339" s="457"/>
      <c r="ED339" s="457"/>
      <c r="EE339" s="457"/>
      <c r="EF339" s="457"/>
      <c r="EG339" s="457"/>
      <c r="EH339" s="457"/>
      <c r="EI339" s="457"/>
      <c r="EJ339" s="457"/>
      <c r="EK339" s="457"/>
      <c r="EL339" s="457"/>
      <c r="EM339" s="457"/>
      <c r="EN339" s="457"/>
      <c r="EO339" s="457"/>
      <c r="EP339" s="457"/>
      <c r="EQ339" s="457"/>
      <c r="ER339" s="457"/>
      <c r="ES339" s="457"/>
      <c r="ET339" s="457"/>
      <c r="EU339" s="457"/>
      <c r="EV339" s="457"/>
      <c r="EW339" s="457"/>
      <c r="EX339" s="457"/>
      <c r="EY339" s="457"/>
      <c r="EZ339" s="457"/>
      <c r="FA339" s="457"/>
      <c r="FB339" s="457"/>
      <c r="FC339" s="457"/>
      <c r="FD339" s="457"/>
      <c r="FE339" s="457"/>
      <c r="FF339" s="457"/>
      <c r="FG339" s="457"/>
      <c r="FH339" s="457"/>
      <c r="FI339" s="457"/>
      <c r="FJ339" s="457"/>
      <c r="FK339" s="457"/>
      <c r="FL339" s="457"/>
      <c r="FM339" s="457"/>
      <c r="FN339" s="457"/>
      <c r="FO339" s="457"/>
      <c r="FP339" s="457"/>
      <c r="FQ339" s="457"/>
      <c r="FR339" s="457"/>
      <c r="FS339" s="457"/>
      <c r="FT339" s="457"/>
      <c r="FU339" s="457"/>
      <c r="FV339" s="457"/>
      <c r="FW339" s="457"/>
      <c r="FX339" s="457"/>
      <c r="FY339" s="457"/>
      <c r="FZ339" s="457"/>
      <c r="GA339" s="457"/>
      <c r="GB339" s="457"/>
      <c r="GC339" s="457"/>
      <c r="GD339" s="457"/>
      <c r="GE339" s="457"/>
      <c r="GF339" s="457"/>
      <c r="GG339" s="457"/>
      <c r="GH339" s="457"/>
      <c r="GI339" s="457"/>
      <c r="GJ339" s="457"/>
      <c r="GK339" s="457"/>
      <c r="GL339" s="457"/>
      <c r="GM339" s="457"/>
      <c r="GN339" s="457"/>
      <c r="GO339" s="457"/>
      <c r="GP339" s="457"/>
      <c r="GQ339" s="457"/>
      <c r="GR339" s="457"/>
      <c r="GS339" s="457"/>
      <c r="GT339" s="457"/>
      <c r="GU339" s="457"/>
      <c r="GV339" s="457"/>
      <c r="GW339" s="457"/>
      <c r="GX339" s="457"/>
      <c r="GY339" s="457"/>
      <c r="GZ339" s="457"/>
      <c r="HA339" s="457"/>
      <c r="HB339" s="457"/>
      <c r="HC339" s="457"/>
      <c r="HD339" s="457"/>
      <c r="HE339" s="457"/>
      <c r="HF339" s="457"/>
      <c r="HG339" s="457"/>
      <c r="HH339" s="457"/>
      <c r="HI339" s="457"/>
      <c r="HJ339" s="457"/>
      <c r="HK339" s="457"/>
      <c r="HL339" s="457"/>
      <c r="HM339" s="457"/>
      <c r="HN339" s="457"/>
      <c r="HO339" s="457"/>
      <c r="HP339" s="457"/>
      <c r="HQ339" s="457"/>
      <c r="HR339" s="457"/>
      <c r="HS339" s="457"/>
      <c r="HT339" s="457"/>
      <c r="HU339" s="457"/>
      <c r="HV339" s="457"/>
      <c r="HW339" s="457"/>
      <c r="HX339" s="457"/>
      <c r="HY339" s="457"/>
      <c r="HZ339" s="457"/>
      <c r="IA339" s="457"/>
      <c r="IB339" s="457"/>
      <c r="IC339" s="457"/>
      <c r="ID339" s="457"/>
      <c r="IE339" s="457"/>
      <c r="IF339" s="457"/>
      <c r="IG339" s="457"/>
      <c r="IH339" s="457"/>
      <c r="II339" s="457"/>
      <c r="IJ339" s="457"/>
      <c r="IK339" s="457"/>
      <c r="IL339" s="457"/>
      <c r="IM339" s="457"/>
      <c r="IN339" s="457"/>
      <c r="IO339" s="457"/>
      <c r="IP339" s="457"/>
      <c r="IQ339" s="457"/>
      <c r="IR339" s="457"/>
      <c r="IS339" s="457"/>
      <c r="IT339" s="457"/>
      <c r="IU339" s="457"/>
      <c r="IV339" s="457"/>
      <c r="IW339" s="457"/>
      <c r="IX339" s="457"/>
      <c r="IY339" s="457"/>
      <c r="IZ339" s="457"/>
      <c r="JA339" s="457"/>
      <c r="JB339" s="457"/>
      <c r="JC339" s="457"/>
      <c r="JD339" s="457"/>
      <c r="JE339" s="457"/>
      <c r="JF339" s="457"/>
      <c r="JG339" s="457"/>
      <c r="JH339" s="457"/>
      <c r="JI339" s="457"/>
      <c r="JJ339" s="457"/>
      <c r="JK339" s="457"/>
      <c r="JL339" s="457"/>
      <c r="JM339" s="457"/>
      <c r="JN339" s="457"/>
      <c r="JO339" s="457"/>
      <c r="JP339" s="457"/>
      <c r="JQ339" s="457"/>
      <c r="JR339" s="457"/>
      <c r="JS339" s="457"/>
      <c r="JT339" s="457"/>
      <c r="JU339" s="457"/>
      <c r="JV339" s="457"/>
      <c r="JW339" s="457"/>
      <c r="JX339" s="457"/>
      <c r="JY339" s="457"/>
      <c r="JZ339" s="457"/>
      <c r="KA339" s="457"/>
      <c r="KB339" s="457"/>
      <c r="KC339" s="457"/>
      <c r="KD339" s="457"/>
      <c r="KE339" s="457"/>
      <c r="KF339" s="457"/>
      <c r="KG339" s="457"/>
      <c r="KH339" s="457"/>
      <c r="KI339" s="457"/>
      <c r="KJ339" s="457"/>
      <c r="KK339" s="457"/>
      <c r="KL339" s="457"/>
      <c r="KM339" s="457"/>
      <c r="KN339" s="457"/>
      <c r="KO339" s="457"/>
      <c r="KP339" s="457"/>
      <c r="KQ339" s="457"/>
      <c r="KR339" s="457"/>
      <c r="KS339" s="457"/>
      <c r="KT339" s="457"/>
      <c r="KU339" s="457"/>
      <c r="KV339" s="457"/>
      <c r="KW339" s="457"/>
      <c r="KX339" s="457"/>
      <c r="KY339" s="457"/>
      <c r="KZ339" s="457"/>
      <c r="LA339" s="457"/>
      <c r="LB339" s="457"/>
      <c r="LC339" s="457"/>
      <c r="LD339" s="457"/>
      <c r="LE339" s="457"/>
      <c r="LF339" s="457"/>
      <c r="LG339" s="457"/>
      <c r="LH339" s="457"/>
      <c r="LI339" s="457"/>
      <c r="LJ339" s="457"/>
      <c r="LK339" s="457"/>
      <c r="LL339" s="457"/>
      <c r="LM339" s="457"/>
      <c r="LN339" s="457"/>
      <c r="LO339" s="457"/>
      <c r="LP339" s="457"/>
      <c r="LQ339" s="457"/>
      <c r="LR339" s="457"/>
      <c r="LS339" s="457"/>
      <c r="LT339" s="457"/>
      <c r="LU339" s="457"/>
      <c r="LV339" s="457"/>
      <c r="LW339" s="457"/>
      <c r="LX339" s="457"/>
      <c r="LY339" s="457"/>
      <c r="LZ339" s="457"/>
      <c r="MA339" s="457"/>
      <c r="MB339" s="457"/>
      <c r="MC339" s="457"/>
      <c r="MD339" s="457"/>
      <c r="ME339" s="457"/>
      <c r="MF339" s="457"/>
      <c r="MG339" s="457"/>
      <c r="MH339" s="457"/>
      <c r="MI339" s="457"/>
      <c r="MJ339" s="457"/>
      <c r="MK339" s="457"/>
      <c r="ML339" s="457"/>
      <c r="MM339" s="457"/>
      <c r="MN339" s="457"/>
      <c r="MO339" s="457"/>
      <c r="MP339" s="457"/>
      <c r="MQ339" s="457"/>
      <c r="MR339" s="457"/>
      <c r="MS339" s="457"/>
      <c r="MT339" s="457"/>
      <c r="MU339" s="457"/>
      <c r="MV339" s="457"/>
      <c r="MW339" s="457"/>
      <c r="MX339" s="457"/>
      <c r="MY339" s="457"/>
      <c r="MZ339" s="457"/>
      <c r="NA339" s="457"/>
      <c r="NB339" s="457"/>
      <c r="NC339" s="457"/>
      <c r="ND339" s="457"/>
      <c r="NE339" s="457"/>
      <c r="NF339" s="457"/>
      <c r="NG339" s="457"/>
      <c r="NH339" s="457"/>
      <c r="NI339" s="457"/>
      <c r="NJ339" s="457"/>
      <c r="NK339" s="457"/>
      <c r="NL339" s="457"/>
      <c r="NM339" s="457"/>
      <c r="NN339" s="457"/>
      <c r="NO339" s="457"/>
      <c r="NP339" s="457"/>
      <c r="NQ339" s="457"/>
      <c r="NR339" s="457"/>
      <c r="NS339" s="457"/>
      <c r="NT339" s="457"/>
      <c r="NU339" s="457"/>
      <c r="NV339" s="457"/>
      <c r="NW339" s="457"/>
      <c r="NX339" s="457"/>
      <c r="NY339" s="457"/>
      <c r="NZ339" s="457"/>
      <c r="OA339" s="457"/>
      <c r="OB339" s="457"/>
      <c r="OC339" s="457"/>
      <c r="OD339" s="457"/>
      <c r="OE339" s="457"/>
      <c r="OF339" s="457"/>
      <c r="OG339" s="457"/>
      <c r="OH339" s="457"/>
      <c r="OI339" s="457"/>
      <c r="OJ339" s="457"/>
      <c r="OK339" s="457"/>
      <c r="OL339" s="457"/>
      <c r="OM339" s="457"/>
      <c r="ON339" s="457"/>
      <c r="OO339" s="457"/>
      <c r="OP339" s="457"/>
      <c r="OQ339" s="457"/>
      <c r="OR339" s="457"/>
      <c r="OS339" s="457"/>
      <c r="OT339" s="457"/>
      <c r="OU339" s="457"/>
      <c r="OV339" s="457"/>
      <c r="OW339" s="457"/>
      <c r="OX339" s="457"/>
      <c r="OY339" s="457"/>
      <c r="OZ339" s="457"/>
      <c r="PA339" s="457"/>
      <c r="PB339" s="457"/>
      <c r="PC339" s="457"/>
      <c r="PD339" s="457"/>
      <c r="PE339" s="457"/>
      <c r="PF339" s="457"/>
      <c r="PG339" s="457"/>
      <c r="PH339" s="457"/>
      <c r="PI339" s="457"/>
      <c r="PJ339" s="457"/>
      <c r="PK339" s="457"/>
      <c r="PL339" s="457"/>
      <c r="PM339" s="457"/>
      <c r="PN339" s="457"/>
      <c r="PO339" s="457"/>
      <c r="PP339" s="457"/>
      <c r="PQ339" s="457"/>
      <c r="PR339" s="457"/>
      <c r="PS339" s="457"/>
      <c r="PT339" s="457"/>
      <c r="PU339" s="457"/>
      <c r="PV339" s="457"/>
      <c r="PW339" s="457"/>
      <c r="PX339" s="457"/>
      <c r="PY339" s="457"/>
      <c r="PZ339" s="457"/>
      <c r="QA339" s="457"/>
      <c r="QB339" s="457"/>
      <c r="QC339" s="457"/>
      <c r="QD339" s="457"/>
      <c r="QE339" s="457"/>
      <c r="QF339" s="457"/>
      <c r="QG339" s="457"/>
      <c r="QH339" s="457"/>
      <c r="QI339" s="457"/>
      <c r="QJ339" s="457"/>
      <c r="QK339" s="457"/>
      <c r="QL339" s="457"/>
      <c r="QM339" s="457"/>
      <c r="QN339" s="457"/>
      <c r="QO339" s="457"/>
      <c r="QP339" s="457"/>
      <c r="QQ339" s="457"/>
      <c r="QR339" s="457"/>
      <c r="QS339" s="457"/>
      <c r="QT339" s="457"/>
      <c r="QU339" s="457"/>
      <c r="QV339" s="457"/>
      <c r="QW339" s="457"/>
      <c r="QX339" s="457"/>
      <c r="QY339" s="457"/>
      <c r="QZ339" s="457"/>
      <c r="RA339" s="457"/>
      <c r="RB339" s="457"/>
      <c r="RC339" s="457"/>
      <c r="RD339" s="457"/>
      <c r="RE339" s="457"/>
      <c r="RF339" s="457"/>
      <c r="RG339" s="457"/>
      <c r="RH339" s="457"/>
      <c r="RI339" s="457"/>
      <c r="RJ339" s="457"/>
      <c r="RK339" s="457"/>
      <c r="RL339" s="457"/>
      <c r="RM339" s="457"/>
      <c r="RN339" s="457"/>
      <c r="RO339" s="457"/>
      <c r="RP339" s="457"/>
      <c r="RQ339" s="457"/>
      <c r="RR339" s="457"/>
      <c r="RS339" s="457"/>
      <c r="RT339" s="457"/>
      <c r="RU339" s="457"/>
      <c r="RV339" s="457"/>
      <c r="RW339" s="457"/>
      <c r="RX339" s="457"/>
      <c r="RY339" s="457"/>
      <c r="RZ339" s="457"/>
      <c r="SA339" s="457"/>
      <c r="SB339" s="457"/>
      <c r="SC339" s="457"/>
      <c r="SD339" s="457"/>
      <c r="SE339" s="457"/>
      <c r="SF339" s="457"/>
      <c r="SG339" s="457"/>
      <c r="SH339" s="457"/>
      <c r="SI339" s="457"/>
      <c r="SJ339" s="457"/>
      <c r="SK339" s="457"/>
      <c r="SL339" s="457"/>
      <c r="SM339" s="457"/>
      <c r="SN339" s="457"/>
      <c r="SO339" s="457"/>
      <c r="SP339" s="457"/>
      <c r="SQ339" s="457"/>
      <c r="SR339" s="457"/>
      <c r="SS339" s="457"/>
      <c r="ST339" s="457"/>
      <c r="SU339" s="457"/>
      <c r="SV339" s="457"/>
      <c r="SW339" s="457"/>
      <c r="SX339" s="457"/>
      <c r="SY339" s="457"/>
      <c r="SZ339" s="457"/>
      <c r="TA339" s="457"/>
      <c r="TB339" s="457"/>
      <c r="TC339" s="457"/>
      <c r="TD339" s="457"/>
      <c r="TE339" s="457"/>
      <c r="TF339" s="457"/>
      <c r="TG339" s="457"/>
      <c r="TH339" s="457"/>
      <c r="TI339" s="457"/>
      <c r="TJ339" s="457"/>
      <c r="TK339" s="457"/>
      <c r="TL339" s="457"/>
      <c r="TM339" s="457"/>
      <c r="TN339" s="457"/>
      <c r="TO339" s="457"/>
      <c r="TP339" s="457"/>
      <c r="TQ339" s="457"/>
      <c r="TR339" s="457"/>
      <c r="TS339" s="457"/>
      <c r="TT339" s="457"/>
      <c r="TU339" s="457"/>
      <c r="TV339" s="457"/>
      <c r="TW339" s="457"/>
      <c r="TX339" s="457"/>
      <c r="TY339" s="457"/>
      <c r="TZ339" s="457"/>
      <c r="UA339" s="457"/>
      <c r="UB339" s="457"/>
      <c r="UC339" s="457"/>
      <c r="UD339" s="457"/>
      <c r="UE339" s="457"/>
      <c r="UF339" s="457"/>
      <c r="UG339" s="457"/>
      <c r="UH339" s="457"/>
      <c r="UI339" s="457"/>
      <c r="UJ339" s="457"/>
      <c r="UK339" s="457"/>
      <c r="UL339" s="457"/>
      <c r="UM339" s="457"/>
      <c r="UN339" s="457"/>
      <c r="UO339" s="457"/>
      <c r="UP339" s="457"/>
      <c r="UQ339" s="457"/>
      <c r="UR339" s="457"/>
      <c r="US339" s="457"/>
      <c r="UT339" s="457"/>
      <c r="UU339" s="457"/>
      <c r="UV339" s="457"/>
      <c r="UW339" s="457"/>
      <c r="UX339" s="457"/>
      <c r="UY339" s="457"/>
      <c r="UZ339" s="457"/>
      <c r="VA339" s="457"/>
      <c r="VB339" s="457"/>
      <c r="VC339" s="457"/>
      <c r="VD339" s="457"/>
      <c r="VE339" s="457"/>
      <c r="VF339" s="457"/>
      <c r="VG339" s="457"/>
      <c r="VH339" s="457"/>
      <c r="VI339" s="457"/>
      <c r="VJ339" s="457"/>
      <c r="VK339" s="457"/>
      <c r="VL339" s="457"/>
      <c r="VM339" s="457"/>
      <c r="VN339" s="457"/>
      <c r="VO339" s="457"/>
      <c r="VP339" s="457"/>
      <c r="VQ339" s="457"/>
      <c r="VR339" s="457"/>
      <c r="VS339" s="457"/>
      <c r="VT339" s="457"/>
      <c r="VU339" s="457"/>
      <c r="VV339" s="457"/>
      <c r="VW339" s="457"/>
      <c r="VX339" s="457"/>
      <c r="VY339" s="457"/>
      <c r="VZ339" s="457"/>
      <c r="WA339" s="457"/>
      <c r="WB339" s="457"/>
      <c r="WC339" s="457"/>
      <c r="WD339" s="457"/>
      <c r="WE339" s="457"/>
      <c r="WF339" s="457"/>
      <c r="WG339" s="457"/>
      <c r="WH339" s="457"/>
      <c r="WI339" s="457"/>
      <c r="WJ339" s="457"/>
      <c r="WK339" s="457"/>
      <c r="WL339" s="457"/>
      <c r="WM339" s="457"/>
      <c r="WN339" s="457"/>
      <c r="WO339" s="457"/>
      <c r="WP339" s="457"/>
      <c r="WQ339" s="457"/>
      <c r="WR339" s="457"/>
      <c r="WS339" s="457"/>
      <c r="WT339" s="457"/>
      <c r="WU339" s="457"/>
      <c r="WV339" s="457"/>
      <c r="WW339" s="457"/>
      <c r="WX339" s="457"/>
      <c r="WY339" s="457"/>
      <c r="WZ339" s="457"/>
      <c r="XA339" s="457"/>
      <c r="XB339" s="457"/>
      <c r="XC339" s="457"/>
      <c r="XD339" s="457"/>
      <c r="XE339" s="457"/>
      <c r="XF339" s="457"/>
      <c r="XG339" s="457"/>
      <c r="XH339" s="457"/>
      <c r="XI339" s="457"/>
      <c r="XJ339" s="457"/>
      <c r="XK339" s="457"/>
      <c r="XL339" s="457"/>
      <c r="XM339" s="457"/>
      <c r="XN339" s="457"/>
      <c r="XO339" s="457"/>
      <c r="XP339" s="457"/>
      <c r="XQ339" s="457"/>
      <c r="XR339" s="457"/>
      <c r="XS339" s="457"/>
      <c r="XT339" s="457"/>
      <c r="XU339" s="457"/>
      <c r="XV339" s="457"/>
      <c r="XW339" s="457"/>
      <c r="XX339" s="457"/>
      <c r="XY339" s="457"/>
      <c r="XZ339" s="457"/>
      <c r="YA339" s="457"/>
      <c r="YB339" s="457"/>
      <c r="YC339" s="457"/>
      <c r="YD339" s="457"/>
      <c r="YE339" s="457"/>
      <c r="YF339" s="457"/>
      <c r="YG339" s="457"/>
      <c r="YH339" s="457"/>
      <c r="YI339" s="457"/>
      <c r="YJ339" s="457"/>
      <c r="YK339" s="457"/>
      <c r="YL339" s="457"/>
      <c r="YM339" s="457"/>
      <c r="YN339" s="457"/>
      <c r="YO339" s="457"/>
      <c r="YP339" s="457"/>
      <c r="YQ339" s="457"/>
      <c r="YR339" s="457"/>
      <c r="YS339" s="457"/>
      <c r="YT339" s="457"/>
      <c r="YU339" s="457"/>
      <c r="YV339" s="457"/>
      <c r="YW339" s="457"/>
      <c r="YX339" s="457"/>
      <c r="YY339" s="457"/>
      <c r="YZ339" s="457"/>
      <c r="ZA339" s="457"/>
      <c r="ZB339" s="457"/>
      <c r="ZC339" s="457"/>
      <c r="ZD339" s="457"/>
      <c r="ZE339" s="457"/>
      <c r="ZF339" s="457"/>
      <c r="ZG339" s="457"/>
      <c r="ZH339" s="457"/>
      <c r="ZI339" s="457"/>
      <c r="ZJ339" s="457"/>
      <c r="ZK339" s="457"/>
      <c r="ZL339" s="457"/>
      <c r="ZM339" s="457"/>
      <c r="ZN339" s="457"/>
      <c r="ZO339" s="457"/>
      <c r="ZP339" s="457"/>
      <c r="ZQ339" s="457"/>
      <c r="ZR339" s="457"/>
      <c r="ZS339" s="457"/>
      <c r="ZT339" s="457"/>
      <c r="ZU339" s="457"/>
      <c r="ZV339" s="457"/>
      <c r="ZW339" s="457"/>
      <c r="ZX339" s="457"/>
      <c r="ZY339" s="457"/>
      <c r="ZZ339" s="457"/>
      <c r="AAA339" s="457"/>
      <c r="AAB339" s="457"/>
      <c r="AAC339" s="457"/>
      <c r="AAD339" s="457"/>
      <c r="AAE339" s="457"/>
      <c r="AAF339" s="457"/>
      <c r="AAG339" s="457"/>
      <c r="AAH339" s="457"/>
      <c r="AAI339" s="457"/>
      <c r="AAJ339" s="457"/>
      <c r="AAK339" s="457"/>
      <c r="AAL339" s="457"/>
      <c r="AAM339" s="457"/>
      <c r="AAN339" s="457"/>
      <c r="AAO339" s="457"/>
      <c r="AAP339" s="457"/>
      <c r="AAQ339" s="457"/>
      <c r="AAR339" s="457"/>
      <c r="AAS339" s="457"/>
      <c r="AAT339" s="457"/>
      <c r="AAU339" s="457"/>
      <c r="AAV339" s="457"/>
      <c r="AAW339" s="457"/>
      <c r="AAX339" s="457"/>
      <c r="AAY339" s="457"/>
      <c r="AAZ339" s="457"/>
      <c r="ABA339" s="457"/>
      <c r="ABB339" s="457"/>
      <c r="ABC339" s="457"/>
      <c r="ABD339" s="457"/>
      <c r="ABE339" s="457"/>
      <c r="ABF339" s="457"/>
      <c r="ABG339" s="457"/>
      <c r="ABH339" s="457"/>
      <c r="ABI339" s="457"/>
      <c r="ABJ339" s="457"/>
      <c r="ABK339" s="457"/>
      <c r="ABL339" s="457"/>
      <c r="ABM339" s="457"/>
      <c r="ABN339" s="457"/>
      <c r="ABO339" s="457"/>
      <c r="ABP339" s="457"/>
      <c r="ABQ339" s="457"/>
      <c r="ABR339" s="457"/>
      <c r="ABS339" s="457"/>
      <c r="ABT339" s="457"/>
      <c r="ABU339" s="457"/>
      <c r="ABV339" s="457"/>
      <c r="ABW339" s="457"/>
      <c r="ABX339" s="457"/>
      <c r="ABY339" s="457"/>
      <c r="ABZ339" s="457"/>
      <c r="ACA339" s="457"/>
      <c r="ACB339" s="457"/>
      <c r="ACC339" s="457"/>
      <c r="ACD339" s="457"/>
      <c r="ACE339" s="457"/>
      <c r="ACF339" s="457"/>
      <c r="ACG339" s="457"/>
      <c r="ACH339" s="457"/>
      <c r="ACI339" s="457"/>
      <c r="ACJ339" s="457"/>
      <c r="ACK339" s="457"/>
      <c r="ACL339" s="457"/>
      <c r="ACM339" s="457"/>
      <c r="ACN339" s="457"/>
      <c r="ACO339" s="457"/>
      <c r="ACP339" s="457"/>
      <c r="ACQ339" s="457"/>
      <c r="ACR339" s="457"/>
      <c r="ACS339" s="457"/>
      <c r="ACT339" s="457"/>
      <c r="ACU339" s="457"/>
      <c r="ACV339" s="457"/>
    </row>
    <row r="340" spans="1:776" s="400" customFormat="1" x14ac:dyDescent="0.25">
      <c r="A340" s="470">
        <v>900055</v>
      </c>
      <c r="B340" s="454" t="s">
        <v>192</v>
      </c>
      <c r="C340" s="455"/>
      <c r="D340" s="454" t="s">
        <v>193</v>
      </c>
      <c r="E340" s="454">
        <v>0.99099999999999999</v>
      </c>
      <c r="F340" s="456">
        <v>7.19</v>
      </c>
      <c r="G340" s="454">
        <v>0.01</v>
      </c>
      <c r="H340" s="454">
        <v>0.06</v>
      </c>
      <c r="I340" s="456">
        <v>111.8</v>
      </c>
      <c r="J340" s="454">
        <v>108.5</v>
      </c>
      <c r="K340" s="454">
        <v>3.0599999999999999E-2</v>
      </c>
      <c r="L340" s="454">
        <v>314.39999999999998</v>
      </c>
      <c r="M340" s="454"/>
      <c r="N340" s="454">
        <v>0.83</v>
      </c>
      <c r="O340" s="454">
        <v>92.17</v>
      </c>
      <c r="P340" s="454">
        <v>82.17</v>
      </c>
      <c r="Q340" s="454">
        <v>28.64</v>
      </c>
      <c r="R340" s="454">
        <v>1.0000000000000001E-5</v>
      </c>
      <c r="S340" s="454">
        <v>1.0000000000000001E-5</v>
      </c>
      <c r="T340" s="454">
        <v>1.0000000000000001E-5</v>
      </c>
      <c r="U340" s="454">
        <v>1.0000000000000001E-5</v>
      </c>
      <c r="V340" s="454"/>
      <c r="W340" s="457"/>
      <c r="X340" s="457"/>
      <c r="Y340" s="457"/>
      <c r="Z340" s="457"/>
      <c r="AA340" s="457"/>
      <c r="AB340" s="457"/>
      <c r="AC340" s="457"/>
      <c r="AD340" s="457"/>
      <c r="AE340" s="457"/>
      <c r="AF340" s="457"/>
      <c r="AG340" s="457"/>
      <c r="AH340" s="457"/>
      <c r="AI340" s="457"/>
      <c r="AJ340" s="457"/>
      <c r="AK340" s="457"/>
      <c r="AL340" s="457"/>
      <c r="AM340" s="457"/>
      <c r="AN340" s="457"/>
      <c r="AO340" s="457"/>
      <c r="AP340" s="457"/>
      <c r="AQ340" s="457"/>
      <c r="AR340" s="457"/>
      <c r="AS340" s="457"/>
      <c r="AT340" s="457"/>
      <c r="AU340" s="457"/>
      <c r="AV340" s="457"/>
      <c r="AW340" s="457"/>
      <c r="AX340" s="457"/>
      <c r="AY340" s="457"/>
      <c r="AZ340" s="457"/>
      <c r="BA340" s="457"/>
      <c r="BB340" s="457"/>
      <c r="BC340" s="457"/>
      <c r="BD340" s="457"/>
      <c r="BE340" s="457"/>
      <c r="BF340" s="457"/>
      <c r="BG340" s="457"/>
      <c r="BH340" s="457"/>
      <c r="BI340" s="457"/>
      <c r="BJ340" s="457"/>
      <c r="BK340" s="457"/>
      <c r="BL340" s="457"/>
      <c r="BM340" s="457"/>
      <c r="BN340" s="457"/>
      <c r="BO340" s="457"/>
      <c r="BP340" s="457"/>
      <c r="BQ340" s="457"/>
      <c r="BR340" s="457"/>
      <c r="BS340" s="457"/>
      <c r="BT340" s="457"/>
      <c r="BU340" s="457"/>
      <c r="BV340" s="457"/>
      <c r="BW340" s="457"/>
      <c r="BX340" s="457"/>
      <c r="BY340" s="457"/>
      <c r="BZ340" s="457"/>
      <c r="CA340" s="457"/>
      <c r="CB340" s="457"/>
      <c r="CC340" s="457"/>
      <c r="CD340" s="457"/>
      <c r="CE340" s="457"/>
      <c r="CF340" s="457"/>
      <c r="CG340" s="457"/>
      <c r="CH340" s="457"/>
      <c r="CI340" s="457"/>
      <c r="CJ340" s="457"/>
      <c r="CK340" s="457"/>
      <c r="CL340" s="457"/>
      <c r="CM340" s="457"/>
      <c r="CN340" s="457"/>
      <c r="CO340" s="457"/>
      <c r="CP340" s="457"/>
      <c r="CQ340" s="457"/>
      <c r="CR340" s="457"/>
      <c r="CS340" s="457"/>
      <c r="CT340" s="457"/>
      <c r="CU340" s="457"/>
      <c r="CV340" s="457"/>
      <c r="CW340" s="457"/>
      <c r="CX340" s="457"/>
      <c r="CY340" s="457"/>
      <c r="CZ340" s="457"/>
      <c r="DA340" s="457"/>
      <c r="DB340" s="457"/>
      <c r="DC340" s="457"/>
      <c r="DD340" s="457"/>
      <c r="DE340" s="457"/>
      <c r="DF340" s="457"/>
      <c r="DG340" s="457"/>
      <c r="DH340" s="457"/>
      <c r="DI340" s="457"/>
      <c r="DJ340" s="457"/>
      <c r="DK340" s="457"/>
      <c r="DL340" s="457"/>
      <c r="DM340" s="457"/>
      <c r="DN340" s="457"/>
      <c r="DO340" s="457"/>
      <c r="DP340" s="457"/>
      <c r="DQ340" s="457"/>
      <c r="DR340" s="457"/>
      <c r="DS340" s="457"/>
      <c r="DT340" s="457"/>
      <c r="DU340" s="457"/>
      <c r="DV340" s="457"/>
      <c r="DW340" s="457"/>
      <c r="DX340" s="457"/>
      <c r="DY340" s="457"/>
      <c r="DZ340" s="457"/>
      <c r="EA340" s="457"/>
      <c r="EB340" s="457"/>
      <c r="EC340" s="457"/>
      <c r="ED340" s="457"/>
      <c r="EE340" s="457"/>
      <c r="EF340" s="457"/>
      <c r="EG340" s="457"/>
      <c r="EH340" s="457"/>
      <c r="EI340" s="457"/>
      <c r="EJ340" s="457"/>
      <c r="EK340" s="457"/>
      <c r="EL340" s="457"/>
      <c r="EM340" s="457"/>
      <c r="EN340" s="457"/>
      <c r="EO340" s="457"/>
      <c r="EP340" s="457"/>
      <c r="EQ340" s="457"/>
      <c r="ER340" s="457"/>
      <c r="ES340" s="457"/>
      <c r="ET340" s="457"/>
      <c r="EU340" s="457"/>
      <c r="EV340" s="457"/>
      <c r="EW340" s="457"/>
      <c r="EX340" s="457"/>
      <c r="EY340" s="457"/>
      <c r="EZ340" s="457"/>
      <c r="FA340" s="457"/>
      <c r="FB340" s="457"/>
      <c r="FC340" s="457"/>
      <c r="FD340" s="457"/>
      <c r="FE340" s="457"/>
      <c r="FF340" s="457"/>
      <c r="FG340" s="457"/>
      <c r="FH340" s="457"/>
      <c r="FI340" s="457"/>
      <c r="FJ340" s="457"/>
      <c r="FK340" s="457"/>
      <c r="FL340" s="457"/>
      <c r="FM340" s="457"/>
      <c r="FN340" s="457"/>
      <c r="FO340" s="457"/>
      <c r="FP340" s="457"/>
      <c r="FQ340" s="457"/>
      <c r="FR340" s="457"/>
      <c r="FS340" s="457"/>
      <c r="FT340" s="457"/>
      <c r="FU340" s="457"/>
      <c r="FV340" s="457"/>
      <c r="FW340" s="457"/>
      <c r="FX340" s="457"/>
      <c r="FY340" s="457"/>
      <c r="FZ340" s="457"/>
      <c r="GA340" s="457"/>
      <c r="GB340" s="457"/>
      <c r="GC340" s="457"/>
      <c r="GD340" s="457"/>
      <c r="GE340" s="457"/>
      <c r="GF340" s="457"/>
      <c r="GG340" s="457"/>
      <c r="GH340" s="457"/>
      <c r="GI340" s="457"/>
      <c r="GJ340" s="457"/>
      <c r="GK340" s="457"/>
      <c r="GL340" s="457"/>
      <c r="GM340" s="457"/>
      <c r="GN340" s="457"/>
      <c r="GO340" s="457"/>
      <c r="GP340" s="457"/>
      <c r="GQ340" s="457"/>
      <c r="GR340" s="457"/>
      <c r="GS340" s="457"/>
      <c r="GT340" s="457"/>
      <c r="GU340" s="457"/>
      <c r="GV340" s="457"/>
      <c r="GW340" s="457"/>
      <c r="GX340" s="457"/>
      <c r="GY340" s="457"/>
      <c r="GZ340" s="457"/>
      <c r="HA340" s="457"/>
      <c r="HB340" s="457"/>
      <c r="HC340" s="457"/>
      <c r="HD340" s="457"/>
      <c r="HE340" s="457"/>
      <c r="HF340" s="457"/>
      <c r="HG340" s="457"/>
      <c r="HH340" s="457"/>
      <c r="HI340" s="457"/>
      <c r="HJ340" s="457"/>
      <c r="HK340" s="457"/>
      <c r="HL340" s="457"/>
      <c r="HM340" s="457"/>
      <c r="HN340" s="457"/>
      <c r="HO340" s="457"/>
      <c r="HP340" s="457"/>
      <c r="HQ340" s="457"/>
      <c r="HR340" s="457"/>
      <c r="HS340" s="457"/>
      <c r="HT340" s="457"/>
      <c r="HU340" s="457"/>
      <c r="HV340" s="457"/>
      <c r="HW340" s="457"/>
      <c r="HX340" s="457"/>
      <c r="HY340" s="457"/>
      <c r="HZ340" s="457"/>
      <c r="IA340" s="457"/>
      <c r="IB340" s="457"/>
      <c r="IC340" s="457"/>
      <c r="ID340" s="457"/>
      <c r="IE340" s="457"/>
      <c r="IF340" s="457"/>
      <c r="IG340" s="457"/>
      <c r="IH340" s="457"/>
      <c r="II340" s="457"/>
      <c r="IJ340" s="457"/>
      <c r="IK340" s="457"/>
      <c r="IL340" s="457"/>
      <c r="IM340" s="457"/>
      <c r="IN340" s="457"/>
      <c r="IO340" s="457"/>
      <c r="IP340" s="457"/>
      <c r="IQ340" s="457"/>
      <c r="IR340" s="457"/>
      <c r="IS340" s="457"/>
      <c r="IT340" s="457"/>
      <c r="IU340" s="457"/>
      <c r="IV340" s="457"/>
      <c r="IW340" s="457"/>
      <c r="IX340" s="457"/>
      <c r="IY340" s="457"/>
      <c r="IZ340" s="457"/>
      <c r="JA340" s="457"/>
      <c r="JB340" s="457"/>
      <c r="JC340" s="457"/>
      <c r="JD340" s="457"/>
      <c r="JE340" s="457"/>
      <c r="JF340" s="457"/>
      <c r="JG340" s="457"/>
      <c r="JH340" s="457"/>
      <c r="JI340" s="457"/>
      <c r="JJ340" s="457"/>
      <c r="JK340" s="457"/>
      <c r="JL340" s="457"/>
      <c r="JM340" s="457"/>
      <c r="JN340" s="457"/>
      <c r="JO340" s="457"/>
      <c r="JP340" s="457"/>
      <c r="JQ340" s="457"/>
      <c r="JR340" s="457"/>
      <c r="JS340" s="457"/>
      <c r="JT340" s="457"/>
      <c r="JU340" s="457"/>
      <c r="JV340" s="457"/>
      <c r="JW340" s="457"/>
      <c r="JX340" s="457"/>
      <c r="JY340" s="457"/>
      <c r="JZ340" s="457"/>
      <c r="KA340" s="457"/>
      <c r="KB340" s="457"/>
      <c r="KC340" s="457"/>
      <c r="KD340" s="457"/>
      <c r="KE340" s="457"/>
      <c r="KF340" s="457"/>
      <c r="KG340" s="457"/>
      <c r="KH340" s="457"/>
      <c r="KI340" s="457"/>
      <c r="KJ340" s="457"/>
      <c r="KK340" s="457"/>
      <c r="KL340" s="457"/>
      <c r="KM340" s="457"/>
      <c r="KN340" s="457"/>
      <c r="KO340" s="457"/>
      <c r="KP340" s="457"/>
      <c r="KQ340" s="457"/>
      <c r="KR340" s="457"/>
      <c r="KS340" s="457"/>
      <c r="KT340" s="457"/>
      <c r="KU340" s="457"/>
      <c r="KV340" s="457"/>
      <c r="KW340" s="457"/>
      <c r="KX340" s="457"/>
      <c r="KY340" s="457"/>
      <c r="KZ340" s="457"/>
      <c r="LA340" s="457"/>
      <c r="LB340" s="457"/>
      <c r="LC340" s="457"/>
      <c r="LD340" s="457"/>
      <c r="LE340" s="457"/>
      <c r="LF340" s="457"/>
      <c r="LG340" s="457"/>
      <c r="LH340" s="457"/>
      <c r="LI340" s="457"/>
      <c r="LJ340" s="457"/>
      <c r="LK340" s="457"/>
      <c r="LL340" s="457"/>
      <c r="LM340" s="457"/>
      <c r="LN340" s="457"/>
      <c r="LO340" s="457"/>
      <c r="LP340" s="457"/>
      <c r="LQ340" s="457"/>
      <c r="LR340" s="457"/>
      <c r="LS340" s="457"/>
      <c r="LT340" s="457"/>
      <c r="LU340" s="457"/>
      <c r="LV340" s="457"/>
      <c r="LW340" s="457"/>
      <c r="LX340" s="457"/>
      <c r="LY340" s="457"/>
      <c r="LZ340" s="457"/>
      <c r="MA340" s="457"/>
      <c r="MB340" s="457"/>
      <c r="MC340" s="457"/>
      <c r="MD340" s="457"/>
      <c r="ME340" s="457"/>
      <c r="MF340" s="457"/>
      <c r="MG340" s="457"/>
      <c r="MH340" s="457"/>
      <c r="MI340" s="457"/>
      <c r="MJ340" s="457"/>
      <c r="MK340" s="457"/>
      <c r="ML340" s="457"/>
      <c r="MM340" s="457"/>
      <c r="MN340" s="457"/>
      <c r="MO340" s="457"/>
      <c r="MP340" s="457"/>
      <c r="MQ340" s="457"/>
      <c r="MR340" s="457"/>
      <c r="MS340" s="457"/>
      <c r="MT340" s="457"/>
      <c r="MU340" s="457"/>
      <c r="MV340" s="457"/>
      <c r="MW340" s="457"/>
      <c r="MX340" s="457"/>
      <c r="MY340" s="457"/>
      <c r="MZ340" s="457"/>
      <c r="NA340" s="457"/>
      <c r="NB340" s="457"/>
      <c r="NC340" s="457"/>
      <c r="ND340" s="457"/>
      <c r="NE340" s="457"/>
      <c r="NF340" s="457"/>
      <c r="NG340" s="457"/>
      <c r="NH340" s="457"/>
      <c r="NI340" s="457"/>
      <c r="NJ340" s="457"/>
      <c r="NK340" s="457"/>
      <c r="NL340" s="457"/>
      <c r="NM340" s="457"/>
      <c r="NN340" s="457"/>
      <c r="NO340" s="457"/>
      <c r="NP340" s="457"/>
      <c r="NQ340" s="457"/>
      <c r="NR340" s="457"/>
      <c r="NS340" s="457"/>
      <c r="NT340" s="457"/>
      <c r="NU340" s="457"/>
      <c r="NV340" s="457"/>
      <c r="NW340" s="457"/>
      <c r="NX340" s="457"/>
      <c r="NY340" s="457"/>
      <c r="NZ340" s="457"/>
      <c r="OA340" s="457"/>
      <c r="OB340" s="457"/>
      <c r="OC340" s="457"/>
      <c r="OD340" s="457"/>
      <c r="OE340" s="457"/>
      <c r="OF340" s="457"/>
      <c r="OG340" s="457"/>
      <c r="OH340" s="457"/>
      <c r="OI340" s="457"/>
      <c r="OJ340" s="457"/>
      <c r="OK340" s="457"/>
      <c r="OL340" s="457"/>
      <c r="OM340" s="457"/>
      <c r="ON340" s="457"/>
      <c r="OO340" s="457"/>
      <c r="OP340" s="457"/>
      <c r="OQ340" s="457"/>
      <c r="OR340" s="457"/>
      <c r="OS340" s="457"/>
      <c r="OT340" s="457"/>
      <c r="OU340" s="457"/>
      <c r="OV340" s="457"/>
      <c r="OW340" s="457"/>
      <c r="OX340" s="457"/>
      <c r="OY340" s="457"/>
      <c r="OZ340" s="457"/>
      <c r="PA340" s="457"/>
      <c r="PB340" s="457"/>
      <c r="PC340" s="457"/>
      <c r="PD340" s="457"/>
      <c r="PE340" s="457"/>
      <c r="PF340" s="457"/>
      <c r="PG340" s="457"/>
      <c r="PH340" s="457"/>
      <c r="PI340" s="457"/>
      <c r="PJ340" s="457"/>
      <c r="PK340" s="457"/>
      <c r="PL340" s="457"/>
      <c r="PM340" s="457"/>
      <c r="PN340" s="457"/>
      <c r="PO340" s="457"/>
      <c r="PP340" s="457"/>
      <c r="PQ340" s="457"/>
      <c r="PR340" s="457"/>
      <c r="PS340" s="457"/>
      <c r="PT340" s="457"/>
      <c r="PU340" s="457"/>
      <c r="PV340" s="457"/>
      <c r="PW340" s="457"/>
      <c r="PX340" s="457"/>
      <c r="PY340" s="457"/>
      <c r="PZ340" s="457"/>
      <c r="QA340" s="457"/>
      <c r="QB340" s="457"/>
      <c r="QC340" s="457"/>
      <c r="QD340" s="457"/>
      <c r="QE340" s="457"/>
      <c r="QF340" s="457"/>
      <c r="QG340" s="457"/>
      <c r="QH340" s="457"/>
      <c r="QI340" s="457"/>
      <c r="QJ340" s="457"/>
      <c r="QK340" s="457"/>
      <c r="QL340" s="457"/>
      <c r="QM340" s="457"/>
      <c r="QN340" s="457"/>
      <c r="QO340" s="457"/>
      <c r="QP340" s="457"/>
      <c r="QQ340" s="457"/>
      <c r="QR340" s="457"/>
      <c r="QS340" s="457"/>
      <c r="QT340" s="457"/>
      <c r="QU340" s="457"/>
      <c r="QV340" s="457"/>
      <c r="QW340" s="457"/>
      <c r="QX340" s="457"/>
      <c r="QY340" s="457"/>
      <c r="QZ340" s="457"/>
      <c r="RA340" s="457"/>
      <c r="RB340" s="457"/>
      <c r="RC340" s="457"/>
      <c r="RD340" s="457"/>
      <c r="RE340" s="457"/>
      <c r="RF340" s="457"/>
      <c r="RG340" s="457"/>
      <c r="RH340" s="457"/>
      <c r="RI340" s="457"/>
      <c r="RJ340" s="457"/>
      <c r="RK340" s="457"/>
      <c r="RL340" s="457"/>
      <c r="RM340" s="457"/>
      <c r="RN340" s="457"/>
      <c r="RO340" s="457"/>
      <c r="RP340" s="457"/>
      <c r="RQ340" s="457"/>
      <c r="RR340" s="457"/>
      <c r="RS340" s="457"/>
      <c r="RT340" s="457"/>
      <c r="RU340" s="457"/>
      <c r="RV340" s="457"/>
      <c r="RW340" s="457"/>
      <c r="RX340" s="457"/>
      <c r="RY340" s="457"/>
      <c r="RZ340" s="457"/>
      <c r="SA340" s="457"/>
      <c r="SB340" s="457"/>
      <c r="SC340" s="457"/>
      <c r="SD340" s="457"/>
      <c r="SE340" s="457"/>
      <c r="SF340" s="457"/>
      <c r="SG340" s="457"/>
      <c r="SH340" s="457"/>
      <c r="SI340" s="457"/>
      <c r="SJ340" s="457"/>
      <c r="SK340" s="457"/>
      <c r="SL340" s="457"/>
      <c r="SM340" s="457"/>
      <c r="SN340" s="457"/>
      <c r="SO340" s="457"/>
      <c r="SP340" s="457"/>
      <c r="SQ340" s="457"/>
      <c r="SR340" s="457"/>
      <c r="SS340" s="457"/>
      <c r="ST340" s="457"/>
      <c r="SU340" s="457"/>
      <c r="SV340" s="457"/>
      <c r="SW340" s="457"/>
      <c r="SX340" s="457"/>
      <c r="SY340" s="457"/>
      <c r="SZ340" s="457"/>
      <c r="TA340" s="457"/>
      <c r="TB340" s="457"/>
      <c r="TC340" s="457"/>
      <c r="TD340" s="457"/>
      <c r="TE340" s="457"/>
      <c r="TF340" s="457"/>
      <c r="TG340" s="457"/>
      <c r="TH340" s="457"/>
      <c r="TI340" s="457"/>
      <c r="TJ340" s="457"/>
      <c r="TK340" s="457"/>
      <c r="TL340" s="457"/>
      <c r="TM340" s="457"/>
      <c r="TN340" s="457"/>
      <c r="TO340" s="457"/>
      <c r="TP340" s="457"/>
      <c r="TQ340" s="457"/>
      <c r="TR340" s="457"/>
      <c r="TS340" s="457"/>
      <c r="TT340" s="457"/>
      <c r="TU340" s="457"/>
      <c r="TV340" s="457"/>
      <c r="TW340" s="457"/>
      <c r="TX340" s="457"/>
      <c r="TY340" s="457"/>
      <c r="TZ340" s="457"/>
      <c r="UA340" s="457"/>
      <c r="UB340" s="457"/>
      <c r="UC340" s="457"/>
      <c r="UD340" s="457"/>
      <c r="UE340" s="457"/>
      <c r="UF340" s="457"/>
      <c r="UG340" s="457"/>
      <c r="UH340" s="457"/>
      <c r="UI340" s="457"/>
      <c r="UJ340" s="457"/>
      <c r="UK340" s="457"/>
      <c r="UL340" s="457"/>
      <c r="UM340" s="457"/>
      <c r="UN340" s="457"/>
      <c r="UO340" s="457"/>
      <c r="UP340" s="457"/>
      <c r="UQ340" s="457"/>
      <c r="UR340" s="457"/>
      <c r="US340" s="457"/>
      <c r="UT340" s="457"/>
      <c r="UU340" s="457"/>
      <c r="UV340" s="457"/>
      <c r="UW340" s="457"/>
      <c r="UX340" s="457"/>
      <c r="UY340" s="457"/>
      <c r="UZ340" s="457"/>
      <c r="VA340" s="457"/>
      <c r="VB340" s="457"/>
      <c r="VC340" s="457"/>
      <c r="VD340" s="457"/>
      <c r="VE340" s="457"/>
      <c r="VF340" s="457"/>
      <c r="VG340" s="457"/>
      <c r="VH340" s="457"/>
      <c r="VI340" s="457"/>
      <c r="VJ340" s="457"/>
      <c r="VK340" s="457"/>
      <c r="VL340" s="457"/>
      <c r="VM340" s="457"/>
      <c r="VN340" s="457"/>
      <c r="VO340" s="457"/>
      <c r="VP340" s="457"/>
      <c r="VQ340" s="457"/>
      <c r="VR340" s="457"/>
      <c r="VS340" s="457"/>
      <c r="VT340" s="457"/>
      <c r="VU340" s="457"/>
      <c r="VV340" s="457"/>
      <c r="VW340" s="457"/>
      <c r="VX340" s="457"/>
      <c r="VY340" s="457"/>
      <c r="VZ340" s="457"/>
      <c r="WA340" s="457"/>
      <c r="WB340" s="457"/>
      <c r="WC340" s="457"/>
      <c r="WD340" s="457"/>
      <c r="WE340" s="457"/>
      <c r="WF340" s="457"/>
      <c r="WG340" s="457"/>
      <c r="WH340" s="457"/>
      <c r="WI340" s="457"/>
      <c r="WJ340" s="457"/>
      <c r="WK340" s="457"/>
      <c r="WL340" s="457"/>
      <c r="WM340" s="457"/>
      <c r="WN340" s="457"/>
      <c r="WO340" s="457"/>
      <c r="WP340" s="457"/>
      <c r="WQ340" s="457"/>
      <c r="WR340" s="457"/>
      <c r="WS340" s="457"/>
      <c r="WT340" s="457"/>
      <c r="WU340" s="457"/>
      <c r="WV340" s="457"/>
      <c r="WW340" s="457"/>
      <c r="WX340" s="457"/>
      <c r="WY340" s="457"/>
      <c r="WZ340" s="457"/>
      <c r="XA340" s="457"/>
      <c r="XB340" s="457"/>
      <c r="XC340" s="457"/>
      <c r="XD340" s="457"/>
      <c r="XE340" s="457"/>
      <c r="XF340" s="457"/>
      <c r="XG340" s="457"/>
      <c r="XH340" s="457"/>
      <c r="XI340" s="457"/>
      <c r="XJ340" s="457"/>
      <c r="XK340" s="457"/>
      <c r="XL340" s="457"/>
      <c r="XM340" s="457"/>
      <c r="XN340" s="457"/>
      <c r="XO340" s="457"/>
      <c r="XP340" s="457"/>
      <c r="XQ340" s="457"/>
      <c r="XR340" s="457"/>
      <c r="XS340" s="457"/>
      <c r="XT340" s="457"/>
      <c r="XU340" s="457"/>
      <c r="XV340" s="457"/>
      <c r="XW340" s="457"/>
      <c r="XX340" s="457"/>
      <c r="XY340" s="457"/>
      <c r="XZ340" s="457"/>
      <c r="YA340" s="457"/>
      <c r="YB340" s="457"/>
      <c r="YC340" s="457"/>
      <c r="YD340" s="457"/>
      <c r="YE340" s="457"/>
      <c r="YF340" s="457"/>
      <c r="YG340" s="457"/>
      <c r="YH340" s="457"/>
      <c r="YI340" s="457"/>
      <c r="YJ340" s="457"/>
      <c r="YK340" s="457"/>
      <c r="YL340" s="457"/>
      <c r="YM340" s="457"/>
      <c r="YN340" s="457"/>
      <c r="YO340" s="457"/>
      <c r="YP340" s="457"/>
      <c r="YQ340" s="457"/>
      <c r="YR340" s="457"/>
      <c r="YS340" s="457"/>
      <c r="YT340" s="457"/>
      <c r="YU340" s="457"/>
      <c r="YV340" s="457"/>
      <c r="YW340" s="457"/>
      <c r="YX340" s="457"/>
      <c r="YY340" s="457"/>
      <c r="YZ340" s="457"/>
      <c r="ZA340" s="457"/>
      <c r="ZB340" s="457"/>
      <c r="ZC340" s="457"/>
      <c r="ZD340" s="457"/>
      <c r="ZE340" s="457"/>
      <c r="ZF340" s="457"/>
      <c r="ZG340" s="457"/>
      <c r="ZH340" s="457"/>
      <c r="ZI340" s="457"/>
      <c r="ZJ340" s="457"/>
      <c r="ZK340" s="457"/>
      <c r="ZL340" s="457"/>
      <c r="ZM340" s="457"/>
      <c r="ZN340" s="457"/>
      <c r="ZO340" s="457"/>
      <c r="ZP340" s="457"/>
      <c r="ZQ340" s="457"/>
      <c r="ZR340" s="457"/>
      <c r="ZS340" s="457"/>
      <c r="ZT340" s="457"/>
      <c r="ZU340" s="457"/>
      <c r="ZV340" s="457"/>
      <c r="ZW340" s="457"/>
      <c r="ZX340" s="457"/>
      <c r="ZY340" s="457"/>
      <c r="ZZ340" s="457"/>
      <c r="AAA340" s="457"/>
      <c r="AAB340" s="457"/>
      <c r="AAC340" s="457"/>
      <c r="AAD340" s="457"/>
      <c r="AAE340" s="457"/>
      <c r="AAF340" s="457"/>
      <c r="AAG340" s="457"/>
      <c r="AAH340" s="457"/>
      <c r="AAI340" s="457"/>
      <c r="AAJ340" s="457"/>
      <c r="AAK340" s="457"/>
      <c r="AAL340" s="457"/>
      <c r="AAM340" s="457"/>
      <c r="AAN340" s="457"/>
      <c r="AAO340" s="457"/>
      <c r="AAP340" s="457"/>
      <c r="AAQ340" s="457"/>
      <c r="AAR340" s="457"/>
      <c r="AAS340" s="457"/>
      <c r="AAT340" s="457"/>
      <c r="AAU340" s="457"/>
      <c r="AAV340" s="457"/>
      <c r="AAW340" s="457"/>
      <c r="AAX340" s="457"/>
      <c r="AAY340" s="457"/>
      <c r="AAZ340" s="457"/>
      <c r="ABA340" s="457"/>
      <c r="ABB340" s="457"/>
      <c r="ABC340" s="457"/>
      <c r="ABD340" s="457"/>
      <c r="ABE340" s="457"/>
      <c r="ABF340" s="457"/>
      <c r="ABG340" s="457"/>
      <c r="ABH340" s="457"/>
      <c r="ABI340" s="457"/>
      <c r="ABJ340" s="457"/>
      <c r="ABK340" s="457"/>
      <c r="ABL340" s="457"/>
      <c r="ABM340" s="457"/>
      <c r="ABN340" s="457"/>
      <c r="ABO340" s="457"/>
      <c r="ABP340" s="457"/>
      <c r="ABQ340" s="457"/>
      <c r="ABR340" s="457"/>
      <c r="ABS340" s="457"/>
      <c r="ABT340" s="457"/>
      <c r="ABU340" s="457"/>
      <c r="ABV340" s="457"/>
      <c r="ABW340" s="457"/>
      <c r="ABX340" s="457"/>
      <c r="ABY340" s="457"/>
      <c r="ABZ340" s="457"/>
      <c r="ACA340" s="457"/>
      <c r="ACB340" s="457"/>
      <c r="ACC340" s="457"/>
      <c r="ACD340" s="457"/>
      <c r="ACE340" s="457"/>
      <c r="ACF340" s="457"/>
      <c r="ACG340" s="457"/>
      <c r="ACH340" s="457"/>
      <c r="ACI340" s="457"/>
      <c r="ACJ340" s="457"/>
      <c r="ACK340" s="457"/>
      <c r="ACL340" s="457"/>
      <c r="ACM340" s="457"/>
      <c r="ACN340" s="457"/>
      <c r="ACO340" s="457"/>
      <c r="ACP340" s="457"/>
      <c r="ACQ340" s="457"/>
      <c r="ACR340" s="457"/>
      <c r="ACS340" s="457"/>
      <c r="ACT340" s="457"/>
      <c r="ACU340" s="457"/>
      <c r="ACV340" s="457"/>
    </row>
    <row r="341" spans="1:776" s="400" customFormat="1" x14ac:dyDescent="0.25">
      <c r="A341" s="470">
        <v>900056</v>
      </c>
      <c r="B341" s="454" t="s">
        <v>194</v>
      </c>
      <c r="C341" s="455"/>
      <c r="D341" s="454" t="s">
        <v>195</v>
      </c>
      <c r="E341" s="454">
        <v>1.49</v>
      </c>
      <c r="F341" s="458">
        <v>28.3</v>
      </c>
      <c r="G341" s="454">
        <v>0.01</v>
      </c>
      <c r="H341" s="454">
        <v>0.1</v>
      </c>
      <c r="I341" s="456">
        <v>277.3</v>
      </c>
      <c r="J341" s="454">
        <v>73.7</v>
      </c>
      <c r="K341" s="454">
        <v>6.1199999999999997E-2</v>
      </c>
      <c r="L341" s="454">
        <v>340.8</v>
      </c>
      <c r="M341" s="454"/>
      <c r="N341" s="454">
        <v>2.2599999999999998</v>
      </c>
      <c r="O341" s="454">
        <v>154.81</v>
      </c>
      <c r="P341" s="454">
        <v>83.96</v>
      </c>
      <c r="Q341" s="454">
        <v>47.33</v>
      </c>
      <c r="R341" s="454">
        <v>1.0000000000000001E-5</v>
      </c>
      <c r="S341" s="454">
        <v>1.0000000000000001E-5</v>
      </c>
      <c r="T341" s="454">
        <v>1.0000000000000001E-5</v>
      </c>
      <c r="U341" s="454">
        <v>1.0000000000000001E-5</v>
      </c>
      <c r="V341" s="454"/>
      <c r="W341" s="457"/>
      <c r="X341" s="457"/>
      <c r="Y341" s="457"/>
      <c r="Z341" s="457"/>
      <c r="AA341" s="457"/>
      <c r="AB341" s="457"/>
      <c r="AC341" s="457"/>
      <c r="AD341" s="457"/>
      <c r="AE341" s="457"/>
      <c r="AF341" s="457"/>
      <c r="AG341" s="457"/>
      <c r="AH341" s="457"/>
      <c r="AI341" s="457"/>
      <c r="AJ341" s="457"/>
      <c r="AK341" s="457"/>
      <c r="AL341" s="457"/>
      <c r="AM341" s="457"/>
      <c r="AN341" s="457"/>
      <c r="AO341" s="457"/>
      <c r="AP341" s="457"/>
      <c r="AQ341" s="457"/>
      <c r="AR341" s="457"/>
      <c r="AS341" s="457"/>
      <c r="AT341" s="457"/>
      <c r="AU341" s="457"/>
      <c r="AV341" s="457"/>
      <c r="AW341" s="457"/>
      <c r="AX341" s="457"/>
      <c r="AY341" s="457"/>
      <c r="AZ341" s="457"/>
      <c r="BA341" s="457"/>
      <c r="BB341" s="457"/>
      <c r="BC341" s="457"/>
      <c r="BD341" s="457"/>
      <c r="BE341" s="457"/>
      <c r="BF341" s="457"/>
      <c r="BG341" s="457"/>
      <c r="BH341" s="457"/>
      <c r="BI341" s="457"/>
      <c r="BJ341" s="457"/>
      <c r="BK341" s="457"/>
      <c r="BL341" s="457"/>
      <c r="BM341" s="457"/>
      <c r="BN341" s="457"/>
      <c r="BO341" s="457"/>
      <c r="BP341" s="457"/>
      <c r="BQ341" s="457"/>
      <c r="BR341" s="457"/>
      <c r="BS341" s="457"/>
      <c r="BT341" s="457"/>
      <c r="BU341" s="457"/>
      <c r="BV341" s="457"/>
      <c r="BW341" s="457"/>
      <c r="BX341" s="457"/>
      <c r="BY341" s="457"/>
      <c r="BZ341" s="457"/>
      <c r="CA341" s="457"/>
      <c r="CB341" s="457"/>
      <c r="CC341" s="457"/>
      <c r="CD341" s="457"/>
      <c r="CE341" s="457"/>
      <c r="CF341" s="457"/>
      <c r="CG341" s="457"/>
      <c r="CH341" s="457"/>
      <c r="CI341" s="457"/>
      <c r="CJ341" s="457"/>
      <c r="CK341" s="457"/>
      <c r="CL341" s="457"/>
      <c r="CM341" s="457"/>
      <c r="CN341" s="457"/>
      <c r="CO341" s="457"/>
      <c r="CP341" s="457"/>
      <c r="CQ341" s="457"/>
      <c r="CR341" s="457"/>
      <c r="CS341" s="457"/>
      <c r="CT341" s="457"/>
      <c r="CU341" s="457"/>
      <c r="CV341" s="457"/>
      <c r="CW341" s="457"/>
      <c r="CX341" s="457"/>
      <c r="CY341" s="457"/>
      <c r="CZ341" s="457"/>
      <c r="DA341" s="457"/>
      <c r="DB341" s="457"/>
      <c r="DC341" s="457"/>
      <c r="DD341" s="457"/>
      <c r="DE341" s="457"/>
      <c r="DF341" s="457"/>
      <c r="DG341" s="457"/>
      <c r="DH341" s="457"/>
      <c r="DI341" s="457"/>
      <c r="DJ341" s="457"/>
      <c r="DK341" s="457"/>
      <c r="DL341" s="457"/>
      <c r="DM341" s="457"/>
      <c r="DN341" s="457"/>
      <c r="DO341" s="457"/>
      <c r="DP341" s="457"/>
      <c r="DQ341" s="457"/>
      <c r="DR341" s="457"/>
      <c r="DS341" s="457"/>
      <c r="DT341" s="457"/>
      <c r="DU341" s="457"/>
      <c r="DV341" s="457"/>
      <c r="DW341" s="457"/>
      <c r="DX341" s="457"/>
      <c r="DY341" s="457"/>
      <c r="DZ341" s="457"/>
      <c r="EA341" s="457"/>
      <c r="EB341" s="457"/>
      <c r="EC341" s="457"/>
      <c r="ED341" s="457"/>
      <c r="EE341" s="457"/>
      <c r="EF341" s="457"/>
      <c r="EG341" s="457"/>
      <c r="EH341" s="457"/>
      <c r="EI341" s="457"/>
      <c r="EJ341" s="457"/>
      <c r="EK341" s="457"/>
      <c r="EL341" s="457"/>
      <c r="EM341" s="457"/>
      <c r="EN341" s="457"/>
      <c r="EO341" s="457"/>
      <c r="EP341" s="457"/>
      <c r="EQ341" s="457"/>
      <c r="ER341" s="457"/>
      <c r="ES341" s="457"/>
      <c r="ET341" s="457"/>
      <c r="EU341" s="457"/>
      <c r="EV341" s="457"/>
      <c r="EW341" s="457"/>
      <c r="EX341" s="457"/>
      <c r="EY341" s="457"/>
      <c r="EZ341" s="457"/>
      <c r="FA341" s="457"/>
      <c r="FB341" s="457"/>
      <c r="FC341" s="457"/>
      <c r="FD341" s="457"/>
      <c r="FE341" s="457"/>
      <c r="FF341" s="457"/>
      <c r="FG341" s="457"/>
      <c r="FH341" s="457"/>
      <c r="FI341" s="457"/>
      <c r="FJ341" s="457"/>
      <c r="FK341" s="457"/>
      <c r="FL341" s="457"/>
      <c r="FM341" s="457"/>
      <c r="FN341" s="457"/>
      <c r="FO341" s="457"/>
      <c r="FP341" s="457"/>
      <c r="FQ341" s="457"/>
      <c r="FR341" s="457"/>
      <c r="FS341" s="457"/>
      <c r="FT341" s="457"/>
      <c r="FU341" s="457"/>
      <c r="FV341" s="457"/>
      <c r="FW341" s="457"/>
      <c r="FX341" s="457"/>
      <c r="FY341" s="457"/>
      <c r="FZ341" s="457"/>
      <c r="GA341" s="457"/>
      <c r="GB341" s="457"/>
      <c r="GC341" s="457"/>
      <c r="GD341" s="457"/>
      <c r="GE341" s="457"/>
      <c r="GF341" s="457"/>
      <c r="GG341" s="457"/>
      <c r="GH341" s="457"/>
      <c r="GI341" s="457"/>
      <c r="GJ341" s="457"/>
      <c r="GK341" s="457"/>
      <c r="GL341" s="457"/>
      <c r="GM341" s="457"/>
      <c r="GN341" s="457"/>
      <c r="GO341" s="457"/>
      <c r="GP341" s="457"/>
      <c r="GQ341" s="457"/>
      <c r="GR341" s="457"/>
      <c r="GS341" s="457"/>
      <c r="GT341" s="457"/>
      <c r="GU341" s="457"/>
      <c r="GV341" s="457"/>
      <c r="GW341" s="457"/>
      <c r="GX341" s="457"/>
      <c r="GY341" s="457"/>
      <c r="GZ341" s="457"/>
      <c r="HA341" s="457"/>
      <c r="HB341" s="457"/>
      <c r="HC341" s="457"/>
      <c r="HD341" s="457"/>
      <c r="HE341" s="457"/>
      <c r="HF341" s="457"/>
      <c r="HG341" s="457"/>
      <c r="HH341" s="457"/>
      <c r="HI341" s="457"/>
      <c r="HJ341" s="457"/>
      <c r="HK341" s="457"/>
      <c r="HL341" s="457"/>
      <c r="HM341" s="457"/>
      <c r="HN341" s="457"/>
      <c r="HO341" s="457"/>
      <c r="HP341" s="457"/>
      <c r="HQ341" s="457"/>
      <c r="HR341" s="457"/>
      <c r="HS341" s="457"/>
      <c r="HT341" s="457"/>
      <c r="HU341" s="457"/>
      <c r="HV341" s="457"/>
      <c r="HW341" s="457"/>
      <c r="HX341" s="457"/>
      <c r="HY341" s="457"/>
      <c r="HZ341" s="457"/>
      <c r="IA341" s="457"/>
      <c r="IB341" s="457"/>
      <c r="IC341" s="457"/>
      <c r="ID341" s="457"/>
      <c r="IE341" s="457"/>
      <c r="IF341" s="457"/>
      <c r="IG341" s="457"/>
      <c r="IH341" s="457"/>
      <c r="II341" s="457"/>
      <c r="IJ341" s="457"/>
      <c r="IK341" s="457"/>
      <c r="IL341" s="457"/>
      <c r="IM341" s="457"/>
      <c r="IN341" s="457"/>
      <c r="IO341" s="457"/>
      <c r="IP341" s="457"/>
      <c r="IQ341" s="457"/>
      <c r="IR341" s="457"/>
      <c r="IS341" s="457"/>
      <c r="IT341" s="457"/>
      <c r="IU341" s="457"/>
      <c r="IV341" s="457"/>
      <c r="IW341" s="457"/>
      <c r="IX341" s="457"/>
      <c r="IY341" s="457"/>
      <c r="IZ341" s="457"/>
      <c r="JA341" s="457"/>
      <c r="JB341" s="457"/>
      <c r="JC341" s="457"/>
      <c r="JD341" s="457"/>
      <c r="JE341" s="457"/>
      <c r="JF341" s="457"/>
      <c r="JG341" s="457"/>
      <c r="JH341" s="457"/>
      <c r="JI341" s="457"/>
      <c r="JJ341" s="457"/>
      <c r="JK341" s="457"/>
      <c r="JL341" s="457"/>
      <c r="JM341" s="457"/>
      <c r="JN341" s="457"/>
      <c r="JO341" s="457"/>
      <c r="JP341" s="457"/>
      <c r="JQ341" s="457"/>
      <c r="JR341" s="457"/>
      <c r="JS341" s="457"/>
      <c r="JT341" s="457"/>
      <c r="JU341" s="457"/>
      <c r="JV341" s="457"/>
      <c r="JW341" s="457"/>
      <c r="JX341" s="457"/>
      <c r="JY341" s="457"/>
      <c r="JZ341" s="457"/>
      <c r="KA341" s="457"/>
      <c r="KB341" s="457"/>
      <c r="KC341" s="457"/>
      <c r="KD341" s="457"/>
      <c r="KE341" s="457"/>
      <c r="KF341" s="457"/>
      <c r="KG341" s="457"/>
      <c r="KH341" s="457"/>
      <c r="KI341" s="457"/>
      <c r="KJ341" s="457"/>
      <c r="KK341" s="457"/>
      <c r="KL341" s="457"/>
      <c r="KM341" s="457"/>
      <c r="KN341" s="457"/>
      <c r="KO341" s="457"/>
      <c r="KP341" s="457"/>
      <c r="KQ341" s="457"/>
      <c r="KR341" s="457"/>
      <c r="KS341" s="457"/>
      <c r="KT341" s="457"/>
      <c r="KU341" s="457"/>
      <c r="KV341" s="457"/>
      <c r="KW341" s="457"/>
      <c r="KX341" s="457"/>
      <c r="KY341" s="457"/>
      <c r="KZ341" s="457"/>
      <c r="LA341" s="457"/>
      <c r="LB341" s="457"/>
      <c r="LC341" s="457"/>
      <c r="LD341" s="457"/>
      <c r="LE341" s="457"/>
      <c r="LF341" s="457"/>
      <c r="LG341" s="457"/>
      <c r="LH341" s="457"/>
      <c r="LI341" s="457"/>
      <c r="LJ341" s="457"/>
      <c r="LK341" s="457"/>
      <c r="LL341" s="457"/>
      <c r="LM341" s="457"/>
      <c r="LN341" s="457"/>
      <c r="LO341" s="457"/>
      <c r="LP341" s="457"/>
      <c r="LQ341" s="457"/>
      <c r="LR341" s="457"/>
      <c r="LS341" s="457"/>
      <c r="LT341" s="457"/>
      <c r="LU341" s="457"/>
      <c r="LV341" s="457"/>
      <c r="LW341" s="457"/>
      <c r="LX341" s="457"/>
      <c r="LY341" s="457"/>
      <c r="LZ341" s="457"/>
      <c r="MA341" s="457"/>
      <c r="MB341" s="457"/>
      <c r="MC341" s="457"/>
      <c r="MD341" s="457"/>
      <c r="ME341" s="457"/>
      <c r="MF341" s="457"/>
      <c r="MG341" s="457"/>
      <c r="MH341" s="457"/>
      <c r="MI341" s="457"/>
      <c r="MJ341" s="457"/>
      <c r="MK341" s="457"/>
      <c r="ML341" s="457"/>
      <c r="MM341" s="457"/>
      <c r="MN341" s="457"/>
      <c r="MO341" s="457"/>
      <c r="MP341" s="457"/>
      <c r="MQ341" s="457"/>
      <c r="MR341" s="457"/>
      <c r="MS341" s="457"/>
      <c r="MT341" s="457"/>
      <c r="MU341" s="457"/>
      <c r="MV341" s="457"/>
      <c r="MW341" s="457"/>
      <c r="MX341" s="457"/>
      <c r="MY341" s="457"/>
      <c r="MZ341" s="457"/>
      <c r="NA341" s="457"/>
      <c r="NB341" s="457"/>
      <c r="NC341" s="457"/>
      <c r="ND341" s="457"/>
      <c r="NE341" s="457"/>
      <c r="NF341" s="457"/>
      <c r="NG341" s="457"/>
      <c r="NH341" s="457"/>
      <c r="NI341" s="457"/>
      <c r="NJ341" s="457"/>
      <c r="NK341" s="457"/>
      <c r="NL341" s="457"/>
      <c r="NM341" s="457"/>
      <c r="NN341" s="457"/>
      <c r="NO341" s="457"/>
      <c r="NP341" s="457"/>
      <c r="NQ341" s="457"/>
      <c r="NR341" s="457"/>
      <c r="NS341" s="457"/>
      <c r="NT341" s="457"/>
      <c r="NU341" s="457"/>
      <c r="NV341" s="457"/>
      <c r="NW341" s="457"/>
      <c r="NX341" s="457"/>
      <c r="NY341" s="457"/>
      <c r="NZ341" s="457"/>
      <c r="OA341" s="457"/>
      <c r="OB341" s="457"/>
      <c r="OC341" s="457"/>
      <c r="OD341" s="457"/>
      <c r="OE341" s="457"/>
      <c r="OF341" s="457"/>
      <c r="OG341" s="457"/>
      <c r="OH341" s="457"/>
      <c r="OI341" s="457"/>
      <c r="OJ341" s="457"/>
      <c r="OK341" s="457"/>
      <c r="OL341" s="457"/>
      <c r="OM341" s="457"/>
      <c r="ON341" s="457"/>
      <c r="OO341" s="457"/>
      <c r="OP341" s="457"/>
      <c r="OQ341" s="457"/>
      <c r="OR341" s="457"/>
      <c r="OS341" s="457"/>
      <c r="OT341" s="457"/>
      <c r="OU341" s="457"/>
      <c r="OV341" s="457"/>
      <c r="OW341" s="457"/>
      <c r="OX341" s="457"/>
      <c r="OY341" s="457"/>
      <c r="OZ341" s="457"/>
      <c r="PA341" s="457"/>
      <c r="PB341" s="457"/>
      <c r="PC341" s="457"/>
      <c r="PD341" s="457"/>
      <c r="PE341" s="457"/>
      <c r="PF341" s="457"/>
      <c r="PG341" s="457"/>
      <c r="PH341" s="457"/>
      <c r="PI341" s="457"/>
      <c r="PJ341" s="457"/>
      <c r="PK341" s="457"/>
      <c r="PL341" s="457"/>
      <c r="PM341" s="457"/>
      <c r="PN341" s="457"/>
      <c r="PO341" s="457"/>
      <c r="PP341" s="457"/>
      <c r="PQ341" s="457"/>
      <c r="PR341" s="457"/>
      <c r="PS341" s="457"/>
      <c r="PT341" s="457"/>
      <c r="PU341" s="457"/>
      <c r="PV341" s="457"/>
      <c r="PW341" s="457"/>
      <c r="PX341" s="457"/>
      <c r="PY341" s="457"/>
      <c r="PZ341" s="457"/>
      <c r="QA341" s="457"/>
      <c r="QB341" s="457"/>
      <c r="QC341" s="457"/>
      <c r="QD341" s="457"/>
      <c r="QE341" s="457"/>
      <c r="QF341" s="457"/>
      <c r="QG341" s="457"/>
      <c r="QH341" s="457"/>
      <c r="QI341" s="457"/>
      <c r="QJ341" s="457"/>
      <c r="QK341" s="457"/>
      <c r="QL341" s="457"/>
      <c r="QM341" s="457"/>
      <c r="QN341" s="457"/>
      <c r="QO341" s="457"/>
      <c r="QP341" s="457"/>
      <c r="QQ341" s="457"/>
      <c r="QR341" s="457"/>
      <c r="QS341" s="457"/>
      <c r="QT341" s="457"/>
      <c r="QU341" s="457"/>
      <c r="QV341" s="457"/>
      <c r="QW341" s="457"/>
      <c r="QX341" s="457"/>
      <c r="QY341" s="457"/>
      <c r="QZ341" s="457"/>
      <c r="RA341" s="457"/>
      <c r="RB341" s="457"/>
      <c r="RC341" s="457"/>
      <c r="RD341" s="457"/>
      <c r="RE341" s="457"/>
      <c r="RF341" s="457"/>
      <c r="RG341" s="457"/>
      <c r="RH341" s="457"/>
      <c r="RI341" s="457"/>
      <c r="RJ341" s="457"/>
      <c r="RK341" s="457"/>
      <c r="RL341" s="457"/>
      <c r="RM341" s="457"/>
      <c r="RN341" s="457"/>
      <c r="RO341" s="457"/>
      <c r="RP341" s="457"/>
      <c r="RQ341" s="457"/>
      <c r="RR341" s="457"/>
      <c r="RS341" s="457"/>
      <c r="RT341" s="457"/>
      <c r="RU341" s="457"/>
      <c r="RV341" s="457"/>
      <c r="RW341" s="457"/>
      <c r="RX341" s="457"/>
      <c r="RY341" s="457"/>
      <c r="RZ341" s="457"/>
      <c r="SA341" s="457"/>
      <c r="SB341" s="457"/>
      <c r="SC341" s="457"/>
      <c r="SD341" s="457"/>
      <c r="SE341" s="457"/>
      <c r="SF341" s="457"/>
      <c r="SG341" s="457"/>
      <c r="SH341" s="457"/>
      <c r="SI341" s="457"/>
      <c r="SJ341" s="457"/>
      <c r="SK341" s="457"/>
      <c r="SL341" s="457"/>
      <c r="SM341" s="457"/>
      <c r="SN341" s="457"/>
      <c r="SO341" s="457"/>
      <c r="SP341" s="457"/>
      <c r="SQ341" s="457"/>
      <c r="SR341" s="457"/>
      <c r="SS341" s="457"/>
      <c r="ST341" s="457"/>
      <c r="SU341" s="457"/>
      <c r="SV341" s="457"/>
      <c r="SW341" s="457"/>
      <c r="SX341" s="457"/>
      <c r="SY341" s="457"/>
      <c r="SZ341" s="457"/>
      <c r="TA341" s="457"/>
      <c r="TB341" s="457"/>
      <c r="TC341" s="457"/>
      <c r="TD341" s="457"/>
      <c r="TE341" s="457"/>
      <c r="TF341" s="457"/>
      <c r="TG341" s="457"/>
      <c r="TH341" s="457"/>
      <c r="TI341" s="457"/>
      <c r="TJ341" s="457"/>
      <c r="TK341" s="457"/>
      <c r="TL341" s="457"/>
      <c r="TM341" s="457"/>
      <c r="TN341" s="457"/>
      <c r="TO341" s="457"/>
      <c r="TP341" s="457"/>
      <c r="TQ341" s="457"/>
      <c r="TR341" s="457"/>
      <c r="TS341" s="457"/>
      <c r="TT341" s="457"/>
      <c r="TU341" s="457"/>
      <c r="TV341" s="457"/>
      <c r="TW341" s="457"/>
      <c r="TX341" s="457"/>
      <c r="TY341" s="457"/>
      <c r="TZ341" s="457"/>
      <c r="UA341" s="457"/>
      <c r="UB341" s="457"/>
      <c r="UC341" s="457"/>
      <c r="UD341" s="457"/>
      <c r="UE341" s="457"/>
      <c r="UF341" s="457"/>
      <c r="UG341" s="457"/>
      <c r="UH341" s="457"/>
      <c r="UI341" s="457"/>
      <c r="UJ341" s="457"/>
      <c r="UK341" s="457"/>
      <c r="UL341" s="457"/>
      <c r="UM341" s="457"/>
      <c r="UN341" s="457"/>
      <c r="UO341" s="457"/>
      <c r="UP341" s="457"/>
      <c r="UQ341" s="457"/>
      <c r="UR341" s="457"/>
      <c r="US341" s="457"/>
      <c r="UT341" s="457"/>
      <c r="UU341" s="457"/>
      <c r="UV341" s="457"/>
      <c r="UW341" s="457"/>
      <c r="UX341" s="457"/>
      <c r="UY341" s="457"/>
      <c r="UZ341" s="457"/>
      <c r="VA341" s="457"/>
      <c r="VB341" s="457"/>
      <c r="VC341" s="457"/>
      <c r="VD341" s="457"/>
      <c r="VE341" s="457"/>
      <c r="VF341" s="457"/>
      <c r="VG341" s="457"/>
      <c r="VH341" s="457"/>
      <c r="VI341" s="457"/>
      <c r="VJ341" s="457"/>
      <c r="VK341" s="457"/>
      <c r="VL341" s="457"/>
      <c r="VM341" s="457"/>
      <c r="VN341" s="457"/>
      <c r="VO341" s="457"/>
      <c r="VP341" s="457"/>
      <c r="VQ341" s="457"/>
      <c r="VR341" s="457"/>
      <c r="VS341" s="457"/>
      <c r="VT341" s="457"/>
      <c r="VU341" s="457"/>
      <c r="VV341" s="457"/>
      <c r="VW341" s="457"/>
      <c r="VX341" s="457"/>
      <c r="VY341" s="457"/>
      <c r="VZ341" s="457"/>
      <c r="WA341" s="457"/>
      <c r="WB341" s="457"/>
      <c r="WC341" s="457"/>
      <c r="WD341" s="457"/>
      <c r="WE341" s="457"/>
      <c r="WF341" s="457"/>
      <c r="WG341" s="457"/>
      <c r="WH341" s="457"/>
      <c r="WI341" s="457"/>
      <c r="WJ341" s="457"/>
      <c r="WK341" s="457"/>
      <c r="WL341" s="457"/>
      <c r="WM341" s="457"/>
      <c r="WN341" s="457"/>
      <c r="WO341" s="457"/>
      <c r="WP341" s="457"/>
      <c r="WQ341" s="457"/>
      <c r="WR341" s="457"/>
      <c r="WS341" s="457"/>
      <c r="WT341" s="457"/>
      <c r="WU341" s="457"/>
      <c r="WV341" s="457"/>
      <c r="WW341" s="457"/>
      <c r="WX341" s="457"/>
      <c r="WY341" s="457"/>
      <c r="WZ341" s="457"/>
      <c r="XA341" s="457"/>
      <c r="XB341" s="457"/>
      <c r="XC341" s="457"/>
      <c r="XD341" s="457"/>
      <c r="XE341" s="457"/>
      <c r="XF341" s="457"/>
      <c r="XG341" s="457"/>
      <c r="XH341" s="457"/>
      <c r="XI341" s="457"/>
      <c r="XJ341" s="457"/>
      <c r="XK341" s="457"/>
      <c r="XL341" s="457"/>
      <c r="XM341" s="457"/>
      <c r="XN341" s="457"/>
      <c r="XO341" s="457"/>
      <c r="XP341" s="457"/>
      <c r="XQ341" s="457"/>
      <c r="XR341" s="457"/>
      <c r="XS341" s="457"/>
      <c r="XT341" s="457"/>
      <c r="XU341" s="457"/>
      <c r="XV341" s="457"/>
      <c r="XW341" s="457"/>
      <c r="XX341" s="457"/>
      <c r="XY341" s="457"/>
      <c r="XZ341" s="457"/>
      <c r="YA341" s="457"/>
      <c r="YB341" s="457"/>
      <c r="YC341" s="457"/>
      <c r="YD341" s="457"/>
      <c r="YE341" s="457"/>
      <c r="YF341" s="457"/>
      <c r="YG341" s="457"/>
      <c r="YH341" s="457"/>
      <c r="YI341" s="457"/>
      <c r="YJ341" s="457"/>
      <c r="YK341" s="457"/>
      <c r="YL341" s="457"/>
      <c r="YM341" s="457"/>
      <c r="YN341" s="457"/>
      <c r="YO341" s="457"/>
      <c r="YP341" s="457"/>
      <c r="YQ341" s="457"/>
      <c r="YR341" s="457"/>
      <c r="YS341" s="457"/>
      <c r="YT341" s="457"/>
      <c r="YU341" s="457"/>
      <c r="YV341" s="457"/>
      <c r="YW341" s="457"/>
      <c r="YX341" s="457"/>
      <c r="YY341" s="457"/>
      <c r="YZ341" s="457"/>
      <c r="ZA341" s="457"/>
      <c r="ZB341" s="457"/>
      <c r="ZC341" s="457"/>
      <c r="ZD341" s="457"/>
      <c r="ZE341" s="457"/>
      <c r="ZF341" s="457"/>
      <c r="ZG341" s="457"/>
      <c r="ZH341" s="457"/>
      <c r="ZI341" s="457"/>
      <c r="ZJ341" s="457"/>
      <c r="ZK341" s="457"/>
      <c r="ZL341" s="457"/>
      <c r="ZM341" s="457"/>
      <c r="ZN341" s="457"/>
      <c r="ZO341" s="457"/>
      <c r="ZP341" s="457"/>
      <c r="ZQ341" s="457"/>
      <c r="ZR341" s="457"/>
      <c r="ZS341" s="457"/>
      <c r="ZT341" s="457"/>
      <c r="ZU341" s="457"/>
      <c r="ZV341" s="457"/>
      <c r="ZW341" s="457"/>
      <c r="ZX341" s="457"/>
      <c r="ZY341" s="457"/>
      <c r="ZZ341" s="457"/>
      <c r="AAA341" s="457"/>
      <c r="AAB341" s="457"/>
      <c r="AAC341" s="457"/>
      <c r="AAD341" s="457"/>
      <c r="AAE341" s="457"/>
      <c r="AAF341" s="457"/>
      <c r="AAG341" s="457"/>
      <c r="AAH341" s="457"/>
      <c r="AAI341" s="457"/>
      <c r="AAJ341" s="457"/>
      <c r="AAK341" s="457"/>
      <c r="AAL341" s="457"/>
      <c r="AAM341" s="457"/>
      <c r="AAN341" s="457"/>
      <c r="AAO341" s="457"/>
      <c r="AAP341" s="457"/>
      <c r="AAQ341" s="457"/>
      <c r="AAR341" s="457"/>
      <c r="AAS341" s="457"/>
      <c r="AAT341" s="457"/>
      <c r="AAU341" s="457"/>
      <c r="AAV341" s="457"/>
      <c r="AAW341" s="457"/>
      <c r="AAX341" s="457"/>
      <c r="AAY341" s="457"/>
      <c r="AAZ341" s="457"/>
      <c r="ABA341" s="457"/>
      <c r="ABB341" s="457"/>
      <c r="ABC341" s="457"/>
      <c r="ABD341" s="457"/>
      <c r="ABE341" s="457"/>
      <c r="ABF341" s="457"/>
      <c r="ABG341" s="457"/>
      <c r="ABH341" s="457"/>
      <c r="ABI341" s="457"/>
      <c r="ABJ341" s="457"/>
      <c r="ABK341" s="457"/>
      <c r="ABL341" s="457"/>
      <c r="ABM341" s="457"/>
      <c r="ABN341" s="457"/>
      <c r="ABO341" s="457"/>
      <c r="ABP341" s="457"/>
      <c r="ABQ341" s="457"/>
      <c r="ABR341" s="457"/>
      <c r="ABS341" s="457"/>
      <c r="ABT341" s="457"/>
      <c r="ABU341" s="457"/>
      <c r="ABV341" s="457"/>
      <c r="ABW341" s="457"/>
      <c r="ABX341" s="457"/>
      <c r="ABY341" s="457"/>
      <c r="ABZ341" s="457"/>
      <c r="ACA341" s="457"/>
      <c r="ACB341" s="457"/>
      <c r="ACC341" s="457"/>
      <c r="ACD341" s="457"/>
      <c r="ACE341" s="457"/>
      <c r="ACF341" s="457"/>
      <c r="ACG341" s="457"/>
      <c r="ACH341" s="457"/>
      <c r="ACI341" s="457"/>
      <c r="ACJ341" s="457"/>
      <c r="ACK341" s="457"/>
      <c r="ACL341" s="457"/>
      <c r="ACM341" s="457"/>
      <c r="ACN341" s="457"/>
      <c r="ACO341" s="457"/>
      <c r="ACP341" s="457"/>
      <c r="ACQ341" s="457"/>
      <c r="ACR341" s="457"/>
      <c r="ACS341" s="457"/>
      <c r="ACT341" s="457"/>
      <c r="ACU341" s="457"/>
      <c r="ACV341" s="457"/>
    </row>
    <row r="342" spans="1:776" s="400" customFormat="1" x14ac:dyDescent="0.25">
      <c r="A342" s="470">
        <v>900057</v>
      </c>
      <c r="B342" s="454" t="s">
        <v>196</v>
      </c>
      <c r="C342" s="455"/>
      <c r="D342" s="454" t="s">
        <v>197</v>
      </c>
      <c r="E342" s="454">
        <v>1.1459999999999999</v>
      </c>
      <c r="F342" s="458">
        <v>36.700000000000003</v>
      </c>
      <c r="G342" s="454">
        <v>0.01</v>
      </c>
      <c r="H342" s="454">
        <v>0.06</v>
      </c>
      <c r="I342" s="456">
        <v>189.2</v>
      </c>
      <c r="J342" s="454">
        <v>32.4</v>
      </c>
      <c r="K342" s="454">
        <v>9.1800000000000007E-2</v>
      </c>
      <c r="L342" s="454">
        <v>326.39999999999998</v>
      </c>
      <c r="M342" s="454"/>
      <c r="N342" s="454">
        <v>2.2599999999999998</v>
      </c>
      <c r="O342" s="454">
        <v>104.07</v>
      </c>
      <c r="P342" s="454">
        <v>74.3</v>
      </c>
      <c r="Q342" s="454">
        <v>40.840000000000003</v>
      </c>
      <c r="R342" s="454">
        <v>0.02</v>
      </c>
      <c r="S342" s="454">
        <v>1.0000000000000001E-5</v>
      </c>
      <c r="T342" s="454">
        <v>1.0000000000000001E-5</v>
      </c>
      <c r="U342" s="454">
        <v>1.0000000000000001E-5</v>
      </c>
      <c r="V342" s="454"/>
      <c r="W342" s="457"/>
      <c r="X342" s="457"/>
      <c r="Y342" s="457"/>
      <c r="Z342" s="457"/>
      <c r="AA342" s="457"/>
      <c r="AB342" s="457"/>
      <c r="AC342" s="457"/>
      <c r="AD342" s="457"/>
      <c r="AE342" s="457"/>
      <c r="AF342" s="457"/>
      <c r="AG342" s="457"/>
      <c r="AH342" s="457"/>
      <c r="AI342" s="457"/>
      <c r="AJ342" s="457"/>
      <c r="AK342" s="457"/>
      <c r="AL342" s="457"/>
      <c r="AM342" s="457"/>
      <c r="AN342" s="457"/>
      <c r="AO342" s="457"/>
      <c r="AP342" s="457"/>
      <c r="AQ342" s="457"/>
      <c r="AR342" s="457"/>
      <c r="AS342" s="457"/>
      <c r="AT342" s="457"/>
      <c r="AU342" s="457"/>
      <c r="AV342" s="457"/>
      <c r="AW342" s="457"/>
      <c r="AX342" s="457"/>
      <c r="AY342" s="457"/>
      <c r="AZ342" s="457"/>
      <c r="BA342" s="457"/>
      <c r="BB342" s="457"/>
      <c r="BC342" s="457"/>
      <c r="BD342" s="457"/>
      <c r="BE342" s="457"/>
      <c r="BF342" s="457"/>
      <c r="BG342" s="457"/>
      <c r="BH342" s="457"/>
      <c r="BI342" s="457"/>
      <c r="BJ342" s="457"/>
      <c r="BK342" s="457"/>
      <c r="BL342" s="457"/>
      <c r="BM342" s="457"/>
      <c r="BN342" s="457"/>
      <c r="BO342" s="457"/>
      <c r="BP342" s="457"/>
      <c r="BQ342" s="457"/>
      <c r="BR342" s="457"/>
      <c r="BS342" s="457"/>
      <c r="BT342" s="457"/>
      <c r="BU342" s="457"/>
      <c r="BV342" s="457"/>
      <c r="BW342" s="457"/>
      <c r="BX342" s="457"/>
      <c r="BY342" s="457"/>
      <c r="BZ342" s="457"/>
      <c r="CA342" s="457"/>
      <c r="CB342" s="457"/>
      <c r="CC342" s="457"/>
      <c r="CD342" s="457"/>
      <c r="CE342" s="457"/>
      <c r="CF342" s="457"/>
      <c r="CG342" s="457"/>
      <c r="CH342" s="457"/>
      <c r="CI342" s="457"/>
      <c r="CJ342" s="457"/>
      <c r="CK342" s="457"/>
      <c r="CL342" s="457"/>
      <c r="CM342" s="457"/>
      <c r="CN342" s="457"/>
      <c r="CO342" s="457"/>
      <c r="CP342" s="457"/>
      <c r="CQ342" s="457"/>
      <c r="CR342" s="457"/>
      <c r="CS342" s="457"/>
      <c r="CT342" s="457"/>
      <c r="CU342" s="457"/>
      <c r="CV342" s="457"/>
      <c r="CW342" s="457"/>
      <c r="CX342" s="457"/>
      <c r="CY342" s="457"/>
      <c r="CZ342" s="457"/>
      <c r="DA342" s="457"/>
      <c r="DB342" s="457"/>
      <c r="DC342" s="457"/>
      <c r="DD342" s="457"/>
      <c r="DE342" s="457"/>
      <c r="DF342" s="457"/>
      <c r="DG342" s="457"/>
      <c r="DH342" s="457"/>
      <c r="DI342" s="457"/>
      <c r="DJ342" s="457"/>
      <c r="DK342" s="457"/>
      <c r="DL342" s="457"/>
      <c r="DM342" s="457"/>
      <c r="DN342" s="457"/>
      <c r="DO342" s="457"/>
      <c r="DP342" s="457"/>
      <c r="DQ342" s="457"/>
      <c r="DR342" s="457"/>
      <c r="DS342" s="457"/>
      <c r="DT342" s="457"/>
      <c r="DU342" s="457"/>
      <c r="DV342" s="457"/>
      <c r="DW342" s="457"/>
      <c r="DX342" s="457"/>
      <c r="DY342" s="457"/>
      <c r="DZ342" s="457"/>
      <c r="EA342" s="457"/>
      <c r="EB342" s="457"/>
      <c r="EC342" s="457"/>
      <c r="ED342" s="457"/>
      <c r="EE342" s="457"/>
      <c r="EF342" s="457"/>
      <c r="EG342" s="457"/>
      <c r="EH342" s="457"/>
      <c r="EI342" s="457"/>
      <c r="EJ342" s="457"/>
      <c r="EK342" s="457"/>
      <c r="EL342" s="457"/>
      <c r="EM342" s="457"/>
      <c r="EN342" s="457"/>
      <c r="EO342" s="457"/>
      <c r="EP342" s="457"/>
      <c r="EQ342" s="457"/>
      <c r="ER342" s="457"/>
      <c r="ES342" s="457"/>
      <c r="ET342" s="457"/>
      <c r="EU342" s="457"/>
      <c r="EV342" s="457"/>
      <c r="EW342" s="457"/>
      <c r="EX342" s="457"/>
      <c r="EY342" s="457"/>
      <c r="EZ342" s="457"/>
      <c r="FA342" s="457"/>
      <c r="FB342" s="457"/>
      <c r="FC342" s="457"/>
      <c r="FD342" s="457"/>
      <c r="FE342" s="457"/>
      <c r="FF342" s="457"/>
      <c r="FG342" s="457"/>
      <c r="FH342" s="457"/>
      <c r="FI342" s="457"/>
      <c r="FJ342" s="457"/>
      <c r="FK342" s="457"/>
      <c r="FL342" s="457"/>
      <c r="FM342" s="457"/>
      <c r="FN342" s="457"/>
      <c r="FO342" s="457"/>
      <c r="FP342" s="457"/>
      <c r="FQ342" s="457"/>
      <c r="FR342" s="457"/>
      <c r="FS342" s="457"/>
      <c r="FT342" s="457"/>
      <c r="FU342" s="457"/>
      <c r="FV342" s="457"/>
      <c r="FW342" s="457"/>
      <c r="FX342" s="457"/>
      <c r="FY342" s="457"/>
      <c r="FZ342" s="457"/>
      <c r="GA342" s="457"/>
      <c r="GB342" s="457"/>
      <c r="GC342" s="457"/>
      <c r="GD342" s="457"/>
      <c r="GE342" s="457"/>
      <c r="GF342" s="457"/>
      <c r="GG342" s="457"/>
      <c r="GH342" s="457"/>
      <c r="GI342" s="457"/>
      <c r="GJ342" s="457"/>
      <c r="GK342" s="457"/>
      <c r="GL342" s="457"/>
      <c r="GM342" s="457"/>
      <c r="GN342" s="457"/>
      <c r="GO342" s="457"/>
      <c r="GP342" s="457"/>
      <c r="GQ342" s="457"/>
      <c r="GR342" s="457"/>
      <c r="GS342" s="457"/>
      <c r="GT342" s="457"/>
      <c r="GU342" s="457"/>
      <c r="GV342" s="457"/>
      <c r="GW342" s="457"/>
      <c r="GX342" s="457"/>
      <c r="GY342" s="457"/>
      <c r="GZ342" s="457"/>
      <c r="HA342" s="457"/>
      <c r="HB342" s="457"/>
      <c r="HC342" s="457"/>
      <c r="HD342" s="457"/>
      <c r="HE342" s="457"/>
      <c r="HF342" s="457"/>
      <c r="HG342" s="457"/>
      <c r="HH342" s="457"/>
      <c r="HI342" s="457"/>
      <c r="HJ342" s="457"/>
      <c r="HK342" s="457"/>
      <c r="HL342" s="457"/>
      <c r="HM342" s="457"/>
      <c r="HN342" s="457"/>
      <c r="HO342" s="457"/>
      <c r="HP342" s="457"/>
      <c r="HQ342" s="457"/>
      <c r="HR342" s="457"/>
      <c r="HS342" s="457"/>
      <c r="HT342" s="457"/>
      <c r="HU342" s="457"/>
      <c r="HV342" s="457"/>
      <c r="HW342" s="457"/>
      <c r="HX342" s="457"/>
      <c r="HY342" s="457"/>
      <c r="HZ342" s="457"/>
      <c r="IA342" s="457"/>
      <c r="IB342" s="457"/>
      <c r="IC342" s="457"/>
      <c r="ID342" s="457"/>
      <c r="IE342" s="457"/>
      <c r="IF342" s="457"/>
      <c r="IG342" s="457"/>
      <c r="IH342" s="457"/>
      <c r="II342" s="457"/>
      <c r="IJ342" s="457"/>
      <c r="IK342" s="457"/>
      <c r="IL342" s="457"/>
      <c r="IM342" s="457"/>
      <c r="IN342" s="457"/>
      <c r="IO342" s="457"/>
      <c r="IP342" s="457"/>
      <c r="IQ342" s="457"/>
      <c r="IR342" s="457"/>
      <c r="IS342" s="457"/>
      <c r="IT342" s="457"/>
      <c r="IU342" s="457"/>
      <c r="IV342" s="457"/>
      <c r="IW342" s="457"/>
      <c r="IX342" s="457"/>
      <c r="IY342" s="457"/>
      <c r="IZ342" s="457"/>
      <c r="JA342" s="457"/>
      <c r="JB342" s="457"/>
      <c r="JC342" s="457"/>
      <c r="JD342" s="457"/>
      <c r="JE342" s="457"/>
      <c r="JF342" s="457"/>
      <c r="JG342" s="457"/>
      <c r="JH342" s="457"/>
      <c r="JI342" s="457"/>
      <c r="JJ342" s="457"/>
      <c r="JK342" s="457"/>
      <c r="JL342" s="457"/>
      <c r="JM342" s="457"/>
      <c r="JN342" s="457"/>
      <c r="JO342" s="457"/>
      <c r="JP342" s="457"/>
      <c r="JQ342" s="457"/>
      <c r="JR342" s="457"/>
      <c r="JS342" s="457"/>
      <c r="JT342" s="457"/>
      <c r="JU342" s="457"/>
      <c r="JV342" s="457"/>
      <c r="JW342" s="457"/>
      <c r="JX342" s="457"/>
      <c r="JY342" s="457"/>
      <c r="JZ342" s="457"/>
      <c r="KA342" s="457"/>
      <c r="KB342" s="457"/>
      <c r="KC342" s="457"/>
      <c r="KD342" s="457"/>
      <c r="KE342" s="457"/>
      <c r="KF342" s="457"/>
      <c r="KG342" s="457"/>
      <c r="KH342" s="457"/>
      <c r="KI342" s="457"/>
      <c r="KJ342" s="457"/>
      <c r="KK342" s="457"/>
      <c r="KL342" s="457"/>
      <c r="KM342" s="457"/>
      <c r="KN342" s="457"/>
      <c r="KO342" s="457"/>
      <c r="KP342" s="457"/>
      <c r="KQ342" s="457"/>
      <c r="KR342" s="457"/>
      <c r="KS342" s="457"/>
      <c r="KT342" s="457"/>
      <c r="KU342" s="457"/>
      <c r="KV342" s="457"/>
      <c r="KW342" s="457"/>
      <c r="KX342" s="457"/>
      <c r="KY342" s="457"/>
      <c r="KZ342" s="457"/>
      <c r="LA342" s="457"/>
      <c r="LB342" s="457"/>
      <c r="LC342" s="457"/>
      <c r="LD342" s="457"/>
      <c r="LE342" s="457"/>
      <c r="LF342" s="457"/>
      <c r="LG342" s="457"/>
      <c r="LH342" s="457"/>
      <c r="LI342" s="457"/>
      <c r="LJ342" s="457"/>
      <c r="LK342" s="457"/>
      <c r="LL342" s="457"/>
      <c r="LM342" s="457"/>
      <c r="LN342" s="457"/>
      <c r="LO342" s="457"/>
      <c r="LP342" s="457"/>
      <c r="LQ342" s="457"/>
      <c r="LR342" s="457"/>
      <c r="LS342" s="457"/>
      <c r="LT342" s="457"/>
      <c r="LU342" s="457"/>
      <c r="LV342" s="457"/>
      <c r="LW342" s="457"/>
      <c r="LX342" s="457"/>
      <c r="LY342" s="457"/>
      <c r="LZ342" s="457"/>
      <c r="MA342" s="457"/>
      <c r="MB342" s="457"/>
      <c r="MC342" s="457"/>
      <c r="MD342" s="457"/>
      <c r="ME342" s="457"/>
      <c r="MF342" s="457"/>
      <c r="MG342" s="457"/>
      <c r="MH342" s="457"/>
      <c r="MI342" s="457"/>
      <c r="MJ342" s="457"/>
      <c r="MK342" s="457"/>
      <c r="ML342" s="457"/>
      <c r="MM342" s="457"/>
      <c r="MN342" s="457"/>
      <c r="MO342" s="457"/>
      <c r="MP342" s="457"/>
      <c r="MQ342" s="457"/>
      <c r="MR342" s="457"/>
      <c r="MS342" s="457"/>
      <c r="MT342" s="457"/>
      <c r="MU342" s="457"/>
      <c r="MV342" s="457"/>
      <c r="MW342" s="457"/>
      <c r="MX342" s="457"/>
      <c r="MY342" s="457"/>
      <c r="MZ342" s="457"/>
      <c r="NA342" s="457"/>
      <c r="NB342" s="457"/>
      <c r="NC342" s="457"/>
      <c r="ND342" s="457"/>
      <c r="NE342" s="457"/>
      <c r="NF342" s="457"/>
      <c r="NG342" s="457"/>
      <c r="NH342" s="457"/>
      <c r="NI342" s="457"/>
      <c r="NJ342" s="457"/>
      <c r="NK342" s="457"/>
      <c r="NL342" s="457"/>
      <c r="NM342" s="457"/>
      <c r="NN342" s="457"/>
      <c r="NO342" s="457"/>
      <c r="NP342" s="457"/>
      <c r="NQ342" s="457"/>
      <c r="NR342" s="457"/>
      <c r="NS342" s="457"/>
      <c r="NT342" s="457"/>
      <c r="NU342" s="457"/>
      <c r="NV342" s="457"/>
      <c r="NW342" s="457"/>
      <c r="NX342" s="457"/>
      <c r="NY342" s="457"/>
      <c r="NZ342" s="457"/>
      <c r="OA342" s="457"/>
      <c r="OB342" s="457"/>
      <c r="OC342" s="457"/>
      <c r="OD342" s="457"/>
      <c r="OE342" s="457"/>
      <c r="OF342" s="457"/>
      <c r="OG342" s="457"/>
      <c r="OH342" s="457"/>
      <c r="OI342" s="457"/>
      <c r="OJ342" s="457"/>
      <c r="OK342" s="457"/>
      <c r="OL342" s="457"/>
      <c r="OM342" s="457"/>
      <c r="ON342" s="457"/>
      <c r="OO342" s="457"/>
      <c r="OP342" s="457"/>
      <c r="OQ342" s="457"/>
      <c r="OR342" s="457"/>
      <c r="OS342" s="457"/>
      <c r="OT342" s="457"/>
      <c r="OU342" s="457"/>
      <c r="OV342" s="457"/>
      <c r="OW342" s="457"/>
      <c r="OX342" s="457"/>
      <c r="OY342" s="457"/>
      <c r="OZ342" s="457"/>
      <c r="PA342" s="457"/>
      <c r="PB342" s="457"/>
      <c r="PC342" s="457"/>
      <c r="PD342" s="457"/>
      <c r="PE342" s="457"/>
      <c r="PF342" s="457"/>
      <c r="PG342" s="457"/>
      <c r="PH342" s="457"/>
      <c r="PI342" s="457"/>
      <c r="PJ342" s="457"/>
      <c r="PK342" s="457"/>
      <c r="PL342" s="457"/>
      <c r="PM342" s="457"/>
      <c r="PN342" s="457"/>
      <c r="PO342" s="457"/>
      <c r="PP342" s="457"/>
      <c r="PQ342" s="457"/>
      <c r="PR342" s="457"/>
      <c r="PS342" s="457"/>
      <c r="PT342" s="457"/>
      <c r="PU342" s="457"/>
      <c r="PV342" s="457"/>
      <c r="PW342" s="457"/>
      <c r="PX342" s="457"/>
      <c r="PY342" s="457"/>
      <c r="PZ342" s="457"/>
      <c r="QA342" s="457"/>
      <c r="QB342" s="457"/>
      <c r="QC342" s="457"/>
      <c r="QD342" s="457"/>
      <c r="QE342" s="457"/>
      <c r="QF342" s="457"/>
      <c r="QG342" s="457"/>
      <c r="QH342" s="457"/>
      <c r="QI342" s="457"/>
      <c r="QJ342" s="457"/>
      <c r="QK342" s="457"/>
      <c r="QL342" s="457"/>
      <c r="QM342" s="457"/>
      <c r="QN342" s="457"/>
      <c r="QO342" s="457"/>
      <c r="QP342" s="457"/>
      <c r="QQ342" s="457"/>
      <c r="QR342" s="457"/>
      <c r="QS342" s="457"/>
      <c r="QT342" s="457"/>
      <c r="QU342" s="457"/>
      <c r="QV342" s="457"/>
      <c r="QW342" s="457"/>
      <c r="QX342" s="457"/>
      <c r="QY342" s="457"/>
      <c r="QZ342" s="457"/>
      <c r="RA342" s="457"/>
      <c r="RB342" s="457"/>
      <c r="RC342" s="457"/>
      <c r="RD342" s="457"/>
      <c r="RE342" s="457"/>
      <c r="RF342" s="457"/>
      <c r="RG342" s="457"/>
      <c r="RH342" s="457"/>
      <c r="RI342" s="457"/>
      <c r="RJ342" s="457"/>
      <c r="RK342" s="457"/>
      <c r="RL342" s="457"/>
      <c r="RM342" s="457"/>
      <c r="RN342" s="457"/>
      <c r="RO342" s="457"/>
      <c r="RP342" s="457"/>
      <c r="RQ342" s="457"/>
      <c r="RR342" s="457"/>
      <c r="RS342" s="457"/>
      <c r="RT342" s="457"/>
      <c r="RU342" s="457"/>
      <c r="RV342" s="457"/>
      <c r="RW342" s="457"/>
      <c r="RX342" s="457"/>
      <c r="RY342" s="457"/>
      <c r="RZ342" s="457"/>
      <c r="SA342" s="457"/>
      <c r="SB342" s="457"/>
      <c r="SC342" s="457"/>
      <c r="SD342" s="457"/>
      <c r="SE342" s="457"/>
      <c r="SF342" s="457"/>
      <c r="SG342" s="457"/>
      <c r="SH342" s="457"/>
      <c r="SI342" s="457"/>
      <c r="SJ342" s="457"/>
      <c r="SK342" s="457"/>
      <c r="SL342" s="457"/>
      <c r="SM342" s="457"/>
      <c r="SN342" s="457"/>
      <c r="SO342" s="457"/>
      <c r="SP342" s="457"/>
      <c r="SQ342" s="457"/>
      <c r="SR342" s="457"/>
      <c r="SS342" s="457"/>
      <c r="ST342" s="457"/>
      <c r="SU342" s="457"/>
      <c r="SV342" s="457"/>
      <c r="SW342" s="457"/>
      <c r="SX342" s="457"/>
      <c r="SY342" s="457"/>
      <c r="SZ342" s="457"/>
      <c r="TA342" s="457"/>
      <c r="TB342" s="457"/>
      <c r="TC342" s="457"/>
      <c r="TD342" s="457"/>
      <c r="TE342" s="457"/>
      <c r="TF342" s="457"/>
      <c r="TG342" s="457"/>
      <c r="TH342" s="457"/>
      <c r="TI342" s="457"/>
      <c r="TJ342" s="457"/>
      <c r="TK342" s="457"/>
      <c r="TL342" s="457"/>
      <c r="TM342" s="457"/>
      <c r="TN342" s="457"/>
      <c r="TO342" s="457"/>
      <c r="TP342" s="457"/>
      <c r="TQ342" s="457"/>
      <c r="TR342" s="457"/>
      <c r="TS342" s="457"/>
      <c r="TT342" s="457"/>
      <c r="TU342" s="457"/>
      <c r="TV342" s="457"/>
      <c r="TW342" s="457"/>
      <c r="TX342" s="457"/>
      <c r="TY342" s="457"/>
      <c r="TZ342" s="457"/>
      <c r="UA342" s="457"/>
      <c r="UB342" s="457"/>
      <c r="UC342" s="457"/>
      <c r="UD342" s="457"/>
      <c r="UE342" s="457"/>
      <c r="UF342" s="457"/>
      <c r="UG342" s="457"/>
      <c r="UH342" s="457"/>
      <c r="UI342" s="457"/>
      <c r="UJ342" s="457"/>
      <c r="UK342" s="457"/>
      <c r="UL342" s="457"/>
      <c r="UM342" s="457"/>
      <c r="UN342" s="457"/>
      <c r="UO342" s="457"/>
      <c r="UP342" s="457"/>
      <c r="UQ342" s="457"/>
      <c r="UR342" s="457"/>
      <c r="US342" s="457"/>
      <c r="UT342" s="457"/>
      <c r="UU342" s="457"/>
      <c r="UV342" s="457"/>
      <c r="UW342" s="457"/>
      <c r="UX342" s="457"/>
      <c r="UY342" s="457"/>
      <c r="UZ342" s="457"/>
      <c r="VA342" s="457"/>
      <c r="VB342" s="457"/>
      <c r="VC342" s="457"/>
      <c r="VD342" s="457"/>
      <c r="VE342" s="457"/>
      <c r="VF342" s="457"/>
      <c r="VG342" s="457"/>
      <c r="VH342" s="457"/>
      <c r="VI342" s="457"/>
      <c r="VJ342" s="457"/>
      <c r="VK342" s="457"/>
      <c r="VL342" s="457"/>
      <c r="VM342" s="457"/>
      <c r="VN342" s="457"/>
      <c r="VO342" s="457"/>
      <c r="VP342" s="457"/>
      <c r="VQ342" s="457"/>
      <c r="VR342" s="457"/>
      <c r="VS342" s="457"/>
      <c r="VT342" s="457"/>
      <c r="VU342" s="457"/>
      <c r="VV342" s="457"/>
      <c r="VW342" s="457"/>
      <c r="VX342" s="457"/>
      <c r="VY342" s="457"/>
      <c r="VZ342" s="457"/>
      <c r="WA342" s="457"/>
      <c r="WB342" s="457"/>
      <c r="WC342" s="457"/>
      <c r="WD342" s="457"/>
      <c r="WE342" s="457"/>
      <c r="WF342" s="457"/>
      <c r="WG342" s="457"/>
      <c r="WH342" s="457"/>
      <c r="WI342" s="457"/>
      <c r="WJ342" s="457"/>
      <c r="WK342" s="457"/>
      <c r="WL342" s="457"/>
      <c r="WM342" s="457"/>
      <c r="WN342" s="457"/>
      <c r="WO342" s="457"/>
      <c r="WP342" s="457"/>
      <c r="WQ342" s="457"/>
      <c r="WR342" s="457"/>
      <c r="WS342" s="457"/>
      <c r="WT342" s="457"/>
      <c r="WU342" s="457"/>
      <c r="WV342" s="457"/>
      <c r="WW342" s="457"/>
      <c r="WX342" s="457"/>
      <c r="WY342" s="457"/>
      <c r="WZ342" s="457"/>
      <c r="XA342" s="457"/>
      <c r="XB342" s="457"/>
      <c r="XC342" s="457"/>
      <c r="XD342" s="457"/>
      <c r="XE342" s="457"/>
      <c r="XF342" s="457"/>
      <c r="XG342" s="457"/>
      <c r="XH342" s="457"/>
      <c r="XI342" s="457"/>
      <c r="XJ342" s="457"/>
      <c r="XK342" s="457"/>
      <c r="XL342" s="457"/>
      <c r="XM342" s="457"/>
      <c r="XN342" s="457"/>
      <c r="XO342" s="457"/>
      <c r="XP342" s="457"/>
      <c r="XQ342" s="457"/>
      <c r="XR342" s="457"/>
      <c r="XS342" s="457"/>
      <c r="XT342" s="457"/>
      <c r="XU342" s="457"/>
      <c r="XV342" s="457"/>
      <c r="XW342" s="457"/>
      <c r="XX342" s="457"/>
      <c r="XY342" s="457"/>
      <c r="XZ342" s="457"/>
      <c r="YA342" s="457"/>
      <c r="YB342" s="457"/>
      <c r="YC342" s="457"/>
      <c r="YD342" s="457"/>
      <c r="YE342" s="457"/>
      <c r="YF342" s="457"/>
      <c r="YG342" s="457"/>
      <c r="YH342" s="457"/>
      <c r="YI342" s="457"/>
      <c r="YJ342" s="457"/>
      <c r="YK342" s="457"/>
      <c r="YL342" s="457"/>
      <c r="YM342" s="457"/>
      <c r="YN342" s="457"/>
      <c r="YO342" s="457"/>
      <c r="YP342" s="457"/>
      <c r="YQ342" s="457"/>
      <c r="YR342" s="457"/>
      <c r="YS342" s="457"/>
      <c r="YT342" s="457"/>
      <c r="YU342" s="457"/>
      <c r="YV342" s="457"/>
      <c r="YW342" s="457"/>
      <c r="YX342" s="457"/>
      <c r="YY342" s="457"/>
      <c r="YZ342" s="457"/>
      <c r="ZA342" s="457"/>
      <c r="ZB342" s="457"/>
      <c r="ZC342" s="457"/>
      <c r="ZD342" s="457"/>
      <c r="ZE342" s="457"/>
      <c r="ZF342" s="457"/>
      <c r="ZG342" s="457"/>
      <c r="ZH342" s="457"/>
      <c r="ZI342" s="457"/>
      <c r="ZJ342" s="457"/>
      <c r="ZK342" s="457"/>
      <c r="ZL342" s="457"/>
      <c r="ZM342" s="457"/>
      <c r="ZN342" s="457"/>
      <c r="ZO342" s="457"/>
      <c r="ZP342" s="457"/>
      <c r="ZQ342" s="457"/>
      <c r="ZR342" s="457"/>
      <c r="ZS342" s="457"/>
      <c r="ZT342" s="457"/>
      <c r="ZU342" s="457"/>
      <c r="ZV342" s="457"/>
      <c r="ZW342" s="457"/>
      <c r="ZX342" s="457"/>
      <c r="ZY342" s="457"/>
      <c r="ZZ342" s="457"/>
      <c r="AAA342" s="457"/>
      <c r="AAB342" s="457"/>
      <c r="AAC342" s="457"/>
      <c r="AAD342" s="457"/>
      <c r="AAE342" s="457"/>
      <c r="AAF342" s="457"/>
      <c r="AAG342" s="457"/>
      <c r="AAH342" s="457"/>
      <c r="AAI342" s="457"/>
      <c r="AAJ342" s="457"/>
      <c r="AAK342" s="457"/>
      <c r="AAL342" s="457"/>
      <c r="AAM342" s="457"/>
      <c r="AAN342" s="457"/>
      <c r="AAO342" s="457"/>
      <c r="AAP342" s="457"/>
      <c r="AAQ342" s="457"/>
      <c r="AAR342" s="457"/>
      <c r="AAS342" s="457"/>
      <c r="AAT342" s="457"/>
      <c r="AAU342" s="457"/>
      <c r="AAV342" s="457"/>
      <c r="AAW342" s="457"/>
      <c r="AAX342" s="457"/>
      <c r="AAY342" s="457"/>
      <c r="AAZ342" s="457"/>
      <c r="ABA342" s="457"/>
      <c r="ABB342" s="457"/>
      <c r="ABC342" s="457"/>
      <c r="ABD342" s="457"/>
      <c r="ABE342" s="457"/>
      <c r="ABF342" s="457"/>
      <c r="ABG342" s="457"/>
      <c r="ABH342" s="457"/>
      <c r="ABI342" s="457"/>
      <c r="ABJ342" s="457"/>
      <c r="ABK342" s="457"/>
      <c r="ABL342" s="457"/>
      <c r="ABM342" s="457"/>
      <c r="ABN342" s="457"/>
      <c r="ABO342" s="457"/>
      <c r="ABP342" s="457"/>
      <c r="ABQ342" s="457"/>
      <c r="ABR342" s="457"/>
      <c r="ABS342" s="457"/>
      <c r="ABT342" s="457"/>
      <c r="ABU342" s="457"/>
      <c r="ABV342" s="457"/>
      <c r="ABW342" s="457"/>
      <c r="ABX342" s="457"/>
      <c r="ABY342" s="457"/>
      <c r="ABZ342" s="457"/>
      <c r="ACA342" s="457"/>
      <c r="ACB342" s="457"/>
      <c r="ACC342" s="457"/>
      <c r="ACD342" s="457"/>
      <c r="ACE342" s="457"/>
      <c r="ACF342" s="457"/>
      <c r="ACG342" s="457"/>
      <c r="ACH342" s="457"/>
      <c r="ACI342" s="457"/>
      <c r="ACJ342" s="457"/>
      <c r="ACK342" s="457"/>
      <c r="ACL342" s="457"/>
      <c r="ACM342" s="457"/>
      <c r="ACN342" s="457"/>
      <c r="ACO342" s="457"/>
      <c r="ACP342" s="457"/>
      <c r="ACQ342" s="457"/>
      <c r="ACR342" s="457"/>
      <c r="ACS342" s="457"/>
      <c r="ACT342" s="457"/>
      <c r="ACU342" s="457"/>
      <c r="ACV342" s="457"/>
    </row>
    <row r="343" spans="1:776" s="400" customFormat="1" x14ac:dyDescent="0.25">
      <c r="A343" s="470">
        <v>900058</v>
      </c>
      <c r="B343" s="454" t="s">
        <v>198</v>
      </c>
      <c r="C343" s="455"/>
      <c r="D343" s="454" t="s">
        <v>199</v>
      </c>
      <c r="E343" s="454">
        <v>0.63400000000000001</v>
      </c>
      <c r="F343" s="458">
        <v>14.7</v>
      </c>
      <c r="G343" s="454">
        <v>0.01</v>
      </c>
      <c r="H343" s="454">
        <v>0.03</v>
      </c>
      <c r="I343" s="456">
        <v>59.38</v>
      </c>
      <c r="J343" s="454">
        <v>30.7</v>
      </c>
      <c r="K343" s="454">
        <v>3.0599999999999999E-2</v>
      </c>
      <c r="L343" s="454">
        <v>261.60000000000002</v>
      </c>
      <c r="M343" s="454"/>
      <c r="N343" s="454">
        <v>2.36</v>
      </c>
      <c r="O343" s="454">
        <v>48.66</v>
      </c>
      <c r="P343" s="454">
        <v>60.21</v>
      </c>
      <c r="Q343" s="454">
        <v>20.41</v>
      </c>
      <c r="R343" s="454">
        <v>1.0000000000000001E-5</v>
      </c>
      <c r="S343" s="454">
        <v>1.0000000000000001E-5</v>
      </c>
      <c r="T343" s="454">
        <v>1.0000000000000001E-5</v>
      </c>
      <c r="U343" s="454">
        <v>1.0000000000000001E-5</v>
      </c>
      <c r="V343" s="454"/>
      <c r="W343" s="457"/>
      <c r="X343" s="457"/>
      <c r="Y343" s="457"/>
      <c r="Z343" s="457"/>
      <c r="AA343" s="457"/>
      <c r="AB343" s="457"/>
      <c r="AC343" s="457"/>
      <c r="AD343" s="457"/>
      <c r="AE343" s="457"/>
      <c r="AF343" s="457"/>
      <c r="AG343" s="457"/>
      <c r="AH343" s="457"/>
      <c r="AI343" s="457"/>
      <c r="AJ343" s="457"/>
      <c r="AK343" s="457"/>
      <c r="AL343" s="457"/>
      <c r="AM343" s="457"/>
      <c r="AN343" s="457"/>
      <c r="AO343" s="457"/>
      <c r="AP343" s="457"/>
      <c r="AQ343" s="457"/>
      <c r="AR343" s="457"/>
      <c r="AS343" s="457"/>
      <c r="AT343" s="457"/>
      <c r="AU343" s="457"/>
      <c r="AV343" s="457"/>
      <c r="AW343" s="457"/>
      <c r="AX343" s="457"/>
      <c r="AY343" s="457"/>
      <c r="AZ343" s="457"/>
      <c r="BA343" s="457"/>
      <c r="BB343" s="457"/>
      <c r="BC343" s="457"/>
      <c r="BD343" s="457"/>
      <c r="BE343" s="457"/>
      <c r="BF343" s="457"/>
      <c r="BG343" s="457"/>
      <c r="BH343" s="457"/>
      <c r="BI343" s="457"/>
      <c r="BJ343" s="457"/>
      <c r="BK343" s="457"/>
      <c r="BL343" s="457"/>
      <c r="BM343" s="457"/>
      <c r="BN343" s="457"/>
      <c r="BO343" s="457"/>
      <c r="BP343" s="457"/>
      <c r="BQ343" s="457"/>
      <c r="BR343" s="457"/>
      <c r="BS343" s="457"/>
      <c r="BT343" s="457"/>
      <c r="BU343" s="457"/>
      <c r="BV343" s="457"/>
      <c r="BW343" s="457"/>
      <c r="BX343" s="457"/>
      <c r="BY343" s="457"/>
      <c r="BZ343" s="457"/>
      <c r="CA343" s="457"/>
      <c r="CB343" s="457"/>
      <c r="CC343" s="457"/>
      <c r="CD343" s="457"/>
      <c r="CE343" s="457"/>
      <c r="CF343" s="457"/>
      <c r="CG343" s="457"/>
      <c r="CH343" s="457"/>
      <c r="CI343" s="457"/>
      <c r="CJ343" s="457"/>
      <c r="CK343" s="457"/>
      <c r="CL343" s="457"/>
      <c r="CM343" s="457"/>
      <c r="CN343" s="457"/>
      <c r="CO343" s="457"/>
      <c r="CP343" s="457"/>
      <c r="CQ343" s="457"/>
      <c r="CR343" s="457"/>
      <c r="CS343" s="457"/>
      <c r="CT343" s="457"/>
      <c r="CU343" s="457"/>
      <c r="CV343" s="457"/>
      <c r="CW343" s="457"/>
      <c r="CX343" s="457"/>
      <c r="CY343" s="457"/>
      <c r="CZ343" s="457"/>
      <c r="DA343" s="457"/>
      <c r="DB343" s="457"/>
      <c r="DC343" s="457"/>
      <c r="DD343" s="457"/>
      <c r="DE343" s="457"/>
      <c r="DF343" s="457"/>
      <c r="DG343" s="457"/>
      <c r="DH343" s="457"/>
      <c r="DI343" s="457"/>
      <c r="DJ343" s="457"/>
      <c r="DK343" s="457"/>
      <c r="DL343" s="457"/>
      <c r="DM343" s="457"/>
      <c r="DN343" s="457"/>
      <c r="DO343" s="457"/>
      <c r="DP343" s="457"/>
      <c r="DQ343" s="457"/>
      <c r="DR343" s="457"/>
      <c r="DS343" s="457"/>
      <c r="DT343" s="457"/>
      <c r="DU343" s="457"/>
      <c r="DV343" s="457"/>
      <c r="DW343" s="457"/>
      <c r="DX343" s="457"/>
      <c r="DY343" s="457"/>
      <c r="DZ343" s="457"/>
      <c r="EA343" s="457"/>
      <c r="EB343" s="457"/>
      <c r="EC343" s="457"/>
      <c r="ED343" s="457"/>
      <c r="EE343" s="457"/>
      <c r="EF343" s="457"/>
      <c r="EG343" s="457"/>
      <c r="EH343" s="457"/>
      <c r="EI343" s="457"/>
      <c r="EJ343" s="457"/>
      <c r="EK343" s="457"/>
      <c r="EL343" s="457"/>
      <c r="EM343" s="457"/>
      <c r="EN343" s="457"/>
      <c r="EO343" s="457"/>
      <c r="EP343" s="457"/>
      <c r="EQ343" s="457"/>
      <c r="ER343" s="457"/>
      <c r="ES343" s="457"/>
      <c r="ET343" s="457"/>
      <c r="EU343" s="457"/>
      <c r="EV343" s="457"/>
      <c r="EW343" s="457"/>
      <c r="EX343" s="457"/>
      <c r="EY343" s="457"/>
      <c r="EZ343" s="457"/>
      <c r="FA343" s="457"/>
      <c r="FB343" s="457"/>
      <c r="FC343" s="457"/>
      <c r="FD343" s="457"/>
      <c r="FE343" s="457"/>
      <c r="FF343" s="457"/>
      <c r="FG343" s="457"/>
      <c r="FH343" s="457"/>
      <c r="FI343" s="457"/>
      <c r="FJ343" s="457"/>
      <c r="FK343" s="457"/>
      <c r="FL343" s="457"/>
      <c r="FM343" s="457"/>
      <c r="FN343" s="457"/>
      <c r="FO343" s="457"/>
      <c r="FP343" s="457"/>
      <c r="FQ343" s="457"/>
      <c r="FR343" s="457"/>
      <c r="FS343" s="457"/>
      <c r="FT343" s="457"/>
      <c r="FU343" s="457"/>
      <c r="FV343" s="457"/>
      <c r="FW343" s="457"/>
      <c r="FX343" s="457"/>
      <c r="FY343" s="457"/>
      <c r="FZ343" s="457"/>
      <c r="GA343" s="457"/>
      <c r="GB343" s="457"/>
      <c r="GC343" s="457"/>
      <c r="GD343" s="457"/>
      <c r="GE343" s="457"/>
      <c r="GF343" s="457"/>
      <c r="GG343" s="457"/>
      <c r="GH343" s="457"/>
      <c r="GI343" s="457"/>
      <c r="GJ343" s="457"/>
      <c r="GK343" s="457"/>
      <c r="GL343" s="457"/>
      <c r="GM343" s="457"/>
      <c r="GN343" s="457"/>
      <c r="GO343" s="457"/>
      <c r="GP343" s="457"/>
      <c r="GQ343" s="457"/>
      <c r="GR343" s="457"/>
      <c r="GS343" s="457"/>
      <c r="GT343" s="457"/>
      <c r="GU343" s="457"/>
      <c r="GV343" s="457"/>
      <c r="GW343" s="457"/>
      <c r="GX343" s="457"/>
      <c r="GY343" s="457"/>
      <c r="GZ343" s="457"/>
      <c r="HA343" s="457"/>
      <c r="HB343" s="457"/>
      <c r="HC343" s="457"/>
      <c r="HD343" s="457"/>
      <c r="HE343" s="457"/>
      <c r="HF343" s="457"/>
      <c r="HG343" s="457"/>
      <c r="HH343" s="457"/>
      <c r="HI343" s="457"/>
      <c r="HJ343" s="457"/>
      <c r="HK343" s="457"/>
      <c r="HL343" s="457"/>
      <c r="HM343" s="457"/>
      <c r="HN343" s="457"/>
      <c r="HO343" s="457"/>
      <c r="HP343" s="457"/>
      <c r="HQ343" s="457"/>
      <c r="HR343" s="457"/>
      <c r="HS343" s="457"/>
      <c r="HT343" s="457"/>
      <c r="HU343" s="457"/>
      <c r="HV343" s="457"/>
      <c r="HW343" s="457"/>
      <c r="HX343" s="457"/>
      <c r="HY343" s="457"/>
      <c r="HZ343" s="457"/>
      <c r="IA343" s="457"/>
      <c r="IB343" s="457"/>
      <c r="IC343" s="457"/>
      <c r="ID343" s="457"/>
      <c r="IE343" s="457"/>
      <c r="IF343" s="457"/>
      <c r="IG343" s="457"/>
      <c r="IH343" s="457"/>
      <c r="II343" s="457"/>
      <c r="IJ343" s="457"/>
      <c r="IK343" s="457"/>
      <c r="IL343" s="457"/>
      <c r="IM343" s="457"/>
      <c r="IN343" s="457"/>
      <c r="IO343" s="457"/>
      <c r="IP343" s="457"/>
      <c r="IQ343" s="457"/>
      <c r="IR343" s="457"/>
      <c r="IS343" s="457"/>
      <c r="IT343" s="457"/>
      <c r="IU343" s="457"/>
      <c r="IV343" s="457"/>
      <c r="IW343" s="457"/>
      <c r="IX343" s="457"/>
      <c r="IY343" s="457"/>
      <c r="IZ343" s="457"/>
      <c r="JA343" s="457"/>
      <c r="JB343" s="457"/>
      <c r="JC343" s="457"/>
      <c r="JD343" s="457"/>
      <c r="JE343" s="457"/>
      <c r="JF343" s="457"/>
      <c r="JG343" s="457"/>
      <c r="JH343" s="457"/>
      <c r="JI343" s="457"/>
      <c r="JJ343" s="457"/>
      <c r="JK343" s="457"/>
      <c r="JL343" s="457"/>
      <c r="JM343" s="457"/>
      <c r="JN343" s="457"/>
      <c r="JO343" s="457"/>
      <c r="JP343" s="457"/>
      <c r="JQ343" s="457"/>
      <c r="JR343" s="457"/>
      <c r="JS343" s="457"/>
      <c r="JT343" s="457"/>
      <c r="JU343" s="457"/>
      <c r="JV343" s="457"/>
      <c r="JW343" s="457"/>
      <c r="JX343" s="457"/>
      <c r="JY343" s="457"/>
      <c r="JZ343" s="457"/>
      <c r="KA343" s="457"/>
      <c r="KB343" s="457"/>
      <c r="KC343" s="457"/>
      <c r="KD343" s="457"/>
      <c r="KE343" s="457"/>
      <c r="KF343" s="457"/>
      <c r="KG343" s="457"/>
      <c r="KH343" s="457"/>
      <c r="KI343" s="457"/>
      <c r="KJ343" s="457"/>
      <c r="KK343" s="457"/>
      <c r="KL343" s="457"/>
      <c r="KM343" s="457"/>
      <c r="KN343" s="457"/>
      <c r="KO343" s="457"/>
      <c r="KP343" s="457"/>
      <c r="KQ343" s="457"/>
      <c r="KR343" s="457"/>
      <c r="KS343" s="457"/>
      <c r="KT343" s="457"/>
      <c r="KU343" s="457"/>
      <c r="KV343" s="457"/>
      <c r="KW343" s="457"/>
      <c r="KX343" s="457"/>
      <c r="KY343" s="457"/>
      <c r="KZ343" s="457"/>
      <c r="LA343" s="457"/>
      <c r="LB343" s="457"/>
      <c r="LC343" s="457"/>
      <c r="LD343" s="457"/>
      <c r="LE343" s="457"/>
      <c r="LF343" s="457"/>
      <c r="LG343" s="457"/>
      <c r="LH343" s="457"/>
      <c r="LI343" s="457"/>
      <c r="LJ343" s="457"/>
      <c r="LK343" s="457"/>
      <c r="LL343" s="457"/>
      <c r="LM343" s="457"/>
      <c r="LN343" s="457"/>
      <c r="LO343" s="457"/>
      <c r="LP343" s="457"/>
      <c r="LQ343" s="457"/>
      <c r="LR343" s="457"/>
      <c r="LS343" s="457"/>
      <c r="LT343" s="457"/>
      <c r="LU343" s="457"/>
      <c r="LV343" s="457"/>
      <c r="LW343" s="457"/>
      <c r="LX343" s="457"/>
      <c r="LY343" s="457"/>
      <c r="LZ343" s="457"/>
      <c r="MA343" s="457"/>
      <c r="MB343" s="457"/>
      <c r="MC343" s="457"/>
      <c r="MD343" s="457"/>
      <c r="ME343" s="457"/>
      <c r="MF343" s="457"/>
      <c r="MG343" s="457"/>
      <c r="MH343" s="457"/>
      <c r="MI343" s="457"/>
      <c r="MJ343" s="457"/>
      <c r="MK343" s="457"/>
      <c r="ML343" s="457"/>
      <c r="MM343" s="457"/>
      <c r="MN343" s="457"/>
      <c r="MO343" s="457"/>
      <c r="MP343" s="457"/>
      <c r="MQ343" s="457"/>
      <c r="MR343" s="457"/>
      <c r="MS343" s="457"/>
      <c r="MT343" s="457"/>
      <c r="MU343" s="457"/>
      <c r="MV343" s="457"/>
      <c r="MW343" s="457"/>
      <c r="MX343" s="457"/>
      <c r="MY343" s="457"/>
      <c r="MZ343" s="457"/>
      <c r="NA343" s="457"/>
      <c r="NB343" s="457"/>
      <c r="NC343" s="457"/>
      <c r="ND343" s="457"/>
      <c r="NE343" s="457"/>
      <c r="NF343" s="457"/>
      <c r="NG343" s="457"/>
      <c r="NH343" s="457"/>
      <c r="NI343" s="457"/>
      <c r="NJ343" s="457"/>
      <c r="NK343" s="457"/>
      <c r="NL343" s="457"/>
      <c r="NM343" s="457"/>
      <c r="NN343" s="457"/>
      <c r="NO343" s="457"/>
      <c r="NP343" s="457"/>
      <c r="NQ343" s="457"/>
      <c r="NR343" s="457"/>
      <c r="NS343" s="457"/>
      <c r="NT343" s="457"/>
      <c r="NU343" s="457"/>
      <c r="NV343" s="457"/>
      <c r="NW343" s="457"/>
      <c r="NX343" s="457"/>
      <c r="NY343" s="457"/>
      <c r="NZ343" s="457"/>
      <c r="OA343" s="457"/>
      <c r="OB343" s="457"/>
      <c r="OC343" s="457"/>
      <c r="OD343" s="457"/>
      <c r="OE343" s="457"/>
      <c r="OF343" s="457"/>
      <c r="OG343" s="457"/>
      <c r="OH343" s="457"/>
      <c r="OI343" s="457"/>
      <c r="OJ343" s="457"/>
      <c r="OK343" s="457"/>
      <c r="OL343" s="457"/>
      <c r="OM343" s="457"/>
      <c r="ON343" s="457"/>
      <c r="OO343" s="457"/>
      <c r="OP343" s="457"/>
      <c r="OQ343" s="457"/>
      <c r="OR343" s="457"/>
      <c r="OS343" s="457"/>
      <c r="OT343" s="457"/>
      <c r="OU343" s="457"/>
      <c r="OV343" s="457"/>
      <c r="OW343" s="457"/>
      <c r="OX343" s="457"/>
      <c r="OY343" s="457"/>
      <c r="OZ343" s="457"/>
      <c r="PA343" s="457"/>
      <c r="PB343" s="457"/>
      <c r="PC343" s="457"/>
      <c r="PD343" s="457"/>
      <c r="PE343" s="457"/>
      <c r="PF343" s="457"/>
      <c r="PG343" s="457"/>
      <c r="PH343" s="457"/>
      <c r="PI343" s="457"/>
      <c r="PJ343" s="457"/>
      <c r="PK343" s="457"/>
      <c r="PL343" s="457"/>
      <c r="PM343" s="457"/>
      <c r="PN343" s="457"/>
      <c r="PO343" s="457"/>
      <c r="PP343" s="457"/>
      <c r="PQ343" s="457"/>
      <c r="PR343" s="457"/>
      <c r="PS343" s="457"/>
      <c r="PT343" s="457"/>
      <c r="PU343" s="457"/>
      <c r="PV343" s="457"/>
      <c r="PW343" s="457"/>
      <c r="PX343" s="457"/>
      <c r="PY343" s="457"/>
      <c r="PZ343" s="457"/>
      <c r="QA343" s="457"/>
      <c r="QB343" s="457"/>
      <c r="QC343" s="457"/>
      <c r="QD343" s="457"/>
      <c r="QE343" s="457"/>
      <c r="QF343" s="457"/>
      <c r="QG343" s="457"/>
      <c r="QH343" s="457"/>
      <c r="QI343" s="457"/>
      <c r="QJ343" s="457"/>
      <c r="QK343" s="457"/>
      <c r="QL343" s="457"/>
      <c r="QM343" s="457"/>
      <c r="QN343" s="457"/>
      <c r="QO343" s="457"/>
      <c r="QP343" s="457"/>
      <c r="QQ343" s="457"/>
      <c r="QR343" s="457"/>
      <c r="QS343" s="457"/>
      <c r="QT343" s="457"/>
      <c r="QU343" s="457"/>
      <c r="QV343" s="457"/>
      <c r="QW343" s="457"/>
      <c r="QX343" s="457"/>
      <c r="QY343" s="457"/>
      <c r="QZ343" s="457"/>
      <c r="RA343" s="457"/>
      <c r="RB343" s="457"/>
      <c r="RC343" s="457"/>
      <c r="RD343" s="457"/>
      <c r="RE343" s="457"/>
      <c r="RF343" s="457"/>
      <c r="RG343" s="457"/>
      <c r="RH343" s="457"/>
      <c r="RI343" s="457"/>
      <c r="RJ343" s="457"/>
      <c r="RK343" s="457"/>
      <c r="RL343" s="457"/>
      <c r="RM343" s="457"/>
      <c r="RN343" s="457"/>
      <c r="RO343" s="457"/>
      <c r="RP343" s="457"/>
      <c r="RQ343" s="457"/>
      <c r="RR343" s="457"/>
      <c r="RS343" s="457"/>
      <c r="RT343" s="457"/>
      <c r="RU343" s="457"/>
      <c r="RV343" s="457"/>
      <c r="RW343" s="457"/>
      <c r="RX343" s="457"/>
      <c r="RY343" s="457"/>
      <c r="RZ343" s="457"/>
      <c r="SA343" s="457"/>
      <c r="SB343" s="457"/>
      <c r="SC343" s="457"/>
      <c r="SD343" s="457"/>
      <c r="SE343" s="457"/>
      <c r="SF343" s="457"/>
      <c r="SG343" s="457"/>
      <c r="SH343" s="457"/>
      <c r="SI343" s="457"/>
      <c r="SJ343" s="457"/>
      <c r="SK343" s="457"/>
      <c r="SL343" s="457"/>
      <c r="SM343" s="457"/>
      <c r="SN343" s="457"/>
      <c r="SO343" s="457"/>
      <c r="SP343" s="457"/>
      <c r="SQ343" s="457"/>
      <c r="SR343" s="457"/>
      <c r="SS343" s="457"/>
      <c r="ST343" s="457"/>
      <c r="SU343" s="457"/>
      <c r="SV343" s="457"/>
      <c r="SW343" s="457"/>
      <c r="SX343" s="457"/>
      <c r="SY343" s="457"/>
      <c r="SZ343" s="457"/>
      <c r="TA343" s="457"/>
      <c r="TB343" s="457"/>
      <c r="TC343" s="457"/>
      <c r="TD343" s="457"/>
      <c r="TE343" s="457"/>
      <c r="TF343" s="457"/>
      <c r="TG343" s="457"/>
      <c r="TH343" s="457"/>
      <c r="TI343" s="457"/>
      <c r="TJ343" s="457"/>
      <c r="TK343" s="457"/>
      <c r="TL343" s="457"/>
      <c r="TM343" s="457"/>
      <c r="TN343" s="457"/>
      <c r="TO343" s="457"/>
      <c r="TP343" s="457"/>
      <c r="TQ343" s="457"/>
      <c r="TR343" s="457"/>
      <c r="TS343" s="457"/>
      <c r="TT343" s="457"/>
      <c r="TU343" s="457"/>
      <c r="TV343" s="457"/>
      <c r="TW343" s="457"/>
      <c r="TX343" s="457"/>
      <c r="TY343" s="457"/>
      <c r="TZ343" s="457"/>
      <c r="UA343" s="457"/>
      <c r="UB343" s="457"/>
      <c r="UC343" s="457"/>
      <c r="UD343" s="457"/>
      <c r="UE343" s="457"/>
      <c r="UF343" s="457"/>
      <c r="UG343" s="457"/>
      <c r="UH343" s="457"/>
      <c r="UI343" s="457"/>
      <c r="UJ343" s="457"/>
      <c r="UK343" s="457"/>
      <c r="UL343" s="457"/>
      <c r="UM343" s="457"/>
      <c r="UN343" s="457"/>
      <c r="UO343" s="457"/>
      <c r="UP343" s="457"/>
      <c r="UQ343" s="457"/>
      <c r="UR343" s="457"/>
      <c r="US343" s="457"/>
      <c r="UT343" s="457"/>
      <c r="UU343" s="457"/>
      <c r="UV343" s="457"/>
      <c r="UW343" s="457"/>
      <c r="UX343" s="457"/>
      <c r="UY343" s="457"/>
      <c r="UZ343" s="457"/>
      <c r="VA343" s="457"/>
      <c r="VB343" s="457"/>
      <c r="VC343" s="457"/>
      <c r="VD343" s="457"/>
      <c r="VE343" s="457"/>
      <c r="VF343" s="457"/>
      <c r="VG343" s="457"/>
      <c r="VH343" s="457"/>
      <c r="VI343" s="457"/>
      <c r="VJ343" s="457"/>
      <c r="VK343" s="457"/>
      <c r="VL343" s="457"/>
      <c r="VM343" s="457"/>
      <c r="VN343" s="457"/>
      <c r="VO343" s="457"/>
      <c r="VP343" s="457"/>
      <c r="VQ343" s="457"/>
      <c r="VR343" s="457"/>
      <c r="VS343" s="457"/>
      <c r="VT343" s="457"/>
      <c r="VU343" s="457"/>
      <c r="VV343" s="457"/>
      <c r="VW343" s="457"/>
      <c r="VX343" s="457"/>
      <c r="VY343" s="457"/>
      <c r="VZ343" s="457"/>
      <c r="WA343" s="457"/>
      <c r="WB343" s="457"/>
      <c r="WC343" s="457"/>
      <c r="WD343" s="457"/>
      <c r="WE343" s="457"/>
      <c r="WF343" s="457"/>
      <c r="WG343" s="457"/>
      <c r="WH343" s="457"/>
      <c r="WI343" s="457"/>
      <c r="WJ343" s="457"/>
      <c r="WK343" s="457"/>
      <c r="WL343" s="457"/>
      <c r="WM343" s="457"/>
      <c r="WN343" s="457"/>
      <c r="WO343" s="457"/>
      <c r="WP343" s="457"/>
      <c r="WQ343" s="457"/>
      <c r="WR343" s="457"/>
      <c r="WS343" s="457"/>
      <c r="WT343" s="457"/>
      <c r="WU343" s="457"/>
      <c r="WV343" s="457"/>
      <c r="WW343" s="457"/>
      <c r="WX343" s="457"/>
      <c r="WY343" s="457"/>
      <c r="WZ343" s="457"/>
      <c r="XA343" s="457"/>
      <c r="XB343" s="457"/>
      <c r="XC343" s="457"/>
      <c r="XD343" s="457"/>
      <c r="XE343" s="457"/>
      <c r="XF343" s="457"/>
      <c r="XG343" s="457"/>
      <c r="XH343" s="457"/>
      <c r="XI343" s="457"/>
      <c r="XJ343" s="457"/>
      <c r="XK343" s="457"/>
      <c r="XL343" s="457"/>
      <c r="XM343" s="457"/>
      <c r="XN343" s="457"/>
      <c r="XO343" s="457"/>
      <c r="XP343" s="457"/>
      <c r="XQ343" s="457"/>
      <c r="XR343" s="457"/>
      <c r="XS343" s="457"/>
      <c r="XT343" s="457"/>
      <c r="XU343" s="457"/>
      <c r="XV343" s="457"/>
      <c r="XW343" s="457"/>
      <c r="XX343" s="457"/>
      <c r="XY343" s="457"/>
      <c r="XZ343" s="457"/>
      <c r="YA343" s="457"/>
      <c r="YB343" s="457"/>
      <c r="YC343" s="457"/>
      <c r="YD343" s="457"/>
      <c r="YE343" s="457"/>
      <c r="YF343" s="457"/>
      <c r="YG343" s="457"/>
      <c r="YH343" s="457"/>
      <c r="YI343" s="457"/>
      <c r="YJ343" s="457"/>
      <c r="YK343" s="457"/>
      <c r="YL343" s="457"/>
      <c r="YM343" s="457"/>
      <c r="YN343" s="457"/>
      <c r="YO343" s="457"/>
      <c r="YP343" s="457"/>
      <c r="YQ343" s="457"/>
      <c r="YR343" s="457"/>
      <c r="YS343" s="457"/>
      <c r="YT343" s="457"/>
      <c r="YU343" s="457"/>
      <c r="YV343" s="457"/>
      <c r="YW343" s="457"/>
      <c r="YX343" s="457"/>
      <c r="YY343" s="457"/>
      <c r="YZ343" s="457"/>
      <c r="ZA343" s="457"/>
      <c r="ZB343" s="457"/>
      <c r="ZC343" s="457"/>
      <c r="ZD343" s="457"/>
      <c r="ZE343" s="457"/>
      <c r="ZF343" s="457"/>
      <c r="ZG343" s="457"/>
      <c r="ZH343" s="457"/>
      <c r="ZI343" s="457"/>
      <c r="ZJ343" s="457"/>
      <c r="ZK343" s="457"/>
      <c r="ZL343" s="457"/>
      <c r="ZM343" s="457"/>
      <c r="ZN343" s="457"/>
      <c r="ZO343" s="457"/>
      <c r="ZP343" s="457"/>
      <c r="ZQ343" s="457"/>
      <c r="ZR343" s="457"/>
      <c r="ZS343" s="457"/>
      <c r="ZT343" s="457"/>
      <c r="ZU343" s="457"/>
      <c r="ZV343" s="457"/>
      <c r="ZW343" s="457"/>
      <c r="ZX343" s="457"/>
      <c r="ZY343" s="457"/>
      <c r="ZZ343" s="457"/>
      <c r="AAA343" s="457"/>
      <c r="AAB343" s="457"/>
      <c r="AAC343" s="457"/>
      <c r="AAD343" s="457"/>
      <c r="AAE343" s="457"/>
      <c r="AAF343" s="457"/>
      <c r="AAG343" s="457"/>
      <c r="AAH343" s="457"/>
      <c r="AAI343" s="457"/>
      <c r="AAJ343" s="457"/>
      <c r="AAK343" s="457"/>
      <c r="AAL343" s="457"/>
      <c r="AAM343" s="457"/>
      <c r="AAN343" s="457"/>
      <c r="AAO343" s="457"/>
      <c r="AAP343" s="457"/>
      <c r="AAQ343" s="457"/>
      <c r="AAR343" s="457"/>
      <c r="AAS343" s="457"/>
      <c r="AAT343" s="457"/>
      <c r="AAU343" s="457"/>
      <c r="AAV343" s="457"/>
      <c r="AAW343" s="457"/>
      <c r="AAX343" s="457"/>
      <c r="AAY343" s="457"/>
      <c r="AAZ343" s="457"/>
      <c r="ABA343" s="457"/>
      <c r="ABB343" s="457"/>
      <c r="ABC343" s="457"/>
      <c r="ABD343" s="457"/>
      <c r="ABE343" s="457"/>
      <c r="ABF343" s="457"/>
      <c r="ABG343" s="457"/>
      <c r="ABH343" s="457"/>
      <c r="ABI343" s="457"/>
      <c r="ABJ343" s="457"/>
      <c r="ABK343" s="457"/>
      <c r="ABL343" s="457"/>
      <c r="ABM343" s="457"/>
      <c r="ABN343" s="457"/>
      <c r="ABO343" s="457"/>
      <c r="ABP343" s="457"/>
      <c r="ABQ343" s="457"/>
      <c r="ABR343" s="457"/>
      <c r="ABS343" s="457"/>
      <c r="ABT343" s="457"/>
      <c r="ABU343" s="457"/>
      <c r="ABV343" s="457"/>
      <c r="ABW343" s="457"/>
      <c r="ABX343" s="457"/>
      <c r="ABY343" s="457"/>
      <c r="ABZ343" s="457"/>
      <c r="ACA343" s="457"/>
      <c r="ACB343" s="457"/>
      <c r="ACC343" s="457"/>
      <c r="ACD343" s="457"/>
      <c r="ACE343" s="457"/>
      <c r="ACF343" s="457"/>
      <c r="ACG343" s="457"/>
      <c r="ACH343" s="457"/>
      <c r="ACI343" s="457"/>
      <c r="ACJ343" s="457"/>
      <c r="ACK343" s="457"/>
      <c r="ACL343" s="457"/>
      <c r="ACM343" s="457"/>
      <c r="ACN343" s="457"/>
      <c r="ACO343" s="457"/>
      <c r="ACP343" s="457"/>
      <c r="ACQ343" s="457"/>
      <c r="ACR343" s="457"/>
      <c r="ACS343" s="457"/>
      <c r="ACT343" s="457"/>
      <c r="ACU343" s="457"/>
      <c r="ACV343" s="457"/>
    </row>
    <row r="344" spans="1:776" s="400" customFormat="1" x14ac:dyDescent="0.25">
      <c r="A344" s="470">
        <v>900059</v>
      </c>
      <c r="B344" s="454" t="s">
        <v>200</v>
      </c>
      <c r="C344" s="455"/>
      <c r="D344" s="454" t="s">
        <v>201</v>
      </c>
      <c r="E344" s="454">
        <v>2.04</v>
      </c>
      <c r="F344" s="458">
        <v>7.1</v>
      </c>
      <c r="G344" s="454">
        <v>0.01</v>
      </c>
      <c r="H344" s="454">
        <v>0.09</v>
      </c>
      <c r="I344" s="456">
        <v>379.85</v>
      </c>
      <c r="J344" s="454">
        <v>175.7</v>
      </c>
      <c r="K344" s="399">
        <f>0.01*3.06</f>
        <v>3.0600000000000002E-2</v>
      </c>
      <c r="L344" s="454">
        <v>420</v>
      </c>
      <c r="M344" s="454"/>
      <c r="N344" s="454">
        <v>3.4</v>
      </c>
      <c r="O344" s="454">
        <v>305.92</v>
      </c>
      <c r="P344" s="454">
        <v>59.3</v>
      </c>
      <c r="Q344" s="454">
        <v>41.4</v>
      </c>
      <c r="R344" s="454">
        <v>0.03</v>
      </c>
      <c r="S344" s="454">
        <v>1.0000000000000001E-5</v>
      </c>
      <c r="T344" s="454">
        <v>1.0000000000000001E-5</v>
      </c>
      <c r="U344" s="454">
        <v>1.0000000000000001E-5</v>
      </c>
      <c r="V344" s="454"/>
      <c r="W344" s="457"/>
      <c r="X344" s="457"/>
      <c r="Y344" s="457"/>
      <c r="Z344" s="457"/>
      <c r="AA344" s="457"/>
      <c r="AB344" s="457"/>
      <c r="AC344" s="457"/>
      <c r="AD344" s="457"/>
      <c r="AE344" s="457"/>
      <c r="AF344" s="457"/>
      <c r="AG344" s="457"/>
      <c r="AH344" s="457"/>
      <c r="AI344" s="457"/>
      <c r="AJ344" s="457"/>
      <c r="AK344" s="457"/>
      <c r="AL344" s="457"/>
      <c r="AM344" s="457"/>
      <c r="AN344" s="457"/>
      <c r="AO344" s="457"/>
      <c r="AP344" s="457"/>
      <c r="AQ344" s="457"/>
      <c r="AR344" s="457"/>
      <c r="AS344" s="457"/>
      <c r="AT344" s="457"/>
      <c r="AU344" s="457"/>
      <c r="AV344" s="457"/>
      <c r="AW344" s="457"/>
      <c r="AX344" s="457"/>
      <c r="AY344" s="457"/>
      <c r="AZ344" s="457"/>
      <c r="BA344" s="457"/>
      <c r="BB344" s="457"/>
      <c r="BC344" s="457"/>
      <c r="BD344" s="457"/>
      <c r="BE344" s="457"/>
      <c r="BF344" s="457"/>
      <c r="BG344" s="457"/>
      <c r="BH344" s="457"/>
      <c r="BI344" s="457"/>
      <c r="BJ344" s="457"/>
      <c r="BK344" s="457"/>
      <c r="BL344" s="457"/>
      <c r="BM344" s="457"/>
      <c r="BN344" s="457"/>
      <c r="BO344" s="457"/>
      <c r="BP344" s="457"/>
      <c r="BQ344" s="457"/>
      <c r="BR344" s="457"/>
      <c r="BS344" s="457"/>
      <c r="BT344" s="457"/>
      <c r="BU344" s="457"/>
      <c r="BV344" s="457"/>
      <c r="BW344" s="457"/>
      <c r="BX344" s="457"/>
      <c r="BY344" s="457"/>
      <c r="BZ344" s="457"/>
      <c r="CA344" s="457"/>
      <c r="CB344" s="457"/>
      <c r="CC344" s="457"/>
      <c r="CD344" s="457"/>
      <c r="CE344" s="457"/>
      <c r="CF344" s="457"/>
      <c r="CG344" s="457"/>
      <c r="CH344" s="457"/>
      <c r="CI344" s="457"/>
      <c r="CJ344" s="457"/>
      <c r="CK344" s="457"/>
      <c r="CL344" s="457"/>
      <c r="CM344" s="457"/>
      <c r="CN344" s="457"/>
      <c r="CO344" s="457"/>
      <c r="CP344" s="457"/>
      <c r="CQ344" s="457"/>
      <c r="CR344" s="457"/>
      <c r="CS344" s="457"/>
      <c r="CT344" s="457"/>
      <c r="CU344" s="457"/>
      <c r="CV344" s="457"/>
      <c r="CW344" s="457"/>
      <c r="CX344" s="457"/>
      <c r="CY344" s="457"/>
      <c r="CZ344" s="457"/>
      <c r="DA344" s="457"/>
      <c r="DB344" s="457"/>
      <c r="DC344" s="457"/>
      <c r="DD344" s="457"/>
      <c r="DE344" s="457"/>
      <c r="DF344" s="457"/>
      <c r="DG344" s="457"/>
      <c r="DH344" s="457"/>
      <c r="DI344" s="457"/>
      <c r="DJ344" s="457"/>
      <c r="DK344" s="457"/>
      <c r="DL344" s="457"/>
      <c r="DM344" s="457"/>
      <c r="DN344" s="457"/>
      <c r="DO344" s="457"/>
      <c r="DP344" s="457"/>
      <c r="DQ344" s="457"/>
      <c r="DR344" s="457"/>
      <c r="DS344" s="457"/>
      <c r="DT344" s="457"/>
      <c r="DU344" s="457"/>
      <c r="DV344" s="457"/>
      <c r="DW344" s="457"/>
      <c r="DX344" s="457"/>
      <c r="DY344" s="457"/>
      <c r="DZ344" s="457"/>
      <c r="EA344" s="457"/>
      <c r="EB344" s="457"/>
      <c r="EC344" s="457"/>
      <c r="ED344" s="457"/>
      <c r="EE344" s="457"/>
      <c r="EF344" s="457"/>
      <c r="EG344" s="457"/>
      <c r="EH344" s="457"/>
      <c r="EI344" s="457"/>
      <c r="EJ344" s="457"/>
      <c r="EK344" s="457"/>
      <c r="EL344" s="457"/>
      <c r="EM344" s="457"/>
      <c r="EN344" s="457"/>
      <c r="EO344" s="457"/>
      <c r="EP344" s="457"/>
      <c r="EQ344" s="457"/>
      <c r="ER344" s="457"/>
      <c r="ES344" s="457"/>
      <c r="ET344" s="457"/>
      <c r="EU344" s="457"/>
      <c r="EV344" s="457"/>
      <c r="EW344" s="457"/>
      <c r="EX344" s="457"/>
      <c r="EY344" s="457"/>
      <c r="EZ344" s="457"/>
      <c r="FA344" s="457"/>
      <c r="FB344" s="457"/>
      <c r="FC344" s="457"/>
      <c r="FD344" s="457"/>
      <c r="FE344" s="457"/>
      <c r="FF344" s="457"/>
      <c r="FG344" s="457"/>
      <c r="FH344" s="457"/>
      <c r="FI344" s="457"/>
      <c r="FJ344" s="457"/>
      <c r="FK344" s="457"/>
      <c r="FL344" s="457"/>
      <c r="FM344" s="457"/>
      <c r="FN344" s="457"/>
      <c r="FO344" s="457"/>
      <c r="FP344" s="457"/>
      <c r="FQ344" s="457"/>
      <c r="FR344" s="457"/>
      <c r="FS344" s="457"/>
      <c r="FT344" s="457"/>
      <c r="FU344" s="457"/>
      <c r="FV344" s="457"/>
      <c r="FW344" s="457"/>
      <c r="FX344" s="457"/>
      <c r="FY344" s="457"/>
      <c r="FZ344" s="457"/>
      <c r="GA344" s="457"/>
      <c r="GB344" s="457"/>
      <c r="GC344" s="457"/>
      <c r="GD344" s="457"/>
      <c r="GE344" s="457"/>
      <c r="GF344" s="457"/>
      <c r="GG344" s="457"/>
      <c r="GH344" s="457"/>
      <c r="GI344" s="457"/>
      <c r="GJ344" s="457"/>
      <c r="GK344" s="457"/>
      <c r="GL344" s="457"/>
      <c r="GM344" s="457"/>
      <c r="GN344" s="457"/>
      <c r="GO344" s="457"/>
      <c r="GP344" s="457"/>
      <c r="GQ344" s="457"/>
      <c r="GR344" s="457"/>
      <c r="GS344" s="457"/>
      <c r="GT344" s="457"/>
      <c r="GU344" s="457"/>
      <c r="GV344" s="457"/>
      <c r="GW344" s="457"/>
      <c r="GX344" s="457"/>
      <c r="GY344" s="457"/>
      <c r="GZ344" s="457"/>
      <c r="HA344" s="457"/>
      <c r="HB344" s="457"/>
      <c r="HC344" s="457"/>
      <c r="HD344" s="457"/>
      <c r="HE344" s="457"/>
      <c r="HF344" s="457"/>
      <c r="HG344" s="457"/>
      <c r="HH344" s="457"/>
      <c r="HI344" s="457"/>
      <c r="HJ344" s="457"/>
      <c r="HK344" s="457"/>
      <c r="HL344" s="457"/>
      <c r="HM344" s="457"/>
      <c r="HN344" s="457"/>
      <c r="HO344" s="457"/>
      <c r="HP344" s="457"/>
      <c r="HQ344" s="457"/>
      <c r="HR344" s="457"/>
      <c r="HS344" s="457"/>
      <c r="HT344" s="457"/>
      <c r="HU344" s="457"/>
      <c r="HV344" s="457"/>
      <c r="HW344" s="457"/>
      <c r="HX344" s="457"/>
      <c r="HY344" s="457"/>
      <c r="HZ344" s="457"/>
      <c r="IA344" s="457"/>
      <c r="IB344" s="457"/>
      <c r="IC344" s="457"/>
      <c r="ID344" s="457"/>
      <c r="IE344" s="457"/>
      <c r="IF344" s="457"/>
      <c r="IG344" s="457"/>
      <c r="IH344" s="457"/>
      <c r="II344" s="457"/>
      <c r="IJ344" s="457"/>
      <c r="IK344" s="457"/>
      <c r="IL344" s="457"/>
      <c r="IM344" s="457"/>
      <c r="IN344" s="457"/>
      <c r="IO344" s="457"/>
      <c r="IP344" s="457"/>
      <c r="IQ344" s="457"/>
      <c r="IR344" s="457"/>
      <c r="IS344" s="457"/>
      <c r="IT344" s="457"/>
      <c r="IU344" s="457"/>
      <c r="IV344" s="457"/>
      <c r="IW344" s="457"/>
      <c r="IX344" s="457"/>
      <c r="IY344" s="457"/>
      <c r="IZ344" s="457"/>
      <c r="JA344" s="457"/>
      <c r="JB344" s="457"/>
      <c r="JC344" s="457"/>
      <c r="JD344" s="457"/>
      <c r="JE344" s="457"/>
      <c r="JF344" s="457"/>
      <c r="JG344" s="457"/>
      <c r="JH344" s="457"/>
      <c r="JI344" s="457"/>
      <c r="JJ344" s="457"/>
      <c r="JK344" s="457"/>
      <c r="JL344" s="457"/>
      <c r="JM344" s="457"/>
      <c r="JN344" s="457"/>
      <c r="JO344" s="457"/>
      <c r="JP344" s="457"/>
      <c r="JQ344" s="457"/>
      <c r="JR344" s="457"/>
      <c r="JS344" s="457"/>
      <c r="JT344" s="457"/>
      <c r="JU344" s="457"/>
      <c r="JV344" s="457"/>
      <c r="JW344" s="457"/>
      <c r="JX344" s="457"/>
      <c r="JY344" s="457"/>
      <c r="JZ344" s="457"/>
      <c r="KA344" s="457"/>
      <c r="KB344" s="457"/>
      <c r="KC344" s="457"/>
      <c r="KD344" s="457"/>
      <c r="KE344" s="457"/>
      <c r="KF344" s="457"/>
      <c r="KG344" s="457"/>
      <c r="KH344" s="457"/>
      <c r="KI344" s="457"/>
      <c r="KJ344" s="457"/>
      <c r="KK344" s="457"/>
      <c r="KL344" s="457"/>
      <c r="KM344" s="457"/>
      <c r="KN344" s="457"/>
      <c r="KO344" s="457"/>
      <c r="KP344" s="457"/>
      <c r="KQ344" s="457"/>
      <c r="KR344" s="457"/>
      <c r="KS344" s="457"/>
      <c r="KT344" s="457"/>
      <c r="KU344" s="457"/>
      <c r="KV344" s="457"/>
      <c r="KW344" s="457"/>
      <c r="KX344" s="457"/>
      <c r="KY344" s="457"/>
      <c r="KZ344" s="457"/>
      <c r="LA344" s="457"/>
      <c r="LB344" s="457"/>
      <c r="LC344" s="457"/>
      <c r="LD344" s="457"/>
      <c r="LE344" s="457"/>
      <c r="LF344" s="457"/>
      <c r="LG344" s="457"/>
      <c r="LH344" s="457"/>
      <c r="LI344" s="457"/>
      <c r="LJ344" s="457"/>
      <c r="LK344" s="457"/>
      <c r="LL344" s="457"/>
      <c r="LM344" s="457"/>
      <c r="LN344" s="457"/>
      <c r="LO344" s="457"/>
      <c r="LP344" s="457"/>
      <c r="LQ344" s="457"/>
      <c r="LR344" s="457"/>
      <c r="LS344" s="457"/>
      <c r="LT344" s="457"/>
      <c r="LU344" s="457"/>
      <c r="LV344" s="457"/>
      <c r="LW344" s="457"/>
      <c r="LX344" s="457"/>
      <c r="LY344" s="457"/>
      <c r="LZ344" s="457"/>
      <c r="MA344" s="457"/>
      <c r="MB344" s="457"/>
      <c r="MC344" s="457"/>
      <c r="MD344" s="457"/>
      <c r="ME344" s="457"/>
      <c r="MF344" s="457"/>
      <c r="MG344" s="457"/>
      <c r="MH344" s="457"/>
      <c r="MI344" s="457"/>
      <c r="MJ344" s="457"/>
      <c r="MK344" s="457"/>
      <c r="ML344" s="457"/>
      <c r="MM344" s="457"/>
      <c r="MN344" s="457"/>
      <c r="MO344" s="457"/>
      <c r="MP344" s="457"/>
      <c r="MQ344" s="457"/>
      <c r="MR344" s="457"/>
      <c r="MS344" s="457"/>
      <c r="MT344" s="457"/>
      <c r="MU344" s="457"/>
      <c r="MV344" s="457"/>
      <c r="MW344" s="457"/>
      <c r="MX344" s="457"/>
      <c r="MY344" s="457"/>
      <c r="MZ344" s="457"/>
      <c r="NA344" s="457"/>
      <c r="NB344" s="457"/>
      <c r="NC344" s="457"/>
      <c r="ND344" s="457"/>
      <c r="NE344" s="457"/>
      <c r="NF344" s="457"/>
      <c r="NG344" s="457"/>
      <c r="NH344" s="457"/>
      <c r="NI344" s="457"/>
      <c r="NJ344" s="457"/>
      <c r="NK344" s="457"/>
      <c r="NL344" s="457"/>
      <c r="NM344" s="457"/>
      <c r="NN344" s="457"/>
      <c r="NO344" s="457"/>
      <c r="NP344" s="457"/>
      <c r="NQ344" s="457"/>
      <c r="NR344" s="457"/>
      <c r="NS344" s="457"/>
      <c r="NT344" s="457"/>
      <c r="NU344" s="457"/>
      <c r="NV344" s="457"/>
      <c r="NW344" s="457"/>
      <c r="NX344" s="457"/>
      <c r="NY344" s="457"/>
      <c r="NZ344" s="457"/>
      <c r="OA344" s="457"/>
      <c r="OB344" s="457"/>
      <c r="OC344" s="457"/>
      <c r="OD344" s="457"/>
      <c r="OE344" s="457"/>
      <c r="OF344" s="457"/>
      <c r="OG344" s="457"/>
      <c r="OH344" s="457"/>
      <c r="OI344" s="457"/>
      <c r="OJ344" s="457"/>
      <c r="OK344" s="457"/>
      <c r="OL344" s="457"/>
      <c r="OM344" s="457"/>
      <c r="ON344" s="457"/>
      <c r="OO344" s="457"/>
      <c r="OP344" s="457"/>
      <c r="OQ344" s="457"/>
      <c r="OR344" s="457"/>
      <c r="OS344" s="457"/>
      <c r="OT344" s="457"/>
      <c r="OU344" s="457"/>
      <c r="OV344" s="457"/>
      <c r="OW344" s="457"/>
      <c r="OX344" s="457"/>
      <c r="OY344" s="457"/>
      <c r="OZ344" s="457"/>
      <c r="PA344" s="457"/>
      <c r="PB344" s="457"/>
      <c r="PC344" s="457"/>
      <c r="PD344" s="457"/>
      <c r="PE344" s="457"/>
      <c r="PF344" s="457"/>
      <c r="PG344" s="457"/>
      <c r="PH344" s="457"/>
      <c r="PI344" s="457"/>
      <c r="PJ344" s="457"/>
      <c r="PK344" s="457"/>
      <c r="PL344" s="457"/>
      <c r="PM344" s="457"/>
      <c r="PN344" s="457"/>
      <c r="PO344" s="457"/>
      <c r="PP344" s="457"/>
      <c r="PQ344" s="457"/>
      <c r="PR344" s="457"/>
      <c r="PS344" s="457"/>
      <c r="PT344" s="457"/>
      <c r="PU344" s="457"/>
      <c r="PV344" s="457"/>
      <c r="PW344" s="457"/>
      <c r="PX344" s="457"/>
      <c r="PY344" s="457"/>
      <c r="PZ344" s="457"/>
      <c r="QA344" s="457"/>
      <c r="QB344" s="457"/>
      <c r="QC344" s="457"/>
      <c r="QD344" s="457"/>
      <c r="QE344" s="457"/>
      <c r="QF344" s="457"/>
      <c r="QG344" s="457"/>
      <c r="QH344" s="457"/>
      <c r="QI344" s="457"/>
      <c r="QJ344" s="457"/>
      <c r="QK344" s="457"/>
      <c r="QL344" s="457"/>
      <c r="QM344" s="457"/>
      <c r="QN344" s="457"/>
      <c r="QO344" s="457"/>
      <c r="QP344" s="457"/>
      <c r="QQ344" s="457"/>
      <c r="QR344" s="457"/>
      <c r="QS344" s="457"/>
      <c r="QT344" s="457"/>
      <c r="QU344" s="457"/>
      <c r="QV344" s="457"/>
      <c r="QW344" s="457"/>
      <c r="QX344" s="457"/>
      <c r="QY344" s="457"/>
      <c r="QZ344" s="457"/>
      <c r="RA344" s="457"/>
      <c r="RB344" s="457"/>
      <c r="RC344" s="457"/>
      <c r="RD344" s="457"/>
      <c r="RE344" s="457"/>
      <c r="RF344" s="457"/>
      <c r="RG344" s="457"/>
      <c r="RH344" s="457"/>
      <c r="RI344" s="457"/>
      <c r="RJ344" s="457"/>
      <c r="RK344" s="457"/>
      <c r="RL344" s="457"/>
      <c r="RM344" s="457"/>
      <c r="RN344" s="457"/>
      <c r="RO344" s="457"/>
      <c r="RP344" s="457"/>
      <c r="RQ344" s="457"/>
      <c r="RR344" s="457"/>
      <c r="RS344" s="457"/>
      <c r="RT344" s="457"/>
      <c r="RU344" s="457"/>
      <c r="RV344" s="457"/>
      <c r="RW344" s="457"/>
      <c r="RX344" s="457"/>
      <c r="RY344" s="457"/>
      <c r="RZ344" s="457"/>
      <c r="SA344" s="457"/>
      <c r="SB344" s="457"/>
      <c r="SC344" s="457"/>
      <c r="SD344" s="457"/>
      <c r="SE344" s="457"/>
      <c r="SF344" s="457"/>
      <c r="SG344" s="457"/>
      <c r="SH344" s="457"/>
      <c r="SI344" s="457"/>
      <c r="SJ344" s="457"/>
      <c r="SK344" s="457"/>
      <c r="SL344" s="457"/>
      <c r="SM344" s="457"/>
      <c r="SN344" s="457"/>
      <c r="SO344" s="457"/>
      <c r="SP344" s="457"/>
      <c r="SQ344" s="457"/>
      <c r="SR344" s="457"/>
      <c r="SS344" s="457"/>
      <c r="ST344" s="457"/>
      <c r="SU344" s="457"/>
      <c r="SV344" s="457"/>
      <c r="SW344" s="457"/>
      <c r="SX344" s="457"/>
      <c r="SY344" s="457"/>
      <c r="SZ344" s="457"/>
      <c r="TA344" s="457"/>
      <c r="TB344" s="457"/>
      <c r="TC344" s="457"/>
      <c r="TD344" s="457"/>
      <c r="TE344" s="457"/>
      <c r="TF344" s="457"/>
      <c r="TG344" s="457"/>
      <c r="TH344" s="457"/>
      <c r="TI344" s="457"/>
      <c r="TJ344" s="457"/>
      <c r="TK344" s="457"/>
      <c r="TL344" s="457"/>
      <c r="TM344" s="457"/>
      <c r="TN344" s="457"/>
      <c r="TO344" s="457"/>
      <c r="TP344" s="457"/>
      <c r="TQ344" s="457"/>
      <c r="TR344" s="457"/>
      <c r="TS344" s="457"/>
      <c r="TT344" s="457"/>
      <c r="TU344" s="457"/>
      <c r="TV344" s="457"/>
      <c r="TW344" s="457"/>
      <c r="TX344" s="457"/>
      <c r="TY344" s="457"/>
      <c r="TZ344" s="457"/>
      <c r="UA344" s="457"/>
      <c r="UB344" s="457"/>
      <c r="UC344" s="457"/>
      <c r="UD344" s="457"/>
      <c r="UE344" s="457"/>
      <c r="UF344" s="457"/>
      <c r="UG344" s="457"/>
      <c r="UH344" s="457"/>
      <c r="UI344" s="457"/>
      <c r="UJ344" s="457"/>
      <c r="UK344" s="457"/>
      <c r="UL344" s="457"/>
      <c r="UM344" s="457"/>
      <c r="UN344" s="457"/>
      <c r="UO344" s="457"/>
      <c r="UP344" s="457"/>
      <c r="UQ344" s="457"/>
      <c r="UR344" s="457"/>
      <c r="US344" s="457"/>
      <c r="UT344" s="457"/>
      <c r="UU344" s="457"/>
      <c r="UV344" s="457"/>
      <c r="UW344" s="457"/>
      <c r="UX344" s="457"/>
      <c r="UY344" s="457"/>
      <c r="UZ344" s="457"/>
      <c r="VA344" s="457"/>
      <c r="VB344" s="457"/>
      <c r="VC344" s="457"/>
      <c r="VD344" s="457"/>
      <c r="VE344" s="457"/>
      <c r="VF344" s="457"/>
      <c r="VG344" s="457"/>
      <c r="VH344" s="457"/>
      <c r="VI344" s="457"/>
      <c r="VJ344" s="457"/>
      <c r="VK344" s="457"/>
      <c r="VL344" s="457"/>
      <c r="VM344" s="457"/>
      <c r="VN344" s="457"/>
      <c r="VO344" s="457"/>
      <c r="VP344" s="457"/>
      <c r="VQ344" s="457"/>
      <c r="VR344" s="457"/>
      <c r="VS344" s="457"/>
      <c r="VT344" s="457"/>
      <c r="VU344" s="457"/>
      <c r="VV344" s="457"/>
      <c r="VW344" s="457"/>
      <c r="VX344" s="457"/>
      <c r="VY344" s="457"/>
      <c r="VZ344" s="457"/>
      <c r="WA344" s="457"/>
      <c r="WB344" s="457"/>
      <c r="WC344" s="457"/>
      <c r="WD344" s="457"/>
      <c r="WE344" s="457"/>
      <c r="WF344" s="457"/>
      <c r="WG344" s="457"/>
      <c r="WH344" s="457"/>
      <c r="WI344" s="457"/>
      <c r="WJ344" s="457"/>
      <c r="WK344" s="457"/>
      <c r="WL344" s="457"/>
      <c r="WM344" s="457"/>
      <c r="WN344" s="457"/>
      <c r="WO344" s="457"/>
      <c r="WP344" s="457"/>
      <c r="WQ344" s="457"/>
      <c r="WR344" s="457"/>
      <c r="WS344" s="457"/>
      <c r="WT344" s="457"/>
      <c r="WU344" s="457"/>
      <c r="WV344" s="457"/>
      <c r="WW344" s="457"/>
      <c r="WX344" s="457"/>
      <c r="WY344" s="457"/>
      <c r="WZ344" s="457"/>
      <c r="XA344" s="457"/>
      <c r="XB344" s="457"/>
      <c r="XC344" s="457"/>
      <c r="XD344" s="457"/>
      <c r="XE344" s="457"/>
      <c r="XF344" s="457"/>
      <c r="XG344" s="457"/>
      <c r="XH344" s="457"/>
      <c r="XI344" s="457"/>
      <c r="XJ344" s="457"/>
      <c r="XK344" s="457"/>
      <c r="XL344" s="457"/>
      <c r="XM344" s="457"/>
      <c r="XN344" s="457"/>
      <c r="XO344" s="457"/>
      <c r="XP344" s="457"/>
      <c r="XQ344" s="457"/>
      <c r="XR344" s="457"/>
      <c r="XS344" s="457"/>
      <c r="XT344" s="457"/>
      <c r="XU344" s="457"/>
      <c r="XV344" s="457"/>
      <c r="XW344" s="457"/>
      <c r="XX344" s="457"/>
      <c r="XY344" s="457"/>
      <c r="XZ344" s="457"/>
      <c r="YA344" s="457"/>
      <c r="YB344" s="457"/>
      <c r="YC344" s="457"/>
      <c r="YD344" s="457"/>
      <c r="YE344" s="457"/>
      <c r="YF344" s="457"/>
      <c r="YG344" s="457"/>
      <c r="YH344" s="457"/>
      <c r="YI344" s="457"/>
      <c r="YJ344" s="457"/>
      <c r="YK344" s="457"/>
      <c r="YL344" s="457"/>
      <c r="YM344" s="457"/>
      <c r="YN344" s="457"/>
      <c r="YO344" s="457"/>
      <c r="YP344" s="457"/>
      <c r="YQ344" s="457"/>
      <c r="YR344" s="457"/>
      <c r="YS344" s="457"/>
      <c r="YT344" s="457"/>
      <c r="YU344" s="457"/>
      <c r="YV344" s="457"/>
      <c r="YW344" s="457"/>
      <c r="YX344" s="457"/>
      <c r="YY344" s="457"/>
      <c r="YZ344" s="457"/>
      <c r="ZA344" s="457"/>
      <c r="ZB344" s="457"/>
      <c r="ZC344" s="457"/>
      <c r="ZD344" s="457"/>
      <c r="ZE344" s="457"/>
      <c r="ZF344" s="457"/>
      <c r="ZG344" s="457"/>
      <c r="ZH344" s="457"/>
      <c r="ZI344" s="457"/>
      <c r="ZJ344" s="457"/>
      <c r="ZK344" s="457"/>
      <c r="ZL344" s="457"/>
      <c r="ZM344" s="457"/>
      <c r="ZN344" s="457"/>
      <c r="ZO344" s="457"/>
      <c r="ZP344" s="457"/>
      <c r="ZQ344" s="457"/>
      <c r="ZR344" s="457"/>
      <c r="ZS344" s="457"/>
      <c r="ZT344" s="457"/>
      <c r="ZU344" s="457"/>
      <c r="ZV344" s="457"/>
      <c r="ZW344" s="457"/>
      <c r="ZX344" s="457"/>
      <c r="ZY344" s="457"/>
      <c r="ZZ344" s="457"/>
      <c r="AAA344" s="457"/>
      <c r="AAB344" s="457"/>
      <c r="AAC344" s="457"/>
      <c r="AAD344" s="457"/>
      <c r="AAE344" s="457"/>
      <c r="AAF344" s="457"/>
      <c r="AAG344" s="457"/>
      <c r="AAH344" s="457"/>
      <c r="AAI344" s="457"/>
      <c r="AAJ344" s="457"/>
      <c r="AAK344" s="457"/>
      <c r="AAL344" s="457"/>
      <c r="AAM344" s="457"/>
      <c r="AAN344" s="457"/>
      <c r="AAO344" s="457"/>
      <c r="AAP344" s="457"/>
      <c r="AAQ344" s="457"/>
      <c r="AAR344" s="457"/>
      <c r="AAS344" s="457"/>
      <c r="AAT344" s="457"/>
      <c r="AAU344" s="457"/>
      <c r="AAV344" s="457"/>
      <c r="AAW344" s="457"/>
      <c r="AAX344" s="457"/>
      <c r="AAY344" s="457"/>
      <c r="AAZ344" s="457"/>
      <c r="ABA344" s="457"/>
      <c r="ABB344" s="457"/>
      <c r="ABC344" s="457"/>
      <c r="ABD344" s="457"/>
      <c r="ABE344" s="457"/>
      <c r="ABF344" s="457"/>
      <c r="ABG344" s="457"/>
      <c r="ABH344" s="457"/>
      <c r="ABI344" s="457"/>
      <c r="ABJ344" s="457"/>
      <c r="ABK344" s="457"/>
      <c r="ABL344" s="457"/>
      <c r="ABM344" s="457"/>
      <c r="ABN344" s="457"/>
      <c r="ABO344" s="457"/>
      <c r="ABP344" s="457"/>
      <c r="ABQ344" s="457"/>
      <c r="ABR344" s="457"/>
      <c r="ABS344" s="457"/>
      <c r="ABT344" s="457"/>
      <c r="ABU344" s="457"/>
      <c r="ABV344" s="457"/>
      <c r="ABW344" s="457"/>
      <c r="ABX344" s="457"/>
      <c r="ABY344" s="457"/>
      <c r="ABZ344" s="457"/>
      <c r="ACA344" s="457"/>
      <c r="ACB344" s="457"/>
      <c r="ACC344" s="457"/>
      <c r="ACD344" s="457"/>
      <c r="ACE344" s="457"/>
      <c r="ACF344" s="457"/>
      <c r="ACG344" s="457"/>
      <c r="ACH344" s="457"/>
      <c r="ACI344" s="457"/>
      <c r="ACJ344" s="457"/>
      <c r="ACK344" s="457"/>
      <c r="ACL344" s="457"/>
      <c r="ACM344" s="457"/>
      <c r="ACN344" s="457"/>
      <c r="ACO344" s="457"/>
      <c r="ACP344" s="457"/>
      <c r="ACQ344" s="457"/>
      <c r="ACR344" s="457"/>
      <c r="ACS344" s="457"/>
      <c r="ACT344" s="457"/>
      <c r="ACU344" s="457"/>
      <c r="ACV344" s="457"/>
    </row>
    <row r="345" spans="1:776" s="400" customFormat="1" x14ac:dyDescent="0.25">
      <c r="A345" s="579">
        <v>901012</v>
      </c>
      <c r="B345" s="396" t="str">
        <f>"-"&amp;TEXT((F345/62+G345/46+I345/35.5+J345/48+K345/97+L345/61),"0,00")&amp;"/+"&amp;TEXT((N345/39+O345/23+P345/20+Q345/12+H345/14),"0,00")&amp;"  (EC  "&amp;E345*10&amp;")"</f>
        <v>-13,27/+14,01  (EC  14,4)</v>
      </c>
      <c r="C345" s="24"/>
      <c r="D345" s="459">
        <v>6.78</v>
      </c>
      <c r="E345" s="459">
        <v>1.44</v>
      </c>
      <c r="F345" s="460">
        <v>0.01</v>
      </c>
      <c r="G345" s="459">
        <v>106.51</v>
      </c>
      <c r="H345" s="459">
        <v>3.92</v>
      </c>
      <c r="I345" s="461">
        <v>53.95</v>
      </c>
      <c r="J345" s="459">
        <f>23.6*10</f>
        <v>236</v>
      </c>
      <c r="K345" s="461">
        <f>17.29*3.06</f>
        <v>52.907399999999996</v>
      </c>
      <c r="L345" s="459">
        <f>(10.2-0.1)*24</f>
        <v>242.39999999999998</v>
      </c>
      <c r="M345" s="459">
        <v>0.01</v>
      </c>
      <c r="N345" s="459">
        <v>109.85</v>
      </c>
      <c r="O345" s="459">
        <v>24.71</v>
      </c>
      <c r="P345" s="459">
        <v>120.5</v>
      </c>
      <c r="Q345" s="459">
        <v>45.76</v>
      </c>
      <c r="R345" s="459">
        <v>0.15</v>
      </c>
      <c r="S345" s="459">
        <v>1.0000000000000001E-5</v>
      </c>
      <c r="T345" s="459">
        <v>0.14000000000000001</v>
      </c>
      <c r="U345" s="459">
        <v>1E-4</v>
      </c>
      <c r="V345" s="459">
        <v>0.03</v>
      </c>
    </row>
    <row r="346" spans="1:776" s="400" customFormat="1" x14ac:dyDescent="0.25">
      <c r="A346" s="579">
        <v>901013</v>
      </c>
      <c r="B346" s="396" t="str">
        <f>"-"&amp;TEXT((F346/62+G346/46+I346/35.5+J346/48+K346/97+L346/61),"0,00")&amp;"/+"&amp;TEXT((N346/39+O346/23+P346/20+Q346/12+H346/14),"0,00")&amp;"  (EC  "&amp;E346*10&amp;")"</f>
        <v>-27,40/+25,63  (EC  27,7)</v>
      </c>
      <c r="C346" s="24"/>
      <c r="D346" s="459">
        <v>7.81</v>
      </c>
      <c r="E346" s="459">
        <v>2.77</v>
      </c>
      <c r="F346" s="460">
        <v>0.01</v>
      </c>
      <c r="G346" s="459">
        <v>105.85</v>
      </c>
      <c r="H346" s="459">
        <v>0.81</v>
      </c>
      <c r="I346" s="461">
        <v>224.68</v>
      </c>
      <c r="J346" s="459">
        <v>739</v>
      </c>
      <c r="K346" s="461">
        <f>24.77*3.06</f>
        <v>75.796199999999999</v>
      </c>
      <c r="L346" s="459">
        <f>(6.7-0.1)*24</f>
        <v>158.4</v>
      </c>
      <c r="M346" s="459">
        <v>0.01</v>
      </c>
      <c r="N346" s="459">
        <v>101.77</v>
      </c>
      <c r="O346" s="459">
        <v>98.63</v>
      </c>
      <c r="P346" s="459">
        <v>201.36</v>
      </c>
      <c r="Q346" s="459">
        <v>103.31</v>
      </c>
      <c r="R346" s="459">
        <v>1E-4</v>
      </c>
      <c r="S346" s="459">
        <v>1.0000000000000001E-5</v>
      </c>
      <c r="T346" s="459">
        <v>0.02</v>
      </c>
      <c r="U346" s="459">
        <v>1E-4</v>
      </c>
      <c r="V346" s="459">
        <v>1.0000000000000001E-5</v>
      </c>
    </row>
    <row r="347" spans="1:776" s="400" customFormat="1" x14ac:dyDescent="0.25">
      <c r="A347" s="470">
        <v>900060</v>
      </c>
      <c r="B347" s="447" t="str">
        <f t="shared" ref="B347:B372" si="11">"-"&amp;TEXT((F347/62+G347/46+I347/35.5+J347/48+K347/97+L347/61),"0,00")&amp;"/+"&amp;TEXT((N347/39+O347/23+P347/20+Q347/12+H347/14),"0,00")&amp;"  (EC  "&amp;E347*10&amp;")"</f>
        <v>-18,69/+18,88  (EC  18,5)</v>
      </c>
      <c r="C347" s="455"/>
      <c r="D347" s="454">
        <v>6.98</v>
      </c>
      <c r="E347" s="454">
        <v>1.85</v>
      </c>
      <c r="F347" s="458">
        <v>94.77</v>
      </c>
      <c r="G347" s="454">
        <v>0.01</v>
      </c>
      <c r="H347" s="454">
        <v>0.09</v>
      </c>
      <c r="I347" s="456">
        <f>57.15*5</f>
        <v>285.75</v>
      </c>
      <c r="J347" s="454">
        <v>199.3</v>
      </c>
      <c r="K347" s="454">
        <f>0.01*3.06</f>
        <v>3.0600000000000002E-2</v>
      </c>
      <c r="L347" s="454">
        <f>(12.7-0.1)*24</f>
        <v>302.39999999999998</v>
      </c>
      <c r="M347" s="454">
        <v>0.01</v>
      </c>
      <c r="N347" s="454">
        <v>0.73</v>
      </c>
      <c r="O347" s="454">
        <v>201.62</v>
      </c>
      <c r="P347" s="454">
        <v>171.33</v>
      </c>
      <c r="Q347" s="454">
        <v>18.32</v>
      </c>
      <c r="R347" s="454"/>
      <c r="S347" s="454"/>
      <c r="T347" s="454"/>
      <c r="U347" s="454"/>
      <c r="V347" s="454"/>
      <c r="W347" s="457"/>
      <c r="X347" s="457"/>
      <c r="Y347" s="457"/>
      <c r="Z347" s="457"/>
      <c r="AA347" s="457"/>
      <c r="AB347" s="457"/>
      <c r="AC347" s="457"/>
      <c r="AD347" s="457"/>
      <c r="AE347" s="457"/>
      <c r="AF347" s="457"/>
      <c r="AG347" s="457"/>
      <c r="AH347" s="457"/>
      <c r="AI347" s="457"/>
      <c r="AJ347" s="457"/>
      <c r="AK347" s="457"/>
      <c r="AL347" s="457"/>
      <c r="AM347" s="457"/>
      <c r="AN347" s="457"/>
      <c r="AO347" s="457"/>
      <c r="AP347" s="457"/>
      <c r="AQ347" s="457"/>
      <c r="AR347" s="457"/>
      <c r="AS347" s="457"/>
      <c r="AT347" s="457"/>
      <c r="AU347" s="457"/>
      <c r="AV347" s="457"/>
      <c r="AW347" s="457"/>
      <c r="AX347" s="457"/>
      <c r="AY347" s="457"/>
      <c r="AZ347" s="457"/>
      <c r="BA347" s="457"/>
      <c r="BB347" s="457"/>
      <c r="BC347" s="457"/>
      <c r="BD347" s="457"/>
      <c r="BE347" s="457"/>
      <c r="BF347" s="457"/>
      <c r="BG347" s="457"/>
      <c r="BH347" s="457"/>
      <c r="BI347" s="457"/>
      <c r="BJ347" s="457"/>
      <c r="BK347" s="457"/>
      <c r="BL347" s="457"/>
      <c r="BM347" s="457"/>
      <c r="BN347" s="457"/>
      <c r="BO347" s="457"/>
      <c r="BP347" s="457"/>
      <c r="BQ347" s="457"/>
      <c r="BR347" s="457"/>
      <c r="BS347" s="457"/>
      <c r="BT347" s="457"/>
      <c r="BU347" s="457"/>
      <c r="BV347" s="457"/>
      <c r="BW347" s="457"/>
      <c r="BX347" s="457"/>
      <c r="BY347" s="457"/>
      <c r="BZ347" s="457"/>
      <c r="CA347" s="457"/>
      <c r="CB347" s="457"/>
      <c r="CC347" s="457"/>
      <c r="CD347" s="457"/>
      <c r="CE347" s="457"/>
      <c r="CF347" s="457"/>
      <c r="CG347" s="457"/>
      <c r="CH347" s="457"/>
      <c r="CI347" s="457"/>
      <c r="CJ347" s="457"/>
      <c r="CK347" s="457"/>
      <c r="CL347" s="457"/>
      <c r="CM347" s="457"/>
      <c r="CN347" s="457"/>
      <c r="CO347" s="457"/>
      <c r="CP347" s="457"/>
      <c r="CQ347" s="457"/>
      <c r="CR347" s="457"/>
      <c r="CS347" s="457"/>
      <c r="CT347" s="457"/>
      <c r="CU347" s="457"/>
      <c r="CV347" s="457"/>
      <c r="CW347" s="457"/>
      <c r="CX347" s="457"/>
      <c r="CY347" s="457"/>
      <c r="CZ347" s="457"/>
      <c r="DA347" s="457"/>
      <c r="DB347" s="457"/>
      <c r="DC347" s="457"/>
      <c r="DD347" s="457"/>
      <c r="DE347" s="457"/>
      <c r="DF347" s="457"/>
      <c r="DG347" s="457"/>
      <c r="DH347" s="457"/>
      <c r="DI347" s="457"/>
      <c r="DJ347" s="457"/>
      <c r="DK347" s="457"/>
      <c r="DL347" s="457"/>
      <c r="DM347" s="457"/>
      <c r="DN347" s="457"/>
      <c r="DO347" s="457"/>
      <c r="DP347" s="457"/>
      <c r="DQ347" s="457"/>
      <c r="DR347" s="457"/>
      <c r="DS347" s="457"/>
      <c r="DT347" s="457"/>
      <c r="DU347" s="457"/>
      <c r="DV347" s="457"/>
      <c r="DW347" s="457"/>
      <c r="DX347" s="457"/>
      <c r="DY347" s="457"/>
      <c r="DZ347" s="457"/>
      <c r="EA347" s="457"/>
      <c r="EB347" s="457"/>
      <c r="EC347" s="457"/>
      <c r="ED347" s="457"/>
      <c r="EE347" s="457"/>
      <c r="EF347" s="457"/>
      <c r="EG347" s="457"/>
      <c r="EH347" s="457"/>
      <c r="EI347" s="457"/>
      <c r="EJ347" s="457"/>
      <c r="EK347" s="457"/>
      <c r="EL347" s="457"/>
      <c r="EM347" s="457"/>
      <c r="EN347" s="457"/>
      <c r="EO347" s="457"/>
      <c r="EP347" s="457"/>
      <c r="EQ347" s="457"/>
      <c r="ER347" s="457"/>
      <c r="ES347" s="457"/>
      <c r="ET347" s="457"/>
      <c r="EU347" s="457"/>
      <c r="EV347" s="457"/>
      <c r="EW347" s="457"/>
      <c r="EX347" s="457"/>
      <c r="EY347" s="457"/>
      <c r="EZ347" s="457"/>
      <c r="FA347" s="457"/>
      <c r="FB347" s="457"/>
      <c r="FC347" s="457"/>
      <c r="FD347" s="457"/>
      <c r="FE347" s="457"/>
      <c r="FF347" s="457"/>
      <c r="FG347" s="457"/>
      <c r="FH347" s="457"/>
      <c r="FI347" s="457"/>
      <c r="FJ347" s="457"/>
      <c r="FK347" s="457"/>
      <c r="FL347" s="457"/>
      <c r="FM347" s="457"/>
      <c r="FN347" s="457"/>
      <c r="FO347" s="457"/>
      <c r="FP347" s="457"/>
      <c r="FQ347" s="457"/>
      <c r="FR347" s="457"/>
      <c r="FS347" s="457"/>
      <c r="FT347" s="457"/>
      <c r="FU347" s="457"/>
      <c r="FV347" s="457"/>
      <c r="FW347" s="457"/>
      <c r="FX347" s="457"/>
      <c r="FY347" s="457"/>
      <c r="FZ347" s="457"/>
      <c r="GA347" s="457"/>
      <c r="GB347" s="457"/>
      <c r="GC347" s="457"/>
      <c r="GD347" s="457"/>
      <c r="GE347" s="457"/>
      <c r="GF347" s="457"/>
      <c r="GG347" s="457"/>
      <c r="GH347" s="457"/>
      <c r="GI347" s="457"/>
      <c r="GJ347" s="457"/>
      <c r="GK347" s="457"/>
      <c r="GL347" s="457"/>
      <c r="GM347" s="457"/>
      <c r="GN347" s="457"/>
      <c r="GO347" s="457"/>
      <c r="GP347" s="457"/>
      <c r="GQ347" s="457"/>
      <c r="GR347" s="457"/>
      <c r="GS347" s="457"/>
      <c r="GT347" s="457"/>
      <c r="GU347" s="457"/>
      <c r="GV347" s="457"/>
      <c r="GW347" s="457"/>
      <c r="GX347" s="457"/>
      <c r="GY347" s="457"/>
      <c r="GZ347" s="457"/>
      <c r="HA347" s="457"/>
      <c r="HB347" s="457"/>
      <c r="HC347" s="457"/>
      <c r="HD347" s="457"/>
      <c r="HE347" s="457"/>
      <c r="HF347" s="457"/>
      <c r="HG347" s="457"/>
      <c r="HH347" s="457"/>
      <c r="HI347" s="457"/>
      <c r="HJ347" s="457"/>
      <c r="HK347" s="457"/>
      <c r="HL347" s="457"/>
      <c r="HM347" s="457"/>
      <c r="HN347" s="457"/>
      <c r="HO347" s="457"/>
      <c r="HP347" s="457"/>
      <c r="HQ347" s="457"/>
      <c r="HR347" s="457"/>
      <c r="HS347" s="457"/>
      <c r="HT347" s="457"/>
      <c r="HU347" s="457"/>
      <c r="HV347" s="457"/>
      <c r="HW347" s="457"/>
      <c r="HX347" s="457"/>
      <c r="HY347" s="457"/>
      <c r="HZ347" s="457"/>
      <c r="IA347" s="457"/>
      <c r="IB347" s="457"/>
      <c r="IC347" s="457"/>
      <c r="ID347" s="457"/>
      <c r="IE347" s="457"/>
      <c r="IF347" s="457"/>
      <c r="IG347" s="457"/>
      <c r="IH347" s="457"/>
      <c r="II347" s="457"/>
      <c r="IJ347" s="457"/>
      <c r="IK347" s="457"/>
      <c r="IL347" s="457"/>
      <c r="IM347" s="457"/>
      <c r="IN347" s="457"/>
      <c r="IO347" s="457"/>
      <c r="IP347" s="457"/>
      <c r="IQ347" s="457"/>
      <c r="IR347" s="457"/>
      <c r="IS347" s="457"/>
      <c r="IT347" s="457"/>
      <c r="IU347" s="457"/>
      <c r="IV347" s="457"/>
      <c r="IW347" s="457"/>
      <c r="IX347" s="457"/>
      <c r="IY347" s="457"/>
      <c r="IZ347" s="457"/>
      <c r="JA347" s="457"/>
      <c r="JB347" s="457"/>
      <c r="JC347" s="457"/>
      <c r="JD347" s="457"/>
      <c r="JE347" s="457"/>
      <c r="JF347" s="457"/>
      <c r="JG347" s="457"/>
      <c r="JH347" s="457"/>
      <c r="JI347" s="457"/>
      <c r="JJ347" s="457"/>
      <c r="JK347" s="457"/>
      <c r="JL347" s="457"/>
      <c r="JM347" s="457"/>
      <c r="JN347" s="457"/>
      <c r="JO347" s="457"/>
      <c r="JP347" s="457"/>
      <c r="JQ347" s="457"/>
      <c r="JR347" s="457"/>
      <c r="JS347" s="457"/>
      <c r="JT347" s="457"/>
      <c r="JU347" s="457"/>
      <c r="JV347" s="457"/>
      <c r="JW347" s="457"/>
      <c r="JX347" s="457"/>
      <c r="JY347" s="457"/>
      <c r="JZ347" s="457"/>
      <c r="KA347" s="457"/>
      <c r="KB347" s="457"/>
      <c r="KC347" s="457"/>
      <c r="KD347" s="457"/>
      <c r="KE347" s="457"/>
      <c r="KF347" s="457"/>
      <c r="KG347" s="457"/>
      <c r="KH347" s="457"/>
      <c r="KI347" s="457"/>
      <c r="KJ347" s="457"/>
      <c r="KK347" s="457"/>
      <c r="KL347" s="457"/>
      <c r="KM347" s="457"/>
      <c r="KN347" s="457"/>
      <c r="KO347" s="457"/>
      <c r="KP347" s="457"/>
      <c r="KQ347" s="457"/>
      <c r="KR347" s="457"/>
      <c r="KS347" s="457"/>
      <c r="KT347" s="457"/>
      <c r="KU347" s="457"/>
      <c r="KV347" s="457"/>
      <c r="KW347" s="457"/>
      <c r="KX347" s="457"/>
      <c r="KY347" s="457"/>
      <c r="KZ347" s="457"/>
      <c r="LA347" s="457"/>
      <c r="LB347" s="457"/>
      <c r="LC347" s="457"/>
      <c r="LD347" s="457"/>
      <c r="LE347" s="457"/>
      <c r="LF347" s="457"/>
      <c r="LG347" s="457"/>
      <c r="LH347" s="457"/>
      <c r="LI347" s="457"/>
      <c r="LJ347" s="457"/>
      <c r="LK347" s="457"/>
      <c r="LL347" s="457"/>
      <c r="LM347" s="457"/>
      <c r="LN347" s="457"/>
      <c r="LO347" s="457"/>
      <c r="LP347" s="457"/>
      <c r="LQ347" s="457"/>
      <c r="LR347" s="457"/>
      <c r="LS347" s="457"/>
      <c r="LT347" s="457"/>
      <c r="LU347" s="457"/>
      <c r="LV347" s="457"/>
      <c r="LW347" s="457"/>
      <c r="LX347" s="457"/>
      <c r="LY347" s="457"/>
      <c r="LZ347" s="457"/>
      <c r="MA347" s="457"/>
      <c r="MB347" s="457"/>
      <c r="MC347" s="457"/>
      <c r="MD347" s="457"/>
      <c r="ME347" s="457"/>
      <c r="MF347" s="457"/>
      <c r="MG347" s="457"/>
      <c r="MH347" s="457"/>
      <c r="MI347" s="457"/>
      <c r="MJ347" s="457"/>
      <c r="MK347" s="457"/>
      <c r="ML347" s="457"/>
      <c r="MM347" s="457"/>
      <c r="MN347" s="457"/>
      <c r="MO347" s="457"/>
      <c r="MP347" s="457"/>
      <c r="MQ347" s="457"/>
      <c r="MR347" s="457"/>
      <c r="MS347" s="457"/>
      <c r="MT347" s="457"/>
      <c r="MU347" s="457"/>
      <c r="MV347" s="457"/>
      <c r="MW347" s="457"/>
      <c r="MX347" s="457"/>
      <c r="MY347" s="457"/>
      <c r="MZ347" s="457"/>
      <c r="NA347" s="457"/>
      <c r="NB347" s="457"/>
      <c r="NC347" s="457"/>
      <c r="ND347" s="457"/>
      <c r="NE347" s="457"/>
      <c r="NF347" s="457"/>
      <c r="NG347" s="457"/>
      <c r="NH347" s="457"/>
      <c r="NI347" s="457"/>
      <c r="NJ347" s="457"/>
      <c r="NK347" s="457"/>
      <c r="NL347" s="457"/>
      <c r="NM347" s="457"/>
      <c r="NN347" s="457"/>
      <c r="NO347" s="457"/>
      <c r="NP347" s="457"/>
      <c r="NQ347" s="457"/>
      <c r="NR347" s="457"/>
      <c r="NS347" s="457"/>
      <c r="NT347" s="457"/>
      <c r="NU347" s="457"/>
      <c r="NV347" s="457"/>
      <c r="NW347" s="457"/>
      <c r="NX347" s="457"/>
      <c r="NY347" s="457"/>
      <c r="NZ347" s="457"/>
      <c r="OA347" s="457"/>
      <c r="OB347" s="457"/>
      <c r="OC347" s="457"/>
      <c r="OD347" s="457"/>
      <c r="OE347" s="457"/>
      <c r="OF347" s="457"/>
      <c r="OG347" s="457"/>
      <c r="OH347" s="457"/>
      <c r="OI347" s="457"/>
      <c r="OJ347" s="457"/>
      <c r="OK347" s="457"/>
      <c r="OL347" s="457"/>
      <c r="OM347" s="457"/>
      <c r="ON347" s="457"/>
      <c r="OO347" s="457"/>
      <c r="OP347" s="457"/>
      <c r="OQ347" s="457"/>
      <c r="OR347" s="457"/>
      <c r="OS347" s="457"/>
      <c r="OT347" s="457"/>
      <c r="OU347" s="457"/>
      <c r="OV347" s="457"/>
      <c r="OW347" s="457"/>
      <c r="OX347" s="457"/>
      <c r="OY347" s="457"/>
      <c r="OZ347" s="457"/>
      <c r="PA347" s="457"/>
      <c r="PB347" s="457"/>
      <c r="PC347" s="457"/>
      <c r="PD347" s="457"/>
      <c r="PE347" s="457"/>
      <c r="PF347" s="457"/>
      <c r="PG347" s="457"/>
      <c r="PH347" s="457"/>
      <c r="PI347" s="457"/>
      <c r="PJ347" s="457"/>
      <c r="PK347" s="457"/>
      <c r="PL347" s="457"/>
      <c r="PM347" s="457"/>
      <c r="PN347" s="457"/>
      <c r="PO347" s="457"/>
      <c r="PP347" s="457"/>
      <c r="PQ347" s="457"/>
      <c r="PR347" s="457"/>
      <c r="PS347" s="457"/>
      <c r="PT347" s="457"/>
      <c r="PU347" s="457"/>
      <c r="PV347" s="457"/>
      <c r="PW347" s="457"/>
      <c r="PX347" s="457"/>
      <c r="PY347" s="457"/>
      <c r="PZ347" s="457"/>
      <c r="QA347" s="457"/>
      <c r="QB347" s="457"/>
      <c r="QC347" s="457"/>
      <c r="QD347" s="457"/>
      <c r="QE347" s="457"/>
      <c r="QF347" s="457"/>
      <c r="QG347" s="457"/>
      <c r="QH347" s="457"/>
      <c r="QI347" s="457"/>
      <c r="QJ347" s="457"/>
      <c r="QK347" s="457"/>
      <c r="QL347" s="457"/>
      <c r="QM347" s="457"/>
      <c r="QN347" s="457"/>
      <c r="QO347" s="457"/>
      <c r="QP347" s="457"/>
      <c r="QQ347" s="457"/>
      <c r="QR347" s="457"/>
      <c r="QS347" s="457"/>
      <c r="QT347" s="457"/>
      <c r="QU347" s="457"/>
      <c r="QV347" s="457"/>
      <c r="QW347" s="457"/>
      <c r="QX347" s="457"/>
      <c r="QY347" s="457"/>
      <c r="QZ347" s="457"/>
      <c r="RA347" s="457"/>
      <c r="RB347" s="457"/>
      <c r="RC347" s="457"/>
      <c r="RD347" s="457"/>
      <c r="RE347" s="457"/>
      <c r="RF347" s="457"/>
      <c r="RG347" s="457"/>
      <c r="RH347" s="457"/>
      <c r="RI347" s="457"/>
      <c r="RJ347" s="457"/>
      <c r="RK347" s="457"/>
      <c r="RL347" s="457"/>
      <c r="RM347" s="457"/>
      <c r="RN347" s="457"/>
      <c r="RO347" s="457"/>
      <c r="RP347" s="457"/>
      <c r="RQ347" s="457"/>
      <c r="RR347" s="457"/>
      <c r="RS347" s="457"/>
      <c r="RT347" s="457"/>
      <c r="RU347" s="457"/>
      <c r="RV347" s="457"/>
      <c r="RW347" s="457"/>
      <c r="RX347" s="457"/>
      <c r="RY347" s="457"/>
      <c r="RZ347" s="457"/>
      <c r="SA347" s="457"/>
      <c r="SB347" s="457"/>
      <c r="SC347" s="457"/>
      <c r="SD347" s="457"/>
      <c r="SE347" s="457"/>
      <c r="SF347" s="457"/>
      <c r="SG347" s="457"/>
      <c r="SH347" s="457"/>
      <c r="SI347" s="457"/>
      <c r="SJ347" s="457"/>
      <c r="SK347" s="457"/>
      <c r="SL347" s="457"/>
      <c r="SM347" s="457"/>
      <c r="SN347" s="457"/>
      <c r="SO347" s="457"/>
      <c r="SP347" s="457"/>
      <c r="SQ347" s="457"/>
      <c r="SR347" s="457"/>
      <c r="SS347" s="457"/>
      <c r="ST347" s="457"/>
      <c r="SU347" s="457"/>
      <c r="SV347" s="457"/>
      <c r="SW347" s="457"/>
      <c r="SX347" s="457"/>
      <c r="SY347" s="457"/>
      <c r="SZ347" s="457"/>
      <c r="TA347" s="457"/>
      <c r="TB347" s="457"/>
      <c r="TC347" s="457"/>
      <c r="TD347" s="457"/>
      <c r="TE347" s="457"/>
      <c r="TF347" s="457"/>
      <c r="TG347" s="457"/>
      <c r="TH347" s="457"/>
      <c r="TI347" s="457"/>
      <c r="TJ347" s="457"/>
      <c r="TK347" s="457"/>
      <c r="TL347" s="457"/>
      <c r="TM347" s="457"/>
      <c r="TN347" s="457"/>
      <c r="TO347" s="457"/>
      <c r="TP347" s="457"/>
      <c r="TQ347" s="457"/>
      <c r="TR347" s="457"/>
      <c r="TS347" s="457"/>
      <c r="TT347" s="457"/>
      <c r="TU347" s="457"/>
      <c r="TV347" s="457"/>
      <c r="TW347" s="457"/>
      <c r="TX347" s="457"/>
      <c r="TY347" s="457"/>
      <c r="TZ347" s="457"/>
      <c r="UA347" s="457"/>
      <c r="UB347" s="457"/>
      <c r="UC347" s="457"/>
      <c r="UD347" s="457"/>
      <c r="UE347" s="457"/>
      <c r="UF347" s="457"/>
      <c r="UG347" s="457"/>
      <c r="UH347" s="457"/>
      <c r="UI347" s="457"/>
      <c r="UJ347" s="457"/>
      <c r="UK347" s="457"/>
      <c r="UL347" s="457"/>
      <c r="UM347" s="457"/>
      <c r="UN347" s="457"/>
      <c r="UO347" s="457"/>
      <c r="UP347" s="457"/>
      <c r="UQ347" s="457"/>
      <c r="UR347" s="457"/>
      <c r="US347" s="457"/>
      <c r="UT347" s="457"/>
      <c r="UU347" s="457"/>
      <c r="UV347" s="457"/>
      <c r="UW347" s="457"/>
      <c r="UX347" s="457"/>
      <c r="UY347" s="457"/>
      <c r="UZ347" s="457"/>
      <c r="VA347" s="457"/>
      <c r="VB347" s="457"/>
      <c r="VC347" s="457"/>
      <c r="VD347" s="457"/>
      <c r="VE347" s="457"/>
      <c r="VF347" s="457"/>
      <c r="VG347" s="457"/>
      <c r="VH347" s="457"/>
      <c r="VI347" s="457"/>
      <c r="VJ347" s="457"/>
      <c r="VK347" s="457"/>
      <c r="VL347" s="457"/>
      <c r="VM347" s="457"/>
      <c r="VN347" s="457"/>
      <c r="VO347" s="457"/>
      <c r="VP347" s="457"/>
      <c r="VQ347" s="457"/>
      <c r="VR347" s="457"/>
      <c r="VS347" s="457"/>
      <c r="VT347" s="457"/>
      <c r="VU347" s="457"/>
      <c r="VV347" s="457"/>
      <c r="VW347" s="457"/>
      <c r="VX347" s="457"/>
      <c r="VY347" s="457"/>
      <c r="VZ347" s="457"/>
      <c r="WA347" s="457"/>
      <c r="WB347" s="457"/>
      <c r="WC347" s="457"/>
      <c r="WD347" s="457"/>
      <c r="WE347" s="457"/>
      <c r="WF347" s="457"/>
      <c r="WG347" s="457"/>
      <c r="WH347" s="457"/>
      <c r="WI347" s="457"/>
      <c r="WJ347" s="457"/>
      <c r="WK347" s="457"/>
      <c r="WL347" s="457"/>
      <c r="WM347" s="457"/>
      <c r="WN347" s="457"/>
      <c r="WO347" s="457"/>
      <c r="WP347" s="457"/>
      <c r="WQ347" s="457"/>
      <c r="WR347" s="457"/>
      <c r="WS347" s="457"/>
      <c r="WT347" s="457"/>
      <c r="WU347" s="457"/>
      <c r="WV347" s="457"/>
      <c r="WW347" s="457"/>
      <c r="WX347" s="457"/>
      <c r="WY347" s="457"/>
      <c r="WZ347" s="457"/>
      <c r="XA347" s="457"/>
      <c r="XB347" s="457"/>
      <c r="XC347" s="457"/>
      <c r="XD347" s="457"/>
      <c r="XE347" s="457"/>
      <c r="XF347" s="457"/>
      <c r="XG347" s="457"/>
      <c r="XH347" s="457"/>
      <c r="XI347" s="457"/>
      <c r="XJ347" s="457"/>
      <c r="XK347" s="457"/>
      <c r="XL347" s="457"/>
      <c r="XM347" s="457"/>
      <c r="XN347" s="457"/>
      <c r="XO347" s="457"/>
      <c r="XP347" s="457"/>
      <c r="XQ347" s="457"/>
      <c r="XR347" s="457"/>
      <c r="XS347" s="457"/>
      <c r="XT347" s="457"/>
      <c r="XU347" s="457"/>
      <c r="XV347" s="457"/>
      <c r="XW347" s="457"/>
      <c r="XX347" s="457"/>
      <c r="XY347" s="457"/>
      <c r="XZ347" s="457"/>
      <c r="YA347" s="457"/>
      <c r="YB347" s="457"/>
      <c r="YC347" s="457"/>
      <c r="YD347" s="457"/>
      <c r="YE347" s="457"/>
      <c r="YF347" s="457"/>
      <c r="YG347" s="457"/>
      <c r="YH347" s="457"/>
      <c r="YI347" s="457"/>
      <c r="YJ347" s="457"/>
      <c r="YK347" s="457"/>
      <c r="YL347" s="457"/>
      <c r="YM347" s="457"/>
      <c r="YN347" s="457"/>
      <c r="YO347" s="457"/>
      <c r="YP347" s="457"/>
      <c r="YQ347" s="457"/>
      <c r="YR347" s="457"/>
      <c r="YS347" s="457"/>
      <c r="YT347" s="457"/>
      <c r="YU347" s="457"/>
      <c r="YV347" s="457"/>
      <c r="YW347" s="457"/>
      <c r="YX347" s="457"/>
      <c r="YY347" s="457"/>
      <c r="YZ347" s="457"/>
      <c r="ZA347" s="457"/>
      <c r="ZB347" s="457"/>
      <c r="ZC347" s="457"/>
      <c r="ZD347" s="457"/>
      <c r="ZE347" s="457"/>
      <c r="ZF347" s="457"/>
      <c r="ZG347" s="457"/>
      <c r="ZH347" s="457"/>
      <c r="ZI347" s="457"/>
      <c r="ZJ347" s="457"/>
      <c r="ZK347" s="457"/>
      <c r="ZL347" s="457"/>
      <c r="ZM347" s="457"/>
      <c r="ZN347" s="457"/>
      <c r="ZO347" s="457"/>
      <c r="ZP347" s="457"/>
      <c r="ZQ347" s="457"/>
      <c r="ZR347" s="457"/>
      <c r="ZS347" s="457"/>
      <c r="ZT347" s="457"/>
      <c r="ZU347" s="457"/>
      <c r="ZV347" s="457"/>
      <c r="ZW347" s="457"/>
      <c r="ZX347" s="457"/>
      <c r="ZY347" s="457"/>
      <c r="ZZ347" s="457"/>
      <c r="AAA347" s="457"/>
      <c r="AAB347" s="457"/>
      <c r="AAC347" s="457"/>
      <c r="AAD347" s="457"/>
      <c r="AAE347" s="457"/>
      <c r="AAF347" s="457"/>
      <c r="AAG347" s="457"/>
      <c r="AAH347" s="457"/>
      <c r="AAI347" s="457"/>
      <c r="AAJ347" s="457"/>
      <c r="AAK347" s="457"/>
      <c r="AAL347" s="457"/>
      <c r="AAM347" s="457"/>
      <c r="AAN347" s="457"/>
      <c r="AAO347" s="457"/>
      <c r="AAP347" s="457"/>
      <c r="AAQ347" s="457"/>
      <c r="AAR347" s="457"/>
      <c r="AAS347" s="457"/>
      <c r="AAT347" s="457"/>
      <c r="AAU347" s="457"/>
      <c r="AAV347" s="457"/>
      <c r="AAW347" s="457"/>
      <c r="AAX347" s="457"/>
      <c r="AAY347" s="457"/>
      <c r="AAZ347" s="457"/>
      <c r="ABA347" s="457"/>
      <c r="ABB347" s="457"/>
      <c r="ABC347" s="457"/>
      <c r="ABD347" s="457"/>
      <c r="ABE347" s="457"/>
      <c r="ABF347" s="457"/>
      <c r="ABG347" s="457"/>
      <c r="ABH347" s="457"/>
      <c r="ABI347" s="457"/>
      <c r="ABJ347" s="457"/>
      <c r="ABK347" s="457"/>
      <c r="ABL347" s="457"/>
      <c r="ABM347" s="457"/>
      <c r="ABN347" s="457"/>
      <c r="ABO347" s="457"/>
      <c r="ABP347" s="457"/>
      <c r="ABQ347" s="457"/>
      <c r="ABR347" s="457"/>
      <c r="ABS347" s="457"/>
      <c r="ABT347" s="457"/>
      <c r="ABU347" s="457"/>
      <c r="ABV347" s="457"/>
      <c r="ABW347" s="457"/>
      <c r="ABX347" s="457"/>
      <c r="ABY347" s="457"/>
      <c r="ABZ347" s="457"/>
      <c r="ACA347" s="457"/>
      <c r="ACB347" s="457"/>
      <c r="ACC347" s="457"/>
      <c r="ACD347" s="457"/>
      <c r="ACE347" s="457"/>
      <c r="ACF347" s="457"/>
      <c r="ACG347" s="457"/>
      <c r="ACH347" s="457"/>
      <c r="ACI347" s="457"/>
      <c r="ACJ347" s="457"/>
      <c r="ACK347" s="457"/>
      <c r="ACL347" s="457"/>
      <c r="ACM347" s="457"/>
      <c r="ACN347" s="457"/>
      <c r="ACO347" s="457"/>
      <c r="ACP347" s="457"/>
      <c r="ACQ347" s="457"/>
      <c r="ACR347" s="457"/>
      <c r="ACS347" s="457"/>
      <c r="ACT347" s="457"/>
      <c r="ACU347" s="457"/>
      <c r="ACV347" s="457"/>
    </row>
    <row r="348" spans="1:776" s="400" customFormat="1" x14ac:dyDescent="0.25">
      <c r="A348" s="470">
        <v>900061</v>
      </c>
      <c r="B348" s="447" t="str">
        <f t="shared" si="11"/>
        <v>-7,21/+7,10  (EC  6,48)</v>
      </c>
      <c r="C348" s="455"/>
      <c r="D348" s="454">
        <v>7.25</v>
      </c>
      <c r="E348" s="454">
        <v>0.64800000000000002</v>
      </c>
      <c r="F348" s="458">
        <v>76.19</v>
      </c>
      <c r="G348" s="454">
        <v>0.01</v>
      </c>
      <c r="H348" s="454">
        <v>0.04</v>
      </c>
      <c r="I348" s="456">
        <v>39.07</v>
      </c>
      <c r="J348" s="454">
        <v>19.100000000000001</v>
      </c>
      <c r="K348" s="454">
        <f>0.02*3.06</f>
        <v>6.1200000000000004E-2</v>
      </c>
      <c r="L348" s="454">
        <f>(11.5-0.1)*24</f>
        <v>273.60000000000002</v>
      </c>
      <c r="M348" s="454">
        <v>0.01</v>
      </c>
      <c r="N348" s="454">
        <v>0.35</v>
      </c>
      <c r="O348" s="454">
        <v>18.760000000000002</v>
      </c>
      <c r="P348" s="454">
        <v>86.19</v>
      </c>
      <c r="Q348" s="454">
        <v>23.52</v>
      </c>
      <c r="R348" s="454">
        <v>1.0000000000000001E-5</v>
      </c>
      <c r="S348" s="454">
        <v>1.0000000000000001E-5</v>
      </c>
      <c r="T348" s="454">
        <v>1.0000000000000001E-5</v>
      </c>
      <c r="U348" s="454">
        <v>1.0000000000000001E-5</v>
      </c>
      <c r="V348" s="454"/>
      <c r="W348" s="457"/>
      <c r="X348" s="457"/>
      <c r="Y348" s="457"/>
      <c r="Z348" s="457"/>
      <c r="AA348" s="457"/>
      <c r="AB348" s="457"/>
      <c r="AC348" s="457"/>
      <c r="AD348" s="457"/>
      <c r="AE348" s="457"/>
      <c r="AF348" s="457"/>
      <c r="AG348" s="457"/>
      <c r="AH348" s="457"/>
      <c r="AI348" s="457"/>
      <c r="AJ348" s="457"/>
      <c r="AK348" s="457"/>
      <c r="AL348" s="457"/>
      <c r="AM348" s="457"/>
      <c r="AN348" s="457"/>
      <c r="AO348" s="457"/>
      <c r="AP348" s="457"/>
      <c r="AQ348" s="457"/>
      <c r="AR348" s="457"/>
      <c r="AS348" s="457"/>
      <c r="AT348" s="457"/>
      <c r="AU348" s="457"/>
      <c r="AV348" s="457"/>
      <c r="AW348" s="457"/>
      <c r="AX348" s="457"/>
      <c r="AY348" s="457"/>
      <c r="AZ348" s="457"/>
      <c r="BA348" s="457"/>
      <c r="BB348" s="457"/>
      <c r="BC348" s="457"/>
      <c r="BD348" s="457"/>
      <c r="BE348" s="457"/>
      <c r="BF348" s="457"/>
      <c r="BG348" s="457"/>
      <c r="BH348" s="457"/>
      <c r="BI348" s="457"/>
      <c r="BJ348" s="457"/>
      <c r="BK348" s="457"/>
      <c r="BL348" s="457"/>
      <c r="BM348" s="457"/>
      <c r="BN348" s="457"/>
      <c r="BO348" s="457"/>
      <c r="BP348" s="457"/>
      <c r="BQ348" s="457"/>
      <c r="BR348" s="457"/>
      <c r="BS348" s="457"/>
      <c r="BT348" s="457"/>
      <c r="BU348" s="457"/>
      <c r="BV348" s="457"/>
      <c r="BW348" s="457"/>
      <c r="BX348" s="457"/>
      <c r="BY348" s="457"/>
      <c r="BZ348" s="457"/>
      <c r="CA348" s="457"/>
      <c r="CB348" s="457"/>
      <c r="CC348" s="457"/>
      <c r="CD348" s="457"/>
      <c r="CE348" s="457"/>
      <c r="CF348" s="457"/>
      <c r="CG348" s="457"/>
      <c r="CH348" s="457"/>
      <c r="CI348" s="457"/>
      <c r="CJ348" s="457"/>
      <c r="CK348" s="457"/>
      <c r="CL348" s="457"/>
      <c r="CM348" s="457"/>
      <c r="CN348" s="457"/>
      <c r="CO348" s="457"/>
      <c r="CP348" s="457"/>
      <c r="CQ348" s="457"/>
      <c r="CR348" s="457"/>
      <c r="CS348" s="457"/>
      <c r="CT348" s="457"/>
      <c r="CU348" s="457"/>
      <c r="CV348" s="457"/>
      <c r="CW348" s="457"/>
      <c r="CX348" s="457"/>
      <c r="CY348" s="457"/>
      <c r="CZ348" s="457"/>
      <c r="DA348" s="457"/>
      <c r="DB348" s="457"/>
      <c r="DC348" s="457"/>
      <c r="DD348" s="457"/>
      <c r="DE348" s="457"/>
      <c r="DF348" s="457"/>
      <c r="DG348" s="457"/>
      <c r="DH348" s="457"/>
      <c r="DI348" s="457"/>
      <c r="DJ348" s="457"/>
      <c r="DK348" s="457"/>
      <c r="DL348" s="457"/>
      <c r="DM348" s="457"/>
      <c r="DN348" s="457"/>
      <c r="DO348" s="457"/>
      <c r="DP348" s="457"/>
      <c r="DQ348" s="457"/>
      <c r="DR348" s="457"/>
      <c r="DS348" s="457"/>
      <c r="DT348" s="457"/>
      <c r="DU348" s="457"/>
      <c r="DV348" s="457"/>
      <c r="DW348" s="457"/>
      <c r="DX348" s="457"/>
      <c r="DY348" s="457"/>
      <c r="DZ348" s="457"/>
      <c r="EA348" s="457"/>
      <c r="EB348" s="457"/>
      <c r="EC348" s="457"/>
      <c r="ED348" s="457"/>
      <c r="EE348" s="457"/>
      <c r="EF348" s="457"/>
      <c r="EG348" s="457"/>
      <c r="EH348" s="457"/>
      <c r="EI348" s="457"/>
      <c r="EJ348" s="457"/>
      <c r="EK348" s="457"/>
      <c r="EL348" s="457"/>
      <c r="EM348" s="457"/>
      <c r="EN348" s="457"/>
      <c r="EO348" s="457"/>
      <c r="EP348" s="457"/>
      <c r="EQ348" s="457"/>
      <c r="ER348" s="457"/>
      <c r="ES348" s="457"/>
      <c r="ET348" s="457"/>
      <c r="EU348" s="457"/>
      <c r="EV348" s="457"/>
      <c r="EW348" s="457"/>
      <c r="EX348" s="457"/>
      <c r="EY348" s="457"/>
      <c r="EZ348" s="457"/>
      <c r="FA348" s="457"/>
      <c r="FB348" s="457"/>
      <c r="FC348" s="457"/>
      <c r="FD348" s="457"/>
      <c r="FE348" s="457"/>
      <c r="FF348" s="457"/>
      <c r="FG348" s="457"/>
      <c r="FH348" s="457"/>
      <c r="FI348" s="457"/>
      <c r="FJ348" s="457"/>
      <c r="FK348" s="457"/>
      <c r="FL348" s="457"/>
      <c r="FM348" s="457"/>
      <c r="FN348" s="457"/>
      <c r="FO348" s="457"/>
      <c r="FP348" s="457"/>
      <c r="FQ348" s="457"/>
      <c r="FR348" s="457"/>
      <c r="FS348" s="457"/>
      <c r="FT348" s="457"/>
      <c r="FU348" s="457"/>
      <c r="FV348" s="457"/>
      <c r="FW348" s="457"/>
      <c r="FX348" s="457"/>
      <c r="FY348" s="457"/>
      <c r="FZ348" s="457"/>
      <c r="GA348" s="457"/>
      <c r="GB348" s="457"/>
      <c r="GC348" s="457"/>
      <c r="GD348" s="457"/>
      <c r="GE348" s="457"/>
      <c r="GF348" s="457"/>
      <c r="GG348" s="457"/>
      <c r="GH348" s="457"/>
      <c r="GI348" s="457"/>
      <c r="GJ348" s="457"/>
      <c r="GK348" s="457"/>
      <c r="GL348" s="457"/>
      <c r="GM348" s="457"/>
      <c r="GN348" s="457"/>
      <c r="GO348" s="457"/>
      <c r="GP348" s="457"/>
      <c r="GQ348" s="457"/>
      <c r="GR348" s="457"/>
      <c r="GS348" s="457"/>
      <c r="GT348" s="457"/>
      <c r="GU348" s="457"/>
      <c r="GV348" s="457"/>
      <c r="GW348" s="457"/>
      <c r="GX348" s="457"/>
      <c r="GY348" s="457"/>
      <c r="GZ348" s="457"/>
      <c r="HA348" s="457"/>
      <c r="HB348" s="457"/>
      <c r="HC348" s="457"/>
      <c r="HD348" s="457"/>
      <c r="HE348" s="457"/>
      <c r="HF348" s="457"/>
      <c r="HG348" s="457"/>
      <c r="HH348" s="457"/>
      <c r="HI348" s="457"/>
      <c r="HJ348" s="457"/>
      <c r="HK348" s="457"/>
      <c r="HL348" s="457"/>
      <c r="HM348" s="457"/>
      <c r="HN348" s="457"/>
      <c r="HO348" s="457"/>
      <c r="HP348" s="457"/>
      <c r="HQ348" s="457"/>
      <c r="HR348" s="457"/>
      <c r="HS348" s="457"/>
      <c r="HT348" s="457"/>
      <c r="HU348" s="457"/>
      <c r="HV348" s="457"/>
      <c r="HW348" s="457"/>
      <c r="HX348" s="457"/>
      <c r="HY348" s="457"/>
      <c r="HZ348" s="457"/>
      <c r="IA348" s="457"/>
      <c r="IB348" s="457"/>
      <c r="IC348" s="457"/>
      <c r="ID348" s="457"/>
      <c r="IE348" s="457"/>
      <c r="IF348" s="457"/>
      <c r="IG348" s="457"/>
      <c r="IH348" s="457"/>
      <c r="II348" s="457"/>
      <c r="IJ348" s="457"/>
      <c r="IK348" s="457"/>
      <c r="IL348" s="457"/>
      <c r="IM348" s="457"/>
      <c r="IN348" s="457"/>
      <c r="IO348" s="457"/>
      <c r="IP348" s="457"/>
      <c r="IQ348" s="457"/>
      <c r="IR348" s="457"/>
      <c r="IS348" s="457"/>
      <c r="IT348" s="457"/>
      <c r="IU348" s="457"/>
      <c r="IV348" s="457"/>
      <c r="IW348" s="457"/>
      <c r="IX348" s="457"/>
      <c r="IY348" s="457"/>
      <c r="IZ348" s="457"/>
      <c r="JA348" s="457"/>
      <c r="JB348" s="457"/>
      <c r="JC348" s="457"/>
      <c r="JD348" s="457"/>
      <c r="JE348" s="457"/>
      <c r="JF348" s="457"/>
      <c r="JG348" s="457"/>
      <c r="JH348" s="457"/>
      <c r="JI348" s="457"/>
      <c r="JJ348" s="457"/>
      <c r="JK348" s="457"/>
      <c r="JL348" s="457"/>
      <c r="JM348" s="457"/>
      <c r="JN348" s="457"/>
      <c r="JO348" s="457"/>
      <c r="JP348" s="457"/>
      <c r="JQ348" s="457"/>
      <c r="JR348" s="457"/>
      <c r="JS348" s="457"/>
      <c r="JT348" s="457"/>
      <c r="JU348" s="457"/>
      <c r="JV348" s="457"/>
      <c r="JW348" s="457"/>
      <c r="JX348" s="457"/>
      <c r="JY348" s="457"/>
      <c r="JZ348" s="457"/>
      <c r="KA348" s="457"/>
      <c r="KB348" s="457"/>
      <c r="KC348" s="457"/>
      <c r="KD348" s="457"/>
      <c r="KE348" s="457"/>
      <c r="KF348" s="457"/>
      <c r="KG348" s="457"/>
      <c r="KH348" s="457"/>
      <c r="KI348" s="457"/>
      <c r="KJ348" s="457"/>
      <c r="KK348" s="457"/>
      <c r="KL348" s="457"/>
      <c r="KM348" s="457"/>
      <c r="KN348" s="457"/>
      <c r="KO348" s="457"/>
      <c r="KP348" s="457"/>
      <c r="KQ348" s="457"/>
      <c r="KR348" s="457"/>
      <c r="KS348" s="457"/>
      <c r="KT348" s="457"/>
      <c r="KU348" s="457"/>
      <c r="KV348" s="457"/>
      <c r="KW348" s="457"/>
      <c r="KX348" s="457"/>
      <c r="KY348" s="457"/>
      <c r="KZ348" s="457"/>
      <c r="LA348" s="457"/>
      <c r="LB348" s="457"/>
      <c r="LC348" s="457"/>
      <c r="LD348" s="457"/>
      <c r="LE348" s="457"/>
      <c r="LF348" s="457"/>
      <c r="LG348" s="457"/>
      <c r="LH348" s="457"/>
      <c r="LI348" s="457"/>
      <c r="LJ348" s="457"/>
      <c r="LK348" s="457"/>
      <c r="LL348" s="457"/>
      <c r="LM348" s="457"/>
      <c r="LN348" s="457"/>
      <c r="LO348" s="457"/>
      <c r="LP348" s="457"/>
      <c r="LQ348" s="457"/>
      <c r="LR348" s="457"/>
      <c r="LS348" s="457"/>
      <c r="LT348" s="457"/>
      <c r="LU348" s="457"/>
      <c r="LV348" s="457"/>
      <c r="LW348" s="457"/>
      <c r="LX348" s="457"/>
      <c r="LY348" s="457"/>
      <c r="LZ348" s="457"/>
      <c r="MA348" s="457"/>
      <c r="MB348" s="457"/>
      <c r="MC348" s="457"/>
      <c r="MD348" s="457"/>
      <c r="ME348" s="457"/>
      <c r="MF348" s="457"/>
      <c r="MG348" s="457"/>
      <c r="MH348" s="457"/>
      <c r="MI348" s="457"/>
      <c r="MJ348" s="457"/>
      <c r="MK348" s="457"/>
      <c r="ML348" s="457"/>
      <c r="MM348" s="457"/>
      <c r="MN348" s="457"/>
      <c r="MO348" s="457"/>
      <c r="MP348" s="457"/>
      <c r="MQ348" s="457"/>
      <c r="MR348" s="457"/>
      <c r="MS348" s="457"/>
      <c r="MT348" s="457"/>
      <c r="MU348" s="457"/>
      <c r="MV348" s="457"/>
      <c r="MW348" s="457"/>
      <c r="MX348" s="457"/>
      <c r="MY348" s="457"/>
      <c r="MZ348" s="457"/>
      <c r="NA348" s="457"/>
      <c r="NB348" s="457"/>
      <c r="NC348" s="457"/>
      <c r="ND348" s="457"/>
      <c r="NE348" s="457"/>
      <c r="NF348" s="457"/>
      <c r="NG348" s="457"/>
      <c r="NH348" s="457"/>
      <c r="NI348" s="457"/>
      <c r="NJ348" s="457"/>
      <c r="NK348" s="457"/>
      <c r="NL348" s="457"/>
      <c r="NM348" s="457"/>
      <c r="NN348" s="457"/>
      <c r="NO348" s="457"/>
      <c r="NP348" s="457"/>
      <c r="NQ348" s="457"/>
      <c r="NR348" s="457"/>
      <c r="NS348" s="457"/>
      <c r="NT348" s="457"/>
      <c r="NU348" s="457"/>
      <c r="NV348" s="457"/>
      <c r="NW348" s="457"/>
      <c r="NX348" s="457"/>
      <c r="NY348" s="457"/>
      <c r="NZ348" s="457"/>
      <c r="OA348" s="457"/>
      <c r="OB348" s="457"/>
      <c r="OC348" s="457"/>
      <c r="OD348" s="457"/>
      <c r="OE348" s="457"/>
      <c r="OF348" s="457"/>
      <c r="OG348" s="457"/>
      <c r="OH348" s="457"/>
      <c r="OI348" s="457"/>
      <c r="OJ348" s="457"/>
      <c r="OK348" s="457"/>
      <c r="OL348" s="457"/>
      <c r="OM348" s="457"/>
      <c r="ON348" s="457"/>
      <c r="OO348" s="457"/>
      <c r="OP348" s="457"/>
      <c r="OQ348" s="457"/>
      <c r="OR348" s="457"/>
      <c r="OS348" s="457"/>
      <c r="OT348" s="457"/>
      <c r="OU348" s="457"/>
      <c r="OV348" s="457"/>
      <c r="OW348" s="457"/>
      <c r="OX348" s="457"/>
      <c r="OY348" s="457"/>
      <c r="OZ348" s="457"/>
      <c r="PA348" s="457"/>
      <c r="PB348" s="457"/>
      <c r="PC348" s="457"/>
      <c r="PD348" s="457"/>
      <c r="PE348" s="457"/>
      <c r="PF348" s="457"/>
      <c r="PG348" s="457"/>
      <c r="PH348" s="457"/>
      <c r="PI348" s="457"/>
      <c r="PJ348" s="457"/>
      <c r="PK348" s="457"/>
      <c r="PL348" s="457"/>
      <c r="PM348" s="457"/>
      <c r="PN348" s="457"/>
      <c r="PO348" s="457"/>
      <c r="PP348" s="457"/>
      <c r="PQ348" s="457"/>
      <c r="PR348" s="457"/>
      <c r="PS348" s="457"/>
      <c r="PT348" s="457"/>
      <c r="PU348" s="457"/>
      <c r="PV348" s="457"/>
      <c r="PW348" s="457"/>
      <c r="PX348" s="457"/>
      <c r="PY348" s="457"/>
      <c r="PZ348" s="457"/>
      <c r="QA348" s="457"/>
      <c r="QB348" s="457"/>
      <c r="QC348" s="457"/>
      <c r="QD348" s="457"/>
      <c r="QE348" s="457"/>
      <c r="QF348" s="457"/>
      <c r="QG348" s="457"/>
      <c r="QH348" s="457"/>
      <c r="QI348" s="457"/>
      <c r="QJ348" s="457"/>
      <c r="QK348" s="457"/>
      <c r="QL348" s="457"/>
      <c r="QM348" s="457"/>
      <c r="QN348" s="457"/>
      <c r="QO348" s="457"/>
      <c r="QP348" s="457"/>
      <c r="QQ348" s="457"/>
      <c r="QR348" s="457"/>
      <c r="QS348" s="457"/>
      <c r="QT348" s="457"/>
      <c r="QU348" s="457"/>
      <c r="QV348" s="457"/>
      <c r="QW348" s="457"/>
      <c r="QX348" s="457"/>
      <c r="QY348" s="457"/>
      <c r="QZ348" s="457"/>
      <c r="RA348" s="457"/>
      <c r="RB348" s="457"/>
      <c r="RC348" s="457"/>
      <c r="RD348" s="457"/>
      <c r="RE348" s="457"/>
      <c r="RF348" s="457"/>
      <c r="RG348" s="457"/>
      <c r="RH348" s="457"/>
      <c r="RI348" s="457"/>
      <c r="RJ348" s="457"/>
      <c r="RK348" s="457"/>
      <c r="RL348" s="457"/>
      <c r="RM348" s="457"/>
      <c r="RN348" s="457"/>
      <c r="RO348" s="457"/>
      <c r="RP348" s="457"/>
      <c r="RQ348" s="457"/>
      <c r="RR348" s="457"/>
      <c r="RS348" s="457"/>
      <c r="RT348" s="457"/>
      <c r="RU348" s="457"/>
      <c r="RV348" s="457"/>
      <c r="RW348" s="457"/>
      <c r="RX348" s="457"/>
      <c r="RY348" s="457"/>
      <c r="RZ348" s="457"/>
      <c r="SA348" s="457"/>
      <c r="SB348" s="457"/>
      <c r="SC348" s="457"/>
      <c r="SD348" s="457"/>
      <c r="SE348" s="457"/>
      <c r="SF348" s="457"/>
      <c r="SG348" s="457"/>
      <c r="SH348" s="457"/>
      <c r="SI348" s="457"/>
      <c r="SJ348" s="457"/>
      <c r="SK348" s="457"/>
      <c r="SL348" s="457"/>
      <c r="SM348" s="457"/>
      <c r="SN348" s="457"/>
      <c r="SO348" s="457"/>
      <c r="SP348" s="457"/>
      <c r="SQ348" s="457"/>
      <c r="SR348" s="457"/>
      <c r="SS348" s="457"/>
      <c r="ST348" s="457"/>
      <c r="SU348" s="457"/>
      <c r="SV348" s="457"/>
      <c r="SW348" s="457"/>
      <c r="SX348" s="457"/>
      <c r="SY348" s="457"/>
      <c r="SZ348" s="457"/>
      <c r="TA348" s="457"/>
      <c r="TB348" s="457"/>
      <c r="TC348" s="457"/>
      <c r="TD348" s="457"/>
      <c r="TE348" s="457"/>
      <c r="TF348" s="457"/>
      <c r="TG348" s="457"/>
      <c r="TH348" s="457"/>
      <c r="TI348" s="457"/>
      <c r="TJ348" s="457"/>
      <c r="TK348" s="457"/>
      <c r="TL348" s="457"/>
      <c r="TM348" s="457"/>
      <c r="TN348" s="457"/>
      <c r="TO348" s="457"/>
      <c r="TP348" s="457"/>
      <c r="TQ348" s="457"/>
      <c r="TR348" s="457"/>
      <c r="TS348" s="457"/>
      <c r="TT348" s="457"/>
      <c r="TU348" s="457"/>
      <c r="TV348" s="457"/>
      <c r="TW348" s="457"/>
      <c r="TX348" s="457"/>
      <c r="TY348" s="457"/>
      <c r="TZ348" s="457"/>
      <c r="UA348" s="457"/>
      <c r="UB348" s="457"/>
      <c r="UC348" s="457"/>
      <c r="UD348" s="457"/>
      <c r="UE348" s="457"/>
      <c r="UF348" s="457"/>
      <c r="UG348" s="457"/>
      <c r="UH348" s="457"/>
      <c r="UI348" s="457"/>
      <c r="UJ348" s="457"/>
      <c r="UK348" s="457"/>
      <c r="UL348" s="457"/>
      <c r="UM348" s="457"/>
      <c r="UN348" s="457"/>
      <c r="UO348" s="457"/>
      <c r="UP348" s="457"/>
      <c r="UQ348" s="457"/>
      <c r="UR348" s="457"/>
      <c r="US348" s="457"/>
      <c r="UT348" s="457"/>
      <c r="UU348" s="457"/>
      <c r="UV348" s="457"/>
      <c r="UW348" s="457"/>
      <c r="UX348" s="457"/>
      <c r="UY348" s="457"/>
      <c r="UZ348" s="457"/>
      <c r="VA348" s="457"/>
      <c r="VB348" s="457"/>
      <c r="VC348" s="457"/>
      <c r="VD348" s="457"/>
      <c r="VE348" s="457"/>
      <c r="VF348" s="457"/>
      <c r="VG348" s="457"/>
      <c r="VH348" s="457"/>
      <c r="VI348" s="457"/>
      <c r="VJ348" s="457"/>
      <c r="VK348" s="457"/>
      <c r="VL348" s="457"/>
      <c r="VM348" s="457"/>
      <c r="VN348" s="457"/>
      <c r="VO348" s="457"/>
      <c r="VP348" s="457"/>
      <c r="VQ348" s="457"/>
      <c r="VR348" s="457"/>
      <c r="VS348" s="457"/>
      <c r="VT348" s="457"/>
      <c r="VU348" s="457"/>
      <c r="VV348" s="457"/>
      <c r="VW348" s="457"/>
      <c r="VX348" s="457"/>
      <c r="VY348" s="457"/>
      <c r="VZ348" s="457"/>
      <c r="WA348" s="457"/>
      <c r="WB348" s="457"/>
      <c r="WC348" s="457"/>
      <c r="WD348" s="457"/>
      <c r="WE348" s="457"/>
      <c r="WF348" s="457"/>
      <c r="WG348" s="457"/>
      <c r="WH348" s="457"/>
      <c r="WI348" s="457"/>
      <c r="WJ348" s="457"/>
      <c r="WK348" s="457"/>
      <c r="WL348" s="457"/>
      <c r="WM348" s="457"/>
      <c r="WN348" s="457"/>
      <c r="WO348" s="457"/>
      <c r="WP348" s="457"/>
      <c r="WQ348" s="457"/>
      <c r="WR348" s="457"/>
      <c r="WS348" s="457"/>
      <c r="WT348" s="457"/>
      <c r="WU348" s="457"/>
      <c r="WV348" s="457"/>
      <c r="WW348" s="457"/>
      <c r="WX348" s="457"/>
      <c r="WY348" s="457"/>
      <c r="WZ348" s="457"/>
      <c r="XA348" s="457"/>
      <c r="XB348" s="457"/>
      <c r="XC348" s="457"/>
      <c r="XD348" s="457"/>
      <c r="XE348" s="457"/>
      <c r="XF348" s="457"/>
      <c r="XG348" s="457"/>
      <c r="XH348" s="457"/>
      <c r="XI348" s="457"/>
      <c r="XJ348" s="457"/>
      <c r="XK348" s="457"/>
      <c r="XL348" s="457"/>
      <c r="XM348" s="457"/>
      <c r="XN348" s="457"/>
      <c r="XO348" s="457"/>
      <c r="XP348" s="457"/>
      <c r="XQ348" s="457"/>
      <c r="XR348" s="457"/>
      <c r="XS348" s="457"/>
      <c r="XT348" s="457"/>
      <c r="XU348" s="457"/>
      <c r="XV348" s="457"/>
      <c r="XW348" s="457"/>
      <c r="XX348" s="457"/>
      <c r="XY348" s="457"/>
      <c r="XZ348" s="457"/>
      <c r="YA348" s="457"/>
      <c r="YB348" s="457"/>
      <c r="YC348" s="457"/>
      <c r="YD348" s="457"/>
      <c r="YE348" s="457"/>
      <c r="YF348" s="457"/>
      <c r="YG348" s="457"/>
      <c r="YH348" s="457"/>
      <c r="YI348" s="457"/>
      <c r="YJ348" s="457"/>
      <c r="YK348" s="457"/>
      <c r="YL348" s="457"/>
      <c r="YM348" s="457"/>
      <c r="YN348" s="457"/>
      <c r="YO348" s="457"/>
      <c r="YP348" s="457"/>
      <c r="YQ348" s="457"/>
      <c r="YR348" s="457"/>
      <c r="YS348" s="457"/>
      <c r="YT348" s="457"/>
      <c r="YU348" s="457"/>
      <c r="YV348" s="457"/>
      <c r="YW348" s="457"/>
      <c r="YX348" s="457"/>
      <c r="YY348" s="457"/>
      <c r="YZ348" s="457"/>
      <c r="ZA348" s="457"/>
      <c r="ZB348" s="457"/>
      <c r="ZC348" s="457"/>
      <c r="ZD348" s="457"/>
      <c r="ZE348" s="457"/>
      <c r="ZF348" s="457"/>
      <c r="ZG348" s="457"/>
      <c r="ZH348" s="457"/>
      <c r="ZI348" s="457"/>
      <c r="ZJ348" s="457"/>
      <c r="ZK348" s="457"/>
      <c r="ZL348" s="457"/>
      <c r="ZM348" s="457"/>
      <c r="ZN348" s="457"/>
      <c r="ZO348" s="457"/>
      <c r="ZP348" s="457"/>
      <c r="ZQ348" s="457"/>
      <c r="ZR348" s="457"/>
      <c r="ZS348" s="457"/>
      <c r="ZT348" s="457"/>
      <c r="ZU348" s="457"/>
      <c r="ZV348" s="457"/>
      <c r="ZW348" s="457"/>
      <c r="ZX348" s="457"/>
      <c r="ZY348" s="457"/>
      <c r="ZZ348" s="457"/>
      <c r="AAA348" s="457"/>
      <c r="AAB348" s="457"/>
      <c r="AAC348" s="457"/>
      <c r="AAD348" s="457"/>
      <c r="AAE348" s="457"/>
      <c r="AAF348" s="457"/>
      <c r="AAG348" s="457"/>
      <c r="AAH348" s="457"/>
      <c r="AAI348" s="457"/>
      <c r="AAJ348" s="457"/>
      <c r="AAK348" s="457"/>
      <c r="AAL348" s="457"/>
      <c r="AAM348" s="457"/>
      <c r="AAN348" s="457"/>
      <c r="AAO348" s="457"/>
      <c r="AAP348" s="457"/>
      <c r="AAQ348" s="457"/>
      <c r="AAR348" s="457"/>
      <c r="AAS348" s="457"/>
      <c r="AAT348" s="457"/>
      <c r="AAU348" s="457"/>
      <c r="AAV348" s="457"/>
      <c r="AAW348" s="457"/>
      <c r="AAX348" s="457"/>
      <c r="AAY348" s="457"/>
      <c r="AAZ348" s="457"/>
      <c r="ABA348" s="457"/>
      <c r="ABB348" s="457"/>
      <c r="ABC348" s="457"/>
      <c r="ABD348" s="457"/>
      <c r="ABE348" s="457"/>
      <c r="ABF348" s="457"/>
      <c r="ABG348" s="457"/>
      <c r="ABH348" s="457"/>
      <c r="ABI348" s="457"/>
      <c r="ABJ348" s="457"/>
      <c r="ABK348" s="457"/>
      <c r="ABL348" s="457"/>
      <c r="ABM348" s="457"/>
      <c r="ABN348" s="457"/>
      <c r="ABO348" s="457"/>
      <c r="ABP348" s="457"/>
      <c r="ABQ348" s="457"/>
      <c r="ABR348" s="457"/>
      <c r="ABS348" s="457"/>
      <c r="ABT348" s="457"/>
      <c r="ABU348" s="457"/>
      <c r="ABV348" s="457"/>
      <c r="ABW348" s="457"/>
      <c r="ABX348" s="457"/>
      <c r="ABY348" s="457"/>
      <c r="ABZ348" s="457"/>
      <c r="ACA348" s="457"/>
      <c r="ACB348" s="457"/>
      <c r="ACC348" s="457"/>
      <c r="ACD348" s="457"/>
      <c r="ACE348" s="457"/>
      <c r="ACF348" s="457"/>
      <c r="ACG348" s="457"/>
      <c r="ACH348" s="457"/>
      <c r="ACI348" s="457"/>
      <c r="ACJ348" s="457"/>
      <c r="ACK348" s="457"/>
      <c r="ACL348" s="457"/>
      <c r="ACM348" s="457"/>
      <c r="ACN348" s="457"/>
      <c r="ACO348" s="457"/>
      <c r="ACP348" s="457"/>
      <c r="ACQ348" s="457"/>
      <c r="ACR348" s="457"/>
      <c r="ACS348" s="457"/>
      <c r="ACT348" s="457"/>
      <c r="ACU348" s="457"/>
      <c r="ACV348" s="457"/>
    </row>
    <row r="349" spans="1:776" s="400" customFormat="1" x14ac:dyDescent="0.25">
      <c r="A349" s="470">
        <v>900062</v>
      </c>
      <c r="B349" s="447" t="str">
        <f t="shared" si="11"/>
        <v>-6,99/+6,94  (EC  6,56)</v>
      </c>
      <c r="C349" s="455"/>
      <c r="D349" s="454">
        <v>7.33</v>
      </c>
      <c r="E349" s="454">
        <v>0.65600000000000003</v>
      </c>
      <c r="F349" s="458">
        <v>64.069999999999993</v>
      </c>
      <c r="G349" s="454">
        <v>0.01</v>
      </c>
      <c r="H349" s="454">
        <v>0.05</v>
      </c>
      <c r="I349" s="456">
        <v>65.58</v>
      </c>
      <c r="J349" s="454">
        <v>40.299999999999997</v>
      </c>
      <c r="K349" s="454">
        <f>0.02*3.06</f>
        <v>6.1200000000000004E-2</v>
      </c>
      <c r="L349" s="454">
        <f>(8.4-0.1)*24</f>
        <v>199.20000000000002</v>
      </c>
      <c r="M349" s="454">
        <v>0.01</v>
      </c>
      <c r="N349" s="454">
        <v>0.35</v>
      </c>
      <c r="O349" s="454">
        <v>16.190000000000001</v>
      </c>
      <c r="P349" s="454">
        <v>60.53</v>
      </c>
      <c r="Q349" s="454">
        <v>38.33</v>
      </c>
      <c r="R349" s="454">
        <v>1.0000000000000001E-5</v>
      </c>
      <c r="S349" s="454">
        <v>1.0000000000000001E-5</v>
      </c>
      <c r="T349" s="454">
        <v>1.0000000000000001E-5</v>
      </c>
      <c r="U349" s="454">
        <v>1.0000000000000001E-5</v>
      </c>
      <c r="V349" s="454"/>
      <c r="W349" s="457"/>
      <c r="X349" s="457"/>
      <c r="Y349" s="457"/>
      <c r="Z349" s="457"/>
      <c r="AA349" s="457"/>
      <c r="AB349" s="457"/>
      <c r="AC349" s="457"/>
      <c r="AD349" s="457"/>
      <c r="AE349" s="457"/>
      <c r="AF349" s="457"/>
      <c r="AG349" s="457"/>
      <c r="AH349" s="457"/>
      <c r="AI349" s="457"/>
      <c r="AJ349" s="457"/>
      <c r="AK349" s="457"/>
      <c r="AL349" s="457"/>
      <c r="AM349" s="457"/>
      <c r="AN349" s="457"/>
      <c r="AO349" s="457"/>
      <c r="AP349" s="457"/>
      <c r="AQ349" s="457"/>
      <c r="AR349" s="457"/>
      <c r="AS349" s="457"/>
      <c r="AT349" s="457"/>
      <c r="AU349" s="457"/>
      <c r="AV349" s="457"/>
      <c r="AW349" s="457"/>
      <c r="AX349" s="457"/>
      <c r="AY349" s="457"/>
      <c r="AZ349" s="457"/>
      <c r="BA349" s="457"/>
      <c r="BB349" s="457"/>
      <c r="BC349" s="457"/>
      <c r="BD349" s="457"/>
      <c r="BE349" s="457"/>
      <c r="BF349" s="457"/>
      <c r="BG349" s="457"/>
      <c r="BH349" s="457"/>
      <c r="BI349" s="457"/>
      <c r="BJ349" s="457"/>
      <c r="BK349" s="457"/>
      <c r="BL349" s="457"/>
      <c r="BM349" s="457"/>
      <c r="BN349" s="457"/>
      <c r="BO349" s="457"/>
      <c r="BP349" s="457"/>
      <c r="BQ349" s="457"/>
      <c r="BR349" s="457"/>
      <c r="BS349" s="457"/>
      <c r="BT349" s="457"/>
      <c r="BU349" s="457"/>
      <c r="BV349" s="457"/>
      <c r="BW349" s="457"/>
      <c r="BX349" s="457"/>
      <c r="BY349" s="457"/>
      <c r="BZ349" s="457"/>
      <c r="CA349" s="457"/>
      <c r="CB349" s="457"/>
      <c r="CC349" s="457"/>
      <c r="CD349" s="457"/>
      <c r="CE349" s="457"/>
      <c r="CF349" s="457"/>
      <c r="CG349" s="457"/>
      <c r="CH349" s="457"/>
      <c r="CI349" s="457"/>
      <c r="CJ349" s="457"/>
      <c r="CK349" s="457"/>
      <c r="CL349" s="457"/>
      <c r="CM349" s="457"/>
      <c r="CN349" s="457"/>
      <c r="CO349" s="457"/>
      <c r="CP349" s="457"/>
      <c r="CQ349" s="457"/>
      <c r="CR349" s="457"/>
      <c r="CS349" s="457"/>
      <c r="CT349" s="457"/>
      <c r="CU349" s="457"/>
      <c r="CV349" s="457"/>
      <c r="CW349" s="457"/>
      <c r="CX349" s="457"/>
      <c r="CY349" s="457"/>
      <c r="CZ349" s="457"/>
      <c r="DA349" s="457"/>
      <c r="DB349" s="457"/>
      <c r="DC349" s="457"/>
      <c r="DD349" s="457"/>
      <c r="DE349" s="457"/>
      <c r="DF349" s="457"/>
      <c r="DG349" s="457"/>
      <c r="DH349" s="457"/>
      <c r="DI349" s="457"/>
      <c r="DJ349" s="457"/>
      <c r="DK349" s="457"/>
      <c r="DL349" s="457"/>
      <c r="DM349" s="457"/>
      <c r="DN349" s="457"/>
      <c r="DO349" s="457"/>
      <c r="DP349" s="457"/>
      <c r="DQ349" s="457"/>
      <c r="DR349" s="457"/>
      <c r="DS349" s="457"/>
      <c r="DT349" s="457"/>
      <c r="DU349" s="457"/>
      <c r="DV349" s="457"/>
      <c r="DW349" s="457"/>
      <c r="DX349" s="457"/>
      <c r="DY349" s="457"/>
      <c r="DZ349" s="457"/>
      <c r="EA349" s="457"/>
      <c r="EB349" s="457"/>
      <c r="EC349" s="457"/>
      <c r="ED349" s="457"/>
      <c r="EE349" s="457"/>
      <c r="EF349" s="457"/>
      <c r="EG349" s="457"/>
      <c r="EH349" s="457"/>
      <c r="EI349" s="457"/>
      <c r="EJ349" s="457"/>
      <c r="EK349" s="457"/>
      <c r="EL349" s="457"/>
      <c r="EM349" s="457"/>
      <c r="EN349" s="457"/>
      <c r="EO349" s="457"/>
      <c r="EP349" s="457"/>
      <c r="EQ349" s="457"/>
      <c r="ER349" s="457"/>
      <c r="ES349" s="457"/>
      <c r="ET349" s="457"/>
      <c r="EU349" s="457"/>
      <c r="EV349" s="457"/>
      <c r="EW349" s="457"/>
      <c r="EX349" s="457"/>
      <c r="EY349" s="457"/>
      <c r="EZ349" s="457"/>
      <c r="FA349" s="457"/>
      <c r="FB349" s="457"/>
      <c r="FC349" s="457"/>
      <c r="FD349" s="457"/>
      <c r="FE349" s="457"/>
      <c r="FF349" s="457"/>
      <c r="FG349" s="457"/>
      <c r="FH349" s="457"/>
      <c r="FI349" s="457"/>
      <c r="FJ349" s="457"/>
      <c r="FK349" s="457"/>
      <c r="FL349" s="457"/>
      <c r="FM349" s="457"/>
      <c r="FN349" s="457"/>
      <c r="FO349" s="457"/>
      <c r="FP349" s="457"/>
      <c r="FQ349" s="457"/>
      <c r="FR349" s="457"/>
      <c r="FS349" s="457"/>
      <c r="FT349" s="457"/>
      <c r="FU349" s="457"/>
      <c r="FV349" s="457"/>
      <c r="FW349" s="457"/>
      <c r="FX349" s="457"/>
      <c r="FY349" s="457"/>
      <c r="FZ349" s="457"/>
      <c r="GA349" s="457"/>
      <c r="GB349" s="457"/>
      <c r="GC349" s="457"/>
      <c r="GD349" s="457"/>
      <c r="GE349" s="457"/>
      <c r="GF349" s="457"/>
      <c r="GG349" s="457"/>
      <c r="GH349" s="457"/>
      <c r="GI349" s="457"/>
      <c r="GJ349" s="457"/>
      <c r="GK349" s="457"/>
      <c r="GL349" s="457"/>
      <c r="GM349" s="457"/>
      <c r="GN349" s="457"/>
      <c r="GO349" s="457"/>
      <c r="GP349" s="457"/>
      <c r="GQ349" s="457"/>
      <c r="GR349" s="457"/>
      <c r="GS349" s="457"/>
      <c r="GT349" s="457"/>
      <c r="GU349" s="457"/>
      <c r="GV349" s="457"/>
      <c r="GW349" s="457"/>
      <c r="GX349" s="457"/>
      <c r="GY349" s="457"/>
      <c r="GZ349" s="457"/>
      <c r="HA349" s="457"/>
      <c r="HB349" s="457"/>
      <c r="HC349" s="457"/>
      <c r="HD349" s="457"/>
      <c r="HE349" s="457"/>
      <c r="HF349" s="457"/>
      <c r="HG349" s="457"/>
      <c r="HH349" s="457"/>
      <c r="HI349" s="457"/>
      <c r="HJ349" s="457"/>
      <c r="HK349" s="457"/>
      <c r="HL349" s="457"/>
      <c r="HM349" s="457"/>
      <c r="HN349" s="457"/>
      <c r="HO349" s="457"/>
      <c r="HP349" s="457"/>
      <c r="HQ349" s="457"/>
      <c r="HR349" s="457"/>
      <c r="HS349" s="457"/>
      <c r="HT349" s="457"/>
      <c r="HU349" s="457"/>
      <c r="HV349" s="457"/>
      <c r="HW349" s="457"/>
      <c r="HX349" s="457"/>
      <c r="HY349" s="457"/>
      <c r="HZ349" s="457"/>
      <c r="IA349" s="457"/>
      <c r="IB349" s="457"/>
      <c r="IC349" s="457"/>
      <c r="ID349" s="457"/>
      <c r="IE349" s="457"/>
      <c r="IF349" s="457"/>
      <c r="IG349" s="457"/>
      <c r="IH349" s="457"/>
      <c r="II349" s="457"/>
      <c r="IJ349" s="457"/>
      <c r="IK349" s="457"/>
      <c r="IL349" s="457"/>
      <c r="IM349" s="457"/>
      <c r="IN349" s="457"/>
      <c r="IO349" s="457"/>
      <c r="IP349" s="457"/>
      <c r="IQ349" s="457"/>
      <c r="IR349" s="457"/>
      <c r="IS349" s="457"/>
      <c r="IT349" s="457"/>
      <c r="IU349" s="457"/>
      <c r="IV349" s="457"/>
      <c r="IW349" s="457"/>
      <c r="IX349" s="457"/>
      <c r="IY349" s="457"/>
      <c r="IZ349" s="457"/>
      <c r="JA349" s="457"/>
      <c r="JB349" s="457"/>
      <c r="JC349" s="457"/>
      <c r="JD349" s="457"/>
      <c r="JE349" s="457"/>
      <c r="JF349" s="457"/>
      <c r="JG349" s="457"/>
      <c r="JH349" s="457"/>
      <c r="JI349" s="457"/>
      <c r="JJ349" s="457"/>
      <c r="JK349" s="457"/>
      <c r="JL349" s="457"/>
      <c r="JM349" s="457"/>
      <c r="JN349" s="457"/>
      <c r="JO349" s="457"/>
      <c r="JP349" s="457"/>
      <c r="JQ349" s="457"/>
      <c r="JR349" s="457"/>
      <c r="JS349" s="457"/>
      <c r="JT349" s="457"/>
      <c r="JU349" s="457"/>
      <c r="JV349" s="457"/>
      <c r="JW349" s="457"/>
      <c r="JX349" s="457"/>
      <c r="JY349" s="457"/>
      <c r="JZ349" s="457"/>
      <c r="KA349" s="457"/>
      <c r="KB349" s="457"/>
      <c r="KC349" s="457"/>
      <c r="KD349" s="457"/>
      <c r="KE349" s="457"/>
      <c r="KF349" s="457"/>
      <c r="KG349" s="457"/>
      <c r="KH349" s="457"/>
      <c r="KI349" s="457"/>
      <c r="KJ349" s="457"/>
      <c r="KK349" s="457"/>
      <c r="KL349" s="457"/>
      <c r="KM349" s="457"/>
      <c r="KN349" s="457"/>
      <c r="KO349" s="457"/>
      <c r="KP349" s="457"/>
      <c r="KQ349" s="457"/>
      <c r="KR349" s="457"/>
      <c r="KS349" s="457"/>
      <c r="KT349" s="457"/>
      <c r="KU349" s="457"/>
      <c r="KV349" s="457"/>
      <c r="KW349" s="457"/>
      <c r="KX349" s="457"/>
      <c r="KY349" s="457"/>
      <c r="KZ349" s="457"/>
      <c r="LA349" s="457"/>
      <c r="LB349" s="457"/>
      <c r="LC349" s="457"/>
      <c r="LD349" s="457"/>
      <c r="LE349" s="457"/>
      <c r="LF349" s="457"/>
      <c r="LG349" s="457"/>
      <c r="LH349" s="457"/>
      <c r="LI349" s="457"/>
      <c r="LJ349" s="457"/>
      <c r="LK349" s="457"/>
      <c r="LL349" s="457"/>
      <c r="LM349" s="457"/>
      <c r="LN349" s="457"/>
      <c r="LO349" s="457"/>
      <c r="LP349" s="457"/>
      <c r="LQ349" s="457"/>
      <c r="LR349" s="457"/>
      <c r="LS349" s="457"/>
      <c r="LT349" s="457"/>
      <c r="LU349" s="457"/>
      <c r="LV349" s="457"/>
      <c r="LW349" s="457"/>
      <c r="LX349" s="457"/>
      <c r="LY349" s="457"/>
      <c r="LZ349" s="457"/>
      <c r="MA349" s="457"/>
      <c r="MB349" s="457"/>
      <c r="MC349" s="457"/>
      <c r="MD349" s="457"/>
      <c r="ME349" s="457"/>
      <c r="MF349" s="457"/>
      <c r="MG349" s="457"/>
      <c r="MH349" s="457"/>
      <c r="MI349" s="457"/>
      <c r="MJ349" s="457"/>
      <c r="MK349" s="457"/>
      <c r="ML349" s="457"/>
      <c r="MM349" s="457"/>
      <c r="MN349" s="457"/>
      <c r="MO349" s="457"/>
      <c r="MP349" s="457"/>
      <c r="MQ349" s="457"/>
      <c r="MR349" s="457"/>
      <c r="MS349" s="457"/>
      <c r="MT349" s="457"/>
      <c r="MU349" s="457"/>
      <c r="MV349" s="457"/>
      <c r="MW349" s="457"/>
      <c r="MX349" s="457"/>
      <c r="MY349" s="457"/>
      <c r="MZ349" s="457"/>
      <c r="NA349" s="457"/>
      <c r="NB349" s="457"/>
      <c r="NC349" s="457"/>
      <c r="ND349" s="457"/>
      <c r="NE349" s="457"/>
      <c r="NF349" s="457"/>
      <c r="NG349" s="457"/>
      <c r="NH349" s="457"/>
      <c r="NI349" s="457"/>
      <c r="NJ349" s="457"/>
      <c r="NK349" s="457"/>
      <c r="NL349" s="457"/>
      <c r="NM349" s="457"/>
      <c r="NN349" s="457"/>
      <c r="NO349" s="457"/>
      <c r="NP349" s="457"/>
      <c r="NQ349" s="457"/>
      <c r="NR349" s="457"/>
      <c r="NS349" s="457"/>
      <c r="NT349" s="457"/>
      <c r="NU349" s="457"/>
      <c r="NV349" s="457"/>
      <c r="NW349" s="457"/>
      <c r="NX349" s="457"/>
      <c r="NY349" s="457"/>
      <c r="NZ349" s="457"/>
      <c r="OA349" s="457"/>
      <c r="OB349" s="457"/>
      <c r="OC349" s="457"/>
      <c r="OD349" s="457"/>
      <c r="OE349" s="457"/>
      <c r="OF349" s="457"/>
      <c r="OG349" s="457"/>
      <c r="OH349" s="457"/>
      <c r="OI349" s="457"/>
      <c r="OJ349" s="457"/>
      <c r="OK349" s="457"/>
      <c r="OL349" s="457"/>
      <c r="OM349" s="457"/>
      <c r="ON349" s="457"/>
      <c r="OO349" s="457"/>
      <c r="OP349" s="457"/>
      <c r="OQ349" s="457"/>
      <c r="OR349" s="457"/>
      <c r="OS349" s="457"/>
      <c r="OT349" s="457"/>
      <c r="OU349" s="457"/>
      <c r="OV349" s="457"/>
      <c r="OW349" s="457"/>
      <c r="OX349" s="457"/>
      <c r="OY349" s="457"/>
      <c r="OZ349" s="457"/>
      <c r="PA349" s="457"/>
      <c r="PB349" s="457"/>
      <c r="PC349" s="457"/>
      <c r="PD349" s="457"/>
      <c r="PE349" s="457"/>
      <c r="PF349" s="457"/>
      <c r="PG349" s="457"/>
      <c r="PH349" s="457"/>
      <c r="PI349" s="457"/>
      <c r="PJ349" s="457"/>
      <c r="PK349" s="457"/>
      <c r="PL349" s="457"/>
      <c r="PM349" s="457"/>
      <c r="PN349" s="457"/>
      <c r="PO349" s="457"/>
      <c r="PP349" s="457"/>
      <c r="PQ349" s="457"/>
      <c r="PR349" s="457"/>
      <c r="PS349" s="457"/>
      <c r="PT349" s="457"/>
      <c r="PU349" s="457"/>
      <c r="PV349" s="457"/>
      <c r="PW349" s="457"/>
      <c r="PX349" s="457"/>
      <c r="PY349" s="457"/>
      <c r="PZ349" s="457"/>
      <c r="QA349" s="457"/>
      <c r="QB349" s="457"/>
      <c r="QC349" s="457"/>
      <c r="QD349" s="457"/>
      <c r="QE349" s="457"/>
      <c r="QF349" s="457"/>
      <c r="QG349" s="457"/>
      <c r="QH349" s="457"/>
      <c r="QI349" s="457"/>
      <c r="QJ349" s="457"/>
      <c r="QK349" s="457"/>
      <c r="QL349" s="457"/>
      <c r="QM349" s="457"/>
      <c r="QN349" s="457"/>
      <c r="QO349" s="457"/>
      <c r="QP349" s="457"/>
      <c r="QQ349" s="457"/>
      <c r="QR349" s="457"/>
      <c r="QS349" s="457"/>
      <c r="QT349" s="457"/>
      <c r="QU349" s="457"/>
      <c r="QV349" s="457"/>
      <c r="QW349" s="457"/>
      <c r="QX349" s="457"/>
      <c r="QY349" s="457"/>
      <c r="QZ349" s="457"/>
      <c r="RA349" s="457"/>
      <c r="RB349" s="457"/>
      <c r="RC349" s="457"/>
      <c r="RD349" s="457"/>
      <c r="RE349" s="457"/>
      <c r="RF349" s="457"/>
      <c r="RG349" s="457"/>
      <c r="RH349" s="457"/>
      <c r="RI349" s="457"/>
      <c r="RJ349" s="457"/>
      <c r="RK349" s="457"/>
      <c r="RL349" s="457"/>
      <c r="RM349" s="457"/>
      <c r="RN349" s="457"/>
      <c r="RO349" s="457"/>
      <c r="RP349" s="457"/>
      <c r="RQ349" s="457"/>
      <c r="RR349" s="457"/>
      <c r="RS349" s="457"/>
      <c r="RT349" s="457"/>
      <c r="RU349" s="457"/>
      <c r="RV349" s="457"/>
      <c r="RW349" s="457"/>
      <c r="RX349" s="457"/>
      <c r="RY349" s="457"/>
      <c r="RZ349" s="457"/>
      <c r="SA349" s="457"/>
      <c r="SB349" s="457"/>
      <c r="SC349" s="457"/>
      <c r="SD349" s="457"/>
      <c r="SE349" s="457"/>
      <c r="SF349" s="457"/>
      <c r="SG349" s="457"/>
      <c r="SH349" s="457"/>
      <c r="SI349" s="457"/>
      <c r="SJ349" s="457"/>
      <c r="SK349" s="457"/>
      <c r="SL349" s="457"/>
      <c r="SM349" s="457"/>
      <c r="SN349" s="457"/>
      <c r="SO349" s="457"/>
      <c r="SP349" s="457"/>
      <c r="SQ349" s="457"/>
      <c r="SR349" s="457"/>
      <c r="SS349" s="457"/>
      <c r="ST349" s="457"/>
      <c r="SU349" s="457"/>
      <c r="SV349" s="457"/>
      <c r="SW349" s="457"/>
      <c r="SX349" s="457"/>
      <c r="SY349" s="457"/>
      <c r="SZ349" s="457"/>
      <c r="TA349" s="457"/>
      <c r="TB349" s="457"/>
      <c r="TC349" s="457"/>
      <c r="TD349" s="457"/>
      <c r="TE349" s="457"/>
      <c r="TF349" s="457"/>
      <c r="TG349" s="457"/>
      <c r="TH349" s="457"/>
      <c r="TI349" s="457"/>
      <c r="TJ349" s="457"/>
      <c r="TK349" s="457"/>
      <c r="TL349" s="457"/>
      <c r="TM349" s="457"/>
      <c r="TN349" s="457"/>
      <c r="TO349" s="457"/>
      <c r="TP349" s="457"/>
      <c r="TQ349" s="457"/>
      <c r="TR349" s="457"/>
      <c r="TS349" s="457"/>
      <c r="TT349" s="457"/>
      <c r="TU349" s="457"/>
      <c r="TV349" s="457"/>
      <c r="TW349" s="457"/>
      <c r="TX349" s="457"/>
      <c r="TY349" s="457"/>
      <c r="TZ349" s="457"/>
      <c r="UA349" s="457"/>
      <c r="UB349" s="457"/>
      <c r="UC349" s="457"/>
      <c r="UD349" s="457"/>
      <c r="UE349" s="457"/>
      <c r="UF349" s="457"/>
      <c r="UG349" s="457"/>
      <c r="UH349" s="457"/>
      <c r="UI349" s="457"/>
      <c r="UJ349" s="457"/>
      <c r="UK349" s="457"/>
      <c r="UL349" s="457"/>
      <c r="UM349" s="457"/>
      <c r="UN349" s="457"/>
      <c r="UO349" s="457"/>
      <c r="UP349" s="457"/>
      <c r="UQ349" s="457"/>
      <c r="UR349" s="457"/>
      <c r="US349" s="457"/>
      <c r="UT349" s="457"/>
      <c r="UU349" s="457"/>
      <c r="UV349" s="457"/>
      <c r="UW349" s="457"/>
      <c r="UX349" s="457"/>
      <c r="UY349" s="457"/>
      <c r="UZ349" s="457"/>
      <c r="VA349" s="457"/>
      <c r="VB349" s="457"/>
      <c r="VC349" s="457"/>
      <c r="VD349" s="457"/>
      <c r="VE349" s="457"/>
      <c r="VF349" s="457"/>
      <c r="VG349" s="457"/>
      <c r="VH349" s="457"/>
      <c r="VI349" s="457"/>
      <c r="VJ349" s="457"/>
      <c r="VK349" s="457"/>
      <c r="VL349" s="457"/>
      <c r="VM349" s="457"/>
      <c r="VN349" s="457"/>
      <c r="VO349" s="457"/>
      <c r="VP349" s="457"/>
      <c r="VQ349" s="457"/>
      <c r="VR349" s="457"/>
      <c r="VS349" s="457"/>
      <c r="VT349" s="457"/>
      <c r="VU349" s="457"/>
      <c r="VV349" s="457"/>
      <c r="VW349" s="457"/>
      <c r="VX349" s="457"/>
      <c r="VY349" s="457"/>
      <c r="VZ349" s="457"/>
      <c r="WA349" s="457"/>
      <c r="WB349" s="457"/>
      <c r="WC349" s="457"/>
      <c r="WD349" s="457"/>
      <c r="WE349" s="457"/>
      <c r="WF349" s="457"/>
      <c r="WG349" s="457"/>
      <c r="WH349" s="457"/>
      <c r="WI349" s="457"/>
      <c r="WJ349" s="457"/>
      <c r="WK349" s="457"/>
      <c r="WL349" s="457"/>
      <c r="WM349" s="457"/>
      <c r="WN349" s="457"/>
      <c r="WO349" s="457"/>
      <c r="WP349" s="457"/>
      <c r="WQ349" s="457"/>
      <c r="WR349" s="457"/>
      <c r="WS349" s="457"/>
      <c r="WT349" s="457"/>
      <c r="WU349" s="457"/>
      <c r="WV349" s="457"/>
      <c r="WW349" s="457"/>
      <c r="WX349" s="457"/>
      <c r="WY349" s="457"/>
      <c r="WZ349" s="457"/>
      <c r="XA349" s="457"/>
      <c r="XB349" s="457"/>
      <c r="XC349" s="457"/>
      <c r="XD349" s="457"/>
      <c r="XE349" s="457"/>
      <c r="XF349" s="457"/>
      <c r="XG349" s="457"/>
      <c r="XH349" s="457"/>
      <c r="XI349" s="457"/>
      <c r="XJ349" s="457"/>
      <c r="XK349" s="457"/>
      <c r="XL349" s="457"/>
      <c r="XM349" s="457"/>
      <c r="XN349" s="457"/>
      <c r="XO349" s="457"/>
      <c r="XP349" s="457"/>
      <c r="XQ349" s="457"/>
      <c r="XR349" s="457"/>
      <c r="XS349" s="457"/>
      <c r="XT349" s="457"/>
      <c r="XU349" s="457"/>
      <c r="XV349" s="457"/>
      <c r="XW349" s="457"/>
      <c r="XX349" s="457"/>
      <c r="XY349" s="457"/>
      <c r="XZ349" s="457"/>
      <c r="YA349" s="457"/>
      <c r="YB349" s="457"/>
      <c r="YC349" s="457"/>
      <c r="YD349" s="457"/>
      <c r="YE349" s="457"/>
      <c r="YF349" s="457"/>
      <c r="YG349" s="457"/>
      <c r="YH349" s="457"/>
      <c r="YI349" s="457"/>
      <c r="YJ349" s="457"/>
      <c r="YK349" s="457"/>
      <c r="YL349" s="457"/>
      <c r="YM349" s="457"/>
      <c r="YN349" s="457"/>
      <c r="YO349" s="457"/>
      <c r="YP349" s="457"/>
      <c r="YQ349" s="457"/>
      <c r="YR349" s="457"/>
      <c r="YS349" s="457"/>
      <c r="YT349" s="457"/>
      <c r="YU349" s="457"/>
      <c r="YV349" s="457"/>
      <c r="YW349" s="457"/>
      <c r="YX349" s="457"/>
      <c r="YY349" s="457"/>
      <c r="YZ349" s="457"/>
      <c r="ZA349" s="457"/>
      <c r="ZB349" s="457"/>
      <c r="ZC349" s="457"/>
      <c r="ZD349" s="457"/>
      <c r="ZE349" s="457"/>
      <c r="ZF349" s="457"/>
      <c r="ZG349" s="457"/>
      <c r="ZH349" s="457"/>
      <c r="ZI349" s="457"/>
      <c r="ZJ349" s="457"/>
      <c r="ZK349" s="457"/>
      <c r="ZL349" s="457"/>
      <c r="ZM349" s="457"/>
      <c r="ZN349" s="457"/>
      <c r="ZO349" s="457"/>
      <c r="ZP349" s="457"/>
      <c r="ZQ349" s="457"/>
      <c r="ZR349" s="457"/>
      <c r="ZS349" s="457"/>
      <c r="ZT349" s="457"/>
      <c r="ZU349" s="457"/>
      <c r="ZV349" s="457"/>
      <c r="ZW349" s="457"/>
      <c r="ZX349" s="457"/>
      <c r="ZY349" s="457"/>
      <c r="ZZ349" s="457"/>
      <c r="AAA349" s="457"/>
      <c r="AAB349" s="457"/>
      <c r="AAC349" s="457"/>
      <c r="AAD349" s="457"/>
      <c r="AAE349" s="457"/>
      <c r="AAF349" s="457"/>
      <c r="AAG349" s="457"/>
      <c r="AAH349" s="457"/>
      <c r="AAI349" s="457"/>
      <c r="AAJ349" s="457"/>
      <c r="AAK349" s="457"/>
      <c r="AAL349" s="457"/>
      <c r="AAM349" s="457"/>
      <c r="AAN349" s="457"/>
      <c r="AAO349" s="457"/>
      <c r="AAP349" s="457"/>
      <c r="AAQ349" s="457"/>
      <c r="AAR349" s="457"/>
      <c r="AAS349" s="457"/>
      <c r="AAT349" s="457"/>
      <c r="AAU349" s="457"/>
      <c r="AAV349" s="457"/>
      <c r="AAW349" s="457"/>
      <c r="AAX349" s="457"/>
      <c r="AAY349" s="457"/>
      <c r="AAZ349" s="457"/>
      <c r="ABA349" s="457"/>
      <c r="ABB349" s="457"/>
      <c r="ABC349" s="457"/>
      <c r="ABD349" s="457"/>
      <c r="ABE349" s="457"/>
      <c r="ABF349" s="457"/>
      <c r="ABG349" s="457"/>
      <c r="ABH349" s="457"/>
      <c r="ABI349" s="457"/>
      <c r="ABJ349" s="457"/>
      <c r="ABK349" s="457"/>
      <c r="ABL349" s="457"/>
      <c r="ABM349" s="457"/>
      <c r="ABN349" s="457"/>
      <c r="ABO349" s="457"/>
      <c r="ABP349" s="457"/>
      <c r="ABQ349" s="457"/>
      <c r="ABR349" s="457"/>
      <c r="ABS349" s="457"/>
      <c r="ABT349" s="457"/>
      <c r="ABU349" s="457"/>
      <c r="ABV349" s="457"/>
      <c r="ABW349" s="457"/>
      <c r="ABX349" s="457"/>
      <c r="ABY349" s="457"/>
      <c r="ABZ349" s="457"/>
      <c r="ACA349" s="457"/>
      <c r="ACB349" s="457"/>
      <c r="ACC349" s="457"/>
      <c r="ACD349" s="457"/>
      <c r="ACE349" s="457"/>
      <c r="ACF349" s="457"/>
      <c r="ACG349" s="457"/>
      <c r="ACH349" s="457"/>
      <c r="ACI349" s="457"/>
      <c r="ACJ349" s="457"/>
      <c r="ACK349" s="457"/>
      <c r="ACL349" s="457"/>
      <c r="ACM349" s="457"/>
      <c r="ACN349" s="457"/>
      <c r="ACO349" s="457"/>
      <c r="ACP349" s="457"/>
      <c r="ACQ349" s="457"/>
      <c r="ACR349" s="457"/>
      <c r="ACS349" s="457"/>
      <c r="ACT349" s="457"/>
      <c r="ACU349" s="457"/>
      <c r="ACV349" s="457"/>
    </row>
    <row r="350" spans="1:776" s="400" customFormat="1" x14ac:dyDescent="0.25">
      <c r="A350" s="470">
        <v>900063</v>
      </c>
      <c r="B350" s="447" t="str">
        <f t="shared" si="11"/>
        <v>-11,75/+11,86  (EC  11,1)</v>
      </c>
      <c r="C350" s="455"/>
      <c r="D350" s="454">
        <v>7.13</v>
      </c>
      <c r="E350" s="454">
        <v>1.1100000000000001</v>
      </c>
      <c r="F350" s="458">
        <v>73.72</v>
      </c>
      <c r="G350" s="454">
        <v>0.01</v>
      </c>
      <c r="H350" s="454">
        <v>0.06</v>
      </c>
      <c r="I350" s="456">
        <v>145.66</v>
      </c>
      <c r="J350" s="454">
        <v>58.9</v>
      </c>
      <c r="K350" s="454">
        <f>0.01*3.06</f>
        <v>3.0600000000000002E-2</v>
      </c>
      <c r="L350" s="454">
        <f>(13.4-0.1)*24</f>
        <v>319.20000000000005</v>
      </c>
      <c r="M350" s="454">
        <v>0.01</v>
      </c>
      <c r="N350" s="454">
        <v>0.95</v>
      </c>
      <c r="O350" s="454">
        <v>20.38</v>
      </c>
      <c r="P350" s="454">
        <v>108.18</v>
      </c>
      <c r="Q350" s="454">
        <v>66.430000000000007</v>
      </c>
      <c r="R350" s="454">
        <v>1.0000000000000001E-5</v>
      </c>
      <c r="S350" s="454">
        <v>1.0000000000000001E-5</v>
      </c>
      <c r="T350" s="454">
        <v>1.0000000000000001E-5</v>
      </c>
      <c r="U350" s="454">
        <v>0.18</v>
      </c>
      <c r="V350" s="454"/>
      <c r="W350" s="457"/>
      <c r="X350" s="457"/>
      <c r="Y350" s="457"/>
      <c r="Z350" s="457"/>
      <c r="AA350" s="457"/>
      <c r="AB350" s="457"/>
      <c r="AC350" s="457"/>
      <c r="AD350" s="457"/>
      <c r="AE350" s="457"/>
      <c r="AF350" s="457"/>
      <c r="AG350" s="457"/>
      <c r="AH350" s="457"/>
      <c r="AI350" s="457"/>
      <c r="AJ350" s="457"/>
      <c r="AK350" s="457"/>
      <c r="AL350" s="457"/>
      <c r="AM350" s="457"/>
      <c r="AN350" s="457"/>
      <c r="AO350" s="457"/>
      <c r="AP350" s="457"/>
      <c r="AQ350" s="457"/>
      <c r="AR350" s="457"/>
      <c r="AS350" s="457"/>
      <c r="AT350" s="457"/>
      <c r="AU350" s="457"/>
      <c r="AV350" s="457"/>
      <c r="AW350" s="457"/>
      <c r="AX350" s="457"/>
      <c r="AY350" s="457"/>
      <c r="AZ350" s="457"/>
      <c r="BA350" s="457"/>
      <c r="BB350" s="457"/>
      <c r="BC350" s="457"/>
      <c r="BD350" s="457"/>
      <c r="BE350" s="457"/>
      <c r="BF350" s="457"/>
      <c r="BG350" s="457"/>
      <c r="BH350" s="457"/>
      <c r="BI350" s="457"/>
      <c r="BJ350" s="457"/>
      <c r="BK350" s="457"/>
      <c r="BL350" s="457"/>
      <c r="BM350" s="457"/>
      <c r="BN350" s="457"/>
      <c r="BO350" s="457"/>
      <c r="BP350" s="457"/>
      <c r="BQ350" s="457"/>
      <c r="BR350" s="457"/>
      <c r="BS350" s="457"/>
      <c r="BT350" s="457"/>
      <c r="BU350" s="457"/>
      <c r="BV350" s="457"/>
      <c r="BW350" s="457"/>
      <c r="BX350" s="457"/>
      <c r="BY350" s="457"/>
      <c r="BZ350" s="457"/>
      <c r="CA350" s="457"/>
      <c r="CB350" s="457"/>
      <c r="CC350" s="457"/>
      <c r="CD350" s="457"/>
      <c r="CE350" s="457"/>
      <c r="CF350" s="457"/>
      <c r="CG350" s="457"/>
      <c r="CH350" s="457"/>
      <c r="CI350" s="457"/>
      <c r="CJ350" s="457"/>
      <c r="CK350" s="457"/>
      <c r="CL350" s="457"/>
      <c r="CM350" s="457"/>
      <c r="CN350" s="457"/>
      <c r="CO350" s="457"/>
      <c r="CP350" s="457"/>
      <c r="CQ350" s="457"/>
      <c r="CR350" s="457"/>
      <c r="CS350" s="457"/>
      <c r="CT350" s="457"/>
      <c r="CU350" s="457"/>
      <c r="CV350" s="457"/>
      <c r="CW350" s="457"/>
      <c r="CX350" s="457"/>
      <c r="CY350" s="457"/>
      <c r="CZ350" s="457"/>
      <c r="DA350" s="457"/>
      <c r="DB350" s="457"/>
      <c r="DC350" s="457"/>
      <c r="DD350" s="457"/>
      <c r="DE350" s="457"/>
      <c r="DF350" s="457"/>
      <c r="DG350" s="457"/>
      <c r="DH350" s="457"/>
      <c r="DI350" s="457"/>
      <c r="DJ350" s="457"/>
      <c r="DK350" s="457"/>
      <c r="DL350" s="457"/>
      <c r="DM350" s="457"/>
      <c r="DN350" s="457"/>
      <c r="DO350" s="457"/>
      <c r="DP350" s="457"/>
      <c r="DQ350" s="457"/>
      <c r="DR350" s="457"/>
      <c r="DS350" s="457"/>
      <c r="DT350" s="457"/>
      <c r="DU350" s="457"/>
      <c r="DV350" s="457"/>
      <c r="DW350" s="457"/>
      <c r="DX350" s="457"/>
      <c r="DY350" s="457"/>
      <c r="DZ350" s="457"/>
      <c r="EA350" s="457"/>
      <c r="EB350" s="457"/>
      <c r="EC350" s="457"/>
      <c r="ED350" s="457"/>
      <c r="EE350" s="457"/>
      <c r="EF350" s="457"/>
      <c r="EG350" s="457"/>
      <c r="EH350" s="457"/>
      <c r="EI350" s="457"/>
      <c r="EJ350" s="457"/>
      <c r="EK350" s="457"/>
      <c r="EL350" s="457"/>
      <c r="EM350" s="457"/>
      <c r="EN350" s="457"/>
      <c r="EO350" s="457"/>
      <c r="EP350" s="457"/>
      <c r="EQ350" s="457"/>
      <c r="ER350" s="457"/>
      <c r="ES350" s="457"/>
      <c r="ET350" s="457"/>
      <c r="EU350" s="457"/>
      <c r="EV350" s="457"/>
      <c r="EW350" s="457"/>
      <c r="EX350" s="457"/>
      <c r="EY350" s="457"/>
      <c r="EZ350" s="457"/>
      <c r="FA350" s="457"/>
      <c r="FB350" s="457"/>
      <c r="FC350" s="457"/>
      <c r="FD350" s="457"/>
      <c r="FE350" s="457"/>
      <c r="FF350" s="457"/>
      <c r="FG350" s="457"/>
      <c r="FH350" s="457"/>
      <c r="FI350" s="457"/>
      <c r="FJ350" s="457"/>
      <c r="FK350" s="457"/>
      <c r="FL350" s="457"/>
      <c r="FM350" s="457"/>
      <c r="FN350" s="457"/>
      <c r="FO350" s="457"/>
      <c r="FP350" s="457"/>
      <c r="FQ350" s="457"/>
      <c r="FR350" s="457"/>
      <c r="FS350" s="457"/>
      <c r="FT350" s="457"/>
      <c r="FU350" s="457"/>
      <c r="FV350" s="457"/>
      <c r="FW350" s="457"/>
      <c r="FX350" s="457"/>
      <c r="FY350" s="457"/>
      <c r="FZ350" s="457"/>
      <c r="GA350" s="457"/>
      <c r="GB350" s="457"/>
      <c r="GC350" s="457"/>
      <c r="GD350" s="457"/>
      <c r="GE350" s="457"/>
      <c r="GF350" s="457"/>
      <c r="GG350" s="457"/>
      <c r="GH350" s="457"/>
      <c r="GI350" s="457"/>
      <c r="GJ350" s="457"/>
      <c r="GK350" s="457"/>
      <c r="GL350" s="457"/>
      <c r="GM350" s="457"/>
      <c r="GN350" s="457"/>
      <c r="GO350" s="457"/>
      <c r="GP350" s="457"/>
      <c r="GQ350" s="457"/>
      <c r="GR350" s="457"/>
      <c r="GS350" s="457"/>
      <c r="GT350" s="457"/>
      <c r="GU350" s="457"/>
      <c r="GV350" s="457"/>
      <c r="GW350" s="457"/>
      <c r="GX350" s="457"/>
      <c r="GY350" s="457"/>
      <c r="GZ350" s="457"/>
      <c r="HA350" s="457"/>
      <c r="HB350" s="457"/>
      <c r="HC350" s="457"/>
      <c r="HD350" s="457"/>
      <c r="HE350" s="457"/>
      <c r="HF350" s="457"/>
      <c r="HG350" s="457"/>
      <c r="HH350" s="457"/>
      <c r="HI350" s="457"/>
      <c r="HJ350" s="457"/>
      <c r="HK350" s="457"/>
      <c r="HL350" s="457"/>
      <c r="HM350" s="457"/>
      <c r="HN350" s="457"/>
      <c r="HO350" s="457"/>
      <c r="HP350" s="457"/>
      <c r="HQ350" s="457"/>
      <c r="HR350" s="457"/>
      <c r="HS350" s="457"/>
      <c r="HT350" s="457"/>
      <c r="HU350" s="457"/>
      <c r="HV350" s="457"/>
      <c r="HW350" s="457"/>
      <c r="HX350" s="457"/>
      <c r="HY350" s="457"/>
      <c r="HZ350" s="457"/>
      <c r="IA350" s="457"/>
      <c r="IB350" s="457"/>
      <c r="IC350" s="457"/>
      <c r="ID350" s="457"/>
      <c r="IE350" s="457"/>
      <c r="IF350" s="457"/>
      <c r="IG350" s="457"/>
      <c r="IH350" s="457"/>
      <c r="II350" s="457"/>
      <c r="IJ350" s="457"/>
      <c r="IK350" s="457"/>
      <c r="IL350" s="457"/>
      <c r="IM350" s="457"/>
      <c r="IN350" s="457"/>
      <c r="IO350" s="457"/>
      <c r="IP350" s="457"/>
      <c r="IQ350" s="457"/>
      <c r="IR350" s="457"/>
      <c r="IS350" s="457"/>
      <c r="IT350" s="457"/>
      <c r="IU350" s="457"/>
      <c r="IV350" s="457"/>
      <c r="IW350" s="457"/>
      <c r="IX350" s="457"/>
      <c r="IY350" s="457"/>
      <c r="IZ350" s="457"/>
      <c r="JA350" s="457"/>
      <c r="JB350" s="457"/>
      <c r="JC350" s="457"/>
      <c r="JD350" s="457"/>
      <c r="JE350" s="457"/>
      <c r="JF350" s="457"/>
      <c r="JG350" s="457"/>
      <c r="JH350" s="457"/>
      <c r="JI350" s="457"/>
      <c r="JJ350" s="457"/>
      <c r="JK350" s="457"/>
      <c r="JL350" s="457"/>
      <c r="JM350" s="457"/>
      <c r="JN350" s="457"/>
      <c r="JO350" s="457"/>
      <c r="JP350" s="457"/>
      <c r="JQ350" s="457"/>
      <c r="JR350" s="457"/>
      <c r="JS350" s="457"/>
      <c r="JT350" s="457"/>
      <c r="JU350" s="457"/>
      <c r="JV350" s="457"/>
      <c r="JW350" s="457"/>
      <c r="JX350" s="457"/>
      <c r="JY350" s="457"/>
      <c r="JZ350" s="457"/>
      <c r="KA350" s="457"/>
      <c r="KB350" s="457"/>
      <c r="KC350" s="457"/>
      <c r="KD350" s="457"/>
      <c r="KE350" s="457"/>
      <c r="KF350" s="457"/>
      <c r="KG350" s="457"/>
      <c r="KH350" s="457"/>
      <c r="KI350" s="457"/>
      <c r="KJ350" s="457"/>
      <c r="KK350" s="457"/>
      <c r="KL350" s="457"/>
      <c r="KM350" s="457"/>
      <c r="KN350" s="457"/>
      <c r="KO350" s="457"/>
      <c r="KP350" s="457"/>
      <c r="KQ350" s="457"/>
      <c r="KR350" s="457"/>
      <c r="KS350" s="457"/>
      <c r="KT350" s="457"/>
      <c r="KU350" s="457"/>
      <c r="KV350" s="457"/>
      <c r="KW350" s="457"/>
      <c r="KX350" s="457"/>
      <c r="KY350" s="457"/>
      <c r="KZ350" s="457"/>
      <c r="LA350" s="457"/>
      <c r="LB350" s="457"/>
      <c r="LC350" s="457"/>
      <c r="LD350" s="457"/>
      <c r="LE350" s="457"/>
      <c r="LF350" s="457"/>
      <c r="LG350" s="457"/>
      <c r="LH350" s="457"/>
      <c r="LI350" s="457"/>
      <c r="LJ350" s="457"/>
      <c r="LK350" s="457"/>
      <c r="LL350" s="457"/>
      <c r="LM350" s="457"/>
      <c r="LN350" s="457"/>
      <c r="LO350" s="457"/>
      <c r="LP350" s="457"/>
      <c r="LQ350" s="457"/>
      <c r="LR350" s="457"/>
      <c r="LS350" s="457"/>
      <c r="LT350" s="457"/>
      <c r="LU350" s="457"/>
      <c r="LV350" s="457"/>
      <c r="LW350" s="457"/>
      <c r="LX350" s="457"/>
      <c r="LY350" s="457"/>
      <c r="LZ350" s="457"/>
      <c r="MA350" s="457"/>
      <c r="MB350" s="457"/>
      <c r="MC350" s="457"/>
      <c r="MD350" s="457"/>
      <c r="ME350" s="457"/>
      <c r="MF350" s="457"/>
      <c r="MG350" s="457"/>
      <c r="MH350" s="457"/>
      <c r="MI350" s="457"/>
      <c r="MJ350" s="457"/>
      <c r="MK350" s="457"/>
      <c r="ML350" s="457"/>
      <c r="MM350" s="457"/>
      <c r="MN350" s="457"/>
      <c r="MO350" s="457"/>
      <c r="MP350" s="457"/>
      <c r="MQ350" s="457"/>
      <c r="MR350" s="457"/>
      <c r="MS350" s="457"/>
      <c r="MT350" s="457"/>
      <c r="MU350" s="457"/>
      <c r="MV350" s="457"/>
      <c r="MW350" s="457"/>
      <c r="MX350" s="457"/>
      <c r="MY350" s="457"/>
      <c r="MZ350" s="457"/>
      <c r="NA350" s="457"/>
      <c r="NB350" s="457"/>
      <c r="NC350" s="457"/>
      <c r="ND350" s="457"/>
      <c r="NE350" s="457"/>
      <c r="NF350" s="457"/>
      <c r="NG350" s="457"/>
      <c r="NH350" s="457"/>
      <c r="NI350" s="457"/>
      <c r="NJ350" s="457"/>
      <c r="NK350" s="457"/>
      <c r="NL350" s="457"/>
      <c r="NM350" s="457"/>
      <c r="NN350" s="457"/>
      <c r="NO350" s="457"/>
      <c r="NP350" s="457"/>
      <c r="NQ350" s="457"/>
      <c r="NR350" s="457"/>
      <c r="NS350" s="457"/>
      <c r="NT350" s="457"/>
      <c r="NU350" s="457"/>
      <c r="NV350" s="457"/>
      <c r="NW350" s="457"/>
      <c r="NX350" s="457"/>
      <c r="NY350" s="457"/>
      <c r="NZ350" s="457"/>
      <c r="OA350" s="457"/>
      <c r="OB350" s="457"/>
      <c r="OC350" s="457"/>
      <c r="OD350" s="457"/>
      <c r="OE350" s="457"/>
      <c r="OF350" s="457"/>
      <c r="OG350" s="457"/>
      <c r="OH350" s="457"/>
      <c r="OI350" s="457"/>
      <c r="OJ350" s="457"/>
      <c r="OK350" s="457"/>
      <c r="OL350" s="457"/>
      <c r="OM350" s="457"/>
      <c r="ON350" s="457"/>
      <c r="OO350" s="457"/>
      <c r="OP350" s="457"/>
      <c r="OQ350" s="457"/>
      <c r="OR350" s="457"/>
      <c r="OS350" s="457"/>
      <c r="OT350" s="457"/>
      <c r="OU350" s="457"/>
      <c r="OV350" s="457"/>
      <c r="OW350" s="457"/>
      <c r="OX350" s="457"/>
      <c r="OY350" s="457"/>
      <c r="OZ350" s="457"/>
      <c r="PA350" s="457"/>
      <c r="PB350" s="457"/>
      <c r="PC350" s="457"/>
      <c r="PD350" s="457"/>
      <c r="PE350" s="457"/>
      <c r="PF350" s="457"/>
      <c r="PG350" s="457"/>
      <c r="PH350" s="457"/>
      <c r="PI350" s="457"/>
      <c r="PJ350" s="457"/>
      <c r="PK350" s="457"/>
      <c r="PL350" s="457"/>
      <c r="PM350" s="457"/>
      <c r="PN350" s="457"/>
      <c r="PO350" s="457"/>
      <c r="PP350" s="457"/>
      <c r="PQ350" s="457"/>
      <c r="PR350" s="457"/>
      <c r="PS350" s="457"/>
      <c r="PT350" s="457"/>
      <c r="PU350" s="457"/>
      <c r="PV350" s="457"/>
      <c r="PW350" s="457"/>
      <c r="PX350" s="457"/>
      <c r="PY350" s="457"/>
      <c r="PZ350" s="457"/>
      <c r="QA350" s="457"/>
      <c r="QB350" s="457"/>
      <c r="QC350" s="457"/>
      <c r="QD350" s="457"/>
      <c r="QE350" s="457"/>
      <c r="QF350" s="457"/>
      <c r="QG350" s="457"/>
      <c r="QH350" s="457"/>
      <c r="QI350" s="457"/>
      <c r="QJ350" s="457"/>
      <c r="QK350" s="457"/>
      <c r="QL350" s="457"/>
      <c r="QM350" s="457"/>
      <c r="QN350" s="457"/>
      <c r="QO350" s="457"/>
      <c r="QP350" s="457"/>
      <c r="QQ350" s="457"/>
      <c r="QR350" s="457"/>
      <c r="QS350" s="457"/>
      <c r="QT350" s="457"/>
      <c r="QU350" s="457"/>
      <c r="QV350" s="457"/>
      <c r="QW350" s="457"/>
      <c r="QX350" s="457"/>
      <c r="QY350" s="457"/>
      <c r="QZ350" s="457"/>
      <c r="RA350" s="457"/>
      <c r="RB350" s="457"/>
      <c r="RC350" s="457"/>
      <c r="RD350" s="457"/>
      <c r="RE350" s="457"/>
      <c r="RF350" s="457"/>
      <c r="RG350" s="457"/>
      <c r="RH350" s="457"/>
      <c r="RI350" s="457"/>
      <c r="RJ350" s="457"/>
      <c r="RK350" s="457"/>
      <c r="RL350" s="457"/>
      <c r="RM350" s="457"/>
      <c r="RN350" s="457"/>
      <c r="RO350" s="457"/>
      <c r="RP350" s="457"/>
      <c r="RQ350" s="457"/>
      <c r="RR350" s="457"/>
      <c r="RS350" s="457"/>
      <c r="RT350" s="457"/>
      <c r="RU350" s="457"/>
      <c r="RV350" s="457"/>
      <c r="RW350" s="457"/>
      <c r="RX350" s="457"/>
      <c r="RY350" s="457"/>
      <c r="RZ350" s="457"/>
      <c r="SA350" s="457"/>
      <c r="SB350" s="457"/>
      <c r="SC350" s="457"/>
      <c r="SD350" s="457"/>
      <c r="SE350" s="457"/>
      <c r="SF350" s="457"/>
      <c r="SG350" s="457"/>
      <c r="SH350" s="457"/>
      <c r="SI350" s="457"/>
      <c r="SJ350" s="457"/>
      <c r="SK350" s="457"/>
      <c r="SL350" s="457"/>
      <c r="SM350" s="457"/>
      <c r="SN350" s="457"/>
      <c r="SO350" s="457"/>
      <c r="SP350" s="457"/>
      <c r="SQ350" s="457"/>
      <c r="SR350" s="457"/>
      <c r="SS350" s="457"/>
      <c r="ST350" s="457"/>
      <c r="SU350" s="457"/>
      <c r="SV350" s="457"/>
      <c r="SW350" s="457"/>
      <c r="SX350" s="457"/>
      <c r="SY350" s="457"/>
      <c r="SZ350" s="457"/>
      <c r="TA350" s="457"/>
      <c r="TB350" s="457"/>
      <c r="TC350" s="457"/>
      <c r="TD350" s="457"/>
      <c r="TE350" s="457"/>
      <c r="TF350" s="457"/>
      <c r="TG350" s="457"/>
      <c r="TH350" s="457"/>
      <c r="TI350" s="457"/>
      <c r="TJ350" s="457"/>
      <c r="TK350" s="457"/>
      <c r="TL350" s="457"/>
      <c r="TM350" s="457"/>
      <c r="TN350" s="457"/>
      <c r="TO350" s="457"/>
      <c r="TP350" s="457"/>
      <c r="TQ350" s="457"/>
      <c r="TR350" s="457"/>
      <c r="TS350" s="457"/>
      <c r="TT350" s="457"/>
      <c r="TU350" s="457"/>
      <c r="TV350" s="457"/>
      <c r="TW350" s="457"/>
      <c r="TX350" s="457"/>
      <c r="TY350" s="457"/>
      <c r="TZ350" s="457"/>
      <c r="UA350" s="457"/>
      <c r="UB350" s="457"/>
      <c r="UC350" s="457"/>
      <c r="UD350" s="457"/>
      <c r="UE350" s="457"/>
      <c r="UF350" s="457"/>
      <c r="UG350" s="457"/>
      <c r="UH350" s="457"/>
      <c r="UI350" s="457"/>
      <c r="UJ350" s="457"/>
      <c r="UK350" s="457"/>
      <c r="UL350" s="457"/>
      <c r="UM350" s="457"/>
      <c r="UN350" s="457"/>
      <c r="UO350" s="457"/>
      <c r="UP350" s="457"/>
      <c r="UQ350" s="457"/>
      <c r="UR350" s="457"/>
      <c r="US350" s="457"/>
      <c r="UT350" s="457"/>
      <c r="UU350" s="457"/>
      <c r="UV350" s="457"/>
      <c r="UW350" s="457"/>
      <c r="UX350" s="457"/>
      <c r="UY350" s="457"/>
      <c r="UZ350" s="457"/>
      <c r="VA350" s="457"/>
      <c r="VB350" s="457"/>
      <c r="VC350" s="457"/>
      <c r="VD350" s="457"/>
      <c r="VE350" s="457"/>
      <c r="VF350" s="457"/>
      <c r="VG350" s="457"/>
      <c r="VH350" s="457"/>
      <c r="VI350" s="457"/>
      <c r="VJ350" s="457"/>
      <c r="VK350" s="457"/>
      <c r="VL350" s="457"/>
      <c r="VM350" s="457"/>
      <c r="VN350" s="457"/>
      <c r="VO350" s="457"/>
      <c r="VP350" s="457"/>
      <c r="VQ350" s="457"/>
      <c r="VR350" s="457"/>
      <c r="VS350" s="457"/>
      <c r="VT350" s="457"/>
      <c r="VU350" s="457"/>
      <c r="VV350" s="457"/>
      <c r="VW350" s="457"/>
      <c r="VX350" s="457"/>
      <c r="VY350" s="457"/>
      <c r="VZ350" s="457"/>
      <c r="WA350" s="457"/>
      <c r="WB350" s="457"/>
      <c r="WC350" s="457"/>
      <c r="WD350" s="457"/>
      <c r="WE350" s="457"/>
      <c r="WF350" s="457"/>
      <c r="WG350" s="457"/>
      <c r="WH350" s="457"/>
      <c r="WI350" s="457"/>
      <c r="WJ350" s="457"/>
      <c r="WK350" s="457"/>
      <c r="WL350" s="457"/>
      <c r="WM350" s="457"/>
      <c r="WN350" s="457"/>
      <c r="WO350" s="457"/>
      <c r="WP350" s="457"/>
      <c r="WQ350" s="457"/>
      <c r="WR350" s="457"/>
      <c r="WS350" s="457"/>
      <c r="WT350" s="457"/>
      <c r="WU350" s="457"/>
      <c r="WV350" s="457"/>
      <c r="WW350" s="457"/>
      <c r="WX350" s="457"/>
      <c r="WY350" s="457"/>
      <c r="WZ350" s="457"/>
      <c r="XA350" s="457"/>
      <c r="XB350" s="457"/>
      <c r="XC350" s="457"/>
      <c r="XD350" s="457"/>
      <c r="XE350" s="457"/>
      <c r="XF350" s="457"/>
      <c r="XG350" s="457"/>
      <c r="XH350" s="457"/>
      <c r="XI350" s="457"/>
      <c r="XJ350" s="457"/>
      <c r="XK350" s="457"/>
      <c r="XL350" s="457"/>
      <c r="XM350" s="457"/>
      <c r="XN350" s="457"/>
      <c r="XO350" s="457"/>
      <c r="XP350" s="457"/>
      <c r="XQ350" s="457"/>
      <c r="XR350" s="457"/>
      <c r="XS350" s="457"/>
      <c r="XT350" s="457"/>
      <c r="XU350" s="457"/>
      <c r="XV350" s="457"/>
      <c r="XW350" s="457"/>
      <c r="XX350" s="457"/>
      <c r="XY350" s="457"/>
      <c r="XZ350" s="457"/>
      <c r="YA350" s="457"/>
      <c r="YB350" s="457"/>
      <c r="YC350" s="457"/>
      <c r="YD350" s="457"/>
      <c r="YE350" s="457"/>
      <c r="YF350" s="457"/>
      <c r="YG350" s="457"/>
      <c r="YH350" s="457"/>
      <c r="YI350" s="457"/>
      <c r="YJ350" s="457"/>
      <c r="YK350" s="457"/>
      <c r="YL350" s="457"/>
      <c r="YM350" s="457"/>
      <c r="YN350" s="457"/>
      <c r="YO350" s="457"/>
      <c r="YP350" s="457"/>
      <c r="YQ350" s="457"/>
      <c r="YR350" s="457"/>
      <c r="YS350" s="457"/>
      <c r="YT350" s="457"/>
      <c r="YU350" s="457"/>
      <c r="YV350" s="457"/>
      <c r="YW350" s="457"/>
      <c r="YX350" s="457"/>
      <c r="YY350" s="457"/>
      <c r="YZ350" s="457"/>
      <c r="ZA350" s="457"/>
      <c r="ZB350" s="457"/>
      <c r="ZC350" s="457"/>
      <c r="ZD350" s="457"/>
      <c r="ZE350" s="457"/>
      <c r="ZF350" s="457"/>
      <c r="ZG350" s="457"/>
      <c r="ZH350" s="457"/>
      <c r="ZI350" s="457"/>
      <c r="ZJ350" s="457"/>
      <c r="ZK350" s="457"/>
      <c r="ZL350" s="457"/>
      <c r="ZM350" s="457"/>
      <c r="ZN350" s="457"/>
      <c r="ZO350" s="457"/>
      <c r="ZP350" s="457"/>
      <c r="ZQ350" s="457"/>
      <c r="ZR350" s="457"/>
      <c r="ZS350" s="457"/>
      <c r="ZT350" s="457"/>
      <c r="ZU350" s="457"/>
      <c r="ZV350" s="457"/>
      <c r="ZW350" s="457"/>
      <c r="ZX350" s="457"/>
      <c r="ZY350" s="457"/>
      <c r="ZZ350" s="457"/>
      <c r="AAA350" s="457"/>
      <c r="AAB350" s="457"/>
      <c r="AAC350" s="457"/>
      <c r="AAD350" s="457"/>
      <c r="AAE350" s="457"/>
      <c r="AAF350" s="457"/>
      <c r="AAG350" s="457"/>
      <c r="AAH350" s="457"/>
      <c r="AAI350" s="457"/>
      <c r="AAJ350" s="457"/>
      <c r="AAK350" s="457"/>
      <c r="AAL350" s="457"/>
      <c r="AAM350" s="457"/>
      <c r="AAN350" s="457"/>
      <c r="AAO350" s="457"/>
      <c r="AAP350" s="457"/>
      <c r="AAQ350" s="457"/>
      <c r="AAR350" s="457"/>
      <c r="AAS350" s="457"/>
      <c r="AAT350" s="457"/>
      <c r="AAU350" s="457"/>
      <c r="AAV350" s="457"/>
      <c r="AAW350" s="457"/>
      <c r="AAX350" s="457"/>
      <c r="AAY350" s="457"/>
      <c r="AAZ350" s="457"/>
      <c r="ABA350" s="457"/>
      <c r="ABB350" s="457"/>
      <c r="ABC350" s="457"/>
      <c r="ABD350" s="457"/>
      <c r="ABE350" s="457"/>
      <c r="ABF350" s="457"/>
      <c r="ABG350" s="457"/>
      <c r="ABH350" s="457"/>
      <c r="ABI350" s="457"/>
      <c r="ABJ350" s="457"/>
      <c r="ABK350" s="457"/>
      <c r="ABL350" s="457"/>
      <c r="ABM350" s="457"/>
      <c r="ABN350" s="457"/>
      <c r="ABO350" s="457"/>
      <c r="ABP350" s="457"/>
      <c r="ABQ350" s="457"/>
      <c r="ABR350" s="457"/>
      <c r="ABS350" s="457"/>
      <c r="ABT350" s="457"/>
      <c r="ABU350" s="457"/>
      <c r="ABV350" s="457"/>
      <c r="ABW350" s="457"/>
      <c r="ABX350" s="457"/>
      <c r="ABY350" s="457"/>
      <c r="ABZ350" s="457"/>
      <c r="ACA350" s="457"/>
      <c r="ACB350" s="457"/>
      <c r="ACC350" s="457"/>
      <c r="ACD350" s="457"/>
      <c r="ACE350" s="457"/>
      <c r="ACF350" s="457"/>
      <c r="ACG350" s="457"/>
      <c r="ACH350" s="457"/>
      <c r="ACI350" s="457"/>
      <c r="ACJ350" s="457"/>
      <c r="ACK350" s="457"/>
      <c r="ACL350" s="457"/>
      <c r="ACM350" s="457"/>
      <c r="ACN350" s="457"/>
      <c r="ACO350" s="457"/>
      <c r="ACP350" s="457"/>
      <c r="ACQ350" s="457"/>
      <c r="ACR350" s="457"/>
      <c r="ACS350" s="457"/>
      <c r="ACT350" s="457"/>
      <c r="ACU350" s="457"/>
      <c r="ACV350" s="457"/>
    </row>
    <row r="351" spans="1:776" s="400" customFormat="1" x14ac:dyDescent="0.25">
      <c r="A351" s="470">
        <v>900064</v>
      </c>
      <c r="B351" s="447" t="str">
        <f t="shared" si="11"/>
        <v>-6,71/+6,64  (EC  5,98)</v>
      </c>
      <c r="C351" s="455"/>
      <c r="D351" s="454">
        <v>7.63</v>
      </c>
      <c r="E351" s="454">
        <v>0.59799999999999998</v>
      </c>
      <c r="F351" s="458">
        <v>63.08</v>
      </c>
      <c r="G351" s="454">
        <v>0.01</v>
      </c>
      <c r="H351" s="454">
        <v>0.05</v>
      </c>
      <c r="I351" s="456">
        <v>36.68</v>
      </c>
      <c r="J351" s="454">
        <v>12.1</v>
      </c>
      <c r="K351" s="454">
        <f>0.04*3.06</f>
        <v>0.12240000000000001</v>
      </c>
      <c r="L351" s="454">
        <f>(11.3-0.1)*24</f>
        <v>268.8</v>
      </c>
      <c r="M351" s="454">
        <v>0.01</v>
      </c>
      <c r="N351" s="454">
        <v>0.44</v>
      </c>
      <c r="O351" s="454">
        <v>17.36</v>
      </c>
      <c r="P351" s="454">
        <v>79.760000000000005</v>
      </c>
      <c r="Q351" s="454">
        <v>22.6</v>
      </c>
      <c r="R351" s="454">
        <v>1.0000000000000001E-5</v>
      </c>
      <c r="S351" s="454">
        <v>1.0000000000000001E-5</v>
      </c>
      <c r="T351" s="454">
        <v>1.0000000000000001E-5</v>
      </c>
      <c r="U351" s="454">
        <v>1.0000000000000001E-5</v>
      </c>
      <c r="V351" s="454"/>
      <c r="W351" s="457"/>
      <c r="X351" s="457"/>
      <c r="Y351" s="457"/>
      <c r="Z351" s="457"/>
      <c r="AA351" s="457"/>
      <c r="AB351" s="457"/>
      <c r="AC351" s="457"/>
      <c r="AD351" s="457"/>
      <c r="AE351" s="457"/>
      <c r="AF351" s="457"/>
      <c r="AG351" s="457"/>
      <c r="AH351" s="457"/>
      <c r="AI351" s="457"/>
      <c r="AJ351" s="457"/>
      <c r="AK351" s="457"/>
      <c r="AL351" s="457"/>
      <c r="AM351" s="457"/>
      <c r="AN351" s="457"/>
      <c r="AO351" s="457"/>
      <c r="AP351" s="457"/>
      <c r="AQ351" s="457"/>
      <c r="AR351" s="457"/>
      <c r="AS351" s="457"/>
      <c r="AT351" s="457"/>
      <c r="AU351" s="457"/>
      <c r="AV351" s="457"/>
      <c r="AW351" s="457"/>
      <c r="AX351" s="457"/>
      <c r="AY351" s="457"/>
      <c r="AZ351" s="457"/>
      <c r="BA351" s="457"/>
      <c r="BB351" s="457"/>
      <c r="BC351" s="457"/>
      <c r="BD351" s="457"/>
      <c r="BE351" s="457"/>
      <c r="BF351" s="457"/>
      <c r="BG351" s="457"/>
      <c r="BH351" s="457"/>
      <c r="BI351" s="457"/>
      <c r="BJ351" s="457"/>
      <c r="BK351" s="457"/>
      <c r="BL351" s="457"/>
      <c r="BM351" s="457"/>
      <c r="BN351" s="457"/>
      <c r="BO351" s="457"/>
      <c r="BP351" s="457"/>
      <c r="BQ351" s="457"/>
      <c r="BR351" s="457"/>
      <c r="BS351" s="457"/>
      <c r="BT351" s="457"/>
      <c r="BU351" s="457"/>
      <c r="BV351" s="457"/>
      <c r="BW351" s="457"/>
      <c r="BX351" s="457"/>
      <c r="BY351" s="457"/>
      <c r="BZ351" s="457"/>
      <c r="CA351" s="457"/>
      <c r="CB351" s="457"/>
      <c r="CC351" s="457"/>
      <c r="CD351" s="457"/>
      <c r="CE351" s="457"/>
      <c r="CF351" s="457"/>
      <c r="CG351" s="457"/>
      <c r="CH351" s="457"/>
      <c r="CI351" s="457"/>
      <c r="CJ351" s="457"/>
      <c r="CK351" s="457"/>
      <c r="CL351" s="457"/>
      <c r="CM351" s="457"/>
      <c r="CN351" s="457"/>
      <c r="CO351" s="457"/>
      <c r="CP351" s="457"/>
      <c r="CQ351" s="457"/>
      <c r="CR351" s="457"/>
      <c r="CS351" s="457"/>
      <c r="CT351" s="457"/>
      <c r="CU351" s="457"/>
      <c r="CV351" s="457"/>
      <c r="CW351" s="457"/>
      <c r="CX351" s="457"/>
      <c r="CY351" s="457"/>
      <c r="CZ351" s="457"/>
      <c r="DA351" s="457"/>
      <c r="DB351" s="457"/>
      <c r="DC351" s="457"/>
      <c r="DD351" s="457"/>
      <c r="DE351" s="457"/>
      <c r="DF351" s="457"/>
      <c r="DG351" s="457"/>
      <c r="DH351" s="457"/>
      <c r="DI351" s="457"/>
      <c r="DJ351" s="457"/>
      <c r="DK351" s="457"/>
      <c r="DL351" s="457"/>
      <c r="DM351" s="457"/>
      <c r="DN351" s="457"/>
      <c r="DO351" s="457"/>
      <c r="DP351" s="457"/>
      <c r="DQ351" s="457"/>
      <c r="DR351" s="457"/>
      <c r="DS351" s="457"/>
      <c r="DT351" s="457"/>
      <c r="DU351" s="457"/>
      <c r="DV351" s="457"/>
      <c r="DW351" s="457"/>
      <c r="DX351" s="457"/>
      <c r="DY351" s="457"/>
      <c r="DZ351" s="457"/>
      <c r="EA351" s="457"/>
      <c r="EB351" s="457"/>
      <c r="EC351" s="457"/>
      <c r="ED351" s="457"/>
      <c r="EE351" s="457"/>
      <c r="EF351" s="457"/>
      <c r="EG351" s="457"/>
      <c r="EH351" s="457"/>
      <c r="EI351" s="457"/>
      <c r="EJ351" s="457"/>
      <c r="EK351" s="457"/>
      <c r="EL351" s="457"/>
      <c r="EM351" s="457"/>
      <c r="EN351" s="457"/>
      <c r="EO351" s="457"/>
      <c r="EP351" s="457"/>
      <c r="EQ351" s="457"/>
      <c r="ER351" s="457"/>
      <c r="ES351" s="457"/>
      <c r="ET351" s="457"/>
      <c r="EU351" s="457"/>
      <c r="EV351" s="457"/>
      <c r="EW351" s="457"/>
      <c r="EX351" s="457"/>
      <c r="EY351" s="457"/>
      <c r="EZ351" s="457"/>
      <c r="FA351" s="457"/>
      <c r="FB351" s="457"/>
      <c r="FC351" s="457"/>
      <c r="FD351" s="457"/>
      <c r="FE351" s="457"/>
      <c r="FF351" s="457"/>
      <c r="FG351" s="457"/>
      <c r="FH351" s="457"/>
      <c r="FI351" s="457"/>
      <c r="FJ351" s="457"/>
      <c r="FK351" s="457"/>
      <c r="FL351" s="457"/>
      <c r="FM351" s="457"/>
      <c r="FN351" s="457"/>
      <c r="FO351" s="457"/>
      <c r="FP351" s="457"/>
      <c r="FQ351" s="457"/>
      <c r="FR351" s="457"/>
      <c r="FS351" s="457"/>
      <c r="FT351" s="457"/>
      <c r="FU351" s="457"/>
      <c r="FV351" s="457"/>
      <c r="FW351" s="457"/>
      <c r="FX351" s="457"/>
      <c r="FY351" s="457"/>
      <c r="FZ351" s="457"/>
      <c r="GA351" s="457"/>
      <c r="GB351" s="457"/>
      <c r="GC351" s="457"/>
      <c r="GD351" s="457"/>
      <c r="GE351" s="457"/>
      <c r="GF351" s="457"/>
      <c r="GG351" s="457"/>
      <c r="GH351" s="457"/>
      <c r="GI351" s="457"/>
      <c r="GJ351" s="457"/>
      <c r="GK351" s="457"/>
      <c r="GL351" s="457"/>
      <c r="GM351" s="457"/>
      <c r="GN351" s="457"/>
      <c r="GO351" s="457"/>
      <c r="GP351" s="457"/>
      <c r="GQ351" s="457"/>
      <c r="GR351" s="457"/>
      <c r="GS351" s="457"/>
      <c r="GT351" s="457"/>
      <c r="GU351" s="457"/>
      <c r="GV351" s="457"/>
      <c r="GW351" s="457"/>
      <c r="GX351" s="457"/>
      <c r="GY351" s="457"/>
      <c r="GZ351" s="457"/>
      <c r="HA351" s="457"/>
      <c r="HB351" s="457"/>
      <c r="HC351" s="457"/>
      <c r="HD351" s="457"/>
      <c r="HE351" s="457"/>
      <c r="HF351" s="457"/>
      <c r="HG351" s="457"/>
      <c r="HH351" s="457"/>
      <c r="HI351" s="457"/>
      <c r="HJ351" s="457"/>
      <c r="HK351" s="457"/>
      <c r="HL351" s="457"/>
      <c r="HM351" s="457"/>
      <c r="HN351" s="457"/>
      <c r="HO351" s="457"/>
      <c r="HP351" s="457"/>
      <c r="HQ351" s="457"/>
      <c r="HR351" s="457"/>
      <c r="HS351" s="457"/>
      <c r="HT351" s="457"/>
      <c r="HU351" s="457"/>
      <c r="HV351" s="457"/>
      <c r="HW351" s="457"/>
      <c r="HX351" s="457"/>
      <c r="HY351" s="457"/>
      <c r="HZ351" s="457"/>
      <c r="IA351" s="457"/>
      <c r="IB351" s="457"/>
      <c r="IC351" s="457"/>
      <c r="ID351" s="457"/>
      <c r="IE351" s="457"/>
      <c r="IF351" s="457"/>
      <c r="IG351" s="457"/>
      <c r="IH351" s="457"/>
      <c r="II351" s="457"/>
      <c r="IJ351" s="457"/>
      <c r="IK351" s="457"/>
      <c r="IL351" s="457"/>
      <c r="IM351" s="457"/>
      <c r="IN351" s="457"/>
      <c r="IO351" s="457"/>
      <c r="IP351" s="457"/>
      <c r="IQ351" s="457"/>
      <c r="IR351" s="457"/>
      <c r="IS351" s="457"/>
      <c r="IT351" s="457"/>
      <c r="IU351" s="457"/>
      <c r="IV351" s="457"/>
      <c r="IW351" s="457"/>
      <c r="IX351" s="457"/>
      <c r="IY351" s="457"/>
      <c r="IZ351" s="457"/>
      <c r="JA351" s="457"/>
      <c r="JB351" s="457"/>
      <c r="JC351" s="457"/>
      <c r="JD351" s="457"/>
      <c r="JE351" s="457"/>
      <c r="JF351" s="457"/>
      <c r="JG351" s="457"/>
      <c r="JH351" s="457"/>
      <c r="JI351" s="457"/>
      <c r="JJ351" s="457"/>
      <c r="JK351" s="457"/>
      <c r="JL351" s="457"/>
      <c r="JM351" s="457"/>
      <c r="JN351" s="457"/>
      <c r="JO351" s="457"/>
      <c r="JP351" s="457"/>
      <c r="JQ351" s="457"/>
      <c r="JR351" s="457"/>
      <c r="JS351" s="457"/>
      <c r="JT351" s="457"/>
      <c r="JU351" s="457"/>
      <c r="JV351" s="457"/>
      <c r="JW351" s="457"/>
      <c r="JX351" s="457"/>
      <c r="JY351" s="457"/>
      <c r="JZ351" s="457"/>
      <c r="KA351" s="457"/>
      <c r="KB351" s="457"/>
      <c r="KC351" s="457"/>
      <c r="KD351" s="457"/>
      <c r="KE351" s="457"/>
      <c r="KF351" s="457"/>
      <c r="KG351" s="457"/>
      <c r="KH351" s="457"/>
      <c r="KI351" s="457"/>
      <c r="KJ351" s="457"/>
      <c r="KK351" s="457"/>
      <c r="KL351" s="457"/>
      <c r="KM351" s="457"/>
      <c r="KN351" s="457"/>
      <c r="KO351" s="457"/>
      <c r="KP351" s="457"/>
      <c r="KQ351" s="457"/>
      <c r="KR351" s="457"/>
      <c r="KS351" s="457"/>
      <c r="KT351" s="457"/>
      <c r="KU351" s="457"/>
      <c r="KV351" s="457"/>
      <c r="KW351" s="457"/>
      <c r="KX351" s="457"/>
      <c r="KY351" s="457"/>
      <c r="KZ351" s="457"/>
      <c r="LA351" s="457"/>
      <c r="LB351" s="457"/>
      <c r="LC351" s="457"/>
      <c r="LD351" s="457"/>
      <c r="LE351" s="457"/>
      <c r="LF351" s="457"/>
      <c r="LG351" s="457"/>
      <c r="LH351" s="457"/>
      <c r="LI351" s="457"/>
      <c r="LJ351" s="457"/>
      <c r="LK351" s="457"/>
      <c r="LL351" s="457"/>
      <c r="LM351" s="457"/>
      <c r="LN351" s="457"/>
      <c r="LO351" s="457"/>
      <c r="LP351" s="457"/>
      <c r="LQ351" s="457"/>
      <c r="LR351" s="457"/>
      <c r="LS351" s="457"/>
      <c r="LT351" s="457"/>
      <c r="LU351" s="457"/>
      <c r="LV351" s="457"/>
      <c r="LW351" s="457"/>
      <c r="LX351" s="457"/>
      <c r="LY351" s="457"/>
      <c r="LZ351" s="457"/>
      <c r="MA351" s="457"/>
      <c r="MB351" s="457"/>
      <c r="MC351" s="457"/>
      <c r="MD351" s="457"/>
      <c r="ME351" s="457"/>
      <c r="MF351" s="457"/>
      <c r="MG351" s="457"/>
      <c r="MH351" s="457"/>
      <c r="MI351" s="457"/>
      <c r="MJ351" s="457"/>
      <c r="MK351" s="457"/>
      <c r="ML351" s="457"/>
      <c r="MM351" s="457"/>
      <c r="MN351" s="457"/>
      <c r="MO351" s="457"/>
      <c r="MP351" s="457"/>
      <c r="MQ351" s="457"/>
      <c r="MR351" s="457"/>
      <c r="MS351" s="457"/>
      <c r="MT351" s="457"/>
      <c r="MU351" s="457"/>
      <c r="MV351" s="457"/>
      <c r="MW351" s="457"/>
      <c r="MX351" s="457"/>
      <c r="MY351" s="457"/>
      <c r="MZ351" s="457"/>
      <c r="NA351" s="457"/>
      <c r="NB351" s="457"/>
      <c r="NC351" s="457"/>
      <c r="ND351" s="457"/>
      <c r="NE351" s="457"/>
      <c r="NF351" s="457"/>
      <c r="NG351" s="457"/>
      <c r="NH351" s="457"/>
      <c r="NI351" s="457"/>
      <c r="NJ351" s="457"/>
      <c r="NK351" s="457"/>
      <c r="NL351" s="457"/>
      <c r="NM351" s="457"/>
      <c r="NN351" s="457"/>
      <c r="NO351" s="457"/>
      <c r="NP351" s="457"/>
      <c r="NQ351" s="457"/>
      <c r="NR351" s="457"/>
      <c r="NS351" s="457"/>
      <c r="NT351" s="457"/>
      <c r="NU351" s="457"/>
      <c r="NV351" s="457"/>
      <c r="NW351" s="457"/>
      <c r="NX351" s="457"/>
      <c r="NY351" s="457"/>
      <c r="NZ351" s="457"/>
      <c r="OA351" s="457"/>
      <c r="OB351" s="457"/>
      <c r="OC351" s="457"/>
      <c r="OD351" s="457"/>
      <c r="OE351" s="457"/>
      <c r="OF351" s="457"/>
      <c r="OG351" s="457"/>
      <c r="OH351" s="457"/>
      <c r="OI351" s="457"/>
      <c r="OJ351" s="457"/>
      <c r="OK351" s="457"/>
      <c r="OL351" s="457"/>
      <c r="OM351" s="457"/>
      <c r="ON351" s="457"/>
      <c r="OO351" s="457"/>
      <c r="OP351" s="457"/>
      <c r="OQ351" s="457"/>
      <c r="OR351" s="457"/>
      <c r="OS351" s="457"/>
      <c r="OT351" s="457"/>
      <c r="OU351" s="457"/>
      <c r="OV351" s="457"/>
      <c r="OW351" s="457"/>
      <c r="OX351" s="457"/>
      <c r="OY351" s="457"/>
      <c r="OZ351" s="457"/>
      <c r="PA351" s="457"/>
      <c r="PB351" s="457"/>
      <c r="PC351" s="457"/>
      <c r="PD351" s="457"/>
      <c r="PE351" s="457"/>
      <c r="PF351" s="457"/>
      <c r="PG351" s="457"/>
      <c r="PH351" s="457"/>
      <c r="PI351" s="457"/>
      <c r="PJ351" s="457"/>
      <c r="PK351" s="457"/>
      <c r="PL351" s="457"/>
      <c r="PM351" s="457"/>
      <c r="PN351" s="457"/>
      <c r="PO351" s="457"/>
      <c r="PP351" s="457"/>
      <c r="PQ351" s="457"/>
      <c r="PR351" s="457"/>
      <c r="PS351" s="457"/>
      <c r="PT351" s="457"/>
      <c r="PU351" s="457"/>
      <c r="PV351" s="457"/>
      <c r="PW351" s="457"/>
      <c r="PX351" s="457"/>
      <c r="PY351" s="457"/>
      <c r="PZ351" s="457"/>
      <c r="QA351" s="457"/>
      <c r="QB351" s="457"/>
      <c r="QC351" s="457"/>
      <c r="QD351" s="457"/>
      <c r="QE351" s="457"/>
      <c r="QF351" s="457"/>
      <c r="QG351" s="457"/>
      <c r="QH351" s="457"/>
      <c r="QI351" s="457"/>
      <c r="QJ351" s="457"/>
      <c r="QK351" s="457"/>
      <c r="QL351" s="457"/>
      <c r="QM351" s="457"/>
      <c r="QN351" s="457"/>
      <c r="QO351" s="457"/>
      <c r="QP351" s="457"/>
      <c r="QQ351" s="457"/>
      <c r="QR351" s="457"/>
      <c r="QS351" s="457"/>
      <c r="QT351" s="457"/>
      <c r="QU351" s="457"/>
      <c r="QV351" s="457"/>
      <c r="QW351" s="457"/>
      <c r="QX351" s="457"/>
      <c r="QY351" s="457"/>
      <c r="QZ351" s="457"/>
      <c r="RA351" s="457"/>
      <c r="RB351" s="457"/>
      <c r="RC351" s="457"/>
      <c r="RD351" s="457"/>
      <c r="RE351" s="457"/>
      <c r="RF351" s="457"/>
      <c r="RG351" s="457"/>
      <c r="RH351" s="457"/>
      <c r="RI351" s="457"/>
      <c r="RJ351" s="457"/>
      <c r="RK351" s="457"/>
      <c r="RL351" s="457"/>
      <c r="RM351" s="457"/>
      <c r="RN351" s="457"/>
      <c r="RO351" s="457"/>
      <c r="RP351" s="457"/>
      <c r="RQ351" s="457"/>
      <c r="RR351" s="457"/>
      <c r="RS351" s="457"/>
      <c r="RT351" s="457"/>
      <c r="RU351" s="457"/>
      <c r="RV351" s="457"/>
      <c r="RW351" s="457"/>
      <c r="RX351" s="457"/>
      <c r="RY351" s="457"/>
      <c r="RZ351" s="457"/>
      <c r="SA351" s="457"/>
      <c r="SB351" s="457"/>
      <c r="SC351" s="457"/>
      <c r="SD351" s="457"/>
      <c r="SE351" s="457"/>
      <c r="SF351" s="457"/>
      <c r="SG351" s="457"/>
      <c r="SH351" s="457"/>
      <c r="SI351" s="457"/>
      <c r="SJ351" s="457"/>
      <c r="SK351" s="457"/>
      <c r="SL351" s="457"/>
      <c r="SM351" s="457"/>
      <c r="SN351" s="457"/>
      <c r="SO351" s="457"/>
      <c r="SP351" s="457"/>
      <c r="SQ351" s="457"/>
      <c r="SR351" s="457"/>
      <c r="SS351" s="457"/>
      <c r="ST351" s="457"/>
      <c r="SU351" s="457"/>
      <c r="SV351" s="457"/>
      <c r="SW351" s="457"/>
      <c r="SX351" s="457"/>
      <c r="SY351" s="457"/>
      <c r="SZ351" s="457"/>
      <c r="TA351" s="457"/>
      <c r="TB351" s="457"/>
      <c r="TC351" s="457"/>
      <c r="TD351" s="457"/>
      <c r="TE351" s="457"/>
      <c r="TF351" s="457"/>
      <c r="TG351" s="457"/>
      <c r="TH351" s="457"/>
      <c r="TI351" s="457"/>
      <c r="TJ351" s="457"/>
      <c r="TK351" s="457"/>
      <c r="TL351" s="457"/>
      <c r="TM351" s="457"/>
      <c r="TN351" s="457"/>
      <c r="TO351" s="457"/>
      <c r="TP351" s="457"/>
      <c r="TQ351" s="457"/>
      <c r="TR351" s="457"/>
      <c r="TS351" s="457"/>
      <c r="TT351" s="457"/>
      <c r="TU351" s="457"/>
      <c r="TV351" s="457"/>
      <c r="TW351" s="457"/>
      <c r="TX351" s="457"/>
      <c r="TY351" s="457"/>
      <c r="TZ351" s="457"/>
      <c r="UA351" s="457"/>
      <c r="UB351" s="457"/>
      <c r="UC351" s="457"/>
      <c r="UD351" s="457"/>
      <c r="UE351" s="457"/>
      <c r="UF351" s="457"/>
      <c r="UG351" s="457"/>
      <c r="UH351" s="457"/>
      <c r="UI351" s="457"/>
      <c r="UJ351" s="457"/>
      <c r="UK351" s="457"/>
      <c r="UL351" s="457"/>
      <c r="UM351" s="457"/>
      <c r="UN351" s="457"/>
      <c r="UO351" s="457"/>
      <c r="UP351" s="457"/>
      <c r="UQ351" s="457"/>
      <c r="UR351" s="457"/>
      <c r="US351" s="457"/>
      <c r="UT351" s="457"/>
      <c r="UU351" s="457"/>
      <c r="UV351" s="457"/>
      <c r="UW351" s="457"/>
      <c r="UX351" s="457"/>
      <c r="UY351" s="457"/>
      <c r="UZ351" s="457"/>
      <c r="VA351" s="457"/>
      <c r="VB351" s="457"/>
      <c r="VC351" s="457"/>
      <c r="VD351" s="457"/>
      <c r="VE351" s="457"/>
      <c r="VF351" s="457"/>
      <c r="VG351" s="457"/>
      <c r="VH351" s="457"/>
      <c r="VI351" s="457"/>
      <c r="VJ351" s="457"/>
      <c r="VK351" s="457"/>
      <c r="VL351" s="457"/>
      <c r="VM351" s="457"/>
      <c r="VN351" s="457"/>
      <c r="VO351" s="457"/>
      <c r="VP351" s="457"/>
      <c r="VQ351" s="457"/>
      <c r="VR351" s="457"/>
      <c r="VS351" s="457"/>
      <c r="VT351" s="457"/>
      <c r="VU351" s="457"/>
      <c r="VV351" s="457"/>
      <c r="VW351" s="457"/>
      <c r="VX351" s="457"/>
      <c r="VY351" s="457"/>
      <c r="VZ351" s="457"/>
      <c r="WA351" s="457"/>
      <c r="WB351" s="457"/>
      <c r="WC351" s="457"/>
      <c r="WD351" s="457"/>
      <c r="WE351" s="457"/>
      <c r="WF351" s="457"/>
      <c r="WG351" s="457"/>
      <c r="WH351" s="457"/>
      <c r="WI351" s="457"/>
      <c r="WJ351" s="457"/>
      <c r="WK351" s="457"/>
      <c r="WL351" s="457"/>
      <c r="WM351" s="457"/>
      <c r="WN351" s="457"/>
      <c r="WO351" s="457"/>
      <c r="WP351" s="457"/>
      <c r="WQ351" s="457"/>
      <c r="WR351" s="457"/>
      <c r="WS351" s="457"/>
      <c r="WT351" s="457"/>
      <c r="WU351" s="457"/>
      <c r="WV351" s="457"/>
      <c r="WW351" s="457"/>
      <c r="WX351" s="457"/>
      <c r="WY351" s="457"/>
      <c r="WZ351" s="457"/>
      <c r="XA351" s="457"/>
      <c r="XB351" s="457"/>
      <c r="XC351" s="457"/>
      <c r="XD351" s="457"/>
      <c r="XE351" s="457"/>
      <c r="XF351" s="457"/>
      <c r="XG351" s="457"/>
      <c r="XH351" s="457"/>
      <c r="XI351" s="457"/>
      <c r="XJ351" s="457"/>
      <c r="XK351" s="457"/>
      <c r="XL351" s="457"/>
      <c r="XM351" s="457"/>
      <c r="XN351" s="457"/>
      <c r="XO351" s="457"/>
      <c r="XP351" s="457"/>
      <c r="XQ351" s="457"/>
      <c r="XR351" s="457"/>
      <c r="XS351" s="457"/>
      <c r="XT351" s="457"/>
      <c r="XU351" s="457"/>
      <c r="XV351" s="457"/>
      <c r="XW351" s="457"/>
      <c r="XX351" s="457"/>
      <c r="XY351" s="457"/>
      <c r="XZ351" s="457"/>
      <c r="YA351" s="457"/>
      <c r="YB351" s="457"/>
      <c r="YC351" s="457"/>
      <c r="YD351" s="457"/>
      <c r="YE351" s="457"/>
      <c r="YF351" s="457"/>
      <c r="YG351" s="457"/>
      <c r="YH351" s="457"/>
      <c r="YI351" s="457"/>
      <c r="YJ351" s="457"/>
      <c r="YK351" s="457"/>
      <c r="YL351" s="457"/>
      <c r="YM351" s="457"/>
      <c r="YN351" s="457"/>
      <c r="YO351" s="457"/>
      <c r="YP351" s="457"/>
      <c r="YQ351" s="457"/>
      <c r="YR351" s="457"/>
      <c r="YS351" s="457"/>
      <c r="YT351" s="457"/>
      <c r="YU351" s="457"/>
      <c r="YV351" s="457"/>
      <c r="YW351" s="457"/>
      <c r="YX351" s="457"/>
      <c r="YY351" s="457"/>
      <c r="YZ351" s="457"/>
      <c r="ZA351" s="457"/>
      <c r="ZB351" s="457"/>
      <c r="ZC351" s="457"/>
      <c r="ZD351" s="457"/>
      <c r="ZE351" s="457"/>
      <c r="ZF351" s="457"/>
      <c r="ZG351" s="457"/>
      <c r="ZH351" s="457"/>
      <c r="ZI351" s="457"/>
      <c r="ZJ351" s="457"/>
      <c r="ZK351" s="457"/>
      <c r="ZL351" s="457"/>
      <c r="ZM351" s="457"/>
      <c r="ZN351" s="457"/>
      <c r="ZO351" s="457"/>
      <c r="ZP351" s="457"/>
      <c r="ZQ351" s="457"/>
      <c r="ZR351" s="457"/>
      <c r="ZS351" s="457"/>
      <c r="ZT351" s="457"/>
      <c r="ZU351" s="457"/>
      <c r="ZV351" s="457"/>
      <c r="ZW351" s="457"/>
      <c r="ZX351" s="457"/>
      <c r="ZY351" s="457"/>
      <c r="ZZ351" s="457"/>
      <c r="AAA351" s="457"/>
      <c r="AAB351" s="457"/>
      <c r="AAC351" s="457"/>
      <c r="AAD351" s="457"/>
      <c r="AAE351" s="457"/>
      <c r="AAF351" s="457"/>
      <c r="AAG351" s="457"/>
      <c r="AAH351" s="457"/>
      <c r="AAI351" s="457"/>
      <c r="AAJ351" s="457"/>
      <c r="AAK351" s="457"/>
      <c r="AAL351" s="457"/>
      <c r="AAM351" s="457"/>
      <c r="AAN351" s="457"/>
      <c r="AAO351" s="457"/>
      <c r="AAP351" s="457"/>
      <c r="AAQ351" s="457"/>
      <c r="AAR351" s="457"/>
      <c r="AAS351" s="457"/>
      <c r="AAT351" s="457"/>
      <c r="AAU351" s="457"/>
      <c r="AAV351" s="457"/>
      <c r="AAW351" s="457"/>
      <c r="AAX351" s="457"/>
      <c r="AAY351" s="457"/>
      <c r="AAZ351" s="457"/>
      <c r="ABA351" s="457"/>
      <c r="ABB351" s="457"/>
      <c r="ABC351" s="457"/>
      <c r="ABD351" s="457"/>
      <c r="ABE351" s="457"/>
      <c r="ABF351" s="457"/>
      <c r="ABG351" s="457"/>
      <c r="ABH351" s="457"/>
      <c r="ABI351" s="457"/>
      <c r="ABJ351" s="457"/>
      <c r="ABK351" s="457"/>
      <c r="ABL351" s="457"/>
      <c r="ABM351" s="457"/>
      <c r="ABN351" s="457"/>
      <c r="ABO351" s="457"/>
      <c r="ABP351" s="457"/>
      <c r="ABQ351" s="457"/>
      <c r="ABR351" s="457"/>
      <c r="ABS351" s="457"/>
      <c r="ABT351" s="457"/>
      <c r="ABU351" s="457"/>
      <c r="ABV351" s="457"/>
      <c r="ABW351" s="457"/>
      <c r="ABX351" s="457"/>
      <c r="ABY351" s="457"/>
      <c r="ABZ351" s="457"/>
      <c r="ACA351" s="457"/>
      <c r="ACB351" s="457"/>
      <c r="ACC351" s="457"/>
      <c r="ACD351" s="457"/>
      <c r="ACE351" s="457"/>
      <c r="ACF351" s="457"/>
      <c r="ACG351" s="457"/>
      <c r="ACH351" s="457"/>
      <c r="ACI351" s="457"/>
      <c r="ACJ351" s="457"/>
      <c r="ACK351" s="457"/>
      <c r="ACL351" s="457"/>
      <c r="ACM351" s="457"/>
      <c r="ACN351" s="457"/>
      <c r="ACO351" s="457"/>
      <c r="ACP351" s="457"/>
      <c r="ACQ351" s="457"/>
      <c r="ACR351" s="457"/>
      <c r="ACS351" s="457"/>
      <c r="ACT351" s="457"/>
      <c r="ACU351" s="457"/>
      <c r="ACV351" s="457"/>
    </row>
    <row r="352" spans="1:776" s="400" customFormat="1" x14ac:dyDescent="0.25">
      <c r="A352" s="470">
        <v>900065</v>
      </c>
      <c r="B352" s="447" t="str">
        <f t="shared" si="11"/>
        <v>-9,24/+9,64  (EC  8)</v>
      </c>
      <c r="C352" s="455"/>
      <c r="D352" s="454">
        <v>7.36</v>
      </c>
      <c r="E352" s="454">
        <v>0.8</v>
      </c>
      <c r="F352" s="458">
        <v>54.72</v>
      </c>
      <c r="G352" s="454">
        <v>0.01</v>
      </c>
      <c r="H352" s="454">
        <v>0.04</v>
      </c>
      <c r="I352" s="456">
        <v>13.03</v>
      </c>
      <c r="J352" s="454">
        <v>20.9</v>
      </c>
      <c r="K352" s="454">
        <f>0.02*3.06</f>
        <v>6.1200000000000004E-2</v>
      </c>
      <c r="L352" s="454">
        <f>(19.3-0.1)*24</f>
        <v>460.79999999999995</v>
      </c>
      <c r="M352" s="454">
        <v>0.01</v>
      </c>
      <c r="N352" s="454">
        <v>0.38</v>
      </c>
      <c r="O352" s="454">
        <v>3.19</v>
      </c>
      <c r="P352" s="454">
        <v>97.75</v>
      </c>
      <c r="Q352" s="454">
        <v>55.22</v>
      </c>
      <c r="R352" s="454">
        <v>0.18</v>
      </c>
      <c r="S352" s="454">
        <v>1.0000000000000001E-5</v>
      </c>
      <c r="T352" s="454">
        <v>1.0000000000000001E-5</v>
      </c>
      <c r="U352" s="454">
        <v>0.09</v>
      </c>
      <c r="V352" s="454"/>
      <c r="W352" s="457"/>
      <c r="X352" s="457"/>
      <c r="Y352" s="457"/>
      <c r="Z352" s="457"/>
      <c r="AA352" s="457"/>
      <c r="AB352" s="457"/>
      <c r="AC352" s="457"/>
      <c r="AD352" s="457"/>
      <c r="AE352" s="457"/>
      <c r="AF352" s="457"/>
      <c r="AG352" s="457"/>
      <c r="AH352" s="457"/>
      <c r="AI352" s="457"/>
      <c r="AJ352" s="457"/>
      <c r="AK352" s="457"/>
      <c r="AL352" s="457"/>
      <c r="AM352" s="457"/>
      <c r="AN352" s="457"/>
      <c r="AO352" s="457"/>
      <c r="AP352" s="457"/>
      <c r="AQ352" s="457"/>
      <c r="AR352" s="457"/>
      <c r="AS352" s="457"/>
      <c r="AT352" s="457"/>
      <c r="AU352" s="457"/>
      <c r="AV352" s="457"/>
      <c r="AW352" s="457"/>
      <c r="AX352" s="457"/>
      <c r="AY352" s="457"/>
      <c r="AZ352" s="457"/>
      <c r="BA352" s="457"/>
      <c r="BB352" s="457"/>
      <c r="BC352" s="457"/>
      <c r="BD352" s="457"/>
      <c r="BE352" s="457"/>
      <c r="BF352" s="457"/>
      <c r="BG352" s="457"/>
      <c r="BH352" s="457"/>
      <c r="BI352" s="457"/>
      <c r="BJ352" s="457"/>
      <c r="BK352" s="457"/>
      <c r="BL352" s="457"/>
      <c r="BM352" s="457"/>
      <c r="BN352" s="457"/>
      <c r="BO352" s="457"/>
      <c r="BP352" s="457"/>
      <c r="BQ352" s="457"/>
      <c r="BR352" s="457"/>
      <c r="BS352" s="457"/>
      <c r="BT352" s="457"/>
      <c r="BU352" s="457"/>
      <c r="BV352" s="457"/>
      <c r="BW352" s="457"/>
      <c r="BX352" s="457"/>
      <c r="BY352" s="457"/>
      <c r="BZ352" s="457"/>
      <c r="CA352" s="457"/>
      <c r="CB352" s="457"/>
      <c r="CC352" s="457"/>
      <c r="CD352" s="457"/>
      <c r="CE352" s="457"/>
      <c r="CF352" s="457"/>
      <c r="CG352" s="457"/>
      <c r="CH352" s="457"/>
      <c r="CI352" s="457"/>
      <c r="CJ352" s="457"/>
      <c r="CK352" s="457"/>
      <c r="CL352" s="457"/>
      <c r="CM352" s="457"/>
      <c r="CN352" s="457"/>
      <c r="CO352" s="457"/>
      <c r="CP352" s="457"/>
      <c r="CQ352" s="457"/>
      <c r="CR352" s="457"/>
      <c r="CS352" s="457"/>
      <c r="CT352" s="457"/>
      <c r="CU352" s="457"/>
      <c r="CV352" s="457"/>
      <c r="CW352" s="457"/>
      <c r="CX352" s="457"/>
      <c r="CY352" s="457"/>
      <c r="CZ352" s="457"/>
      <c r="DA352" s="457"/>
      <c r="DB352" s="457"/>
      <c r="DC352" s="457"/>
      <c r="DD352" s="457"/>
      <c r="DE352" s="457"/>
      <c r="DF352" s="457"/>
      <c r="DG352" s="457"/>
      <c r="DH352" s="457"/>
      <c r="DI352" s="457"/>
      <c r="DJ352" s="457"/>
      <c r="DK352" s="457"/>
      <c r="DL352" s="457"/>
      <c r="DM352" s="457"/>
      <c r="DN352" s="457"/>
      <c r="DO352" s="457"/>
      <c r="DP352" s="457"/>
      <c r="DQ352" s="457"/>
      <c r="DR352" s="457"/>
      <c r="DS352" s="457"/>
      <c r="DT352" s="457"/>
      <c r="DU352" s="457"/>
      <c r="DV352" s="457"/>
      <c r="DW352" s="457"/>
      <c r="DX352" s="457"/>
      <c r="DY352" s="457"/>
      <c r="DZ352" s="457"/>
      <c r="EA352" s="457"/>
      <c r="EB352" s="457"/>
      <c r="EC352" s="457"/>
      <c r="ED352" s="457"/>
      <c r="EE352" s="457"/>
      <c r="EF352" s="457"/>
      <c r="EG352" s="457"/>
      <c r="EH352" s="457"/>
      <c r="EI352" s="457"/>
      <c r="EJ352" s="457"/>
      <c r="EK352" s="457"/>
      <c r="EL352" s="457"/>
      <c r="EM352" s="457"/>
      <c r="EN352" s="457"/>
      <c r="EO352" s="457"/>
      <c r="EP352" s="457"/>
      <c r="EQ352" s="457"/>
      <c r="ER352" s="457"/>
      <c r="ES352" s="457"/>
      <c r="ET352" s="457"/>
      <c r="EU352" s="457"/>
      <c r="EV352" s="457"/>
      <c r="EW352" s="457"/>
      <c r="EX352" s="457"/>
      <c r="EY352" s="457"/>
      <c r="EZ352" s="457"/>
      <c r="FA352" s="457"/>
      <c r="FB352" s="457"/>
      <c r="FC352" s="457"/>
      <c r="FD352" s="457"/>
      <c r="FE352" s="457"/>
      <c r="FF352" s="457"/>
      <c r="FG352" s="457"/>
      <c r="FH352" s="457"/>
      <c r="FI352" s="457"/>
      <c r="FJ352" s="457"/>
      <c r="FK352" s="457"/>
      <c r="FL352" s="457"/>
      <c r="FM352" s="457"/>
      <c r="FN352" s="457"/>
      <c r="FO352" s="457"/>
      <c r="FP352" s="457"/>
      <c r="FQ352" s="457"/>
      <c r="FR352" s="457"/>
      <c r="FS352" s="457"/>
      <c r="FT352" s="457"/>
      <c r="FU352" s="457"/>
      <c r="FV352" s="457"/>
      <c r="FW352" s="457"/>
      <c r="FX352" s="457"/>
      <c r="FY352" s="457"/>
      <c r="FZ352" s="457"/>
      <c r="GA352" s="457"/>
      <c r="GB352" s="457"/>
      <c r="GC352" s="457"/>
      <c r="GD352" s="457"/>
      <c r="GE352" s="457"/>
      <c r="GF352" s="457"/>
      <c r="GG352" s="457"/>
      <c r="GH352" s="457"/>
      <c r="GI352" s="457"/>
      <c r="GJ352" s="457"/>
      <c r="GK352" s="457"/>
      <c r="GL352" s="457"/>
      <c r="GM352" s="457"/>
      <c r="GN352" s="457"/>
      <c r="GO352" s="457"/>
      <c r="GP352" s="457"/>
      <c r="GQ352" s="457"/>
      <c r="GR352" s="457"/>
      <c r="GS352" s="457"/>
      <c r="GT352" s="457"/>
      <c r="GU352" s="457"/>
      <c r="GV352" s="457"/>
      <c r="GW352" s="457"/>
      <c r="GX352" s="457"/>
      <c r="GY352" s="457"/>
      <c r="GZ352" s="457"/>
      <c r="HA352" s="457"/>
      <c r="HB352" s="457"/>
      <c r="HC352" s="457"/>
      <c r="HD352" s="457"/>
      <c r="HE352" s="457"/>
      <c r="HF352" s="457"/>
      <c r="HG352" s="457"/>
      <c r="HH352" s="457"/>
      <c r="HI352" s="457"/>
      <c r="HJ352" s="457"/>
      <c r="HK352" s="457"/>
      <c r="HL352" s="457"/>
      <c r="HM352" s="457"/>
      <c r="HN352" s="457"/>
      <c r="HO352" s="457"/>
      <c r="HP352" s="457"/>
      <c r="HQ352" s="457"/>
      <c r="HR352" s="457"/>
      <c r="HS352" s="457"/>
      <c r="HT352" s="457"/>
      <c r="HU352" s="457"/>
      <c r="HV352" s="457"/>
      <c r="HW352" s="457"/>
      <c r="HX352" s="457"/>
      <c r="HY352" s="457"/>
      <c r="HZ352" s="457"/>
      <c r="IA352" s="457"/>
      <c r="IB352" s="457"/>
      <c r="IC352" s="457"/>
      <c r="ID352" s="457"/>
      <c r="IE352" s="457"/>
      <c r="IF352" s="457"/>
      <c r="IG352" s="457"/>
      <c r="IH352" s="457"/>
      <c r="II352" s="457"/>
      <c r="IJ352" s="457"/>
      <c r="IK352" s="457"/>
      <c r="IL352" s="457"/>
      <c r="IM352" s="457"/>
      <c r="IN352" s="457"/>
      <c r="IO352" s="457"/>
      <c r="IP352" s="457"/>
      <c r="IQ352" s="457"/>
      <c r="IR352" s="457"/>
      <c r="IS352" s="457"/>
      <c r="IT352" s="457"/>
      <c r="IU352" s="457"/>
      <c r="IV352" s="457"/>
      <c r="IW352" s="457"/>
      <c r="IX352" s="457"/>
      <c r="IY352" s="457"/>
      <c r="IZ352" s="457"/>
      <c r="JA352" s="457"/>
      <c r="JB352" s="457"/>
      <c r="JC352" s="457"/>
      <c r="JD352" s="457"/>
      <c r="JE352" s="457"/>
      <c r="JF352" s="457"/>
      <c r="JG352" s="457"/>
      <c r="JH352" s="457"/>
      <c r="JI352" s="457"/>
      <c r="JJ352" s="457"/>
      <c r="JK352" s="457"/>
      <c r="JL352" s="457"/>
      <c r="JM352" s="457"/>
      <c r="JN352" s="457"/>
      <c r="JO352" s="457"/>
      <c r="JP352" s="457"/>
      <c r="JQ352" s="457"/>
      <c r="JR352" s="457"/>
      <c r="JS352" s="457"/>
      <c r="JT352" s="457"/>
      <c r="JU352" s="457"/>
      <c r="JV352" s="457"/>
      <c r="JW352" s="457"/>
      <c r="JX352" s="457"/>
      <c r="JY352" s="457"/>
      <c r="JZ352" s="457"/>
      <c r="KA352" s="457"/>
      <c r="KB352" s="457"/>
      <c r="KC352" s="457"/>
      <c r="KD352" s="457"/>
      <c r="KE352" s="457"/>
      <c r="KF352" s="457"/>
      <c r="KG352" s="457"/>
      <c r="KH352" s="457"/>
      <c r="KI352" s="457"/>
      <c r="KJ352" s="457"/>
      <c r="KK352" s="457"/>
      <c r="KL352" s="457"/>
      <c r="KM352" s="457"/>
      <c r="KN352" s="457"/>
      <c r="KO352" s="457"/>
      <c r="KP352" s="457"/>
      <c r="KQ352" s="457"/>
      <c r="KR352" s="457"/>
      <c r="KS352" s="457"/>
      <c r="KT352" s="457"/>
      <c r="KU352" s="457"/>
      <c r="KV352" s="457"/>
      <c r="KW352" s="457"/>
      <c r="KX352" s="457"/>
      <c r="KY352" s="457"/>
      <c r="KZ352" s="457"/>
      <c r="LA352" s="457"/>
      <c r="LB352" s="457"/>
      <c r="LC352" s="457"/>
      <c r="LD352" s="457"/>
      <c r="LE352" s="457"/>
      <c r="LF352" s="457"/>
      <c r="LG352" s="457"/>
      <c r="LH352" s="457"/>
      <c r="LI352" s="457"/>
      <c r="LJ352" s="457"/>
      <c r="LK352" s="457"/>
      <c r="LL352" s="457"/>
      <c r="LM352" s="457"/>
      <c r="LN352" s="457"/>
      <c r="LO352" s="457"/>
      <c r="LP352" s="457"/>
      <c r="LQ352" s="457"/>
      <c r="LR352" s="457"/>
      <c r="LS352" s="457"/>
      <c r="LT352" s="457"/>
      <c r="LU352" s="457"/>
      <c r="LV352" s="457"/>
      <c r="LW352" s="457"/>
      <c r="LX352" s="457"/>
      <c r="LY352" s="457"/>
      <c r="LZ352" s="457"/>
      <c r="MA352" s="457"/>
      <c r="MB352" s="457"/>
      <c r="MC352" s="457"/>
      <c r="MD352" s="457"/>
      <c r="ME352" s="457"/>
      <c r="MF352" s="457"/>
      <c r="MG352" s="457"/>
      <c r="MH352" s="457"/>
      <c r="MI352" s="457"/>
      <c r="MJ352" s="457"/>
      <c r="MK352" s="457"/>
      <c r="ML352" s="457"/>
      <c r="MM352" s="457"/>
      <c r="MN352" s="457"/>
      <c r="MO352" s="457"/>
      <c r="MP352" s="457"/>
      <c r="MQ352" s="457"/>
      <c r="MR352" s="457"/>
      <c r="MS352" s="457"/>
      <c r="MT352" s="457"/>
      <c r="MU352" s="457"/>
      <c r="MV352" s="457"/>
      <c r="MW352" s="457"/>
      <c r="MX352" s="457"/>
      <c r="MY352" s="457"/>
      <c r="MZ352" s="457"/>
      <c r="NA352" s="457"/>
      <c r="NB352" s="457"/>
      <c r="NC352" s="457"/>
      <c r="ND352" s="457"/>
      <c r="NE352" s="457"/>
      <c r="NF352" s="457"/>
      <c r="NG352" s="457"/>
      <c r="NH352" s="457"/>
      <c r="NI352" s="457"/>
      <c r="NJ352" s="457"/>
      <c r="NK352" s="457"/>
      <c r="NL352" s="457"/>
      <c r="NM352" s="457"/>
      <c r="NN352" s="457"/>
      <c r="NO352" s="457"/>
      <c r="NP352" s="457"/>
      <c r="NQ352" s="457"/>
      <c r="NR352" s="457"/>
      <c r="NS352" s="457"/>
      <c r="NT352" s="457"/>
      <c r="NU352" s="457"/>
      <c r="NV352" s="457"/>
      <c r="NW352" s="457"/>
      <c r="NX352" s="457"/>
      <c r="NY352" s="457"/>
      <c r="NZ352" s="457"/>
      <c r="OA352" s="457"/>
      <c r="OB352" s="457"/>
      <c r="OC352" s="457"/>
      <c r="OD352" s="457"/>
      <c r="OE352" s="457"/>
      <c r="OF352" s="457"/>
      <c r="OG352" s="457"/>
      <c r="OH352" s="457"/>
      <c r="OI352" s="457"/>
      <c r="OJ352" s="457"/>
      <c r="OK352" s="457"/>
      <c r="OL352" s="457"/>
      <c r="OM352" s="457"/>
      <c r="ON352" s="457"/>
      <c r="OO352" s="457"/>
      <c r="OP352" s="457"/>
      <c r="OQ352" s="457"/>
      <c r="OR352" s="457"/>
      <c r="OS352" s="457"/>
      <c r="OT352" s="457"/>
      <c r="OU352" s="457"/>
      <c r="OV352" s="457"/>
      <c r="OW352" s="457"/>
      <c r="OX352" s="457"/>
      <c r="OY352" s="457"/>
      <c r="OZ352" s="457"/>
      <c r="PA352" s="457"/>
      <c r="PB352" s="457"/>
      <c r="PC352" s="457"/>
      <c r="PD352" s="457"/>
      <c r="PE352" s="457"/>
      <c r="PF352" s="457"/>
      <c r="PG352" s="457"/>
      <c r="PH352" s="457"/>
      <c r="PI352" s="457"/>
      <c r="PJ352" s="457"/>
      <c r="PK352" s="457"/>
      <c r="PL352" s="457"/>
      <c r="PM352" s="457"/>
      <c r="PN352" s="457"/>
      <c r="PO352" s="457"/>
      <c r="PP352" s="457"/>
      <c r="PQ352" s="457"/>
      <c r="PR352" s="457"/>
      <c r="PS352" s="457"/>
      <c r="PT352" s="457"/>
      <c r="PU352" s="457"/>
      <c r="PV352" s="457"/>
      <c r="PW352" s="457"/>
      <c r="PX352" s="457"/>
      <c r="PY352" s="457"/>
      <c r="PZ352" s="457"/>
      <c r="QA352" s="457"/>
      <c r="QB352" s="457"/>
      <c r="QC352" s="457"/>
      <c r="QD352" s="457"/>
      <c r="QE352" s="457"/>
      <c r="QF352" s="457"/>
      <c r="QG352" s="457"/>
      <c r="QH352" s="457"/>
      <c r="QI352" s="457"/>
      <c r="QJ352" s="457"/>
      <c r="QK352" s="457"/>
      <c r="QL352" s="457"/>
      <c r="QM352" s="457"/>
      <c r="QN352" s="457"/>
      <c r="QO352" s="457"/>
      <c r="QP352" s="457"/>
      <c r="QQ352" s="457"/>
      <c r="QR352" s="457"/>
      <c r="QS352" s="457"/>
      <c r="QT352" s="457"/>
      <c r="QU352" s="457"/>
      <c r="QV352" s="457"/>
      <c r="QW352" s="457"/>
      <c r="QX352" s="457"/>
      <c r="QY352" s="457"/>
      <c r="QZ352" s="457"/>
      <c r="RA352" s="457"/>
      <c r="RB352" s="457"/>
      <c r="RC352" s="457"/>
      <c r="RD352" s="457"/>
      <c r="RE352" s="457"/>
      <c r="RF352" s="457"/>
      <c r="RG352" s="457"/>
      <c r="RH352" s="457"/>
      <c r="RI352" s="457"/>
      <c r="RJ352" s="457"/>
      <c r="RK352" s="457"/>
      <c r="RL352" s="457"/>
      <c r="RM352" s="457"/>
      <c r="RN352" s="457"/>
      <c r="RO352" s="457"/>
      <c r="RP352" s="457"/>
      <c r="RQ352" s="457"/>
      <c r="RR352" s="457"/>
      <c r="RS352" s="457"/>
      <c r="RT352" s="457"/>
      <c r="RU352" s="457"/>
      <c r="RV352" s="457"/>
      <c r="RW352" s="457"/>
      <c r="RX352" s="457"/>
      <c r="RY352" s="457"/>
      <c r="RZ352" s="457"/>
      <c r="SA352" s="457"/>
      <c r="SB352" s="457"/>
      <c r="SC352" s="457"/>
      <c r="SD352" s="457"/>
      <c r="SE352" s="457"/>
      <c r="SF352" s="457"/>
      <c r="SG352" s="457"/>
      <c r="SH352" s="457"/>
      <c r="SI352" s="457"/>
      <c r="SJ352" s="457"/>
      <c r="SK352" s="457"/>
      <c r="SL352" s="457"/>
      <c r="SM352" s="457"/>
      <c r="SN352" s="457"/>
      <c r="SO352" s="457"/>
      <c r="SP352" s="457"/>
      <c r="SQ352" s="457"/>
      <c r="SR352" s="457"/>
      <c r="SS352" s="457"/>
      <c r="ST352" s="457"/>
      <c r="SU352" s="457"/>
      <c r="SV352" s="457"/>
      <c r="SW352" s="457"/>
      <c r="SX352" s="457"/>
      <c r="SY352" s="457"/>
      <c r="SZ352" s="457"/>
      <c r="TA352" s="457"/>
      <c r="TB352" s="457"/>
      <c r="TC352" s="457"/>
      <c r="TD352" s="457"/>
      <c r="TE352" s="457"/>
      <c r="TF352" s="457"/>
      <c r="TG352" s="457"/>
      <c r="TH352" s="457"/>
      <c r="TI352" s="457"/>
      <c r="TJ352" s="457"/>
      <c r="TK352" s="457"/>
      <c r="TL352" s="457"/>
      <c r="TM352" s="457"/>
      <c r="TN352" s="457"/>
      <c r="TO352" s="457"/>
      <c r="TP352" s="457"/>
      <c r="TQ352" s="457"/>
      <c r="TR352" s="457"/>
      <c r="TS352" s="457"/>
      <c r="TT352" s="457"/>
      <c r="TU352" s="457"/>
      <c r="TV352" s="457"/>
      <c r="TW352" s="457"/>
      <c r="TX352" s="457"/>
      <c r="TY352" s="457"/>
      <c r="TZ352" s="457"/>
      <c r="UA352" s="457"/>
      <c r="UB352" s="457"/>
      <c r="UC352" s="457"/>
      <c r="UD352" s="457"/>
      <c r="UE352" s="457"/>
      <c r="UF352" s="457"/>
      <c r="UG352" s="457"/>
      <c r="UH352" s="457"/>
      <c r="UI352" s="457"/>
      <c r="UJ352" s="457"/>
      <c r="UK352" s="457"/>
      <c r="UL352" s="457"/>
      <c r="UM352" s="457"/>
      <c r="UN352" s="457"/>
      <c r="UO352" s="457"/>
      <c r="UP352" s="457"/>
      <c r="UQ352" s="457"/>
      <c r="UR352" s="457"/>
      <c r="US352" s="457"/>
      <c r="UT352" s="457"/>
      <c r="UU352" s="457"/>
      <c r="UV352" s="457"/>
      <c r="UW352" s="457"/>
      <c r="UX352" s="457"/>
      <c r="UY352" s="457"/>
      <c r="UZ352" s="457"/>
      <c r="VA352" s="457"/>
      <c r="VB352" s="457"/>
      <c r="VC352" s="457"/>
      <c r="VD352" s="457"/>
      <c r="VE352" s="457"/>
      <c r="VF352" s="457"/>
      <c r="VG352" s="457"/>
      <c r="VH352" s="457"/>
      <c r="VI352" s="457"/>
      <c r="VJ352" s="457"/>
      <c r="VK352" s="457"/>
      <c r="VL352" s="457"/>
      <c r="VM352" s="457"/>
      <c r="VN352" s="457"/>
      <c r="VO352" s="457"/>
      <c r="VP352" s="457"/>
      <c r="VQ352" s="457"/>
      <c r="VR352" s="457"/>
      <c r="VS352" s="457"/>
      <c r="VT352" s="457"/>
      <c r="VU352" s="457"/>
      <c r="VV352" s="457"/>
      <c r="VW352" s="457"/>
      <c r="VX352" s="457"/>
      <c r="VY352" s="457"/>
      <c r="VZ352" s="457"/>
      <c r="WA352" s="457"/>
      <c r="WB352" s="457"/>
      <c r="WC352" s="457"/>
      <c r="WD352" s="457"/>
      <c r="WE352" s="457"/>
      <c r="WF352" s="457"/>
      <c r="WG352" s="457"/>
      <c r="WH352" s="457"/>
      <c r="WI352" s="457"/>
      <c r="WJ352" s="457"/>
      <c r="WK352" s="457"/>
      <c r="WL352" s="457"/>
      <c r="WM352" s="457"/>
      <c r="WN352" s="457"/>
      <c r="WO352" s="457"/>
      <c r="WP352" s="457"/>
      <c r="WQ352" s="457"/>
      <c r="WR352" s="457"/>
      <c r="WS352" s="457"/>
      <c r="WT352" s="457"/>
      <c r="WU352" s="457"/>
      <c r="WV352" s="457"/>
      <c r="WW352" s="457"/>
      <c r="WX352" s="457"/>
      <c r="WY352" s="457"/>
      <c r="WZ352" s="457"/>
      <c r="XA352" s="457"/>
      <c r="XB352" s="457"/>
      <c r="XC352" s="457"/>
      <c r="XD352" s="457"/>
      <c r="XE352" s="457"/>
      <c r="XF352" s="457"/>
      <c r="XG352" s="457"/>
      <c r="XH352" s="457"/>
      <c r="XI352" s="457"/>
      <c r="XJ352" s="457"/>
      <c r="XK352" s="457"/>
      <c r="XL352" s="457"/>
      <c r="XM352" s="457"/>
      <c r="XN352" s="457"/>
      <c r="XO352" s="457"/>
      <c r="XP352" s="457"/>
      <c r="XQ352" s="457"/>
      <c r="XR352" s="457"/>
      <c r="XS352" s="457"/>
      <c r="XT352" s="457"/>
      <c r="XU352" s="457"/>
      <c r="XV352" s="457"/>
      <c r="XW352" s="457"/>
      <c r="XX352" s="457"/>
      <c r="XY352" s="457"/>
      <c r="XZ352" s="457"/>
      <c r="YA352" s="457"/>
      <c r="YB352" s="457"/>
      <c r="YC352" s="457"/>
      <c r="YD352" s="457"/>
      <c r="YE352" s="457"/>
      <c r="YF352" s="457"/>
      <c r="YG352" s="457"/>
      <c r="YH352" s="457"/>
      <c r="YI352" s="457"/>
      <c r="YJ352" s="457"/>
      <c r="YK352" s="457"/>
      <c r="YL352" s="457"/>
      <c r="YM352" s="457"/>
      <c r="YN352" s="457"/>
      <c r="YO352" s="457"/>
      <c r="YP352" s="457"/>
      <c r="YQ352" s="457"/>
      <c r="YR352" s="457"/>
      <c r="YS352" s="457"/>
      <c r="YT352" s="457"/>
      <c r="YU352" s="457"/>
      <c r="YV352" s="457"/>
      <c r="YW352" s="457"/>
      <c r="YX352" s="457"/>
      <c r="YY352" s="457"/>
      <c r="YZ352" s="457"/>
      <c r="ZA352" s="457"/>
      <c r="ZB352" s="457"/>
      <c r="ZC352" s="457"/>
      <c r="ZD352" s="457"/>
      <c r="ZE352" s="457"/>
      <c r="ZF352" s="457"/>
      <c r="ZG352" s="457"/>
      <c r="ZH352" s="457"/>
      <c r="ZI352" s="457"/>
      <c r="ZJ352" s="457"/>
      <c r="ZK352" s="457"/>
      <c r="ZL352" s="457"/>
      <c r="ZM352" s="457"/>
      <c r="ZN352" s="457"/>
      <c r="ZO352" s="457"/>
      <c r="ZP352" s="457"/>
      <c r="ZQ352" s="457"/>
      <c r="ZR352" s="457"/>
      <c r="ZS352" s="457"/>
      <c r="ZT352" s="457"/>
      <c r="ZU352" s="457"/>
      <c r="ZV352" s="457"/>
      <c r="ZW352" s="457"/>
      <c r="ZX352" s="457"/>
      <c r="ZY352" s="457"/>
      <c r="ZZ352" s="457"/>
      <c r="AAA352" s="457"/>
      <c r="AAB352" s="457"/>
      <c r="AAC352" s="457"/>
      <c r="AAD352" s="457"/>
      <c r="AAE352" s="457"/>
      <c r="AAF352" s="457"/>
      <c r="AAG352" s="457"/>
      <c r="AAH352" s="457"/>
      <c r="AAI352" s="457"/>
      <c r="AAJ352" s="457"/>
      <c r="AAK352" s="457"/>
      <c r="AAL352" s="457"/>
      <c r="AAM352" s="457"/>
      <c r="AAN352" s="457"/>
      <c r="AAO352" s="457"/>
      <c r="AAP352" s="457"/>
      <c r="AAQ352" s="457"/>
      <c r="AAR352" s="457"/>
      <c r="AAS352" s="457"/>
      <c r="AAT352" s="457"/>
      <c r="AAU352" s="457"/>
      <c r="AAV352" s="457"/>
      <c r="AAW352" s="457"/>
      <c r="AAX352" s="457"/>
      <c r="AAY352" s="457"/>
      <c r="AAZ352" s="457"/>
      <c r="ABA352" s="457"/>
      <c r="ABB352" s="457"/>
      <c r="ABC352" s="457"/>
      <c r="ABD352" s="457"/>
      <c r="ABE352" s="457"/>
      <c r="ABF352" s="457"/>
      <c r="ABG352" s="457"/>
      <c r="ABH352" s="457"/>
      <c r="ABI352" s="457"/>
      <c r="ABJ352" s="457"/>
      <c r="ABK352" s="457"/>
      <c r="ABL352" s="457"/>
      <c r="ABM352" s="457"/>
      <c r="ABN352" s="457"/>
      <c r="ABO352" s="457"/>
      <c r="ABP352" s="457"/>
      <c r="ABQ352" s="457"/>
      <c r="ABR352" s="457"/>
      <c r="ABS352" s="457"/>
      <c r="ABT352" s="457"/>
      <c r="ABU352" s="457"/>
      <c r="ABV352" s="457"/>
      <c r="ABW352" s="457"/>
      <c r="ABX352" s="457"/>
      <c r="ABY352" s="457"/>
      <c r="ABZ352" s="457"/>
      <c r="ACA352" s="457"/>
      <c r="ACB352" s="457"/>
      <c r="ACC352" s="457"/>
      <c r="ACD352" s="457"/>
      <c r="ACE352" s="457"/>
      <c r="ACF352" s="457"/>
      <c r="ACG352" s="457"/>
      <c r="ACH352" s="457"/>
      <c r="ACI352" s="457"/>
      <c r="ACJ352" s="457"/>
      <c r="ACK352" s="457"/>
      <c r="ACL352" s="457"/>
      <c r="ACM352" s="457"/>
      <c r="ACN352" s="457"/>
      <c r="ACO352" s="457"/>
      <c r="ACP352" s="457"/>
      <c r="ACQ352" s="457"/>
      <c r="ACR352" s="457"/>
      <c r="ACS352" s="457"/>
      <c r="ACT352" s="457"/>
      <c r="ACU352" s="457"/>
      <c r="ACV352" s="457"/>
    </row>
    <row r="353" spans="1:776" s="400" customFormat="1" x14ac:dyDescent="0.25">
      <c r="A353" s="470">
        <v>900066</v>
      </c>
      <c r="B353" s="447" t="str">
        <f t="shared" si="11"/>
        <v>-195,42/+0,00  (EC  207,2)</v>
      </c>
      <c r="C353" s="455">
        <v>16</v>
      </c>
      <c r="D353" s="454">
        <v>7.44</v>
      </c>
      <c r="E353" s="454">
        <v>20.72</v>
      </c>
      <c r="F353" s="458">
        <v>4.84</v>
      </c>
      <c r="G353" s="454">
        <v>0.01</v>
      </c>
      <c r="H353" s="454"/>
      <c r="I353" s="456">
        <f>306.22*20</f>
        <v>6124.4000000000005</v>
      </c>
      <c r="J353" s="454">
        <f>219.1*5</f>
        <v>1095.5</v>
      </c>
      <c r="K353" s="454"/>
      <c r="L353" s="454"/>
      <c r="M353" s="454">
        <v>0.01</v>
      </c>
      <c r="N353" s="454"/>
      <c r="O353" s="454"/>
      <c r="P353" s="454"/>
      <c r="Q353" s="454"/>
      <c r="R353" s="454"/>
      <c r="S353" s="454">
        <v>1.0000000000000001E-5</v>
      </c>
      <c r="T353" s="454">
        <v>1.0000000000000001E-5</v>
      </c>
      <c r="U353" s="454">
        <v>0.02</v>
      </c>
      <c r="V353" s="454">
        <v>1.99</v>
      </c>
      <c r="W353" s="457">
        <v>1.0000000000000001E-5</v>
      </c>
      <c r="X353" s="457">
        <v>0.02</v>
      </c>
      <c r="Y353" s="457">
        <v>9.9999999999999995E-7</v>
      </c>
      <c r="Z353" s="457">
        <v>1E-4</v>
      </c>
      <c r="AA353" s="457">
        <v>1E-4</v>
      </c>
      <c r="AB353" s="457">
        <v>0.04</v>
      </c>
      <c r="AC353" s="457">
        <v>0.05</v>
      </c>
      <c r="AD353" s="457">
        <v>341.51</v>
      </c>
      <c r="AE353" s="457">
        <v>0.42899999999999999</v>
      </c>
      <c r="AF353" s="457"/>
      <c r="AG353" s="457"/>
      <c r="AH353" s="457"/>
      <c r="AI353" s="457"/>
      <c r="AJ353" s="457"/>
      <c r="AK353" s="457"/>
      <c r="AL353" s="457"/>
      <c r="AM353" s="457"/>
      <c r="AN353" s="457"/>
      <c r="AO353" s="457"/>
      <c r="AP353" s="457"/>
      <c r="AQ353" s="457"/>
      <c r="AR353" s="457"/>
      <c r="AS353" s="457"/>
      <c r="AT353" s="457"/>
      <c r="AU353" s="457"/>
      <c r="AV353" s="457"/>
      <c r="AW353" s="457"/>
      <c r="AX353" s="457"/>
      <c r="AY353" s="457"/>
      <c r="AZ353" s="457"/>
      <c r="BA353" s="457"/>
      <c r="BB353" s="457"/>
      <c r="BC353" s="457"/>
      <c r="BD353" s="457"/>
      <c r="BE353" s="457"/>
      <c r="BF353" s="457"/>
      <c r="BG353" s="457"/>
      <c r="BH353" s="457"/>
      <c r="BI353" s="457"/>
      <c r="BJ353" s="457"/>
      <c r="BK353" s="457"/>
      <c r="BL353" s="457"/>
      <c r="BM353" s="457"/>
      <c r="BN353" s="457"/>
      <c r="BO353" s="457"/>
      <c r="BP353" s="457"/>
      <c r="BQ353" s="457"/>
      <c r="BR353" s="457"/>
      <c r="BS353" s="457"/>
      <c r="BT353" s="457"/>
      <c r="BU353" s="457"/>
      <c r="BV353" s="457"/>
      <c r="BW353" s="457"/>
      <c r="BX353" s="457"/>
      <c r="BY353" s="457"/>
      <c r="BZ353" s="457"/>
      <c r="CA353" s="457"/>
      <c r="CB353" s="457"/>
      <c r="CC353" s="457"/>
      <c r="CD353" s="457"/>
      <c r="CE353" s="457"/>
      <c r="CF353" s="457"/>
      <c r="CG353" s="457"/>
      <c r="CH353" s="457"/>
      <c r="CI353" s="457"/>
      <c r="CJ353" s="457"/>
      <c r="CK353" s="457"/>
      <c r="CL353" s="457"/>
      <c r="CM353" s="457"/>
      <c r="CN353" s="457"/>
      <c r="CO353" s="457"/>
      <c r="CP353" s="457"/>
      <c r="CQ353" s="457"/>
      <c r="CR353" s="457"/>
      <c r="CS353" s="457"/>
      <c r="CT353" s="457"/>
      <c r="CU353" s="457"/>
      <c r="CV353" s="457"/>
      <c r="CW353" s="457"/>
      <c r="CX353" s="457"/>
      <c r="CY353" s="457"/>
      <c r="CZ353" s="457"/>
      <c r="DA353" s="457"/>
      <c r="DB353" s="457"/>
      <c r="DC353" s="457"/>
      <c r="DD353" s="457"/>
      <c r="DE353" s="457"/>
      <c r="DF353" s="457"/>
      <c r="DG353" s="457"/>
      <c r="DH353" s="457"/>
      <c r="DI353" s="457"/>
      <c r="DJ353" s="457"/>
      <c r="DK353" s="457"/>
      <c r="DL353" s="457"/>
      <c r="DM353" s="457"/>
      <c r="DN353" s="457"/>
      <c r="DO353" s="457"/>
      <c r="DP353" s="457"/>
      <c r="DQ353" s="457"/>
      <c r="DR353" s="457"/>
      <c r="DS353" s="457"/>
      <c r="DT353" s="457"/>
      <c r="DU353" s="457"/>
      <c r="DV353" s="457"/>
      <c r="DW353" s="457"/>
      <c r="DX353" s="457"/>
      <c r="DY353" s="457"/>
      <c r="DZ353" s="457"/>
      <c r="EA353" s="457"/>
      <c r="EB353" s="457"/>
      <c r="EC353" s="457"/>
      <c r="ED353" s="457"/>
      <c r="EE353" s="457"/>
      <c r="EF353" s="457"/>
      <c r="EG353" s="457"/>
      <c r="EH353" s="457"/>
      <c r="EI353" s="457"/>
      <c r="EJ353" s="457"/>
      <c r="EK353" s="457"/>
      <c r="EL353" s="457"/>
      <c r="EM353" s="457"/>
      <c r="EN353" s="457"/>
      <c r="EO353" s="457"/>
      <c r="EP353" s="457"/>
      <c r="EQ353" s="457"/>
      <c r="ER353" s="457"/>
      <c r="ES353" s="457"/>
      <c r="ET353" s="457"/>
      <c r="EU353" s="457"/>
      <c r="EV353" s="457"/>
      <c r="EW353" s="457"/>
      <c r="EX353" s="457"/>
      <c r="EY353" s="457"/>
      <c r="EZ353" s="457"/>
      <c r="FA353" s="457"/>
      <c r="FB353" s="457"/>
      <c r="FC353" s="457"/>
      <c r="FD353" s="457"/>
      <c r="FE353" s="457"/>
      <c r="FF353" s="457"/>
      <c r="FG353" s="457"/>
      <c r="FH353" s="457"/>
      <c r="FI353" s="457"/>
      <c r="FJ353" s="457"/>
      <c r="FK353" s="457"/>
      <c r="FL353" s="457"/>
      <c r="FM353" s="457"/>
      <c r="FN353" s="457"/>
      <c r="FO353" s="457"/>
      <c r="FP353" s="457"/>
      <c r="FQ353" s="457"/>
      <c r="FR353" s="457"/>
      <c r="FS353" s="457"/>
      <c r="FT353" s="457"/>
      <c r="FU353" s="457"/>
      <c r="FV353" s="457"/>
      <c r="FW353" s="457"/>
      <c r="FX353" s="457"/>
      <c r="FY353" s="457"/>
      <c r="FZ353" s="457"/>
      <c r="GA353" s="457"/>
      <c r="GB353" s="457"/>
      <c r="GC353" s="457"/>
      <c r="GD353" s="457"/>
      <c r="GE353" s="457"/>
      <c r="GF353" s="457"/>
      <c r="GG353" s="457"/>
      <c r="GH353" s="457"/>
      <c r="GI353" s="457"/>
      <c r="GJ353" s="457"/>
      <c r="GK353" s="457"/>
      <c r="GL353" s="457"/>
      <c r="GM353" s="457"/>
      <c r="GN353" s="457"/>
      <c r="GO353" s="457"/>
      <c r="GP353" s="457"/>
      <c r="GQ353" s="457"/>
      <c r="GR353" s="457"/>
      <c r="GS353" s="457"/>
      <c r="GT353" s="457"/>
      <c r="GU353" s="457"/>
      <c r="GV353" s="457"/>
      <c r="GW353" s="457"/>
      <c r="GX353" s="457"/>
      <c r="GY353" s="457"/>
      <c r="GZ353" s="457"/>
      <c r="HA353" s="457"/>
      <c r="HB353" s="457"/>
      <c r="HC353" s="457"/>
      <c r="HD353" s="457"/>
      <c r="HE353" s="457"/>
      <c r="HF353" s="457"/>
      <c r="HG353" s="457"/>
      <c r="HH353" s="457"/>
      <c r="HI353" s="457"/>
      <c r="HJ353" s="457"/>
      <c r="HK353" s="457"/>
      <c r="HL353" s="457"/>
      <c r="HM353" s="457"/>
      <c r="HN353" s="457"/>
      <c r="HO353" s="457"/>
      <c r="HP353" s="457"/>
      <c r="HQ353" s="457"/>
      <c r="HR353" s="457"/>
      <c r="HS353" s="457"/>
      <c r="HT353" s="457"/>
      <c r="HU353" s="457"/>
      <c r="HV353" s="457"/>
      <c r="HW353" s="457"/>
      <c r="HX353" s="457"/>
      <c r="HY353" s="457"/>
      <c r="HZ353" s="457"/>
      <c r="IA353" s="457"/>
      <c r="IB353" s="457"/>
      <c r="IC353" s="457"/>
      <c r="ID353" s="457"/>
      <c r="IE353" s="457"/>
      <c r="IF353" s="457"/>
      <c r="IG353" s="457"/>
      <c r="IH353" s="457"/>
      <c r="II353" s="457"/>
      <c r="IJ353" s="457"/>
      <c r="IK353" s="457"/>
      <c r="IL353" s="457"/>
      <c r="IM353" s="457"/>
      <c r="IN353" s="457"/>
      <c r="IO353" s="457"/>
      <c r="IP353" s="457"/>
      <c r="IQ353" s="457"/>
      <c r="IR353" s="457"/>
      <c r="IS353" s="457"/>
      <c r="IT353" s="457"/>
      <c r="IU353" s="457"/>
      <c r="IV353" s="457"/>
      <c r="IW353" s="457"/>
      <c r="IX353" s="457"/>
      <c r="IY353" s="457"/>
      <c r="IZ353" s="457"/>
      <c r="JA353" s="457"/>
      <c r="JB353" s="457"/>
      <c r="JC353" s="457"/>
      <c r="JD353" s="457"/>
      <c r="JE353" s="457"/>
      <c r="JF353" s="457"/>
      <c r="JG353" s="457"/>
      <c r="JH353" s="457"/>
      <c r="JI353" s="457"/>
      <c r="JJ353" s="457"/>
      <c r="JK353" s="457"/>
      <c r="JL353" s="457"/>
      <c r="JM353" s="457"/>
      <c r="JN353" s="457"/>
      <c r="JO353" s="457"/>
      <c r="JP353" s="457"/>
      <c r="JQ353" s="457"/>
      <c r="JR353" s="457"/>
      <c r="JS353" s="457"/>
      <c r="JT353" s="457"/>
      <c r="JU353" s="457"/>
      <c r="JV353" s="457"/>
      <c r="JW353" s="457"/>
      <c r="JX353" s="457"/>
      <c r="JY353" s="457"/>
      <c r="JZ353" s="457"/>
      <c r="KA353" s="457"/>
      <c r="KB353" s="457"/>
      <c r="KC353" s="457"/>
      <c r="KD353" s="457"/>
      <c r="KE353" s="457"/>
      <c r="KF353" s="457"/>
      <c r="KG353" s="457"/>
      <c r="KH353" s="457"/>
      <c r="KI353" s="457"/>
      <c r="KJ353" s="457"/>
      <c r="KK353" s="457"/>
      <c r="KL353" s="457"/>
      <c r="KM353" s="457"/>
      <c r="KN353" s="457"/>
      <c r="KO353" s="457"/>
      <c r="KP353" s="457"/>
      <c r="KQ353" s="457"/>
      <c r="KR353" s="457"/>
      <c r="KS353" s="457"/>
      <c r="KT353" s="457"/>
      <c r="KU353" s="457"/>
      <c r="KV353" s="457"/>
      <c r="KW353" s="457"/>
      <c r="KX353" s="457"/>
      <c r="KY353" s="457"/>
      <c r="KZ353" s="457"/>
      <c r="LA353" s="457"/>
      <c r="LB353" s="457"/>
      <c r="LC353" s="457"/>
      <c r="LD353" s="457"/>
      <c r="LE353" s="457"/>
      <c r="LF353" s="457"/>
      <c r="LG353" s="457"/>
      <c r="LH353" s="457"/>
      <c r="LI353" s="457"/>
      <c r="LJ353" s="457"/>
      <c r="LK353" s="457"/>
      <c r="LL353" s="457"/>
      <c r="LM353" s="457"/>
      <c r="LN353" s="457"/>
      <c r="LO353" s="457"/>
      <c r="LP353" s="457"/>
      <c r="LQ353" s="457"/>
      <c r="LR353" s="457"/>
      <c r="LS353" s="457"/>
      <c r="LT353" s="457"/>
      <c r="LU353" s="457"/>
      <c r="LV353" s="457"/>
      <c r="LW353" s="457"/>
      <c r="LX353" s="457"/>
      <c r="LY353" s="457"/>
      <c r="LZ353" s="457"/>
      <c r="MA353" s="457"/>
      <c r="MB353" s="457"/>
      <c r="MC353" s="457"/>
      <c r="MD353" s="457"/>
      <c r="ME353" s="457"/>
      <c r="MF353" s="457"/>
      <c r="MG353" s="457"/>
      <c r="MH353" s="457"/>
      <c r="MI353" s="457"/>
      <c r="MJ353" s="457"/>
      <c r="MK353" s="457"/>
      <c r="ML353" s="457"/>
      <c r="MM353" s="457"/>
      <c r="MN353" s="457"/>
      <c r="MO353" s="457"/>
      <c r="MP353" s="457"/>
      <c r="MQ353" s="457"/>
      <c r="MR353" s="457"/>
      <c r="MS353" s="457"/>
      <c r="MT353" s="457"/>
      <c r="MU353" s="457"/>
      <c r="MV353" s="457"/>
      <c r="MW353" s="457"/>
      <c r="MX353" s="457"/>
      <c r="MY353" s="457"/>
      <c r="MZ353" s="457"/>
      <c r="NA353" s="457"/>
      <c r="NB353" s="457"/>
      <c r="NC353" s="457"/>
      <c r="ND353" s="457"/>
      <c r="NE353" s="457"/>
      <c r="NF353" s="457"/>
      <c r="NG353" s="457"/>
      <c r="NH353" s="457"/>
      <c r="NI353" s="457"/>
      <c r="NJ353" s="457"/>
      <c r="NK353" s="457"/>
      <c r="NL353" s="457"/>
      <c r="NM353" s="457"/>
      <c r="NN353" s="457"/>
      <c r="NO353" s="457"/>
      <c r="NP353" s="457"/>
      <c r="NQ353" s="457"/>
      <c r="NR353" s="457"/>
      <c r="NS353" s="457"/>
      <c r="NT353" s="457"/>
      <c r="NU353" s="457"/>
      <c r="NV353" s="457"/>
      <c r="NW353" s="457"/>
      <c r="NX353" s="457"/>
      <c r="NY353" s="457"/>
      <c r="NZ353" s="457"/>
      <c r="OA353" s="457"/>
      <c r="OB353" s="457"/>
      <c r="OC353" s="457"/>
      <c r="OD353" s="457"/>
      <c r="OE353" s="457"/>
      <c r="OF353" s="457"/>
      <c r="OG353" s="457"/>
      <c r="OH353" s="457"/>
      <c r="OI353" s="457"/>
      <c r="OJ353" s="457"/>
      <c r="OK353" s="457"/>
      <c r="OL353" s="457"/>
      <c r="OM353" s="457"/>
      <c r="ON353" s="457"/>
      <c r="OO353" s="457"/>
      <c r="OP353" s="457"/>
      <c r="OQ353" s="457"/>
      <c r="OR353" s="457"/>
      <c r="OS353" s="457"/>
      <c r="OT353" s="457"/>
      <c r="OU353" s="457"/>
      <c r="OV353" s="457"/>
      <c r="OW353" s="457"/>
      <c r="OX353" s="457"/>
      <c r="OY353" s="457"/>
      <c r="OZ353" s="457"/>
      <c r="PA353" s="457"/>
      <c r="PB353" s="457"/>
      <c r="PC353" s="457"/>
      <c r="PD353" s="457"/>
      <c r="PE353" s="457"/>
      <c r="PF353" s="457"/>
      <c r="PG353" s="457"/>
      <c r="PH353" s="457"/>
      <c r="PI353" s="457"/>
      <c r="PJ353" s="457"/>
      <c r="PK353" s="457"/>
      <c r="PL353" s="457"/>
      <c r="PM353" s="457"/>
      <c r="PN353" s="457"/>
      <c r="PO353" s="457"/>
      <c r="PP353" s="457"/>
      <c r="PQ353" s="457"/>
      <c r="PR353" s="457"/>
      <c r="PS353" s="457"/>
      <c r="PT353" s="457"/>
      <c r="PU353" s="457"/>
      <c r="PV353" s="457"/>
      <c r="PW353" s="457"/>
      <c r="PX353" s="457"/>
      <c r="PY353" s="457"/>
      <c r="PZ353" s="457"/>
      <c r="QA353" s="457"/>
      <c r="QB353" s="457"/>
      <c r="QC353" s="457"/>
      <c r="QD353" s="457"/>
      <c r="QE353" s="457"/>
      <c r="QF353" s="457"/>
      <c r="QG353" s="457"/>
      <c r="QH353" s="457"/>
      <c r="QI353" s="457"/>
      <c r="QJ353" s="457"/>
      <c r="QK353" s="457"/>
      <c r="QL353" s="457"/>
      <c r="QM353" s="457"/>
      <c r="QN353" s="457"/>
      <c r="QO353" s="457"/>
      <c r="QP353" s="457"/>
      <c r="QQ353" s="457"/>
      <c r="QR353" s="457"/>
      <c r="QS353" s="457"/>
      <c r="QT353" s="457"/>
      <c r="QU353" s="457"/>
      <c r="QV353" s="457"/>
      <c r="QW353" s="457"/>
      <c r="QX353" s="457"/>
      <c r="QY353" s="457"/>
      <c r="QZ353" s="457"/>
      <c r="RA353" s="457"/>
      <c r="RB353" s="457"/>
      <c r="RC353" s="457"/>
      <c r="RD353" s="457"/>
      <c r="RE353" s="457"/>
      <c r="RF353" s="457"/>
      <c r="RG353" s="457"/>
      <c r="RH353" s="457"/>
      <c r="RI353" s="457"/>
      <c r="RJ353" s="457"/>
      <c r="RK353" s="457"/>
      <c r="RL353" s="457"/>
      <c r="RM353" s="457"/>
      <c r="RN353" s="457"/>
      <c r="RO353" s="457"/>
      <c r="RP353" s="457"/>
      <c r="RQ353" s="457"/>
      <c r="RR353" s="457"/>
      <c r="RS353" s="457"/>
      <c r="RT353" s="457"/>
      <c r="RU353" s="457"/>
      <c r="RV353" s="457"/>
      <c r="RW353" s="457"/>
      <c r="RX353" s="457"/>
      <c r="RY353" s="457"/>
      <c r="RZ353" s="457"/>
      <c r="SA353" s="457"/>
      <c r="SB353" s="457"/>
      <c r="SC353" s="457"/>
      <c r="SD353" s="457"/>
      <c r="SE353" s="457"/>
      <c r="SF353" s="457"/>
      <c r="SG353" s="457"/>
      <c r="SH353" s="457"/>
      <c r="SI353" s="457"/>
      <c r="SJ353" s="457"/>
      <c r="SK353" s="457"/>
      <c r="SL353" s="457"/>
      <c r="SM353" s="457"/>
      <c r="SN353" s="457"/>
      <c r="SO353" s="457"/>
      <c r="SP353" s="457"/>
      <c r="SQ353" s="457"/>
      <c r="SR353" s="457"/>
      <c r="SS353" s="457"/>
      <c r="ST353" s="457"/>
      <c r="SU353" s="457"/>
      <c r="SV353" s="457"/>
      <c r="SW353" s="457"/>
      <c r="SX353" s="457"/>
      <c r="SY353" s="457"/>
      <c r="SZ353" s="457"/>
      <c r="TA353" s="457"/>
      <c r="TB353" s="457"/>
      <c r="TC353" s="457"/>
      <c r="TD353" s="457"/>
      <c r="TE353" s="457"/>
      <c r="TF353" s="457"/>
      <c r="TG353" s="457"/>
      <c r="TH353" s="457"/>
      <c r="TI353" s="457"/>
      <c r="TJ353" s="457"/>
      <c r="TK353" s="457"/>
      <c r="TL353" s="457"/>
      <c r="TM353" s="457"/>
      <c r="TN353" s="457"/>
      <c r="TO353" s="457"/>
      <c r="TP353" s="457"/>
      <c r="TQ353" s="457"/>
      <c r="TR353" s="457"/>
      <c r="TS353" s="457"/>
      <c r="TT353" s="457"/>
      <c r="TU353" s="457"/>
      <c r="TV353" s="457"/>
      <c r="TW353" s="457"/>
      <c r="TX353" s="457"/>
      <c r="TY353" s="457"/>
      <c r="TZ353" s="457"/>
      <c r="UA353" s="457"/>
      <c r="UB353" s="457"/>
      <c r="UC353" s="457"/>
      <c r="UD353" s="457"/>
      <c r="UE353" s="457"/>
      <c r="UF353" s="457"/>
      <c r="UG353" s="457"/>
      <c r="UH353" s="457"/>
      <c r="UI353" s="457"/>
      <c r="UJ353" s="457"/>
      <c r="UK353" s="457"/>
      <c r="UL353" s="457"/>
      <c r="UM353" s="457"/>
      <c r="UN353" s="457"/>
      <c r="UO353" s="457"/>
      <c r="UP353" s="457"/>
      <c r="UQ353" s="457"/>
      <c r="UR353" s="457"/>
      <c r="US353" s="457"/>
      <c r="UT353" s="457"/>
      <c r="UU353" s="457"/>
      <c r="UV353" s="457"/>
      <c r="UW353" s="457"/>
      <c r="UX353" s="457"/>
      <c r="UY353" s="457"/>
      <c r="UZ353" s="457"/>
      <c r="VA353" s="457"/>
      <c r="VB353" s="457"/>
      <c r="VC353" s="457"/>
      <c r="VD353" s="457"/>
      <c r="VE353" s="457"/>
      <c r="VF353" s="457"/>
      <c r="VG353" s="457"/>
      <c r="VH353" s="457"/>
      <c r="VI353" s="457"/>
      <c r="VJ353" s="457"/>
      <c r="VK353" s="457"/>
      <c r="VL353" s="457"/>
      <c r="VM353" s="457"/>
      <c r="VN353" s="457"/>
      <c r="VO353" s="457"/>
      <c r="VP353" s="457"/>
      <c r="VQ353" s="457"/>
      <c r="VR353" s="457"/>
      <c r="VS353" s="457"/>
      <c r="VT353" s="457"/>
      <c r="VU353" s="457"/>
      <c r="VV353" s="457"/>
      <c r="VW353" s="457"/>
      <c r="VX353" s="457"/>
      <c r="VY353" s="457"/>
      <c r="VZ353" s="457"/>
      <c r="WA353" s="457"/>
      <c r="WB353" s="457"/>
      <c r="WC353" s="457"/>
      <c r="WD353" s="457"/>
      <c r="WE353" s="457"/>
      <c r="WF353" s="457"/>
      <c r="WG353" s="457"/>
      <c r="WH353" s="457"/>
      <c r="WI353" s="457"/>
      <c r="WJ353" s="457"/>
      <c r="WK353" s="457"/>
      <c r="WL353" s="457"/>
      <c r="WM353" s="457"/>
      <c r="WN353" s="457"/>
      <c r="WO353" s="457"/>
      <c r="WP353" s="457"/>
      <c r="WQ353" s="457"/>
      <c r="WR353" s="457"/>
      <c r="WS353" s="457"/>
      <c r="WT353" s="457"/>
      <c r="WU353" s="457"/>
      <c r="WV353" s="457"/>
      <c r="WW353" s="457"/>
      <c r="WX353" s="457"/>
      <c r="WY353" s="457"/>
      <c r="WZ353" s="457"/>
      <c r="XA353" s="457"/>
      <c r="XB353" s="457"/>
      <c r="XC353" s="457"/>
      <c r="XD353" s="457"/>
      <c r="XE353" s="457"/>
      <c r="XF353" s="457"/>
      <c r="XG353" s="457"/>
      <c r="XH353" s="457"/>
      <c r="XI353" s="457"/>
      <c r="XJ353" s="457"/>
      <c r="XK353" s="457"/>
      <c r="XL353" s="457"/>
      <c r="XM353" s="457"/>
      <c r="XN353" s="457"/>
      <c r="XO353" s="457"/>
      <c r="XP353" s="457"/>
      <c r="XQ353" s="457"/>
      <c r="XR353" s="457"/>
      <c r="XS353" s="457"/>
      <c r="XT353" s="457"/>
      <c r="XU353" s="457"/>
      <c r="XV353" s="457"/>
      <c r="XW353" s="457"/>
      <c r="XX353" s="457"/>
      <c r="XY353" s="457"/>
      <c r="XZ353" s="457"/>
      <c r="YA353" s="457"/>
      <c r="YB353" s="457"/>
      <c r="YC353" s="457"/>
      <c r="YD353" s="457"/>
      <c r="YE353" s="457"/>
      <c r="YF353" s="457"/>
      <c r="YG353" s="457"/>
      <c r="YH353" s="457"/>
      <c r="YI353" s="457"/>
      <c r="YJ353" s="457"/>
      <c r="YK353" s="457"/>
      <c r="YL353" s="457"/>
      <c r="YM353" s="457"/>
      <c r="YN353" s="457"/>
      <c r="YO353" s="457"/>
      <c r="YP353" s="457"/>
      <c r="YQ353" s="457"/>
      <c r="YR353" s="457"/>
      <c r="YS353" s="457"/>
      <c r="YT353" s="457"/>
      <c r="YU353" s="457"/>
      <c r="YV353" s="457"/>
      <c r="YW353" s="457"/>
      <c r="YX353" s="457"/>
      <c r="YY353" s="457"/>
      <c r="YZ353" s="457"/>
      <c r="ZA353" s="457"/>
      <c r="ZB353" s="457"/>
      <c r="ZC353" s="457"/>
      <c r="ZD353" s="457"/>
      <c r="ZE353" s="457"/>
      <c r="ZF353" s="457"/>
      <c r="ZG353" s="457"/>
      <c r="ZH353" s="457"/>
      <c r="ZI353" s="457"/>
      <c r="ZJ353" s="457"/>
      <c r="ZK353" s="457"/>
      <c r="ZL353" s="457"/>
      <c r="ZM353" s="457"/>
      <c r="ZN353" s="457"/>
      <c r="ZO353" s="457"/>
      <c r="ZP353" s="457"/>
      <c r="ZQ353" s="457"/>
      <c r="ZR353" s="457"/>
      <c r="ZS353" s="457"/>
      <c r="ZT353" s="457"/>
      <c r="ZU353" s="457"/>
      <c r="ZV353" s="457"/>
      <c r="ZW353" s="457"/>
      <c r="ZX353" s="457"/>
      <c r="ZY353" s="457"/>
      <c r="ZZ353" s="457"/>
      <c r="AAA353" s="457"/>
      <c r="AAB353" s="457"/>
      <c r="AAC353" s="457"/>
      <c r="AAD353" s="457"/>
      <c r="AAE353" s="457"/>
      <c r="AAF353" s="457"/>
      <c r="AAG353" s="457"/>
      <c r="AAH353" s="457"/>
      <c r="AAI353" s="457"/>
      <c r="AAJ353" s="457"/>
      <c r="AAK353" s="457"/>
      <c r="AAL353" s="457"/>
      <c r="AAM353" s="457"/>
      <c r="AAN353" s="457"/>
      <c r="AAO353" s="457"/>
      <c r="AAP353" s="457"/>
      <c r="AAQ353" s="457"/>
      <c r="AAR353" s="457"/>
      <c r="AAS353" s="457"/>
      <c r="AAT353" s="457"/>
      <c r="AAU353" s="457"/>
      <c r="AAV353" s="457"/>
      <c r="AAW353" s="457"/>
      <c r="AAX353" s="457"/>
      <c r="AAY353" s="457"/>
      <c r="AAZ353" s="457"/>
      <c r="ABA353" s="457"/>
      <c r="ABB353" s="457"/>
      <c r="ABC353" s="457"/>
      <c r="ABD353" s="457"/>
      <c r="ABE353" s="457"/>
      <c r="ABF353" s="457"/>
      <c r="ABG353" s="457"/>
      <c r="ABH353" s="457"/>
      <c r="ABI353" s="457"/>
      <c r="ABJ353" s="457"/>
      <c r="ABK353" s="457"/>
      <c r="ABL353" s="457"/>
      <c r="ABM353" s="457"/>
      <c r="ABN353" s="457"/>
      <c r="ABO353" s="457"/>
      <c r="ABP353" s="457"/>
      <c r="ABQ353" s="457"/>
      <c r="ABR353" s="457"/>
      <c r="ABS353" s="457"/>
      <c r="ABT353" s="457"/>
      <c r="ABU353" s="457"/>
      <c r="ABV353" s="457"/>
      <c r="ABW353" s="457"/>
      <c r="ABX353" s="457"/>
      <c r="ABY353" s="457"/>
      <c r="ABZ353" s="457"/>
      <c r="ACA353" s="457"/>
      <c r="ACB353" s="457"/>
      <c r="ACC353" s="457"/>
      <c r="ACD353" s="457"/>
      <c r="ACE353" s="457"/>
      <c r="ACF353" s="457"/>
      <c r="ACG353" s="457"/>
      <c r="ACH353" s="457"/>
      <c r="ACI353" s="457"/>
      <c r="ACJ353" s="457"/>
      <c r="ACK353" s="457"/>
      <c r="ACL353" s="457"/>
      <c r="ACM353" s="457"/>
      <c r="ACN353" s="457"/>
      <c r="ACO353" s="457"/>
      <c r="ACP353" s="457"/>
      <c r="ACQ353" s="457"/>
      <c r="ACR353" s="457"/>
      <c r="ACS353" s="457"/>
      <c r="ACT353" s="457"/>
      <c r="ACU353" s="457"/>
      <c r="ACV353" s="457"/>
    </row>
    <row r="354" spans="1:776" s="400" customFormat="1" x14ac:dyDescent="0.25">
      <c r="A354" s="470">
        <v>900067</v>
      </c>
      <c r="B354" s="447" t="str">
        <f t="shared" si="11"/>
        <v>-2,41/+3,77  (EC  0)</v>
      </c>
      <c r="C354" s="455"/>
      <c r="D354" s="454"/>
      <c r="E354" s="454"/>
      <c r="F354" s="458">
        <v>10.220000000000001</v>
      </c>
      <c r="G354" s="454">
        <v>0.01</v>
      </c>
      <c r="H354" s="454">
        <v>1.0900000000000001</v>
      </c>
      <c r="I354" s="456"/>
      <c r="J354" s="454"/>
      <c r="K354" s="454"/>
      <c r="L354" s="454">
        <f>(5.8-0.1)*24</f>
        <v>136.80000000000001</v>
      </c>
      <c r="M354" s="454"/>
      <c r="N354" s="454"/>
      <c r="O354" s="454"/>
      <c r="P354" s="454">
        <v>42.95</v>
      </c>
      <c r="Q354" s="454">
        <v>18.5</v>
      </c>
      <c r="R354" s="454"/>
      <c r="S354" s="454"/>
      <c r="T354" s="454"/>
      <c r="U354" s="454"/>
      <c r="V354" s="454"/>
      <c r="W354" s="457"/>
      <c r="X354" s="457"/>
      <c r="Y354" s="457"/>
      <c r="Z354" s="457"/>
      <c r="AA354" s="457"/>
      <c r="AB354" s="457"/>
      <c r="AC354" s="457"/>
      <c r="AD354" s="457"/>
      <c r="AE354" s="457"/>
      <c r="AF354" s="457"/>
      <c r="AG354" s="457"/>
      <c r="AH354" s="457"/>
      <c r="AI354" s="457"/>
      <c r="AJ354" s="457"/>
      <c r="AK354" s="457"/>
      <c r="AL354" s="457"/>
      <c r="AM354" s="457"/>
      <c r="AN354" s="457"/>
      <c r="AO354" s="457"/>
      <c r="AP354" s="457"/>
      <c r="AQ354" s="457"/>
      <c r="AR354" s="457"/>
      <c r="AS354" s="457"/>
      <c r="AT354" s="457"/>
      <c r="AU354" s="457"/>
      <c r="AV354" s="457"/>
      <c r="AW354" s="457"/>
      <c r="AX354" s="457"/>
      <c r="AY354" s="457"/>
      <c r="AZ354" s="457"/>
      <c r="BA354" s="457"/>
      <c r="BB354" s="457"/>
      <c r="BC354" s="457"/>
      <c r="BD354" s="457"/>
      <c r="BE354" s="457"/>
      <c r="BF354" s="457"/>
      <c r="BG354" s="457"/>
      <c r="BH354" s="457"/>
      <c r="BI354" s="457"/>
      <c r="BJ354" s="457"/>
      <c r="BK354" s="457"/>
      <c r="BL354" s="457"/>
      <c r="BM354" s="457"/>
      <c r="BN354" s="457"/>
      <c r="BO354" s="457"/>
      <c r="BP354" s="457"/>
      <c r="BQ354" s="457"/>
      <c r="BR354" s="457"/>
      <c r="BS354" s="457"/>
      <c r="BT354" s="457"/>
      <c r="BU354" s="457"/>
      <c r="BV354" s="457"/>
      <c r="BW354" s="457"/>
      <c r="BX354" s="457"/>
      <c r="BY354" s="457"/>
      <c r="BZ354" s="457"/>
      <c r="CA354" s="457"/>
      <c r="CB354" s="457"/>
      <c r="CC354" s="457"/>
      <c r="CD354" s="457"/>
      <c r="CE354" s="457"/>
      <c r="CF354" s="457"/>
      <c r="CG354" s="457"/>
      <c r="CH354" s="457"/>
      <c r="CI354" s="457"/>
      <c r="CJ354" s="457"/>
      <c r="CK354" s="457"/>
      <c r="CL354" s="457"/>
      <c r="CM354" s="457"/>
      <c r="CN354" s="457"/>
      <c r="CO354" s="457"/>
      <c r="CP354" s="457"/>
      <c r="CQ354" s="457"/>
      <c r="CR354" s="457"/>
      <c r="CS354" s="457"/>
      <c r="CT354" s="457"/>
      <c r="CU354" s="457"/>
      <c r="CV354" s="457"/>
      <c r="CW354" s="457"/>
      <c r="CX354" s="457"/>
      <c r="CY354" s="457"/>
      <c r="CZ354" s="457"/>
      <c r="DA354" s="457"/>
      <c r="DB354" s="457"/>
      <c r="DC354" s="457"/>
      <c r="DD354" s="457"/>
      <c r="DE354" s="457"/>
      <c r="DF354" s="457"/>
      <c r="DG354" s="457"/>
      <c r="DH354" s="457"/>
      <c r="DI354" s="457"/>
      <c r="DJ354" s="457"/>
      <c r="DK354" s="457"/>
      <c r="DL354" s="457"/>
      <c r="DM354" s="457"/>
      <c r="DN354" s="457"/>
      <c r="DO354" s="457"/>
      <c r="DP354" s="457"/>
      <c r="DQ354" s="457"/>
      <c r="DR354" s="457"/>
      <c r="DS354" s="457"/>
      <c r="DT354" s="457"/>
      <c r="DU354" s="457"/>
      <c r="DV354" s="457"/>
      <c r="DW354" s="457"/>
      <c r="DX354" s="457"/>
      <c r="DY354" s="457"/>
      <c r="DZ354" s="457"/>
      <c r="EA354" s="457"/>
      <c r="EB354" s="457"/>
      <c r="EC354" s="457"/>
      <c r="ED354" s="457"/>
      <c r="EE354" s="457"/>
      <c r="EF354" s="457"/>
      <c r="EG354" s="457"/>
      <c r="EH354" s="457"/>
      <c r="EI354" s="457"/>
      <c r="EJ354" s="457"/>
      <c r="EK354" s="457"/>
      <c r="EL354" s="457"/>
      <c r="EM354" s="457"/>
      <c r="EN354" s="457"/>
      <c r="EO354" s="457"/>
      <c r="EP354" s="457"/>
      <c r="EQ354" s="457"/>
      <c r="ER354" s="457"/>
      <c r="ES354" s="457"/>
      <c r="ET354" s="457"/>
      <c r="EU354" s="457"/>
      <c r="EV354" s="457"/>
      <c r="EW354" s="457"/>
      <c r="EX354" s="457"/>
      <c r="EY354" s="457"/>
      <c r="EZ354" s="457"/>
      <c r="FA354" s="457"/>
      <c r="FB354" s="457"/>
      <c r="FC354" s="457"/>
      <c r="FD354" s="457"/>
      <c r="FE354" s="457"/>
      <c r="FF354" s="457"/>
      <c r="FG354" s="457"/>
      <c r="FH354" s="457"/>
      <c r="FI354" s="457"/>
      <c r="FJ354" s="457"/>
      <c r="FK354" s="457"/>
      <c r="FL354" s="457"/>
      <c r="FM354" s="457"/>
      <c r="FN354" s="457"/>
      <c r="FO354" s="457"/>
      <c r="FP354" s="457"/>
      <c r="FQ354" s="457"/>
      <c r="FR354" s="457"/>
      <c r="FS354" s="457"/>
      <c r="FT354" s="457"/>
      <c r="FU354" s="457"/>
      <c r="FV354" s="457"/>
      <c r="FW354" s="457"/>
      <c r="FX354" s="457"/>
      <c r="FY354" s="457"/>
      <c r="FZ354" s="457"/>
      <c r="GA354" s="457"/>
      <c r="GB354" s="457"/>
      <c r="GC354" s="457"/>
      <c r="GD354" s="457"/>
      <c r="GE354" s="457"/>
      <c r="GF354" s="457"/>
      <c r="GG354" s="457"/>
      <c r="GH354" s="457"/>
      <c r="GI354" s="457"/>
      <c r="GJ354" s="457"/>
      <c r="GK354" s="457"/>
      <c r="GL354" s="457"/>
      <c r="GM354" s="457"/>
      <c r="GN354" s="457"/>
      <c r="GO354" s="457"/>
      <c r="GP354" s="457"/>
      <c r="GQ354" s="457"/>
      <c r="GR354" s="457"/>
      <c r="GS354" s="457"/>
      <c r="GT354" s="457"/>
      <c r="GU354" s="457"/>
      <c r="GV354" s="457"/>
      <c r="GW354" s="457"/>
      <c r="GX354" s="457"/>
      <c r="GY354" s="457"/>
      <c r="GZ354" s="457"/>
      <c r="HA354" s="457"/>
      <c r="HB354" s="457"/>
      <c r="HC354" s="457"/>
      <c r="HD354" s="457"/>
      <c r="HE354" s="457"/>
      <c r="HF354" s="457"/>
      <c r="HG354" s="457"/>
      <c r="HH354" s="457"/>
      <c r="HI354" s="457"/>
      <c r="HJ354" s="457"/>
      <c r="HK354" s="457"/>
      <c r="HL354" s="457"/>
      <c r="HM354" s="457"/>
      <c r="HN354" s="457"/>
      <c r="HO354" s="457"/>
      <c r="HP354" s="457"/>
      <c r="HQ354" s="457"/>
      <c r="HR354" s="457"/>
      <c r="HS354" s="457"/>
      <c r="HT354" s="457"/>
      <c r="HU354" s="457"/>
      <c r="HV354" s="457"/>
      <c r="HW354" s="457"/>
      <c r="HX354" s="457"/>
      <c r="HY354" s="457"/>
      <c r="HZ354" s="457"/>
      <c r="IA354" s="457"/>
      <c r="IB354" s="457"/>
      <c r="IC354" s="457"/>
      <c r="ID354" s="457"/>
      <c r="IE354" s="457"/>
      <c r="IF354" s="457"/>
      <c r="IG354" s="457"/>
      <c r="IH354" s="457"/>
      <c r="II354" s="457"/>
      <c r="IJ354" s="457"/>
      <c r="IK354" s="457"/>
      <c r="IL354" s="457"/>
      <c r="IM354" s="457"/>
      <c r="IN354" s="457"/>
      <c r="IO354" s="457"/>
      <c r="IP354" s="457"/>
      <c r="IQ354" s="457"/>
      <c r="IR354" s="457"/>
      <c r="IS354" s="457"/>
      <c r="IT354" s="457"/>
      <c r="IU354" s="457"/>
      <c r="IV354" s="457"/>
      <c r="IW354" s="457"/>
      <c r="IX354" s="457"/>
      <c r="IY354" s="457"/>
      <c r="IZ354" s="457"/>
      <c r="JA354" s="457"/>
      <c r="JB354" s="457"/>
      <c r="JC354" s="457"/>
      <c r="JD354" s="457"/>
      <c r="JE354" s="457"/>
      <c r="JF354" s="457"/>
      <c r="JG354" s="457"/>
      <c r="JH354" s="457"/>
      <c r="JI354" s="457"/>
      <c r="JJ354" s="457"/>
      <c r="JK354" s="457"/>
      <c r="JL354" s="457"/>
      <c r="JM354" s="457"/>
      <c r="JN354" s="457"/>
      <c r="JO354" s="457"/>
      <c r="JP354" s="457"/>
      <c r="JQ354" s="457"/>
      <c r="JR354" s="457"/>
      <c r="JS354" s="457"/>
      <c r="JT354" s="457"/>
      <c r="JU354" s="457"/>
      <c r="JV354" s="457"/>
      <c r="JW354" s="457"/>
      <c r="JX354" s="457"/>
      <c r="JY354" s="457"/>
      <c r="JZ354" s="457"/>
      <c r="KA354" s="457"/>
      <c r="KB354" s="457"/>
      <c r="KC354" s="457"/>
      <c r="KD354" s="457"/>
      <c r="KE354" s="457"/>
      <c r="KF354" s="457"/>
      <c r="KG354" s="457"/>
      <c r="KH354" s="457"/>
      <c r="KI354" s="457"/>
      <c r="KJ354" s="457"/>
      <c r="KK354" s="457"/>
      <c r="KL354" s="457"/>
      <c r="KM354" s="457"/>
      <c r="KN354" s="457"/>
      <c r="KO354" s="457"/>
      <c r="KP354" s="457"/>
      <c r="KQ354" s="457"/>
      <c r="KR354" s="457"/>
      <c r="KS354" s="457"/>
      <c r="KT354" s="457"/>
      <c r="KU354" s="457"/>
      <c r="KV354" s="457"/>
      <c r="KW354" s="457"/>
      <c r="KX354" s="457"/>
      <c r="KY354" s="457"/>
      <c r="KZ354" s="457"/>
      <c r="LA354" s="457"/>
      <c r="LB354" s="457"/>
      <c r="LC354" s="457"/>
      <c r="LD354" s="457"/>
      <c r="LE354" s="457"/>
      <c r="LF354" s="457"/>
      <c r="LG354" s="457"/>
      <c r="LH354" s="457"/>
      <c r="LI354" s="457"/>
      <c r="LJ354" s="457"/>
      <c r="LK354" s="457"/>
      <c r="LL354" s="457"/>
      <c r="LM354" s="457"/>
      <c r="LN354" s="457"/>
      <c r="LO354" s="457"/>
      <c r="LP354" s="457"/>
      <c r="LQ354" s="457"/>
      <c r="LR354" s="457"/>
      <c r="LS354" s="457"/>
      <c r="LT354" s="457"/>
      <c r="LU354" s="457"/>
      <c r="LV354" s="457"/>
      <c r="LW354" s="457"/>
      <c r="LX354" s="457"/>
      <c r="LY354" s="457"/>
      <c r="LZ354" s="457"/>
      <c r="MA354" s="457"/>
      <c r="MB354" s="457"/>
      <c r="MC354" s="457"/>
      <c r="MD354" s="457"/>
      <c r="ME354" s="457"/>
      <c r="MF354" s="457"/>
      <c r="MG354" s="457"/>
      <c r="MH354" s="457"/>
      <c r="MI354" s="457"/>
      <c r="MJ354" s="457"/>
      <c r="MK354" s="457"/>
      <c r="ML354" s="457"/>
      <c r="MM354" s="457"/>
      <c r="MN354" s="457"/>
      <c r="MO354" s="457"/>
      <c r="MP354" s="457"/>
      <c r="MQ354" s="457"/>
      <c r="MR354" s="457"/>
      <c r="MS354" s="457"/>
      <c r="MT354" s="457"/>
      <c r="MU354" s="457"/>
      <c r="MV354" s="457"/>
      <c r="MW354" s="457"/>
      <c r="MX354" s="457"/>
      <c r="MY354" s="457"/>
      <c r="MZ354" s="457"/>
      <c r="NA354" s="457"/>
      <c r="NB354" s="457"/>
      <c r="NC354" s="457"/>
      <c r="ND354" s="457"/>
      <c r="NE354" s="457"/>
      <c r="NF354" s="457"/>
      <c r="NG354" s="457"/>
      <c r="NH354" s="457"/>
      <c r="NI354" s="457"/>
      <c r="NJ354" s="457"/>
      <c r="NK354" s="457"/>
      <c r="NL354" s="457"/>
      <c r="NM354" s="457"/>
      <c r="NN354" s="457"/>
      <c r="NO354" s="457"/>
      <c r="NP354" s="457"/>
      <c r="NQ354" s="457"/>
      <c r="NR354" s="457"/>
      <c r="NS354" s="457"/>
      <c r="NT354" s="457"/>
      <c r="NU354" s="457"/>
      <c r="NV354" s="457"/>
      <c r="NW354" s="457"/>
      <c r="NX354" s="457"/>
      <c r="NY354" s="457"/>
      <c r="NZ354" s="457"/>
      <c r="OA354" s="457"/>
      <c r="OB354" s="457"/>
      <c r="OC354" s="457"/>
      <c r="OD354" s="457"/>
      <c r="OE354" s="457"/>
      <c r="OF354" s="457"/>
      <c r="OG354" s="457"/>
      <c r="OH354" s="457"/>
      <c r="OI354" s="457"/>
      <c r="OJ354" s="457"/>
      <c r="OK354" s="457"/>
      <c r="OL354" s="457"/>
      <c r="OM354" s="457"/>
      <c r="ON354" s="457"/>
      <c r="OO354" s="457"/>
      <c r="OP354" s="457"/>
      <c r="OQ354" s="457"/>
      <c r="OR354" s="457"/>
      <c r="OS354" s="457"/>
      <c r="OT354" s="457"/>
      <c r="OU354" s="457"/>
      <c r="OV354" s="457"/>
      <c r="OW354" s="457"/>
      <c r="OX354" s="457"/>
      <c r="OY354" s="457"/>
      <c r="OZ354" s="457"/>
      <c r="PA354" s="457"/>
      <c r="PB354" s="457"/>
      <c r="PC354" s="457"/>
      <c r="PD354" s="457"/>
      <c r="PE354" s="457"/>
      <c r="PF354" s="457"/>
      <c r="PG354" s="457"/>
      <c r="PH354" s="457"/>
      <c r="PI354" s="457"/>
      <c r="PJ354" s="457"/>
      <c r="PK354" s="457"/>
      <c r="PL354" s="457"/>
      <c r="PM354" s="457"/>
      <c r="PN354" s="457"/>
      <c r="PO354" s="457"/>
      <c r="PP354" s="457"/>
      <c r="PQ354" s="457"/>
      <c r="PR354" s="457"/>
      <c r="PS354" s="457"/>
      <c r="PT354" s="457"/>
      <c r="PU354" s="457"/>
      <c r="PV354" s="457"/>
      <c r="PW354" s="457"/>
      <c r="PX354" s="457"/>
      <c r="PY354" s="457"/>
      <c r="PZ354" s="457"/>
      <c r="QA354" s="457"/>
      <c r="QB354" s="457"/>
      <c r="QC354" s="457"/>
      <c r="QD354" s="457"/>
      <c r="QE354" s="457"/>
      <c r="QF354" s="457"/>
      <c r="QG354" s="457"/>
      <c r="QH354" s="457"/>
      <c r="QI354" s="457"/>
      <c r="QJ354" s="457"/>
      <c r="QK354" s="457"/>
      <c r="QL354" s="457"/>
      <c r="QM354" s="457"/>
      <c r="QN354" s="457"/>
      <c r="QO354" s="457"/>
      <c r="QP354" s="457"/>
      <c r="QQ354" s="457"/>
      <c r="QR354" s="457"/>
      <c r="QS354" s="457"/>
      <c r="QT354" s="457"/>
      <c r="QU354" s="457"/>
      <c r="QV354" s="457"/>
      <c r="QW354" s="457"/>
      <c r="QX354" s="457"/>
      <c r="QY354" s="457"/>
      <c r="QZ354" s="457"/>
      <c r="RA354" s="457"/>
      <c r="RB354" s="457"/>
      <c r="RC354" s="457"/>
      <c r="RD354" s="457"/>
      <c r="RE354" s="457"/>
      <c r="RF354" s="457"/>
      <c r="RG354" s="457"/>
      <c r="RH354" s="457"/>
      <c r="RI354" s="457"/>
      <c r="RJ354" s="457"/>
      <c r="RK354" s="457"/>
      <c r="RL354" s="457"/>
      <c r="RM354" s="457"/>
      <c r="RN354" s="457"/>
      <c r="RO354" s="457"/>
      <c r="RP354" s="457"/>
      <c r="RQ354" s="457"/>
      <c r="RR354" s="457"/>
      <c r="RS354" s="457"/>
      <c r="RT354" s="457"/>
      <c r="RU354" s="457"/>
      <c r="RV354" s="457"/>
      <c r="RW354" s="457"/>
      <c r="RX354" s="457"/>
      <c r="RY354" s="457"/>
      <c r="RZ354" s="457"/>
      <c r="SA354" s="457"/>
      <c r="SB354" s="457"/>
      <c r="SC354" s="457"/>
      <c r="SD354" s="457"/>
      <c r="SE354" s="457"/>
      <c r="SF354" s="457"/>
      <c r="SG354" s="457"/>
      <c r="SH354" s="457"/>
      <c r="SI354" s="457"/>
      <c r="SJ354" s="457"/>
      <c r="SK354" s="457"/>
      <c r="SL354" s="457"/>
      <c r="SM354" s="457"/>
      <c r="SN354" s="457"/>
      <c r="SO354" s="457"/>
      <c r="SP354" s="457"/>
      <c r="SQ354" s="457"/>
      <c r="SR354" s="457"/>
      <c r="SS354" s="457"/>
      <c r="ST354" s="457"/>
      <c r="SU354" s="457"/>
      <c r="SV354" s="457"/>
      <c r="SW354" s="457"/>
      <c r="SX354" s="457"/>
      <c r="SY354" s="457"/>
      <c r="SZ354" s="457"/>
      <c r="TA354" s="457"/>
      <c r="TB354" s="457"/>
      <c r="TC354" s="457"/>
      <c r="TD354" s="457"/>
      <c r="TE354" s="457"/>
      <c r="TF354" s="457"/>
      <c r="TG354" s="457"/>
      <c r="TH354" s="457"/>
      <c r="TI354" s="457"/>
      <c r="TJ354" s="457"/>
      <c r="TK354" s="457"/>
      <c r="TL354" s="457"/>
      <c r="TM354" s="457"/>
      <c r="TN354" s="457"/>
      <c r="TO354" s="457"/>
      <c r="TP354" s="457"/>
      <c r="TQ354" s="457"/>
      <c r="TR354" s="457"/>
      <c r="TS354" s="457"/>
      <c r="TT354" s="457"/>
      <c r="TU354" s="457"/>
      <c r="TV354" s="457"/>
      <c r="TW354" s="457"/>
      <c r="TX354" s="457"/>
      <c r="TY354" s="457"/>
      <c r="TZ354" s="457"/>
      <c r="UA354" s="457"/>
      <c r="UB354" s="457"/>
      <c r="UC354" s="457"/>
      <c r="UD354" s="457"/>
      <c r="UE354" s="457"/>
      <c r="UF354" s="457"/>
      <c r="UG354" s="457"/>
      <c r="UH354" s="457"/>
      <c r="UI354" s="457"/>
      <c r="UJ354" s="457"/>
      <c r="UK354" s="457"/>
      <c r="UL354" s="457"/>
      <c r="UM354" s="457"/>
      <c r="UN354" s="457"/>
      <c r="UO354" s="457"/>
      <c r="UP354" s="457"/>
      <c r="UQ354" s="457"/>
      <c r="UR354" s="457"/>
      <c r="US354" s="457"/>
      <c r="UT354" s="457"/>
      <c r="UU354" s="457"/>
      <c r="UV354" s="457"/>
      <c r="UW354" s="457"/>
      <c r="UX354" s="457"/>
      <c r="UY354" s="457"/>
      <c r="UZ354" s="457"/>
      <c r="VA354" s="457"/>
      <c r="VB354" s="457"/>
      <c r="VC354" s="457"/>
      <c r="VD354" s="457"/>
      <c r="VE354" s="457"/>
      <c r="VF354" s="457"/>
      <c r="VG354" s="457"/>
      <c r="VH354" s="457"/>
      <c r="VI354" s="457"/>
      <c r="VJ354" s="457"/>
      <c r="VK354" s="457"/>
      <c r="VL354" s="457"/>
      <c r="VM354" s="457"/>
      <c r="VN354" s="457"/>
      <c r="VO354" s="457"/>
      <c r="VP354" s="457"/>
      <c r="VQ354" s="457"/>
      <c r="VR354" s="457"/>
      <c r="VS354" s="457"/>
      <c r="VT354" s="457"/>
      <c r="VU354" s="457"/>
      <c r="VV354" s="457"/>
      <c r="VW354" s="457"/>
      <c r="VX354" s="457"/>
      <c r="VY354" s="457"/>
      <c r="VZ354" s="457"/>
      <c r="WA354" s="457"/>
      <c r="WB354" s="457"/>
      <c r="WC354" s="457"/>
      <c r="WD354" s="457"/>
      <c r="WE354" s="457"/>
      <c r="WF354" s="457"/>
      <c r="WG354" s="457"/>
      <c r="WH354" s="457"/>
      <c r="WI354" s="457"/>
      <c r="WJ354" s="457"/>
      <c r="WK354" s="457"/>
      <c r="WL354" s="457"/>
      <c r="WM354" s="457"/>
      <c r="WN354" s="457"/>
      <c r="WO354" s="457"/>
      <c r="WP354" s="457"/>
      <c r="WQ354" s="457"/>
      <c r="WR354" s="457"/>
      <c r="WS354" s="457"/>
      <c r="WT354" s="457"/>
      <c r="WU354" s="457"/>
      <c r="WV354" s="457"/>
      <c r="WW354" s="457"/>
      <c r="WX354" s="457"/>
      <c r="WY354" s="457"/>
      <c r="WZ354" s="457"/>
      <c r="XA354" s="457"/>
      <c r="XB354" s="457"/>
      <c r="XC354" s="457"/>
      <c r="XD354" s="457"/>
      <c r="XE354" s="457"/>
      <c r="XF354" s="457"/>
      <c r="XG354" s="457"/>
      <c r="XH354" s="457"/>
      <c r="XI354" s="457"/>
      <c r="XJ354" s="457"/>
      <c r="XK354" s="457"/>
      <c r="XL354" s="457"/>
      <c r="XM354" s="457"/>
      <c r="XN354" s="457"/>
      <c r="XO354" s="457"/>
      <c r="XP354" s="457"/>
      <c r="XQ354" s="457"/>
      <c r="XR354" s="457"/>
      <c r="XS354" s="457"/>
      <c r="XT354" s="457"/>
      <c r="XU354" s="457"/>
      <c r="XV354" s="457"/>
      <c r="XW354" s="457"/>
      <c r="XX354" s="457"/>
      <c r="XY354" s="457"/>
      <c r="XZ354" s="457"/>
      <c r="YA354" s="457"/>
      <c r="YB354" s="457"/>
      <c r="YC354" s="457"/>
      <c r="YD354" s="457"/>
      <c r="YE354" s="457"/>
      <c r="YF354" s="457"/>
      <c r="YG354" s="457"/>
      <c r="YH354" s="457"/>
      <c r="YI354" s="457"/>
      <c r="YJ354" s="457"/>
      <c r="YK354" s="457"/>
      <c r="YL354" s="457"/>
      <c r="YM354" s="457"/>
      <c r="YN354" s="457"/>
      <c r="YO354" s="457"/>
      <c r="YP354" s="457"/>
      <c r="YQ354" s="457"/>
      <c r="YR354" s="457"/>
      <c r="YS354" s="457"/>
      <c r="YT354" s="457"/>
      <c r="YU354" s="457"/>
      <c r="YV354" s="457"/>
      <c r="YW354" s="457"/>
      <c r="YX354" s="457"/>
      <c r="YY354" s="457"/>
      <c r="YZ354" s="457"/>
      <c r="ZA354" s="457"/>
      <c r="ZB354" s="457"/>
      <c r="ZC354" s="457"/>
      <c r="ZD354" s="457"/>
      <c r="ZE354" s="457"/>
      <c r="ZF354" s="457"/>
      <c r="ZG354" s="457"/>
      <c r="ZH354" s="457"/>
      <c r="ZI354" s="457"/>
      <c r="ZJ354" s="457"/>
      <c r="ZK354" s="457"/>
      <c r="ZL354" s="457"/>
      <c r="ZM354" s="457"/>
      <c r="ZN354" s="457"/>
      <c r="ZO354" s="457"/>
      <c r="ZP354" s="457"/>
      <c r="ZQ354" s="457"/>
      <c r="ZR354" s="457"/>
      <c r="ZS354" s="457"/>
      <c r="ZT354" s="457"/>
      <c r="ZU354" s="457"/>
      <c r="ZV354" s="457"/>
      <c r="ZW354" s="457"/>
      <c r="ZX354" s="457"/>
      <c r="ZY354" s="457"/>
      <c r="ZZ354" s="457"/>
      <c r="AAA354" s="457"/>
      <c r="AAB354" s="457"/>
      <c r="AAC354" s="457"/>
      <c r="AAD354" s="457"/>
      <c r="AAE354" s="457"/>
      <c r="AAF354" s="457"/>
      <c r="AAG354" s="457"/>
      <c r="AAH354" s="457"/>
      <c r="AAI354" s="457"/>
      <c r="AAJ354" s="457"/>
      <c r="AAK354" s="457"/>
      <c r="AAL354" s="457"/>
      <c r="AAM354" s="457"/>
      <c r="AAN354" s="457"/>
      <c r="AAO354" s="457"/>
      <c r="AAP354" s="457"/>
      <c r="AAQ354" s="457"/>
      <c r="AAR354" s="457"/>
      <c r="AAS354" s="457"/>
      <c r="AAT354" s="457"/>
      <c r="AAU354" s="457"/>
      <c r="AAV354" s="457"/>
      <c r="AAW354" s="457"/>
      <c r="AAX354" s="457"/>
      <c r="AAY354" s="457"/>
      <c r="AAZ354" s="457"/>
      <c r="ABA354" s="457"/>
      <c r="ABB354" s="457"/>
      <c r="ABC354" s="457"/>
      <c r="ABD354" s="457"/>
      <c r="ABE354" s="457"/>
      <c r="ABF354" s="457"/>
      <c r="ABG354" s="457"/>
      <c r="ABH354" s="457"/>
      <c r="ABI354" s="457"/>
      <c r="ABJ354" s="457"/>
      <c r="ABK354" s="457"/>
      <c r="ABL354" s="457"/>
      <c r="ABM354" s="457"/>
      <c r="ABN354" s="457"/>
      <c r="ABO354" s="457"/>
      <c r="ABP354" s="457"/>
      <c r="ABQ354" s="457"/>
      <c r="ABR354" s="457"/>
      <c r="ABS354" s="457"/>
      <c r="ABT354" s="457"/>
      <c r="ABU354" s="457"/>
      <c r="ABV354" s="457"/>
      <c r="ABW354" s="457"/>
      <c r="ABX354" s="457"/>
      <c r="ABY354" s="457"/>
      <c r="ABZ354" s="457"/>
      <c r="ACA354" s="457"/>
      <c r="ACB354" s="457"/>
      <c r="ACC354" s="457"/>
      <c r="ACD354" s="457"/>
      <c r="ACE354" s="457"/>
      <c r="ACF354" s="457"/>
      <c r="ACG354" s="457"/>
      <c r="ACH354" s="457"/>
      <c r="ACI354" s="457"/>
      <c r="ACJ354" s="457"/>
      <c r="ACK354" s="457"/>
      <c r="ACL354" s="457"/>
      <c r="ACM354" s="457"/>
      <c r="ACN354" s="457"/>
      <c r="ACO354" s="457"/>
      <c r="ACP354" s="457"/>
      <c r="ACQ354" s="457"/>
      <c r="ACR354" s="457"/>
      <c r="ACS354" s="457"/>
      <c r="ACT354" s="457"/>
      <c r="ACU354" s="457"/>
      <c r="ACV354" s="457"/>
    </row>
    <row r="355" spans="1:776" s="400" customFormat="1" x14ac:dyDescent="0.25">
      <c r="A355" s="576">
        <v>900068</v>
      </c>
      <c r="B355" s="405" t="str">
        <f>"-"&amp;TEXT((F355/62+G355/46+I355/35.5+J355/48+K355/97+L355/61),"0,00")&amp;"/+"&amp;TEXT((N355/39+O355/23+P355/20+Q355/12+H355/14),"0,00")&amp;"  (EC  "&amp;E355*10&amp;")"</f>
        <v>-145,81/+143,61  (EC  142,4)</v>
      </c>
      <c r="C355" s="405"/>
      <c r="D355" s="397">
        <v>7.2</v>
      </c>
      <c r="E355" s="397">
        <v>14.24</v>
      </c>
      <c r="F355" s="406">
        <v>57.67</v>
      </c>
      <c r="G355" s="397">
        <v>0.01</v>
      </c>
      <c r="H355" s="397">
        <v>0.15</v>
      </c>
      <c r="I355" s="399">
        <v>4581.7</v>
      </c>
      <c r="J355" s="397">
        <v>445.9</v>
      </c>
      <c r="K355" s="397">
        <v>9.1799999999999993E-2</v>
      </c>
      <c r="L355" s="397">
        <v>398.4</v>
      </c>
      <c r="M355" s="397">
        <v>0.01</v>
      </c>
      <c r="N355" s="397">
        <v>28.52</v>
      </c>
      <c r="O355" s="397">
        <v>2077.5</v>
      </c>
      <c r="P355" s="397">
        <v>507.8</v>
      </c>
      <c r="Q355" s="397">
        <v>325.77999999999997</v>
      </c>
      <c r="R355" s="34">
        <v>1.0000000000000001E-5</v>
      </c>
      <c r="S355" s="34">
        <v>1.0000000000000001E-5</v>
      </c>
      <c r="T355" s="34">
        <v>0.02</v>
      </c>
      <c r="U355" s="34">
        <v>0.13</v>
      </c>
      <c r="V355" s="397"/>
    </row>
    <row r="356" spans="1:776" s="400" customFormat="1" x14ac:dyDescent="0.25">
      <c r="A356" s="576">
        <v>900069</v>
      </c>
      <c r="B356" s="405" t="str">
        <f t="shared" si="11"/>
        <v>-10,42/+10,91  (EC  9,95)</v>
      </c>
      <c r="C356" s="405"/>
      <c r="D356" s="397">
        <v>7.46</v>
      </c>
      <c r="E356" s="397">
        <v>0.995</v>
      </c>
      <c r="F356" s="397">
        <v>11.2</v>
      </c>
      <c r="G356" s="397">
        <v>0.01</v>
      </c>
      <c r="H356" s="397">
        <v>0.05</v>
      </c>
      <c r="I356" s="399">
        <v>11.02</v>
      </c>
      <c r="J356" s="397">
        <v>177.9</v>
      </c>
      <c r="K356" s="397">
        <v>9.1799999999999993E-2</v>
      </c>
      <c r="L356" s="397">
        <v>379.6</v>
      </c>
      <c r="M356" s="397">
        <v>0.01</v>
      </c>
      <c r="N356" s="397">
        <v>1.81</v>
      </c>
      <c r="O356" s="397">
        <v>5.44</v>
      </c>
      <c r="P356" s="397">
        <v>147.16999999999999</v>
      </c>
      <c r="Q356" s="397">
        <v>39.200000000000003</v>
      </c>
      <c r="R356" s="34">
        <v>1.0000000000000001E-5</v>
      </c>
      <c r="S356" s="34">
        <v>1.0000000000000001E-5</v>
      </c>
      <c r="T356" s="34">
        <v>0.01</v>
      </c>
      <c r="U356" s="34">
        <v>1.0000000000000001E-5</v>
      </c>
      <c r="V356" s="397"/>
    </row>
    <row r="357" spans="1:776" s="400" customFormat="1" x14ac:dyDescent="0.25">
      <c r="A357" s="576">
        <v>900070</v>
      </c>
      <c r="B357" s="405" t="str">
        <f t="shared" si="11"/>
        <v>-42,73/+40,85  (EC  41,3)</v>
      </c>
      <c r="C357" s="405"/>
      <c r="D357" s="397">
        <v>7.88</v>
      </c>
      <c r="E357" s="397">
        <v>4.13</v>
      </c>
      <c r="F357" s="397">
        <v>16.8</v>
      </c>
      <c r="G357" s="397">
        <v>0.01</v>
      </c>
      <c r="H357" s="397">
        <v>0.09</v>
      </c>
      <c r="I357" s="399">
        <v>827.1</v>
      </c>
      <c r="J357" s="397">
        <v>81</v>
      </c>
      <c r="K357" s="397">
        <v>0.01</v>
      </c>
      <c r="L357" s="397">
        <v>1065.5999999999999</v>
      </c>
      <c r="M357" s="397">
        <v>0.01</v>
      </c>
      <c r="N357" s="397">
        <v>25.82</v>
      </c>
      <c r="O357" s="397">
        <v>853.34</v>
      </c>
      <c r="P357" s="397">
        <v>28.06</v>
      </c>
      <c r="Q357" s="397">
        <v>20.07</v>
      </c>
      <c r="R357" s="34">
        <v>1.0000000000000001E-5</v>
      </c>
      <c r="S357" s="34">
        <v>1.0000000000000001E-5</v>
      </c>
      <c r="T357" s="34">
        <v>0.06</v>
      </c>
      <c r="U357" s="34">
        <v>2.81</v>
      </c>
      <c r="V357" s="397"/>
    </row>
    <row r="358" spans="1:776" s="400" customFormat="1" x14ac:dyDescent="0.25">
      <c r="A358" s="576">
        <v>900071</v>
      </c>
      <c r="B358" s="405" t="str">
        <f t="shared" si="11"/>
        <v>-59,35/+59,52  (EC  60,9)</v>
      </c>
      <c r="C358" s="405"/>
      <c r="D358" s="397">
        <v>7.31</v>
      </c>
      <c r="E358" s="397">
        <v>6.09</v>
      </c>
      <c r="F358" s="397">
        <v>19.2</v>
      </c>
      <c r="G358" s="397">
        <v>0.01</v>
      </c>
      <c r="H358" s="397">
        <v>0.08</v>
      </c>
      <c r="I358" s="399">
        <v>808.9</v>
      </c>
      <c r="J358" s="397">
        <v>472.8</v>
      </c>
      <c r="K358" s="397">
        <v>6.1200000000000004E-2</v>
      </c>
      <c r="L358" s="397">
        <v>1610.4</v>
      </c>
      <c r="M358" s="397">
        <v>0.01</v>
      </c>
      <c r="N358" s="397">
        <v>94.32</v>
      </c>
      <c r="O358" s="397">
        <v>927.27</v>
      </c>
      <c r="P358" s="397">
        <v>156.27000000000001</v>
      </c>
      <c r="Q358" s="397">
        <v>107.58</v>
      </c>
      <c r="R358" s="34">
        <v>1.0000000000000001E-5</v>
      </c>
      <c r="S358" s="34">
        <v>1.0000000000000001E-5</v>
      </c>
      <c r="T358" s="34">
        <v>0.1</v>
      </c>
      <c r="U358" s="34">
        <v>0.12</v>
      </c>
      <c r="V358" s="397"/>
    </row>
    <row r="359" spans="1:776" s="400" customFormat="1" x14ac:dyDescent="0.25">
      <c r="A359" s="576">
        <v>900072</v>
      </c>
      <c r="B359" s="405" t="str">
        <f t="shared" si="11"/>
        <v>-7,23/+7,61  (EC  6,65)</v>
      </c>
      <c r="C359" s="405"/>
      <c r="D359" s="397">
        <v>8.01</v>
      </c>
      <c r="E359" s="397">
        <v>0.66500000000000004</v>
      </c>
      <c r="F359" s="397">
        <v>9.42</v>
      </c>
      <c r="G359" s="397">
        <v>0.01</v>
      </c>
      <c r="H359" s="397">
        <v>0.06</v>
      </c>
      <c r="I359" s="399">
        <v>31.22</v>
      </c>
      <c r="J359" s="397">
        <v>60.3</v>
      </c>
      <c r="K359" s="397">
        <v>3.0600000000000002E-2</v>
      </c>
      <c r="L359" s="397">
        <v>301.60000000000002</v>
      </c>
      <c r="M359" s="397">
        <v>0.01</v>
      </c>
      <c r="N359" s="397">
        <v>2.38</v>
      </c>
      <c r="O359" s="397">
        <v>32.31</v>
      </c>
      <c r="P359" s="397">
        <v>59.3</v>
      </c>
      <c r="Q359" s="397">
        <v>38.07</v>
      </c>
      <c r="R359" s="34">
        <v>1.0000000000000001E-5</v>
      </c>
      <c r="S359" s="34">
        <v>1.0000000000000001E-5</v>
      </c>
      <c r="T359" s="34">
        <v>1.0000000000000001E-5</v>
      </c>
      <c r="U359" s="34">
        <v>0.14000000000000001</v>
      </c>
      <c r="V359" s="397"/>
    </row>
    <row r="360" spans="1:776" s="400" customFormat="1" x14ac:dyDescent="0.25">
      <c r="A360" s="576">
        <v>900073</v>
      </c>
      <c r="B360" s="405" t="str">
        <f t="shared" si="11"/>
        <v>-88,27/+87,70  (EC  88,9)</v>
      </c>
      <c r="C360" s="405"/>
      <c r="D360" s="397">
        <v>7.1</v>
      </c>
      <c r="E360" s="397">
        <v>8.89</v>
      </c>
      <c r="F360" s="397">
        <v>77.69</v>
      </c>
      <c r="G360" s="397">
        <v>0.01</v>
      </c>
      <c r="H360" s="397">
        <v>0.09</v>
      </c>
      <c r="I360" s="399">
        <v>2792.4</v>
      </c>
      <c r="J360" s="397">
        <v>116.2</v>
      </c>
      <c r="K360" s="397">
        <v>3.0600000000000002E-2</v>
      </c>
      <c r="L360" s="397">
        <v>362.4</v>
      </c>
      <c r="M360" s="397">
        <v>0.01</v>
      </c>
      <c r="N360" s="397">
        <v>3.53</v>
      </c>
      <c r="O360" s="397">
        <v>936.86</v>
      </c>
      <c r="P360" s="397">
        <v>370.63</v>
      </c>
      <c r="Q360" s="397">
        <v>340.1</v>
      </c>
      <c r="R360" s="34">
        <v>1.0000000000000001E-5</v>
      </c>
      <c r="S360" s="34">
        <v>1.0000000000000001E-5</v>
      </c>
      <c r="T360" s="34">
        <v>1.0000000000000001E-5</v>
      </c>
      <c r="U360" s="34">
        <v>1.0000000000000001E-5</v>
      </c>
      <c r="V360" s="397"/>
    </row>
    <row r="361" spans="1:776" s="400" customFormat="1" x14ac:dyDescent="0.25">
      <c r="A361" s="576">
        <v>900074</v>
      </c>
      <c r="B361" s="405" t="str">
        <f t="shared" si="11"/>
        <v>-49,42/+50,29  (EC  50,5)</v>
      </c>
      <c r="C361" s="405"/>
      <c r="D361" s="397">
        <v>7.2</v>
      </c>
      <c r="E361" s="397">
        <v>5.05</v>
      </c>
      <c r="F361" s="397">
        <v>53.31</v>
      </c>
      <c r="G361" s="397">
        <v>0.01</v>
      </c>
      <c r="H361" s="397">
        <v>0.08</v>
      </c>
      <c r="I361" s="399">
        <v>1077.8</v>
      </c>
      <c r="J361" s="397">
        <v>656.5</v>
      </c>
      <c r="K361" s="397">
        <v>6.1200000000000004E-2</v>
      </c>
      <c r="L361" s="397">
        <v>276</v>
      </c>
      <c r="M361" s="397">
        <v>0.01</v>
      </c>
      <c r="N361" s="397">
        <v>7.04</v>
      </c>
      <c r="O361" s="397">
        <v>584.91</v>
      </c>
      <c r="P361" s="397">
        <v>333.97</v>
      </c>
      <c r="Q361" s="397">
        <v>95.73</v>
      </c>
      <c r="R361" s="34">
        <v>1.0000000000000001E-5</v>
      </c>
      <c r="S361" s="34">
        <v>1.0000000000000001E-5</v>
      </c>
      <c r="T361" s="34">
        <v>0.01</v>
      </c>
      <c r="U361" s="34">
        <v>1.78</v>
      </c>
      <c r="V361" s="397"/>
    </row>
    <row r="362" spans="1:776" s="400" customFormat="1" x14ac:dyDescent="0.25">
      <c r="A362" s="576">
        <v>900075</v>
      </c>
      <c r="B362" s="405" t="str">
        <f t="shared" si="11"/>
        <v>-10,19/+10,47  (EC  10,22)</v>
      </c>
      <c r="C362" s="405"/>
      <c r="D362" s="397">
        <v>7.57</v>
      </c>
      <c r="E362" s="397">
        <v>1.022</v>
      </c>
      <c r="F362" s="397">
        <v>45.87</v>
      </c>
      <c r="G362" s="397">
        <v>0.01</v>
      </c>
      <c r="H362" s="397">
        <v>0.04</v>
      </c>
      <c r="I362" s="399">
        <v>187.6</v>
      </c>
      <c r="J362" s="397">
        <v>11.3</v>
      </c>
      <c r="K362" s="397">
        <v>0.01</v>
      </c>
      <c r="L362" s="397">
        <v>240</v>
      </c>
      <c r="M362" s="397">
        <v>0.01</v>
      </c>
      <c r="N362" s="397">
        <v>2.0499999999999998</v>
      </c>
      <c r="O362" s="397">
        <v>107.98</v>
      </c>
      <c r="P362" s="397">
        <v>69.849999999999994</v>
      </c>
      <c r="Q362" s="397">
        <v>26.74</v>
      </c>
      <c r="R362" s="34">
        <v>1.0000000000000001E-5</v>
      </c>
      <c r="S362" s="34">
        <v>1.0000000000000001E-5</v>
      </c>
      <c r="T362" s="34">
        <v>1.0000000000000001E-5</v>
      </c>
      <c r="U362" s="34">
        <v>0.02</v>
      </c>
      <c r="V362" s="397"/>
    </row>
    <row r="363" spans="1:776" s="400" customFormat="1" x14ac:dyDescent="0.25">
      <c r="A363" s="576">
        <v>900076</v>
      </c>
      <c r="B363" s="405" t="str">
        <f t="shared" si="11"/>
        <v>-8,87/+9,40  (EC  9,1)</v>
      </c>
      <c r="C363" s="405"/>
      <c r="D363" s="397">
        <v>8.25</v>
      </c>
      <c r="E363" s="397">
        <v>0.91</v>
      </c>
      <c r="F363" s="397">
        <v>70.97</v>
      </c>
      <c r="G363" s="397">
        <v>0.01</v>
      </c>
      <c r="H363" s="397">
        <v>7.0000000000000007E-2</v>
      </c>
      <c r="I363" s="399">
        <v>141.69999999999999</v>
      </c>
      <c r="J363" s="397">
        <v>45</v>
      </c>
      <c r="K363" s="397">
        <v>3.0600000000000002E-2</v>
      </c>
      <c r="L363" s="397">
        <v>170.4</v>
      </c>
      <c r="M363" s="397">
        <v>0.01</v>
      </c>
      <c r="N363" s="397">
        <v>1.71</v>
      </c>
      <c r="O363" s="397">
        <v>104.89</v>
      </c>
      <c r="P363" s="397">
        <v>55.49</v>
      </c>
      <c r="Q363" s="397">
        <v>24.17</v>
      </c>
      <c r="R363" s="34">
        <v>1.0000000000000001E-5</v>
      </c>
      <c r="S363" s="34">
        <v>1.0000000000000001E-5</v>
      </c>
      <c r="T363" s="34">
        <v>1.0000000000000001E-5</v>
      </c>
      <c r="U363" s="34">
        <v>1.0000000000000001E-5</v>
      </c>
      <c r="V363" s="397"/>
    </row>
    <row r="364" spans="1:776" s="400" customFormat="1" x14ac:dyDescent="0.25">
      <c r="A364" s="576">
        <v>900077</v>
      </c>
      <c r="B364" s="405" t="str">
        <f t="shared" si="11"/>
        <v>-19,74/+19,14  (EC  18,7)</v>
      </c>
      <c r="C364" s="405"/>
      <c r="D364" s="397">
        <v>7.7</v>
      </c>
      <c r="E364" s="397">
        <v>1.87</v>
      </c>
      <c r="F364" s="397">
        <v>149.30000000000001</v>
      </c>
      <c r="G364" s="397">
        <v>0.01</v>
      </c>
      <c r="H364" s="397">
        <v>7.0000000000000007E-2</v>
      </c>
      <c r="I364" s="399">
        <v>401.4</v>
      </c>
      <c r="J364" s="397">
        <v>71.8</v>
      </c>
      <c r="K364" s="397">
        <v>6.1200000000000004E-2</v>
      </c>
      <c r="L364" s="397">
        <v>276</v>
      </c>
      <c r="M364" s="397">
        <v>0.01</v>
      </c>
      <c r="N364" s="397">
        <v>2.5</v>
      </c>
      <c r="O364" s="397">
        <v>155.54</v>
      </c>
      <c r="P364" s="397">
        <v>133.9</v>
      </c>
      <c r="Q364" s="397">
        <v>67.41</v>
      </c>
      <c r="R364" s="34">
        <v>1.0000000000000001E-5</v>
      </c>
      <c r="S364" s="34">
        <v>0.02</v>
      </c>
      <c r="T364" s="34">
        <v>0.01</v>
      </c>
      <c r="U364" s="34">
        <v>0.96</v>
      </c>
      <c r="V364" s="397"/>
    </row>
    <row r="365" spans="1:776" s="400" customFormat="1" x14ac:dyDescent="0.25">
      <c r="A365" s="576">
        <v>900078</v>
      </c>
      <c r="B365" s="405" t="str">
        <f t="shared" si="11"/>
        <v>-19,73/+18,90  (EC  18,5)</v>
      </c>
      <c r="C365" s="405"/>
      <c r="D365" s="397">
        <v>7.56</v>
      </c>
      <c r="E365" s="397">
        <v>1.85</v>
      </c>
      <c r="F365" s="397">
        <v>70.8</v>
      </c>
      <c r="G365" s="397">
        <v>0.01</v>
      </c>
      <c r="H365" s="397">
        <v>0.06</v>
      </c>
      <c r="I365" s="399">
        <v>309.3</v>
      </c>
      <c r="J365" s="397">
        <v>207</v>
      </c>
      <c r="K365" s="397">
        <v>0.01</v>
      </c>
      <c r="L365" s="397">
        <v>339.2</v>
      </c>
      <c r="M365" s="397">
        <v>0.01</v>
      </c>
      <c r="N365" s="397">
        <v>1.1399999999999999</v>
      </c>
      <c r="O365" s="397">
        <v>238.12</v>
      </c>
      <c r="P365" s="397">
        <v>103.25</v>
      </c>
      <c r="Q365" s="397">
        <v>40.26</v>
      </c>
      <c r="R365" s="34">
        <v>1.0000000000000001E-5</v>
      </c>
      <c r="S365" s="34">
        <v>0.34</v>
      </c>
      <c r="T365" s="34">
        <v>1.0000000000000001E-5</v>
      </c>
      <c r="U365" s="34">
        <v>0.02</v>
      </c>
      <c r="V365" s="397"/>
    </row>
    <row r="366" spans="1:776" s="400" customFormat="1" x14ac:dyDescent="0.25">
      <c r="A366" s="576">
        <v>900079</v>
      </c>
      <c r="B366" s="405" t="str">
        <f t="shared" si="11"/>
        <v>-7,84/+8,80  (EC  7,84)</v>
      </c>
      <c r="C366" s="405"/>
      <c r="D366" s="397">
        <v>7.6</v>
      </c>
      <c r="E366" s="397">
        <v>0.78400000000000003</v>
      </c>
      <c r="F366" s="397">
        <v>23.7</v>
      </c>
      <c r="G366" s="397">
        <v>0.01</v>
      </c>
      <c r="H366" s="397">
        <v>0.05</v>
      </c>
      <c r="I366" s="399">
        <v>16.23</v>
      </c>
      <c r="J366" s="397">
        <v>108.7</v>
      </c>
      <c r="K366" s="397">
        <v>0.01</v>
      </c>
      <c r="L366" s="397">
        <v>288.8</v>
      </c>
      <c r="M366" s="397">
        <v>0.01</v>
      </c>
      <c r="N366" s="397">
        <v>3.16</v>
      </c>
      <c r="O366" s="397">
        <v>15.77</v>
      </c>
      <c r="P366" s="397">
        <v>68.88</v>
      </c>
      <c r="Q366" s="397">
        <v>55.04</v>
      </c>
      <c r="R366" s="34">
        <v>1.0000000000000001E-5</v>
      </c>
      <c r="S366" s="34">
        <v>0.01</v>
      </c>
      <c r="T366" s="34">
        <v>0.03</v>
      </c>
      <c r="U366" s="34">
        <v>0.04</v>
      </c>
      <c r="V366" s="397"/>
    </row>
    <row r="367" spans="1:776" s="400" customFormat="1" x14ac:dyDescent="0.25">
      <c r="A367" s="576">
        <v>900080</v>
      </c>
      <c r="B367" s="447" t="str">
        <f t="shared" si="11"/>
        <v>-13,14/+13,72  (EC  13,6)</v>
      </c>
      <c r="C367" s="405"/>
      <c r="D367" s="397">
        <v>7.67</v>
      </c>
      <c r="E367" s="397">
        <v>1.36</v>
      </c>
      <c r="F367" s="399">
        <v>27.7</v>
      </c>
      <c r="G367" s="397">
        <v>0.01</v>
      </c>
      <c r="H367" s="397">
        <v>0.13</v>
      </c>
      <c r="I367" s="399">
        <v>265.68</v>
      </c>
      <c r="J367" s="397">
        <v>72.5</v>
      </c>
      <c r="K367" s="397">
        <v>0.01</v>
      </c>
      <c r="L367" s="397">
        <v>225.60000000000002</v>
      </c>
      <c r="M367" s="397">
        <v>0.01</v>
      </c>
      <c r="N367" s="397">
        <v>1.85</v>
      </c>
      <c r="O367" s="397">
        <v>133.47999999999999</v>
      </c>
      <c r="P367" s="397">
        <v>90.72</v>
      </c>
      <c r="Q367" s="397">
        <v>39.85</v>
      </c>
      <c r="R367" s="397">
        <v>1.0000000000000001E-5</v>
      </c>
      <c r="S367" s="397">
        <v>1.0000000000000001E-5</v>
      </c>
      <c r="T367" s="397">
        <v>1.0000000000000001E-5</v>
      </c>
      <c r="U367" s="397">
        <v>1.0000000000000001E-5</v>
      </c>
      <c r="V367" s="397"/>
    </row>
    <row r="368" spans="1:776" s="400" customFormat="1" x14ac:dyDescent="0.25">
      <c r="A368" s="576">
        <v>900081</v>
      </c>
      <c r="B368" s="447" t="str">
        <f t="shared" si="11"/>
        <v>-8,29/+8,99  (EC  7,86)</v>
      </c>
      <c r="C368" s="405"/>
      <c r="D368" s="397">
        <v>7.87</v>
      </c>
      <c r="E368" s="397">
        <v>0.78600000000000003</v>
      </c>
      <c r="F368" s="399">
        <v>28.14</v>
      </c>
      <c r="G368" s="397">
        <v>0.01</v>
      </c>
      <c r="H368" s="397">
        <v>0.1</v>
      </c>
      <c r="I368" s="399">
        <v>85.51</v>
      </c>
      <c r="J368" s="397">
        <v>22.3</v>
      </c>
      <c r="K368" s="397">
        <v>3.0599999999999999E-2</v>
      </c>
      <c r="L368" s="397">
        <v>302.39999999999998</v>
      </c>
      <c r="M368" s="397">
        <v>0.01</v>
      </c>
      <c r="N368" s="397">
        <v>2.48</v>
      </c>
      <c r="O368" s="397">
        <v>39.479999999999997</v>
      </c>
      <c r="P368" s="397">
        <v>70.36</v>
      </c>
      <c r="Q368" s="397">
        <v>44.19</v>
      </c>
      <c r="R368" s="397">
        <v>0.01</v>
      </c>
      <c r="S368" s="397">
        <v>1.0000000000000001E-5</v>
      </c>
      <c r="T368" s="397">
        <v>1.0000000000000001E-5</v>
      </c>
      <c r="U368" s="397">
        <v>0.04</v>
      </c>
      <c r="V368" s="397"/>
    </row>
    <row r="369" spans="1:776" s="400" customFormat="1" x14ac:dyDescent="0.25">
      <c r="A369" s="576">
        <v>900082</v>
      </c>
      <c r="B369" s="447" t="str">
        <f t="shared" si="11"/>
        <v>-11,33/+11,44  (EC  10,46)</v>
      </c>
      <c r="C369" s="405"/>
      <c r="D369" s="397">
        <v>7.5</v>
      </c>
      <c r="E369" s="397">
        <v>1.046</v>
      </c>
      <c r="F369" s="399">
        <v>42.32</v>
      </c>
      <c r="G369" s="397">
        <v>0.01</v>
      </c>
      <c r="H369" s="397">
        <v>0.15</v>
      </c>
      <c r="I369" s="399">
        <v>144.44999999999999</v>
      </c>
      <c r="J369" s="397">
        <v>9.6999999999999993</v>
      </c>
      <c r="K369" s="397">
        <v>3.0599999999999999E-2</v>
      </c>
      <c r="L369" s="397">
        <v>388.79999999999995</v>
      </c>
      <c r="M369" s="397">
        <v>0.01</v>
      </c>
      <c r="N369" s="397">
        <v>1.42</v>
      </c>
      <c r="O369" s="397">
        <v>102.65</v>
      </c>
      <c r="P369" s="397">
        <v>88.09</v>
      </c>
      <c r="Q369" s="397">
        <v>30.33</v>
      </c>
      <c r="R369" s="397">
        <v>1.0000000000000001E-5</v>
      </c>
      <c r="S369" s="397">
        <v>1.0000000000000001E-5</v>
      </c>
      <c r="T369" s="397">
        <v>1.0000000000000001E-5</v>
      </c>
      <c r="U369" s="397">
        <v>0.02</v>
      </c>
      <c r="V369" s="397"/>
    </row>
    <row r="370" spans="1:776" s="52" customFormat="1" x14ac:dyDescent="0.25">
      <c r="A370" s="477">
        <v>900083</v>
      </c>
      <c r="B370" s="250" t="str">
        <f t="shared" si="11"/>
        <v>-18,79/+18,11  (EC  16,6)</v>
      </c>
      <c r="C370" s="463"/>
      <c r="D370" s="250">
        <v>7.39</v>
      </c>
      <c r="E370" s="250">
        <v>1.66</v>
      </c>
      <c r="F370" s="464">
        <v>34.53</v>
      </c>
      <c r="G370" s="250">
        <v>0.01</v>
      </c>
      <c r="H370" s="250">
        <v>0.15</v>
      </c>
      <c r="I370" s="469">
        <v>212.48</v>
      </c>
      <c r="J370" s="250">
        <v>363</v>
      </c>
      <c r="K370" s="250">
        <v>3.0599999999999999E-2</v>
      </c>
      <c r="L370" s="250">
        <v>285.60000000000002</v>
      </c>
      <c r="M370" s="250">
        <v>0.01</v>
      </c>
      <c r="N370" s="250">
        <v>1.34</v>
      </c>
      <c r="O370" s="250">
        <v>172.99</v>
      </c>
      <c r="P370" s="250">
        <v>120.7</v>
      </c>
      <c r="Q370" s="250">
        <v>54.07</v>
      </c>
      <c r="R370" s="250">
        <v>1.0000000000000001E-5</v>
      </c>
      <c r="S370" s="250">
        <v>1.0000000000000001E-5</v>
      </c>
      <c r="T370" s="250">
        <v>1.0000000000000001E-5</v>
      </c>
      <c r="U370" s="250">
        <v>0.03</v>
      </c>
      <c r="V370" s="250"/>
    </row>
    <row r="371" spans="1:776" s="52" customFormat="1" x14ac:dyDescent="0.25">
      <c r="A371" s="477">
        <v>900084</v>
      </c>
      <c r="B371" s="250" t="str">
        <f t="shared" si="11"/>
        <v>-17,06/+17,01  (EC  16,46)</v>
      </c>
      <c r="C371" s="463"/>
      <c r="D371" s="250">
        <v>7.57</v>
      </c>
      <c r="E371" s="250">
        <v>1.6459999999999999</v>
      </c>
      <c r="F371" s="464">
        <v>36.020000000000003</v>
      </c>
      <c r="G371" s="250">
        <v>0.01</v>
      </c>
      <c r="H371" s="250">
        <v>0.08</v>
      </c>
      <c r="I371" s="469">
        <v>220.55</v>
      </c>
      <c r="J371" s="250">
        <v>253</v>
      </c>
      <c r="K371" s="250">
        <v>0.01</v>
      </c>
      <c r="L371" s="250">
        <v>304.8</v>
      </c>
      <c r="M371" s="250">
        <v>0.01</v>
      </c>
      <c r="N371" s="250">
        <v>1.27</v>
      </c>
      <c r="O371" s="250">
        <v>167.79</v>
      </c>
      <c r="P371" s="250">
        <v>107.26</v>
      </c>
      <c r="Q371" s="250">
        <v>51.71</v>
      </c>
      <c r="R371" s="250">
        <v>1.0000000000000001E-5</v>
      </c>
      <c r="S371" s="250">
        <v>1.0000000000000001E-5</v>
      </c>
      <c r="T371" s="250">
        <v>1.0000000000000001E-5</v>
      </c>
      <c r="U371" s="250">
        <v>1.0000000000000001E-5</v>
      </c>
      <c r="V371" s="250"/>
    </row>
    <row r="372" spans="1:776" s="52" customFormat="1" x14ac:dyDescent="0.25">
      <c r="A372" s="477">
        <v>900085</v>
      </c>
      <c r="B372" s="250" t="str">
        <f t="shared" si="11"/>
        <v>-11,16/+11,10  (EC  10,14)</v>
      </c>
      <c r="C372" s="463"/>
      <c r="D372" s="250">
        <v>7.98</v>
      </c>
      <c r="E372" s="250">
        <v>1.014</v>
      </c>
      <c r="F372" s="464">
        <v>5.77</v>
      </c>
      <c r="G372" s="250">
        <v>0.01</v>
      </c>
      <c r="H372" s="250">
        <v>0.14000000000000001</v>
      </c>
      <c r="I372" s="469">
        <v>105.59</v>
      </c>
      <c r="J372" s="250">
        <v>159.80000000000001</v>
      </c>
      <c r="K372" s="250">
        <v>3.0599999999999999E-2</v>
      </c>
      <c r="L372" s="250">
        <v>290.39999999999998</v>
      </c>
      <c r="M372" s="250">
        <v>0.01</v>
      </c>
      <c r="N372" s="250">
        <v>2.0299999999999998</v>
      </c>
      <c r="O372" s="250">
        <v>101.11</v>
      </c>
      <c r="P372" s="250">
        <v>66.11</v>
      </c>
      <c r="Q372" s="250">
        <v>40.090000000000003</v>
      </c>
      <c r="R372" s="250">
        <v>0.01</v>
      </c>
      <c r="S372" s="250">
        <v>1.0000000000000001E-5</v>
      </c>
      <c r="T372" s="250">
        <v>1.0000000000000001E-5</v>
      </c>
      <c r="U372" s="250">
        <v>1.0000000000000001E-5</v>
      </c>
      <c r="V372" s="250"/>
    </row>
    <row r="373" spans="1:776" s="52" customFormat="1" x14ac:dyDescent="0.25">
      <c r="A373" s="477">
        <v>900086</v>
      </c>
      <c r="B373" s="250" t="str">
        <f>"-"&amp;TEXT((F373/62+G373/46+I373/35.5+J373/48+K373/97+L373/61),"0,00")&amp;"/+"&amp;TEXT((N373/39+O373/23+P373/20+Q373/12+H373/14),"0,00")&amp;"  (EC  "&amp;E373*10&amp;")"</f>
        <v>-50,05/+51,95  (EC  51,6)</v>
      </c>
      <c r="C373" s="463"/>
      <c r="D373" s="250">
        <v>7.26</v>
      </c>
      <c r="E373" s="250">
        <v>5.16</v>
      </c>
      <c r="F373" s="464">
        <v>69.849999999999994</v>
      </c>
      <c r="G373" s="250">
        <v>0.01</v>
      </c>
      <c r="H373" s="250">
        <v>0.1</v>
      </c>
      <c r="I373" s="469">
        <v>605.54999999999995</v>
      </c>
      <c r="J373" s="250">
        <v>1350</v>
      </c>
      <c r="K373" s="250">
        <v>6.1200000000000004E-2</v>
      </c>
      <c r="L373" s="250">
        <v>228</v>
      </c>
      <c r="M373" s="250">
        <v>0.01</v>
      </c>
      <c r="N373" s="250">
        <v>6.12</v>
      </c>
      <c r="O373" s="250">
        <v>389.29</v>
      </c>
      <c r="P373" s="250">
        <v>512.6</v>
      </c>
      <c r="Q373" s="250">
        <v>110.79</v>
      </c>
      <c r="R373" s="250">
        <v>0.08</v>
      </c>
      <c r="S373" s="250">
        <v>1.0000000000000001E-5</v>
      </c>
      <c r="T373" s="250">
        <v>0.01</v>
      </c>
      <c r="U373" s="250">
        <v>0.04</v>
      </c>
      <c r="V373" s="250"/>
    </row>
    <row r="374" spans="1:776" s="400" customFormat="1" x14ac:dyDescent="0.25">
      <c r="A374" s="43">
        <v>900087</v>
      </c>
      <c r="B374" s="34" t="s">
        <v>203</v>
      </c>
      <c r="C374" s="455"/>
      <c r="D374" s="454" t="s">
        <v>204</v>
      </c>
      <c r="E374" s="454">
        <v>0.76100000000000001</v>
      </c>
      <c r="F374" s="458">
        <v>46</v>
      </c>
      <c r="G374" s="34">
        <v>0.01</v>
      </c>
      <c r="H374" s="454">
        <v>0.08</v>
      </c>
      <c r="I374" s="456">
        <v>10.039999999999999</v>
      </c>
      <c r="J374" s="458">
        <v>33.299999999999997</v>
      </c>
      <c r="K374" s="454">
        <v>0.01</v>
      </c>
      <c r="L374" s="454">
        <v>403.6</v>
      </c>
      <c r="M374" s="34">
        <v>0.01</v>
      </c>
      <c r="N374" s="454">
        <v>0.35</v>
      </c>
      <c r="O374" s="34">
        <v>2.2400000000000002</v>
      </c>
      <c r="P374" s="454">
        <v>76.77</v>
      </c>
      <c r="Q374" s="454">
        <v>52.65</v>
      </c>
      <c r="R374" s="34">
        <v>1.0000000000000001E-5</v>
      </c>
      <c r="S374" s="34">
        <v>1.0000000000000001E-5</v>
      </c>
      <c r="T374" s="34">
        <v>1.0000000000000001E-5</v>
      </c>
      <c r="U374" s="34">
        <v>1.0000000000000001E-5</v>
      </c>
      <c r="V374" s="454"/>
      <c r="W374" s="457"/>
      <c r="X374" s="457"/>
      <c r="Y374" s="457"/>
      <c r="Z374" s="457"/>
      <c r="AA374" s="457"/>
      <c r="AB374" s="457"/>
      <c r="AC374" s="457"/>
      <c r="AD374" s="457"/>
      <c r="AE374" s="457"/>
      <c r="AF374" s="457"/>
      <c r="AG374" s="457"/>
      <c r="AH374" s="457"/>
      <c r="AI374" s="457"/>
      <c r="AJ374" s="457"/>
      <c r="AK374" s="457"/>
      <c r="AL374" s="457"/>
      <c r="AM374" s="457"/>
      <c r="AN374" s="457"/>
      <c r="AO374" s="457"/>
      <c r="AP374" s="457"/>
      <c r="AQ374" s="457"/>
      <c r="AR374" s="457"/>
      <c r="AS374" s="457"/>
      <c r="AT374" s="457"/>
      <c r="AU374" s="457"/>
      <c r="AV374" s="457"/>
      <c r="AW374" s="457"/>
      <c r="AX374" s="457"/>
      <c r="AY374" s="457"/>
      <c r="AZ374" s="457"/>
      <c r="BA374" s="457"/>
      <c r="BB374" s="457"/>
      <c r="BC374" s="457"/>
      <c r="BD374" s="457"/>
      <c r="BE374" s="457"/>
      <c r="BF374" s="457"/>
      <c r="BG374" s="457"/>
      <c r="BH374" s="457"/>
      <c r="BI374" s="457"/>
      <c r="BJ374" s="457"/>
      <c r="BK374" s="457"/>
      <c r="BL374" s="457"/>
      <c r="BM374" s="457"/>
      <c r="BN374" s="457"/>
      <c r="BO374" s="457"/>
      <c r="BP374" s="457"/>
      <c r="BQ374" s="457"/>
      <c r="BR374" s="457"/>
      <c r="BS374" s="457"/>
      <c r="BT374" s="457"/>
      <c r="BU374" s="457"/>
      <c r="BV374" s="457"/>
      <c r="BW374" s="457"/>
      <c r="BX374" s="457"/>
      <c r="BY374" s="457"/>
      <c r="BZ374" s="457"/>
      <c r="CA374" s="457"/>
      <c r="CB374" s="457"/>
      <c r="CC374" s="457"/>
      <c r="CD374" s="457"/>
      <c r="CE374" s="457"/>
      <c r="CF374" s="457"/>
      <c r="CG374" s="457"/>
      <c r="CH374" s="457"/>
      <c r="CI374" s="457"/>
      <c r="CJ374" s="457"/>
      <c r="CK374" s="457"/>
      <c r="CL374" s="457"/>
      <c r="CM374" s="457"/>
      <c r="CN374" s="457"/>
      <c r="CO374" s="457"/>
      <c r="CP374" s="457"/>
      <c r="CQ374" s="457"/>
      <c r="CR374" s="457"/>
      <c r="CS374" s="457"/>
      <c r="CT374" s="457"/>
      <c r="CU374" s="457"/>
      <c r="CV374" s="457"/>
      <c r="CW374" s="457"/>
      <c r="CX374" s="457"/>
      <c r="CY374" s="457"/>
      <c r="CZ374" s="457"/>
      <c r="DA374" s="457"/>
      <c r="DB374" s="457"/>
      <c r="DC374" s="457"/>
      <c r="DD374" s="457"/>
      <c r="DE374" s="457"/>
      <c r="DF374" s="457"/>
      <c r="DG374" s="457"/>
      <c r="DH374" s="457"/>
      <c r="DI374" s="457"/>
      <c r="DJ374" s="457"/>
      <c r="DK374" s="457"/>
      <c r="DL374" s="457"/>
      <c r="DM374" s="457"/>
      <c r="DN374" s="457"/>
      <c r="DO374" s="457"/>
      <c r="DP374" s="457"/>
      <c r="DQ374" s="457"/>
      <c r="DR374" s="457"/>
      <c r="DS374" s="457"/>
      <c r="DT374" s="457"/>
      <c r="DU374" s="457"/>
      <c r="DV374" s="457"/>
      <c r="DW374" s="457"/>
      <c r="DX374" s="457"/>
      <c r="DY374" s="457"/>
      <c r="DZ374" s="457"/>
      <c r="EA374" s="457"/>
      <c r="EB374" s="457"/>
      <c r="EC374" s="457"/>
      <c r="ED374" s="457"/>
      <c r="EE374" s="457"/>
      <c r="EF374" s="457"/>
      <c r="EG374" s="457"/>
      <c r="EH374" s="457"/>
      <c r="EI374" s="457"/>
      <c r="EJ374" s="457"/>
      <c r="EK374" s="457"/>
      <c r="EL374" s="457"/>
      <c r="EM374" s="457"/>
      <c r="EN374" s="457"/>
      <c r="EO374" s="457"/>
      <c r="EP374" s="457"/>
      <c r="EQ374" s="457"/>
      <c r="ER374" s="457"/>
      <c r="ES374" s="457"/>
      <c r="ET374" s="457"/>
      <c r="EU374" s="457"/>
      <c r="EV374" s="457"/>
      <c r="EW374" s="457"/>
      <c r="EX374" s="457"/>
      <c r="EY374" s="457"/>
      <c r="EZ374" s="457"/>
      <c r="FA374" s="457"/>
      <c r="FB374" s="457"/>
      <c r="FC374" s="457"/>
      <c r="FD374" s="457"/>
      <c r="FE374" s="457"/>
      <c r="FF374" s="457"/>
      <c r="FG374" s="457"/>
      <c r="FH374" s="457"/>
      <c r="FI374" s="457"/>
      <c r="FJ374" s="457"/>
      <c r="FK374" s="457"/>
      <c r="FL374" s="457"/>
      <c r="FM374" s="457"/>
      <c r="FN374" s="457"/>
      <c r="FO374" s="457"/>
      <c r="FP374" s="457"/>
      <c r="FQ374" s="457"/>
      <c r="FR374" s="457"/>
      <c r="FS374" s="457"/>
      <c r="FT374" s="457"/>
      <c r="FU374" s="457"/>
      <c r="FV374" s="457"/>
      <c r="FW374" s="457"/>
      <c r="FX374" s="457"/>
      <c r="FY374" s="457"/>
      <c r="FZ374" s="457"/>
      <c r="GA374" s="457"/>
      <c r="GB374" s="457"/>
      <c r="GC374" s="457"/>
      <c r="GD374" s="457"/>
      <c r="GE374" s="457"/>
      <c r="GF374" s="457"/>
      <c r="GG374" s="457"/>
      <c r="GH374" s="457"/>
      <c r="GI374" s="457"/>
      <c r="GJ374" s="457"/>
      <c r="GK374" s="457"/>
      <c r="GL374" s="457"/>
      <c r="GM374" s="457"/>
      <c r="GN374" s="457"/>
      <c r="GO374" s="457"/>
      <c r="GP374" s="457"/>
      <c r="GQ374" s="457"/>
      <c r="GR374" s="457"/>
      <c r="GS374" s="457"/>
      <c r="GT374" s="457"/>
      <c r="GU374" s="457"/>
      <c r="GV374" s="457"/>
      <c r="GW374" s="457"/>
      <c r="GX374" s="457"/>
      <c r="GY374" s="457"/>
      <c r="GZ374" s="457"/>
      <c r="HA374" s="457"/>
      <c r="HB374" s="457"/>
      <c r="HC374" s="457"/>
      <c r="HD374" s="457"/>
      <c r="HE374" s="457"/>
      <c r="HF374" s="457"/>
      <c r="HG374" s="457"/>
      <c r="HH374" s="457"/>
      <c r="HI374" s="457"/>
      <c r="HJ374" s="457"/>
      <c r="HK374" s="457"/>
      <c r="HL374" s="457"/>
      <c r="HM374" s="457"/>
      <c r="HN374" s="457"/>
      <c r="HO374" s="457"/>
      <c r="HP374" s="457"/>
      <c r="HQ374" s="457"/>
      <c r="HR374" s="457"/>
      <c r="HS374" s="457"/>
      <c r="HT374" s="457"/>
      <c r="HU374" s="457"/>
      <c r="HV374" s="457"/>
      <c r="HW374" s="457"/>
      <c r="HX374" s="457"/>
      <c r="HY374" s="457"/>
      <c r="HZ374" s="457"/>
      <c r="IA374" s="457"/>
      <c r="IB374" s="457"/>
      <c r="IC374" s="457"/>
      <c r="ID374" s="457"/>
      <c r="IE374" s="457"/>
      <c r="IF374" s="457"/>
      <c r="IG374" s="457"/>
      <c r="IH374" s="457"/>
      <c r="II374" s="457"/>
      <c r="IJ374" s="457"/>
      <c r="IK374" s="457"/>
      <c r="IL374" s="457"/>
      <c r="IM374" s="457"/>
      <c r="IN374" s="457"/>
      <c r="IO374" s="457"/>
      <c r="IP374" s="457"/>
      <c r="IQ374" s="457"/>
      <c r="IR374" s="457"/>
      <c r="IS374" s="457"/>
      <c r="IT374" s="457"/>
      <c r="IU374" s="457"/>
      <c r="IV374" s="457"/>
      <c r="IW374" s="457"/>
      <c r="IX374" s="457"/>
      <c r="IY374" s="457"/>
      <c r="IZ374" s="457"/>
      <c r="JA374" s="457"/>
      <c r="JB374" s="457"/>
      <c r="JC374" s="457"/>
      <c r="JD374" s="457"/>
      <c r="JE374" s="457"/>
      <c r="JF374" s="457"/>
      <c r="JG374" s="457"/>
      <c r="JH374" s="457"/>
      <c r="JI374" s="457"/>
      <c r="JJ374" s="457"/>
      <c r="JK374" s="457"/>
      <c r="JL374" s="457"/>
      <c r="JM374" s="457"/>
      <c r="JN374" s="457"/>
      <c r="JO374" s="457"/>
      <c r="JP374" s="457"/>
      <c r="JQ374" s="457"/>
      <c r="JR374" s="457"/>
      <c r="JS374" s="457"/>
      <c r="JT374" s="457"/>
      <c r="JU374" s="457"/>
      <c r="JV374" s="457"/>
      <c r="JW374" s="457"/>
      <c r="JX374" s="457"/>
      <c r="JY374" s="457"/>
      <c r="JZ374" s="457"/>
      <c r="KA374" s="457"/>
      <c r="KB374" s="457"/>
      <c r="KC374" s="457"/>
      <c r="KD374" s="457"/>
      <c r="KE374" s="457"/>
      <c r="KF374" s="457"/>
      <c r="KG374" s="457"/>
      <c r="KH374" s="457"/>
      <c r="KI374" s="457"/>
      <c r="KJ374" s="457"/>
      <c r="KK374" s="457"/>
      <c r="KL374" s="457"/>
      <c r="KM374" s="457"/>
      <c r="KN374" s="457"/>
      <c r="KO374" s="457"/>
      <c r="KP374" s="457"/>
      <c r="KQ374" s="457"/>
      <c r="KR374" s="457"/>
      <c r="KS374" s="457"/>
      <c r="KT374" s="457"/>
      <c r="KU374" s="457"/>
      <c r="KV374" s="457"/>
      <c r="KW374" s="457"/>
      <c r="KX374" s="457"/>
      <c r="KY374" s="457"/>
      <c r="KZ374" s="457"/>
      <c r="LA374" s="457"/>
      <c r="LB374" s="457"/>
      <c r="LC374" s="457"/>
      <c r="LD374" s="457"/>
      <c r="LE374" s="457"/>
      <c r="LF374" s="457"/>
      <c r="LG374" s="457"/>
      <c r="LH374" s="457"/>
      <c r="LI374" s="457"/>
      <c r="LJ374" s="457"/>
      <c r="LK374" s="457"/>
      <c r="LL374" s="457"/>
      <c r="LM374" s="457"/>
      <c r="LN374" s="457"/>
      <c r="LO374" s="457"/>
      <c r="LP374" s="457"/>
      <c r="LQ374" s="457"/>
      <c r="LR374" s="457"/>
      <c r="LS374" s="457"/>
      <c r="LT374" s="457"/>
      <c r="LU374" s="457"/>
      <c r="LV374" s="457"/>
      <c r="LW374" s="457"/>
      <c r="LX374" s="457"/>
      <c r="LY374" s="457"/>
      <c r="LZ374" s="457"/>
      <c r="MA374" s="457"/>
      <c r="MB374" s="457"/>
      <c r="MC374" s="457"/>
      <c r="MD374" s="457"/>
      <c r="ME374" s="457"/>
      <c r="MF374" s="457"/>
      <c r="MG374" s="457"/>
      <c r="MH374" s="457"/>
      <c r="MI374" s="457"/>
      <c r="MJ374" s="457"/>
      <c r="MK374" s="457"/>
      <c r="ML374" s="457"/>
      <c r="MM374" s="457"/>
      <c r="MN374" s="457"/>
      <c r="MO374" s="457"/>
      <c r="MP374" s="457"/>
      <c r="MQ374" s="457"/>
      <c r="MR374" s="457"/>
      <c r="MS374" s="457"/>
      <c r="MT374" s="457"/>
      <c r="MU374" s="457"/>
      <c r="MV374" s="457"/>
      <c r="MW374" s="457"/>
      <c r="MX374" s="457"/>
      <c r="MY374" s="457"/>
      <c r="MZ374" s="457"/>
      <c r="NA374" s="457"/>
      <c r="NB374" s="457"/>
      <c r="NC374" s="457"/>
      <c r="ND374" s="457"/>
      <c r="NE374" s="457"/>
      <c r="NF374" s="457"/>
      <c r="NG374" s="457"/>
      <c r="NH374" s="457"/>
      <c r="NI374" s="457"/>
      <c r="NJ374" s="457"/>
      <c r="NK374" s="457"/>
      <c r="NL374" s="457"/>
      <c r="NM374" s="457"/>
      <c r="NN374" s="457"/>
      <c r="NO374" s="457"/>
      <c r="NP374" s="457"/>
      <c r="NQ374" s="457"/>
      <c r="NR374" s="457"/>
      <c r="NS374" s="457"/>
      <c r="NT374" s="457"/>
      <c r="NU374" s="457"/>
      <c r="NV374" s="457"/>
      <c r="NW374" s="457"/>
      <c r="NX374" s="457"/>
      <c r="NY374" s="457"/>
      <c r="NZ374" s="457"/>
      <c r="OA374" s="457"/>
      <c r="OB374" s="457"/>
      <c r="OC374" s="457"/>
      <c r="OD374" s="457"/>
      <c r="OE374" s="457"/>
      <c r="OF374" s="457"/>
      <c r="OG374" s="457"/>
      <c r="OH374" s="457"/>
      <c r="OI374" s="457"/>
      <c r="OJ374" s="457"/>
      <c r="OK374" s="457"/>
      <c r="OL374" s="457"/>
      <c r="OM374" s="457"/>
      <c r="ON374" s="457"/>
      <c r="OO374" s="457"/>
      <c r="OP374" s="457"/>
      <c r="OQ374" s="457"/>
      <c r="OR374" s="457"/>
      <c r="OS374" s="457"/>
      <c r="OT374" s="457"/>
      <c r="OU374" s="457"/>
      <c r="OV374" s="457"/>
      <c r="OW374" s="457"/>
      <c r="OX374" s="457"/>
      <c r="OY374" s="457"/>
      <c r="OZ374" s="457"/>
      <c r="PA374" s="457"/>
      <c r="PB374" s="457"/>
      <c r="PC374" s="457"/>
      <c r="PD374" s="457"/>
      <c r="PE374" s="457"/>
      <c r="PF374" s="457"/>
      <c r="PG374" s="457"/>
      <c r="PH374" s="457"/>
      <c r="PI374" s="457"/>
      <c r="PJ374" s="457"/>
      <c r="PK374" s="457"/>
      <c r="PL374" s="457"/>
      <c r="PM374" s="457"/>
      <c r="PN374" s="457"/>
      <c r="PO374" s="457"/>
      <c r="PP374" s="457"/>
      <c r="PQ374" s="457"/>
      <c r="PR374" s="457"/>
      <c r="PS374" s="457"/>
      <c r="PT374" s="457"/>
      <c r="PU374" s="457"/>
      <c r="PV374" s="457"/>
      <c r="PW374" s="457"/>
      <c r="PX374" s="457"/>
      <c r="PY374" s="457"/>
      <c r="PZ374" s="457"/>
      <c r="QA374" s="457"/>
      <c r="QB374" s="457"/>
      <c r="QC374" s="457"/>
      <c r="QD374" s="457"/>
      <c r="QE374" s="457"/>
      <c r="QF374" s="457"/>
      <c r="QG374" s="457"/>
      <c r="QH374" s="457"/>
      <c r="QI374" s="457"/>
      <c r="QJ374" s="457"/>
      <c r="QK374" s="457"/>
      <c r="QL374" s="457"/>
      <c r="QM374" s="457"/>
      <c r="QN374" s="457"/>
      <c r="QO374" s="457"/>
      <c r="QP374" s="457"/>
      <c r="QQ374" s="457"/>
      <c r="QR374" s="457"/>
      <c r="QS374" s="457"/>
      <c r="QT374" s="457"/>
      <c r="QU374" s="457"/>
      <c r="QV374" s="457"/>
      <c r="QW374" s="457"/>
      <c r="QX374" s="457"/>
      <c r="QY374" s="457"/>
      <c r="QZ374" s="457"/>
      <c r="RA374" s="457"/>
      <c r="RB374" s="457"/>
      <c r="RC374" s="457"/>
      <c r="RD374" s="457"/>
      <c r="RE374" s="457"/>
      <c r="RF374" s="457"/>
      <c r="RG374" s="457"/>
      <c r="RH374" s="457"/>
      <c r="RI374" s="457"/>
      <c r="RJ374" s="457"/>
      <c r="RK374" s="457"/>
      <c r="RL374" s="457"/>
      <c r="RM374" s="457"/>
      <c r="RN374" s="457"/>
      <c r="RO374" s="457"/>
      <c r="RP374" s="457"/>
      <c r="RQ374" s="457"/>
      <c r="RR374" s="457"/>
      <c r="RS374" s="457"/>
      <c r="RT374" s="457"/>
      <c r="RU374" s="457"/>
      <c r="RV374" s="457"/>
      <c r="RW374" s="457"/>
      <c r="RX374" s="457"/>
      <c r="RY374" s="457"/>
      <c r="RZ374" s="457"/>
      <c r="SA374" s="457"/>
      <c r="SB374" s="457"/>
      <c r="SC374" s="457"/>
      <c r="SD374" s="457"/>
      <c r="SE374" s="457"/>
      <c r="SF374" s="457"/>
      <c r="SG374" s="457"/>
      <c r="SH374" s="457"/>
      <c r="SI374" s="457"/>
      <c r="SJ374" s="457"/>
      <c r="SK374" s="457"/>
      <c r="SL374" s="457"/>
      <c r="SM374" s="457"/>
      <c r="SN374" s="457"/>
      <c r="SO374" s="457"/>
      <c r="SP374" s="457"/>
      <c r="SQ374" s="457"/>
      <c r="SR374" s="457"/>
      <c r="SS374" s="457"/>
      <c r="ST374" s="457"/>
      <c r="SU374" s="457"/>
      <c r="SV374" s="457"/>
      <c r="SW374" s="457"/>
      <c r="SX374" s="457"/>
      <c r="SY374" s="457"/>
      <c r="SZ374" s="457"/>
      <c r="TA374" s="457"/>
      <c r="TB374" s="457"/>
      <c r="TC374" s="457"/>
      <c r="TD374" s="457"/>
      <c r="TE374" s="457"/>
      <c r="TF374" s="457"/>
      <c r="TG374" s="457"/>
      <c r="TH374" s="457"/>
      <c r="TI374" s="457"/>
      <c r="TJ374" s="457"/>
      <c r="TK374" s="457"/>
      <c r="TL374" s="457"/>
      <c r="TM374" s="457"/>
      <c r="TN374" s="457"/>
      <c r="TO374" s="457"/>
      <c r="TP374" s="457"/>
      <c r="TQ374" s="457"/>
      <c r="TR374" s="457"/>
      <c r="TS374" s="457"/>
      <c r="TT374" s="457"/>
      <c r="TU374" s="457"/>
      <c r="TV374" s="457"/>
      <c r="TW374" s="457"/>
      <c r="TX374" s="457"/>
      <c r="TY374" s="457"/>
      <c r="TZ374" s="457"/>
      <c r="UA374" s="457"/>
      <c r="UB374" s="457"/>
      <c r="UC374" s="457"/>
      <c r="UD374" s="457"/>
      <c r="UE374" s="457"/>
      <c r="UF374" s="457"/>
      <c r="UG374" s="457"/>
      <c r="UH374" s="457"/>
      <c r="UI374" s="457"/>
      <c r="UJ374" s="457"/>
      <c r="UK374" s="457"/>
      <c r="UL374" s="457"/>
      <c r="UM374" s="457"/>
      <c r="UN374" s="457"/>
      <c r="UO374" s="457"/>
      <c r="UP374" s="457"/>
      <c r="UQ374" s="457"/>
      <c r="UR374" s="457"/>
      <c r="US374" s="457"/>
      <c r="UT374" s="457"/>
      <c r="UU374" s="457"/>
      <c r="UV374" s="457"/>
      <c r="UW374" s="457"/>
      <c r="UX374" s="457"/>
      <c r="UY374" s="457"/>
      <c r="UZ374" s="457"/>
      <c r="VA374" s="457"/>
      <c r="VB374" s="457"/>
      <c r="VC374" s="457"/>
      <c r="VD374" s="457"/>
      <c r="VE374" s="457"/>
      <c r="VF374" s="457"/>
      <c r="VG374" s="457"/>
      <c r="VH374" s="457"/>
      <c r="VI374" s="457"/>
      <c r="VJ374" s="457"/>
      <c r="VK374" s="457"/>
      <c r="VL374" s="457"/>
      <c r="VM374" s="457"/>
      <c r="VN374" s="457"/>
      <c r="VO374" s="457"/>
      <c r="VP374" s="457"/>
      <c r="VQ374" s="457"/>
      <c r="VR374" s="457"/>
      <c r="VS374" s="457"/>
      <c r="VT374" s="457"/>
      <c r="VU374" s="457"/>
      <c r="VV374" s="457"/>
      <c r="VW374" s="457"/>
      <c r="VX374" s="457"/>
      <c r="VY374" s="457"/>
      <c r="VZ374" s="457"/>
      <c r="WA374" s="457"/>
      <c r="WB374" s="457"/>
      <c r="WC374" s="457"/>
      <c r="WD374" s="457"/>
      <c r="WE374" s="457"/>
      <c r="WF374" s="457"/>
      <c r="WG374" s="457"/>
      <c r="WH374" s="457"/>
      <c r="WI374" s="457"/>
      <c r="WJ374" s="457"/>
      <c r="WK374" s="457"/>
      <c r="WL374" s="457"/>
      <c r="WM374" s="457"/>
      <c r="WN374" s="457"/>
      <c r="WO374" s="457"/>
      <c r="WP374" s="457"/>
      <c r="WQ374" s="457"/>
      <c r="WR374" s="457"/>
      <c r="WS374" s="457"/>
      <c r="WT374" s="457"/>
      <c r="WU374" s="457"/>
      <c r="WV374" s="457"/>
      <c r="WW374" s="457"/>
      <c r="WX374" s="457"/>
      <c r="WY374" s="457"/>
      <c r="WZ374" s="457"/>
      <c r="XA374" s="457"/>
      <c r="XB374" s="457"/>
      <c r="XC374" s="457"/>
      <c r="XD374" s="457"/>
      <c r="XE374" s="457"/>
      <c r="XF374" s="457"/>
      <c r="XG374" s="457"/>
      <c r="XH374" s="457"/>
      <c r="XI374" s="457"/>
      <c r="XJ374" s="457"/>
      <c r="XK374" s="457"/>
      <c r="XL374" s="457"/>
      <c r="XM374" s="457"/>
      <c r="XN374" s="457"/>
      <c r="XO374" s="457"/>
      <c r="XP374" s="457"/>
      <c r="XQ374" s="457"/>
      <c r="XR374" s="457"/>
      <c r="XS374" s="457"/>
      <c r="XT374" s="457"/>
      <c r="XU374" s="457"/>
      <c r="XV374" s="457"/>
      <c r="XW374" s="457"/>
      <c r="XX374" s="457"/>
      <c r="XY374" s="457"/>
      <c r="XZ374" s="457"/>
      <c r="YA374" s="457"/>
      <c r="YB374" s="457"/>
      <c r="YC374" s="457"/>
      <c r="YD374" s="457"/>
      <c r="YE374" s="457"/>
      <c r="YF374" s="457"/>
      <c r="YG374" s="457"/>
      <c r="YH374" s="457"/>
      <c r="YI374" s="457"/>
      <c r="YJ374" s="457"/>
      <c r="YK374" s="457"/>
      <c r="YL374" s="457"/>
      <c r="YM374" s="457"/>
      <c r="YN374" s="457"/>
      <c r="YO374" s="457"/>
      <c r="YP374" s="457"/>
      <c r="YQ374" s="457"/>
      <c r="YR374" s="457"/>
      <c r="YS374" s="457"/>
      <c r="YT374" s="457"/>
      <c r="YU374" s="457"/>
      <c r="YV374" s="457"/>
      <c r="YW374" s="457"/>
      <c r="YX374" s="457"/>
      <c r="YY374" s="457"/>
      <c r="YZ374" s="457"/>
      <c r="ZA374" s="457"/>
      <c r="ZB374" s="457"/>
      <c r="ZC374" s="457"/>
      <c r="ZD374" s="457"/>
      <c r="ZE374" s="457"/>
      <c r="ZF374" s="457"/>
      <c r="ZG374" s="457"/>
      <c r="ZH374" s="457"/>
      <c r="ZI374" s="457"/>
      <c r="ZJ374" s="457"/>
      <c r="ZK374" s="457"/>
      <c r="ZL374" s="457"/>
      <c r="ZM374" s="457"/>
      <c r="ZN374" s="457"/>
      <c r="ZO374" s="457"/>
      <c r="ZP374" s="457"/>
      <c r="ZQ374" s="457"/>
      <c r="ZR374" s="457"/>
      <c r="ZS374" s="457"/>
      <c r="ZT374" s="457"/>
      <c r="ZU374" s="457"/>
      <c r="ZV374" s="457"/>
      <c r="ZW374" s="457"/>
      <c r="ZX374" s="457"/>
      <c r="ZY374" s="457"/>
      <c r="ZZ374" s="457"/>
      <c r="AAA374" s="457"/>
      <c r="AAB374" s="457"/>
      <c r="AAC374" s="457"/>
      <c r="AAD374" s="457"/>
      <c r="AAE374" s="457"/>
      <c r="AAF374" s="457"/>
      <c r="AAG374" s="457"/>
      <c r="AAH374" s="457"/>
      <c r="AAI374" s="457"/>
      <c r="AAJ374" s="457"/>
      <c r="AAK374" s="457"/>
      <c r="AAL374" s="457"/>
      <c r="AAM374" s="457"/>
      <c r="AAN374" s="457"/>
      <c r="AAO374" s="457"/>
      <c r="AAP374" s="457"/>
      <c r="AAQ374" s="457"/>
      <c r="AAR374" s="457"/>
      <c r="AAS374" s="457"/>
      <c r="AAT374" s="457"/>
      <c r="AAU374" s="457"/>
      <c r="AAV374" s="457"/>
      <c r="AAW374" s="457"/>
      <c r="AAX374" s="457"/>
      <c r="AAY374" s="457"/>
      <c r="AAZ374" s="457"/>
      <c r="ABA374" s="457"/>
      <c r="ABB374" s="457"/>
      <c r="ABC374" s="457"/>
      <c r="ABD374" s="457"/>
      <c r="ABE374" s="457"/>
      <c r="ABF374" s="457"/>
      <c r="ABG374" s="457"/>
      <c r="ABH374" s="457"/>
      <c r="ABI374" s="457"/>
      <c r="ABJ374" s="457"/>
      <c r="ABK374" s="457"/>
      <c r="ABL374" s="457"/>
      <c r="ABM374" s="457"/>
      <c r="ABN374" s="457"/>
      <c r="ABO374" s="457"/>
      <c r="ABP374" s="457"/>
      <c r="ABQ374" s="457"/>
      <c r="ABR374" s="457"/>
      <c r="ABS374" s="457"/>
      <c r="ABT374" s="457"/>
      <c r="ABU374" s="457"/>
      <c r="ABV374" s="457"/>
      <c r="ABW374" s="457"/>
      <c r="ABX374" s="457"/>
      <c r="ABY374" s="457"/>
      <c r="ABZ374" s="457"/>
      <c r="ACA374" s="457"/>
      <c r="ACB374" s="457"/>
      <c r="ACC374" s="457"/>
      <c r="ACD374" s="457"/>
      <c r="ACE374" s="457"/>
      <c r="ACF374" s="457"/>
      <c r="ACG374" s="457"/>
      <c r="ACH374" s="457"/>
      <c r="ACI374" s="457"/>
      <c r="ACJ374" s="457"/>
      <c r="ACK374" s="457"/>
      <c r="ACL374" s="457"/>
      <c r="ACM374" s="457"/>
      <c r="ACN374" s="457"/>
      <c r="ACO374" s="457"/>
      <c r="ACP374" s="457"/>
      <c r="ACQ374" s="457"/>
      <c r="ACR374" s="457"/>
      <c r="ACS374" s="457"/>
      <c r="ACT374" s="457"/>
      <c r="ACU374" s="457"/>
      <c r="ACV374" s="457"/>
    </row>
    <row r="375" spans="1:776" s="400" customFormat="1" x14ac:dyDescent="0.25">
      <c r="A375" s="43">
        <v>900088</v>
      </c>
      <c r="B375" s="34" t="s">
        <v>205</v>
      </c>
      <c r="C375" s="455"/>
      <c r="D375" s="454" t="s">
        <v>206</v>
      </c>
      <c r="E375" s="454">
        <v>0.79600000000000004</v>
      </c>
      <c r="F375" s="458">
        <v>46.8</v>
      </c>
      <c r="G375" s="34">
        <v>0.01</v>
      </c>
      <c r="H375" s="454">
        <v>0.05</v>
      </c>
      <c r="I375" s="456">
        <v>11.35</v>
      </c>
      <c r="J375" s="458">
        <v>9.8000000000000007</v>
      </c>
      <c r="K375" s="454">
        <v>0.01</v>
      </c>
      <c r="L375" s="454">
        <v>432.4</v>
      </c>
      <c r="M375" s="34">
        <v>0.01</v>
      </c>
      <c r="N375" s="454">
        <v>0.45</v>
      </c>
      <c r="O375" s="34">
        <v>3.28</v>
      </c>
      <c r="P375" s="454">
        <v>70.849999999999994</v>
      </c>
      <c r="Q375" s="454">
        <v>55.35</v>
      </c>
      <c r="R375" s="34">
        <v>1.0000000000000001E-5</v>
      </c>
      <c r="S375" s="34">
        <v>1.0000000000000001E-5</v>
      </c>
      <c r="T375" s="34">
        <v>1.0000000000000001E-5</v>
      </c>
      <c r="U375" s="34">
        <v>1.0000000000000001E-5</v>
      </c>
      <c r="V375" s="454"/>
      <c r="W375" s="457"/>
      <c r="X375" s="457"/>
      <c r="Y375" s="457"/>
      <c r="Z375" s="457"/>
      <c r="AA375" s="457"/>
      <c r="AB375" s="457"/>
      <c r="AC375" s="457"/>
      <c r="AD375" s="457"/>
      <c r="AE375" s="457"/>
      <c r="AF375" s="457"/>
      <c r="AG375" s="457"/>
      <c r="AH375" s="457"/>
      <c r="AI375" s="457"/>
      <c r="AJ375" s="457"/>
      <c r="AK375" s="457"/>
      <c r="AL375" s="457"/>
      <c r="AM375" s="457"/>
      <c r="AN375" s="457"/>
      <c r="AO375" s="457"/>
      <c r="AP375" s="457"/>
      <c r="AQ375" s="457"/>
      <c r="AR375" s="457"/>
      <c r="AS375" s="457"/>
      <c r="AT375" s="457"/>
      <c r="AU375" s="457"/>
      <c r="AV375" s="457"/>
      <c r="AW375" s="457"/>
      <c r="AX375" s="457"/>
      <c r="AY375" s="457"/>
      <c r="AZ375" s="457"/>
      <c r="BA375" s="457"/>
      <c r="BB375" s="457"/>
      <c r="BC375" s="457"/>
      <c r="BD375" s="457"/>
      <c r="BE375" s="457"/>
      <c r="BF375" s="457"/>
      <c r="BG375" s="457"/>
      <c r="BH375" s="457"/>
      <c r="BI375" s="457"/>
      <c r="BJ375" s="457"/>
      <c r="BK375" s="457"/>
      <c r="BL375" s="457"/>
      <c r="BM375" s="457"/>
      <c r="BN375" s="457"/>
      <c r="BO375" s="457"/>
      <c r="BP375" s="457"/>
      <c r="BQ375" s="457"/>
      <c r="BR375" s="457"/>
      <c r="BS375" s="457"/>
      <c r="BT375" s="457"/>
      <c r="BU375" s="457"/>
      <c r="BV375" s="457"/>
      <c r="BW375" s="457"/>
      <c r="BX375" s="457"/>
      <c r="BY375" s="457"/>
      <c r="BZ375" s="457"/>
      <c r="CA375" s="457"/>
      <c r="CB375" s="457"/>
      <c r="CC375" s="457"/>
      <c r="CD375" s="457"/>
      <c r="CE375" s="457"/>
      <c r="CF375" s="457"/>
      <c r="CG375" s="457"/>
      <c r="CH375" s="457"/>
      <c r="CI375" s="457"/>
      <c r="CJ375" s="457"/>
      <c r="CK375" s="457"/>
      <c r="CL375" s="457"/>
      <c r="CM375" s="457"/>
      <c r="CN375" s="457"/>
      <c r="CO375" s="457"/>
      <c r="CP375" s="457"/>
      <c r="CQ375" s="457"/>
      <c r="CR375" s="457"/>
      <c r="CS375" s="457"/>
      <c r="CT375" s="457"/>
      <c r="CU375" s="457"/>
      <c r="CV375" s="457"/>
      <c r="CW375" s="457"/>
      <c r="CX375" s="457"/>
      <c r="CY375" s="457"/>
      <c r="CZ375" s="457"/>
      <c r="DA375" s="457"/>
      <c r="DB375" s="457"/>
      <c r="DC375" s="457"/>
      <c r="DD375" s="457"/>
      <c r="DE375" s="457"/>
      <c r="DF375" s="457"/>
      <c r="DG375" s="457"/>
      <c r="DH375" s="457"/>
      <c r="DI375" s="457"/>
      <c r="DJ375" s="457"/>
      <c r="DK375" s="457"/>
      <c r="DL375" s="457"/>
      <c r="DM375" s="457"/>
      <c r="DN375" s="457"/>
      <c r="DO375" s="457"/>
      <c r="DP375" s="457"/>
      <c r="DQ375" s="457"/>
      <c r="DR375" s="457"/>
      <c r="DS375" s="457"/>
      <c r="DT375" s="457"/>
      <c r="DU375" s="457"/>
      <c r="DV375" s="457"/>
      <c r="DW375" s="457"/>
      <c r="DX375" s="457"/>
      <c r="DY375" s="457"/>
      <c r="DZ375" s="457"/>
      <c r="EA375" s="457"/>
      <c r="EB375" s="457"/>
      <c r="EC375" s="457"/>
      <c r="ED375" s="457"/>
      <c r="EE375" s="457"/>
      <c r="EF375" s="457"/>
      <c r="EG375" s="457"/>
      <c r="EH375" s="457"/>
      <c r="EI375" s="457"/>
      <c r="EJ375" s="457"/>
      <c r="EK375" s="457"/>
      <c r="EL375" s="457"/>
      <c r="EM375" s="457"/>
      <c r="EN375" s="457"/>
      <c r="EO375" s="457"/>
      <c r="EP375" s="457"/>
      <c r="EQ375" s="457"/>
      <c r="ER375" s="457"/>
      <c r="ES375" s="457"/>
      <c r="ET375" s="457"/>
      <c r="EU375" s="457"/>
      <c r="EV375" s="457"/>
      <c r="EW375" s="457"/>
      <c r="EX375" s="457"/>
      <c r="EY375" s="457"/>
      <c r="EZ375" s="457"/>
      <c r="FA375" s="457"/>
      <c r="FB375" s="457"/>
      <c r="FC375" s="457"/>
      <c r="FD375" s="457"/>
      <c r="FE375" s="457"/>
      <c r="FF375" s="457"/>
      <c r="FG375" s="457"/>
      <c r="FH375" s="457"/>
      <c r="FI375" s="457"/>
      <c r="FJ375" s="457"/>
      <c r="FK375" s="457"/>
      <c r="FL375" s="457"/>
      <c r="FM375" s="457"/>
      <c r="FN375" s="457"/>
      <c r="FO375" s="457"/>
      <c r="FP375" s="457"/>
      <c r="FQ375" s="457"/>
      <c r="FR375" s="457"/>
      <c r="FS375" s="457"/>
      <c r="FT375" s="457"/>
      <c r="FU375" s="457"/>
      <c r="FV375" s="457"/>
      <c r="FW375" s="457"/>
      <c r="FX375" s="457"/>
      <c r="FY375" s="457"/>
      <c r="FZ375" s="457"/>
      <c r="GA375" s="457"/>
      <c r="GB375" s="457"/>
      <c r="GC375" s="457"/>
      <c r="GD375" s="457"/>
      <c r="GE375" s="457"/>
      <c r="GF375" s="457"/>
      <c r="GG375" s="457"/>
      <c r="GH375" s="457"/>
      <c r="GI375" s="457"/>
      <c r="GJ375" s="457"/>
      <c r="GK375" s="457"/>
      <c r="GL375" s="457"/>
      <c r="GM375" s="457"/>
      <c r="GN375" s="457"/>
      <c r="GO375" s="457"/>
      <c r="GP375" s="457"/>
      <c r="GQ375" s="457"/>
      <c r="GR375" s="457"/>
      <c r="GS375" s="457"/>
      <c r="GT375" s="457"/>
      <c r="GU375" s="457"/>
      <c r="GV375" s="457"/>
      <c r="GW375" s="457"/>
      <c r="GX375" s="457"/>
      <c r="GY375" s="457"/>
      <c r="GZ375" s="457"/>
      <c r="HA375" s="457"/>
      <c r="HB375" s="457"/>
      <c r="HC375" s="457"/>
      <c r="HD375" s="457"/>
      <c r="HE375" s="457"/>
      <c r="HF375" s="457"/>
      <c r="HG375" s="457"/>
      <c r="HH375" s="457"/>
      <c r="HI375" s="457"/>
      <c r="HJ375" s="457"/>
      <c r="HK375" s="457"/>
      <c r="HL375" s="457"/>
      <c r="HM375" s="457"/>
      <c r="HN375" s="457"/>
      <c r="HO375" s="457"/>
      <c r="HP375" s="457"/>
      <c r="HQ375" s="457"/>
      <c r="HR375" s="457"/>
      <c r="HS375" s="457"/>
      <c r="HT375" s="457"/>
      <c r="HU375" s="457"/>
      <c r="HV375" s="457"/>
      <c r="HW375" s="457"/>
      <c r="HX375" s="457"/>
      <c r="HY375" s="457"/>
      <c r="HZ375" s="457"/>
      <c r="IA375" s="457"/>
      <c r="IB375" s="457"/>
      <c r="IC375" s="457"/>
      <c r="ID375" s="457"/>
      <c r="IE375" s="457"/>
      <c r="IF375" s="457"/>
      <c r="IG375" s="457"/>
      <c r="IH375" s="457"/>
      <c r="II375" s="457"/>
      <c r="IJ375" s="457"/>
      <c r="IK375" s="457"/>
      <c r="IL375" s="457"/>
      <c r="IM375" s="457"/>
      <c r="IN375" s="457"/>
      <c r="IO375" s="457"/>
      <c r="IP375" s="457"/>
      <c r="IQ375" s="457"/>
      <c r="IR375" s="457"/>
      <c r="IS375" s="457"/>
      <c r="IT375" s="457"/>
      <c r="IU375" s="457"/>
      <c r="IV375" s="457"/>
      <c r="IW375" s="457"/>
      <c r="IX375" s="457"/>
      <c r="IY375" s="457"/>
      <c r="IZ375" s="457"/>
      <c r="JA375" s="457"/>
      <c r="JB375" s="457"/>
      <c r="JC375" s="457"/>
      <c r="JD375" s="457"/>
      <c r="JE375" s="457"/>
      <c r="JF375" s="457"/>
      <c r="JG375" s="457"/>
      <c r="JH375" s="457"/>
      <c r="JI375" s="457"/>
      <c r="JJ375" s="457"/>
      <c r="JK375" s="457"/>
      <c r="JL375" s="457"/>
      <c r="JM375" s="457"/>
      <c r="JN375" s="457"/>
      <c r="JO375" s="457"/>
      <c r="JP375" s="457"/>
      <c r="JQ375" s="457"/>
      <c r="JR375" s="457"/>
      <c r="JS375" s="457"/>
      <c r="JT375" s="457"/>
      <c r="JU375" s="457"/>
      <c r="JV375" s="457"/>
      <c r="JW375" s="457"/>
      <c r="JX375" s="457"/>
      <c r="JY375" s="457"/>
      <c r="JZ375" s="457"/>
      <c r="KA375" s="457"/>
      <c r="KB375" s="457"/>
      <c r="KC375" s="457"/>
      <c r="KD375" s="457"/>
      <c r="KE375" s="457"/>
      <c r="KF375" s="457"/>
      <c r="KG375" s="457"/>
      <c r="KH375" s="457"/>
      <c r="KI375" s="457"/>
      <c r="KJ375" s="457"/>
      <c r="KK375" s="457"/>
      <c r="KL375" s="457"/>
      <c r="KM375" s="457"/>
      <c r="KN375" s="457"/>
      <c r="KO375" s="457"/>
      <c r="KP375" s="457"/>
      <c r="KQ375" s="457"/>
      <c r="KR375" s="457"/>
      <c r="KS375" s="457"/>
      <c r="KT375" s="457"/>
      <c r="KU375" s="457"/>
      <c r="KV375" s="457"/>
      <c r="KW375" s="457"/>
      <c r="KX375" s="457"/>
      <c r="KY375" s="457"/>
      <c r="KZ375" s="457"/>
      <c r="LA375" s="457"/>
      <c r="LB375" s="457"/>
      <c r="LC375" s="457"/>
      <c r="LD375" s="457"/>
      <c r="LE375" s="457"/>
      <c r="LF375" s="457"/>
      <c r="LG375" s="457"/>
      <c r="LH375" s="457"/>
      <c r="LI375" s="457"/>
      <c r="LJ375" s="457"/>
      <c r="LK375" s="457"/>
      <c r="LL375" s="457"/>
      <c r="LM375" s="457"/>
      <c r="LN375" s="457"/>
      <c r="LO375" s="457"/>
      <c r="LP375" s="457"/>
      <c r="LQ375" s="457"/>
      <c r="LR375" s="457"/>
      <c r="LS375" s="457"/>
      <c r="LT375" s="457"/>
      <c r="LU375" s="457"/>
      <c r="LV375" s="457"/>
      <c r="LW375" s="457"/>
      <c r="LX375" s="457"/>
      <c r="LY375" s="457"/>
      <c r="LZ375" s="457"/>
      <c r="MA375" s="457"/>
      <c r="MB375" s="457"/>
      <c r="MC375" s="457"/>
      <c r="MD375" s="457"/>
      <c r="ME375" s="457"/>
      <c r="MF375" s="457"/>
      <c r="MG375" s="457"/>
      <c r="MH375" s="457"/>
      <c r="MI375" s="457"/>
      <c r="MJ375" s="457"/>
      <c r="MK375" s="457"/>
      <c r="ML375" s="457"/>
      <c r="MM375" s="457"/>
      <c r="MN375" s="457"/>
      <c r="MO375" s="457"/>
      <c r="MP375" s="457"/>
      <c r="MQ375" s="457"/>
      <c r="MR375" s="457"/>
      <c r="MS375" s="457"/>
      <c r="MT375" s="457"/>
      <c r="MU375" s="457"/>
      <c r="MV375" s="457"/>
      <c r="MW375" s="457"/>
      <c r="MX375" s="457"/>
      <c r="MY375" s="457"/>
      <c r="MZ375" s="457"/>
      <c r="NA375" s="457"/>
      <c r="NB375" s="457"/>
      <c r="NC375" s="457"/>
      <c r="ND375" s="457"/>
      <c r="NE375" s="457"/>
      <c r="NF375" s="457"/>
      <c r="NG375" s="457"/>
      <c r="NH375" s="457"/>
      <c r="NI375" s="457"/>
      <c r="NJ375" s="457"/>
      <c r="NK375" s="457"/>
      <c r="NL375" s="457"/>
      <c r="NM375" s="457"/>
      <c r="NN375" s="457"/>
      <c r="NO375" s="457"/>
      <c r="NP375" s="457"/>
      <c r="NQ375" s="457"/>
      <c r="NR375" s="457"/>
      <c r="NS375" s="457"/>
      <c r="NT375" s="457"/>
      <c r="NU375" s="457"/>
      <c r="NV375" s="457"/>
      <c r="NW375" s="457"/>
      <c r="NX375" s="457"/>
      <c r="NY375" s="457"/>
      <c r="NZ375" s="457"/>
      <c r="OA375" s="457"/>
      <c r="OB375" s="457"/>
      <c r="OC375" s="457"/>
      <c r="OD375" s="457"/>
      <c r="OE375" s="457"/>
      <c r="OF375" s="457"/>
      <c r="OG375" s="457"/>
      <c r="OH375" s="457"/>
      <c r="OI375" s="457"/>
      <c r="OJ375" s="457"/>
      <c r="OK375" s="457"/>
      <c r="OL375" s="457"/>
      <c r="OM375" s="457"/>
      <c r="ON375" s="457"/>
      <c r="OO375" s="457"/>
      <c r="OP375" s="457"/>
      <c r="OQ375" s="457"/>
      <c r="OR375" s="457"/>
      <c r="OS375" s="457"/>
      <c r="OT375" s="457"/>
      <c r="OU375" s="457"/>
      <c r="OV375" s="457"/>
      <c r="OW375" s="457"/>
      <c r="OX375" s="457"/>
      <c r="OY375" s="457"/>
      <c r="OZ375" s="457"/>
      <c r="PA375" s="457"/>
      <c r="PB375" s="457"/>
      <c r="PC375" s="457"/>
      <c r="PD375" s="457"/>
      <c r="PE375" s="457"/>
      <c r="PF375" s="457"/>
      <c r="PG375" s="457"/>
      <c r="PH375" s="457"/>
      <c r="PI375" s="457"/>
      <c r="PJ375" s="457"/>
      <c r="PK375" s="457"/>
      <c r="PL375" s="457"/>
      <c r="PM375" s="457"/>
      <c r="PN375" s="457"/>
      <c r="PO375" s="457"/>
      <c r="PP375" s="457"/>
      <c r="PQ375" s="457"/>
      <c r="PR375" s="457"/>
      <c r="PS375" s="457"/>
      <c r="PT375" s="457"/>
      <c r="PU375" s="457"/>
      <c r="PV375" s="457"/>
      <c r="PW375" s="457"/>
      <c r="PX375" s="457"/>
      <c r="PY375" s="457"/>
      <c r="PZ375" s="457"/>
      <c r="QA375" s="457"/>
      <c r="QB375" s="457"/>
      <c r="QC375" s="457"/>
      <c r="QD375" s="457"/>
      <c r="QE375" s="457"/>
      <c r="QF375" s="457"/>
      <c r="QG375" s="457"/>
      <c r="QH375" s="457"/>
      <c r="QI375" s="457"/>
      <c r="QJ375" s="457"/>
      <c r="QK375" s="457"/>
      <c r="QL375" s="457"/>
      <c r="QM375" s="457"/>
      <c r="QN375" s="457"/>
      <c r="QO375" s="457"/>
      <c r="QP375" s="457"/>
      <c r="QQ375" s="457"/>
      <c r="QR375" s="457"/>
      <c r="QS375" s="457"/>
      <c r="QT375" s="457"/>
      <c r="QU375" s="457"/>
      <c r="QV375" s="457"/>
      <c r="QW375" s="457"/>
      <c r="QX375" s="457"/>
      <c r="QY375" s="457"/>
      <c r="QZ375" s="457"/>
      <c r="RA375" s="457"/>
      <c r="RB375" s="457"/>
      <c r="RC375" s="457"/>
      <c r="RD375" s="457"/>
      <c r="RE375" s="457"/>
      <c r="RF375" s="457"/>
      <c r="RG375" s="457"/>
      <c r="RH375" s="457"/>
      <c r="RI375" s="457"/>
      <c r="RJ375" s="457"/>
      <c r="RK375" s="457"/>
      <c r="RL375" s="457"/>
      <c r="RM375" s="457"/>
      <c r="RN375" s="457"/>
      <c r="RO375" s="457"/>
      <c r="RP375" s="457"/>
      <c r="RQ375" s="457"/>
      <c r="RR375" s="457"/>
      <c r="RS375" s="457"/>
      <c r="RT375" s="457"/>
      <c r="RU375" s="457"/>
      <c r="RV375" s="457"/>
      <c r="RW375" s="457"/>
      <c r="RX375" s="457"/>
      <c r="RY375" s="457"/>
      <c r="RZ375" s="457"/>
      <c r="SA375" s="457"/>
      <c r="SB375" s="457"/>
      <c r="SC375" s="457"/>
      <c r="SD375" s="457"/>
      <c r="SE375" s="457"/>
      <c r="SF375" s="457"/>
      <c r="SG375" s="457"/>
      <c r="SH375" s="457"/>
      <c r="SI375" s="457"/>
      <c r="SJ375" s="457"/>
      <c r="SK375" s="457"/>
      <c r="SL375" s="457"/>
      <c r="SM375" s="457"/>
      <c r="SN375" s="457"/>
      <c r="SO375" s="457"/>
      <c r="SP375" s="457"/>
      <c r="SQ375" s="457"/>
      <c r="SR375" s="457"/>
      <c r="SS375" s="457"/>
      <c r="ST375" s="457"/>
      <c r="SU375" s="457"/>
      <c r="SV375" s="457"/>
      <c r="SW375" s="457"/>
      <c r="SX375" s="457"/>
      <c r="SY375" s="457"/>
      <c r="SZ375" s="457"/>
      <c r="TA375" s="457"/>
      <c r="TB375" s="457"/>
      <c r="TC375" s="457"/>
      <c r="TD375" s="457"/>
      <c r="TE375" s="457"/>
      <c r="TF375" s="457"/>
      <c r="TG375" s="457"/>
      <c r="TH375" s="457"/>
      <c r="TI375" s="457"/>
      <c r="TJ375" s="457"/>
      <c r="TK375" s="457"/>
      <c r="TL375" s="457"/>
      <c r="TM375" s="457"/>
      <c r="TN375" s="457"/>
      <c r="TO375" s="457"/>
      <c r="TP375" s="457"/>
      <c r="TQ375" s="457"/>
      <c r="TR375" s="457"/>
      <c r="TS375" s="457"/>
      <c r="TT375" s="457"/>
      <c r="TU375" s="457"/>
      <c r="TV375" s="457"/>
      <c r="TW375" s="457"/>
      <c r="TX375" s="457"/>
      <c r="TY375" s="457"/>
      <c r="TZ375" s="457"/>
      <c r="UA375" s="457"/>
      <c r="UB375" s="457"/>
      <c r="UC375" s="457"/>
      <c r="UD375" s="457"/>
      <c r="UE375" s="457"/>
      <c r="UF375" s="457"/>
      <c r="UG375" s="457"/>
      <c r="UH375" s="457"/>
      <c r="UI375" s="457"/>
      <c r="UJ375" s="457"/>
      <c r="UK375" s="457"/>
      <c r="UL375" s="457"/>
      <c r="UM375" s="457"/>
      <c r="UN375" s="457"/>
      <c r="UO375" s="457"/>
      <c r="UP375" s="457"/>
      <c r="UQ375" s="457"/>
      <c r="UR375" s="457"/>
      <c r="US375" s="457"/>
      <c r="UT375" s="457"/>
      <c r="UU375" s="457"/>
      <c r="UV375" s="457"/>
      <c r="UW375" s="457"/>
      <c r="UX375" s="457"/>
      <c r="UY375" s="457"/>
      <c r="UZ375" s="457"/>
      <c r="VA375" s="457"/>
      <c r="VB375" s="457"/>
      <c r="VC375" s="457"/>
      <c r="VD375" s="457"/>
      <c r="VE375" s="457"/>
      <c r="VF375" s="457"/>
      <c r="VG375" s="457"/>
      <c r="VH375" s="457"/>
      <c r="VI375" s="457"/>
      <c r="VJ375" s="457"/>
      <c r="VK375" s="457"/>
      <c r="VL375" s="457"/>
      <c r="VM375" s="457"/>
      <c r="VN375" s="457"/>
      <c r="VO375" s="457"/>
      <c r="VP375" s="457"/>
      <c r="VQ375" s="457"/>
      <c r="VR375" s="457"/>
      <c r="VS375" s="457"/>
      <c r="VT375" s="457"/>
      <c r="VU375" s="457"/>
      <c r="VV375" s="457"/>
      <c r="VW375" s="457"/>
      <c r="VX375" s="457"/>
      <c r="VY375" s="457"/>
      <c r="VZ375" s="457"/>
      <c r="WA375" s="457"/>
      <c r="WB375" s="457"/>
      <c r="WC375" s="457"/>
      <c r="WD375" s="457"/>
      <c r="WE375" s="457"/>
      <c r="WF375" s="457"/>
      <c r="WG375" s="457"/>
      <c r="WH375" s="457"/>
      <c r="WI375" s="457"/>
      <c r="WJ375" s="457"/>
      <c r="WK375" s="457"/>
      <c r="WL375" s="457"/>
      <c r="WM375" s="457"/>
      <c r="WN375" s="457"/>
      <c r="WO375" s="457"/>
      <c r="WP375" s="457"/>
      <c r="WQ375" s="457"/>
      <c r="WR375" s="457"/>
      <c r="WS375" s="457"/>
      <c r="WT375" s="457"/>
      <c r="WU375" s="457"/>
      <c r="WV375" s="457"/>
      <c r="WW375" s="457"/>
      <c r="WX375" s="457"/>
      <c r="WY375" s="457"/>
      <c r="WZ375" s="457"/>
      <c r="XA375" s="457"/>
      <c r="XB375" s="457"/>
      <c r="XC375" s="457"/>
      <c r="XD375" s="457"/>
      <c r="XE375" s="457"/>
      <c r="XF375" s="457"/>
      <c r="XG375" s="457"/>
      <c r="XH375" s="457"/>
      <c r="XI375" s="457"/>
      <c r="XJ375" s="457"/>
      <c r="XK375" s="457"/>
      <c r="XL375" s="457"/>
      <c r="XM375" s="457"/>
      <c r="XN375" s="457"/>
      <c r="XO375" s="457"/>
      <c r="XP375" s="457"/>
      <c r="XQ375" s="457"/>
      <c r="XR375" s="457"/>
      <c r="XS375" s="457"/>
      <c r="XT375" s="457"/>
      <c r="XU375" s="457"/>
      <c r="XV375" s="457"/>
      <c r="XW375" s="457"/>
      <c r="XX375" s="457"/>
      <c r="XY375" s="457"/>
      <c r="XZ375" s="457"/>
      <c r="YA375" s="457"/>
      <c r="YB375" s="457"/>
      <c r="YC375" s="457"/>
      <c r="YD375" s="457"/>
      <c r="YE375" s="457"/>
      <c r="YF375" s="457"/>
      <c r="YG375" s="457"/>
      <c r="YH375" s="457"/>
      <c r="YI375" s="457"/>
      <c r="YJ375" s="457"/>
      <c r="YK375" s="457"/>
      <c r="YL375" s="457"/>
      <c r="YM375" s="457"/>
      <c r="YN375" s="457"/>
      <c r="YO375" s="457"/>
      <c r="YP375" s="457"/>
      <c r="YQ375" s="457"/>
      <c r="YR375" s="457"/>
      <c r="YS375" s="457"/>
      <c r="YT375" s="457"/>
      <c r="YU375" s="457"/>
      <c r="YV375" s="457"/>
      <c r="YW375" s="457"/>
      <c r="YX375" s="457"/>
      <c r="YY375" s="457"/>
      <c r="YZ375" s="457"/>
      <c r="ZA375" s="457"/>
      <c r="ZB375" s="457"/>
      <c r="ZC375" s="457"/>
      <c r="ZD375" s="457"/>
      <c r="ZE375" s="457"/>
      <c r="ZF375" s="457"/>
      <c r="ZG375" s="457"/>
      <c r="ZH375" s="457"/>
      <c r="ZI375" s="457"/>
      <c r="ZJ375" s="457"/>
      <c r="ZK375" s="457"/>
      <c r="ZL375" s="457"/>
      <c r="ZM375" s="457"/>
      <c r="ZN375" s="457"/>
      <c r="ZO375" s="457"/>
      <c r="ZP375" s="457"/>
      <c r="ZQ375" s="457"/>
      <c r="ZR375" s="457"/>
      <c r="ZS375" s="457"/>
      <c r="ZT375" s="457"/>
      <c r="ZU375" s="457"/>
      <c r="ZV375" s="457"/>
      <c r="ZW375" s="457"/>
      <c r="ZX375" s="457"/>
      <c r="ZY375" s="457"/>
      <c r="ZZ375" s="457"/>
      <c r="AAA375" s="457"/>
      <c r="AAB375" s="457"/>
      <c r="AAC375" s="457"/>
      <c r="AAD375" s="457"/>
      <c r="AAE375" s="457"/>
      <c r="AAF375" s="457"/>
      <c r="AAG375" s="457"/>
      <c r="AAH375" s="457"/>
      <c r="AAI375" s="457"/>
      <c r="AAJ375" s="457"/>
      <c r="AAK375" s="457"/>
      <c r="AAL375" s="457"/>
      <c r="AAM375" s="457"/>
      <c r="AAN375" s="457"/>
      <c r="AAO375" s="457"/>
      <c r="AAP375" s="457"/>
      <c r="AAQ375" s="457"/>
      <c r="AAR375" s="457"/>
      <c r="AAS375" s="457"/>
      <c r="AAT375" s="457"/>
      <c r="AAU375" s="457"/>
      <c r="AAV375" s="457"/>
      <c r="AAW375" s="457"/>
      <c r="AAX375" s="457"/>
      <c r="AAY375" s="457"/>
      <c r="AAZ375" s="457"/>
      <c r="ABA375" s="457"/>
      <c r="ABB375" s="457"/>
      <c r="ABC375" s="457"/>
      <c r="ABD375" s="457"/>
      <c r="ABE375" s="457"/>
      <c r="ABF375" s="457"/>
      <c r="ABG375" s="457"/>
      <c r="ABH375" s="457"/>
      <c r="ABI375" s="457"/>
      <c r="ABJ375" s="457"/>
      <c r="ABK375" s="457"/>
      <c r="ABL375" s="457"/>
      <c r="ABM375" s="457"/>
      <c r="ABN375" s="457"/>
      <c r="ABO375" s="457"/>
      <c r="ABP375" s="457"/>
      <c r="ABQ375" s="457"/>
      <c r="ABR375" s="457"/>
      <c r="ABS375" s="457"/>
      <c r="ABT375" s="457"/>
      <c r="ABU375" s="457"/>
      <c r="ABV375" s="457"/>
      <c r="ABW375" s="457"/>
      <c r="ABX375" s="457"/>
      <c r="ABY375" s="457"/>
      <c r="ABZ375" s="457"/>
      <c r="ACA375" s="457"/>
      <c r="ACB375" s="457"/>
      <c r="ACC375" s="457"/>
      <c r="ACD375" s="457"/>
      <c r="ACE375" s="457"/>
      <c r="ACF375" s="457"/>
      <c r="ACG375" s="457"/>
      <c r="ACH375" s="457"/>
      <c r="ACI375" s="457"/>
      <c r="ACJ375" s="457"/>
      <c r="ACK375" s="457"/>
      <c r="ACL375" s="457"/>
      <c r="ACM375" s="457"/>
      <c r="ACN375" s="457"/>
      <c r="ACO375" s="457"/>
      <c r="ACP375" s="457"/>
      <c r="ACQ375" s="457"/>
      <c r="ACR375" s="457"/>
      <c r="ACS375" s="457"/>
      <c r="ACT375" s="457"/>
      <c r="ACU375" s="457"/>
      <c r="ACV375" s="457"/>
    </row>
    <row r="376" spans="1:776" s="400" customFormat="1" x14ac:dyDescent="0.25">
      <c r="A376" s="43">
        <v>900089</v>
      </c>
      <c r="B376" s="34" t="s">
        <v>207</v>
      </c>
      <c r="C376" s="455"/>
      <c r="D376" s="454" t="s">
        <v>208</v>
      </c>
      <c r="E376" s="454">
        <v>8.74</v>
      </c>
      <c r="F376" s="458">
        <v>58.9</v>
      </c>
      <c r="G376" s="34">
        <v>0.01</v>
      </c>
      <c r="H376" s="454">
        <v>0.09</v>
      </c>
      <c r="I376" s="456">
        <v>2085</v>
      </c>
      <c r="J376" s="458">
        <v>945</v>
      </c>
      <c r="K376" s="454">
        <v>0.01</v>
      </c>
      <c r="L376" s="454">
        <v>453.6</v>
      </c>
      <c r="M376" s="34">
        <v>0.01</v>
      </c>
      <c r="N376" s="454">
        <v>15.85</v>
      </c>
      <c r="O376" s="34">
        <v>1349.5</v>
      </c>
      <c r="P376" s="454">
        <v>219.04</v>
      </c>
      <c r="Q376" s="454">
        <v>199.66</v>
      </c>
      <c r="R376" s="34">
        <v>1.0000000000000001E-5</v>
      </c>
      <c r="S376" s="34">
        <v>1.0000000000000001E-5</v>
      </c>
      <c r="T376" s="34">
        <v>1.0000000000000001E-5</v>
      </c>
      <c r="U376" s="34">
        <v>1.0000000000000001E-5</v>
      </c>
      <c r="V376" s="454"/>
      <c r="W376" s="457"/>
      <c r="X376" s="457"/>
      <c r="Y376" s="457"/>
      <c r="Z376" s="457"/>
      <c r="AA376" s="457"/>
      <c r="AB376" s="457"/>
      <c r="AC376" s="457"/>
      <c r="AD376" s="457"/>
      <c r="AE376" s="457"/>
      <c r="AF376" s="457"/>
      <c r="AG376" s="457"/>
      <c r="AH376" s="457"/>
      <c r="AI376" s="457"/>
      <c r="AJ376" s="457"/>
      <c r="AK376" s="457"/>
      <c r="AL376" s="457"/>
      <c r="AM376" s="457"/>
      <c r="AN376" s="457"/>
      <c r="AO376" s="457"/>
      <c r="AP376" s="457"/>
      <c r="AQ376" s="457"/>
      <c r="AR376" s="457"/>
      <c r="AS376" s="457"/>
      <c r="AT376" s="457"/>
      <c r="AU376" s="457"/>
      <c r="AV376" s="457"/>
      <c r="AW376" s="457"/>
      <c r="AX376" s="457"/>
      <c r="AY376" s="457"/>
      <c r="AZ376" s="457"/>
      <c r="BA376" s="457"/>
      <c r="BB376" s="457"/>
      <c r="BC376" s="457"/>
      <c r="BD376" s="457"/>
      <c r="BE376" s="457"/>
      <c r="BF376" s="457"/>
      <c r="BG376" s="457"/>
      <c r="BH376" s="457"/>
      <c r="BI376" s="457"/>
      <c r="BJ376" s="457"/>
      <c r="BK376" s="457"/>
      <c r="BL376" s="457"/>
      <c r="BM376" s="457"/>
      <c r="BN376" s="457"/>
      <c r="BO376" s="457"/>
      <c r="BP376" s="457"/>
      <c r="BQ376" s="457"/>
      <c r="BR376" s="457"/>
      <c r="BS376" s="457"/>
      <c r="BT376" s="457"/>
      <c r="BU376" s="457"/>
      <c r="BV376" s="457"/>
      <c r="BW376" s="457"/>
      <c r="BX376" s="457"/>
      <c r="BY376" s="457"/>
      <c r="BZ376" s="457"/>
      <c r="CA376" s="457"/>
      <c r="CB376" s="457"/>
      <c r="CC376" s="457"/>
      <c r="CD376" s="457"/>
      <c r="CE376" s="457"/>
      <c r="CF376" s="457"/>
      <c r="CG376" s="457"/>
      <c r="CH376" s="457"/>
      <c r="CI376" s="457"/>
      <c r="CJ376" s="457"/>
      <c r="CK376" s="457"/>
      <c r="CL376" s="457"/>
      <c r="CM376" s="457"/>
      <c r="CN376" s="457"/>
      <c r="CO376" s="457"/>
      <c r="CP376" s="457"/>
      <c r="CQ376" s="457"/>
      <c r="CR376" s="457"/>
      <c r="CS376" s="457"/>
      <c r="CT376" s="457"/>
      <c r="CU376" s="457"/>
      <c r="CV376" s="457"/>
      <c r="CW376" s="457"/>
      <c r="CX376" s="457"/>
      <c r="CY376" s="457"/>
      <c r="CZ376" s="457"/>
      <c r="DA376" s="457"/>
      <c r="DB376" s="457"/>
      <c r="DC376" s="457"/>
      <c r="DD376" s="457"/>
      <c r="DE376" s="457"/>
      <c r="DF376" s="457"/>
      <c r="DG376" s="457"/>
      <c r="DH376" s="457"/>
      <c r="DI376" s="457"/>
      <c r="DJ376" s="457"/>
      <c r="DK376" s="457"/>
      <c r="DL376" s="457"/>
      <c r="DM376" s="457"/>
      <c r="DN376" s="457"/>
      <c r="DO376" s="457"/>
      <c r="DP376" s="457"/>
      <c r="DQ376" s="457"/>
      <c r="DR376" s="457"/>
      <c r="DS376" s="457"/>
      <c r="DT376" s="457"/>
      <c r="DU376" s="457"/>
      <c r="DV376" s="457"/>
      <c r="DW376" s="457"/>
      <c r="DX376" s="457"/>
      <c r="DY376" s="457"/>
      <c r="DZ376" s="457"/>
      <c r="EA376" s="457"/>
      <c r="EB376" s="457"/>
      <c r="EC376" s="457"/>
      <c r="ED376" s="457"/>
      <c r="EE376" s="457"/>
      <c r="EF376" s="457"/>
      <c r="EG376" s="457"/>
      <c r="EH376" s="457"/>
      <c r="EI376" s="457"/>
      <c r="EJ376" s="457"/>
      <c r="EK376" s="457"/>
      <c r="EL376" s="457"/>
      <c r="EM376" s="457"/>
      <c r="EN376" s="457"/>
      <c r="EO376" s="457"/>
      <c r="EP376" s="457"/>
      <c r="EQ376" s="457"/>
      <c r="ER376" s="457"/>
      <c r="ES376" s="457"/>
      <c r="ET376" s="457"/>
      <c r="EU376" s="457"/>
      <c r="EV376" s="457"/>
      <c r="EW376" s="457"/>
      <c r="EX376" s="457"/>
      <c r="EY376" s="457"/>
      <c r="EZ376" s="457"/>
      <c r="FA376" s="457"/>
      <c r="FB376" s="457"/>
      <c r="FC376" s="457"/>
      <c r="FD376" s="457"/>
      <c r="FE376" s="457"/>
      <c r="FF376" s="457"/>
      <c r="FG376" s="457"/>
      <c r="FH376" s="457"/>
      <c r="FI376" s="457"/>
      <c r="FJ376" s="457"/>
      <c r="FK376" s="457"/>
      <c r="FL376" s="457"/>
      <c r="FM376" s="457"/>
      <c r="FN376" s="457"/>
      <c r="FO376" s="457"/>
      <c r="FP376" s="457"/>
      <c r="FQ376" s="457"/>
      <c r="FR376" s="457"/>
      <c r="FS376" s="457"/>
      <c r="FT376" s="457"/>
      <c r="FU376" s="457"/>
      <c r="FV376" s="457"/>
      <c r="FW376" s="457"/>
      <c r="FX376" s="457"/>
      <c r="FY376" s="457"/>
      <c r="FZ376" s="457"/>
      <c r="GA376" s="457"/>
      <c r="GB376" s="457"/>
      <c r="GC376" s="457"/>
      <c r="GD376" s="457"/>
      <c r="GE376" s="457"/>
      <c r="GF376" s="457"/>
      <c r="GG376" s="457"/>
      <c r="GH376" s="457"/>
      <c r="GI376" s="457"/>
      <c r="GJ376" s="457"/>
      <c r="GK376" s="457"/>
      <c r="GL376" s="457"/>
      <c r="GM376" s="457"/>
      <c r="GN376" s="457"/>
      <c r="GO376" s="457"/>
      <c r="GP376" s="457"/>
      <c r="GQ376" s="457"/>
      <c r="GR376" s="457"/>
      <c r="GS376" s="457"/>
      <c r="GT376" s="457"/>
      <c r="GU376" s="457"/>
      <c r="GV376" s="457"/>
      <c r="GW376" s="457"/>
      <c r="GX376" s="457"/>
      <c r="GY376" s="457"/>
      <c r="GZ376" s="457"/>
      <c r="HA376" s="457"/>
      <c r="HB376" s="457"/>
      <c r="HC376" s="457"/>
      <c r="HD376" s="457"/>
      <c r="HE376" s="457"/>
      <c r="HF376" s="457"/>
      <c r="HG376" s="457"/>
      <c r="HH376" s="457"/>
      <c r="HI376" s="457"/>
      <c r="HJ376" s="457"/>
      <c r="HK376" s="457"/>
      <c r="HL376" s="457"/>
      <c r="HM376" s="457"/>
      <c r="HN376" s="457"/>
      <c r="HO376" s="457"/>
      <c r="HP376" s="457"/>
      <c r="HQ376" s="457"/>
      <c r="HR376" s="457"/>
      <c r="HS376" s="457"/>
      <c r="HT376" s="457"/>
      <c r="HU376" s="457"/>
      <c r="HV376" s="457"/>
      <c r="HW376" s="457"/>
      <c r="HX376" s="457"/>
      <c r="HY376" s="457"/>
      <c r="HZ376" s="457"/>
      <c r="IA376" s="457"/>
      <c r="IB376" s="457"/>
      <c r="IC376" s="457"/>
      <c r="ID376" s="457"/>
      <c r="IE376" s="457"/>
      <c r="IF376" s="457"/>
      <c r="IG376" s="457"/>
      <c r="IH376" s="457"/>
      <c r="II376" s="457"/>
      <c r="IJ376" s="457"/>
      <c r="IK376" s="457"/>
      <c r="IL376" s="457"/>
      <c r="IM376" s="457"/>
      <c r="IN376" s="457"/>
      <c r="IO376" s="457"/>
      <c r="IP376" s="457"/>
      <c r="IQ376" s="457"/>
      <c r="IR376" s="457"/>
      <c r="IS376" s="457"/>
      <c r="IT376" s="457"/>
      <c r="IU376" s="457"/>
      <c r="IV376" s="457"/>
      <c r="IW376" s="457"/>
      <c r="IX376" s="457"/>
      <c r="IY376" s="457"/>
      <c r="IZ376" s="457"/>
      <c r="JA376" s="457"/>
      <c r="JB376" s="457"/>
      <c r="JC376" s="457"/>
      <c r="JD376" s="457"/>
      <c r="JE376" s="457"/>
      <c r="JF376" s="457"/>
      <c r="JG376" s="457"/>
      <c r="JH376" s="457"/>
      <c r="JI376" s="457"/>
      <c r="JJ376" s="457"/>
      <c r="JK376" s="457"/>
      <c r="JL376" s="457"/>
      <c r="JM376" s="457"/>
      <c r="JN376" s="457"/>
      <c r="JO376" s="457"/>
      <c r="JP376" s="457"/>
      <c r="JQ376" s="457"/>
      <c r="JR376" s="457"/>
      <c r="JS376" s="457"/>
      <c r="JT376" s="457"/>
      <c r="JU376" s="457"/>
      <c r="JV376" s="457"/>
      <c r="JW376" s="457"/>
      <c r="JX376" s="457"/>
      <c r="JY376" s="457"/>
      <c r="JZ376" s="457"/>
      <c r="KA376" s="457"/>
      <c r="KB376" s="457"/>
      <c r="KC376" s="457"/>
      <c r="KD376" s="457"/>
      <c r="KE376" s="457"/>
      <c r="KF376" s="457"/>
      <c r="KG376" s="457"/>
      <c r="KH376" s="457"/>
      <c r="KI376" s="457"/>
      <c r="KJ376" s="457"/>
      <c r="KK376" s="457"/>
      <c r="KL376" s="457"/>
      <c r="KM376" s="457"/>
      <c r="KN376" s="457"/>
      <c r="KO376" s="457"/>
      <c r="KP376" s="457"/>
      <c r="KQ376" s="457"/>
      <c r="KR376" s="457"/>
      <c r="KS376" s="457"/>
      <c r="KT376" s="457"/>
      <c r="KU376" s="457"/>
      <c r="KV376" s="457"/>
      <c r="KW376" s="457"/>
      <c r="KX376" s="457"/>
      <c r="KY376" s="457"/>
      <c r="KZ376" s="457"/>
      <c r="LA376" s="457"/>
      <c r="LB376" s="457"/>
      <c r="LC376" s="457"/>
      <c r="LD376" s="457"/>
      <c r="LE376" s="457"/>
      <c r="LF376" s="457"/>
      <c r="LG376" s="457"/>
      <c r="LH376" s="457"/>
      <c r="LI376" s="457"/>
      <c r="LJ376" s="457"/>
      <c r="LK376" s="457"/>
      <c r="LL376" s="457"/>
      <c r="LM376" s="457"/>
      <c r="LN376" s="457"/>
      <c r="LO376" s="457"/>
      <c r="LP376" s="457"/>
      <c r="LQ376" s="457"/>
      <c r="LR376" s="457"/>
      <c r="LS376" s="457"/>
      <c r="LT376" s="457"/>
      <c r="LU376" s="457"/>
      <c r="LV376" s="457"/>
      <c r="LW376" s="457"/>
      <c r="LX376" s="457"/>
      <c r="LY376" s="457"/>
      <c r="LZ376" s="457"/>
      <c r="MA376" s="457"/>
      <c r="MB376" s="457"/>
      <c r="MC376" s="457"/>
      <c r="MD376" s="457"/>
      <c r="ME376" s="457"/>
      <c r="MF376" s="457"/>
      <c r="MG376" s="457"/>
      <c r="MH376" s="457"/>
      <c r="MI376" s="457"/>
      <c r="MJ376" s="457"/>
      <c r="MK376" s="457"/>
      <c r="ML376" s="457"/>
      <c r="MM376" s="457"/>
      <c r="MN376" s="457"/>
      <c r="MO376" s="457"/>
      <c r="MP376" s="457"/>
      <c r="MQ376" s="457"/>
      <c r="MR376" s="457"/>
      <c r="MS376" s="457"/>
      <c r="MT376" s="457"/>
      <c r="MU376" s="457"/>
      <c r="MV376" s="457"/>
      <c r="MW376" s="457"/>
      <c r="MX376" s="457"/>
      <c r="MY376" s="457"/>
      <c r="MZ376" s="457"/>
      <c r="NA376" s="457"/>
      <c r="NB376" s="457"/>
      <c r="NC376" s="457"/>
      <c r="ND376" s="457"/>
      <c r="NE376" s="457"/>
      <c r="NF376" s="457"/>
      <c r="NG376" s="457"/>
      <c r="NH376" s="457"/>
      <c r="NI376" s="457"/>
      <c r="NJ376" s="457"/>
      <c r="NK376" s="457"/>
      <c r="NL376" s="457"/>
      <c r="NM376" s="457"/>
      <c r="NN376" s="457"/>
      <c r="NO376" s="457"/>
      <c r="NP376" s="457"/>
      <c r="NQ376" s="457"/>
      <c r="NR376" s="457"/>
      <c r="NS376" s="457"/>
      <c r="NT376" s="457"/>
      <c r="NU376" s="457"/>
      <c r="NV376" s="457"/>
      <c r="NW376" s="457"/>
      <c r="NX376" s="457"/>
      <c r="NY376" s="457"/>
      <c r="NZ376" s="457"/>
      <c r="OA376" s="457"/>
      <c r="OB376" s="457"/>
      <c r="OC376" s="457"/>
      <c r="OD376" s="457"/>
      <c r="OE376" s="457"/>
      <c r="OF376" s="457"/>
      <c r="OG376" s="457"/>
      <c r="OH376" s="457"/>
      <c r="OI376" s="457"/>
      <c r="OJ376" s="457"/>
      <c r="OK376" s="457"/>
      <c r="OL376" s="457"/>
      <c r="OM376" s="457"/>
      <c r="ON376" s="457"/>
      <c r="OO376" s="457"/>
      <c r="OP376" s="457"/>
      <c r="OQ376" s="457"/>
      <c r="OR376" s="457"/>
      <c r="OS376" s="457"/>
      <c r="OT376" s="457"/>
      <c r="OU376" s="457"/>
      <c r="OV376" s="457"/>
      <c r="OW376" s="457"/>
      <c r="OX376" s="457"/>
      <c r="OY376" s="457"/>
      <c r="OZ376" s="457"/>
      <c r="PA376" s="457"/>
      <c r="PB376" s="457"/>
      <c r="PC376" s="457"/>
      <c r="PD376" s="457"/>
      <c r="PE376" s="457"/>
      <c r="PF376" s="457"/>
      <c r="PG376" s="457"/>
      <c r="PH376" s="457"/>
      <c r="PI376" s="457"/>
      <c r="PJ376" s="457"/>
      <c r="PK376" s="457"/>
      <c r="PL376" s="457"/>
      <c r="PM376" s="457"/>
      <c r="PN376" s="457"/>
      <c r="PO376" s="457"/>
      <c r="PP376" s="457"/>
      <c r="PQ376" s="457"/>
      <c r="PR376" s="457"/>
      <c r="PS376" s="457"/>
      <c r="PT376" s="457"/>
      <c r="PU376" s="457"/>
      <c r="PV376" s="457"/>
      <c r="PW376" s="457"/>
      <c r="PX376" s="457"/>
      <c r="PY376" s="457"/>
      <c r="PZ376" s="457"/>
      <c r="QA376" s="457"/>
      <c r="QB376" s="457"/>
      <c r="QC376" s="457"/>
      <c r="QD376" s="457"/>
      <c r="QE376" s="457"/>
      <c r="QF376" s="457"/>
      <c r="QG376" s="457"/>
      <c r="QH376" s="457"/>
      <c r="QI376" s="457"/>
      <c r="QJ376" s="457"/>
      <c r="QK376" s="457"/>
      <c r="QL376" s="457"/>
      <c r="QM376" s="457"/>
      <c r="QN376" s="457"/>
      <c r="QO376" s="457"/>
      <c r="QP376" s="457"/>
      <c r="QQ376" s="457"/>
      <c r="QR376" s="457"/>
      <c r="QS376" s="457"/>
      <c r="QT376" s="457"/>
      <c r="QU376" s="457"/>
      <c r="QV376" s="457"/>
      <c r="QW376" s="457"/>
      <c r="QX376" s="457"/>
      <c r="QY376" s="457"/>
      <c r="QZ376" s="457"/>
      <c r="RA376" s="457"/>
      <c r="RB376" s="457"/>
      <c r="RC376" s="457"/>
      <c r="RD376" s="457"/>
      <c r="RE376" s="457"/>
      <c r="RF376" s="457"/>
      <c r="RG376" s="457"/>
      <c r="RH376" s="457"/>
      <c r="RI376" s="457"/>
      <c r="RJ376" s="457"/>
      <c r="RK376" s="457"/>
      <c r="RL376" s="457"/>
      <c r="RM376" s="457"/>
      <c r="RN376" s="457"/>
      <c r="RO376" s="457"/>
      <c r="RP376" s="457"/>
      <c r="RQ376" s="457"/>
      <c r="RR376" s="457"/>
      <c r="RS376" s="457"/>
      <c r="RT376" s="457"/>
      <c r="RU376" s="457"/>
      <c r="RV376" s="457"/>
      <c r="RW376" s="457"/>
      <c r="RX376" s="457"/>
      <c r="RY376" s="457"/>
      <c r="RZ376" s="457"/>
      <c r="SA376" s="457"/>
      <c r="SB376" s="457"/>
      <c r="SC376" s="457"/>
      <c r="SD376" s="457"/>
      <c r="SE376" s="457"/>
      <c r="SF376" s="457"/>
      <c r="SG376" s="457"/>
      <c r="SH376" s="457"/>
      <c r="SI376" s="457"/>
      <c r="SJ376" s="457"/>
      <c r="SK376" s="457"/>
      <c r="SL376" s="457"/>
      <c r="SM376" s="457"/>
      <c r="SN376" s="457"/>
      <c r="SO376" s="457"/>
      <c r="SP376" s="457"/>
      <c r="SQ376" s="457"/>
      <c r="SR376" s="457"/>
      <c r="SS376" s="457"/>
      <c r="ST376" s="457"/>
      <c r="SU376" s="457"/>
      <c r="SV376" s="457"/>
      <c r="SW376" s="457"/>
      <c r="SX376" s="457"/>
      <c r="SY376" s="457"/>
      <c r="SZ376" s="457"/>
      <c r="TA376" s="457"/>
      <c r="TB376" s="457"/>
      <c r="TC376" s="457"/>
      <c r="TD376" s="457"/>
      <c r="TE376" s="457"/>
      <c r="TF376" s="457"/>
      <c r="TG376" s="457"/>
      <c r="TH376" s="457"/>
      <c r="TI376" s="457"/>
      <c r="TJ376" s="457"/>
      <c r="TK376" s="457"/>
      <c r="TL376" s="457"/>
      <c r="TM376" s="457"/>
      <c r="TN376" s="457"/>
      <c r="TO376" s="457"/>
      <c r="TP376" s="457"/>
      <c r="TQ376" s="457"/>
      <c r="TR376" s="457"/>
      <c r="TS376" s="457"/>
      <c r="TT376" s="457"/>
      <c r="TU376" s="457"/>
      <c r="TV376" s="457"/>
      <c r="TW376" s="457"/>
      <c r="TX376" s="457"/>
      <c r="TY376" s="457"/>
      <c r="TZ376" s="457"/>
      <c r="UA376" s="457"/>
      <c r="UB376" s="457"/>
      <c r="UC376" s="457"/>
      <c r="UD376" s="457"/>
      <c r="UE376" s="457"/>
      <c r="UF376" s="457"/>
      <c r="UG376" s="457"/>
      <c r="UH376" s="457"/>
      <c r="UI376" s="457"/>
      <c r="UJ376" s="457"/>
      <c r="UK376" s="457"/>
      <c r="UL376" s="457"/>
      <c r="UM376" s="457"/>
      <c r="UN376" s="457"/>
      <c r="UO376" s="457"/>
      <c r="UP376" s="457"/>
      <c r="UQ376" s="457"/>
      <c r="UR376" s="457"/>
      <c r="US376" s="457"/>
      <c r="UT376" s="457"/>
      <c r="UU376" s="457"/>
      <c r="UV376" s="457"/>
      <c r="UW376" s="457"/>
      <c r="UX376" s="457"/>
      <c r="UY376" s="457"/>
      <c r="UZ376" s="457"/>
      <c r="VA376" s="457"/>
      <c r="VB376" s="457"/>
      <c r="VC376" s="457"/>
      <c r="VD376" s="457"/>
      <c r="VE376" s="457"/>
      <c r="VF376" s="457"/>
      <c r="VG376" s="457"/>
      <c r="VH376" s="457"/>
      <c r="VI376" s="457"/>
      <c r="VJ376" s="457"/>
      <c r="VK376" s="457"/>
      <c r="VL376" s="457"/>
      <c r="VM376" s="457"/>
      <c r="VN376" s="457"/>
      <c r="VO376" s="457"/>
      <c r="VP376" s="457"/>
      <c r="VQ376" s="457"/>
      <c r="VR376" s="457"/>
      <c r="VS376" s="457"/>
      <c r="VT376" s="457"/>
      <c r="VU376" s="457"/>
      <c r="VV376" s="457"/>
      <c r="VW376" s="457"/>
      <c r="VX376" s="457"/>
      <c r="VY376" s="457"/>
      <c r="VZ376" s="457"/>
      <c r="WA376" s="457"/>
      <c r="WB376" s="457"/>
      <c r="WC376" s="457"/>
      <c r="WD376" s="457"/>
      <c r="WE376" s="457"/>
      <c r="WF376" s="457"/>
      <c r="WG376" s="457"/>
      <c r="WH376" s="457"/>
      <c r="WI376" s="457"/>
      <c r="WJ376" s="457"/>
      <c r="WK376" s="457"/>
      <c r="WL376" s="457"/>
      <c r="WM376" s="457"/>
      <c r="WN376" s="457"/>
      <c r="WO376" s="457"/>
      <c r="WP376" s="457"/>
      <c r="WQ376" s="457"/>
      <c r="WR376" s="457"/>
      <c r="WS376" s="457"/>
      <c r="WT376" s="457"/>
      <c r="WU376" s="457"/>
      <c r="WV376" s="457"/>
      <c r="WW376" s="457"/>
      <c r="WX376" s="457"/>
      <c r="WY376" s="457"/>
      <c r="WZ376" s="457"/>
      <c r="XA376" s="457"/>
      <c r="XB376" s="457"/>
      <c r="XC376" s="457"/>
      <c r="XD376" s="457"/>
      <c r="XE376" s="457"/>
      <c r="XF376" s="457"/>
      <c r="XG376" s="457"/>
      <c r="XH376" s="457"/>
      <c r="XI376" s="457"/>
      <c r="XJ376" s="457"/>
      <c r="XK376" s="457"/>
      <c r="XL376" s="457"/>
      <c r="XM376" s="457"/>
      <c r="XN376" s="457"/>
      <c r="XO376" s="457"/>
      <c r="XP376" s="457"/>
      <c r="XQ376" s="457"/>
      <c r="XR376" s="457"/>
      <c r="XS376" s="457"/>
      <c r="XT376" s="457"/>
      <c r="XU376" s="457"/>
      <c r="XV376" s="457"/>
      <c r="XW376" s="457"/>
      <c r="XX376" s="457"/>
      <c r="XY376" s="457"/>
      <c r="XZ376" s="457"/>
      <c r="YA376" s="457"/>
      <c r="YB376" s="457"/>
      <c r="YC376" s="457"/>
      <c r="YD376" s="457"/>
      <c r="YE376" s="457"/>
      <c r="YF376" s="457"/>
      <c r="YG376" s="457"/>
      <c r="YH376" s="457"/>
      <c r="YI376" s="457"/>
      <c r="YJ376" s="457"/>
      <c r="YK376" s="457"/>
      <c r="YL376" s="457"/>
      <c r="YM376" s="457"/>
      <c r="YN376" s="457"/>
      <c r="YO376" s="457"/>
      <c r="YP376" s="457"/>
      <c r="YQ376" s="457"/>
      <c r="YR376" s="457"/>
      <c r="YS376" s="457"/>
      <c r="YT376" s="457"/>
      <c r="YU376" s="457"/>
      <c r="YV376" s="457"/>
      <c r="YW376" s="457"/>
      <c r="YX376" s="457"/>
      <c r="YY376" s="457"/>
      <c r="YZ376" s="457"/>
      <c r="ZA376" s="457"/>
      <c r="ZB376" s="457"/>
      <c r="ZC376" s="457"/>
      <c r="ZD376" s="457"/>
      <c r="ZE376" s="457"/>
      <c r="ZF376" s="457"/>
      <c r="ZG376" s="457"/>
      <c r="ZH376" s="457"/>
      <c r="ZI376" s="457"/>
      <c r="ZJ376" s="457"/>
      <c r="ZK376" s="457"/>
      <c r="ZL376" s="457"/>
      <c r="ZM376" s="457"/>
      <c r="ZN376" s="457"/>
      <c r="ZO376" s="457"/>
      <c r="ZP376" s="457"/>
      <c r="ZQ376" s="457"/>
      <c r="ZR376" s="457"/>
      <c r="ZS376" s="457"/>
      <c r="ZT376" s="457"/>
      <c r="ZU376" s="457"/>
      <c r="ZV376" s="457"/>
      <c r="ZW376" s="457"/>
      <c r="ZX376" s="457"/>
      <c r="ZY376" s="457"/>
      <c r="ZZ376" s="457"/>
      <c r="AAA376" s="457"/>
      <c r="AAB376" s="457"/>
      <c r="AAC376" s="457"/>
      <c r="AAD376" s="457"/>
      <c r="AAE376" s="457"/>
      <c r="AAF376" s="457"/>
      <c r="AAG376" s="457"/>
      <c r="AAH376" s="457"/>
      <c r="AAI376" s="457"/>
      <c r="AAJ376" s="457"/>
      <c r="AAK376" s="457"/>
      <c r="AAL376" s="457"/>
      <c r="AAM376" s="457"/>
      <c r="AAN376" s="457"/>
      <c r="AAO376" s="457"/>
      <c r="AAP376" s="457"/>
      <c r="AAQ376" s="457"/>
      <c r="AAR376" s="457"/>
      <c r="AAS376" s="457"/>
      <c r="AAT376" s="457"/>
      <c r="AAU376" s="457"/>
      <c r="AAV376" s="457"/>
      <c r="AAW376" s="457"/>
      <c r="AAX376" s="457"/>
      <c r="AAY376" s="457"/>
      <c r="AAZ376" s="457"/>
      <c r="ABA376" s="457"/>
      <c r="ABB376" s="457"/>
      <c r="ABC376" s="457"/>
      <c r="ABD376" s="457"/>
      <c r="ABE376" s="457"/>
      <c r="ABF376" s="457"/>
      <c r="ABG376" s="457"/>
      <c r="ABH376" s="457"/>
      <c r="ABI376" s="457"/>
      <c r="ABJ376" s="457"/>
      <c r="ABK376" s="457"/>
      <c r="ABL376" s="457"/>
      <c r="ABM376" s="457"/>
      <c r="ABN376" s="457"/>
      <c r="ABO376" s="457"/>
      <c r="ABP376" s="457"/>
      <c r="ABQ376" s="457"/>
      <c r="ABR376" s="457"/>
      <c r="ABS376" s="457"/>
      <c r="ABT376" s="457"/>
      <c r="ABU376" s="457"/>
      <c r="ABV376" s="457"/>
      <c r="ABW376" s="457"/>
      <c r="ABX376" s="457"/>
      <c r="ABY376" s="457"/>
      <c r="ABZ376" s="457"/>
      <c r="ACA376" s="457"/>
      <c r="ACB376" s="457"/>
      <c r="ACC376" s="457"/>
      <c r="ACD376" s="457"/>
      <c r="ACE376" s="457"/>
      <c r="ACF376" s="457"/>
      <c r="ACG376" s="457"/>
      <c r="ACH376" s="457"/>
      <c r="ACI376" s="457"/>
      <c r="ACJ376" s="457"/>
      <c r="ACK376" s="457"/>
      <c r="ACL376" s="457"/>
      <c r="ACM376" s="457"/>
      <c r="ACN376" s="457"/>
      <c r="ACO376" s="457"/>
      <c r="ACP376" s="457"/>
      <c r="ACQ376" s="457"/>
      <c r="ACR376" s="457"/>
      <c r="ACS376" s="457"/>
      <c r="ACT376" s="457"/>
      <c r="ACU376" s="457"/>
      <c r="ACV376" s="457"/>
    </row>
    <row r="377" spans="1:776" s="400" customFormat="1" x14ac:dyDescent="0.25">
      <c r="A377" s="43">
        <v>900090</v>
      </c>
      <c r="B377" s="34" t="s">
        <v>209</v>
      </c>
      <c r="C377" s="455"/>
      <c r="D377" s="454" t="s">
        <v>210</v>
      </c>
      <c r="E377" s="454">
        <v>8.86</v>
      </c>
      <c r="F377" s="458">
        <v>59.1</v>
      </c>
      <c r="G377" s="34">
        <v>0.01</v>
      </c>
      <c r="H377" s="454">
        <v>0.1</v>
      </c>
      <c r="I377" s="456">
        <v>2138</v>
      </c>
      <c r="J377" s="458">
        <v>905</v>
      </c>
      <c r="K377" s="454">
        <v>0.01</v>
      </c>
      <c r="L377" s="454">
        <v>439.2</v>
      </c>
      <c r="M377" s="34">
        <v>0.01</v>
      </c>
      <c r="N377" s="454">
        <v>15.67</v>
      </c>
      <c r="O377" s="34">
        <v>1384.54</v>
      </c>
      <c r="P377" s="454">
        <v>178.25</v>
      </c>
      <c r="Q377" s="454">
        <v>228.55</v>
      </c>
      <c r="R377" s="34">
        <v>1.0000000000000001E-5</v>
      </c>
      <c r="S377" s="34">
        <v>1.0000000000000001E-5</v>
      </c>
      <c r="T377" s="34">
        <v>1.0000000000000001E-5</v>
      </c>
      <c r="U377" s="34">
        <v>1.0000000000000001E-5</v>
      </c>
      <c r="V377" s="454"/>
      <c r="W377" s="457"/>
      <c r="X377" s="457"/>
      <c r="Y377" s="457"/>
      <c r="Z377" s="457"/>
      <c r="AA377" s="457"/>
      <c r="AB377" s="457"/>
      <c r="AC377" s="457"/>
      <c r="AD377" s="457"/>
      <c r="AE377" s="457"/>
      <c r="AF377" s="457"/>
      <c r="AG377" s="457"/>
      <c r="AH377" s="457"/>
      <c r="AI377" s="457"/>
      <c r="AJ377" s="457"/>
      <c r="AK377" s="457"/>
      <c r="AL377" s="457"/>
      <c r="AM377" s="457"/>
      <c r="AN377" s="457"/>
      <c r="AO377" s="457"/>
      <c r="AP377" s="457"/>
      <c r="AQ377" s="457"/>
      <c r="AR377" s="457"/>
      <c r="AS377" s="457"/>
      <c r="AT377" s="457"/>
      <c r="AU377" s="457"/>
      <c r="AV377" s="457"/>
      <c r="AW377" s="457"/>
      <c r="AX377" s="457"/>
      <c r="AY377" s="457"/>
      <c r="AZ377" s="457"/>
      <c r="BA377" s="457"/>
      <c r="BB377" s="457"/>
      <c r="BC377" s="457"/>
      <c r="BD377" s="457"/>
      <c r="BE377" s="457"/>
      <c r="BF377" s="457"/>
      <c r="BG377" s="457"/>
      <c r="BH377" s="457"/>
      <c r="BI377" s="457"/>
      <c r="BJ377" s="457"/>
      <c r="BK377" s="457"/>
      <c r="BL377" s="457"/>
      <c r="BM377" s="457"/>
      <c r="BN377" s="457"/>
      <c r="BO377" s="457"/>
      <c r="BP377" s="457"/>
      <c r="BQ377" s="457"/>
      <c r="BR377" s="457"/>
      <c r="BS377" s="457"/>
      <c r="BT377" s="457"/>
      <c r="BU377" s="457"/>
      <c r="BV377" s="457"/>
      <c r="BW377" s="457"/>
      <c r="BX377" s="457"/>
      <c r="BY377" s="457"/>
      <c r="BZ377" s="457"/>
      <c r="CA377" s="457"/>
      <c r="CB377" s="457"/>
      <c r="CC377" s="457"/>
      <c r="CD377" s="457"/>
      <c r="CE377" s="457"/>
      <c r="CF377" s="457"/>
      <c r="CG377" s="457"/>
      <c r="CH377" s="457"/>
      <c r="CI377" s="457"/>
      <c r="CJ377" s="457"/>
      <c r="CK377" s="457"/>
      <c r="CL377" s="457"/>
      <c r="CM377" s="457"/>
      <c r="CN377" s="457"/>
      <c r="CO377" s="457"/>
      <c r="CP377" s="457"/>
      <c r="CQ377" s="457"/>
      <c r="CR377" s="457"/>
      <c r="CS377" s="457"/>
      <c r="CT377" s="457"/>
      <c r="CU377" s="457"/>
      <c r="CV377" s="457"/>
      <c r="CW377" s="457"/>
      <c r="CX377" s="457"/>
      <c r="CY377" s="457"/>
      <c r="CZ377" s="457"/>
      <c r="DA377" s="457"/>
      <c r="DB377" s="457"/>
      <c r="DC377" s="457"/>
      <c r="DD377" s="457"/>
      <c r="DE377" s="457"/>
      <c r="DF377" s="457"/>
      <c r="DG377" s="457"/>
      <c r="DH377" s="457"/>
      <c r="DI377" s="457"/>
      <c r="DJ377" s="457"/>
      <c r="DK377" s="457"/>
      <c r="DL377" s="457"/>
      <c r="DM377" s="457"/>
      <c r="DN377" s="457"/>
      <c r="DO377" s="457"/>
      <c r="DP377" s="457"/>
      <c r="DQ377" s="457"/>
      <c r="DR377" s="457"/>
      <c r="DS377" s="457"/>
      <c r="DT377" s="457"/>
      <c r="DU377" s="457"/>
      <c r="DV377" s="457"/>
      <c r="DW377" s="457"/>
      <c r="DX377" s="457"/>
      <c r="DY377" s="457"/>
      <c r="DZ377" s="457"/>
      <c r="EA377" s="457"/>
      <c r="EB377" s="457"/>
      <c r="EC377" s="457"/>
      <c r="ED377" s="457"/>
      <c r="EE377" s="457"/>
      <c r="EF377" s="457"/>
      <c r="EG377" s="457"/>
      <c r="EH377" s="457"/>
      <c r="EI377" s="457"/>
      <c r="EJ377" s="457"/>
      <c r="EK377" s="457"/>
      <c r="EL377" s="457"/>
      <c r="EM377" s="457"/>
      <c r="EN377" s="457"/>
      <c r="EO377" s="457"/>
      <c r="EP377" s="457"/>
      <c r="EQ377" s="457"/>
      <c r="ER377" s="457"/>
      <c r="ES377" s="457"/>
      <c r="ET377" s="457"/>
      <c r="EU377" s="457"/>
      <c r="EV377" s="457"/>
      <c r="EW377" s="457"/>
      <c r="EX377" s="457"/>
      <c r="EY377" s="457"/>
      <c r="EZ377" s="457"/>
      <c r="FA377" s="457"/>
      <c r="FB377" s="457"/>
      <c r="FC377" s="457"/>
      <c r="FD377" s="457"/>
      <c r="FE377" s="457"/>
      <c r="FF377" s="457"/>
      <c r="FG377" s="457"/>
      <c r="FH377" s="457"/>
      <c r="FI377" s="457"/>
      <c r="FJ377" s="457"/>
      <c r="FK377" s="457"/>
      <c r="FL377" s="457"/>
      <c r="FM377" s="457"/>
      <c r="FN377" s="457"/>
      <c r="FO377" s="457"/>
      <c r="FP377" s="457"/>
      <c r="FQ377" s="457"/>
      <c r="FR377" s="457"/>
      <c r="FS377" s="457"/>
      <c r="FT377" s="457"/>
      <c r="FU377" s="457"/>
      <c r="FV377" s="457"/>
      <c r="FW377" s="457"/>
      <c r="FX377" s="457"/>
      <c r="FY377" s="457"/>
      <c r="FZ377" s="457"/>
      <c r="GA377" s="457"/>
      <c r="GB377" s="457"/>
      <c r="GC377" s="457"/>
      <c r="GD377" s="457"/>
      <c r="GE377" s="457"/>
      <c r="GF377" s="457"/>
      <c r="GG377" s="457"/>
      <c r="GH377" s="457"/>
      <c r="GI377" s="457"/>
      <c r="GJ377" s="457"/>
      <c r="GK377" s="457"/>
      <c r="GL377" s="457"/>
      <c r="GM377" s="457"/>
      <c r="GN377" s="457"/>
      <c r="GO377" s="457"/>
      <c r="GP377" s="457"/>
      <c r="GQ377" s="457"/>
      <c r="GR377" s="457"/>
      <c r="GS377" s="457"/>
      <c r="GT377" s="457"/>
      <c r="GU377" s="457"/>
      <c r="GV377" s="457"/>
      <c r="GW377" s="457"/>
      <c r="GX377" s="457"/>
      <c r="GY377" s="457"/>
      <c r="GZ377" s="457"/>
      <c r="HA377" s="457"/>
      <c r="HB377" s="457"/>
      <c r="HC377" s="457"/>
      <c r="HD377" s="457"/>
      <c r="HE377" s="457"/>
      <c r="HF377" s="457"/>
      <c r="HG377" s="457"/>
      <c r="HH377" s="457"/>
      <c r="HI377" s="457"/>
      <c r="HJ377" s="457"/>
      <c r="HK377" s="457"/>
      <c r="HL377" s="457"/>
      <c r="HM377" s="457"/>
      <c r="HN377" s="457"/>
      <c r="HO377" s="457"/>
      <c r="HP377" s="457"/>
      <c r="HQ377" s="457"/>
      <c r="HR377" s="457"/>
      <c r="HS377" s="457"/>
      <c r="HT377" s="457"/>
      <c r="HU377" s="457"/>
      <c r="HV377" s="457"/>
      <c r="HW377" s="457"/>
      <c r="HX377" s="457"/>
      <c r="HY377" s="457"/>
      <c r="HZ377" s="457"/>
      <c r="IA377" s="457"/>
      <c r="IB377" s="457"/>
      <c r="IC377" s="457"/>
      <c r="ID377" s="457"/>
      <c r="IE377" s="457"/>
      <c r="IF377" s="457"/>
      <c r="IG377" s="457"/>
      <c r="IH377" s="457"/>
      <c r="II377" s="457"/>
      <c r="IJ377" s="457"/>
      <c r="IK377" s="457"/>
      <c r="IL377" s="457"/>
      <c r="IM377" s="457"/>
      <c r="IN377" s="457"/>
      <c r="IO377" s="457"/>
      <c r="IP377" s="457"/>
      <c r="IQ377" s="457"/>
      <c r="IR377" s="457"/>
      <c r="IS377" s="457"/>
      <c r="IT377" s="457"/>
      <c r="IU377" s="457"/>
      <c r="IV377" s="457"/>
      <c r="IW377" s="457"/>
      <c r="IX377" s="457"/>
      <c r="IY377" s="457"/>
      <c r="IZ377" s="457"/>
      <c r="JA377" s="457"/>
      <c r="JB377" s="457"/>
      <c r="JC377" s="457"/>
      <c r="JD377" s="457"/>
      <c r="JE377" s="457"/>
      <c r="JF377" s="457"/>
      <c r="JG377" s="457"/>
      <c r="JH377" s="457"/>
      <c r="JI377" s="457"/>
      <c r="JJ377" s="457"/>
      <c r="JK377" s="457"/>
      <c r="JL377" s="457"/>
      <c r="JM377" s="457"/>
      <c r="JN377" s="457"/>
      <c r="JO377" s="457"/>
      <c r="JP377" s="457"/>
      <c r="JQ377" s="457"/>
      <c r="JR377" s="457"/>
      <c r="JS377" s="457"/>
      <c r="JT377" s="457"/>
      <c r="JU377" s="457"/>
      <c r="JV377" s="457"/>
      <c r="JW377" s="457"/>
      <c r="JX377" s="457"/>
      <c r="JY377" s="457"/>
      <c r="JZ377" s="457"/>
      <c r="KA377" s="457"/>
      <c r="KB377" s="457"/>
      <c r="KC377" s="457"/>
      <c r="KD377" s="457"/>
      <c r="KE377" s="457"/>
      <c r="KF377" s="457"/>
      <c r="KG377" s="457"/>
      <c r="KH377" s="457"/>
      <c r="KI377" s="457"/>
      <c r="KJ377" s="457"/>
      <c r="KK377" s="457"/>
      <c r="KL377" s="457"/>
      <c r="KM377" s="457"/>
      <c r="KN377" s="457"/>
      <c r="KO377" s="457"/>
      <c r="KP377" s="457"/>
      <c r="KQ377" s="457"/>
      <c r="KR377" s="457"/>
      <c r="KS377" s="457"/>
      <c r="KT377" s="457"/>
      <c r="KU377" s="457"/>
      <c r="KV377" s="457"/>
      <c r="KW377" s="457"/>
      <c r="KX377" s="457"/>
      <c r="KY377" s="457"/>
      <c r="KZ377" s="457"/>
      <c r="LA377" s="457"/>
      <c r="LB377" s="457"/>
      <c r="LC377" s="457"/>
      <c r="LD377" s="457"/>
      <c r="LE377" s="457"/>
      <c r="LF377" s="457"/>
      <c r="LG377" s="457"/>
      <c r="LH377" s="457"/>
      <c r="LI377" s="457"/>
      <c r="LJ377" s="457"/>
      <c r="LK377" s="457"/>
      <c r="LL377" s="457"/>
      <c r="LM377" s="457"/>
      <c r="LN377" s="457"/>
      <c r="LO377" s="457"/>
      <c r="LP377" s="457"/>
      <c r="LQ377" s="457"/>
      <c r="LR377" s="457"/>
      <c r="LS377" s="457"/>
      <c r="LT377" s="457"/>
      <c r="LU377" s="457"/>
      <c r="LV377" s="457"/>
      <c r="LW377" s="457"/>
      <c r="LX377" s="457"/>
      <c r="LY377" s="457"/>
      <c r="LZ377" s="457"/>
      <c r="MA377" s="457"/>
      <c r="MB377" s="457"/>
      <c r="MC377" s="457"/>
      <c r="MD377" s="457"/>
      <c r="ME377" s="457"/>
      <c r="MF377" s="457"/>
      <c r="MG377" s="457"/>
      <c r="MH377" s="457"/>
      <c r="MI377" s="457"/>
      <c r="MJ377" s="457"/>
      <c r="MK377" s="457"/>
      <c r="ML377" s="457"/>
      <c r="MM377" s="457"/>
      <c r="MN377" s="457"/>
      <c r="MO377" s="457"/>
      <c r="MP377" s="457"/>
      <c r="MQ377" s="457"/>
      <c r="MR377" s="457"/>
      <c r="MS377" s="457"/>
      <c r="MT377" s="457"/>
      <c r="MU377" s="457"/>
      <c r="MV377" s="457"/>
      <c r="MW377" s="457"/>
      <c r="MX377" s="457"/>
      <c r="MY377" s="457"/>
      <c r="MZ377" s="457"/>
      <c r="NA377" s="457"/>
      <c r="NB377" s="457"/>
      <c r="NC377" s="457"/>
      <c r="ND377" s="457"/>
      <c r="NE377" s="457"/>
      <c r="NF377" s="457"/>
      <c r="NG377" s="457"/>
      <c r="NH377" s="457"/>
      <c r="NI377" s="457"/>
      <c r="NJ377" s="457"/>
      <c r="NK377" s="457"/>
      <c r="NL377" s="457"/>
      <c r="NM377" s="457"/>
      <c r="NN377" s="457"/>
      <c r="NO377" s="457"/>
      <c r="NP377" s="457"/>
      <c r="NQ377" s="457"/>
      <c r="NR377" s="457"/>
      <c r="NS377" s="457"/>
      <c r="NT377" s="457"/>
      <c r="NU377" s="457"/>
      <c r="NV377" s="457"/>
      <c r="NW377" s="457"/>
      <c r="NX377" s="457"/>
      <c r="NY377" s="457"/>
      <c r="NZ377" s="457"/>
      <c r="OA377" s="457"/>
      <c r="OB377" s="457"/>
      <c r="OC377" s="457"/>
      <c r="OD377" s="457"/>
      <c r="OE377" s="457"/>
      <c r="OF377" s="457"/>
      <c r="OG377" s="457"/>
      <c r="OH377" s="457"/>
      <c r="OI377" s="457"/>
      <c r="OJ377" s="457"/>
      <c r="OK377" s="457"/>
      <c r="OL377" s="457"/>
      <c r="OM377" s="457"/>
      <c r="ON377" s="457"/>
      <c r="OO377" s="457"/>
      <c r="OP377" s="457"/>
      <c r="OQ377" s="457"/>
      <c r="OR377" s="457"/>
      <c r="OS377" s="457"/>
      <c r="OT377" s="457"/>
      <c r="OU377" s="457"/>
      <c r="OV377" s="457"/>
      <c r="OW377" s="457"/>
      <c r="OX377" s="457"/>
      <c r="OY377" s="457"/>
      <c r="OZ377" s="457"/>
      <c r="PA377" s="457"/>
      <c r="PB377" s="457"/>
      <c r="PC377" s="457"/>
      <c r="PD377" s="457"/>
      <c r="PE377" s="457"/>
      <c r="PF377" s="457"/>
      <c r="PG377" s="457"/>
      <c r="PH377" s="457"/>
      <c r="PI377" s="457"/>
      <c r="PJ377" s="457"/>
      <c r="PK377" s="457"/>
      <c r="PL377" s="457"/>
      <c r="PM377" s="457"/>
      <c r="PN377" s="457"/>
      <c r="PO377" s="457"/>
      <c r="PP377" s="457"/>
      <c r="PQ377" s="457"/>
      <c r="PR377" s="457"/>
      <c r="PS377" s="457"/>
      <c r="PT377" s="457"/>
      <c r="PU377" s="457"/>
      <c r="PV377" s="457"/>
      <c r="PW377" s="457"/>
      <c r="PX377" s="457"/>
      <c r="PY377" s="457"/>
      <c r="PZ377" s="457"/>
      <c r="QA377" s="457"/>
      <c r="QB377" s="457"/>
      <c r="QC377" s="457"/>
      <c r="QD377" s="457"/>
      <c r="QE377" s="457"/>
      <c r="QF377" s="457"/>
      <c r="QG377" s="457"/>
      <c r="QH377" s="457"/>
      <c r="QI377" s="457"/>
      <c r="QJ377" s="457"/>
      <c r="QK377" s="457"/>
      <c r="QL377" s="457"/>
      <c r="QM377" s="457"/>
      <c r="QN377" s="457"/>
      <c r="QO377" s="457"/>
      <c r="QP377" s="457"/>
      <c r="QQ377" s="457"/>
      <c r="QR377" s="457"/>
      <c r="QS377" s="457"/>
      <c r="QT377" s="457"/>
      <c r="QU377" s="457"/>
      <c r="QV377" s="457"/>
      <c r="QW377" s="457"/>
      <c r="QX377" s="457"/>
      <c r="QY377" s="457"/>
      <c r="QZ377" s="457"/>
      <c r="RA377" s="457"/>
      <c r="RB377" s="457"/>
      <c r="RC377" s="457"/>
      <c r="RD377" s="457"/>
      <c r="RE377" s="457"/>
      <c r="RF377" s="457"/>
      <c r="RG377" s="457"/>
      <c r="RH377" s="457"/>
      <c r="RI377" s="457"/>
      <c r="RJ377" s="457"/>
      <c r="RK377" s="457"/>
      <c r="RL377" s="457"/>
      <c r="RM377" s="457"/>
      <c r="RN377" s="457"/>
      <c r="RO377" s="457"/>
      <c r="RP377" s="457"/>
      <c r="RQ377" s="457"/>
      <c r="RR377" s="457"/>
      <c r="RS377" s="457"/>
      <c r="RT377" s="457"/>
      <c r="RU377" s="457"/>
      <c r="RV377" s="457"/>
      <c r="RW377" s="457"/>
      <c r="RX377" s="457"/>
      <c r="RY377" s="457"/>
      <c r="RZ377" s="457"/>
      <c r="SA377" s="457"/>
      <c r="SB377" s="457"/>
      <c r="SC377" s="457"/>
      <c r="SD377" s="457"/>
      <c r="SE377" s="457"/>
      <c r="SF377" s="457"/>
      <c r="SG377" s="457"/>
      <c r="SH377" s="457"/>
      <c r="SI377" s="457"/>
      <c r="SJ377" s="457"/>
      <c r="SK377" s="457"/>
      <c r="SL377" s="457"/>
      <c r="SM377" s="457"/>
      <c r="SN377" s="457"/>
      <c r="SO377" s="457"/>
      <c r="SP377" s="457"/>
      <c r="SQ377" s="457"/>
      <c r="SR377" s="457"/>
      <c r="SS377" s="457"/>
      <c r="ST377" s="457"/>
      <c r="SU377" s="457"/>
      <c r="SV377" s="457"/>
      <c r="SW377" s="457"/>
      <c r="SX377" s="457"/>
      <c r="SY377" s="457"/>
      <c r="SZ377" s="457"/>
      <c r="TA377" s="457"/>
      <c r="TB377" s="457"/>
      <c r="TC377" s="457"/>
      <c r="TD377" s="457"/>
      <c r="TE377" s="457"/>
      <c r="TF377" s="457"/>
      <c r="TG377" s="457"/>
      <c r="TH377" s="457"/>
      <c r="TI377" s="457"/>
      <c r="TJ377" s="457"/>
      <c r="TK377" s="457"/>
      <c r="TL377" s="457"/>
      <c r="TM377" s="457"/>
      <c r="TN377" s="457"/>
      <c r="TO377" s="457"/>
      <c r="TP377" s="457"/>
      <c r="TQ377" s="457"/>
      <c r="TR377" s="457"/>
      <c r="TS377" s="457"/>
      <c r="TT377" s="457"/>
      <c r="TU377" s="457"/>
      <c r="TV377" s="457"/>
      <c r="TW377" s="457"/>
      <c r="TX377" s="457"/>
      <c r="TY377" s="457"/>
      <c r="TZ377" s="457"/>
      <c r="UA377" s="457"/>
      <c r="UB377" s="457"/>
      <c r="UC377" s="457"/>
      <c r="UD377" s="457"/>
      <c r="UE377" s="457"/>
      <c r="UF377" s="457"/>
      <c r="UG377" s="457"/>
      <c r="UH377" s="457"/>
      <c r="UI377" s="457"/>
      <c r="UJ377" s="457"/>
      <c r="UK377" s="457"/>
      <c r="UL377" s="457"/>
      <c r="UM377" s="457"/>
      <c r="UN377" s="457"/>
      <c r="UO377" s="457"/>
      <c r="UP377" s="457"/>
      <c r="UQ377" s="457"/>
      <c r="UR377" s="457"/>
      <c r="US377" s="457"/>
      <c r="UT377" s="457"/>
      <c r="UU377" s="457"/>
      <c r="UV377" s="457"/>
      <c r="UW377" s="457"/>
      <c r="UX377" s="457"/>
      <c r="UY377" s="457"/>
      <c r="UZ377" s="457"/>
      <c r="VA377" s="457"/>
      <c r="VB377" s="457"/>
      <c r="VC377" s="457"/>
      <c r="VD377" s="457"/>
      <c r="VE377" s="457"/>
      <c r="VF377" s="457"/>
      <c r="VG377" s="457"/>
      <c r="VH377" s="457"/>
      <c r="VI377" s="457"/>
      <c r="VJ377" s="457"/>
      <c r="VK377" s="457"/>
      <c r="VL377" s="457"/>
      <c r="VM377" s="457"/>
      <c r="VN377" s="457"/>
      <c r="VO377" s="457"/>
      <c r="VP377" s="457"/>
      <c r="VQ377" s="457"/>
      <c r="VR377" s="457"/>
      <c r="VS377" s="457"/>
      <c r="VT377" s="457"/>
      <c r="VU377" s="457"/>
      <c r="VV377" s="457"/>
      <c r="VW377" s="457"/>
      <c r="VX377" s="457"/>
      <c r="VY377" s="457"/>
      <c r="VZ377" s="457"/>
      <c r="WA377" s="457"/>
      <c r="WB377" s="457"/>
      <c r="WC377" s="457"/>
      <c r="WD377" s="457"/>
      <c r="WE377" s="457"/>
      <c r="WF377" s="457"/>
      <c r="WG377" s="457"/>
      <c r="WH377" s="457"/>
      <c r="WI377" s="457"/>
      <c r="WJ377" s="457"/>
      <c r="WK377" s="457"/>
      <c r="WL377" s="457"/>
      <c r="WM377" s="457"/>
      <c r="WN377" s="457"/>
      <c r="WO377" s="457"/>
      <c r="WP377" s="457"/>
      <c r="WQ377" s="457"/>
      <c r="WR377" s="457"/>
      <c r="WS377" s="457"/>
      <c r="WT377" s="457"/>
      <c r="WU377" s="457"/>
      <c r="WV377" s="457"/>
      <c r="WW377" s="457"/>
      <c r="WX377" s="457"/>
      <c r="WY377" s="457"/>
      <c r="WZ377" s="457"/>
      <c r="XA377" s="457"/>
      <c r="XB377" s="457"/>
      <c r="XC377" s="457"/>
      <c r="XD377" s="457"/>
      <c r="XE377" s="457"/>
      <c r="XF377" s="457"/>
      <c r="XG377" s="457"/>
      <c r="XH377" s="457"/>
      <c r="XI377" s="457"/>
      <c r="XJ377" s="457"/>
      <c r="XK377" s="457"/>
      <c r="XL377" s="457"/>
      <c r="XM377" s="457"/>
      <c r="XN377" s="457"/>
      <c r="XO377" s="457"/>
      <c r="XP377" s="457"/>
      <c r="XQ377" s="457"/>
      <c r="XR377" s="457"/>
      <c r="XS377" s="457"/>
      <c r="XT377" s="457"/>
      <c r="XU377" s="457"/>
      <c r="XV377" s="457"/>
      <c r="XW377" s="457"/>
      <c r="XX377" s="457"/>
      <c r="XY377" s="457"/>
      <c r="XZ377" s="457"/>
      <c r="YA377" s="457"/>
      <c r="YB377" s="457"/>
      <c r="YC377" s="457"/>
      <c r="YD377" s="457"/>
      <c r="YE377" s="457"/>
      <c r="YF377" s="457"/>
      <c r="YG377" s="457"/>
      <c r="YH377" s="457"/>
      <c r="YI377" s="457"/>
      <c r="YJ377" s="457"/>
      <c r="YK377" s="457"/>
      <c r="YL377" s="457"/>
      <c r="YM377" s="457"/>
      <c r="YN377" s="457"/>
      <c r="YO377" s="457"/>
      <c r="YP377" s="457"/>
      <c r="YQ377" s="457"/>
      <c r="YR377" s="457"/>
      <c r="YS377" s="457"/>
      <c r="YT377" s="457"/>
      <c r="YU377" s="457"/>
      <c r="YV377" s="457"/>
      <c r="YW377" s="457"/>
      <c r="YX377" s="457"/>
      <c r="YY377" s="457"/>
      <c r="YZ377" s="457"/>
      <c r="ZA377" s="457"/>
      <c r="ZB377" s="457"/>
      <c r="ZC377" s="457"/>
      <c r="ZD377" s="457"/>
      <c r="ZE377" s="457"/>
      <c r="ZF377" s="457"/>
      <c r="ZG377" s="457"/>
      <c r="ZH377" s="457"/>
      <c r="ZI377" s="457"/>
      <c r="ZJ377" s="457"/>
      <c r="ZK377" s="457"/>
      <c r="ZL377" s="457"/>
      <c r="ZM377" s="457"/>
      <c r="ZN377" s="457"/>
      <c r="ZO377" s="457"/>
      <c r="ZP377" s="457"/>
      <c r="ZQ377" s="457"/>
      <c r="ZR377" s="457"/>
      <c r="ZS377" s="457"/>
      <c r="ZT377" s="457"/>
      <c r="ZU377" s="457"/>
      <c r="ZV377" s="457"/>
      <c r="ZW377" s="457"/>
      <c r="ZX377" s="457"/>
      <c r="ZY377" s="457"/>
      <c r="ZZ377" s="457"/>
      <c r="AAA377" s="457"/>
      <c r="AAB377" s="457"/>
      <c r="AAC377" s="457"/>
      <c r="AAD377" s="457"/>
      <c r="AAE377" s="457"/>
      <c r="AAF377" s="457"/>
      <c r="AAG377" s="457"/>
      <c r="AAH377" s="457"/>
      <c r="AAI377" s="457"/>
      <c r="AAJ377" s="457"/>
      <c r="AAK377" s="457"/>
      <c r="AAL377" s="457"/>
      <c r="AAM377" s="457"/>
      <c r="AAN377" s="457"/>
      <c r="AAO377" s="457"/>
      <c r="AAP377" s="457"/>
      <c r="AAQ377" s="457"/>
      <c r="AAR377" s="457"/>
      <c r="AAS377" s="457"/>
      <c r="AAT377" s="457"/>
      <c r="AAU377" s="457"/>
      <c r="AAV377" s="457"/>
      <c r="AAW377" s="457"/>
      <c r="AAX377" s="457"/>
      <c r="AAY377" s="457"/>
      <c r="AAZ377" s="457"/>
      <c r="ABA377" s="457"/>
      <c r="ABB377" s="457"/>
      <c r="ABC377" s="457"/>
      <c r="ABD377" s="457"/>
      <c r="ABE377" s="457"/>
      <c r="ABF377" s="457"/>
      <c r="ABG377" s="457"/>
      <c r="ABH377" s="457"/>
      <c r="ABI377" s="457"/>
      <c r="ABJ377" s="457"/>
      <c r="ABK377" s="457"/>
      <c r="ABL377" s="457"/>
      <c r="ABM377" s="457"/>
      <c r="ABN377" s="457"/>
      <c r="ABO377" s="457"/>
      <c r="ABP377" s="457"/>
      <c r="ABQ377" s="457"/>
      <c r="ABR377" s="457"/>
      <c r="ABS377" s="457"/>
      <c r="ABT377" s="457"/>
      <c r="ABU377" s="457"/>
      <c r="ABV377" s="457"/>
      <c r="ABW377" s="457"/>
      <c r="ABX377" s="457"/>
      <c r="ABY377" s="457"/>
      <c r="ABZ377" s="457"/>
      <c r="ACA377" s="457"/>
      <c r="ACB377" s="457"/>
      <c r="ACC377" s="457"/>
      <c r="ACD377" s="457"/>
      <c r="ACE377" s="457"/>
      <c r="ACF377" s="457"/>
      <c r="ACG377" s="457"/>
      <c r="ACH377" s="457"/>
      <c r="ACI377" s="457"/>
      <c r="ACJ377" s="457"/>
      <c r="ACK377" s="457"/>
      <c r="ACL377" s="457"/>
      <c r="ACM377" s="457"/>
      <c r="ACN377" s="457"/>
      <c r="ACO377" s="457"/>
      <c r="ACP377" s="457"/>
      <c r="ACQ377" s="457"/>
      <c r="ACR377" s="457"/>
      <c r="ACS377" s="457"/>
      <c r="ACT377" s="457"/>
      <c r="ACU377" s="457"/>
      <c r="ACV377" s="457"/>
    </row>
    <row r="378" spans="1:776" s="400" customFormat="1" x14ac:dyDescent="0.25">
      <c r="A378" s="43">
        <v>900091</v>
      </c>
      <c r="B378" s="34" t="s">
        <v>211</v>
      </c>
      <c r="C378" s="455"/>
      <c r="D378" s="454" t="s">
        <v>212</v>
      </c>
      <c r="E378" s="454">
        <v>0.752</v>
      </c>
      <c r="F378" s="458">
        <v>29.2</v>
      </c>
      <c r="G378" s="34">
        <v>0.01</v>
      </c>
      <c r="H378" s="454">
        <v>7.0000000000000007E-2</v>
      </c>
      <c r="I378" s="456">
        <v>56.02</v>
      </c>
      <c r="J378" s="458">
        <v>41.6</v>
      </c>
      <c r="K378" s="454">
        <v>0.01</v>
      </c>
      <c r="L378" s="454">
        <v>364.8</v>
      </c>
      <c r="M378" s="34">
        <v>0.01</v>
      </c>
      <c r="N378" s="454">
        <v>2.0099999999999998</v>
      </c>
      <c r="O378" s="34">
        <v>21.35</v>
      </c>
      <c r="P378" s="454">
        <v>78.25</v>
      </c>
      <c r="Q378" s="454">
        <v>45.82</v>
      </c>
      <c r="R378" s="34">
        <v>0.18</v>
      </c>
      <c r="S378" s="34">
        <v>1.0000000000000001E-5</v>
      </c>
      <c r="T378" s="34">
        <v>1.0000000000000001E-5</v>
      </c>
      <c r="U378" s="34">
        <v>0.01</v>
      </c>
      <c r="V378" s="454"/>
      <c r="W378" s="457"/>
      <c r="X378" s="457"/>
      <c r="Y378" s="457"/>
      <c r="Z378" s="457"/>
      <c r="AA378" s="457"/>
      <c r="AB378" s="457"/>
      <c r="AC378" s="457"/>
      <c r="AD378" s="457"/>
      <c r="AE378" s="457"/>
      <c r="AF378" s="457"/>
      <c r="AG378" s="457"/>
      <c r="AH378" s="457"/>
      <c r="AI378" s="457"/>
      <c r="AJ378" s="457"/>
      <c r="AK378" s="457"/>
      <c r="AL378" s="457"/>
      <c r="AM378" s="457"/>
      <c r="AN378" s="457"/>
      <c r="AO378" s="457"/>
      <c r="AP378" s="457"/>
      <c r="AQ378" s="457"/>
      <c r="AR378" s="457"/>
      <c r="AS378" s="457"/>
      <c r="AT378" s="457"/>
      <c r="AU378" s="457"/>
      <c r="AV378" s="457"/>
      <c r="AW378" s="457"/>
      <c r="AX378" s="457"/>
      <c r="AY378" s="457"/>
      <c r="AZ378" s="457"/>
      <c r="BA378" s="457"/>
      <c r="BB378" s="457"/>
      <c r="BC378" s="457"/>
      <c r="BD378" s="457"/>
      <c r="BE378" s="457"/>
      <c r="BF378" s="457"/>
      <c r="BG378" s="457"/>
      <c r="BH378" s="457"/>
      <c r="BI378" s="457"/>
      <c r="BJ378" s="457"/>
      <c r="BK378" s="457"/>
      <c r="BL378" s="457"/>
      <c r="BM378" s="457"/>
      <c r="BN378" s="457"/>
      <c r="BO378" s="457"/>
      <c r="BP378" s="457"/>
      <c r="BQ378" s="457"/>
      <c r="BR378" s="457"/>
      <c r="BS378" s="457"/>
      <c r="BT378" s="457"/>
      <c r="BU378" s="457"/>
      <c r="BV378" s="457"/>
      <c r="BW378" s="457"/>
      <c r="BX378" s="457"/>
      <c r="BY378" s="457"/>
      <c r="BZ378" s="457"/>
      <c r="CA378" s="457"/>
      <c r="CB378" s="457"/>
      <c r="CC378" s="457"/>
      <c r="CD378" s="457"/>
      <c r="CE378" s="457"/>
      <c r="CF378" s="457"/>
      <c r="CG378" s="457"/>
      <c r="CH378" s="457"/>
      <c r="CI378" s="457"/>
      <c r="CJ378" s="457"/>
      <c r="CK378" s="457"/>
      <c r="CL378" s="457"/>
      <c r="CM378" s="457"/>
      <c r="CN378" s="457"/>
      <c r="CO378" s="457"/>
      <c r="CP378" s="457"/>
      <c r="CQ378" s="457"/>
      <c r="CR378" s="457"/>
      <c r="CS378" s="457"/>
      <c r="CT378" s="457"/>
      <c r="CU378" s="457"/>
      <c r="CV378" s="457"/>
      <c r="CW378" s="457"/>
      <c r="CX378" s="457"/>
      <c r="CY378" s="457"/>
      <c r="CZ378" s="457"/>
      <c r="DA378" s="457"/>
      <c r="DB378" s="457"/>
      <c r="DC378" s="457"/>
      <c r="DD378" s="457"/>
      <c r="DE378" s="457"/>
      <c r="DF378" s="457"/>
      <c r="DG378" s="457"/>
      <c r="DH378" s="457"/>
      <c r="DI378" s="457"/>
      <c r="DJ378" s="457"/>
      <c r="DK378" s="457"/>
      <c r="DL378" s="457"/>
      <c r="DM378" s="457"/>
      <c r="DN378" s="457"/>
      <c r="DO378" s="457"/>
      <c r="DP378" s="457"/>
      <c r="DQ378" s="457"/>
      <c r="DR378" s="457"/>
      <c r="DS378" s="457"/>
      <c r="DT378" s="457"/>
      <c r="DU378" s="457"/>
      <c r="DV378" s="457"/>
      <c r="DW378" s="457"/>
      <c r="DX378" s="457"/>
      <c r="DY378" s="457"/>
      <c r="DZ378" s="457"/>
      <c r="EA378" s="457"/>
      <c r="EB378" s="457"/>
      <c r="EC378" s="457"/>
      <c r="ED378" s="457"/>
      <c r="EE378" s="457"/>
      <c r="EF378" s="457"/>
      <c r="EG378" s="457"/>
      <c r="EH378" s="457"/>
      <c r="EI378" s="457"/>
      <c r="EJ378" s="457"/>
      <c r="EK378" s="457"/>
      <c r="EL378" s="457"/>
      <c r="EM378" s="457"/>
      <c r="EN378" s="457"/>
      <c r="EO378" s="457"/>
      <c r="EP378" s="457"/>
      <c r="EQ378" s="457"/>
      <c r="ER378" s="457"/>
      <c r="ES378" s="457"/>
      <c r="ET378" s="457"/>
      <c r="EU378" s="457"/>
      <c r="EV378" s="457"/>
      <c r="EW378" s="457"/>
      <c r="EX378" s="457"/>
      <c r="EY378" s="457"/>
      <c r="EZ378" s="457"/>
      <c r="FA378" s="457"/>
      <c r="FB378" s="457"/>
      <c r="FC378" s="457"/>
      <c r="FD378" s="457"/>
      <c r="FE378" s="457"/>
      <c r="FF378" s="457"/>
      <c r="FG378" s="457"/>
      <c r="FH378" s="457"/>
      <c r="FI378" s="457"/>
      <c r="FJ378" s="457"/>
      <c r="FK378" s="457"/>
      <c r="FL378" s="457"/>
      <c r="FM378" s="457"/>
      <c r="FN378" s="457"/>
      <c r="FO378" s="457"/>
      <c r="FP378" s="457"/>
      <c r="FQ378" s="457"/>
      <c r="FR378" s="457"/>
      <c r="FS378" s="457"/>
      <c r="FT378" s="457"/>
      <c r="FU378" s="457"/>
      <c r="FV378" s="457"/>
      <c r="FW378" s="457"/>
      <c r="FX378" s="457"/>
      <c r="FY378" s="457"/>
      <c r="FZ378" s="457"/>
      <c r="GA378" s="457"/>
      <c r="GB378" s="457"/>
      <c r="GC378" s="457"/>
      <c r="GD378" s="457"/>
      <c r="GE378" s="457"/>
      <c r="GF378" s="457"/>
      <c r="GG378" s="457"/>
      <c r="GH378" s="457"/>
      <c r="GI378" s="457"/>
      <c r="GJ378" s="457"/>
      <c r="GK378" s="457"/>
      <c r="GL378" s="457"/>
      <c r="GM378" s="457"/>
      <c r="GN378" s="457"/>
      <c r="GO378" s="457"/>
      <c r="GP378" s="457"/>
      <c r="GQ378" s="457"/>
      <c r="GR378" s="457"/>
      <c r="GS378" s="457"/>
      <c r="GT378" s="457"/>
      <c r="GU378" s="457"/>
      <c r="GV378" s="457"/>
      <c r="GW378" s="457"/>
      <c r="GX378" s="457"/>
      <c r="GY378" s="457"/>
      <c r="GZ378" s="457"/>
      <c r="HA378" s="457"/>
      <c r="HB378" s="457"/>
      <c r="HC378" s="457"/>
      <c r="HD378" s="457"/>
      <c r="HE378" s="457"/>
      <c r="HF378" s="457"/>
      <c r="HG378" s="457"/>
      <c r="HH378" s="457"/>
      <c r="HI378" s="457"/>
      <c r="HJ378" s="457"/>
      <c r="HK378" s="457"/>
      <c r="HL378" s="457"/>
      <c r="HM378" s="457"/>
      <c r="HN378" s="457"/>
      <c r="HO378" s="457"/>
      <c r="HP378" s="457"/>
      <c r="HQ378" s="457"/>
      <c r="HR378" s="457"/>
      <c r="HS378" s="457"/>
      <c r="HT378" s="457"/>
      <c r="HU378" s="457"/>
      <c r="HV378" s="457"/>
      <c r="HW378" s="457"/>
      <c r="HX378" s="457"/>
      <c r="HY378" s="457"/>
      <c r="HZ378" s="457"/>
      <c r="IA378" s="457"/>
      <c r="IB378" s="457"/>
      <c r="IC378" s="457"/>
      <c r="ID378" s="457"/>
      <c r="IE378" s="457"/>
      <c r="IF378" s="457"/>
      <c r="IG378" s="457"/>
      <c r="IH378" s="457"/>
      <c r="II378" s="457"/>
      <c r="IJ378" s="457"/>
      <c r="IK378" s="457"/>
      <c r="IL378" s="457"/>
      <c r="IM378" s="457"/>
      <c r="IN378" s="457"/>
      <c r="IO378" s="457"/>
      <c r="IP378" s="457"/>
      <c r="IQ378" s="457"/>
      <c r="IR378" s="457"/>
      <c r="IS378" s="457"/>
      <c r="IT378" s="457"/>
      <c r="IU378" s="457"/>
      <c r="IV378" s="457"/>
      <c r="IW378" s="457"/>
      <c r="IX378" s="457"/>
      <c r="IY378" s="457"/>
      <c r="IZ378" s="457"/>
      <c r="JA378" s="457"/>
      <c r="JB378" s="457"/>
      <c r="JC378" s="457"/>
      <c r="JD378" s="457"/>
      <c r="JE378" s="457"/>
      <c r="JF378" s="457"/>
      <c r="JG378" s="457"/>
      <c r="JH378" s="457"/>
      <c r="JI378" s="457"/>
      <c r="JJ378" s="457"/>
      <c r="JK378" s="457"/>
      <c r="JL378" s="457"/>
      <c r="JM378" s="457"/>
      <c r="JN378" s="457"/>
      <c r="JO378" s="457"/>
      <c r="JP378" s="457"/>
      <c r="JQ378" s="457"/>
      <c r="JR378" s="457"/>
      <c r="JS378" s="457"/>
      <c r="JT378" s="457"/>
      <c r="JU378" s="457"/>
      <c r="JV378" s="457"/>
      <c r="JW378" s="457"/>
      <c r="JX378" s="457"/>
      <c r="JY378" s="457"/>
      <c r="JZ378" s="457"/>
      <c r="KA378" s="457"/>
      <c r="KB378" s="457"/>
      <c r="KC378" s="457"/>
      <c r="KD378" s="457"/>
      <c r="KE378" s="457"/>
      <c r="KF378" s="457"/>
      <c r="KG378" s="457"/>
      <c r="KH378" s="457"/>
      <c r="KI378" s="457"/>
      <c r="KJ378" s="457"/>
      <c r="KK378" s="457"/>
      <c r="KL378" s="457"/>
      <c r="KM378" s="457"/>
      <c r="KN378" s="457"/>
      <c r="KO378" s="457"/>
      <c r="KP378" s="457"/>
      <c r="KQ378" s="457"/>
      <c r="KR378" s="457"/>
      <c r="KS378" s="457"/>
      <c r="KT378" s="457"/>
      <c r="KU378" s="457"/>
      <c r="KV378" s="457"/>
      <c r="KW378" s="457"/>
      <c r="KX378" s="457"/>
      <c r="KY378" s="457"/>
      <c r="KZ378" s="457"/>
      <c r="LA378" s="457"/>
      <c r="LB378" s="457"/>
      <c r="LC378" s="457"/>
      <c r="LD378" s="457"/>
      <c r="LE378" s="457"/>
      <c r="LF378" s="457"/>
      <c r="LG378" s="457"/>
      <c r="LH378" s="457"/>
      <c r="LI378" s="457"/>
      <c r="LJ378" s="457"/>
      <c r="LK378" s="457"/>
      <c r="LL378" s="457"/>
      <c r="LM378" s="457"/>
      <c r="LN378" s="457"/>
      <c r="LO378" s="457"/>
      <c r="LP378" s="457"/>
      <c r="LQ378" s="457"/>
      <c r="LR378" s="457"/>
      <c r="LS378" s="457"/>
      <c r="LT378" s="457"/>
      <c r="LU378" s="457"/>
      <c r="LV378" s="457"/>
      <c r="LW378" s="457"/>
      <c r="LX378" s="457"/>
      <c r="LY378" s="457"/>
      <c r="LZ378" s="457"/>
      <c r="MA378" s="457"/>
      <c r="MB378" s="457"/>
      <c r="MC378" s="457"/>
      <c r="MD378" s="457"/>
      <c r="ME378" s="457"/>
      <c r="MF378" s="457"/>
      <c r="MG378" s="457"/>
      <c r="MH378" s="457"/>
      <c r="MI378" s="457"/>
      <c r="MJ378" s="457"/>
      <c r="MK378" s="457"/>
      <c r="ML378" s="457"/>
      <c r="MM378" s="457"/>
      <c r="MN378" s="457"/>
      <c r="MO378" s="457"/>
      <c r="MP378" s="457"/>
      <c r="MQ378" s="457"/>
      <c r="MR378" s="457"/>
      <c r="MS378" s="457"/>
      <c r="MT378" s="457"/>
      <c r="MU378" s="457"/>
      <c r="MV378" s="457"/>
      <c r="MW378" s="457"/>
      <c r="MX378" s="457"/>
      <c r="MY378" s="457"/>
      <c r="MZ378" s="457"/>
      <c r="NA378" s="457"/>
      <c r="NB378" s="457"/>
      <c r="NC378" s="457"/>
      <c r="ND378" s="457"/>
      <c r="NE378" s="457"/>
      <c r="NF378" s="457"/>
      <c r="NG378" s="457"/>
      <c r="NH378" s="457"/>
      <c r="NI378" s="457"/>
      <c r="NJ378" s="457"/>
      <c r="NK378" s="457"/>
      <c r="NL378" s="457"/>
      <c r="NM378" s="457"/>
      <c r="NN378" s="457"/>
      <c r="NO378" s="457"/>
      <c r="NP378" s="457"/>
      <c r="NQ378" s="457"/>
      <c r="NR378" s="457"/>
      <c r="NS378" s="457"/>
      <c r="NT378" s="457"/>
      <c r="NU378" s="457"/>
      <c r="NV378" s="457"/>
      <c r="NW378" s="457"/>
      <c r="NX378" s="457"/>
      <c r="NY378" s="457"/>
      <c r="NZ378" s="457"/>
      <c r="OA378" s="457"/>
      <c r="OB378" s="457"/>
      <c r="OC378" s="457"/>
      <c r="OD378" s="457"/>
      <c r="OE378" s="457"/>
      <c r="OF378" s="457"/>
      <c r="OG378" s="457"/>
      <c r="OH378" s="457"/>
      <c r="OI378" s="457"/>
      <c r="OJ378" s="457"/>
      <c r="OK378" s="457"/>
      <c r="OL378" s="457"/>
      <c r="OM378" s="457"/>
      <c r="ON378" s="457"/>
      <c r="OO378" s="457"/>
      <c r="OP378" s="457"/>
      <c r="OQ378" s="457"/>
      <c r="OR378" s="457"/>
      <c r="OS378" s="457"/>
      <c r="OT378" s="457"/>
      <c r="OU378" s="457"/>
      <c r="OV378" s="457"/>
      <c r="OW378" s="457"/>
      <c r="OX378" s="457"/>
      <c r="OY378" s="457"/>
      <c r="OZ378" s="457"/>
      <c r="PA378" s="457"/>
      <c r="PB378" s="457"/>
      <c r="PC378" s="457"/>
      <c r="PD378" s="457"/>
      <c r="PE378" s="457"/>
      <c r="PF378" s="457"/>
      <c r="PG378" s="457"/>
      <c r="PH378" s="457"/>
      <c r="PI378" s="457"/>
      <c r="PJ378" s="457"/>
      <c r="PK378" s="457"/>
      <c r="PL378" s="457"/>
      <c r="PM378" s="457"/>
      <c r="PN378" s="457"/>
      <c r="PO378" s="457"/>
      <c r="PP378" s="457"/>
      <c r="PQ378" s="457"/>
      <c r="PR378" s="457"/>
      <c r="PS378" s="457"/>
      <c r="PT378" s="457"/>
      <c r="PU378" s="457"/>
      <c r="PV378" s="457"/>
      <c r="PW378" s="457"/>
      <c r="PX378" s="457"/>
      <c r="PY378" s="457"/>
      <c r="PZ378" s="457"/>
      <c r="QA378" s="457"/>
      <c r="QB378" s="457"/>
      <c r="QC378" s="457"/>
      <c r="QD378" s="457"/>
      <c r="QE378" s="457"/>
      <c r="QF378" s="457"/>
      <c r="QG378" s="457"/>
      <c r="QH378" s="457"/>
      <c r="QI378" s="457"/>
      <c r="QJ378" s="457"/>
      <c r="QK378" s="457"/>
      <c r="QL378" s="457"/>
      <c r="QM378" s="457"/>
      <c r="QN378" s="457"/>
      <c r="QO378" s="457"/>
      <c r="QP378" s="457"/>
      <c r="QQ378" s="457"/>
      <c r="QR378" s="457"/>
      <c r="QS378" s="457"/>
      <c r="QT378" s="457"/>
      <c r="QU378" s="457"/>
      <c r="QV378" s="457"/>
      <c r="QW378" s="457"/>
      <c r="QX378" s="457"/>
      <c r="QY378" s="457"/>
      <c r="QZ378" s="457"/>
      <c r="RA378" s="457"/>
      <c r="RB378" s="457"/>
      <c r="RC378" s="457"/>
      <c r="RD378" s="457"/>
      <c r="RE378" s="457"/>
      <c r="RF378" s="457"/>
      <c r="RG378" s="457"/>
      <c r="RH378" s="457"/>
      <c r="RI378" s="457"/>
      <c r="RJ378" s="457"/>
      <c r="RK378" s="457"/>
      <c r="RL378" s="457"/>
      <c r="RM378" s="457"/>
      <c r="RN378" s="457"/>
      <c r="RO378" s="457"/>
      <c r="RP378" s="457"/>
      <c r="RQ378" s="457"/>
      <c r="RR378" s="457"/>
      <c r="RS378" s="457"/>
      <c r="RT378" s="457"/>
      <c r="RU378" s="457"/>
      <c r="RV378" s="457"/>
      <c r="RW378" s="457"/>
      <c r="RX378" s="457"/>
      <c r="RY378" s="457"/>
      <c r="RZ378" s="457"/>
      <c r="SA378" s="457"/>
      <c r="SB378" s="457"/>
      <c r="SC378" s="457"/>
      <c r="SD378" s="457"/>
      <c r="SE378" s="457"/>
      <c r="SF378" s="457"/>
      <c r="SG378" s="457"/>
      <c r="SH378" s="457"/>
      <c r="SI378" s="457"/>
      <c r="SJ378" s="457"/>
      <c r="SK378" s="457"/>
      <c r="SL378" s="457"/>
      <c r="SM378" s="457"/>
      <c r="SN378" s="457"/>
      <c r="SO378" s="457"/>
      <c r="SP378" s="457"/>
      <c r="SQ378" s="457"/>
      <c r="SR378" s="457"/>
      <c r="SS378" s="457"/>
      <c r="ST378" s="457"/>
      <c r="SU378" s="457"/>
      <c r="SV378" s="457"/>
      <c r="SW378" s="457"/>
      <c r="SX378" s="457"/>
      <c r="SY378" s="457"/>
      <c r="SZ378" s="457"/>
      <c r="TA378" s="457"/>
      <c r="TB378" s="457"/>
      <c r="TC378" s="457"/>
      <c r="TD378" s="457"/>
      <c r="TE378" s="457"/>
      <c r="TF378" s="457"/>
      <c r="TG378" s="457"/>
      <c r="TH378" s="457"/>
      <c r="TI378" s="457"/>
      <c r="TJ378" s="457"/>
      <c r="TK378" s="457"/>
      <c r="TL378" s="457"/>
      <c r="TM378" s="457"/>
      <c r="TN378" s="457"/>
      <c r="TO378" s="457"/>
      <c r="TP378" s="457"/>
      <c r="TQ378" s="457"/>
      <c r="TR378" s="457"/>
      <c r="TS378" s="457"/>
      <c r="TT378" s="457"/>
      <c r="TU378" s="457"/>
      <c r="TV378" s="457"/>
      <c r="TW378" s="457"/>
      <c r="TX378" s="457"/>
      <c r="TY378" s="457"/>
      <c r="TZ378" s="457"/>
      <c r="UA378" s="457"/>
      <c r="UB378" s="457"/>
      <c r="UC378" s="457"/>
      <c r="UD378" s="457"/>
      <c r="UE378" s="457"/>
      <c r="UF378" s="457"/>
      <c r="UG378" s="457"/>
      <c r="UH378" s="457"/>
      <c r="UI378" s="457"/>
      <c r="UJ378" s="457"/>
      <c r="UK378" s="457"/>
      <c r="UL378" s="457"/>
      <c r="UM378" s="457"/>
      <c r="UN378" s="457"/>
      <c r="UO378" s="457"/>
      <c r="UP378" s="457"/>
      <c r="UQ378" s="457"/>
      <c r="UR378" s="457"/>
      <c r="US378" s="457"/>
      <c r="UT378" s="457"/>
      <c r="UU378" s="457"/>
      <c r="UV378" s="457"/>
      <c r="UW378" s="457"/>
      <c r="UX378" s="457"/>
      <c r="UY378" s="457"/>
      <c r="UZ378" s="457"/>
      <c r="VA378" s="457"/>
      <c r="VB378" s="457"/>
      <c r="VC378" s="457"/>
      <c r="VD378" s="457"/>
      <c r="VE378" s="457"/>
      <c r="VF378" s="457"/>
      <c r="VG378" s="457"/>
      <c r="VH378" s="457"/>
      <c r="VI378" s="457"/>
      <c r="VJ378" s="457"/>
      <c r="VK378" s="457"/>
      <c r="VL378" s="457"/>
      <c r="VM378" s="457"/>
      <c r="VN378" s="457"/>
      <c r="VO378" s="457"/>
      <c r="VP378" s="457"/>
      <c r="VQ378" s="457"/>
      <c r="VR378" s="457"/>
      <c r="VS378" s="457"/>
      <c r="VT378" s="457"/>
      <c r="VU378" s="457"/>
      <c r="VV378" s="457"/>
      <c r="VW378" s="457"/>
      <c r="VX378" s="457"/>
      <c r="VY378" s="457"/>
      <c r="VZ378" s="457"/>
      <c r="WA378" s="457"/>
      <c r="WB378" s="457"/>
      <c r="WC378" s="457"/>
      <c r="WD378" s="457"/>
      <c r="WE378" s="457"/>
      <c r="WF378" s="457"/>
      <c r="WG378" s="457"/>
      <c r="WH378" s="457"/>
      <c r="WI378" s="457"/>
      <c r="WJ378" s="457"/>
      <c r="WK378" s="457"/>
      <c r="WL378" s="457"/>
      <c r="WM378" s="457"/>
      <c r="WN378" s="457"/>
      <c r="WO378" s="457"/>
      <c r="WP378" s="457"/>
      <c r="WQ378" s="457"/>
      <c r="WR378" s="457"/>
      <c r="WS378" s="457"/>
      <c r="WT378" s="457"/>
      <c r="WU378" s="457"/>
      <c r="WV378" s="457"/>
      <c r="WW378" s="457"/>
      <c r="WX378" s="457"/>
      <c r="WY378" s="457"/>
      <c r="WZ378" s="457"/>
      <c r="XA378" s="457"/>
      <c r="XB378" s="457"/>
      <c r="XC378" s="457"/>
      <c r="XD378" s="457"/>
      <c r="XE378" s="457"/>
      <c r="XF378" s="457"/>
      <c r="XG378" s="457"/>
      <c r="XH378" s="457"/>
      <c r="XI378" s="457"/>
      <c r="XJ378" s="457"/>
      <c r="XK378" s="457"/>
      <c r="XL378" s="457"/>
      <c r="XM378" s="457"/>
      <c r="XN378" s="457"/>
      <c r="XO378" s="457"/>
      <c r="XP378" s="457"/>
      <c r="XQ378" s="457"/>
      <c r="XR378" s="457"/>
      <c r="XS378" s="457"/>
      <c r="XT378" s="457"/>
      <c r="XU378" s="457"/>
      <c r="XV378" s="457"/>
      <c r="XW378" s="457"/>
      <c r="XX378" s="457"/>
      <c r="XY378" s="457"/>
      <c r="XZ378" s="457"/>
      <c r="YA378" s="457"/>
      <c r="YB378" s="457"/>
      <c r="YC378" s="457"/>
      <c r="YD378" s="457"/>
      <c r="YE378" s="457"/>
      <c r="YF378" s="457"/>
      <c r="YG378" s="457"/>
      <c r="YH378" s="457"/>
      <c r="YI378" s="457"/>
      <c r="YJ378" s="457"/>
      <c r="YK378" s="457"/>
      <c r="YL378" s="457"/>
      <c r="YM378" s="457"/>
      <c r="YN378" s="457"/>
      <c r="YO378" s="457"/>
      <c r="YP378" s="457"/>
      <c r="YQ378" s="457"/>
      <c r="YR378" s="457"/>
      <c r="YS378" s="457"/>
      <c r="YT378" s="457"/>
      <c r="YU378" s="457"/>
      <c r="YV378" s="457"/>
      <c r="YW378" s="457"/>
      <c r="YX378" s="457"/>
      <c r="YY378" s="457"/>
      <c r="YZ378" s="457"/>
      <c r="ZA378" s="457"/>
      <c r="ZB378" s="457"/>
      <c r="ZC378" s="457"/>
      <c r="ZD378" s="457"/>
      <c r="ZE378" s="457"/>
      <c r="ZF378" s="457"/>
      <c r="ZG378" s="457"/>
      <c r="ZH378" s="457"/>
      <c r="ZI378" s="457"/>
      <c r="ZJ378" s="457"/>
      <c r="ZK378" s="457"/>
      <c r="ZL378" s="457"/>
      <c r="ZM378" s="457"/>
      <c r="ZN378" s="457"/>
      <c r="ZO378" s="457"/>
      <c r="ZP378" s="457"/>
      <c r="ZQ378" s="457"/>
      <c r="ZR378" s="457"/>
      <c r="ZS378" s="457"/>
      <c r="ZT378" s="457"/>
      <c r="ZU378" s="457"/>
      <c r="ZV378" s="457"/>
      <c r="ZW378" s="457"/>
      <c r="ZX378" s="457"/>
      <c r="ZY378" s="457"/>
      <c r="ZZ378" s="457"/>
      <c r="AAA378" s="457"/>
      <c r="AAB378" s="457"/>
      <c r="AAC378" s="457"/>
      <c r="AAD378" s="457"/>
      <c r="AAE378" s="457"/>
      <c r="AAF378" s="457"/>
      <c r="AAG378" s="457"/>
      <c r="AAH378" s="457"/>
      <c r="AAI378" s="457"/>
      <c r="AAJ378" s="457"/>
      <c r="AAK378" s="457"/>
      <c r="AAL378" s="457"/>
      <c r="AAM378" s="457"/>
      <c r="AAN378" s="457"/>
      <c r="AAO378" s="457"/>
      <c r="AAP378" s="457"/>
      <c r="AAQ378" s="457"/>
      <c r="AAR378" s="457"/>
      <c r="AAS378" s="457"/>
      <c r="AAT378" s="457"/>
      <c r="AAU378" s="457"/>
      <c r="AAV378" s="457"/>
      <c r="AAW378" s="457"/>
      <c r="AAX378" s="457"/>
      <c r="AAY378" s="457"/>
      <c r="AAZ378" s="457"/>
      <c r="ABA378" s="457"/>
      <c r="ABB378" s="457"/>
      <c r="ABC378" s="457"/>
      <c r="ABD378" s="457"/>
      <c r="ABE378" s="457"/>
      <c r="ABF378" s="457"/>
      <c r="ABG378" s="457"/>
      <c r="ABH378" s="457"/>
      <c r="ABI378" s="457"/>
      <c r="ABJ378" s="457"/>
      <c r="ABK378" s="457"/>
      <c r="ABL378" s="457"/>
      <c r="ABM378" s="457"/>
      <c r="ABN378" s="457"/>
      <c r="ABO378" s="457"/>
      <c r="ABP378" s="457"/>
      <c r="ABQ378" s="457"/>
      <c r="ABR378" s="457"/>
      <c r="ABS378" s="457"/>
      <c r="ABT378" s="457"/>
      <c r="ABU378" s="457"/>
      <c r="ABV378" s="457"/>
      <c r="ABW378" s="457"/>
      <c r="ABX378" s="457"/>
      <c r="ABY378" s="457"/>
      <c r="ABZ378" s="457"/>
      <c r="ACA378" s="457"/>
      <c r="ACB378" s="457"/>
      <c r="ACC378" s="457"/>
      <c r="ACD378" s="457"/>
      <c r="ACE378" s="457"/>
      <c r="ACF378" s="457"/>
      <c r="ACG378" s="457"/>
      <c r="ACH378" s="457"/>
      <c r="ACI378" s="457"/>
      <c r="ACJ378" s="457"/>
      <c r="ACK378" s="457"/>
      <c r="ACL378" s="457"/>
      <c r="ACM378" s="457"/>
      <c r="ACN378" s="457"/>
      <c r="ACO378" s="457"/>
      <c r="ACP378" s="457"/>
      <c r="ACQ378" s="457"/>
      <c r="ACR378" s="457"/>
      <c r="ACS378" s="457"/>
      <c r="ACT378" s="457"/>
      <c r="ACU378" s="457"/>
      <c r="ACV378" s="457"/>
    </row>
    <row r="379" spans="1:776" s="400" customFormat="1" x14ac:dyDescent="0.25">
      <c r="A379" s="43">
        <v>900092</v>
      </c>
      <c r="B379" s="34" t="s">
        <v>213</v>
      </c>
      <c r="C379" s="455"/>
      <c r="D379" s="454" t="s">
        <v>191</v>
      </c>
      <c r="E379" s="454">
        <v>0.88900000000000001</v>
      </c>
      <c r="F379" s="458">
        <v>28.3</v>
      </c>
      <c r="G379" s="34">
        <v>0.01</v>
      </c>
      <c r="H379" s="454">
        <v>0.12</v>
      </c>
      <c r="I379" s="456">
        <v>107.35</v>
      </c>
      <c r="J379" s="458">
        <v>33.299999999999997</v>
      </c>
      <c r="K379" s="454">
        <v>0.01</v>
      </c>
      <c r="L379" s="454">
        <v>333.6</v>
      </c>
      <c r="M379" s="34">
        <v>0.01</v>
      </c>
      <c r="N379" s="454">
        <v>2.36</v>
      </c>
      <c r="O379" s="34">
        <v>29.66</v>
      </c>
      <c r="P379" s="454">
        <v>78.459999999999994</v>
      </c>
      <c r="Q379" s="454">
        <v>54.28</v>
      </c>
      <c r="R379" s="34">
        <v>0.05</v>
      </c>
      <c r="S379" s="34">
        <v>1.0000000000000001E-5</v>
      </c>
      <c r="T379" s="34">
        <v>1.0000000000000001E-5</v>
      </c>
      <c r="U379" s="34">
        <v>1.0000000000000001E-5</v>
      </c>
      <c r="V379" s="454"/>
      <c r="W379" s="457"/>
      <c r="X379" s="457"/>
      <c r="Y379" s="457"/>
      <c r="Z379" s="457"/>
      <c r="AA379" s="457"/>
      <c r="AB379" s="457"/>
      <c r="AC379" s="457"/>
      <c r="AD379" s="457"/>
      <c r="AE379" s="457"/>
      <c r="AF379" s="457"/>
      <c r="AG379" s="457"/>
      <c r="AH379" s="457"/>
      <c r="AI379" s="457"/>
      <c r="AJ379" s="457"/>
      <c r="AK379" s="457"/>
      <c r="AL379" s="457"/>
      <c r="AM379" s="457"/>
      <c r="AN379" s="457"/>
      <c r="AO379" s="457"/>
      <c r="AP379" s="457"/>
      <c r="AQ379" s="457"/>
      <c r="AR379" s="457"/>
      <c r="AS379" s="457"/>
      <c r="AT379" s="457"/>
      <c r="AU379" s="457"/>
      <c r="AV379" s="457"/>
      <c r="AW379" s="457"/>
      <c r="AX379" s="457"/>
      <c r="AY379" s="457"/>
      <c r="AZ379" s="457"/>
      <c r="BA379" s="457"/>
      <c r="BB379" s="457"/>
      <c r="BC379" s="457"/>
      <c r="BD379" s="457"/>
      <c r="BE379" s="457"/>
      <c r="BF379" s="457"/>
      <c r="BG379" s="457"/>
      <c r="BH379" s="457"/>
      <c r="BI379" s="457"/>
      <c r="BJ379" s="457"/>
      <c r="BK379" s="457"/>
      <c r="BL379" s="457"/>
      <c r="BM379" s="457"/>
      <c r="BN379" s="457"/>
      <c r="BO379" s="457"/>
      <c r="BP379" s="457"/>
      <c r="BQ379" s="457"/>
      <c r="BR379" s="457"/>
      <c r="BS379" s="457"/>
      <c r="BT379" s="457"/>
      <c r="BU379" s="457"/>
      <c r="BV379" s="457"/>
      <c r="BW379" s="457"/>
      <c r="BX379" s="457"/>
      <c r="BY379" s="457"/>
      <c r="BZ379" s="457"/>
      <c r="CA379" s="457"/>
      <c r="CB379" s="457"/>
      <c r="CC379" s="457"/>
      <c r="CD379" s="457"/>
      <c r="CE379" s="457"/>
      <c r="CF379" s="457"/>
      <c r="CG379" s="457"/>
      <c r="CH379" s="457"/>
      <c r="CI379" s="457"/>
      <c r="CJ379" s="457"/>
      <c r="CK379" s="457"/>
      <c r="CL379" s="457"/>
      <c r="CM379" s="457"/>
      <c r="CN379" s="457"/>
      <c r="CO379" s="457"/>
      <c r="CP379" s="457"/>
      <c r="CQ379" s="457"/>
      <c r="CR379" s="457"/>
      <c r="CS379" s="457"/>
      <c r="CT379" s="457"/>
      <c r="CU379" s="457"/>
      <c r="CV379" s="457"/>
      <c r="CW379" s="457"/>
      <c r="CX379" s="457"/>
      <c r="CY379" s="457"/>
      <c r="CZ379" s="457"/>
      <c r="DA379" s="457"/>
      <c r="DB379" s="457"/>
      <c r="DC379" s="457"/>
      <c r="DD379" s="457"/>
      <c r="DE379" s="457"/>
      <c r="DF379" s="457"/>
      <c r="DG379" s="457"/>
      <c r="DH379" s="457"/>
      <c r="DI379" s="457"/>
      <c r="DJ379" s="457"/>
      <c r="DK379" s="457"/>
      <c r="DL379" s="457"/>
      <c r="DM379" s="457"/>
      <c r="DN379" s="457"/>
      <c r="DO379" s="457"/>
      <c r="DP379" s="457"/>
      <c r="DQ379" s="457"/>
      <c r="DR379" s="457"/>
      <c r="DS379" s="457"/>
      <c r="DT379" s="457"/>
      <c r="DU379" s="457"/>
      <c r="DV379" s="457"/>
      <c r="DW379" s="457"/>
      <c r="DX379" s="457"/>
      <c r="DY379" s="457"/>
      <c r="DZ379" s="457"/>
      <c r="EA379" s="457"/>
      <c r="EB379" s="457"/>
      <c r="EC379" s="457"/>
      <c r="ED379" s="457"/>
      <c r="EE379" s="457"/>
      <c r="EF379" s="457"/>
      <c r="EG379" s="457"/>
      <c r="EH379" s="457"/>
      <c r="EI379" s="457"/>
      <c r="EJ379" s="457"/>
      <c r="EK379" s="457"/>
      <c r="EL379" s="457"/>
      <c r="EM379" s="457"/>
      <c r="EN379" s="457"/>
      <c r="EO379" s="457"/>
      <c r="EP379" s="457"/>
      <c r="EQ379" s="457"/>
      <c r="ER379" s="457"/>
      <c r="ES379" s="457"/>
      <c r="ET379" s="457"/>
      <c r="EU379" s="457"/>
      <c r="EV379" s="457"/>
      <c r="EW379" s="457"/>
      <c r="EX379" s="457"/>
      <c r="EY379" s="457"/>
      <c r="EZ379" s="457"/>
      <c r="FA379" s="457"/>
      <c r="FB379" s="457"/>
      <c r="FC379" s="457"/>
      <c r="FD379" s="457"/>
      <c r="FE379" s="457"/>
      <c r="FF379" s="457"/>
      <c r="FG379" s="457"/>
      <c r="FH379" s="457"/>
      <c r="FI379" s="457"/>
      <c r="FJ379" s="457"/>
      <c r="FK379" s="457"/>
      <c r="FL379" s="457"/>
      <c r="FM379" s="457"/>
      <c r="FN379" s="457"/>
      <c r="FO379" s="457"/>
      <c r="FP379" s="457"/>
      <c r="FQ379" s="457"/>
      <c r="FR379" s="457"/>
      <c r="FS379" s="457"/>
      <c r="FT379" s="457"/>
      <c r="FU379" s="457"/>
      <c r="FV379" s="457"/>
      <c r="FW379" s="457"/>
      <c r="FX379" s="457"/>
      <c r="FY379" s="457"/>
      <c r="FZ379" s="457"/>
      <c r="GA379" s="457"/>
      <c r="GB379" s="457"/>
      <c r="GC379" s="457"/>
      <c r="GD379" s="457"/>
      <c r="GE379" s="457"/>
      <c r="GF379" s="457"/>
      <c r="GG379" s="457"/>
      <c r="GH379" s="457"/>
      <c r="GI379" s="457"/>
      <c r="GJ379" s="457"/>
      <c r="GK379" s="457"/>
      <c r="GL379" s="457"/>
      <c r="GM379" s="457"/>
      <c r="GN379" s="457"/>
      <c r="GO379" s="457"/>
      <c r="GP379" s="457"/>
      <c r="GQ379" s="457"/>
      <c r="GR379" s="457"/>
      <c r="GS379" s="457"/>
      <c r="GT379" s="457"/>
      <c r="GU379" s="457"/>
      <c r="GV379" s="457"/>
      <c r="GW379" s="457"/>
      <c r="GX379" s="457"/>
      <c r="GY379" s="457"/>
      <c r="GZ379" s="457"/>
      <c r="HA379" s="457"/>
      <c r="HB379" s="457"/>
      <c r="HC379" s="457"/>
      <c r="HD379" s="457"/>
      <c r="HE379" s="457"/>
      <c r="HF379" s="457"/>
      <c r="HG379" s="457"/>
      <c r="HH379" s="457"/>
      <c r="HI379" s="457"/>
      <c r="HJ379" s="457"/>
      <c r="HK379" s="457"/>
      <c r="HL379" s="457"/>
      <c r="HM379" s="457"/>
      <c r="HN379" s="457"/>
      <c r="HO379" s="457"/>
      <c r="HP379" s="457"/>
      <c r="HQ379" s="457"/>
      <c r="HR379" s="457"/>
      <c r="HS379" s="457"/>
      <c r="HT379" s="457"/>
      <c r="HU379" s="457"/>
      <c r="HV379" s="457"/>
      <c r="HW379" s="457"/>
      <c r="HX379" s="457"/>
      <c r="HY379" s="457"/>
      <c r="HZ379" s="457"/>
      <c r="IA379" s="457"/>
      <c r="IB379" s="457"/>
      <c r="IC379" s="457"/>
      <c r="ID379" s="457"/>
      <c r="IE379" s="457"/>
      <c r="IF379" s="457"/>
      <c r="IG379" s="457"/>
      <c r="IH379" s="457"/>
      <c r="II379" s="457"/>
      <c r="IJ379" s="457"/>
      <c r="IK379" s="457"/>
      <c r="IL379" s="457"/>
      <c r="IM379" s="457"/>
      <c r="IN379" s="457"/>
      <c r="IO379" s="457"/>
      <c r="IP379" s="457"/>
      <c r="IQ379" s="457"/>
      <c r="IR379" s="457"/>
      <c r="IS379" s="457"/>
      <c r="IT379" s="457"/>
      <c r="IU379" s="457"/>
      <c r="IV379" s="457"/>
      <c r="IW379" s="457"/>
      <c r="IX379" s="457"/>
      <c r="IY379" s="457"/>
      <c r="IZ379" s="457"/>
      <c r="JA379" s="457"/>
      <c r="JB379" s="457"/>
      <c r="JC379" s="457"/>
      <c r="JD379" s="457"/>
      <c r="JE379" s="457"/>
      <c r="JF379" s="457"/>
      <c r="JG379" s="457"/>
      <c r="JH379" s="457"/>
      <c r="JI379" s="457"/>
      <c r="JJ379" s="457"/>
      <c r="JK379" s="457"/>
      <c r="JL379" s="457"/>
      <c r="JM379" s="457"/>
      <c r="JN379" s="457"/>
      <c r="JO379" s="457"/>
      <c r="JP379" s="457"/>
      <c r="JQ379" s="457"/>
      <c r="JR379" s="457"/>
      <c r="JS379" s="457"/>
      <c r="JT379" s="457"/>
      <c r="JU379" s="457"/>
      <c r="JV379" s="457"/>
      <c r="JW379" s="457"/>
      <c r="JX379" s="457"/>
      <c r="JY379" s="457"/>
      <c r="JZ379" s="457"/>
      <c r="KA379" s="457"/>
      <c r="KB379" s="457"/>
      <c r="KC379" s="457"/>
      <c r="KD379" s="457"/>
      <c r="KE379" s="457"/>
      <c r="KF379" s="457"/>
      <c r="KG379" s="457"/>
      <c r="KH379" s="457"/>
      <c r="KI379" s="457"/>
      <c r="KJ379" s="457"/>
      <c r="KK379" s="457"/>
      <c r="KL379" s="457"/>
      <c r="KM379" s="457"/>
      <c r="KN379" s="457"/>
      <c r="KO379" s="457"/>
      <c r="KP379" s="457"/>
      <c r="KQ379" s="457"/>
      <c r="KR379" s="457"/>
      <c r="KS379" s="457"/>
      <c r="KT379" s="457"/>
      <c r="KU379" s="457"/>
      <c r="KV379" s="457"/>
      <c r="KW379" s="457"/>
      <c r="KX379" s="457"/>
      <c r="KY379" s="457"/>
      <c r="KZ379" s="457"/>
      <c r="LA379" s="457"/>
      <c r="LB379" s="457"/>
      <c r="LC379" s="457"/>
      <c r="LD379" s="457"/>
      <c r="LE379" s="457"/>
      <c r="LF379" s="457"/>
      <c r="LG379" s="457"/>
      <c r="LH379" s="457"/>
      <c r="LI379" s="457"/>
      <c r="LJ379" s="457"/>
      <c r="LK379" s="457"/>
      <c r="LL379" s="457"/>
      <c r="LM379" s="457"/>
      <c r="LN379" s="457"/>
      <c r="LO379" s="457"/>
      <c r="LP379" s="457"/>
      <c r="LQ379" s="457"/>
      <c r="LR379" s="457"/>
      <c r="LS379" s="457"/>
      <c r="LT379" s="457"/>
      <c r="LU379" s="457"/>
      <c r="LV379" s="457"/>
      <c r="LW379" s="457"/>
      <c r="LX379" s="457"/>
      <c r="LY379" s="457"/>
      <c r="LZ379" s="457"/>
      <c r="MA379" s="457"/>
      <c r="MB379" s="457"/>
      <c r="MC379" s="457"/>
      <c r="MD379" s="457"/>
      <c r="ME379" s="457"/>
      <c r="MF379" s="457"/>
      <c r="MG379" s="457"/>
      <c r="MH379" s="457"/>
      <c r="MI379" s="457"/>
      <c r="MJ379" s="457"/>
      <c r="MK379" s="457"/>
      <c r="ML379" s="457"/>
      <c r="MM379" s="457"/>
      <c r="MN379" s="457"/>
      <c r="MO379" s="457"/>
      <c r="MP379" s="457"/>
      <c r="MQ379" s="457"/>
      <c r="MR379" s="457"/>
      <c r="MS379" s="457"/>
      <c r="MT379" s="457"/>
      <c r="MU379" s="457"/>
      <c r="MV379" s="457"/>
      <c r="MW379" s="457"/>
      <c r="MX379" s="457"/>
      <c r="MY379" s="457"/>
      <c r="MZ379" s="457"/>
      <c r="NA379" s="457"/>
      <c r="NB379" s="457"/>
      <c r="NC379" s="457"/>
      <c r="ND379" s="457"/>
      <c r="NE379" s="457"/>
      <c r="NF379" s="457"/>
      <c r="NG379" s="457"/>
      <c r="NH379" s="457"/>
      <c r="NI379" s="457"/>
      <c r="NJ379" s="457"/>
      <c r="NK379" s="457"/>
      <c r="NL379" s="457"/>
      <c r="NM379" s="457"/>
      <c r="NN379" s="457"/>
      <c r="NO379" s="457"/>
      <c r="NP379" s="457"/>
      <c r="NQ379" s="457"/>
      <c r="NR379" s="457"/>
      <c r="NS379" s="457"/>
      <c r="NT379" s="457"/>
      <c r="NU379" s="457"/>
      <c r="NV379" s="457"/>
      <c r="NW379" s="457"/>
      <c r="NX379" s="457"/>
      <c r="NY379" s="457"/>
      <c r="NZ379" s="457"/>
      <c r="OA379" s="457"/>
      <c r="OB379" s="457"/>
      <c r="OC379" s="457"/>
      <c r="OD379" s="457"/>
      <c r="OE379" s="457"/>
      <c r="OF379" s="457"/>
      <c r="OG379" s="457"/>
      <c r="OH379" s="457"/>
      <c r="OI379" s="457"/>
      <c r="OJ379" s="457"/>
      <c r="OK379" s="457"/>
      <c r="OL379" s="457"/>
      <c r="OM379" s="457"/>
      <c r="ON379" s="457"/>
      <c r="OO379" s="457"/>
      <c r="OP379" s="457"/>
      <c r="OQ379" s="457"/>
      <c r="OR379" s="457"/>
      <c r="OS379" s="457"/>
      <c r="OT379" s="457"/>
      <c r="OU379" s="457"/>
      <c r="OV379" s="457"/>
      <c r="OW379" s="457"/>
      <c r="OX379" s="457"/>
      <c r="OY379" s="457"/>
      <c r="OZ379" s="457"/>
      <c r="PA379" s="457"/>
      <c r="PB379" s="457"/>
      <c r="PC379" s="457"/>
      <c r="PD379" s="457"/>
      <c r="PE379" s="457"/>
      <c r="PF379" s="457"/>
      <c r="PG379" s="457"/>
      <c r="PH379" s="457"/>
      <c r="PI379" s="457"/>
      <c r="PJ379" s="457"/>
      <c r="PK379" s="457"/>
      <c r="PL379" s="457"/>
      <c r="PM379" s="457"/>
      <c r="PN379" s="457"/>
      <c r="PO379" s="457"/>
      <c r="PP379" s="457"/>
      <c r="PQ379" s="457"/>
      <c r="PR379" s="457"/>
      <c r="PS379" s="457"/>
      <c r="PT379" s="457"/>
      <c r="PU379" s="457"/>
      <c r="PV379" s="457"/>
      <c r="PW379" s="457"/>
      <c r="PX379" s="457"/>
      <c r="PY379" s="457"/>
      <c r="PZ379" s="457"/>
      <c r="QA379" s="457"/>
      <c r="QB379" s="457"/>
      <c r="QC379" s="457"/>
      <c r="QD379" s="457"/>
      <c r="QE379" s="457"/>
      <c r="QF379" s="457"/>
      <c r="QG379" s="457"/>
      <c r="QH379" s="457"/>
      <c r="QI379" s="457"/>
      <c r="QJ379" s="457"/>
      <c r="QK379" s="457"/>
      <c r="QL379" s="457"/>
      <c r="QM379" s="457"/>
      <c r="QN379" s="457"/>
      <c r="QO379" s="457"/>
      <c r="QP379" s="457"/>
      <c r="QQ379" s="457"/>
      <c r="QR379" s="457"/>
      <c r="QS379" s="457"/>
      <c r="QT379" s="457"/>
      <c r="QU379" s="457"/>
      <c r="QV379" s="457"/>
      <c r="QW379" s="457"/>
      <c r="QX379" s="457"/>
      <c r="QY379" s="457"/>
      <c r="QZ379" s="457"/>
      <c r="RA379" s="457"/>
      <c r="RB379" s="457"/>
      <c r="RC379" s="457"/>
      <c r="RD379" s="457"/>
      <c r="RE379" s="457"/>
      <c r="RF379" s="457"/>
      <c r="RG379" s="457"/>
      <c r="RH379" s="457"/>
      <c r="RI379" s="457"/>
      <c r="RJ379" s="457"/>
      <c r="RK379" s="457"/>
      <c r="RL379" s="457"/>
      <c r="RM379" s="457"/>
      <c r="RN379" s="457"/>
      <c r="RO379" s="457"/>
      <c r="RP379" s="457"/>
      <c r="RQ379" s="457"/>
      <c r="RR379" s="457"/>
      <c r="RS379" s="457"/>
      <c r="RT379" s="457"/>
      <c r="RU379" s="457"/>
      <c r="RV379" s="457"/>
      <c r="RW379" s="457"/>
      <c r="RX379" s="457"/>
      <c r="RY379" s="457"/>
      <c r="RZ379" s="457"/>
      <c r="SA379" s="457"/>
      <c r="SB379" s="457"/>
      <c r="SC379" s="457"/>
      <c r="SD379" s="457"/>
      <c r="SE379" s="457"/>
      <c r="SF379" s="457"/>
      <c r="SG379" s="457"/>
      <c r="SH379" s="457"/>
      <c r="SI379" s="457"/>
      <c r="SJ379" s="457"/>
      <c r="SK379" s="457"/>
      <c r="SL379" s="457"/>
      <c r="SM379" s="457"/>
      <c r="SN379" s="457"/>
      <c r="SO379" s="457"/>
      <c r="SP379" s="457"/>
      <c r="SQ379" s="457"/>
      <c r="SR379" s="457"/>
      <c r="SS379" s="457"/>
      <c r="ST379" s="457"/>
      <c r="SU379" s="457"/>
      <c r="SV379" s="457"/>
      <c r="SW379" s="457"/>
      <c r="SX379" s="457"/>
      <c r="SY379" s="457"/>
      <c r="SZ379" s="457"/>
      <c r="TA379" s="457"/>
      <c r="TB379" s="457"/>
      <c r="TC379" s="457"/>
      <c r="TD379" s="457"/>
      <c r="TE379" s="457"/>
      <c r="TF379" s="457"/>
      <c r="TG379" s="457"/>
      <c r="TH379" s="457"/>
      <c r="TI379" s="457"/>
      <c r="TJ379" s="457"/>
      <c r="TK379" s="457"/>
      <c r="TL379" s="457"/>
      <c r="TM379" s="457"/>
      <c r="TN379" s="457"/>
      <c r="TO379" s="457"/>
      <c r="TP379" s="457"/>
      <c r="TQ379" s="457"/>
      <c r="TR379" s="457"/>
      <c r="TS379" s="457"/>
      <c r="TT379" s="457"/>
      <c r="TU379" s="457"/>
      <c r="TV379" s="457"/>
      <c r="TW379" s="457"/>
      <c r="TX379" s="457"/>
      <c r="TY379" s="457"/>
      <c r="TZ379" s="457"/>
      <c r="UA379" s="457"/>
      <c r="UB379" s="457"/>
      <c r="UC379" s="457"/>
      <c r="UD379" s="457"/>
      <c r="UE379" s="457"/>
      <c r="UF379" s="457"/>
      <c r="UG379" s="457"/>
      <c r="UH379" s="457"/>
      <c r="UI379" s="457"/>
      <c r="UJ379" s="457"/>
      <c r="UK379" s="457"/>
      <c r="UL379" s="457"/>
      <c r="UM379" s="457"/>
      <c r="UN379" s="457"/>
      <c r="UO379" s="457"/>
      <c r="UP379" s="457"/>
      <c r="UQ379" s="457"/>
      <c r="UR379" s="457"/>
      <c r="US379" s="457"/>
      <c r="UT379" s="457"/>
      <c r="UU379" s="457"/>
      <c r="UV379" s="457"/>
      <c r="UW379" s="457"/>
      <c r="UX379" s="457"/>
      <c r="UY379" s="457"/>
      <c r="UZ379" s="457"/>
      <c r="VA379" s="457"/>
      <c r="VB379" s="457"/>
      <c r="VC379" s="457"/>
      <c r="VD379" s="457"/>
      <c r="VE379" s="457"/>
      <c r="VF379" s="457"/>
      <c r="VG379" s="457"/>
      <c r="VH379" s="457"/>
      <c r="VI379" s="457"/>
      <c r="VJ379" s="457"/>
      <c r="VK379" s="457"/>
      <c r="VL379" s="457"/>
      <c r="VM379" s="457"/>
      <c r="VN379" s="457"/>
      <c r="VO379" s="457"/>
      <c r="VP379" s="457"/>
      <c r="VQ379" s="457"/>
      <c r="VR379" s="457"/>
      <c r="VS379" s="457"/>
      <c r="VT379" s="457"/>
      <c r="VU379" s="457"/>
      <c r="VV379" s="457"/>
      <c r="VW379" s="457"/>
      <c r="VX379" s="457"/>
      <c r="VY379" s="457"/>
      <c r="VZ379" s="457"/>
      <c r="WA379" s="457"/>
      <c r="WB379" s="457"/>
      <c r="WC379" s="457"/>
      <c r="WD379" s="457"/>
      <c r="WE379" s="457"/>
      <c r="WF379" s="457"/>
      <c r="WG379" s="457"/>
      <c r="WH379" s="457"/>
      <c r="WI379" s="457"/>
      <c r="WJ379" s="457"/>
      <c r="WK379" s="457"/>
      <c r="WL379" s="457"/>
      <c r="WM379" s="457"/>
      <c r="WN379" s="457"/>
      <c r="WO379" s="457"/>
      <c r="WP379" s="457"/>
      <c r="WQ379" s="457"/>
      <c r="WR379" s="457"/>
      <c r="WS379" s="457"/>
      <c r="WT379" s="457"/>
      <c r="WU379" s="457"/>
      <c r="WV379" s="457"/>
      <c r="WW379" s="457"/>
      <c r="WX379" s="457"/>
      <c r="WY379" s="457"/>
      <c r="WZ379" s="457"/>
      <c r="XA379" s="457"/>
      <c r="XB379" s="457"/>
      <c r="XC379" s="457"/>
      <c r="XD379" s="457"/>
      <c r="XE379" s="457"/>
      <c r="XF379" s="457"/>
      <c r="XG379" s="457"/>
      <c r="XH379" s="457"/>
      <c r="XI379" s="457"/>
      <c r="XJ379" s="457"/>
      <c r="XK379" s="457"/>
      <c r="XL379" s="457"/>
      <c r="XM379" s="457"/>
      <c r="XN379" s="457"/>
      <c r="XO379" s="457"/>
      <c r="XP379" s="457"/>
      <c r="XQ379" s="457"/>
      <c r="XR379" s="457"/>
      <c r="XS379" s="457"/>
      <c r="XT379" s="457"/>
      <c r="XU379" s="457"/>
      <c r="XV379" s="457"/>
      <c r="XW379" s="457"/>
      <c r="XX379" s="457"/>
      <c r="XY379" s="457"/>
      <c r="XZ379" s="457"/>
      <c r="YA379" s="457"/>
      <c r="YB379" s="457"/>
      <c r="YC379" s="457"/>
      <c r="YD379" s="457"/>
      <c r="YE379" s="457"/>
      <c r="YF379" s="457"/>
      <c r="YG379" s="457"/>
      <c r="YH379" s="457"/>
      <c r="YI379" s="457"/>
      <c r="YJ379" s="457"/>
      <c r="YK379" s="457"/>
      <c r="YL379" s="457"/>
      <c r="YM379" s="457"/>
      <c r="YN379" s="457"/>
      <c r="YO379" s="457"/>
      <c r="YP379" s="457"/>
      <c r="YQ379" s="457"/>
      <c r="YR379" s="457"/>
      <c r="YS379" s="457"/>
      <c r="YT379" s="457"/>
      <c r="YU379" s="457"/>
      <c r="YV379" s="457"/>
      <c r="YW379" s="457"/>
      <c r="YX379" s="457"/>
      <c r="YY379" s="457"/>
      <c r="YZ379" s="457"/>
      <c r="ZA379" s="457"/>
      <c r="ZB379" s="457"/>
      <c r="ZC379" s="457"/>
      <c r="ZD379" s="457"/>
      <c r="ZE379" s="457"/>
      <c r="ZF379" s="457"/>
      <c r="ZG379" s="457"/>
      <c r="ZH379" s="457"/>
      <c r="ZI379" s="457"/>
      <c r="ZJ379" s="457"/>
      <c r="ZK379" s="457"/>
      <c r="ZL379" s="457"/>
      <c r="ZM379" s="457"/>
      <c r="ZN379" s="457"/>
      <c r="ZO379" s="457"/>
      <c r="ZP379" s="457"/>
      <c r="ZQ379" s="457"/>
      <c r="ZR379" s="457"/>
      <c r="ZS379" s="457"/>
      <c r="ZT379" s="457"/>
      <c r="ZU379" s="457"/>
      <c r="ZV379" s="457"/>
      <c r="ZW379" s="457"/>
      <c r="ZX379" s="457"/>
      <c r="ZY379" s="457"/>
      <c r="ZZ379" s="457"/>
      <c r="AAA379" s="457"/>
      <c r="AAB379" s="457"/>
      <c r="AAC379" s="457"/>
      <c r="AAD379" s="457"/>
      <c r="AAE379" s="457"/>
      <c r="AAF379" s="457"/>
      <c r="AAG379" s="457"/>
      <c r="AAH379" s="457"/>
      <c r="AAI379" s="457"/>
      <c r="AAJ379" s="457"/>
      <c r="AAK379" s="457"/>
      <c r="AAL379" s="457"/>
      <c r="AAM379" s="457"/>
      <c r="AAN379" s="457"/>
      <c r="AAO379" s="457"/>
      <c r="AAP379" s="457"/>
      <c r="AAQ379" s="457"/>
      <c r="AAR379" s="457"/>
      <c r="AAS379" s="457"/>
      <c r="AAT379" s="457"/>
      <c r="AAU379" s="457"/>
      <c r="AAV379" s="457"/>
      <c r="AAW379" s="457"/>
      <c r="AAX379" s="457"/>
      <c r="AAY379" s="457"/>
      <c r="AAZ379" s="457"/>
      <c r="ABA379" s="457"/>
      <c r="ABB379" s="457"/>
      <c r="ABC379" s="457"/>
      <c r="ABD379" s="457"/>
      <c r="ABE379" s="457"/>
      <c r="ABF379" s="457"/>
      <c r="ABG379" s="457"/>
      <c r="ABH379" s="457"/>
      <c r="ABI379" s="457"/>
      <c r="ABJ379" s="457"/>
      <c r="ABK379" s="457"/>
      <c r="ABL379" s="457"/>
      <c r="ABM379" s="457"/>
      <c r="ABN379" s="457"/>
      <c r="ABO379" s="457"/>
      <c r="ABP379" s="457"/>
      <c r="ABQ379" s="457"/>
      <c r="ABR379" s="457"/>
      <c r="ABS379" s="457"/>
      <c r="ABT379" s="457"/>
      <c r="ABU379" s="457"/>
      <c r="ABV379" s="457"/>
      <c r="ABW379" s="457"/>
      <c r="ABX379" s="457"/>
      <c r="ABY379" s="457"/>
      <c r="ABZ379" s="457"/>
      <c r="ACA379" s="457"/>
      <c r="ACB379" s="457"/>
      <c r="ACC379" s="457"/>
      <c r="ACD379" s="457"/>
      <c r="ACE379" s="457"/>
      <c r="ACF379" s="457"/>
      <c r="ACG379" s="457"/>
      <c r="ACH379" s="457"/>
      <c r="ACI379" s="457"/>
      <c r="ACJ379" s="457"/>
      <c r="ACK379" s="457"/>
      <c r="ACL379" s="457"/>
      <c r="ACM379" s="457"/>
      <c r="ACN379" s="457"/>
      <c r="ACO379" s="457"/>
      <c r="ACP379" s="457"/>
      <c r="ACQ379" s="457"/>
      <c r="ACR379" s="457"/>
      <c r="ACS379" s="457"/>
      <c r="ACT379" s="457"/>
      <c r="ACU379" s="457"/>
      <c r="ACV379" s="457"/>
    </row>
    <row r="380" spans="1:776" s="400" customFormat="1" x14ac:dyDescent="0.25">
      <c r="A380" s="43">
        <v>900093</v>
      </c>
      <c r="B380" s="34" t="s">
        <v>214</v>
      </c>
      <c r="C380" s="455"/>
      <c r="D380" s="454" t="s">
        <v>215</v>
      </c>
      <c r="E380" s="454">
        <v>1.73</v>
      </c>
      <c r="F380" s="458">
        <v>65.7</v>
      </c>
      <c r="G380" s="34">
        <v>0.01</v>
      </c>
      <c r="H380" s="454">
        <v>7.0000000000000007E-2</v>
      </c>
      <c r="I380" s="456">
        <v>319.35000000000002</v>
      </c>
      <c r="J380" s="458">
        <v>111.9</v>
      </c>
      <c r="K380" s="454">
        <v>0.01</v>
      </c>
      <c r="L380" s="454">
        <v>333.6</v>
      </c>
      <c r="M380" s="34">
        <v>0.01</v>
      </c>
      <c r="N380" s="454">
        <v>3.23</v>
      </c>
      <c r="O380" s="34">
        <v>161.46</v>
      </c>
      <c r="P380" s="454">
        <v>96.99</v>
      </c>
      <c r="Q380" s="454">
        <v>65.510000000000005</v>
      </c>
      <c r="R380" s="34">
        <v>1.0000000000000001E-5</v>
      </c>
      <c r="S380" s="34">
        <v>1.0000000000000001E-5</v>
      </c>
      <c r="T380" s="34">
        <v>1.0000000000000001E-5</v>
      </c>
      <c r="U380" s="34">
        <v>1.0000000000000001E-5</v>
      </c>
      <c r="V380" s="454"/>
      <c r="W380" s="457"/>
      <c r="X380" s="457"/>
      <c r="Y380" s="457"/>
      <c r="Z380" s="457"/>
      <c r="AA380" s="457"/>
      <c r="AB380" s="457"/>
      <c r="AC380" s="457"/>
      <c r="AD380" s="457"/>
      <c r="AE380" s="457"/>
      <c r="AF380" s="457"/>
      <c r="AG380" s="457"/>
      <c r="AH380" s="457"/>
      <c r="AI380" s="457"/>
      <c r="AJ380" s="457"/>
      <c r="AK380" s="457"/>
      <c r="AL380" s="457"/>
      <c r="AM380" s="457"/>
      <c r="AN380" s="457"/>
      <c r="AO380" s="457"/>
      <c r="AP380" s="457"/>
      <c r="AQ380" s="457"/>
      <c r="AR380" s="457"/>
      <c r="AS380" s="457"/>
      <c r="AT380" s="457"/>
      <c r="AU380" s="457"/>
      <c r="AV380" s="457"/>
      <c r="AW380" s="457"/>
      <c r="AX380" s="457"/>
      <c r="AY380" s="457"/>
      <c r="AZ380" s="457"/>
      <c r="BA380" s="457"/>
      <c r="BB380" s="457"/>
      <c r="BC380" s="457"/>
      <c r="BD380" s="457"/>
      <c r="BE380" s="457"/>
      <c r="BF380" s="457"/>
      <c r="BG380" s="457"/>
      <c r="BH380" s="457"/>
      <c r="BI380" s="457"/>
      <c r="BJ380" s="457"/>
      <c r="BK380" s="457"/>
      <c r="BL380" s="457"/>
      <c r="BM380" s="457"/>
      <c r="BN380" s="457"/>
      <c r="BO380" s="457"/>
      <c r="BP380" s="457"/>
      <c r="BQ380" s="457"/>
      <c r="BR380" s="457"/>
      <c r="BS380" s="457"/>
      <c r="BT380" s="457"/>
      <c r="BU380" s="457"/>
      <c r="BV380" s="457"/>
      <c r="BW380" s="457"/>
      <c r="BX380" s="457"/>
      <c r="BY380" s="457"/>
      <c r="BZ380" s="457"/>
      <c r="CA380" s="457"/>
      <c r="CB380" s="457"/>
      <c r="CC380" s="457"/>
      <c r="CD380" s="457"/>
      <c r="CE380" s="457"/>
      <c r="CF380" s="457"/>
      <c r="CG380" s="457"/>
      <c r="CH380" s="457"/>
      <c r="CI380" s="457"/>
      <c r="CJ380" s="457"/>
      <c r="CK380" s="457"/>
      <c r="CL380" s="457"/>
      <c r="CM380" s="457"/>
      <c r="CN380" s="457"/>
      <c r="CO380" s="457"/>
      <c r="CP380" s="457"/>
      <c r="CQ380" s="457"/>
      <c r="CR380" s="457"/>
      <c r="CS380" s="457"/>
      <c r="CT380" s="457"/>
      <c r="CU380" s="457"/>
      <c r="CV380" s="457"/>
      <c r="CW380" s="457"/>
      <c r="CX380" s="457"/>
      <c r="CY380" s="457"/>
      <c r="CZ380" s="457"/>
      <c r="DA380" s="457"/>
      <c r="DB380" s="457"/>
      <c r="DC380" s="457"/>
      <c r="DD380" s="457"/>
      <c r="DE380" s="457"/>
      <c r="DF380" s="457"/>
      <c r="DG380" s="457"/>
      <c r="DH380" s="457"/>
      <c r="DI380" s="457"/>
      <c r="DJ380" s="457"/>
      <c r="DK380" s="457"/>
      <c r="DL380" s="457"/>
      <c r="DM380" s="457"/>
      <c r="DN380" s="457"/>
      <c r="DO380" s="457"/>
      <c r="DP380" s="457"/>
      <c r="DQ380" s="457"/>
      <c r="DR380" s="457"/>
      <c r="DS380" s="457"/>
      <c r="DT380" s="457"/>
      <c r="DU380" s="457"/>
      <c r="DV380" s="457"/>
      <c r="DW380" s="457"/>
      <c r="DX380" s="457"/>
      <c r="DY380" s="457"/>
      <c r="DZ380" s="457"/>
      <c r="EA380" s="457"/>
      <c r="EB380" s="457"/>
      <c r="EC380" s="457"/>
      <c r="ED380" s="457"/>
      <c r="EE380" s="457"/>
      <c r="EF380" s="457"/>
      <c r="EG380" s="457"/>
      <c r="EH380" s="457"/>
      <c r="EI380" s="457"/>
      <c r="EJ380" s="457"/>
      <c r="EK380" s="457"/>
      <c r="EL380" s="457"/>
      <c r="EM380" s="457"/>
      <c r="EN380" s="457"/>
      <c r="EO380" s="457"/>
      <c r="EP380" s="457"/>
      <c r="EQ380" s="457"/>
      <c r="ER380" s="457"/>
      <c r="ES380" s="457"/>
      <c r="ET380" s="457"/>
      <c r="EU380" s="457"/>
      <c r="EV380" s="457"/>
      <c r="EW380" s="457"/>
      <c r="EX380" s="457"/>
      <c r="EY380" s="457"/>
      <c r="EZ380" s="457"/>
      <c r="FA380" s="457"/>
      <c r="FB380" s="457"/>
      <c r="FC380" s="457"/>
      <c r="FD380" s="457"/>
      <c r="FE380" s="457"/>
      <c r="FF380" s="457"/>
      <c r="FG380" s="457"/>
      <c r="FH380" s="457"/>
      <c r="FI380" s="457"/>
      <c r="FJ380" s="457"/>
      <c r="FK380" s="457"/>
      <c r="FL380" s="457"/>
      <c r="FM380" s="457"/>
      <c r="FN380" s="457"/>
      <c r="FO380" s="457"/>
      <c r="FP380" s="457"/>
      <c r="FQ380" s="457"/>
      <c r="FR380" s="457"/>
      <c r="FS380" s="457"/>
      <c r="FT380" s="457"/>
      <c r="FU380" s="457"/>
      <c r="FV380" s="457"/>
      <c r="FW380" s="457"/>
      <c r="FX380" s="457"/>
      <c r="FY380" s="457"/>
      <c r="FZ380" s="457"/>
      <c r="GA380" s="457"/>
      <c r="GB380" s="457"/>
      <c r="GC380" s="457"/>
      <c r="GD380" s="457"/>
      <c r="GE380" s="457"/>
      <c r="GF380" s="457"/>
      <c r="GG380" s="457"/>
      <c r="GH380" s="457"/>
      <c r="GI380" s="457"/>
      <c r="GJ380" s="457"/>
      <c r="GK380" s="457"/>
      <c r="GL380" s="457"/>
      <c r="GM380" s="457"/>
      <c r="GN380" s="457"/>
      <c r="GO380" s="457"/>
      <c r="GP380" s="457"/>
      <c r="GQ380" s="457"/>
      <c r="GR380" s="457"/>
      <c r="GS380" s="457"/>
      <c r="GT380" s="457"/>
      <c r="GU380" s="457"/>
      <c r="GV380" s="457"/>
      <c r="GW380" s="457"/>
      <c r="GX380" s="457"/>
      <c r="GY380" s="457"/>
      <c r="GZ380" s="457"/>
      <c r="HA380" s="457"/>
      <c r="HB380" s="457"/>
      <c r="HC380" s="457"/>
      <c r="HD380" s="457"/>
      <c r="HE380" s="457"/>
      <c r="HF380" s="457"/>
      <c r="HG380" s="457"/>
      <c r="HH380" s="457"/>
      <c r="HI380" s="457"/>
      <c r="HJ380" s="457"/>
      <c r="HK380" s="457"/>
      <c r="HL380" s="457"/>
      <c r="HM380" s="457"/>
      <c r="HN380" s="457"/>
      <c r="HO380" s="457"/>
      <c r="HP380" s="457"/>
      <c r="HQ380" s="457"/>
      <c r="HR380" s="457"/>
      <c r="HS380" s="457"/>
      <c r="HT380" s="457"/>
      <c r="HU380" s="457"/>
      <c r="HV380" s="457"/>
      <c r="HW380" s="457"/>
      <c r="HX380" s="457"/>
      <c r="HY380" s="457"/>
      <c r="HZ380" s="457"/>
      <c r="IA380" s="457"/>
      <c r="IB380" s="457"/>
      <c r="IC380" s="457"/>
      <c r="ID380" s="457"/>
      <c r="IE380" s="457"/>
      <c r="IF380" s="457"/>
      <c r="IG380" s="457"/>
      <c r="IH380" s="457"/>
      <c r="II380" s="457"/>
      <c r="IJ380" s="457"/>
      <c r="IK380" s="457"/>
      <c r="IL380" s="457"/>
      <c r="IM380" s="457"/>
      <c r="IN380" s="457"/>
      <c r="IO380" s="457"/>
      <c r="IP380" s="457"/>
      <c r="IQ380" s="457"/>
      <c r="IR380" s="457"/>
      <c r="IS380" s="457"/>
      <c r="IT380" s="457"/>
      <c r="IU380" s="457"/>
      <c r="IV380" s="457"/>
      <c r="IW380" s="457"/>
      <c r="IX380" s="457"/>
      <c r="IY380" s="457"/>
      <c r="IZ380" s="457"/>
      <c r="JA380" s="457"/>
      <c r="JB380" s="457"/>
      <c r="JC380" s="457"/>
      <c r="JD380" s="457"/>
      <c r="JE380" s="457"/>
      <c r="JF380" s="457"/>
      <c r="JG380" s="457"/>
      <c r="JH380" s="457"/>
      <c r="JI380" s="457"/>
      <c r="JJ380" s="457"/>
      <c r="JK380" s="457"/>
      <c r="JL380" s="457"/>
      <c r="JM380" s="457"/>
      <c r="JN380" s="457"/>
      <c r="JO380" s="457"/>
      <c r="JP380" s="457"/>
      <c r="JQ380" s="457"/>
      <c r="JR380" s="457"/>
      <c r="JS380" s="457"/>
      <c r="JT380" s="457"/>
      <c r="JU380" s="457"/>
      <c r="JV380" s="457"/>
      <c r="JW380" s="457"/>
      <c r="JX380" s="457"/>
      <c r="JY380" s="457"/>
      <c r="JZ380" s="457"/>
      <c r="KA380" s="457"/>
      <c r="KB380" s="457"/>
      <c r="KC380" s="457"/>
      <c r="KD380" s="457"/>
      <c r="KE380" s="457"/>
      <c r="KF380" s="457"/>
      <c r="KG380" s="457"/>
      <c r="KH380" s="457"/>
      <c r="KI380" s="457"/>
      <c r="KJ380" s="457"/>
      <c r="KK380" s="457"/>
      <c r="KL380" s="457"/>
      <c r="KM380" s="457"/>
      <c r="KN380" s="457"/>
      <c r="KO380" s="457"/>
      <c r="KP380" s="457"/>
      <c r="KQ380" s="457"/>
      <c r="KR380" s="457"/>
      <c r="KS380" s="457"/>
      <c r="KT380" s="457"/>
      <c r="KU380" s="457"/>
      <c r="KV380" s="457"/>
      <c r="KW380" s="457"/>
      <c r="KX380" s="457"/>
      <c r="KY380" s="457"/>
      <c r="KZ380" s="457"/>
      <c r="LA380" s="457"/>
      <c r="LB380" s="457"/>
      <c r="LC380" s="457"/>
      <c r="LD380" s="457"/>
      <c r="LE380" s="457"/>
      <c r="LF380" s="457"/>
      <c r="LG380" s="457"/>
      <c r="LH380" s="457"/>
      <c r="LI380" s="457"/>
      <c r="LJ380" s="457"/>
      <c r="LK380" s="457"/>
      <c r="LL380" s="457"/>
      <c r="LM380" s="457"/>
      <c r="LN380" s="457"/>
      <c r="LO380" s="457"/>
      <c r="LP380" s="457"/>
      <c r="LQ380" s="457"/>
      <c r="LR380" s="457"/>
      <c r="LS380" s="457"/>
      <c r="LT380" s="457"/>
      <c r="LU380" s="457"/>
      <c r="LV380" s="457"/>
      <c r="LW380" s="457"/>
      <c r="LX380" s="457"/>
      <c r="LY380" s="457"/>
      <c r="LZ380" s="457"/>
      <c r="MA380" s="457"/>
      <c r="MB380" s="457"/>
      <c r="MC380" s="457"/>
      <c r="MD380" s="457"/>
      <c r="ME380" s="457"/>
      <c r="MF380" s="457"/>
      <c r="MG380" s="457"/>
      <c r="MH380" s="457"/>
      <c r="MI380" s="457"/>
      <c r="MJ380" s="457"/>
      <c r="MK380" s="457"/>
      <c r="ML380" s="457"/>
      <c r="MM380" s="457"/>
      <c r="MN380" s="457"/>
      <c r="MO380" s="457"/>
      <c r="MP380" s="457"/>
      <c r="MQ380" s="457"/>
      <c r="MR380" s="457"/>
      <c r="MS380" s="457"/>
      <c r="MT380" s="457"/>
      <c r="MU380" s="457"/>
      <c r="MV380" s="457"/>
      <c r="MW380" s="457"/>
      <c r="MX380" s="457"/>
      <c r="MY380" s="457"/>
      <c r="MZ380" s="457"/>
      <c r="NA380" s="457"/>
      <c r="NB380" s="457"/>
      <c r="NC380" s="457"/>
      <c r="ND380" s="457"/>
      <c r="NE380" s="457"/>
      <c r="NF380" s="457"/>
      <c r="NG380" s="457"/>
      <c r="NH380" s="457"/>
      <c r="NI380" s="457"/>
      <c r="NJ380" s="457"/>
      <c r="NK380" s="457"/>
      <c r="NL380" s="457"/>
      <c r="NM380" s="457"/>
      <c r="NN380" s="457"/>
      <c r="NO380" s="457"/>
      <c r="NP380" s="457"/>
      <c r="NQ380" s="457"/>
      <c r="NR380" s="457"/>
      <c r="NS380" s="457"/>
      <c r="NT380" s="457"/>
      <c r="NU380" s="457"/>
      <c r="NV380" s="457"/>
      <c r="NW380" s="457"/>
      <c r="NX380" s="457"/>
      <c r="NY380" s="457"/>
      <c r="NZ380" s="457"/>
      <c r="OA380" s="457"/>
      <c r="OB380" s="457"/>
      <c r="OC380" s="457"/>
      <c r="OD380" s="457"/>
      <c r="OE380" s="457"/>
      <c r="OF380" s="457"/>
      <c r="OG380" s="457"/>
      <c r="OH380" s="457"/>
      <c r="OI380" s="457"/>
      <c r="OJ380" s="457"/>
      <c r="OK380" s="457"/>
      <c r="OL380" s="457"/>
      <c r="OM380" s="457"/>
      <c r="ON380" s="457"/>
      <c r="OO380" s="457"/>
      <c r="OP380" s="457"/>
      <c r="OQ380" s="457"/>
      <c r="OR380" s="457"/>
      <c r="OS380" s="457"/>
      <c r="OT380" s="457"/>
      <c r="OU380" s="457"/>
      <c r="OV380" s="457"/>
      <c r="OW380" s="457"/>
      <c r="OX380" s="457"/>
      <c r="OY380" s="457"/>
      <c r="OZ380" s="457"/>
      <c r="PA380" s="457"/>
      <c r="PB380" s="457"/>
      <c r="PC380" s="457"/>
      <c r="PD380" s="457"/>
      <c r="PE380" s="457"/>
      <c r="PF380" s="457"/>
      <c r="PG380" s="457"/>
      <c r="PH380" s="457"/>
      <c r="PI380" s="457"/>
      <c r="PJ380" s="457"/>
      <c r="PK380" s="457"/>
      <c r="PL380" s="457"/>
      <c r="PM380" s="457"/>
      <c r="PN380" s="457"/>
      <c r="PO380" s="457"/>
      <c r="PP380" s="457"/>
      <c r="PQ380" s="457"/>
      <c r="PR380" s="457"/>
      <c r="PS380" s="457"/>
      <c r="PT380" s="457"/>
      <c r="PU380" s="457"/>
      <c r="PV380" s="457"/>
      <c r="PW380" s="457"/>
      <c r="PX380" s="457"/>
      <c r="PY380" s="457"/>
      <c r="PZ380" s="457"/>
      <c r="QA380" s="457"/>
      <c r="QB380" s="457"/>
      <c r="QC380" s="457"/>
      <c r="QD380" s="457"/>
      <c r="QE380" s="457"/>
      <c r="QF380" s="457"/>
      <c r="QG380" s="457"/>
      <c r="QH380" s="457"/>
      <c r="QI380" s="457"/>
      <c r="QJ380" s="457"/>
      <c r="QK380" s="457"/>
      <c r="QL380" s="457"/>
      <c r="QM380" s="457"/>
      <c r="QN380" s="457"/>
      <c r="QO380" s="457"/>
      <c r="QP380" s="457"/>
      <c r="QQ380" s="457"/>
      <c r="QR380" s="457"/>
      <c r="QS380" s="457"/>
      <c r="QT380" s="457"/>
      <c r="QU380" s="457"/>
      <c r="QV380" s="457"/>
      <c r="QW380" s="457"/>
      <c r="QX380" s="457"/>
      <c r="QY380" s="457"/>
      <c r="QZ380" s="457"/>
      <c r="RA380" s="457"/>
      <c r="RB380" s="457"/>
      <c r="RC380" s="457"/>
      <c r="RD380" s="457"/>
      <c r="RE380" s="457"/>
      <c r="RF380" s="457"/>
      <c r="RG380" s="457"/>
      <c r="RH380" s="457"/>
      <c r="RI380" s="457"/>
      <c r="RJ380" s="457"/>
      <c r="RK380" s="457"/>
      <c r="RL380" s="457"/>
      <c r="RM380" s="457"/>
      <c r="RN380" s="457"/>
      <c r="RO380" s="457"/>
      <c r="RP380" s="457"/>
      <c r="RQ380" s="457"/>
      <c r="RR380" s="457"/>
      <c r="RS380" s="457"/>
      <c r="RT380" s="457"/>
      <c r="RU380" s="457"/>
      <c r="RV380" s="457"/>
      <c r="RW380" s="457"/>
      <c r="RX380" s="457"/>
      <c r="RY380" s="457"/>
      <c r="RZ380" s="457"/>
      <c r="SA380" s="457"/>
      <c r="SB380" s="457"/>
      <c r="SC380" s="457"/>
      <c r="SD380" s="457"/>
      <c r="SE380" s="457"/>
      <c r="SF380" s="457"/>
      <c r="SG380" s="457"/>
      <c r="SH380" s="457"/>
      <c r="SI380" s="457"/>
      <c r="SJ380" s="457"/>
      <c r="SK380" s="457"/>
      <c r="SL380" s="457"/>
      <c r="SM380" s="457"/>
      <c r="SN380" s="457"/>
      <c r="SO380" s="457"/>
      <c r="SP380" s="457"/>
      <c r="SQ380" s="457"/>
      <c r="SR380" s="457"/>
      <c r="SS380" s="457"/>
      <c r="ST380" s="457"/>
      <c r="SU380" s="457"/>
      <c r="SV380" s="457"/>
      <c r="SW380" s="457"/>
      <c r="SX380" s="457"/>
      <c r="SY380" s="457"/>
      <c r="SZ380" s="457"/>
      <c r="TA380" s="457"/>
      <c r="TB380" s="457"/>
      <c r="TC380" s="457"/>
      <c r="TD380" s="457"/>
      <c r="TE380" s="457"/>
      <c r="TF380" s="457"/>
      <c r="TG380" s="457"/>
      <c r="TH380" s="457"/>
      <c r="TI380" s="457"/>
      <c r="TJ380" s="457"/>
      <c r="TK380" s="457"/>
      <c r="TL380" s="457"/>
      <c r="TM380" s="457"/>
      <c r="TN380" s="457"/>
      <c r="TO380" s="457"/>
      <c r="TP380" s="457"/>
      <c r="TQ380" s="457"/>
      <c r="TR380" s="457"/>
      <c r="TS380" s="457"/>
      <c r="TT380" s="457"/>
      <c r="TU380" s="457"/>
      <c r="TV380" s="457"/>
      <c r="TW380" s="457"/>
      <c r="TX380" s="457"/>
      <c r="TY380" s="457"/>
      <c r="TZ380" s="457"/>
      <c r="UA380" s="457"/>
      <c r="UB380" s="457"/>
      <c r="UC380" s="457"/>
      <c r="UD380" s="457"/>
      <c r="UE380" s="457"/>
      <c r="UF380" s="457"/>
      <c r="UG380" s="457"/>
      <c r="UH380" s="457"/>
      <c r="UI380" s="457"/>
      <c r="UJ380" s="457"/>
      <c r="UK380" s="457"/>
      <c r="UL380" s="457"/>
      <c r="UM380" s="457"/>
      <c r="UN380" s="457"/>
      <c r="UO380" s="457"/>
      <c r="UP380" s="457"/>
      <c r="UQ380" s="457"/>
      <c r="UR380" s="457"/>
      <c r="US380" s="457"/>
      <c r="UT380" s="457"/>
      <c r="UU380" s="457"/>
      <c r="UV380" s="457"/>
      <c r="UW380" s="457"/>
      <c r="UX380" s="457"/>
      <c r="UY380" s="457"/>
      <c r="UZ380" s="457"/>
      <c r="VA380" s="457"/>
      <c r="VB380" s="457"/>
      <c r="VC380" s="457"/>
      <c r="VD380" s="457"/>
      <c r="VE380" s="457"/>
      <c r="VF380" s="457"/>
      <c r="VG380" s="457"/>
      <c r="VH380" s="457"/>
      <c r="VI380" s="457"/>
      <c r="VJ380" s="457"/>
      <c r="VK380" s="457"/>
      <c r="VL380" s="457"/>
      <c r="VM380" s="457"/>
      <c r="VN380" s="457"/>
      <c r="VO380" s="457"/>
      <c r="VP380" s="457"/>
      <c r="VQ380" s="457"/>
      <c r="VR380" s="457"/>
      <c r="VS380" s="457"/>
      <c r="VT380" s="457"/>
      <c r="VU380" s="457"/>
      <c r="VV380" s="457"/>
      <c r="VW380" s="457"/>
      <c r="VX380" s="457"/>
      <c r="VY380" s="457"/>
      <c r="VZ380" s="457"/>
      <c r="WA380" s="457"/>
      <c r="WB380" s="457"/>
      <c r="WC380" s="457"/>
      <c r="WD380" s="457"/>
      <c r="WE380" s="457"/>
      <c r="WF380" s="457"/>
      <c r="WG380" s="457"/>
      <c r="WH380" s="457"/>
      <c r="WI380" s="457"/>
      <c r="WJ380" s="457"/>
      <c r="WK380" s="457"/>
      <c r="WL380" s="457"/>
      <c r="WM380" s="457"/>
      <c r="WN380" s="457"/>
      <c r="WO380" s="457"/>
      <c r="WP380" s="457"/>
      <c r="WQ380" s="457"/>
      <c r="WR380" s="457"/>
      <c r="WS380" s="457"/>
      <c r="WT380" s="457"/>
      <c r="WU380" s="457"/>
      <c r="WV380" s="457"/>
      <c r="WW380" s="457"/>
      <c r="WX380" s="457"/>
      <c r="WY380" s="457"/>
      <c r="WZ380" s="457"/>
      <c r="XA380" s="457"/>
      <c r="XB380" s="457"/>
      <c r="XC380" s="457"/>
      <c r="XD380" s="457"/>
      <c r="XE380" s="457"/>
      <c r="XF380" s="457"/>
      <c r="XG380" s="457"/>
      <c r="XH380" s="457"/>
      <c r="XI380" s="457"/>
      <c r="XJ380" s="457"/>
      <c r="XK380" s="457"/>
      <c r="XL380" s="457"/>
      <c r="XM380" s="457"/>
      <c r="XN380" s="457"/>
      <c r="XO380" s="457"/>
      <c r="XP380" s="457"/>
      <c r="XQ380" s="457"/>
      <c r="XR380" s="457"/>
      <c r="XS380" s="457"/>
      <c r="XT380" s="457"/>
      <c r="XU380" s="457"/>
      <c r="XV380" s="457"/>
      <c r="XW380" s="457"/>
      <c r="XX380" s="457"/>
      <c r="XY380" s="457"/>
      <c r="XZ380" s="457"/>
      <c r="YA380" s="457"/>
      <c r="YB380" s="457"/>
      <c r="YC380" s="457"/>
      <c r="YD380" s="457"/>
      <c r="YE380" s="457"/>
      <c r="YF380" s="457"/>
      <c r="YG380" s="457"/>
      <c r="YH380" s="457"/>
      <c r="YI380" s="457"/>
      <c r="YJ380" s="457"/>
      <c r="YK380" s="457"/>
      <c r="YL380" s="457"/>
      <c r="YM380" s="457"/>
      <c r="YN380" s="457"/>
      <c r="YO380" s="457"/>
      <c r="YP380" s="457"/>
      <c r="YQ380" s="457"/>
      <c r="YR380" s="457"/>
      <c r="YS380" s="457"/>
      <c r="YT380" s="457"/>
      <c r="YU380" s="457"/>
      <c r="YV380" s="457"/>
      <c r="YW380" s="457"/>
      <c r="YX380" s="457"/>
      <c r="YY380" s="457"/>
      <c r="YZ380" s="457"/>
      <c r="ZA380" s="457"/>
      <c r="ZB380" s="457"/>
      <c r="ZC380" s="457"/>
      <c r="ZD380" s="457"/>
      <c r="ZE380" s="457"/>
      <c r="ZF380" s="457"/>
      <c r="ZG380" s="457"/>
      <c r="ZH380" s="457"/>
      <c r="ZI380" s="457"/>
      <c r="ZJ380" s="457"/>
      <c r="ZK380" s="457"/>
      <c r="ZL380" s="457"/>
      <c r="ZM380" s="457"/>
      <c r="ZN380" s="457"/>
      <c r="ZO380" s="457"/>
      <c r="ZP380" s="457"/>
      <c r="ZQ380" s="457"/>
      <c r="ZR380" s="457"/>
      <c r="ZS380" s="457"/>
      <c r="ZT380" s="457"/>
      <c r="ZU380" s="457"/>
      <c r="ZV380" s="457"/>
      <c r="ZW380" s="457"/>
      <c r="ZX380" s="457"/>
      <c r="ZY380" s="457"/>
      <c r="ZZ380" s="457"/>
      <c r="AAA380" s="457"/>
      <c r="AAB380" s="457"/>
      <c r="AAC380" s="457"/>
      <c r="AAD380" s="457"/>
      <c r="AAE380" s="457"/>
      <c r="AAF380" s="457"/>
      <c r="AAG380" s="457"/>
      <c r="AAH380" s="457"/>
      <c r="AAI380" s="457"/>
      <c r="AAJ380" s="457"/>
      <c r="AAK380" s="457"/>
      <c r="AAL380" s="457"/>
      <c r="AAM380" s="457"/>
      <c r="AAN380" s="457"/>
      <c r="AAO380" s="457"/>
      <c r="AAP380" s="457"/>
      <c r="AAQ380" s="457"/>
      <c r="AAR380" s="457"/>
      <c r="AAS380" s="457"/>
      <c r="AAT380" s="457"/>
      <c r="AAU380" s="457"/>
      <c r="AAV380" s="457"/>
      <c r="AAW380" s="457"/>
      <c r="AAX380" s="457"/>
      <c r="AAY380" s="457"/>
      <c r="AAZ380" s="457"/>
      <c r="ABA380" s="457"/>
      <c r="ABB380" s="457"/>
      <c r="ABC380" s="457"/>
      <c r="ABD380" s="457"/>
      <c r="ABE380" s="457"/>
      <c r="ABF380" s="457"/>
      <c r="ABG380" s="457"/>
      <c r="ABH380" s="457"/>
      <c r="ABI380" s="457"/>
      <c r="ABJ380" s="457"/>
      <c r="ABK380" s="457"/>
      <c r="ABL380" s="457"/>
      <c r="ABM380" s="457"/>
      <c r="ABN380" s="457"/>
      <c r="ABO380" s="457"/>
      <c r="ABP380" s="457"/>
      <c r="ABQ380" s="457"/>
      <c r="ABR380" s="457"/>
      <c r="ABS380" s="457"/>
      <c r="ABT380" s="457"/>
      <c r="ABU380" s="457"/>
      <c r="ABV380" s="457"/>
      <c r="ABW380" s="457"/>
      <c r="ABX380" s="457"/>
      <c r="ABY380" s="457"/>
      <c r="ABZ380" s="457"/>
      <c r="ACA380" s="457"/>
      <c r="ACB380" s="457"/>
      <c r="ACC380" s="457"/>
      <c r="ACD380" s="457"/>
      <c r="ACE380" s="457"/>
      <c r="ACF380" s="457"/>
      <c r="ACG380" s="457"/>
      <c r="ACH380" s="457"/>
      <c r="ACI380" s="457"/>
      <c r="ACJ380" s="457"/>
      <c r="ACK380" s="457"/>
      <c r="ACL380" s="457"/>
      <c r="ACM380" s="457"/>
      <c r="ACN380" s="457"/>
      <c r="ACO380" s="457"/>
      <c r="ACP380" s="457"/>
      <c r="ACQ380" s="457"/>
      <c r="ACR380" s="457"/>
      <c r="ACS380" s="457"/>
      <c r="ACT380" s="457"/>
      <c r="ACU380" s="457"/>
      <c r="ACV380" s="457"/>
    </row>
    <row r="381" spans="1:776" s="400" customFormat="1" x14ac:dyDescent="0.25">
      <c r="A381" s="43">
        <v>900094</v>
      </c>
      <c r="B381" s="34" t="s">
        <v>216</v>
      </c>
      <c r="C381" s="455"/>
      <c r="D381" s="454" t="s">
        <v>143</v>
      </c>
      <c r="E381" s="454">
        <v>2.0099999999999998</v>
      </c>
      <c r="F381" s="458">
        <v>65.400000000000006</v>
      </c>
      <c r="G381" s="34">
        <v>0.01</v>
      </c>
      <c r="H381" s="454">
        <v>0.09</v>
      </c>
      <c r="I381" s="456">
        <v>370.02</v>
      </c>
      <c r="J381" s="458">
        <v>204.7</v>
      </c>
      <c r="K381" s="454">
        <v>0.01</v>
      </c>
      <c r="L381" s="454">
        <v>309.60000000000002</v>
      </c>
      <c r="M381" s="34">
        <v>0.01</v>
      </c>
      <c r="N381" s="454">
        <v>3.38</v>
      </c>
      <c r="O381" s="34">
        <v>189.17</v>
      </c>
      <c r="P381" s="454">
        <v>109.19</v>
      </c>
      <c r="Q381" s="454">
        <v>75.69</v>
      </c>
      <c r="R381" s="34">
        <v>1.0000000000000001E-5</v>
      </c>
      <c r="S381" s="34">
        <v>1.0000000000000001E-5</v>
      </c>
      <c r="T381" s="34">
        <v>1.0000000000000001E-5</v>
      </c>
      <c r="U381" s="34">
        <v>1.0000000000000001E-5</v>
      </c>
      <c r="V381" s="454"/>
      <c r="W381" s="457"/>
      <c r="X381" s="457"/>
      <c r="Y381" s="457"/>
      <c r="Z381" s="457"/>
      <c r="AA381" s="457"/>
      <c r="AB381" s="457"/>
      <c r="AC381" s="457"/>
      <c r="AD381" s="457"/>
      <c r="AE381" s="457"/>
      <c r="AF381" s="457"/>
      <c r="AG381" s="457"/>
      <c r="AH381" s="457"/>
      <c r="AI381" s="457"/>
      <c r="AJ381" s="457"/>
      <c r="AK381" s="457"/>
      <c r="AL381" s="457"/>
      <c r="AM381" s="457"/>
      <c r="AN381" s="457"/>
      <c r="AO381" s="457"/>
      <c r="AP381" s="457"/>
      <c r="AQ381" s="457"/>
      <c r="AR381" s="457"/>
      <c r="AS381" s="457"/>
      <c r="AT381" s="457"/>
      <c r="AU381" s="457"/>
      <c r="AV381" s="457"/>
      <c r="AW381" s="457"/>
      <c r="AX381" s="457"/>
      <c r="AY381" s="457"/>
      <c r="AZ381" s="457"/>
      <c r="BA381" s="457"/>
      <c r="BB381" s="457"/>
      <c r="BC381" s="457"/>
      <c r="BD381" s="457"/>
      <c r="BE381" s="457"/>
      <c r="BF381" s="457"/>
      <c r="BG381" s="457"/>
      <c r="BH381" s="457"/>
      <c r="BI381" s="457"/>
      <c r="BJ381" s="457"/>
      <c r="BK381" s="457"/>
      <c r="BL381" s="457"/>
      <c r="BM381" s="457"/>
      <c r="BN381" s="457"/>
      <c r="BO381" s="457"/>
      <c r="BP381" s="457"/>
      <c r="BQ381" s="457"/>
      <c r="BR381" s="457"/>
      <c r="BS381" s="457"/>
      <c r="BT381" s="457"/>
      <c r="BU381" s="457"/>
      <c r="BV381" s="457"/>
      <c r="BW381" s="457"/>
      <c r="BX381" s="457"/>
      <c r="BY381" s="457"/>
      <c r="BZ381" s="457"/>
      <c r="CA381" s="457"/>
      <c r="CB381" s="457"/>
      <c r="CC381" s="457"/>
      <c r="CD381" s="457"/>
      <c r="CE381" s="457"/>
      <c r="CF381" s="457"/>
      <c r="CG381" s="457"/>
      <c r="CH381" s="457"/>
      <c r="CI381" s="457"/>
      <c r="CJ381" s="457"/>
      <c r="CK381" s="457"/>
      <c r="CL381" s="457"/>
      <c r="CM381" s="457"/>
      <c r="CN381" s="457"/>
      <c r="CO381" s="457"/>
      <c r="CP381" s="457"/>
      <c r="CQ381" s="457"/>
      <c r="CR381" s="457"/>
      <c r="CS381" s="457"/>
      <c r="CT381" s="457"/>
      <c r="CU381" s="457"/>
      <c r="CV381" s="457"/>
      <c r="CW381" s="457"/>
      <c r="CX381" s="457"/>
      <c r="CY381" s="457"/>
      <c r="CZ381" s="457"/>
      <c r="DA381" s="457"/>
      <c r="DB381" s="457"/>
      <c r="DC381" s="457"/>
      <c r="DD381" s="457"/>
      <c r="DE381" s="457"/>
      <c r="DF381" s="457"/>
      <c r="DG381" s="457"/>
      <c r="DH381" s="457"/>
      <c r="DI381" s="457"/>
      <c r="DJ381" s="457"/>
      <c r="DK381" s="457"/>
      <c r="DL381" s="457"/>
      <c r="DM381" s="457"/>
      <c r="DN381" s="457"/>
      <c r="DO381" s="457"/>
      <c r="DP381" s="457"/>
      <c r="DQ381" s="457"/>
      <c r="DR381" s="457"/>
      <c r="DS381" s="457"/>
      <c r="DT381" s="457"/>
      <c r="DU381" s="457"/>
      <c r="DV381" s="457"/>
      <c r="DW381" s="457"/>
      <c r="DX381" s="457"/>
      <c r="DY381" s="457"/>
      <c r="DZ381" s="457"/>
      <c r="EA381" s="457"/>
      <c r="EB381" s="457"/>
      <c r="EC381" s="457"/>
      <c r="ED381" s="457"/>
      <c r="EE381" s="457"/>
      <c r="EF381" s="457"/>
      <c r="EG381" s="457"/>
      <c r="EH381" s="457"/>
      <c r="EI381" s="457"/>
      <c r="EJ381" s="457"/>
      <c r="EK381" s="457"/>
      <c r="EL381" s="457"/>
      <c r="EM381" s="457"/>
      <c r="EN381" s="457"/>
      <c r="EO381" s="457"/>
      <c r="EP381" s="457"/>
      <c r="EQ381" s="457"/>
      <c r="ER381" s="457"/>
      <c r="ES381" s="457"/>
      <c r="ET381" s="457"/>
      <c r="EU381" s="457"/>
      <c r="EV381" s="457"/>
      <c r="EW381" s="457"/>
      <c r="EX381" s="457"/>
      <c r="EY381" s="457"/>
      <c r="EZ381" s="457"/>
      <c r="FA381" s="457"/>
      <c r="FB381" s="457"/>
      <c r="FC381" s="457"/>
      <c r="FD381" s="457"/>
      <c r="FE381" s="457"/>
      <c r="FF381" s="457"/>
      <c r="FG381" s="457"/>
      <c r="FH381" s="457"/>
      <c r="FI381" s="457"/>
      <c r="FJ381" s="457"/>
      <c r="FK381" s="457"/>
      <c r="FL381" s="457"/>
      <c r="FM381" s="457"/>
      <c r="FN381" s="457"/>
      <c r="FO381" s="457"/>
      <c r="FP381" s="457"/>
      <c r="FQ381" s="457"/>
      <c r="FR381" s="457"/>
      <c r="FS381" s="457"/>
      <c r="FT381" s="457"/>
      <c r="FU381" s="457"/>
      <c r="FV381" s="457"/>
      <c r="FW381" s="457"/>
      <c r="FX381" s="457"/>
      <c r="FY381" s="457"/>
      <c r="FZ381" s="457"/>
      <c r="GA381" s="457"/>
      <c r="GB381" s="457"/>
      <c r="GC381" s="457"/>
      <c r="GD381" s="457"/>
      <c r="GE381" s="457"/>
      <c r="GF381" s="457"/>
      <c r="GG381" s="457"/>
      <c r="GH381" s="457"/>
      <c r="GI381" s="457"/>
      <c r="GJ381" s="457"/>
      <c r="GK381" s="457"/>
      <c r="GL381" s="457"/>
      <c r="GM381" s="457"/>
      <c r="GN381" s="457"/>
      <c r="GO381" s="457"/>
      <c r="GP381" s="457"/>
      <c r="GQ381" s="457"/>
      <c r="GR381" s="457"/>
      <c r="GS381" s="457"/>
      <c r="GT381" s="457"/>
      <c r="GU381" s="457"/>
      <c r="GV381" s="457"/>
      <c r="GW381" s="457"/>
      <c r="GX381" s="457"/>
      <c r="GY381" s="457"/>
      <c r="GZ381" s="457"/>
      <c r="HA381" s="457"/>
      <c r="HB381" s="457"/>
      <c r="HC381" s="457"/>
      <c r="HD381" s="457"/>
      <c r="HE381" s="457"/>
      <c r="HF381" s="457"/>
      <c r="HG381" s="457"/>
      <c r="HH381" s="457"/>
      <c r="HI381" s="457"/>
      <c r="HJ381" s="457"/>
      <c r="HK381" s="457"/>
      <c r="HL381" s="457"/>
      <c r="HM381" s="457"/>
      <c r="HN381" s="457"/>
      <c r="HO381" s="457"/>
      <c r="HP381" s="457"/>
      <c r="HQ381" s="457"/>
      <c r="HR381" s="457"/>
      <c r="HS381" s="457"/>
      <c r="HT381" s="457"/>
      <c r="HU381" s="457"/>
      <c r="HV381" s="457"/>
      <c r="HW381" s="457"/>
      <c r="HX381" s="457"/>
      <c r="HY381" s="457"/>
      <c r="HZ381" s="457"/>
      <c r="IA381" s="457"/>
      <c r="IB381" s="457"/>
      <c r="IC381" s="457"/>
      <c r="ID381" s="457"/>
      <c r="IE381" s="457"/>
      <c r="IF381" s="457"/>
      <c r="IG381" s="457"/>
      <c r="IH381" s="457"/>
      <c r="II381" s="457"/>
      <c r="IJ381" s="457"/>
      <c r="IK381" s="457"/>
      <c r="IL381" s="457"/>
      <c r="IM381" s="457"/>
      <c r="IN381" s="457"/>
      <c r="IO381" s="457"/>
      <c r="IP381" s="457"/>
      <c r="IQ381" s="457"/>
      <c r="IR381" s="457"/>
      <c r="IS381" s="457"/>
      <c r="IT381" s="457"/>
      <c r="IU381" s="457"/>
      <c r="IV381" s="457"/>
      <c r="IW381" s="457"/>
      <c r="IX381" s="457"/>
      <c r="IY381" s="457"/>
      <c r="IZ381" s="457"/>
      <c r="JA381" s="457"/>
      <c r="JB381" s="457"/>
      <c r="JC381" s="457"/>
      <c r="JD381" s="457"/>
      <c r="JE381" s="457"/>
      <c r="JF381" s="457"/>
      <c r="JG381" s="457"/>
      <c r="JH381" s="457"/>
      <c r="JI381" s="457"/>
      <c r="JJ381" s="457"/>
      <c r="JK381" s="457"/>
      <c r="JL381" s="457"/>
      <c r="JM381" s="457"/>
      <c r="JN381" s="457"/>
      <c r="JO381" s="457"/>
      <c r="JP381" s="457"/>
      <c r="JQ381" s="457"/>
      <c r="JR381" s="457"/>
      <c r="JS381" s="457"/>
      <c r="JT381" s="457"/>
      <c r="JU381" s="457"/>
      <c r="JV381" s="457"/>
      <c r="JW381" s="457"/>
      <c r="JX381" s="457"/>
      <c r="JY381" s="457"/>
      <c r="JZ381" s="457"/>
      <c r="KA381" s="457"/>
      <c r="KB381" s="457"/>
      <c r="KC381" s="457"/>
      <c r="KD381" s="457"/>
      <c r="KE381" s="457"/>
      <c r="KF381" s="457"/>
      <c r="KG381" s="457"/>
      <c r="KH381" s="457"/>
      <c r="KI381" s="457"/>
      <c r="KJ381" s="457"/>
      <c r="KK381" s="457"/>
      <c r="KL381" s="457"/>
      <c r="KM381" s="457"/>
      <c r="KN381" s="457"/>
      <c r="KO381" s="457"/>
      <c r="KP381" s="457"/>
      <c r="KQ381" s="457"/>
      <c r="KR381" s="457"/>
      <c r="KS381" s="457"/>
      <c r="KT381" s="457"/>
      <c r="KU381" s="457"/>
      <c r="KV381" s="457"/>
      <c r="KW381" s="457"/>
      <c r="KX381" s="457"/>
      <c r="KY381" s="457"/>
      <c r="KZ381" s="457"/>
      <c r="LA381" s="457"/>
      <c r="LB381" s="457"/>
      <c r="LC381" s="457"/>
      <c r="LD381" s="457"/>
      <c r="LE381" s="457"/>
      <c r="LF381" s="457"/>
      <c r="LG381" s="457"/>
      <c r="LH381" s="457"/>
      <c r="LI381" s="457"/>
      <c r="LJ381" s="457"/>
      <c r="LK381" s="457"/>
      <c r="LL381" s="457"/>
      <c r="LM381" s="457"/>
      <c r="LN381" s="457"/>
      <c r="LO381" s="457"/>
      <c r="LP381" s="457"/>
      <c r="LQ381" s="457"/>
      <c r="LR381" s="457"/>
      <c r="LS381" s="457"/>
      <c r="LT381" s="457"/>
      <c r="LU381" s="457"/>
      <c r="LV381" s="457"/>
      <c r="LW381" s="457"/>
      <c r="LX381" s="457"/>
      <c r="LY381" s="457"/>
      <c r="LZ381" s="457"/>
      <c r="MA381" s="457"/>
      <c r="MB381" s="457"/>
      <c r="MC381" s="457"/>
      <c r="MD381" s="457"/>
      <c r="ME381" s="457"/>
      <c r="MF381" s="457"/>
      <c r="MG381" s="457"/>
      <c r="MH381" s="457"/>
      <c r="MI381" s="457"/>
      <c r="MJ381" s="457"/>
      <c r="MK381" s="457"/>
      <c r="ML381" s="457"/>
      <c r="MM381" s="457"/>
      <c r="MN381" s="457"/>
      <c r="MO381" s="457"/>
      <c r="MP381" s="457"/>
      <c r="MQ381" s="457"/>
      <c r="MR381" s="457"/>
      <c r="MS381" s="457"/>
      <c r="MT381" s="457"/>
      <c r="MU381" s="457"/>
      <c r="MV381" s="457"/>
      <c r="MW381" s="457"/>
      <c r="MX381" s="457"/>
      <c r="MY381" s="457"/>
      <c r="MZ381" s="457"/>
      <c r="NA381" s="457"/>
      <c r="NB381" s="457"/>
      <c r="NC381" s="457"/>
      <c r="ND381" s="457"/>
      <c r="NE381" s="457"/>
      <c r="NF381" s="457"/>
      <c r="NG381" s="457"/>
      <c r="NH381" s="457"/>
      <c r="NI381" s="457"/>
      <c r="NJ381" s="457"/>
      <c r="NK381" s="457"/>
      <c r="NL381" s="457"/>
      <c r="NM381" s="457"/>
      <c r="NN381" s="457"/>
      <c r="NO381" s="457"/>
      <c r="NP381" s="457"/>
      <c r="NQ381" s="457"/>
      <c r="NR381" s="457"/>
      <c r="NS381" s="457"/>
      <c r="NT381" s="457"/>
      <c r="NU381" s="457"/>
      <c r="NV381" s="457"/>
      <c r="NW381" s="457"/>
      <c r="NX381" s="457"/>
      <c r="NY381" s="457"/>
      <c r="NZ381" s="457"/>
      <c r="OA381" s="457"/>
      <c r="OB381" s="457"/>
      <c r="OC381" s="457"/>
      <c r="OD381" s="457"/>
      <c r="OE381" s="457"/>
      <c r="OF381" s="457"/>
      <c r="OG381" s="457"/>
      <c r="OH381" s="457"/>
      <c r="OI381" s="457"/>
      <c r="OJ381" s="457"/>
      <c r="OK381" s="457"/>
      <c r="OL381" s="457"/>
      <c r="OM381" s="457"/>
      <c r="ON381" s="457"/>
      <c r="OO381" s="457"/>
      <c r="OP381" s="457"/>
      <c r="OQ381" s="457"/>
      <c r="OR381" s="457"/>
      <c r="OS381" s="457"/>
      <c r="OT381" s="457"/>
      <c r="OU381" s="457"/>
      <c r="OV381" s="457"/>
      <c r="OW381" s="457"/>
      <c r="OX381" s="457"/>
      <c r="OY381" s="457"/>
      <c r="OZ381" s="457"/>
      <c r="PA381" s="457"/>
      <c r="PB381" s="457"/>
      <c r="PC381" s="457"/>
      <c r="PD381" s="457"/>
      <c r="PE381" s="457"/>
      <c r="PF381" s="457"/>
      <c r="PG381" s="457"/>
      <c r="PH381" s="457"/>
      <c r="PI381" s="457"/>
      <c r="PJ381" s="457"/>
      <c r="PK381" s="457"/>
      <c r="PL381" s="457"/>
      <c r="PM381" s="457"/>
      <c r="PN381" s="457"/>
      <c r="PO381" s="457"/>
      <c r="PP381" s="457"/>
      <c r="PQ381" s="457"/>
      <c r="PR381" s="457"/>
      <c r="PS381" s="457"/>
      <c r="PT381" s="457"/>
      <c r="PU381" s="457"/>
      <c r="PV381" s="457"/>
      <c r="PW381" s="457"/>
      <c r="PX381" s="457"/>
      <c r="PY381" s="457"/>
      <c r="PZ381" s="457"/>
      <c r="QA381" s="457"/>
      <c r="QB381" s="457"/>
      <c r="QC381" s="457"/>
      <c r="QD381" s="457"/>
      <c r="QE381" s="457"/>
      <c r="QF381" s="457"/>
      <c r="QG381" s="457"/>
      <c r="QH381" s="457"/>
      <c r="QI381" s="457"/>
      <c r="QJ381" s="457"/>
      <c r="QK381" s="457"/>
      <c r="QL381" s="457"/>
      <c r="QM381" s="457"/>
      <c r="QN381" s="457"/>
      <c r="QO381" s="457"/>
      <c r="QP381" s="457"/>
      <c r="QQ381" s="457"/>
      <c r="QR381" s="457"/>
      <c r="QS381" s="457"/>
      <c r="QT381" s="457"/>
      <c r="QU381" s="457"/>
      <c r="QV381" s="457"/>
      <c r="QW381" s="457"/>
      <c r="QX381" s="457"/>
      <c r="QY381" s="457"/>
      <c r="QZ381" s="457"/>
      <c r="RA381" s="457"/>
      <c r="RB381" s="457"/>
      <c r="RC381" s="457"/>
      <c r="RD381" s="457"/>
      <c r="RE381" s="457"/>
      <c r="RF381" s="457"/>
      <c r="RG381" s="457"/>
      <c r="RH381" s="457"/>
      <c r="RI381" s="457"/>
      <c r="RJ381" s="457"/>
      <c r="RK381" s="457"/>
      <c r="RL381" s="457"/>
      <c r="RM381" s="457"/>
      <c r="RN381" s="457"/>
      <c r="RO381" s="457"/>
      <c r="RP381" s="457"/>
      <c r="RQ381" s="457"/>
      <c r="RR381" s="457"/>
      <c r="RS381" s="457"/>
      <c r="RT381" s="457"/>
      <c r="RU381" s="457"/>
      <c r="RV381" s="457"/>
      <c r="RW381" s="457"/>
      <c r="RX381" s="457"/>
      <c r="RY381" s="457"/>
      <c r="RZ381" s="457"/>
      <c r="SA381" s="457"/>
      <c r="SB381" s="457"/>
      <c r="SC381" s="457"/>
      <c r="SD381" s="457"/>
      <c r="SE381" s="457"/>
      <c r="SF381" s="457"/>
      <c r="SG381" s="457"/>
      <c r="SH381" s="457"/>
      <c r="SI381" s="457"/>
      <c r="SJ381" s="457"/>
      <c r="SK381" s="457"/>
      <c r="SL381" s="457"/>
      <c r="SM381" s="457"/>
      <c r="SN381" s="457"/>
      <c r="SO381" s="457"/>
      <c r="SP381" s="457"/>
      <c r="SQ381" s="457"/>
      <c r="SR381" s="457"/>
      <c r="SS381" s="457"/>
      <c r="ST381" s="457"/>
      <c r="SU381" s="457"/>
      <c r="SV381" s="457"/>
      <c r="SW381" s="457"/>
      <c r="SX381" s="457"/>
      <c r="SY381" s="457"/>
      <c r="SZ381" s="457"/>
      <c r="TA381" s="457"/>
      <c r="TB381" s="457"/>
      <c r="TC381" s="457"/>
      <c r="TD381" s="457"/>
      <c r="TE381" s="457"/>
      <c r="TF381" s="457"/>
      <c r="TG381" s="457"/>
      <c r="TH381" s="457"/>
      <c r="TI381" s="457"/>
      <c r="TJ381" s="457"/>
      <c r="TK381" s="457"/>
      <c r="TL381" s="457"/>
      <c r="TM381" s="457"/>
      <c r="TN381" s="457"/>
      <c r="TO381" s="457"/>
      <c r="TP381" s="457"/>
      <c r="TQ381" s="457"/>
      <c r="TR381" s="457"/>
      <c r="TS381" s="457"/>
      <c r="TT381" s="457"/>
      <c r="TU381" s="457"/>
      <c r="TV381" s="457"/>
      <c r="TW381" s="457"/>
      <c r="TX381" s="457"/>
      <c r="TY381" s="457"/>
      <c r="TZ381" s="457"/>
      <c r="UA381" s="457"/>
      <c r="UB381" s="457"/>
      <c r="UC381" s="457"/>
      <c r="UD381" s="457"/>
      <c r="UE381" s="457"/>
      <c r="UF381" s="457"/>
      <c r="UG381" s="457"/>
      <c r="UH381" s="457"/>
      <c r="UI381" s="457"/>
      <c r="UJ381" s="457"/>
      <c r="UK381" s="457"/>
      <c r="UL381" s="457"/>
      <c r="UM381" s="457"/>
      <c r="UN381" s="457"/>
      <c r="UO381" s="457"/>
      <c r="UP381" s="457"/>
      <c r="UQ381" s="457"/>
      <c r="UR381" s="457"/>
      <c r="US381" s="457"/>
      <c r="UT381" s="457"/>
      <c r="UU381" s="457"/>
      <c r="UV381" s="457"/>
      <c r="UW381" s="457"/>
      <c r="UX381" s="457"/>
      <c r="UY381" s="457"/>
      <c r="UZ381" s="457"/>
      <c r="VA381" s="457"/>
      <c r="VB381" s="457"/>
      <c r="VC381" s="457"/>
      <c r="VD381" s="457"/>
      <c r="VE381" s="457"/>
      <c r="VF381" s="457"/>
      <c r="VG381" s="457"/>
      <c r="VH381" s="457"/>
      <c r="VI381" s="457"/>
      <c r="VJ381" s="457"/>
      <c r="VK381" s="457"/>
      <c r="VL381" s="457"/>
      <c r="VM381" s="457"/>
      <c r="VN381" s="457"/>
      <c r="VO381" s="457"/>
      <c r="VP381" s="457"/>
      <c r="VQ381" s="457"/>
      <c r="VR381" s="457"/>
      <c r="VS381" s="457"/>
      <c r="VT381" s="457"/>
      <c r="VU381" s="457"/>
      <c r="VV381" s="457"/>
      <c r="VW381" s="457"/>
      <c r="VX381" s="457"/>
      <c r="VY381" s="457"/>
      <c r="VZ381" s="457"/>
      <c r="WA381" s="457"/>
      <c r="WB381" s="457"/>
      <c r="WC381" s="457"/>
      <c r="WD381" s="457"/>
      <c r="WE381" s="457"/>
      <c r="WF381" s="457"/>
      <c r="WG381" s="457"/>
      <c r="WH381" s="457"/>
      <c r="WI381" s="457"/>
      <c r="WJ381" s="457"/>
      <c r="WK381" s="457"/>
      <c r="WL381" s="457"/>
      <c r="WM381" s="457"/>
      <c r="WN381" s="457"/>
      <c r="WO381" s="457"/>
      <c r="WP381" s="457"/>
      <c r="WQ381" s="457"/>
      <c r="WR381" s="457"/>
      <c r="WS381" s="457"/>
      <c r="WT381" s="457"/>
      <c r="WU381" s="457"/>
      <c r="WV381" s="457"/>
      <c r="WW381" s="457"/>
      <c r="WX381" s="457"/>
      <c r="WY381" s="457"/>
      <c r="WZ381" s="457"/>
      <c r="XA381" s="457"/>
      <c r="XB381" s="457"/>
      <c r="XC381" s="457"/>
      <c r="XD381" s="457"/>
      <c r="XE381" s="457"/>
      <c r="XF381" s="457"/>
      <c r="XG381" s="457"/>
      <c r="XH381" s="457"/>
      <c r="XI381" s="457"/>
      <c r="XJ381" s="457"/>
      <c r="XK381" s="457"/>
      <c r="XL381" s="457"/>
      <c r="XM381" s="457"/>
      <c r="XN381" s="457"/>
      <c r="XO381" s="457"/>
      <c r="XP381" s="457"/>
      <c r="XQ381" s="457"/>
      <c r="XR381" s="457"/>
      <c r="XS381" s="457"/>
      <c r="XT381" s="457"/>
      <c r="XU381" s="457"/>
      <c r="XV381" s="457"/>
      <c r="XW381" s="457"/>
      <c r="XX381" s="457"/>
      <c r="XY381" s="457"/>
      <c r="XZ381" s="457"/>
      <c r="YA381" s="457"/>
      <c r="YB381" s="457"/>
      <c r="YC381" s="457"/>
      <c r="YD381" s="457"/>
      <c r="YE381" s="457"/>
      <c r="YF381" s="457"/>
      <c r="YG381" s="457"/>
      <c r="YH381" s="457"/>
      <c r="YI381" s="457"/>
      <c r="YJ381" s="457"/>
      <c r="YK381" s="457"/>
      <c r="YL381" s="457"/>
      <c r="YM381" s="457"/>
      <c r="YN381" s="457"/>
      <c r="YO381" s="457"/>
      <c r="YP381" s="457"/>
      <c r="YQ381" s="457"/>
      <c r="YR381" s="457"/>
      <c r="YS381" s="457"/>
      <c r="YT381" s="457"/>
      <c r="YU381" s="457"/>
      <c r="YV381" s="457"/>
      <c r="YW381" s="457"/>
      <c r="YX381" s="457"/>
      <c r="YY381" s="457"/>
      <c r="YZ381" s="457"/>
      <c r="ZA381" s="457"/>
      <c r="ZB381" s="457"/>
      <c r="ZC381" s="457"/>
      <c r="ZD381" s="457"/>
      <c r="ZE381" s="457"/>
      <c r="ZF381" s="457"/>
      <c r="ZG381" s="457"/>
      <c r="ZH381" s="457"/>
      <c r="ZI381" s="457"/>
      <c r="ZJ381" s="457"/>
      <c r="ZK381" s="457"/>
      <c r="ZL381" s="457"/>
      <c r="ZM381" s="457"/>
      <c r="ZN381" s="457"/>
      <c r="ZO381" s="457"/>
      <c r="ZP381" s="457"/>
      <c r="ZQ381" s="457"/>
      <c r="ZR381" s="457"/>
      <c r="ZS381" s="457"/>
      <c r="ZT381" s="457"/>
      <c r="ZU381" s="457"/>
      <c r="ZV381" s="457"/>
      <c r="ZW381" s="457"/>
      <c r="ZX381" s="457"/>
      <c r="ZY381" s="457"/>
      <c r="ZZ381" s="457"/>
      <c r="AAA381" s="457"/>
      <c r="AAB381" s="457"/>
      <c r="AAC381" s="457"/>
      <c r="AAD381" s="457"/>
      <c r="AAE381" s="457"/>
      <c r="AAF381" s="457"/>
      <c r="AAG381" s="457"/>
      <c r="AAH381" s="457"/>
      <c r="AAI381" s="457"/>
      <c r="AAJ381" s="457"/>
      <c r="AAK381" s="457"/>
      <c r="AAL381" s="457"/>
      <c r="AAM381" s="457"/>
      <c r="AAN381" s="457"/>
      <c r="AAO381" s="457"/>
      <c r="AAP381" s="457"/>
      <c r="AAQ381" s="457"/>
      <c r="AAR381" s="457"/>
      <c r="AAS381" s="457"/>
      <c r="AAT381" s="457"/>
      <c r="AAU381" s="457"/>
      <c r="AAV381" s="457"/>
      <c r="AAW381" s="457"/>
      <c r="AAX381" s="457"/>
      <c r="AAY381" s="457"/>
      <c r="AAZ381" s="457"/>
      <c r="ABA381" s="457"/>
      <c r="ABB381" s="457"/>
      <c r="ABC381" s="457"/>
      <c r="ABD381" s="457"/>
      <c r="ABE381" s="457"/>
      <c r="ABF381" s="457"/>
      <c r="ABG381" s="457"/>
      <c r="ABH381" s="457"/>
      <c r="ABI381" s="457"/>
      <c r="ABJ381" s="457"/>
      <c r="ABK381" s="457"/>
      <c r="ABL381" s="457"/>
      <c r="ABM381" s="457"/>
      <c r="ABN381" s="457"/>
      <c r="ABO381" s="457"/>
      <c r="ABP381" s="457"/>
      <c r="ABQ381" s="457"/>
      <c r="ABR381" s="457"/>
      <c r="ABS381" s="457"/>
      <c r="ABT381" s="457"/>
      <c r="ABU381" s="457"/>
      <c r="ABV381" s="457"/>
      <c r="ABW381" s="457"/>
      <c r="ABX381" s="457"/>
      <c r="ABY381" s="457"/>
      <c r="ABZ381" s="457"/>
      <c r="ACA381" s="457"/>
      <c r="ACB381" s="457"/>
      <c r="ACC381" s="457"/>
      <c r="ACD381" s="457"/>
      <c r="ACE381" s="457"/>
      <c r="ACF381" s="457"/>
      <c r="ACG381" s="457"/>
      <c r="ACH381" s="457"/>
      <c r="ACI381" s="457"/>
      <c r="ACJ381" s="457"/>
      <c r="ACK381" s="457"/>
      <c r="ACL381" s="457"/>
      <c r="ACM381" s="457"/>
      <c r="ACN381" s="457"/>
      <c r="ACO381" s="457"/>
      <c r="ACP381" s="457"/>
      <c r="ACQ381" s="457"/>
      <c r="ACR381" s="457"/>
      <c r="ACS381" s="457"/>
      <c r="ACT381" s="457"/>
      <c r="ACU381" s="457"/>
      <c r="ACV381" s="457"/>
    </row>
    <row r="382" spans="1:776" s="400" customFormat="1" x14ac:dyDescent="0.25">
      <c r="A382" s="43">
        <v>900095</v>
      </c>
      <c r="B382" s="34" t="s">
        <v>217</v>
      </c>
      <c r="C382" s="455"/>
      <c r="D382" s="454" t="s">
        <v>218</v>
      </c>
      <c r="E382" s="454">
        <v>1.1100000000000001</v>
      </c>
      <c r="F382" s="458">
        <v>8.9</v>
      </c>
      <c r="G382" s="34">
        <v>0.01</v>
      </c>
      <c r="H382" s="454">
        <v>0.08</v>
      </c>
      <c r="I382" s="456">
        <v>102.08</v>
      </c>
      <c r="J382" s="458">
        <v>202.2</v>
      </c>
      <c r="K382" s="454">
        <v>0.01</v>
      </c>
      <c r="L382" s="454">
        <v>324</v>
      </c>
      <c r="M382" s="34">
        <v>0.01</v>
      </c>
      <c r="N382" s="454">
        <v>7.26</v>
      </c>
      <c r="O382" s="34">
        <v>78.33</v>
      </c>
      <c r="P382" s="454">
        <v>89.27</v>
      </c>
      <c r="Q382" s="454">
        <v>51.79</v>
      </c>
      <c r="R382" s="34">
        <v>1.0000000000000001E-5</v>
      </c>
      <c r="S382" s="34">
        <v>1.0000000000000001E-5</v>
      </c>
      <c r="T382" s="34">
        <v>1.0000000000000001E-5</v>
      </c>
      <c r="U382" s="34">
        <v>0.02</v>
      </c>
      <c r="V382" s="454"/>
      <c r="W382" s="457"/>
      <c r="X382" s="457"/>
      <c r="Y382" s="457"/>
      <c r="Z382" s="457"/>
      <c r="AA382" s="457"/>
      <c r="AB382" s="457"/>
      <c r="AC382" s="457"/>
      <c r="AD382" s="457"/>
      <c r="AE382" s="457"/>
      <c r="AF382" s="457"/>
      <c r="AG382" s="457"/>
      <c r="AH382" s="457"/>
      <c r="AI382" s="457"/>
      <c r="AJ382" s="457"/>
      <c r="AK382" s="457"/>
      <c r="AL382" s="457"/>
      <c r="AM382" s="457"/>
      <c r="AN382" s="457"/>
      <c r="AO382" s="457"/>
      <c r="AP382" s="457"/>
      <c r="AQ382" s="457"/>
      <c r="AR382" s="457"/>
      <c r="AS382" s="457"/>
      <c r="AT382" s="457"/>
      <c r="AU382" s="457"/>
      <c r="AV382" s="457"/>
      <c r="AW382" s="457"/>
      <c r="AX382" s="457"/>
      <c r="AY382" s="457"/>
      <c r="AZ382" s="457"/>
      <c r="BA382" s="457"/>
      <c r="BB382" s="457"/>
      <c r="BC382" s="457"/>
      <c r="BD382" s="457"/>
      <c r="BE382" s="457"/>
      <c r="BF382" s="457"/>
      <c r="BG382" s="457"/>
      <c r="BH382" s="457"/>
      <c r="BI382" s="457"/>
      <c r="BJ382" s="457"/>
      <c r="BK382" s="457"/>
      <c r="BL382" s="457"/>
      <c r="BM382" s="457"/>
      <c r="BN382" s="457"/>
      <c r="BO382" s="457"/>
      <c r="BP382" s="457"/>
      <c r="BQ382" s="457"/>
      <c r="BR382" s="457"/>
      <c r="BS382" s="457"/>
      <c r="BT382" s="457"/>
      <c r="BU382" s="457"/>
      <c r="BV382" s="457"/>
      <c r="BW382" s="457"/>
      <c r="BX382" s="457"/>
      <c r="BY382" s="457"/>
      <c r="BZ382" s="457"/>
      <c r="CA382" s="457"/>
      <c r="CB382" s="457"/>
      <c r="CC382" s="457"/>
      <c r="CD382" s="457"/>
      <c r="CE382" s="457"/>
      <c r="CF382" s="457"/>
      <c r="CG382" s="457"/>
      <c r="CH382" s="457"/>
      <c r="CI382" s="457"/>
      <c r="CJ382" s="457"/>
      <c r="CK382" s="457"/>
      <c r="CL382" s="457"/>
      <c r="CM382" s="457"/>
      <c r="CN382" s="457"/>
      <c r="CO382" s="457"/>
      <c r="CP382" s="457"/>
      <c r="CQ382" s="457"/>
      <c r="CR382" s="457"/>
      <c r="CS382" s="457"/>
      <c r="CT382" s="457"/>
      <c r="CU382" s="457"/>
      <c r="CV382" s="457"/>
      <c r="CW382" s="457"/>
      <c r="CX382" s="457"/>
      <c r="CY382" s="457"/>
      <c r="CZ382" s="457"/>
      <c r="DA382" s="457"/>
      <c r="DB382" s="457"/>
      <c r="DC382" s="457"/>
      <c r="DD382" s="457"/>
      <c r="DE382" s="457"/>
      <c r="DF382" s="457"/>
      <c r="DG382" s="457"/>
      <c r="DH382" s="457"/>
      <c r="DI382" s="457"/>
      <c r="DJ382" s="457"/>
      <c r="DK382" s="457"/>
      <c r="DL382" s="457"/>
      <c r="DM382" s="457"/>
      <c r="DN382" s="457"/>
      <c r="DO382" s="457"/>
      <c r="DP382" s="457"/>
      <c r="DQ382" s="457"/>
      <c r="DR382" s="457"/>
      <c r="DS382" s="457"/>
      <c r="DT382" s="457"/>
      <c r="DU382" s="457"/>
      <c r="DV382" s="457"/>
      <c r="DW382" s="457"/>
      <c r="DX382" s="457"/>
      <c r="DY382" s="457"/>
      <c r="DZ382" s="457"/>
      <c r="EA382" s="457"/>
      <c r="EB382" s="457"/>
      <c r="EC382" s="457"/>
      <c r="ED382" s="457"/>
      <c r="EE382" s="457"/>
      <c r="EF382" s="457"/>
      <c r="EG382" s="457"/>
      <c r="EH382" s="457"/>
      <c r="EI382" s="457"/>
      <c r="EJ382" s="457"/>
      <c r="EK382" s="457"/>
      <c r="EL382" s="457"/>
      <c r="EM382" s="457"/>
      <c r="EN382" s="457"/>
      <c r="EO382" s="457"/>
      <c r="EP382" s="457"/>
      <c r="EQ382" s="457"/>
      <c r="ER382" s="457"/>
      <c r="ES382" s="457"/>
      <c r="ET382" s="457"/>
      <c r="EU382" s="457"/>
      <c r="EV382" s="457"/>
      <c r="EW382" s="457"/>
      <c r="EX382" s="457"/>
      <c r="EY382" s="457"/>
      <c r="EZ382" s="457"/>
      <c r="FA382" s="457"/>
      <c r="FB382" s="457"/>
      <c r="FC382" s="457"/>
      <c r="FD382" s="457"/>
      <c r="FE382" s="457"/>
      <c r="FF382" s="457"/>
      <c r="FG382" s="457"/>
      <c r="FH382" s="457"/>
      <c r="FI382" s="457"/>
      <c r="FJ382" s="457"/>
      <c r="FK382" s="457"/>
      <c r="FL382" s="457"/>
      <c r="FM382" s="457"/>
      <c r="FN382" s="457"/>
      <c r="FO382" s="457"/>
      <c r="FP382" s="457"/>
      <c r="FQ382" s="457"/>
      <c r="FR382" s="457"/>
      <c r="FS382" s="457"/>
      <c r="FT382" s="457"/>
      <c r="FU382" s="457"/>
      <c r="FV382" s="457"/>
      <c r="FW382" s="457"/>
      <c r="FX382" s="457"/>
      <c r="FY382" s="457"/>
      <c r="FZ382" s="457"/>
      <c r="GA382" s="457"/>
      <c r="GB382" s="457"/>
      <c r="GC382" s="457"/>
      <c r="GD382" s="457"/>
      <c r="GE382" s="457"/>
      <c r="GF382" s="457"/>
      <c r="GG382" s="457"/>
      <c r="GH382" s="457"/>
      <c r="GI382" s="457"/>
      <c r="GJ382" s="457"/>
      <c r="GK382" s="457"/>
      <c r="GL382" s="457"/>
      <c r="GM382" s="457"/>
      <c r="GN382" s="457"/>
      <c r="GO382" s="457"/>
      <c r="GP382" s="457"/>
      <c r="GQ382" s="457"/>
      <c r="GR382" s="457"/>
      <c r="GS382" s="457"/>
      <c r="GT382" s="457"/>
      <c r="GU382" s="457"/>
      <c r="GV382" s="457"/>
      <c r="GW382" s="457"/>
      <c r="GX382" s="457"/>
      <c r="GY382" s="457"/>
      <c r="GZ382" s="457"/>
      <c r="HA382" s="457"/>
      <c r="HB382" s="457"/>
      <c r="HC382" s="457"/>
      <c r="HD382" s="457"/>
      <c r="HE382" s="457"/>
      <c r="HF382" s="457"/>
      <c r="HG382" s="457"/>
      <c r="HH382" s="457"/>
      <c r="HI382" s="457"/>
      <c r="HJ382" s="457"/>
      <c r="HK382" s="457"/>
      <c r="HL382" s="457"/>
      <c r="HM382" s="457"/>
      <c r="HN382" s="457"/>
      <c r="HO382" s="457"/>
      <c r="HP382" s="457"/>
      <c r="HQ382" s="457"/>
      <c r="HR382" s="457"/>
      <c r="HS382" s="457"/>
      <c r="HT382" s="457"/>
      <c r="HU382" s="457"/>
      <c r="HV382" s="457"/>
      <c r="HW382" s="457"/>
      <c r="HX382" s="457"/>
      <c r="HY382" s="457"/>
      <c r="HZ382" s="457"/>
      <c r="IA382" s="457"/>
      <c r="IB382" s="457"/>
      <c r="IC382" s="457"/>
      <c r="ID382" s="457"/>
      <c r="IE382" s="457"/>
      <c r="IF382" s="457"/>
      <c r="IG382" s="457"/>
      <c r="IH382" s="457"/>
      <c r="II382" s="457"/>
      <c r="IJ382" s="457"/>
      <c r="IK382" s="457"/>
      <c r="IL382" s="457"/>
      <c r="IM382" s="457"/>
      <c r="IN382" s="457"/>
      <c r="IO382" s="457"/>
      <c r="IP382" s="457"/>
      <c r="IQ382" s="457"/>
      <c r="IR382" s="457"/>
      <c r="IS382" s="457"/>
      <c r="IT382" s="457"/>
      <c r="IU382" s="457"/>
      <c r="IV382" s="457"/>
      <c r="IW382" s="457"/>
      <c r="IX382" s="457"/>
      <c r="IY382" s="457"/>
      <c r="IZ382" s="457"/>
      <c r="JA382" s="457"/>
      <c r="JB382" s="457"/>
      <c r="JC382" s="457"/>
      <c r="JD382" s="457"/>
      <c r="JE382" s="457"/>
      <c r="JF382" s="457"/>
      <c r="JG382" s="457"/>
      <c r="JH382" s="457"/>
      <c r="JI382" s="457"/>
      <c r="JJ382" s="457"/>
      <c r="JK382" s="457"/>
      <c r="JL382" s="457"/>
      <c r="JM382" s="457"/>
      <c r="JN382" s="457"/>
      <c r="JO382" s="457"/>
      <c r="JP382" s="457"/>
      <c r="JQ382" s="457"/>
      <c r="JR382" s="457"/>
      <c r="JS382" s="457"/>
      <c r="JT382" s="457"/>
      <c r="JU382" s="457"/>
      <c r="JV382" s="457"/>
      <c r="JW382" s="457"/>
      <c r="JX382" s="457"/>
      <c r="JY382" s="457"/>
      <c r="JZ382" s="457"/>
      <c r="KA382" s="457"/>
      <c r="KB382" s="457"/>
      <c r="KC382" s="457"/>
      <c r="KD382" s="457"/>
      <c r="KE382" s="457"/>
      <c r="KF382" s="457"/>
      <c r="KG382" s="457"/>
      <c r="KH382" s="457"/>
      <c r="KI382" s="457"/>
      <c r="KJ382" s="457"/>
      <c r="KK382" s="457"/>
      <c r="KL382" s="457"/>
      <c r="KM382" s="457"/>
      <c r="KN382" s="457"/>
      <c r="KO382" s="457"/>
      <c r="KP382" s="457"/>
      <c r="KQ382" s="457"/>
      <c r="KR382" s="457"/>
      <c r="KS382" s="457"/>
      <c r="KT382" s="457"/>
      <c r="KU382" s="457"/>
      <c r="KV382" s="457"/>
      <c r="KW382" s="457"/>
      <c r="KX382" s="457"/>
      <c r="KY382" s="457"/>
      <c r="KZ382" s="457"/>
      <c r="LA382" s="457"/>
      <c r="LB382" s="457"/>
      <c r="LC382" s="457"/>
      <c r="LD382" s="457"/>
      <c r="LE382" s="457"/>
      <c r="LF382" s="457"/>
      <c r="LG382" s="457"/>
      <c r="LH382" s="457"/>
      <c r="LI382" s="457"/>
      <c r="LJ382" s="457"/>
      <c r="LK382" s="457"/>
      <c r="LL382" s="457"/>
      <c r="LM382" s="457"/>
      <c r="LN382" s="457"/>
      <c r="LO382" s="457"/>
      <c r="LP382" s="457"/>
      <c r="LQ382" s="457"/>
      <c r="LR382" s="457"/>
      <c r="LS382" s="457"/>
      <c r="LT382" s="457"/>
      <c r="LU382" s="457"/>
      <c r="LV382" s="457"/>
      <c r="LW382" s="457"/>
      <c r="LX382" s="457"/>
      <c r="LY382" s="457"/>
      <c r="LZ382" s="457"/>
      <c r="MA382" s="457"/>
      <c r="MB382" s="457"/>
      <c r="MC382" s="457"/>
      <c r="MD382" s="457"/>
      <c r="ME382" s="457"/>
      <c r="MF382" s="457"/>
      <c r="MG382" s="457"/>
      <c r="MH382" s="457"/>
      <c r="MI382" s="457"/>
      <c r="MJ382" s="457"/>
      <c r="MK382" s="457"/>
      <c r="ML382" s="457"/>
      <c r="MM382" s="457"/>
      <c r="MN382" s="457"/>
      <c r="MO382" s="457"/>
      <c r="MP382" s="457"/>
      <c r="MQ382" s="457"/>
      <c r="MR382" s="457"/>
      <c r="MS382" s="457"/>
      <c r="MT382" s="457"/>
      <c r="MU382" s="457"/>
      <c r="MV382" s="457"/>
      <c r="MW382" s="457"/>
      <c r="MX382" s="457"/>
      <c r="MY382" s="457"/>
      <c r="MZ382" s="457"/>
      <c r="NA382" s="457"/>
      <c r="NB382" s="457"/>
      <c r="NC382" s="457"/>
      <c r="ND382" s="457"/>
      <c r="NE382" s="457"/>
      <c r="NF382" s="457"/>
      <c r="NG382" s="457"/>
      <c r="NH382" s="457"/>
      <c r="NI382" s="457"/>
      <c r="NJ382" s="457"/>
      <c r="NK382" s="457"/>
      <c r="NL382" s="457"/>
      <c r="NM382" s="457"/>
      <c r="NN382" s="457"/>
      <c r="NO382" s="457"/>
      <c r="NP382" s="457"/>
      <c r="NQ382" s="457"/>
      <c r="NR382" s="457"/>
      <c r="NS382" s="457"/>
      <c r="NT382" s="457"/>
      <c r="NU382" s="457"/>
      <c r="NV382" s="457"/>
      <c r="NW382" s="457"/>
      <c r="NX382" s="457"/>
      <c r="NY382" s="457"/>
      <c r="NZ382" s="457"/>
      <c r="OA382" s="457"/>
      <c r="OB382" s="457"/>
      <c r="OC382" s="457"/>
      <c r="OD382" s="457"/>
      <c r="OE382" s="457"/>
      <c r="OF382" s="457"/>
      <c r="OG382" s="457"/>
      <c r="OH382" s="457"/>
      <c r="OI382" s="457"/>
      <c r="OJ382" s="457"/>
      <c r="OK382" s="457"/>
      <c r="OL382" s="457"/>
      <c r="OM382" s="457"/>
      <c r="ON382" s="457"/>
      <c r="OO382" s="457"/>
      <c r="OP382" s="457"/>
      <c r="OQ382" s="457"/>
      <c r="OR382" s="457"/>
      <c r="OS382" s="457"/>
      <c r="OT382" s="457"/>
      <c r="OU382" s="457"/>
      <c r="OV382" s="457"/>
      <c r="OW382" s="457"/>
      <c r="OX382" s="457"/>
      <c r="OY382" s="457"/>
      <c r="OZ382" s="457"/>
      <c r="PA382" s="457"/>
      <c r="PB382" s="457"/>
      <c r="PC382" s="457"/>
      <c r="PD382" s="457"/>
      <c r="PE382" s="457"/>
      <c r="PF382" s="457"/>
      <c r="PG382" s="457"/>
      <c r="PH382" s="457"/>
      <c r="PI382" s="457"/>
      <c r="PJ382" s="457"/>
      <c r="PK382" s="457"/>
      <c r="PL382" s="457"/>
      <c r="PM382" s="457"/>
      <c r="PN382" s="457"/>
      <c r="PO382" s="457"/>
      <c r="PP382" s="457"/>
      <c r="PQ382" s="457"/>
      <c r="PR382" s="457"/>
      <c r="PS382" s="457"/>
      <c r="PT382" s="457"/>
      <c r="PU382" s="457"/>
      <c r="PV382" s="457"/>
      <c r="PW382" s="457"/>
      <c r="PX382" s="457"/>
      <c r="PY382" s="457"/>
      <c r="PZ382" s="457"/>
      <c r="QA382" s="457"/>
      <c r="QB382" s="457"/>
      <c r="QC382" s="457"/>
      <c r="QD382" s="457"/>
      <c r="QE382" s="457"/>
      <c r="QF382" s="457"/>
      <c r="QG382" s="457"/>
      <c r="QH382" s="457"/>
      <c r="QI382" s="457"/>
      <c r="QJ382" s="457"/>
      <c r="QK382" s="457"/>
      <c r="QL382" s="457"/>
      <c r="QM382" s="457"/>
      <c r="QN382" s="457"/>
      <c r="QO382" s="457"/>
      <c r="QP382" s="457"/>
      <c r="QQ382" s="457"/>
      <c r="QR382" s="457"/>
      <c r="QS382" s="457"/>
      <c r="QT382" s="457"/>
      <c r="QU382" s="457"/>
      <c r="QV382" s="457"/>
      <c r="QW382" s="457"/>
      <c r="QX382" s="457"/>
      <c r="QY382" s="457"/>
      <c r="QZ382" s="457"/>
      <c r="RA382" s="457"/>
      <c r="RB382" s="457"/>
      <c r="RC382" s="457"/>
      <c r="RD382" s="457"/>
      <c r="RE382" s="457"/>
      <c r="RF382" s="457"/>
      <c r="RG382" s="457"/>
      <c r="RH382" s="457"/>
      <c r="RI382" s="457"/>
      <c r="RJ382" s="457"/>
      <c r="RK382" s="457"/>
      <c r="RL382" s="457"/>
      <c r="RM382" s="457"/>
      <c r="RN382" s="457"/>
      <c r="RO382" s="457"/>
      <c r="RP382" s="457"/>
      <c r="RQ382" s="457"/>
      <c r="RR382" s="457"/>
      <c r="RS382" s="457"/>
      <c r="RT382" s="457"/>
      <c r="RU382" s="457"/>
      <c r="RV382" s="457"/>
      <c r="RW382" s="457"/>
      <c r="RX382" s="457"/>
      <c r="RY382" s="457"/>
      <c r="RZ382" s="457"/>
      <c r="SA382" s="457"/>
      <c r="SB382" s="457"/>
      <c r="SC382" s="457"/>
      <c r="SD382" s="457"/>
      <c r="SE382" s="457"/>
      <c r="SF382" s="457"/>
      <c r="SG382" s="457"/>
      <c r="SH382" s="457"/>
      <c r="SI382" s="457"/>
      <c r="SJ382" s="457"/>
      <c r="SK382" s="457"/>
      <c r="SL382" s="457"/>
      <c r="SM382" s="457"/>
      <c r="SN382" s="457"/>
      <c r="SO382" s="457"/>
      <c r="SP382" s="457"/>
      <c r="SQ382" s="457"/>
      <c r="SR382" s="457"/>
      <c r="SS382" s="457"/>
      <c r="ST382" s="457"/>
      <c r="SU382" s="457"/>
      <c r="SV382" s="457"/>
      <c r="SW382" s="457"/>
      <c r="SX382" s="457"/>
      <c r="SY382" s="457"/>
      <c r="SZ382" s="457"/>
      <c r="TA382" s="457"/>
      <c r="TB382" s="457"/>
      <c r="TC382" s="457"/>
      <c r="TD382" s="457"/>
      <c r="TE382" s="457"/>
      <c r="TF382" s="457"/>
      <c r="TG382" s="457"/>
      <c r="TH382" s="457"/>
      <c r="TI382" s="457"/>
      <c r="TJ382" s="457"/>
      <c r="TK382" s="457"/>
      <c r="TL382" s="457"/>
      <c r="TM382" s="457"/>
      <c r="TN382" s="457"/>
      <c r="TO382" s="457"/>
      <c r="TP382" s="457"/>
      <c r="TQ382" s="457"/>
      <c r="TR382" s="457"/>
      <c r="TS382" s="457"/>
      <c r="TT382" s="457"/>
      <c r="TU382" s="457"/>
      <c r="TV382" s="457"/>
      <c r="TW382" s="457"/>
      <c r="TX382" s="457"/>
      <c r="TY382" s="457"/>
      <c r="TZ382" s="457"/>
      <c r="UA382" s="457"/>
      <c r="UB382" s="457"/>
      <c r="UC382" s="457"/>
      <c r="UD382" s="457"/>
      <c r="UE382" s="457"/>
      <c r="UF382" s="457"/>
      <c r="UG382" s="457"/>
      <c r="UH382" s="457"/>
      <c r="UI382" s="457"/>
      <c r="UJ382" s="457"/>
      <c r="UK382" s="457"/>
      <c r="UL382" s="457"/>
      <c r="UM382" s="457"/>
      <c r="UN382" s="457"/>
      <c r="UO382" s="457"/>
      <c r="UP382" s="457"/>
      <c r="UQ382" s="457"/>
      <c r="UR382" s="457"/>
      <c r="US382" s="457"/>
      <c r="UT382" s="457"/>
      <c r="UU382" s="457"/>
      <c r="UV382" s="457"/>
      <c r="UW382" s="457"/>
      <c r="UX382" s="457"/>
      <c r="UY382" s="457"/>
      <c r="UZ382" s="457"/>
      <c r="VA382" s="457"/>
      <c r="VB382" s="457"/>
      <c r="VC382" s="457"/>
      <c r="VD382" s="457"/>
      <c r="VE382" s="457"/>
      <c r="VF382" s="457"/>
      <c r="VG382" s="457"/>
      <c r="VH382" s="457"/>
      <c r="VI382" s="457"/>
      <c r="VJ382" s="457"/>
      <c r="VK382" s="457"/>
      <c r="VL382" s="457"/>
      <c r="VM382" s="457"/>
      <c r="VN382" s="457"/>
      <c r="VO382" s="457"/>
      <c r="VP382" s="457"/>
      <c r="VQ382" s="457"/>
      <c r="VR382" s="457"/>
      <c r="VS382" s="457"/>
      <c r="VT382" s="457"/>
      <c r="VU382" s="457"/>
      <c r="VV382" s="457"/>
      <c r="VW382" s="457"/>
      <c r="VX382" s="457"/>
      <c r="VY382" s="457"/>
      <c r="VZ382" s="457"/>
      <c r="WA382" s="457"/>
      <c r="WB382" s="457"/>
      <c r="WC382" s="457"/>
      <c r="WD382" s="457"/>
      <c r="WE382" s="457"/>
      <c r="WF382" s="457"/>
      <c r="WG382" s="457"/>
      <c r="WH382" s="457"/>
      <c r="WI382" s="457"/>
      <c r="WJ382" s="457"/>
      <c r="WK382" s="457"/>
      <c r="WL382" s="457"/>
      <c r="WM382" s="457"/>
      <c r="WN382" s="457"/>
      <c r="WO382" s="457"/>
      <c r="WP382" s="457"/>
      <c r="WQ382" s="457"/>
      <c r="WR382" s="457"/>
      <c r="WS382" s="457"/>
      <c r="WT382" s="457"/>
      <c r="WU382" s="457"/>
      <c r="WV382" s="457"/>
      <c r="WW382" s="457"/>
      <c r="WX382" s="457"/>
      <c r="WY382" s="457"/>
      <c r="WZ382" s="457"/>
      <c r="XA382" s="457"/>
      <c r="XB382" s="457"/>
      <c r="XC382" s="457"/>
      <c r="XD382" s="457"/>
      <c r="XE382" s="457"/>
      <c r="XF382" s="457"/>
      <c r="XG382" s="457"/>
      <c r="XH382" s="457"/>
      <c r="XI382" s="457"/>
      <c r="XJ382" s="457"/>
      <c r="XK382" s="457"/>
      <c r="XL382" s="457"/>
      <c r="XM382" s="457"/>
      <c r="XN382" s="457"/>
      <c r="XO382" s="457"/>
      <c r="XP382" s="457"/>
      <c r="XQ382" s="457"/>
      <c r="XR382" s="457"/>
      <c r="XS382" s="457"/>
      <c r="XT382" s="457"/>
      <c r="XU382" s="457"/>
      <c r="XV382" s="457"/>
      <c r="XW382" s="457"/>
      <c r="XX382" s="457"/>
      <c r="XY382" s="457"/>
      <c r="XZ382" s="457"/>
      <c r="YA382" s="457"/>
      <c r="YB382" s="457"/>
      <c r="YC382" s="457"/>
      <c r="YD382" s="457"/>
      <c r="YE382" s="457"/>
      <c r="YF382" s="457"/>
      <c r="YG382" s="457"/>
      <c r="YH382" s="457"/>
      <c r="YI382" s="457"/>
      <c r="YJ382" s="457"/>
      <c r="YK382" s="457"/>
      <c r="YL382" s="457"/>
      <c r="YM382" s="457"/>
      <c r="YN382" s="457"/>
      <c r="YO382" s="457"/>
      <c r="YP382" s="457"/>
      <c r="YQ382" s="457"/>
      <c r="YR382" s="457"/>
      <c r="YS382" s="457"/>
      <c r="YT382" s="457"/>
      <c r="YU382" s="457"/>
      <c r="YV382" s="457"/>
      <c r="YW382" s="457"/>
      <c r="YX382" s="457"/>
      <c r="YY382" s="457"/>
      <c r="YZ382" s="457"/>
      <c r="ZA382" s="457"/>
      <c r="ZB382" s="457"/>
      <c r="ZC382" s="457"/>
      <c r="ZD382" s="457"/>
      <c r="ZE382" s="457"/>
      <c r="ZF382" s="457"/>
      <c r="ZG382" s="457"/>
      <c r="ZH382" s="457"/>
      <c r="ZI382" s="457"/>
      <c r="ZJ382" s="457"/>
      <c r="ZK382" s="457"/>
      <c r="ZL382" s="457"/>
      <c r="ZM382" s="457"/>
      <c r="ZN382" s="457"/>
      <c r="ZO382" s="457"/>
      <c r="ZP382" s="457"/>
      <c r="ZQ382" s="457"/>
      <c r="ZR382" s="457"/>
      <c r="ZS382" s="457"/>
      <c r="ZT382" s="457"/>
      <c r="ZU382" s="457"/>
      <c r="ZV382" s="457"/>
      <c r="ZW382" s="457"/>
      <c r="ZX382" s="457"/>
      <c r="ZY382" s="457"/>
      <c r="ZZ382" s="457"/>
      <c r="AAA382" s="457"/>
      <c r="AAB382" s="457"/>
      <c r="AAC382" s="457"/>
      <c r="AAD382" s="457"/>
      <c r="AAE382" s="457"/>
      <c r="AAF382" s="457"/>
      <c r="AAG382" s="457"/>
      <c r="AAH382" s="457"/>
      <c r="AAI382" s="457"/>
      <c r="AAJ382" s="457"/>
      <c r="AAK382" s="457"/>
      <c r="AAL382" s="457"/>
      <c r="AAM382" s="457"/>
      <c r="AAN382" s="457"/>
      <c r="AAO382" s="457"/>
      <c r="AAP382" s="457"/>
      <c r="AAQ382" s="457"/>
      <c r="AAR382" s="457"/>
      <c r="AAS382" s="457"/>
      <c r="AAT382" s="457"/>
      <c r="AAU382" s="457"/>
      <c r="AAV382" s="457"/>
      <c r="AAW382" s="457"/>
      <c r="AAX382" s="457"/>
      <c r="AAY382" s="457"/>
      <c r="AAZ382" s="457"/>
      <c r="ABA382" s="457"/>
      <c r="ABB382" s="457"/>
      <c r="ABC382" s="457"/>
      <c r="ABD382" s="457"/>
      <c r="ABE382" s="457"/>
      <c r="ABF382" s="457"/>
      <c r="ABG382" s="457"/>
      <c r="ABH382" s="457"/>
      <c r="ABI382" s="457"/>
      <c r="ABJ382" s="457"/>
      <c r="ABK382" s="457"/>
      <c r="ABL382" s="457"/>
      <c r="ABM382" s="457"/>
      <c r="ABN382" s="457"/>
      <c r="ABO382" s="457"/>
      <c r="ABP382" s="457"/>
      <c r="ABQ382" s="457"/>
      <c r="ABR382" s="457"/>
      <c r="ABS382" s="457"/>
      <c r="ABT382" s="457"/>
      <c r="ABU382" s="457"/>
      <c r="ABV382" s="457"/>
      <c r="ABW382" s="457"/>
      <c r="ABX382" s="457"/>
      <c r="ABY382" s="457"/>
      <c r="ABZ382" s="457"/>
      <c r="ACA382" s="457"/>
      <c r="ACB382" s="457"/>
      <c r="ACC382" s="457"/>
      <c r="ACD382" s="457"/>
      <c r="ACE382" s="457"/>
      <c r="ACF382" s="457"/>
      <c r="ACG382" s="457"/>
      <c r="ACH382" s="457"/>
      <c r="ACI382" s="457"/>
      <c r="ACJ382" s="457"/>
      <c r="ACK382" s="457"/>
      <c r="ACL382" s="457"/>
      <c r="ACM382" s="457"/>
      <c r="ACN382" s="457"/>
      <c r="ACO382" s="457"/>
      <c r="ACP382" s="457"/>
      <c r="ACQ382" s="457"/>
      <c r="ACR382" s="457"/>
      <c r="ACS382" s="457"/>
      <c r="ACT382" s="457"/>
      <c r="ACU382" s="457"/>
      <c r="ACV382" s="457"/>
    </row>
    <row r="383" spans="1:776" s="400" customFormat="1" x14ac:dyDescent="0.25">
      <c r="A383" s="43">
        <v>900096</v>
      </c>
      <c r="B383" s="34" t="s">
        <v>219</v>
      </c>
      <c r="C383" s="455"/>
      <c r="D383" s="454" t="s">
        <v>220</v>
      </c>
      <c r="E383" s="454">
        <v>0.92600000000000005</v>
      </c>
      <c r="F383" s="458">
        <v>20.3</v>
      </c>
      <c r="G383" s="34">
        <v>0.01</v>
      </c>
      <c r="H383" s="454">
        <v>0.06</v>
      </c>
      <c r="I383" s="456">
        <v>66.97</v>
      </c>
      <c r="J383" s="458">
        <v>82.1</v>
      </c>
      <c r="K383" s="454">
        <v>0.01</v>
      </c>
      <c r="L383" s="454">
        <v>412.8</v>
      </c>
      <c r="M383" s="34">
        <v>0.01</v>
      </c>
      <c r="N383" s="454">
        <v>2.39</v>
      </c>
      <c r="O383" s="34">
        <v>67.040000000000006</v>
      </c>
      <c r="P383" s="454">
        <v>70.069999999999993</v>
      </c>
      <c r="Q383" s="454">
        <v>49.38</v>
      </c>
      <c r="R383" s="34">
        <v>1.0000000000000001E-5</v>
      </c>
      <c r="S383" s="34">
        <v>1.0000000000000001E-5</v>
      </c>
      <c r="T383" s="34">
        <v>1.0000000000000001E-5</v>
      </c>
      <c r="U383" s="34">
        <v>1.0000000000000001E-5</v>
      </c>
      <c r="V383" s="454"/>
      <c r="W383" s="457"/>
      <c r="X383" s="457"/>
      <c r="Y383" s="457"/>
      <c r="Z383" s="457"/>
      <c r="AA383" s="457"/>
      <c r="AB383" s="457"/>
      <c r="AC383" s="457"/>
      <c r="AD383" s="457"/>
      <c r="AE383" s="457"/>
      <c r="AF383" s="457"/>
      <c r="AG383" s="457"/>
      <c r="AH383" s="457"/>
      <c r="AI383" s="457"/>
      <c r="AJ383" s="457"/>
      <c r="AK383" s="457"/>
      <c r="AL383" s="457"/>
      <c r="AM383" s="457"/>
      <c r="AN383" s="457"/>
      <c r="AO383" s="457"/>
      <c r="AP383" s="457"/>
      <c r="AQ383" s="457"/>
      <c r="AR383" s="457"/>
      <c r="AS383" s="457"/>
      <c r="AT383" s="457"/>
      <c r="AU383" s="457"/>
      <c r="AV383" s="457"/>
      <c r="AW383" s="457"/>
      <c r="AX383" s="457"/>
      <c r="AY383" s="457"/>
      <c r="AZ383" s="457"/>
      <c r="BA383" s="457"/>
      <c r="BB383" s="457"/>
      <c r="BC383" s="457"/>
      <c r="BD383" s="457"/>
      <c r="BE383" s="457"/>
      <c r="BF383" s="457"/>
      <c r="BG383" s="457"/>
      <c r="BH383" s="457"/>
      <c r="BI383" s="457"/>
      <c r="BJ383" s="457"/>
      <c r="BK383" s="457"/>
      <c r="BL383" s="457"/>
      <c r="BM383" s="457"/>
      <c r="BN383" s="457"/>
      <c r="BO383" s="457"/>
      <c r="BP383" s="457"/>
      <c r="BQ383" s="457"/>
      <c r="BR383" s="457"/>
      <c r="BS383" s="457"/>
      <c r="BT383" s="457"/>
      <c r="BU383" s="457"/>
      <c r="BV383" s="457"/>
      <c r="BW383" s="457"/>
      <c r="BX383" s="457"/>
      <c r="BY383" s="457"/>
      <c r="BZ383" s="457"/>
      <c r="CA383" s="457"/>
      <c r="CB383" s="457"/>
      <c r="CC383" s="457"/>
      <c r="CD383" s="457"/>
      <c r="CE383" s="457"/>
      <c r="CF383" s="457"/>
      <c r="CG383" s="457"/>
      <c r="CH383" s="457"/>
      <c r="CI383" s="457"/>
      <c r="CJ383" s="457"/>
      <c r="CK383" s="457"/>
      <c r="CL383" s="457"/>
      <c r="CM383" s="457"/>
      <c r="CN383" s="457"/>
      <c r="CO383" s="457"/>
      <c r="CP383" s="457"/>
      <c r="CQ383" s="457"/>
      <c r="CR383" s="457"/>
      <c r="CS383" s="457"/>
      <c r="CT383" s="457"/>
      <c r="CU383" s="457"/>
      <c r="CV383" s="457"/>
      <c r="CW383" s="457"/>
      <c r="CX383" s="457"/>
      <c r="CY383" s="457"/>
      <c r="CZ383" s="457"/>
      <c r="DA383" s="457"/>
      <c r="DB383" s="457"/>
      <c r="DC383" s="457"/>
      <c r="DD383" s="457"/>
      <c r="DE383" s="457"/>
      <c r="DF383" s="457"/>
      <c r="DG383" s="457"/>
      <c r="DH383" s="457"/>
      <c r="DI383" s="457"/>
      <c r="DJ383" s="457"/>
      <c r="DK383" s="457"/>
      <c r="DL383" s="457"/>
      <c r="DM383" s="457"/>
      <c r="DN383" s="457"/>
      <c r="DO383" s="457"/>
      <c r="DP383" s="457"/>
      <c r="DQ383" s="457"/>
      <c r="DR383" s="457"/>
      <c r="DS383" s="457"/>
      <c r="DT383" s="457"/>
      <c r="DU383" s="457"/>
      <c r="DV383" s="457"/>
      <c r="DW383" s="457"/>
      <c r="DX383" s="457"/>
      <c r="DY383" s="457"/>
      <c r="DZ383" s="457"/>
      <c r="EA383" s="457"/>
      <c r="EB383" s="457"/>
      <c r="EC383" s="457"/>
      <c r="ED383" s="457"/>
      <c r="EE383" s="457"/>
      <c r="EF383" s="457"/>
      <c r="EG383" s="457"/>
      <c r="EH383" s="457"/>
      <c r="EI383" s="457"/>
      <c r="EJ383" s="457"/>
      <c r="EK383" s="457"/>
      <c r="EL383" s="457"/>
      <c r="EM383" s="457"/>
      <c r="EN383" s="457"/>
      <c r="EO383" s="457"/>
      <c r="EP383" s="457"/>
      <c r="EQ383" s="457"/>
      <c r="ER383" s="457"/>
      <c r="ES383" s="457"/>
      <c r="ET383" s="457"/>
      <c r="EU383" s="457"/>
      <c r="EV383" s="457"/>
      <c r="EW383" s="457"/>
      <c r="EX383" s="457"/>
      <c r="EY383" s="457"/>
      <c r="EZ383" s="457"/>
      <c r="FA383" s="457"/>
      <c r="FB383" s="457"/>
      <c r="FC383" s="457"/>
      <c r="FD383" s="457"/>
      <c r="FE383" s="457"/>
      <c r="FF383" s="457"/>
      <c r="FG383" s="457"/>
      <c r="FH383" s="457"/>
      <c r="FI383" s="457"/>
      <c r="FJ383" s="457"/>
      <c r="FK383" s="457"/>
      <c r="FL383" s="457"/>
      <c r="FM383" s="457"/>
      <c r="FN383" s="457"/>
      <c r="FO383" s="457"/>
      <c r="FP383" s="457"/>
      <c r="FQ383" s="457"/>
      <c r="FR383" s="457"/>
      <c r="FS383" s="457"/>
      <c r="FT383" s="457"/>
      <c r="FU383" s="457"/>
      <c r="FV383" s="457"/>
      <c r="FW383" s="457"/>
      <c r="FX383" s="457"/>
      <c r="FY383" s="457"/>
      <c r="FZ383" s="457"/>
      <c r="GA383" s="457"/>
      <c r="GB383" s="457"/>
      <c r="GC383" s="457"/>
      <c r="GD383" s="457"/>
      <c r="GE383" s="457"/>
      <c r="GF383" s="457"/>
      <c r="GG383" s="457"/>
      <c r="GH383" s="457"/>
      <c r="GI383" s="457"/>
      <c r="GJ383" s="457"/>
      <c r="GK383" s="457"/>
      <c r="GL383" s="457"/>
      <c r="GM383" s="457"/>
      <c r="GN383" s="457"/>
      <c r="GO383" s="457"/>
      <c r="GP383" s="457"/>
      <c r="GQ383" s="457"/>
      <c r="GR383" s="457"/>
      <c r="GS383" s="457"/>
      <c r="GT383" s="457"/>
      <c r="GU383" s="457"/>
      <c r="GV383" s="457"/>
      <c r="GW383" s="457"/>
      <c r="GX383" s="457"/>
      <c r="GY383" s="457"/>
      <c r="GZ383" s="457"/>
      <c r="HA383" s="457"/>
      <c r="HB383" s="457"/>
      <c r="HC383" s="457"/>
      <c r="HD383" s="457"/>
      <c r="HE383" s="457"/>
      <c r="HF383" s="457"/>
      <c r="HG383" s="457"/>
      <c r="HH383" s="457"/>
      <c r="HI383" s="457"/>
      <c r="HJ383" s="457"/>
      <c r="HK383" s="457"/>
      <c r="HL383" s="457"/>
      <c r="HM383" s="457"/>
      <c r="HN383" s="457"/>
      <c r="HO383" s="457"/>
      <c r="HP383" s="457"/>
      <c r="HQ383" s="457"/>
      <c r="HR383" s="457"/>
      <c r="HS383" s="457"/>
      <c r="HT383" s="457"/>
      <c r="HU383" s="457"/>
      <c r="HV383" s="457"/>
      <c r="HW383" s="457"/>
      <c r="HX383" s="457"/>
      <c r="HY383" s="457"/>
      <c r="HZ383" s="457"/>
      <c r="IA383" s="457"/>
      <c r="IB383" s="457"/>
      <c r="IC383" s="457"/>
      <c r="ID383" s="457"/>
      <c r="IE383" s="457"/>
      <c r="IF383" s="457"/>
      <c r="IG383" s="457"/>
      <c r="IH383" s="457"/>
      <c r="II383" s="457"/>
      <c r="IJ383" s="457"/>
      <c r="IK383" s="457"/>
      <c r="IL383" s="457"/>
      <c r="IM383" s="457"/>
      <c r="IN383" s="457"/>
      <c r="IO383" s="457"/>
      <c r="IP383" s="457"/>
      <c r="IQ383" s="457"/>
      <c r="IR383" s="457"/>
      <c r="IS383" s="457"/>
      <c r="IT383" s="457"/>
      <c r="IU383" s="457"/>
      <c r="IV383" s="457"/>
      <c r="IW383" s="457"/>
      <c r="IX383" s="457"/>
      <c r="IY383" s="457"/>
      <c r="IZ383" s="457"/>
      <c r="JA383" s="457"/>
      <c r="JB383" s="457"/>
      <c r="JC383" s="457"/>
      <c r="JD383" s="457"/>
      <c r="JE383" s="457"/>
      <c r="JF383" s="457"/>
      <c r="JG383" s="457"/>
      <c r="JH383" s="457"/>
      <c r="JI383" s="457"/>
      <c r="JJ383" s="457"/>
      <c r="JK383" s="457"/>
      <c r="JL383" s="457"/>
      <c r="JM383" s="457"/>
      <c r="JN383" s="457"/>
      <c r="JO383" s="457"/>
      <c r="JP383" s="457"/>
      <c r="JQ383" s="457"/>
      <c r="JR383" s="457"/>
      <c r="JS383" s="457"/>
      <c r="JT383" s="457"/>
      <c r="JU383" s="457"/>
      <c r="JV383" s="457"/>
      <c r="JW383" s="457"/>
      <c r="JX383" s="457"/>
      <c r="JY383" s="457"/>
      <c r="JZ383" s="457"/>
      <c r="KA383" s="457"/>
      <c r="KB383" s="457"/>
      <c r="KC383" s="457"/>
      <c r="KD383" s="457"/>
      <c r="KE383" s="457"/>
      <c r="KF383" s="457"/>
      <c r="KG383" s="457"/>
      <c r="KH383" s="457"/>
      <c r="KI383" s="457"/>
      <c r="KJ383" s="457"/>
      <c r="KK383" s="457"/>
      <c r="KL383" s="457"/>
      <c r="KM383" s="457"/>
      <c r="KN383" s="457"/>
      <c r="KO383" s="457"/>
      <c r="KP383" s="457"/>
      <c r="KQ383" s="457"/>
      <c r="KR383" s="457"/>
      <c r="KS383" s="457"/>
      <c r="KT383" s="457"/>
      <c r="KU383" s="457"/>
      <c r="KV383" s="457"/>
      <c r="KW383" s="457"/>
      <c r="KX383" s="457"/>
      <c r="KY383" s="457"/>
      <c r="KZ383" s="457"/>
      <c r="LA383" s="457"/>
      <c r="LB383" s="457"/>
      <c r="LC383" s="457"/>
      <c r="LD383" s="457"/>
      <c r="LE383" s="457"/>
      <c r="LF383" s="457"/>
      <c r="LG383" s="457"/>
      <c r="LH383" s="457"/>
      <c r="LI383" s="457"/>
      <c r="LJ383" s="457"/>
      <c r="LK383" s="457"/>
      <c r="LL383" s="457"/>
      <c r="LM383" s="457"/>
      <c r="LN383" s="457"/>
      <c r="LO383" s="457"/>
      <c r="LP383" s="457"/>
      <c r="LQ383" s="457"/>
      <c r="LR383" s="457"/>
      <c r="LS383" s="457"/>
      <c r="LT383" s="457"/>
      <c r="LU383" s="457"/>
      <c r="LV383" s="457"/>
      <c r="LW383" s="457"/>
      <c r="LX383" s="457"/>
      <c r="LY383" s="457"/>
      <c r="LZ383" s="457"/>
      <c r="MA383" s="457"/>
      <c r="MB383" s="457"/>
      <c r="MC383" s="457"/>
      <c r="MD383" s="457"/>
      <c r="ME383" s="457"/>
      <c r="MF383" s="457"/>
      <c r="MG383" s="457"/>
      <c r="MH383" s="457"/>
      <c r="MI383" s="457"/>
      <c r="MJ383" s="457"/>
      <c r="MK383" s="457"/>
      <c r="ML383" s="457"/>
      <c r="MM383" s="457"/>
      <c r="MN383" s="457"/>
      <c r="MO383" s="457"/>
      <c r="MP383" s="457"/>
      <c r="MQ383" s="457"/>
      <c r="MR383" s="457"/>
      <c r="MS383" s="457"/>
      <c r="MT383" s="457"/>
      <c r="MU383" s="457"/>
      <c r="MV383" s="457"/>
      <c r="MW383" s="457"/>
      <c r="MX383" s="457"/>
      <c r="MY383" s="457"/>
      <c r="MZ383" s="457"/>
      <c r="NA383" s="457"/>
      <c r="NB383" s="457"/>
      <c r="NC383" s="457"/>
      <c r="ND383" s="457"/>
      <c r="NE383" s="457"/>
      <c r="NF383" s="457"/>
      <c r="NG383" s="457"/>
      <c r="NH383" s="457"/>
      <c r="NI383" s="457"/>
      <c r="NJ383" s="457"/>
      <c r="NK383" s="457"/>
      <c r="NL383" s="457"/>
      <c r="NM383" s="457"/>
      <c r="NN383" s="457"/>
      <c r="NO383" s="457"/>
      <c r="NP383" s="457"/>
      <c r="NQ383" s="457"/>
      <c r="NR383" s="457"/>
      <c r="NS383" s="457"/>
      <c r="NT383" s="457"/>
      <c r="NU383" s="457"/>
      <c r="NV383" s="457"/>
      <c r="NW383" s="457"/>
      <c r="NX383" s="457"/>
      <c r="NY383" s="457"/>
      <c r="NZ383" s="457"/>
      <c r="OA383" s="457"/>
      <c r="OB383" s="457"/>
      <c r="OC383" s="457"/>
      <c r="OD383" s="457"/>
      <c r="OE383" s="457"/>
      <c r="OF383" s="457"/>
      <c r="OG383" s="457"/>
      <c r="OH383" s="457"/>
      <c r="OI383" s="457"/>
      <c r="OJ383" s="457"/>
      <c r="OK383" s="457"/>
      <c r="OL383" s="457"/>
      <c r="OM383" s="457"/>
      <c r="ON383" s="457"/>
      <c r="OO383" s="457"/>
      <c r="OP383" s="457"/>
      <c r="OQ383" s="457"/>
      <c r="OR383" s="457"/>
      <c r="OS383" s="457"/>
      <c r="OT383" s="457"/>
      <c r="OU383" s="457"/>
      <c r="OV383" s="457"/>
      <c r="OW383" s="457"/>
      <c r="OX383" s="457"/>
      <c r="OY383" s="457"/>
      <c r="OZ383" s="457"/>
      <c r="PA383" s="457"/>
      <c r="PB383" s="457"/>
      <c r="PC383" s="457"/>
      <c r="PD383" s="457"/>
      <c r="PE383" s="457"/>
      <c r="PF383" s="457"/>
      <c r="PG383" s="457"/>
      <c r="PH383" s="457"/>
      <c r="PI383" s="457"/>
      <c r="PJ383" s="457"/>
      <c r="PK383" s="457"/>
      <c r="PL383" s="457"/>
      <c r="PM383" s="457"/>
      <c r="PN383" s="457"/>
      <c r="PO383" s="457"/>
      <c r="PP383" s="457"/>
      <c r="PQ383" s="457"/>
      <c r="PR383" s="457"/>
      <c r="PS383" s="457"/>
      <c r="PT383" s="457"/>
      <c r="PU383" s="457"/>
      <c r="PV383" s="457"/>
      <c r="PW383" s="457"/>
      <c r="PX383" s="457"/>
      <c r="PY383" s="457"/>
      <c r="PZ383" s="457"/>
      <c r="QA383" s="457"/>
      <c r="QB383" s="457"/>
      <c r="QC383" s="457"/>
      <c r="QD383" s="457"/>
      <c r="QE383" s="457"/>
      <c r="QF383" s="457"/>
      <c r="QG383" s="457"/>
      <c r="QH383" s="457"/>
      <c r="QI383" s="457"/>
      <c r="QJ383" s="457"/>
      <c r="QK383" s="457"/>
      <c r="QL383" s="457"/>
      <c r="QM383" s="457"/>
      <c r="QN383" s="457"/>
      <c r="QO383" s="457"/>
      <c r="QP383" s="457"/>
      <c r="QQ383" s="457"/>
      <c r="QR383" s="457"/>
      <c r="QS383" s="457"/>
      <c r="QT383" s="457"/>
      <c r="QU383" s="457"/>
      <c r="QV383" s="457"/>
      <c r="QW383" s="457"/>
      <c r="QX383" s="457"/>
      <c r="QY383" s="457"/>
      <c r="QZ383" s="457"/>
      <c r="RA383" s="457"/>
      <c r="RB383" s="457"/>
      <c r="RC383" s="457"/>
      <c r="RD383" s="457"/>
      <c r="RE383" s="457"/>
      <c r="RF383" s="457"/>
      <c r="RG383" s="457"/>
      <c r="RH383" s="457"/>
      <c r="RI383" s="457"/>
      <c r="RJ383" s="457"/>
      <c r="RK383" s="457"/>
      <c r="RL383" s="457"/>
      <c r="RM383" s="457"/>
      <c r="RN383" s="457"/>
      <c r="RO383" s="457"/>
      <c r="RP383" s="457"/>
      <c r="RQ383" s="457"/>
      <c r="RR383" s="457"/>
      <c r="RS383" s="457"/>
      <c r="RT383" s="457"/>
      <c r="RU383" s="457"/>
      <c r="RV383" s="457"/>
      <c r="RW383" s="457"/>
      <c r="RX383" s="457"/>
      <c r="RY383" s="457"/>
      <c r="RZ383" s="457"/>
      <c r="SA383" s="457"/>
      <c r="SB383" s="457"/>
      <c r="SC383" s="457"/>
      <c r="SD383" s="457"/>
      <c r="SE383" s="457"/>
      <c r="SF383" s="457"/>
      <c r="SG383" s="457"/>
      <c r="SH383" s="457"/>
      <c r="SI383" s="457"/>
      <c r="SJ383" s="457"/>
      <c r="SK383" s="457"/>
      <c r="SL383" s="457"/>
      <c r="SM383" s="457"/>
      <c r="SN383" s="457"/>
      <c r="SO383" s="457"/>
      <c r="SP383" s="457"/>
      <c r="SQ383" s="457"/>
      <c r="SR383" s="457"/>
      <c r="SS383" s="457"/>
      <c r="ST383" s="457"/>
      <c r="SU383" s="457"/>
      <c r="SV383" s="457"/>
      <c r="SW383" s="457"/>
      <c r="SX383" s="457"/>
      <c r="SY383" s="457"/>
      <c r="SZ383" s="457"/>
      <c r="TA383" s="457"/>
      <c r="TB383" s="457"/>
      <c r="TC383" s="457"/>
      <c r="TD383" s="457"/>
      <c r="TE383" s="457"/>
      <c r="TF383" s="457"/>
      <c r="TG383" s="457"/>
      <c r="TH383" s="457"/>
      <c r="TI383" s="457"/>
      <c r="TJ383" s="457"/>
      <c r="TK383" s="457"/>
      <c r="TL383" s="457"/>
      <c r="TM383" s="457"/>
      <c r="TN383" s="457"/>
      <c r="TO383" s="457"/>
      <c r="TP383" s="457"/>
      <c r="TQ383" s="457"/>
      <c r="TR383" s="457"/>
      <c r="TS383" s="457"/>
      <c r="TT383" s="457"/>
      <c r="TU383" s="457"/>
      <c r="TV383" s="457"/>
      <c r="TW383" s="457"/>
      <c r="TX383" s="457"/>
      <c r="TY383" s="457"/>
      <c r="TZ383" s="457"/>
      <c r="UA383" s="457"/>
      <c r="UB383" s="457"/>
      <c r="UC383" s="457"/>
      <c r="UD383" s="457"/>
      <c r="UE383" s="457"/>
      <c r="UF383" s="457"/>
      <c r="UG383" s="457"/>
      <c r="UH383" s="457"/>
      <c r="UI383" s="457"/>
      <c r="UJ383" s="457"/>
      <c r="UK383" s="457"/>
      <c r="UL383" s="457"/>
      <c r="UM383" s="457"/>
      <c r="UN383" s="457"/>
      <c r="UO383" s="457"/>
      <c r="UP383" s="457"/>
      <c r="UQ383" s="457"/>
      <c r="UR383" s="457"/>
      <c r="US383" s="457"/>
      <c r="UT383" s="457"/>
      <c r="UU383" s="457"/>
      <c r="UV383" s="457"/>
      <c r="UW383" s="457"/>
      <c r="UX383" s="457"/>
      <c r="UY383" s="457"/>
      <c r="UZ383" s="457"/>
      <c r="VA383" s="457"/>
      <c r="VB383" s="457"/>
      <c r="VC383" s="457"/>
      <c r="VD383" s="457"/>
      <c r="VE383" s="457"/>
      <c r="VF383" s="457"/>
      <c r="VG383" s="457"/>
      <c r="VH383" s="457"/>
      <c r="VI383" s="457"/>
      <c r="VJ383" s="457"/>
      <c r="VK383" s="457"/>
      <c r="VL383" s="457"/>
      <c r="VM383" s="457"/>
      <c r="VN383" s="457"/>
      <c r="VO383" s="457"/>
      <c r="VP383" s="457"/>
      <c r="VQ383" s="457"/>
      <c r="VR383" s="457"/>
      <c r="VS383" s="457"/>
      <c r="VT383" s="457"/>
      <c r="VU383" s="457"/>
      <c r="VV383" s="457"/>
      <c r="VW383" s="457"/>
      <c r="VX383" s="457"/>
      <c r="VY383" s="457"/>
      <c r="VZ383" s="457"/>
      <c r="WA383" s="457"/>
      <c r="WB383" s="457"/>
      <c r="WC383" s="457"/>
      <c r="WD383" s="457"/>
      <c r="WE383" s="457"/>
      <c r="WF383" s="457"/>
      <c r="WG383" s="457"/>
      <c r="WH383" s="457"/>
      <c r="WI383" s="457"/>
      <c r="WJ383" s="457"/>
      <c r="WK383" s="457"/>
      <c r="WL383" s="457"/>
      <c r="WM383" s="457"/>
      <c r="WN383" s="457"/>
      <c r="WO383" s="457"/>
      <c r="WP383" s="457"/>
      <c r="WQ383" s="457"/>
      <c r="WR383" s="457"/>
      <c r="WS383" s="457"/>
      <c r="WT383" s="457"/>
      <c r="WU383" s="457"/>
      <c r="WV383" s="457"/>
      <c r="WW383" s="457"/>
      <c r="WX383" s="457"/>
      <c r="WY383" s="457"/>
      <c r="WZ383" s="457"/>
      <c r="XA383" s="457"/>
      <c r="XB383" s="457"/>
      <c r="XC383" s="457"/>
      <c r="XD383" s="457"/>
      <c r="XE383" s="457"/>
      <c r="XF383" s="457"/>
      <c r="XG383" s="457"/>
      <c r="XH383" s="457"/>
      <c r="XI383" s="457"/>
      <c r="XJ383" s="457"/>
      <c r="XK383" s="457"/>
      <c r="XL383" s="457"/>
      <c r="XM383" s="457"/>
      <c r="XN383" s="457"/>
      <c r="XO383" s="457"/>
      <c r="XP383" s="457"/>
      <c r="XQ383" s="457"/>
      <c r="XR383" s="457"/>
      <c r="XS383" s="457"/>
      <c r="XT383" s="457"/>
      <c r="XU383" s="457"/>
      <c r="XV383" s="457"/>
      <c r="XW383" s="457"/>
      <c r="XX383" s="457"/>
      <c r="XY383" s="457"/>
      <c r="XZ383" s="457"/>
      <c r="YA383" s="457"/>
      <c r="YB383" s="457"/>
      <c r="YC383" s="457"/>
      <c r="YD383" s="457"/>
      <c r="YE383" s="457"/>
      <c r="YF383" s="457"/>
      <c r="YG383" s="457"/>
      <c r="YH383" s="457"/>
      <c r="YI383" s="457"/>
      <c r="YJ383" s="457"/>
      <c r="YK383" s="457"/>
      <c r="YL383" s="457"/>
      <c r="YM383" s="457"/>
      <c r="YN383" s="457"/>
      <c r="YO383" s="457"/>
      <c r="YP383" s="457"/>
      <c r="YQ383" s="457"/>
      <c r="YR383" s="457"/>
      <c r="YS383" s="457"/>
      <c r="YT383" s="457"/>
      <c r="YU383" s="457"/>
      <c r="YV383" s="457"/>
      <c r="YW383" s="457"/>
      <c r="YX383" s="457"/>
      <c r="YY383" s="457"/>
      <c r="YZ383" s="457"/>
      <c r="ZA383" s="457"/>
      <c r="ZB383" s="457"/>
      <c r="ZC383" s="457"/>
      <c r="ZD383" s="457"/>
      <c r="ZE383" s="457"/>
      <c r="ZF383" s="457"/>
      <c r="ZG383" s="457"/>
      <c r="ZH383" s="457"/>
      <c r="ZI383" s="457"/>
      <c r="ZJ383" s="457"/>
      <c r="ZK383" s="457"/>
      <c r="ZL383" s="457"/>
      <c r="ZM383" s="457"/>
      <c r="ZN383" s="457"/>
      <c r="ZO383" s="457"/>
      <c r="ZP383" s="457"/>
      <c r="ZQ383" s="457"/>
      <c r="ZR383" s="457"/>
      <c r="ZS383" s="457"/>
      <c r="ZT383" s="457"/>
      <c r="ZU383" s="457"/>
      <c r="ZV383" s="457"/>
      <c r="ZW383" s="457"/>
      <c r="ZX383" s="457"/>
      <c r="ZY383" s="457"/>
      <c r="ZZ383" s="457"/>
      <c r="AAA383" s="457"/>
      <c r="AAB383" s="457"/>
      <c r="AAC383" s="457"/>
      <c r="AAD383" s="457"/>
      <c r="AAE383" s="457"/>
      <c r="AAF383" s="457"/>
      <c r="AAG383" s="457"/>
      <c r="AAH383" s="457"/>
      <c r="AAI383" s="457"/>
      <c r="AAJ383" s="457"/>
      <c r="AAK383" s="457"/>
      <c r="AAL383" s="457"/>
      <c r="AAM383" s="457"/>
      <c r="AAN383" s="457"/>
      <c r="AAO383" s="457"/>
      <c r="AAP383" s="457"/>
      <c r="AAQ383" s="457"/>
      <c r="AAR383" s="457"/>
      <c r="AAS383" s="457"/>
      <c r="AAT383" s="457"/>
      <c r="AAU383" s="457"/>
      <c r="AAV383" s="457"/>
      <c r="AAW383" s="457"/>
      <c r="AAX383" s="457"/>
      <c r="AAY383" s="457"/>
      <c r="AAZ383" s="457"/>
      <c r="ABA383" s="457"/>
      <c r="ABB383" s="457"/>
      <c r="ABC383" s="457"/>
      <c r="ABD383" s="457"/>
      <c r="ABE383" s="457"/>
      <c r="ABF383" s="457"/>
      <c r="ABG383" s="457"/>
      <c r="ABH383" s="457"/>
      <c r="ABI383" s="457"/>
      <c r="ABJ383" s="457"/>
      <c r="ABK383" s="457"/>
      <c r="ABL383" s="457"/>
      <c r="ABM383" s="457"/>
      <c r="ABN383" s="457"/>
      <c r="ABO383" s="457"/>
      <c r="ABP383" s="457"/>
      <c r="ABQ383" s="457"/>
      <c r="ABR383" s="457"/>
      <c r="ABS383" s="457"/>
      <c r="ABT383" s="457"/>
      <c r="ABU383" s="457"/>
      <c r="ABV383" s="457"/>
      <c r="ABW383" s="457"/>
      <c r="ABX383" s="457"/>
      <c r="ABY383" s="457"/>
      <c r="ABZ383" s="457"/>
      <c r="ACA383" s="457"/>
      <c r="ACB383" s="457"/>
      <c r="ACC383" s="457"/>
      <c r="ACD383" s="457"/>
      <c r="ACE383" s="457"/>
      <c r="ACF383" s="457"/>
      <c r="ACG383" s="457"/>
      <c r="ACH383" s="457"/>
      <c r="ACI383" s="457"/>
      <c r="ACJ383" s="457"/>
      <c r="ACK383" s="457"/>
      <c r="ACL383" s="457"/>
      <c r="ACM383" s="457"/>
      <c r="ACN383" s="457"/>
      <c r="ACO383" s="457"/>
      <c r="ACP383" s="457"/>
      <c r="ACQ383" s="457"/>
      <c r="ACR383" s="457"/>
      <c r="ACS383" s="457"/>
      <c r="ACT383" s="457"/>
      <c r="ACU383" s="457"/>
      <c r="ACV383" s="457"/>
    </row>
    <row r="384" spans="1:776" s="400" customFormat="1" x14ac:dyDescent="0.25">
      <c r="A384" s="43">
        <v>900097</v>
      </c>
      <c r="B384" s="34" t="s">
        <v>221</v>
      </c>
      <c r="C384" s="455"/>
      <c r="D384" s="454" t="s">
        <v>222</v>
      </c>
      <c r="E384" s="454">
        <v>4.13</v>
      </c>
      <c r="F384" s="458">
        <v>3.7</v>
      </c>
      <c r="G384" s="34">
        <v>0.01</v>
      </c>
      <c r="H384" s="454">
        <v>0.1</v>
      </c>
      <c r="I384" s="456">
        <v>1143</v>
      </c>
      <c r="J384" s="458">
        <v>212.7</v>
      </c>
      <c r="K384" s="454">
        <v>0.01</v>
      </c>
      <c r="L384" s="454">
        <v>242.4</v>
      </c>
      <c r="M384" s="34">
        <v>0.01</v>
      </c>
      <c r="N384" s="454">
        <v>8.86</v>
      </c>
      <c r="O384" s="34">
        <v>592.42999999999995</v>
      </c>
      <c r="P384" s="454">
        <v>134.66</v>
      </c>
      <c r="Q384" s="454">
        <v>77</v>
      </c>
      <c r="R384" s="34">
        <v>0.03</v>
      </c>
      <c r="S384" s="34">
        <v>1.0000000000000001E-5</v>
      </c>
      <c r="T384" s="34">
        <v>1.0000000000000001E-5</v>
      </c>
      <c r="U384" s="34">
        <v>1.0000000000000001E-5</v>
      </c>
      <c r="V384" s="454"/>
      <c r="W384" s="457"/>
      <c r="X384" s="457"/>
      <c r="Y384" s="457"/>
      <c r="Z384" s="457"/>
      <c r="AA384" s="457"/>
      <c r="AB384" s="457"/>
      <c r="AC384" s="457"/>
      <c r="AD384" s="457"/>
      <c r="AE384" s="457"/>
      <c r="AF384" s="457"/>
      <c r="AG384" s="457"/>
      <c r="AH384" s="457"/>
      <c r="AI384" s="457"/>
      <c r="AJ384" s="457"/>
      <c r="AK384" s="457"/>
      <c r="AL384" s="457"/>
      <c r="AM384" s="457"/>
      <c r="AN384" s="457"/>
      <c r="AO384" s="457"/>
      <c r="AP384" s="457"/>
      <c r="AQ384" s="457"/>
      <c r="AR384" s="457"/>
      <c r="AS384" s="457"/>
      <c r="AT384" s="457"/>
      <c r="AU384" s="457"/>
      <c r="AV384" s="457"/>
      <c r="AW384" s="457"/>
      <c r="AX384" s="457"/>
      <c r="AY384" s="457"/>
      <c r="AZ384" s="457"/>
      <c r="BA384" s="457"/>
      <c r="BB384" s="457"/>
      <c r="BC384" s="457"/>
      <c r="BD384" s="457"/>
      <c r="BE384" s="457"/>
      <c r="BF384" s="457"/>
      <c r="BG384" s="457"/>
      <c r="BH384" s="457"/>
      <c r="BI384" s="457"/>
      <c r="BJ384" s="457"/>
      <c r="BK384" s="457"/>
      <c r="BL384" s="457"/>
      <c r="BM384" s="457"/>
      <c r="BN384" s="457"/>
      <c r="BO384" s="457"/>
      <c r="BP384" s="457"/>
      <c r="BQ384" s="457"/>
      <c r="BR384" s="457"/>
      <c r="BS384" s="457"/>
      <c r="BT384" s="457"/>
      <c r="BU384" s="457"/>
      <c r="BV384" s="457"/>
      <c r="BW384" s="457"/>
      <c r="BX384" s="457"/>
      <c r="BY384" s="457"/>
      <c r="BZ384" s="457"/>
      <c r="CA384" s="457"/>
      <c r="CB384" s="457"/>
      <c r="CC384" s="457"/>
      <c r="CD384" s="457"/>
      <c r="CE384" s="457"/>
      <c r="CF384" s="457"/>
      <c r="CG384" s="457"/>
      <c r="CH384" s="457"/>
      <c r="CI384" s="457"/>
      <c r="CJ384" s="457"/>
      <c r="CK384" s="457"/>
      <c r="CL384" s="457"/>
      <c r="CM384" s="457"/>
      <c r="CN384" s="457"/>
      <c r="CO384" s="457"/>
      <c r="CP384" s="457"/>
      <c r="CQ384" s="457"/>
      <c r="CR384" s="457"/>
      <c r="CS384" s="457"/>
      <c r="CT384" s="457"/>
      <c r="CU384" s="457"/>
      <c r="CV384" s="457"/>
      <c r="CW384" s="457"/>
      <c r="CX384" s="457"/>
      <c r="CY384" s="457"/>
      <c r="CZ384" s="457"/>
      <c r="DA384" s="457"/>
      <c r="DB384" s="457"/>
      <c r="DC384" s="457"/>
      <c r="DD384" s="457"/>
      <c r="DE384" s="457"/>
      <c r="DF384" s="457"/>
      <c r="DG384" s="457"/>
      <c r="DH384" s="457"/>
      <c r="DI384" s="457"/>
      <c r="DJ384" s="457"/>
      <c r="DK384" s="457"/>
      <c r="DL384" s="457"/>
      <c r="DM384" s="457"/>
      <c r="DN384" s="457"/>
      <c r="DO384" s="457"/>
      <c r="DP384" s="457"/>
      <c r="DQ384" s="457"/>
      <c r="DR384" s="457"/>
      <c r="DS384" s="457"/>
      <c r="DT384" s="457"/>
      <c r="DU384" s="457"/>
      <c r="DV384" s="457"/>
      <c r="DW384" s="457"/>
      <c r="DX384" s="457"/>
      <c r="DY384" s="457"/>
      <c r="DZ384" s="457"/>
      <c r="EA384" s="457"/>
      <c r="EB384" s="457"/>
      <c r="EC384" s="457"/>
      <c r="ED384" s="457"/>
      <c r="EE384" s="457"/>
      <c r="EF384" s="457"/>
      <c r="EG384" s="457"/>
      <c r="EH384" s="457"/>
      <c r="EI384" s="457"/>
      <c r="EJ384" s="457"/>
      <c r="EK384" s="457"/>
      <c r="EL384" s="457"/>
      <c r="EM384" s="457"/>
      <c r="EN384" s="457"/>
      <c r="EO384" s="457"/>
      <c r="EP384" s="457"/>
      <c r="EQ384" s="457"/>
      <c r="ER384" s="457"/>
      <c r="ES384" s="457"/>
      <c r="ET384" s="457"/>
      <c r="EU384" s="457"/>
      <c r="EV384" s="457"/>
      <c r="EW384" s="457"/>
      <c r="EX384" s="457"/>
      <c r="EY384" s="457"/>
      <c r="EZ384" s="457"/>
      <c r="FA384" s="457"/>
      <c r="FB384" s="457"/>
      <c r="FC384" s="457"/>
      <c r="FD384" s="457"/>
      <c r="FE384" s="457"/>
      <c r="FF384" s="457"/>
      <c r="FG384" s="457"/>
      <c r="FH384" s="457"/>
      <c r="FI384" s="457"/>
      <c r="FJ384" s="457"/>
      <c r="FK384" s="457"/>
      <c r="FL384" s="457"/>
      <c r="FM384" s="457"/>
      <c r="FN384" s="457"/>
      <c r="FO384" s="457"/>
      <c r="FP384" s="457"/>
      <c r="FQ384" s="457"/>
      <c r="FR384" s="457"/>
      <c r="FS384" s="457"/>
      <c r="FT384" s="457"/>
      <c r="FU384" s="457"/>
      <c r="FV384" s="457"/>
      <c r="FW384" s="457"/>
      <c r="FX384" s="457"/>
      <c r="FY384" s="457"/>
      <c r="FZ384" s="457"/>
      <c r="GA384" s="457"/>
      <c r="GB384" s="457"/>
      <c r="GC384" s="457"/>
      <c r="GD384" s="457"/>
      <c r="GE384" s="457"/>
      <c r="GF384" s="457"/>
      <c r="GG384" s="457"/>
      <c r="GH384" s="457"/>
      <c r="GI384" s="457"/>
      <c r="GJ384" s="457"/>
      <c r="GK384" s="457"/>
      <c r="GL384" s="457"/>
      <c r="GM384" s="457"/>
      <c r="GN384" s="457"/>
      <c r="GO384" s="457"/>
      <c r="GP384" s="457"/>
      <c r="GQ384" s="457"/>
      <c r="GR384" s="457"/>
      <c r="GS384" s="457"/>
      <c r="GT384" s="457"/>
      <c r="GU384" s="457"/>
      <c r="GV384" s="457"/>
      <c r="GW384" s="457"/>
      <c r="GX384" s="457"/>
      <c r="GY384" s="457"/>
      <c r="GZ384" s="457"/>
      <c r="HA384" s="457"/>
      <c r="HB384" s="457"/>
      <c r="HC384" s="457"/>
      <c r="HD384" s="457"/>
      <c r="HE384" s="457"/>
      <c r="HF384" s="457"/>
      <c r="HG384" s="457"/>
      <c r="HH384" s="457"/>
      <c r="HI384" s="457"/>
      <c r="HJ384" s="457"/>
      <c r="HK384" s="457"/>
      <c r="HL384" s="457"/>
      <c r="HM384" s="457"/>
      <c r="HN384" s="457"/>
      <c r="HO384" s="457"/>
      <c r="HP384" s="457"/>
      <c r="HQ384" s="457"/>
      <c r="HR384" s="457"/>
      <c r="HS384" s="457"/>
      <c r="HT384" s="457"/>
      <c r="HU384" s="457"/>
      <c r="HV384" s="457"/>
      <c r="HW384" s="457"/>
      <c r="HX384" s="457"/>
      <c r="HY384" s="457"/>
      <c r="HZ384" s="457"/>
      <c r="IA384" s="457"/>
      <c r="IB384" s="457"/>
      <c r="IC384" s="457"/>
      <c r="ID384" s="457"/>
      <c r="IE384" s="457"/>
      <c r="IF384" s="457"/>
      <c r="IG384" s="457"/>
      <c r="IH384" s="457"/>
      <c r="II384" s="457"/>
      <c r="IJ384" s="457"/>
      <c r="IK384" s="457"/>
      <c r="IL384" s="457"/>
      <c r="IM384" s="457"/>
      <c r="IN384" s="457"/>
      <c r="IO384" s="457"/>
      <c r="IP384" s="457"/>
      <c r="IQ384" s="457"/>
      <c r="IR384" s="457"/>
      <c r="IS384" s="457"/>
      <c r="IT384" s="457"/>
      <c r="IU384" s="457"/>
      <c r="IV384" s="457"/>
      <c r="IW384" s="457"/>
      <c r="IX384" s="457"/>
      <c r="IY384" s="457"/>
      <c r="IZ384" s="457"/>
      <c r="JA384" s="457"/>
      <c r="JB384" s="457"/>
      <c r="JC384" s="457"/>
      <c r="JD384" s="457"/>
      <c r="JE384" s="457"/>
      <c r="JF384" s="457"/>
      <c r="JG384" s="457"/>
      <c r="JH384" s="457"/>
      <c r="JI384" s="457"/>
      <c r="JJ384" s="457"/>
      <c r="JK384" s="457"/>
      <c r="JL384" s="457"/>
      <c r="JM384" s="457"/>
      <c r="JN384" s="457"/>
      <c r="JO384" s="457"/>
      <c r="JP384" s="457"/>
      <c r="JQ384" s="457"/>
      <c r="JR384" s="457"/>
      <c r="JS384" s="457"/>
      <c r="JT384" s="457"/>
      <c r="JU384" s="457"/>
      <c r="JV384" s="457"/>
      <c r="JW384" s="457"/>
      <c r="JX384" s="457"/>
      <c r="JY384" s="457"/>
      <c r="JZ384" s="457"/>
      <c r="KA384" s="457"/>
      <c r="KB384" s="457"/>
      <c r="KC384" s="457"/>
      <c r="KD384" s="457"/>
      <c r="KE384" s="457"/>
      <c r="KF384" s="457"/>
      <c r="KG384" s="457"/>
      <c r="KH384" s="457"/>
      <c r="KI384" s="457"/>
      <c r="KJ384" s="457"/>
      <c r="KK384" s="457"/>
      <c r="KL384" s="457"/>
      <c r="KM384" s="457"/>
      <c r="KN384" s="457"/>
      <c r="KO384" s="457"/>
      <c r="KP384" s="457"/>
      <c r="KQ384" s="457"/>
      <c r="KR384" s="457"/>
      <c r="KS384" s="457"/>
      <c r="KT384" s="457"/>
      <c r="KU384" s="457"/>
      <c r="KV384" s="457"/>
      <c r="KW384" s="457"/>
      <c r="KX384" s="457"/>
      <c r="KY384" s="457"/>
      <c r="KZ384" s="457"/>
      <c r="LA384" s="457"/>
      <c r="LB384" s="457"/>
      <c r="LC384" s="457"/>
      <c r="LD384" s="457"/>
      <c r="LE384" s="457"/>
      <c r="LF384" s="457"/>
      <c r="LG384" s="457"/>
      <c r="LH384" s="457"/>
      <c r="LI384" s="457"/>
      <c r="LJ384" s="457"/>
      <c r="LK384" s="457"/>
      <c r="LL384" s="457"/>
      <c r="LM384" s="457"/>
      <c r="LN384" s="457"/>
      <c r="LO384" s="457"/>
      <c r="LP384" s="457"/>
      <c r="LQ384" s="457"/>
      <c r="LR384" s="457"/>
      <c r="LS384" s="457"/>
      <c r="LT384" s="457"/>
      <c r="LU384" s="457"/>
      <c r="LV384" s="457"/>
      <c r="LW384" s="457"/>
      <c r="LX384" s="457"/>
      <c r="LY384" s="457"/>
      <c r="LZ384" s="457"/>
      <c r="MA384" s="457"/>
      <c r="MB384" s="457"/>
      <c r="MC384" s="457"/>
      <c r="MD384" s="457"/>
      <c r="ME384" s="457"/>
      <c r="MF384" s="457"/>
      <c r="MG384" s="457"/>
      <c r="MH384" s="457"/>
      <c r="MI384" s="457"/>
      <c r="MJ384" s="457"/>
      <c r="MK384" s="457"/>
      <c r="ML384" s="457"/>
      <c r="MM384" s="457"/>
      <c r="MN384" s="457"/>
      <c r="MO384" s="457"/>
      <c r="MP384" s="457"/>
      <c r="MQ384" s="457"/>
      <c r="MR384" s="457"/>
      <c r="MS384" s="457"/>
      <c r="MT384" s="457"/>
      <c r="MU384" s="457"/>
      <c r="MV384" s="457"/>
      <c r="MW384" s="457"/>
      <c r="MX384" s="457"/>
      <c r="MY384" s="457"/>
      <c r="MZ384" s="457"/>
      <c r="NA384" s="457"/>
      <c r="NB384" s="457"/>
      <c r="NC384" s="457"/>
      <c r="ND384" s="457"/>
      <c r="NE384" s="457"/>
      <c r="NF384" s="457"/>
      <c r="NG384" s="457"/>
      <c r="NH384" s="457"/>
      <c r="NI384" s="457"/>
      <c r="NJ384" s="457"/>
      <c r="NK384" s="457"/>
      <c r="NL384" s="457"/>
      <c r="NM384" s="457"/>
      <c r="NN384" s="457"/>
      <c r="NO384" s="457"/>
      <c r="NP384" s="457"/>
      <c r="NQ384" s="457"/>
      <c r="NR384" s="457"/>
      <c r="NS384" s="457"/>
      <c r="NT384" s="457"/>
      <c r="NU384" s="457"/>
      <c r="NV384" s="457"/>
      <c r="NW384" s="457"/>
      <c r="NX384" s="457"/>
      <c r="NY384" s="457"/>
      <c r="NZ384" s="457"/>
      <c r="OA384" s="457"/>
      <c r="OB384" s="457"/>
      <c r="OC384" s="457"/>
      <c r="OD384" s="457"/>
      <c r="OE384" s="457"/>
      <c r="OF384" s="457"/>
      <c r="OG384" s="457"/>
      <c r="OH384" s="457"/>
      <c r="OI384" s="457"/>
      <c r="OJ384" s="457"/>
      <c r="OK384" s="457"/>
      <c r="OL384" s="457"/>
      <c r="OM384" s="457"/>
      <c r="ON384" s="457"/>
      <c r="OO384" s="457"/>
      <c r="OP384" s="457"/>
      <c r="OQ384" s="457"/>
      <c r="OR384" s="457"/>
      <c r="OS384" s="457"/>
      <c r="OT384" s="457"/>
      <c r="OU384" s="457"/>
      <c r="OV384" s="457"/>
      <c r="OW384" s="457"/>
      <c r="OX384" s="457"/>
      <c r="OY384" s="457"/>
      <c r="OZ384" s="457"/>
      <c r="PA384" s="457"/>
      <c r="PB384" s="457"/>
      <c r="PC384" s="457"/>
      <c r="PD384" s="457"/>
      <c r="PE384" s="457"/>
      <c r="PF384" s="457"/>
      <c r="PG384" s="457"/>
      <c r="PH384" s="457"/>
      <c r="PI384" s="457"/>
      <c r="PJ384" s="457"/>
      <c r="PK384" s="457"/>
      <c r="PL384" s="457"/>
      <c r="PM384" s="457"/>
      <c r="PN384" s="457"/>
      <c r="PO384" s="457"/>
      <c r="PP384" s="457"/>
      <c r="PQ384" s="457"/>
      <c r="PR384" s="457"/>
      <c r="PS384" s="457"/>
      <c r="PT384" s="457"/>
      <c r="PU384" s="457"/>
      <c r="PV384" s="457"/>
      <c r="PW384" s="457"/>
      <c r="PX384" s="457"/>
      <c r="PY384" s="457"/>
      <c r="PZ384" s="457"/>
      <c r="QA384" s="457"/>
      <c r="QB384" s="457"/>
      <c r="QC384" s="457"/>
      <c r="QD384" s="457"/>
      <c r="QE384" s="457"/>
      <c r="QF384" s="457"/>
      <c r="QG384" s="457"/>
      <c r="QH384" s="457"/>
      <c r="QI384" s="457"/>
      <c r="QJ384" s="457"/>
      <c r="QK384" s="457"/>
      <c r="QL384" s="457"/>
      <c r="QM384" s="457"/>
      <c r="QN384" s="457"/>
      <c r="QO384" s="457"/>
      <c r="QP384" s="457"/>
      <c r="QQ384" s="457"/>
      <c r="QR384" s="457"/>
      <c r="QS384" s="457"/>
      <c r="QT384" s="457"/>
      <c r="QU384" s="457"/>
      <c r="QV384" s="457"/>
      <c r="QW384" s="457"/>
      <c r="QX384" s="457"/>
      <c r="QY384" s="457"/>
      <c r="QZ384" s="457"/>
      <c r="RA384" s="457"/>
      <c r="RB384" s="457"/>
      <c r="RC384" s="457"/>
      <c r="RD384" s="457"/>
      <c r="RE384" s="457"/>
      <c r="RF384" s="457"/>
      <c r="RG384" s="457"/>
      <c r="RH384" s="457"/>
      <c r="RI384" s="457"/>
      <c r="RJ384" s="457"/>
      <c r="RK384" s="457"/>
      <c r="RL384" s="457"/>
      <c r="RM384" s="457"/>
      <c r="RN384" s="457"/>
      <c r="RO384" s="457"/>
      <c r="RP384" s="457"/>
      <c r="RQ384" s="457"/>
      <c r="RR384" s="457"/>
      <c r="RS384" s="457"/>
      <c r="RT384" s="457"/>
      <c r="RU384" s="457"/>
      <c r="RV384" s="457"/>
      <c r="RW384" s="457"/>
      <c r="RX384" s="457"/>
      <c r="RY384" s="457"/>
      <c r="RZ384" s="457"/>
      <c r="SA384" s="457"/>
      <c r="SB384" s="457"/>
      <c r="SC384" s="457"/>
      <c r="SD384" s="457"/>
      <c r="SE384" s="457"/>
      <c r="SF384" s="457"/>
      <c r="SG384" s="457"/>
      <c r="SH384" s="457"/>
      <c r="SI384" s="457"/>
      <c r="SJ384" s="457"/>
      <c r="SK384" s="457"/>
      <c r="SL384" s="457"/>
      <c r="SM384" s="457"/>
      <c r="SN384" s="457"/>
      <c r="SO384" s="457"/>
      <c r="SP384" s="457"/>
      <c r="SQ384" s="457"/>
      <c r="SR384" s="457"/>
      <c r="SS384" s="457"/>
      <c r="ST384" s="457"/>
      <c r="SU384" s="457"/>
      <c r="SV384" s="457"/>
      <c r="SW384" s="457"/>
      <c r="SX384" s="457"/>
      <c r="SY384" s="457"/>
      <c r="SZ384" s="457"/>
      <c r="TA384" s="457"/>
      <c r="TB384" s="457"/>
      <c r="TC384" s="457"/>
      <c r="TD384" s="457"/>
      <c r="TE384" s="457"/>
      <c r="TF384" s="457"/>
      <c r="TG384" s="457"/>
      <c r="TH384" s="457"/>
      <c r="TI384" s="457"/>
      <c r="TJ384" s="457"/>
      <c r="TK384" s="457"/>
      <c r="TL384" s="457"/>
      <c r="TM384" s="457"/>
      <c r="TN384" s="457"/>
      <c r="TO384" s="457"/>
      <c r="TP384" s="457"/>
      <c r="TQ384" s="457"/>
      <c r="TR384" s="457"/>
      <c r="TS384" s="457"/>
      <c r="TT384" s="457"/>
      <c r="TU384" s="457"/>
      <c r="TV384" s="457"/>
      <c r="TW384" s="457"/>
      <c r="TX384" s="457"/>
      <c r="TY384" s="457"/>
      <c r="TZ384" s="457"/>
      <c r="UA384" s="457"/>
      <c r="UB384" s="457"/>
      <c r="UC384" s="457"/>
      <c r="UD384" s="457"/>
      <c r="UE384" s="457"/>
      <c r="UF384" s="457"/>
      <c r="UG384" s="457"/>
      <c r="UH384" s="457"/>
      <c r="UI384" s="457"/>
      <c r="UJ384" s="457"/>
      <c r="UK384" s="457"/>
      <c r="UL384" s="457"/>
      <c r="UM384" s="457"/>
      <c r="UN384" s="457"/>
      <c r="UO384" s="457"/>
      <c r="UP384" s="457"/>
      <c r="UQ384" s="457"/>
      <c r="UR384" s="457"/>
      <c r="US384" s="457"/>
      <c r="UT384" s="457"/>
      <c r="UU384" s="457"/>
      <c r="UV384" s="457"/>
      <c r="UW384" s="457"/>
      <c r="UX384" s="457"/>
      <c r="UY384" s="457"/>
      <c r="UZ384" s="457"/>
      <c r="VA384" s="457"/>
      <c r="VB384" s="457"/>
      <c r="VC384" s="457"/>
      <c r="VD384" s="457"/>
      <c r="VE384" s="457"/>
      <c r="VF384" s="457"/>
      <c r="VG384" s="457"/>
      <c r="VH384" s="457"/>
      <c r="VI384" s="457"/>
      <c r="VJ384" s="457"/>
      <c r="VK384" s="457"/>
      <c r="VL384" s="457"/>
      <c r="VM384" s="457"/>
      <c r="VN384" s="457"/>
      <c r="VO384" s="457"/>
      <c r="VP384" s="457"/>
      <c r="VQ384" s="457"/>
      <c r="VR384" s="457"/>
      <c r="VS384" s="457"/>
      <c r="VT384" s="457"/>
      <c r="VU384" s="457"/>
      <c r="VV384" s="457"/>
      <c r="VW384" s="457"/>
      <c r="VX384" s="457"/>
      <c r="VY384" s="457"/>
      <c r="VZ384" s="457"/>
      <c r="WA384" s="457"/>
      <c r="WB384" s="457"/>
      <c r="WC384" s="457"/>
      <c r="WD384" s="457"/>
      <c r="WE384" s="457"/>
      <c r="WF384" s="457"/>
      <c r="WG384" s="457"/>
      <c r="WH384" s="457"/>
      <c r="WI384" s="457"/>
      <c r="WJ384" s="457"/>
      <c r="WK384" s="457"/>
      <c r="WL384" s="457"/>
      <c r="WM384" s="457"/>
      <c r="WN384" s="457"/>
      <c r="WO384" s="457"/>
      <c r="WP384" s="457"/>
      <c r="WQ384" s="457"/>
      <c r="WR384" s="457"/>
      <c r="WS384" s="457"/>
      <c r="WT384" s="457"/>
      <c r="WU384" s="457"/>
      <c r="WV384" s="457"/>
      <c r="WW384" s="457"/>
      <c r="WX384" s="457"/>
      <c r="WY384" s="457"/>
      <c r="WZ384" s="457"/>
      <c r="XA384" s="457"/>
      <c r="XB384" s="457"/>
      <c r="XC384" s="457"/>
      <c r="XD384" s="457"/>
      <c r="XE384" s="457"/>
      <c r="XF384" s="457"/>
      <c r="XG384" s="457"/>
      <c r="XH384" s="457"/>
      <c r="XI384" s="457"/>
      <c r="XJ384" s="457"/>
      <c r="XK384" s="457"/>
      <c r="XL384" s="457"/>
      <c r="XM384" s="457"/>
      <c r="XN384" s="457"/>
      <c r="XO384" s="457"/>
      <c r="XP384" s="457"/>
      <c r="XQ384" s="457"/>
      <c r="XR384" s="457"/>
      <c r="XS384" s="457"/>
      <c r="XT384" s="457"/>
      <c r="XU384" s="457"/>
      <c r="XV384" s="457"/>
      <c r="XW384" s="457"/>
      <c r="XX384" s="457"/>
      <c r="XY384" s="457"/>
      <c r="XZ384" s="457"/>
      <c r="YA384" s="457"/>
      <c r="YB384" s="457"/>
      <c r="YC384" s="457"/>
      <c r="YD384" s="457"/>
      <c r="YE384" s="457"/>
      <c r="YF384" s="457"/>
      <c r="YG384" s="457"/>
      <c r="YH384" s="457"/>
      <c r="YI384" s="457"/>
      <c r="YJ384" s="457"/>
      <c r="YK384" s="457"/>
      <c r="YL384" s="457"/>
      <c r="YM384" s="457"/>
      <c r="YN384" s="457"/>
      <c r="YO384" s="457"/>
      <c r="YP384" s="457"/>
      <c r="YQ384" s="457"/>
      <c r="YR384" s="457"/>
      <c r="YS384" s="457"/>
      <c r="YT384" s="457"/>
      <c r="YU384" s="457"/>
      <c r="YV384" s="457"/>
      <c r="YW384" s="457"/>
      <c r="YX384" s="457"/>
      <c r="YY384" s="457"/>
      <c r="YZ384" s="457"/>
      <c r="ZA384" s="457"/>
      <c r="ZB384" s="457"/>
      <c r="ZC384" s="457"/>
      <c r="ZD384" s="457"/>
      <c r="ZE384" s="457"/>
      <c r="ZF384" s="457"/>
      <c r="ZG384" s="457"/>
      <c r="ZH384" s="457"/>
      <c r="ZI384" s="457"/>
      <c r="ZJ384" s="457"/>
      <c r="ZK384" s="457"/>
      <c r="ZL384" s="457"/>
      <c r="ZM384" s="457"/>
      <c r="ZN384" s="457"/>
      <c r="ZO384" s="457"/>
      <c r="ZP384" s="457"/>
      <c r="ZQ384" s="457"/>
      <c r="ZR384" s="457"/>
      <c r="ZS384" s="457"/>
      <c r="ZT384" s="457"/>
      <c r="ZU384" s="457"/>
      <c r="ZV384" s="457"/>
      <c r="ZW384" s="457"/>
      <c r="ZX384" s="457"/>
      <c r="ZY384" s="457"/>
      <c r="ZZ384" s="457"/>
      <c r="AAA384" s="457"/>
      <c r="AAB384" s="457"/>
      <c r="AAC384" s="457"/>
      <c r="AAD384" s="457"/>
      <c r="AAE384" s="457"/>
      <c r="AAF384" s="457"/>
      <c r="AAG384" s="457"/>
      <c r="AAH384" s="457"/>
      <c r="AAI384" s="457"/>
      <c r="AAJ384" s="457"/>
      <c r="AAK384" s="457"/>
      <c r="AAL384" s="457"/>
      <c r="AAM384" s="457"/>
      <c r="AAN384" s="457"/>
      <c r="AAO384" s="457"/>
      <c r="AAP384" s="457"/>
      <c r="AAQ384" s="457"/>
      <c r="AAR384" s="457"/>
      <c r="AAS384" s="457"/>
      <c r="AAT384" s="457"/>
      <c r="AAU384" s="457"/>
      <c r="AAV384" s="457"/>
      <c r="AAW384" s="457"/>
      <c r="AAX384" s="457"/>
      <c r="AAY384" s="457"/>
      <c r="AAZ384" s="457"/>
      <c r="ABA384" s="457"/>
      <c r="ABB384" s="457"/>
      <c r="ABC384" s="457"/>
      <c r="ABD384" s="457"/>
      <c r="ABE384" s="457"/>
      <c r="ABF384" s="457"/>
      <c r="ABG384" s="457"/>
      <c r="ABH384" s="457"/>
      <c r="ABI384" s="457"/>
      <c r="ABJ384" s="457"/>
      <c r="ABK384" s="457"/>
      <c r="ABL384" s="457"/>
      <c r="ABM384" s="457"/>
      <c r="ABN384" s="457"/>
      <c r="ABO384" s="457"/>
      <c r="ABP384" s="457"/>
      <c r="ABQ384" s="457"/>
      <c r="ABR384" s="457"/>
      <c r="ABS384" s="457"/>
      <c r="ABT384" s="457"/>
      <c r="ABU384" s="457"/>
      <c r="ABV384" s="457"/>
      <c r="ABW384" s="457"/>
      <c r="ABX384" s="457"/>
      <c r="ABY384" s="457"/>
      <c r="ABZ384" s="457"/>
      <c r="ACA384" s="457"/>
      <c r="ACB384" s="457"/>
      <c r="ACC384" s="457"/>
      <c r="ACD384" s="457"/>
      <c r="ACE384" s="457"/>
      <c r="ACF384" s="457"/>
      <c r="ACG384" s="457"/>
      <c r="ACH384" s="457"/>
      <c r="ACI384" s="457"/>
      <c r="ACJ384" s="457"/>
      <c r="ACK384" s="457"/>
      <c r="ACL384" s="457"/>
      <c r="ACM384" s="457"/>
      <c r="ACN384" s="457"/>
      <c r="ACO384" s="457"/>
      <c r="ACP384" s="457"/>
      <c r="ACQ384" s="457"/>
      <c r="ACR384" s="457"/>
      <c r="ACS384" s="457"/>
      <c r="ACT384" s="457"/>
      <c r="ACU384" s="457"/>
      <c r="ACV384" s="457"/>
    </row>
    <row r="385" spans="1:776" s="400" customFormat="1" x14ac:dyDescent="0.25">
      <c r="A385" s="43">
        <v>900098</v>
      </c>
      <c r="B385" s="34" t="s">
        <v>223</v>
      </c>
      <c r="C385" s="455"/>
      <c r="D385" s="454" t="s">
        <v>224</v>
      </c>
      <c r="E385" s="454">
        <v>0.55500000000000005</v>
      </c>
      <c r="F385" s="458">
        <v>4.3</v>
      </c>
      <c r="G385" s="34">
        <v>0.01</v>
      </c>
      <c r="H385" s="454">
        <v>0.1</v>
      </c>
      <c r="I385" s="456">
        <v>54.35</v>
      </c>
      <c r="J385" s="458">
        <v>61.7</v>
      </c>
      <c r="K385" s="454">
        <v>0.01</v>
      </c>
      <c r="L385" s="454">
        <v>208.8</v>
      </c>
      <c r="M385" s="34">
        <v>0.01</v>
      </c>
      <c r="N385" s="454">
        <v>1.43</v>
      </c>
      <c r="O385" s="34">
        <v>58.15</v>
      </c>
      <c r="P385" s="454">
        <v>44.19</v>
      </c>
      <c r="Q385" s="454">
        <v>13.96</v>
      </c>
      <c r="R385" s="34">
        <v>0.01</v>
      </c>
      <c r="S385" s="34">
        <v>1.0000000000000001E-5</v>
      </c>
      <c r="T385" s="34">
        <v>1.0000000000000001E-5</v>
      </c>
      <c r="U385" s="34">
        <v>0.02</v>
      </c>
      <c r="V385" s="454"/>
      <c r="W385" s="457"/>
      <c r="X385" s="457"/>
      <c r="Y385" s="457"/>
      <c r="Z385" s="457"/>
      <c r="AA385" s="457"/>
      <c r="AB385" s="457"/>
      <c r="AC385" s="457"/>
      <c r="AD385" s="457"/>
      <c r="AE385" s="457"/>
      <c r="AF385" s="457"/>
      <c r="AG385" s="457"/>
      <c r="AH385" s="457"/>
      <c r="AI385" s="457"/>
      <c r="AJ385" s="457"/>
      <c r="AK385" s="457"/>
      <c r="AL385" s="457"/>
      <c r="AM385" s="457"/>
      <c r="AN385" s="457"/>
      <c r="AO385" s="457"/>
      <c r="AP385" s="457"/>
      <c r="AQ385" s="457"/>
      <c r="AR385" s="457"/>
      <c r="AS385" s="457"/>
      <c r="AT385" s="457"/>
      <c r="AU385" s="457"/>
      <c r="AV385" s="457"/>
      <c r="AW385" s="457"/>
      <c r="AX385" s="457"/>
      <c r="AY385" s="457"/>
      <c r="AZ385" s="457"/>
      <c r="BA385" s="457"/>
      <c r="BB385" s="457"/>
      <c r="BC385" s="457"/>
      <c r="BD385" s="457"/>
      <c r="BE385" s="457"/>
      <c r="BF385" s="457"/>
      <c r="BG385" s="457"/>
      <c r="BH385" s="457"/>
      <c r="BI385" s="457"/>
      <c r="BJ385" s="457"/>
      <c r="BK385" s="457"/>
      <c r="BL385" s="457"/>
      <c r="BM385" s="457"/>
      <c r="BN385" s="457"/>
      <c r="BO385" s="457"/>
      <c r="BP385" s="457"/>
      <c r="BQ385" s="457"/>
      <c r="BR385" s="457"/>
      <c r="BS385" s="457"/>
      <c r="BT385" s="457"/>
      <c r="BU385" s="457"/>
      <c r="BV385" s="457"/>
      <c r="BW385" s="457"/>
      <c r="BX385" s="457"/>
      <c r="BY385" s="457"/>
      <c r="BZ385" s="457"/>
      <c r="CA385" s="457"/>
      <c r="CB385" s="457"/>
      <c r="CC385" s="457"/>
      <c r="CD385" s="457"/>
      <c r="CE385" s="457"/>
      <c r="CF385" s="457"/>
      <c r="CG385" s="457"/>
      <c r="CH385" s="457"/>
      <c r="CI385" s="457"/>
      <c r="CJ385" s="457"/>
      <c r="CK385" s="457"/>
      <c r="CL385" s="457"/>
      <c r="CM385" s="457"/>
      <c r="CN385" s="457"/>
      <c r="CO385" s="457"/>
      <c r="CP385" s="457"/>
      <c r="CQ385" s="457"/>
      <c r="CR385" s="457"/>
      <c r="CS385" s="457"/>
      <c r="CT385" s="457"/>
      <c r="CU385" s="457"/>
      <c r="CV385" s="457"/>
      <c r="CW385" s="457"/>
      <c r="CX385" s="457"/>
      <c r="CY385" s="457"/>
      <c r="CZ385" s="457"/>
      <c r="DA385" s="457"/>
      <c r="DB385" s="457"/>
      <c r="DC385" s="457"/>
      <c r="DD385" s="457"/>
      <c r="DE385" s="457"/>
      <c r="DF385" s="457"/>
      <c r="DG385" s="457"/>
      <c r="DH385" s="457"/>
      <c r="DI385" s="457"/>
      <c r="DJ385" s="457"/>
      <c r="DK385" s="457"/>
      <c r="DL385" s="457"/>
      <c r="DM385" s="457"/>
      <c r="DN385" s="457"/>
      <c r="DO385" s="457"/>
      <c r="DP385" s="457"/>
      <c r="DQ385" s="457"/>
      <c r="DR385" s="457"/>
      <c r="DS385" s="457"/>
      <c r="DT385" s="457"/>
      <c r="DU385" s="457"/>
      <c r="DV385" s="457"/>
      <c r="DW385" s="457"/>
      <c r="DX385" s="457"/>
      <c r="DY385" s="457"/>
      <c r="DZ385" s="457"/>
      <c r="EA385" s="457"/>
      <c r="EB385" s="457"/>
      <c r="EC385" s="457"/>
      <c r="ED385" s="457"/>
      <c r="EE385" s="457"/>
      <c r="EF385" s="457"/>
      <c r="EG385" s="457"/>
      <c r="EH385" s="457"/>
      <c r="EI385" s="457"/>
      <c r="EJ385" s="457"/>
      <c r="EK385" s="457"/>
      <c r="EL385" s="457"/>
      <c r="EM385" s="457"/>
      <c r="EN385" s="457"/>
      <c r="EO385" s="457"/>
      <c r="EP385" s="457"/>
      <c r="EQ385" s="457"/>
      <c r="ER385" s="457"/>
      <c r="ES385" s="457"/>
      <c r="ET385" s="457"/>
      <c r="EU385" s="457"/>
      <c r="EV385" s="457"/>
      <c r="EW385" s="457"/>
      <c r="EX385" s="457"/>
      <c r="EY385" s="457"/>
      <c r="EZ385" s="457"/>
      <c r="FA385" s="457"/>
      <c r="FB385" s="457"/>
      <c r="FC385" s="457"/>
      <c r="FD385" s="457"/>
      <c r="FE385" s="457"/>
      <c r="FF385" s="457"/>
      <c r="FG385" s="457"/>
      <c r="FH385" s="457"/>
      <c r="FI385" s="457"/>
      <c r="FJ385" s="457"/>
      <c r="FK385" s="457"/>
      <c r="FL385" s="457"/>
      <c r="FM385" s="457"/>
      <c r="FN385" s="457"/>
      <c r="FO385" s="457"/>
      <c r="FP385" s="457"/>
      <c r="FQ385" s="457"/>
      <c r="FR385" s="457"/>
      <c r="FS385" s="457"/>
      <c r="FT385" s="457"/>
      <c r="FU385" s="457"/>
      <c r="FV385" s="457"/>
      <c r="FW385" s="457"/>
      <c r="FX385" s="457"/>
      <c r="FY385" s="457"/>
      <c r="FZ385" s="457"/>
      <c r="GA385" s="457"/>
      <c r="GB385" s="457"/>
      <c r="GC385" s="457"/>
      <c r="GD385" s="457"/>
      <c r="GE385" s="457"/>
      <c r="GF385" s="457"/>
      <c r="GG385" s="457"/>
      <c r="GH385" s="457"/>
      <c r="GI385" s="457"/>
      <c r="GJ385" s="457"/>
      <c r="GK385" s="457"/>
      <c r="GL385" s="457"/>
      <c r="GM385" s="457"/>
      <c r="GN385" s="457"/>
      <c r="GO385" s="457"/>
      <c r="GP385" s="457"/>
      <c r="GQ385" s="457"/>
      <c r="GR385" s="457"/>
      <c r="GS385" s="457"/>
      <c r="GT385" s="457"/>
      <c r="GU385" s="457"/>
      <c r="GV385" s="457"/>
      <c r="GW385" s="457"/>
      <c r="GX385" s="457"/>
      <c r="GY385" s="457"/>
      <c r="GZ385" s="457"/>
      <c r="HA385" s="457"/>
      <c r="HB385" s="457"/>
      <c r="HC385" s="457"/>
      <c r="HD385" s="457"/>
      <c r="HE385" s="457"/>
      <c r="HF385" s="457"/>
      <c r="HG385" s="457"/>
      <c r="HH385" s="457"/>
      <c r="HI385" s="457"/>
      <c r="HJ385" s="457"/>
      <c r="HK385" s="457"/>
      <c r="HL385" s="457"/>
      <c r="HM385" s="457"/>
      <c r="HN385" s="457"/>
      <c r="HO385" s="457"/>
      <c r="HP385" s="457"/>
      <c r="HQ385" s="457"/>
      <c r="HR385" s="457"/>
      <c r="HS385" s="457"/>
      <c r="HT385" s="457"/>
      <c r="HU385" s="457"/>
      <c r="HV385" s="457"/>
      <c r="HW385" s="457"/>
      <c r="HX385" s="457"/>
      <c r="HY385" s="457"/>
      <c r="HZ385" s="457"/>
      <c r="IA385" s="457"/>
      <c r="IB385" s="457"/>
      <c r="IC385" s="457"/>
      <c r="ID385" s="457"/>
      <c r="IE385" s="457"/>
      <c r="IF385" s="457"/>
      <c r="IG385" s="457"/>
      <c r="IH385" s="457"/>
      <c r="II385" s="457"/>
      <c r="IJ385" s="457"/>
      <c r="IK385" s="457"/>
      <c r="IL385" s="457"/>
      <c r="IM385" s="457"/>
      <c r="IN385" s="457"/>
      <c r="IO385" s="457"/>
      <c r="IP385" s="457"/>
      <c r="IQ385" s="457"/>
      <c r="IR385" s="457"/>
      <c r="IS385" s="457"/>
      <c r="IT385" s="457"/>
      <c r="IU385" s="457"/>
      <c r="IV385" s="457"/>
      <c r="IW385" s="457"/>
      <c r="IX385" s="457"/>
      <c r="IY385" s="457"/>
      <c r="IZ385" s="457"/>
      <c r="JA385" s="457"/>
      <c r="JB385" s="457"/>
      <c r="JC385" s="457"/>
      <c r="JD385" s="457"/>
      <c r="JE385" s="457"/>
      <c r="JF385" s="457"/>
      <c r="JG385" s="457"/>
      <c r="JH385" s="457"/>
      <c r="JI385" s="457"/>
      <c r="JJ385" s="457"/>
      <c r="JK385" s="457"/>
      <c r="JL385" s="457"/>
      <c r="JM385" s="457"/>
      <c r="JN385" s="457"/>
      <c r="JO385" s="457"/>
      <c r="JP385" s="457"/>
      <c r="JQ385" s="457"/>
      <c r="JR385" s="457"/>
      <c r="JS385" s="457"/>
      <c r="JT385" s="457"/>
      <c r="JU385" s="457"/>
      <c r="JV385" s="457"/>
      <c r="JW385" s="457"/>
      <c r="JX385" s="457"/>
      <c r="JY385" s="457"/>
      <c r="JZ385" s="457"/>
      <c r="KA385" s="457"/>
      <c r="KB385" s="457"/>
      <c r="KC385" s="457"/>
      <c r="KD385" s="457"/>
      <c r="KE385" s="457"/>
      <c r="KF385" s="457"/>
      <c r="KG385" s="457"/>
      <c r="KH385" s="457"/>
      <c r="KI385" s="457"/>
      <c r="KJ385" s="457"/>
      <c r="KK385" s="457"/>
      <c r="KL385" s="457"/>
      <c r="KM385" s="457"/>
      <c r="KN385" s="457"/>
      <c r="KO385" s="457"/>
      <c r="KP385" s="457"/>
      <c r="KQ385" s="457"/>
      <c r="KR385" s="457"/>
      <c r="KS385" s="457"/>
      <c r="KT385" s="457"/>
      <c r="KU385" s="457"/>
      <c r="KV385" s="457"/>
      <c r="KW385" s="457"/>
      <c r="KX385" s="457"/>
      <c r="KY385" s="457"/>
      <c r="KZ385" s="457"/>
      <c r="LA385" s="457"/>
      <c r="LB385" s="457"/>
      <c r="LC385" s="457"/>
      <c r="LD385" s="457"/>
      <c r="LE385" s="457"/>
      <c r="LF385" s="457"/>
      <c r="LG385" s="457"/>
      <c r="LH385" s="457"/>
      <c r="LI385" s="457"/>
      <c r="LJ385" s="457"/>
      <c r="LK385" s="457"/>
      <c r="LL385" s="457"/>
      <c r="LM385" s="457"/>
      <c r="LN385" s="457"/>
      <c r="LO385" s="457"/>
      <c r="LP385" s="457"/>
      <c r="LQ385" s="457"/>
      <c r="LR385" s="457"/>
      <c r="LS385" s="457"/>
      <c r="LT385" s="457"/>
      <c r="LU385" s="457"/>
      <c r="LV385" s="457"/>
      <c r="LW385" s="457"/>
      <c r="LX385" s="457"/>
      <c r="LY385" s="457"/>
      <c r="LZ385" s="457"/>
      <c r="MA385" s="457"/>
      <c r="MB385" s="457"/>
      <c r="MC385" s="457"/>
      <c r="MD385" s="457"/>
      <c r="ME385" s="457"/>
      <c r="MF385" s="457"/>
      <c r="MG385" s="457"/>
      <c r="MH385" s="457"/>
      <c r="MI385" s="457"/>
      <c r="MJ385" s="457"/>
      <c r="MK385" s="457"/>
      <c r="ML385" s="457"/>
      <c r="MM385" s="457"/>
      <c r="MN385" s="457"/>
      <c r="MO385" s="457"/>
      <c r="MP385" s="457"/>
      <c r="MQ385" s="457"/>
      <c r="MR385" s="457"/>
      <c r="MS385" s="457"/>
      <c r="MT385" s="457"/>
      <c r="MU385" s="457"/>
      <c r="MV385" s="457"/>
      <c r="MW385" s="457"/>
      <c r="MX385" s="457"/>
      <c r="MY385" s="457"/>
      <c r="MZ385" s="457"/>
      <c r="NA385" s="457"/>
      <c r="NB385" s="457"/>
      <c r="NC385" s="457"/>
      <c r="ND385" s="457"/>
      <c r="NE385" s="457"/>
      <c r="NF385" s="457"/>
      <c r="NG385" s="457"/>
      <c r="NH385" s="457"/>
      <c r="NI385" s="457"/>
      <c r="NJ385" s="457"/>
      <c r="NK385" s="457"/>
      <c r="NL385" s="457"/>
      <c r="NM385" s="457"/>
      <c r="NN385" s="457"/>
      <c r="NO385" s="457"/>
      <c r="NP385" s="457"/>
      <c r="NQ385" s="457"/>
      <c r="NR385" s="457"/>
      <c r="NS385" s="457"/>
      <c r="NT385" s="457"/>
      <c r="NU385" s="457"/>
      <c r="NV385" s="457"/>
      <c r="NW385" s="457"/>
      <c r="NX385" s="457"/>
      <c r="NY385" s="457"/>
      <c r="NZ385" s="457"/>
      <c r="OA385" s="457"/>
      <c r="OB385" s="457"/>
      <c r="OC385" s="457"/>
      <c r="OD385" s="457"/>
      <c r="OE385" s="457"/>
      <c r="OF385" s="457"/>
      <c r="OG385" s="457"/>
      <c r="OH385" s="457"/>
      <c r="OI385" s="457"/>
      <c r="OJ385" s="457"/>
      <c r="OK385" s="457"/>
      <c r="OL385" s="457"/>
      <c r="OM385" s="457"/>
      <c r="ON385" s="457"/>
      <c r="OO385" s="457"/>
      <c r="OP385" s="457"/>
      <c r="OQ385" s="457"/>
      <c r="OR385" s="457"/>
      <c r="OS385" s="457"/>
      <c r="OT385" s="457"/>
      <c r="OU385" s="457"/>
      <c r="OV385" s="457"/>
      <c r="OW385" s="457"/>
      <c r="OX385" s="457"/>
      <c r="OY385" s="457"/>
      <c r="OZ385" s="457"/>
      <c r="PA385" s="457"/>
      <c r="PB385" s="457"/>
      <c r="PC385" s="457"/>
      <c r="PD385" s="457"/>
      <c r="PE385" s="457"/>
      <c r="PF385" s="457"/>
      <c r="PG385" s="457"/>
      <c r="PH385" s="457"/>
      <c r="PI385" s="457"/>
      <c r="PJ385" s="457"/>
      <c r="PK385" s="457"/>
      <c r="PL385" s="457"/>
      <c r="PM385" s="457"/>
      <c r="PN385" s="457"/>
      <c r="PO385" s="457"/>
      <c r="PP385" s="457"/>
      <c r="PQ385" s="457"/>
      <c r="PR385" s="457"/>
      <c r="PS385" s="457"/>
      <c r="PT385" s="457"/>
      <c r="PU385" s="457"/>
      <c r="PV385" s="457"/>
      <c r="PW385" s="457"/>
      <c r="PX385" s="457"/>
      <c r="PY385" s="457"/>
      <c r="PZ385" s="457"/>
      <c r="QA385" s="457"/>
      <c r="QB385" s="457"/>
      <c r="QC385" s="457"/>
      <c r="QD385" s="457"/>
      <c r="QE385" s="457"/>
      <c r="QF385" s="457"/>
      <c r="QG385" s="457"/>
      <c r="QH385" s="457"/>
      <c r="QI385" s="457"/>
      <c r="QJ385" s="457"/>
      <c r="QK385" s="457"/>
      <c r="QL385" s="457"/>
      <c r="QM385" s="457"/>
      <c r="QN385" s="457"/>
      <c r="QO385" s="457"/>
      <c r="QP385" s="457"/>
      <c r="QQ385" s="457"/>
      <c r="QR385" s="457"/>
      <c r="QS385" s="457"/>
      <c r="QT385" s="457"/>
      <c r="QU385" s="457"/>
      <c r="QV385" s="457"/>
      <c r="QW385" s="457"/>
      <c r="QX385" s="457"/>
      <c r="QY385" s="457"/>
      <c r="QZ385" s="457"/>
      <c r="RA385" s="457"/>
      <c r="RB385" s="457"/>
      <c r="RC385" s="457"/>
      <c r="RD385" s="457"/>
      <c r="RE385" s="457"/>
      <c r="RF385" s="457"/>
      <c r="RG385" s="457"/>
      <c r="RH385" s="457"/>
      <c r="RI385" s="457"/>
      <c r="RJ385" s="457"/>
      <c r="RK385" s="457"/>
      <c r="RL385" s="457"/>
      <c r="RM385" s="457"/>
      <c r="RN385" s="457"/>
      <c r="RO385" s="457"/>
      <c r="RP385" s="457"/>
      <c r="RQ385" s="457"/>
      <c r="RR385" s="457"/>
      <c r="RS385" s="457"/>
      <c r="RT385" s="457"/>
      <c r="RU385" s="457"/>
      <c r="RV385" s="457"/>
      <c r="RW385" s="457"/>
      <c r="RX385" s="457"/>
      <c r="RY385" s="457"/>
      <c r="RZ385" s="457"/>
      <c r="SA385" s="457"/>
      <c r="SB385" s="457"/>
      <c r="SC385" s="457"/>
      <c r="SD385" s="457"/>
      <c r="SE385" s="457"/>
      <c r="SF385" s="457"/>
      <c r="SG385" s="457"/>
      <c r="SH385" s="457"/>
      <c r="SI385" s="457"/>
      <c r="SJ385" s="457"/>
      <c r="SK385" s="457"/>
      <c r="SL385" s="457"/>
      <c r="SM385" s="457"/>
      <c r="SN385" s="457"/>
      <c r="SO385" s="457"/>
      <c r="SP385" s="457"/>
      <c r="SQ385" s="457"/>
      <c r="SR385" s="457"/>
      <c r="SS385" s="457"/>
      <c r="ST385" s="457"/>
      <c r="SU385" s="457"/>
      <c r="SV385" s="457"/>
      <c r="SW385" s="457"/>
      <c r="SX385" s="457"/>
      <c r="SY385" s="457"/>
      <c r="SZ385" s="457"/>
      <c r="TA385" s="457"/>
      <c r="TB385" s="457"/>
      <c r="TC385" s="457"/>
      <c r="TD385" s="457"/>
      <c r="TE385" s="457"/>
      <c r="TF385" s="457"/>
      <c r="TG385" s="457"/>
      <c r="TH385" s="457"/>
      <c r="TI385" s="457"/>
      <c r="TJ385" s="457"/>
      <c r="TK385" s="457"/>
      <c r="TL385" s="457"/>
      <c r="TM385" s="457"/>
      <c r="TN385" s="457"/>
      <c r="TO385" s="457"/>
      <c r="TP385" s="457"/>
      <c r="TQ385" s="457"/>
      <c r="TR385" s="457"/>
      <c r="TS385" s="457"/>
      <c r="TT385" s="457"/>
      <c r="TU385" s="457"/>
      <c r="TV385" s="457"/>
      <c r="TW385" s="457"/>
      <c r="TX385" s="457"/>
      <c r="TY385" s="457"/>
      <c r="TZ385" s="457"/>
      <c r="UA385" s="457"/>
      <c r="UB385" s="457"/>
      <c r="UC385" s="457"/>
      <c r="UD385" s="457"/>
      <c r="UE385" s="457"/>
      <c r="UF385" s="457"/>
      <c r="UG385" s="457"/>
      <c r="UH385" s="457"/>
      <c r="UI385" s="457"/>
      <c r="UJ385" s="457"/>
      <c r="UK385" s="457"/>
      <c r="UL385" s="457"/>
      <c r="UM385" s="457"/>
      <c r="UN385" s="457"/>
      <c r="UO385" s="457"/>
      <c r="UP385" s="457"/>
      <c r="UQ385" s="457"/>
      <c r="UR385" s="457"/>
      <c r="US385" s="457"/>
      <c r="UT385" s="457"/>
      <c r="UU385" s="457"/>
      <c r="UV385" s="457"/>
      <c r="UW385" s="457"/>
      <c r="UX385" s="457"/>
      <c r="UY385" s="457"/>
      <c r="UZ385" s="457"/>
      <c r="VA385" s="457"/>
      <c r="VB385" s="457"/>
      <c r="VC385" s="457"/>
      <c r="VD385" s="457"/>
      <c r="VE385" s="457"/>
      <c r="VF385" s="457"/>
      <c r="VG385" s="457"/>
      <c r="VH385" s="457"/>
      <c r="VI385" s="457"/>
      <c r="VJ385" s="457"/>
      <c r="VK385" s="457"/>
      <c r="VL385" s="457"/>
      <c r="VM385" s="457"/>
      <c r="VN385" s="457"/>
      <c r="VO385" s="457"/>
      <c r="VP385" s="457"/>
      <c r="VQ385" s="457"/>
      <c r="VR385" s="457"/>
      <c r="VS385" s="457"/>
      <c r="VT385" s="457"/>
      <c r="VU385" s="457"/>
      <c r="VV385" s="457"/>
      <c r="VW385" s="457"/>
      <c r="VX385" s="457"/>
      <c r="VY385" s="457"/>
      <c r="VZ385" s="457"/>
      <c r="WA385" s="457"/>
      <c r="WB385" s="457"/>
      <c r="WC385" s="457"/>
      <c r="WD385" s="457"/>
      <c r="WE385" s="457"/>
      <c r="WF385" s="457"/>
      <c r="WG385" s="457"/>
      <c r="WH385" s="457"/>
      <c r="WI385" s="457"/>
      <c r="WJ385" s="457"/>
      <c r="WK385" s="457"/>
      <c r="WL385" s="457"/>
      <c r="WM385" s="457"/>
      <c r="WN385" s="457"/>
      <c r="WO385" s="457"/>
      <c r="WP385" s="457"/>
      <c r="WQ385" s="457"/>
      <c r="WR385" s="457"/>
      <c r="WS385" s="457"/>
      <c r="WT385" s="457"/>
      <c r="WU385" s="457"/>
      <c r="WV385" s="457"/>
      <c r="WW385" s="457"/>
      <c r="WX385" s="457"/>
      <c r="WY385" s="457"/>
      <c r="WZ385" s="457"/>
      <c r="XA385" s="457"/>
      <c r="XB385" s="457"/>
      <c r="XC385" s="457"/>
      <c r="XD385" s="457"/>
      <c r="XE385" s="457"/>
      <c r="XF385" s="457"/>
      <c r="XG385" s="457"/>
      <c r="XH385" s="457"/>
      <c r="XI385" s="457"/>
      <c r="XJ385" s="457"/>
      <c r="XK385" s="457"/>
      <c r="XL385" s="457"/>
      <c r="XM385" s="457"/>
      <c r="XN385" s="457"/>
      <c r="XO385" s="457"/>
      <c r="XP385" s="457"/>
      <c r="XQ385" s="457"/>
      <c r="XR385" s="457"/>
      <c r="XS385" s="457"/>
      <c r="XT385" s="457"/>
      <c r="XU385" s="457"/>
      <c r="XV385" s="457"/>
      <c r="XW385" s="457"/>
      <c r="XX385" s="457"/>
      <c r="XY385" s="457"/>
      <c r="XZ385" s="457"/>
      <c r="YA385" s="457"/>
      <c r="YB385" s="457"/>
      <c r="YC385" s="457"/>
      <c r="YD385" s="457"/>
      <c r="YE385" s="457"/>
      <c r="YF385" s="457"/>
      <c r="YG385" s="457"/>
      <c r="YH385" s="457"/>
      <c r="YI385" s="457"/>
      <c r="YJ385" s="457"/>
      <c r="YK385" s="457"/>
      <c r="YL385" s="457"/>
      <c r="YM385" s="457"/>
      <c r="YN385" s="457"/>
      <c r="YO385" s="457"/>
      <c r="YP385" s="457"/>
      <c r="YQ385" s="457"/>
      <c r="YR385" s="457"/>
      <c r="YS385" s="457"/>
      <c r="YT385" s="457"/>
      <c r="YU385" s="457"/>
      <c r="YV385" s="457"/>
      <c r="YW385" s="457"/>
      <c r="YX385" s="457"/>
      <c r="YY385" s="457"/>
      <c r="YZ385" s="457"/>
      <c r="ZA385" s="457"/>
      <c r="ZB385" s="457"/>
      <c r="ZC385" s="457"/>
      <c r="ZD385" s="457"/>
      <c r="ZE385" s="457"/>
      <c r="ZF385" s="457"/>
      <c r="ZG385" s="457"/>
      <c r="ZH385" s="457"/>
      <c r="ZI385" s="457"/>
      <c r="ZJ385" s="457"/>
      <c r="ZK385" s="457"/>
      <c r="ZL385" s="457"/>
      <c r="ZM385" s="457"/>
      <c r="ZN385" s="457"/>
      <c r="ZO385" s="457"/>
      <c r="ZP385" s="457"/>
      <c r="ZQ385" s="457"/>
      <c r="ZR385" s="457"/>
      <c r="ZS385" s="457"/>
      <c r="ZT385" s="457"/>
      <c r="ZU385" s="457"/>
      <c r="ZV385" s="457"/>
      <c r="ZW385" s="457"/>
      <c r="ZX385" s="457"/>
      <c r="ZY385" s="457"/>
      <c r="ZZ385" s="457"/>
      <c r="AAA385" s="457"/>
      <c r="AAB385" s="457"/>
      <c r="AAC385" s="457"/>
      <c r="AAD385" s="457"/>
      <c r="AAE385" s="457"/>
      <c r="AAF385" s="457"/>
      <c r="AAG385" s="457"/>
      <c r="AAH385" s="457"/>
      <c r="AAI385" s="457"/>
      <c r="AAJ385" s="457"/>
      <c r="AAK385" s="457"/>
      <c r="AAL385" s="457"/>
      <c r="AAM385" s="457"/>
      <c r="AAN385" s="457"/>
      <c r="AAO385" s="457"/>
      <c r="AAP385" s="457"/>
      <c r="AAQ385" s="457"/>
      <c r="AAR385" s="457"/>
      <c r="AAS385" s="457"/>
      <c r="AAT385" s="457"/>
      <c r="AAU385" s="457"/>
      <c r="AAV385" s="457"/>
      <c r="AAW385" s="457"/>
      <c r="AAX385" s="457"/>
      <c r="AAY385" s="457"/>
      <c r="AAZ385" s="457"/>
      <c r="ABA385" s="457"/>
      <c r="ABB385" s="457"/>
      <c r="ABC385" s="457"/>
      <c r="ABD385" s="457"/>
      <c r="ABE385" s="457"/>
      <c r="ABF385" s="457"/>
      <c r="ABG385" s="457"/>
      <c r="ABH385" s="457"/>
      <c r="ABI385" s="457"/>
      <c r="ABJ385" s="457"/>
      <c r="ABK385" s="457"/>
      <c r="ABL385" s="457"/>
      <c r="ABM385" s="457"/>
      <c r="ABN385" s="457"/>
      <c r="ABO385" s="457"/>
      <c r="ABP385" s="457"/>
      <c r="ABQ385" s="457"/>
      <c r="ABR385" s="457"/>
      <c r="ABS385" s="457"/>
      <c r="ABT385" s="457"/>
      <c r="ABU385" s="457"/>
      <c r="ABV385" s="457"/>
      <c r="ABW385" s="457"/>
      <c r="ABX385" s="457"/>
      <c r="ABY385" s="457"/>
      <c r="ABZ385" s="457"/>
      <c r="ACA385" s="457"/>
      <c r="ACB385" s="457"/>
      <c r="ACC385" s="457"/>
      <c r="ACD385" s="457"/>
      <c r="ACE385" s="457"/>
      <c r="ACF385" s="457"/>
      <c r="ACG385" s="457"/>
      <c r="ACH385" s="457"/>
      <c r="ACI385" s="457"/>
      <c r="ACJ385" s="457"/>
      <c r="ACK385" s="457"/>
      <c r="ACL385" s="457"/>
      <c r="ACM385" s="457"/>
      <c r="ACN385" s="457"/>
      <c r="ACO385" s="457"/>
      <c r="ACP385" s="457"/>
      <c r="ACQ385" s="457"/>
      <c r="ACR385" s="457"/>
      <c r="ACS385" s="457"/>
      <c r="ACT385" s="457"/>
      <c r="ACU385" s="457"/>
      <c r="ACV385" s="457"/>
    </row>
    <row r="386" spans="1:776" s="400" customFormat="1" x14ac:dyDescent="0.25">
      <c r="A386" s="43">
        <v>900099</v>
      </c>
      <c r="B386" s="34" t="s">
        <v>225</v>
      </c>
      <c r="C386" s="455"/>
      <c r="D386" s="454" t="s">
        <v>226</v>
      </c>
      <c r="E386" s="454">
        <v>2.84</v>
      </c>
      <c r="F386" s="458">
        <v>17</v>
      </c>
      <c r="G386" s="454">
        <v>0.01</v>
      </c>
      <c r="H386" s="454">
        <v>7.0000000000000007E-2</v>
      </c>
      <c r="I386" s="456">
        <v>613.65</v>
      </c>
      <c r="J386" s="454">
        <v>183.6</v>
      </c>
      <c r="K386" s="454">
        <v>0.01</v>
      </c>
      <c r="L386" s="454">
        <v>424.8</v>
      </c>
      <c r="M386" s="454">
        <v>0.01</v>
      </c>
      <c r="N386" s="454">
        <v>3.03</v>
      </c>
      <c r="O386" s="454">
        <v>365.72</v>
      </c>
      <c r="P386" s="454">
        <v>176.45</v>
      </c>
      <c r="Q386" s="454">
        <v>60.91</v>
      </c>
      <c r="R386" s="454">
        <v>0.01</v>
      </c>
      <c r="S386" s="454">
        <v>0.01</v>
      </c>
      <c r="T386" s="454">
        <v>0.01</v>
      </c>
      <c r="U386" s="454">
        <v>0.01</v>
      </c>
      <c r="V386" s="454"/>
      <c r="W386" s="457"/>
      <c r="X386" s="457"/>
      <c r="Y386" s="457"/>
      <c r="Z386" s="457"/>
      <c r="AA386" s="457"/>
      <c r="AB386" s="457"/>
      <c r="AC386" s="457"/>
      <c r="AD386" s="457"/>
      <c r="AE386" s="457"/>
      <c r="AF386" s="457"/>
      <c r="AG386" s="457"/>
      <c r="AH386" s="457"/>
      <c r="AI386" s="457"/>
      <c r="AJ386" s="457"/>
      <c r="AK386" s="457"/>
      <c r="AL386" s="457"/>
      <c r="AM386" s="457"/>
      <c r="AN386" s="457"/>
      <c r="AO386" s="457"/>
      <c r="AP386" s="457"/>
      <c r="AQ386" s="457"/>
      <c r="AR386" s="457"/>
      <c r="AS386" s="457"/>
      <c r="AT386" s="457"/>
      <c r="AU386" s="457"/>
      <c r="AV386" s="457"/>
      <c r="AW386" s="457"/>
      <c r="AX386" s="457"/>
      <c r="AY386" s="457"/>
      <c r="AZ386" s="457"/>
      <c r="BA386" s="457"/>
      <c r="BB386" s="457"/>
      <c r="BC386" s="457"/>
      <c r="BD386" s="457"/>
      <c r="BE386" s="457"/>
      <c r="BF386" s="457"/>
      <c r="BG386" s="457"/>
      <c r="BH386" s="457"/>
      <c r="BI386" s="457"/>
      <c r="BJ386" s="457"/>
      <c r="BK386" s="457"/>
      <c r="BL386" s="457"/>
      <c r="BM386" s="457"/>
      <c r="BN386" s="457"/>
      <c r="BO386" s="457"/>
      <c r="BP386" s="457"/>
      <c r="BQ386" s="457"/>
      <c r="BR386" s="457"/>
      <c r="BS386" s="457"/>
      <c r="BT386" s="457"/>
      <c r="BU386" s="457"/>
      <c r="BV386" s="457"/>
      <c r="BW386" s="457"/>
      <c r="BX386" s="457"/>
      <c r="BY386" s="457"/>
      <c r="BZ386" s="457"/>
      <c r="CA386" s="457"/>
      <c r="CB386" s="457"/>
      <c r="CC386" s="457"/>
      <c r="CD386" s="457"/>
      <c r="CE386" s="457"/>
      <c r="CF386" s="457"/>
      <c r="CG386" s="457"/>
      <c r="CH386" s="457"/>
      <c r="CI386" s="457"/>
      <c r="CJ386" s="457"/>
      <c r="CK386" s="457"/>
      <c r="CL386" s="457"/>
      <c r="CM386" s="457"/>
      <c r="CN386" s="457"/>
      <c r="CO386" s="457"/>
      <c r="CP386" s="457"/>
      <c r="CQ386" s="457"/>
      <c r="CR386" s="457"/>
      <c r="CS386" s="457"/>
      <c r="CT386" s="457"/>
      <c r="CU386" s="457"/>
      <c r="CV386" s="457"/>
      <c r="CW386" s="457"/>
      <c r="CX386" s="457"/>
      <c r="CY386" s="457"/>
      <c r="CZ386" s="457"/>
      <c r="DA386" s="457"/>
      <c r="DB386" s="457"/>
      <c r="DC386" s="457"/>
      <c r="DD386" s="457"/>
      <c r="DE386" s="457"/>
      <c r="DF386" s="457"/>
      <c r="DG386" s="457"/>
      <c r="DH386" s="457"/>
      <c r="DI386" s="457"/>
      <c r="DJ386" s="457"/>
      <c r="DK386" s="457"/>
      <c r="DL386" s="457"/>
      <c r="DM386" s="457"/>
      <c r="DN386" s="457"/>
      <c r="DO386" s="457"/>
      <c r="DP386" s="457"/>
      <c r="DQ386" s="457"/>
      <c r="DR386" s="457"/>
      <c r="DS386" s="457"/>
      <c r="DT386" s="457"/>
      <c r="DU386" s="457"/>
      <c r="DV386" s="457"/>
      <c r="DW386" s="457"/>
      <c r="DX386" s="457"/>
      <c r="DY386" s="457"/>
      <c r="DZ386" s="457"/>
      <c r="EA386" s="457"/>
      <c r="EB386" s="457"/>
      <c r="EC386" s="457"/>
      <c r="ED386" s="457"/>
      <c r="EE386" s="457"/>
      <c r="EF386" s="457"/>
      <c r="EG386" s="457"/>
      <c r="EH386" s="457"/>
      <c r="EI386" s="457"/>
      <c r="EJ386" s="457"/>
      <c r="EK386" s="457"/>
      <c r="EL386" s="457"/>
      <c r="EM386" s="457"/>
      <c r="EN386" s="457"/>
      <c r="EO386" s="457"/>
      <c r="EP386" s="457"/>
      <c r="EQ386" s="457"/>
      <c r="ER386" s="457"/>
      <c r="ES386" s="457"/>
      <c r="ET386" s="457"/>
      <c r="EU386" s="457"/>
      <c r="EV386" s="457"/>
      <c r="EW386" s="457"/>
      <c r="EX386" s="457"/>
      <c r="EY386" s="457"/>
      <c r="EZ386" s="457"/>
      <c r="FA386" s="457"/>
      <c r="FB386" s="457"/>
      <c r="FC386" s="457"/>
      <c r="FD386" s="457"/>
      <c r="FE386" s="457"/>
      <c r="FF386" s="457"/>
      <c r="FG386" s="457"/>
      <c r="FH386" s="457"/>
      <c r="FI386" s="457"/>
      <c r="FJ386" s="457"/>
      <c r="FK386" s="457"/>
      <c r="FL386" s="457"/>
      <c r="FM386" s="457"/>
      <c r="FN386" s="457"/>
      <c r="FO386" s="457"/>
      <c r="FP386" s="457"/>
      <c r="FQ386" s="457"/>
      <c r="FR386" s="457"/>
      <c r="FS386" s="457"/>
      <c r="FT386" s="457"/>
      <c r="FU386" s="457"/>
      <c r="FV386" s="457"/>
      <c r="FW386" s="457"/>
      <c r="FX386" s="457"/>
      <c r="FY386" s="457"/>
      <c r="FZ386" s="457"/>
      <c r="GA386" s="457"/>
      <c r="GB386" s="457"/>
      <c r="GC386" s="457"/>
      <c r="GD386" s="457"/>
      <c r="GE386" s="457"/>
      <c r="GF386" s="457"/>
      <c r="GG386" s="457"/>
      <c r="GH386" s="457"/>
      <c r="GI386" s="457"/>
      <c r="GJ386" s="457"/>
      <c r="GK386" s="457"/>
      <c r="GL386" s="457"/>
      <c r="GM386" s="457"/>
      <c r="GN386" s="457"/>
      <c r="GO386" s="457"/>
      <c r="GP386" s="457"/>
      <c r="GQ386" s="457"/>
      <c r="GR386" s="457"/>
      <c r="GS386" s="457"/>
      <c r="GT386" s="457"/>
      <c r="GU386" s="457"/>
      <c r="GV386" s="457"/>
      <c r="GW386" s="457"/>
      <c r="GX386" s="457"/>
      <c r="GY386" s="457"/>
      <c r="GZ386" s="457"/>
      <c r="HA386" s="457"/>
      <c r="HB386" s="457"/>
      <c r="HC386" s="457"/>
      <c r="HD386" s="457"/>
      <c r="HE386" s="457"/>
      <c r="HF386" s="457"/>
      <c r="HG386" s="457"/>
      <c r="HH386" s="457"/>
      <c r="HI386" s="457"/>
      <c r="HJ386" s="457"/>
      <c r="HK386" s="457"/>
      <c r="HL386" s="457"/>
      <c r="HM386" s="457"/>
      <c r="HN386" s="457"/>
      <c r="HO386" s="457"/>
      <c r="HP386" s="457"/>
      <c r="HQ386" s="457"/>
      <c r="HR386" s="457"/>
      <c r="HS386" s="457"/>
      <c r="HT386" s="457"/>
      <c r="HU386" s="457"/>
      <c r="HV386" s="457"/>
      <c r="HW386" s="457"/>
      <c r="HX386" s="457"/>
      <c r="HY386" s="457"/>
      <c r="HZ386" s="457"/>
      <c r="IA386" s="457"/>
      <c r="IB386" s="457"/>
      <c r="IC386" s="457"/>
      <c r="ID386" s="457"/>
      <c r="IE386" s="457"/>
      <c r="IF386" s="457"/>
      <c r="IG386" s="457"/>
      <c r="IH386" s="457"/>
      <c r="II386" s="457"/>
      <c r="IJ386" s="457"/>
      <c r="IK386" s="457"/>
      <c r="IL386" s="457"/>
      <c r="IM386" s="457"/>
      <c r="IN386" s="457"/>
      <c r="IO386" s="457"/>
      <c r="IP386" s="457"/>
      <c r="IQ386" s="457"/>
      <c r="IR386" s="457"/>
      <c r="IS386" s="457"/>
      <c r="IT386" s="457"/>
      <c r="IU386" s="457"/>
      <c r="IV386" s="457"/>
      <c r="IW386" s="457"/>
      <c r="IX386" s="457"/>
      <c r="IY386" s="457"/>
      <c r="IZ386" s="457"/>
      <c r="JA386" s="457"/>
      <c r="JB386" s="457"/>
      <c r="JC386" s="457"/>
      <c r="JD386" s="457"/>
      <c r="JE386" s="457"/>
      <c r="JF386" s="457"/>
      <c r="JG386" s="457"/>
      <c r="JH386" s="457"/>
      <c r="JI386" s="457"/>
      <c r="JJ386" s="457"/>
      <c r="JK386" s="457"/>
      <c r="JL386" s="457"/>
      <c r="JM386" s="457"/>
      <c r="JN386" s="457"/>
      <c r="JO386" s="457"/>
      <c r="JP386" s="457"/>
      <c r="JQ386" s="457"/>
      <c r="JR386" s="457"/>
      <c r="JS386" s="457"/>
      <c r="JT386" s="457"/>
      <c r="JU386" s="457"/>
      <c r="JV386" s="457"/>
      <c r="JW386" s="457"/>
      <c r="JX386" s="457"/>
      <c r="JY386" s="457"/>
      <c r="JZ386" s="457"/>
      <c r="KA386" s="457"/>
      <c r="KB386" s="457"/>
      <c r="KC386" s="457"/>
      <c r="KD386" s="457"/>
      <c r="KE386" s="457"/>
      <c r="KF386" s="457"/>
      <c r="KG386" s="457"/>
      <c r="KH386" s="457"/>
      <c r="KI386" s="457"/>
      <c r="KJ386" s="457"/>
      <c r="KK386" s="457"/>
      <c r="KL386" s="457"/>
      <c r="KM386" s="457"/>
      <c r="KN386" s="457"/>
      <c r="KO386" s="457"/>
      <c r="KP386" s="457"/>
      <c r="KQ386" s="457"/>
      <c r="KR386" s="457"/>
      <c r="KS386" s="457"/>
      <c r="KT386" s="457"/>
      <c r="KU386" s="457"/>
      <c r="KV386" s="457"/>
      <c r="KW386" s="457"/>
      <c r="KX386" s="457"/>
      <c r="KY386" s="457"/>
      <c r="KZ386" s="457"/>
      <c r="LA386" s="457"/>
      <c r="LB386" s="457"/>
      <c r="LC386" s="457"/>
      <c r="LD386" s="457"/>
      <c r="LE386" s="457"/>
      <c r="LF386" s="457"/>
      <c r="LG386" s="457"/>
      <c r="LH386" s="457"/>
      <c r="LI386" s="457"/>
      <c r="LJ386" s="457"/>
      <c r="LK386" s="457"/>
      <c r="LL386" s="457"/>
      <c r="LM386" s="457"/>
      <c r="LN386" s="457"/>
      <c r="LO386" s="457"/>
      <c r="LP386" s="457"/>
      <c r="LQ386" s="457"/>
      <c r="LR386" s="457"/>
      <c r="LS386" s="457"/>
      <c r="LT386" s="457"/>
      <c r="LU386" s="457"/>
      <c r="LV386" s="457"/>
      <c r="LW386" s="457"/>
      <c r="LX386" s="457"/>
      <c r="LY386" s="457"/>
      <c r="LZ386" s="457"/>
      <c r="MA386" s="457"/>
      <c r="MB386" s="457"/>
      <c r="MC386" s="457"/>
      <c r="MD386" s="457"/>
      <c r="ME386" s="457"/>
      <c r="MF386" s="457"/>
      <c r="MG386" s="457"/>
      <c r="MH386" s="457"/>
      <c r="MI386" s="457"/>
      <c r="MJ386" s="457"/>
      <c r="MK386" s="457"/>
      <c r="ML386" s="457"/>
      <c r="MM386" s="457"/>
      <c r="MN386" s="457"/>
      <c r="MO386" s="457"/>
      <c r="MP386" s="457"/>
      <c r="MQ386" s="457"/>
      <c r="MR386" s="457"/>
      <c r="MS386" s="457"/>
      <c r="MT386" s="457"/>
      <c r="MU386" s="457"/>
      <c r="MV386" s="457"/>
      <c r="MW386" s="457"/>
      <c r="MX386" s="457"/>
      <c r="MY386" s="457"/>
      <c r="MZ386" s="457"/>
      <c r="NA386" s="457"/>
      <c r="NB386" s="457"/>
      <c r="NC386" s="457"/>
      <c r="ND386" s="457"/>
      <c r="NE386" s="457"/>
      <c r="NF386" s="457"/>
      <c r="NG386" s="457"/>
      <c r="NH386" s="457"/>
      <c r="NI386" s="457"/>
      <c r="NJ386" s="457"/>
      <c r="NK386" s="457"/>
      <c r="NL386" s="457"/>
      <c r="NM386" s="457"/>
      <c r="NN386" s="457"/>
      <c r="NO386" s="457"/>
      <c r="NP386" s="457"/>
      <c r="NQ386" s="457"/>
      <c r="NR386" s="457"/>
      <c r="NS386" s="457"/>
      <c r="NT386" s="457"/>
      <c r="NU386" s="457"/>
      <c r="NV386" s="457"/>
      <c r="NW386" s="457"/>
      <c r="NX386" s="457"/>
      <c r="NY386" s="457"/>
      <c r="NZ386" s="457"/>
      <c r="OA386" s="457"/>
      <c r="OB386" s="457"/>
      <c r="OC386" s="457"/>
      <c r="OD386" s="457"/>
      <c r="OE386" s="457"/>
      <c r="OF386" s="457"/>
      <c r="OG386" s="457"/>
      <c r="OH386" s="457"/>
      <c r="OI386" s="457"/>
      <c r="OJ386" s="457"/>
      <c r="OK386" s="457"/>
      <c r="OL386" s="457"/>
      <c r="OM386" s="457"/>
      <c r="ON386" s="457"/>
      <c r="OO386" s="457"/>
      <c r="OP386" s="457"/>
      <c r="OQ386" s="457"/>
      <c r="OR386" s="457"/>
      <c r="OS386" s="457"/>
      <c r="OT386" s="457"/>
      <c r="OU386" s="457"/>
      <c r="OV386" s="457"/>
      <c r="OW386" s="457"/>
      <c r="OX386" s="457"/>
      <c r="OY386" s="457"/>
      <c r="OZ386" s="457"/>
      <c r="PA386" s="457"/>
      <c r="PB386" s="457"/>
      <c r="PC386" s="457"/>
      <c r="PD386" s="457"/>
      <c r="PE386" s="457"/>
      <c r="PF386" s="457"/>
      <c r="PG386" s="457"/>
      <c r="PH386" s="457"/>
      <c r="PI386" s="457"/>
      <c r="PJ386" s="457"/>
      <c r="PK386" s="457"/>
      <c r="PL386" s="457"/>
      <c r="PM386" s="457"/>
      <c r="PN386" s="457"/>
      <c r="PO386" s="457"/>
      <c r="PP386" s="457"/>
      <c r="PQ386" s="457"/>
      <c r="PR386" s="457"/>
      <c r="PS386" s="457"/>
      <c r="PT386" s="457"/>
      <c r="PU386" s="457"/>
      <c r="PV386" s="457"/>
      <c r="PW386" s="457"/>
      <c r="PX386" s="457"/>
      <c r="PY386" s="457"/>
      <c r="PZ386" s="457"/>
      <c r="QA386" s="457"/>
      <c r="QB386" s="457"/>
      <c r="QC386" s="457"/>
      <c r="QD386" s="457"/>
      <c r="QE386" s="457"/>
      <c r="QF386" s="457"/>
      <c r="QG386" s="457"/>
      <c r="QH386" s="457"/>
      <c r="QI386" s="457"/>
      <c r="QJ386" s="457"/>
      <c r="QK386" s="457"/>
      <c r="QL386" s="457"/>
      <c r="QM386" s="457"/>
      <c r="QN386" s="457"/>
      <c r="QO386" s="457"/>
      <c r="QP386" s="457"/>
      <c r="QQ386" s="457"/>
      <c r="QR386" s="457"/>
      <c r="QS386" s="457"/>
      <c r="QT386" s="457"/>
      <c r="QU386" s="457"/>
      <c r="QV386" s="457"/>
      <c r="QW386" s="457"/>
      <c r="QX386" s="457"/>
      <c r="QY386" s="457"/>
      <c r="QZ386" s="457"/>
      <c r="RA386" s="457"/>
      <c r="RB386" s="457"/>
      <c r="RC386" s="457"/>
      <c r="RD386" s="457"/>
      <c r="RE386" s="457"/>
      <c r="RF386" s="457"/>
      <c r="RG386" s="457"/>
      <c r="RH386" s="457"/>
      <c r="RI386" s="457"/>
      <c r="RJ386" s="457"/>
      <c r="RK386" s="457"/>
      <c r="RL386" s="457"/>
      <c r="RM386" s="457"/>
      <c r="RN386" s="457"/>
      <c r="RO386" s="457"/>
      <c r="RP386" s="457"/>
      <c r="RQ386" s="457"/>
      <c r="RR386" s="457"/>
      <c r="RS386" s="457"/>
      <c r="RT386" s="457"/>
      <c r="RU386" s="457"/>
      <c r="RV386" s="457"/>
      <c r="RW386" s="457"/>
      <c r="RX386" s="457"/>
      <c r="RY386" s="457"/>
      <c r="RZ386" s="457"/>
      <c r="SA386" s="457"/>
      <c r="SB386" s="457"/>
      <c r="SC386" s="457"/>
      <c r="SD386" s="457"/>
      <c r="SE386" s="457"/>
      <c r="SF386" s="457"/>
      <c r="SG386" s="457"/>
      <c r="SH386" s="457"/>
      <c r="SI386" s="457"/>
      <c r="SJ386" s="457"/>
      <c r="SK386" s="457"/>
      <c r="SL386" s="457"/>
      <c r="SM386" s="457"/>
      <c r="SN386" s="457"/>
      <c r="SO386" s="457"/>
      <c r="SP386" s="457"/>
      <c r="SQ386" s="457"/>
      <c r="SR386" s="457"/>
      <c r="SS386" s="457"/>
      <c r="ST386" s="457"/>
      <c r="SU386" s="457"/>
      <c r="SV386" s="457"/>
      <c r="SW386" s="457"/>
      <c r="SX386" s="457"/>
      <c r="SY386" s="457"/>
      <c r="SZ386" s="457"/>
      <c r="TA386" s="457"/>
      <c r="TB386" s="457"/>
      <c r="TC386" s="457"/>
      <c r="TD386" s="457"/>
      <c r="TE386" s="457"/>
      <c r="TF386" s="457"/>
      <c r="TG386" s="457"/>
      <c r="TH386" s="457"/>
      <c r="TI386" s="457"/>
      <c r="TJ386" s="457"/>
      <c r="TK386" s="457"/>
      <c r="TL386" s="457"/>
      <c r="TM386" s="457"/>
      <c r="TN386" s="457"/>
      <c r="TO386" s="457"/>
      <c r="TP386" s="457"/>
      <c r="TQ386" s="457"/>
      <c r="TR386" s="457"/>
      <c r="TS386" s="457"/>
      <c r="TT386" s="457"/>
      <c r="TU386" s="457"/>
      <c r="TV386" s="457"/>
      <c r="TW386" s="457"/>
      <c r="TX386" s="457"/>
      <c r="TY386" s="457"/>
      <c r="TZ386" s="457"/>
      <c r="UA386" s="457"/>
      <c r="UB386" s="457"/>
      <c r="UC386" s="457"/>
      <c r="UD386" s="457"/>
      <c r="UE386" s="457"/>
      <c r="UF386" s="457"/>
      <c r="UG386" s="457"/>
      <c r="UH386" s="457"/>
      <c r="UI386" s="457"/>
      <c r="UJ386" s="457"/>
      <c r="UK386" s="457"/>
      <c r="UL386" s="457"/>
      <c r="UM386" s="457"/>
      <c r="UN386" s="457"/>
      <c r="UO386" s="457"/>
      <c r="UP386" s="457"/>
      <c r="UQ386" s="457"/>
      <c r="UR386" s="457"/>
      <c r="US386" s="457"/>
      <c r="UT386" s="457"/>
      <c r="UU386" s="457"/>
      <c r="UV386" s="457"/>
      <c r="UW386" s="457"/>
      <c r="UX386" s="457"/>
      <c r="UY386" s="457"/>
      <c r="UZ386" s="457"/>
      <c r="VA386" s="457"/>
      <c r="VB386" s="457"/>
      <c r="VC386" s="457"/>
      <c r="VD386" s="457"/>
      <c r="VE386" s="457"/>
      <c r="VF386" s="457"/>
      <c r="VG386" s="457"/>
      <c r="VH386" s="457"/>
      <c r="VI386" s="457"/>
      <c r="VJ386" s="457"/>
      <c r="VK386" s="457"/>
      <c r="VL386" s="457"/>
      <c r="VM386" s="457"/>
      <c r="VN386" s="457"/>
      <c r="VO386" s="457"/>
      <c r="VP386" s="457"/>
      <c r="VQ386" s="457"/>
      <c r="VR386" s="457"/>
      <c r="VS386" s="457"/>
      <c r="VT386" s="457"/>
      <c r="VU386" s="457"/>
      <c r="VV386" s="457"/>
      <c r="VW386" s="457"/>
      <c r="VX386" s="457"/>
      <c r="VY386" s="457"/>
      <c r="VZ386" s="457"/>
      <c r="WA386" s="457"/>
      <c r="WB386" s="457"/>
      <c r="WC386" s="457"/>
      <c r="WD386" s="457"/>
      <c r="WE386" s="457"/>
      <c r="WF386" s="457"/>
      <c r="WG386" s="457"/>
      <c r="WH386" s="457"/>
      <c r="WI386" s="457"/>
      <c r="WJ386" s="457"/>
      <c r="WK386" s="457"/>
      <c r="WL386" s="457"/>
      <c r="WM386" s="457"/>
      <c r="WN386" s="457"/>
      <c r="WO386" s="457"/>
      <c r="WP386" s="457"/>
      <c r="WQ386" s="457"/>
      <c r="WR386" s="457"/>
      <c r="WS386" s="457"/>
      <c r="WT386" s="457"/>
      <c r="WU386" s="457"/>
      <c r="WV386" s="457"/>
      <c r="WW386" s="457"/>
      <c r="WX386" s="457"/>
      <c r="WY386" s="457"/>
      <c r="WZ386" s="457"/>
      <c r="XA386" s="457"/>
      <c r="XB386" s="457"/>
      <c r="XC386" s="457"/>
      <c r="XD386" s="457"/>
      <c r="XE386" s="457"/>
      <c r="XF386" s="457"/>
      <c r="XG386" s="457"/>
      <c r="XH386" s="457"/>
      <c r="XI386" s="457"/>
      <c r="XJ386" s="457"/>
      <c r="XK386" s="457"/>
      <c r="XL386" s="457"/>
      <c r="XM386" s="457"/>
      <c r="XN386" s="457"/>
      <c r="XO386" s="457"/>
      <c r="XP386" s="457"/>
      <c r="XQ386" s="457"/>
      <c r="XR386" s="457"/>
      <c r="XS386" s="457"/>
      <c r="XT386" s="457"/>
      <c r="XU386" s="457"/>
      <c r="XV386" s="457"/>
      <c r="XW386" s="457"/>
      <c r="XX386" s="457"/>
      <c r="XY386" s="457"/>
      <c r="XZ386" s="457"/>
      <c r="YA386" s="457"/>
      <c r="YB386" s="457"/>
      <c r="YC386" s="457"/>
      <c r="YD386" s="457"/>
      <c r="YE386" s="457"/>
      <c r="YF386" s="457"/>
      <c r="YG386" s="457"/>
      <c r="YH386" s="457"/>
      <c r="YI386" s="457"/>
      <c r="YJ386" s="457"/>
      <c r="YK386" s="457"/>
      <c r="YL386" s="457"/>
      <c r="YM386" s="457"/>
      <c r="YN386" s="457"/>
      <c r="YO386" s="457"/>
      <c r="YP386" s="457"/>
      <c r="YQ386" s="457"/>
      <c r="YR386" s="457"/>
      <c r="YS386" s="457"/>
      <c r="YT386" s="457"/>
      <c r="YU386" s="457"/>
      <c r="YV386" s="457"/>
      <c r="YW386" s="457"/>
      <c r="YX386" s="457"/>
      <c r="YY386" s="457"/>
      <c r="YZ386" s="457"/>
      <c r="ZA386" s="457"/>
      <c r="ZB386" s="457"/>
      <c r="ZC386" s="457"/>
      <c r="ZD386" s="457"/>
      <c r="ZE386" s="457"/>
      <c r="ZF386" s="457"/>
      <c r="ZG386" s="457"/>
      <c r="ZH386" s="457"/>
      <c r="ZI386" s="457"/>
      <c r="ZJ386" s="457"/>
      <c r="ZK386" s="457"/>
      <c r="ZL386" s="457"/>
      <c r="ZM386" s="457"/>
      <c r="ZN386" s="457"/>
      <c r="ZO386" s="457"/>
      <c r="ZP386" s="457"/>
      <c r="ZQ386" s="457"/>
      <c r="ZR386" s="457"/>
      <c r="ZS386" s="457"/>
      <c r="ZT386" s="457"/>
      <c r="ZU386" s="457"/>
      <c r="ZV386" s="457"/>
      <c r="ZW386" s="457"/>
      <c r="ZX386" s="457"/>
      <c r="ZY386" s="457"/>
      <c r="ZZ386" s="457"/>
      <c r="AAA386" s="457"/>
      <c r="AAB386" s="457"/>
      <c r="AAC386" s="457"/>
      <c r="AAD386" s="457"/>
      <c r="AAE386" s="457"/>
      <c r="AAF386" s="457"/>
      <c r="AAG386" s="457"/>
      <c r="AAH386" s="457"/>
      <c r="AAI386" s="457"/>
      <c r="AAJ386" s="457"/>
      <c r="AAK386" s="457"/>
      <c r="AAL386" s="457"/>
      <c r="AAM386" s="457"/>
      <c r="AAN386" s="457"/>
      <c r="AAO386" s="457"/>
      <c r="AAP386" s="457"/>
      <c r="AAQ386" s="457"/>
      <c r="AAR386" s="457"/>
      <c r="AAS386" s="457"/>
      <c r="AAT386" s="457"/>
      <c r="AAU386" s="457"/>
      <c r="AAV386" s="457"/>
      <c r="AAW386" s="457"/>
      <c r="AAX386" s="457"/>
      <c r="AAY386" s="457"/>
      <c r="AAZ386" s="457"/>
      <c r="ABA386" s="457"/>
      <c r="ABB386" s="457"/>
      <c r="ABC386" s="457"/>
      <c r="ABD386" s="457"/>
      <c r="ABE386" s="457"/>
      <c r="ABF386" s="457"/>
      <c r="ABG386" s="457"/>
      <c r="ABH386" s="457"/>
      <c r="ABI386" s="457"/>
      <c r="ABJ386" s="457"/>
      <c r="ABK386" s="457"/>
      <c r="ABL386" s="457"/>
      <c r="ABM386" s="457"/>
      <c r="ABN386" s="457"/>
      <c r="ABO386" s="457"/>
      <c r="ABP386" s="457"/>
      <c r="ABQ386" s="457"/>
      <c r="ABR386" s="457"/>
      <c r="ABS386" s="457"/>
      <c r="ABT386" s="457"/>
      <c r="ABU386" s="457"/>
      <c r="ABV386" s="457"/>
      <c r="ABW386" s="457"/>
      <c r="ABX386" s="457"/>
      <c r="ABY386" s="457"/>
      <c r="ABZ386" s="457"/>
      <c r="ACA386" s="457"/>
      <c r="ACB386" s="457"/>
      <c r="ACC386" s="457"/>
      <c r="ACD386" s="457"/>
      <c r="ACE386" s="457"/>
      <c r="ACF386" s="457"/>
      <c r="ACG386" s="457"/>
      <c r="ACH386" s="457"/>
      <c r="ACI386" s="457"/>
      <c r="ACJ386" s="457"/>
      <c r="ACK386" s="457"/>
      <c r="ACL386" s="457"/>
      <c r="ACM386" s="457"/>
      <c r="ACN386" s="457"/>
      <c r="ACO386" s="457"/>
      <c r="ACP386" s="457"/>
      <c r="ACQ386" s="457"/>
      <c r="ACR386" s="457"/>
      <c r="ACS386" s="457"/>
      <c r="ACT386" s="457"/>
      <c r="ACU386" s="457"/>
      <c r="ACV386" s="457"/>
    </row>
    <row r="387" spans="1:776" s="400" customFormat="1" x14ac:dyDescent="0.25">
      <c r="A387" s="43">
        <v>900100</v>
      </c>
      <c r="B387" s="34" t="s">
        <v>227</v>
      </c>
      <c r="C387" s="455"/>
      <c r="D387" s="454" t="s">
        <v>228</v>
      </c>
      <c r="E387" s="454">
        <v>0.82</v>
      </c>
      <c r="F387" s="458">
        <v>68.7</v>
      </c>
      <c r="G387" s="454">
        <v>0.01</v>
      </c>
      <c r="H387" s="454">
        <v>0.09</v>
      </c>
      <c r="I387" s="456">
        <v>27.24</v>
      </c>
      <c r="J387" s="454">
        <v>1.7</v>
      </c>
      <c r="K387" s="454">
        <v>0.01</v>
      </c>
      <c r="L387" s="454">
        <v>434.4</v>
      </c>
      <c r="M387" s="454">
        <v>0.01</v>
      </c>
      <c r="N387" s="454">
        <v>1.08</v>
      </c>
      <c r="O387" s="454">
        <v>5.19</v>
      </c>
      <c r="P387" s="454">
        <v>115.9</v>
      </c>
      <c r="Q387" s="454">
        <v>42.35</v>
      </c>
      <c r="R387" s="454">
        <v>0.01</v>
      </c>
      <c r="S387" s="454">
        <v>0.01</v>
      </c>
      <c r="T387" s="454">
        <v>0.01</v>
      </c>
      <c r="U387" s="454">
        <v>0.01</v>
      </c>
      <c r="V387" s="454"/>
      <c r="W387" s="457"/>
      <c r="X387" s="457"/>
      <c r="Y387" s="457"/>
      <c r="Z387" s="457"/>
      <c r="AA387" s="457"/>
      <c r="AB387" s="457"/>
      <c r="AC387" s="457"/>
      <c r="AD387" s="457"/>
      <c r="AE387" s="457"/>
      <c r="AF387" s="457"/>
      <c r="AG387" s="457"/>
      <c r="AH387" s="457"/>
      <c r="AI387" s="457"/>
      <c r="AJ387" s="457"/>
      <c r="AK387" s="457"/>
      <c r="AL387" s="457"/>
      <c r="AM387" s="457"/>
      <c r="AN387" s="457"/>
      <c r="AO387" s="457"/>
      <c r="AP387" s="457"/>
      <c r="AQ387" s="457"/>
      <c r="AR387" s="457"/>
      <c r="AS387" s="457"/>
      <c r="AT387" s="457"/>
      <c r="AU387" s="457"/>
      <c r="AV387" s="457"/>
      <c r="AW387" s="457"/>
      <c r="AX387" s="457"/>
      <c r="AY387" s="457"/>
      <c r="AZ387" s="457"/>
      <c r="BA387" s="457"/>
      <c r="BB387" s="457"/>
      <c r="BC387" s="457"/>
      <c r="BD387" s="457"/>
      <c r="BE387" s="457"/>
      <c r="BF387" s="457"/>
      <c r="BG387" s="457"/>
      <c r="BH387" s="457"/>
      <c r="BI387" s="457"/>
      <c r="BJ387" s="457"/>
      <c r="BK387" s="457"/>
      <c r="BL387" s="457"/>
      <c r="BM387" s="457"/>
      <c r="BN387" s="457"/>
      <c r="BO387" s="457"/>
      <c r="BP387" s="457"/>
      <c r="BQ387" s="457"/>
      <c r="BR387" s="457"/>
      <c r="BS387" s="457"/>
      <c r="BT387" s="457"/>
      <c r="BU387" s="457"/>
      <c r="BV387" s="457"/>
      <c r="BW387" s="457"/>
      <c r="BX387" s="457"/>
      <c r="BY387" s="457"/>
      <c r="BZ387" s="457"/>
      <c r="CA387" s="457"/>
      <c r="CB387" s="457"/>
      <c r="CC387" s="457"/>
      <c r="CD387" s="457"/>
      <c r="CE387" s="457"/>
      <c r="CF387" s="457"/>
      <c r="CG387" s="457"/>
      <c r="CH387" s="457"/>
      <c r="CI387" s="457"/>
      <c r="CJ387" s="457"/>
      <c r="CK387" s="457"/>
      <c r="CL387" s="457"/>
      <c r="CM387" s="457"/>
      <c r="CN387" s="457"/>
      <c r="CO387" s="457"/>
      <c r="CP387" s="457"/>
      <c r="CQ387" s="457"/>
      <c r="CR387" s="457"/>
      <c r="CS387" s="457"/>
      <c r="CT387" s="457"/>
      <c r="CU387" s="457"/>
      <c r="CV387" s="457"/>
      <c r="CW387" s="457"/>
      <c r="CX387" s="457"/>
      <c r="CY387" s="457"/>
      <c r="CZ387" s="457"/>
      <c r="DA387" s="457"/>
      <c r="DB387" s="457"/>
      <c r="DC387" s="457"/>
      <c r="DD387" s="457"/>
      <c r="DE387" s="457"/>
      <c r="DF387" s="457"/>
      <c r="DG387" s="457"/>
      <c r="DH387" s="457"/>
      <c r="DI387" s="457"/>
      <c r="DJ387" s="457"/>
      <c r="DK387" s="457"/>
      <c r="DL387" s="457"/>
      <c r="DM387" s="457"/>
      <c r="DN387" s="457"/>
      <c r="DO387" s="457"/>
      <c r="DP387" s="457"/>
      <c r="DQ387" s="457"/>
      <c r="DR387" s="457"/>
      <c r="DS387" s="457"/>
      <c r="DT387" s="457"/>
      <c r="DU387" s="457"/>
      <c r="DV387" s="457"/>
      <c r="DW387" s="457"/>
      <c r="DX387" s="457"/>
      <c r="DY387" s="457"/>
      <c r="DZ387" s="457"/>
      <c r="EA387" s="457"/>
      <c r="EB387" s="457"/>
      <c r="EC387" s="457"/>
      <c r="ED387" s="457"/>
      <c r="EE387" s="457"/>
      <c r="EF387" s="457"/>
      <c r="EG387" s="457"/>
      <c r="EH387" s="457"/>
      <c r="EI387" s="457"/>
      <c r="EJ387" s="457"/>
      <c r="EK387" s="457"/>
      <c r="EL387" s="457"/>
      <c r="EM387" s="457"/>
      <c r="EN387" s="457"/>
      <c r="EO387" s="457"/>
      <c r="EP387" s="457"/>
      <c r="EQ387" s="457"/>
      <c r="ER387" s="457"/>
      <c r="ES387" s="457"/>
      <c r="ET387" s="457"/>
      <c r="EU387" s="457"/>
      <c r="EV387" s="457"/>
      <c r="EW387" s="457"/>
      <c r="EX387" s="457"/>
      <c r="EY387" s="457"/>
      <c r="EZ387" s="457"/>
      <c r="FA387" s="457"/>
      <c r="FB387" s="457"/>
      <c r="FC387" s="457"/>
      <c r="FD387" s="457"/>
      <c r="FE387" s="457"/>
      <c r="FF387" s="457"/>
      <c r="FG387" s="457"/>
      <c r="FH387" s="457"/>
      <c r="FI387" s="457"/>
      <c r="FJ387" s="457"/>
      <c r="FK387" s="457"/>
      <c r="FL387" s="457"/>
      <c r="FM387" s="457"/>
      <c r="FN387" s="457"/>
      <c r="FO387" s="457"/>
      <c r="FP387" s="457"/>
      <c r="FQ387" s="457"/>
      <c r="FR387" s="457"/>
      <c r="FS387" s="457"/>
      <c r="FT387" s="457"/>
      <c r="FU387" s="457"/>
      <c r="FV387" s="457"/>
      <c r="FW387" s="457"/>
      <c r="FX387" s="457"/>
      <c r="FY387" s="457"/>
      <c r="FZ387" s="457"/>
      <c r="GA387" s="457"/>
      <c r="GB387" s="457"/>
      <c r="GC387" s="457"/>
      <c r="GD387" s="457"/>
      <c r="GE387" s="457"/>
      <c r="GF387" s="457"/>
      <c r="GG387" s="457"/>
      <c r="GH387" s="457"/>
      <c r="GI387" s="457"/>
      <c r="GJ387" s="457"/>
      <c r="GK387" s="457"/>
      <c r="GL387" s="457"/>
      <c r="GM387" s="457"/>
      <c r="GN387" s="457"/>
      <c r="GO387" s="457"/>
      <c r="GP387" s="457"/>
      <c r="GQ387" s="457"/>
      <c r="GR387" s="457"/>
      <c r="GS387" s="457"/>
      <c r="GT387" s="457"/>
      <c r="GU387" s="457"/>
      <c r="GV387" s="457"/>
      <c r="GW387" s="457"/>
      <c r="GX387" s="457"/>
      <c r="GY387" s="457"/>
      <c r="GZ387" s="457"/>
      <c r="HA387" s="457"/>
      <c r="HB387" s="457"/>
      <c r="HC387" s="457"/>
      <c r="HD387" s="457"/>
      <c r="HE387" s="457"/>
      <c r="HF387" s="457"/>
      <c r="HG387" s="457"/>
      <c r="HH387" s="457"/>
      <c r="HI387" s="457"/>
      <c r="HJ387" s="457"/>
      <c r="HK387" s="457"/>
      <c r="HL387" s="457"/>
      <c r="HM387" s="457"/>
      <c r="HN387" s="457"/>
      <c r="HO387" s="457"/>
      <c r="HP387" s="457"/>
      <c r="HQ387" s="457"/>
      <c r="HR387" s="457"/>
      <c r="HS387" s="457"/>
      <c r="HT387" s="457"/>
      <c r="HU387" s="457"/>
      <c r="HV387" s="457"/>
      <c r="HW387" s="457"/>
      <c r="HX387" s="457"/>
      <c r="HY387" s="457"/>
      <c r="HZ387" s="457"/>
      <c r="IA387" s="457"/>
      <c r="IB387" s="457"/>
      <c r="IC387" s="457"/>
      <c r="ID387" s="457"/>
      <c r="IE387" s="457"/>
      <c r="IF387" s="457"/>
      <c r="IG387" s="457"/>
      <c r="IH387" s="457"/>
      <c r="II387" s="457"/>
      <c r="IJ387" s="457"/>
      <c r="IK387" s="457"/>
      <c r="IL387" s="457"/>
      <c r="IM387" s="457"/>
      <c r="IN387" s="457"/>
      <c r="IO387" s="457"/>
      <c r="IP387" s="457"/>
      <c r="IQ387" s="457"/>
      <c r="IR387" s="457"/>
      <c r="IS387" s="457"/>
      <c r="IT387" s="457"/>
      <c r="IU387" s="457"/>
      <c r="IV387" s="457"/>
      <c r="IW387" s="457"/>
      <c r="IX387" s="457"/>
      <c r="IY387" s="457"/>
      <c r="IZ387" s="457"/>
      <c r="JA387" s="457"/>
      <c r="JB387" s="457"/>
      <c r="JC387" s="457"/>
      <c r="JD387" s="457"/>
      <c r="JE387" s="457"/>
      <c r="JF387" s="457"/>
      <c r="JG387" s="457"/>
      <c r="JH387" s="457"/>
      <c r="JI387" s="457"/>
      <c r="JJ387" s="457"/>
      <c r="JK387" s="457"/>
      <c r="JL387" s="457"/>
      <c r="JM387" s="457"/>
      <c r="JN387" s="457"/>
      <c r="JO387" s="457"/>
      <c r="JP387" s="457"/>
      <c r="JQ387" s="457"/>
      <c r="JR387" s="457"/>
      <c r="JS387" s="457"/>
      <c r="JT387" s="457"/>
      <c r="JU387" s="457"/>
      <c r="JV387" s="457"/>
      <c r="JW387" s="457"/>
      <c r="JX387" s="457"/>
      <c r="JY387" s="457"/>
      <c r="JZ387" s="457"/>
      <c r="KA387" s="457"/>
      <c r="KB387" s="457"/>
      <c r="KC387" s="457"/>
      <c r="KD387" s="457"/>
      <c r="KE387" s="457"/>
      <c r="KF387" s="457"/>
      <c r="KG387" s="457"/>
      <c r="KH387" s="457"/>
      <c r="KI387" s="457"/>
      <c r="KJ387" s="457"/>
      <c r="KK387" s="457"/>
      <c r="KL387" s="457"/>
      <c r="KM387" s="457"/>
      <c r="KN387" s="457"/>
      <c r="KO387" s="457"/>
      <c r="KP387" s="457"/>
      <c r="KQ387" s="457"/>
      <c r="KR387" s="457"/>
      <c r="KS387" s="457"/>
      <c r="KT387" s="457"/>
      <c r="KU387" s="457"/>
      <c r="KV387" s="457"/>
      <c r="KW387" s="457"/>
      <c r="KX387" s="457"/>
      <c r="KY387" s="457"/>
      <c r="KZ387" s="457"/>
      <c r="LA387" s="457"/>
      <c r="LB387" s="457"/>
      <c r="LC387" s="457"/>
      <c r="LD387" s="457"/>
      <c r="LE387" s="457"/>
      <c r="LF387" s="457"/>
      <c r="LG387" s="457"/>
      <c r="LH387" s="457"/>
      <c r="LI387" s="457"/>
      <c r="LJ387" s="457"/>
      <c r="LK387" s="457"/>
      <c r="LL387" s="457"/>
      <c r="LM387" s="457"/>
      <c r="LN387" s="457"/>
      <c r="LO387" s="457"/>
      <c r="LP387" s="457"/>
      <c r="LQ387" s="457"/>
      <c r="LR387" s="457"/>
      <c r="LS387" s="457"/>
      <c r="LT387" s="457"/>
      <c r="LU387" s="457"/>
      <c r="LV387" s="457"/>
      <c r="LW387" s="457"/>
      <c r="LX387" s="457"/>
      <c r="LY387" s="457"/>
      <c r="LZ387" s="457"/>
      <c r="MA387" s="457"/>
      <c r="MB387" s="457"/>
      <c r="MC387" s="457"/>
      <c r="MD387" s="457"/>
      <c r="ME387" s="457"/>
      <c r="MF387" s="457"/>
      <c r="MG387" s="457"/>
      <c r="MH387" s="457"/>
      <c r="MI387" s="457"/>
      <c r="MJ387" s="457"/>
      <c r="MK387" s="457"/>
      <c r="ML387" s="457"/>
      <c r="MM387" s="457"/>
      <c r="MN387" s="457"/>
      <c r="MO387" s="457"/>
      <c r="MP387" s="457"/>
      <c r="MQ387" s="457"/>
      <c r="MR387" s="457"/>
      <c r="MS387" s="457"/>
      <c r="MT387" s="457"/>
      <c r="MU387" s="457"/>
      <c r="MV387" s="457"/>
      <c r="MW387" s="457"/>
      <c r="MX387" s="457"/>
      <c r="MY387" s="457"/>
      <c r="MZ387" s="457"/>
      <c r="NA387" s="457"/>
      <c r="NB387" s="457"/>
      <c r="NC387" s="457"/>
      <c r="ND387" s="457"/>
      <c r="NE387" s="457"/>
      <c r="NF387" s="457"/>
      <c r="NG387" s="457"/>
      <c r="NH387" s="457"/>
      <c r="NI387" s="457"/>
      <c r="NJ387" s="457"/>
      <c r="NK387" s="457"/>
      <c r="NL387" s="457"/>
      <c r="NM387" s="457"/>
      <c r="NN387" s="457"/>
      <c r="NO387" s="457"/>
      <c r="NP387" s="457"/>
      <c r="NQ387" s="457"/>
      <c r="NR387" s="457"/>
      <c r="NS387" s="457"/>
      <c r="NT387" s="457"/>
      <c r="NU387" s="457"/>
      <c r="NV387" s="457"/>
      <c r="NW387" s="457"/>
      <c r="NX387" s="457"/>
      <c r="NY387" s="457"/>
      <c r="NZ387" s="457"/>
      <c r="OA387" s="457"/>
      <c r="OB387" s="457"/>
      <c r="OC387" s="457"/>
      <c r="OD387" s="457"/>
      <c r="OE387" s="457"/>
      <c r="OF387" s="457"/>
      <c r="OG387" s="457"/>
      <c r="OH387" s="457"/>
      <c r="OI387" s="457"/>
      <c r="OJ387" s="457"/>
      <c r="OK387" s="457"/>
      <c r="OL387" s="457"/>
      <c r="OM387" s="457"/>
      <c r="ON387" s="457"/>
      <c r="OO387" s="457"/>
      <c r="OP387" s="457"/>
      <c r="OQ387" s="457"/>
      <c r="OR387" s="457"/>
      <c r="OS387" s="457"/>
      <c r="OT387" s="457"/>
      <c r="OU387" s="457"/>
      <c r="OV387" s="457"/>
      <c r="OW387" s="457"/>
      <c r="OX387" s="457"/>
      <c r="OY387" s="457"/>
      <c r="OZ387" s="457"/>
      <c r="PA387" s="457"/>
      <c r="PB387" s="457"/>
      <c r="PC387" s="457"/>
      <c r="PD387" s="457"/>
      <c r="PE387" s="457"/>
      <c r="PF387" s="457"/>
      <c r="PG387" s="457"/>
      <c r="PH387" s="457"/>
      <c r="PI387" s="457"/>
      <c r="PJ387" s="457"/>
      <c r="PK387" s="457"/>
      <c r="PL387" s="457"/>
      <c r="PM387" s="457"/>
      <c r="PN387" s="457"/>
      <c r="PO387" s="457"/>
      <c r="PP387" s="457"/>
      <c r="PQ387" s="457"/>
      <c r="PR387" s="457"/>
      <c r="PS387" s="457"/>
      <c r="PT387" s="457"/>
      <c r="PU387" s="457"/>
      <c r="PV387" s="457"/>
      <c r="PW387" s="457"/>
      <c r="PX387" s="457"/>
      <c r="PY387" s="457"/>
      <c r="PZ387" s="457"/>
      <c r="QA387" s="457"/>
      <c r="QB387" s="457"/>
      <c r="QC387" s="457"/>
      <c r="QD387" s="457"/>
      <c r="QE387" s="457"/>
      <c r="QF387" s="457"/>
      <c r="QG387" s="457"/>
      <c r="QH387" s="457"/>
      <c r="QI387" s="457"/>
      <c r="QJ387" s="457"/>
      <c r="QK387" s="457"/>
      <c r="QL387" s="457"/>
      <c r="QM387" s="457"/>
      <c r="QN387" s="457"/>
      <c r="QO387" s="457"/>
      <c r="QP387" s="457"/>
      <c r="QQ387" s="457"/>
      <c r="QR387" s="457"/>
      <c r="QS387" s="457"/>
      <c r="QT387" s="457"/>
      <c r="QU387" s="457"/>
      <c r="QV387" s="457"/>
      <c r="QW387" s="457"/>
      <c r="QX387" s="457"/>
      <c r="QY387" s="457"/>
      <c r="QZ387" s="457"/>
      <c r="RA387" s="457"/>
      <c r="RB387" s="457"/>
      <c r="RC387" s="457"/>
      <c r="RD387" s="457"/>
      <c r="RE387" s="457"/>
      <c r="RF387" s="457"/>
      <c r="RG387" s="457"/>
      <c r="RH387" s="457"/>
      <c r="RI387" s="457"/>
      <c r="RJ387" s="457"/>
      <c r="RK387" s="457"/>
      <c r="RL387" s="457"/>
      <c r="RM387" s="457"/>
      <c r="RN387" s="457"/>
      <c r="RO387" s="457"/>
      <c r="RP387" s="457"/>
      <c r="RQ387" s="457"/>
      <c r="RR387" s="457"/>
      <c r="RS387" s="457"/>
      <c r="RT387" s="457"/>
      <c r="RU387" s="457"/>
      <c r="RV387" s="457"/>
      <c r="RW387" s="457"/>
      <c r="RX387" s="457"/>
      <c r="RY387" s="457"/>
      <c r="RZ387" s="457"/>
      <c r="SA387" s="457"/>
      <c r="SB387" s="457"/>
      <c r="SC387" s="457"/>
      <c r="SD387" s="457"/>
      <c r="SE387" s="457"/>
      <c r="SF387" s="457"/>
      <c r="SG387" s="457"/>
      <c r="SH387" s="457"/>
      <c r="SI387" s="457"/>
      <c r="SJ387" s="457"/>
      <c r="SK387" s="457"/>
      <c r="SL387" s="457"/>
      <c r="SM387" s="457"/>
      <c r="SN387" s="457"/>
      <c r="SO387" s="457"/>
      <c r="SP387" s="457"/>
      <c r="SQ387" s="457"/>
      <c r="SR387" s="457"/>
      <c r="SS387" s="457"/>
      <c r="ST387" s="457"/>
      <c r="SU387" s="457"/>
      <c r="SV387" s="457"/>
      <c r="SW387" s="457"/>
      <c r="SX387" s="457"/>
      <c r="SY387" s="457"/>
      <c r="SZ387" s="457"/>
      <c r="TA387" s="457"/>
      <c r="TB387" s="457"/>
      <c r="TC387" s="457"/>
      <c r="TD387" s="457"/>
      <c r="TE387" s="457"/>
      <c r="TF387" s="457"/>
      <c r="TG387" s="457"/>
      <c r="TH387" s="457"/>
      <c r="TI387" s="457"/>
      <c r="TJ387" s="457"/>
      <c r="TK387" s="457"/>
      <c r="TL387" s="457"/>
      <c r="TM387" s="457"/>
      <c r="TN387" s="457"/>
      <c r="TO387" s="457"/>
      <c r="TP387" s="457"/>
      <c r="TQ387" s="457"/>
      <c r="TR387" s="457"/>
      <c r="TS387" s="457"/>
      <c r="TT387" s="457"/>
      <c r="TU387" s="457"/>
      <c r="TV387" s="457"/>
      <c r="TW387" s="457"/>
      <c r="TX387" s="457"/>
      <c r="TY387" s="457"/>
      <c r="TZ387" s="457"/>
      <c r="UA387" s="457"/>
      <c r="UB387" s="457"/>
      <c r="UC387" s="457"/>
      <c r="UD387" s="457"/>
      <c r="UE387" s="457"/>
      <c r="UF387" s="457"/>
      <c r="UG387" s="457"/>
      <c r="UH387" s="457"/>
      <c r="UI387" s="457"/>
      <c r="UJ387" s="457"/>
      <c r="UK387" s="457"/>
      <c r="UL387" s="457"/>
      <c r="UM387" s="457"/>
      <c r="UN387" s="457"/>
      <c r="UO387" s="457"/>
      <c r="UP387" s="457"/>
      <c r="UQ387" s="457"/>
      <c r="UR387" s="457"/>
      <c r="US387" s="457"/>
      <c r="UT387" s="457"/>
      <c r="UU387" s="457"/>
      <c r="UV387" s="457"/>
      <c r="UW387" s="457"/>
      <c r="UX387" s="457"/>
      <c r="UY387" s="457"/>
      <c r="UZ387" s="457"/>
      <c r="VA387" s="457"/>
      <c r="VB387" s="457"/>
      <c r="VC387" s="457"/>
      <c r="VD387" s="457"/>
      <c r="VE387" s="457"/>
      <c r="VF387" s="457"/>
      <c r="VG387" s="457"/>
      <c r="VH387" s="457"/>
      <c r="VI387" s="457"/>
      <c r="VJ387" s="457"/>
      <c r="VK387" s="457"/>
      <c r="VL387" s="457"/>
      <c r="VM387" s="457"/>
      <c r="VN387" s="457"/>
      <c r="VO387" s="457"/>
      <c r="VP387" s="457"/>
      <c r="VQ387" s="457"/>
      <c r="VR387" s="457"/>
      <c r="VS387" s="457"/>
      <c r="VT387" s="457"/>
      <c r="VU387" s="457"/>
      <c r="VV387" s="457"/>
      <c r="VW387" s="457"/>
      <c r="VX387" s="457"/>
      <c r="VY387" s="457"/>
      <c r="VZ387" s="457"/>
      <c r="WA387" s="457"/>
      <c r="WB387" s="457"/>
      <c r="WC387" s="457"/>
      <c r="WD387" s="457"/>
      <c r="WE387" s="457"/>
      <c r="WF387" s="457"/>
      <c r="WG387" s="457"/>
      <c r="WH387" s="457"/>
      <c r="WI387" s="457"/>
      <c r="WJ387" s="457"/>
      <c r="WK387" s="457"/>
      <c r="WL387" s="457"/>
      <c r="WM387" s="457"/>
      <c r="WN387" s="457"/>
      <c r="WO387" s="457"/>
      <c r="WP387" s="457"/>
      <c r="WQ387" s="457"/>
      <c r="WR387" s="457"/>
      <c r="WS387" s="457"/>
      <c r="WT387" s="457"/>
      <c r="WU387" s="457"/>
      <c r="WV387" s="457"/>
      <c r="WW387" s="457"/>
      <c r="WX387" s="457"/>
      <c r="WY387" s="457"/>
      <c r="WZ387" s="457"/>
      <c r="XA387" s="457"/>
      <c r="XB387" s="457"/>
      <c r="XC387" s="457"/>
      <c r="XD387" s="457"/>
      <c r="XE387" s="457"/>
      <c r="XF387" s="457"/>
      <c r="XG387" s="457"/>
      <c r="XH387" s="457"/>
      <c r="XI387" s="457"/>
      <c r="XJ387" s="457"/>
      <c r="XK387" s="457"/>
      <c r="XL387" s="457"/>
      <c r="XM387" s="457"/>
      <c r="XN387" s="457"/>
      <c r="XO387" s="457"/>
      <c r="XP387" s="457"/>
      <c r="XQ387" s="457"/>
      <c r="XR387" s="457"/>
      <c r="XS387" s="457"/>
      <c r="XT387" s="457"/>
      <c r="XU387" s="457"/>
      <c r="XV387" s="457"/>
      <c r="XW387" s="457"/>
      <c r="XX387" s="457"/>
      <c r="XY387" s="457"/>
      <c r="XZ387" s="457"/>
      <c r="YA387" s="457"/>
      <c r="YB387" s="457"/>
      <c r="YC387" s="457"/>
      <c r="YD387" s="457"/>
      <c r="YE387" s="457"/>
      <c r="YF387" s="457"/>
      <c r="YG387" s="457"/>
      <c r="YH387" s="457"/>
      <c r="YI387" s="457"/>
      <c r="YJ387" s="457"/>
      <c r="YK387" s="457"/>
      <c r="YL387" s="457"/>
      <c r="YM387" s="457"/>
      <c r="YN387" s="457"/>
      <c r="YO387" s="457"/>
      <c r="YP387" s="457"/>
      <c r="YQ387" s="457"/>
      <c r="YR387" s="457"/>
      <c r="YS387" s="457"/>
      <c r="YT387" s="457"/>
      <c r="YU387" s="457"/>
      <c r="YV387" s="457"/>
      <c r="YW387" s="457"/>
      <c r="YX387" s="457"/>
      <c r="YY387" s="457"/>
      <c r="YZ387" s="457"/>
      <c r="ZA387" s="457"/>
      <c r="ZB387" s="457"/>
      <c r="ZC387" s="457"/>
      <c r="ZD387" s="457"/>
      <c r="ZE387" s="457"/>
      <c r="ZF387" s="457"/>
      <c r="ZG387" s="457"/>
      <c r="ZH387" s="457"/>
      <c r="ZI387" s="457"/>
      <c r="ZJ387" s="457"/>
      <c r="ZK387" s="457"/>
      <c r="ZL387" s="457"/>
      <c r="ZM387" s="457"/>
      <c r="ZN387" s="457"/>
      <c r="ZO387" s="457"/>
      <c r="ZP387" s="457"/>
      <c r="ZQ387" s="457"/>
      <c r="ZR387" s="457"/>
      <c r="ZS387" s="457"/>
      <c r="ZT387" s="457"/>
      <c r="ZU387" s="457"/>
      <c r="ZV387" s="457"/>
      <c r="ZW387" s="457"/>
      <c r="ZX387" s="457"/>
      <c r="ZY387" s="457"/>
      <c r="ZZ387" s="457"/>
      <c r="AAA387" s="457"/>
      <c r="AAB387" s="457"/>
      <c r="AAC387" s="457"/>
      <c r="AAD387" s="457"/>
      <c r="AAE387" s="457"/>
      <c r="AAF387" s="457"/>
      <c r="AAG387" s="457"/>
      <c r="AAH387" s="457"/>
      <c r="AAI387" s="457"/>
      <c r="AAJ387" s="457"/>
      <c r="AAK387" s="457"/>
      <c r="AAL387" s="457"/>
      <c r="AAM387" s="457"/>
      <c r="AAN387" s="457"/>
      <c r="AAO387" s="457"/>
      <c r="AAP387" s="457"/>
      <c r="AAQ387" s="457"/>
      <c r="AAR387" s="457"/>
      <c r="AAS387" s="457"/>
      <c r="AAT387" s="457"/>
      <c r="AAU387" s="457"/>
      <c r="AAV387" s="457"/>
      <c r="AAW387" s="457"/>
      <c r="AAX387" s="457"/>
      <c r="AAY387" s="457"/>
      <c r="AAZ387" s="457"/>
      <c r="ABA387" s="457"/>
      <c r="ABB387" s="457"/>
      <c r="ABC387" s="457"/>
      <c r="ABD387" s="457"/>
      <c r="ABE387" s="457"/>
      <c r="ABF387" s="457"/>
      <c r="ABG387" s="457"/>
      <c r="ABH387" s="457"/>
      <c r="ABI387" s="457"/>
      <c r="ABJ387" s="457"/>
      <c r="ABK387" s="457"/>
      <c r="ABL387" s="457"/>
      <c r="ABM387" s="457"/>
      <c r="ABN387" s="457"/>
      <c r="ABO387" s="457"/>
      <c r="ABP387" s="457"/>
      <c r="ABQ387" s="457"/>
      <c r="ABR387" s="457"/>
      <c r="ABS387" s="457"/>
      <c r="ABT387" s="457"/>
      <c r="ABU387" s="457"/>
      <c r="ABV387" s="457"/>
      <c r="ABW387" s="457"/>
      <c r="ABX387" s="457"/>
      <c r="ABY387" s="457"/>
      <c r="ABZ387" s="457"/>
      <c r="ACA387" s="457"/>
      <c r="ACB387" s="457"/>
      <c r="ACC387" s="457"/>
      <c r="ACD387" s="457"/>
      <c r="ACE387" s="457"/>
      <c r="ACF387" s="457"/>
      <c r="ACG387" s="457"/>
      <c r="ACH387" s="457"/>
      <c r="ACI387" s="457"/>
      <c r="ACJ387" s="457"/>
      <c r="ACK387" s="457"/>
      <c r="ACL387" s="457"/>
      <c r="ACM387" s="457"/>
      <c r="ACN387" s="457"/>
      <c r="ACO387" s="457"/>
      <c r="ACP387" s="457"/>
      <c r="ACQ387" s="457"/>
      <c r="ACR387" s="457"/>
      <c r="ACS387" s="457"/>
      <c r="ACT387" s="457"/>
      <c r="ACU387" s="457"/>
      <c r="ACV387" s="457"/>
    </row>
    <row r="388" spans="1:776" s="400" customFormat="1" x14ac:dyDescent="0.25">
      <c r="A388" s="43">
        <v>900101</v>
      </c>
      <c r="B388" s="34" t="s">
        <v>229</v>
      </c>
      <c r="C388" s="455"/>
      <c r="D388" s="454" t="s">
        <v>215</v>
      </c>
      <c r="E388" s="454">
        <v>1.1299999999999999</v>
      </c>
      <c r="F388" s="458">
        <v>40.799999999999997</v>
      </c>
      <c r="G388" s="454">
        <v>0.01</v>
      </c>
      <c r="H388" s="454">
        <v>7.0000000000000007E-2</v>
      </c>
      <c r="I388" s="456">
        <v>102.77</v>
      </c>
      <c r="J388" s="454">
        <v>157.1</v>
      </c>
      <c r="K388" s="454">
        <v>0.01</v>
      </c>
      <c r="L388" s="454">
        <v>367.2</v>
      </c>
      <c r="M388" s="454">
        <v>0.01</v>
      </c>
      <c r="N388" s="454">
        <v>0.91</v>
      </c>
      <c r="O388" s="454">
        <v>58.81</v>
      </c>
      <c r="P388" s="454">
        <v>122.42</v>
      </c>
      <c r="Q388" s="454">
        <v>55.75</v>
      </c>
      <c r="R388" s="454">
        <v>0.01</v>
      </c>
      <c r="S388" s="454">
        <v>0.01</v>
      </c>
      <c r="T388" s="454">
        <v>0.01</v>
      </c>
      <c r="U388" s="454">
        <v>0.01</v>
      </c>
      <c r="V388" s="454"/>
      <c r="W388" s="457"/>
      <c r="X388" s="457"/>
      <c r="Y388" s="457"/>
      <c r="Z388" s="457"/>
      <c r="AA388" s="457"/>
      <c r="AB388" s="457"/>
      <c r="AC388" s="457"/>
      <c r="AD388" s="457"/>
      <c r="AE388" s="457"/>
      <c r="AF388" s="457"/>
      <c r="AG388" s="457"/>
      <c r="AH388" s="457"/>
      <c r="AI388" s="457"/>
      <c r="AJ388" s="457"/>
      <c r="AK388" s="457"/>
      <c r="AL388" s="457"/>
      <c r="AM388" s="457"/>
      <c r="AN388" s="457"/>
      <c r="AO388" s="457"/>
      <c r="AP388" s="457"/>
      <c r="AQ388" s="457"/>
      <c r="AR388" s="457"/>
      <c r="AS388" s="457"/>
      <c r="AT388" s="457"/>
      <c r="AU388" s="457"/>
      <c r="AV388" s="457"/>
      <c r="AW388" s="457"/>
      <c r="AX388" s="457"/>
      <c r="AY388" s="457"/>
      <c r="AZ388" s="457"/>
      <c r="BA388" s="457"/>
      <c r="BB388" s="457"/>
      <c r="BC388" s="457"/>
      <c r="BD388" s="457"/>
      <c r="BE388" s="457"/>
      <c r="BF388" s="457"/>
      <c r="BG388" s="457"/>
      <c r="BH388" s="457"/>
      <c r="BI388" s="457"/>
      <c r="BJ388" s="457"/>
      <c r="BK388" s="457"/>
      <c r="BL388" s="457"/>
      <c r="BM388" s="457"/>
      <c r="BN388" s="457"/>
      <c r="BO388" s="457"/>
      <c r="BP388" s="457"/>
      <c r="BQ388" s="457"/>
      <c r="BR388" s="457"/>
      <c r="BS388" s="457"/>
      <c r="BT388" s="457"/>
      <c r="BU388" s="457"/>
      <c r="BV388" s="457"/>
      <c r="BW388" s="457"/>
      <c r="BX388" s="457"/>
      <c r="BY388" s="457"/>
      <c r="BZ388" s="457"/>
      <c r="CA388" s="457"/>
      <c r="CB388" s="457"/>
      <c r="CC388" s="457"/>
      <c r="CD388" s="457"/>
      <c r="CE388" s="457"/>
      <c r="CF388" s="457"/>
      <c r="CG388" s="457"/>
      <c r="CH388" s="457"/>
      <c r="CI388" s="457"/>
      <c r="CJ388" s="457"/>
      <c r="CK388" s="457"/>
      <c r="CL388" s="457"/>
      <c r="CM388" s="457"/>
      <c r="CN388" s="457"/>
      <c r="CO388" s="457"/>
      <c r="CP388" s="457"/>
      <c r="CQ388" s="457"/>
      <c r="CR388" s="457"/>
      <c r="CS388" s="457"/>
      <c r="CT388" s="457"/>
      <c r="CU388" s="457"/>
      <c r="CV388" s="457"/>
      <c r="CW388" s="457"/>
      <c r="CX388" s="457"/>
      <c r="CY388" s="457"/>
      <c r="CZ388" s="457"/>
      <c r="DA388" s="457"/>
      <c r="DB388" s="457"/>
      <c r="DC388" s="457"/>
      <c r="DD388" s="457"/>
      <c r="DE388" s="457"/>
      <c r="DF388" s="457"/>
      <c r="DG388" s="457"/>
      <c r="DH388" s="457"/>
      <c r="DI388" s="457"/>
      <c r="DJ388" s="457"/>
      <c r="DK388" s="457"/>
      <c r="DL388" s="457"/>
      <c r="DM388" s="457"/>
      <c r="DN388" s="457"/>
      <c r="DO388" s="457"/>
      <c r="DP388" s="457"/>
      <c r="DQ388" s="457"/>
      <c r="DR388" s="457"/>
      <c r="DS388" s="457"/>
      <c r="DT388" s="457"/>
      <c r="DU388" s="457"/>
      <c r="DV388" s="457"/>
      <c r="DW388" s="457"/>
      <c r="DX388" s="457"/>
      <c r="DY388" s="457"/>
      <c r="DZ388" s="457"/>
      <c r="EA388" s="457"/>
      <c r="EB388" s="457"/>
      <c r="EC388" s="457"/>
      <c r="ED388" s="457"/>
      <c r="EE388" s="457"/>
      <c r="EF388" s="457"/>
      <c r="EG388" s="457"/>
      <c r="EH388" s="457"/>
      <c r="EI388" s="457"/>
      <c r="EJ388" s="457"/>
      <c r="EK388" s="457"/>
      <c r="EL388" s="457"/>
      <c r="EM388" s="457"/>
      <c r="EN388" s="457"/>
      <c r="EO388" s="457"/>
      <c r="EP388" s="457"/>
      <c r="EQ388" s="457"/>
      <c r="ER388" s="457"/>
      <c r="ES388" s="457"/>
      <c r="ET388" s="457"/>
      <c r="EU388" s="457"/>
      <c r="EV388" s="457"/>
      <c r="EW388" s="457"/>
      <c r="EX388" s="457"/>
      <c r="EY388" s="457"/>
      <c r="EZ388" s="457"/>
      <c r="FA388" s="457"/>
      <c r="FB388" s="457"/>
      <c r="FC388" s="457"/>
      <c r="FD388" s="457"/>
      <c r="FE388" s="457"/>
      <c r="FF388" s="457"/>
      <c r="FG388" s="457"/>
      <c r="FH388" s="457"/>
      <c r="FI388" s="457"/>
      <c r="FJ388" s="457"/>
      <c r="FK388" s="457"/>
      <c r="FL388" s="457"/>
      <c r="FM388" s="457"/>
      <c r="FN388" s="457"/>
      <c r="FO388" s="457"/>
      <c r="FP388" s="457"/>
      <c r="FQ388" s="457"/>
      <c r="FR388" s="457"/>
      <c r="FS388" s="457"/>
      <c r="FT388" s="457"/>
      <c r="FU388" s="457"/>
      <c r="FV388" s="457"/>
      <c r="FW388" s="457"/>
      <c r="FX388" s="457"/>
      <c r="FY388" s="457"/>
      <c r="FZ388" s="457"/>
      <c r="GA388" s="457"/>
      <c r="GB388" s="457"/>
      <c r="GC388" s="457"/>
      <c r="GD388" s="457"/>
      <c r="GE388" s="457"/>
      <c r="GF388" s="457"/>
      <c r="GG388" s="457"/>
      <c r="GH388" s="457"/>
      <c r="GI388" s="457"/>
      <c r="GJ388" s="457"/>
      <c r="GK388" s="457"/>
      <c r="GL388" s="457"/>
      <c r="GM388" s="457"/>
      <c r="GN388" s="457"/>
      <c r="GO388" s="457"/>
      <c r="GP388" s="457"/>
      <c r="GQ388" s="457"/>
      <c r="GR388" s="457"/>
      <c r="GS388" s="457"/>
      <c r="GT388" s="457"/>
      <c r="GU388" s="457"/>
      <c r="GV388" s="457"/>
      <c r="GW388" s="457"/>
      <c r="GX388" s="457"/>
      <c r="GY388" s="457"/>
      <c r="GZ388" s="457"/>
      <c r="HA388" s="457"/>
      <c r="HB388" s="457"/>
      <c r="HC388" s="457"/>
      <c r="HD388" s="457"/>
      <c r="HE388" s="457"/>
      <c r="HF388" s="457"/>
      <c r="HG388" s="457"/>
      <c r="HH388" s="457"/>
      <c r="HI388" s="457"/>
      <c r="HJ388" s="457"/>
      <c r="HK388" s="457"/>
      <c r="HL388" s="457"/>
      <c r="HM388" s="457"/>
      <c r="HN388" s="457"/>
      <c r="HO388" s="457"/>
      <c r="HP388" s="457"/>
      <c r="HQ388" s="457"/>
      <c r="HR388" s="457"/>
      <c r="HS388" s="457"/>
      <c r="HT388" s="457"/>
      <c r="HU388" s="457"/>
      <c r="HV388" s="457"/>
      <c r="HW388" s="457"/>
      <c r="HX388" s="457"/>
      <c r="HY388" s="457"/>
      <c r="HZ388" s="457"/>
      <c r="IA388" s="457"/>
      <c r="IB388" s="457"/>
      <c r="IC388" s="457"/>
      <c r="ID388" s="457"/>
      <c r="IE388" s="457"/>
      <c r="IF388" s="457"/>
      <c r="IG388" s="457"/>
      <c r="IH388" s="457"/>
      <c r="II388" s="457"/>
      <c r="IJ388" s="457"/>
      <c r="IK388" s="457"/>
      <c r="IL388" s="457"/>
      <c r="IM388" s="457"/>
      <c r="IN388" s="457"/>
      <c r="IO388" s="457"/>
      <c r="IP388" s="457"/>
      <c r="IQ388" s="457"/>
      <c r="IR388" s="457"/>
      <c r="IS388" s="457"/>
      <c r="IT388" s="457"/>
      <c r="IU388" s="457"/>
      <c r="IV388" s="457"/>
      <c r="IW388" s="457"/>
      <c r="IX388" s="457"/>
      <c r="IY388" s="457"/>
      <c r="IZ388" s="457"/>
      <c r="JA388" s="457"/>
      <c r="JB388" s="457"/>
      <c r="JC388" s="457"/>
      <c r="JD388" s="457"/>
      <c r="JE388" s="457"/>
      <c r="JF388" s="457"/>
      <c r="JG388" s="457"/>
      <c r="JH388" s="457"/>
      <c r="JI388" s="457"/>
      <c r="JJ388" s="457"/>
      <c r="JK388" s="457"/>
      <c r="JL388" s="457"/>
      <c r="JM388" s="457"/>
      <c r="JN388" s="457"/>
      <c r="JO388" s="457"/>
      <c r="JP388" s="457"/>
      <c r="JQ388" s="457"/>
      <c r="JR388" s="457"/>
      <c r="JS388" s="457"/>
      <c r="JT388" s="457"/>
      <c r="JU388" s="457"/>
      <c r="JV388" s="457"/>
      <c r="JW388" s="457"/>
      <c r="JX388" s="457"/>
      <c r="JY388" s="457"/>
      <c r="JZ388" s="457"/>
      <c r="KA388" s="457"/>
      <c r="KB388" s="457"/>
      <c r="KC388" s="457"/>
      <c r="KD388" s="457"/>
      <c r="KE388" s="457"/>
      <c r="KF388" s="457"/>
      <c r="KG388" s="457"/>
      <c r="KH388" s="457"/>
      <c r="KI388" s="457"/>
      <c r="KJ388" s="457"/>
      <c r="KK388" s="457"/>
      <c r="KL388" s="457"/>
      <c r="KM388" s="457"/>
      <c r="KN388" s="457"/>
      <c r="KO388" s="457"/>
      <c r="KP388" s="457"/>
      <c r="KQ388" s="457"/>
      <c r="KR388" s="457"/>
      <c r="KS388" s="457"/>
      <c r="KT388" s="457"/>
      <c r="KU388" s="457"/>
      <c r="KV388" s="457"/>
      <c r="KW388" s="457"/>
      <c r="KX388" s="457"/>
      <c r="KY388" s="457"/>
      <c r="KZ388" s="457"/>
      <c r="LA388" s="457"/>
      <c r="LB388" s="457"/>
      <c r="LC388" s="457"/>
      <c r="LD388" s="457"/>
      <c r="LE388" s="457"/>
      <c r="LF388" s="457"/>
      <c r="LG388" s="457"/>
      <c r="LH388" s="457"/>
      <c r="LI388" s="457"/>
      <c r="LJ388" s="457"/>
      <c r="LK388" s="457"/>
      <c r="LL388" s="457"/>
      <c r="LM388" s="457"/>
      <c r="LN388" s="457"/>
      <c r="LO388" s="457"/>
      <c r="LP388" s="457"/>
      <c r="LQ388" s="457"/>
      <c r="LR388" s="457"/>
      <c r="LS388" s="457"/>
      <c r="LT388" s="457"/>
      <c r="LU388" s="457"/>
      <c r="LV388" s="457"/>
      <c r="LW388" s="457"/>
      <c r="LX388" s="457"/>
      <c r="LY388" s="457"/>
      <c r="LZ388" s="457"/>
      <c r="MA388" s="457"/>
      <c r="MB388" s="457"/>
      <c r="MC388" s="457"/>
      <c r="MD388" s="457"/>
      <c r="ME388" s="457"/>
      <c r="MF388" s="457"/>
      <c r="MG388" s="457"/>
      <c r="MH388" s="457"/>
      <c r="MI388" s="457"/>
      <c r="MJ388" s="457"/>
      <c r="MK388" s="457"/>
      <c r="ML388" s="457"/>
      <c r="MM388" s="457"/>
      <c r="MN388" s="457"/>
      <c r="MO388" s="457"/>
      <c r="MP388" s="457"/>
      <c r="MQ388" s="457"/>
      <c r="MR388" s="457"/>
      <c r="MS388" s="457"/>
      <c r="MT388" s="457"/>
      <c r="MU388" s="457"/>
      <c r="MV388" s="457"/>
      <c r="MW388" s="457"/>
      <c r="MX388" s="457"/>
      <c r="MY388" s="457"/>
      <c r="MZ388" s="457"/>
      <c r="NA388" s="457"/>
      <c r="NB388" s="457"/>
      <c r="NC388" s="457"/>
      <c r="ND388" s="457"/>
      <c r="NE388" s="457"/>
      <c r="NF388" s="457"/>
      <c r="NG388" s="457"/>
      <c r="NH388" s="457"/>
      <c r="NI388" s="457"/>
      <c r="NJ388" s="457"/>
      <c r="NK388" s="457"/>
      <c r="NL388" s="457"/>
      <c r="NM388" s="457"/>
      <c r="NN388" s="457"/>
      <c r="NO388" s="457"/>
      <c r="NP388" s="457"/>
      <c r="NQ388" s="457"/>
      <c r="NR388" s="457"/>
      <c r="NS388" s="457"/>
      <c r="NT388" s="457"/>
      <c r="NU388" s="457"/>
      <c r="NV388" s="457"/>
      <c r="NW388" s="457"/>
      <c r="NX388" s="457"/>
      <c r="NY388" s="457"/>
      <c r="NZ388" s="457"/>
      <c r="OA388" s="457"/>
      <c r="OB388" s="457"/>
      <c r="OC388" s="457"/>
      <c r="OD388" s="457"/>
      <c r="OE388" s="457"/>
      <c r="OF388" s="457"/>
      <c r="OG388" s="457"/>
      <c r="OH388" s="457"/>
      <c r="OI388" s="457"/>
      <c r="OJ388" s="457"/>
      <c r="OK388" s="457"/>
      <c r="OL388" s="457"/>
      <c r="OM388" s="457"/>
      <c r="ON388" s="457"/>
      <c r="OO388" s="457"/>
      <c r="OP388" s="457"/>
      <c r="OQ388" s="457"/>
      <c r="OR388" s="457"/>
      <c r="OS388" s="457"/>
      <c r="OT388" s="457"/>
      <c r="OU388" s="457"/>
      <c r="OV388" s="457"/>
      <c r="OW388" s="457"/>
      <c r="OX388" s="457"/>
      <c r="OY388" s="457"/>
      <c r="OZ388" s="457"/>
      <c r="PA388" s="457"/>
      <c r="PB388" s="457"/>
      <c r="PC388" s="457"/>
      <c r="PD388" s="457"/>
      <c r="PE388" s="457"/>
      <c r="PF388" s="457"/>
      <c r="PG388" s="457"/>
      <c r="PH388" s="457"/>
      <c r="PI388" s="457"/>
      <c r="PJ388" s="457"/>
      <c r="PK388" s="457"/>
      <c r="PL388" s="457"/>
      <c r="PM388" s="457"/>
      <c r="PN388" s="457"/>
      <c r="PO388" s="457"/>
      <c r="PP388" s="457"/>
      <c r="PQ388" s="457"/>
      <c r="PR388" s="457"/>
      <c r="PS388" s="457"/>
      <c r="PT388" s="457"/>
      <c r="PU388" s="457"/>
      <c r="PV388" s="457"/>
      <c r="PW388" s="457"/>
      <c r="PX388" s="457"/>
      <c r="PY388" s="457"/>
      <c r="PZ388" s="457"/>
      <c r="QA388" s="457"/>
      <c r="QB388" s="457"/>
      <c r="QC388" s="457"/>
      <c r="QD388" s="457"/>
      <c r="QE388" s="457"/>
      <c r="QF388" s="457"/>
      <c r="QG388" s="457"/>
      <c r="QH388" s="457"/>
      <c r="QI388" s="457"/>
      <c r="QJ388" s="457"/>
      <c r="QK388" s="457"/>
      <c r="QL388" s="457"/>
      <c r="QM388" s="457"/>
      <c r="QN388" s="457"/>
      <c r="QO388" s="457"/>
      <c r="QP388" s="457"/>
      <c r="QQ388" s="457"/>
      <c r="QR388" s="457"/>
      <c r="QS388" s="457"/>
      <c r="QT388" s="457"/>
      <c r="QU388" s="457"/>
      <c r="QV388" s="457"/>
      <c r="QW388" s="457"/>
      <c r="QX388" s="457"/>
      <c r="QY388" s="457"/>
      <c r="QZ388" s="457"/>
      <c r="RA388" s="457"/>
      <c r="RB388" s="457"/>
      <c r="RC388" s="457"/>
      <c r="RD388" s="457"/>
      <c r="RE388" s="457"/>
      <c r="RF388" s="457"/>
      <c r="RG388" s="457"/>
      <c r="RH388" s="457"/>
      <c r="RI388" s="457"/>
      <c r="RJ388" s="457"/>
      <c r="RK388" s="457"/>
      <c r="RL388" s="457"/>
      <c r="RM388" s="457"/>
      <c r="RN388" s="457"/>
      <c r="RO388" s="457"/>
      <c r="RP388" s="457"/>
      <c r="RQ388" s="457"/>
      <c r="RR388" s="457"/>
      <c r="RS388" s="457"/>
      <c r="RT388" s="457"/>
      <c r="RU388" s="457"/>
      <c r="RV388" s="457"/>
      <c r="RW388" s="457"/>
      <c r="RX388" s="457"/>
      <c r="RY388" s="457"/>
      <c r="RZ388" s="457"/>
      <c r="SA388" s="457"/>
      <c r="SB388" s="457"/>
      <c r="SC388" s="457"/>
      <c r="SD388" s="457"/>
      <c r="SE388" s="457"/>
      <c r="SF388" s="457"/>
      <c r="SG388" s="457"/>
      <c r="SH388" s="457"/>
      <c r="SI388" s="457"/>
      <c r="SJ388" s="457"/>
      <c r="SK388" s="457"/>
      <c r="SL388" s="457"/>
      <c r="SM388" s="457"/>
      <c r="SN388" s="457"/>
      <c r="SO388" s="457"/>
      <c r="SP388" s="457"/>
      <c r="SQ388" s="457"/>
      <c r="SR388" s="457"/>
      <c r="SS388" s="457"/>
      <c r="ST388" s="457"/>
      <c r="SU388" s="457"/>
      <c r="SV388" s="457"/>
      <c r="SW388" s="457"/>
      <c r="SX388" s="457"/>
      <c r="SY388" s="457"/>
      <c r="SZ388" s="457"/>
      <c r="TA388" s="457"/>
      <c r="TB388" s="457"/>
      <c r="TC388" s="457"/>
      <c r="TD388" s="457"/>
      <c r="TE388" s="457"/>
      <c r="TF388" s="457"/>
      <c r="TG388" s="457"/>
      <c r="TH388" s="457"/>
      <c r="TI388" s="457"/>
      <c r="TJ388" s="457"/>
      <c r="TK388" s="457"/>
      <c r="TL388" s="457"/>
      <c r="TM388" s="457"/>
      <c r="TN388" s="457"/>
      <c r="TO388" s="457"/>
      <c r="TP388" s="457"/>
      <c r="TQ388" s="457"/>
      <c r="TR388" s="457"/>
      <c r="TS388" s="457"/>
      <c r="TT388" s="457"/>
      <c r="TU388" s="457"/>
      <c r="TV388" s="457"/>
      <c r="TW388" s="457"/>
      <c r="TX388" s="457"/>
      <c r="TY388" s="457"/>
      <c r="TZ388" s="457"/>
      <c r="UA388" s="457"/>
      <c r="UB388" s="457"/>
      <c r="UC388" s="457"/>
      <c r="UD388" s="457"/>
      <c r="UE388" s="457"/>
      <c r="UF388" s="457"/>
      <c r="UG388" s="457"/>
      <c r="UH388" s="457"/>
      <c r="UI388" s="457"/>
      <c r="UJ388" s="457"/>
      <c r="UK388" s="457"/>
      <c r="UL388" s="457"/>
      <c r="UM388" s="457"/>
      <c r="UN388" s="457"/>
      <c r="UO388" s="457"/>
      <c r="UP388" s="457"/>
      <c r="UQ388" s="457"/>
      <c r="UR388" s="457"/>
      <c r="US388" s="457"/>
      <c r="UT388" s="457"/>
      <c r="UU388" s="457"/>
      <c r="UV388" s="457"/>
      <c r="UW388" s="457"/>
      <c r="UX388" s="457"/>
      <c r="UY388" s="457"/>
      <c r="UZ388" s="457"/>
      <c r="VA388" s="457"/>
      <c r="VB388" s="457"/>
      <c r="VC388" s="457"/>
      <c r="VD388" s="457"/>
      <c r="VE388" s="457"/>
      <c r="VF388" s="457"/>
      <c r="VG388" s="457"/>
      <c r="VH388" s="457"/>
      <c r="VI388" s="457"/>
      <c r="VJ388" s="457"/>
      <c r="VK388" s="457"/>
      <c r="VL388" s="457"/>
      <c r="VM388" s="457"/>
      <c r="VN388" s="457"/>
      <c r="VO388" s="457"/>
      <c r="VP388" s="457"/>
      <c r="VQ388" s="457"/>
      <c r="VR388" s="457"/>
      <c r="VS388" s="457"/>
      <c r="VT388" s="457"/>
      <c r="VU388" s="457"/>
      <c r="VV388" s="457"/>
      <c r="VW388" s="457"/>
      <c r="VX388" s="457"/>
      <c r="VY388" s="457"/>
      <c r="VZ388" s="457"/>
      <c r="WA388" s="457"/>
      <c r="WB388" s="457"/>
      <c r="WC388" s="457"/>
      <c r="WD388" s="457"/>
      <c r="WE388" s="457"/>
      <c r="WF388" s="457"/>
      <c r="WG388" s="457"/>
      <c r="WH388" s="457"/>
      <c r="WI388" s="457"/>
      <c r="WJ388" s="457"/>
      <c r="WK388" s="457"/>
      <c r="WL388" s="457"/>
      <c r="WM388" s="457"/>
      <c r="WN388" s="457"/>
      <c r="WO388" s="457"/>
      <c r="WP388" s="457"/>
      <c r="WQ388" s="457"/>
      <c r="WR388" s="457"/>
      <c r="WS388" s="457"/>
      <c r="WT388" s="457"/>
      <c r="WU388" s="457"/>
      <c r="WV388" s="457"/>
      <c r="WW388" s="457"/>
      <c r="WX388" s="457"/>
      <c r="WY388" s="457"/>
      <c r="WZ388" s="457"/>
      <c r="XA388" s="457"/>
      <c r="XB388" s="457"/>
      <c r="XC388" s="457"/>
      <c r="XD388" s="457"/>
      <c r="XE388" s="457"/>
      <c r="XF388" s="457"/>
      <c r="XG388" s="457"/>
      <c r="XH388" s="457"/>
      <c r="XI388" s="457"/>
      <c r="XJ388" s="457"/>
      <c r="XK388" s="457"/>
      <c r="XL388" s="457"/>
      <c r="XM388" s="457"/>
      <c r="XN388" s="457"/>
      <c r="XO388" s="457"/>
      <c r="XP388" s="457"/>
      <c r="XQ388" s="457"/>
      <c r="XR388" s="457"/>
      <c r="XS388" s="457"/>
      <c r="XT388" s="457"/>
      <c r="XU388" s="457"/>
      <c r="XV388" s="457"/>
      <c r="XW388" s="457"/>
      <c r="XX388" s="457"/>
      <c r="XY388" s="457"/>
      <c r="XZ388" s="457"/>
      <c r="YA388" s="457"/>
      <c r="YB388" s="457"/>
      <c r="YC388" s="457"/>
      <c r="YD388" s="457"/>
      <c r="YE388" s="457"/>
      <c r="YF388" s="457"/>
      <c r="YG388" s="457"/>
      <c r="YH388" s="457"/>
      <c r="YI388" s="457"/>
      <c r="YJ388" s="457"/>
      <c r="YK388" s="457"/>
      <c r="YL388" s="457"/>
      <c r="YM388" s="457"/>
      <c r="YN388" s="457"/>
      <c r="YO388" s="457"/>
      <c r="YP388" s="457"/>
      <c r="YQ388" s="457"/>
      <c r="YR388" s="457"/>
      <c r="YS388" s="457"/>
      <c r="YT388" s="457"/>
      <c r="YU388" s="457"/>
      <c r="YV388" s="457"/>
      <c r="YW388" s="457"/>
      <c r="YX388" s="457"/>
      <c r="YY388" s="457"/>
      <c r="YZ388" s="457"/>
      <c r="ZA388" s="457"/>
      <c r="ZB388" s="457"/>
      <c r="ZC388" s="457"/>
      <c r="ZD388" s="457"/>
      <c r="ZE388" s="457"/>
      <c r="ZF388" s="457"/>
      <c r="ZG388" s="457"/>
      <c r="ZH388" s="457"/>
      <c r="ZI388" s="457"/>
      <c r="ZJ388" s="457"/>
      <c r="ZK388" s="457"/>
      <c r="ZL388" s="457"/>
      <c r="ZM388" s="457"/>
      <c r="ZN388" s="457"/>
      <c r="ZO388" s="457"/>
      <c r="ZP388" s="457"/>
      <c r="ZQ388" s="457"/>
      <c r="ZR388" s="457"/>
      <c r="ZS388" s="457"/>
      <c r="ZT388" s="457"/>
      <c r="ZU388" s="457"/>
      <c r="ZV388" s="457"/>
      <c r="ZW388" s="457"/>
      <c r="ZX388" s="457"/>
      <c r="ZY388" s="457"/>
      <c r="ZZ388" s="457"/>
      <c r="AAA388" s="457"/>
      <c r="AAB388" s="457"/>
      <c r="AAC388" s="457"/>
      <c r="AAD388" s="457"/>
      <c r="AAE388" s="457"/>
      <c r="AAF388" s="457"/>
      <c r="AAG388" s="457"/>
      <c r="AAH388" s="457"/>
      <c r="AAI388" s="457"/>
      <c r="AAJ388" s="457"/>
      <c r="AAK388" s="457"/>
      <c r="AAL388" s="457"/>
      <c r="AAM388" s="457"/>
      <c r="AAN388" s="457"/>
      <c r="AAO388" s="457"/>
      <c r="AAP388" s="457"/>
      <c r="AAQ388" s="457"/>
      <c r="AAR388" s="457"/>
      <c r="AAS388" s="457"/>
      <c r="AAT388" s="457"/>
      <c r="AAU388" s="457"/>
      <c r="AAV388" s="457"/>
      <c r="AAW388" s="457"/>
      <c r="AAX388" s="457"/>
      <c r="AAY388" s="457"/>
      <c r="AAZ388" s="457"/>
      <c r="ABA388" s="457"/>
      <c r="ABB388" s="457"/>
      <c r="ABC388" s="457"/>
      <c r="ABD388" s="457"/>
      <c r="ABE388" s="457"/>
      <c r="ABF388" s="457"/>
      <c r="ABG388" s="457"/>
      <c r="ABH388" s="457"/>
      <c r="ABI388" s="457"/>
      <c r="ABJ388" s="457"/>
      <c r="ABK388" s="457"/>
      <c r="ABL388" s="457"/>
      <c r="ABM388" s="457"/>
      <c r="ABN388" s="457"/>
      <c r="ABO388" s="457"/>
      <c r="ABP388" s="457"/>
      <c r="ABQ388" s="457"/>
      <c r="ABR388" s="457"/>
      <c r="ABS388" s="457"/>
      <c r="ABT388" s="457"/>
      <c r="ABU388" s="457"/>
      <c r="ABV388" s="457"/>
      <c r="ABW388" s="457"/>
      <c r="ABX388" s="457"/>
      <c r="ABY388" s="457"/>
      <c r="ABZ388" s="457"/>
      <c r="ACA388" s="457"/>
      <c r="ACB388" s="457"/>
      <c r="ACC388" s="457"/>
      <c r="ACD388" s="457"/>
      <c r="ACE388" s="457"/>
      <c r="ACF388" s="457"/>
      <c r="ACG388" s="457"/>
      <c r="ACH388" s="457"/>
      <c r="ACI388" s="457"/>
      <c r="ACJ388" s="457"/>
      <c r="ACK388" s="457"/>
      <c r="ACL388" s="457"/>
      <c r="ACM388" s="457"/>
      <c r="ACN388" s="457"/>
      <c r="ACO388" s="457"/>
      <c r="ACP388" s="457"/>
      <c r="ACQ388" s="457"/>
      <c r="ACR388" s="457"/>
      <c r="ACS388" s="457"/>
      <c r="ACT388" s="457"/>
      <c r="ACU388" s="457"/>
      <c r="ACV388" s="457"/>
    </row>
    <row r="389" spans="1:776" s="400" customFormat="1" x14ac:dyDescent="0.25">
      <c r="A389" s="43">
        <v>900102</v>
      </c>
      <c r="B389" s="34" t="s">
        <v>230</v>
      </c>
      <c r="C389" s="455"/>
      <c r="D389" s="454" t="s">
        <v>231</v>
      </c>
      <c r="E389" s="454">
        <v>2.2000000000000002</v>
      </c>
      <c r="F389" s="458">
        <v>3.2</v>
      </c>
      <c r="G389" s="454">
        <v>0.01</v>
      </c>
      <c r="H389" s="454">
        <v>0.31</v>
      </c>
      <c r="I389" s="456">
        <v>397.15</v>
      </c>
      <c r="J389" s="454">
        <v>173.7</v>
      </c>
      <c r="K389" s="454">
        <v>0.01</v>
      </c>
      <c r="L389" s="454">
        <v>508.8</v>
      </c>
      <c r="M389" s="454">
        <v>0.01</v>
      </c>
      <c r="N389" s="454">
        <v>17.82</v>
      </c>
      <c r="O389" s="454">
        <v>305.87</v>
      </c>
      <c r="P389" s="454">
        <v>43.32</v>
      </c>
      <c r="Q389" s="454">
        <v>67.010000000000005</v>
      </c>
      <c r="R389" s="454">
        <v>0.01</v>
      </c>
      <c r="S389" s="454">
        <v>0.01</v>
      </c>
      <c r="T389" s="454">
        <v>0.01</v>
      </c>
      <c r="U389" s="454">
        <v>0.01</v>
      </c>
      <c r="V389" s="454"/>
      <c r="W389" s="457"/>
      <c r="X389" s="457"/>
      <c r="Y389" s="457"/>
      <c r="Z389" s="457"/>
      <c r="AA389" s="457"/>
      <c r="AB389" s="457"/>
      <c r="AC389" s="457"/>
      <c r="AD389" s="457"/>
      <c r="AE389" s="457"/>
      <c r="AF389" s="457"/>
      <c r="AG389" s="457"/>
      <c r="AH389" s="457"/>
      <c r="AI389" s="457"/>
      <c r="AJ389" s="457"/>
      <c r="AK389" s="457"/>
      <c r="AL389" s="457"/>
      <c r="AM389" s="457"/>
      <c r="AN389" s="457"/>
      <c r="AO389" s="457"/>
      <c r="AP389" s="457"/>
      <c r="AQ389" s="457"/>
      <c r="AR389" s="457"/>
      <c r="AS389" s="457"/>
      <c r="AT389" s="457"/>
      <c r="AU389" s="457"/>
      <c r="AV389" s="457"/>
      <c r="AW389" s="457"/>
      <c r="AX389" s="457"/>
      <c r="AY389" s="457"/>
      <c r="AZ389" s="457"/>
      <c r="BA389" s="457"/>
      <c r="BB389" s="457"/>
      <c r="BC389" s="457"/>
      <c r="BD389" s="457"/>
      <c r="BE389" s="457"/>
      <c r="BF389" s="457"/>
      <c r="BG389" s="457"/>
      <c r="BH389" s="457"/>
      <c r="BI389" s="457"/>
      <c r="BJ389" s="457"/>
      <c r="BK389" s="457"/>
      <c r="BL389" s="457"/>
      <c r="BM389" s="457"/>
      <c r="BN389" s="457"/>
      <c r="BO389" s="457"/>
      <c r="BP389" s="457"/>
      <c r="BQ389" s="457"/>
      <c r="BR389" s="457"/>
      <c r="BS389" s="457"/>
      <c r="BT389" s="457"/>
      <c r="BU389" s="457"/>
      <c r="BV389" s="457"/>
      <c r="BW389" s="457"/>
      <c r="BX389" s="457"/>
      <c r="BY389" s="457"/>
      <c r="BZ389" s="457"/>
      <c r="CA389" s="457"/>
      <c r="CB389" s="457"/>
      <c r="CC389" s="457"/>
      <c r="CD389" s="457"/>
      <c r="CE389" s="457"/>
      <c r="CF389" s="457"/>
      <c r="CG389" s="457"/>
      <c r="CH389" s="457"/>
      <c r="CI389" s="457"/>
      <c r="CJ389" s="457"/>
      <c r="CK389" s="457"/>
      <c r="CL389" s="457"/>
      <c r="CM389" s="457"/>
      <c r="CN389" s="457"/>
      <c r="CO389" s="457"/>
      <c r="CP389" s="457"/>
      <c r="CQ389" s="457"/>
      <c r="CR389" s="457"/>
      <c r="CS389" s="457"/>
      <c r="CT389" s="457"/>
      <c r="CU389" s="457"/>
      <c r="CV389" s="457"/>
      <c r="CW389" s="457"/>
      <c r="CX389" s="457"/>
      <c r="CY389" s="457"/>
      <c r="CZ389" s="457"/>
      <c r="DA389" s="457"/>
      <c r="DB389" s="457"/>
      <c r="DC389" s="457"/>
      <c r="DD389" s="457"/>
      <c r="DE389" s="457"/>
      <c r="DF389" s="457"/>
      <c r="DG389" s="457"/>
      <c r="DH389" s="457"/>
      <c r="DI389" s="457"/>
      <c r="DJ389" s="457"/>
      <c r="DK389" s="457"/>
      <c r="DL389" s="457"/>
      <c r="DM389" s="457"/>
      <c r="DN389" s="457"/>
      <c r="DO389" s="457"/>
      <c r="DP389" s="457"/>
      <c r="DQ389" s="457"/>
      <c r="DR389" s="457"/>
      <c r="DS389" s="457"/>
      <c r="DT389" s="457"/>
      <c r="DU389" s="457"/>
      <c r="DV389" s="457"/>
      <c r="DW389" s="457"/>
      <c r="DX389" s="457"/>
      <c r="DY389" s="457"/>
      <c r="DZ389" s="457"/>
      <c r="EA389" s="457"/>
      <c r="EB389" s="457"/>
      <c r="EC389" s="457"/>
      <c r="ED389" s="457"/>
      <c r="EE389" s="457"/>
      <c r="EF389" s="457"/>
      <c r="EG389" s="457"/>
      <c r="EH389" s="457"/>
      <c r="EI389" s="457"/>
      <c r="EJ389" s="457"/>
      <c r="EK389" s="457"/>
      <c r="EL389" s="457"/>
      <c r="EM389" s="457"/>
      <c r="EN389" s="457"/>
      <c r="EO389" s="457"/>
      <c r="EP389" s="457"/>
      <c r="EQ389" s="457"/>
      <c r="ER389" s="457"/>
      <c r="ES389" s="457"/>
      <c r="ET389" s="457"/>
      <c r="EU389" s="457"/>
      <c r="EV389" s="457"/>
      <c r="EW389" s="457"/>
      <c r="EX389" s="457"/>
      <c r="EY389" s="457"/>
      <c r="EZ389" s="457"/>
      <c r="FA389" s="457"/>
      <c r="FB389" s="457"/>
      <c r="FC389" s="457"/>
      <c r="FD389" s="457"/>
      <c r="FE389" s="457"/>
      <c r="FF389" s="457"/>
      <c r="FG389" s="457"/>
      <c r="FH389" s="457"/>
      <c r="FI389" s="457"/>
      <c r="FJ389" s="457"/>
      <c r="FK389" s="457"/>
      <c r="FL389" s="457"/>
      <c r="FM389" s="457"/>
      <c r="FN389" s="457"/>
      <c r="FO389" s="457"/>
      <c r="FP389" s="457"/>
      <c r="FQ389" s="457"/>
      <c r="FR389" s="457"/>
      <c r="FS389" s="457"/>
      <c r="FT389" s="457"/>
      <c r="FU389" s="457"/>
      <c r="FV389" s="457"/>
      <c r="FW389" s="457"/>
      <c r="FX389" s="457"/>
      <c r="FY389" s="457"/>
      <c r="FZ389" s="457"/>
      <c r="GA389" s="457"/>
      <c r="GB389" s="457"/>
      <c r="GC389" s="457"/>
      <c r="GD389" s="457"/>
      <c r="GE389" s="457"/>
      <c r="GF389" s="457"/>
      <c r="GG389" s="457"/>
      <c r="GH389" s="457"/>
      <c r="GI389" s="457"/>
      <c r="GJ389" s="457"/>
      <c r="GK389" s="457"/>
      <c r="GL389" s="457"/>
      <c r="GM389" s="457"/>
      <c r="GN389" s="457"/>
      <c r="GO389" s="457"/>
      <c r="GP389" s="457"/>
      <c r="GQ389" s="457"/>
      <c r="GR389" s="457"/>
      <c r="GS389" s="457"/>
      <c r="GT389" s="457"/>
      <c r="GU389" s="457"/>
      <c r="GV389" s="457"/>
      <c r="GW389" s="457"/>
      <c r="GX389" s="457"/>
      <c r="GY389" s="457"/>
      <c r="GZ389" s="457"/>
      <c r="HA389" s="457"/>
      <c r="HB389" s="457"/>
      <c r="HC389" s="457"/>
      <c r="HD389" s="457"/>
      <c r="HE389" s="457"/>
      <c r="HF389" s="457"/>
      <c r="HG389" s="457"/>
      <c r="HH389" s="457"/>
      <c r="HI389" s="457"/>
      <c r="HJ389" s="457"/>
      <c r="HK389" s="457"/>
      <c r="HL389" s="457"/>
      <c r="HM389" s="457"/>
      <c r="HN389" s="457"/>
      <c r="HO389" s="457"/>
      <c r="HP389" s="457"/>
      <c r="HQ389" s="457"/>
      <c r="HR389" s="457"/>
      <c r="HS389" s="457"/>
      <c r="HT389" s="457"/>
      <c r="HU389" s="457"/>
      <c r="HV389" s="457"/>
      <c r="HW389" s="457"/>
      <c r="HX389" s="457"/>
      <c r="HY389" s="457"/>
      <c r="HZ389" s="457"/>
      <c r="IA389" s="457"/>
      <c r="IB389" s="457"/>
      <c r="IC389" s="457"/>
      <c r="ID389" s="457"/>
      <c r="IE389" s="457"/>
      <c r="IF389" s="457"/>
      <c r="IG389" s="457"/>
      <c r="IH389" s="457"/>
      <c r="II389" s="457"/>
      <c r="IJ389" s="457"/>
      <c r="IK389" s="457"/>
      <c r="IL389" s="457"/>
      <c r="IM389" s="457"/>
      <c r="IN389" s="457"/>
      <c r="IO389" s="457"/>
      <c r="IP389" s="457"/>
      <c r="IQ389" s="457"/>
      <c r="IR389" s="457"/>
      <c r="IS389" s="457"/>
      <c r="IT389" s="457"/>
      <c r="IU389" s="457"/>
      <c r="IV389" s="457"/>
      <c r="IW389" s="457"/>
      <c r="IX389" s="457"/>
      <c r="IY389" s="457"/>
      <c r="IZ389" s="457"/>
      <c r="JA389" s="457"/>
      <c r="JB389" s="457"/>
      <c r="JC389" s="457"/>
      <c r="JD389" s="457"/>
      <c r="JE389" s="457"/>
      <c r="JF389" s="457"/>
      <c r="JG389" s="457"/>
      <c r="JH389" s="457"/>
      <c r="JI389" s="457"/>
      <c r="JJ389" s="457"/>
      <c r="JK389" s="457"/>
      <c r="JL389" s="457"/>
      <c r="JM389" s="457"/>
      <c r="JN389" s="457"/>
      <c r="JO389" s="457"/>
      <c r="JP389" s="457"/>
      <c r="JQ389" s="457"/>
      <c r="JR389" s="457"/>
      <c r="JS389" s="457"/>
      <c r="JT389" s="457"/>
      <c r="JU389" s="457"/>
      <c r="JV389" s="457"/>
      <c r="JW389" s="457"/>
      <c r="JX389" s="457"/>
      <c r="JY389" s="457"/>
      <c r="JZ389" s="457"/>
      <c r="KA389" s="457"/>
      <c r="KB389" s="457"/>
      <c r="KC389" s="457"/>
      <c r="KD389" s="457"/>
      <c r="KE389" s="457"/>
      <c r="KF389" s="457"/>
      <c r="KG389" s="457"/>
      <c r="KH389" s="457"/>
      <c r="KI389" s="457"/>
      <c r="KJ389" s="457"/>
      <c r="KK389" s="457"/>
      <c r="KL389" s="457"/>
      <c r="KM389" s="457"/>
      <c r="KN389" s="457"/>
      <c r="KO389" s="457"/>
      <c r="KP389" s="457"/>
      <c r="KQ389" s="457"/>
      <c r="KR389" s="457"/>
      <c r="KS389" s="457"/>
      <c r="KT389" s="457"/>
      <c r="KU389" s="457"/>
      <c r="KV389" s="457"/>
      <c r="KW389" s="457"/>
      <c r="KX389" s="457"/>
      <c r="KY389" s="457"/>
      <c r="KZ389" s="457"/>
      <c r="LA389" s="457"/>
      <c r="LB389" s="457"/>
      <c r="LC389" s="457"/>
      <c r="LD389" s="457"/>
      <c r="LE389" s="457"/>
      <c r="LF389" s="457"/>
      <c r="LG389" s="457"/>
      <c r="LH389" s="457"/>
      <c r="LI389" s="457"/>
      <c r="LJ389" s="457"/>
      <c r="LK389" s="457"/>
      <c r="LL389" s="457"/>
      <c r="LM389" s="457"/>
      <c r="LN389" s="457"/>
      <c r="LO389" s="457"/>
      <c r="LP389" s="457"/>
      <c r="LQ389" s="457"/>
      <c r="LR389" s="457"/>
      <c r="LS389" s="457"/>
      <c r="LT389" s="457"/>
      <c r="LU389" s="457"/>
      <c r="LV389" s="457"/>
      <c r="LW389" s="457"/>
      <c r="LX389" s="457"/>
      <c r="LY389" s="457"/>
      <c r="LZ389" s="457"/>
      <c r="MA389" s="457"/>
      <c r="MB389" s="457"/>
      <c r="MC389" s="457"/>
      <c r="MD389" s="457"/>
      <c r="ME389" s="457"/>
      <c r="MF389" s="457"/>
      <c r="MG389" s="457"/>
      <c r="MH389" s="457"/>
      <c r="MI389" s="457"/>
      <c r="MJ389" s="457"/>
      <c r="MK389" s="457"/>
      <c r="ML389" s="457"/>
      <c r="MM389" s="457"/>
      <c r="MN389" s="457"/>
      <c r="MO389" s="457"/>
      <c r="MP389" s="457"/>
      <c r="MQ389" s="457"/>
      <c r="MR389" s="457"/>
      <c r="MS389" s="457"/>
      <c r="MT389" s="457"/>
      <c r="MU389" s="457"/>
      <c r="MV389" s="457"/>
      <c r="MW389" s="457"/>
      <c r="MX389" s="457"/>
      <c r="MY389" s="457"/>
      <c r="MZ389" s="457"/>
      <c r="NA389" s="457"/>
      <c r="NB389" s="457"/>
      <c r="NC389" s="457"/>
      <c r="ND389" s="457"/>
      <c r="NE389" s="457"/>
      <c r="NF389" s="457"/>
      <c r="NG389" s="457"/>
      <c r="NH389" s="457"/>
      <c r="NI389" s="457"/>
      <c r="NJ389" s="457"/>
      <c r="NK389" s="457"/>
      <c r="NL389" s="457"/>
      <c r="NM389" s="457"/>
      <c r="NN389" s="457"/>
      <c r="NO389" s="457"/>
      <c r="NP389" s="457"/>
      <c r="NQ389" s="457"/>
      <c r="NR389" s="457"/>
      <c r="NS389" s="457"/>
      <c r="NT389" s="457"/>
      <c r="NU389" s="457"/>
      <c r="NV389" s="457"/>
      <c r="NW389" s="457"/>
      <c r="NX389" s="457"/>
      <c r="NY389" s="457"/>
      <c r="NZ389" s="457"/>
      <c r="OA389" s="457"/>
      <c r="OB389" s="457"/>
      <c r="OC389" s="457"/>
      <c r="OD389" s="457"/>
      <c r="OE389" s="457"/>
      <c r="OF389" s="457"/>
      <c r="OG389" s="457"/>
      <c r="OH389" s="457"/>
      <c r="OI389" s="457"/>
      <c r="OJ389" s="457"/>
      <c r="OK389" s="457"/>
      <c r="OL389" s="457"/>
      <c r="OM389" s="457"/>
      <c r="ON389" s="457"/>
      <c r="OO389" s="457"/>
      <c r="OP389" s="457"/>
      <c r="OQ389" s="457"/>
      <c r="OR389" s="457"/>
      <c r="OS389" s="457"/>
      <c r="OT389" s="457"/>
      <c r="OU389" s="457"/>
      <c r="OV389" s="457"/>
      <c r="OW389" s="457"/>
      <c r="OX389" s="457"/>
      <c r="OY389" s="457"/>
      <c r="OZ389" s="457"/>
      <c r="PA389" s="457"/>
      <c r="PB389" s="457"/>
      <c r="PC389" s="457"/>
      <c r="PD389" s="457"/>
      <c r="PE389" s="457"/>
      <c r="PF389" s="457"/>
      <c r="PG389" s="457"/>
      <c r="PH389" s="457"/>
      <c r="PI389" s="457"/>
      <c r="PJ389" s="457"/>
      <c r="PK389" s="457"/>
      <c r="PL389" s="457"/>
      <c r="PM389" s="457"/>
      <c r="PN389" s="457"/>
      <c r="PO389" s="457"/>
      <c r="PP389" s="457"/>
      <c r="PQ389" s="457"/>
      <c r="PR389" s="457"/>
      <c r="PS389" s="457"/>
      <c r="PT389" s="457"/>
      <c r="PU389" s="457"/>
      <c r="PV389" s="457"/>
      <c r="PW389" s="457"/>
      <c r="PX389" s="457"/>
      <c r="PY389" s="457"/>
      <c r="PZ389" s="457"/>
      <c r="QA389" s="457"/>
      <c r="QB389" s="457"/>
      <c r="QC389" s="457"/>
      <c r="QD389" s="457"/>
      <c r="QE389" s="457"/>
      <c r="QF389" s="457"/>
      <c r="QG389" s="457"/>
      <c r="QH389" s="457"/>
      <c r="QI389" s="457"/>
      <c r="QJ389" s="457"/>
      <c r="QK389" s="457"/>
      <c r="QL389" s="457"/>
      <c r="QM389" s="457"/>
      <c r="QN389" s="457"/>
      <c r="QO389" s="457"/>
      <c r="QP389" s="457"/>
      <c r="QQ389" s="457"/>
      <c r="QR389" s="457"/>
      <c r="QS389" s="457"/>
      <c r="QT389" s="457"/>
      <c r="QU389" s="457"/>
      <c r="QV389" s="457"/>
      <c r="QW389" s="457"/>
      <c r="QX389" s="457"/>
      <c r="QY389" s="457"/>
      <c r="QZ389" s="457"/>
      <c r="RA389" s="457"/>
      <c r="RB389" s="457"/>
      <c r="RC389" s="457"/>
      <c r="RD389" s="457"/>
      <c r="RE389" s="457"/>
      <c r="RF389" s="457"/>
      <c r="RG389" s="457"/>
      <c r="RH389" s="457"/>
      <c r="RI389" s="457"/>
      <c r="RJ389" s="457"/>
      <c r="RK389" s="457"/>
      <c r="RL389" s="457"/>
      <c r="RM389" s="457"/>
      <c r="RN389" s="457"/>
      <c r="RO389" s="457"/>
      <c r="RP389" s="457"/>
      <c r="RQ389" s="457"/>
      <c r="RR389" s="457"/>
      <c r="RS389" s="457"/>
      <c r="RT389" s="457"/>
      <c r="RU389" s="457"/>
      <c r="RV389" s="457"/>
      <c r="RW389" s="457"/>
      <c r="RX389" s="457"/>
      <c r="RY389" s="457"/>
      <c r="RZ389" s="457"/>
      <c r="SA389" s="457"/>
      <c r="SB389" s="457"/>
      <c r="SC389" s="457"/>
      <c r="SD389" s="457"/>
      <c r="SE389" s="457"/>
      <c r="SF389" s="457"/>
      <c r="SG389" s="457"/>
      <c r="SH389" s="457"/>
      <c r="SI389" s="457"/>
      <c r="SJ389" s="457"/>
      <c r="SK389" s="457"/>
      <c r="SL389" s="457"/>
      <c r="SM389" s="457"/>
      <c r="SN389" s="457"/>
      <c r="SO389" s="457"/>
      <c r="SP389" s="457"/>
      <c r="SQ389" s="457"/>
      <c r="SR389" s="457"/>
      <c r="SS389" s="457"/>
      <c r="ST389" s="457"/>
      <c r="SU389" s="457"/>
      <c r="SV389" s="457"/>
      <c r="SW389" s="457"/>
      <c r="SX389" s="457"/>
      <c r="SY389" s="457"/>
      <c r="SZ389" s="457"/>
      <c r="TA389" s="457"/>
      <c r="TB389" s="457"/>
      <c r="TC389" s="457"/>
      <c r="TD389" s="457"/>
      <c r="TE389" s="457"/>
      <c r="TF389" s="457"/>
      <c r="TG389" s="457"/>
      <c r="TH389" s="457"/>
      <c r="TI389" s="457"/>
      <c r="TJ389" s="457"/>
      <c r="TK389" s="457"/>
      <c r="TL389" s="457"/>
      <c r="TM389" s="457"/>
      <c r="TN389" s="457"/>
      <c r="TO389" s="457"/>
      <c r="TP389" s="457"/>
      <c r="TQ389" s="457"/>
      <c r="TR389" s="457"/>
      <c r="TS389" s="457"/>
      <c r="TT389" s="457"/>
      <c r="TU389" s="457"/>
      <c r="TV389" s="457"/>
      <c r="TW389" s="457"/>
      <c r="TX389" s="457"/>
      <c r="TY389" s="457"/>
      <c r="TZ389" s="457"/>
      <c r="UA389" s="457"/>
      <c r="UB389" s="457"/>
      <c r="UC389" s="457"/>
      <c r="UD389" s="457"/>
      <c r="UE389" s="457"/>
      <c r="UF389" s="457"/>
      <c r="UG389" s="457"/>
      <c r="UH389" s="457"/>
      <c r="UI389" s="457"/>
      <c r="UJ389" s="457"/>
      <c r="UK389" s="457"/>
      <c r="UL389" s="457"/>
      <c r="UM389" s="457"/>
      <c r="UN389" s="457"/>
      <c r="UO389" s="457"/>
      <c r="UP389" s="457"/>
      <c r="UQ389" s="457"/>
      <c r="UR389" s="457"/>
      <c r="US389" s="457"/>
      <c r="UT389" s="457"/>
      <c r="UU389" s="457"/>
      <c r="UV389" s="457"/>
      <c r="UW389" s="457"/>
      <c r="UX389" s="457"/>
      <c r="UY389" s="457"/>
      <c r="UZ389" s="457"/>
      <c r="VA389" s="457"/>
      <c r="VB389" s="457"/>
      <c r="VC389" s="457"/>
      <c r="VD389" s="457"/>
      <c r="VE389" s="457"/>
      <c r="VF389" s="457"/>
      <c r="VG389" s="457"/>
      <c r="VH389" s="457"/>
      <c r="VI389" s="457"/>
      <c r="VJ389" s="457"/>
      <c r="VK389" s="457"/>
      <c r="VL389" s="457"/>
      <c r="VM389" s="457"/>
      <c r="VN389" s="457"/>
      <c r="VO389" s="457"/>
      <c r="VP389" s="457"/>
      <c r="VQ389" s="457"/>
      <c r="VR389" s="457"/>
      <c r="VS389" s="457"/>
      <c r="VT389" s="457"/>
      <c r="VU389" s="457"/>
      <c r="VV389" s="457"/>
      <c r="VW389" s="457"/>
      <c r="VX389" s="457"/>
      <c r="VY389" s="457"/>
      <c r="VZ389" s="457"/>
      <c r="WA389" s="457"/>
      <c r="WB389" s="457"/>
      <c r="WC389" s="457"/>
      <c r="WD389" s="457"/>
      <c r="WE389" s="457"/>
      <c r="WF389" s="457"/>
      <c r="WG389" s="457"/>
      <c r="WH389" s="457"/>
      <c r="WI389" s="457"/>
      <c r="WJ389" s="457"/>
      <c r="WK389" s="457"/>
      <c r="WL389" s="457"/>
      <c r="WM389" s="457"/>
      <c r="WN389" s="457"/>
      <c r="WO389" s="457"/>
      <c r="WP389" s="457"/>
      <c r="WQ389" s="457"/>
      <c r="WR389" s="457"/>
      <c r="WS389" s="457"/>
      <c r="WT389" s="457"/>
      <c r="WU389" s="457"/>
      <c r="WV389" s="457"/>
      <c r="WW389" s="457"/>
      <c r="WX389" s="457"/>
      <c r="WY389" s="457"/>
      <c r="WZ389" s="457"/>
      <c r="XA389" s="457"/>
      <c r="XB389" s="457"/>
      <c r="XC389" s="457"/>
      <c r="XD389" s="457"/>
      <c r="XE389" s="457"/>
      <c r="XF389" s="457"/>
      <c r="XG389" s="457"/>
      <c r="XH389" s="457"/>
      <c r="XI389" s="457"/>
      <c r="XJ389" s="457"/>
      <c r="XK389" s="457"/>
      <c r="XL389" s="457"/>
      <c r="XM389" s="457"/>
      <c r="XN389" s="457"/>
      <c r="XO389" s="457"/>
      <c r="XP389" s="457"/>
      <c r="XQ389" s="457"/>
      <c r="XR389" s="457"/>
      <c r="XS389" s="457"/>
      <c r="XT389" s="457"/>
      <c r="XU389" s="457"/>
      <c r="XV389" s="457"/>
      <c r="XW389" s="457"/>
      <c r="XX389" s="457"/>
      <c r="XY389" s="457"/>
      <c r="XZ389" s="457"/>
      <c r="YA389" s="457"/>
      <c r="YB389" s="457"/>
      <c r="YC389" s="457"/>
      <c r="YD389" s="457"/>
      <c r="YE389" s="457"/>
      <c r="YF389" s="457"/>
      <c r="YG389" s="457"/>
      <c r="YH389" s="457"/>
      <c r="YI389" s="457"/>
      <c r="YJ389" s="457"/>
      <c r="YK389" s="457"/>
      <c r="YL389" s="457"/>
      <c r="YM389" s="457"/>
      <c r="YN389" s="457"/>
      <c r="YO389" s="457"/>
      <c r="YP389" s="457"/>
      <c r="YQ389" s="457"/>
      <c r="YR389" s="457"/>
      <c r="YS389" s="457"/>
      <c r="YT389" s="457"/>
      <c r="YU389" s="457"/>
      <c r="YV389" s="457"/>
      <c r="YW389" s="457"/>
      <c r="YX389" s="457"/>
      <c r="YY389" s="457"/>
      <c r="YZ389" s="457"/>
      <c r="ZA389" s="457"/>
      <c r="ZB389" s="457"/>
      <c r="ZC389" s="457"/>
      <c r="ZD389" s="457"/>
      <c r="ZE389" s="457"/>
      <c r="ZF389" s="457"/>
      <c r="ZG389" s="457"/>
      <c r="ZH389" s="457"/>
      <c r="ZI389" s="457"/>
      <c r="ZJ389" s="457"/>
      <c r="ZK389" s="457"/>
      <c r="ZL389" s="457"/>
      <c r="ZM389" s="457"/>
      <c r="ZN389" s="457"/>
      <c r="ZO389" s="457"/>
      <c r="ZP389" s="457"/>
      <c r="ZQ389" s="457"/>
      <c r="ZR389" s="457"/>
      <c r="ZS389" s="457"/>
      <c r="ZT389" s="457"/>
      <c r="ZU389" s="457"/>
      <c r="ZV389" s="457"/>
      <c r="ZW389" s="457"/>
      <c r="ZX389" s="457"/>
      <c r="ZY389" s="457"/>
      <c r="ZZ389" s="457"/>
      <c r="AAA389" s="457"/>
      <c r="AAB389" s="457"/>
      <c r="AAC389" s="457"/>
      <c r="AAD389" s="457"/>
      <c r="AAE389" s="457"/>
      <c r="AAF389" s="457"/>
      <c r="AAG389" s="457"/>
      <c r="AAH389" s="457"/>
      <c r="AAI389" s="457"/>
      <c r="AAJ389" s="457"/>
      <c r="AAK389" s="457"/>
      <c r="AAL389" s="457"/>
      <c r="AAM389" s="457"/>
      <c r="AAN389" s="457"/>
      <c r="AAO389" s="457"/>
      <c r="AAP389" s="457"/>
      <c r="AAQ389" s="457"/>
      <c r="AAR389" s="457"/>
      <c r="AAS389" s="457"/>
      <c r="AAT389" s="457"/>
      <c r="AAU389" s="457"/>
      <c r="AAV389" s="457"/>
      <c r="AAW389" s="457"/>
      <c r="AAX389" s="457"/>
      <c r="AAY389" s="457"/>
      <c r="AAZ389" s="457"/>
      <c r="ABA389" s="457"/>
      <c r="ABB389" s="457"/>
      <c r="ABC389" s="457"/>
      <c r="ABD389" s="457"/>
      <c r="ABE389" s="457"/>
      <c r="ABF389" s="457"/>
      <c r="ABG389" s="457"/>
      <c r="ABH389" s="457"/>
      <c r="ABI389" s="457"/>
      <c r="ABJ389" s="457"/>
      <c r="ABK389" s="457"/>
      <c r="ABL389" s="457"/>
      <c r="ABM389" s="457"/>
      <c r="ABN389" s="457"/>
      <c r="ABO389" s="457"/>
      <c r="ABP389" s="457"/>
      <c r="ABQ389" s="457"/>
      <c r="ABR389" s="457"/>
      <c r="ABS389" s="457"/>
      <c r="ABT389" s="457"/>
      <c r="ABU389" s="457"/>
      <c r="ABV389" s="457"/>
      <c r="ABW389" s="457"/>
      <c r="ABX389" s="457"/>
      <c r="ABY389" s="457"/>
      <c r="ABZ389" s="457"/>
      <c r="ACA389" s="457"/>
      <c r="ACB389" s="457"/>
      <c r="ACC389" s="457"/>
      <c r="ACD389" s="457"/>
      <c r="ACE389" s="457"/>
      <c r="ACF389" s="457"/>
      <c r="ACG389" s="457"/>
      <c r="ACH389" s="457"/>
      <c r="ACI389" s="457"/>
      <c r="ACJ389" s="457"/>
      <c r="ACK389" s="457"/>
      <c r="ACL389" s="457"/>
      <c r="ACM389" s="457"/>
      <c r="ACN389" s="457"/>
      <c r="ACO389" s="457"/>
      <c r="ACP389" s="457"/>
      <c r="ACQ389" s="457"/>
      <c r="ACR389" s="457"/>
      <c r="ACS389" s="457"/>
      <c r="ACT389" s="457"/>
      <c r="ACU389" s="457"/>
      <c r="ACV389" s="457"/>
    </row>
    <row r="390" spans="1:776" s="400" customFormat="1" x14ac:dyDescent="0.25">
      <c r="A390" s="43">
        <v>900103</v>
      </c>
      <c r="B390" s="34" t="s">
        <v>232</v>
      </c>
      <c r="C390" s="455"/>
      <c r="D390" s="454" t="s">
        <v>233</v>
      </c>
      <c r="E390" s="454">
        <v>1.03</v>
      </c>
      <c r="F390" s="458">
        <v>31.4</v>
      </c>
      <c r="G390" s="454">
        <v>0.01</v>
      </c>
      <c r="H390" s="454">
        <v>0.06</v>
      </c>
      <c r="I390" s="456">
        <v>79.72</v>
      </c>
      <c r="J390" s="454">
        <v>161.9</v>
      </c>
      <c r="K390" s="454">
        <v>0.01</v>
      </c>
      <c r="L390" s="454">
        <v>357.6</v>
      </c>
      <c r="M390" s="454">
        <v>0.01</v>
      </c>
      <c r="N390" s="454">
        <v>3.47</v>
      </c>
      <c r="O390" s="454">
        <v>99.27</v>
      </c>
      <c r="P390" s="454">
        <v>67.67</v>
      </c>
      <c r="Q390" s="454">
        <v>48.69</v>
      </c>
      <c r="R390" s="454">
        <v>0.01</v>
      </c>
      <c r="S390" s="454">
        <v>0.01</v>
      </c>
      <c r="T390" s="454">
        <v>0.01</v>
      </c>
      <c r="U390" s="454">
        <v>0.01</v>
      </c>
      <c r="V390" s="454"/>
      <c r="W390" s="457"/>
      <c r="X390" s="457"/>
      <c r="Y390" s="457"/>
      <c r="Z390" s="457"/>
      <c r="AA390" s="457"/>
      <c r="AB390" s="457"/>
      <c r="AC390" s="457"/>
      <c r="AD390" s="457"/>
      <c r="AE390" s="457"/>
      <c r="AF390" s="457"/>
      <c r="AG390" s="457"/>
      <c r="AH390" s="457"/>
      <c r="AI390" s="457"/>
      <c r="AJ390" s="457"/>
      <c r="AK390" s="457"/>
      <c r="AL390" s="457"/>
      <c r="AM390" s="457"/>
      <c r="AN390" s="457"/>
      <c r="AO390" s="457"/>
      <c r="AP390" s="457"/>
      <c r="AQ390" s="457"/>
      <c r="AR390" s="457"/>
      <c r="AS390" s="457"/>
      <c r="AT390" s="457"/>
      <c r="AU390" s="457"/>
      <c r="AV390" s="457"/>
      <c r="AW390" s="457"/>
      <c r="AX390" s="457"/>
      <c r="AY390" s="457"/>
      <c r="AZ390" s="457"/>
      <c r="BA390" s="457"/>
      <c r="BB390" s="457"/>
      <c r="BC390" s="457"/>
      <c r="BD390" s="457"/>
      <c r="BE390" s="457"/>
      <c r="BF390" s="457"/>
      <c r="BG390" s="457"/>
      <c r="BH390" s="457"/>
      <c r="BI390" s="457"/>
      <c r="BJ390" s="457"/>
      <c r="BK390" s="457"/>
      <c r="BL390" s="457"/>
      <c r="BM390" s="457"/>
      <c r="BN390" s="457"/>
      <c r="BO390" s="457"/>
      <c r="BP390" s="457"/>
      <c r="BQ390" s="457"/>
      <c r="BR390" s="457"/>
      <c r="BS390" s="457"/>
      <c r="BT390" s="457"/>
      <c r="BU390" s="457"/>
      <c r="BV390" s="457"/>
      <c r="BW390" s="457"/>
      <c r="BX390" s="457"/>
      <c r="BY390" s="457"/>
      <c r="BZ390" s="457"/>
      <c r="CA390" s="457"/>
      <c r="CB390" s="457"/>
      <c r="CC390" s="457"/>
      <c r="CD390" s="457"/>
      <c r="CE390" s="457"/>
      <c r="CF390" s="457"/>
      <c r="CG390" s="457"/>
      <c r="CH390" s="457"/>
      <c r="CI390" s="457"/>
      <c r="CJ390" s="457"/>
      <c r="CK390" s="457"/>
      <c r="CL390" s="457"/>
      <c r="CM390" s="457"/>
      <c r="CN390" s="457"/>
      <c r="CO390" s="457"/>
      <c r="CP390" s="457"/>
      <c r="CQ390" s="457"/>
      <c r="CR390" s="457"/>
      <c r="CS390" s="457"/>
      <c r="CT390" s="457"/>
      <c r="CU390" s="457"/>
      <c r="CV390" s="457"/>
      <c r="CW390" s="457"/>
      <c r="CX390" s="457"/>
      <c r="CY390" s="457"/>
      <c r="CZ390" s="457"/>
      <c r="DA390" s="457"/>
      <c r="DB390" s="457"/>
      <c r="DC390" s="457"/>
      <c r="DD390" s="457"/>
      <c r="DE390" s="457"/>
      <c r="DF390" s="457"/>
      <c r="DG390" s="457"/>
      <c r="DH390" s="457"/>
      <c r="DI390" s="457"/>
      <c r="DJ390" s="457"/>
      <c r="DK390" s="457"/>
      <c r="DL390" s="457"/>
      <c r="DM390" s="457"/>
      <c r="DN390" s="457"/>
      <c r="DO390" s="457"/>
      <c r="DP390" s="457"/>
      <c r="DQ390" s="457"/>
      <c r="DR390" s="457"/>
      <c r="DS390" s="457"/>
      <c r="DT390" s="457"/>
      <c r="DU390" s="457"/>
      <c r="DV390" s="457"/>
      <c r="DW390" s="457"/>
      <c r="DX390" s="457"/>
      <c r="DY390" s="457"/>
      <c r="DZ390" s="457"/>
      <c r="EA390" s="457"/>
      <c r="EB390" s="457"/>
      <c r="EC390" s="457"/>
      <c r="ED390" s="457"/>
      <c r="EE390" s="457"/>
      <c r="EF390" s="457"/>
      <c r="EG390" s="457"/>
      <c r="EH390" s="457"/>
      <c r="EI390" s="457"/>
      <c r="EJ390" s="457"/>
      <c r="EK390" s="457"/>
      <c r="EL390" s="457"/>
      <c r="EM390" s="457"/>
      <c r="EN390" s="457"/>
      <c r="EO390" s="457"/>
      <c r="EP390" s="457"/>
      <c r="EQ390" s="457"/>
      <c r="ER390" s="457"/>
      <c r="ES390" s="457"/>
      <c r="ET390" s="457"/>
      <c r="EU390" s="457"/>
      <c r="EV390" s="457"/>
      <c r="EW390" s="457"/>
      <c r="EX390" s="457"/>
      <c r="EY390" s="457"/>
      <c r="EZ390" s="457"/>
      <c r="FA390" s="457"/>
      <c r="FB390" s="457"/>
      <c r="FC390" s="457"/>
      <c r="FD390" s="457"/>
      <c r="FE390" s="457"/>
      <c r="FF390" s="457"/>
      <c r="FG390" s="457"/>
      <c r="FH390" s="457"/>
      <c r="FI390" s="457"/>
      <c r="FJ390" s="457"/>
      <c r="FK390" s="457"/>
      <c r="FL390" s="457"/>
      <c r="FM390" s="457"/>
      <c r="FN390" s="457"/>
      <c r="FO390" s="457"/>
      <c r="FP390" s="457"/>
      <c r="FQ390" s="457"/>
      <c r="FR390" s="457"/>
      <c r="FS390" s="457"/>
      <c r="FT390" s="457"/>
      <c r="FU390" s="457"/>
      <c r="FV390" s="457"/>
      <c r="FW390" s="457"/>
      <c r="FX390" s="457"/>
      <c r="FY390" s="457"/>
      <c r="FZ390" s="457"/>
      <c r="GA390" s="457"/>
      <c r="GB390" s="457"/>
      <c r="GC390" s="457"/>
      <c r="GD390" s="457"/>
      <c r="GE390" s="457"/>
      <c r="GF390" s="457"/>
      <c r="GG390" s="457"/>
      <c r="GH390" s="457"/>
      <c r="GI390" s="457"/>
      <c r="GJ390" s="457"/>
      <c r="GK390" s="457"/>
      <c r="GL390" s="457"/>
      <c r="GM390" s="457"/>
      <c r="GN390" s="457"/>
      <c r="GO390" s="457"/>
      <c r="GP390" s="457"/>
      <c r="GQ390" s="457"/>
      <c r="GR390" s="457"/>
      <c r="GS390" s="457"/>
      <c r="GT390" s="457"/>
      <c r="GU390" s="457"/>
      <c r="GV390" s="457"/>
      <c r="GW390" s="457"/>
      <c r="GX390" s="457"/>
      <c r="GY390" s="457"/>
      <c r="GZ390" s="457"/>
      <c r="HA390" s="457"/>
      <c r="HB390" s="457"/>
      <c r="HC390" s="457"/>
      <c r="HD390" s="457"/>
      <c r="HE390" s="457"/>
      <c r="HF390" s="457"/>
      <c r="HG390" s="457"/>
      <c r="HH390" s="457"/>
      <c r="HI390" s="457"/>
      <c r="HJ390" s="457"/>
      <c r="HK390" s="457"/>
      <c r="HL390" s="457"/>
      <c r="HM390" s="457"/>
      <c r="HN390" s="457"/>
      <c r="HO390" s="457"/>
      <c r="HP390" s="457"/>
      <c r="HQ390" s="457"/>
      <c r="HR390" s="457"/>
      <c r="HS390" s="457"/>
      <c r="HT390" s="457"/>
      <c r="HU390" s="457"/>
      <c r="HV390" s="457"/>
      <c r="HW390" s="457"/>
      <c r="HX390" s="457"/>
      <c r="HY390" s="457"/>
      <c r="HZ390" s="457"/>
      <c r="IA390" s="457"/>
      <c r="IB390" s="457"/>
      <c r="IC390" s="457"/>
      <c r="ID390" s="457"/>
      <c r="IE390" s="457"/>
      <c r="IF390" s="457"/>
      <c r="IG390" s="457"/>
      <c r="IH390" s="457"/>
      <c r="II390" s="457"/>
      <c r="IJ390" s="457"/>
      <c r="IK390" s="457"/>
      <c r="IL390" s="457"/>
      <c r="IM390" s="457"/>
      <c r="IN390" s="457"/>
      <c r="IO390" s="457"/>
      <c r="IP390" s="457"/>
      <c r="IQ390" s="457"/>
      <c r="IR390" s="457"/>
      <c r="IS390" s="457"/>
      <c r="IT390" s="457"/>
      <c r="IU390" s="457"/>
      <c r="IV390" s="457"/>
      <c r="IW390" s="457"/>
      <c r="IX390" s="457"/>
      <c r="IY390" s="457"/>
      <c r="IZ390" s="457"/>
      <c r="JA390" s="457"/>
      <c r="JB390" s="457"/>
      <c r="JC390" s="457"/>
      <c r="JD390" s="457"/>
      <c r="JE390" s="457"/>
      <c r="JF390" s="457"/>
      <c r="JG390" s="457"/>
      <c r="JH390" s="457"/>
      <c r="JI390" s="457"/>
      <c r="JJ390" s="457"/>
      <c r="JK390" s="457"/>
      <c r="JL390" s="457"/>
      <c r="JM390" s="457"/>
      <c r="JN390" s="457"/>
      <c r="JO390" s="457"/>
      <c r="JP390" s="457"/>
      <c r="JQ390" s="457"/>
      <c r="JR390" s="457"/>
      <c r="JS390" s="457"/>
      <c r="JT390" s="457"/>
      <c r="JU390" s="457"/>
      <c r="JV390" s="457"/>
      <c r="JW390" s="457"/>
      <c r="JX390" s="457"/>
      <c r="JY390" s="457"/>
      <c r="JZ390" s="457"/>
      <c r="KA390" s="457"/>
      <c r="KB390" s="457"/>
      <c r="KC390" s="457"/>
      <c r="KD390" s="457"/>
      <c r="KE390" s="457"/>
      <c r="KF390" s="457"/>
      <c r="KG390" s="457"/>
      <c r="KH390" s="457"/>
      <c r="KI390" s="457"/>
      <c r="KJ390" s="457"/>
      <c r="KK390" s="457"/>
      <c r="KL390" s="457"/>
      <c r="KM390" s="457"/>
      <c r="KN390" s="457"/>
      <c r="KO390" s="457"/>
      <c r="KP390" s="457"/>
      <c r="KQ390" s="457"/>
      <c r="KR390" s="457"/>
      <c r="KS390" s="457"/>
      <c r="KT390" s="457"/>
      <c r="KU390" s="457"/>
      <c r="KV390" s="457"/>
      <c r="KW390" s="457"/>
      <c r="KX390" s="457"/>
      <c r="KY390" s="457"/>
      <c r="KZ390" s="457"/>
      <c r="LA390" s="457"/>
      <c r="LB390" s="457"/>
      <c r="LC390" s="457"/>
      <c r="LD390" s="457"/>
      <c r="LE390" s="457"/>
      <c r="LF390" s="457"/>
      <c r="LG390" s="457"/>
      <c r="LH390" s="457"/>
      <c r="LI390" s="457"/>
      <c r="LJ390" s="457"/>
      <c r="LK390" s="457"/>
      <c r="LL390" s="457"/>
      <c r="LM390" s="457"/>
      <c r="LN390" s="457"/>
      <c r="LO390" s="457"/>
      <c r="LP390" s="457"/>
      <c r="LQ390" s="457"/>
      <c r="LR390" s="457"/>
      <c r="LS390" s="457"/>
      <c r="LT390" s="457"/>
      <c r="LU390" s="457"/>
      <c r="LV390" s="457"/>
      <c r="LW390" s="457"/>
      <c r="LX390" s="457"/>
      <c r="LY390" s="457"/>
      <c r="LZ390" s="457"/>
      <c r="MA390" s="457"/>
      <c r="MB390" s="457"/>
      <c r="MC390" s="457"/>
      <c r="MD390" s="457"/>
      <c r="ME390" s="457"/>
      <c r="MF390" s="457"/>
      <c r="MG390" s="457"/>
      <c r="MH390" s="457"/>
      <c r="MI390" s="457"/>
      <c r="MJ390" s="457"/>
      <c r="MK390" s="457"/>
      <c r="ML390" s="457"/>
      <c r="MM390" s="457"/>
      <c r="MN390" s="457"/>
      <c r="MO390" s="457"/>
      <c r="MP390" s="457"/>
      <c r="MQ390" s="457"/>
      <c r="MR390" s="457"/>
      <c r="MS390" s="457"/>
      <c r="MT390" s="457"/>
      <c r="MU390" s="457"/>
      <c r="MV390" s="457"/>
      <c r="MW390" s="457"/>
      <c r="MX390" s="457"/>
      <c r="MY390" s="457"/>
      <c r="MZ390" s="457"/>
      <c r="NA390" s="457"/>
      <c r="NB390" s="457"/>
      <c r="NC390" s="457"/>
      <c r="ND390" s="457"/>
      <c r="NE390" s="457"/>
      <c r="NF390" s="457"/>
      <c r="NG390" s="457"/>
      <c r="NH390" s="457"/>
      <c r="NI390" s="457"/>
      <c r="NJ390" s="457"/>
      <c r="NK390" s="457"/>
      <c r="NL390" s="457"/>
      <c r="NM390" s="457"/>
      <c r="NN390" s="457"/>
      <c r="NO390" s="457"/>
      <c r="NP390" s="457"/>
      <c r="NQ390" s="457"/>
      <c r="NR390" s="457"/>
      <c r="NS390" s="457"/>
      <c r="NT390" s="457"/>
      <c r="NU390" s="457"/>
      <c r="NV390" s="457"/>
      <c r="NW390" s="457"/>
      <c r="NX390" s="457"/>
      <c r="NY390" s="457"/>
      <c r="NZ390" s="457"/>
      <c r="OA390" s="457"/>
      <c r="OB390" s="457"/>
      <c r="OC390" s="457"/>
      <c r="OD390" s="457"/>
      <c r="OE390" s="457"/>
      <c r="OF390" s="457"/>
      <c r="OG390" s="457"/>
      <c r="OH390" s="457"/>
      <c r="OI390" s="457"/>
      <c r="OJ390" s="457"/>
      <c r="OK390" s="457"/>
      <c r="OL390" s="457"/>
      <c r="OM390" s="457"/>
      <c r="ON390" s="457"/>
      <c r="OO390" s="457"/>
      <c r="OP390" s="457"/>
      <c r="OQ390" s="457"/>
      <c r="OR390" s="457"/>
      <c r="OS390" s="457"/>
      <c r="OT390" s="457"/>
      <c r="OU390" s="457"/>
      <c r="OV390" s="457"/>
      <c r="OW390" s="457"/>
      <c r="OX390" s="457"/>
      <c r="OY390" s="457"/>
      <c r="OZ390" s="457"/>
      <c r="PA390" s="457"/>
      <c r="PB390" s="457"/>
      <c r="PC390" s="457"/>
      <c r="PD390" s="457"/>
      <c r="PE390" s="457"/>
      <c r="PF390" s="457"/>
      <c r="PG390" s="457"/>
      <c r="PH390" s="457"/>
      <c r="PI390" s="457"/>
      <c r="PJ390" s="457"/>
      <c r="PK390" s="457"/>
      <c r="PL390" s="457"/>
      <c r="PM390" s="457"/>
      <c r="PN390" s="457"/>
      <c r="PO390" s="457"/>
      <c r="PP390" s="457"/>
      <c r="PQ390" s="457"/>
      <c r="PR390" s="457"/>
      <c r="PS390" s="457"/>
      <c r="PT390" s="457"/>
      <c r="PU390" s="457"/>
      <c r="PV390" s="457"/>
      <c r="PW390" s="457"/>
      <c r="PX390" s="457"/>
      <c r="PY390" s="457"/>
      <c r="PZ390" s="457"/>
      <c r="QA390" s="457"/>
      <c r="QB390" s="457"/>
      <c r="QC390" s="457"/>
      <c r="QD390" s="457"/>
      <c r="QE390" s="457"/>
      <c r="QF390" s="457"/>
      <c r="QG390" s="457"/>
      <c r="QH390" s="457"/>
      <c r="QI390" s="457"/>
      <c r="QJ390" s="457"/>
      <c r="QK390" s="457"/>
      <c r="QL390" s="457"/>
      <c r="QM390" s="457"/>
      <c r="QN390" s="457"/>
      <c r="QO390" s="457"/>
      <c r="QP390" s="457"/>
      <c r="QQ390" s="457"/>
      <c r="QR390" s="457"/>
      <c r="QS390" s="457"/>
      <c r="QT390" s="457"/>
      <c r="QU390" s="457"/>
      <c r="QV390" s="457"/>
      <c r="QW390" s="457"/>
      <c r="QX390" s="457"/>
      <c r="QY390" s="457"/>
      <c r="QZ390" s="457"/>
      <c r="RA390" s="457"/>
      <c r="RB390" s="457"/>
      <c r="RC390" s="457"/>
      <c r="RD390" s="457"/>
      <c r="RE390" s="457"/>
      <c r="RF390" s="457"/>
      <c r="RG390" s="457"/>
      <c r="RH390" s="457"/>
      <c r="RI390" s="457"/>
      <c r="RJ390" s="457"/>
      <c r="RK390" s="457"/>
      <c r="RL390" s="457"/>
      <c r="RM390" s="457"/>
      <c r="RN390" s="457"/>
      <c r="RO390" s="457"/>
      <c r="RP390" s="457"/>
      <c r="RQ390" s="457"/>
      <c r="RR390" s="457"/>
      <c r="RS390" s="457"/>
      <c r="RT390" s="457"/>
      <c r="RU390" s="457"/>
      <c r="RV390" s="457"/>
      <c r="RW390" s="457"/>
      <c r="RX390" s="457"/>
      <c r="RY390" s="457"/>
      <c r="RZ390" s="457"/>
      <c r="SA390" s="457"/>
      <c r="SB390" s="457"/>
      <c r="SC390" s="457"/>
      <c r="SD390" s="457"/>
      <c r="SE390" s="457"/>
      <c r="SF390" s="457"/>
      <c r="SG390" s="457"/>
      <c r="SH390" s="457"/>
      <c r="SI390" s="457"/>
      <c r="SJ390" s="457"/>
      <c r="SK390" s="457"/>
      <c r="SL390" s="457"/>
      <c r="SM390" s="457"/>
      <c r="SN390" s="457"/>
      <c r="SO390" s="457"/>
      <c r="SP390" s="457"/>
      <c r="SQ390" s="457"/>
      <c r="SR390" s="457"/>
      <c r="SS390" s="457"/>
      <c r="ST390" s="457"/>
      <c r="SU390" s="457"/>
      <c r="SV390" s="457"/>
      <c r="SW390" s="457"/>
      <c r="SX390" s="457"/>
      <c r="SY390" s="457"/>
      <c r="SZ390" s="457"/>
      <c r="TA390" s="457"/>
      <c r="TB390" s="457"/>
      <c r="TC390" s="457"/>
      <c r="TD390" s="457"/>
      <c r="TE390" s="457"/>
      <c r="TF390" s="457"/>
      <c r="TG390" s="457"/>
      <c r="TH390" s="457"/>
      <c r="TI390" s="457"/>
      <c r="TJ390" s="457"/>
      <c r="TK390" s="457"/>
      <c r="TL390" s="457"/>
      <c r="TM390" s="457"/>
      <c r="TN390" s="457"/>
      <c r="TO390" s="457"/>
      <c r="TP390" s="457"/>
      <c r="TQ390" s="457"/>
      <c r="TR390" s="457"/>
      <c r="TS390" s="457"/>
      <c r="TT390" s="457"/>
      <c r="TU390" s="457"/>
      <c r="TV390" s="457"/>
      <c r="TW390" s="457"/>
      <c r="TX390" s="457"/>
      <c r="TY390" s="457"/>
      <c r="TZ390" s="457"/>
      <c r="UA390" s="457"/>
      <c r="UB390" s="457"/>
      <c r="UC390" s="457"/>
      <c r="UD390" s="457"/>
      <c r="UE390" s="457"/>
      <c r="UF390" s="457"/>
      <c r="UG390" s="457"/>
      <c r="UH390" s="457"/>
      <c r="UI390" s="457"/>
      <c r="UJ390" s="457"/>
      <c r="UK390" s="457"/>
      <c r="UL390" s="457"/>
      <c r="UM390" s="457"/>
      <c r="UN390" s="457"/>
      <c r="UO390" s="457"/>
      <c r="UP390" s="457"/>
      <c r="UQ390" s="457"/>
      <c r="UR390" s="457"/>
      <c r="US390" s="457"/>
      <c r="UT390" s="457"/>
      <c r="UU390" s="457"/>
      <c r="UV390" s="457"/>
      <c r="UW390" s="457"/>
      <c r="UX390" s="457"/>
      <c r="UY390" s="457"/>
      <c r="UZ390" s="457"/>
      <c r="VA390" s="457"/>
      <c r="VB390" s="457"/>
      <c r="VC390" s="457"/>
      <c r="VD390" s="457"/>
      <c r="VE390" s="457"/>
      <c r="VF390" s="457"/>
      <c r="VG390" s="457"/>
      <c r="VH390" s="457"/>
      <c r="VI390" s="457"/>
      <c r="VJ390" s="457"/>
      <c r="VK390" s="457"/>
      <c r="VL390" s="457"/>
      <c r="VM390" s="457"/>
      <c r="VN390" s="457"/>
      <c r="VO390" s="457"/>
      <c r="VP390" s="457"/>
      <c r="VQ390" s="457"/>
      <c r="VR390" s="457"/>
      <c r="VS390" s="457"/>
      <c r="VT390" s="457"/>
      <c r="VU390" s="457"/>
      <c r="VV390" s="457"/>
      <c r="VW390" s="457"/>
      <c r="VX390" s="457"/>
      <c r="VY390" s="457"/>
      <c r="VZ390" s="457"/>
      <c r="WA390" s="457"/>
      <c r="WB390" s="457"/>
      <c r="WC390" s="457"/>
      <c r="WD390" s="457"/>
      <c r="WE390" s="457"/>
      <c r="WF390" s="457"/>
      <c r="WG390" s="457"/>
      <c r="WH390" s="457"/>
      <c r="WI390" s="457"/>
      <c r="WJ390" s="457"/>
      <c r="WK390" s="457"/>
      <c r="WL390" s="457"/>
      <c r="WM390" s="457"/>
      <c r="WN390" s="457"/>
      <c r="WO390" s="457"/>
      <c r="WP390" s="457"/>
      <c r="WQ390" s="457"/>
      <c r="WR390" s="457"/>
      <c r="WS390" s="457"/>
      <c r="WT390" s="457"/>
      <c r="WU390" s="457"/>
      <c r="WV390" s="457"/>
      <c r="WW390" s="457"/>
      <c r="WX390" s="457"/>
      <c r="WY390" s="457"/>
      <c r="WZ390" s="457"/>
      <c r="XA390" s="457"/>
      <c r="XB390" s="457"/>
      <c r="XC390" s="457"/>
      <c r="XD390" s="457"/>
      <c r="XE390" s="457"/>
      <c r="XF390" s="457"/>
      <c r="XG390" s="457"/>
      <c r="XH390" s="457"/>
      <c r="XI390" s="457"/>
      <c r="XJ390" s="457"/>
      <c r="XK390" s="457"/>
      <c r="XL390" s="457"/>
      <c r="XM390" s="457"/>
      <c r="XN390" s="457"/>
      <c r="XO390" s="457"/>
      <c r="XP390" s="457"/>
      <c r="XQ390" s="457"/>
      <c r="XR390" s="457"/>
      <c r="XS390" s="457"/>
      <c r="XT390" s="457"/>
      <c r="XU390" s="457"/>
      <c r="XV390" s="457"/>
      <c r="XW390" s="457"/>
      <c r="XX390" s="457"/>
      <c r="XY390" s="457"/>
      <c r="XZ390" s="457"/>
      <c r="YA390" s="457"/>
      <c r="YB390" s="457"/>
      <c r="YC390" s="457"/>
      <c r="YD390" s="457"/>
      <c r="YE390" s="457"/>
      <c r="YF390" s="457"/>
      <c r="YG390" s="457"/>
      <c r="YH390" s="457"/>
      <c r="YI390" s="457"/>
      <c r="YJ390" s="457"/>
      <c r="YK390" s="457"/>
      <c r="YL390" s="457"/>
      <c r="YM390" s="457"/>
      <c r="YN390" s="457"/>
      <c r="YO390" s="457"/>
      <c r="YP390" s="457"/>
      <c r="YQ390" s="457"/>
      <c r="YR390" s="457"/>
      <c r="YS390" s="457"/>
      <c r="YT390" s="457"/>
      <c r="YU390" s="457"/>
      <c r="YV390" s="457"/>
      <c r="YW390" s="457"/>
      <c r="YX390" s="457"/>
      <c r="YY390" s="457"/>
      <c r="YZ390" s="457"/>
      <c r="ZA390" s="457"/>
      <c r="ZB390" s="457"/>
      <c r="ZC390" s="457"/>
      <c r="ZD390" s="457"/>
      <c r="ZE390" s="457"/>
      <c r="ZF390" s="457"/>
      <c r="ZG390" s="457"/>
      <c r="ZH390" s="457"/>
      <c r="ZI390" s="457"/>
      <c r="ZJ390" s="457"/>
      <c r="ZK390" s="457"/>
      <c r="ZL390" s="457"/>
      <c r="ZM390" s="457"/>
      <c r="ZN390" s="457"/>
      <c r="ZO390" s="457"/>
      <c r="ZP390" s="457"/>
      <c r="ZQ390" s="457"/>
      <c r="ZR390" s="457"/>
      <c r="ZS390" s="457"/>
      <c r="ZT390" s="457"/>
      <c r="ZU390" s="457"/>
      <c r="ZV390" s="457"/>
      <c r="ZW390" s="457"/>
      <c r="ZX390" s="457"/>
      <c r="ZY390" s="457"/>
      <c r="ZZ390" s="457"/>
      <c r="AAA390" s="457"/>
      <c r="AAB390" s="457"/>
      <c r="AAC390" s="457"/>
      <c r="AAD390" s="457"/>
      <c r="AAE390" s="457"/>
      <c r="AAF390" s="457"/>
      <c r="AAG390" s="457"/>
      <c r="AAH390" s="457"/>
      <c r="AAI390" s="457"/>
      <c r="AAJ390" s="457"/>
      <c r="AAK390" s="457"/>
      <c r="AAL390" s="457"/>
      <c r="AAM390" s="457"/>
      <c r="AAN390" s="457"/>
      <c r="AAO390" s="457"/>
      <c r="AAP390" s="457"/>
      <c r="AAQ390" s="457"/>
      <c r="AAR390" s="457"/>
      <c r="AAS390" s="457"/>
      <c r="AAT390" s="457"/>
      <c r="AAU390" s="457"/>
      <c r="AAV390" s="457"/>
      <c r="AAW390" s="457"/>
      <c r="AAX390" s="457"/>
      <c r="AAY390" s="457"/>
      <c r="AAZ390" s="457"/>
      <c r="ABA390" s="457"/>
      <c r="ABB390" s="457"/>
      <c r="ABC390" s="457"/>
      <c r="ABD390" s="457"/>
      <c r="ABE390" s="457"/>
      <c r="ABF390" s="457"/>
      <c r="ABG390" s="457"/>
      <c r="ABH390" s="457"/>
      <c r="ABI390" s="457"/>
      <c r="ABJ390" s="457"/>
      <c r="ABK390" s="457"/>
      <c r="ABL390" s="457"/>
      <c r="ABM390" s="457"/>
      <c r="ABN390" s="457"/>
      <c r="ABO390" s="457"/>
      <c r="ABP390" s="457"/>
      <c r="ABQ390" s="457"/>
      <c r="ABR390" s="457"/>
      <c r="ABS390" s="457"/>
      <c r="ABT390" s="457"/>
      <c r="ABU390" s="457"/>
      <c r="ABV390" s="457"/>
      <c r="ABW390" s="457"/>
      <c r="ABX390" s="457"/>
      <c r="ABY390" s="457"/>
      <c r="ABZ390" s="457"/>
      <c r="ACA390" s="457"/>
      <c r="ACB390" s="457"/>
      <c r="ACC390" s="457"/>
      <c r="ACD390" s="457"/>
      <c r="ACE390" s="457"/>
      <c r="ACF390" s="457"/>
      <c r="ACG390" s="457"/>
      <c r="ACH390" s="457"/>
      <c r="ACI390" s="457"/>
      <c r="ACJ390" s="457"/>
      <c r="ACK390" s="457"/>
      <c r="ACL390" s="457"/>
      <c r="ACM390" s="457"/>
      <c r="ACN390" s="457"/>
      <c r="ACO390" s="457"/>
      <c r="ACP390" s="457"/>
      <c r="ACQ390" s="457"/>
      <c r="ACR390" s="457"/>
      <c r="ACS390" s="457"/>
      <c r="ACT390" s="457"/>
      <c r="ACU390" s="457"/>
      <c r="ACV390" s="457"/>
    </row>
    <row r="391" spans="1:776" s="400" customFormat="1" x14ac:dyDescent="0.25">
      <c r="A391" s="43">
        <v>900104</v>
      </c>
      <c r="B391" s="34" t="s">
        <v>234</v>
      </c>
      <c r="C391" s="455"/>
      <c r="D391" s="454" t="s">
        <v>235</v>
      </c>
      <c r="E391" s="454">
        <v>0.98299999999999998</v>
      </c>
      <c r="F391" s="458">
        <v>31.2</v>
      </c>
      <c r="G391" s="454">
        <v>0.01</v>
      </c>
      <c r="H391" s="454">
        <v>7.0000000000000007E-2</v>
      </c>
      <c r="I391" s="456">
        <v>79.63</v>
      </c>
      <c r="J391" s="454">
        <v>136.5</v>
      </c>
      <c r="K391" s="454">
        <v>0.01</v>
      </c>
      <c r="L391" s="454">
        <v>333.6</v>
      </c>
      <c r="M391" s="454">
        <v>0.01</v>
      </c>
      <c r="N391" s="454">
        <v>3.12</v>
      </c>
      <c r="O391" s="454">
        <v>88.49</v>
      </c>
      <c r="P391" s="454">
        <v>74.209999999999994</v>
      </c>
      <c r="Q391" s="454">
        <v>42.44</v>
      </c>
      <c r="R391" s="454">
        <v>0.01</v>
      </c>
      <c r="S391" s="454">
        <v>0.01</v>
      </c>
      <c r="T391" s="454">
        <v>0.01</v>
      </c>
      <c r="U391" s="454">
        <v>0.01</v>
      </c>
      <c r="V391" s="454"/>
      <c r="W391" s="457"/>
      <c r="X391" s="457"/>
      <c r="Y391" s="457"/>
      <c r="Z391" s="457"/>
      <c r="AA391" s="457"/>
      <c r="AB391" s="457"/>
      <c r="AC391" s="457"/>
      <c r="AD391" s="457"/>
      <c r="AE391" s="457"/>
      <c r="AF391" s="457"/>
      <c r="AG391" s="457"/>
      <c r="AH391" s="457"/>
      <c r="AI391" s="457"/>
      <c r="AJ391" s="457"/>
      <c r="AK391" s="457"/>
      <c r="AL391" s="457"/>
      <c r="AM391" s="457"/>
      <c r="AN391" s="457"/>
      <c r="AO391" s="457"/>
      <c r="AP391" s="457"/>
      <c r="AQ391" s="457"/>
      <c r="AR391" s="457"/>
      <c r="AS391" s="457"/>
      <c r="AT391" s="457"/>
      <c r="AU391" s="457"/>
      <c r="AV391" s="457"/>
      <c r="AW391" s="457"/>
      <c r="AX391" s="457"/>
      <c r="AY391" s="457"/>
      <c r="AZ391" s="457"/>
      <c r="BA391" s="457"/>
      <c r="BB391" s="457"/>
      <c r="BC391" s="457"/>
      <c r="BD391" s="457"/>
      <c r="BE391" s="457"/>
      <c r="BF391" s="457"/>
      <c r="BG391" s="457"/>
      <c r="BH391" s="457"/>
      <c r="BI391" s="457"/>
      <c r="BJ391" s="457"/>
      <c r="BK391" s="457"/>
      <c r="BL391" s="457"/>
      <c r="BM391" s="457"/>
      <c r="BN391" s="457"/>
      <c r="BO391" s="457"/>
      <c r="BP391" s="457"/>
      <c r="BQ391" s="457"/>
      <c r="BR391" s="457"/>
      <c r="BS391" s="457"/>
      <c r="BT391" s="457"/>
      <c r="BU391" s="457"/>
      <c r="BV391" s="457"/>
      <c r="BW391" s="457"/>
      <c r="BX391" s="457"/>
      <c r="BY391" s="457"/>
      <c r="BZ391" s="457"/>
      <c r="CA391" s="457"/>
      <c r="CB391" s="457"/>
      <c r="CC391" s="457"/>
      <c r="CD391" s="457"/>
      <c r="CE391" s="457"/>
      <c r="CF391" s="457"/>
      <c r="CG391" s="457"/>
      <c r="CH391" s="457"/>
      <c r="CI391" s="457"/>
      <c r="CJ391" s="457"/>
      <c r="CK391" s="457"/>
      <c r="CL391" s="457"/>
      <c r="CM391" s="457"/>
      <c r="CN391" s="457"/>
      <c r="CO391" s="457"/>
      <c r="CP391" s="457"/>
      <c r="CQ391" s="457"/>
      <c r="CR391" s="457"/>
      <c r="CS391" s="457"/>
      <c r="CT391" s="457"/>
      <c r="CU391" s="457"/>
      <c r="CV391" s="457"/>
      <c r="CW391" s="457"/>
      <c r="CX391" s="457"/>
      <c r="CY391" s="457"/>
      <c r="CZ391" s="457"/>
      <c r="DA391" s="457"/>
      <c r="DB391" s="457"/>
      <c r="DC391" s="457"/>
      <c r="DD391" s="457"/>
      <c r="DE391" s="457"/>
      <c r="DF391" s="457"/>
      <c r="DG391" s="457"/>
      <c r="DH391" s="457"/>
      <c r="DI391" s="457"/>
      <c r="DJ391" s="457"/>
      <c r="DK391" s="457"/>
      <c r="DL391" s="457"/>
      <c r="DM391" s="457"/>
      <c r="DN391" s="457"/>
      <c r="DO391" s="457"/>
      <c r="DP391" s="457"/>
      <c r="DQ391" s="457"/>
      <c r="DR391" s="457"/>
      <c r="DS391" s="457"/>
      <c r="DT391" s="457"/>
      <c r="DU391" s="457"/>
      <c r="DV391" s="457"/>
      <c r="DW391" s="457"/>
      <c r="DX391" s="457"/>
      <c r="DY391" s="457"/>
      <c r="DZ391" s="457"/>
      <c r="EA391" s="457"/>
      <c r="EB391" s="457"/>
      <c r="EC391" s="457"/>
      <c r="ED391" s="457"/>
      <c r="EE391" s="457"/>
      <c r="EF391" s="457"/>
      <c r="EG391" s="457"/>
      <c r="EH391" s="457"/>
      <c r="EI391" s="457"/>
      <c r="EJ391" s="457"/>
      <c r="EK391" s="457"/>
      <c r="EL391" s="457"/>
      <c r="EM391" s="457"/>
      <c r="EN391" s="457"/>
      <c r="EO391" s="457"/>
      <c r="EP391" s="457"/>
      <c r="EQ391" s="457"/>
      <c r="ER391" s="457"/>
      <c r="ES391" s="457"/>
      <c r="ET391" s="457"/>
      <c r="EU391" s="457"/>
      <c r="EV391" s="457"/>
      <c r="EW391" s="457"/>
      <c r="EX391" s="457"/>
      <c r="EY391" s="457"/>
      <c r="EZ391" s="457"/>
      <c r="FA391" s="457"/>
      <c r="FB391" s="457"/>
      <c r="FC391" s="457"/>
      <c r="FD391" s="457"/>
      <c r="FE391" s="457"/>
      <c r="FF391" s="457"/>
      <c r="FG391" s="457"/>
      <c r="FH391" s="457"/>
      <c r="FI391" s="457"/>
      <c r="FJ391" s="457"/>
      <c r="FK391" s="457"/>
      <c r="FL391" s="457"/>
      <c r="FM391" s="457"/>
      <c r="FN391" s="457"/>
      <c r="FO391" s="457"/>
      <c r="FP391" s="457"/>
      <c r="FQ391" s="457"/>
      <c r="FR391" s="457"/>
      <c r="FS391" s="457"/>
      <c r="FT391" s="457"/>
      <c r="FU391" s="457"/>
      <c r="FV391" s="457"/>
      <c r="FW391" s="457"/>
      <c r="FX391" s="457"/>
      <c r="FY391" s="457"/>
      <c r="FZ391" s="457"/>
      <c r="GA391" s="457"/>
      <c r="GB391" s="457"/>
      <c r="GC391" s="457"/>
      <c r="GD391" s="457"/>
      <c r="GE391" s="457"/>
      <c r="GF391" s="457"/>
      <c r="GG391" s="457"/>
      <c r="GH391" s="457"/>
      <c r="GI391" s="457"/>
      <c r="GJ391" s="457"/>
      <c r="GK391" s="457"/>
      <c r="GL391" s="457"/>
      <c r="GM391" s="457"/>
      <c r="GN391" s="457"/>
      <c r="GO391" s="457"/>
      <c r="GP391" s="457"/>
      <c r="GQ391" s="457"/>
      <c r="GR391" s="457"/>
      <c r="GS391" s="457"/>
      <c r="GT391" s="457"/>
      <c r="GU391" s="457"/>
      <c r="GV391" s="457"/>
      <c r="GW391" s="457"/>
      <c r="GX391" s="457"/>
      <c r="GY391" s="457"/>
      <c r="GZ391" s="457"/>
      <c r="HA391" s="457"/>
      <c r="HB391" s="457"/>
      <c r="HC391" s="457"/>
      <c r="HD391" s="457"/>
      <c r="HE391" s="457"/>
      <c r="HF391" s="457"/>
      <c r="HG391" s="457"/>
      <c r="HH391" s="457"/>
      <c r="HI391" s="457"/>
      <c r="HJ391" s="457"/>
      <c r="HK391" s="457"/>
      <c r="HL391" s="457"/>
      <c r="HM391" s="457"/>
      <c r="HN391" s="457"/>
      <c r="HO391" s="457"/>
      <c r="HP391" s="457"/>
      <c r="HQ391" s="457"/>
      <c r="HR391" s="457"/>
      <c r="HS391" s="457"/>
      <c r="HT391" s="457"/>
      <c r="HU391" s="457"/>
      <c r="HV391" s="457"/>
      <c r="HW391" s="457"/>
      <c r="HX391" s="457"/>
      <c r="HY391" s="457"/>
      <c r="HZ391" s="457"/>
      <c r="IA391" s="457"/>
      <c r="IB391" s="457"/>
      <c r="IC391" s="457"/>
      <c r="ID391" s="457"/>
      <c r="IE391" s="457"/>
      <c r="IF391" s="457"/>
      <c r="IG391" s="457"/>
      <c r="IH391" s="457"/>
      <c r="II391" s="457"/>
      <c r="IJ391" s="457"/>
      <c r="IK391" s="457"/>
      <c r="IL391" s="457"/>
      <c r="IM391" s="457"/>
      <c r="IN391" s="457"/>
      <c r="IO391" s="457"/>
      <c r="IP391" s="457"/>
      <c r="IQ391" s="457"/>
      <c r="IR391" s="457"/>
      <c r="IS391" s="457"/>
      <c r="IT391" s="457"/>
      <c r="IU391" s="457"/>
      <c r="IV391" s="457"/>
      <c r="IW391" s="457"/>
      <c r="IX391" s="457"/>
      <c r="IY391" s="457"/>
      <c r="IZ391" s="457"/>
      <c r="JA391" s="457"/>
      <c r="JB391" s="457"/>
      <c r="JC391" s="457"/>
      <c r="JD391" s="457"/>
      <c r="JE391" s="457"/>
      <c r="JF391" s="457"/>
      <c r="JG391" s="457"/>
      <c r="JH391" s="457"/>
      <c r="JI391" s="457"/>
      <c r="JJ391" s="457"/>
      <c r="JK391" s="457"/>
      <c r="JL391" s="457"/>
      <c r="JM391" s="457"/>
      <c r="JN391" s="457"/>
      <c r="JO391" s="457"/>
      <c r="JP391" s="457"/>
      <c r="JQ391" s="457"/>
      <c r="JR391" s="457"/>
      <c r="JS391" s="457"/>
      <c r="JT391" s="457"/>
      <c r="JU391" s="457"/>
      <c r="JV391" s="457"/>
      <c r="JW391" s="457"/>
      <c r="JX391" s="457"/>
      <c r="JY391" s="457"/>
      <c r="JZ391" s="457"/>
      <c r="KA391" s="457"/>
      <c r="KB391" s="457"/>
      <c r="KC391" s="457"/>
      <c r="KD391" s="457"/>
      <c r="KE391" s="457"/>
      <c r="KF391" s="457"/>
      <c r="KG391" s="457"/>
      <c r="KH391" s="457"/>
      <c r="KI391" s="457"/>
      <c r="KJ391" s="457"/>
      <c r="KK391" s="457"/>
      <c r="KL391" s="457"/>
      <c r="KM391" s="457"/>
      <c r="KN391" s="457"/>
      <c r="KO391" s="457"/>
      <c r="KP391" s="457"/>
      <c r="KQ391" s="457"/>
      <c r="KR391" s="457"/>
      <c r="KS391" s="457"/>
      <c r="KT391" s="457"/>
      <c r="KU391" s="457"/>
      <c r="KV391" s="457"/>
      <c r="KW391" s="457"/>
      <c r="KX391" s="457"/>
      <c r="KY391" s="457"/>
      <c r="KZ391" s="457"/>
      <c r="LA391" s="457"/>
      <c r="LB391" s="457"/>
      <c r="LC391" s="457"/>
      <c r="LD391" s="457"/>
      <c r="LE391" s="457"/>
      <c r="LF391" s="457"/>
      <c r="LG391" s="457"/>
      <c r="LH391" s="457"/>
      <c r="LI391" s="457"/>
      <c r="LJ391" s="457"/>
      <c r="LK391" s="457"/>
      <c r="LL391" s="457"/>
      <c r="LM391" s="457"/>
      <c r="LN391" s="457"/>
      <c r="LO391" s="457"/>
      <c r="LP391" s="457"/>
      <c r="LQ391" s="457"/>
      <c r="LR391" s="457"/>
      <c r="LS391" s="457"/>
      <c r="LT391" s="457"/>
      <c r="LU391" s="457"/>
      <c r="LV391" s="457"/>
      <c r="LW391" s="457"/>
      <c r="LX391" s="457"/>
      <c r="LY391" s="457"/>
      <c r="LZ391" s="457"/>
      <c r="MA391" s="457"/>
      <c r="MB391" s="457"/>
      <c r="MC391" s="457"/>
      <c r="MD391" s="457"/>
      <c r="ME391" s="457"/>
      <c r="MF391" s="457"/>
      <c r="MG391" s="457"/>
      <c r="MH391" s="457"/>
      <c r="MI391" s="457"/>
      <c r="MJ391" s="457"/>
      <c r="MK391" s="457"/>
      <c r="ML391" s="457"/>
      <c r="MM391" s="457"/>
      <c r="MN391" s="457"/>
      <c r="MO391" s="457"/>
      <c r="MP391" s="457"/>
      <c r="MQ391" s="457"/>
      <c r="MR391" s="457"/>
      <c r="MS391" s="457"/>
      <c r="MT391" s="457"/>
      <c r="MU391" s="457"/>
      <c r="MV391" s="457"/>
      <c r="MW391" s="457"/>
      <c r="MX391" s="457"/>
      <c r="MY391" s="457"/>
      <c r="MZ391" s="457"/>
      <c r="NA391" s="457"/>
      <c r="NB391" s="457"/>
      <c r="NC391" s="457"/>
      <c r="ND391" s="457"/>
      <c r="NE391" s="457"/>
      <c r="NF391" s="457"/>
      <c r="NG391" s="457"/>
      <c r="NH391" s="457"/>
      <c r="NI391" s="457"/>
      <c r="NJ391" s="457"/>
      <c r="NK391" s="457"/>
      <c r="NL391" s="457"/>
      <c r="NM391" s="457"/>
      <c r="NN391" s="457"/>
      <c r="NO391" s="457"/>
      <c r="NP391" s="457"/>
      <c r="NQ391" s="457"/>
      <c r="NR391" s="457"/>
      <c r="NS391" s="457"/>
      <c r="NT391" s="457"/>
      <c r="NU391" s="457"/>
      <c r="NV391" s="457"/>
      <c r="NW391" s="457"/>
      <c r="NX391" s="457"/>
      <c r="NY391" s="457"/>
      <c r="NZ391" s="457"/>
      <c r="OA391" s="457"/>
      <c r="OB391" s="457"/>
      <c r="OC391" s="457"/>
      <c r="OD391" s="457"/>
      <c r="OE391" s="457"/>
      <c r="OF391" s="457"/>
      <c r="OG391" s="457"/>
      <c r="OH391" s="457"/>
      <c r="OI391" s="457"/>
      <c r="OJ391" s="457"/>
      <c r="OK391" s="457"/>
      <c r="OL391" s="457"/>
      <c r="OM391" s="457"/>
      <c r="ON391" s="457"/>
      <c r="OO391" s="457"/>
      <c r="OP391" s="457"/>
      <c r="OQ391" s="457"/>
      <c r="OR391" s="457"/>
      <c r="OS391" s="457"/>
      <c r="OT391" s="457"/>
      <c r="OU391" s="457"/>
      <c r="OV391" s="457"/>
      <c r="OW391" s="457"/>
      <c r="OX391" s="457"/>
      <c r="OY391" s="457"/>
      <c r="OZ391" s="457"/>
      <c r="PA391" s="457"/>
      <c r="PB391" s="457"/>
      <c r="PC391" s="457"/>
      <c r="PD391" s="457"/>
      <c r="PE391" s="457"/>
      <c r="PF391" s="457"/>
      <c r="PG391" s="457"/>
      <c r="PH391" s="457"/>
      <c r="PI391" s="457"/>
      <c r="PJ391" s="457"/>
      <c r="PK391" s="457"/>
      <c r="PL391" s="457"/>
      <c r="PM391" s="457"/>
      <c r="PN391" s="457"/>
      <c r="PO391" s="457"/>
      <c r="PP391" s="457"/>
      <c r="PQ391" s="457"/>
      <c r="PR391" s="457"/>
      <c r="PS391" s="457"/>
      <c r="PT391" s="457"/>
      <c r="PU391" s="457"/>
      <c r="PV391" s="457"/>
      <c r="PW391" s="457"/>
      <c r="PX391" s="457"/>
      <c r="PY391" s="457"/>
      <c r="PZ391" s="457"/>
      <c r="QA391" s="457"/>
      <c r="QB391" s="457"/>
      <c r="QC391" s="457"/>
      <c r="QD391" s="457"/>
      <c r="QE391" s="457"/>
      <c r="QF391" s="457"/>
      <c r="QG391" s="457"/>
      <c r="QH391" s="457"/>
      <c r="QI391" s="457"/>
      <c r="QJ391" s="457"/>
      <c r="QK391" s="457"/>
      <c r="QL391" s="457"/>
      <c r="QM391" s="457"/>
      <c r="QN391" s="457"/>
      <c r="QO391" s="457"/>
      <c r="QP391" s="457"/>
      <c r="QQ391" s="457"/>
      <c r="QR391" s="457"/>
      <c r="QS391" s="457"/>
      <c r="QT391" s="457"/>
      <c r="QU391" s="457"/>
      <c r="QV391" s="457"/>
      <c r="QW391" s="457"/>
      <c r="QX391" s="457"/>
      <c r="QY391" s="457"/>
      <c r="QZ391" s="457"/>
      <c r="RA391" s="457"/>
      <c r="RB391" s="457"/>
      <c r="RC391" s="457"/>
      <c r="RD391" s="457"/>
      <c r="RE391" s="457"/>
      <c r="RF391" s="457"/>
      <c r="RG391" s="457"/>
      <c r="RH391" s="457"/>
      <c r="RI391" s="457"/>
      <c r="RJ391" s="457"/>
      <c r="RK391" s="457"/>
      <c r="RL391" s="457"/>
      <c r="RM391" s="457"/>
      <c r="RN391" s="457"/>
      <c r="RO391" s="457"/>
      <c r="RP391" s="457"/>
      <c r="RQ391" s="457"/>
      <c r="RR391" s="457"/>
      <c r="RS391" s="457"/>
      <c r="RT391" s="457"/>
      <c r="RU391" s="457"/>
      <c r="RV391" s="457"/>
      <c r="RW391" s="457"/>
      <c r="RX391" s="457"/>
      <c r="RY391" s="457"/>
      <c r="RZ391" s="457"/>
      <c r="SA391" s="457"/>
      <c r="SB391" s="457"/>
      <c r="SC391" s="457"/>
      <c r="SD391" s="457"/>
      <c r="SE391" s="457"/>
      <c r="SF391" s="457"/>
      <c r="SG391" s="457"/>
      <c r="SH391" s="457"/>
      <c r="SI391" s="457"/>
      <c r="SJ391" s="457"/>
      <c r="SK391" s="457"/>
      <c r="SL391" s="457"/>
      <c r="SM391" s="457"/>
      <c r="SN391" s="457"/>
      <c r="SO391" s="457"/>
      <c r="SP391" s="457"/>
      <c r="SQ391" s="457"/>
      <c r="SR391" s="457"/>
      <c r="SS391" s="457"/>
      <c r="ST391" s="457"/>
      <c r="SU391" s="457"/>
      <c r="SV391" s="457"/>
      <c r="SW391" s="457"/>
      <c r="SX391" s="457"/>
      <c r="SY391" s="457"/>
      <c r="SZ391" s="457"/>
      <c r="TA391" s="457"/>
      <c r="TB391" s="457"/>
      <c r="TC391" s="457"/>
      <c r="TD391" s="457"/>
      <c r="TE391" s="457"/>
      <c r="TF391" s="457"/>
      <c r="TG391" s="457"/>
      <c r="TH391" s="457"/>
      <c r="TI391" s="457"/>
      <c r="TJ391" s="457"/>
      <c r="TK391" s="457"/>
      <c r="TL391" s="457"/>
      <c r="TM391" s="457"/>
      <c r="TN391" s="457"/>
      <c r="TO391" s="457"/>
      <c r="TP391" s="457"/>
      <c r="TQ391" s="457"/>
      <c r="TR391" s="457"/>
      <c r="TS391" s="457"/>
      <c r="TT391" s="457"/>
      <c r="TU391" s="457"/>
      <c r="TV391" s="457"/>
      <c r="TW391" s="457"/>
      <c r="TX391" s="457"/>
      <c r="TY391" s="457"/>
      <c r="TZ391" s="457"/>
      <c r="UA391" s="457"/>
      <c r="UB391" s="457"/>
      <c r="UC391" s="457"/>
      <c r="UD391" s="457"/>
      <c r="UE391" s="457"/>
      <c r="UF391" s="457"/>
      <c r="UG391" s="457"/>
      <c r="UH391" s="457"/>
      <c r="UI391" s="457"/>
      <c r="UJ391" s="457"/>
      <c r="UK391" s="457"/>
      <c r="UL391" s="457"/>
      <c r="UM391" s="457"/>
      <c r="UN391" s="457"/>
      <c r="UO391" s="457"/>
      <c r="UP391" s="457"/>
      <c r="UQ391" s="457"/>
      <c r="UR391" s="457"/>
      <c r="US391" s="457"/>
      <c r="UT391" s="457"/>
      <c r="UU391" s="457"/>
      <c r="UV391" s="457"/>
      <c r="UW391" s="457"/>
      <c r="UX391" s="457"/>
      <c r="UY391" s="457"/>
      <c r="UZ391" s="457"/>
      <c r="VA391" s="457"/>
      <c r="VB391" s="457"/>
      <c r="VC391" s="457"/>
      <c r="VD391" s="457"/>
      <c r="VE391" s="457"/>
      <c r="VF391" s="457"/>
      <c r="VG391" s="457"/>
      <c r="VH391" s="457"/>
      <c r="VI391" s="457"/>
      <c r="VJ391" s="457"/>
      <c r="VK391" s="457"/>
      <c r="VL391" s="457"/>
      <c r="VM391" s="457"/>
      <c r="VN391" s="457"/>
      <c r="VO391" s="457"/>
      <c r="VP391" s="457"/>
      <c r="VQ391" s="457"/>
      <c r="VR391" s="457"/>
      <c r="VS391" s="457"/>
      <c r="VT391" s="457"/>
      <c r="VU391" s="457"/>
      <c r="VV391" s="457"/>
      <c r="VW391" s="457"/>
      <c r="VX391" s="457"/>
      <c r="VY391" s="457"/>
      <c r="VZ391" s="457"/>
      <c r="WA391" s="457"/>
      <c r="WB391" s="457"/>
      <c r="WC391" s="457"/>
      <c r="WD391" s="457"/>
      <c r="WE391" s="457"/>
      <c r="WF391" s="457"/>
      <c r="WG391" s="457"/>
      <c r="WH391" s="457"/>
      <c r="WI391" s="457"/>
      <c r="WJ391" s="457"/>
      <c r="WK391" s="457"/>
      <c r="WL391" s="457"/>
      <c r="WM391" s="457"/>
      <c r="WN391" s="457"/>
      <c r="WO391" s="457"/>
      <c r="WP391" s="457"/>
      <c r="WQ391" s="457"/>
      <c r="WR391" s="457"/>
      <c r="WS391" s="457"/>
      <c r="WT391" s="457"/>
      <c r="WU391" s="457"/>
      <c r="WV391" s="457"/>
      <c r="WW391" s="457"/>
      <c r="WX391" s="457"/>
      <c r="WY391" s="457"/>
      <c r="WZ391" s="457"/>
      <c r="XA391" s="457"/>
      <c r="XB391" s="457"/>
      <c r="XC391" s="457"/>
      <c r="XD391" s="457"/>
      <c r="XE391" s="457"/>
      <c r="XF391" s="457"/>
      <c r="XG391" s="457"/>
      <c r="XH391" s="457"/>
      <c r="XI391" s="457"/>
      <c r="XJ391" s="457"/>
      <c r="XK391" s="457"/>
      <c r="XL391" s="457"/>
      <c r="XM391" s="457"/>
      <c r="XN391" s="457"/>
      <c r="XO391" s="457"/>
      <c r="XP391" s="457"/>
      <c r="XQ391" s="457"/>
      <c r="XR391" s="457"/>
      <c r="XS391" s="457"/>
      <c r="XT391" s="457"/>
      <c r="XU391" s="457"/>
      <c r="XV391" s="457"/>
      <c r="XW391" s="457"/>
      <c r="XX391" s="457"/>
      <c r="XY391" s="457"/>
      <c r="XZ391" s="457"/>
      <c r="YA391" s="457"/>
      <c r="YB391" s="457"/>
      <c r="YC391" s="457"/>
      <c r="YD391" s="457"/>
      <c r="YE391" s="457"/>
      <c r="YF391" s="457"/>
      <c r="YG391" s="457"/>
      <c r="YH391" s="457"/>
      <c r="YI391" s="457"/>
      <c r="YJ391" s="457"/>
      <c r="YK391" s="457"/>
      <c r="YL391" s="457"/>
      <c r="YM391" s="457"/>
      <c r="YN391" s="457"/>
      <c r="YO391" s="457"/>
      <c r="YP391" s="457"/>
      <c r="YQ391" s="457"/>
      <c r="YR391" s="457"/>
      <c r="YS391" s="457"/>
      <c r="YT391" s="457"/>
      <c r="YU391" s="457"/>
      <c r="YV391" s="457"/>
      <c r="YW391" s="457"/>
      <c r="YX391" s="457"/>
      <c r="YY391" s="457"/>
      <c r="YZ391" s="457"/>
      <c r="ZA391" s="457"/>
      <c r="ZB391" s="457"/>
      <c r="ZC391" s="457"/>
      <c r="ZD391" s="457"/>
      <c r="ZE391" s="457"/>
      <c r="ZF391" s="457"/>
      <c r="ZG391" s="457"/>
      <c r="ZH391" s="457"/>
      <c r="ZI391" s="457"/>
      <c r="ZJ391" s="457"/>
      <c r="ZK391" s="457"/>
      <c r="ZL391" s="457"/>
      <c r="ZM391" s="457"/>
      <c r="ZN391" s="457"/>
      <c r="ZO391" s="457"/>
      <c r="ZP391" s="457"/>
      <c r="ZQ391" s="457"/>
      <c r="ZR391" s="457"/>
      <c r="ZS391" s="457"/>
      <c r="ZT391" s="457"/>
      <c r="ZU391" s="457"/>
      <c r="ZV391" s="457"/>
      <c r="ZW391" s="457"/>
      <c r="ZX391" s="457"/>
      <c r="ZY391" s="457"/>
      <c r="ZZ391" s="457"/>
      <c r="AAA391" s="457"/>
      <c r="AAB391" s="457"/>
      <c r="AAC391" s="457"/>
      <c r="AAD391" s="457"/>
      <c r="AAE391" s="457"/>
      <c r="AAF391" s="457"/>
      <c r="AAG391" s="457"/>
      <c r="AAH391" s="457"/>
      <c r="AAI391" s="457"/>
      <c r="AAJ391" s="457"/>
      <c r="AAK391" s="457"/>
      <c r="AAL391" s="457"/>
      <c r="AAM391" s="457"/>
      <c r="AAN391" s="457"/>
      <c r="AAO391" s="457"/>
      <c r="AAP391" s="457"/>
      <c r="AAQ391" s="457"/>
      <c r="AAR391" s="457"/>
      <c r="AAS391" s="457"/>
      <c r="AAT391" s="457"/>
      <c r="AAU391" s="457"/>
      <c r="AAV391" s="457"/>
      <c r="AAW391" s="457"/>
      <c r="AAX391" s="457"/>
      <c r="AAY391" s="457"/>
      <c r="AAZ391" s="457"/>
      <c r="ABA391" s="457"/>
      <c r="ABB391" s="457"/>
      <c r="ABC391" s="457"/>
      <c r="ABD391" s="457"/>
      <c r="ABE391" s="457"/>
      <c r="ABF391" s="457"/>
      <c r="ABG391" s="457"/>
      <c r="ABH391" s="457"/>
      <c r="ABI391" s="457"/>
      <c r="ABJ391" s="457"/>
      <c r="ABK391" s="457"/>
      <c r="ABL391" s="457"/>
      <c r="ABM391" s="457"/>
      <c r="ABN391" s="457"/>
      <c r="ABO391" s="457"/>
      <c r="ABP391" s="457"/>
      <c r="ABQ391" s="457"/>
      <c r="ABR391" s="457"/>
      <c r="ABS391" s="457"/>
      <c r="ABT391" s="457"/>
      <c r="ABU391" s="457"/>
      <c r="ABV391" s="457"/>
      <c r="ABW391" s="457"/>
      <c r="ABX391" s="457"/>
      <c r="ABY391" s="457"/>
      <c r="ABZ391" s="457"/>
      <c r="ACA391" s="457"/>
      <c r="ACB391" s="457"/>
      <c r="ACC391" s="457"/>
      <c r="ACD391" s="457"/>
      <c r="ACE391" s="457"/>
      <c r="ACF391" s="457"/>
      <c r="ACG391" s="457"/>
      <c r="ACH391" s="457"/>
      <c r="ACI391" s="457"/>
      <c r="ACJ391" s="457"/>
      <c r="ACK391" s="457"/>
      <c r="ACL391" s="457"/>
      <c r="ACM391" s="457"/>
      <c r="ACN391" s="457"/>
      <c r="ACO391" s="457"/>
      <c r="ACP391" s="457"/>
      <c r="ACQ391" s="457"/>
      <c r="ACR391" s="457"/>
      <c r="ACS391" s="457"/>
      <c r="ACT391" s="457"/>
      <c r="ACU391" s="457"/>
      <c r="ACV391" s="457"/>
    </row>
    <row r="392" spans="1:776" s="400" customFormat="1" x14ac:dyDescent="0.25">
      <c r="A392" s="43">
        <v>900105</v>
      </c>
      <c r="B392" s="34" t="s">
        <v>236</v>
      </c>
      <c r="C392" s="455"/>
      <c r="D392" s="454" t="s">
        <v>237</v>
      </c>
      <c r="E392" s="454">
        <v>6.23</v>
      </c>
      <c r="F392" s="458">
        <v>93.1</v>
      </c>
      <c r="G392" s="454">
        <v>0.01</v>
      </c>
      <c r="H392" s="454">
        <v>0.06</v>
      </c>
      <c r="I392" s="456">
        <v>1606</v>
      </c>
      <c r="J392" s="454">
        <v>226</v>
      </c>
      <c r="K392" s="454">
        <v>0.01</v>
      </c>
      <c r="L392" s="454">
        <v>592.79999999999995</v>
      </c>
      <c r="M392" s="454">
        <v>0.01</v>
      </c>
      <c r="N392" s="454">
        <v>16</v>
      </c>
      <c r="O392" s="454">
        <v>604.66999999999996</v>
      </c>
      <c r="P392" s="454">
        <v>418.91</v>
      </c>
      <c r="Q392" s="454">
        <v>160.08000000000001</v>
      </c>
      <c r="R392" s="454">
        <v>0.01</v>
      </c>
      <c r="S392" s="454">
        <v>0.01</v>
      </c>
      <c r="T392" s="454">
        <v>0.01</v>
      </c>
      <c r="U392" s="454">
        <v>0.01</v>
      </c>
      <c r="V392" s="454"/>
      <c r="W392" s="457"/>
      <c r="X392" s="457"/>
      <c r="Y392" s="457"/>
      <c r="Z392" s="457"/>
      <c r="AA392" s="457"/>
      <c r="AB392" s="457"/>
      <c r="AC392" s="457"/>
      <c r="AD392" s="457"/>
      <c r="AE392" s="457"/>
      <c r="AF392" s="457"/>
      <c r="AG392" s="457"/>
      <c r="AH392" s="457"/>
      <c r="AI392" s="457"/>
      <c r="AJ392" s="457"/>
      <c r="AK392" s="457"/>
      <c r="AL392" s="457"/>
      <c r="AM392" s="457"/>
      <c r="AN392" s="457"/>
      <c r="AO392" s="457"/>
      <c r="AP392" s="457"/>
      <c r="AQ392" s="457"/>
      <c r="AR392" s="457"/>
      <c r="AS392" s="457"/>
      <c r="AT392" s="457"/>
      <c r="AU392" s="457"/>
      <c r="AV392" s="457"/>
      <c r="AW392" s="457"/>
      <c r="AX392" s="457"/>
      <c r="AY392" s="457"/>
      <c r="AZ392" s="457"/>
      <c r="BA392" s="457"/>
      <c r="BB392" s="457"/>
      <c r="BC392" s="457"/>
      <c r="BD392" s="457"/>
      <c r="BE392" s="457"/>
      <c r="BF392" s="457"/>
      <c r="BG392" s="457"/>
      <c r="BH392" s="457"/>
      <c r="BI392" s="457"/>
      <c r="BJ392" s="457"/>
      <c r="BK392" s="457"/>
      <c r="BL392" s="457"/>
      <c r="BM392" s="457"/>
      <c r="BN392" s="457"/>
      <c r="BO392" s="457"/>
      <c r="BP392" s="457"/>
      <c r="BQ392" s="457"/>
      <c r="BR392" s="457"/>
      <c r="BS392" s="457"/>
      <c r="BT392" s="457"/>
      <c r="BU392" s="457"/>
      <c r="BV392" s="457"/>
      <c r="BW392" s="457"/>
      <c r="BX392" s="457"/>
      <c r="BY392" s="457"/>
      <c r="BZ392" s="457"/>
      <c r="CA392" s="457"/>
      <c r="CB392" s="457"/>
      <c r="CC392" s="457"/>
      <c r="CD392" s="457"/>
      <c r="CE392" s="457"/>
      <c r="CF392" s="457"/>
      <c r="CG392" s="457"/>
      <c r="CH392" s="457"/>
      <c r="CI392" s="457"/>
      <c r="CJ392" s="457"/>
      <c r="CK392" s="457"/>
      <c r="CL392" s="457"/>
      <c r="CM392" s="457"/>
      <c r="CN392" s="457"/>
      <c r="CO392" s="457"/>
      <c r="CP392" s="457"/>
      <c r="CQ392" s="457"/>
      <c r="CR392" s="457"/>
      <c r="CS392" s="457"/>
      <c r="CT392" s="457"/>
      <c r="CU392" s="457"/>
      <c r="CV392" s="457"/>
      <c r="CW392" s="457"/>
      <c r="CX392" s="457"/>
      <c r="CY392" s="457"/>
      <c r="CZ392" s="457"/>
      <c r="DA392" s="457"/>
      <c r="DB392" s="457"/>
      <c r="DC392" s="457"/>
      <c r="DD392" s="457"/>
      <c r="DE392" s="457"/>
      <c r="DF392" s="457"/>
      <c r="DG392" s="457"/>
      <c r="DH392" s="457"/>
      <c r="DI392" s="457"/>
      <c r="DJ392" s="457"/>
      <c r="DK392" s="457"/>
      <c r="DL392" s="457"/>
      <c r="DM392" s="457"/>
      <c r="DN392" s="457"/>
      <c r="DO392" s="457"/>
      <c r="DP392" s="457"/>
      <c r="DQ392" s="457"/>
      <c r="DR392" s="457"/>
      <c r="DS392" s="457"/>
      <c r="DT392" s="457"/>
      <c r="DU392" s="457"/>
      <c r="DV392" s="457"/>
      <c r="DW392" s="457"/>
      <c r="DX392" s="457"/>
      <c r="DY392" s="457"/>
      <c r="DZ392" s="457"/>
      <c r="EA392" s="457"/>
      <c r="EB392" s="457"/>
      <c r="EC392" s="457"/>
      <c r="ED392" s="457"/>
      <c r="EE392" s="457"/>
      <c r="EF392" s="457"/>
      <c r="EG392" s="457"/>
      <c r="EH392" s="457"/>
      <c r="EI392" s="457"/>
      <c r="EJ392" s="457"/>
      <c r="EK392" s="457"/>
      <c r="EL392" s="457"/>
      <c r="EM392" s="457"/>
      <c r="EN392" s="457"/>
      <c r="EO392" s="457"/>
      <c r="EP392" s="457"/>
      <c r="EQ392" s="457"/>
      <c r="ER392" s="457"/>
      <c r="ES392" s="457"/>
      <c r="ET392" s="457"/>
      <c r="EU392" s="457"/>
      <c r="EV392" s="457"/>
      <c r="EW392" s="457"/>
      <c r="EX392" s="457"/>
      <c r="EY392" s="457"/>
      <c r="EZ392" s="457"/>
      <c r="FA392" s="457"/>
      <c r="FB392" s="457"/>
      <c r="FC392" s="457"/>
      <c r="FD392" s="457"/>
      <c r="FE392" s="457"/>
      <c r="FF392" s="457"/>
      <c r="FG392" s="457"/>
      <c r="FH392" s="457"/>
      <c r="FI392" s="457"/>
      <c r="FJ392" s="457"/>
      <c r="FK392" s="457"/>
      <c r="FL392" s="457"/>
      <c r="FM392" s="457"/>
      <c r="FN392" s="457"/>
      <c r="FO392" s="457"/>
      <c r="FP392" s="457"/>
      <c r="FQ392" s="457"/>
      <c r="FR392" s="457"/>
      <c r="FS392" s="457"/>
      <c r="FT392" s="457"/>
      <c r="FU392" s="457"/>
      <c r="FV392" s="457"/>
      <c r="FW392" s="457"/>
      <c r="FX392" s="457"/>
      <c r="FY392" s="457"/>
      <c r="FZ392" s="457"/>
      <c r="GA392" s="457"/>
      <c r="GB392" s="457"/>
      <c r="GC392" s="457"/>
      <c r="GD392" s="457"/>
      <c r="GE392" s="457"/>
      <c r="GF392" s="457"/>
      <c r="GG392" s="457"/>
      <c r="GH392" s="457"/>
      <c r="GI392" s="457"/>
      <c r="GJ392" s="457"/>
      <c r="GK392" s="457"/>
      <c r="GL392" s="457"/>
      <c r="GM392" s="457"/>
      <c r="GN392" s="457"/>
      <c r="GO392" s="457"/>
      <c r="GP392" s="457"/>
      <c r="GQ392" s="457"/>
      <c r="GR392" s="457"/>
      <c r="GS392" s="457"/>
      <c r="GT392" s="457"/>
      <c r="GU392" s="457"/>
      <c r="GV392" s="457"/>
      <c r="GW392" s="457"/>
      <c r="GX392" s="457"/>
      <c r="GY392" s="457"/>
      <c r="GZ392" s="457"/>
      <c r="HA392" s="457"/>
      <c r="HB392" s="457"/>
      <c r="HC392" s="457"/>
      <c r="HD392" s="457"/>
      <c r="HE392" s="457"/>
      <c r="HF392" s="457"/>
      <c r="HG392" s="457"/>
      <c r="HH392" s="457"/>
      <c r="HI392" s="457"/>
      <c r="HJ392" s="457"/>
      <c r="HK392" s="457"/>
      <c r="HL392" s="457"/>
      <c r="HM392" s="457"/>
      <c r="HN392" s="457"/>
      <c r="HO392" s="457"/>
      <c r="HP392" s="457"/>
      <c r="HQ392" s="457"/>
      <c r="HR392" s="457"/>
      <c r="HS392" s="457"/>
      <c r="HT392" s="457"/>
      <c r="HU392" s="457"/>
      <c r="HV392" s="457"/>
      <c r="HW392" s="457"/>
      <c r="HX392" s="457"/>
      <c r="HY392" s="457"/>
      <c r="HZ392" s="457"/>
      <c r="IA392" s="457"/>
      <c r="IB392" s="457"/>
      <c r="IC392" s="457"/>
      <c r="ID392" s="457"/>
      <c r="IE392" s="457"/>
      <c r="IF392" s="457"/>
      <c r="IG392" s="457"/>
      <c r="IH392" s="457"/>
      <c r="II392" s="457"/>
      <c r="IJ392" s="457"/>
      <c r="IK392" s="457"/>
      <c r="IL392" s="457"/>
      <c r="IM392" s="457"/>
      <c r="IN392" s="457"/>
      <c r="IO392" s="457"/>
      <c r="IP392" s="457"/>
      <c r="IQ392" s="457"/>
      <c r="IR392" s="457"/>
      <c r="IS392" s="457"/>
      <c r="IT392" s="457"/>
      <c r="IU392" s="457"/>
      <c r="IV392" s="457"/>
      <c r="IW392" s="457"/>
      <c r="IX392" s="457"/>
      <c r="IY392" s="457"/>
      <c r="IZ392" s="457"/>
      <c r="JA392" s="457"/>
      <c r="JB392" s="457"/>
      <c r="JC392" s="457"/>
      <c r="JD392" s="457"/>
      <c r="JE392" s="457"/>
      <c r="JF392" s="457"/>
      <c r="JG392" s="457"/>
      <c r="JH392" s="457"/>
      <c r="JI392" s="457"/>
      <c r="JJ392" s="457"/>
      <c r="JK392" s="457"/>
      <c r="JL392" s="457"/>
      <c r="JM392" s="457"/>
      <c r="JN392" s="457"/>
      <c r="JO392" s="457"/>
      <c r="JP392" s="457"/>
      <c r="JQ392" s="457"/>
      <c r="JR392" s="457"/>
      <c r="JS392" s="457"/>
      <c r="JT392" s="457"/>
      <c r="JU392" s="457"/>
      <c r="JV392" s="457"/>
      <c r="JW392" s="457"/>
      <c r="JX392" s="457"/>
      <c r="JY392" s="457"/>
      <c r="JZ392" s="457"/>
      <c r="KA392" s="457"/>
      <c r="KB392" s="457"/>
      <c r="KC392" s="457"/>
      <c r="KD392" s="457"/>
      <c r="KE392" s="457"/>
      <c r="KF392" s="457"/>
      <c r="KG392" s="457"/>
      <c r="KH392" s="457"/>
      <c r="KI392" s="457"/>
      <c r="KJ392" s="457"/>
      <c r="KK392" s="457"/>
      <c r="KL392" s="457"/>
      <c r="KM392" s="457"/>
      <c r="KN392" s="457"/>
      <c r="KO392" s="457"/>
      <c r="KP392" s="457"/>
      <c r="KQ392" s="457"/>
      <c r="KR392" s="457"/>
      <c r="KS392" s="457"/>
      <c r="KT392" s="457"/>
      <c r="KU392" s="457"/>
      <c r="KV392" s="457"/>
      <c r="KW392" s="457"/>
      <c r="KX392" s="457"/>
      <c r="KY392" s="457"/>
      <c r="KZ392" s="457"/>
      <c r="LA392" s="457"/>
      <c r="LB392" s="457"/>
      <c r="LC392" s="457"/>
      <c r="LD392" s="457"/>
      <c r="LE392" s="457"/>
      <c r="LF392" s="457"/>
      <c r="LG392" s="457"/>
      <c r="LH392" s="457"/>
      <c r="LI392" s="457"/>
      <c r="LJ392" s="457"/>
      <c r="LK392" s="457"/>
      <c r="LL392" s="457"/>
      <c r="LM392" s="457"/>
      <c r="LN392" s="457"/>
      <c r="LO392" s="457"/>
      <c r="LP392" s="457"/>
      <c r="LQ392" s="457"/>
      <c r="LR392" s="457"/>
      <c r="LS392" s="457"/>
      <c r="LT392" s="457"/>
      <c r="LU392" s="457"/>
      <c r="LV392" s="457"/>
      <c r="LW392" s="457"/>
      <c r="LX392" s="457"/>
      <c r="LY392" s="457"/>
      <c r="LZ392" s="457"/>
      <c r="MA392" s="457"/>
      <c r="MB392" s="457"/>
      <c r="MC392" s="457"/>
      <c r="MD392" s="457"/>
      <c r="ME392" s="457"/>
      <c r="MF392" s="457"/>
      <c r="MG392" s="457"/>
      <c r="MH392" s="457"/>
      <c r="MI392" s="457"/>
      <c r="MJ392" s="457"/>
      <c r="MK392" s="457"/>
      <c r="ML392" s="457"/>
      <c r="MM392" s="457"/>
      <c r="MN392" s="457"/>
      <c r="MO392" s="457"/>
      <c r="MP392" s="457"/>
      <c r="MQ392" s="457"/>
      <c r="MR392" s="457"/>
      <c r="MS392" s="457"/>
      <c r="MT392" s="457"/>
      <c r="MU392" s="457"/>
      <c r="MV392" s="457"/>
      <c r="MW392" s="457"/>
      <c r="MX392" s="457"/>
      <c r="MY392" s="457"/>
      <c r="MZ392" s="457"/>
      <c r="NA392" s="457"/>
      <c r="NB392" s="457"/>
      <c r="NC392" s="457"/>
      <c r="ND392" s="457"/>
      <c r="NE392" s="457"/>
      <c r="NF392" s="457"/>
      <c r="NG392" s="457"/>
      <c r="NH392" s="457"/>
      <c r="NI392" s="457"/>
      <c r="NJ392" s="457"/>
      <c r="NK392" s="457"/>
      <c r="NL392" s="457"/>
      <c r="NM392" s="457"/>
      <c r="NN392" s="457"/>
      <c r="NO392" s="457"/>
      <c r="NP392" s="457"/>
      <c r="NQ392" s="457"/>
      <c r="NR392" s="457"/>
      <c r="NS392" s="457"/>
      <c r="NT392" s="457"/>
      <c r="NU392" s="457"/>
      <c r="NV392" s="457"/>
      <c r="NW392" s="457"/>
      <c r="NX392" s="457"/>
      <c r="NY392" s="457"/>
      <c r="NZ392" s="457"/>
      <c r="OA392" s="457"/>
      <c r="OB392" s="457"/>
      <c r="OC392" s="457"/>
      <c r="OD392" s="457"/>
      <c r="OE392" s="457"/>
      <c r="OF392" s="457"/>
      <c r="OG392" s="457"/>
      <c r="OH392" s="457"/>
      <c r="OI392" s="457"/>
      <c r="OJ392" s="457"/>
      <c r="OK392" s="457"/>
      <c r="OL392" s="457"/>
      <c r="OM392" s="457"/>
      <c r="ON392" s="457"/>
      <c r="OO392" s="457"/>
      <c r="OP392" s="457"/>
      <c r="OQ392" s="457"/>
      <c r="OR392" s="457"/>
      <c r="OS392" s="457"/>
      <c r="OT392" s="457"/>
      <c r="OU392" s="457"/>
      <c r="OV392" s="457"/>
      <c r="OW392" s="457"/>
      <c r="OX392" s="457"/>
      <c r="OY392" s="457"/>
      <c r="OZ392" s="457"/>
      <c r="PA392" s="457"/>
      <c r="PB392" s="457"/>
      <c r="PC392" s="457"/>
      <c r="PD392" s="457"/>
      <c r="PE392" s="457"/>
      <c r="PF392" s="457"/>
      <c r="PG392" s="457"/>
      <c r="PH392" s="457"/>
      <c r="PI392" s="457"/>
      <c r="PJ392" s="457"/>
      <c r="PK392" s="457"/>
      <c r="PL392" s="457"/>
      <c r="PM392" s="457"/>
      <c r="PN392" s="457"/>
      <c r="PO392" s="457"/>
      <c r="PP392" s="457"/>
      <c r="PQ392" s="457"/>
      <c r="PR392" s="457"/>
      <c r="PS392" s="457"/>
      <c r="PT392" s="457"/>
      <c r="PU392" s="457"/>
      <c r="PV392" s="457"/>
      <c r="PW392" s="457"/>
      <c r="PX392" s="457"/>
      <c r="PY392" s="457"/>
      <c r="PZ392" s="457"/>
      <c r="QA392" s="457"/>
      <c r="QB392" s="457"/>
      <c r="QC392" s="457"/>
      <c r="QD392" s="457"/>
      <c r="QE392" s="457"/>
      <c r="QF392" s="457"/>
      <c r="QG392" s="457"/>
      <c r="QH392" s="457"/>
      <c r="QI392" s="457"/>
      <c r="QJ392" s="457"/>
      <c r="QK392" s="457"/>
      <c r="QL392" s="457"/>
      <c r="QM392" s="457"/>
      <c r="QN392" s="457"/>
      <c r="QO392" s="457"/>
      <c r="QP392" s="457"/>
      <c r="QQ392" s="457"/>
      <c r="QR392" s="457"/>
      <c r="QS392" s="457"/>
      <c r="QT392" s="457"/>
      <c r="QU392" s="457"/>
      <c r="QV392" s="457"/>
      <c r="QW392" s="457"/>
      <c r="QX392" s="457"/>
      <c r="QY392" s="457"/>
      <c r="QZ392" s="457"/>
      <c r="RA392" s="457"/>
      <c r="RB392" s="457"/>
      <c r="RC392" s="457"/>
      <c r="RD392" s="457"/>
      <c r="RE392" s="457"/>
      <c r="RF392" s="457"/>
      <c r="RG392" s="457"/>
      <c r="RH392" s="457"/>
      <c r="RI392" s="457"/>
      <c r="RJ392" s="457"/>
      <c r="RK392" s="457"/>
      <c r="RL392" s="457"/>
      <c r="RM392" s="457"/>
      <c r="RN392" s="457"/>
      <c r="RO392" s="457"/>
      <c r="RP392" s="457"/>
      <c r="RQ392" s="457"/>
      <c r="RR392" s="457"/>
      <c r="RS392" s="457"/>
      <c r="RT392" s="457"/>
      <c r="RU392" s="457"/>
      <c r="RV392" s="457"/>
      <c r="RW392" s="457"/>
      <c r="RX392" s="457"/>
      <c r="RY392" s="457"/>
      <c r="RZ392" s="457"/>
      <c r="SA392" s="457"/>
      <c r="SB392" s="457"/>
      <c r="SC392" s="457"/>
      <c r="SD392" s="457"/>
      <c r="SE392" s="457"/>
      <c r="SF392" s="457"/>
      <c r="SG392" s="457"/>
      <c r="SH392" s="457"/>
      <c r="SI392" s="457"/>
      <c r="SJ392" s="457"/>
      <c r="SK392" s="457"/>
      <c r="SL392" s="457"/>
      <c r="SM392" s="457"/>
      <c r="SN392" s="457"/>
      <c r="SO392" s="457"/>
      <c r="SP392" s="457"/>
      <c r="SQ392" s="457"/>
      <c r="SR392" s="457"/>
      <c r="SS392" s="457"/>
      <c r="ST392" s="457"/>
      <c r="SU392" s="457"/>
      <c r="SV392" s="457"/>
      <c r="SW392" s="457"/>
      <c r="SX392" s="457"/>
      <c r="SY392" s="457"/>
      <c r="SZ392" s="457"/>
      <c r="TA392" s="457"/>
      <c r="TB392" s="457"/>
      <c r="TC392" s="457"/>
      <c r="TD392" s="457"/>
      <c r="TE392" s="457"/>
      <c r="TF392" s="457"/>
      <c r="TG392" s="457"/>
      <c r="TH392" s="457"/>
      <c r="TI392" s="457"/>
      <c r="TJ392" s="457"/>
      <c r="TK392" s="457"/>
      <c r="TL392" s="457"/>
      <c r="TM392" s="457"/>
      <c r="TN392" s="457"/>
      <c r="TO392" s="457"/>
      <c r="TP392" s="457"/>
      <c r="TQ392" s="457"/>
      <c r="TR392" s="457"/>
      <c r="TS392" s="457"/>
      <c r="TT392" s="457"/>
      <c r="TU392" s="457"/>
      <c r="TV392" s="457"/>
      <c r="TW392" s="457"/>
      <c r="TX392" s="457"/>
      <c r="TY392" s="457"/>
      <c r="TZ392" s="457"/>
      <c r="UA392" s="457"/>
      <c r="UB392" s="457"/>
      <c r="UC392" s="457"/>
      <c r="UD392" s="457"/>
      <c r="UE392" s="457"/>
      <c r="UF392" s="457"/>
      <c r="UG392" s="457"/>
      <c r="UH392" s="457"/>
      <c r="UI392" s="457"/>
      <c r="UJ392" s="457"/>
      <c r="UK392" s="457"/>
      <c r="UL392" s="457"/>
      <c r="UM392" s="457"/>
      <c r="UN392" s="457"/>
      <c r="UO392" s="457"/>
      <c r="UP392" s="457"/>
      <c r="UQ392" s="457"/>
      <c r="UR392" s="457"/>
      <c r="US392" s="457"/>
      <c r="UT392" s="457"/>
      <c r="UU392" s="457"/>
      <c r="UV392" s="457"/>
      <c r="UW392" s="457"/>
      <c r="UX392" s="457"/>
      <c r="UY392" s="457"/>
      <c r="UZ392" s="457"/>
      <c r="VA392" s="457"/>
      <c r="VB392" s="457"/>
      <c r="VC392" s="457"/>
      <c r="VD392" s="457"/>
      <c r="VE392" s="457"/>
      <c r="VF392" s="457"/>
      <c r="VG392" s="457"/>
      <c r="VH392" s="457"/>
      <c r="VI392" s="457"/>
      <c r="VJ392" s="457"/>
      <c r="VK392" s="457"/>
      <c r="VL392" s="457"/>
      <c r="VM392" s="457"/>
      <c r="VN392" s="457"/>
      <c r="VO392" s="457"/>
      <c r="VP392" s="457"/>
      <c r="VQ392" s="457"/>
      <c r="VR392" s="457"/>
      <c r="VS392" s="457"/>
      <c r="VT392" s="457"/>
      <c r="VU392" s="457"/>
      <c r="VV392" s="457"/>
      <c r="VW392" s="457"/>
      <c r="VX392" s="457"/>
      <c r="VY392" s="457"/>
      <c r="VZ392" s="457"/>
      <c r="WA392" s="457"/>
      <c r="WB392" s="457"/>
      <c r="WC392" s="457"/>
      <c r="WD392" s="457"/>
      <c r="WE392" s="457"/>
      <c r="WF392" s="457"/>
      <c r="WG392" s="457"/>
      <c r="WH392" s="457"/>
      <c r="WI392" s="457"/>
      <c r="WJ392" s="457"/>
      <c r="WK392" s="457"/>
      <c r="WL392" s="457"/>
      <c r="WM392" s="457"/>
      <c r="WN392" s="457"/>
      <c r="WO392" s="457"/>
      <c r="WP392" s="457"/>
      <c r="WQ392" s="457"/>
      <c r="WR392" s="457"/>
      <c r="WS392" s="457"/>
      <c r="WT392" s="457"/>
      <c r="WU392" s="457"/>
      <c r="WV392" s="457"/>
      <c r="WW392" s="457"/>
      <c r="WX392" s="457"/>
      <c r="WY392" s="457"/>
      <c r="WZ392" s="457"/>
      <c r="XA392" s="457"/>
      <c r="XB392" s="457"/>
      <c r="XC392" s="457"/>
      <c r="XD392" s="457"/>
      <c r="XE392" s="457"/>
      <c r="XF392" s="457"/>
      <c r="XG392" s="457"/>
      <c r="XH392" s="457"/>
      <c r="XI392" s="457"/>
      <c r="XJ392" s="457"/>
      <c r="XK392" s="457"/>
      <c r="XL392" s="457"/>
      <c r="XM392" s="457"/>
      <c r="XN392" s="457"/>
      <c r="XO392" s="457"/>
      <c r="XP392" s="457"/>
      <c r="XQ392" s="457"/>
      <c r="XR392" s="457"/>
      <c r="XS392" s="457"/>
      <c r="XT392" s="457"/>
      <c r="XU392" s="457"/>
      <c r="XV392" s="457"/>
      <c r="XW392" s="457"/>
      <c r="XX392" s="457"/>
      <c r="XY392" s="457"/>
      <c r="XZ392" s="457"/>
      <c r="YA392" s="457"/>
      <c r="YB392" s="457"/>
      <c r="YC392" s="457"/>
      <c r="YD392" s="457"/>
      <c r="YE392" s="457"/>
      <c r="YF392" s="457"/>
      <c r="YG392" s="457"/>
      <c r="YH392" s="457"/>
      <c r="YI392" s="457"/>
      <c r="YJ392" s="457"/>
      <c r="YK392" s="457"/>
      <c r="YL392" s="457"/>
      <c r="YM392" s="457"/>
      <c r="YN392" s="457"/>
      <c r="YO392" s="457"/>
      <c r="YP392" s="457"/>
      <c r="YQ392" s="457"/>
      <c r="YR392" s="457"/>
      <c r="YS392" s="457"/>
      <c r="YT392" s="457"/>
      <c r="YU392" s="457"/>
      <c r="YV392" s="457"/>
      <c r="YW392" s="457"/>
      <c r="YX392" s="457"/>
      <c r="YY392" s="457"/>
      <c r="YZ392" s="457"/>
      <c r="ZA392" s="457"/>
      <c r="ZB392" s="457"/>
      <c r="ZC392" s="457"/>
      <c r="ZD392" s="457"/>
      <c r="ZE392" s="457"/>
      <c r="ZF392" s="457"/>
      <c r="ZG392" s="457"/>
      <c r="ZH392" s="457"/>
      <c r="ZI392" s="457"/>
      <c r="ZJ392" s="457"/>
      <c r="ZK392" s="457"/>
      <c r="ZL392" s="457"/>
      <c r="ZM392" s="457"/>
      <c r="ZN392" s="457"/>
      <c r="ZO392" s="457"/>
      <c r="ZP392" s="457"/>
      <c r="ZQ392" s="457"/>
      <c r="ZR392" s="457"/>
      <c r="ZS392" s="457"/>
      <c r="ZT392" s="457"/>
      <c r="ZU392" s="457"/>
      <c r="ZV392" s="457"/>
      <c r="ZW392" s="457"/>
      <c r="ZX392" s="457"/>
      <c r="ZY392" s="457"/>
      <c r="ZZ392" s="457"/>
      <c r="AAA392" s="457"/>
      <c r="AAB392" s="457"/>
      <c r="AAC392" s="457"/>
      <c r="AAD392" s="457"/>
      <c r="AAE392" s="457"/>
      <c r="AAF392" s="457"/>
      <c r="AAG392" s="457"/>
      <c r="AAH392" s="457"/>
      <c r="AAI392" s="457"/>
      <c r="AAJ392" s="457"/>
      <c r="AAK392" s="457"/>
      <c r="AAL392" s="457"/>
      <c r="AAM392" s="457"/>
      <c r="AAN392" s="457"/>
      <c r="AAO392" s="457"/>
      <c r="AAP392" s="457"/>
      <c r="AAQ392" s="457"/>
      <c r="AAR392" s="457"/>
      <c r="AAS392" s="457"/>
      <c r="AAT392" s="457"/>
      <c r="AAU392" s="457"/>
      <c r="AAV392" s="457"/>
      <c r="AAW392" s="457"/>
      <c r="AAX392" s="457"/>
      <c r="AAY392" s="457"/>
      <c r="AAZ392" s="457"/>
      <c r="ABA392" s="457"/>
      <c r="ABB392" s="457"/>
      <c r="ABC392" s="457"/>
      <c r="ABD392" s="457"/>
      <c r="ABE392" s="457"/>
      <c r="ABF392" s="457"/>
      <c r="ABG392" s="457"/>
      <c r="ABH392" s="457"/>
      <c r="ABI392" s="457"/>
      <c r="ABJ392" s="457"/>
      <c r="ABK392" s="457"/>
      <c r="ABL392" s="457"/>
      <c r="ABM392" s="457"/>
      <c r="ABN392" s="457"/>
      <c r="ABO392" s="457"/>
      <c r="ABP392" s="457"/>
      <c r="ABQ392" s="457"/>
      <c r="ABR392" s="457"/>
      <c r="ABS392" s="457"/>
      <c r="ABT392" s="457"/>
      <c r="ABU392" s="457"/>
      <c r="ABV392" s="457"/>
      <c r="ABW392" s="457"/>
      <c r="ABX392" s="457"/>
      <c r="ABY392" s="457"/>
      <c r="ABZ392" s="457"/>
      <c r="ACA392" s="457"/>
      <c r="ACB392" s="457"/>
      <c r="ACC392" s="457"/>
      <c r="ACD392" s="457"/>
      <c r="ACE392" s="457"/>
      <c r="ACF392" s="457"/>
      <c r="ACG392" s="457"/>
      <c r="ACH392" s="457"/>
      <c r="ACI392" s="457"/>
      <c r="ACJ392" s="457"/>
      <c r="ACK392" s="457"/>
      <c r="ACL392" s="457"/>
      <c r="ACM392" s="457"/>
      <c r="ACN392" s="457"/>
      <c r="ACO392" s="457"/>
      <c r="ACP392" s="457"/>
      <c r="ACQ392" s="457"/>
      <c r="ACR392" s="457"/>
      <c r="ACS392" s="457"/>
      <c r="ACT392" s="457"/>
      <c r="ACU392" s="457"/>
      <c r="ACV392" s="457"/>
    </row>
    <row r="393" spans="1:776" s="400" customFormat="1" x14ac:dyDescent="0.25">
      <c r="A393" s="43">
        <v>900106</v>
      </c>
      <c r="B393" s="34" t="s">
        <v>238</v>
      </c>
      <c r="C393" s="455"/>
      <c r="D393" s="454" t="s">
        <v>239</v>
      </c>
      <c r="E393" s="454">
        <v>1.81</v>
      </c>
      <c r="F393" s="458">
        <v>6</v>
      </c>
      <c r="G393" s="454">
        <v>0.01</v>
      </c>
      <c r="H393" s="454">
        <v>0.03</v>
      </c>
      <c r="I393" s="456">
        <v>27.81</v>
      </c>
      <c r="J393" s="454">
        <v>464.7</v>
      </c>
      <c r="K393" s="454">
        <v>0.01</v>
      </c>
      <c r="L393" s="454">
        <v>405.6</v>
      </c>
      <c r="M393" s="454">
        <v>0.01</v>
      </c>
      <c r="N393" s="454">
        <v>6.02</v>
      </c>
      <c r="O393" s="454">
        <v>39.49</v>
      </c>
      <c r="P393" s="454">
        <v>220.63</v>
      </c>
      <c r="Q393" s="454">
        <v>55.92</v>
      </c>
      <c r="R393" s="454">
        <v>0.01</v>
      </c>
      <c r="S393" s="454">
        <v>0.01</v>
      </c>
      <c r="T393" s="454">
        <v>0.01</v>
      </c>
      <c r="U393" s="454">
        <v>0.01</v>
      </c>
      <c r="V393" s="454"/>
      <c r="W393" s="457"/>
      <c r="X393" s="457"/>
      <c r="Y393" s="457"/>
      <c r="Z393" s="457"/>
      <c r="AA393" s="457"/>
      <c r="AB393" s="457"/>
      <c r="AC393" s="457"/>
      <c r="AD393" s="457"/>
      <c r="AE393" s="457"/>
      <c r="AF393" s="457"/>
      <c r="AG393" s="457"/>
      <c r="AH393" s="457"/>
      <c r="AI393" s="457"/>
      <c r="AJ393" s="457"/>
      <c r="AK393" s="457"/>
      <c r="AL393" s="457"/>
      <c r="AM393" s="457"/>
      <c r="AN393" s="457"/>
      <c r="AO393" s="457"/>
      <c r="AP393" s="457"/>
      <c r="AQ393" s="457"/>
      <c r="AR393" s="457"/>
      <c r="AS393" s="457"/>
      <c r="AT393" s="457"/>
      <c r="AU393" s="457"/>
      <c r="AV393" s="457"/>
      <c r="AW393" s="457"/>
      <c r="AX393" s="457"/>
      <c r="AY393" s="457"/>
      <c r="AZ393" s="457"/>
      <c r="BA393" s="457"/>
      <c r="BB393" s="457"/>
      <c r="BC393" s="457"/>
      <c r="BD393" s="457"/>
      <c r="BE393" s="457"/>
      <c r="BF393" s="457"/>
      <c r="BG393" s="457"/>
      <c r="BH393" s="457"/>
      <c r="BI393" s="457"/>
      <c r="BJ393" s="457"/>
      <c r="BK393" s="457"/>
      <c r="BL393" s="457"/>
      <c r="BM393" s="457"/>
      <c r="BN393" s="457"/>
      <c r="BO393" s="457"/>
      <c r="BP393" s="457"/>
      <c r="BQ393" s="457"/>
      <c r="BR393" s="457"/>
      <c r="BS393" s="457"/>
      <c r="BT393" s="457"/>
      <c r="BU393" s="457"/>
      <c r="BV393" s="457"/>
      <c r="BW393" s="457"/>
      <c r="BX393" s="457"/>
      <c r="BY393" s="457"/>
      <c r="BZ393" s="457"/>
      <c r="CA393" s="457"/>
      <c r="CB393" s="457"/>
      <c r="CC393" s="457"/>
      <c r="CD393" s="457"/>
      <c r="CE393" s="457"/>
      <c r="CF393" s="457"/>
      <c r="CG393" s="457"/>
      <c r="CH393" s="457"/>
      <c r="CI393" s="457"/>
      <c r="CJ393" s="457"/>
      <c r="CK393" s="457"/>
      <c r="CL393" s="457"/>
      <c r="CM393" s="457"/>
      <c r="CN393" s="457"/>
      <c r="CO393" s="457"/>
      <c r="CP393" s="457"/>
      <c r="CQ393" s="457"/>
      <c r="CR393" s="457"/>
      <c r="CS393" s="457"/>
      <c r="CT393" s="457"/>
      <c r="CU393" s="457"/>
      <c r="CV393" s="457"/>
      <c r="CW393" s="457"/>
      <c r="CX393" s="457"/>
      <c r="CY393" s="457"/>
      <c r="CZ393" s="457"/>
      <c r="DA393" s="457"/>
      <c r="DB393" s="457"/>
      <c r="DC393" s="457"/>
      <c r="DD393" s="457"/>
      <c r="DE393" s="457"/>
      <c r="DF393" s="457"/>
      <c r="DG393" s="457"/>
      <c r="DH393" s="457"/>
      <c r="DI393" s="457"/>
      <c r="DJ393" s="457"/>
      <c r="DK393" s="457"/>
      <c r="DL393" s="457"/>
      <c r="DM393" s="457"/>
      <c r="DN393" s="457"/>
      <c r="DO393" s="457"/>
      <c r="DP393" s="457"/>
      <c r="DQ393" s="457"/>
      <c r="DR393" s="457"/>
      <c r="DS393" s="457"/>
      <c r="DT393" s="457"/>
      <c r="DU393" s="457"/>
      <c r="DV393" s="457"/>
      <c r="DW393" s="457"/>
      <c r="DX393" s="457"/>
      <c r="DY393" s="457"/>
      <c r="DZ393" s="457"/>
      <c r="EA393" s="457"/>
      <c r="EB393" s="457"/>
      <c r="EC393" s="457"/>
      <c r="ED393" s="457"/>
      <c r="EE393" s="457"/>
      <c r="EF393" s="457"/>
      <c r="EG393" s="457"/>
      <c r="EH393" s="457"/>
      <c r="EI393" s="457"/>
      <c r="EJ393" s="457"/>
      <c r="EK393" s="457"/>
      <c r="EL393" s="457"/>
      <c r="EM393" s="457"/>
      <c r="EN393" s="457"/>
      <c r="EO393" s="457"/>
      <c r="EP393" s="457"/>
      <c r="EQ393" s="457"/>
      <c r="ER393" s="457"/>
      <c r="ES393" s="457"/>
      <c r="ET393" s="457"/>
      <c r="EU393" s="457"/>
      <c r="EV393" s="457"/>
      <c r="EW393" s="457"/>
      <c r="EX393" s="457"/>
      <c r="EY393" s="457"/>
      <c r="EZ393" s="457"/>
      <c r="FA393" s="457"/>
      <c r="FB393" s="457"/>
      <c r="FC393" s="457"/>
      <c r="FD393" s="457"/>
      <c r="FE393" s="457"/>
      <c r="FF393" s="457"/>
      <c r="FG393" s="457"/>
      <c r="FH393" s="457"/>
      <c r="FI393" s="457"/>
      <c r="FJ393" s="457"/>
      <c r="FK393" s="457"/>
      <c r="FL393" s="457"/>
      <c r="FM393" s="457"/>
      <c r="FN393" s="457"/>
      <c r="FO393" s="457"/>
      <c r="FP393" s="457"/>
      <c r="FQ393" s="457"/>
      <c r="FR393" s="457"/>
      <c r="FS393" s="457"/>
      <c r="FT393" s="457"/>
      <c r="FU393" s="457"/>
      <c r="FV393" s="457"/>
      <c r="FW393" s="457"/>
      <c r="FX393" s="457"/>
      <c r="FY393" s="457"/>
      <c r="FZ393" s="457"/>
      <c r="GA393" s="457"/>
      <c r="GB393" s="457"/>
      <c r="GC393" s="457"/>
      <c r="GD393" s="457"/>
      <c r="GE393" s="457"/>
      <c r="GF393" s="457"/>
      <c r="GG393" s="457"/>
      <c r="GH393" s="457"/>
      <c r="GI393" s="457"/>
      <c r="GJ393" s="457"/>
      <c r="GK393" s="457"/>
      <c r="GL393" s="457"/>
      <c r="GM393" s="457"/>
      <c r="GN393" s="457"/>
      <c r="GO393" s="457"/>
      <c r="GP393" s="457"/>
      <c r="GQ393" s="457"/>
      <c r="GR393" s="457"/>
      <c r="GS393" s="457"/>
      <c r="GT393" s="457"/>
      <c r="GU393" s="457"/>
      <c r="GV393" s="457"/>
      <c r="GW393" s="457"/>
      <c r="GX393" s="457"/>
      <c r="GY393" s="457"/>
      <c r="GZ393" s="457"/>
      <c r="HA393" s="457"/>
      <c r="HB393" s="457"/>
      <c r="HC393" s="457"/>
      <c r="HD393" s="457"/>
      <c r="HE393" s="457"/>
      <c r="HF393" s="457"/>
      <c r="HG393" s="457"/>
      <c r="HH393" s="457"/>
      <c r="HI393" s="457"/>
      <c r="HJ393" s="457"/>
      <c r="HK393" s="457"/>
      <c r="HL393" s="457"/>
      <c r="HM393" s="457"/>
      <c r="HN393" s="457"/>
      <c r="HO393" s="457"/>
      <c r="HP393" s="457"/>
      <c r="HQ393" s="457"/>
      <c r="HR393" s="457"/>
      <c r="HS393" s="457"/>
      <c r="HT393" s="457"/>
      <c r="HU393" s="457"/>
      <c r="HV393" s="457"/>
      <c r="HW393" s="457"/>
      <c r="HX393" s="457"/>
      <c r="HY393" s="457"/>
      <c r="HZ393" s="457"/>
      <c r="IA393" s="457"/>
      <c r="IB393" s="457"/>
      <c r="IC393" s="457"/>
      <c r="ID393" s="457"/>
      <c r="IE393" s="457"/>
      <c r="IF393" s="457"/>
      <c r="IG393" s="457"/>
      <c r="IH393" s="457"/>
      <c r="II393" s="457"/>
      <c r="IJ393" s="457"/>
      <c r="IK393" s="457"/>
      <c r="IL393" s="457"/>
      <c r="IM393" s="457"/>
      <c r="IN393" s="457"/>
      <c r="IO393" s="457"/>
      <c r="IP393" s="457"/>
      <c r="IQ393" s="457"/>
      <c r="IR393" s="457"/>
      <c r="IS393" s="457"/>
      <c r="IT393" s="457"/>
      <c r="IU393" s="457"/>
      <c r="IV393" s="457"/>
      <c r="IW393" s="457"/>
      <c r="IX393" s="457"/>
      <c r="IY393" s="457"/>
      <c r="IZ393" s="457"/>
      <c r="JA393" s="457"/>
      <c r="JB393" s="457"/>
      <c r="JC393" s="457"/>
      <c r="JD393" s="457"/>
      <c r="JE393" s="457"/>
      <c r="JF393" s="457"/>
      <c r="JG393" s="457"/>
      <c r="JH393" s="457"/>
      <c r="JI393" s="457"/>
      <c r="JJ393" s="457"/>
      <c r="JK393" s="457"/>
      <c r="JL393" s="457"/>
      <c r="JM393" s="457"/>
      <c r="JN393" s="457"/>
      <c r="JO393" s="457"/>
      <c r="JP393" s="457"/>
      <c r="JQ393" s="457"/>
      <c r="JR393" s="457"/>
      <c r="JS393" s="457"/>
      <c r="JT393" s="457"/>
      <c r="JU393" s="457"/>
      <c r="JV393" s="457"/>
      <c r="JW393" s="457"/>
      <c r="JX393" s="457"/>
      <c r="JY393" s="457"/>
      <c r="JZ393" s="457"/>
      <c r="KA393" s="457"/>
      <c r="KB393" s="457"/>
      <c r="KC393" s="457"/>
      <c r="KD393" s="457"/>
      <c r="KE393" s="457"/>
      <c r="KF393" s="457"/>
      <c r="KG393" s="457"/>
      <c r="KH393" s="457"/>
      <c r="KI393" s="457"/>
      <c r="KJ393" s="457"/>
      <c r="KK393" s="457"/>
      <c r="KL393" s="457"/>
      <c r="KM393" s="457"/>
      <c r="KN393" s="457"/>
      <c r="KO393" s="457"/>
      <c r="KP393" s="457"/>
      <c r="KQ393" s="457"/>
      <c r="KR393" s="457"/>
      <c r="KS393" s="457"/>
      <c r="KT393" s="457"/>
      <c r="KU393" s="457"/>
      <c r="KV393" s="457"/>
      <c r="KW393" s="457"/>
      <c r="KX393" s="457"/>
      <c r="KY393" s="457"/>
      <c r="KZ393" s="457"/>
      <c r="LA393" s="457"/>
      <c r="LB393" s="457"/>
      <c r="LC393" s="457"/>
      <c r="LD393" s="457"/>
      <c r="LE393" s="457"/>
      <c r="LF393" s="457"/>
      <c r="LG393" s="457"/>
      <c r="LH393" s="457"/>
      <c r="LI393" s="457"/>
      <c r="LJ393" s="457"/>
      <c r="LK393" s="457"/>
      <c r="LL393" s="457"/>
      <c r="LM393" s="457"/>
      <c r="LN393" s="457"/>
      <c r="LO393" s="457"/>
      <c r="LP393" s="457"/>
      <c r="LQ393" s="457"/>
      <c r="LR393" s="457"/>
      <c r="LS393" s="457"/>
      <c r="LT393" s="457"/>
      <c r="LU393" s="457"/>
      <c r="LV393" s="457"/>
      <c r="LW393" s="457"/>
      <c r="LX393" s="457"/>
      <c r="LY393" s="457"/>
      <c r="LZ393" s="457"/>
      <c r="MA393" s="457"/>
      <c r="MB393" s="457"/>
      <c r="MC393" s="457"/>
      <c r="MD393" s="457"/>
      <c r="ME393" s="457"/>
      <c r="MF393" s="457"/>
      <c r="MG393" s="457"/>
      <c r="MH393" s="457"/>
      <c r="MI393" s="457"/>
      <c r="MJ393" s="457"/>
      <c r="MK393" s="457"/>
      <c r="ML393" s="457"/>
      <c r="MM393" s="457"/>
      <c r="MN393" s="457"/>
      <c r="MO393" s="457"/>
      <c r="MP393" s="457"/>
      <c r="MQ393" s="457"/>
      <c r="MR393" s="457"/>
      <c r="MS393" s="457"/>
      <c r="MT393" s="457"/>
      <c r="MU393" s="457"/>
      <c r="MV393" s="457"/>
      <c r="MW393" s="457"/>
      <c r="MX393" s="457"/>
      <c r="MY393" s="457"/>
      <c r="MZ393" s="457"/>
      <c r="NA393" s="457"/>
      <c r="NB393" s="457"/>
      <c r="NC393" s="457"/>
      <c r="ND393" s="457"/>
      <c r="NE393" s="457"/>
      <c r="NF393" s="457"/>
      <c r="NG393" s="457"/>
      <c r="NH393" s="457"/>
      <c r="NI393" s="457"/>
      <c r="NJ393" s="457"/>
      <c r="NK393" s="457"/>
      <c r="NL393" s="457"/>
      <c r="NM393" s="457"/>
      <c r="NN393" s="457"/>
      <c r="NO393" s="457"/>
      <c r="NP393" s="457"/>
      <c r="NQ393" s="457"/>
      <c r="NR393" s="457"/>
      <c r="NS393" s="457"/>
      <c r="NT393" s="457"/>
      <c r="NU393" s="457"/>
      <c r="NV393" s="457"/>
      <c r="NW393" s="457"/>
      <c r="NX393" s="457"/>
      <c r="NY393" s="457"/>
      <c r="NZ393" s="457"/>
      <c r="OA393" s="457"/>
      <c r="OB393" s="457"/>
      <c r="OC393" s="457"/>
      <c r="OD393" s="457"/>
      <c r="OE393" s="457"/>
      <c r="OF393" s="457"/>
      <c r="OG393" s="457"/>
      <c r="OH393" s="457"/>
      <c r="OI393" s="457"/>
      <c r="OJ393" s="457"/>
      <c r="OK393" s="457"/>
      <c r="OL393" s="457"/>
      <c r="OM393" s="457"/>
      <c r="ON393" s="457"/>
      <c r="OO393" s="457"/>
      <c r="OP393" s="457"/>
      <c r="OQ393" s="457"/>
      <c r="OR393" s="457"/>
      <c r="OS393" s="457"/>
      <c r="OT393" s="457"/>
      <c r="OU393" s="457"/>
      <c r="OV393" s="457"/>
      <c r="OW393" s="457"/>
      <c r="OX393" s="457"/>
      <c r="OY393" s="457"/>
      <c r="OZ393" s="457"/>
      <c r="PA393" s="457"/>
      <c r="PB393" s="457"/>
      <c r="PC393" s="457"/>
      <c r="PD393" s="457"/>
      <c r="PE393" s="457"/>
      <c r="PF393" s="457"/>
      <c r="PG393" s="457"/>
      <c r="PH393" s="457"/>
      <c r="PI393" s="457"/>
      <c r="PJ393" s="457"/>
      <c r="PK393" s="457"/>
      <c r="PL393" s="457"/>
      <c r="PM393" s="457"/>
      <c r="PN393" s="457"/>
      <c r="PO393" s="457"/>
      <c r="PP393" s="457"/>
      <c r="PQ393" s="457"/>
      <c r="PR393" s="457"/>
      <c r="PS393" s="457"/>
      <c r="PT393" s="457"/>
      <c r="PU393" s="457"/>
      <c r="PV393" s="457"/>
      <c r="PW393" s="457"/>
      <c r="PX393" s="457"/>
      <c r="PY393" s="457"/>
      <c r="PZ393" s="457"/>
      <c r="QA393" s="457"/>
      <c r="QB393" s="457"/>
      <c r="QC393" s="457"/>
      <c r="QD393" s="457"/>
      <c r="QE393" s="457"/>
      <c r="QF393" s="457"/>
      <c r="QG393" s="457"/>
      <c r="QH393" s="457"/>
      <c r="QI393" s="457"/>
      <c r="QJ393" s="457"/>
      <c r="QK393" s="457"/>
      <c r="QL393" s="457"/>
      <c r="QM393" s="457"/>
      <c r="QN393" s="457"/>
      <c r="QO393" s="457"/>
      <c r="QP393" s="457"/>
      <c r="QQ393" s="457"/>
      <c r="QR393" s="457"/>
      <c r="QS393" s="457"/>
      <c r="QT393" s="457"/>
      <c r="QU393" s="457"/>
      <c r="QV393" s="457"/>
      <c r="QW393" s="457"/>
      <c r="QX393" s="457"/>
      <c r="QY393" s="457"/>
      <c r="QZ393" s="457"/>
      <c r="RA393" s="457"/>
      <c r="RB393" s="457"/>
      <c r="RC393" s="457"/>
      <c r="RD393" s="457"/>
      <c r="RE393" s="457"/>
      <c r="RF393" s="457"/>
      <c r="RG393" s="457"/>
      <c r="RH393" s="457"/>
      <c r="RI393" s="457"/>
      <c r="RJ393" s="457"/>
      <c r="RK393" s="457"/>
      <c r="RL393" s="457"/>
      <c r="RM393" s="457"/>
      <c r="RN393" s="457"/>
      <c r="RO393" s="457"/>
      <c r="RP393" s="457"/>
      <c r="RQ393" s="457"/>
      <c r="RR393" s="457"/>
      <c r="RS393" s="457"/>
      <c r="RT393" s="457"/>
      <c r="RU393" s="457"/>
      <c r="RV393" s="457"/>
      <c r="RW393" s="457"/>
      <c r="RX393" s="457"/>
      <c r="RY393" s="457"/>
      <c r="RZ393" s="457"/>
      <c r="SA393" s="457"/>
      <c r="SB393" s="457"/>
      <c r="SC393" s="457"/>
      <c r="SD393" s="457"/>
      <c r="SE393" s="457"/>
      <c r="SF393" s="457"/>
      <c r="SG393" s="457"/>
      <c r="SH393" s="457"/>
      <c r="SI393" s="457"/>
      <c r="SJ393" s="457"/>
      <c r="SK393" s="457"/>
      <c r="SL393" s="457"/>
      <c r="SM393" s="457"/>
      <c r="SN393" s="457"/>
      <c r="SO393" s="457"/>
      <c r="SP393" s="457"/>
      <c r="SQ393" s="457"/>
      <c r="SR393" s="457"/>
      <c r="SS393" s="457"/>
      <c r="ST393" s="457"/>
      <c r="SU393" s="457"/>
      <c r="SV393" s="457"/>
      <c r="SW393" s="457"/>
      <c r="SX393" s="457"/>
      <c r="SY393" s="457"/>
      <c r="SZ393" s="457"/>
      <c r="TA393" s="457"/>
      <c r="TB393" s="457"/>
      <c r="TC393" s="457"/>
      <c r="TD393" s="457"/>
      <c r="TE393" s="457"/>
      <c r="TF393" s="457"/>
      <c r="TG393" s="457"/>
      <c r="TH393" s="457"/>
      <c r="TI393" s="457"/>
      <c r="TJ393" s="457"/>
      <c r="TK393" s="457"/>
      <c r="TL393" s="457"/>
      <c r="TM393" s="457"/>
      <c r="TN393" s="457"/>
      <c r="TO393" s="457"/>
      <c r="TP393" s="457"/>
      <c r="TQ393" s="457"/>
      <c r="TR393" s="457"/>
      <c r="TS393" s="457"/>
      <c r="TT393" s="457"/>
      <c r="TU393" s="457"/>
      <c r="TV393" s="457"/>
      <c r="TW393" s="457"/>
      <c r="TX393" s="457"/>
      <c r="TY393" s="457"/>
      <c r="TZ393" s="457"/>
      <c r="UA393" s="457"/>
      <c r="UB393" s="457"/>
      <c r="UC393" s="457"/>
      <c r="UD393" s="457"/>
      <c r="UE393" s="457"/>
      <c r="UF393" s="457"/>
      <c r="UG393" s="457"/>
      <c r="UH393" s="457"/>
      <c r="UI393" s="457"/>
      <c r="UJ393" s="457"/>
      <c r="UK393" s="457"/>
      <c r="UL393" s="457"/>
      <c r="UM393" s="457"/>
      <c r="UN393" s="457"/>
      <c r="UO393" s="457"/>
      <c r="UP393" s="457"/>
      <c r="UQ393" s="457"/>
      <c r="UR393" s="457"/>
      <c r="US393" s="457"/>
      <c r="UT393" s="457"/>
      <c r="UU393" s="457"/>
      <c r="UV393" s="457"/>
      <c r="UW393" s="457"/>
      <c r="UX393" s="457"/>
      <c r="UY393" s="457"/>
      <c r="UZ393" s="457"/>
      <c r="VA393" s="457"/>
      <c r="VB393" s="457"/>
      <c r="VC393" s="457"/>
      <c r="VD393" s="457"/>
      <c r="VE393" s="457"/>
      <c r="VF393" s="457"/>
      <c r="VG393" s="457"/>
      <c r="VH393" s="457"/>
      <c r="VI393" s="457"/>
      <c r="VJ393" s="457"/>
      <c r="VK393" s="457"/>
      <c r="VL393" s="457"/>
      <c r="VM393" s="457"/>
      <c r="VN393" s="457"/>
      <c r="VO393" s="457"/>
      <c r="VP393" s="457"/>
      <c r="VQ393" s="457"/>
      <c r="VR393" s="457"/>
      <c r="VS393" s="457"/>
      <c r="VT393" s="457"/>
      <c r="VU393" s="457"/>
      <c r="VV393" s="457"/>
      <c r="VW393" s="457"/>
      <c r="VX393" s="457"/>
      <c r="VY393" s="457"/>
      <c r="VZ393" s="457"/>
      <c r="WA393" s="457"/>
      <c r="WB393" s="457"/>
      <c r="WC393" s="457"/>
      <c r="WD393" s="457"/>
      <c r="WE393" s="457"/>
      <c r="WF393" s="457"/>
      <c r="WG393" s="457"/>
      <c r="WH393" s="457"/>
      <c r="WI393" s="457"/>
      <c r="WJ393" s="457"/>
      <c r="WK393" s="457"/>
      <c r="WL393" s="457"/>
      <c r="WM393" s="457"/>
      <c r="WN393" s="457"/>
      <c r="WO393" s="457"/>
      <c r="WP393" s="457"/>
      <c r="WQ393" s="457"/>
      <c r="WR393" s="457"/>
      <c r="WS393" s="457"/>
      <c r="WT393" s="457"/>
      <c r="WU393" s="457"/>
      <c r="WV393" s="457"/>
      <c r="WW393" s="457"/>
      <c r="WX393" s="457"/>
      <c r="WY393" s="457"/>
      <c r="WZ393" s="457"/>
      <c r="XA393" s="457"/>
      <c r="XB393" s="457"/>
      <c r="XC393" s="457"/>
      <c r="XD393" s="457"/>
      <c r="XE393" s="457"/>
      <c r="XF393" s="457"/>
      <c r="XG393" s="457"/>
      <c r="XH393" s="457"/>
      <c r="XI393" s="457"/>
      <c r="XJ393" s="457"/>
      <c r="XK393" s="457"/>
      <c r="XL393" s="457"/>
      <c r="XM393" s="457"/>
      <c r="XN393" s="457"/>
      <c r="XO393" s="457"/>
      <c r="XP393" s="457"/>
      <c r="XQ393" s="457"/>
      <c r="XR393" s="457"/>
      <c r="XS393" s="457"/>
      <c r="XT393" s="457"/>
      <c r="XU393" s="457"/>
      <c r="XV393" s="457"/>
      <c r="XW393" s="457"/>
      <c r="XX393" s="457"/>
      <c r="XY393" s="457"/>
      <c r="XZ393" s="457"/>
      <c r="YA393" s="457"/>
      <c r="YB393" s="457"/>
      <c r="YC393" s="457"/>
      <c r="YD393" s="457"/>
      <c r="YE393" s="457"/>
      <c r="YF393" s="457"/>
      <c r="YG393" s="457"/>
      <c r="YH393" s="457"/>
      <c r="YI393" s="457"/>
      <c r="YJ393" s="457"/>
      <c r="YK393" s="457"/>
      <c r="YL393" s="457"/>
      <c r="YM393" s="457"/>
      <c r="YN393" s="457"/>
      <c r="YO393" s="457"/>
      <c r="YP393" s="457"/>
      <c r="YQ393" s="457"/>
      <c r="YR393" s="457"/>
      <c r="YS393" s="457"/>
      <c r="YT393" s="457"/>
      <c r="YU393" s="457"/>
      <c r="YV393" s="457"/>
      <c r="YW393" s="457"/>
      <c r="YX393" s="457"/>
      <c r="YY393" s="457"/>
      <c r="YZ393" s="457"/>
      <c r="ZA393" s="457"/>
      <c r="ZB393" s="457"/>
      <c r="ZC393" s="457"/>
      <c r="ZD393" s="457"/>
      <c r="ZE393" s="457"/>
      <c r="ZF393" s="457"/>
      <c r="ZG393" s="457"/>
      <c r="ZH393" s="457"/>
      <c r="ZI393" s="457"/>
      <c r="ZJ393" s="457"/>
      <c r="ZK393" s="457"/>
      <c r="ZL393" s="457"/>
      <c r="ZM393" s="457"/>
      <c r="ZN393" s="457"/>
      <c r="ZO393" s="457"/>
      <c r="ZP393" s="457"/>
      <c r="ZQ393" s="457"/>
      <c r="ZR393" s="457"/>
      <c r="ZS393" s="457"/>
      <c r="ZT393" s="457"/>
      <c r="ZU393" s="457"/>
      <c r="ZV393" s="457"/>
      <c r="ZW393" s="457"/>
      <c r="ZX393" s="457"/>
      <c r="ZY393" s="457"/>
      <c r="ZZ393" s="457"/>
      <c r="AAA393" s="457"/>
      <c r="AAB393" s="457"/>
      <c r="AAC393" s="457"/>
      <c r="AAD393" s="457"/>
      <c r="AAE393" s="457"/>
      <c r="AAF393" s="457"/>
      <c r="AAG393" s="457"/>
      <c r="AAH393" s="457"/>
      <c r="AAI393" s="457"/>
      <c r="AAJ393" s="457"/>
      <c r="AAK393" s="457"/>
      <c r="AAL393" s="457"/>
      <c r="AAM393" s="457"/>
      <c r="AAN393" s="457"/>
      <c r="AAO393" s="457"/>
      <c r="AAP393" s="457"/>
      <c r="AAQ393" s="457"/>
      <c r="AAR393" s="457"/>
      <c r="AAS393" s="457"/>
      <c r="AAT393" s="457"/>
      <c r="AAU393" s="457"/>
      <c r="AAV393" s="457"/>
      <c r="AAW393" s="457"/>
      <c r="AAX393" s="457"/>
      <c r="AAY393" s="457"/>
      <c r="AAZ393" s="457"/>
      <c r="ABA393" s="457"/>
      <c r="ABB393" s="457"/>
      <c r="ABC393" s="457"/>
      <c r="ABD393" s="457"/>
      <c r="ABE393" s="457"/>
      <c r="ABF393" s="457"/>
      <c r="ABG393" s="457"/>
      <c r="ABH393" s="457"/>
      <c r="ABI393" s="457"/>
      <c r="ABJ393" s="457"/>
      <c r="ABK393" s="457"/>
      <c r="ABL393" s="457"/>
      <c r="ABM393" s="457"/>
      <c r="ABN393" s="457"/>
      <c r="ABO393" s="457"/>
      <c r="ABP393" s="457"/>
      <c r="ABQ393" s="457"/>
      <c r="ABR393" s="457"/>
      <c r="ABS393" s="457"/>
      <c r="ABT393" s="457"/>
      <c r="ABU393" s="457"/>
      <c r="ABV393" s="457"/>
      <c r="ABW393" s="457"/>
      <c r="ABX393" s="457"/>
      <c r="ABY393" s="457"/>
      <c r="ABZ393" s="457"/>
      <c r="ACA393" s="457"/>
      <c r="ACB393" s="457"/>
      <c r="ACC393" s="457"/>
      <c r="ACD393" s="457"/>
      <c r="ACE393" s="457"/>
      <c r="ACF393" s="457"/>
      <c r="ACG393" s="457"/>
      <c r="ACH393" s="457"/>
      <c r="ACI393" s="457"/>
      <c r="ACJ393" s="457"/>
      <c r="ACK393" s="457"/>
      <c r="ACL393" s="457"/>
      <c r="ACM393" s="457"/>
      <c r="ACN393" s="457"/>
      <c r="ACO393" s="457"/>
      <c r="ACP393" s="457"/>
      <c r="ACQ393" s="457"/>
      <c r="ACR393" s="457"/>
      <c r="ACS393" s="457"/>
      <c r="ACT393" s="457"/>
      <c r="ACU393" s="457"/>
      <c r="ACV393" s="457"/>
    </row>
    <row r="394" spans="1:776" s="400" customFormat="1" x14ac:dyDescent="0.25">
      <c r="A394" s="43">
        <v>900107</v>
      </c>
      <c r="B394" s="34" t="s">
        <v>240</v>
      </c>
      <c r="C394" s="455"/>
      <c r="D394" s="454" t="s">
        <v>222</v>
      </c>
      <c r="E394" s="454">
        <v>0.91500000000000004</v>
      </c>
      <c r="F394" s="458">
        <v>38.200000000000003</v>
      </c>
      <c r="G394" s="454">
        <v>0.01</v>
      </c>
      <c r="H394" s="454">
        <v>0.02</v>
      </c>
      <c r="I394" s="456">
        <v>97.82</v>
      </c>
      <c r="J394" s="454">
        <v>16.100000000000001</v>
      </c>
      <c r="K394" s="454">
        <v>0.01</v>
      </c>
      <c r="L394" s="454">
        <v>372</v>
      </c>
      <c r="M394" s="454">
        <v>0.01</v>
      </c>
      <c r="N394" s="454">
        <v>1.77</v>
      </c>
      <c r="O394" s="454">
        <v>22.32</v>
      </c>
      <c r="P394" s="454">
        <v>88.21</v>
      </c>
      <c r="Q394" s="454">
        <v>61.09</v>
      </c>
      <c r="R394" s="454">
        <v>0.01</v>
      </c>
      <c r="S394" s="454">
        <v>0.01</v>
      </c>
      <c r="T394" s="454">
        <v>0.01</v>
      </c>
      <c r="U394" s="454">
        <v>0.01</v>
      </c>
      <c r="V394" s="454"/>
      <c r="W394" s="457"/>
      <c r="X394" s="457"/>
      <c r="Y394" s="457"/>
      <c r="Z394" s="457"/>
      <c r="AA394" s="457"/>
      <c r="AB394" s="457"/>
      <c r="AC394" s="457"/>
      <c r="AD394" s="457"/>
      <c r="AE394" s="457"/>
      <c r="AF394" s="457"/>
      <c r="AG394" s="457"/>
      <c r="AH394" s="457"/>
      <c r="AI394" s="457"/>
      <c r="AJ394" s="457"/>
      <c r="AK394" s="457"/>
      <c r="AL394" s="457"/>
      <c r="AM394" s="457"/>
      <c r="AN394" s="457"/>
      <c r="AO394" s="457"/>
      <c r="AP394" s="457"/>
      <c r="AQ394" s="457"/>
      <c r="AR394" s="457"/>
      <c r="AS394" s="457"/>
      <c r="AT394" s="457"/>
      <c r="AU394" s="457"/>
      <c r="AV394" s="457"/>
      <c r="AW394" s="457"/>
      <c r="AX394" s="457"/>
      <c r="AY394" s="457"/>
      <c r="AZ394" s="457"/>
      <c r="BA394" s="457"/>
      <c r="BB394" s="457"/>
      <c r="BC394" s="457"/>
      <c r="BD394" s="457"/>
      <c r="BE394" s="457"/>
      <c r="BF394" s="457"/>
      <c r="BG394" s="457"/>
      <c r="BH394" s="457"/>
      <c r="BI394" s="457"/>
      <c r="BJ394" s="457"/>
      <c r="BK394" s="457"/>
      <c r="BL394" s="457"/>
      <c r="BM394" s="457"/>
      <c r="BN394" s="457"/>
      <c r="BO394" s="457"/>
      <c r="BP394" s="457"/>
      <c r="BQ394" s="457"/>
      <c r="BR394" s="457"/>
      <c r="BS394" s="457"/>
      <c r="BT394" s="457"/>
      <c r="BU394" s="457"/>
      <c r="BV394" s="457"/>
      <c r="BW394" s="457"/>
      <c r="BX394" s="457"/>
      <c r="BY394" s="457"/>
      <c r="BZ394" s="457"/>
      <c r="CA394" s="457"/>
      <c r="CB394" s="457"/>
      <c r="CC394" s="457"/>
      <c r="CD394" s="457"/>
      <c r="CE394" s="457"/>
      <c r="CF394" s="457"/>
      <c r="CG394" s="457"/>
      <c r="CH394" s="457"/>
      <c r="CI394" s="457"/>
      <c r="CJ394" s="457"/>
      <c r="CK394" s="457"/>
      <c r="CL394" s="457"/>
      <c r="CM394" s="457"/>
      <c r="CN394" s="457"/>
      <c r="CO394" s="457"/>
      <c r="CP394" s="457"/>
      <c r="CQ394" s="457"/>
      <c r="CR394" s="457"/>
      <c r="CS394" s="457"/>
      <c r="CT394" s="457"/>
      <c r="CU394" s="457"/>
      <c r="CV394" s="457"/>
      <c r="CW394" s="457"/>
      <c r="CX394" s="457"/>
      <c r="CY394" s="457"/>
      <c r="CZ394" s="457"/>
      <c r="DA394" s="457"/>
      <c r="DB394" s="457"/>
      <c r="DC394" s="457"/>
      <c r="DD394" s="457"/>
      <c r="DE394" s="457"/>
      <c r="DF394" s="457"/>
      <c r="DG394" s="457"/>
      <c r="DH394" s="457"/>
      <c r="DI394" s="457"/>
      <c r="DJ394" s="457"/>
      <c r="DK394" s="457"/>
      <c r="DL394" s="457"/>
      <c r="DM394" s="457"/>
      <c r="DN394" s="457"/>
      <c r="DO394" s="457"/>
      <c r="DP394" s="457"/>
      <c r="DQ394" s="457"/>
      <c r="DR394" s="457"/>
      <c r="DS394" s="457"/>
      <c r="DT394" s="457"/>
      <c r="DU394" s="457"/>
      <c r="DV394" s="457"/>
      <c r="DW394" s="457"/>
      <c r="DX394" s="457"/>
      <c r="DY394" s="457"/>
      <c r="DZ394" s="457"/>
      <c r="EA394" s="457"/>
      <c r="EB394" s="457"/>
      <c r="EC394" s="457"/>
      <c r="ED394" s="457"/>
      <c r="EE394" s="457"/>
      <c r="EF394" s="457"/>
      <c r="EG394" s="457"/>
      <c r="EH394" s="457"/>
      <c r="EI394" s="457"/>
      <c r="EJ394" s="457"/>
      <c r="EK394" s="457"/>
      <c r="EL394" s="457"/>
      <c r="EM394" s="457"/>
      <c r="EN394" s="457"/>
      <c r="EO394" s="457"/>
      <c r="EP394" s="457"/>
      <c r="EQ394" s="457"/>
      <c r="ER394" s="457"/>
      <c r="ES394" s="457"/>
      <c r="ET394" s="457"/>
      <c r="EU394" s="457"/>
      <c r="EV394" s="457"/>
      <c r="EW394" s="457"/>
      <c r="EX394" s="457"/>
      <c r="EY394" s="457"/>
      <c r="EZ394" s="457"/>
      <c r="FA394" s="457"/>
      <c r="FB394" s="457"/>
      <c r="FC394" s="457"/>
      <c r="FD394" s="457"/>
      <c r="FE394" s="457"/>
      <c r="FF394" s="457"/>
      <c r="FG394" s="457"/>
      <c r="FH394" s="457"/>
      <c r="FI394" s="457"/>
      <c r="FJ394" s="457"/>
      <c r="FK394" s="457"/>
      <c r="FL394" s="457"/>
      <c r="FM394" s="457"/>
      <c r="FN394" s="457"/>
      <c r="FO394" s="457"/>
      <c r="FP394" s="457"/>
      <c r="FQ394" s="457"/>
      <c r="FR394" s="457"/>
      <c r="FS394" s="457"/>
      <c r="FT394" s="457"/>
      <c r="FU394" s="457"/>
      <c r="FV394" s="457"/>
      <c r="FW394" s="457"/>
      <c r="FX394" s="457"/>
      <c r="FY394" s="457"/>
      <c r="FZ394" s="457"/>
      <c r="GA394" s="457"/>
      <c r="GB394" s="457"/>
      <c r="GC394" s="457"/>
      <c r="GD394" s="457"/>
      <c r="GE394" s="457"/>
      <c r="GF394" s="457"/>
      <c r="GG394" s="457"/>
      <c r="GH394" s="457"/>
      <c r="GI394" s="457"/>
      <c r="GJ394" s="457"/>
      <c r="GK394" s="457"/>
      <c r="GL394" s="457"/>
      <c r="GM394" s="457"/>
      <c r="GN394" s="457"/>
      <c r="GO394" s="457"/>
      <c r="GP394" s="457"/>
      <c r="GQ394" s="457"/>
      <c r="GR394" s="457"/>
      <c r="GS394" s="457"/>
      <c r="GT394" s="457"/>
      <c r="GU394" s="457"/>
      <c r="GV394" s="457"/>
      <c r="GW394" s="457"/>
      <c r="GX394" s="457"/>
      <c r="GY394" s="457"/>
      <c r="GZ394" s="457"/>
      <c r="HA394" s="457"/>
      <c r="HB394" s="457"/>
      <c r="HC394" s="457"/>
      <c r="HD394" s="457"/>
      <c r="HE394" s="457"/>
      <c r="HF394" s="457"/>
      <c r="HG394" s="457"/>
      <c r="HH394" s="457"/>
      <c r="HI394" s="457"/>
      <c r="HJ394" s="457"/>
      <c r="HK394" s="457"/>
      <c r="HL394" s="457"/>
      <c r="HM394" s="457"/>
      <c r="HN394" s="457"/>
      <c r="HO394" s="457"/>
      <c r="HP394" s="457"/>
      <c r="HQ394" s="457"/>
      <c r="HR394" s="457"/>
      <c r="HS394" s="457"/>
      <c r="HT394" s="457"/>
      <c r="HU394" s="457"/>
      <c r="HV394" s="457"/>
      <c r="HW394" s="457"/>
      <c r="HX394" s="457"/>
      <c r="HY394" s="457"/>
      <c r="HZ394" s="457"/>
      <c r="IA394" s="457"/>
      <c r="IB394" s="457"/>
      <c r="IC394" s="457"/>
      <c r="ID394" s="457"/>
      <c r="IE394" s="457"/>
      <c r="IF394" s="457"/>
      <c r="IG394" s="457"/>
      <c r="IH394" s="457"/>
      <c r="II394" s="457"/>
      <c r="IJ394" s="457"/>
      <c r="IK394" s="457"/>
      <c r="IL394" s="457"/>
      <c r="IM394" s="457"/>
      <c r="IN394" s="457"/>
      <c r="IO394" s="457"/>
      <c r="IP394" s="457"/>
      <c r="IQ394" s="457"/>
      <c r="IR394" s="457"/>
      <c r="IS394" s="457"/>
      <c r="IT394" s="457"/>
      <c r="IU394" s="457"/>
      <c r="IV394" s="457"/>
      <c r="IW394" s="457"/>
      <c r="IX394" s="457"/>
      <c r="IY394" s="457"/>
      <c r="IZ394" s="457"/>
      <c r="JA394" s="457"/>
      <c r="JB394" s="457"/>
      <c r="JC394" s="457"/>
      <c r="JD394" s="457"/>
      <c r="JE394" s="457"/>
      <c r="JF394" s="457"/>
      <c r="JG394" s="457"/>
      <c r="JH394" s="457"/>
      <c r="JI394" s="457"/>
      <c r="JJ394" s="457"/>
      <c r="JK394" s="457"/>
      <c r="JL394" s="457"/>
      <c r="JM394" s="457"/>
      <c r="JN394" s="457"/>
      <c r="JO394" s="457"/>
      <c r="JP394" s="457"/>
      <c r="JQ394" s="457"/>
      <c r="JR394" s="457"/>
      <c r="JS394" s="457"/>
      <c r="JT394" s="457"/>
      <c r="JU394" s="457"/>
      <c r="JV394" s="457"/>
      <c r="JW394" s="457"/>
      <c r="JX394" s="457"/>
      <c r="JY394" s="457"/>
      <c r="JZ394" s="457"/>
      <c r="KA394" s="457"/>
      <c r="KB394" s="457"/>
      <c r="KC394" s="457"/>
      <c r="KD394" s="457"/>
      <c r="KE394" s="457"/>
      <c r="KF394" s="457"/>
      <c r="KG394" s="457"/>
      <c r="KH394" s="457"/>
      <c r="KI394" s="457"/>
      <c r="KJ394" s="457"/>
      <c r="KK394" s="457"/>
      <c r="KL394" s="457"/>
      <c r="KM394" s="457"/>
      <c r="KN394" s="457"/>
      <c r="KO394" s="457"/>
      <c r="KP394" s="457"/>
      <c r="KQ394" s="457"/>
      <c r="KR394" s="457"/>
      <c r="KS394" s="457"/>
      <c r="KT394" s="457"/>
      <c r="KU394" s="457"/>
      <c r="KV394" s="457"/>
      <c r="KW394" s="457"/>
      <c r="KX394" s="457"/>
      <c r="KY394" s="457"/>
      <c r="KZ394" s="457"/>
      <c r="LA394" s="457"/>
      <c r="LB394" s="457"/>
      <c r="LC394" s="457"/>
      <c r="LD394" s="457"/>
      <c r="LE394" s="457"/>
      <c r="LF394" s="457"/>
      <c r="LG394" s="457"/>
      <c r="LH394" s="457"/>
      <c r="LI394" s="457"/>
      <c r="LJ394" s="457"/>
      <c r="LK394" s="457"/>
      <c r="LL394" s="457"/>
      <c r="LM394" s="457"/>
      <c r="LN394" s="457"/>
      <c r="LO394" s="457"/>
      <c r="LP394" s="457"/>
      <c r="LQ394" s="457"/>
      <c r="LR394" s="457"/>
      <c r="LS394" s="457"/>
      <c r="LT394" s="457"/>
      <c r="LU394" s="457"/>
      <c r="LV394" s="457"/>
      <c r="LW394" s="457"/>
      <c r="LX394" s="457"/>
      <c r="LY394" s="457"/>
      <c r="LZ394" s="457"/>
      <c r="MA394" s="457"/>
      <c r="MB394" s="457"/>
      <c r="MC394" s="457"/>
      <c r="MD394" s="457"/>
      <c r="ME394" s="457"/>
      <c r="MF394" s="457"/>
      <c r="MG394" s="457"/>
      <c r="MH394" s="457"/>
      <c r="MI394" s="457"/>
      <c r="MJ394" s="457"/>
      <c r="MK394" s="457"/>
      <c r="ML394" s="457"/>
      <c r="MM394" s="457"/>
      <c r="MN394" s="457"/>
      <c r="MO394" s="457"/>
      <c r="MP394" s="457"/>
      <c r="MQ394" s="457"/>
      <c r="MR394" s="457"/>
      <c r="MS394" s="457"/>
      <c r="MT394" s="457"/>
      <c r="MU394" s="457"/>
      <c r="MV394" s="457"/>
      <c r="MW394" s="457"/>
      <c r="MX394" s="457"/>
      <c r="MY394" s="457"/>
      <c r="MZ394" s="457"/>
      <c r="NA394" s="457"/>
      <c r="NB394" s="457"/>
      <c r="NC394" s="457"/>
      <c r="ND394" s="457"/>
      <c r="NE394" s="457"/>
      <c r="NF394" s="457"/>
      <c r="NG394" s="457"/>
      <c r="NH394" s="457"/>
      <c r="NI394" s="457"/>
      <c r="NJ394" s="457"/>
      <c r="NK394" s="457"/>
      <c r="NL394" s="457"/>
      <c r="NM394" s="457"/>
      <c r="NN394" s="457"/>
      <c r="NO394" s="457"/>
      <c r="NP394" s="457"/>
      <c r="NQ394" s="457"/>
      <c r="NR394" s="457"/>
      <c r="NS394" s="457"/>
      <c r="NT394" s="457"/>
      <c r="NU394" s="457"/>
      <c r="NV394" s="457"/>
      <c r="NW394" s="457"/>
      <c r="NX394" s="457"/>
      <c r="NY394" s="457"/>
      <c r="NZ394" s="457"/>
      <c r="OA394" s="457"/>
      <c r="OB394" s="457"/>
      <c r="OC394" s="457"/>
      <c r="OD394" s="457"/>
      <c r="OE394" s="457"/>
      <c r="OF394" s="457"/>
      <c r="OG394" s="457"/>
      <c r="OH394" s="457"/>
      <c r="OI394" s="457"/>
      <c r="OJ394" s="457"/>
      <c r="OK394" s="457"/>
      <c r="OL394" s="457"/>
      <c r="OM394" s="457"/>
      <c r="ON394" s="457"/>
      <c r="OO394" s="457"/>
      <c r="OP394" s="457"/>
      <c r="OQ394" s="457"/>
      <c r="OR394" s="457"/>
      <c r="OS394" s="457"/>
      <c r="OT394" s="457"/>
      <c r="OU394" s="457"/>
      <c r="OV394" s="457"/>
      <c r="OW394" s="457"/>
      <c r="OX394" s="457"/>
      <c r="OY394" s="457"/>
      <c r="OZ394" s="457"/>
      <c r="PA394" s="457"/>
      <c r="PB394" s="457"/>
      <c r="PC394" s="457"/>
      <c r="PD394" s="457"/>
      <c r="PE394" s="457"/>
      <c r="PF394" s="457"/>
      <c r="PG394" s="457"/>
      <c r="PH394" s="457"/>
      <c r="PI394" s="457"/>
      <c r="PJ394" s="457"/>
      <c r="PK394" s="457"/>
      <c r="PL394" s="457"/>
      <c r="PM394" s="457"/>
      <c r="PN394" s="457"/>
      <c r="PO394" s="457"/>
      <c r="PP394" s="457"/>
      <c r="PQ394" s="457"/>
      <c r="PR394" s="457"/>
      <c r="PS394" s="457"/>
      <c r="PT394" s="457"/>
      <c r="PU394" s="457"/>
      <c r="PV394" s="457"/>
      <c r="PW394" s="457"/>
      <c r="PX394" s="457"/>
      <c r="PY394" s="457"/>
      <c r="PZ394" s="457"/>
      <c r="QA394" s="457"/>
      <c r="QB394" s="457"/>
      <c r="QC394" s="457"/>
      <c r="QD394" s="457"/>
      <c r="QE394" s="457"/>
      <c r="QF394" s="457"/>
      <c r="QG394" s="457"/>
      <c r="QH394" s="457"/>
      <c r="QI394" s="457"/>
      <c r="QJ394" s="457"/>
      <c r="QK394" s="457"/>
      <c r="QL394" s="457"/>
      <c r="QM394" s="457"/>
      <c r="QN394" s="457"/>
      <c r="QO394" s="457"/>
      <c r="QP394" s="457"/>
      <c r="QQ394" s="457"/>
      <c r="QR394" s="457"/>
      <c r="QS394" s="457"/>
      <c r="QT394" s="457"/>
      <c r="QU394" s="457"/>
      <c r="QV394" s="457"/>
      <c r="QW394" s="457"/>
      <c r="QX394" s="457"/>
      <c r="QY394" s="457"/>
      <c r="QZ394" s="457"/>
      <c r="RA394" s="457"/>
      <c r="RB394" s="457"/>
      <c r="RC394" s="457"/>
      <c r="RD394" s="457"/>
      <c r="RE394" s="457"/>
      <c r="RF394" s="457"/>
      <c r="RG394" s="457"/>
      <c r="RH394" s="457"/>
      <c r="RI394" s="457"/>
      <c r="RJ394" s="457"/>
      <c r="RK394" s="457"/>
      <c r="RL394" s="457"/>
      <c r="RM394" s="457"/>
      <c r="RN394" s="457"/>
      <c r="RO394" s="457"/>
      <c r="RP394" s="457"/>
      <c r="RQ394" s="457"/>
      <c r="RR394" s="457"/>
      <c r="RS394" s="457"/>
      <c r="RT394" s="457"/>
      <c r="RU394" s="457"/>
      <c r="RV394" s="457"/>
      <c r="RW394" s="457"/>
      <c r="RX394" s="457"/>
      <c r="RY394" s="457"/>
      <c r="RZ394" s="457"/>
      <c r="SA394" s="457"/>
      <c r="SB394" s="457"/>
      <c r="SC394" s="457"/>
      <c r="SD394" s="457"/>
      <c r="SE394" s="457"/>
      <c r="SF394" s="457"/>
      <c r="SG394" s="457"/>
      <c r="SH394" s="457"/>
      <c r="SI394" s="457"/>
      <c r="SJ394" s="457"/>
      <c r="SK394" s="457"/>
      <c r="SL394" s="457"/>
      <c r="SM394" s="457"/>
      <c r="SN394" s="457"/>
      <c r="SO394" s="457"/>
      <c r="SP394" s="457"/>
      <c r="SQ394" s="457"/>
      <c r="SR394" s="457"/>
      <c r="SS394" s="457"/>
      <c r="ST394" s="457"/>
      <c r="SU394" s="457"/>
      <c r="SV394" s="457"/>
      <c r="SW394" s="457"/>
      <c r="SX394" s="457"/>
      <c r="SY394" s="457"/>
      <c r="SZ394" s="457"/>
      <c r="TA394" s="457"/>
      <c r="TB394" s="457"/>
      <c r="TC394" s="457"/>
      <c r="TD394" s="457"/>
      <c r="TE394" s="457"/>
      <c r="TF394" s="457"/>
      <c r="TG394" s="457"/>
      <c r="TH394" s="457"/>
      <c r="TI394" s="457"/>
      <c r="TJ394" s="457"/>
      <c r="TK394" s="457"/>
      <c r="TL394" s="457"/>
      <c r="TM394" s="457"/>
      <c r="TN394" s="457"/>
      <c r="TO394" s="457"/>
      <c r="TP394" s="457"/>
      <c r="TQ394" s="457"/>
      <c r="TR394" s="457"/>
      <c r="TS394" s="457"/>
      <c r="TT394" s="457"/>
      <c r="TU394" s="457"/>
      <c r="TV394" s="457"/>
      <c r="TW394" s="457"/>
      <c r="TX394" s="457"/>
      <c r="TY394" s="457"/>
      <c r="TZ394" s="457"/>
      <c r="UA394" s="457"/>
      <c r="UB394" s="457"/>
      <c r="UC394" s="457"/>
      <c r="UD394" s="457"/>
      <c r="UE394" s="457"/>
      <c r="UF394" s="457"/>
      <c r="UG394" s="457"/>
      <c r="UH394" s="457"/>
      <c r="UI394" s="457"/>
      <c r="UJ394" s="457"/>
      <c r="UK394" s="457"/>
      <c r="UL394" s="457"/>
      <c r="UM394" s="457"/>
      <c r="UN394" s="457"/>
      <c r="UO394" s="457"/>
      <c r="UP394" s="457"/>
      <c r="UQ394" s="457"/>
      <c r="UR394" s="457"/>
      <c r="US394" s="457"/>
      <c r="UT394" s="457"/>
      <c r="UU394" s="457"/>
      <c r="UV394" s="457"/>
      <c r="UW394" s="457"/>
      <c r="UX394" s="457"/>
      <c r="UY394" s="457"/>
      <c r="UZ394" s="457"/>
      <c r="VA394" s="457"/>
      <c r="VB394" s="457"/>
      <c r="VC394" s="457"/>
      <c r="VD394" s="457"/>
      <c r="VE394" s="457"/>
      <c r="VF394" s="457"/>
      <c r="VG394" s="457"/>
      <c r="VH394" s="457"/>
      <c r="VI394" s="457"/>
      <c r="VJ394" s="457"/>
      <c r="VK394" s="457"/>
      <c r="VL394" s="457"/>
      <c r="VM394" s="457"/>
      <c r="VN394" s="457"/>
      <c r="VO394" s="457"/>
      <c r="VP394" s="457"/>
      <c r="VQ394" s="457"/>
      <c r="VR394" s="457"/>
      <c r="VS394" s="457"/>
      <c r="VT394" s="457"/>
      <c r="VU394" s="457"/>
      <c r="VV394" s="457"/>
      <c r="VW394" s="457"/>
      <c r="VX394" s="457"/>
      <c r="VY394" s="457"/>
      <c r="VZ394" s="457"/>
      <c r="WA394" s="457"/>
      <c r="WB394" s="457"/>
      <c r="WC394" s="457"/>
      <c r="WD394" s="457"/>
      <c r="WE394" s="457"/>
      <c r="WF394" s="457"/>
      <c r="WG394" s="457"/>
      <c r="WH394" s="457"/>
      <c r="WI394" s="457"/>
      <c r="WJ394" s="457"/>
      <c r="WK394" s="457"/>
      <c r="WL394" s="457"/>
      <c r="WM394" s="457"/>
      <c r="WN394" s="457"/>
      <c r="WO394" s="457"/>
      <c r="WP394" s="457"/>
      <c r="WQ394" s="457"/>
      <c r="WR394" s="457"/>
      <c r="WS394" s="457"/>
      <c r="WT394" s="457"/>
      <c r="WU394" s="457"/>
      <c r="WV394" s="457"/>
      <c r="WW394" s="457"/>
      <c r="WX394" s="457"/>
      <c r="WY394" s="457"/>
      <c r="WZ394" s="457"/>
      <c r="XA394" s="457"/>
      <c r="XB394" s="457"/>
      <c r="XC394" s="457"/>
      <c r="XD394" s="457"/>
      <c r="XE394" s="457"/>
      <c r="XF394" s="457"/>
      <c r="XG394" s="457"/>
      <c r="XH394" s="457"/>
      <c r="XI394" s="457"/>
      <c r="XJ394" s="457"/>
      <c r="XK394" s="457"/>
      <c r="XL394" s="457"/>
      <c r="XM394" s="457"/>
      <c r="XN394" s="457"/>
      <c r="XO394" s="457"/>
      <c r="XP394" s="457"/>
      <c r="XQ394" s="457"/>
      <c r="XR394" s="457"/>
      <c r="XS394" s="457"/>
      <c r="XT394" s="457"/>
      <c r="XU394" s="457"/>
      <c r="XV394" s="457"/>
      <c r="XW394" s="457"/>
      <c r="XX394" s="457"/>
      <c r="XY394" s="457"/>
      <c r="XZ394" s="457"/>
      <c r="YA394" s="457"/>
      <c r="YB394" s="457"/>
      <c r="YC394" s="457"/>
      <c r="YD394" s="457"/>
      <c r="YE394" s="457"/>
      <c r="YF394" s="457"/>
      <c r="YG394" s="457"/>
      <c r="YH394" s="457"/>
      <c r="YI394" s="457"/>
      <c r="YJ394" s="457"/>
      <c r="YK394" s="457"/>
      <c r="YL394" s="457"/>
      <c r="YM394" s="457"/>
      <c r="YN394" s="457"/>
      <c r="YO394" s="457"/>
      <c r="YP394" s="457"/>
      <c r="YQ394" s="457"/>
      <c r="YR394" s="457"/>
      <c r="YS394" s="457"/>
      <c r="YT394" s="457"/>
      <c r="YU394" s="457"/>
      <c r="YV394" s="457"/>
      <c r="YW394" s="457"/>
      <c r="YX394" s="457"/>
      <c r="YY394" s="457"/>
      <c r="YZ394" s="457"/>
      <c r="ZA394" s="457"/>
      <c r="ZB394" s="457"/>
      <c r="ZC394" s="457"/>
      <c r="ZD394" s="457"/>
      <c r="ZE394" s="457"/>
      <c r="ZF394" s="457"/>
      <c r="ZG394" s="457"/>
      <c r="ZH394" s="457"/>
      <c r="ZI394" s="457"/>
      <c r="ZJ394" s="457"/>
      <c r="ZK394" s="457"/>
      <c r="ZL394" s="457"/>
      <c r="ZM394" s="457"/>
      <c r="ZN394" s="457"/>
      <c r="ZO394" s="457"/>
      <c r="ZP394" s="457"/>
      <c r="ZQ394" s="457"/>
      <c r="ZR394" s="457"/>
      <c r="ZS394" s="457"/>
      <c r="ZT394" s="457"/>
      <c r="ZU394" s="457"/>
      <c r="ZV394" s="457"/>
      <c r="ZW394" s="457"/>
      <c r="ZX394" s="457"/>
      <c r="ZY394" s="457"/>
      <c r="ZZ394" s="457"/>
      <c r="AAA394" s="457"/>
      <c r="AAB394" s="457"/>
      <c r="AAC394" s="457"/>
      <c r="AAD394" s="457"/>
      <c r="AAE394" s="457"/>
      <c r="AAF394" s="457"/>
      <c r="AAG394" s="457"/>
      <c r="AAH394" s="457"/>
      <c r="AAI394" s="457"/>
      <c r="AAJ394" s="457"/>
      <c r="AAK394" s="457"/>
      <c r="AAL394" s="457"/>
      <c r="AAM394" s="457"/>
      <c r="AAN394" s="457"/>
      <c r="AAO394" s="457"/>
      <c r="AAP394" s="457"/>
      <c r="AAQ394" s="457"/>
      <c r="AAR394" s="457"/>
      <c r="AAS394" s="457"/>
      <c r="AAT394" s="457"/>
      <c r="AAU394" s="457"/>
      <c r="AAV394" s="457"/>
      <c r="AAW394" s="457"/>
      <c r="AAX394" s="457"/>
      <c r="AAY394" s="457"/>
      <c r="AAZ394" s="457"/>
      <c r="ABA394" s="457"/>
      <c r="ABB394" s="457"/>
      <c r="ABC394" s="457"/>
      <c r="ABD394" s="457"/>
      <c r="ABE394" s="457"/>
      <c r="ABF394" s="457"/>
      <c r="ABG394" s="457"/>
      <c r="ABH394" s="457"/>
      <c r="ABI394" s="457"/>
      <c r="ABJ394" s="457"/>
      <c r="ABK394" s="457"/>
      <c r="ABL394" s="457"/>
      <c r="ABM394" s="457"/>
      <c r="ABN394" s="457"/>
      <c r="ABO394" s="457"/>
      <c r="ABP394" s="457"/>
      <c r="ABQ394" s="457"/>
      <c r="ABR394" s="457"/>
      <c r="ABS394" s="457"/>
      <c r="ABT394" s="457"/>
      <c r="ABU394" s="457"/>
      <c r="ABV394" s="457"/>
      <c r="ABW394" s="457"/>
      <c r="ABX394" s="457"/>
      <c r="ABY394" s="457"/>
      <c r="ABZ394" s="457"/>
      <c r="ACA394" s="457"/>
      <c r="ACB394" s="457"/>
      <c r="ACC394" s="457"/>
      <c r="ACD394" s="457"/>
      <c r="ACE394" s="457"/>
      <c r="ACF394" s="457"/>
      <c r="ACG394" s="457"/>
      <c r="ACH394" s="457"/>
      <c r="ACI394" s="457"/>
      <c r="ACJ394" s="457"/>
      <c r="ACK394" s="457"/>
      <c r="ACL394" s="457"/>
      <c r="ACM394" s="457"/>
      <c r="ACN394" s="457"/>
      <c r="ACO394" s="457"/>
      <c r="ACP394" s="457"/>
      <c r="ACQ394" s="457"/>
      <c r="ACR394" s="457"/>
      <c r="ACS394" s="457"/>
      <c r="ACT394" s="457"/>
      <c r="ACU394" s="457"/>
      <c r="ACV394" s="457"/>
    </row>
    <row r="395" spans="1:776" s="400" customFormat="1" x14ac:dyDescent="0.25">
      <c r="A395" s="470">
        <v>900108</v>
      </c>
      <c r="B395" s="237" t="s">
        <v>241</v>
      </c>
      <c r="C395" s="237"/>
      <c r="D395" s="238" t="s">
        <v>242</v>
      </c>
      <c r="E395" s="238">
        <v>0.78</v>
      </c>
      <c r="F395" s="236">
        <v>62.8</v>
      </c>
      <c r="G395" s="34">
        <v>0.01</v>
      </c>
      <c r="H395" s="41">
        <v>7.0000000000000007E-2</v>
      </c>
      <c r="I395" s="456">
        <v>16.100000000000001</v>
      </c>
      <c r="J395" s="39">
        <v>36.299999999999997</v>
      </c>
      <c r="K395" s="39">
        <v>0.1</v>
      </c>
      <c r="L395" s="39">
        <v>405.6</v>
      </c>
      <c r="M395" s="34">
        <v>0.01</v>
      </c>
      <c r="N395" s="238">
        <v>2.72</v>
      </c>
      <c r="O395" s="238">
        <v>6</v>
      </c>
      <c r="P395" s="238">
        <v>81.48</v>
      </c>
      <c r="Q395" s="238">
        <v>47.32</v>
      </c>
      <c r="R395" s="465">
        <v>0.06</v>
      </c>
      <c r="S395" s="465">
        <v>0.01</v>
      </c>
      <c r="T395" s="465">
        <v>0.1</v>
      </c>
      <c r="U395" s="465">
        <v>0.01</v>
      </c>
      <c r="V395" s="237"/>
      <c r="W395" s="237"/>
      <c r="X395" s="237"/>
      <c r="Y395" s="237"/>
      <c r="Z395" s="237"/>
      <c r="AA395" s="237"/>
      <c r="AB395" s="457"/>
      <c r="AC395" s="457"/>
      <c r="AD395" s="457"/>
      <c r="AE395" s="457"/>
      <c r="AF395" s="457"/>
      <c r="AG395" s="457"/>
      <c r="AH395" s="457"/>
      <c r="AI395" s="457"/>
      <c r="AJ395" s="457"/>
      <c r="AK395" s="457"/>
      <c r="AL395" s="457"/>
      <c r="AM395" s="457"/>
      <c r="AN395" s="457"/>
      <c r="AO395" s="457"/>
      <c r="AP395" s="457"/>
      <c r="AQ395" s="457"/>
      <c r="AR395" s="457"/>
      <c r="AS395" s="457"/>
      <c r="AT395" s="457"/>
      <c r="AU395" s="457"/>
      <c r="AV395" s="457"/>
      <c r="AW395" s="457"/>
      <c r="AX395" s="457"/>
      <c r="AY395" s="457"/>
      <c r="AZ395" s="457"/>
      <c r="BA395" s="457"/>
      <c r="BB395" s="457"/>
      <c r="BC395" s="457"/>
      <c r="BD395" s="457"/>
      <c r="BE395" s="457"/>
      <c r="BF395" s="457"/>
      <c r="BG395" s="457"/>
      <c r="BH395" s="457"/>
      <c r="BI395" s="457"/>
      <c r="BJ395" s="457"/>
      <c r="BK395" s="457"/>
      <c r="BL395" s="457"/>
      <c r="BM395" s="457"/>
      <c r="BN395" s="457"/>
      <c r="BO395" s="457"/>
      <c r="BP395" s="457"/>
      <c r="BQ395" s="457"/>
      <c r="BR395" s="457"/>
      <c r="BS395" s="457"/>
      <c r="BT395" s="457"/>
      <c r="BU395" s="457"/>
      <c r="BV395" s="457"/>
      <c r="BW395" s="457"/>
      <c r="BX395" s="457"/>
      <c r="BY395" s="457"/>
      <c r="BZ395" s="457"/>
      <c r="CA395" s="457"/>
      <c r="CB395" s="457"/>
      <c r="CC395" s="457"/>
      <c r="CD395" s="457"/>
      <c r="CE395" s="457"/>
      <c r="CF395" s="457"/>
      <c r="CG395" s="457"/>
      <c r="CH395" s="457"/>
      <c r="CI395" s="457"/>
      <c r="CJ395" s="457"/>
      <c r="CK395" s="457"/>
      <c r="CL395" s="457"/>
      <c r="CM395" s="457"/>
      <c r="CN395" s="457"/>
      <c r="CO395" s="457"/>
      <c r="CP395" s="457"/>
      <c r="CQ395" s="457"/>
      <c r="CR395" s="457"/>
      <c r="CS395" s="457"/>
      <c r="CT395" s="457"/>
      <c r="CU395" s="457"/>
      <c r="CV395" s="457"/>
      <c r="CW395" s="457"/>
      <c r="CX395" s="457"/>
      <c r="CY395" s="457"/>
      <c r="CZ395" s="457"/>
      <c r="DA395" s="457"/>
      <c r="DB395" s="457"/>
      <c r="DC395" s="457"/>
      <c r="DD395" s="457"/>
      <c r="DE395" s="457"/>
      <c r="DF395" s="457"/>
      <c r="DG395" s="457"/>
      <c r="DH395" s="457"/>
      <c r="DI395" s="457"/>
      <c r="DJ395" s="457"/>
      <c r="DK395" s="457"/>
      <c r="DL395" s="457"/>
      <c r="DM395" s="457"/>
      <c r="DN395" s="457"/>
      <c r="DO395" s="457"/>
      <c r="DP395" s="457"/>
      <c r="DQ395" s="457"/>
      <c r="DR395" s="457"/>
      <c r="DS395" s="457"/>
      <c r="DT395" s="457"/>
      <c r="DU395" s="457"/>
      <c r="DV395" s="457"/>
      <c r="DW395" s="457"/>
      <c r="DX395" s="457"/>
      <c r="DY395" s="457"/>
      <c r="DZ395" s="457"/>
      <c r="EA395" s="457"/>
      <c r="EB395" s="457"/>
      <c r="EC395" s="457"/>
      <c r="ED395" s="457"/>
      <c r="EE395" s="457"/>
      <c r="EF395" s="457"/>
      <c r="EG395" s="457"/>
      <c r="EH395" s="457"/>
      <c r="EI395" s="457"/>
      <c r="EJ395" s="457"/>
      <c r="EK395" s="457"/>
      <c r="EL395" s="457"/>
      <c r="EM395" s="457"/>
      <c r="EN395" s="457"/>
      <c r="EO395" s="457"/>
      <c r="EP395" s="457"/>
      <c r="EQ395" s="457"/>
      <c r="ER395" s="457"/>
      <c r="ES395" s="457"/>
      <c r="ET395" s="457"/>
      <c r="EU395" s="457"/>
      <c r="EV395" s="457"/>
      <c r="EW395" s="457"/>
      <c r="EX395" s="457"/>
      <c r="EY395" s="457"/>
      <c r="EZ395" s="457"/>
      <c r="FA395" s="457"/>
      <c r="FB395" s="457"/>
      <c r="FC395" s="457"/>
      <c r="FD395" s="457"/>
      <c r="FE395" s="457"/>
      <c r="FF395" s="457"/>
      <c r="FG395" s="457"/>
      <c r="FH395" s="457"/>
      <c r="FI395" s="457"/>
      <c r="FJ395" s="457"/>
      <c r="FK395" s="457"/>
      <c r="FL395" s="457"/>
      <c r="FM395" s="457"/>
      <c r="FN395" s="457"/>
      <c r="FO395" s="457"/>
      <c r="FP395" s="457"/>
      <c r="FQ395" s="457"/>
      <c r="FR395" s="457"/>
      <c r="FS395" s="457"/>
      <c r="FT395" s="457"/>
      <c r="FU395" s="457"/>
      <c r="FV395" s="457"/>
      <c r="FW395" s="457"/>
      <c r="FX395" s="457"/>
      <c r="FY395" s="457"/>
      <c r="FZ395" s="457"/>
      <c r="GA395" s="457"/>
      <c r="GB395" s="457"/>
      <c r="GC395" s="457"/>
      <c r="GD395" s="457"/>
      <c r="GE395" s="457"/>
      <c r="GF395" s="457"/>
      <c r="GG395" s="457"/>
      <c r="GH395" s="457"/>
      <c r="GI395" s="457"/>
      <c r="GJ395" s="457"/>
      <c r="GK395" s="457"/>
      <c r="GL395" s="457"/>
      <c r="GM395" s="457"/>
      <c r="GN395" s="457"/>
      <c r="GO395" s="457"/>
      <c r="GP395" s="457"/>
      <c r="GQ395" s="457"/>
      <c r="GR395" s="457"/>
      <c r="GS395" s="457"/>
      <c r="GT395" s="457"/>
      <c r="GU395" s="457"/>
      <c r="GV395" s="457"/>
      <c r="GW395" s="457"/>
      <c r="GX395" s="457"/>
      <c r="GY395" s="457"/>
      <c r="GZ395" s="457"/>
      <c r="HA395" s="457"/>
      <c r="HB395" s="457"/>
      <c r="HC395" s="457"/>
      <c r="HD395" s="457"/>
      <c r="HE395" s="457"/>
      <c r="HF395" s="457"/>
      <c r="HG395" s="457"/>
      <c r="HH395" s="457"/>
      <c r="HI395" s="457"/>
      <c r="HJ395" s="457"/>
      <c r="HK395" s="457"/>
      <c r="HL395" s="457"/>
      <c r="HM395" s="457"/>
      <c r="HN395" s="457"/>
      <c r="HO395" s="457"/>
      <c r="HP395" s="457"/>
      <c r="HQ395" s="457"/>
      <c r="HR395" s="457"/>
      <c r="HS395" s="457"/>
      <c r="HT395" s="457"/>
      <c r="HU395" s="457"/>
      <c r="HV395" s="457"/>
      <c r="HW395" s="457"/>
      <c r="HX395" s="457"/>
      <c r="HY395" s="457"/>
      <c r="HZ395" s="457"/>
      <c r="IA395" s="457"/>
      <c r="IB395" s="457"/>
      <c r="IC395" s="457"/>
      <c r="ID395" s="457"/>
      <c r="IE395" s="457"/>
      <c r="IF395" s="457"/>
      <c r="IG395" s="457"/>
      <c r="IH395" s="457"/>
      <c r="II395" s="457"/>
      <c r="IJ395" s="457"/>
      <c r="IK395" s="457"/>
      <c r="IL395" s="457"/>
      <c r="IM395" s="457"/>
      <c r="IN395" s="457"/>
      <c r="IO395" s="457"/>
      <c r="IP395" s="457"/>
      <c r="IQ395" s="457"/>
      <c r="IR395" s="457"/>
      <c r="IS395" s="457"/>
      <c r="IT395" s="457"/>
      <c r="IU395" s="457"/>
      <c r="IV395" s="457"/>
      <c r="IW395" s="457"/>
      <c r="IX395" s="457"/>
      <c r="IY395" s="457"/>
      <c r="IZ395" s="457"/>
      <c r="JA395" s="457"/>
      <c r="JB395" s="457"/>
      <c r="JC395" s="457"/>
      <c r="JD395" s="457"/>
      <c r="JE395" s="457"/>
      <c r="JF395" s="457"/>
      <c r="JG395" s="457"/>
      <c r="JH395" s="457"/>
      <c r="JI395" s="457"/>
      <c r="JJ395" s="457"/>
      <c r="JK395" s="457"/>
      <c r="JL395" s="457"/>
      <c r="JM395" s="457"/>
      <c r="JN395" s="457"/>
      <c r="JO395" s="457"/>
      <c r="JP395" s="457"/>
      <c r="JQ395" s="457"/>
      <c r="JR395" s="457"/>
      <c r="JS395" s="457"/>
      <c r="JT395" s="457"/>
      <c r="JU395" s="457"/>
      <c r="JV395" s="457"/>
      <c r="JW395" s="457"/>
      <c r="JX395" s="457"/>
      <c r="JY395" s="457"/>
      <c r="JZ395" s="457"/>
      <c r="KA395" s="457"/>
      <c r="KB395" s="457"/>
      <c r="KC395" s="457"/>
      <c r="KD395" s="457"/>
      <c r="KE395" s="457"/>
      <c r="KF395" s="457"/>
      <c r="KG395" s="457"/>
      <c r="KH395" s="457"/>
      <c r="KI395" s="457"/>
      <c r="KJ395" s="457"/>
      <c r="KK395" s="457"/>
      <c r="KL395" s="457"/>
      <c r="KM395" s="457"/>
      <c r="KN395" s="457"/>
      <c r="KO395" s="457"/>
      <c r="KP395" s="457"/>
      <c r="KQ395" s="457"/>
      <c r="KR395" s="457"/>
      <c r="KS395" s="457"/>
      <c r="KT395" s="457"/>
      <c r="KU395" s="457"/>
      <c r="KV395" s="457"/>
      <c r="KW395" s="457"/>
      <c r="KX395" s="457"/>
      <c r="KY395" s="457"/>
      <c r="KZ395" s="457"/>
      <c r="LA395" s="457"/>
      <c r="LB395" s="457"/>
      <c r="LC395" s="457"/>
      <c r="LD395" s="457"/>
      <c r="LE395" s="457"/>
      <c r="LF395" s="457"/>
      <c r="LG395" s="457"/>
      <c r="LH395" s="457"/>
      <c r="LI395" s="457"/>
      <c r="LJ395" s="457"/>
      <c r="LK395" s="457"/>
      <c r="LL395" s="457"/>
      <c r="LM395" s="457"/>
      <c r="LN395" s="457"/>
      <c r="LO395" s="457"/>
      <c r="LP395" s="457"/>
      <c r="LQ395" s="457"/>
      <c r="LR395" s="457"/>
      <c r="LS395" s="457"/>
      <c r="LT395" s="457"/>
      <c r="LU395" s="457"/>
      <c r="LV395" s="457"/>
      <c r="LW395" s="457"/>
      <c r="LX395" s="457"/>
      <c r="LY395" s="457"/>
      <c r="LZ395" s="457"/>
      <c r="MA395" s="457"/>
      <c r="MB395" s="457"/>
      <c r="MC395" s="457"/>
      <c r="MD395" s="457"/>
      <c r="ME395" s="457"/>
      <c r="MF395" s="457"/>
      <c r="MG395" s="457"/>
      <c r="MH395" s="457"/>
      <c r="MI395" s="457"/>
      <c r="MJ395" s="457"/>
      <c r="MK395" s="457"/>
      <c r="ML395" s="457"/>
      <c r="MM395" s="457"/>
      <c r="MN395" s="457"/>
      <c r="MO395" s="457"/>
      <c r="MP395" s="457"/>
      <c r="MQ395" s="457"/>
      <c r="MR395" s="457"/>
      <c r="MS395" s="457"/>
      <c r="MT395" s="457"/>
      <c r="MU395" s="457"/>
      <c r="MV395" s="457"/>
      <c r="MW395" s="457"/>
      <c r="MX395" s="457"/>
      <c r="MY395" s="457"/>
      <c r="MZ395" s="457"/>
      <c r="NA395" s="457"/>
      <c r="NB395" s="457"/>
      <c r="NC395" s="457"/>
      <c r="ND395" s="457"/>
      <c r="NE395" s="457"/>
      <c r="NF395" s="457"/>
      <c r="NG395" s="457"/>
      <c r="NH395" s="457"/>
      <c r="NI395" s="457"/>
      <c r="NJ395" s="457"/>
      <c r="NK395" s="457"/>
      <c r="NL395" s="457"/>
      <c r="NM395" s="457"/>
      <c r="NN395" s="457"/>
      <c r="NO395" s="457"/>
      <c r="NP395" s="457"/>
      <c r="NQ395" s="457"/>
      <c r="NR395" s="457"/>
      <c r="NS395" s="457"/>
      <c r="NT395" s="457"/>
      <c r="NU395" s="457"/>
      <c r="NV395" s="457"/>
      <c r="NW395" s="457"/>
      <c r="NX395" s="457"/>
      <c r="NY395" s="457"/>
      <c r="NZ395" s="457"/>
      <c r="OA395" s="457"/>
      <c r="OB395" s="457"/>
      <c r="OC395" s="457"/>
      <c r="OD395" s="457"/>
      <c r="OE395" s="457"/>
      <c r="OF395" s="457"/>
      <c r="OG395" s="457"/>
      <c r="OH395" s="457"/>
      <c r="OI395" s="457"/>
      <c r="OJ395" s="457"/>
      <c r="OK395" s="457"/>
      <c r="OL395" s="457"/>
      <c r="OM395" s="457"/>
      <c r="ON395" s="457"/>
      <c r="OO395" s="457"/>
      <c r="OP395" s="457"/>
      <c r="OQ395" s="457"/>
      <c r="OR395" s="457"/>
      <c r="OS395" s="457"/>
      <c r="OT395" s="457"/>
      <c r="OU395" s="457"/>
      <c r="OV395" s="457"/>
      <c r="OW395" s="457"/>
      <c r="OX395" s="457"/>
      <c r="OY395" s="457"/>
      <c r="OZ395" s="457"/>
      <c r="PA395" s="457"/>
      <c r="PB395" s="457"/>
      <c r="PC395" s="457"/>
      <c r="PD395" s="457"/>
      <c r="PE395" s="457"/>
      <c r="PF395" s="457"/>
      <c r="PG395" s="457"/>
      <c r="PH395" s="457"/>
      <c r="PI395" s="457"/>
      <c r="PJ395" s="457"/>
      <c r="PK395" s="457"/>
      <c r="PL395" s="457"/>
      <c r="PM395" s="457"/>
      <c r="PN395" s="457"/>
      <c r="PO395" s="457"/>
      <c r="PP395" s="457"/>
      <c r="PQ395" s="457"/>
      <c r="PR395" s="457"/>
      <c r="PS395" s="457"/>
      <c r="PT395" s="457"/>
      <c r="PU395" s="457"/>
      <c r="PV395" s="457"/>
      <c r="PW395" s="457"/>
      <c r="PX395" s="457"/>
      <c r="PY395" s="457"/>
      <c r="PZ395" s="457"/>
      <c r="QA395" s="457"/>
      <c r="QB395" s="457"/>
      <c r="QC395" s="457"/>
      <c r="QD395" s="457"/>
      <c r="QE395" s="457"/>
      <c r="QF395" s="457"/>
      <c r="QG395" s="457"/>
      <c r="QH395" s="457"/>
      <c r="QI395" s="457"/>
      <c r="QJ395" s="457"/>
      <c r="QK395" s="457"/>
      <c r="QL395" s="457"/>
      <c r="QM395" s="457"/>
      <c r="QN395" s="457"/>
      <c r="QO395" s="457"/>
      <c r="QP395" s="457"/>
      <c r="QQ395" s="457"/>
      <c r="QR395" s="457"/>
      <c r="QS395" s="457"/>
      <c r="QT395" s="457"/>
      <c r="QU395" s="457"/>
      <c r="QV395" s="457"/>
      <c r="QW395" s="457"/>
      <c r="QX395" s="457"/>
      <c r="QY395" s="457"/>
      <c r="QZ395" s="457"/>
      <c r="RA395" s="457"/>
      <c r="RB395" s="457"/>
      <c r="RC395" s="457"/>
      <c r="RD395" s="457"/>
      <c r="RE395" s="457"/>
      <c r="RF395" s="457"/>
      <c r="RG395" s="457"/>
      <c r="RH395" s="457"/>
      <c r="RI395" s="457"/>
      <c r="RJ395" s="457"/>
      <c r="RK395" s="457"/>
      <c r="RL395" s="457"/>
      <c r="RM395" s="457"/>
      <c r="RN395" s="457"/>
      <c r="RO395" s="457"/>
      <c r="RP395" s="457"/>
      <c r="RQ395" s="457"/>
      <c r="RR395" s="457"/>
      <c r="RS395" s="457"/>
      <c r="RT395" s="457"/>
      <c r="RU395" s="457"/>
      <c r="RV395" s="457"/>
      <c r="RW395" s="457"/>
      <c r="RX395" s="457"/>
      <c r="RY395" s="457"/>
      <c r="RZ395" s="457"/>
      <c r="SA395" s="457"/>
      <c r="SB395" s="457"/>
      <c r="SC395" s="457"/>
      <c r="SD395" s="457"/>
      <c r="SE395" s="457"/>
      <c r="SF395" s="457"/>
      <c r="SG395" s="457"/>
      <c r="SH395" s="457"/>
      <c r="SI395" s="457"/>
      <c r="SJ395" s="457"/>
      <c r="SK395" s="457"/>
      <c r="SL395" s="457"/>
      <c r="SM395" s="457"/>
      <c r="SN395" s="457"/>
      <c r="SO395" s="457"/>
      <c r="SP395" s="457"/>
      <c r="SQ395" s="457"/>
      <c r="SR395" s="457"/>
      <c r="SS395" s="457"/>
      <c r="ST395" s="457"/>
      <c r="SU395" s="457"/>
      <c r="SV395" s="457"/>
      <c r="SW395" s="457"/>
      <c r="SX395" s="457"/>
      <c r="SY395" s="457"/>
      <c r="SZ395" s="457"/>
      <c r="TA395" s="457"/>
      <c r="TB395" s="457"/>
      <c r="TC395" s="457"/>
      <c r="TD395" s="457"/>
      <c r="TE395" s="457"/>
      <c r="TF395" s="457"/>
      <c r="TG395" s="457"/>
      <c r="TH395" s="457"/>
      <c r="TI395" s="457"/>
      <c r="TJ395" s="457"/>
      <c r="TK395" s="457"/>
      <c r="TL395" s="457"/>
      <c r="TM395" s="457"/>
      <c r="TN395" s="457"/>
      <c r="TO395" s="457"/>
      <c r="TP395" s="457"/>
      <c r="TQ395" s="457"/>
      <c r="TR395" s="457"/>
      <c r="TS395" s="457"/>
      <c r="TT395" s="457"/>
      <c r="TU395" s="457"/>
      <c r="TV395" s="457"/>
      <c r="TW395" s="457"/>
      <c r="TX395" s="457"/>
      <c r="TY395" s="457"/>
      <c r="TZ395" s="457"/>
      <c r="UA395" s="457"/>
      <c r="UB395" s="457"/>
      <c r="UC395" s="457"/>
      <c r="UD395" s="457"/>
      <c r="UE395" s="457"/>
      <c r="UF395" s="457"/>
      <c r="UG395" s="457"/>
      <c r="UH395" s="457"/>
      <c r="UI395" s="457"/>
      <c r="UJ395" s="457"/>
      <c r="UK395" s="457"/>
      <c r="UL395" s="457"/>
      <c r="UM395" s="457"/>
      <c r="UN395" s="457"/>
      <c r="UO395" s="457"/>
      <c r="UP395" s="457"/>
      <c r="UQ395" s="457"/>
      <c r="UR395" s="457"/>
      <c r="US395" s="457"/>
      <c r="UT395" s="457"/>
      <c r="UU395" s="457"/>
      <c r="UV395" s="457"/>
      <c r="UW395" s="457"/>
      <c r="UX395" s="457"/>
      <c r="UY395" s="457"/>
      <c r="UZ395" s="457"/>
      <c r="VA395" s="457"/>
      <c r="VB395" s="457"/>
      <c r="VC395" s="457"/>
      <c r="VD395" s="457"/>
      <c r="VE395" s="457"/>
      <c r="VF395" s="457"/>
      <c r="VG395" s="457"/>
      <c r="VH395" s="457"/>
      <c r="VI395" s="457"/>
      <c r="VJ395" s="457"/>
      <c r="VK395" s="457"/>
      <c r="VL395" s="457"/>
      <c r="VM395" s="457"/>
      <c r="VN395" s="457"/>
      <c r="VO395" s="457"/>
      <c r="VP395" s="457"/>
      <c r="VQ395" s="457"/>
      <c r="VR395" s="457"/>
      <c r="VS395" s="457"/>
      <c r="VT395" s="457"/>
      <c r="VU395" s="457"/>
      <c r="VV395" s="457"/>
      <c r="VW395" s="457"/>
      <c r="VX395" s="457"/>
      <c r="VY395" s="457"/>
      <c r="VZ395" s="457"/>
      <c r="WA395" s="457"/>
      <c r="WB395" s="457"/>
      <c r="WC395" s="457"/>
      <c r="WD395" s="457"/>
      <c r="WE395" s="457"/>
      <c r="WF395" s="457"/>
      <c r="WG395" s="457"/>
      <c r="WH395" s="457"/>
      <c r="WI395" s="457"/>
      <c r="WJ395" s="457"/>
      <c r="WK395" s="457"/>
      <c r="WL395" s="457"/>
      <c r="WM395" s="457"/>
      <c r="WN395" s="457"/>
      <c r="WO395" s="457"/>
      <c r="WP395" s="457"/>
      <c r="WQ395" s="457"/>
      <c r="WR395" s="457"/>
      <c r="WS395" s="457"/>
      <c r="WT395" s="457"/>
      <c r="WU395" s="457"/>
      <c r="WV395" s="457"/>
      <c r="WW395" s="457"/>
      <c r="WX395" s="457"/>
      <c r="WY395" s="457"/>
      <c r="WZ395" s="457"/>
      <c r="XA395" s="457"/>
      <c r="XB395" s="457"/>
      <c r="XC395" s="457"/>
      <c r="XD395" s="457"/>
      <c r="XE395" s="457"/>
      <c r="XF395" s="457"/>
      <c r="XG395" s="457"/>
      <c r="XH395" s="457"/>
      <c r="XI395" s="457"/>
      <c r="XJ395" s="457"/>
      <c r="XK395" s="457"/>
      <c r="XL395" s="457"/>
      <c r="XM395" s="457"/>
      <c r="XN395" s="457"/>
      <c r="XO395" s="457"/>
      <c r="XP395" s="457"/>
      <c r="XQ395" s="457"/>
      <c r="XR395" s="457"/>
      <c r="XS395" s="457"/>
      <c r="XT395" s="457"/>
      <c r="XU395" s="457"/>
      <c r="XV395" s="457"/>
      <c r="XW395" s="457"/>
      <c r="XX395" s="457"/>
      <c r="XY395" s="457"/>
      <c r="XZ395" s="457"/>
      <c r="YA395" s="457"/>
      <c r="YB395" s="457"/>
      <c r="YC395" s="457"/>
      <c r="YD395" s="457"/>
      <c r="YE395" s="457"/>
      <c r="YF395" s="457"/>
      <c r="YG395" s="457"/>
      <c r="YH395" s="457"/>
      <c r="YI395" s="457"/>
      <c r="YJ395" s="457"/>
      <c r="YK395" s="457"/>
      <c r="YL395" s="457"/>
      <c r="YM395" s="457"/>
      <c r="YN395" s="457"/>
      <c r="YO395" s="457"/>
      <c r="YP395" s="457"/>
      <c r="YQ395" s="457"/>
      <c r="YR395" s="457"/>
      <c r="YS395" s="457"/>
      <c r="YT395" s="457"/>
      <c r="YU395" s="457"/>
      <c r="YV395" s="457"/>
      <c r="YW395" s="457"/>
      <c r="YX395" s="457"/>
      <c r="YY395" s="457"/>
      <c r="YZ395" s="457"/>
      <c r="ZA395" s="457"/>
      <c r="ZB395" s="457"/>
      <c r="ZC395" s="457"/>
      <c r="ZD395" s="457"/>
      <c r="ZE395" s="457"/>
      <c r="ZF395" s="457"/>
      <c r="ZG395" s="457"/>
      <c r="ZH395" s="457"/>
      <c r="ZI395" s="457"/>
      <c r="ZJ395" s="457"/>
      <c r="ZK395" s="457"/>
      <c r="ZL395" s="457"/>
      <c r="ZM395" s="457"/>
      <c r="ZN395" s="457"/>
      <c r="ZO395" s="457"/>
      <c r="ZP395" s="457"/>
      <c r="ZQ395" s="457"/>
      <c r="ZR395" s="457"/>
      <c r="ZS395" s="457"/>
      <c r="ZT395" s="457"/>
      <c r="ZU395" s="457"/>
      <c r="ZV395" s="457"/>
      <c r="ZW395" s="457"/>
      <c r="ZX395" s="457"/>
      <c r="ZY395" s="457"/>
      <c r="ZZ395" s="457"/>
      <c r="AAA395" s="457"/>
      <c r="AAB395" s="457"/>
      <c r="AAC395" s="457"/>
      <c r="AAD395" s="457"/>
      <c r="AAE395" s="457"/>
      <c r="AAF395" s="457"/>
      <c r="AAG395" s="457"/>
      <c r="AAH395" s="457"/>
      <c r="AAI395" s="457"/>
      <c r="AAJ395" s="457"/>
      <c r="AAK395" s="457"/>
      <c r="AAL395" s="457"/>
      <c r="AAM395" s="457"/>
      <c r="AAN395" s="457"/>
      <c r="AAO395" s="457"/>
      <c r="AAP395" s="457"/>
      <c r="AAQ395" s="457"/>
      <c r="AAR395" s="457"/>
      <c r="AAS395" s="457"/>
      <c r="AAT395" s="457"/>
      <c r="AAU395" s="457"/>
      <c r="AAV395" s="457"/>
      <c r="AAW395" s="457"/>
      <c r="AAX395" s="457"/>
      <c r="AAY395" s="457"/>
      <c r="AAZ395" s="457"/>
      <c r="ABA395" s="457"/>
      <c r="ABB395" s="457"/>
      <c r="ABC395" s="457"/>
      <c r="ABD395" s="457"/>
      <c r="ABE395" s="457"/>
      <c r="ABF395" s="457"/>
      <c r="ABG395" s="457"/>
      <c r="ABH395" s="457"/>
      <c r="ABI395" s="457"/>
      <c r="ABJ395" s="457"/>
      <c r="ABK395" s="457"/>
      <c r="ABL395" s="457"/>
      <c r="ABM395" s="457"/>
      <c r="ABN395" s="457"/>
      <c r="ABO395" s="457"/>
      <c r="ABP395" s="457"/>
      <c r="ABQ395" s="457"/>
      <c r="ABR395" s="457"/>
      <c r="ABS395" s="457"/>
      <c r="ABT395" s="457"/>
      <c r="ABU395" s="457"/>
      <c r="ABV395" s="457"/>
      <c r="ABW395" s="457"/>
      <c r="ABX395" s="457"/>
      <c r="ABY395" s="457"/>
      <c r="ABZ395" s="457"/>
      <c r="ACA395" s="457"/>
      <c r="ACB395" s="457"/>
      <c r="ACC395" s="457"/>
      <c r="ACD395" s="457"/>
      <c r="ACE395" s="457"/>
      <c r="ACF395" s="457"/>
      <c r="ACG395" s="457"/>
      <c r="ACH395" s="457"/>
      <c r="ACI395" s="457"/>
      <c r="ACJ395" s="457"/>
      <c r="ACK395" s="457"/>
      <c r="ACL395" s="457"/>
      <c r="ACM395" s="457"/>
      <c r="ACN395" s="457"/>
      <c r="ACO395" s="457"/>
      <c r="ACP395" s="457"/>
      <c r="ACQ395" s="457"/>
      <c r="ACR395" s="457"/>
      <c r="ACS395" s="457"/>
      <c r="ACT395" s="457"/>
      <c r="ACU395" s="457"/>
      <c r="ACV395" s="457"/>
    </row>
    <row r="396" spans="1:776" s="400" customFormat="1" x14ac:dyDescent="0.25">
      <c r="A396" s="470">
        <v>900109</v>
      </c>
      <c r="B396" s="237" t="s">
        <v>243</v>
      </c>
      <c r="C396" s="455"/>
      <c r="D396" s="454" t="s">
        <v>244</v>
      </c>
      <c r="E396" s="466">
        <v>0.82</v>
      </c>
      <c r="F396" s="455">
        <v>5.4</v>
      </c>
      <c r="G396" s="34">
        <v>0.01</v>
      </c>
      <c r="H396" s="456">
        <v>0.6</v>
      </c>
      <c r="I396" s="456">
        <v>117.3</v>
      </c>
      <c r="J396" s="458">
        <v>60.2</v>
      </c>
      <c r="K396" s="458">
        <v>0.01</v>
      </c>
      <c r="L396" s="458">
        <v>196.8</v>
      </c>
      <c r="M396" s="34">
        <v>0.01</v>
      </c>
      <c r="N396" s="454">
        <v>1.82</v>
      </c>
      <c r="O396" s="454">
        <v>97.69</v>
      </c>
      <c r="P396" s="454">
        <v>43.22</v>
      </c>
      <c r="Q396" s="454">
        <v>21.32</v>
      </c>
      <c r="R396" s="467">
        <v>0.01</v>
      </c>
      <c r="S396" s="465">
        <v>0.01</v>
      </c>
      <c r="T396" s="467">
        <v>0.01</v>
      </c>
      <c r="U396" s="467">
        <v>0.01</v>
      </c>
      <c r="V396" s="454"/>
      <c r="W396" s="457"/>
      <c r="X396" s="457"/>
      <c r="Y396" s="457"/>
      <c r="Z396" s="457"/>
      <c r="AA396" s="457"/>
      <c r="AB396" s="457"/>
      <c r="AC396" s="457"/>
      <c r="AD396" s="457"/>
      <c r="AE396" s="457"/>
      <c r="AF396" s="457"/>
      <c r="AG396" s="457"/>
      <c r="AH396" s="457"/>
      <c r="AI396" s="457"/>
      <c r="AJ396" s="457"/>
      <c r="AK396" s="457"/>
      <c r="AL396" s="457"/>
      <c r="AM396" s="457"/>
      <c r="AN396" s="457"/>
      <c r="AO396" s="457"/>
      <c r="AP396" s="457"/>
      <c r="AQ396" s="457"/>
      <c r="AR396" s="457"/>
      <c r="AS396" s="457"/>
      <c r="AT396" s="457"/>
      <c r="AU396" s="457"/>
      <c r="AV396" s="457"/>
      <c r="AW396" s="457"/>
      <c r="AX396" s="457"/>
      <c r="AY396" s="457"/>
      <c r="AZ396" s="457"/>
      <c r="BA396" s="457"/>
      <c r="BB396" s="457"/>
      <c r="BC396" s="457"/>
      <c r="BD396" s="457"/>
      <c r="BE396" s="457"/>
      <c r="BF396" s="457"/>
      <c r="BG396" s="457"/>
      <c r="BH396" s="457"/>
      <c r="BI396" s="457"/>
      <c r="BJ396" s="457"/>
      <c r="BK396" s="457"/>
      <c r="BL396" s="457"/>
      <c r="BM396" s="457"/>
      <c r="BN396" s="457"/>
      <c r="BO396" s="457"/>
      <c r="BP396" s="457"/>
      <c r="BQ396" s="457"/>
      <c r="BR396" s="457"/>
      <c r="BS396" s="457"/>
      <c r="BT396" s="457"/>
      <c r="BU396" s="457"/>
      <c r="BV396" s="457"/>
      <c r="BW396" s="457"/>
      <c r="BX396" s="457"/>
      <c r="BY396" s="457"/>
      <c r="BZ396" s="457"/>
      <c r="CA396" s="457"/>
      <c r="CB396" s="457"/>
      <c r="CC396" s="457"/>
      <c r="CD396" s="457"/>
      <c r="CE396" s="457"/>
      <c r="CF396" s="457"/>
      <c r="CG396" s="457"/>
      <c r="CH396" s="457"/>
      <c r="CI396" s="457"/>
      <c r="CJ396" s="457"/>
      <c r="CK396" s="457"/>
      <c r="CL396" s="457"/>
      <c r="CM396" s="457"/>
      <c r="CN396" s="457"/>
      <c r="CO396" s="457"/>
      <c r="CP396" s="457"/>
      <c r="CQ396" s="457"/>
      <c r="CR396" s="457"/>
      <c r="CS396" s="457"/>
      <c r="CT396" s="457"/>
      <c r="CU396" s="457"/>
      <c r="CV396" s="457"/>
      <c r="CW396" s="457"/>
      <c r="CX396" s="457"/>
      <c r="CY396" s="457"/>
      <c r="CZ396" s="457"/>
      <c r="DA396" s="457"/>
      <c r="DB396" s="457"/>
      <c r="DC396" s="457"/>
      <c r="DD396" s="457"/>
      <c r="DE396" s="457"/>
      <c r="DF396" s="457"/>
      <c r="DG396" s="457"/>
      <c r="DH396" s="457"/>
      <c r="DI396" s="457"/>
      <c r="DJ396" s="457"/>
      <c r="DK396" s="457"/>
      <c r="DL396" s="457"/>
      <c r="DM396" s="457"/>
      <c r="DN396" s="457"/>
      <c r="DO396" s="457"/>
      <c r="DP396" s="457"/>
      <c r="DQ396" s="457"/>
      <c r="DR396" s="457"/>
      <c r="DS396" s="457"/>
      <c r="DT396" s="457"/>
      <c r="DU396" s="457"/>
      <c r="DV396" s="457"/>
      <c r="DW396" s="457"/>
      <c r="DX396" s="457"/>
      <c r="DY396" s="457"/>
      <c r="DZ396" s="457"/>
      <c r="EA396" s="457"/>
      <c r="EB396" s="457"/>
      <c r="EC396" s="457"/>
      <c r="ED396" s="457"/>
      <c r="EE396" s="457"/>
      <c r="EF396" s="457"/>
      <c r="EG396" s="457"/>
      <c r="EH396" s="457"/>
      <c r="EI396" s="457"/>
      <c r="EJ396" s="457"/>
      <c r="EK396" s="457"/>
      <c r="EL396" s="457"/>
      <c r="EM396" s="457"/>
      <c r="EN396" s="457"/>
      <c r="EO396" s="457"/>
      <c r="EP396" s="457"/>
      <c r="EQ396" s="457"/>
      <c r="ER396" s="457"/>
      <c r="ES396" s="457"/>
      <c r="ET396" s="457"/>
      <c r="EU396" s="457"/>
      <c r="EV396" s="457"/>
      <c r="EW396" s="457"/>
      <c r="EX396" s="457"/>
      <c r="EY396" s="457"/>
      <c r="EZ396" s="457"/>
      <c r="FA396" s="457"/>
      <c r="FB396" s="457"/>
      <c r="FC396" s="457"/>
      <c r="FD396" s="457"/>
      <c r="FE396" s="457"/>
      <c r="FF396" s="457"/>
      <c r="FG396" s="457"/>
      <c r="FH396" s="457"/>
      <c r="FI396" s="457"/>
      <c r="FJ396" s="457"/>
      <c r="FK396" s="457"/>
      <c r="FL396" s="457"/>
      <c r="FM396" s="457"/>
      <c r="FN396" s="457"/>
      <c r="FO396" s="457"/>
      <c r="FP396" s="457"/>
      <c r="FQ396" s="457"/>
      <c r="FR396" s="457"/>
      <c r="FS396" s="457"/>
      <c r="FT396" s="457"/>
      <c r="FU396" s="457"/>
      <c r="FV396" s="457"/>
      <c r="FW396" s="457"/>
      <c r="FX396" s="457"/>
      <c r="FY396" s="457"/>
      <c r="FZ396" s="457"/>
      <c r="GA396" s="457"/>
      <c r="GB396" s="457"/>
      <c r="GC396" s="457"/>
      <c r="GD396" s="457"/>
      <c r="GE396" s="457"/>
      <c r="GF396" s="457"/>
      <c r="GG396" s="457"/>
      <c r="GH396" s="457"/>
      <c r="GI396" s="457"/>
      <c r="GJ396" s="457"/>
      <c r="GK396" s="457"/>
      <c r="GL396" s="457"/>
      <c r="GM396" s="457"/>
      <c r="GN396" s="457"/>
      <c r="GO396" s="457"/>
      <c r="GP396" s="457"/>
      <c r="GQ396" s="457"/>
      <c r="GR396" s="457"/>
      <c r="GS396" s="457"/>
      <c r="GT396" s="457"/>
      <c r="GU396" s="457"/>
      <c r="GV396" s="457"/>
      <c r="GW396" s="457"/>
      <c r="GX396" s="457"/>
      <c r="GY396" s="457"/>
      <c r="GZ396" s="457"/>
      <c r="HA396" s="457"/>
      <c r="HB396" s="457"/>
      <c r="HC396" s="457"/>
      <c r="HD396" s="457"/>
      <c r="HE396" s="457"/>
      <c r="HF396" s="457"/>
      <c r="HG396" s="457"/>
      <c r="HH396" s="457"/>
      <c r="HI396" s="457"/>
      <c r="HJ396" s="457"/>
      <c r="HK396" s="457"/>
      <c r="HL396" s="457"/>
      <c r="HM396" s="457"/>
      <c r="HN396" s="457"/>
      <c r="HO396" s="457"/>
      <c r="HP396" s="457"/>
      <c r="HQ396" s="457"/>
      <c r="HR396" s="457"/>
      <c r="HS396" s="457"/>
      <c r="HT396" s="457"/>
      <c r="HU396" s="457"/>
      <c r="HV396" s="457"/>
      <c r="HW396" s="457"/>
      <c r="HX396" s="457"/>
      <c r="HY396" s="457"/>
      <c r="HZ396" s="457"/>
      <c r="IA396" s="457"/>
      <c r="IB396" s="457"/>
      <c r="IC396" s="457"/>
      <c r="ID396" s="457"/>
      <c r="IE396" s="457"/>
      <c r="IF396" s="457"/>
      <c r="IG396" s="457"/>
      <c r="IH396" s="457"/>
      <c r="II396" s="457"/>
      <c r="IJ396" s="457"/>
      <c r="IK396" s="457"/>
      <c r="IL396" s="457"/>
      <c r="IM396" s="457"/>
      <c r="IN396" s="457"/>
      <c r="IO396" s="457"/>
      <c r="IP396" s="457"/>
      <c r="IQ396" s="457"/>
      <c r="IR396" s="457"/>
      <c r="IS396" s="457"/>
      <c r="IT396" s="457"/>
      <c r="IU396" s="457"/>
      <c r="IV396" s="457"/>
      <c r="IW396" s="457"/>
      <c r="IX396" s="457"/>
      <c r="IY396" s="457"/>
      <c r="IZ396" s="457"/>
      <c r="JA396" s="457"/>
      <c r="JB396" s="457"/>
      <c r="JC396" s="457"/>
      <c r="JD396" s="457"/>
      <c r="JE396" s="457"/>
      <c r="JF396" s="457"/>
      <c r="JG396" s="457"/>
      <c r="JH396" s="457"/>
      <c r="JI396" s="457"/>
      <c r="JJ396" s="457"/>
      <c r="JK396" s="457"/>
      <c r="JL396" s="457"/>
      <c r="JM396" s="457"/>
      <c r="JN396" s="457"/>
      <c r="JO396" s="457"/>
      <c r="JP396" s="457"/>
      <c r="JQ396" s="457"/>
      <c r="JR396" s="457"/>
      <c r="JS396" s="457"/>
      <c r="JT396" s="457"/>
      <c r="JU396" s="457"/>
      <c r="JV396" s="457"/>
      <c r="JW396" s="457"/>
      <c r="JX396" s="457"/>
      <c r="JY396" s="457"/>
      <c r="JZ396" s="457"/>
      <c r="KA396" s="457"/>
      <c r="KB396" s="457"/>
      <c r="KC396" s="457"/>
      <c r="KD396" s="457"/>
      <c r="KE396" s="457"/>
      <c r="KF396" s="457"/>
      <c r="KG396" s="457"/>
      <c r="KH396" s="457"/>
      <c r="KI396" s="457"/>
      <c r="KJ396" s="457"/>
      <c r="KK396" s="457"/>
      <c r="KL396" s="457"/>
      <c r="KM396" s="457"/>
      <c r="KN396" s="457"/>
      <c r="KO396" s="457"/>
      <c r="KP396" s="457"/>
      <c r="KQ396" s="457"/>
      <c r="KR396" s="457"/>
      <c r="KS396" s="457"/>
      <c r="KT396" s="457"/>
      <c r="KU396" s="457"/>
      <c r="KV396" s="457"/>
      <c r="KW396" s="457"/>
      <c r="KX396" s="457"/>
      <c r="KY396" s="457"/>
      <c r="KZ396" s="457"/>
      <c r="LA396" s="457"/>
      <c r="LB396" s="457"/>
      <c r="LC396" s="457"/>
      <c r="LD396" s="457"/>
      <c r="LE396" s="457"/>
      <c r="LF396" s="457"/>
      <c r="LG396" s="457"/>
      <c r="LH396" s="457"/>
      <c r="LI396" s="457"/>
      <c r="LJ396" s="457"/>
      <c r="LK396" s="457"/>
      <c r="LL396" s="457"/>
      <c r="LM396" s="457"/>
      <c r="LN396" s="457"/>
      <c r="LO396" s="457"/>
      <c r="LP396" s="457"/>
      <c r="LQ396" s="457"/>
      <c r="LR396" s="457"/>
      <c r="LS396" s="457"/>
      <c r="LT396" s="457"/>
      <c r="LU396" s="457"/>
      <c r="LV396" s="457"/>
      <c r="LW396" s="457"/>
      <c r="LX396" s="457"/>
      <c r="LY396" s="457"/>
      <c r="LZ396" s="457"/>
      <c r="MA396" s="457"/>
      <c r="MB396" s="457"/>
      <c r="MC396" s="457"/>
      <c r="MD396" s="457"/>
      <c r="ME396" s="457"/>
      <c r="MF396" s="457"/>
      <c r="MG396" s="457"/>
      <c r="MH396" s="457"/>
      <c r="MI396" s="457"/>
      <c r="MJ396" s="457"/>
      <c r="MK396" s="457"/>
      <c r="ML396" s="457"/>
      <c r="MM396" s="457"/>
      <c r="MN396" s="457"/>
      <c r="MO396" s="457"/>
      <c r="MP396" s="457"/>
      <c r="MQ396" s="457"/>
      <c r="MR396" s="457"/>
      <c r="MS396" s="457"/>
      <c r="MT396" s="457"/>
      <c r="MU396" s="457"/>
      <c r="MV396" s="457"/>
      <c r="MW396" s="457"/>
      <c r="MX396" s="457"/>
      <c r="MY396" s="457"/>
      <c r="MZ396" s="457"/>
      <c r="NA396" s="457"/>
      <c r="NB396" s="457"/>
      <c r="NC396" s="457"/>
      <c r="ND396" s="457"/>
      <c r="NE396" s="457"/>
      <c r="NF396" s="457"/>
      <c r="NG396" s="457"/>
      <c r="NH396" s="457"/>
      <c r="NI396" s="457"/>
      <c r="NJ396" s="457"/>
      <c r="NK396" s="457"/>
      <c r="NL396" s="457"/>
      <c r="NM396" s="457"/>
      <c r="NN396" s="457"/>
      <c r="NO396" s="457"/>
      <c r="NP396" s="457"/>
      <c r="NQ396" s="457"/>
      <c r="NR396" s="457"/>
      <c r="NS396" s="457"/>
      <c r="NT396" s="457"/>
      <c r="NU396" s="457"/>
      <c r="NV396" s="457"/>
      <c r="NW396" s="457"/>
      <c r="NX396" s="457"/>
      <c r="NY396" s="457"/>
      <c r="NZ396" s="457"/>
      <c r="OA396" s="457"/>
      <c r="OB396" s="457"/>
      <c r="OC396" s="457"/>
      <c r="OD396" s="457"/>
      <c r="OE396" s="457"/>
      <c r="OF396" s="457"/>
      <c r="OG396" s="457"/>
      <c r="OH396" s="457"/>
      <c r="OI396" s="457"/>
      <c r="OJ396" s="457"/>
      <c r="OK396" s="457"/>
      <c r="OL396" s="457"/>
      <c r="OM396" s="457"/>
      <c r="ON396" s="457"/>
      <c r="OO396" s="457"/>
      <c r="OP396" s="457"/>
      <c r="OQ396" s="457"/>
      <c r="OR396" s="457"/>
      <c r="OS396" s="457"/>
      <c r="OT396" s="457"/>
      <c r="OU396" s="457"/>
      <c r="OV396" s="457"/>
      <c r="OW396" s="457"/>
      <c r="OX396" s="457"/>
      <c r="OY396" s="457"/>
      <c r="OZ396" s="457"/>
      <c r="PA396" s="457"/>
      <c r="PB396" s="457"/>
      <c r="PC396" s="457"/>
      <c r="PD396" s="457"/>
      <c r="PE396" s="457"/>
      <c r="PF396" s="457"/>
      <c r="PG396" s="457"/>
      <c r="PH396" s="457"/>
      <c r="PI396" s="457"/>
      <c r="PJ396" s="457"/>
      <c r="PK396" s="457"/>
      <c r="PL396" s="457"/>
      <c r="PM396" s="457"/>
      <c r="PN396" s="457"/>
      <c r="PO396" s="457"/>
      <c r="PP396" s="457"/>
      <c r="PQ396" s="457"/>
      <c r="PR396" s="457"/>
      <c r="PS396" s="457"/>
      <c r="PT396" s="457"/>
      <c r="PU396" s="457"/>
      <c r="PV396" s="457"/>
      <c r="PW396" s="457"/>
      <c r="PX396" s="457"/>
      <c r="PY396" s="457"/>
      <c r="PZ396" s="457"/>
      <c r="QA396" s="457"/>
      <c r="QB396" s="457"/>
      <c r="QC396" s="457"/>
      <c r="QD396" s="457"/>
      <c r="QE396" s="457"/>
      <c r="QF396" s="457"/>
      <c r="QG396" s="457"/>
      <c r="QH396" s="457"/>
      <c r="QI396" s="457"/>
      <c r="QJ396" s="457"/>
      <c r="QK396" s="457"/>
      <c r="QL396" s="457"/>
      <c r="QM396" s="457"/>
      <c r="QN396" s="457"/>
      <c r="QO396" s="457"/>
      <c r="QP396" s="457"/>
      <c r="QQ396" s="457"/>
      <c r="QR396" s="457"/>
      <c r="QS396" s="457"/>
      <c r="QT396" s="457"/>
      <c r="QU396" s="457"/>
      <c r="QV396" s="457"/>
      <c r="QW396" s="457"/>
      <c r="QX396" s="457"/>
      <c r="QY396" s="457"/>
      <c r="QZ396" s="457"/>
      <c r="RA396" s="457"/>
      <c r="RB396" s="457"/>
      <c r="RC396" s="457"/>
      <c r="RD396" s="457"/>
      <c r="RE396" s="457"/>
      <c r="RF396" s="457"/>
      <c r="RG396" s="457"/>
      <c r="RH396" s="457"/>
      <c r="RI396" s="457"/>
      <c r="RJ396" s="457"/>
      <c r="RK396" s="457"/>
      <c r="RL396" s="457"/>
      <c r="RM396" s="457"/>
      <c r="RN396" s="457"/>
      <c r="RO396" s="457"/>
      <c r="RP396" s="457"/>
      <c r="RQ396" s="457"/>
      <c r="RR396" s="457"/>
      <c r="RS396" s="457"/>
      <c r="RT396" s="457"/>
      <c r="RU396" s="457"/>
      <c r="RV396" s="457"/>
      <c r="RW396" s="457"/>
      <c r="RX396" s="457"/>
      <c r="RY396" s="457"/>
      <c r="RZ396" s="457"/>
      <c r="SA396" s="457"/>
      <c r="SB396" s="457"/>
      <c r="SC396" s="457"/>
      <c r="SD396" s="457"/>
      <c r="SE396" s="457"/>
      <c r="SF396" s="457"/>
      <c r="SG396" s="457"/>
      <c r="SH396" s="457"/>
      <c r="SI396" s="457"/>
      <c r="SJ396" s="457"/>
      <c r="SK396" s="457"/>
      <c r="SL396" s="457"/>
      <c r="SM396" s="457"/>
      <c r="SN396" s="457"/>
      <c r="SO396" s="457"/>
      <c r="SP396" s="457"/>
      <c r="SQ396" s="457"/>
      <c r="SR396" s="457"/>
      <c r="SS396" s="457"/>
      <c r="ST396" s="457"/>
      <c r="SU396" s="457"/>
      <c r="SV396" s="457"/>
      <c r="SW396" s="457"/>
      <c r="SX396" s="457"/>
      <c r="SY396" s="457"/>
      <c r="SZ396" s="457"/>
      <c r="TA396" s="457"/>
      <c r="TB396" s="457"/>
      <c r="TC396" s="457"/>
      <c r="TD396" s="457"/>
      <c r="TE396" s="457"/>
      <c r="TF396" s="457"/>
      <c r="TG396" s="457"/>
      <c r="TH396" s="457"/>
      <c r="TI396" s="457"/>
      <c r="TJ396" s="457"/>
      <c r="TK396" s="457"/>
      <c r="TL396" s="457"/>
      <c r="TM396" s="457"/>
      <c r="TN396" s="457"/>
      <c r="TO396" s="457"/>
      <c r="TP396" s="457"/>
      <c r="TQ396" s="457"/>
      <c r="TR396" s="457"/>
      <c r="TS396" s="457"/>
      <c r="TT396" s="457"/>
      <c r="TU396" s="457"/>
      <c r="TV396" s="457"/>
      <c r="TW396" s="457"/>
      <c r="TX396" s="457"/>
      <c r="TY396" s="457"/>
      <c r="TZ396" s="457"/>
      <c r="UA396" s="457"/>
      <c r="UB396" s="457"/>
      <c r="UC396" s="457"/>
      <c r="UD396" s="457"/>
      <c r="UE396" s="457"/>
      <c r="UF396" s="457"/>
      <c r="UG396" s="457"/>
      <c r="UH396" s="457"/>
      <c r="UI396" s="457"/>
      <c r="UJ396" s="457"/>
      <c r="UK396" s="457"/>
      <c r="UL396" s="457"/>
      <c r="UM396" s="457"/>
      <c r="UN396" s="457"/>
      <c r="UO396" s="457"/>
      <c r="UP396" s="457"/>
      <c r="UQ396" s="457"/>
      <c r="UR396" s="457"/>
      <c r="US396" s="457"/>
      <c r="UT396" s="457"/>
      <c r="UU396" s="457"/>
      <c r="UV396" s="457"/>
      <c r="UW396" s="457"/>
      <c r="UX396" s="457"/>
      <c r="UY396" s="457"/>
      <c r="UZ396" s="457"/>
      <c r="VA396" s="457"/>
      <c r="VB396" s="457"/>
      <c r="VC396" s="457"/>
      <c r="VD396" s="457"/>
      <c r="VE396" s="457"/>
      <c r="VF396" s="457"/>
      <c r="VG396" s="457"/>
      <c r="VH396" s="457"/>
      <c r="VI396" s="457"/>
      <c r="VJ396" s="457"/>
      <c r="VK396" s="457"/>
      <c r="VL396" s="457"/>
      <c r="VM396" s="457"/>
      <c r="VN396" s="457"/>
      <c r="VO396" s="457"/>
      <c r="VP396" s="457"/>
      <c r="VQ396" s="457"/>
      <c r="VR396" s="457"/>
      <c r="VS396" s="457"/>
      <c r="VT396" s="457"/>
      <c r="VU396" s="457"/>
      <c r="VV396" s="457"/>
      <c r="VW396" s="457"/>
      <c r="VX396" s="457"/>
      <c r="VY396" s="457"/>
      <c r="VZ396" s="457"/>
      <c r="WA396" s="457"/>
      <c r="WB396" s="457"/>
      <c r="WC396" s="457"/>
      <c r="WD396" s="457"/>
      <c r="WE396" s="457"/>
      <c r="WF396" s="457"/>
      <c r="WG396" s="457"/>
      <c r="WH396" s="457"/>
      <c r="WI396" s="457"/>
      <c r="WJ396" s="457"/>
      <c r="WK396" s="457"/>
      <c r="WL396" s="457"/>
      <c r="WM396" s="457"/>
      <c r="WN396" s="457"/>
      <c r="WO396" s="457"/>
      <c r="WP396" s="457"/>
      <c r="WQ396" s="457"/>
      <c r="WR396" s="457"/>
      <c r="WS396" s="457"/>
      <c r="WT396" s="457"/>
      <c r="WU396" s="457"/>
      <c r="WV396" s="457"/>
      <c r="WW396" s="457"/>
      <c r="WX396" s="457"/>
      <c r="WY396" s="457"/>
      <c r="WZ396" s="457"/>
      <c r="XA396" s="457"/>
      <c r="XB396" s="457"/>
      <c r="XC396" s="457"/>
      <c r="XD396" s="457"/>
      <c r="XE396" s="457"/>
      <c r="XF396" s="457"/>
      <c r="XG396" s="457"/>
      <c r="XH396" s="457"/>
      <c r="XI396" s="457"/>
      <c r="XJ396" s="457"/>
      <c r="XK396" s="457"/>
      <c r="XL396" s="457"/>
      <c r="XM396" s="457"/>
      <c r="XN396" s="457"/>
      <c r="XO396" s="457"/>
      <c r="XP396" s="457"/>
      <c r="XQ396" s="457"/>
      <c r="XR396" s="457"/>
      <c r="XS396" s="457"/>
      <c r="XT396" s="457"/>
      <c r="XU396" s="457"/>
      <c r="XV396" s="457"/>
      <c r="XW396" s="457"/>
      <c r="XX396" s="457"/>
      <c r="XY396" s="457"/>
      <c r="XZ396" s="457"/>
      <c r="YA396" s="457"/>
      <c r="YB396" s="457"/>
      <c r="YC396" s="457"/>
      <c r="YD396" s="457"/>
      <c r="YE396" s="457"/>
      <c r="YF396" s="457"/>
      <c r="YG396" s="457"/>
      <c r="YH396" s="457"/>
      <c r="YI396" s="457"/>
      <c r="YJ396" s="457"/>
      <c r="YK396" s="457"/>
      <c r="YL396" s="457"/>
      <c r="YM396" s="457"/>
      <c r="YN396" s="457"/>
      <c r="YO396" s="457"/>
      <c r="YP396" s="457"/>
      <c r="YQ396" s="457"/>
      <c r="YR396" s="457"/>
      <c r="YS396" s="457"/>
      <c r="YT396" s="457"/>
      <c r="YU396" s="457"/>
      <c r="YV396" s="457"/>
      <c r="YW396" s="457"/>
      <c r="YX396" s="457"/>
      <c r="YY396" s="457"/>
      <c r="YZ396" s="457"/>
      <c r="ZA396" s="457"/>
      <c r="ZB396" s="457"/>
      <c r="ZC396" s="457"/>
      <c r="ZD396" s="457"/>
      <c r="ZE396" s="457"/>
      <c r="ZF396" s="457"/>
      <c r="ZG396" s="457"/>
      <c r="ZH396" s="457"/>
      <c r="ZI396" s="457"/>
      <c r="ZJ396" s="457"/>
      <c r="ZK396" s="457"/>
      <c r="ZL396" s="457"/>
      <c r="ZM396" s="457"/>
      <c r="ZN396" s="457"/>
      <c r="ZO396" s="457"/>
      <c r="ZP396" s="457"/>
      <c r="ZQ396" s="457"/>
      <c r="ZR396" s="457"/>
      <c r="ZS396" s="457"/>
      <c r="ZT396" s="457"/>
      <c r="ZU396" s="457"/>
      <c r="ZV396" s="457"/>
      <c r="ZW396" s="457"/>
      <c r="ZX396" s="457"/>
      <c r="ZY396" s="457"/>
      <c r="ZZ396" s="457"/>
      <c r="AAA396" s="457"/>
      <c r="AAB396" s="457"/>
      <c r="AAC396" s="457"/>
      <c r="AAD396" s="457"/>
      <c r="AAE396" s="457"/>
      <c r="AAF396" s="457"/>
      <c r="AAG396" s="457"/>
      <c r="AAH396" s="457"/>
      <c r="AAI396" s="457"/>
      <c r="AAJ396" s="457"/>
      <c r="AAK396" s="457"/>
      <c r="AAL396" s="457"/>
      <c r="AAM396" s="457"/>
      <c r="AAN396" s="457"/>
      <c r="AAO396" s="457"/>
      <c r="AAP396" s="457"/>
      <c r="AAQ396" s="457"/>
      <c r="AAR396" s="457"/>
      <c r="AAS396" s="457"/>
      <c r="AAT396" s="457"/>
      <c r="AAU396" s="457"/>
      <c r="AAV396" s="457"/>
      <c r="AAW396" s="457"/>
      <c r="AAX396" s="457"/>
      <c r="AAY396" s="457"/>
      <c r="AAZ396" s="457"/>
      <c r="ABA396" s="457"/>
      <c r="ABB396" s="457"/>
      <c r="ABC396" s="457"/>
      <c r="ABD396" s="457"/>
      <c r="ABE396" s="457"/>
      <c r="ABF396" s="457"/>
      <c r="ABG396" s="457"/>
      <c r="ABH396" s="457"/>
      <c r="ABI396" s="457"/>
      <c r="ABJ396" s="457"/>
      <c r="ABK396" s="457"/>
      <c r="ABL396" s="457"/>
      <c r="ABM396" s="457"/>
      <c r="ABN396" s="457"/>
      <c r="ABO396" s="457"/>
      <c r="ABP396" s="457"/>
      <c r="ABQ396" s="457"/>
      <c r="ABR396" s="457"/>
      <c r="ABS396" s="457"/>
      <c r="ABT396" s="457"/>
      <c r="ABU396" s="457"/>
      <c r="ABV396" s="457"/>
      <c r="ABW396" s="457"/>
      <c r="ABX396" s="457"/>
      <c r="ABY396" s="457"/>
      <c r="ABZ396" s="457"/>
      <c r="ACA396" s="457"/>
      <c r="ACB396" s="457"/>
      <c r="ACC396" s="457"/>
      <c r="ACD396" s="457"/>
      <c r="ACE396" s="457"/>
      <c r="ACF396" s="457"/>
      <c r="ACG396" s="457"/>
      <c r="ACH396" s="457"/>
      <c r="ACI396" s="457"/>
      <c r="ACJ396" s="457"/>
      <c r="ACK396" s="457"/>
      <c r="ACL396" s="457"/>
      <c r="ACM396" s="457"/>
      <c r="ACN396" s="457"/>
      <c r="ACO396" s="457"/>
      <c r="ACP396" s="457"/>
      <c r="ACQ396" s="457"/>
      <c r="ACR396" s="457"/>
      <c r="ACS396" s="457"/>
      <c r="ACT396" s="457"/>
      <c r="ACU396" s="457"/>
      <c r="ACV396" s="457"/>
    </row>
    <row r="397" spans="1:776" s="400" customFormat="1" x14ac:dyDescent="0.25">
      <c r="A397" s="470">
        <v>900110</v>
      </c>
      <c r="B397" s="237" t="s">
        <v>245</v>
      </c>
      <c r="C397" s="455"/>
      <c r="D397" s="454" t="s">
        <v>246</v>
      </c>
      <c r="E397" s="466">
        <v>0.85</v>
      </c>
      <c r="F397" s="455">
        <v>11.2</v>
      </c>
      <c r="G397" s="34">
        <v>0.01</v>
      </c>
      <c r="H397" s="456">
        <v>0.1</v>
      </c>
      <c r="I397" s="456">
        <v>58.5</v>
      </c>
      <c r="J397" s="458">
        <v>197.9</v>
      </c>
      <c r="K397" s="458">
        <v>0.01</v>
      </c>
      <c r="L397" s="458">
        <v>244.8</v>
      </c>
      <c r="M397" s="34">
        <v>0.01</v>
      </c>
      <c r="N397" s="454">
        <v>0.84</v>
      </c>
      <c r="O397" s="454">
        <v>28.7</v>
      </c>
      <c r="P397" s="454">
        <v>102.84</v>
      </c>
      <c r="Q397" s="454">
        <v>27.12</v>
      </c>
      <c r="R397" s="467">
        <v>0.01</v>
      </c>
      <c r="S397" s="465">
        <v>0.01</v>
      </c>
      <c r="T397" s="467">
        <v>0.01</v>
      </c>
      <c r="U397" s="467">
        <v>0.01</v>
      </c>
      <c r="V397" s="454"/>
      <c r="W397" s="457"/>
      <c r="X397" s="457"/>
      <c r="Y397" s="457"/>
      <c r="Z397" s="457"/>
      <c r="AA397" s="457"/>
      <c r="AB397" s="457"/>
      <c r="AC397" s="457"/>
      <c r="AD397" s="457"/>
      <c r="AE397" s="457"/>
      <c r="AF397" s="457"/>
      <c r="AG397" s="457"/>
      <c r="AH397" s="457"/>
      <c r="AI397" s="457"/>
      <c r="AJ397" s="457"/>
      <c r="AK397" s="457"/>
      <c r="AL397" s="457"/>
      <c r="AM397" s="457"/>
      <c r="AN397" s="457"/>
      <c r="AO397" s="457"/>
      <c r="AP397" s="457"/>
      <c r="AQ397" s="457"/>
      <c r="AR397" s="457"/>
      <c r="AS397" s="457"/>
      <c r="AT397" s="457"/>
      <c r="AU397" s="457"/>
      <c r="AV397" s="457"/>
      <c r="AW397" s="457"/>
      <c r="AX397" s="457"/>
      <c r="AY397" s="457"/>
      <c r="AZ397" s="457"/>
      <c r="BA397" s="457"/>
      <c r="BB397" s="457"/>
      <c r="BC397" s="457"/>
      <c r="BD397" s="457"/>
      <c r="BE397" s="457"/>
      <c r="BF397" s="457"/>
      <c r="BG397" s="457"/>
      <c r="BH397" s="457"/>
      <c r="BI397" s="457"/>
      <c r="BJ397" s="457"/>
      <c r="BK397" s="457"/>
      <c r="BL397" s="457"/>
      <c r="BM397" s="457"/>
      <c r="BN397" s="457"/>
      <c r="BO397" s="457"/>
      <c r="BP397" s="457"/>
      <c r="BQ397" s="457"/>
      <c r="BR397" s="457"/>
      <c r="BS397" s="457"/>
      <c r="BT397" s="457"/>
      <c r="BU397" s="457"/>
      <c r="BV397" s="457"/>
      <c r="BW397" s="457"/>
      <c r="BX397" s="457"/>
      <c r="BY397" s="457"/>
      <c r="BZ397" s="457"/>
      <c r="CA397" s="457"/>
      <c r="CB397" s="457"/>
      <c r="CC397" s="457"/>
      <c r="CD397" s="457"/>
      <c r="CE397" s="457"/>
      <c r="CF397" s="457"/>
      <c r="CG397" s="457"/>
      <c r="CH397" s="457"/>
      <c r="CI397" s="457"/>
      <c r="CJ397" s="457"/>
      <c r="CK397" s="457"/>
      <c r="CL397" s="457"/>
      <c r="CM397" s="457"/>
      <c r="CN397" s="457"/>
      <c r="CO397" s="457"/>
      <c r="CP397" s="457"/>
      <c r="CQ397" s="457"/>
      <c r="CR397" s="457"/>
      <c r="CS397" s="457"/>
      <c r="CT397" s="457"/>
      <c r="CU397" s="457"/>
      <c r="CV397" s="457"/>
      <c r="CW397" s="457"/>
      <c r="CX397" s="457"/>
      <c r="CY397" s="457"/>
      <c r="CZ397" s="457"/>
      <c r="DA397" s="457"/>
      <c r="DB397" s="457"/>
      <c r="DC397" s="457"/>
      <c r="DD397" s="457"/>
      <c r="DE397" s="457"/>
      <c r="DF397" s="457"/>
      <c r="DG397" s="457"/>
      <c r="DH397" s="457"/>
      <c r="DI397" s="457"/>
      <c r="DJ397" s="457"/>
      <c r="DK397" s="457"/>
      <c r="DL397" s="457"/>
      <c r="DM397" s="457"/>
      <c r="DN397" s="457"/>
      <c r="DO397" s="457"/>
      <c r="DP397" s="457"/>
      <c r="DQ397" s="457"/>
      <c r="DR397" s="457"/>
      <c r="DS397" s="457"/>
      <c r="DT397" s="457"/>
      <c r="DU397" s="457"/>
      <c r="DV397" s="457"/>
      <c r="DW397" s="457"/>
      <c r="DX397" s="457"/>
      <c r="DY397" s="457"/>
      <c r="DZ397" s="457"/>
      <c r="EA397" s="457"/>
      <c r="EB397" s="457"/>
      <c r="EC397" s="457"/>
      <c r="ED397" s="457"/>
      <c r="EE397" s="457"/>
      <c r="EF397" s="457"/>
      <c r="EG397" s="457"/>
      <c r="EH397" s="457"/>
      <c r="EI397" s="457"/>
      <c r="EJ397" s="457"/>
      <c r="EK397" s="457"/>
      <c r="EL397" s="457"/>
      <c r="EM397" s="457"/>
      <c r="EN397" s="457"/>
      <c r="EO397" s="457"/>
      <c r="EP397" s="457"/>
      <c r="EQ397" s="457"/>
      <c r="ER397" s="457"/>
      <c r="ES397" s="457"/>
      <c r="ET397" s="457"/>
      <c r="EU397" s="457"/>
      <c r="EV397" s="457"/>
      <c r="EW397" s="457"/>
      <c r="EX397" s="457"/>
      <c r="EY397" s="457"/>
      <c r="EZ397" s="457"/>
      <c r="FA397" s="457"/>
      <c r="FB397" s="457"/>
      <c r="FC397" s="457"/>
      <c r="FD397" s="457"/>
      <c r="FE397" s="457"/>
      <c r="FF397" s="457"/>
      <c r="FG397" s="457"/>
      <c r="FH397" s="457"/>
      <c r="FI397" s="457"/>
      <c r="FJ397" s="457"/>
      <c r="FK397" s="457"/>
      <c r="FL397" s="457"/>
      <c r="FM397" s="457"/>
      <c r="FN397" s="457"/>
      <c r="FO397" s="457"/>
      <c r="FP397" s="457"/>
      <c r="FQ397" s="457"/>
      <c r="FR397" s="457"/>
      <c r="FS397" s="457"/>
      <c r="FT397" s="457"/>
      <c r="FU397" s="457"/>
      <c r="FV397" s="457"/>
      <c r="FW397" s="457"/>
      <c r="FX397" s="457"/>
      <c r="FY397" s="457"/>
      <c r="FZ397" s="457"/>
      <c r="GA397" s="457"/>
      <c r="GB397" s="457"/>
      <c r="GC397" s="457"/>
      <c r="GD397" s="457"/>
      <c r="GE397" s="457"/>
      <c r="GF397" s="457"/>
      <c r="GG397" s="457"/>
      <c r="GH397" s="457"/>
      <c r="GI397" s="457"/>
      <c r="GJ397" s="457"/>
      <c r="GK397" s="457"/>
      <c r="GL397" s="457"/>
      <c r="GM397" s="457"/>
      <c r="GN397" s="457"/>
      <c r="GO397" s="457"/>
      <c r="GP397" s="457"/>
      <c r="GQ397" s="457"/>
      <c r="GR397" s="457"/>
      <c r="GS397" s="457"/>
      <c r="GT397" s="457"/>
      <c r="GU397" s="457"/>
      <c r="GV397" s="457"/>
      <c r="GW397" s="457"/>
      <c r="GX397" s="457"/>
      <c r="GY397" s="457"/>
      <c r="GZ397" s="457"/>
      <c r="HA397" s="457"/>
      <c r="HB397" s="457"/>
      <c r="HC397" s="457"/>
      <c r="HD397" s="457"/>
      <c r="HE397" s="457"/>
      <c r="HF397" s="457"/>
      <c r="HG397" s="457"/>
      <c r="HH397" s="457"/>
      <c r="HI397" s="457"/>
      <c r="HJ397" s="457"/>
      <c r="HK397" s="457"/>
      <c r="HL397" s="457"/>
      <c r="HM397" s="457"/>
      <c r="HN397" s="457"/>
      <c r="HO397" s="457"/>
      <c r="HP397" s="457"/>
      <c r="HQ397" s="457"/>
      <c r="HR397" s="457"/>
      <c r="HS397" s="457"/>
      <c r="HT397" s="457"/>
      <c r="HU397" s="457"/>
      <c r="HV397" s="457"/>
      <c r="HW397" s="457"/>
      <c r="HX397" s="457"/>
      <c r="HY397" s="457"/>
      <c r="HZ397" s="457"/>
      <c r="IA397" s="457"/>
      <c r="IB397" s="457"/>
      <c r="IC397" s="457"/>
      <c r="ID397" s="457"/>
      <c r="IE397" s="457"/>
      <c r="IF397" s="457"/>
      <c r="IG397" s="457"/>
      <c r="IH397" s="457"/>
      <c r="II397" s="457"/>
      <c r="IJ397" s="457"/>
      <c r="IK397" s="457"/>
      <c r="IL397" s="457"/>
      <c r="IM397" s="457"/>
      <c r="IN397" s="457"/>
      <c r="IO397" s="457"/>
      <c r="IP397" s="457"/>
      <c r="IQ397" s="457"/>
      <c r="IR397" s="457"/>
      <c r="IS397" s="457"/>
      <c r="IT397" s="457"/>
      <c r="IU397" s="457"/>
      <c r="IV397" s="457"/>
      <c r="IW397" s="457"/>
      <c r="IX397" s="457"/>
      <c r="IY397" s="457"/>
      <c r="IZ397" s="457"/>
      <c r="JA397" s="457"/>
      <c r="JB397" s="457"/>
      <c r="JC397" s="457"/>
      <c r="JD397" s="457"/>
      <c r="JE397" s="457"/>
      <c r="JF397" s="457"/>
      <c r="JG397" s="457"/>
      <c r="JH397" s="457"/>
      <c r="JI397" s="457"/>
      <c r="JJ397" s="457"/>
      <c r="JK397" s="457"/>
      <c r="JL397" s="457"/>
      <c r="JM397" s="457"/>
      <c r="JN397" s="457"/>
      <c r="JO397" s="457"/>
      <c r="JP397" s="457"/>
      <c r="JQ397" s="457"/>
      <c r="JR397" s="457"/>
      <c r="JS397" s="457"/>
      <c r="JT397" s="457"/>
      <c r="JU397" s="457"/>
      <c r="JV397" s="457"/>
      <c r="JW397" s="457"/>
      <c r="JX397" s="457"/>
      <c r="JY397" s="457"/>
      <c r="JZ397" s="457"/>
      <c r="KA397" s="457"/>
      <c r="KB397" s="457"/>
      <c r="KC397" s="457"/>
      <c r="KD397" s="457"/>
      <c r="KE397" s="457"/>
      <c r="KF397" s="457"/>
      <c r="KG397" s="457"/>
      <c r="KH397" s="457"/>
      <c r="KI397" s="457"/>
      <c r="KJ397" s="457"/>
      <c r="KK397" s="457"/>
      <c r="KL397" s="457"/>
      <c r="KM397" s="457"/>
      <c r="KN397" s="457"/>
      <c r="KO397" s="457"/>
      <c r="KP397" s="457"/>
      <c r="KQ397" s="457"/>
      <c r="KR397" s="457"/>
      <c r="KS397" s="457"/>
      <c r="KT397" s="457"/>
      <c r="KU397" s="457"/>
      <c r="KV397" s="457"/>
      <c r="KW397" s="457"/>
      <c r="KX397" s="457"/>
      <c r="KY397" s="457"/>
      <c r="KZ397" s="457"/>
      <c r="LA397" s="457"/>
      <c r="LB397" s="457"/>
      <c r="LC397" s="457"/>
      <c r="LD397" s="457"/>
      <c r="LE397" s="457"/>
      <c r="LF397" s="457"/>
      <c r="LG397" s="457"/>
      <c r="LH397" s="457"/>
      <c r="LI397" s="457"/>
      <c r="LJ397" s="457"/>
      <c r="LK397" s="457"/>
      <c r="LL397" s="457"/>
      <c r="LM397" s="457"/>
      <c r="LN397" s="457"/>
      <c r="LO397" s="457"/>
      <c r="LP397" s="457"/>
      <c r="LQ397" s="457"/>
      <c r="LR397" s="457"/>
      <c r="LS397" s="457"/>
      <c r="LT397" s="457"/>
      <c r="LU397" s="457"/>
      <c r="LV397" s="457"/>
      <c r="LW397" s="457"/>
      <c r="LX397" s="457"/>
      <c r="LY397" s="457"/>
      <c r="LZ397" s="457"/>
      <c r="MA397" s="457"/>
      <c r="MB397" s="457"/>
      <c r="MC397" s="457"/>
      <c r="MD397" s="457"/>
      <c r="ME397" s="457"/>
      <c r="MF397" s="457"/>
      <c r="MG397" s="457"/>
      <c r="MH397" s="457"/>
      <c r="MI397" s="457"/>
      <c r="MJ397" s="457"/>
      <c r="MK397" s="457"/>
      <c r="ML397" s="457"/>
      <c r="MM397" s="457"/>
      <c r="MN397" s="457"/>
      <c r="MO397" s="457"/>
      <c r="MP397" s="457"/>
      <c r="MQ397" s="457"/>
      <c r="MR397" s="457"/>
      <c r="MS397" s="457"/>
      <c r="MT397" s="457"/>
      <c r="MU397" s="457"/>
      <c r="MV397" s="457"/>
      <c r="MW397" s="457"/>
      <c r="MX397" s="457"/>
      <c r="MY397" s="457"/>
      <c r="MZ397" s="457"/>
      <c r="NA397" s="457"/>
      <c r="NB397" s="457"/>
      <c r="NC397" s="457"/>
      <c r="ND397" s="457"/>
      <c r="NE397" s="457"/>
      <c r="NF397" s="457"/>
      <c r="NG397" s="457"/>
      <c r="NH397" s="457"/>
      <c r="NI397" s="457"/>
      <c r="NJ397" s="457"/>
      <c r="NK397" s="457"/>
      <c r="NL397" s="457"/>
      <c r="NM397" s="457"/>
      <c r="NN397" s="457"/>
      <c r="NO397" s="457"/>
      <c r="NP397" s="457"/>
      <c r="NQ397" s="457"/>
      <c r="NR397" s="457"/>
      <c r="NS397" s="457"/>
      <c r="NT397" s="457"/>
      <c r="NU397" s="457"/>
      <c r="NV397" s="457"/>
      <c r="NW397" s="457"/>
      <c r="NX397" s="457"/>
      <c r="NY397" s="457"/>
      <c r="NZ397" s="457"/>
      <c r="OA397" s="457"/>
      <c r="OB397" s="457"/>
      <c r="OC397" s="457"/>
      <c r="OD397" s="457"/>
      <c r="OE397" s="457"/>
      <c r="OF397" s="457"/>
      <c r="OG397" s="457"/>
      <c r="OH397" s="457"/>
      <c r="OI397" s="457"/>
      <c r="OJ397" s="457"/>
      <c r="OK397" s="457"/>
      <c r="OL397" s="457"/>
      <c r="OM397" s="457"/>
      <c r="ON397" s="457"/>
      <c r="OO397" s="457"/>
      <c r="OP397" s="457"/>
      <c r="OQ397" s="457"/>
      <c r="OR397" s="457"/>
      <c r="OS397" s="457"/>
      <c r="OT397" s="457"/>
      <c r="OU397" s="457"/>
      <c r="OV397" s="457"/>
      <c r="OW397" s="457"/>
      <c r="OX397" s="457"/>
      <c r="OY397" s="457"/>
      <c r="OZ397" s="457"/>
      <c r="PA397" s="457"/>
      <c r="PB397" s="457"/>
      <c r="PC397" s="457"/>
      <c r="PD397" s="457"/>
      <c r="PE397" s="457"/>
      <c r="PF397" s="457"/>
      <c r="PG397" s="457"/>
      <c r="PH397" s="457"/>
      <c r="PI397" s="457"/>
      <c r="PJ397" s="457"/>
      <c r="PK397" s="457"/>
      <c r="PL397" s="457"/>
      <c r="PM397" s="457"/>
      <c r="PN397" s="457"/>
      <c r="PO397" s="457"/>
      <c r="PP397" s="457"/>
      <c r="PQ397" s="457"/>
      <c r="PR397" s="457"/>
      <c r="PS397" s="457"/>
      <c r="PT397" s="457"/>
      <c r="PU397" s="457"/>
      <c r="PV397" s="457"/>
      <c r="PW397" s="457"/>
      <c r="PX397" s="457"/>
      <c r="PY397" s="457"/>
      <c r="PZ397" s="457"/>
      <c r="QA397" s="457"/>
      <c r="QB397" s="457"/>
      <c r="QC397" s="457"/>
      <c r="QD397" s="457"/>
      <c r="QE397" s="457"/>
      <c r="QF397" s="457"/>
      <c r="QG397" s="457"/>
      <c r="QH397" s="457"/>
      <c r="QI397" s="457"/>
      <c r="QJ397" s="457"/>
      <c r="QK397" s="457"/>
      <c r="QL397" s="457"/>
      <c r="QM397" s="457"/>
      <c r="QN397" s="457"/>
      <c r="QO397" s="457"/>
      <c r="QP397" s="457"/>
      <c r="QQ397" s="457"/>
      <c r="QR397" s="457"/>
      <c r="QS397" s="457"/>
      <c r="QT397" s="457"/>
      <c r="QU397" s="457"/>
      <c r="QV397" s="457"/>
      <c r="QW397" s="457"/>
      <c r="QX397" s="457"/>
      <c r="QY397" s="457"/>
      <c r="QZ397" s="457"/>
      <c r="RA397" s="457"/>
      <c r="RB397" s="457"/>
      <c r="RC397" s="457"/>
      <c r="RD397" s="457"/>
      <c r="RE397" s="457"/>
      <c r="RF397" s="457"/>
      <c r="RG397" s="457"/>
      <c r="RH397" s="457"/>
      <c r="RI397" s="457"/>
      <c r="RJ397" s="457"/>
      <c r="RK397" s="457"/>
      <c r="RL397" s="457"/>
      <c r="RM397" s="457"/>
      <c r="RN397" s="457"/>
      <c r="RO397" s="457"/>
      <c r="RP397" s="457"/>
      <c r="RQ397" s="457"/>
      <c r="RR397" s="457"/>
      <c r="RS397" s="457"/>
      <c r="RT397" s="457"/>
      <c r="RU397" s="457"/>
      <c r="RV397" s="457"/>
      <c r="RW397" s="457"/>
      <c r="RX397" s="457"/>
      <c r="RY397" s="457"/>
      <c r="RZ397" s="457"/>
      <c r="SA397" s="457"/>
      <c r="SB397" s="457"/>
      <c r="SC397" s="457"/>
      <c r="SD397" s="457"/>
      <c r="SE397" s="457"/>
      <c r="SF397" s="457"/>
      <c r="SG397" s="457"/>
      <c r="SH397" s="457"/>
      <c r="SI397" s="457"/>
      <c r="SJ397" s="457"/>
      <c r="SK397" s="457"/>
      <c r="SL397" s="457"/>
      <c r="SM397" s="457"/>
      <c r="SN397" s="457"/>
      <c r="SO397" s="457"/>
      <c r="SP397" s="457"/>
      <c r="SQ397" s="457"/>
      <c r="SR397" s="457"/>
      <c r="SS397" s="457"/>
      <c r="ST397" s="457"/>
      <c r="SU397" s="457"/>
      <c r="SV397" s="457"/>
      <c r="SW397" s="457"/>
      <c r="SX397" s="457"/>
      <c r="SY397" s="457"/>
      <c r="SZ397" s="457"/>
      <c r="TA397" s="457"/>
      <c r="TB397" s="457"/>
      <c r="TC397" s="457"/>
      <c r="TD397" s="457"/>
      <c r="TE397" s="457"/>
      <c r="TF397" s="457"/>
      <c r="TG397" s="457"/>
      <c r="TH397" s="457"/>
      <c r="TI397" s="457"/>
      <c r="TJ397" s="457"/>
      <c r="TK397" s="457"/>
      <c r="TL397" s="457"/>
      <c r="TM397" s="457"/>
      <c r="TN397" s="457"/>
      <c r="TO397" s="457"/>
      <c r="TP397" s="457"/>
      <c r="TQ397" s="457"/>
      <c r="TR397" s="457"/>
      <c r="TS397" s="457"/>
      <c r="TT397" s="457"/>
      <c r="TU397" s="457"/>
      <c r="TV397" s="457"/>
      <c r="TW397" s="457"/>
      <c r="TX397" s="457"/>
      <c r="TY397" s="457"/>
      <c r="TZ397" s="457"/>
      <c r="UA397" s="457"/>
      <c r="UB397" s="457"/>
      <c r="UC397" s="457"/>
      <c r="UD397" s="457"/>
      <c r="UE397" s="457"/>
      <c r="UF397" s="457"/>
      <c r="UG397" s="457"/>
      <c r="UH397" s="457"/>
      <c r="UI397" s="457"/>
      <c r="UJ397" s="457"/>
      <c r="UK397" s="457"/>
      <c r="UL397" s="457"/>
      <c r="UM397" s="457"/>
      <c r="UN397" s="457"/>
      <c r="UO397" s="457"/>
      <c r="UP397" s="457"/>
      <c r="UQ397" s="457"/>
      <c r="UR397" s="457"/>
      <c r="US397" s="457"/>
      <c r="UT397" s="457"/>
      <c r="UU397" s="457"/>
      <c r="UV397" s="457"/>
      <c r="UW397" s="457"/>
      <c r="UX397" s="457"/>
      <c r="UY397" s="457"/>
      <c r="UZ397" s="457"/>
      <c r="VA397" s="457"/>
      <c r="VB397" s="457"/>
      <c r="VC397" s="457"/>
      <c r="VD397" s="457"/>
      <c r="VE397" s="457"/>
      <c r="VF397" s="457"/>
      <c r="VG397" s="457"/>
      <c r="VH397" s="457"/>
      <c r="VI397" s="457"/>
      <c r="VJ397" s="457"/>
      <c r="VK397" s="457"/>
      <c r="VL397" s="457"/>
      <c r="VM397" s="457"/>
      <c r="VN397" s="457"/>
      <c r="VO397" s="457"/>
      <c r="VP397" s="457"/>
      <c r="VQ397" s="457"/>
      <c r="VR397" s="457"/>
      <c r="VS397" s="457"/>
      <c r="VT397" s="457"/>
      <c r="VU397" s="457"/>
      <c r="VV397" s="457"/>
      <c r="VW397" s="457"/>
      <c r="VX397" s="457"/>
      <c r="VY397" s="457"/>
      <c r="VZ397" s="457"/>
      <c r="WA397" s="457"/>
      <c r="WB397" s="457"/>
      <c r="WC397" s="457"/>
      <c r="WD397" s="457"/>
      <c r="WE397" s="457"/>
      <c r="WF397" s="457"/>
      <c r="WG397" s="457"/>
      <c r="WH397" s="457"/>
      <c r="WI397" s="457"/>
      <c r="WJ397" s="457"/>
      <c r="WK397" s="457"/>
      <c r="WL397" s="457"/>
      <c r="WM397" s="457"/>
      <c r="WN397" s="457"/>
      <c r="WO397" s="457"/>
      <c r="WP397" s="457"/>
      <c r="WQ397" s="457"/>
      <c r="WR397" s="457"/>
      <c r="WS397" s="457"/>
      <c r="WT397" s="457"/>
      <c r="WU397" s="457"/>
      <c r="WV397" s="457"/>
      <c r="WW397" s="457"/>
      <c r="WX397" s="457"/>
      <c r="WY397" s="457"/>
      <c r="WZ397" s="457"/>
      <c r="XA397" s="457"/>
      <c r="XB397" s="457"/>
      <c r="XC397" s="457"/>
      <c r="XD397" s="457"/>
      <c r="XE397" s="457"/>
      <c r="XF397" s="457"/>
      <c r="XG397" s="457"/>
      <c r="XH397" s="457"/>
      <c r="XI397" s="457"/>
      <c r="XJ397" s="457"/>
      <c r="XK397" s="457"/>
      <c r="XL397" s="457"/>
      <c r="XM397" s="457"/>
      <c r="XN397" s="457"/>
      <c r="XO397" s="457"/>
      <c r="XP397" s="457"/>
      <c r="XQ397" s="457"/>
      <c r="XR397" s="457"/>
      <c r="XS397" s="457"/>
      <c r="XT397" s="457"/>
      <c r="XU397" s="457"/>
      <c r="XV397" s="457"/>
      <c r="XW397" s="457"/>
      <c r="XX397" s="457"/>
      <c r="XY397" s="457"/>
      <c r="XZ397" s="457"/>
      <c r="YA397" s="457"/>
      <c r="YB397" s="457"/>
      <c r="YC397" s="457"/>
      <c r="YD397" s="457"/>
      <c r="YE397" s="457"/>
      <c r="YF397" s="457"/>
      <c r="YG397" s="457"/>
      <c r="YH397" s="457"/>
      <c r="YI397" s="457"/>
      <c r="YJ397" s="457"/>
      <c r="YK397" s="457"/>
      <c r="YL397" s="457"/>
      <c r="YM397" s="457"/>
      <c r="YN397" s="457"/>
      <c r="YO397" s="457"/>
      <c r="YP397" s="457"/>
      <c r="YQ397" s="457"/>
      <c r="YR397" s="457"/>
      <c r="YS397" s="457"/>
      <c r="YT397" s="457"/>
      <c r="YU397" s="457"/>
      <c r="YV397" s="457"/>
      <c r="YW397" s="457"/>
      <c r="YX397" s="457"/>
      <c r="YY397" s="457"/>
      <c r="YZ397" s="457"/>
      <c r="ZA397" s="457"/>
      <c r="ZB397" s="457"/>
      <c r="ZC397" s="457"/>
      <c r="ZD397" s="457"/>
      <c r="ZE397" s="457"/>
      <c r="ZF397" s="457"/>
      <c r="ZG397" s="457"/>
      <c r="ZH397" s="457"/>
      <c r="ZI397" s="457"/>
      <c r="ZJ397" s="457"/>
      <c r="ZK397" s="457"/>
      <c r="ZL397" s="457"/>
      <c r="ZM397" s="457"/>
      <c r="ZN397" s="457"/>
      <c r="ZO397" s="457"/>
      <c r="ZP397" s="457"/>
      <c r="ZQ397" s="457"/>
      <c r="ZR397" s="457"/>
      <c r="ZS397" s="457"/>
      <c r="ZT397" s="457"/>
      <c r="ZU397" s="457"/>
      <c r="ZV397" s="457"/>
      <c r="ZW397" s="457"/>
      <c r="ZX397" s="457"/>
      <c r="ZY397" s="457"/>
      <c r="ZZ397" s="457"/>
      <c r="AAA397" s="457"/>
      <c r="AAB397" s="457"/>
      <c r="AAC397" s="457"/>
      <c r="AAD397" s="457"/>
      <c r="AAE397" s="457"/>
      <c r="AAF397" s="457"/>
      <c r="AAG397" s="457"/>
      <c r="AAH397" s="457"/>
      <c r="AAI397" s="457"/>
      <c r="AAJ397" s="457"/>
      <c r="AAK397" s="457"/>
      <c r="AAL397" s="457"/>
      <c r="AAM397" s="457"/>
      <c r="AAN397" s="457"/>
      <c r="AAO397" s="457"/>
      <c r="AAP397" s="457"/>
      <c r="AAQ397" s="457"/>
      <c r="AAR397" s="457"/>
      <c r="AAS397" s="457"/>
      <c r="AAT397" s="457"/>
      <c r="AAU397" s="457"/>
      <c r="AAV397" s="457"/>
      <c r="AAW397" s="457"/>
      <c r="AAX397" s="457"/>
      <c r="AAY397" s="457"/>
      <c r="AAZ397" s="457"/>
      <c r="ABA397" s="457"/>
      <c r="ABB397" s="457"/>
      <c r="ABC397" s="457"/>
      <c r="ABD397" s="457"/>
      <c r="ABE397" s="457"/>
      <c r="ABF397" s="457"/>
      <c r="ABG397" s="457"/>
      <c r="ABH397" s="457"/>
      <c r="ABI397" s="457"/>
      <c r="ABJ397" s="457"/>
      <c r="ABK397" s="457"/>
      <c r="ABL397" s="457"/>
      <c r="ABM397" s="457"/>
      <c r="ABN397" s="457"/>
      <c r="ABO397" s="457"/>
      <c r="ABP397" s="457"/>
      <c r="ABQ397" s="457"/>
      <c r="ABR397" s="457"/>
      <c r="ABS397" s="457"/>
      <c r="ABT397" s="457"/>
      <c r="ABU397" s="457"/>
      <c r="ABV397" s="457"/>
      <c r="ABW397" s="457"/>
      <c r="ABX397" s="457"/>
      <c r="ABY397" s="457"/>
      <c r="ABZ397" s="457"/>
      <c r="ACA397" s="457"/>
      <c r="ACB397" s="457"/>
      <c r="ACC397" s="457"/>
      <c r="ACD397" s="457"/>
      <c r="ACE397" s="457"/>
      <c r="ACF397" s="457"/>
      <c r="ACG397" s="457"/>
      <c r="ACH397" s="457"/>
      <c r="ACI397" s="457"/>
      <c r="ACJ397" s="457"/>
      <c r="ACK397" s="457"/>
      <c r="ACL397" s="457"/>
      <c r="ACM397" s="457"/>
      <c r="ACN397" s="457"/>
      <c r="ACO397" s="457"/>
      <c r="ACP397" s="457"/>
      <c r="ACQ397" s="457"/>
      <c r="ACR397" s="457"/>
      <c r="ACS397" s="457"/>
      <c r="ACT397" s="457"/>
      <c r="ACU397" s="457"/>
      <c r="ACV397" s="457"/>
    </row>
    <row r="398" spans="1:776" s="400" customFormat="1" x14ac:dyDescent="0.25">
      <c r="A398" s="470">
        <v>900111</v>
      </c>
      <c r="B398" s="237" t="s">
        <v>247</v>
      </c>
      <c r="C398" s="455"/>
      <c r="D398" s="454" t="s">
        <v>237</v>
      </c>
      <c r="E398" s="466">
        <v>4.2</v>
      </c>
      <c r="F398" s="455">
        <v>0.3</v>
      </c>
      <c r="G398" s="34">
        <v>0.01</v>
      </c>
      <c r="H398" s="456">
        <v>0.13</v>
      </c>
      <c r="I398" s="456">
        <v>1395.1</v>
      </c>
      <c r="J398" s="458">
        <v>10.3</v>
      </c>
      <c r="K398" s="458">
        <v>0.01</v>
      </c>
      <c r="L398" s="458">
        <v>194.4</v>
      </c>
      <c r="M398" s="34">
        <v>0.01</v>
      </c>
      <c r="N398" s="454">
        <v>1.62</v>
      </c>
      <c r="O398" s="454">
        <v>345.99</v>
      </c>
      <c r="P398" s="454">
        <v>424.17</v>
      </c>
      <c r="Q398" s="454">
        <v>81.87</v>
      </c>
      <c r="R398" s="467">
        <v>0.08</v>
      </c>
      <c r="S398" s="465">
        <v>0.01</v>
      </c>
      <c r="T398" s="467">
        <v>0.13</v>
      </c>
      <c r="U398" s="467">
        <v>0.03</v>
      </c>
      <c r="V398" s="454"/>
      <c r="W398" s="457"/>
      <c r="X398" s="457"/>
      <c r="Y398" s="457"/>
      <c r="Z398" s="457"/>
      <c r="AA398" s="457"/>
      <c r="AB398" s="457"/>
      <c r="AC398" s="457"/>
      <c r="AD398" s="457"/>
      <c r="AE398" s="457"/>
      <c r="AF398" s="457"/>
      <c r="AG398" s="457"/>
      <c r="AH398" s="457"/>
      <c r="AI398" s="457"/>
      <c r="AJ398" s="457"/>
      <c r="AK398" s="457"/>
      <c r="AL398" s="457"/>
      <c r="AM398" s="457"/>
      <c r="AN398" s="457"/>
      <c r="AO398" s="457"/>
      <c r="AP398" s="457"/>
      <c r="AQ398" s="457"/>
      <c r="AR398" s="457"/>
      <c r="AS398" s="457"/>
      <c r="AT398" s="457"/>
      <c r="AU398" s="457"/>
      <c r="AV398" s="457"/>
      <c r="AW398" s="457"/>
      <c r="AX398" s="457"/>
      <c r="AY398" s="457"/>
      <c r="AZ398" s="457"/>
      <c r="BA398" s="457"/>
      <c r="BB398" s="457"/>
      <c r="BC398" s="457"/>
      <c r="BD398" s="457"/>
      <c r="BE398" s="457"/>
      <c r="BF398" s="457"/>
      <c r="BG398" s="457"/>
      <c r="BH398" s="457"/>
      <c r="BI398" s="457"/>
      <c r="BJ398" s="457"/>
      <c r="BK398" s="457"/>
      <c r="BL398" s="457"/>
      <c r="BM398" s="457"/>
      <c r="BN398" s="457"/>
      <c r="BO398" s="457"/>
      <c r="BP398" s="457"/>
      <c r="BQ398" s="457"/>
      <c r="BR398" s="457"/>
      <c r="BS398" s="457"/>
      <c r="BT398" s="457"/>
      <c r="BU398" s="457"/>
      <c r="BV398" s="457"/>
      <c r="BW398" s="457"/>
      <c r="BX398" s="457"/>
      <c r="BY398" s="457"/>
      <c r="BZ398" s="457"/>
      <c r="CA398" s="457"/>
      <c r="CB398" s="457"/>
      <c r="CC398" s="457"/>
      <c r="CD398" s="457"/>
      <c r="CE398" s="457"/>
      <c r="CF398" s="457"/>
      <c r="CG398" s="457"/>
      <c r="CH398" s="457"/>
      <c r="CI398" s="457"/>
      <c r="CJ398" s="457"/>
      <c r="CK398" s="457"/>
      <c r="CL398" s="457"/>
      <c r="CM398" s="457"/>
      <c r="CN398" s="457"/>
      <c r="CO398" s="457"/>
      <c r="CP398" s="457"/>
      <c r="CQ398" s="457"/>
      <c r="CR398" s="457"/>
      <c r="CS398" s="457"/>
      <c r="CT398" s="457"/>
      <c r="CU398" s="457"/>
      <c r="CV398" s="457"/>
      <c r="CW398" s="457"/>
      <c r="CX398" s="457"/>
      <c r="CY398" s="457"/>
      <c r="CZ398" s="457"/>
      <c r="DA398" s="457"/>
      <c r="DB398" s="457"/>
      <c r="DC398" s="457"/>
      <c r="DD398" s="457"/>
      <c r="DE398" s="457"/>
      <c r="DF398" s="457"/>
      <c r="DG398" s="457"/>
      <c r="DH398" s="457"/>
      <c r="DI398" s="457"/>
      <c r="DJ398" s="457"/>
      <c r="DK398" s="457"/>
      <c r="DL398" s="457"/>
      <c r="DM398" s="457"/>
      <c r="DN398" s="457"/>
      <c r="DO398" s="457"/>
      <c r="DP398" s="457"/>
      <c r="DQ398" s="457"/>
      <c r="DR398" s="457"/>
      <c r="DS398" s="457"/>
      <c r="DT398" s="457"/>
      <c r="DU398" s="457"/>
      <c r="DV398" s="457"/>
      <c r="DW398" s="457"/>
      <c r="DX398" s="457"/>
      <c r="DY398" s="457"/>
      <c r="DZ398" s="457"/>
      <c r="EA398" s="457"/>
      <c r="EB398" s="457"/>
      <c r="EC398" s="457"/>
      <c r="ED398" s="457"/>
      <c r="EE398" s="457"/>
      <c r="EF398" s="457"/>
      <c r="EG398" s="457"/>
      <c r="EH398" s="457"/>
      <c r="EI398" s="457"/>
      <c r="EJ398" s="457"/>
      <c r="EK398" s="457"/>
      <c r="EL398" s="457"/>
      <c r="EM398" s="457"/>
      <c r="EN398" s="457"/>
      <c r="EO398" s="457"/>
      <c r="EP398" s="457"/>
      <c r="EQ398" s="457"/>
      <c r="ER398" s="457"/>
      <c r="ES398" s="457"/>
      <c r="ET398" s="457"/>
      <c r="EU398" s="457"/>
      <c r="EV398" s="457"/>
      <c r="EW398" s="457"/>
      <c r="EX398" s="457"/>
      <c r="EY398" s="457"/>
      <c r="EZ398" s="457"/>
      <c r="FA398" s="457"/>
      <c r="FB398" s="457"/>
      <c r="FC398" s="457"/>
      <c r="FD398" s="457"/>
      <c r="FE398" s="457"/>
      <c r="FF398" s="457"/>
      <c r="FG398" s="457"/>
      <c r="FH398" s="457"/>
      <c r="FI398" s="457"/>
      <c r="FJ398" s="457"/>
      <c r="FK398" s="457"/>
      <c r="FL398" s="457"/>
      <c r="FM398" s="457"/>
      <c r="FN398" s="457"/>
      <c r="FO398" s="457"/>
      <c r="FP398" s="457"/>
      <c r="FQ398" s="457"/>
      <c r="FR398" s="457"/>
      <c r="FS398" s="457"/>
      <c r="FT398" s="457"/>
      <c r="FU398" s="457"/>
      <c r="FV398" s="457"/>
      <c r="FW398" s="457"/>
      <c r="FX398" s="457"/>
      <c r="FY398" s="457"/>
      <c r="FZ398" s="457"/>
      <c r="GA398" s="457"/>
      <c r="GB398" s="457"/>
      <c r="GC398" s="457"/>
      <c r="GD398" s="457"/>
      <c r="GE398" s="457"/>
      <c r="GF398" s="457"/>
      <c r="GG398" s="457"/>
      <c r="GH398" s="457"/>
      <c r="GI398" s="457"/>
      <c r="GJ398" s="457"/>
      <c r="GK398" s="457"/>
      <c r="GL398" s="457"/>
      <c r="GM398" s="457"/>
      <c r="GN398" s="457"/>
      <c r="GO398" s="457"/>
      <c r="GP398" s="457"/>
      <c r="GQ398" s="457"/>
      <c r="GR398" s="457"/>
      <c r="GS398" s="457"/>
      <c r="GT398" s="457"/>
      <c r="GU398" s="457"/>
      <c r="GV398" s="457"/>
      <c r="GW398" s="457"/>
      <c r="GX398" s="457"/>
      <c r="GY398" s="457"/>
      <c r="GZ398" s="457"/>
      <c r="HA398" s="457"/>
      <c r="HB398" s="457"/>
      <c r="HC398" s="457"/>
      <c r="HD398" s="457"/>
      <c r="HE398" s="457"/>
      <c r="HF398" s="457"/>
      <c r="HG398" s="457"/>
      <c r="HH398" s="457"/>
      <c r="HI398" s="457"/>
      <c r="HJ398" s="457"/>
      <c r="HK398" s="457"/>
      <c r="HL398" s="457"/>
      <c r="HM398" s="457"/>
      <c r="HN398" s="457"/>
      <c r="HO398" s="457"/>
      <c r="HP398" s="457"/>
      <c r="HQ398" s="457"/>
      <c r="HR398" s="457"/>
      <c r="HS398" s="457"/>
      <c r="HT398" s="457"/>
      <c r="HU398" s="457"/>
      <c r="HV398" s="457"/>
      <c r="HW398" s="457"/>
      <c r="HX398" s="457"/>
      <c r="HY398" s="457"/>
      <c r="HZ398" s="457"/>
      <c r="IA398" s="457"/>
      <c r="IB398" s="457"/>
      <c r="IC398" s="457"/>
      <c r="ID398" s="457"/>
      <c r="IE398" s="457"/>
      <c r="IF398" s="457"/>
      <c r="IG398" s="457"/>
      <c r="IH398" s="457"/>
      <c r="II398" s="457"/>
      <c r="IJ398" s="457"/>
      <c r="IK398" s="457"/>
      <c r="IL398" s="457"/>
      <c r="IM398" s="457"/>
      <c r="IN398" s="457"/>
      <c r="IO398" s="457"/>
      <c r="IP398" s="457"/>
      <c r="IQ398" s="457"/>
      <c r="IR398" s="457"/>
      <c r="IS398" s="457"/>
      <c r="IT398" s="457"/>
      <c r="IU398" s="457"/>
      <c r="IV398" s="457"/>
      <c r="IW398" s="457"/>
      <c r="IX398" s="457"/>
      <c r="IY398" s="457"/>
      <c r="IZ398" s="457"/>
      <c r="JA398" s="457"/>
      <c r="JB398" s="457"/>
      <c r="JC398" s="457"/>
      <c r="JD398" s="457"/>
      <c r="JE398" s="457"/>
      <c r="JF398" s="457"/>
      <c r="JG398" s="457"/>
      <c r="JH398" s="457"/>
      <c r="JI398" s="457"/>
      <c r="JJ398" s="457"/>
      <c r="JK398" s="457"/>
      <c r="JL398" s="457"/>
      <c r="JM398" s="457"/>
      <c r="JN398" s="457"/>
      <c r="JO398" s="457"/>
      <c r="JP398" s="457"/>
      <c r="JQ398" s="457"/>
      <c r="JR398" s="457"/>
      <c r="JS398" s="457"/>
      <c r="JT398" s="457"/>
      <c r="JU398" s="457"/>
      <c r="JV398" s="457"/>
      <c r="JW398" s="457"/>
      <c r="JX398" s="457"/>
      <c r="JY398" s="457"/>
      <c r="JZ398" s="457"/>
      <c r="KA398" s="457"/>
      <c r="KB398" s="457"/>
      <c r="KC398" s="457"/>
      <c r="KD398" s="457"/>
      <c r="KE398" s="457"/>
      <c r="KF398" s="457"/>
      <c r="KG398" s="457"/>
      <c r="KH398" s="457"/>
      <c r="KI398" s="457"/>
      <c r="KJ398" s="457"/>
      <c r="KK398" s="457"/>
      <c r="KL398" s="457"/>
      <c r="KM398" s="457"/>
      <c r="KN398" s="457"/>
      <c r="KO398" s="457"/>
      <c r="KP398" s="457"/>
      <c r="KQ398" s="457"/>
      <c r="KR398" s="457"/>
      <c r="KS398" s="457"/>
      <c r="KT398" s="457"/>
      <c r="KU398" s="457"/>
      <c r="KV398" s="457"/>
      <c r="KW398" s="457"/>
      <c r="KX398" s="457"/>
      <c r="KY398" s="457"/>
      <c r="KZ398" s="457"/>
      <c r="LA398" s="457"/>
      <c r="LB398" s="457"/>
      <c r="LC398" s="457"/>
      <c r="LD398" s="457"/>
      <c r="LE398" s="457"/>
      <c r="LF398" s="457"/>
      <c r="LG398" s="457"/>
      <c r="LH398" s="457"/>
      <c r="LI398" s="457"/>
      <c r="LJ398" s="457"/>
      <c r="LK398" s="457"/>
      <c r="LL398" s="457"/>
      <c r="LM398" s="457"/>
      <c r="LN398" s="457"/>
      <c r="LO398" s="457"/>
      <c r="LP398" s="457"/>
      <c r="LQ398" s="457"/>
      <c r="LR398" s="457"/>
      <c r="LS398" s="457"/>
      <c r="LT398" s="457"/>
      <c r="LU398" s="457"/>
      <c r="LV398" s="457"/>
      <c r="LW398" s="457"/>
      <c r="LX398" s="457"/>
      <c r="LY398" s="457"/>
      <c r="LZ398" s="457"/>
      <c r="MA398" s="457"/>
      <c r="MB398" s="457"/>
      <c r="MC398" s="457"/>
      <c r="MD398" s="457"/>
      <c r="ME398" s="457"/>
      <c r="MF398" s="457"/>
      <c r="MG398" s="457"/>
      <c r="MH398" s="457"/>
      <c r="MI398" s="457"/>
      <c r="MJ398" s="457"/>
      <c r="MK398" s="457"/>
      <c r="ML398" s="457"/>
      <c r="MM398" s="457"/>
      <c r="MN398" s="457"/>
      <c r="MO398" s="457"/>
      <c r="MP398" s="457"/>
      <c r="MQ398" s="457"/>
      <c r="MR398" s="457"/>
      <c r="MS398" s="457"/>
      <c r="MT398" s="457"/>
      <c r="MU398" s="457"/>
      <c r="MV398" s="457"/>
      <c r="MW398" s="457"/>
      <c r="MX398" s="457"/>
      <c r="MY398" s="457"/>
      <c r="MZ398" s="457"/>
      <c r="NA398" s="457"/>
      <c r="NB398" s="457"/>
      <c r="NC398" s="457"/>
      <c r="ND398" s="457"/>
      <c r="NE398" s="457"/>
      <c r="NF398" s="457"/>
      <c r="NG398" s="457"/>
      <c r="NH398" s="457"/>
      <c r="NI398" s="457"/>
      <c r="NJ398" s="457"/>
      <c r="NK398" s="457"/>
      <c r="NL398" s="457"/>
      <c r="NM398" s="457"/>
      <c r="NN398" s="457"/>
      <c r="NO398" s="457"/>
      <c r="NP398" s="457"/>
      <c r="NQ398" s="457"/>
      <c r="NR398" s="457"/>
      <c r="NS398" s="457"/>
      <c r="NT398" s="457"/>
      <c r="NU398" s="457"/>
      <c r="NV398" s="457"/>
      <c r="NW398" s="457"/>
      <c r="NX398" s="457"/>
      <c r="NY398" s="457"/>
      <c r="NZ398" s="457"/>
      <c r="OA398" s="457"/>
      <c r="OB398" s="457"/>
      <c r="OC398" s="457"/>
      <c r="OD398" s="457"/>
      <c r="OE398" s="457"/>
      <c r="OF398" s="457"/>
      <c r="OG398" s="457"/>
      <c r="OH398" s="457"/>
      <c r="OI398" s="457"/>
      <c r="OJ398" s="457"/>
      <c r="OK398" s="457"/>
      <c r="OL398" s="457"/>
      <c r="OM398" s="457"/>
      <c r="ON398" s="457"/>
      <c r="OO398" s="457"/>
      <c r="OP398" s="457"/>
      <c r="OQ398" s="457"/>
      <c r="OR398" s="457"/>
      <c r="OS398" s="457"/>
      <c r="OT398" s="457"/>
      <c r="OU398" s="457"/>
      <c r="OV398" s="457"/>
      <c r="OW398" s="457"/>
      <c r="OX398" s="457"/>
      <c r="OY398" s="457"/>
      <c r="OZ398" s="457"/>
      <c r="PA398" s="457"/>
      <c r="PB398" s="457"/>
      <c r="PC398" s="457"/>
      <c r="PD398" s="457"/>
      <c r="PE398" s="457"/>
      <c r="PF398" s="457"/>
      <c r="PG398" s="457"/>
      <c r="PH398" s="457"/>
      <c r="PI398" s="457"/>
      <c r="PJ398" s="457"/>
      <c r="PK398" s="457"/>
      <c r="PL398" s="457"/>
      <c r="PM398" s="457"/>
      <c r="PN398" s="457"/>
      <c r="PO398" s="457"/>
      <c r="PP398" s="457"/>
      <c r="PQ398" s="457"/>
      <c r="PR398" s="457"/>
      <c r="PS398" s="457"/>
      <c r="PT398" s="457"/>
      <c r="PU398" s="457"/>
      <c r="PV398" s="457"/>
      <c r="PW398" s="457"/>
      <c r="PX398" s="457"/>
      <c r="PY398" s="457"/>
      <c r="PZ398" s="457"/>
      <c r="QA398" s="457"/>
      <c r="QB398" s="457"/>
      <c r="QC398" s="457"/>
      <c r="QD398" s="457"/>
      <c r="QE398" s="457"/>
      <c r="QF398" s="457"/>
      <c r="QG398" s="457"/>
      <c r="QH398" s="457"/>
      <c r="QI398" s="457"/>
      <c r="QJ398" s="457"/>
      <c r="QK398" s="457"/>
      <c r="QL398" s="457"/>
      <c r="QM398" s="457"/>
      <c r="QN398" s="457"/>
      <c r="QO398" s="457"/>
      <c r="QP398" s="457"/>
      <c r="QQ398" s="457"/>
      <c r="QR398" s="457"/>
      <c r="QS398" s="457"/>
      <c r="QT398" s="457"/>
      <c r="QU398" s="457"/>
      <c r="QV398" s="457"/>
      <c r="QW398" s="457"/>
      <c r="QX398" s="457"/>
      <c r="QY398" s="457"/>
      <c r="QZ398" s="457"/>
      <c r="RA398" s="457"/>
      <c r="RB398" s="457"/>
      <c r="RC398" s="457"/>
      <c r="RD398" s="457"/>
      <c r="RE398" s="457"/>
      <c r="RF398" s="457"/>
      <c r="RG398" s="457"/>
      <c r="RH398" s="457"/>
      <c r="RI398" s="457"/>
      <c r="RJ398" s="457"/>
      <c r="RK398" s="457"/>
      <c r="RL398" s="457"/>
      <c r="RM398" s="457"/>
      <c r="RN398" s="457"/>
      <c r="RO398" s="457"/>
      <c r="RP398" s="457"/>
      <c r="RQ398" s="457"/>
      <c r="RR398" s="457"/>
      <c r="RS398" s="457"/>
      <c r="RT398" s="457"/>
      <c r="RU398" s="457"/>
      <c r="RV398" s="457"/>
      <c r="RW398" s="457"/>
      <c r="RX398" s="457"/>
      <c r="RY398" s="457"/>
      <c r="RZ398" s="457"/>
      <c r="SA398" s="457"/>
      <c r="SB398" s="457"/>
      <c r="SC398" s="457"/>
      <c r="SD398" s="457"/>
      <c r="SE398" s="457"/>
      <c r="SF398" s="457"/>
      <c r="SG398" s="457"/>
      <c r="SH398" s="457"/>
      <c r="SI398" s="457"/>
      <c r="SJ398" s="457"/>
      <c r="SK398" s="457"/>
      <c r="SL398" s="457"/>
      <c r="SM398" s="457"/>
      <c r="SN398" s="457"/>
      <c r="SO398" s="457"/>
      <c r="SP398" s="457"/>
      <c r="SQ398" s="457"/>
      <c r="SR398" s="457"/>
      <c r="SS398" s="457"/>
      <c r="ST398" s="457"/>
      <c r="SU398" s="457"/>
      <c r="SV398" s="457"/>
      <c r="SW398" s="457"/>
      <c r="SX398" s="457"/>
      <c r="SY398" s="457"/>
      <c r="SZ398" s="457"/>
      <c r="TA398" s="457"/>
      <c r="TB398" s="457"/>
      <c r="TC398" s="457"/>
      <c r="TD398" s="457"/>
      <c r="TE398" s="457"/>
      <c r="TF398" s="457"/>
      <c r="TG398" s="457"/>
      <c r="TH398" s="457"/>
      <c r="TI398" s="457"/>
      <c r="TJ398" s="457"/>
      <c r="TK398" s="457"/>
      <c r="TL398" s="457"/>
      <c r="TM398" s="457"/>
      <c r="TN398" s="457"/>
      <c r="TO398" s="457"/>
      <c r="TP398" s="457"/>
      <c r="TQ398" s="457"/>
      <c r="TR398" s="457"/>
      <c r="TS398" s="457"/>
      <c r="TT398" s="457"/>
      <c r="TU398" s="457"/>
      <c r="TV398" s="457"/>
      <c r="TW398" s="457"/>
      <c r="TX398" s="457"/>
      <c r="TY398" s="457"/>
      <c r="TZ398" s="457"/>
      <c r="UA398" s="457"/>
      <c r="UB398" s="457"/>
      <c r="UC398" s="457"/>
      <c r="UD398" s="457"/>
      <c r="UE398" s="457"/>
      <c r="UF398" s="457"/>
      <c r="UG398" s="457"/>
      <c r="UH398" s="457"/>
      <c r="UI398" s="457"/>
      <c r="UJ398" s="457"/>
      <c r="UK398" s="457"/>
      <c r="UL398" s="457"/>
      <c r="UM398" s="457"/>
      <c r="UN398" s="457"/>
      <c r="UO398" s="457"/>
      <c r="UP398" s="457"/>
      <c r="UQ398" s="457"/>
      <c r="UR398" s="457"/>
      <c r="US398" s="457"/>
      <c r="UT398" s="457"/>
      <c r="UU398" s="457"/>
      <c r="UV398" s="457"/>
      <c r="UW398" s="457"/>
      <c r="UX398" s="457"/>
      <c r="UY398" s="457"/>
      <c r="UZ398" s="457"/>
      <c r="VA398" s="457"/>
      <c r="VB398" s="457"/>
      <c r="VC398" s="457"/>
      <c r="VD398" s="457"/>
      <c r="VE398" s="457"/>
      <c r="VF398" s="457"/>
      <c r="VG398" s="457"/>
      <c r="VH398" s="457"/>
      <c r="VI398" s="457"/>
      <c r="VJ398" s="457"/>
      <c r="VK398" s="457"/>
      <c r="VL398" s="457"/>
      <c r="VM398" s="457"/>
      <c r="VN398" s="457"/>
      <c r="VO398" s="457"/>
      <c r="VP398" s="457"/>
      <c r="VQ398" s="457"/>
      <c r="VR398" s="457"/>
      <c r="VS398" s="457"/>
      <c r="VT398" s="457"/>
      <c r="VU398" s="457"/>
      <c r="VV398" s="457"/>
      <c r="VW398" s="457"/>
      <c r="VX398" s="457"/>
      <c r="VY398" s="457"/>
      <c r="VZ398" s="457"/>
      <c r="WA398" s="457"/>
      <c r="WB398" s="457"/>
      <c r="WC398" s="457"/>
      <c r="WD398" s="457"/>
      <c r="WE398" s="457"/>
      <c r="WF398" s="457"/>
      <c r="WG398" s="457"/>
      <c r="WH398" s="457"/>
      <c r="WI398" s="457"/>
      <c r="WJ398" s="457"/>
      <c r="WK398" s="457"/>
      <c r="WL398" s="457"/>
      <c r="WM398" s="457"/>
      <c r="WN398" s="457"/>
      <c r="WO398" s="457"/>
      <c r="WP398" s="457"/>
      <c r="WQ398" s="457"/>
      <c r="WR398" s="457"/>
      <c r="WS398" s="457"/>
      <c r="WT398" s="457"/>
      <c r="WU398" s="457"/>
      <c r="WV398" s="457"/>
      <c r="WW398" s="457"/>
      <c r="WX398" s="457"/>
      <c r="WY398" s="457"/>
      <c r="WZ398" s="457"/>
      <c r="XA398" s="457"/>
      <c r="XB398" s="457"/>
      <c r="XC398" s="457"/>
      <c r="XD398" s="457"/>
      <c r="XE398" s="457"/>
      <c r="XF398" s="457"/>
      <c r="XG398" s="457"/>
      <c r="XH398" s="457"/>
      <c r="XI398" s="457"/>
      <c r="XJ398" s="457"/>
      <c r="XK398" s="457"/>
      <c r="XL398" s="457"/>
      <c r="XM398" s="457"/>
      <c r="XN398" s="457"/>
      <c r="XO398" s="457"/>
      <c r="XP398" s="457"/>
      <c r="XQ398" s="457"/>
      <c r="XR398" s="457"/>
      <c r="XS398" s="457"/>
      <c r="XT398" s="457"/>
      <c r="XU398" s="457"/>
      <c r="XV398" s="457"/>
      <c r="XW398" s="457"/>
      <c r="XX398" s="457"/>
      <c r="XY398" s="457"/>
      <c r="XZ398" s="457"/>
      <c r="YA398" s="457"/>
      <c r="YB398" s="457"/>
      <c r="YC398" s="457"/>
      <c r="YD398" s="457"/>
      <c r="YE398" s="457"/>
      <c r="YF398" s="457"/>
      <c r="YG398" s="457"/>
      <c r="YH398" s="457"/>
      <c r="YI398" s="457"/>
      <c r="YJ398" s="457"/>
      <c r="YK398" s="457"/>
      <c r="YL398" s="457"/>
      <c r="YM398" s="457"/>
      <c r="YN398" s="457"/>
      <c r="YO398" s="457"/>
      <c r="YP398" s="457"/>
      <c r="YQ398" s="457"/>
      <c r="YR398" s="457"/>
      <c r="YS398" s="457"/>
      <c r="YT398" s="457"/>
      <c r="YU398" s="457"/>
      <c r="YV398" s="457"/>
      <c r="YW398" s="457"/>
      <c r="YX398" s="457"/>
      <c r="YY398" s="457"/>
      <c r="YZ398" s="457"/>
      <c r="ZA398" s="457"/>
      <c r="ZB398" s="457"/>
      <c r="ZC398" s="457"/>
      <c r="ZD398" s="457"/>
      <c r="ZE398" s="457"/>
      <c r="ZF398" s="457"/>
      <c r="ZG398" s="457"/>
      <c r="ZH398" s="457"/>
      <c r="ZI398" s="457"/>
      <c r="ZJ398" s="457"/>
      <c r="ZK398" s="457"/>
      <c r="ZL398" s="457"/>
      <c r="ZM398" s="457"/>
      <c r="ZN398" s="457"/>
      <c r="ZO398" s="457"/>
      <c r="ZP398" s="457"/>
      <c r="ZQ398" s="457"/>
      <c r="ZR398" s="457"/>
      <c r="ZS398" s="457"/>
      <c r="ZT398" s="457"/>
      <c r="ZU398" s="457"/>
      <c r="ZV398" s="457"/>
      <c r="ZW398" s="457"/>
      <c r="ZX398" s="457"/>
      <c r="ZY398" s="457"/>
      <c r="ZZ398" s="457"/>
      <c r="AAA398" s="457"/>
      <c r="AAB398" s="457"/>
      <c r="AAC398" s="457"/>
      <c r="AAD398" s="457"/>
      <c r="AAE398" s="457"/>
      <c r="AAF398" s="457"/>
      <c r="AAG398" s="457"/>
      <c r="AAH398" s="457"/>
      <c r="AAI398" s="457"/>
      <c r="AAJ398" s="457"/>
      <c r="AAK398" s="457"/>
      <c r="AAL398" s="457"/>
      <c r="AAM398" s="457"/>
      <c r="AAN398" s="457"/>
      <c r="AAO398" s="457"/>
      <c r="AAP398" s="457"/>
      <c r="AAQ398" s="457"/>
      <c r="AAR398" s="457"/>
      <c r="AAS398" s="457"/>
      <c r="AAT398" s="457"/>
      <c r="AAU398" s="457"/>
      <c r="AAV398" s="457"/>
      <c r="AAW398" s="457"/>
      <c r="AAX398" s="457"/>
      <c r="AAY398" s="457"/>
      <c r="AAZ398" s="457"/>
      <c r="ABA398" s="457"/>
      <c r="ABB398" s="457"/>
      <c r="ABC398" s="457"/>
      <c r="ABD398" s="457"/>
      <c r="ABE398" s="457"/>
      <c r="ABF398" s="457"/>
      <c r="ABG398" s="457"/>
      <c r="ABH398" s="457"/>
      <c r="ABI398" s="457"/>
      <c r="ABJ398" s="457"/>
      <c r="ABK398" s="457"/>
      <c r="ABL398" s="457"/>
      <c r="ABM398" s="457"/>
      <c r="ABN398" s="457"/>
      <c r="ABO398" s="457"/>
      <c r="ABP398" s="457"/>
      <c r="ABQ398" s="457"/>
      <c r="ABR398" s="457"/>
      <c r="ABS398" s="457"/>
      <c r="ABT398" s="457"/>
      <c r="ABU398" s="457"/>
      <c r="ABV398" s="457"/>
      <c r="ABW398" s="457"/>
      <c r="ABX398" s="457"/>
      <c r="ABY398" s="457"/>
      <c r="ABZ398" s="457"/>
      <c r="ACA398" s="457"/>
      <c r="ACB398" s="457"/>
      <c r="ACC398" s="457"/>
      <c r="ACD398" s="457"/>
      <c r="ACE398" s="457"/>
      <c r="ACF398" s="457"/>
      <c r="ACG398" s="457"/>
      <c r="ACH398" s="457"/>
      <c r="ACI398" s="457"/>
      <c r="ACJ398" s="457"/>
      <c r="ACK398" s="457"/>
      <c r="ACL398" s="457"/>
      <c r="ACM398" s="457"/>
      <c r="ACN398" s="457"/>
      <c r="ACO398" s="457"/>
      <c r="ACP398" s="457"/>
      <c r="ACQ398" s="457"/>
      <c r="ACR398" s="457"/>
      <c r="ACS398" s="457"/>
      <c r="ACT398" s="457"/>
      <c r="ACU398" s="457"/>
      <c r="ACV398" s="457"/>
    </row>
    <row r="399" spans="1:776" s="400" customFormat="1" x14ac:dyDescent="0.25">
      <c r="A399" s="470">
        <v>900112</v>
      </c>
      <c r="B399" s="237" t="s">
        <v>248</v>
      </c>
      <c r="C399" s="455"/>
      <c r="D399" s="454" t="s">
        <v>215</v>
      </c>
      <c r="E399" s="466">
        <v>2.75</v>
      </c>
      <c r="F399" s="455">
        <v>48.1</v>
      </c>
      <c r="G399" s="34">
        <v>0.01</v>
      </c>
      <c r="H399" s="456">
        <v>7.0000000000000007E-2</v>
      </c>
      <c r="I399" s="41">
        <v>516.70000000000005</v>
      </c>
      <c r="J399" s="458">
        <v>250.2</v>
      </c>
      <c r="K399" s="458">
        <v>0.01</v>
      </c>
      <c r="L399" s="458">
        <v>405.6</v>
      </c>
      <c r="M399" s="34">
        <v>0.01</v>
      </c>
      <c r="N399" s="454">
        <v>1.7</v>
      </c>
      <c r="O399" s="454">
        <v>328.15</v>
      </c>
      <c r="P399" s="454">
        <v>108.13</v>
      </c>
      <c r="Q399" s="454">
        <v>87.35</v>
      </c>
      <c r="R399" s="467">
        <v>0.01</v>
      </c>
      <c r="S399" s="465">
        <v>0.01</v>
      </c>
      <c r="T399" s="467">
        <v>0.01</v>
      </c>
      <c r="U399" s="467">
        <v>0.01</v>
      </c>
      <c r="V399" s="454"/>
      <c r="W399" s="457"/>
      <c r="X399" s="457"/>
      <c r="Y399" s="457"/>
      <c r="Z399" s="457"/>
      <c r="AA399" s="457"/>
      <c r="AB399" s="457"/>
      <c r="AC399" s="457"/>
      <c r="AD399" s="457"/>
      <c r="AE399" s="457"/>
      <c r="AF399" s="457"/>
      <c r="AG399" s="457"/>
      <c r="AH399" s="457"/>
      <c r="AI399" s="457"/>
      <c r="AJ399" s="457"/>
      <c r="AK399" s="457"/>
      <c r="AL399" s="457"/>
      <c r="AM399" s="457"/>
      <c r="AN399" s="457"/>
      <c r="AO399" s="457"/>
      <c r="AP399" s="457"/>
      <c r="AQ399" s="457"/>
      <c r="AR399" s="457"/>
      <c r="AS399" s="457"/>
      <c r="AT399" s="457"/>
      <c r="AU399" s="457"/>
      <c r="AV399" s="457"/>
      <c r="AW399" s="457"/>
      <c r="AX399" s="457"/>
      <c r="AY399" s="457"/>
      <c r="AZ399" s="457"/>
      <c r="BA399" s="457"/>
      <c r="BB399" s="457"/>
      <c r="BC399" s="457"/>
      <c r="BD399" s="457"/>
      <c r="BE399" s="457"/>
      <c r="BF399" s="457"/>
      <c r="BG399" s="457"/>
      <c r="BH399" s="457"/>
      <c r="BI399" s="457"/>
      <c r="BJ399" s="457"/>
      <c r="BK399" s="457"/>
      <c r="BL399" s="457"/>
      <c r="BM399" s="457"/>
      <c r="BN399" s="457"/>
      <c r="BO399" s="457"/>
      <c r="BP399" s="457"/>
      <c r="BQ399" s="457"/>
      <c r="BR399" s="457"/>
      <c r="BS399" s="457"/>
      <c r="BT399" s="457"/>
      <c r="BU399" s="457"/>
      <c r="BV399" s="457"/>
      <c r="BW399" s="457"/>
      <c r="BX399" s="457"/>
      <c r="BY399" s="457"/>
      <c r="BZ399" s="457"/>
      <c r="CA399" s="457"/>
      <c r="CB399" s="457"/>
      <c r="CC399" s="457"/>
      <c r="CD399" s="457"/>
      <c r="CE399" s="457"/>
      <c r="CF399" s="457"/>
      <c r="CG399" s="457"/>
      <c r="CH399" s="457"/>
      <c r="CI399" s="457"/>
      <c r="CJ399" s="457"/>
      <c r="CK399" s="457"/>
      <c r="CL399" s="457"/>
      <c r="CM399" s="457"/>
      <c r="CN399" s="457"/>
      <c r="CO399" s="457"/>
      <c r="CP399" s="457"/>
      <c r="CQ399" s="457"/>
      <c r="CR399" s="457"/>
      <c r="CS399" s="457"/>
      <c r="CT399" s="457"/>
      <c r="CU399" s="457"/>
      <c r="CV399" s="457"/>
      <c r="CW399" s="457"/>
      <c r="CX399" s="457"/>
      <c r="CY399" s="457"/>
      <c r="CZ399" s="457"/>
      <c r="DA399" s="457"/>
      <c r="DB399" s="457"/>
      <c r="DC399" s="457"/>
      <c r="DD399" s="457"/>
      <c r="DE399" s="457"/>
      <c r="DF399" s="457"/>
      <c r="DG399" s="457"/>
      <c r="DH399" s="457"/>
      <c r="DI399" s="457"/>
      <c r="DJ399" s="457"/>
      <c r="DK399" s="457"/>
      <c r="DL399" s="457"/>
      <c r="DM399" s="457"/>
      <c r="DN399" s="457"/>
      <c r="DO399" s="457"/>
      <c r="DP399" s="457"/>
      <c r="DQ399" s="457"/>
      <c r="DR399" s="457"/>
      <c r="DS399" s="457"/>
      <c r="DT399" s="457"/>
      <c r="DU399" s="457"/>
      <c r="DV399" s="457"/>
      <c r="DW399" s="457"/>
      <c r="DX399" s="457"/>
      <c r="DY399" s="457"/>
      <c r="DZ399" s="457"/>
      <c r="EA399" s="457"/>
      <c r="EB399" s="457"/>
      <c r="EC399" s="457"/>
      <c r="ED399" s="457"/>
      <c r="EE399" s="457"/>
      <c r="EF399" s="457"/>
      <c r="EG399" s="457"/>
      <c r="EH399" s="457"/>
      <c r="EI399" s="457"/>
      <c r="EJ399" s="457"/>
      <c r="EK399" s="457"/>
      <c r="EL399" s="457"/>
      <c r="EM399" s="457"/>
      <c r="EN399" s="457"/>
      <c r="EO399" s="457"/>
      <c r="EP399" s="457"/>
      <c r="EQ399" s="457"/>
      <c r="ER399" s="457"/>
      <c r="ES399" s="457"/>
      <c r="ET399" s="457"/>
      <c r="EU399" s="457"/>
      <c r="EV399" s="457"/>
      <c r="EW399" s="457"/>
      <c r="EX399" s="457"/>
      <c r="EY399" s="457"/>
      <c r="EZ399" s="457"/>
      <c r="FA399" s="457"/>
      <c r="FB399" s="457"/>
      <c r="FC399" s="457"/>
      <c r="FD399" s="457"/>
      <c r="FE399" s="457"/>
      <c r="FF399" s="457"/>
      <c r="FG399" s="457"/>
      <c r="FH399" s="457"/>
      <c r="FI399" s="457"/>
      <c r="FJ399" s="457"/>
      <c r="FK399" s="457"/>
      <c r="FL399" s="457"/>
      <c r="FM399" s="457"/>
      <c r="FN399" s="457"/>
      <c r="FO399" s="457"/>
      <c r="FP399" s="457"/>
      <c r="FQ399" s="457"/>
      <c r="FR399" s="457"/>
      <c r="FS399" s="457"/>
      <c r="FT399" s="457"/>
      <c r="FU399" s="457"/>
      <c r="FV399" s="457"/>
      <c r="FW399" s="457"/>
      <c r="FX399" s="457"/>
      <c r="FY399" s="457"/>
      <c r="FZ399" s="457"/>
      <c r="GA399" s="457"/>
      <c r="GB399" s="457"/>
      <c r="GC399" s="457"/>
      <c r="GD399" s="457"/>
      <c r="GE399" s="457"/>
      <c r="GF399" s="457"/>
      <c r="GG399" s="457"/>
      <c r="GH399" s="457"/>
      <c r="GI399" s="457"/>
      <c r="GJ399" s="457"/>
      <c r="GK399" s="457"/>
      <c r="GL399" s="457"/>
      <c r="GM399" s="457"/>
      <c r="GN399" s="457"/>
      <c r="GO399" s="457"/>
      <c r="GP399" s="457"/>
      <c r="GQ399" s="457"/>
      <c r="GR399" s="457"/>
      <c r="GS399" s="457"/>
      <c r="GT399" s="457"/>
      <c r="GU399" s="457"/>
      <c r="GV399" s="457"/>
      <c r="GW399" s="457"/>
      <c r="GX399" s="457"/>
      <c r="GY399" s="457"/>
      <c r="GZ399" s="457"/>
      <c r="HA399" s="457"/>
      <c r="HB399" s="457"/>
      <c r="HC399" s="457"/>
      <c r="HD399" s="457"/>
      <c r="HE399" s="457"/>
      <c r="HF399" s="457"/>
      <c r="HG399" s="457"/>
      <c r="HH399" s="457"/>
      <c r="HI399" s="457"/>
      <c r="HJ399" s="457"/>
      <c r="HK399" s="457"/>
      <c r="HL399" s="457"/>
      <c r="HM399" s="457"/>
      <c r="HN399" s="457"/>
      <c r="HO399" s="457"/>
      <c r="HP399" s="457"/>
      <c r="HQ399" s="457"/>
      <c r="HR399" s="457"/>
      <c r="HS399" s="457"/>
      <c r="HT399" s="457"/>
      <c r="HU399" s="457"/>
      <c r="HV399" s="457"/>
      <c r="HW399" s="457"/>
      <c r="HX399" s="457"/>
      <c r="HY399" s="457"/>
      <c r="HZ399" s="457"/>
      <c r="IA399" s="457"/>
      <c r="IB399" s="457"/>
      <c r="IC399" s="457"/>
      <c r="ID399" s="457"/>
      <c r="IE399" s="457"/>
      <c r="IF399" s="457"/>
      <c r="IG399" s="457"/>
      <c r="IH399" s="457"/>
      <c r="II399" s="457"/>
      <c r="IJ399" s="457"/>
      <c r="IK399" s="457"/>
      <c r="IL399" s="457"/>
      <c r="IM399" s="457"/>
      <c r="IN399" s="457"/>
      <c r="IO399" s="457"/>
      <c r="IP399" s="457"/>
      <c r="IQ399" s="457"/>
      <c r="IR399" s="457"/>
      <c r="IS399" s="457"/>
      <c r="IT399" s="457"/>
      <c r="IU399" s="457"/>
      <c r="IV399" s="457"/>
      <c r="IW399" s="457"/>
      <c r="IX399" s="457"/>
      <c r="IY399" s="457"/>
      <c r="IZ399" s="457"/>
      <c r="JA399" s="457"/>
      <c r="JB399" s="457"/>
      <c r="JC399" s="457"/>
      <c r="JD399" s="457"/>
      <c r="JE399" s="457"/>
      <c r="JF399" s="457"/>
      <c r="JG399" s="457"/>
      <c r="JH399" s="457"/>
      <c r="JI399" s="457"/>
      <c r="JJ399" s="457"/>
      <c r="JK399" s="457"/>
      <c r="JL399" s="457"/>
      <c r="JM399" s="457"/>
      <c r="JN399" s="457"/>
      <c r="JO399" s="457"/>
      <c r="JP399" s="457"/>
      <c r="JQ399" s="457"/>
      <c r="JR399" s="457"/>
      <c r="JS399" s="457"/>
      <c r="JT399" s="457"/>
      <c r="JU399" s="457"/>
      <c r="JV399" s="457"/>
      <c r="JW399" s="457"/>
      <c r="JX399" s="457"/>
      <c r="JY399" s="457"/>
      <c r="JZ399" s="457"/>
      <c r="KA399" s="457"/>
      <c r="KB399" s="457"/>
      <c r="KC399" s="457"/>
      <c r="KD399" s="457"/>
      <c r="KE399" s="457"/>
      <c r="KF399" s="457"/>
      <c r="KG399" s="457"/>
      <c r="KH399" s="457"/>
      <c r="KI399" s="457"/>
      <c r="KJ399" s="457"/>
      <c r="KK399" s="457"/>
      <c r="KL399" s="457"/>
      <c r="KM399" s="457"/>
      <c r="KN399" s="457"/>
      <c r="KO399" s="457"/>
      <c r="KP399" s="457"/>
      <c r="KQ399" s="457"/>
      <c r="KR399" s="457"/>
      <c r="KS399" s="457"/>
      <c r="KT399" s="457"/>
      <c r="KU399" s="457"/>
      <c r="KV399" s="457"/>
      <c r="KW399" s="457"/>
      <c r="KX399" s="457"/>
      <c r="KY399" s="457"/>
      <c r="KZ399" s="457"/>
      <c r="LA399" s="457"/>
      <c r="LB399" s="457"/>
      <c r="LC399" s="457"/>
      <c r="LD399" s="457"/>
      <c r="LE399" s="457"/>
      <c r="LF399" s="457"/>
      <c r="LG399" s="457"/>
      <c r="LH399" s="457"/>
      <c r="LI399" s="457"/>
      <c r="LJ399" s="457"/>
      <c r="LK399" s="457"/>
      <c r="LL399" s="457"/>
      <c r="LM399" s="457"/>
      <c r="LN399" s="457"/>
      <c r="LO399" s="457"/>
      <c r="LP399" s="457"/>
      <c r="LQ399" s="457"/>
      <c r="LR399" s="457"/>
      <c r="LS399" s="457"/>
      <c r="LT399" s="457"/>
      <c r="LU399" s="457"/>
      <c r="LV399" s="457"/>
      <c r="LW399" s="457"/>
      <c r="LX399" s="457"/>
      <c r="LY399" s="457"/>
      <c r="LZ399" s="457"/>
      <c r="MA399" s="457"/>
      <c r="MB399" s="457"/>
      <c r="MC399" s="457"/>
      <c r="MD399" s="457"/>
      <c r="ME399" s="457"/>
      <c r="MF399" s="457"/>
      <c r="MG399" s="457"/>
      <c r="MH399" s="457"/>
      <c r="MI399" s="457"/>
      <c r="MJ399" s="457"/>
      <c r="MK399" s="457"/>
      <c r="ML399" s="457"/>
      <c r="MM399" s="457"/>
      <c r="MN399" s="457"/>
      <c r="MO399" s="457"/>
      <c r="MP399" s="457"/>
      <c r="MQ399" s="457"/>
      <c r="MR399" s="457"/>
      <c r="MS399" s="457"/>
      <c r="MT399" s="457"/>
      <c r="MU399" s="457"/>
      <c r="MV399" s="457"/>
      <c r="MW399" s="457"/>
      <c r="MX399" s="457"/>
      <c r="MY399" s="457"/>
      <c r="MZ399" s="457"/>
      <c r="NA399" s="457"/>
      <c r="NB399" s="457"/>
      <c r="NC399" s="457"/>
      <c r="ND399" s="457"/>
      <c r="NE399" s="457"/>
      <c r="NF399" s="457"/>
      <c r="NG399" s="457"/>
      <c r="NH399" s="457"/>
      <c r="NI399" s="457"/>
      <c r="NJ399" s="457"/>
      <c r="NK399" s="457"/>
      <c r="NL399" s="457"/>
      <c r="NM399" s="457"/>
      <c r="NN399" s="457"/>
      <c r="NO399" s="457"/>
      <c r="NP399" s="457"/>
      <c r="NQ399" s="457"/>
      <c r="NR399" s="457"/>
      <c r="NS399" s="457"/>
      <c r="NT399" s="457"/>
      <c r="NU399" s="457"/>
      <c r="NV399" s="457"/>
      <c r="NW399" s="457"/>
      <c r="NX399" s="457"/>
      <c r="NY399" s="457"/>
      <c r="NZ399" s="457"/>
      <c r="OA399" s="457"/>
      <c r="OB399" s="457"/>
      <c r="OC399" s="457"/>
      <c r="OD399" s="457"/>
      <c r="OE399" s="457"/>
      <c r="OF399" s="457"/>
      <c r="OG399" s="457"/>
      <c r="OH399" s="457"/>
      <c r="OI399" s="457"/>
      <c r="OJ399" s="457"/>
      <c r="OK399" s="457"/>
      <c r="OL399" s="457"/>
      <c r="OM399" s="457"/>
      <c r="ON399" s="457"/>
      <c r="OO399" s="457"/>
      <c r="OP399" s="457"/>
      <c r="OQ399" s="457"/>
      <c r="OR399" s="457"/>
      <c r="OS399" s="457"/>
      <c r="OT399" s="457"/>
      <c r="OU399" s="457"/>
      <c r="OV399" s="457"/>
      <c r="OW399" s="457"/>
      <c r="OX399" s="457"/>
      <c r="OY399" s="457"/>
      <c r="OZ399" s="457"/>
      <c r="PA399" s="457"/>
      <c r="PB399" s="457"/>
      <c r="PC399" s="457"/>
      <c r="PD399" s="457"/>
      <c r="PE399" s="457"/>
      <c r="PF399" s="457"/>
      <c r="PG399" s="457"/>
      <c r="PH399" s="457"/>
      <c r="PI399" s="457"/>
      <c r="PJ399" s="457"/>
      <c r="PK399" s="457"/>
      <c r="PL399" s="457"/>
      <c r="PM399" s="457"/>
      <c r="PN399" s="457"/>
      <c r="PO399" s="457"/>
      <c r="PP399" s="457"/>
      <c r="PQ399" s="457"/>
      <c r="PR399" s="457"/>
      <c r="PS399" s="457"/>
      <c r="PT399" s="457"/>
      <c r="PU399" s="457"/>
      <c r="PV399" s="457"/>
      <c r="PW399" s="457"/>
      <c r="PX399" s="457"/>
      <c r="PY399" s="457"/>
      <c r="PZ399" s="457"/>
      <c r="QA399" s="457"/>
      <c r="QB399" s="457"/>
      <c r="QC399" s="457"/>
      <c r="QD399" s="457"/>
      <c r="QE399" s="457"/>
      <c r="QF399" s="457"/>
      <c r="QG399" s="457"/>
      <c r="QH399" s="457"/>
      <c r="QI399" s="457"/>
      <c r="QJ399" s="457"/>
      <c r="QK399" s="457"/>
      <c r="QL399" s="457"/>
      <c r="QM399" s="457"/>
      <c r="QN399" s="457"/>
      <c r="QO399" s="457"/>
      <c r="QP399" s="457"/>
      <c r="QQ399" s="457"/>
      <c r="QR399" s="457"/>
      <c r="QS399" s="457"/>
      <c r="QT399" s="457"/>
      <c r="QU399" s="457"/>
      <c r="QV399" s="457"/>
      <c r="QW399" s="457"/>
      <c r="QX399" s="457"/>
      <c r="QY399" s="457"/>
      <c r="QZ399" s="457"/>
      <c r="RA399" s="457"/>
      <c r="RB399" s="457"/>
      <c r="RC399" s="457"/>
      <c r="RD399" s="457"/>
      <c r="RE399" s="457"/>
      <c r="RF399" s="457"/>
      <c r="RG399" s="457"/>
      <c r="RH399" s="457"/>
      <c r="RI399" s="457"/>
      <c r="RJ399" s="457"/>
      <c r="RK399" s="457"/>
      <c r="RL399" s="457"/>
      <c r="RM399" s="457"/>
      <c r="RN399" s="457"/>
      <c r="RO399" s="457"/>
      <c r="RP399" s="457"/>
      <c r="RQ399" s="457"/>
      <c r="RR399" s="457"/>
      <c r="RS399" s="457"/>
      <c r="RT399" s="457"/>
      <c r="RU399" s="457"/>
      <c r="RV399" s="457"/>
      <c r="RW399" s="457"/>
      <c r="RX399" s="457"/>
      <c r="RY399" s="457"/>
      <c r="RZ399" s="457"/>
      <c r="SA399" s="457"/>
      <c r="SB399" s="457"/>
      <c r="SC399" s="457"/>
      <c r="SD399" s="457"/>
      <c r="SE399" s="457"/>
      <c r="SF399" s="457"/>
      <c r="SG399" s="457"/>
      <c r="SH399" s="457"/>
      <c r="SI399" s="457"/>
      <c r="SJ399" s="457"/>
      <c r="SK399" s="457"/>
      <c r="SL399" s="457"/>
      <c r="SM399" s="457"/>
      <c r="SN399" s="457"/>
      <c r="SO399" s="457"/>
      <c r="SP399" s="457"/>
      <c r="SQ399" s="457"/>
      <c r="SR399" s="457"/>
      <c r="SS399" s="457"/>
      <c r="ST399" s="457"/>
      <c r="SU399" s="457"/>
      <c r="SV399" s="457"/>
      <c r="SW399" s="457"/>
      <c r="SX399" s="457"/>
      <c r="SY399" s="457"/>
      <c r="SZ399" s="457"/>
      <c r="TA399" s="457"/>
      <c r="TB399" s="457"/>
      <c r="TC399" s="457"/>
      <c r="TD399" s="457"/>
      <c r="TE399" s="457"/>
      <c r="TF399" s="457"/>
      <c r="TG399" s="457"/>
      <c r="TH399" s="457"/>
      <c r="TI399" s="457"/>
      <c r="TJ399" s="457"/>
      <c r="TK399" s="457"/>
      <c r="TL399" s="457"/>
      <c r="TM399" s="457"/>
      <c r="TN399" s="457"/>
      <c r="TO399" s="457"/>
      <c r="TP399" s="457"/>
      <c r="TQ399" s="457"/>
      <c r="TR399" s="457"/>
      <c r="TS399" s="457"/>
      <c r="TT399" s="457"/>
      <c r="TU399" s="457"/>
      <c r="TV399" s="457"/>
      <c r="TW399" s="457"/>
      <c r="TX399" s="457"/>
      <c r="TY399" s="457"/>
      <c r="TZ399" s="457"/>
      <c r="UA399" s="457"/>
      <c r="UB399" s="457"/>
      <c r="UC399" s="457"/>
      <c r="UD399" s="457"/>
      <c r="UE399" s="457"/>
      <c r="UF399" s="457"/>
      <c r="UG399" s="457"/>
      <c r="UH399" s="457"/>
      <c r="UI399" s="457"/>
      <c r="UJ399" s="457"/>
      <c r="UK399" s="457"/>
      <c r="UL399" s="457"/>
      <c r="UM399" s="457"/>
      <c r="UN399" s="457"/>
      <c r="UO399" s="457"/>
      <c r="UP399" s="457"/>
      <c r="UQ399" s="457"/>
      <c r="UR399" s="457"/>
      <c r="US399" s="457"/>
      <c r="UT399" s="457"/>
      <c r="UU399" s="457"/>
      <c r="UV399" s="457"/>
      <c r="UW399" s="457"/>
      <c r="UX399" s="457"/>
      <c r="UY399" s="457"/>
      <c r="UZ399" s="457"/>
      <c r="VA399" s="457"/>
      <c r="VB399" s="457"/>
      <c r="VC399" s="457"/>
      <c r="VD399" s="457"/>
      <c r="VE399" s="457"/>
      <c r="VF399" s="457"/>
      <c r="VG399" s="457"/>
      <c r="VH399" s="457"/>
      <c r="VI399" s="457"/>
      <c r="VJ399" s="457"/>
      <c r="VK399" s="457"/>
      <c r="VL399" s="457"/>
      <c r="VM399" s="457"/>
      <c r="VN399" s="457"/>
      <c r="VO399" s="457"/>
      <c r="VP399" s="457"/>
      <c r="VQ399" s="457"/>
      <c r="VR399" s="457"/>
      <c r="VS399" s="457"/>
      <c r="VT399" s="457"/>
      <c r="VU399" s="457"/>
      <c r="VV399" s="457"/>
      <c r="VW399" s="457"/>
      <c r="VX399" s="457"/>
      <c r="VY399" s="457"/>
      <c r="VZ399" s="457"/>
      <c r="WA399" s="457"/>
      <c r="WB399" s="457"/>
      <c r="WC399" s="457"/>
      <c r="WD399" s="457"/>
      <c r="WE399" s="457"/>
      <c r="WF399" s="457"/>
      <c r="WG399" s="457"/>
      <c r="WH399" s="457"/>
      <c r="WI399" s="457"/>
      <c r="WJ399" s="457"/>
      <c r="WK399" s="457"/>
      <c r="WL399" s="457"/>
      <c r="WM399" s="457"/>
      <c r="WN399" s="457"/>
      <c r="WO399" s="457"/>
      <c r="WP399" s="457"/>
      <c r="WQ399" s="457"/>
      <c r="WR399" s="457"/>
      <c r="WS399" s="457"/>
      <c r="WT399" s="457"/>
      <c r="WU399" s="457"/>
      <c r="WV399" s="457"/>
      <c r="WW399" s="457"/>
      <c r="WX399" s="457"/>
      <c r="WY399" s="457"/>
      <c r="WZ399" s="457"/>
      <c r="XA399" s="457"/>
      <c r="XB399" s="457"/>
      <c r="XC399" s="457"/>
      <c r="XD399" s="457"/>
      <c r="XE399" s="457"/>
      <c r="XF399" s="457"/>
      <c r="XG399" s="457"/>
      <c r="XH399" s="457"/>
      <c r="XI399" s="457"/>
      <c r="XJ399" s="457"/>
      <c r="XK399" s="457"/>
      <c r="XL399" s="457"/>
      <c r="XM399" s="457"/>
      <c r="XN399" s="457"/>
      <c r="XO399" s="457"/>
      <c r="XP399" s="457"/>
      <c r="XQ399" s="457"/>
      <c r="XR399" s="457"/>
      <c r="XS399" s="457"/>
      <c r="XT399" s="457"/>
      <c r="XU399" s="457"/>
      <c r="XV399" s="457"/>
      <c r="XW399" s="457"/>
      <c r="XX399" s="457"/>
      <c r="XY399" s="457"/>
      <c r="XZ399" s="457"/>
      <c r="YA399" s="457"/>
      <c r="YB399" s="457"/>
      <c r="YC399" s="457"/>
      <c r="YD399" s="457"/>
      <c r="YE399" s="457"/>
      <c r="YF399" s="457"/>
      <c r="YG399" s="457"/>
      <c r="YH399" s="457"/>
      <c r="YI399" s="457"/>
      <c r="YJ399" s="457"/>
      <c r="YK399" s="457"/>
      <c r="YL399" s="457"/>
      <c r="YM399" s="457"/>
      <c r="YN399" s="457"/>
      <c r="YO399" s="457"/>
      <c r="YP399" s="457"/>
      <c r="YQ399" s="457"/>
      <c r="YR399" s="457"/>
      <c r="YS399" s="457"/>
      <c r="YT399" s="457"/>
      <c r="YU399" s="457"/>
      <c r="YV399" s="457"/>
      <c r="YW399" s="457"/>
      <c r="YX399" s="457"/>
      <c r="YY399" s="457"/>
      <c r="YZ399" s="457"/>
      <c r="ZA399" s="457"/>
      <c r="ZB399" s="457"/>
      <c r="ZC399" s="457"/>
      <c r="ZD399" s="457"/>
      <c r="ZE399" s="457"/>
      <c r="ZF399" s="457"/>
      <c r="ZG399" s="457"/>
      <c r="ZH399" s="457"/>
      <c r="ZI399" s="457"/>
      <c r="ZJ399" s="457"/>
      <c r="ZK399" s="457"/>
      <c r="ZL399" s="457"/>
      <c r="ZM399" s="457"/>
      <c r="ZN399" s="457"/>
      <c r="ZO399" s="457"/>
      <c r="ZP399" s="457"/>
      <c r="ZQ399" s="457"/>
      <c r="ZR399" s="457"/>
      <c r="ZS399" s="457"/>
      <c r="ZT399" s="457"/>
      <c r="ZU399" s="457"/>
      <c r="ZV399" s="457"/>
      <c r="ZW399" s="457"/>
      <c r="ZX399" s="457"/>
      <c r="ZY399" s="457"/>
      <c r="ZZ399" s="457"/>
      <c r="AAA399" s="457"/>
      <c r="AAB399" s="457"/>
      <c r="AAC399" s="457"/>
      <c r="AAD399" s="457"/>
      <c r="AAE399" s="457"/>
      <c r="AAF399" s="457"/>
      <c r="AAG399" s="457"/>
      <c r="AAH399" s="457"/>
      <c r="AAI399" s="457"/>
      <c r="AAJ399" s="457"/>
      <c r="AAK399" s="457"/>
      <c r="AAL399" s="457"/>
      <c r="AAM399" s="457"/>
      <c r="AAN399" s="457"/>
      <c r="AAO399" s="457"/>
      <c r="AAP399" s="457"/>
      <c r="AAQ399" s="457"/>
      <c r="AAR399" s="457"/>
      <c r="AAS399" s="457"/>
      <c r="AAT399" s="457"/>
      <c r="AAU399" s="457"/>
      <c r="AAV399" s="457"/>
      <c r="AAW399" s="457"/>
      <c r="AAX399" s="457"/>
      <c r="AAY399" s="457"/>
      <c r="AAZ399" s="457"/>
      <c r="ABA399" s="457"/>
      <c r="ABB399" s="457"/>
      <c r="ABC399" s="457"/>
      <c r="ABD399" s="457"/>
      <c r="ABE399" s="457"/>
      <c r="ABF399" s="457"/>
      <c r="ABG399" s="457"/>
      <c r="ABH399" s="457"/>
      <c r="ABI399" s="457"/>
      <c r="ABJ399" s="457"/>
      <c r="ABK399" s="457"/>
      <c r="ABL399" s="457"/>
      <c r="ABM399" s="457"/>
      <c r="ABN399" s="457"/>
      <c r="ABO399" s="457"/>
      <c r="ABP399" s="457"/>
      <c r="ABQ399" s="457"/>
      <c r="ABR399" s="457"/>
      <c r="ABS399" s="457"/>
      <c r="ABT399" s="457"/>
      <c r="ABU399" s="457"/>
      <c r="ABV399" s="457"/>
      <c r="ABW399" s="457"/>
      <c r="ABX399" s="457"/>
      <c r="ABY399" s="457"/>
      <c r="ABZ399" s="457"/>
      <c r="ACA399" s="457"/>
      <c r="ACB399" s="457"/>
      <c r="ACC399" s="457"/>
      <c r="ACD399" s="457"/>
      <c r="ACE399" s="457"/>
      <c r="ACF399" s="457"/>
      <c r="ACG399" s="457"/>
      <c r="ACH399" s="457"/>
      <c r="ACI399" s="457"/>
      <c r="ACJ399" s="457"/>
      <c r="ACK399" s="457"/>
      <c r="ACL399" s="457"/>
      <c r="ACM399" s="457"/>
      <c r="ACN399" s="457"/>
      <c r="ACO399" s="457"/>
      <c r="ACP399" s="457"/>
      <c r="ACQ399" s="457"/>
      <c r="ACR399" s="457"/>
      <c r="ACS399" s="457"/>
      <c r="ACT399" s="457"/>
      <c r="ACU399" s="457"/>
      <c r="ACV399" s="457"/>
    </row>
    <row r="400" spans="1:776" s="400" customFormat="1" x14ac:dyDescent="0.25">
      <c r="A400" s="470">
        <v>900113</v>
      </c>
      <c r="B400" s="237" t="s">
        <v>249</v>
      </c>
      <c r="C400" s="455"/>
      <c r="D400" s="454" t="s">
        <v>250</v>
      </c>
      <c r="E400" s="466">
        <v>1.42</v>
      </c>
      <c r="F400" s="455">
        <v>4</v>
      </c>
      <c r="G400" s="34">
        <v>0.01</v>
      </c>
      <c r="H400" s="456">
        <v>1.61</v>
      </c>
      <c r="I400" s="456">
        <v>257.3</v>
      </c>
      <c r="J400" s="458">
        <v>88.7</v>
      </c>
      <c r="K400" s="458">
        <v>0.7</v>
      </c>
      <c r="L400" s="458">
        <v>280.8</v>
      </c>
      <c r="M400" s="34">
        <v>0.01</v>
      </c>
      <c r="N400" s="454">
        <v>8.67</v>
      </c>
      <c r="O400" s="454">
        <v>166.09</v>
      </c>
      <c r="P400" s="454">
        <v>73.69</v>
      </c>
      <c r="Q400" s="454">
        <v>32.159999999999997</v>
      </c>
      <c r="R400" s="467">
        <v>0.01</v>
      </c>
      <c r="S400" s="465">
        <v>0.01</v>
      </c>
      <c r="T400" s="467">
        <v>0.02</v>
      </c>
      <c r="U400" s="467">
        <v>0.12</v>
      </c>
      <c r="V400" s="454"/>
      <c r="W400" s="457"/>
      <c r="X400" s="457"/>
      <c r="Y400" s="457"/>
      <c r="Z400" s="457"/>
      <c r="AA400" s="457"/>
      <c r="AB400" s="457"/>
      <c r="AC400" s="457"/>
      <c r="AD400" s="457"/>
      <c r="AE400" s="457"/>
      <c r="AF400" s="457"/>
      <c r="AG400" s="457"/>
      <c r="AH400" s="457"/>
      <c r="AI400" s="457"/>
      <c r="AJ400" s="457"/>
      <c r="AK400" s="457"/>
      <c r="AL400" s="457"/>
      <c r="AM400" s="457"/>
      <c r="AN400" s="457"/>
      <c r="AO400" s="457"/>
      <c r="AP400" s="457"/>
      <c r="AQ400" s="457"/>
      <c r="AR400" s="457"/>
      <c r="AS400" s="457"/>
      <c r="AT400" s="457"/>
      <c r="AU400" s="457"/>
      <c r="AV400" s="457"/>
      <c r="AW400" s="457"/>
      <c r="AX400" s="457"/>
      <c r="AY400" s="457"/>
      <c r="AZ400" s="457"/>
      <c r="BA400" s="457"/>
      <c r="BB400" s="457"/>
      <c r="BC400" s="457"/>
      <c r="BD400" s="457"/>
      <c r="BE400" s="457"/>
      <c r="BF400" s="457"/>
      <c r="BG400" s="457"/>
      <c r="BH400" s="457"/>
      <c r="BI400" s="457"/>
      <c r="BJ400" s="457"/>
      <c r="BK400" s="457"/>
      <c r="BL400" s="457"/>
      <c r="BM400" s="457"/>
      <c r="BN400" s="457"/>
      <c r="BO400" s="457"/>
      <c r="BP400" s="457"/>
      <c r="BQ400" s="457"/>
      <c r="BR400" s="457"/>
      <c r="BS400" s="457"/>
      <c r="BT400" s="457"/>
      <c r="BU400" s="457"/>
      <c r="BV400" s="457"/>
      <c r="BW400" s="457"/>
      <c r="BX400" s="457"/>
      <c r="BY400" s="457"/>
      <c r="BZ400" s="457"/>
      <c r="CA400" s="457"/>
      <c r="CB400" s="457"/>
      <c r="CC400" s="457"/>
      <c r="CD400" s="457"/>
      <c r="CE400" s="457"/>
      <c r="CF400" s="457"/>
      <c r="CG400" s="457"/>
      <c r="CH400" s="457"/>
      <c r="CI400" s="457"/>
      <c r="CJ400" s="457"/>
      <c r="CK400" s="457"/>
      <c r="CL400" s="457"/>
      <c r="CM400" s="457"/>
      <c r="CN400" s="457"/>
      <c r="CO400" s="457"/>
      <c r="CP400" s="457"/>
      <c r="CQ400" s="457"/>
      <c r="CR400" s="457"/>
      <c r="CS400" s="457"/>
      <c r="CT400" s="457"/>
      <c r="CU400" s="457"/>
      <c r="CV400" s="457"/>
      <c r="CW400" s="457"/>
      <c r="CX400" s="457"/>
      <c r="CY400" s="457"/>
      <c r="CZ400" s="457"/>
      <c r="DA400" s="457"/>
      <c r="DB400" s="457"/>
      <c r="DC400" s="457"/>
      <c r="DD400" s="457"/>
      <c r="DE400" s="457"/>
      <c r="DF400" s="457"/>
      <c r="DG400" s="457"/>
      <c r="DH400" s="457"/>
      <c r="DI400" s="457"/>
      <c r="DJ400" s="457"/>
      <c r="DK400" s="457"/>
      <c r="DL400" s="457"/>
      <c r="DM400" s="457"/>
      <c r="DN400" s="457"/>
      <c r="DO400" s="457"/>
      <c r="DP400" s="457"/>
      <c r="DQ400" s="457"/>
      <c r="DR400" s="457"/>
      <c r="DS400" s="457"/>
      <c r="DT400" s="457"/>
      <c r="DU400" s="457"/>
      <c r="DV400" s="457"/>
      <c r="DW400" s="457"/>
      <c r="DX400" s="457"/>
      <c r="DY400" s="457"/>
      <c r="DZ400" s="457"/>
      <c r="EA400" s="457"/>
      <c r="EB400" s="457"/>
      <c r="EC400" s="457"/>
      <c r="ED400" s="457"/>
      <c r="EE400" s="457"/>
      <c r="EF400" s="457"/>
      <c r="EG400" s="457"/>
      <c r="EH400" s="457"/>
      <c r="EI400" s="457"/>
      <c r="EJ400" s="457"/>
      <c r="EK400" s="457"/>
      <c r="EL400" s="457"/>
      <c r="EM400" s="457"/>
      <c r="EN400" s="457"/>
      <c r="EO400" s="457"/>
      <c r="EP400" s="457"/>
      <c r="EQ400" s="457"/>
      <c r="ER400" s="457"/>
      <c r="ES400" s="457"/>
      <c r="ET400" s="457"/>
      <c r="EU400" s="457"/>
      <c r="EV400" s="457"/>
      <c r="EW400" s="457"/>
      <c r="EX400" s="457"/>
      <c r="EY400" s="457"/>
      <c r="EZ400" s="457"/>
      <c r="FA400" s="457"/>
      <c r="FB400" s="457"/>
      <c r="FC400" s="457"/>
      <c r="FD400" s="457"/>
      <c r="FE400" s="457"/>
      <c r="FF400" s="457"/>
      <c r="FG400" s="457"/>
      <c r="FH400" s="457"/>
      <c r="FI400" s="457"/>
      <c r="FJ400" s="457"/>
      <c r="FK400" s="457"/>
      <c r="FL400" s="457"/>
      <c r="FM400" s="457"/>
      <c r="FN400" s="457"/>
      <c r="FO400" s="457"/>
      <c r="FP400" s="457"/>
      <c r="FQ400" s="457"/>
      <c r="FR400" s="457"/>
      <c r="FS400" s="457"/>
      <c r="FT400" s="457"/>
      <c r="FU400" s="457"/>
      <c r="FV400" s="457"/>
      <c r="FW400" s="457"/>
      <c r="FX400" s="457"/>
      <c r="FY400" s="457"/>
      <c r="FZ400" s="457"/>
      <c r="GA400" s="457"/>
      <c r="GB400" s="457"/>
      <c r="GC400" s="457"/>
      <c r="GD400" s="457"/>
      <c r="GE400" s="457"/>
      <c r="GF400" s="457"/>
      <c r="GG400" s="457"/>
      <c r="GH400" s="457"/>
      <c r="GI400" s="457"/>
      <c r="GJ400" s="457"/>
      <c r="GK400" s="457"/>
      <c r="GL400" s="457"/>
      <c r="GM400" s="457"/>
      <c r="GN400" s="457"/>
      <c r="GO400" s="457"/>
      <c r="GP400" s="457"/>
      <c r="GQ400" s="457"/>
      <c r="GR400" s="457"/>
      <c r="GS400" s="457"/>
      <c r="GT400" s="457"/>
      <c r="GU400" s="457"/>
      <c r="GV400" s="457"/>
      <c r="GW400" s="457"/>
      <c r="GX400" s="457"/>
      <c r="GY400" s="457"/>
      <c r="GZ400" s="457"/>
      <c r="HA400" s="457"/>
      <c r="HB400" s="457"/>
      <c r="HC400" s="457"/>
      <c r="HD400" s="457"/>
      <c r="HE400" s="457"/>
      <c r="HF400" s="457"/>
      <c r="HG400" s="457"/>
      <c r="HH400" s="457"/>
      <c r="HI400" s="457"/>
      <c r="HJ400" s="457"/>
      <c r="HK400" s="457"/>
      <c r="HL400" s="457"/>
      <c r="HM400" s="457"/>
      <c r="HN400" s="457"/>
      <c r="HO400" s="457"/>
      <c r="HP400" s="457"/>
      <c r="HQ400" s="457"/>
      <c r="HR400" s="457"/>
      <c r="HS400" s="457"/>
      <c r="HT400" s="457"/>
      <c r="HU400" s="457"/>
      <c r="HV400" s="457"/>
      <c r="HW400" s="457"/>
      <c r="HX400" s="457"/>
      <c r="HY400" s="457"/>
      <c r="HZ400" s="457"/>
      <c r="IA400" s="457"/>
      <c r="IB400" s="457"/>
      <c r="IC400" s="457"/>
      <c r="ID400" s="457"/>
      <c r="IE400" s="457"/>
      <c r="IF400" s="457"/>
      <c r="IG400" s="457"/>
      <c r="IH400" s="457"/>
      <c r="II400" s="457"/>
      <c r="IJ400" s="457"/>
      <c r="IK400" s="457"/>
      <c r="IL400" s="457"/>
      <c r="IM400" s="457"/>
      <c r="IN400" s="457"/>
      <c r="IO400" s="457"/>
      <c r="IP400" s="457"/>
      <c r="IQ400" s="457"/>
      <c r="IR400" s="457"/>
      <c r="IS400" s="457"/>
      <c r="IT400" s="457"/>
      <c r="IU400" s="457"/>
      <c r="IV400" s="457"/>
      <c r="IW400" s="457"/>
      <c r="IX400" s="457"/>
      <c r="IY400" s="457"/>
      <c r="IZ400" s="457"/>
      <c r="JA400" s="457"/>
      <c r="JB400" s="457"/>
      <c r="JC400" s="457"/>
      <c r="JD400" s="457"/>
      <c r="JE400" s="457"/>
      <c r="JF400" s="457"/>
      <c r="JG400" s="457"/>
      <c r="JH400" s="457"/>
      <c r="JI400" s="457"/>
      <c r="JJ400" s="457"/>
      <c r="JK400" s="457"/>
      <c r="JL400" s="457"/>
      <c r="JM400" s="457"/>
      <c r="JN400" s="457"/>
      <c r="JO400" s="457"/>
      <c r="JP400" s="457"/>
      <c r="JQ400" s="457"/>
      <c r="JR400" s="457"/>
      <c r="JS400" s="457"/>
      <c r="JT400" s="457"/>
      <c r="JU400" s="457"/>
      <c r="JV400" s="457"/>
      <c r="JW400" s="457"/>
      <c r="JX400" s="457"/>
      <c r="JY400" s="457"/>
      <c r="JZ400" s="457"/>
      <c r="KA400" s="457"/>
      <c r="KB400" s="457"/>
      <c r="KC400" s="457"/>
      <c r="KD400" s="457"/>
      <c r="KE400" s="457"/>
      <c r="KF400" s="457"/>
      <c r="KG400" s="457"/>
      <c r="KH400" s="457"/>
      <c r="KI400" s="457"/>
      <c r="KJ400" s="457"/>
      <c r="KK400" s="457"/>
      <c r="KL400" s="457"/>
      <c r="KM400" s="457"/>
      <c r="KN400" s="457"/>
      <c r="KO400" s="457"/>
      <c r="KP400" s="457"/>
      <c r="KQ400" s="457"/>
      <c r="KR400" s="457"/>
      <c r="KS400" s="457"/>
      <c r="KT400" s="457"/>
      <c r="KU400" s="457"/>
      <c r="KV400" s="457"/>
      <c r="KW400" s="457"/>
      <c r="KX400" s="457"/>
      <c r="KY400" s="457"/>
      <c r="KZ400" s="457"/>
      <c r="LA400" s="457"/>
      <c r="LB400" s="457"/>
      <c r="LC400" s="457"/>
      <c r="LD400" s="457"/>
      <c r="LE400" s="457"/>
      <c r="LF400" s="457"/>
      <c r="LG400" s="457"/>
      <c r="LH400" s="457"/>
      <c r="LI400" s="457"/>
      <c r="LJ400" s="457"/>
      <c r="LK400" s="457"/>
      <c r="LL400" s="457"/>
      <c r="LM400" s="457"/>
      <c r="LN400" s="457"/>
      <c r="LO400" s="457"/>
      <c r="LP400" s="457"/>
      <c r="LQ400" s="457"/>
      <c r="LR400" s="457"/>
      <c r="LS400" s="457"/>
      <c r="LT400" s="457"/>
      <c r="LU400" s="457"/>
      <c r="LV400" s="457"/>
      <c r="LW400" s="457"/>
      <c r="LX400" s="457"/>
      <c r="LY400" s="457"/>
      <c r="LZ400" s="457"/>
      <c r="MA400" s="457"/>
      <c r="MB400" s="457"/>
      <c r="MC400" s="457"/>
      <c r="MD400" s="457"/>
      <c r="ME400" s="457"/>
      <c r="MF400" s="457"/>
      <c r="MG400" s="457"/>
      <c r="MH400" s="457"/>
      <c r="MI400" s="457"/>
      <c r="MJ400" s="457"/>
      <c r="MK400" s="457"/>
      <c r="ML400" s="457"/>
      <c r="MM400" s="457"/>
      <c r="MN400" s="457"/>
      <c r="MO400" s="457"/>
      <c r="MP400" s="457"/>
      <c r="MQ400" s="457"/>
      <c r="MR400" s="457"/>
      <c r="MS400" s="457"/>
      <c r="MT400" s="457"/>
      <c r="MU400" s="457"/>
      <c r="MV400" s="457"/>
      <c r="MW400" s="457"/>
      <c r="MX400" s="457"/>
      <c r="MY400" s="457"/>
      <c r="MZ400" s="457"/>
      <c r="NA400" s="457"/>
      <c r="NB400" s="457"/>
      <c r="NC400" s="457"/>
      <c r="ND400" s="457"/>
      <c r="NE400" s="457"/>
      <c r="NF400" s="457"/>
      <c r="NG400" s="457"/>
      <c r="NH400" s="457"/>
      <c r="NI400" s="457"/>
      <c r="NJ400" s="457"/>
      <c r="NK400" s="457"/>
      <c r="NL400" s="457"/>
      <c r="NM400" s="457"/>
      <c r="NN400" s="457"/>
      <c r="NO400" s="457"/>
      <c r="NP400" s="457"/>
      <c r="NQ400" s="457"/>
      <c r="NR400" s="457"/>
      <c r="NS400" s="457"/>
      <c r="NT400" s="457"/>
      <c r="NU400" s="457"/>
      <c r="NV400" s="457"/>
      <c r="NW400" s="457"/>
      <c r="NX400" s="457"/>
      <c r="NY400" s="457"/>
      <c r="NZ400" s="457"/>
      <c r="OA400" s="457"/>
      <c r="OB400" s="457"/>
      <c r="OC400" s="457"/>
      <c r="OD400" s="457"/>
      <c r="OE400" s="457"/>
      <c r="OF400" s="457"/>
      <c r="OG400" s="457"/>
      <c r="OH400" s="457"/>
      <c r="OI400" s="457"/>
      <c r="OJ400" s="457"/>
      <c r="OK400" s="457"/>
      <c r="OL400" s="457"/>
      <c r="OM400" s="457"/>
      <c r="ON400" s="457"/>
      <c r="OO400" s="457"/>
      <c r="OP400" s="457"/>
      <c r="OQ400" s="457"/>
      <c r="OR400" s="457"/>
      <c r="OS400" s="457"/>
      <c r="OT400" s="457"/>
      <c r="OU400" s="457"/>
      <c r="OV400" s="457"/>
      <c r="OW400" s="457"/>
      <c r="OX400" s="457"/>
      <c r="OY400" s="457"/>
      <c r="OZ400" s="457"/>
      <c r="PA400" s="457"/>
      <c r="PB400" s="457"/>
      <c r="PC400" s="457"/>
      <c r="PD400" s="457"/>
      <c r="PE400" s="457"/>
      <c r="PF400" s="457"/>
      <c r="PG400" s="457"/>
      <c r="PH400" s="457"/>
      <c r="PI400" s="457"/>
      <c r="PJ400" s="457"/>
      <c r="PK400" s="457"/>
      <c r="PL400" s="457"/>
      <c r="PM400" s="457"/>
      <c r="PN400" s="457"/>
      <c r="PO400" s="457"/>
      <c r="PP400" s="457"/>
      <c r="PQ400" s="457"/>
      <c r="PR400" s="457"/>
      <c r="PS400" s="457"/>
      <c r="PT400" s="457"/>
      <c r="PU400" s="457"/>
      <c r="PV400" s="457"/>
      <c r="PW400" s="457"/>
      <c r="PX400" s="457"/>
      <c r="PY400" s="457"/>
      <c r="PZ400" s="457"/>
      <c r="QA400" s="457"/>
      <c r="QB400" s="457"/>
      <c r="QC400" s="457"/>
      <c r="QD400" s="457"/>
      <c r="QE400" s="457"/>
      <c r="QF400" s="457"/>
      <c r="QG400" s="457"/>
      <c r="QH400" s="457"/>
      <c r="QI400" s="457"/>
      <c r="QJ400" s="457"/>
      <c r="QK400" s="457"/>
      <c r="QL400" s="457"/>
      <c r="QM400" s="457"/>
      <c r="QN400" s="457"/>
      <c r="QO400" s="457"/>
      <c r="QP400" s="457"/>
      <c r="QQ400" s="457"/>
      <c r="QR400" s="457"/>
      <c r="QS400" s="457"/>
      <c r="QT400" s="457"/>
      <c r="QU400" s="457"/>
      <c r="QV400" s="457"/>
      <c r="QW400" s="457"/>
      <c r="QX400" s="457"/>
      <c r="QY400" s="457"/>
      <c r="QZ400" s="457"/>
      <c r="RA400" s="457"/>
      <c r="RB400" s="457"/>
      <c r="RC400" s="457"/>
      <c r="RD400" s="457"/>
      <c r="RE400" s="457"/>
      <c r="RF400" s="457"/>
      <c r="RG400" s="457"/>
      <c r="RH400" s="457"/>
      <c r="RI400" s="457"/>
      <c r="RJ400" s="457"/>
      <c r="RK400" s="457"/>
      <c r="RL400" s="457"/>
      <c r="RM400" s="457"/>
      <c r="RN400" s="457"/>
      <c r="RO400" s="457"/>
      <c r="RP400" s="457"/>
      <c r="RQ400" s="457"/>
      <c r="RR400" s="457"/>
      <c r="RS400" s="457"/>
      <c r="RT400" s="457"/>
      <c r="RU400" s="457"/>
      <c r="RV400" s="457"/>
      <c r="RW400" s="457"/>
      <c r="RX400" s="457"/>
      <c r="RY400" s="457"/>
      <c r="RZ400" s="457"/>
      <c r="SA400" s="457"/>
      <c r="SB400" s="457"/>
      <c r="SC400" s="457"/>
      <c r="SD400" s="457"/>
      <c r="SE400" s="457"/>
      <c r="SF400" s="457"/>
      <c r="SG400" s="457"/>
      <c r="SH400" s="457"/>
      <c r="SI400" s="457"/>
      <c r="SJ400" s="457"/>
      <c r="SK400" s="457"/>
      <c r="SL400" s="457"/>
      <c r="SM400" s="457"/>
      <c r="SN400" s="457"/>
      <c r="SO400" s="457"/>
      <c r="SP400" s="457"/>
      <c r="SQ400" s="457"/>
      <c r="SR400" s="457"/>
      <c r="SS400" s="457"/>
      <c r="ST400" s="457"/>
      <c r="SU400" s="457"/>
      <c r="SV400" s="457"/>
      <c r="SW400" s="457"/>
      <c r="SX400" s="457"/>
      <c r="SY400" s="457"/>
      <c r="SZ400" s="457"/>
      <c r="TA400" s="457"/>
      <c r="TB400" s="457"/>
      <c r="TC400" s="457"/>
      <c r="TD400" s="457"/>
      <c r="TE400" s="457"/>
      <c r="TF400" s="457"/>
      <c r="TG400" s="457"/>
      <c r="TH400" s="457"/>
      <c r="TI400" s="457"/>
      <c r="TJ400" s="457"/>
      <c r="TK400" s="457"/>
      <c r="TL400" s="457"/>
      <c r="TM400" s="457"/>
      <c r="TN400" s="457"/>
      <c r="TO400" s="457"/>
      <c r="TP400" s="457"/>
      <c r="TQ400" s="457"/>
      <c r="TR400" s="457"/>
      <c r="TS400" s="457"/>
      <c r="TT400" s="457"/>
      <c r="TU400" s="457"/>
      <c r="TV400" s="457"/>
      <c r="TW400" s="457"/>
      <c r="TX400" s="457"/>
      <c r="TY400" s="457"/>
      <c r="TZ400" s="457"/>
      <c r="UA400" s="457"/>
      <c r="UB400" s="457"/>
      <c r="UC400" s="457"/>
      <c r="UD400" s="457"/>
      <c r="UE400" s="457"/>
      <c r="UF400" s="457"/>
      <c r="UG400" s="457"/>
      <c r="UH400" s="457"/>
      <c r="UI400" s="457"/>
      <c r="UJ400" s="457"/>
      <c r="UK400" s="457"/>
      <c r="UL400" s="457"/>
      <c r="UM400" s="457"/>
      <c r="UN400" s="457"/>
      <c r="UO400" s="457"/>
      <c r="UP400" s="457"/>
      <c r="UQ400" s="457"/>
      <c r="UR400" s="457"/>
      <c r="US400" s="457"/>
      <c r="UT400" s="457"/>
      <c r="UU400" s="457"/>
      <c r="UV400" s="457"/>
      <c r="UW400" s="457"/>
      <c r="UX400" s="457"/>
      <c r="UY400" s="457"/>
      <c r="UZ400" s="457"/>
      <c r="VA400" s="457"/>
      <c r="VB400" s="457"/>
      <c r="VC400" s="457"/>
      <c r="VD400" s="457"/>
      <c r="VE400" s="457"/>
      <c r="VF400" s="457"/>
      <c r="VG400" s="457"/>
      <c r="VH400" s="457"/>
      <c r="VI400" s="457"/>
      <c r="VJ400" s="457"/>
      <c r="VK400" s="457"/>
      <c r="VL400" s="457"/>
      <c r="VM400" s="457"/>
      <c r="VN400" s="457"/>
      <c r="VO400" s="457"/>
      <c r="VP400" s="457"/>
      <c r="VQ400" s="457"/>
      <c r="VR400" s="457"/>
      <c r="VS400" s="457"/>
      <c r="VT400" s="457"/>
      <c r="VU400" s="457"/>
      <c r="VV400" s="457"/>
      <c r="VW400" s="457"/>
      <c r="VX400" s="457"/>
      <c r="VY400" s="457"/>
      <c r="VZ400" s="457"/>
      <c r="WA400" s="457"/>
      <c r="WB400" s="457"/>
      <c r="WC400" s="457"/>
      <c r="WD400" s="457"/>
      <c r="WE400" s="457"/>
      <c r="WF400" s="457"/>
      <c r="WG400" s="457"/>
      <c r="WH400" s="457"/>
      <c r="WI400" s="457"/>
      <c r="WJ400" s="457"/>
      <c r="WK400" s="457"/>
      <c r="WL400" s="457"/>
      <c r="WM400" s="457"/>
      <c r="WN400" s="457"/>
      <c r="WO400" s="457"/>
      <c r="WP400" s="457"/>
      <c r="WQ400" s="457"/>
      <c r="WR400" s="457"/>
      <c r="WS400" s="457"/>
      <c r="WT400" s="457"/>
      <c r="WU400" s="457"/>
      <c r="WV400" s="457"/>
      <c r="WW400" s="457"/>
      <c r="WX400" s="457"/>
      <c r="WY400" s="457"/>
      <c r="WZ400" s="457"/>
      <c r="XA400" s="457"/>
      <c r="XB400" s="457"/>
      <c r="XC400" s="457"/>
      <c r="XD400" s="457"/>
      <c r="XE400" s="457"/>
      <c r="XF400" s="457"/>
      <c r="XG400" s="457"/>
      <c r="XH400" s="457"/>
      <c r="XI400" s="457"/>
      <c r="XJ400" s="457"/>
      <c r="XK400" s="457"/>
      <c r="XL400" s="457"/>
      <c r="XM400" s="457"/>
      <c r="XN400" s="457"/>
      <c r="XO400" s="457"/>
      <c r="XP400" s="457"/>
      <c r="XQ400" s="457"/>
      <c r="XR400" s="457"/>
      <c r="XS400" s="457"/>
      <c r="XT400" s="457"/>
      <c r="XU400" s="457"/>
      <c r="XV400" s="457"/>
      <c r="XW400" s="457"/>
      <c r="XX400" s="457"/>
      <c r="XY400" s="457"/>
      <c r="XZ400" s="457"/>
      <c r="YA400" s="457"/>
      <c r="YB400" s="457"/>
      <c r="YC400" s="457"/>
      <c r="YD400" s="457"/>
      <c r="YE400" s="457"/>
      <c r="YF400" s="457"/>
      <c r="YG400" s="457"/>
      <c r="YH400" s="457"/>
      <c r="YI400" s="457"/>
      <c r="YJ400" s="457"/>
      <c r="YK400" s="457"/>
      <c r="YL400" s="457"/>
      <c r="YM400" s="457"/>
      <c r="YN400" s="457"/>
      <c r="YO400" s="457"/>
      <c r="YP400" s="457"/>
      <c r="YQ400" s="457"/>
      <c r="YR400" s="457"/>
      <c r="YS400" s="457"/>
      <c r="YT400" s="457"/>
      <c r="YU400" s="457"/>
      <c r="YV400" s="457"/>
      <c r="YW400" s="457"/>
      <c r="YX400" s="457"/>
      <c r="YY400" s="457"/>
      <c r="YZ400" s="457"/>
      <c r="ZA400" s="457"/>
      <c r="ZB400" s="457"/>
      <c r="ZC400" s="457"/>
      <c r="ZD400" s="457"/>
      <c r="ZE400" s="457"/>
      <c r="ZF400" s="457"/>
      <c r="ZG400" s="457"/>
      <c r="ZH400" s="457"/>
      <c r="ZI400" s="457"/>
      <c r="ZJ400" s="457"/>
      <c r="ZK400" s="457"/>
      <c r="ZL400" s="457"/>
      <c r="ZM400" s="457"/>
      <c r="ZN400" s="457"/>
      <c r="ZO400" s="457"/>
      <c r="ZP400" s="457"/>
      <c r="ZQ400" s="457"/>
      <c r="ZR400" s="457"/>
      <c r="ZS400" s="457"/>
      <c r="ZT400" s="457"/>
      <c r="ZU400" s="457"/>
      <c r="ZV400" s="457"/>
      <c r="ZW400" s="457"/>
      <c r="ZX400" s="457"/>
      <c r="ZY400" s="457"/>
      <c r="ZZ400" s="457"/>
      <c r="AAA400" s="457"/>
      <c r="AAB400" s="457"/>
      <c r="AAC400" s="457"/>
      <c r="AAD400" s="457"/>
      <c r="AAE400" s="457"/>
      <c r="AAF400" s="457"/>
      <c r="AAG400" s="457"/>
      <c r="AAH400" s="457"/>
      <c r="AAI400" s="457"/>
      <c r="AAJ400" s="457"/>
      <c r="AAK400" s="457"/>
      <c r="AAL400" s="457"/>
      <c r="AAM400" s="457"/>
      <c r="AAN400" s="457"/>
      <c r="AAO400" s="457"/>
      <c r="AAP400" s="457"/>
      <c r="AAQ400" s="457"/>
      <c r="AAR400" s="457"/>
      <c r="AAS400" s="457"/>
      <c r="AAT400" s="457"/>
      <c r="AAU400" s="457"/>
      <c r="AAV400" s="457"/>
      <c r="AAW400" s="457"/>
      <c r="AAX400" s="457"/>
      <c r="AAY400" s="457"/>
      <c r="AAZ400" s="457"/>
      <c r="ABA400" s="457"/>
      <c r="ABB400" s="457"/>
      <c r="ABC400" s="457"/>
      <c r="ABD400" s="457"/>
      <c r="ABE400" s="457"/>
      <c r="ABF400" s="457"/>
      <c r="ABG400" s="457"/>
      <c r="ABH400" s="457"/>
      <c r="ABI400" s="457"/>
      <c r="ABJ400" s="457"/>
      <c r="ABK400" s="457"/>
      <c r="ABL400" s="457"/>
      <c r="ABM400" s="457"/>
      <c r="ABN400" s="457"/>
      <c r="ABO400" s="457"/>
      <c r="ABP400" s="457"/>
      <c r="ABQ400" s="457"/>
      <c r="ABR400" s="457"/>
      <c r="ABS400" s="457"/>
      <c r="ABT400" s="457"/>
      <c r="ABU400" s="457"/>
      <c r="ABV400" s="457"/>
      <c r="ABW400" s="457"/>
      <c r="ABX400" s="457"/>
      <c r="ABY400" s="457"/>
      <c r="ABZ400" s="457"/>
      <c r="ACA400" s="457"/>
      <c r="ACB400" s="457"/>
      <c r="ACC400" s="457"/>
      <c r="ACD400" s="457"/>
      <c r="ACE400" s="457"/>
      <c r="ACF400" s="457"/>
      <c r="ACG400" s="457"/>
      <c r="ACH400" s="457"/>
      <c r="ACI400" s="457"/>
      <c r="ACJ400" s="457"/>
      <c r="ACK400" s="457"/>
      <c r="ACL400" s="457"/>
      <c r="ACM400" s="457"/>
      <c r="ACN400" s="457"/>
      <c r="ACO400" s="457"/>
      <c r="ACP400" s="457"/>
      <c r="ACQ400" s="457"/>
      <c r="ACR400" s="457"/>
      <c r="ACS400" s="457"/>
      <c r="ACT400" s="457"/>
      <c r="ACU400" s="457"/>
      <c r="ACV400" s="457"/>
    </row>
    <row r="401" spans="1:776" s="400" customFormat="1" x14ac:dyDescent="0.25">
      <c r="A401" s="470">
        <v>900114</v>
      </c>
      <c r="B401" s="237" t="s">
        <v>251</v>
      </c>
      <c r="C401" s="455"/>
      <c r="D401" s="454" t="s">
        <v>252</v>
      </c>
      <c r="E401" s="454">
        <v>1.2</v>
      </c>
      <c r="F401" s="458">
        <v>42.2</v>
      </c>
      <c r="G401" s="454">
        <v>0.01</v>
      </c>
      <c r="H401" s="454">
        <v>0.15</v>
      </c>
      <c r="I401" s="456">
        <v>233.88</v>
      </c>
      <c r="J401" s="454">
        <v>62.6</v>
      </c>
      <c r="K401" s="456">
        <v>0.01</v>
      </c>
      <c r="L401" s="454">
        <v>252</v>
      </c>
      <c r="M401" s="454">
        <v>0.01</v>
      </c>
      <c r="N401" s="454">
        <v>1.7</v>
      </c>
      <c r="O401" s="454">
        <v>92.43</v>
      </c>
      <c r="P401" s="454">
        <v>82.99</v>
      </c>
      <c r="Q401" s="454">
        <v>43.06</v>
      </c>
      <c r="R401" s="467">
        <v>0.01</v>
      </c>
      <c r="S401" s="467">
        <v>0.01</v>
      </c>
      <c r="T401" s="467">
        <v>0.01</v>
      </c>
      <c r="U401" s="467">
        <v>0.01</v>
      </c>
      <c r="V401" s="454"/>
      <c r="W401" s="457"/>
      <c r="X401" s="457"/>
      <c r="Y401" s="457"/>
      <c r="Z401" s="457"/>
      <c r="AA401" s="457"/>
      <c r="AB401" s="457"/>
      <c r="AC401" s="457"/>
      <c r="AD401" s="457"/>
      <c r="AE401" s="457"/>
      <c r="AF401" s="457"/>
      <c r="AG401" s="457"/>
      <c r="AH401" s="457"/>
      <c r="AI401" s="457"/>
      <c r="AJ401" s="457"/>
      <c r="AK401" s="457"/>
      <c r="AL401" s="457"/>
      <c r="AM401" s="457"/>
      <c r="AN401" s="457"/>
      <c r="AO401" s="457"/>
      <c r="AP401" s="457"/>
      <c r="AQ401" s="457"/>
      <c r="AR401" s="457"/>
      <c r="AS401" s="457"/>
      <c r="AT401" s="457"/>
      <c r="AU401" s="457"/>
      <c r="AV401" s="457"/>
      <c r="AW401" s="457"/>
      <c r="AX401" s="457"/>
      <c r="AY401" s="457"/>
      <c r="AZ401" s="457"/>
      <c r="BA401" s="457"/>
      <c r="BB401" s="457"/>
      <c r="BC401" s="457"/>
      <c r="BD401" s="457"/>
      <c r="BE401" s="457"/>
      <c r="BF401" s="457"/>
      <c r="BG401" s="457"/>
      <c r="BH401" s="457"/>
      <c r="BI401" s="457"/>
      <c r="BJ401" s="457"/>
      <c r="BK401" s="457"/>
      <c r="BL401" s="457"/>
      <c r="BM401" s="457"/>
      <c r="BN401" s="457"/>
      <c r="BO401" s="457"/>
      <c r="BP401" s="457"/>
      <c r="BQ401" s="457"/>
      <c r="BR401" s="457"/>
      <c r="BS401" s="457"/>
      <c r="BT401" s="457"/>
      <c r="BU401" s="457"/>
      <c r="BV401" s="457"/>
      <c r="BW401" s="457"/>
      <c r="BX401" s="457"/>
      <c r="BY401" s="457"/>
      <c r="BZ401" s="457"/>
      <c r="CA401" s="457"/>
      <c r="CB401" s="457"/>
      <c r="CC401" s="457"/>
      <c r="CD401" s="457"/>
      <c r="CE401" s="457"/>
      <c r="CF401" s="457"/>
      <c r="CG401" s="457"/>
      <c r="CH401" s="457"/>
      <c r="CI401" s="457"/>
      <c r="CJ401" s="457"/>
      <c r="CK401" s="457"/>
      <c r="CL401" s="457"/>
      <c r="CM401" s="457"/>
      <c r="CN401" s="457"/>
      <c r="CO401" s="457"/>
      <c r="CP401" s="457"/>
      <c r="CQ401" s="457"/>
      <c r="CR401" s="457"/>
      <c r="CS401" s="457"/>
      <c r="CT401" s="457"/>
      <c r="CU401" s="457"/>
      <c r="CV401" s="457"/>
      <c r="CW401" s="457"/>
      <c r="CX401" s="457"/>
      <c r="CY401" s="457"/>
      <c r="CZ401" s="457"/>
      <c r="DA401" s="457"/>
      <c r="DB401" s="457"/>
      <c r="DC401" s="457"/>
      <c r="DD401" s="457"/>
      <c r="DE401" s="457"/>
      <c r="DF401" s="457"/>
      <c r="DG401" s="457"/>
      <c r="DH401" s="457"/>
      <c r="DI401" s="457"/>
      <c r="DJ401" s="457"/>
      <c r="DK401" s="457"/>
      <c r="DL401" s="457"/>
      <c r="DM401" s="457"/>
      <c r="DN401" s="457"/>
      <c r="DO401" s="457"/>
      <c r="DP401" s="457"/>
      <c r="DQ401" s="457"/>
      <c r="DR401" s="457"/>
      <c r="DS401" s="457"/>
      <c r="DT401" s="457"/>
      <c r="DU401" s="457"/>
      <c r="DV401" s="457"/>
      <c r="DW401" s="457"/>
      <c r="DX401" s="457"/>
      <c r="DY401" s="457"/>
      <c r="DZ401" s="457"/>
      <c r="EA401" s="457"/>
      <c r="EB401" s="457"/>
      <c r="EC401" s="457"/>
      <c r="ED401" s="457"/>
      <c r="EE401" s="457"/>
      <c r="EF401" s="457"/>
      <c r="EG401" s="457"/>
      <c r="EH401" s="457"/>
      <c r="EI401" s="457"/>
      <c r="EJ401" s="457"/>
      <c r="EK401" s="457"/>
      <c r="EL401" s="457"/>
      <c r="EM401" s="457"/>
      <c r="EN401" s="457"/>
      <c r="EO401" s="457"/>
      <c r="EP401" s="457"/>
      <c r="EQ401" s="457"/>
      <c r="ER401" s="457"/>
      <c r="ES401" s="457"/>
      <c r="ET401" s="457"/>
      <c r="EU401" s="457"/>
      <c r="EV401" s="457"/>
      <c r="EW401" s="457"/>
      <c r="EX401" s="457"/>
      <c r="EY401" s="457"/>
      <c r="EZ401" s="457"/>
      <c r="FA401" s="457"/>
      <c r="FB401" s="457"/>
      <c r="FC401" s="457"/>
      <c r="FD401" s="457"/>
      <c r="FE401" s="457"/>
      <c r="FF401" s="457"/>
      <c r="FG401" s="457"/>
      <c r="FH401" s="457"/>
      <c r="FI401" s="457"/>
      <c r="FJ401" s="457"/>
      <c r="FK401" s="457"/>
      <c r="FL401" s="457"/>
      <c r="FM401" s="457"/>
      <c r="FN401" s="457"/>
      <c r="FO401" s="457"/>
      <c r="FP401" s="457"/>
      <c r="FQ401" s="457"/>
      <c r="FR401" s="457"/>
      <c r="FS401" s="457"/>
      <c r="FT401" s="457"/>
      <c r="FU401" s="457"/>
      <c r="FV401" s="457"/>
      <c r="FW401" s="457"/>
      <c r="FX401" s="457"/>
      <c r="FY401" s="457"/>
      <c r="FZ401" s="457"/>
      <c r="GA401" s="457"/>
      <c r="GB401" s="457"/>
      <c r="GC401" s="457"/>
      <c r="GD401" s="457"/>
      <c r="GE401" s="457"/>
      <c r="GF401" s="457"/>
      <c r="GG401" s="457"/>
      <c r="GH401" s="457"/>
      <c r="GI401" s="457"/>
      <c r="GJ401" s="457"/>
      <c r="GK401" s="457"/>
      <c r="GL401" s="457"/>
      <c r="GM401" s="457"/>
      <c r="GN401" s="457"/>
      <c r="GO401" s="457"/>
      <c r="GP401" s="457"/>
      <c r="GQ401" s="457"/>
      <c r="GR401" s="457"/>
      <c r="GS401" s="457"/>
      <c r="GT401" s="457"/>
      <c r="GU401" s="457"/>
      <c r="GV401" s="457"/>
      <c r="GW401" s="457"/>
      <c r="GX401" s="457"/>
      <c r="GY401" s="457"/>
      <c r="GZ401" s="457"/>
      <c r="HA401" s="457"/>
      <c r="HB401" s="457"/>
      <c r="HC401" s="457"/>
      <c r="HD401" s="457"/>
      <c r="HE401" s="457"/>
      <c r="HF401" s="457"/>
      <c r="HG401" s="457"/>
      <c r="HH401" s="457"/>
      <c r="HI401" s="457"/>
      <c r="HJ401" s="457"/>
      <c r="HK401" s="457"/>
      <c r="HL401" s="457"/>
      <c r="HM401" s="457"/>
      <c r="HN401" s="457"/>
      <c r="HO401" s="457"/>
      <c r="HP401" s="457"/>
      <c r="HQ401" s="457"/>
      <c r="HR401" s="457"/>
      <c r="HS401" s="457"/>
      <c r="HT401" s="457"/>
      <c r="HU401" s="457"/>
      <c r="HV401" s="457"/>
      <c r="HW401" s="457"/>
      <c r="HX401" s="457"/>
      <c r="HY401" s="457"/>
      <c r="HZ401" s="457"/>
      <c r="IA401" s="457"/>
      <c r="IB401" s="457"/>
      <c r="IC401" s="457"/>
      <c r="ID401" s="457"/>
      <c r="IE401" s="457"/>
      <c r="IF401" s="457"/>
      <c r="IG401" s="457"/>
      <c r="IH401" s="457"/>
      <c r="II401" s="457"/>
      <c r="IJ401" s="457"/>
      <c r="IK401" s="457"/>
      <c r="IL401" s="457"/>
      <c r="IM401" s="457"/>
      <c r="IN401" s="457"/>
      <c r="IO401" s="457"/>
      <c r="IP401" s="457"/>
      <c r="IQ401" s="457"/>
      <c r="IR401" s="457"/>
      <c r="IS401" s="457"/>
      <c r="IT401" s="457"/>
      <c r="IU401" s="457"/>
      <c r="IV401" s="457"/>
      <c r="IW401" s="457"/>
      <c r="IX401" s="457"/>
      <c r="IY401" s="457"/>
      <c r="IZ401" s="457"/>
      <c r="JA401" s="457"/>
      <c r="JB401" s="457"/>
      <c r="JC401" s="457"/>
      <c r="JD401" s="457"/>
      <c r="JE401" s="457"/>
      <c r="JF401" s="457"/>
      <c r="JG401" s="457"/>
      <c r="JH401" s="457"/>
      <c r="JI401" s="457"/>
      <c r="JJ401" s="457"/>
      <c r="JK401" s="457"/>
      <c r="JL401" s="457"/>
      <c r="JM401" s="457"/>
      <c r="JN401" s="457"/>
      <c r="JO401" s="457"/>
      <c r="JP401" s="457"/>
      <c r="JQ401" s="457"/>
      <c r="JR401" s="457"/>
      <c r="JS401" s="457"/>
      <c r="JT401" s="457"/>
      <c r="JU401" s="457"/>
      <c r="JV401" s="457"/>
      <c r="JW401" s="457"/>
      <c r="JX401" s="457"/>
      <c r="JY401" s="457"/>
      <c r="JZ401" s="457"/>
      <c r="KA401" s="457"/>
      <c r="KB401" s="457"/>
      <c r="KC401" s="457"/>
      <c r="KD401" s="457"/>
      <c r="KE401" s="457"/>
      <c r="KF401" s="457"/>
      <c r="KG401" s="457"/>
      <c r="KH401" s="457"/>
      <c r="KI401" s="457"/>
      <c r="KJ401" s="457"/>
      <c r="KK401" s="457"/>
      <c r="KL401" s="457"/>
      <c r="KM401" s="457"/>
      <c r="KN401" s="457"/>
      <c r="KO401" s="457"/>
      <c r="KP401" s="457"/>
      <c r="KQ401" s="457"/>
      <c r="KR401" s="457"/>
      <c r="KS401" s="457"/>
      <c r="KT401" s="457"/>
      <c r="KU401" s="457"/>
      <c r="KV401" s="457"/>
      <c r="KW401" s="457"/>
      <c r="KX401" s="457"/>
      <c r="KY401" s="457"/>
      <c r="KZ401" s="457"/>
      <c r="LA401" s="457"/>
      <c r="LB401" s="457"/>
      <c r="LC401" s="457"/>
      <c r="LD401" s="457"/>
      <c r="LE401" s="457"/>
      <c r="LF401" s="457"/>
      <c r="LG401" s="457"/>
      <c r="LH401" s="457"/>
      <c r="LI401" s="457"/>
      <c r="LJ401" s="457"/>
      <c r="LK401" s="457"/>
      <c r="LL401" s="457"/>
      <c r="LM401" s="457"/>
      <c r="LN401" s="457"/>
      <c r="LO401" s="457"/>
      <c r="LP401" s="457"/>
      <c r="LQ401" s="457"/>
      <c r="LR401" s="457"/>
      <c r="LS401" s="457"/>
      <c r="LT401" s="457"/>
      <c r="LU401" s="457"/>
      <c r="LV401" s="457"/>
      <c r="LW401" s="457"/>
      <c r="LX401" s="457"/>
      <c r="LY401" s="457"/>
      <c r="LZ401" s="457"/>
      <c r="MA401" s="457"/>
      <c r="MB401" s="457"/>
      <c r="MC401" s="457"/>
      <c r="MD401" s="457"/>
      <c r="ME401" s="457"/>
      <c r="MF401" s="457"/>
      <c r="MG401" s="457"/>
      <c r="MH401" s="457"/>
      <c r="MI401" s="457"/>
      <c r="MJ401" s="457"/>
      <c r="MK401" s="457"/>
      <c r="ML401" s="457"/>
      <c r="MM401" s="457"/>
      <c r="MN401" s="457"/>
      <c r="MO401" s="457"/>
      <c r="MP401" s="457"/>
      <c r="MQ401" s="457"/>
      <c r="MR401" s="457"/>
      <c r="MS401" s="457"/>
      <c r="MT401" s="457"/>
      <c r="MU401" s="457"/>
      <c r="MV401" s="457"/>
      <c r="MW401" s="457"/>
      <c r="MX401" s="457"/>
      <c r="MY401" s="457"/>
      <c r="MZ401" s="457"/>
      <c r="NA401" s="457"/>
      <c r="NB401" s="457"/>
      <c r="NC401" s="457"/>
      <c r="ND401" s="457"/>
      <c r="NE401" s="457"/>
      <c r="NF401" s="457"/>
      <c r="NG401" s="457"/>
      <c r="NH401" s="457"/>
      <c r="NI401" s="457"/>
      <c r="NJ401" s="457"/>
      <c r="NK401" s="457"/>
      <c r="NL401" s="457"/>
      <c r="NM401" s="457"/>
      <c r="NN401" s="457"/>
      <c r="NO401" s="457"/>
      <c r="NP401" s="457"/>
      <c r="NQ401" s="457"/>
      <c r="NR401" s="457"/>
      <c r="NS401" s="457"/>
      <c r="NT401" s="457"/>
      <c r="NU401" s="457"/>
      <c r="NV401" s="457"/>
      <c r="NW401" s="457"/>
      <c r="NX401" s="457"/>
      <c r="NY401" s="457"/>
      <c r="NZ401" s="457"/>
      <c r="OA401" s="457"/>
      <c r="OB401" s="457"/>
      <c r="OC401" s="457"/>
      <c r="OD401" s="457"/>
      <c r="OE401" s="457"/>
      <c r="OF401" s="457"/>
      <c r="OG401" s="457"/>
      <c r="OH401" s="457"/>
      <c r="OI401" s="457"/>
      <c r="OJ401" s="457"/>
      <c r="OK401" s="457"/>
      <c r="OL401" s="457"/>
      <c r="OM401" s="457"/>
      <c r="ON401" s="457"/>
      <c r="OO401" s="457"/>
      <c r="OP401" s="457"/>
      <c r="OQ401" s="457"/>
      <c r="OR401" s="457"/>
      <c r="OS401" s="457"/>
      <c r="OT401" s="457"/>
      <c r="OU401" s="457"/>
      <c r="OV401" s="457"/>
      <c r="OW401" s="457"/>
      <c r="OX401" s="457"/>
      <c r="OY401" s="457"/>
      <c r="OZ401" s="457"/>
      <c r="PA401" s="457"/>
      <c r="PB401" s="457"/>
      <c r="PC401" s="457"/>
      <c r="PD401" s="457"/>
      <c r="PE401" s="457"/>
      <c r="PF401" s="457"/>
      <c r="PG401" s="457"/>
      <c r="PH401" s="457"/>
      <c r="PI401" s="457"/>
      <c r="PJ401" s="457"/>
      <c r="PK401" s="457"/>
      <c r="PL401" s="457"/>
      <c r="PM401" s="457"/>
      <c r="PN401" s="457"/>
      <c r="PO401" s="457"/>
      <c r="PP401" s="457"/>
      <c r="PQ401" s="457"/>
      <c r="PR401" s="457"/>
      <c r="PS401" s="457"/>
      <c r="PT401" s="457"/>
      <c r="PU401" s="457"/>
      <c r="PV401" s="457"/>
      <c r="PW401" s="457"/>
      <c r="PX401" s="457"/>
      <c r="PY401" s="457"/>
      <c r="PZ401" s="457"/>
      <c r="QA401" s="457"/>
      <c r="QB401" s="457"/>
      <c r="QC401" s="457"/>
      <c r="QD401" s="457"/>
      <c r="QE401" s="457"/>
      <c r="QF401" s="457"/>
      <c r="QG401" s="457"/>
      <c r="QH401" s="457"/>
      <c r="QI401" s="457"/>
      <c r="QJ401" s="457"/>
      <c r="QK401" s="457"/>
      <c r="QL401" s="457"/>
      <c r="QM401" s="457"/>
      <c r="QN401" s="457"/>
      <c r="QO401" s="457"/>
      <c r="QP401" s="457"/>
      <c r="QQ401" s="457"/>
      <c r="QR401" s="457"/>
      <c r="QS401" s="457"/>
      <c r="QT401" s="457"/>
      <c r="QU401" s="457"/>
      <c r="QV401" s="457"/>
      <c r="QW401" s="457"/>
      <c r="QX401" s="457"/>
      <c r="QY401" s="457"/>
      <c r="QZ401" s="457"/>
      <c r="RA401" s="457"/>
      <c r="RB401" s="457"/>
      <c r="RC401" s="457"/>
      <c r="RD401" s="457"/>
      <c r="RE401" s="457"/>
      <c r="RF401" s="457"/>
      <c r="RG401" s="457"/>
      <c r="RH401" s="457"/>
      <c r="RI401" s="457"/>
      <c r="RJ401" s="457"/>
      <c r="RK401" s="457"/>
      <c r="RL401" s="457"/>
      <c r="RM401" s="457"/>
      <c r="RN401" s="457"/>
      <c r="RO401" s="457"/>
      <c r="RP401" s="457"/>
      <c r="RQ401" s="457"/>
      <c r="RR401" s="457"/>
      <c r="RS401" s="457"/>
      <c r="RT401" s="457"/>
      <c r="RU401" s="457"/>
      <c r="RV401" s="457"/>
      <c r="RW401" s="457"/>
      <c r="RX401" s="457"/>
      <c r="RY401" s="457"/>
      <c r="RZ401" s="457"/>
      <c r="SA401" s="457"/>
      <c r="SB401" s="457"/>
      <c r="SC401" s="457"/>
      <c r="SD401" s="457"/>
      <c r="SE401" s="457"/>
      <c r="SF401" s="457"/>
      <c r="SG401" s="457"/>
      <c r="SH401" s="457"/>
      <c r="SI401" s="457"/>
      <c r="SJ401" s="457"/>
      <c r="SK401" s="457"/>
      <c r="SL401" s="457"/>
      <c r="SM401" s="457"/>
      <c r="SN401" s="457"/>
      <c r="SO401" s="457"/>
      <c r="SP401" s="457"/>
      <c r="SQ401" s="457"/>
      <c r="SR401" s="457"/>
      <c r="SS401" s="457"/>
      <c r="ST401" s="457"/>
      <c r="SU401" s="457"/>
      <c r="SV401" s="457"/>
      <c r="SW401" s="457"/>
      <c r="SX401" s="457"/>
      <c r="SY401" s="457"/>
      <c r="SZ401" s="457"/>
      <c r="TA401" s="457"/>
      <c r="TB401" s="457"/>
      <c r="TC401" s="457"/>
      <c r="TD401" s="457"/>
      <c r="TE401" s="457"/>
      <c r="TF401" s="457"/>
      <c r="TG401" s="457"/>
      <c r="TH401" s="457"/>
      <c r="TI401" s="457"/>
      <c r="TJ401" s="457"/>
      <c r="TK401" s="457"/>
      <c r="TL401" s="457"/>
      <c r="TM401" s="457"/>
      <c r="TN401" s="457"/>
      <c r="TO401" s="457"/>
      <c r="TP401" s="457"/>
      <c r="TQ401" s="457"/>
      <c r="TR401" s="457"/>
      <c r="TS401" s="457"/>
      <c r="TT401" s="457"/>
      <c r="TU401" s="457"/>
      <c r="TV401" s="457"/>
      <c r="TW401" s="457"/>
      <c r="TX401" s="457"/>
      <c r="TY401" s="457"/>
      <c r="TZ401" s="457"/>
      <c r="UA401" s="457"/>
      <c r="UB401" s="457"/>
      <c r="UC401" s="457"/>
      <c r="UD401" s="457"/>
      <c r="UE401" s="457"/>
      <c r="UF401" s="457"/>
      <c r="UG401" s="457"/>
      <c r="UH401" s="457"/>
      <c r="UI401" s="457"/>
      <c r="UJ401" s="457"/>
      <c r="UK401" s="457"/>
      <c r="UL401" s="457"/>
      <c r="UM401" s="457"/>
      <c r="UN401" s="457"/>
      <c r="UO401" s="457"/>
      <c r="UP401" s="457"/>
      <c r="UQ401" s="457"/>
      <c r="UR401" s="457"/>
      <c r="US401" s="457"/>
      <c r="UT401" s="457"/>
      <c r="UU401" s="457"/>
      <c r="UV401" s="457"/>
      <c r="UW401" s="457"/>
      <c r="UX401" s="457"/>
      <c r="UY401" s="457"/>
      <c r="UZ401" s="457"/>
      <c r="VA401" s="457"/>
      <c r="VB401" s="457"/>
      <c r="VC401" s="457"/>
      <c r="VD401" s="457"/>
      <c r="VE401" s="457"/>
      <c r="VF401" s="457"/>
      <c r="VG401" s="457"/>
      <c r="VH401" s="457"/>
      <c r="VI401" s="457"/>
      <c r="VJ401" s="457"/>
      <c r="VK401" s="457"/>
      <c r="VL401" s="457"/>
      <c r="VM401" s="457"/>
      <c r="VN401" s="457"/>
      <c r="VO401" s="457"/>
      <c r="VP401" s="457"/>
      <c r="VQ401" s="457"/>
      <c r="VR401" s="457"/>
      <c r="VS401" s="457"/>
      <c r="VT401" s="457"/>
      <c r="VU401" s="457"/>
      <c r="VV401" s="457"/>
      <c r="VW401" s="457"/>
      <c r="VX401" s="457"/>
      <c r="VY401" s="457"/>
      <c r="VZ401" s="457"/>
      <c r="WA401" s="457"/>
      <c r="WB401" s="457"/>
      <c r="WC401" s="457"/>
      <c r="WD401" s="457"/>
      <c r="WE401" s="457"/>
      <c r="WF401" s="457"/>
      <c r="WG401" s="457"/>
      <c r="WH401" s="457"/>
      <c r="WI401" s="457"/>
      <c r="WJ401" s="457"/>
      <c r="WK401" s="457"/>
      <c r="WL401" s="457"/>
      <c r="WM401" s="457"/>
      <c r="WN401" s="457"/>
      <c r="WO401" s="457"/>
      <c r="WP401" s="457"/>
      <c r="WQ401" s="457"/>
      <c r="WR401" s="457"/>
      <c r="WS401" s="457"/>
      <c r="WT401" s="457"/>
      <c r="WU401" s="457"/>
      <c r="WV401" s="457"/>
      <c r="WW401" s="457"/>
      <c r="WX401" s="457"/>
      <c r="WY401" s="457"/>
      <c r="WZ401" s="457"/>
      <c r="XA401" s="457"/>
      <c r="XB401" s="457"/>
      <c r="XC401" s="457"/>
      <c r="XD401" s="457"/>
      <c r="XE401" s="457"/>
      <c r="XF401" s="457"/>
      <c r="XG401" s="457"/>
      <c r="XH401" s="457"/>
      <c r="XI401" s="457"/>
      <c r="XJ401" s="457"/>
      <c r="XK401" s="457"/>
      <c r="XL401" s="457"/>
      <c r="XM401" s="457"/>
      <c r="XN401" s="457"/>
      <c r="XO401" s="457"/>
      <c r="XP401" s="457"/>
      <c r="XQ401" s="457"/>
      <c r="XR401" s="457"/>
      <c r="XS401" s="457"/>
      <c r="XT401" s="457"/>
      <c r="XU401" s="457"/>
      <c r="XV401" s="457"/>
      <c r="XW401" s="457"/>
      <c r="XX401" s="457"/>
      <c r="XY401" s="457"/>
      <c r="XZ401" s="457"/>
      <c r="YA401" s="457"/>
      <c r="YB401" s="457"/>
      <c r="YC401" s="457"/>
      <c r="YD401" s="457"/>
      <c r="YE401" s="457"/>
      <c r="YF401" s="457"/>
      <c r="YG401" s="457"/>
      <c r="YH401" s="457"/>
      <c r="YI401" s="457"/>
      <c r="YJ401" s="457"/>
      <c r="YK401" s="457"/>
      <c r="YL401" s="457"/>
      <c r="YM401" s="457"/>
      <c r="YN401" s="457"/>
      <c r="YO401" s="457"/>
      <c r="YP401" s="457"/>
      <c r="YQ401" s="457"/>
      <c r="YR401" s="457"/>
      <c r="YS401" s="457"/>
      <c r="YT401" s="457"/>
      <c r="YU401" s="457"/>
      <c r="YV401" s="457"/>
      <c r="YW401" s="457"/>
      <c r="YX401" s="457"/>
      <c r="YY401" s="457"/>
      <c r="YZ401" s="457"/>
      <c r="ZA401" s="457"/>
      <c r="ZB401" s="457"/>
      <c r="ZC401" s="457"/>
      <c r="ZD401" s="457"/>
      <c r="ZE401" s="457"/>
      <c r="ZF401" s="457"/>
      <c r="ZG401" s="457"/>
      <c r="ZH401" s="457"/>
      <c r="ZI401" s="457"/>
      <c r="ZJ401" s="457"/>
      <c r="ZK401" s="457"/>
      <c r="ZL401" s="457"/>
      <c r="ZM401" s="457"/>
      <c r="ZN401" s="457"/>
      <c r="ZO401" s="457"/>
      <c r="ZP401" s="457"/>
      <c r="ZQ401" s="457"/>
      <c r="ZR401" s="457"/>
      <c r="ZS401" s="457"/>
      <c r="ZT401" s="457"/>
      <c r="ZU401" s="457"/>
      <c r="ZV401" s="457"/>
      <c r="ZW401" s="457"/>
      <c r="ZX401" s="457"/>
      <c r="ZY401" s="457"/>
      <c r="ZZ401" s="457"/>
      <c r="AAA401" s="457"/>
      <c r="AAB401" s="457"/>
      <c r="AAC401" s="457"/>
      <c r="AAD401" s="457"/>
      <c r="AAE401" s="457"/>
      <c r="AAF401" s="457"/>
      <c r="AAG401" s="457"/>
      <c r="AAH401" s="457"/>
      <c r="AAI401" s="457"/>
      <c r="AAJ401" s="457"/>
      <c r="AAK401" s="457"/>
      <c r="AAL401" s="457"/>
      <c r="AAM401" s="457"/>
      <c r="AAN401" s="457"/>
      <c r="AAO401" s="457"/>
      <c r="AAP401" s="457"/>
      <c r="AAQ401" s="457"/>
      <c r="AAR401" s="457"/>
      <c r="AAS401" s="457"/>
      <c r="AAT401" s="457"/>
      <c r="AAU401" s="457"/>
      <c r="AAV401" s="457"/>
      <c r="AAW401" s="457"/>
      <c r="AAX401" s="457"/>
      <c r="AAY401" s="457"/>
      <c r="AAZ401" s="457"/>
      <c r="ABA401" s="457"/>
      <c r="ABB401" s="457"/>
      <c r="ABC401" s="457"/>
      <c r="ABD401" s="457"/>
      <c r="ABE401" s="457"/>
      <c r="ABF401" s="457"/>
      <c r="ABG401" s="457"/>
      <c r="ABH401" s="457"/>
      <c r="ABI401" s="457"/>
      <c r="ABJ401" s="457"/>
      <c r="ABK401" s="457"/>
      <c r="ABL401" s="457"/>
      <c r="ABM401" s="457"/>
      <c r="ABN401" s="457"/>
      <c r="ABO401" s="457"/>
      <c r="ABP401" s="457"/>
      <c r="ABQ401" s="457"/>
      <c r="ABR401" s="457"/>
      <c r="ABS401" s="457"/>
      <c r="ABT401" s="457"/>
      <c r="ABU401" s="457"/>
      <c r="ABV401" s="457"/>
      <c r="ABW401" s="457"/>
      <c r="ABX401" s="457"/>
      <c r="ABY401" s="457"/>
      <c r="ABZ401" s="457"/>
      <c r="ACA401" s="457"/>
      <c r="ACB401" s="457"/>
      <c r="ACC401" s="457"/>
      <c r="ACD401" s="457"/>
      <c r="ACE401" s="457"/>
      <c r="ACF401" s="457"/>
      <c r="ACG401" s="457"/>
      <c r="ACH401" s="457"/>
      <c r="ACI401" s="457"/>
      <c r="ACJ401" s="457"/>
      <c r="ACK401" s="457"/>
      <c r="ACL401" s="457"/>
      <c r="ACM401" s="457"/>
      <c r="ACN401" s="457"/>
      <c r="ACO401" s="457"/>
      <c r="ACP401" s="457"/>
      <c r="ACQ401" s="457"/>
      <c r="ACR401" s="457"/>
      <c r="ACS401" s="457"/>
      <c r="ACT401" s="457"/>
      <c r="ACU401" s="457"/>
      <c r="ACV401" s="457"/>
    </row>
    <row r="402" spans="1:776" s="400" customFormat="1" x14ac:dyDescent="0.25">
      <c r="A402" s="470">
        <v>900115</v>
      </c>
      <c r="B402" s="237" t="s">
        <v>253</v>
      </c>
      <c r="C402" s="455"/>
      <c r="D402" s="454" t="s">
        <v>197</v>
      </c>
      <c r="E402" s="454">
        <v>0.74199999999999999</v>
      </c>
      <c r="F402" s="458">
        <v>1.1000000000000001</v>
      </c>
      <c r="G402" s="454">
        <v>0.01</v>
      </c>
      <c r="H402" s="454">
        <v>0.2</v>
      </c>
      <c r="I402" s="456">
        <v>63.14</v>
      </c>
      <c r="J402" s="454">
        <v>43.2</v>
      </c>
      <c r="K402" s="456">
        <v>0.01</v>
      </c>
      <c r="L402" s="454">
        <v>333.6</v>
      </c>
      <c r="M402" s="454">
        <v>0.01</v>
      </c>
      <c r="N402" s="454">
        <v>3.2</v>
      </c>
      <c r="O402" s="454">
        <v>47.76</v>
      </c>
      <c r="P402" s="454">
        <v>58.6</v>
      </c>
      <c r="Q402" s="454">
        <v>36.35</v>
      </c>
      <c r="R402" s="467">
        <v>0.01</v>
      </c>
      <c r="S402" s="467">
        <v>0.01</v>
      </c>
      <c r="T402" s="467">
        <v>0.01</v>
      </c>
      <c r="U402" s="467">
        <v>0.01</v>
      </c>
      <c r="V402" s="454"/>
      <c r="W402" s="457"/>
      <c r="X402" s="457"/>
      <c r="Y402" s="457"/>
      <c r="Z402" s="457"/>
      <c r="AA402" s="457"/>
      <c r="AB402" s="457"/>
      <c r="AC402" s="457"/>
      <c r="AD402" s="457"/>
      <c r="AE402" s="457"/>
      <c r="AF402" s="457"/>
      <c r="AG402" s="457"/>
      <c r="AH402" s="457"/>
      <c r="AI402" s="457"/>
      <c r="AJ402" s="457"/>
      <c r="AK402" s="457"/>
      <c r="AL402" s="457"/>
      <c r="AM402" s="457"/>
      <c r="AN402" s="457"/>
      <c r="AO402" s="457"/>
      <c r="AP402" s="457"/>
      <c r="AQ402" s="457"/>
      <c r="AR402" s="457"/>
      <c r="AS402" s="457"/>
      <c r="AT402" s="457"/>
      <c r="AU402" s="457"/>
      <c r="AV402" s="457"/>
      <c r="AW402" s="457"/>
      <c r="AX402" s="457"/>
      <c r="AY402" s="457"/>
      <c r="AZ402" s="457"/>
      <c r="BA402" s="457"/>
      <c r="BB402" s="457"/>
      <c r="BC402" s="457"/>
      <c r="BD402" s="457"/>
      <c r="BE402" s="457"/>
      <c r="BF402" s="457"/>
      <c r="BG402" s="457"/>
      <c r="BH402" s="457"/>
      <c r="BI402" s="457"/>
      <c r="BJ402" s="457"/>
      <c r="BK402" s="457"/>
      <c r="BL402" s="457"/>
      <c r="BM402" s="457"/>
      <c r="BN402" s="457"/>
      <c r="BO402" s="457"/>
      <c r="BP402" s="457"/>
      <c r="BQ402" s="457"/>
      <c r="BR402" s="457"/>
      <c r="BS402" s="457"/>
      <c r="BT402" s="457"/>
      <c r="BU402" s="457"/>
      <c r="BV402" s="457"/>
      <c r="BW402" s="457"/>
      <c r="BX402" s="457"/>
      <c r="BY402" s="457"/>
      <c r="BZ402" s="457"/>
      <c r="CA402" s="457"/>
      <c r="CB402" s="457"/>
      <c r="CC402" s="457"/>
      <c r="CD402" s="457"/>
      <c r="CE402" s="457"/>
      <c r="CF402" s="457"/>
      <c r="CG402" s="457"/>
      <c r="CH402" s="457"/>
      <c r="CI402" s="457"/>
      <c r="CJ402" s="457"/>
      <c r="CK402" s="457"/>
      <c r="CL402" s="457"/>
      <c r="CM402" s="457"/>
      <c r="CN402" s="457"/>
      <c r="CO402" s="457"/>
      <c r="CP402" s="457"/>
      <c r="CQ402" s="457"/>
      <c r="CR402" s="457"/>
      <c r="CS402" s="457"/>
      <c r="CT402" s="457"/>
      <c r="CU402" s="457"/>
      <c r="CV402" s="457"/>
      <c r="CW402" s="457"/>
      <c r="CX402" s="457"/>
      <c r="CY402" s="457"/>
      <c r="CZ402" s="457"/>
      <c r="DA402" s="457"/>
      <c r="DB402" s="457"/>
      <c r="DC402" s="457"/>
      <c r="DD402" s="457"/>
      <c r="DE402" s="457"/>
      <c r="DF402" s="457"/>
      <c r="DG402" s="457"/>
      <c r="DH402" s="457"/>
      <c r="DI402" s="457"/>
      <c r="DJ402" s="457"/>
      <c r="DK402" s="457"/>
      <c r="DL402" s="457"/>
      <c r="DM402" s="457"/>
      <c r="DN402" s="457"/>
      <c r="DO402" s="457"/>
      <c r="DP402" s="457"/>
      <c r="DQ402" s="457"/>
      <c r="DR402" s="457"/>
      <c r="DS402" s="457"/>
      <c r="DT402" s="457"/>
      <c r="DU402" s="457"/>
      <c r="DV402" s="457"/>
      <c r="DW402" s="457"/>
      <c r="DX402" s="457"/>
      <c r="DY402" s="457"/>
      <c r="DZ402" s="457"/>
      <c r="EA402" s="457"/>
      <c r="EB402" s="457"/>
      <c r="EC402" s="457"/>
      <c r="ED402" s="457"/>
      <c r="EE402" s="457"/>
      <c r="EF402" s="457"/>
      <c r="EG402" s="457"/>
      <c r="EH402" s="457"/>
      <c r="EI402" s="457"/>
      <c r="EJ402" s="457"/>
      <c r="EK402" s="457"/>
      <c r="EL402" s="457"/>
      <c r="EM402" s="457"/>
      <c r="EN402" s="457"/>
      <c r="EO402" s="457"/>
      <c r="EP402" s="457"/>
      <c r="EQ402" s="457"/>
      <c r="ER402" s="457"/>
      <c r="ES402" s="457"/>
      <c r="ET402" s="457"/>
      <c r="EU402" s="457"/>
      <c r="EV402" s="457"/>
      <c r="EW402" s="457"/>
      <c r="EX402" s="457"/>
      <c r="EY402" s="457"/>
      <c r="EZ402" s="457"/>
      <c r="FA402" s="457"/>
      <c r="FB402" s="457"/>
      <c r="FC402" s="457"/>
      <c r="FD402" s="457"/>
      <c r="FE402" s="457"/>
      <c r="FF402" s="457"/>
      <c r="FG402" s="457"/>
      <c r="FH402" s="457"/>
      <c r="FI402" s="457"/>
      <c r="FJ402" s="457"/>
      <c r="FK402" s="457"/>
      <c r="FL402" s="457"/>
      <c r="FM402" s="457"/>
      <c r="FN402" s="457"/>
      <c r="FO402" s="457"/>
      <c r="FP402" s="457"/>
      <c r="FQ402" s="457"/>
      <c r="FR402" s="457"/>
      <c r="FS402" s="457"/>
      <c r="FT402" s="457"/>
      <c r="FU402" s="457"/>
      <c r="FV402" s="457"/>
      <c r="FW402" s="457"/>
      <c r="FX402" s="457"/>
      <c r="FY402" s="457"/>
      <c r="FZ402" s="457"/>
      <c r="GA402" s="457"/>
      <c r="GB402" s="457"/>
      <c r="GC402" s="457"/>
      <c r="GD402" s="457"/>
      <c r="GE402" s="457"/>
      <c r="GF402" s="457"/>
      <c r="GG402" s="457"/>
      <c r="GH402" s="457"/>
      <c r="GI402" s="457"/>
      <c r="GJ402" s="457"/>
      <c r="GK402" s="457"/>
      <c r="GL402" s="457"/>
      <c r="GM402" s="457"/>
      <c r="GN402" s="457"/>
      <c r="GO402" s="457"/>
      <c r="GP402" s="457"/>
      <c r="GQ402" s="457"/>
      <c r="GR402" s="457"/>
      <c r="GS402" s="457"/>
      <c r="GT402" s="457"/>
      <c r="GU402" s="457"/>
      <c r="GV402" s="457"/>
      <c r="GW402" s="457"/>
      <c r="GX402" s="457"/>
      <c r="GY402" s="457"/>
      <c r="GZ402" s="457"/>
      <c r="HA402" s="457"/>
      <c r="HB402" s="457"/>
      <c r="HC402" s="457"/>
      <c r="HD402" s="457"/>
      <c r="HE402" s="457"/>
      <c r="HF402" s="457"/>
      <c r="HG402" s="457"/>
      <c r="HH402" s="457"/>
      <c r="HI402" s="457"/>
      <c r="HJ402" s="457"/>
      <c r="HK402" s="457"/>
      <c r="HL402" s="457"/>
      <c r="HM402" s="457"/>
      <c r="HN402" s="457"/>
      <c r="HO402" s="457"/>
      <c r="HP402" s="457"/>
      <c r="HQ402" s="457"/>
      <c r="HR402" s="457"/>
      <c r="HS402" s="457"/>
      <c r="HT402" s="457"/>
      <c r="HU402" s="457"/>
      <c r="HV402" s="457"/>
      <c r="HW402" s="457"/>
      <c r="HX402" s="457"/>
      <c r="HY402" s="457"/>
      <c r="HZ402" s="457"/>
      <c r="IA402" s="457"/>
      <c r="IB402" s="457"/>
      <c r="IC402" s="457"/>
      <c r="ID402" s="457"/>
      <c r="IE402" s="457"/>
      <c r="IF402" s="457"/>
      <c r="IG402" s="457"/>
      <c r="IH402" s="457"/>
      <c r="II402" s="457"/>
      <c r="IJ402" s="457"/>
      <c r="IK402" s="457"/>
      <c r="IL402" s="457"/>
      <c r="IM402" s="457"/>
      <c r="IN402" s="457"/>
      <c r="IO402" s="457"/>
      <c r="IP402" s="457"/>
      <c r="IQ402" s="457"/>
      <c r="IR402" s="457"/>
      <c r="IS402" s="457"/>
      <c r="IT402" s="457"/>
      <c r="IU402" s="457"/>
      <c r="IV402" s="457"/>
      <c r="IW402" s="457"/>
      <c r="IX402" s="457"/>
      <c r="IY402" s="457"/>
      <c r="IZ402" s="457"/>
      <c r="JA402" s="457"/>
      <c r="JB402" s="457"/>
      <c r="JC402" s="457"/>
      <c r="JD402" s="457"/>
      <c r="JE402" s="457"/>
      <c r="JF402" s="457"/>
      <c r="JG402" s="457"/>
      <c r="JH402" s="457"/>
      <c r="JI402" s="457"/>
      <c r="JJ402" s="457"/>
      <c r="JK402" s="457"/>
      <c r="JL402" s="457"/>
      <c r="JM402" s="457"/>
      <c r="JN402" s="457"/>
      <c r="JO402" s="457"/>
      <c r="JP402" s="457"/>
      <c r="JQ402" s="457"/>
      <c r="JR402" s="457"/>
      <c r="JS402" s="457"/>
      <c r="JT402" s="457"/>
      <c r="JU402" s="457"/>
      <c r="JV402" s="457"/>
      <c r="JW402" s="457"/>
      <c r="JX402" s="457"/>
      <c r="JY402" s="457"/>
      <c r="JZ402" s="457"/>
      <c r="KA402" s="457"/>
      <c r="KB402" s="457"/>
      <c r="KC402" s="457"/>
      <c r="KD402" s="457"/>
      <c r="KE402" s="457"/>
      <c r="KF402" s="457"/>
      <c r="KG402" s="457"/>
      <c r="KH402" s="457"/>
      <c r="KI402" s="457"/>
      <c r="KJ402" s="457"/>
      <c r="KK402" s="457"/>
      <c r="KL402" s="457"/>
      <c r="KM402" s="457"/>
      <c r="KN402" s="457"/>
      <c r="KO402" s="457"/>
      <c r="KP402" s="457"/>
      <c r="KQ402" s="457"/>
      <c r="KR402" s="457"/>
      <c r="KS402" s="457"/>
      <c r="KT402" s="457"/>
      <c r="KU402" s="457"/>
      <c r="KV402" s="457"/>
      <c r="KW402" s="457"/>
      <c r="KX402" s="457"/>
      <c r="KY402" s="457"/>
      <c r="KZ402" s="457"/>
      <c r="LA402" s="457"/>
      <c r="LB402" s="457"/>
      <c r="LC402" s="457"/>
      <c r="LD402" s="457"/>
      <c r="LE402" s="457"/>
      <c r="LF402" s="457"/>
      <c r="LG402" s="457"/>
      <c r="LH402" s="457"/>
      <c r="LI402" s="457"/>
      <c r="LJ402" s="457"/>
      <c r="LK402" s="457"/>
      <c r="LL402" s="457"/>
      <c r="LM402" s="457"/>
      <c r="LN402" s="457"/>
      <c r="LO402" s="457"/>
      <c r="LP402" s="457"/>
      <c r="LQ402" s="457"/>
      <c r="LR402" s="457"/>
      <c r="LS402" s="457"/>
      <c r="LT402" s="457"/>
      <c r="LU402" s="457"/>
      <c r="LV402" s="457"/>
      <c r="LW402" s="457"/>
      <c r="LX402" s="457"/>
      <c r="LY402" s="457"/>
      <c r="LZ402" s="457"/>
      <c r="MA402" s="457"/>
      <c r="MB402" s="457"/>
      <c r="MC402" s="457"/>
      <c r="MD402" s="457"/>
      <c r="ME402" s="457"/>
      <c r="MF402" s="457"/>
      <c r="MG402" s="457"/>
      <c r="MH402" s="457"/>
      <c r="MI402" s="457"/>
      <c r="MJ402" s="457"/>
      <c r="MK402" s="457"/>
      <c r="ML402" s="457"/>
      <c r="MM402" s="457"/>
      <c r="MN402" s="457"/>
      <c r="MO402" s="457"/>
      <c r="MP402" s="457"/>
      <c r="MQ402" s="457"/>
      <c r="MR402" s="457"/>
      <c r="MS402" s="457"/>
      <c r="MT402" s="457"/>
      <c r="MU402" s="457"/>
      <c r="MV402" s="457"/>
      <c r="MW402" s="457"/>
      <c r="MX402" s="457"/>
      <c r="MY402" s="457"/>
      <c r="MZ402" s="457"/>
      <c r="NA402" s="457"/>
      <c r="NB402" s="457"/>
      <c r="NC402" s="457"/>
      <c r="ND402" s="457"/>
      <c r="NE402" s="457"/>
      <c r="NF402" s="457"/>
      <c r="NG402" s="457"/>
      <c r="NH402" s="457"/>
      <c r="NI402" s="457"/>
      <c r="NJ402" s="457"/>
      <c r="NK402" s="457"/>
      <c r="NL402" s="457"/>
      <c r="NM402" s="457"/>
      <c r="NN402" s="457"/>
      <c r="NO402" s="457"/>
      <c r="NP402" s="457"/>
      <c r="NQ402" s="457"/>
      <c r="NR402" s="457"/>
      <c r="NS402" s="457"/>
      <c r="NT402" s="457"/>
      <c r="NU402" s="457"/>
      <c r="NV402" s="457"/>
      <c r="NW402" s="457"/>
      <c r="NX402" s="457"/>
      <c r="NY402" s="457"/>
      <c r="NZ402" s="457"/>
      <c r="OA402" s="457"/>
      <c r="OB402" s="457"/>
      <c r="OC402" s="457"/>
      <c r="OD402" s="457"/>
      <c r="OE402" s="457"/>
      <c r="OF402" s="457"/>
      <c r="OG402" s="457"/>
      <c r="OH402" s="457"/>
      <c r="OI402" s="457"/>
      <c r="OJ402" s="457"/>
      <c r="OK402" s="457"/>
      <c r="OL402" s="457"/>
      <c r="OM402" s="457"/>
      <c r="ON402" s="457"/>
      <c r="OO402" s="457"/>
      <c r="OP402" s="457"/>
      <c r="OQ402" s="457"/>
      <c r="OR402" s="457"/>
      <c r="OS402" s="457"/>
      <c r="OT402" s="457"/>
      <c r="OU402" s="457"/>
      <c r="OV402" s="457"/>
      <c r="OW402" s="457"/>
      <c r="OX402" s="457"/>
      <c r="OY402" s="457"/>
      <c r="OZ402" s="457"/>
      <c r="PA402" s="457"/>
      <c r="PB402" s="457"/>
      <c r="PC402" s="457"/>
      <c r="PD402" s="457"/>
      <c r="PE402" s="457"/>
      <c r="PF402" s="457"/>
      <c r="PG402" s="457"/>
      <c r="PH402" s="457"/>
      <c r="PI402" s="457"/>
      <c r="PJ402" s="457"/>
      <c r="PK402" s="457"/>
      <c r="PL402" s="457"/>
      <c r="PM402" s="457"/>
      <c r="PN402" s="457"/>
      <c r="PO402" s="457"/>
      <c r="PP402" s="457"/>
      <c r="PQ402" s="457"/>
      <c r="PR402" s="457"/>
      <c r="PS402" s="457"/>
      <c r="PT402" s="457"/>
      <c r="PU402" s="457"/>
      <c r="PV402" s="457"/>
      <c r="PW402" s="457"/>
      <c r="PX402" s="457"/>
      <c r="PY402" s="457"/>
      <c r="PZ402" s="457"/>
      <c r="QA402" s="457"/>
      <c r="QB402" s="457"/>
      <c r="QC402" s="457"/>
      <c r="QD402" s="457"/>
      <c r="QE402" s="457"/>
      <c r="QF402" s="457"/>
      <c r="QG402" s="457"/>
      <c r="QH402" s="457"/>
      <c r="QI402" s="457"/>
      <c r="QJ402" s="457"/>
      <c r="QK402" s="457"/>
      <c r="QL402" s="457"/>
      <c r="QM402" s="457"/>
      <c r="QN402" s="457"/>
      <c r="QO402" s="457"/>
      <c r="QP402" s="457"/>
      <c r="QQ402" s="457"/>
      <c r="QR402" s="457"/>
      <c r="QS402" s="457"/>
      <c r="QT402" s="457"/>
      <c r="QU402" s="457"/>
      <c r="QV402" s="457"/>
      <c r="QW402" s="457"/>
      <c r="QX402" s="457"/>
      <c r="QY402" s="457"/>
      <c r="QZ402" s="457"/>
      <c r="RA402" s="457"/>
      <c r="RB402" s="457"/>
      <c r="RC402" s="457"/>
      <c r="RD402" s="457"/>
      <c r="RE402" s="457"/>
      <c r="RF402" s="457"/>
      <c r="RG402" s="457"/>
      <c r="RH402" s="457"/>
      <c r="RI402" s="457"/>
      <c r="RJ402" s="457"/>
      <c r="RK402" s="457"/>
      <c r="RL402" s="457"/>
      <c r="RM402" s="457"/>
      <c r="RN402" s="457"/>
      <c r="RO402" s="457"/>
      <c r="RP402" s="457"/>
      <c r="RQ402" s="457"/>
      <c r="RR402" s="457"/>
      <c r="RS402" s="457"/>
      <c r="RT402" s="457"/>
      <c r="RU402" s="457"/>
      <c r="RV402" s="457"/>
      <c r="RW402" s="457"/>
      <c r="RX402" s="457"/>
      <c r="RY402" s="457"/>
      <c r="RZ402" s="457"/>
      <c r="SA402" s="457"/>
      <c r="SB402" s="457"/>
      <c r="SC402" s="457"/>
      <c r="SD402" s="457"/>
      <c r="SE402" s="457"/>
      <c r="SF402" s="457"/>
      <c r="SG402" s="457"/>
      <c r="SH402" s="457"/>
      <c r="SI402" s="457"/>
      <c r="SJ402" s="457"/>
      <c r="SK402" s="457"/>
      <c r="SL402" s="457"/>
      <c r="SM402" s="457"/>
      <c r="SN402" s="457"/>
      <c r="SO402" s="457"/>
      <c r="SP402" s="457"/>
      <c r="SQ402" s="457"/>
      <c r="SR402" s="457"/>
      <c r="SS402" s="457"/>
      <c r="ST402" s="457"/>
      <c r="SU402" s="457"/>
      <c r="SV402" s="457"/>
      <c r="SW402" s="457"/>
      <c r="SX402" s="457"/>
      <c r="SY402" s="457"/>
      <c r="SZ402" s="457"/>
      <c r="TA402" s="457"/>
      <c r="TB402" s="457"/>
      <c r="TC402" s="457"/>
      <c r="TD402" s="457"/>
      <c r="TE402" s="457"/>
      <c r="TF402" s="457"/>
      <c r="TG402" s="457"/>
      <c r="TH402" s="457"/>
      <c r="TI402" s="457"/>
      <c r="TJ402" s="457"/>
      <c r="TK402" s="457"/>
      <c r="TL402" s="457"/>
      <c r="TM402" s="457"/>
      <c r="TN402" s="457"/>
      <c r="TO402" s="457"/>
      <c r="TP402" s="457"/>
      <c r="TQ402" s="457"/>
      <c r="TR402" s="457"/>
      <c r="TS402" s="457"/>
      <c r="TT402" s="457"/>
      <c r="TU402" s="457"/>
      <c r="TV402" s="457"/>
      <c r="TW402" s="457"/>
      <c r="TX402" s="457"/>
      <c r="TY402" s="457"/>
      <c r="TZ402" s="457"/>
      <c r="UA402" s="457"/>
      <c r="UB402" s="457"/>
      <c r="UC402" s="457"/>
      <c r="UD402" s="457"/>
      <c r="UE402" s="457"/>
      <c r="UF402" s="457"/>
      <c r="UG402" s="457"/>
      <c r="UH402" s="457"/>
      <c r="UI402" s="457"/>
      <c r="UJ402" s="457"/>
      <c r="UK402" s="457"/>
      <c r="UL402" s="457"/>
      <c r="UM402" s="457"/>
      <c r="UN402" s="457"/>
      <c r="UO402" s="457"/>
      <c r="UP402" s="457"/>
      <c r="UQ402" s="457"/>
      <c r="UR402" s="457"/>
      <c r="US402" s="457"/>
      <c r="UT402" s="457"/>
      <c r="UU402" s="457"/>
      <c r="UV402" s="457"/>
      <c r="UW402" s="457"/>
      <c r="UX402" s="457"/>
      <c r="UY402" s="457"/>
      <c r="UZ402" s="457"/>
      <c r="VA402" s="457"/>
      <c r="VB402" s="457"/>
      <c r="VC402" s="457"/>
      <c r="VD402" s="457"/>
      <c r="VE402" s="457"/>
      <c r="VF402" s="457"/>
      <c r="VG402" s="457"/>
      <c r="VH402" s="457"/>
      <c r="VI402" s="457"/>
      <c r="VJ402" s="457"/>
      <c r="VK402" s="457"/>
      <c r="VL402" s="457"/>
      <c r="VM402" s="457"/>
      <c r="VN402" s="457"/>
      <c r="VO402" s="457"/>
      <c r="VP402" s="457"/>
      <c r="VQ402" s="457"/>
      <c r="VR402" s="457"/>
      <c r="VS402" s="457"/>
      <c r="VT402" s="457"/>
      <c r="VU402" s="457"/>
      <c r="VV402" s="457"/>
      <c r="VW402" s="457"/>
      <c r="VX402" s="457"/>
      <c r="VY402" s="457"/>
      <c r="VZ402" s="457"/>
      <c r="WA402" s="457"/>
      <c r="WB402" s="457"/>
      <c r="WC402" s="457"/>
      <c r="WD402" s="457"/>
      <c r="WE402" s="457"/>
      <c r="WF402" s="457"/>
      <c r="WG402" s="457"/>
      <c r="WH402" s="457"/>
      <c r="WI402" s="457"/>
      <c r="WJ402" s="457"/>
      <c r="WK402" s="457"/>
      <c r="WL402" s="457"/>
      <c r="WM402" s="457"/>
      <c r="WN402" s="457"/>
      <c r="WO402" s="457"/>
      <c r="WP402" s="457"/>
      <c r="WQ402" s="457"/>
      <c r="WR402" s="457"/>
      <c r="WS402" s="457"/>
      <c r="WT402" s="457"/>
      <c r="WU402" s="457"/>
      <c r="WV402" s="457"/>
      <c r="WW402" s="457"/>
      <c r="WX402" s="457"/>
      <c r="WY402" s="457"/>
      <c r="WZ402" s="457"/>
      <c r="XA402" s="457"/>
      <c r="XB402" s="457"/>
      <c r="XC402" s="457"/>
      <c r="XD402" s="457"/>
      <c r="XE402" s="457"/>
      <c r="XF402" s="457"/>
      <c r="XG402" s="457"/>
      <c r="XH402" s="457"/>
      <c r="XI402" s="457"/>
      <c r="XJ402" s="457"/>
      <c r="XK402" s="457"/>
      <c r="XL402" s="457"/>
      <c r="XM402" s="457"/>
      <c r="XN402" s="457"/>
      <c r="XO402" s="457"/>
      <c r="XP402" s="457"/>
      <c r="XQ402" s="457"/>
      <c r="XR402" s="457"/>
      <c r="XS402" s="457"/>
      <c r="XT402" s="457"/>
      <c r="XU402" s="457"/>
      <c r="XV402" s="457"/>
      <c r="XW402" s="457"/>
      <c r="XX402" s="457"/>
      <c r="XY402" s="457"/>
      <c r="XZ402" s="457"/>
      <c r="YA402" s="457"/>
      <c r="YB402" s="457"/>
      <c r="YC402" s="457"/>
      <c r="YD402" s="457"/>
      <c r="YE402" s="457"/>
      <c r="YF402" s="457"/>
      <c r="YG402" s="457"/>
      <c r="YH402" s="457"/>
      <c r="YI402" s="457"/>
      <c r="YJ402" s="457"/>
      <c r="YK402" s="457"/>
      <c r="YL402" s="457"/>
      <c r="YM402" s="457"/>
      <c r="YN402" s="457"/>
      <c r="YO402" s="457"/>
      <c r="YP402" s="457"/>
      <c r="YQ402" s="457"/>
      <c r="YR402" s="457"/>
      <c r="YS402" s="457"/>
      <c r="YT402" s="457"/>
      <c r="YU402" s="457"/>
      <c r="YV402" s="457"/>
      <c r="YW402" s="457"/>
      <c r="YX402" s="457"/>
      <c r="YY402" s="457"/>
      <c r="YZ402" s="457"/>
      <c r="ZA402" s="457"/>
      <c r="ZB402" s="457"/>
      <c r="ZC402" s="457"/>
      <c r="ZD402" s="457"/>
      <c r="ZE402" s="457"/>
      <c r="ZF402" s="457"/>
      <c r="ZG402" s="457"/>
      <c r="ZH402" s="457"/>
      <c r="ZI402" s="457"/>
      <c r="ZJ402" s="457"/>
      <c r="ZK402" s="457"/>
      <c r="ZL402" s="457"/>
      <c r="ZM402" s="457"/>
      <c r="ZN402" s="457"/>
      <c r="ZO402" s="457"/>
      <c r="ZP402" s="457"/>
      <c r="ZQ402" s="457"/>
      <c r="ZR402" s="457"/>
      <c r="ZS402" s="457"/>
      <c r="ZT402" s="457"/>
      <c r="ZU402" s="457"/>
      <c r="ZV402" s="457"/>
      <c r="ZW402" s="457"/>
      <c r="ZX402" s="457"/>
      <c r="ZY402" s="457"/>
      <c r="ZZ402" s="457"/>
      <c r="AAA402" s="457"/>
      <c r="AAB402" s="457"/>
      <c r="AAC402" s="457"/>
      <c r="AAD402" s="457"/>
      <c r="AAE402" s="457"/>
      <c r="AAF402" s="457"/>
      <c r="AAG402" s="457"/>
      <c r="AAH402" s="457"/>
      <c r="AAI402" s="457"/>
      <c r="AAJ402" s="457"/>
      <c r="AAK402" s="457"/>
      <c r="AAL402" s="457"/>
      <c r="AAM402" s="457"/>
      <c r="AAN402" s="457"/>
      <c r="AAO402" s="457"/>
      <c r="AAP402" s="457"/>
      <c r="AAQ402" s="457"/>
      <c r="AAR402" s="457"/>
      <c r="AAS402" s="457"/>
      <c r="AAT402" s="457"/>
      <c r="AAU402" s="457"/>
      <c r="AAV402" s="457"/>
      <c r="AAW402" s="457"/>
      <c r="AAX402" s="457"/>
      <c r="AAY402" s="457"/>
      <c r="AAZ402" s="457"/>
      <c r="ABA402" s="457"/>
      <c r="ABB402" s="457"/>
      <c r="ABC402" s="457"/>
      <c r="ABD402" s="457"/>
      <c r="ABE402" s="457"/>
      <c r="ABF402" s="457"/>
      <c r="ABG402" s="457"/>
      <c r="ABH402" s="457"/>
      <c r="ABI402" s="457"/>
      <c r="ABJ402" s="457"/>
      <c r="ABK402" s="457"/>
      <c r="ABL402" s="457"/>
      <c r="ABM402" s="457"/>
      <c r="ABN402" s="457"/>
      <c r="ABO402" s="457"/>
      <c r="ABP402" s="457"/>
      <c r="ABQ402" s="457"/>
      <c r="ABR402" s="457"/>
      <c r="ABS402" s="457"/>
      <c r="ABT402" s="457"/>
      <c r="ABU402" s="457"/>
      <c r="ABV402" s="457"/>
      <c r="ABW402" s="457"/>
      <c r="ABX402" s="457"/>
      <c r="ABY402" s="457"/>
      <c r="ABZ402" s="457"/>
      <c r="ACA402" s="457"/>
      <c r="ACB402" s="457"/>
      <c r="ACC402" s="457"/>
      <c r="ACD402" s="457"/>
      <c r="ACE402" s="457"/>
      <c r="ACF402" s="457"/>
      <c r="ACG402" s="457"/>
      <c r="ACH402" s="457"/>
      <c r="ACI402" s="457"/>
      <c r="ACJ402" s="457"/>
      <c r="ACK402" s="457"/>
      <c r="ACL402" s="457"/>
      <c r="ACM402" s="457"/>
      <c r="ACN402" s="457"/>
      <c r="ACO402" s="457"/>
      <c r="ACP402" s="457"/>
      <c r="ACQ402" s="457"/>
      <c r="ACR402" s="457"/>
      <c r="ACS402" s="457"/>
      <c r="ACT402" s="457"/>
      <c r="ACU402" s="457"/>
      <c r="ACV402" s="457"/>
    </row>
    <row r="403" spans="1:776" s="400" customFormat="1" x14ac:dyDescent="0.25">
      <c r="A403" s="470">
        <v>900116</v>
      </c>
      <c r="B403" s="237" t="s">
        <v>254</v>
      </c>
      <c r="C403" s="455"/>
      <c r="D403" s="454" t="s">
        <v>235</v>
      </c>
      <c r="E403" s="454">
        <v>4.0199999999999996</v>
      </c>
      <c r="F403" s="458">
        <v>1.5</v>
      </c>
      <c r="G403" s="454">
        <v>0.01</v>
      </c>
      <c r="H403" s="454">
        <v>0.13</v>
      </c>
      <c r="I403" s="456">
        <v>1164</v>
      </c>
      <c r="J403" s="454">
        <v>174.1</v>
      </c>
      <c r="K403" s="456">
        <v>0.01</v>
      </c>
      <c r="L403" s="454">
        <v>261.60000000000002</v>
      </c>
      <c r="M403" s="454">
        <v>0.01</v>
      </c>
      <c r="N403" s="454">
        <v>5.0199999999999996</v>
      </c>
      <c r="O403" s="454">
        <v>587.62</v>
      </c>
      <c r="P403" s="454">
        <v>163.99</v>
      </c>
      <c r="Q403" s="454">
        <v>59.89</v>
      </c>
      <c r="R403" s="467">
        <v>0.01</v>
      </c>
      <c r="S403" s="467">
        <v>0.01</v>
      </c>
      <c r="T403" s="467">
        <v>0.01</v>
      </c>
      <c r="U403" s="467">
        <v>0.01</v>
      </c>
      <c r="V403" s="454"/>
      <c r="W403" s="457"/>
      <c r="X403" s="457"/>
      <c r="Y403" s="457"/>
      <c r="Z403" s="457"/>
      <c r="AA403" s="457"/>
      <c r="AB403" s="457"/>
      <c r="AC403" s="457"/>
      <c r="AD403" s="457"/>
      <c r="AE403" s="457"/>
      <c r="AF403" s="457"/>
      <c r="AG403" s="457"/>
      <c r="AH403" s="457"/>
      <c r="AI403" s="457"/>
      <c r="AJ403" s="457"/>
      <c r="AK403" s="457"/>
      <c r="AL403" s="457"/>
      <c r="AM403" s="457"/>
      <c r="AN403" s="457"/>
      <c r="AO403" s="457"/>
      <c r="AP403" s="457"/>
      <c r="AQ403" s="457"/>
      <c r="AR403" s="457"/>
      <c r="AS403" s="457"/>
      <c r="AT403" s="457"/>
      <c r="AU403" s="457"/>
      <c r="AV403" s="457"/>
      <c r="AW403" s="457"/>
      <c r="AX403" s="457"/>
      <c r="AY403" s="457"/>
      <c r="AZ403" s="457"/>
      <c r="BA403" s="457"/>
      <c r="BB403" s="457"/>
      <c r="BC403" s="457"/>
      <c r="BD403" s="457"/>
      <c r="BE403" s="457"/>
      <c r="BF403" s="457"/>
      <c r="BG403" s="457"/>
      <c r="BH403" s="457"/>
      <c r="BI403" s="457"/>
      <c r="BJ403" s="457"/>
      <c r="BK403" s="457"/>
      <c r="BL403" s="457"/>
      <c r="BM403" s="457"/>
      <c r="BN403" s="457"/>
      <c r="BO403" s="457"/>
      <c r="BP403" s="457"/>
      <c r="BQ403" s="457"/>
      <c r="BR403" s="457"/>
      <c r="BS403" s="457"/>
      <c r="BT403" s="457"/>
      <c r="BU403" s="457"/>
      <c r="BV403" s="457"/>
      <c r="BW403" s="457"/>
      <c r="BX403" s="457"/>
      <c r="BY403" s="457"/>
      <c r="BZ403" s="457"/>
      <c r="CA403" s="457"/>
      <c r="CB403" s="457"/>
      <c r="CC403" s="457"/>
      <c r="CD403" s="457"/>
      <c r="CE403" s="457"/>
      <c r="CF403" s="457"/>
      <c r="CG403" s="457"/>
      <c r="CH403" s="457"/>
      <c r="CI403" s="457"/>
      <c r="CJ403" s="457"/>
      <c r="CK403" s="457"/>
      <c r="CL403" s="457"/>
      <c r="CM403" s="457"/>
      <c r="CN403" s="457"/>
      <c r="CO403" s="457"/>
      <c r="CP403" s="457"/>
      <c r="CQ403" s="457"/>
      <c r="CR403" s="457"/>
      <c r="CS403" s="457"/>
      <c r="CT403" s="457"/>
      <c r="CU403" s="457"/>
      <c r="CV403" s="457"/>
      <c r="CW403" s="457"/>
      <c r="CX403" s="457"/>
      <c r="CY403" s="457"/>
      <c r="CZ403" s="457"/>
      <c r="DA403" s="457"/>
      <c r="DB403" s="457"/>
      <c r="DC403" s="457"/>
      <c r="DD403" s="457"/>
      <c r="DE403" s="457"/>
      <c r="DF403" s="457"/>
      <c r="DG403" s="457"/>
      <c r="DH403" s="457"/>
      <c r="DI403" s="457"/>
      <c r="DJ403" s="457"/>
      <c r="DK403" s="457"/>
      <c r="DL403" s="457"/>
      <c r="DM403" s="457"/>
      <c r="DN403" s="457"/>
      <c r="DO403" s="457"/>
      <c r="DP403" s="457"/>
      <c r="DQ403" s="457"/>
      <c r="DR403" s="457"/>
      <c r="DS403" s="457"/>
      <c r="DT403" s="457"/>
      <c r="DU403" s="457"/>
      <c r="DV403" s="457"/>
      <c r="DW403" s="457"/>
      <c r="DX403" s="457"/>
      <c r="DY403" s="457"/>
      <c r="DZ403" s="457"/>
      <c r="EA403" s="457"/>
      <c r="EB403" s="457"/>
      <c r="EC403" s="457"/>
      <c r="ED403" s="457"/>
      <c r="EE403" s="457"/>
      <c r="EF403" s="457"/>
      <c r="EG403" s="457"/>
      <c r="EH403" s="457"/>
      <c r="EI403" s="457"/>
      <c r="EJ403" s="457"/>
      <c r="EK403" s="457"/>
      <c r="EL403" s="457"/>
      <c r="EM403" s="457"/>
      <c r="EN403" s="457"/>
      <c r="EO403" s="457"/>
      <c r="EP403" s="457"/>
      <c r="EQ403" s="457"/>
      <c r="ER403" s="457"/>
      <c r="ES403" s="457"/>
      <c r="ET403" s="457"/>
      <c r="EU403" s="457"/>
      <c r="EV403" s="457"/>
      <c r="EW403" s="457"/>
      <c r="EX403" s="457"/>
      <c r="EY403" s="457"/>
      <c r="EZ403" s="457"/>
      <c r="FA403" s="457"/>
      <c r="FB403" s="457"/>
      <c r="FC403" s="457"/>
      <c r="FD403" s="457"/>
      <c r="FE403" s="457"/>
      <c r="FF403" s="457"/>
      <c r="FG403" s="457"/>
      <c r="FH403" s="457"/>
      <c r="FI403" s="457"/>
      <c r="FJ403" s="457"/>
      <c r="FK403" s="457"/>
      <c r="FL403" s="457"/>
      <c r="FM403" s="457"/>
      <c r="FN403" s="457"/>
      <c r="FO403" s="457"/>
      <c r="FP403" s="457"/>
      <c r="FQ403" s="457"/>
      <c r="FR403" s="457"/>
      <c r="FS403" s="457"/>
      <c r="FT403" s="457"/>
      <c r="FU403" s="457"/>
      <c r="FV403" s="457"/>
      <c r="FW403" s="457"/>
      <c r="FX403" s="457"/>
      <c r="FY403" s="457"/>
      <c r="FZ403" s="457"/>
      <c r="GA403" s="457"/>
      <c r="GB403" s="457"/>
      <c r="GC403" s="457"/>
      <c r="GD403" s="457"/>
      <c r="GE403" s="457"/>
      <c r="GF403" s="457"/>
      <c r="GG403" s="457"/>
      <c r="GH403" s="457"/>
      <c r="GI403" s="457"/>
      <c r="GJ403" s="457"/>
      <c r="GK403" s="457"/>
      <c r="GL403" s="457"/>
      <c r="GM403" s="457"/>
      <c r="GN403" s="457"/>
      <c r="GO403" s="457"/>
      <c r="GP403" s="457"/>
      <c r="GQ403" s="457"/>
      <c r="GR403" s="457"/>
      <c r="GS403" s="457"/>
      <c r="GT403" s="457"/>
      <c r="GU403" s="457"/>
      <c r="GV403" s="457"/>
      <c r="GW403" s="457"/>
      <c r="GX403" s="457"/>
      <c r="GY403" s="457"/>
      <c r="GZ403" s="457"/>
      <c r="HA403" s="457"/>
      <c r="HB403" s="457"/>
      <c r="HC403" s="457"/>
      <c r="HD403" s="457"/>
      <c r="HE403" s="457"/>
      <c r="HF403" s="457"/>
      <c r="HG403" s="457"/>
      <c r="HH403" s="457"/>
      <c r="HI403" s="457"/>
      <c r="HJ403" s="457"/>
      <c r="HK403" s="457"/>
      <c r="HL403" s="457"/>
      <c r="HM403" s="457"/>
      <c r="HN403" s="457"/>
      <c r="HO403" s="457"/>
      <c r="HP403" s="457"/>
      <c r="HQ403" s="457"/>
      <c r="HR403" s="457"/>
      <c r="HS403" s="457"/>
      <c r="HT403" s="457"/>
      <c r="HU403" s="457"/>
      <c r="HV403" s="457"/>
      <c r="HW403" s="457"/>
      <c r="HX403" s="457"/>
      <c r="HY403" s="457"/>
      <c r="HZ403" s="457"/>
      <c r="IA403" s="457"/>
      <c r="IB403" s="457"/>
      <c r="IC403" s="457"/>
      <c r="ID403" s="457"/>
      <c r="IE403" s="457"/>
      <c r="IF403" s="457"/>
      <c r="IG403" s="457"/>
      <c r="IH403" s="457"/>
      <c r="II403" s="457"/>
      <c r="IJ403" s="457"/>
      <c r="IK403" s="457"/>
      <c r="IL403" s="457"/>
      <c r="IM403" s="457"/>
      <c r="IN403" s="457"/>
      <c r="IO403" s="457"/>
      <c r="IP403" s="457"/>
      <c r="IQ403" s="457"/>
      <c r="IR403" s="457"/>
      <c r="IS403" s="457"/>
      <c r="IT403" s="457"/>
      <c r="IU403" s="457"/>
      <c r="IV403" s="457"/>
      <c r="IW403" s="457"/>
      <c r="IX403" s="457"/>
      <c r="IY403" s="457"/>
      <c r="IZ403" s="457"/>
      <c r="JA403" s="457"/>
      <c r="JB403" s="457"/>
      <c r="JC403" s="457"/>
      <c r="JD403" s="457"/>
      <c r="JE403" s="457"/>
      <c r="JF403" s="457"/>
      <c r="JG403" s="457"/>
      <c r="JH403" s="457"/>
      <c r="JI403" s="457"/>
      <c r="JJ403" s="457"/>
      <c r="JK403" s="457"/>
      <c r="JL403" s="457"/>
      <c r="JM403" s="457"/>
      <c r="JN403" s="457"/>
      <c r="JO403" s="457"/>
      <c r="JP403" s="457"/>
      <c r="JQ403" s="457"/>
      <c r="JR403" s="457"/>
      <c r="JS403" s="457"/>
      <c r="JT403" s="457"/>
      <c r="JU403" s="457"/>
      <c r="JV403" s="457"/>
      <c r="JW403" s="457"/>
      <c r="JX403" s="457"/>
      <c r="JY403" s="457"/>
      <c r="JZ403" s="457"/>
      <c r="KA403" s="457"/>
      <c r="KB403" s="457"/>
      <c r="KC403" s="457"/>
      <c r="KD403" s="457"/>
      <c r="KE403" s="457"/>
      <c r="KF403" s="457"/>
      <c r="KG403" s="457"/>
      <c r="KH403" s="457"/>
      <c r="KI403" s="457"/>
      <c r="KJ403" s="457"/>
      <c r="KK403" s="457"/>
      <c r="KL403" s="457"/>
      <c r="KM403" s="457"/>
      <c r="KN403" s="457"/>
      <c r="KO403" s="457"/>
      <c r="KP403" s="457"/>
      <c r="KQ403" s="457"/>
      <c r="KR403" s="457"/>
      <c r="KS403" s="457"/>
      <c r="KT403" s="457"/>
      <c r="KU403" s="457"/>
      <c r="KV403" s="457"/>
      <c r="KW403" s="457"/>
      <c r="KX403" s="457"/>
      <c r="KY403" s="457"/>
      <c r="KZ403" s="457"/>
      <c r="LA403" s="457"/>
      <c r="LB403" s="457"/>
      <c r="LC403" s="457"/>
      <c r="LD403" s="457"/>
      <c r="LE403" s="457"/>
      <c r="LF403" s="457"/>
      <c r="LG403" s="457"/>
      <c r="LH403" s="457"/>
      <c r="LI403" s="457"/>
      <c r="LJ403" s="457"/>
      <c r="LK403" s="457"/>
      <c r="LL403" s="457"/>
      <c r="LM403" s="457"/>
      <c r="LN403" s="457"/>
      <c r="LO403" s="457"/>
      <c r="LP403" s="457"/>
      <c r="LQ403" s="457"/>
      <c r="LR403" s="457"/>
      <c r="LS403" s="457"/>
      <c r="LT403" s="457"/>
      <c r="LU403" s="457"/>
      <c r="LV403" s="457"/>
      <c r="LW403" s="457"/>
      <c r="LX403" s="457"/>
      <c r="LY403" s="457"/>
      <c r="LZ403" s="457"/>
      <c r="MA403" s="457"/>
      <c r="MB403" s="457"/>
      <c r="MC403" s="457"/>
      <c r="MD403" s="457"/>
      <c r="ME403" s="457"/>
      <c r="MF403" s="457"/>
      <c r="MG403" s="457"/>
      <c r="MH403" s="457"/>
      <c r="MI403" s="457"/>
      <c r="MJ403" s="457"/>
      <c r="MK403" s="457"/>
      <c r="ML403" s="457"/>
      <c r="MM403" s="457"/>
      <c r="MN403" s="457"/>
      <c r="MO403" s="457"/>
      <c r="MP403" s="457"/>
      <c r="MQ403" s="457"/>
      <c r="MR403" s="457"/>
      <c r="MS403" s="457"/>
      <c r="MT403" s="457"/>
      <c r="MU403" s="457"/>
      <c r="MV403" s="457"/>
      <c r="MW403" s="457"/>
      <c r="MX403" s="457"/>
      <c r="MY403" s="457"/>
      <c r="MZ403" s="457"/>
      <c r="NA403" s="457"/>
      <c r="NB403" s="457"/>
      <c r="NC403" s="457"/>
      <c r="ND403" s="457"/>
      <c r="NE403" s="457"/>
      <c r="NF403" s="457"/>
      <c r="NG403" s="457"/>
      <c r="NH403" s="457"/>
      <c r="NI403" s="457"/>
      <c r="NJ403" s="457"/>
      <c r="NK403" s="457"/>
      <c r="NL403" s="457"/>
      <c r="NM403" s="457"/>
      <c r="NN403" s="457"/>
      <c r="NO403" s="457"/>
      <c r="NP403" s="457"/>
      <c r="NQ403" s="457"/>
      <c r="NR403" s="457"/>
      <c r="NS403" s="457"/>
      <c r="NT403" s="457"/>
      <c r="NU403" s="457"/>
      <c r="NV403" s="457"/>
      <c r="NW403" s="457"/>
      <c r="NX403" s="457"/>
      <c r="NY403" s="457"/>
      <c r="NZ403" s="457"/>
      <c r="OA403" s="457"/>
      <c r="OB403" s="457"/>
      <c r="OC403" s="457"/>
      <c r="OD403" s="457"/>
      <c r="OE403" s="457"/>
      <c r="OF403" s="457"/>
      <c r="OG403" s="457"/>
      <c r="OH403" s="457"/>
      <c r="OI403" s="457"/>
      <c r="OJ403" s="457"/>
      <c r="OK403" s="457"/>
      <c r="OL403" s="457"/>
      <c r="OM403" s="457"/>
      <c r="ON403" s="457"/>
      <c r="OO403" s="457"/>
      <c r="OP403" s="457"/>
      <c r="OQ403" s="457"/>
      <c r="OR403" s="457"/>
      <c r="OS403" s="457"/>
      <c r="OT403" s="457"/>
      <c r="OU403" s="457"/>
      <c r="OV403" s="457"/>
      <c r="OW403" s="457"/>
      <c r="OX403" s="457"/>
      <c r="OY403" s="457"/>
      <c r="OZ403" s="457"/>
      <c r="PA403" s="457"/>
      <c r="PB403" s="457"/>
      <c r="PC403" s="457"/>
      <c r="PD403" s="457"/>
      <c r="PE403" s="457"/>
      <c r="PF403" s="457"/>
      <c r="PG403" s="457"/>
      <c r="PH403" s="457"/>
      <c r="PI403" s="457"/>
      <c r="PJ403" s="457"/>
      <c r="PK403" s="457"/>
      <c r="PL403" s="457"/>
      <c r="PM403" s="457"/>
      <c r="PN403" s="457"/>
      <c r="PO403" s="457"/>
      <c r="PP403" s="457"/>
      <c r="PQ403" s="457"/>
      <c r="PR403" s="457"/>
      <c r="PS403" s="457"/>
      <c r="PT403" s="457"/>
      <c r="PU403" s="457"/>
      <c r="PV403" s="457"/>
      <c r="PW403" s="457"/>
      <c r="PX403" s="457"/>
      <c r="PY403" s="457"/>
      <c r="PZ403" s="457"/>
      <c r="QA403" s="457"/>
      <c r="QB403" s="457"/>
      <c r="QC403" s="457"/>
      <c r="QD403" s="457"/>
      <c r="QE403" s="457"/>
      <c r="QF403" s="457"/>
      <c r="QG403" s="457"/>
      <c r="QH403" s="457"/>
      <c r="QI403" s="457"/>
      <c r="QJ403" s="457"/>
      <c r="QK403" s="457"/>
      <c r="QL403" s="457"/>
      <c r="QM403" s="457"/>
      <c r="QN403" s="457"/>
      <c r="QO403" s="457"/>
      <c r="QP403" s="457"/>
      <c r="QQ403" s="457"/>
      <c r="QR403" s="457"/>
      <c r="QS403" s="457"/>
      <c r="QT403" s="457"/>
      <c r="QU403" s="457"/>
      <c r="QV403" s="457"/>
      <c r="QW403" s="457"/>
      <c r="QX403" s="457"/>
      <c r="QY403" s="457"/>
      <c r="QZ403" s="457"/>
      <c r="RA403" s="457"/>
      <c r="RB403" s="457"/>
      <c r="RC403" s="457"/>
      <c r="RD403" s="457"/>
      <c r="RE403" s="457"/>
      <c r="RF403" s="457"/>
      <c r="RG403" s="457"/>
      <c r="RH403" s="457"/>
      <c r="RI403" s="457"/>
      <c r="RJ403" s="457"/>
      <c r="RK403" s="457"/>
      <c r="RL403" s="457"/>
      <c r="RM403" s="457"/>
      <c r="RN403" s="457"/>
      <c r="RO403" s="457"/>
      <c r="RP403" s="457"/>
      <c r="RQ403" s="457"/>
      <c r="RR403" s="457"/>
      <c r="RS403" s="457"/>
      <c r="RT403" s="457"/>
      <c r="RU403" s="457"/>
      <c r="RV403" s="457"/>
      <c r="RW403" s="457"/>
      <c r="RX403" s="457"/>
      <c r="RY403" s="457"/>
      <c r="RZ403" s="457"/>
      <c r="SA403" s="457"/>
      <c r="SB403" s="457"/>
      <c r="SC403" s="457"/>
      <c r="SD403" s="457"/>
      <c r="SE403" s="457"/>
      <c r="SF403" s="457"/>
      <c r="SG403" s="457"/>
      <c r="SH403" s="457"/>
      <c r="SI403" s="457"/>
      <c r="SJ403" s="457"/>
      <c r="SK403" s="457"/>
      <c r="SL403" s="457"/>
      <c r="SM403" s="457"/>
      <c r="SN403" s="457"/>
      <c r="SO403" s="457"/>
      <c r="SP403" s="457"/>
      <c r="SQ403" s="457"/>
      <c r="SR403" s="457"/>
      <c r="SS403" s="457"/>
      <c r="ST403" s="457"/>
      <c r="SU403" s="457"/>
      <c r="SV403" s="457"/>
      <c r="SW403" s="457"/>
      <c r="SX403" s="457"/>
      <c r="SY403" s="457"/>
      <c r="SZ403" s="457"/>
      <c r="TA403" s="457"/>
      <c r="TB403" s="457"/>
      <c r="TC403" s="457"/>
      <c r="TD403" s="457"/>
      <c r="TE403" s="457"/>
      <c r="TF403" s="457"/>
      <c r="TG403" s="457"/>
      <c r="TH403" s="457"/>
      <c r="TI403" s="457"/>
      <c r="TJ403" s="457"/>
      <c r="TK403" s="457"/>
      <c r="TL403" s="457"/>
      <c r="TM403" s="457"/>
      <c r="TN403" s="457"/>
      <c r="TO403" s="457"/>
      <c r="TP403" s="457"/>
      <c r="TQ403" s="457"/>
      <c r="TR403" s="457"/>
      <c r="TS403" s="457"/>
      <c r="TT403" s="457"/>
      <c r="TU403" s="457"/>
      <c r="TV403" s="457"/>
      <c r="TW403" s="457"/>
      <c r="TX403" s="457"/>
      <c r="TY403" s="457"/>
      <c r="TZ403" s="457"/>
      <c r="UA403" s="457"/>
      <c r="UB403" s="457"/>
      <c r="UC403" s="457"/>
      <c r="UD403" s="457"/>
      <c r="UE403" s="457"/>
      <c r="UF403" s="457"/>
      <c r="UG403" s="457"/>
      <c r="UH403" s="457"/>
      <c r="UI403" s="457"/>
      <c r="UJ403" s="457"/>
      <c r="UK403" s="457"/>
      <c r="UL403" s="457"/>
      <c r="UM403" s="457"/>
      <c r="UN403" s="457"/>
      <c r="UO403" s="457"/>
      <c r="UP403" s="457"/>
      <c r="UQ403" s="457"/>
      <c r="UR403" s="457"/>
      <c r="US403" s="457"/>
      <c r="UT403" s="457"/>
      <c r="UU403" s="457"/>
      <c r="UV403" s="457"/>
      <c r="UW403" s="457"/>
      <c r="UX403" s="457"/>
      <c r="UY403" s="457"/>
      <c r="UZ403" s="457"/>
      <c r="VA403" s="457"/>
      <c r="VB403" s="457"/>
      <c r="VC403" s="457"/>
      <c r="VD403" s="457"/>
      <c r="VE403" s="457"/>
      <c r="VF403" s="457"/>
      <c r="VG403" s="457"/>
      <c r="VH403" s="457"/>
      <c r="VI403" s="457"/>
      <c r="VJ403" s="457"/>
      <c r="VK403" s="457"/>
      <c r="VL403" s="457"/>
      <c r="VM403" s="457"/>
      <c r="VN403" s="457"/>
      <c r="VO403" s="457"/>
      <c r="VP403" s="457"/>
      <c r="VQ403" s="457"/>
      <c r="VR403" s="457"/>
      <c r="VS403" s="457"/>
      <c r="VT403" s="457"/>
      <c r="VU403" s="457"/>
      <c r="VV403" s="457"/>
      <c r="VW403" s="457"/>
      <c r="VX403" s="457"/>
      <c r="VY403" s="457"/>
      <c r="VZ403" s="457"/>
      <c r="WA403" s="457"/>
      <c r="WB403" s="457"/>
      <c r="WC403" s="457"/>
      <c r="WD403" s="457"/>
      <c r="WE403" s="457"/>
      <c r="WF403" s="457"/>
      <c r="WG403" s="457"/>
      <c r="WH403" s="457"/>
      <c r="WI403" s="457"/>
      <c r="WJ403" s="457"/>
      <c r="WK403" s="457"/>
      <c r="WL403" s="457"/>
      <c r="WM403" s="457"/>
      <c r="WN403" s="457"/>
      <c r="WO403" s="457"/>
      <c r="WP403" s="457"/>
      <c r="WQ403" s="457"/>
      <c r="WR403" s="457"/>
      <c r="WS403" s="457"/>
      <c r="WT403" s="457"/>
      <c r="WU403" s="457"/>
      <c r="WV403" s="457"/>
      <c r="WW403" s="457"/>
      <c r="WX403" s="457"/>
      <c r="WY403" s="457"/>
      <c r="WZ403" s="457"/>
      <c r="XA403" s="457"/>
      <c r="XB403" s="457"/>
      <c r="XC403" s="457"/>
      <c r="XD403" s="457"/>
      <c r="XE403" s="457"/>
      <c r="XF403" s="457"/>
      <c r="XG403" s="457"/>
      <c r="XH403" s="457"/>
      <c r="XI403" s="457"/>
      <c r="XJ403" s="457"/>
      <c r="XK403" s="457"/>
      <c r="XL403" s="457"/>
      <c r="XM403" s="457"/>
      <c r="XN403" s="457"/>
      <c r="XO403" s="457"/>
      <c r="XP403" s="457"/>
      <c r="XQ403" s="457"/>
      <c r="XR403" s="457"/>
      <c r="XS403" s="457"/>
      <c r="XT403" s="457"/>
      <c r="XU403" s="457"/>
      <c r="XV403" s="457"/>
      <c r="XW403" s="457"/>
      <c r="XX403" s="457"/>
      <c r="XY403" s="457"/>
      <c r="XZ403" s="457"/>
      <c r="YA403" s="457"/>
      <c r="YB403" s="457"/>
      <c r="YC403" s="457"/>
      <c r="YD403" s="457"/>
      <c r="YE403" s="457"/>
      <c r="YF403" s="457"/>
      <c r="YG403" s="457"/>
      <c r="YH403" s="457"/>
      <c r="YI403" s="457"/>
      <c r="YJ403" s="457"/>
      <c r="YK403" s="457"/>
      <c r="YL403" s="457"/>
      <c r="YM403" s="457"/>
      <c r="YN403" s="457"/>
      <c r="YO403" s="457"/>
      <c r="YP403" s="457"/>
      <c r="YQ403" s="457"/>
      <c r="YR403" s="457"/>
      <c r="YS403" s="457"/>
      <c r="YT403" s="457"/>
      <c r="YU403" s="457"/>
      <c r="YV403" s="457"/>
      <c r="YW403" s="457"/>
      <c r="YX403" s="457"/>
      <c r="YY403" s="457"/>
      <c r="YZ403" s="457"/>
      <c r="ZA403" s="457"/>
      <c r="ZB403" s="457"/>
      <c r="ZC403" s="457"/>
      <c r="ZD403" s="457"/>
      <c r="ZE403" s="457"/>
      <c r="ZF403" s="457"/>
      <c r="ZG403" s="457"/>
      <c r="ZH403" s="457"/>
      <c r="ZI403" s="457"/>
      <c r="ZJ403" s="457"/>
      <c r="ZK403" s="457"/>
      <c r="ZL403" s="457"/>
      <c r="ZM403" s="457"/>
      <c r="ZN403" s="457"/>
      <c r="ZO403" s="457"/>
      <c r="ZP403" s="457"/>
      <c r="ZQ403" s="457"/>
      <c r="ZR403" s="457"/>
      <c r="ZS403" s="457"/>
      <c r="ZT403" s="457"/>
      <c r="ZU403" s="457"/>
      <c r="ZV403" s="457"/>
      <c r="ZW403" s="457"/>
      <c r="ZX403" s="457"/>
      <c r="ZY403" s="457"/>
      <c r="ZZ403" s="457"/>
      <c r="AAA403" s="457"/>
      <c r="AAB403" s="457"/>
      <c r="AAC403" s="457"/>
      <c r="AAD403" s="457"/>
      <c r="AAE403" s="457"/>
      <c r="AAF403" s="457"/>
      <c r="AAG403" s="457"/>
      <c r="AAH403" s="457"/>
      <c r="AAI403" s="457"/>
      <c r="AAJ403" s="457"/>
      <c r="AAK403" s="457"/>
      <c r="AAL403" s="457"/>
      <c r="AAM403" s="457"/>
      <c r="AAN403" s="457"/>
      <c r="AAO403" s="457"/>
      <c r="AAP403" s="457"/>
      <c r="AAQ403" s="457"/>
      <c r="AAR403" s="457"/>
      <c r="AAS403" s="457"/>
      <c r="AAT403" s="457"/>
      <c r="AAU403" s="457"/>
      <c r="AAV403" s="457"/>
      <c r="AAW403" s="457"/>
      <c r="AAX403" s="457"/>
      <c r="AAY403" s="457"/>
      <c r="AAZ403" s="457"/>
      <c r="ABA403" s="457"/>
      <c r="ABB403" s="457"/>
      <c r="ABC403" s="457"/>
      <c r="ABD403" s="457"/>
      <c r="ABE403" s="457"/>
      <c r="ABF403" s="457"/>
      <c r="ABG403" s="457"/>
      <c r="ABH403" s="457"/>
      <c r="ABI403" s="457"/>
      <c r="ABJ403" s="457"/>
      <c r="ABK403" s="457"/>
      <c r="ABL403" s="457"/>
      <c r="ABM403" s="457"/>
      <c r="ABN403" s="457"/>
      <c r="ABO403" s="457"/>
      <c r="ABP403" s="457"/>
      <c r="ABQ403" s="457"/>
      <c r="ABR403" s="457"/>
      <c r="ABS403" s="457"/>
      <c r="ABT403" s="457"/>
      <c r="ABU403" s="457"/>
      <c r="ABV403" s="457"/>
      <c r="ABW403" s="457"/>
      <c r="ABX403" s="457"/>
      <c r="ABY403" s="457"/>
      <c r="ABZ403" s="457"/>
      <c r="ACA403" s="457"/>
      <c r="ACB403" s="457"/>
      <c r="ACC403" s="457"/>
      <c r="ACD403" s="457"/>
      <c r="ACE403" s="457"/>
      <c r="ACF403" s="457"/>
      <c r="ACG403" s="457"/>
      <c r="ACH403" s="457"/>
      <c r="ACI403" s="457"/>
      <c r="ACJ403" s="457"/>
      <c r="ACK403" s="457"/>
      <c r="ACL403" s="457"/>
      <c r="ACM403" s="457"/>
      <c r="ACN403" s="457"/>
      <c r="ACO403" s="457"/>
      <c r="ACP403" s="457"/>
      <c r="ACQ403" s="457"/>
      <c r="ACR403" s="457"/>
      <c r="ACS403" s="457"/>
      <c r="ACT403" s="457"/>
      <c r="ACU403" s="457"/>
      <c r="ACV403" s="457"/>
    </row>
    <row r="404" spans="1:776" s="400" customFormat="1" x14ac:dyDescent="0.25">
      <c r="A404" s="470">
        <v>900117</v>
      </c>
      <c r="B404" s="237" t="s">
        <v>255</v>
      </c>
      <c r="C404" s="455"/>
      <c r="D404" s="454" t="s">
        <v>256</v>
      </c>
      <c r="E404" s="454">
        <v>0.51400000000000001</v>
      </c>
      <c r="F404" s="458">
        <v>60.4</v>
      </c>
      <c r="G404" s="454">
        <v>0.01</v>
      </c>
      <c r="H404" s="454">
        <v>0.86</v>
      </c>
      <c r="I404" s="456">
        <v>16.59</v>
      </c>
      <c r="J404" s="454">
        <v>47.9</v>
      </c>
      <c r="K404" s="456">
        <v>3.0599999999999999E-2</v>
      </c>
      <c r="L404" s="454">
        <v>254.4</v>
      </c>
      <c r="M404" s="454">
        <v>0.01</v>
      </c>
      <c r="N404" s="454">
        <v>1.99</v>
      </c>
      <c r="O404" s="454">
        <v>13.6</v>
      </c>
      <c r="P404" s="454">
        <v>59.33</v>
      </c>
      <c r="Q404" s="454">
        <v>25.56</v>
      </c>
      <c r="R404" s="467">
        <v>0.01</v>
      </c>
      <c r="S404" s="467">
        <v>0.01</v>
      </c>
      <c r="T404" s="467">
        <v>0.01</v>
      </c>
      <c r="U404" s="467">
        <v>0.01</v>
      </c>
      <c r="V404" s="454"/>
      <c r="W404" s="457"/>
      <c r="X404" s="457"/>
      <c r="Y404" s="457"/>
      <c r="Z404" s="457"/>
      <c r="AA404" s="457"/>
      <c r="AB404" s="457"/>
      <c r="AC404" s="457"/>
      <c r="AD404" s="457"/>
      <c r="AE404" s="457"/>
      <c r="AF404" s="457"/>
      <c r="AG404" s="457"/>
      <c r="AH404" s="457"/>
      <c r="AI404" s="457"/>
      <c r="AJ404" s="457"/>
      <c r="AK404" s="457"/>
      <c r="AL404" s="457"/>
      <c r="AM404" s="457"/>
      <c r="AN404" s="457"/>
      <c r="AO404" s="457"/>
      <c r="AP404" s="457"/>
      <c r="AQ404" s="457"/>
      <c r="AR404" s="457"/>
      <c r="AS404" s="457"/>
      <c r="AT404" s="457"/>
      <c r="AU404" s="457"/>
      <c r="AV404" s="457"/>
      <c r="AW404" s="457"/>
      <c r="AX404" s="457"/>
      <c r="AY404" s="457"/>
      <c r="AZ404" s="457"/>
      <c r="BA404" s="457"/>
      <c r="BB404" s="457"/>
      <c r="BC404" s="457"/>
      <c r="BD404" s="457"/>
      <c r="BE404" s="457"/>
      <c r="BF404" s="457"/>
      <c r="BG404" s="457"/>
      <c r="BH404" s="457"/>
      <c r="BI404" s="457"/>
      <c r="BJ404" s="457"/>
      <c r="BK404" s="457"/>
      <c r="BL404" s="457"/>
      <c r="BM404" s="457"/>
      <c r="BN404" s="457"/>
      <c r="BO404" s="457"/>
      <c r="BP404" s="457"/>
      <c r="BQ404" s="457"/>
      <c r="BR404" s="457"/>
      <c r="BS404" s="457"/>
      <c r="BT404" s="457"/>
      <c r="BU404" s="457"/>
      <c r="BV404" s="457"/>
      <c r="BW404" s="457"/>
      <c r="BX404" s="457"/>
      <c r="BY404" s="457"/>
      <c r="BZ404" s="457"/>
      <c r="CA404" s="457"/>
      <c r="CB404" s="457"/>
      <c r="CC404" s="457"/>
      <c r="CD404" s="457"/>
      <c r="CE404" s="457"/>
      <c r="CF404" s="457"/>
      <c r="CG404" s="457"/>
      <c r="CH404" s="457"/>
      <c r="CI404" s="457"/>
      <c r="CJ404" s="457"/>
      <c r="CK404" s="457"/>
      <c r="CL404" s="457"/>
      <c r="CM404" s="457"/>
      <c r="CN404" s="457"/>
      <c r="CO404" s="457"/>
      <c r="CP404" s="457"/>
      <c r="CQ404" s="457"/>
      <c r="CR404" s="457"/>
      <c r="CS404" s="457"/>
      <c r="CT404" s="457"/>
      <c r="CU404" s="457"/>
      <c r="CV404" s="457"/>
      <c r="CW404" s="457"/>
      <c r="CX404" s="457"/>
      <c r="CY404" s="457"/>
      <c r="CZ404" s="457"/>
      <c r="DA404" s="457"/>
      <c r="DB404" s="457"/>
      <c r="DC404" s="457"/>
      <c r="DD404" s="457"/>
      <c r="DE404" s="457"/>
      <c r="DF404" s="457"/>
      <c r="DG404" s="457"/>
      <c r="DH404" s="457"/>
      <c r="DI404" s="457"/>
      <c r="DJ404" s="457"/>
      <c r="DK404" s="457"/>
      <c r="DL404" s="457"/>
      <c r="DM404" s="457"/>
      <c r="DN404" s="457"/>
      <c r="DO404" s="457"/>
      <c r="DP404" s="457"/>
      <c r="DQ404" s="457"/>
      <c r="DR404" s="457"/>
      <c r="DS404" s="457"/>
      <c r="DT404" s="457"/>
      <c r="DU404" s="457"/>
      <c r="DV404" s="457"/>
      <c r="DW404" s="457"/>
      <c r="DX404" s="457"/>
      <c r="DY404" s="457"/>
      <c r="DZ404" s="457"/>
      <c r="EA404" s="457"/>
      <c r="EB404" s="457"/>
      <c r="EC404" s="457"/>
      <c r="ED404" s="457"/>
      <c r="EE404" s="457"/>
      <c r="EF404" s="457"/>
      <c r="EG404" s="457"/>
      <c r="EH404" s="457"/>
      <c r="EI404" s="457"/>
      <c r="EJ404" s="457"/>
      <c r="EK404" s="457"/>
      <c r="EL404" s="457"/>
      <c r="EM404" s="457"/>
      <c r="EN404" s="457"/>
      <c r="EO404" s="457"/>
      <c r="EP404" s="457"/>
      <c r="EQ404" s="457"/>
      <c r="ER404" s="457"/>
      <c r="ES404" s="457"/>
      <c r="ET404" s="457"/>
      <c r="EU404" s="457"/>
      <c r="EV404" s="457"/>
      <c r="EW404" s="457"/>
      <c r="EX404" s="457"/>
      <c r="EY404" s="457"/>
      <c r="EZ404" s="457"/>
      <c r="FA404" s="457"/>
      <c r="FB404" s="457"/>
      <c r="FC404" s="457"/>
      <c r="FD404" s="457"/>
      <c r="FE404" s="457"/>
      <c r="FF404" s="457"/>
      <c r="FG404" s="457"/>
      <c r="FH404" s="457"/>
      <c r="FI404" s="457"/>
      <c r="FJ404" s="457"/>
      <c r="FK404" s="457"/>
      <c r="FL404" s="457"/>
      <c r="FM404" s="457"/>
      <c r="FN404" s="457"/>
      <c r="FO404" s="457"/>
      <c r="FP404" s="457"/>
      <c r="FQ404" s="457"/>
      <c r="FR404" s="457"/>
      <c r="FS404" s="457"/>
      <c r="FT404" s="457"/>
      <c r="FU404" s="457"/>
      <c r="FV404" s="457"/>
      <c r="FW404" s="457"/>
      <c r="FX404" s="457"/>
      <c r="FY404" s="457"/>
      <c r="FZ404" s="457"/>
      <c r="GA404" s="457"/>
      <c r="GB404" s="457"/>
      <c r="GC404" s="457"/>
      <c r="GD404" s="457"/>
      <c r="GE404" s="457"/>
      <c r="GF404" s="457"/>
      <c r="GG404" s="457"/>
      <c r="GH404" s="457"/>
      <c r="GI404" s="457"/>
      <c r="GJ404" s="457"/>
      <c r="GK404" s="457"/>
      <c r="GL404" s="457"/>
      <c r="GM404" s="457"/>
      <c r="GN404" s="457"/>
      <c r="GO404" s="457"/>
      <c r="GP404" s="457"/>
      <c r="GQ404" s="457"/>
      <c r="GR404" s="457"/>
      <c r="GS404" s="457"/>
      <c r="GT404" s="457"/>
      <c r="GU404" s="457"/>
      <c r="GV404" s="457"/>
      <c r="GW404" s="457"/>
      <c r="GX404" s="457"/>
      <c r="GY404" s="457"/>
      <c r="GZ404" s="457"/>
      <c r="HA404" s="457"/>
      <c r="HB404" s="457"/>
      <c r="HC404" s="457"/>
      <c r="HD404" s="457"/>
      <c r="HE404" s="457"/>
      <c r="HF404" s="457"/>
      <c r="HG404" s="457"/>
      <c r="HH404" s="457"/>
      <c r="HI404" s="457"/>
      <c r="HJ404" s="457"/>
      <c r="HK404" s="457"/>
      <c r="HL404" s="457"/>
      <c r="HM404" s="457"/>
      <c r="HN404" s="457"/>
      <c r="HO404" s="457"/>
      <c r="HP404" s="457"/>
      <c r="HQ404" s="457"/>
      <c r="HR404" s="457"/>
      <c r="HS404" s="457"/>
      <c r="HT404" s="457"/>
      <c r="HU404" s="457"/>
      <c r="HV404" s="457"/>
      <c r="HW404" s="457"/>
      <c r="HX404" s="457"/>
      <c r="HY404" s="457"/>
      <c r="HZ404" s="457"/>
      <c r="IA404" s="457"/>
      <c r="IB404" s="457"/>
      <c r="IC404" s="457"/>
      <c r="ID404" s="457"/>
      <c r="IE404" s="457"/>
      <c r="IF404" s="457"/>
      <c r="IG404" s="457"/>
      <c r="IH404" s="457"/>
      <c r="II404" s="457"/>
      <c r="IJ404" s="457"/>
      <c r="IK404" s="457"/>
      <c r="IL404" s="457"/>
      <c r="IM404" s="457"/>
      <c r="IN404" s="457"/>
      <c r="IO404" s="457"/>
      <c r="IP404" s="457"/>
      <c r="IQ404" s="457"/>
      <c r="IR404" s="457"/>
      <c r="IS404" s="457"/>
      <c r="IT404" s="457"/>
      <c r="IU404" s="457"/>
      <c r="IV404" s="457"/>
      <c r="IW404" s="457"/>
      <c r="IX404" s="457"/>
      <c r="IY404" s="457"/>
      <c r="IZ404" s="457"/>
      <c r="JA404" s="457"/>
      <c r="JB404" s="457"/>
      <c r="JC404" s="457"/>
      <c r="JD404" s="457"/>
      <c r="JE404" s="457"/>
      <c r="JF404" s="457"/>
      <c r="JG404" s="457"/>
      <c r="JH404" s="457"/>
      <c r="JI404" s="457"/>
      <c r="JJ404" s="457"/>
      <c r="JK404" s="457"/>
      <c r="JL404" s="457"/>
      <c r="JM404" s="457"/>
      <c r="JN404" s="457"/>
      <c r="JO404" s="457"/>
      <c r="JP404" s="457"/>
      <c r="JQ404" s="457"/>
      <c r="JR404" s="457"/>
      <c r="JS404" s="457"/>
      <c r="JT404" s="457"/>
      <c r="JU404" s="457"/>
      <c r="JV404" s="457"/>
      <c r="JW404" s="457"/>
      <c r="JX404" s="457"/>
      <c r="JY404" s="457"/>
      <c r="JZ404" s="457"/>
      <c r="KA404" s="457"/>
      <c r="KB404" s="457"/>
      <c r="KC404" s="457"/>
      <c r="KD404" s="457"/>
      <c r="KE404" s="457"/>
      <c r="KF404" s="457"/>
      <c r="KG404" s="457"/>
      <c r="KH404" s="457"/>
      <c r="KI404" s="457"/>
      <c r="KJ404" s="457"/>
      <c r="KK404" s="457"/>
      <c r="KL404" s="457"/>
      <c r="KM404" s="457"/>
      <c r="KN404" s="457"/>
      <c r="KO404" s="457"/>
      <c r="KP404" s="457"/>
      <c r="KQ404" s="457"/>
      <c r="KR404" s="457"/>
      <c r="KS404" s="457"/>
      <c r="KT404" s="457"/>
      <c r="KU404" s="457"/>
      <c r="KV404" s="457"/>
      <c r="KW404" s="457"/>
      <c r="KX404" s="457"/>
      <c r="KY404" s="457"/>
      <c r="KZ404" s="457"/>
      <c r="LA404" s="457"/>
      <c r="LB404" s="457"/>
      <c r="LC404" s="457"/>
      <c r="LD404" s="457"/>
      <c r="LE404" s="457"/>
      <c r="LF404" s="457"/>
      <c r="LG404" s="457"/>
      <c r="LH404" s="457"/>
      <c r="LI404" s="457"/>
      <c r="LJ404" s="457"/>
      <c r="LK404" s="457"/>
      <c r="LL404" s="457"/>
      <c r="LM404" s="457"/>
      <c r="LN404" s="457"/>
      <c r="LO404" s="457"/>
      <c r="LP404" s="457"/>
      <c r="LQ404" s="457"/>
      <c r="LR404" s="457"/>
      <c r="LS404" s="457"/>
      <c r="LT404" s="457"/>
      <c r="LU404" s="457"/>
      <c r="LV404" s="457"/>
      <c r="LW404" s="457"/>
      <c r="LX404" s="457"/>
      <c r="LY404" s="457"/>
      <c r="LZ404" s="457"/>
      <c r="MA404" s="457"/>
      <c r="MB404" s="457"/>
      <c r="MC404" s="457"/>
      <c r="MD404" s="457"/>
      <c r="ME404" s="457"/>
      <c r="MF404" s="457"/>
      <c r="MG404" s="457"/>
      <c r="MH404" s="457"/>
      <c r="MI404" s="457"/>
      <c r="MJ404" s="457"/>
      <c r="MK404" s="457"/>
      <c r="ML404" s="457"/>
      <c r="MM404" s="457"/>
      <c r="MN404" s="457"/>
      <c r="MO404" s="457"/>
      <c r="MP404" s="457"/>
      <c r="MQ404" s="457"/>
      <c r="MR404" s="457"/>
      <c r="MS404" s="457"/>
      <c r="MT404" s="457"/>
      <c r="MU404" s="457"/>
      <c r="MV404" s="457"/>
      <c r="MW404" s="457"/>
      <c r="MX404" s="457"/>
      <c r="MY404" s="457"/>
      <c r="MZ404" s="457"/>
      <c r="NA404" s="457"/>
      <c r="NB404" s="457"/>
      <c r="NC404" s="457"/>
      <c r="ND404" s="457"/>
      <c r="NE404" s="457"/>
      <c r="NF404" s="457"/>
      <c r="NG404" s="457"/>
      <c r="NH404" s="457"/>
      <c r="NI404" s="457"/>
      <c r="NJ404" s="457"/>
      <c r="NK404" s="457"/>
      <c r="NL404" s="457"/>
      <c r="NM404" s="457"/>
      <c r="NN404" s="457"/>
      <c r="NO404" s="457"/>
      <c r="NP404" s="457"/>
      <c r="NQ404" s="457"/>
      <c r="NR404" s="457"/>
      <c r="NS404" s="457"/>
      <c r="NT404" s="457"/>
      <c r="NU404" s="457"/>
      <c r="NV404" s="457"/>
      <c r="NW404" s="457"/>
      <c r="NX404" s="457"/>
      <c r="NY404" s="457"/>
      <c r="NZ404" s="457"/>
      <c r="OA404" s="457"/>
      <c r="OB404" s="457"/>
      <c r="OC404" s="457"/>
      <c r="OD404" s="457"/>
      <c r="OE404" s="457"/>
      <c r="OF404" s="457"/>
      <c r="OG404" s="457"/>
      <c r="OH404" s="457"/>
      <c r="OI404" s="457"/>
      <c r="OJ404" s="457"/>
      <c r="OK404" s="457"/>
      <c r="OL404" s="457"/>
      <c r="OM404" s="457"/>
      <c r="ON404" s="457"/>
      <c r="OO404" s="457"/>
      <c r="OP404" s="457"/>
      <c r="OQ404" s="457"/>
      <c r="OR404" s="457"/>
      <c r="OS404" s="457"/>
      <c r="OT404" s="457"/>
      <c r="OU404" s="457"/>
      <c r="OV404" s="457"/>
      <c r="OW404" s="457"/>
      <c r="OX404" s="457"/>
      <c r="OY404" s="457"/>
      <c r="OZ404" s="457"/>
      <c r="PA404" s="457"/>
      <c r="PB404" s="457"/>
      <c r="PC404" s="457"/>
      <c r="PD404" s="457"/>
      <c r="PE404" s="457"/>
      <c r="PF404" s="457"/>
      <c r="PG404" s="457"/>
      <c r="PH404" s="457"/>
      <c r="PI404" s="457"/>
      <c r="PJ404" s="457"/>
      <c r="PK404" s="457"/>
      <c r="PL404" s="457"/>
      <c r="PM404" s="457"/>
      <c r="PN404" s="457"/>
      <c r="PO404" s="457"/>
      <c r="PP404" s="457"/>
      <c r="PQ404" s="457"/>
      <c r="PR404" s="457"/>
      <c r="PS404" s="457"/>
      <c r="PT404" s="457"/>
      <c r="PU404" s="457"/>
      <c r="PV404" s="457"/>
      <c r="PW404" s="457"/>
      <c r="PX404" s="457"/>
      <c r="PY404" s="457"/>
      <c r="PZ404" s="457"/>
      <c r="QA404" s="457"/>
      <c r="QB404" s="457"/>
      <c r="QC404" s="457"/>
      <c r="QD404" s="457"/>
      <c r="QE404" s="457"/>
      <c r="QF404" s="457"/>
      <c r="QG404" s="457"/>
      <c r="QH404" s="457"/>
      <c r="QI404" s="457"/>
      <c r="QJ404" s="457"/>
      <c r="QK404" s="457"/>
      <c r="QL404" s="457"/>
      <c r="QM404" s="457"/>
      <c r="QN404" s="457"/>
      <c r="QO404" s="457"/>
      <c r="QP404" s="457"/>
      <c r="QQ404" s="457"/>
      <c r="QR404" s="457"/>
      <c r="QS404" s="457"/>
      <c r="QT404" s="457"/>
      <c r="QU404" s="457"/>
      <c r="QV404" s="457"/>
      <c r="QW404" s="457"/>
      <c r="QX404" s="457"/>
      <c r="QY404" s="457"/>
      <c r="QZ404" s="457"/>
      <c r="RA404" s="457"/>
      <c r="RB404" s="457"/>
      <c r="RC404" s="457"/>
      <c r="RD404" s="457"/>
      <c r="RE404" s="457"/>
      <c r="RF404" s="457"/>
      <c r="RG404" s="457"/>
      <c r="RH404" s="457"/>
      <c r="RI404" s="457"/>
      <c r="RJ404" s="457"/>
      <c r="RK404" s="457"/>
      <c r="RL404" s="457"/>
      <c r="RM404" s="457"/>
      <c r="RN404" s="457"/>
      <c r="RO404" s="457"/>
      <c r="RP404" s="457"/>
      <c r="RQ404" s="457"/>
      <c r="RR404" s="457"/>
      <c r="RS404" s="457"/>
      <c r="RT404" s="457"/>
      <c r="RU404" s="457"/>
      <c r="RV404" s="457"/>
      <c r="RW404" s="457"/>
      <c r="RX404" s="457"/>
      <c r="RY404" s="457"/>
      <c r="RZ404" s="457"/>
      <c r="SA404" s="457"/>
      <c r="SB404" s="457"/>
      <c r="SC404" s="457"/>
      <c r="SD404" s="457"/>
      <c r="SE404" s="457"/>
      <c r="SF404" s="457"/>
      <c r="SG404" s="457"/>
      <c r="SH404" s="457"/>
      <c r="SI404" s="457"/>
      <c r="SJ404" s="457"/>
      <c r="SK404" s="457"/>
      <c r="SL404" s="457"/>
      <c r="SM404" s="457"/>
      <c r="SN404" s="457"/>
      <c r="SO404" s="457"/>
      <c r="SP404" s="457"/>
      <c r="SQ404" s="457"/>
      <c r="SR404" s="457"/>
      <c r="SS404" s="457"/>
      <c r="ST404" s="457"/>
      <c r="SU404" s="457"/>
      <c r="SV404" s="457"/>
      <c r="SW404" s="457"/>
      <c r="SX404" s="457"/>
      <c r="SY404" s="457"/>
      <c r="SZ404" s="457"/>
      <c r="TA404" s="457"/>
      <c r="TB404" s="457"/>
      <c r="TC404" s="457"/>
      <c r="TD404" s="457"/>
      <c r="TE404" s="457"/>
      <c r="TF404" s="457"/>
      <c r="TG404" s="457"/>
      <c r="TH404" s="457"/>
      <c r="TI404" s="457"/>
      <c r="TJ404" s="457"/>
      <c r="TK404" s="457"/>
      <c r="TL404" s="457"/>
      <c r="TM404" s="457"/>
      <c r="TN404" s="457"/>
      <c r="TO404" s="457"/>
      <c r="TP404" s="457"/>
      <c r="TQ404" s="457"/>
      <c r="TR404" s="457"/>
      <c r="TS404" s="457"/>
      <c r="TT404" s="457"/>
      <c r="TU404" s="457"/>
      <c r="TV404" s="457"/>
      <c r="TW404" s="457"/>
      <c r="TX404" s="457"/>
      <c r="TY404" s="457"/>
      <c r="TZ404" s="457"/>
      <c r="UA404" s="457"/>
      <c r="UB404" s="457"/>
      <c r="UC404" s="457"/>
      <c r="UD404" s="457"/>
      <c r="UE404" s="457"/>
      <c r="UF404" s="457"/>
      <c r="UG404" s="457"/>
      <c r="UH404" s="457"/>
      <c r="UI404" s="457"/>
      <c r="UJ404" s="457"/>
      <c r="UK404" s="457"/>
      <c r="UL404" s="457"/>
      <c r="UM404" s="457"/>
      <c r="UN404" s="457"/>
      <c r="UO404" s="457"/>
      <c r="UP404" s="457"/>
      <c r="UQ404" s="457"/>
      <c r="UR404" s="457"/>
      <c r="US404" s="457"/>
      <c r="UT404" s="457"/>
      <c r="UU404" s="457"/>
      <c r="UV404" s="457"/>
      <c r="UW404" s="457"/>
      <c r="UX404" s="457"/>
      <c r="UY404" s="457"/>
      <c r="UZ404" s="457"/>
      <c r="VA404" s="457"/>
      <c r="VB404" s="457"/>
      <c r="VC404" s="457"/>
      <c r="VD404" s="457"/>
      <c r="VE404" s="457"/>
      <c r="VF404" s="457"/>
      <c r="VG404" s="457"/>
      <c r="VH404" s="457"/>
      <c r="VI404" s="457"/>
      <c r="VJ404" s="457"/>
      <c r="VK404" s="457"/>
      <c r="VL404" s="457"/>
      <c r="VM404" s="457"/>
      <c r="VN404" s="457"/>
      <c r="VO404" s="457"/>
      <c r="VP404" s="457"/>
      <c r="VQ404" s="457"/>
      <c r="VR404" s="457"/>
      <c r="VS404" s="457"/>
      <c r="VT404" s="457"/>
      <c r="VU404" s="457"/>
      <c r="VV404" s="457"/>
      <c r="VW404" s="457"/>
      <c r="VX404" s="457"/>
      <c r="VY404" s="457"/>
      <c r="VZ404" s="457"/>
      <c r="WA404" s="457"/>
      <c r="WB404" s="457"/>
      <c r="WC404" s="457"/>
      <c r="WD404" s="457"/>
      <c r="WE404" s="457"/>
      <c r="WF404" s="457"/>
      <c r="WG404" s="457"/>
      <c r="WH404" s="457"/>
      <c r="WI404" s="457"/>
      <c r="WJ404" s="457"/>
      <c r="WK404" s="457"/>
      <c r="WL404" s="457"/>
      <c r="WM404" s="457"/>
      <c r="WN404" s="457"/>
      <c r="WO404" s="457"/>
      <c r="WP404" s="457"/>
      <c r="WQ404" s="457"/>
      <c r="WR404" s="457"/>
      <c r="WS404" s="457"/>
      <c r="WT404" s="457"/>
      <c r="WU404" s="457"/>
      <c r="WV404" s="457"/>
      <c r="WW404" s="457"/>
      <c r="WX404" s="457"/>
      <c r="WY404" s="457"/>
      <c r="WZ404" s="457"/>
      <c r="XA404" s="457"/>
      <c r="XB404" s="457"/>
      <c r="XC404" s="457"/>
      <c r="XD404" s="457"/>
      <c r="XE404" s="457"/>
      <c r="XF404" s="457"/>
      <c r="XG404" s="457"/>
      <c r="XH404" s="457"/>
      <c r="XI404" s="457"/>
      <c r="XJ404" s="457"/>
      <c r="XK404" s="457"/>
      <c r="XL404" s="457"/>
      <c r="XM404" s="457"/>
      <c r="XN404" s="457"/>
      <c r="XO404" s="457"/>
      <c r="XP404" s="457"/>
      <c r="XQ404" s="457"/>
      <c r="XR404" s="457"/>
      <c r="XS404" s="457"/>
      <c r="XT404" s="457"/>
      <c r="XU404" s="457"/>
      <c r="XV404" s="457"/>
      <c r="XW404" s="457"/>
      <c r="XX404" s="457"/>
      <c r="XY404" s="457"/>
      <c r="XZ404" s="457"/>
      <c r="YA404" s="457"/>
      <c r="YB404" s="457"/>
      <c r="YC404" s="457"/>
      <c r="YD404" s="457"/>
      <c r="YE404" s="457"/>
      <c r="YF404" s="457"/>
      <c r="YG404" s="457"/>
      <c r="YH404" s="457"/>
      <c r="YI404" s="457"/>
      <c r="YJ404" s="457"/>
      <c r="YK404" s="457"/>
      <c r="YL404" s="457"/>
      <c r="YM404" s="457"/>
      <c r="YN404" s="457"/>
      <c r="YO404" s="457"/>
      <c r="YP404" s="457"/>
      <c r="YQ404" s="457"/>
      <c r="YR404" s="457"/>
      <c r="YS404" s="457"/>
      <c r="YT404" s="457"/>
      <c r="YU404" s="457"/>
      <c r="YV404" s="457"/>
      <c r="YW404" s="457"/>
      <c r="YX404" s="457"/>
      <c r="YY404" s="457"/>
      <c r="YZ404" s="457"/>
      <c r="ZA404" s="457"/>
      <c r="ZB404" s="457"/>
      <c r="ZC404" s="457"/>
      <c r="ZD404" s="457"/>
      <c r="ZE404" s="457"/>
      <c r="ZF404" s="457"/>
      <c r="ZG404" s="457"/>
      <c r="ZH404" s="457"/>
      <c r="ZI404" s="457"/>
      <c r="ZJ404" s="457"/>
      <c r="ZK404" s="457"/>
      <c r="ZL404" s="457"/>
      <c r="ZM404" s="457"/>
      <c r="ZN404" s="457"/>
      <c r="ZO404" s="457"/>
      <c r="ZP404" s="457"/>
      <c r="ZQ404" s="457"/>
      <c r="ZR404" s="457"/>
      <c r="ZS404" s="457"/>
      <c r="ZT404" s="457"/>
      <c r="ZU404" s="457"/>
      <c r="ZV404" s="457"/>
      <c r="ZW404" s="457"/>
      <c r="ZX404" s="457"/>
      <c r="ZY404" s="457"/>
      <c r="ZZ404" s="457"/>
      <c r="AAA404" s="457"/>
      <c r="AAB404" s="457"/>
      <c r="AAC404" s="457"/>
      <c r="AAD404" s="457"/>
      <c r="AAE404" s="457"/>
      <c r="AAF404" s="457"/>
      <c r="AAG404" s="457"/>
      <c r="AAH404" s="457"/>
      <c r="AAI404" s="457"/>
      <c r="AAJ404" s="457"/>
      <c r="AAK404" s="457"/>
      <c r="AAL404" s="457"/>
      <c r="AAM404" s="457"/>
      <c r="AAN404" s="457"/>
      <c r="AAO404" s="457"/>
      <c r="AAP404" s="457"/>
      <c r="AAQ404" s="457"/>
      <c r="AAR404" s="457"/>
      <c r="AAS404" s="457"/>
      <c r="AAT404" s="457"/>
      <c r="AAU404" s="457"/>
      <c r="AAV404" s="457"/>
      <c r="AAW404" s="457"/>
      <c r="AAX404" s="457"/>
      <c r="AAY404" s="457"/>
      <c r="AAZ404" s="457"/>
      <c r="ABA404" s="457"/>
      <c r="ABB404" s="457"/>
      <c r="ABC404" s="457"/>
      <c r="ABD404" s="457"/>
      <c r="ABE404" s="457"/>
      <c r="ABF404" s="457"/>
      <c r="ABG404" s="457"/>
      <c r="ABH404" s="457"/>
      <c r="ABI404" s="457"/>
      <c r="ABJ404" s="457"/>
      <c r="ABK404" s="457"/>
      <c r="ABL404" s="457"/>
      <c r="ABM404" s="457"/>
      <c r="ABN404" s="457"/>
      <c r="ABO404" s="457"/>
      <c r="ABP404" s="457"/>
      <c r="ABQ404" s="457"/>
      <c r="ABR404" s="457"/>
      <c r="ABS404" s="457"/>
      <c r="ABT404" s="457"/>
      <c r="ABU404" s="457"/>
      <c r="ABV404" s="457"/>
      <c r="ABW404" s="457"/>
      <c r="ABX404" s="457"/>
      <c r="ABY404" s="457"/>
      <c r="ABZ404" s="457"/>
      <c r="ACA404" s="457"/>
      <c r="ACB404" s="457"/>
      <c r="ACC404" s="457"/>
      <c r="ACD404" s="457"/>
      <c r="ACE404" s="457"/>
      <c r="ACF404" s="457"/>
      <c r="ACG404" s="457"/>
      <c r="ACH404" s="457"/>
      <c r="ACI404" s="457"/>
      <c r="ACJ404" s="457"/>
      <c r="ACK404" s="457"/>
      <c r="ACL404" s="457"/>
      <c r="ACM404" s="457"/>
      <c r="ACN404" s="457"/>
      <c r="ACO404" s="457"/>
      <c r="ACP404" s="457"/>
      <c r="ACQ404" s="457"/>
      <c r="ACR404" s="457"/>
      <c r="ACS404" s="457"/>
      <c r="ACT404" s="457"/>
      <c r="ACU404" s="457"/>
      <c r="ACV404" s="457"/>
    </row>
    <row r="405" spans="1:776" s="400" customFormat="1" x14ac:dyDescent="0.25">
      <c r="A405" s="470">
        <v>900118</v>
      </c>
      <c r="B405" s="237" t="s">
        <v>257</v>
      </c>
      <c r="C405" s="455"/>
      <c r="D405" s="454" t="s">
        <v>258</v>
      </c>
      <c r="E405" s="454">
        <v>0.61599999999999999</v>
      </c>
      <c r="F405" s="456">
        <v>48.21</v>
      </c>
      <c r="G405" s="454">
        <v>0.01</v>
      </c>
      <c r="H405" s="454">
        <v>0.27</v>
      </c>
      <c r="I405" s="456">
        <v>15.38</v>
      </c>
      <c r="J405" s="454">
        <v>27.5</v>
      </c>
      <c r="K405" s="456">
        <v>0.01</v>
      </c>
      <c r="L405" s="456">
        <v>292.8</v>
      </c>
      <c r="M405" s="454">
        <v>0.01</v>
      </c>
      <c r="N405" s="454">
        <v>3.99</v>
      </c>
      <c r="O405" s="454">
        <v>16.809999999999999</v>
      </c>
      <c r="P405" s="454">
        <v>77.989999999999995</v>
      </c>
      <c r="Q405" s="454">
        <v>32.25</v>
      </c>
      <c r="R405" s="454">
        <v>0.02</v>
      </c>
      <c r="S405" s="467">
        <v>0.01</v>
      </c>
      <c r="T405" s="454">
        <v>0.06</v>
      </c>
      <c r="U405" s="454">
        <v>0.09</v>
      </c>
      <c r="V405" s="454"/>
      <c r="W405" s="457"/>
      <c r="X405" s="457"/>
      <c r="Y405" s="457"/>
      <c r="Z405" s="457"/>
      <c r="AA405" s="457"/>
      <c r="AB405" s="457"/>
      <c r="AC405" s="457"/>
      <c r="AD405" s="457"/>
      <c r="AE405" s="457"/>
      <c r="AF405" s="457"/>
      <c r="AG405" s="457"/>
      <c r="AH405" s="457"/>
      <c r="AI405" s="457"/>
      <c r="AJ405" s="457"/>
      <c r="AK405" s="457"/>
      <c r="AL405" s="457"/>
      <c r="AM405" s="457"/>
      <c r="AN405" s="457"/>
      <c r="AO405" s="457"/>
      <c r="AP405" s="457"/>
      <c r="AQ405" s="457"/>
      <c r="AR405" s="457"/>
      <c r="AS405" s="457"/>
      <c r="AT405" s="457"/>
      <c r="AU405" s="457"/>
      <c r="AV405" s="457"/>
      <c r="AW405" s="457"/>
      <c r="AX405" s="457"/>
      <c r="AY405" s="457"/>
      <c r="AZ405" s="457"/>
      <c r="BA405" s="457"/>
      <c r="BB405" s="457"/>
      <c r="BC405" s="457"/>
      <c r="BD405" s="457"/>
      <c r="BE405" s="457"/>
      <c r="BF405" s="457"/>
      <c r="BG405" s="457"/>
      <c r="BH405" s="457"/>
      <c r="BI405" s="457"/>
      <c r="BJ405" s="457"/>
      <c r="BK405" s="457"/>
      <c r="BL405" s="457"/>
      <c r="BM405" s="457"/>
      <c r="BN405" s="457"/>
      <c r="BO405" s="457"/>
      <c r="BP405" s="457"/>
      <c r="BQ405" s="457"/>
      <c r="BR405" s="457"/>
      <c r="BS405" s="457"/>
      <c r="BT405" s="457"/>
      <c r="BU405" s="457"/>
      <c r="BV405" s="457"/>
      <c r="BW405" s="457"/>
      <c r="BX405" s="457"/>
      <c r="BY405" s="457"/>
      <c r="BZ405" s="457"/>
      <c r="CA405" s="457"/>
      <c r="CB405" s="457"/>
      <c r="CC405" s="457"/>
      <c r="CD405" s="457"/>
      <c r="CE405" s="457"/>
      <c r="CF405" s="457"/>
      <c r="CG405" s="457"/>
      <c r="CH405" s="457"/>
      <c r="CI405" s="457"/>
      <c r="CJ405" s="457"/>
      <c r="CK405" s="457"/>
      <c r="CL405" s="457"/>
      <c r="CM405" s="457"/>
      <c r="CN405" s="457"/>
      <c r="CO405" s="457"/>
      <c r="CP405" s="457"/>
      <c r="CQ405" s="457"/>
      <c r="CR405" s="457"/>
      <c r="CS405" s="457"/>
      <c r="CT405" s="457"/>
      <c r="CU405" s="457"/>
      <c r="CV405" s="457"/>
      <c r="CW405" s="457"/>
      <c r="CX405" s="457"/>
      <c r="CY405" s="457"/>
      <c r="CZ405" s="457"/>
      <c r="DA405" s="457"/>
      <c r="DB405" s="457"/>
      <c r="DC405" s="457"/>
      <c r="DD405" s="457"/>
      <c r="DE405" s="457"/>
      <c r="DF405" s="457"/>
      <c r="DG405" s="457"/>
      <c r="DH405" s="457"/>
      <c r="DI405" s="457"/>
      <c r="DJ405" s="457"/>
      <c r="DK405" s="457"/>
      <c r="DL405" s="457"/>
      <c r="DM405" s="457"/>
      <c r="DN405" s="457"/>
      <c r="DO405" s="457"/>
      <c r="DP405" s="457"/>
      <c r="DQ405" s="457"/>
      <c r="DR405" s="457"/>
      <c r="DS405" s="457"/>
      <c r="DT405" s="457"/>
      <c r="DU405" s="457"/>
      <c r="DV405" s="457"/>
      <c r="DW405" s="457"/>
      <c r="DX405" s="457"/>
      <c r="DY405" s="457"/>
      <c r="DZ405" s="457"/>
      <c r="EA405" s="457"/>
      <c r="EB405" s="457"/>
      <c r="EC405" s="457"/>
      <c r="ED405" s="457"/>
      <c r="EE405" s="457"/>
      <c r="EF405" s="457"/>
      <c r="EG405" s="457"/>
      <c r="EH405" s="457"/>
      <c r="EI405" s="457"/>
      <c r="EJ405" s="457"/>
      <c r="EK405" s="457"/>
      <c r="EL405" s="457"/>
      <c r="EM405" s="457"/>
      <c r="EN405" s="457"/>
      <c r="EO405" s="457"/>
      <c r="EP405" s="457"/>
      <c r="EQ405" s="457"/>
      <c r="ER405" s="457"/>
      <c r="ES405" s="457"/>
      <c r="ET405" s="457"/>
      <c r="EU405" s="457"/>
      <c r="EV405" s="457"/>
      <c r="EW405" s="457"/>
      <c r="EX405" s="457"/>
      <c r="EY405" s="457"/>
      <c r="EZ405" s="457"/>
      <c r="FA405" s="457"/>
      <c r="FB405" s="457"/>
      <c r="FC405" s="457"/>
      <c r="FD405" s="457"/>
      <c r="FE405" s="457"/>
      <c r="FF405" s="457"/>
      <c r="FG405" s="457"/>
      <c r="FH405" s="457"/>
      <c r="FI405" s="457"/>
      <c r="FJ405" s="457"/>
      <c r="FK405" s="457"/>
      <c r="FL405" s="457"/>
      <c r="FM405" s="457"/>
      <c r="FN405" s="457"/>
      <c r="FO405" s="457"/>
      <c r="FP405" s="457"/>
      <c r="FQ405" s="457"/>
      <c r="FR405" s="457"/>
      <c r="FS405" s="457"/>
      <c r="FT405" s="457"/>
      <c r="FU405" s="457"/>
      <c r="FV405" s="457"/>
      <c r="FW405" s="457"/>
      <c r="FX405" s="457"/>
      <c r="FY405" s="457"/>
      <c r="FZ405" s="457"/>
      <c r="GA405" s="457"/>
      <c r="GB405" s="457"/>
      <c r="GC405" s="457"/>
      <c r="GD405" s="457"/>
      <c r="GE405" s="457"/>
      <c r="GF405" s="457"/>
      <c r="GG405" s="457"/>
      <c r="GH405" s="457"/>
      <c r="GI405" s="457"/>
      <c r="GJ405" s="457"/>
      <c r="GK405" s="457"/>
      <c r="GL405" s="457"/>
      <c r="GM405" s="457"/>
      <c r="GN405" s="457"/>
      <c r="GO405" s="457"/>
      <c r="GP405" s="457"/>
      <c r="GQ405" s="457"/>
      <c r="GR405" s="457"/>
      <c r="GS405" s="457"/>
      <c r="GT405" s="457"/>
      <c r="GU405" s="457"/>
      <c r="GV405" s="457"/>
      <c r="GW405" s="457"/>
      <c r="GX405" s="457"/>
      <c r="GY405" s="457"/>
      <c r="GZ405" s="457"/>
      <c r="HA405" s="457"/>
      <c r="HB405" s="457"/>
      <c r="HC405" s="457"/>
      <c r="HD405" s="457"/>
      <c r="HE405" s="457"/>
      <c r="HF405" s="457"/>
      <c r="HG405" s="457"/>
      <c r="HH405" s="457"/>
      <c r="HI405" s="457"/>
      <c r="HJ405" s="457"/>
      <c r="HK405" s="457"/>
      <c r="HL405" s="457"/>
      <c r="HM405" s="457"/>
      <c r="HN405" s="457"/>
      <c r="HO405" s="457"/>
      <c r="HP405" s="457"/>
      <c r="HQ405" s="457"/>
      <c r="HR405" s="457"/>
      <c r="HS405" s="457"/>
      <c r="HT405" s="457"/>
      <c r="HU405" s="457"/>
      <c r="HV405" s="457"/>
      <c r="HW405" s="457"/>
      <c r="HX405" s="457"/>
      <c r="HY405" s="457"/>
      <c r="HZ405" s="457"/>
      <c r="IA405" s="457"/>
      <c r="IB405" s="457"/>
      <c r="IC405" s="457"/>
      <c r="ID405" s="457"/>
      <c r="IE405" s="457"/>
      <c r="IF405" s="457"/>
      <c r="IG405" s="457"/>
      <c r="IH405" s="457"/>
      <c r="II405" s="457"/>
      <c r="IJ405" s="457"/>
      <c r="IK405" s="457"/>
      <c r="IL405" s="457"/>
      <c r="IM405" s="457"/>
      <c r="IN405" s="457"/>
      <c r="IO405" s="457"/>
      <c r="IP405" s="457"/>
      <c r="IQ405" s="457"/>
      <c r="IR405" s="457"/>
      <c r="IS405" s="457"/>
      <c r="IT405" s="457"/>
      <c r="IU405" s="457"/>
      <c r="IV405" s="457"/>
      <c r="IW405" s="457"/>
      <c r="IX405" s="457"/>
      <c r="IY405" s="457"/>
      <c r="IZ405" s="457"/>
      <c r="JA405" s="457"/>
      <c r="JB405" s="457"/>
      <c r="JC405" s="457"/>
      <c r="JD405" s="457"/>
      <c r="JE405" s="457"/>
      <c r="JF405" s="457"/>
      <c r="JG405" s="457"/>
      <c r="JH405" s="457"/>
      <c r="JI405" s="457"/>
      <c r="JJ405" s="457"/>
      <c r="JK405" s="457"/>
      <c r="JL405" s="457"/>
      <c r="JM405" s="457"/>
      <c r="JN405" s="457"/>
      <c r="JO405" s="457"/>
      <c r="JP405" s="457"/>
      <c r="JQ405" s="457"/>
      <c r="JR405" s="457"/>
      <c r="JS405" s="457"/>
      <c r="JT405" s="457"/>
      <c r="JU405" s="457"/>
      <c r="JV405" s="457"/>
      <c r="JW405" s="457"/>
      <c r="JX405" s="457"/>
      <c r="JY405" s="457"/>
      <c r="JZ405" s="457"/>
      <c r="KA405" s="457"/>
      <c r="KB405" s="457"/>
      <c r="KC405" s="457"/>
      <c r="KD405" s="457"/>
      <c r="KE405" s="457"/>
      <c r="KF405" s="457"/>
      <c r="KG405" s="457"/>
      <c r="KH405" s="457"/>
      <c r="KI405" s="457"/>
      <c r="KJ405" s="457"/>
      <c r="KK405" s="457"/>
      <c r="KL405" s="457"/>
      <c r="KM405" s="457"/>
      <c r="KN405" s="457"/>
      <c r="KO405" s="457"/>
      <c r="KP405" s="457"/>
      <c r="KQ405" s="457"/>
      <c r="KR405" s="457"/>
      <c r="KS405" s="457"/>
      <c r="KT405" s="457"/>
      <c r="KU405" s="457"/>
      <c r="KV405" s="457"/>
      <c r="KW405" s="457"/>
      <c r="KX405" s="457"/>
      <c r="KY405" s="457"/>
      <c r="KZ405" s="457"/>
      <c r="LA405" s="457"/>
      <c r="LB405" s="457"/>
      <c r="LC405" s="457"/>
      <c r="LD405" s="457"/>
      <c r="LE405" s="457"/>
      <c r="LF405" s="457"/>
      <c r="LG405" s="457"/>
      <c r="LH405" s="457"/>
      <c r="LI405" s="457"/>
      <c r="LJ405" s="457"/>
      <c r="LK405" s="457"/>
      <c r="LL405" s="457"/>
      <c r="LM405" s="457"/>
      <c r="LN405" s="457"/>
      <c r="LO405" s="457"/>
      <c r="LP405" s="457"/>
      <c r="LQ405" s="457"/>
      <c r="LR405" s="457"/>
      <c r="LS405" s="457"/>
      <c r="LT405" s="457"/>
      <c r="LU405" s="457"/>
      <c r="LV405" s="457"/>
      <c r="LW405" s="457"/>
      <c r="LX405" s="457"/>
      <c r="LY405" s="457"/>
      <c r="LZ405" s="457"/>
      <c r="MA405" s="457"/>
      <c r="MB405" s="457"/>
      <c r="MC405" s="457"/>
      <c r="MD405" s="457"/>
      <c r="ME405" s="457"/>
      <c r="MF405" s="457"/>
      <c r="MG405" s="457"/>
      <c r="MH405" s="457"/>
      <c r="MI405" s="457"/>
      <c r="MJ405" s="457"/>
      <c r="MK405" s="457"/>
      <c r="ML405" s="457"/>
      <c r="MM405" s="457"/>
      <c r="MN405" s="457"/>
      <c r="MO405" s="457"/>
      <c r="MP405" s="457"/>
      <c r="MQ405" s="457"/>
      <c r="MR405" s="457"/>
      <c r="MS405" s="457"/>
      <c r="MT405" s="457"/>
      <c r="MU405" s="457"/>
      <c r="MV405" s="457"/>
      <c r="MW405" s="457"/>
      <c r="MX405" s="457"/>
      <c r="MY405" s="457"/>
      <c r="MZ405" s="457"/>
      <c r="NA405" s="457"/>
      <c r="NB405" s="457"/>
      <c r="NC405" s="457"/>
      <c r="ND405" s="457"/>
      <c r="NE405" s="457"/>
      <c r="NF405" s="457"/>
      <c r="NG405" s="457"/>
      <c r="NH405" s="457"/>
      <c r="NI405" s="457"/>
      <c r="NJ405" s="457"/>
      <c r="NK405" s="457"/>
      <c r="NL405" s="457"/>
      <c r="NM405" s="457"/>
      <c r="NN405" s="457"/>
      <c r="NO405" s="457"/>
      <c r="NP405" s="457"/>
      <c r="NQ405" s="457"/>
      <c r="NR405" s="457"/>
      <c r="NS405" s="457"/>
      <c r="NT405" s="457"/>
      <c r="NU405" s="457"/>
      <c r="NV405" s="457"/>
      <c r="NW405" s="457"/>
      <c r="NX405" s="457"/>
      <c r="NY405" s="457"/>
      <c r="NZ405" s="457"/>
      <c r="OA405" s="457"/>
      <c r="OB405" s="457"/>
      <c r="OC405" s="457"/>
      <c r="OD405" s="457"/>
      <c r="OE405" s="457"/>
      <c r="OF405" s="457"/>
      <c r="OG405" s="457"/>
      <c r="OH405" s="457"/>
      <c r="OI405" s="457"/>
      <c r="OJ405" s="457"/>
      <c r="OK405" s="457"/>
      <c r="OL405" s="457"/>
      <c r="OM405" s="457"/>
      <c r="ON405" s="457"/>
      <c r="OO405" s="457"/>
      <c r="OP405" s="457"/>
      <c r="OQ405" s="457"/>
      <c r="OR405" s="457"/>
      <c r="OS405" s="457"/>
      <c r="OT405" s="457"/>
      <c r="OU405" s="457"/>
      <c r="OV405" s="457"/>
      <c r="OW405" s="457"/>
      <c r="OX405" s="457"/>
      <c r="OY405" s="457"/>
      <c r="OZ405" s="457"/>
      <c r="PA405" s="457"/>
      <c r="PB405" s="457"/>
      <c r="PC405" s="457"/>
      <c r="PD405" s="457"/>
      <c r="PE405" s="457"/>
      <c r="PF405" s="457"/>
      <c r="PG405" s="457"/>
      <c r="PH405" s="457"/>
      <c r="PI405" s="457"/>
      <c r="PJ405" s="457"/>
      <c r="PK405" s="457"/>
      <c r="PL405" s="457"/>
      <c r="PM405" s="457"/>
      <c r="PN405" s="457"/>
      <c r="PO405" s="457"/>
      <c r="PP405" s="457"/>
      <c r="PQ405" s="457"/>
      <c r="PR405" s="457"/>
      <c r="PS405" s="457"/>
      <c r="PT405" s="457"/>
      <c r="PU405" s="457"/>
      <c r="PV405" s="457"/>
      <c r="PW405" s="457"/>
      <c r="PX405" s="457"/>
      <c r="PY405" s="457"/>
      <c r="PZ405" s="457"/>
      <c r="QA405" s="457"/>
      <c r="QB405" s="457"/>
      <c r="QC405" s="457"/>
      <c r="QD405" s="457"/>
      <c r="QE405" s="457"/>
      <c r="QF405" s="457"/>
      <c r="QG405" s="457"/>
      <c r="QH405" s="457"/>
      <c r="QI405" s="457"/>
      <c r="QJ405" s="457"/>
      <c r="QK405" s="457"/>
      <c r="QL405" s="457"/>
      <c r="QM405" s="457"/>
      <c r="QN405" s="457"/>
      <c r="QO405" s="457"/>
      <c r="QP405" s="457"/>
      <c r="QQ405" s="457"/>
      <c r="QR405" s="457"/>
      <c r="QS405" s="457"/>
      <c r="QT405" s="457"/>
      <c r="QU405" s="457"/>
      <c r="QV405" s="457"/>
      <c r="QW405" s="457"/>
      <c r="QX405" s="457"/>
      <c r="QY405" s="457"/>
      <c r="QZ405" s="457"/>
      <c r="RA405" s="457"/>
      <c r="RB405" s="457"/>
      <c r="RC405" s="457"/>
      <c r="RD405" s="457"/>
      <c r="RE405" s="457"/>
      <c r="RF405" s="457"/>
      <c r="RG405" s="457"/>
      <c r="RH405" s="457"/>
      <c r="RI405" s="457"/>
      <c r="RJ405" s="457"/>
      <c r="RK405" s="457"/>
      <c r="RL405" s="457"/>
      <c r="RM405" s="457"/>
      <c r="RN405" s="457"/>
      <c r="RO405" s="457"/>
      <c r="RP405" s="457"/>
      <c r="RQ405" s="457"/>
      <c r="RR405" s="457"/>
      <c r="RS405" s="457"/>
      <c r="RT405" s="457"/>
      <c r="RU405" s="457"/>
      <c r="RV405" s="457"/>
      <c r="RW405" s="457"/>
      <c r="RX405" s="457"/>
      <c r="RY405" s="457"/>
      <c r="RZ405" s="457"/>
      <c r="SA405" s="457"/>
      <c r="SB405" s="457"/>
      <c r="SC405" s="457"/>
      <c r="SD405" s="457"/>
      <c r="SE405" s="457"/>
      <c r="SF405" s="457"/>
      <c r="SG405" s="457"/>
      <c r="SH405" s="457"/>
      <c r="SI405" s="457"/>
      <c r="SJ405" s="457"/>
      <c r="SK405" s="457"/>
      <c r="SL405" s="457"/>
      <c r="SM405" s="457"/>
      <c r="SN405" s="457"/>
      <c r="SO405" s="457"/>
      <c r="SP405" s="457"/>
      <c r="SQ405" s="457"/>
      <c r="SR405" s="457"/>
      <c r="SS405" s="457"/>
      <c r="ST405" s="457"/>
      <c r="SU405" s="457"/>
      <c r="SV405" s="457"/>
      <c r="SW405" s="457"/>
      <c r="SX405" s="457"/>
      <c r="SY405" s="457"/>
      <c r="SZ405" s="457"/>
      <c r="TA405" s="457"/>
      <c r="TB405" s="457"/>
      <c r="TC405" s="457"/>
      <c r="TD405" s="457"/>
      <c r="TE405" s="457"/>
      <c r="TF405" s="457"/>
      <c r="TG405" s="457"/>
      <c r="TH405" s="457"/>
      <c r="TI405" s="457"/>
      <c r="TJ405" s="457"/>
      <c r="TK405" s="457"/>
      <c r="TL405" s="457"/>
      <c r="TM405" s="457"/>
      <c r="TN405" s="457"/>
      <c r="TO405" s="457"/>
      <c r="TP405" s="457"/>
      <c r="TQ405" s="457"/>
      <c r="TR405" s="457"/>
      <c r="TS405" s="457"/>
      <c r="TT405" s="457"/>
      <c r="TU405" s="457"/>
      <c r="TV405" s="457"/>
      <c r="TW405" s="457"/>
      <c r="TX405" s="457"/>
      <c r="TY405" s="457"/>
      <c r="TZ405" s="457"/>
      <c r="UA405" s="457"/>
      <c r="UB405" s="457"/>
      <c r="UC405" s="457"/>
      <c r="UD405" s="457"/>
      <c r="UE405" s="457"/>
      <c r="UF405" s="457"/>
      <c r="UG405" s="457"/>
      <c r="UH405" s="457"/>
      <c r="UI405" s="457"/>
      <c r="UJ405" s="457"/>
      <c r="UK405" s="457"/>
      <c r="UL405" s="457"/>
      <c r="UM405" s="457"/>
      <c r="UN405" s="457"/>
      <c r="UO405" s="457"/>
      <c r="UP405" s="457"/>
      <c r="UQ405" s="457"/>
      <c r="UR405" s="457"/>
      <c r="US405" s="457"/>
      <c r="UT405" s="457"/>
      <c r="UU405" s="457"/>
      <c r="UV405" s="457"/>
      <c r="UW405" s="457"/>
      <c r="UX405" s="457"/>
      <c r="UY405" s="457"/>
      <c r="UZ405" s="457"/>
      <c r="VA405" s="457"/>
      <c r="VB405" s="457"/>
      <c r="VC405" s="457"/>
      <c r="VD405" s="457"/>
      <c r="VE405" s="457"/>
      <c r="VF405" s="457"/>
      <c r="VG405" s="457"/>
      <c r="VH405" s="457"/>
      <c r="VI405" s="457"/>
      <c r="VJ405" s="457"/>
      <c r="VK405" s="457"/>
      <c r="VL405" s="457"/>
      <c r="VM405" s="457"/>
      <c r="VN405" s="457"/>
      <c r="VO405" s="457"/>
      <c r="VP405" s="457"/>
      <c r="VQ405" s="457"/>
      <c r="VR405" s="457"/>
      <c r="VS405" s="457"/>
      <c r="VT405" s="457"/>
      <c r="VU405" s="457"/>
      <c r="VV405" s="457"/>
      <c r="VW405" s="457"/>
      <c r="VX405" s="457"/>
      <c r="VY405" s="457"/>
      <c r="VZ405" s="457"/>
      <c r="WA405" s="457"/>
      <c r="WB405" s="457"/>
      <c r="WC405" s="457"/>
      <c r="WD405" s="457"/>
      <c r="WE405" s="457"/>
      <c r="WF405" s="457"/>
      <c r="WG405" s="457"/>
      <c r="WH405" s="457"/>
      <c r="WI405" s="457"/>
      <c r="WJ405" s="457"/>
      <c r="WK405" s="457"/>
      <c r="WL405" s="457"/>
      <c r="WM405" s="457"/>
      <c r="WN405" s="457"/>
      <c r="WO405" s="457"/>
      <c r="WP405" s="457"/>
      <c r="WQ405" s="457"/>
      <c r="WR405" s="457"/>
      <c r="WS405" s="457"/>
      <c r="WT405" s="457"/>
      <c r="WU405" s="457"/>
      <c r="WV405" s="457"/>
      <c r="WW405" s="457"/>
      <c r="WX405" s="457"/>
      <c r="WY405" s="457"/>
      <c r="WZ405" s="457"/>
      <c r="XA405" s="457"/>
      <c r="XB405" s="457"/>
      <c r="XC405" s="457"/>
      <c r="XD405" s="457"/>
      <c r="XE405" s="457"/>
      <c r="XF405" s="457"/>
      <c r="XG405" s="457"/>
      <c r="XH405" s="457"/>
      <c r="XI405" s="457"/>
      <c r="XJ405" s="457"/>
      <c r="XK405" s="457"/>
      <c r="XL405" s="457"/>
      <c r="XM405" s="457"/>
      <c r="XN405" s="457"/>
      <c r="XO405" s="457"/>
      <c r="XP405" s="457"/>
      <c r="XQ405" s="457"/>
      <c r="XR405" s="457"/>
      <c r="XS405" s="457"/>
      <c r="XT405" s="457"/>
      <c r="XU405" s="457"/>
      <c r="XV405" s="457"/>
      <c r="XW405" s="457"/>
      <c r="XX405" s="457"/>
      <c r="XY405" s="457"/>
      <c r="XZ405" s="457"/>
      <c r="YA405" s="457"/>
      <c r="YB405" s="457"/>
      <c r="YC405" s="457"/>
      <c r="YD405" s="457"/>
      <c r="YE405" s="457"/>
      <c r="YF405" s="457"/>
      <c r="YG405" s="457"/>
      <c r="YH405" s="457"/>
      <c r="YI405" s="457"/>
      <c r="YJ405" s="457"/>
      <c r="YK405" s="457"/>
      <c r="YL405" s="457"/>
      <c r="YM405" s="457"/>
      <c r="YN405" s="457"/>
      <c r="YO405" s="457"/>
      <c r="YP405" s="457"/>
      <c r="YQ405" s="457"/>
      <c r="YR405" s="457"/>
      <c r="YS405" s="457"/>
      <c r="YT405" s="457"/>
      <c r="YU405" s="457"/>
      <c r="YV405" s="457"/>
      <c r="YW405" s="457"/>
      <c r="YX405" s="457"/>
      <c r="YY405" s="457"/>
      <c r="YZ405" s="457"/>
      <c r="ZA405" s="457"/>
      <c r="ZB405" s="457"/>
      <c r="ZC405" s="457"/>
      <c r="ZD405" s="457"/>
      <c r="ZE405" s="457"/>
      <c r="ZF405" s="457"/>
      <c r="ZG405" s="457"/>
      <c r="ZH405" s="457"/>
      <c r="ZI405" s="457"/>
      <c r="ZJ405" s="457"/>
      <c r="ZK405" s="457"/>
      <c r="ZL405" s="457"/>
      <c r="ZM405" s="457"/>
      <c r="ZN405" s="457"/>
      <c r="ZO405" s="457"/>
      <c r="ZP405" s="457"/>
      <c r="ZQ405" s="457"/>
      <c r="ZR405" s="457"/>
      <c r="ZS405" s="457"/>
      <c r="ZT405" s="457"/>
      <c r="ZU405" s="457"/>
      <c r="ZV405" s="457"/>
      <c r="ZW405" s="457"/>
      <c r="ZX405" s="457"/>
      <c r="ZY405" s="457"/>
      <c r="ZZ405" s="457"/>
      <c r="AAA405" s="457"/>
      <c r="AAB405" s="457"/>
      <c r="AAC405" s="457"/>
      <c r="AAD405" s="457"/>
      <c r="AAE405" s="457"/>
      <c r="AAF405" s="457"/>
      <c r="AAG405" s="457"/>
      <c r="AAH405" s="457"/>
      <c r="AAI405" s="457"/>
      <c r="AAJ405" s="457"/>
      <c r="AAK405" s="457"/>
      <c r="AAL405" s="457"/>
      <c r="AAM405" s="457"/>
      <c r="AAN405" s="457"/>
      <c r="AAO405" s="457"/>
      <c r="AAP405" s="457"/>
      <c r="AAQ405" s="457"/>
      <c r="AAR405" s="457"/>
      <c r="AAS405" s="457"/>
      <c r="AAT405" s="457"/>
      <c r="AAU405" s="457"/>
      <c r="AAV405" s="457"/>
      <c r="AAW405" s="457"/>
      <c r="AAX405" s="457"/>
      <c r="AAY405" s="457"/>
      <c r="AAZ405" s="457"/>
      <c r="ABA405" s="457"/>
      <c r="ABB405" s="457"/>
      <c r="ABC405" s="457"/>
      <c r="ABD405" s="457"/>
      <c r="ABE405" s="457"/>
      <c r="ABF405" s="457"/>
      <c r="ABG405" s="457"/>
      <c r="ABH405" s="457"/>
      <c r="ABI405" s="457"/>
      <c r="ABJ405" s="457"/>
      <c r="ABK405" s="457"/>
      <c r="ABL405" s="457"/>
      <c r="ABM405" s="457"/>
      <c r="ABN405" s="457"/>
      <c r="ABO405" s="457"/>
      <c r="ABP405" s="457"/>
      <c r="ABQ405" s="457"/>
      <c r="ABR405" s="457"/>
      <c r="ABS405" s="457"/>
      <c r="ABT405" s="457"/>
      <c r="ABU405" s="457"/>
      <c r="ABV405" s="457"/>
      <c r="ABW405" s="457"/>
      <c r="ABX405" s="457"/>
      <c r="ABY405" s="457"/>
      <c r="ABZ405" s="457"/>
      <c r="ACA405" s="457"/>
      <c r="ACB405" s="457"/>
      <c r="ACC405" s="457"/>
      <c r="ACD405" s="457"/>
      <c r="ACE405" s="457"/>
      <c r="ACF405" s="457"/>
      <c r="ACG405" s="457"/>
      <c r="ACH405" s="457"/>
      <c r="ACI405" s="457"/>
      <c r="ACJ405" s="457"/>
      <c r="ACK405" s="457"/>
      <c r="ACL405" s="457"/>
      <c r="ACM405" s="457"/>
      <c r="ACN405" s="457"/>
      <c r="ACO405" s="457"/>
      <c r="ACP405" s="457"/>
      <c r="ACQ405" s="457"/>
      <c r="ACR405" s="457"/>
      <c r="ACS405" s="457"/>
      <c r="ACT405" s="457"/>
      <c r="ACU405" s="457"/>
      <c r="ACV405" s="457"/>
    </row>
    <row r="406" spans="1:776" s="400" customFormat="1" x14ac:dyDescent="0.25">
      <c r="A406" s="470">
        <v>900119</v>
      </c>
      <c r="B406" s="237" t="s">
        <v>259</v>
      </c>
      <c r="C406" s="455"/>
      <c r="D406" s="454" t="s">
        <v>224</v>
      </c>
      <c r="E406" s="454">
        <v>0.622</v>
      </c>
      <c r="F406" s="456">
        <v>46.77</v>
      </c>
      <c r="G406" s="454">
        <v>0.01</v>
      </c>
      <c r="H406" s="454">
        <v>0.17</v>
      </c>
      <c r="I406" s="456">
        <v>13.83</v>
      </c>
      <c r="J406" s="454">
        <v>31.7</v>
      </c>
      <c r="K406" s="456">
        <v>0.01</v>
      </c>
      <c r="L406" s="456">
        <v>295.2</v>
      </c>
      <c r="M406" s="454">
        <v>0.01</v>
      </c>
      <c r="N406" s="454">
        <v>2.77</v>
      </c>
      <c r="O406" s="454">
        <v>14.55</v>
      </c>
      <c r="P406" s="454">
        <v>78.760000000000005</v>
      </c>
      <c r="Q406" s="454">
        <v>33.19</v>
      </c>
      <c r="R406" s="454">
        <v>0.01</v>
      </c>
      <c r="S406" s="454">
        <v>0.01</v>
      </c>
      <c r="T406" s="454">
        <v>0.03</v>
      </c>
      <c r="U406" s="454">
        <v>0.06</v>
      </c>
      <c r="V406" s="454"/>
      <c r="W406" s="457"/>
      <c r="X406" s="457"/>
      <c r="Y406" s="457"/>
      <c r="Z406" s="457"/>
      <c r="AA406" s="457"/>
      <c r="AB406" s="457"/>
      <c r="AC406" s="457"/>
      <c r="AD406" s="457"/>
      <c r="AE406" s="457"/>
      <c r="AF406" s="457"/>
      <c r="AG406" s="457"/>
      <c r="AH406" s="457"/>
      <c r="AI406" s="457"/>
      <c r="AJ406" s="457"/>
      <c r="AK406" s="457"/>
      <c r="AL406" s="457"/>
      <c r="AM406" s="457"/>
      <c r="AN406" s="457"/>
      <c r="AO406" s="457"/>
      <c r="AP406" s="457"/>
      <c r="AQ406" s="457"/>
      <c r="AR406" s="457"/>
      <c r="AS406" s="457"/>
      <c r="AT406" s="457"/>
      <c r="AU406" s="457"/>
      <c r="AV406" s="457"/>
      <c r="AW406" s="457"/>
      <c r="AX406" s="457"/>
      <c r="AY406" s="457"/>
      <c r="AZ406" s="457"/>
      <c r="BA406" s="457"/>
      <c r="BB406" s="457"/>
      <c r="BC406" s="457"/>
      <c r="BD406" s="457"/>
      <c r="BE406" s="457"/>
      <c r="BF406" s="457"/>
      <c r="BG406" s="457"/>
      <c r="BH406" s="457"/>
      <c r="BI406" s="457"/>
      <c r="BJ406" s="457"/>
      <c r="BK406" s="457"/>
      <c r="BL406" s="457"/>
      <c r="BM406" s="457"/>
      <c r="BN406" s="457"/>
      <c r="BO406" s="457"/>
      <c r="BP406" s="457"/>
      <c r="BQ406" s="457"/>
      <c r="BR406" s="457"/>
      <c r="BS406" s="457"/>
      <c r="BT406" s="457"/>
      <c r="BU406" s="457"/>
      <c r="BV406" s="457"/>
      <c r="BW406" s="457"/>
      <c r="BX406" s="457"/>
      <c r="BY406" s="457"/>
      <c r="BZ406" s="457"/>
      <c r="CA406" s="457"/>
      <c r="CB406" s="457"/>
      <c r="CC406" s="457"/>
      <c r="CD406" s="457"/>
      <c r="CE406" s="457"/>
      <c r="CF406" s="457"/>
      <c r="CG406" s="457"/>
      <c r="CH406" s="457"/>
      <c r="CI406" s="457"/>
      <c r="CJ406" s="457"/>
      <c r="CK406" s="457"/>
      <c r="CL406" s="457"/>
      <c r="CM406" s="457"/>
      <c r="CN406" s="457"/>
      <c r="CO406" s="457"/>
      <c r="CP406" s="457"/>
      <c r="CQ406" s="457"/>
      <c r="CR406" s="457"/>
      <c r="CS406" s="457"/>
      <c r="CT406" s="457"/>
      <c r="CU406" s="457"/>
      <c r="CV406" s="457"/>
      <c r="CW406" s="457"/>
      <c r="CX406" s="457"/>
      <c r="CY406" s="457"/>
      <c r="CZ406" s="457"/>
      <c r="DA406" s="457"/>
      <c r="DB406" s="457"/>
      <c r="DC406" s="457"/>
      <c r="DD406" s="457"/>
      <c r="DE406" s="457"/>
      <c r="DF406" s="457"/>
      <c r="DG406" s="457"/>
      <c r="DH406" s="457"/>
      <c r="DI406" s="457"/>
      <c r="DJ406" s="457"/>
      <c r="DK406" s="457"/>
      <c r="DL406" s="457"/>
      <c r="DM406" s="457"/>
      <c r="DN406" s="457"/>
      <c r="DO406" s="457"/>
      <c r="DP406" s="457"/>
      <c r="DQ406" s="457"/>
      <c r="DR406" s="457"/>
      <c r="DS406" s="457"/>
      <c r="DT406" s="457"/>
      <c r="DU406" s="457"/>
      <c r="DV406" s="457"/>
      <c r="DW406" s="457"/>
      <c r="DX406" s="457"/>
      <c r="DY406" s="457"/>
      <c r="DZ406" s="457"/>
      <c r="EA406" s="457"/>
      <c r="EB406" s="457"/>
      <c r="EC406" s="457"/>
      <c r="ED406" s="457"/>
      <c r="EE406" s="457"/>
      <c r="EF406" s="457"/>
      <c r="EG406" s="457"/>
      <c r="EH406" s="457"/>
      <c r="EI406" s="457"/>
      <c r="EJ406" s="457"/>
      <c r="EK406" s="457"/>
      <c r="EL406" s="457"/>
      <c r="EM406" s="457"/>
      <c r="EN406" s="457"/>
      <c r="EO406" s="457"/>
      <c r="EP406" s="457"/>
      <c r="EQ406" s="457"/>
      <c r="ER406" s="457"/>
      <c r="ES406" s="457"/>
      <c r="ET406" s="457"/>
      <c r="EU406" s="457"/>
      <c r="EV406" s="457"/>
      <c r="EW406" s="457"/>
      <c r="EX406" s="457"/>
      <c r="EY406" s="457"/>
      <c r="EZ406" s="457"/>
      <c r="FA406" s="457"/>
      <c r="FB406" s="457"/>
      <c r="FC406" s="457"/>
      <c r="FD406" s="457"/>
      <c r="FE406" s="457"/>
      <c r="FF406" s="457"/>
      <c r="FG406" s="457"/>
      <c r="FH406" s="457"/>
      <c r="FI406" s="457"/>
      <c r="FJ406" s="457"/>
      <c r="FK406" s="457"/>
      <c r="FL406" s="457"/>
      <c r="FM406" s="457"/>
      <c r="FN406" s="457"/>
      <c r="FO406" s="457"/>
      <c r="FP406" s="457"/>
      <c r="FQ406" s="457"/>
      <c r="FR406" s="457"/>
      <c r="FS406" s="457"/>
      <c r="FT406" s="457"/>
      <c r="FU406" s="457"/>
      <c r="FV406" s="457"/>
      <c r="FW406" s="457"/>
      <c r="FX406" s="457"/>
      <c r="FY406" s="457"/>
      <c r="FZ406" s="457"/>
      <c r="GA406" s="457"/>
      <c r="GB406" s="457"/>
      <c r="GC406" s="457"/>
      <c r="GD406" s="457"/>
      <c r="GE406" s="457"/>
      <c r="GF406" s="457"/>
      <c r="GG406" s="457"/>
      <c r="GH406" s="457"/>
      <c r="GI406" s="457"/>
      <c r="GJ406" s="457"/>
      <c r="GK406" s="457"/>
      <c r="GL406" s="457"/>
      <c r="GM406" s="457"/>
      <c r="GN406" s="457"/>
      <c r="GO406" s="457"/>
      <c r="GP406" s="457"/>
      <c r="GQ406" s="457"/>
      <c r="GR406" s="457"/>
      <c r="GS406" s="457"/>
      <c r="GT406" s="457"/>
      <c r="GU406" s="457"/>
      <c r="GV406" s="457"/>
      <c r="GW406" s="457"/>
      <c r="GX406" s="457"/>
      <c r="GY406" s="457"/>
      <c r="GZ406" s="457"/>
      <c r="HA406" s="457"/>
      <c r="HB406" s="457"/>
      <c r="HC406" s="457"/>
      <c r="HD406" s="457"/>
      <c r="HE406" s="457"/>
      <c r="HF406" s="457"/>
      <c r="HG406" s="457"/>
      <c r="HH406" s="457"/>
      <c r="HI406" s="457"/>
      <c r="HJ406" s="457"/>
      <c r="HK406" s="457"/>
      <c r="HL406" s="457"/>
      <c r="HM406" s="457"/>
      <c r="HN406" s="457"/>
      <c r="HO406" s="457"/>
      <c r="HP406" s="457"/>
      <c r="HQ406" s="457"/>
      <c r="HR406" s="457"/>
      <c r="HS406" s="457"/>
      <c r="HT406" s="457"/>
      <c r="HU406" s="457"/>
      <c r="HV406" s="457"/>
      <c r="HW406" s="457"/>
      <c r="HX406" s="457"/>
      <c r="HY406" s="457"/>
      <c r="HZ406" s="457"/>
      <c r="IA406" s="457"/>
      <c r="IB406" s="457"/>
      <c r="IC406" s="457"/>
      <c r="ID406" s="457"/>
      <c r="IE406" s="457"/>
      <c r="IF406" s="457"/>
      <c r="IG406" s="457"/>
      <c r="IH406" s="457"/>
      <c r="II406" s="457"/>
      <c r="IJ406" s="457"/>
      <c r="IK406" s="457"/>
      <c r="IL406" s="457"/>
      <c r="IM406" s="457"/>
      <c r="IN406" s="457"/>
      <c r="IO406" s="457"/>
      <c r="IP406" s="457"/>
      <c r="IQ406" s="457"/>
      <c r="IR406" s="457"/>
      <c r="IS406" s="457"/>
      <c r="IT406" s="457"/>
      <c r="IU406" s="457"/>
      <c r="IV406" s="457"/>
      <c r="IW406" s="457"/>
      <c r="IX406" s="457"/>
      <c r="IY406" s="457"/>
      <c r="IZ406" s="457"/>
      <c r="JA406" s="457"/>
      <c r="JB406" s="457"/>
      <c r="JC406" s="457"/>
      <c r="JD406" s="457"/>
      <c r="JE406" s="457"/>
      <c r="JF406" s="457"/>
      <c r="JG406" s="457"/>
      <c r="JH406" s="457"/>
      <c r="JI406" s="457"/>
      <c r="JJ406" s="457"/>
      <c r="JK406" s="457"/>
      <c r="JL406" s="457"/>
      <c r="JM406" s="457"/>
      <c r="JN406" s="457"/>
      <c r="JO406" s="457"/>
      <c r="JP406" s="457"/>
      <c r="JQ406" s="457"/>
      <c r="JR406" s="457"/>
      <c r="JS406" s="457"/>
      <c r="JT406" s="457"/>
      <c r="JU406" s="457"/>
      <c r="JV406" s="457"/>
      <c r="JW406" s="457"/>
      <c r="JX406" s="457"/>
      <c r="JY406" s="457"/>
      <c r="JZ406" s="457"/>
      <c r="KA406" s="457"/>
      <c r="KB406" s="457"/>
      <c r="KC406" s="457"/>
      <c r="KD406" s="457"/>
      <c r="KE406" s="457"/>
      <c r="KF406" s="457"/>
      <c r="KG406" s="457"/>
      <c r="KH406" s="457"/>
      <c r="KI406" s="457"/>
      <c r="KJ406" s="457"/>
      <c r="KK406" s="457"/>
      <c r="KL406" s="457"/>
      <c r="KM406" s="457"/>
      <c r="KN406" s="457"/>
      <c r="KO406" s="457"/>
      <c r="KP406" s="457"/>
      <c r="KQ406" s="457"/>
      <c r="KR406" s="457"/>
      <c r="KS406" s="457"/>
      <c r="KT406" s="457"/>
      <c r="KU406" s="457"/>
      <c r="KV406" s="457"/>
      <c r="KW406" s="457"/>
      <c r="KX406" s="457"/>
      <c r="KY406" s="457"/>
      <c r="KZ406" s="457"/>
      <c r="LA406" s="457"/>
      <c r="LB406" s="457"/>
      <c r="LC406" s="457"/>
      <c r="LD406" s="457"/>
      <c r="LE406" s="457"/>
      <c r="LF406" s="457"/>
      <c r="LG406" s="457"/>
      <c r="LH406" s="457"/>
      <c r="LI406" s="457"/>
      <c r="LJ406" s="457"/>
      <c r="LK406" s="457"/>
      <c r="LL406" s="457"/>
      <c r="LM406" s="457"/>
      <c r="LN406" s="457"/>
      <c r="LO406" s="457"/>
      <c r="LP406" s="457"/>
      <c r="LQ406" s="457"/>
      <c r="LR406" s="457"/>
      <c r="LS406" s="457"/>
      <c r="LT406" s="457"/>
      <c r="LU406" s="457"/>
      <c r="LV406" s="457"/>
      <c r="LW406" s="457"/>
      <c r="LX406" s="457"/>
      <c r="LY406" s="457"/>
      <c r="LZ406" s="457"/>
      <c r="MA406" s="457"/>
      <c r="MB406" s="457"/>
      <c r="MC406" s="457"/>
      <c r="MD406" s="457"/>
      <c r="ME406" s="457"/>
      <c r="MF406" s="457"/>
      <c r="MG406" s="457"/>
      <c r="MH406" s="457"/>
      <c r="MI406" s="457"/>
      <c r="MJ406" s="457"/>
      <c r="MK406" s="457"/>
      <c r="ML406" s="457"/>
      <c r="MM406" s="457"/>
      <c r="MN406" s="457"/>
      <c r="MO406" s="457"/>
      <c r="MP406" s="457"/>
      <c r="MQ406" s="457"/>
      <c r="MR406" s="457"/>
      <c r="MS406" s="457"/>
      <c r="MT406" s="457"/>
      <c r="MU406" s="457"/>
      <c r="MV406" s="457"/>
      <c r="MW406" s="457"/>
      <c r="MX406" s="457"/>
      <c r="MY406" s="457"/>
      <c r="MZ406" s="457"/>
      <c r="NA406" s="457"/>
      <c r="NB406" s="457"/>
      <c r="NC406" s="457"/>
      <c r="ND406" s="457"/>
      <c r="NE406" s="457"/>
      <c r="NF406" s="457"/>
      <c r="NG406" s="457"/>
      <c r="NH406" s="457"/>
      <c r="NI406" s="457"/>
      <c r="NJ406" s="457"/>
      <c r="NK406" s="457"/>
      <c r="NL406" s="457"/>
      <c r="NM406" s="457"/>
      <c r="NN406" s="457"/>
      <c r="NO406" s="457"/>
      <c r="NP406" s="457"/>
      <c r="NQ406" s="457"/>
      <c r="NR406" s="457"/>
      <c r="NS406" s="457"/>
      <c r="NT406" s="457"/>
      <c r="NU406" s="457"/>
      <c r="NV406" s="457"/>
      <c r="NW406" s="457"/>
      <c r="NX406" s="457"/>
      <c r="NY406" s="457"/>
      <c r="NZ406" s="457"/>
      <c r="OA406" s="457"/>
      <c r="OB406" s="457"/>
      <c r="OC406" s="457"/>
      <c r="OD406" s="457"/>
      <c r="OE406" s="457"/>
      <c r="OF406" s="457"/>
      <c r="OG406" s="457"/>
      <c r="OH406" s="457"/>
      <c r="OI406" s="457"/>
      <c r="OJ406" s="457"/>
      <c r="OK406" s="457"/>
      <c r="OL406" s="457"/>
      <c r="OM406" s="457"/>
      <c r="ON406" s="457"/>
      <c r="OO406" s="457"/>
      <c r="OP406" s="457"/>
      <c r="OQ406" s="457"/>
      <c r="OR406" s="457"/>
      <c r="OS406" s="457"/>
      <c r="OT406" s="457"/>
      <c r="OU406" s="457"/>
      <c r="OV406" s="457"/>
      <c r="OW406" s="457"/>
      <c r="OX406" s="457"/>
      <c r="OY406" s="457"/>
      <c r="OZ406" s="457"/>
      <c r="PA406" s="457"/>
      <c r="PB406" s="457"/>
      <c r="PC406" s="457"/>
      <c r="PD406" s="457"/>
      <c r="PE406" s="457"/>
      <c r="PF406" s="457"/>
      <c r="PG406" s="457"/>
      <c r="PH406" s="457"/>
      <c r="PI406" s="457"/>
      <c r="PJ406" s="457"/>
      <c r="PK406" s="457"/>
      <c r="PL406" s="457"/>
      <c r="PM406" s="457"/>
      <c r="PN406" s="457"/>
      <c r="PO406" s="457"/>
      <c r="PP406" s="457"/>
      <c r="PQ406" s="457"/>
      <c r="PR406" s="457"/>
      <c r="PS406" s="457"/>
      <c r="PT406" s="457"/>
      <c r="PU406" s="457"/>
      <c r="PV406" s="457"/>
      <c r="PW406" s="457"/>
      <c r="PX406" s="457"/>
      <c r="PY406" s="457"/>
      <c r="PZ406" s="457"/>
      <c r="QA406" s="457"/>
      <c r="QB406" s="457"/>
      <c r="QC406" s="457"/>
      <c r="QD406" s="457"/>
      <c r="QE406" s="457"/>
      <c r="QF406" s="457"/>
      <c r="QG406" s="457"/>
      <c r="QH406" s="457"/>
      <c r="QI406" s="457"/>
      <c r="QJ406" s="457"/>
      <c r="QK406" s="457"/>
      <c r="QL406" s="457"/>
      <c r="QM406" s="457"/>
      <c r="QN406" s="457"/>
      <c r="QO406" s="457"/>
      <c r="QP406" s="457"/>
      <c r="QQ406" s="457"/>
      <c r="QR406" s="457"/>
      <c r="QS406" s="457"/>
      <c r="QT406" s="457"/>
      <c r="QU406" s="457"/>
      <c r="QV406" s="457"/>
      <c r="QW406" s="457"/>
      <c r="QX406" s="457"/>
      <c r="QY406" s="457"/>
      <c r="QZ406" s="457"/>
      <c r="RA406" s="457"/>
      <c r="RB406" s="457"/>
      <c r="RC406" s="457"/>
      <c r="RD406" s="457"/>
      <c r="RE406" s="457"/>
      <c r="RF406" s="457"/>
      <c r="RG406" s="457"/>
      <c r="RH406" s="457"/>
      <c r="RI406" s="457"/>
      <c r="RJ406" s="457"/>
      <c r="RK406" s="457"/>
      <c r="RL406" s="457"/>
      <c r="RM406" s="457"/>
      <c r="RN406" s="457"/>
      <c r="RO406" s="457"/>
      <c r="RP406" s="457"/>
      <c r="RQ406" s="457"/>
      <c r="RR406" s="457"/>
      <c r="RS406" s="457"/>
      <c r="RT406" s="457"/>
      <c r="RU406" s="457"/>
      <c r="RV406" s="457"/>
      <c r="RW406" s="457"/>
      <c r="RX406" s="457"/>
      <c r="RY406" s="457"/>
      <c r="RZ406" s="457"/>
      <c r="SA406" s="457"/>
      <c r="SB406" s="457"/>
      <c r="SC406" s="457"/>
      <c r="SD406" s="457"/>
      <c r="SE406" s="457"/>
      <c r="SF406" s="457"/>
      <c r="SG406" s="457"/>
      <c r="SH406" s="457"/>
      <c r="SI406" s="457"/>
      <c r="SJ406" s="457"/>
      <c r="SK406" s="457"/>
      <c r="SL406" s="457"/>
      <c r="SM406" s="457"/>
      <c r="SN406" s="457"/>
      <c r="SO406" s="457"/>
      <c r="SP406" s="457"/>
      <c r="SQ406" s="457"/>
      <c r="SR406" s="457"/>
      <c r="SS406" s="457"/>
      <c r="ST406" s="457"/>
      <c r="SU406" s="457"/>
      <c r="SV406" s="457"/>
      <c r="SW406" s="457"/>
      <c r="SX406" s="457"/>
      <c r="SY406" s="457"/>
      <c r="SZ406" s="457"/>
      <c r="TA406" s="457"/>
      <c r="TB406" s="457"/>
      <c r="TC406" s="457"/>
      <c r="TD406" s="457"/>
      <c r="TE406" s="457"/>
      <c r="TF406" s="457"/>
      <c r="TG406" s="457"/>
      <c r="TH406" s="457"/>
      <c r="TI406" s="457"/>
      <c r="TJ406" s="457"/>
      <c r="TK406" s="457"/>
      <c r="TL406" s="457"/>
      <c r="TM406" s="457"/>
      <c r="TN406" s="457"/>
      <c r="TO406" s="457"/>
      <c r="TP406" s="457"/>
      <c r="TQ406" s="457"/>
      <c r="TR406" s="457"/>
      <c r="TS406" s="457"/>
      <c r="TT406" s="457"/>
      <c r="TU406" s="457"/>
      <c r="TV406" s="457"/>
      <c r="TW406" s="457"/>
      <c r="TX406" s="457"/>
      <c r="TY406" s="457"/>
      <c r="TZ406" s="457"/>
      <c r="UA406" s="457"/>
      <c r="UB406" s="457"/>
      <c r="UC406" s="457"/>
      <c r="UD406" s="457"/>
      <c r="UE406" s="457"/>
      <c r="UF406" s="457"/>
      <c r="UG406" s="457"/>
      <c r="UH406" s="457"/>
      <c r="UI406" s="457"/>
      <c r="UJ406" s="457"/>
      <c r="UK406" s="457"/>
      <c r="UL406" s="457"/>
      <c r="UM406" s="457"/>
      <c r="UN406" s="457"/>
      <c r="UO406" s="457"/>
      <c r="UP406" s="457"/>
      <c r="UQ406" s="457"/>
      <c r="UR406" s="457"/>
      <c r="US406" s="457"/>
      <c r="UT406" s="457"/>
      <c r="UU406" s="457"/>
      <c r="UV406" s="457"/>
      <c r="UW406" s="457"/>
      <c r="UX406" s="457"/>
      <c r="UY406" s="457"/>
      <c r="UZ406" s="457"/>
      <c r="VA406" s="457"/>
      <c r="VB406" s="457"/>
      <c r="VC406" s="457"/>
      <c r="VD406" s="457"/>
      <c r="VE406" s="457"/>
      <c r="VF406" s="457"/>
      <c r="VG406" s="457"/>
      <c r="VH406" s="457"/>
      <c r="VI406" s="457"/>
      <c r="VJ406" s="457"/>
      <c r="VK406" s="457"/>
      <c r="VL406" s="457"/>
      <c r="VM406" s="457"/>
      <c r="VN406" s="457"/>
      <c r="VO406" s="457"/>
      <c r="VP406" s="457"/>
      <c r="VQ406" s="457"/>
      <c r="VR406" s="457"/>
      <c r="VS406" s="457"/>
      <c r="VT406" s="457"/>
      <c r="VU406" s="457"/>
      <c r="VV406" s="457"/>
      <c r="VW406" s="457"/>
      <c r="VX406" s="457"/>
      <c r="VY406" s="457"/>
      <c r="VZ406" s="457"/>
      <c r="WA406" s="457"/>
      <c r="WB406" s="457"/>
      <c r="WC406" s="457"/>
      <c r="WD406" s="457"/>
      <c r="WE406" s="457"/>
      <c r="WF406" s="457"/>
      <c r="WG406" s="457"/>
      <c r="WH406" s="457"/>
      <c r="WI406" s="457"/>
      <c r="WJ406" s="457"/>
      <c r="WK406" s="457"/>
      <c r="WL406" s="457"/>
      <c r="WM406" s="457"/>
      <c r="WN406" s="457"/>
      <c r="WO406" s="457"/>
      <c r="WP406" s="457"/>
      <c r="WQ406" s="457"/>
      <c r="WR406" s="457"/>
      <c r="WS406" s="457"/>
      <c r="WT406" s="457"/>
      <c r="WU406" s="457"/>
      <c r="WV406" s="457"/>
      <c r="WW406" s="457"/>
      <c r="WX406" s="457"/>
      <c r="WY406" s="457"/>
      <c r="WZ406" s="457"/>
      <c r="XA406" s="457"/>
      <c r="XB406" s="457"/>
      <c r="XC406" s="457"/>
      <c r="XD406" s="457"/>
      <c r="XE406" s="457"/>
      <c r="XF406" s="457"/>
      <c r="XG406" s="457"/>
      <c r="XH406" s="457"/>
      <c r="XI406" s="457"/>
      <c r="XJ406" s="457"/>
      <c r="XK406" s="457"/>
      <c r="XL406" s="457"/>
      <c r="XM406" s="457"/>
      <c r="XN406" s="457"/>
      <c r="XO406" s="457"/>
      <c r="XP406" s="457"/>
      <c r="XQ406" s="457"/>
      <c r="XR406" s="457"/>
      <c r="XS406" s="457"/>
      <c r="XT406" s="457"/>
      <c r="XU406" s="457"/>
      <c r="XV406" s="457"/>
      <c r="XW406" s="457"/>
      <c r="XX406" s="457"/>
      <c r="XY406" s="457"/>
      <c r="XZ406" s="457"/>
      <c r="YA406" s="457"/>
      <c r="YB406" s="457"/>
      <c r="YC406" s="457"/>
      <c r="YD406" s="457"/>
      <c r="YE406" s="457"/>
      <c r="YF406" s="457"/>
      <c r="YG406" s="457"/>
      <c r="YH406" s="457"/>
      <c r="YI406" s="457"/>
      <c r="YJ406" s="457"/>
      <c r="YK406" s="457"/>
      <c r="YL406" s="457"/>
      <c r="YM406" s="457"/>
      <c r="YN406" s="457"/>
      <c r="YO406" s="457"/>
      <c r="YP406" s="457"/>
      <c r="YQ406" s="457"/>
      <c r="YR406" s="457"/>
      <c r="YS406" s="457"/>
      <c r="YT406" s="457"/>
      <c r="YU406" s="457"/>
      <c r="YV406" s="457"/>
      <c r="YW406" s="457"/>
      <c r="YX406" s="457"/>
      <c r="YY406" s="457"/>
      <c r="YZ406" s="457"/>
      <c r="ZA406" s="457"/>
      <c r="ZB406" s="457"/>
      <c r="ZC406" s="457"/>
      <c r="ZD406" s="457"/>
      <c r="ZE406" s="457"/>
      <c r="ZF406" s="457"/>
      <c r="ZG406" s="457"/>
      <c r="ZH406" s="457"/>
      <c r="ZI406" s="457"/>
      <c r="ZJ406" s="457"/>
      <c r="ZK406" s="457"/>
      <c r="ZL406" s="457"/>
      <c r="ZM406" s="457"/>
      <c r="ZN406" s="457"/>
      <c r="ZO406" s="457"/>
      <c r="ZP406" s="457"/>
      <c r="ZQ406" s="457"/>
      <c r="ZR406" s="457"/>
      <c r="ZS406" s="457"/>
      <c r="ZT406" s="457"/>
      <c r="ZU406" s="457"/>
      <c r="ZV406" s="457"/>
      <c r="ZW406" s="457"/>
      <c r="ZX406" s="457"/>
      <c r="ZY406" s="457"/>
      <c r="ZZ406" s="457"/>
      <c r="AAA406" s="457"/>
      <c r="AAB406" s="457"/>
      <c r="AAC406" s="457"/>
      <c r="AAD406" s="457"/>
      <c r="AAE406" s="457"/>
      <c r="AAF406" s="457"/>
      <c r="AAG406" s="457"/>
      <c r="AAH406" s="457"/>
      <c r="AAI406" s="457"/>
      <c r="AAJ406" s="457"/>
      <c r="AAK406" s="457"/>
      <c r="AAL406" s="457"/>
      <c r="AAM406" s="457"/>
      <c r="AAN406" s="457"/>
      <c r="AAO406" s="457"/>
      <c r="AAP406" s="457"/>
      <c r="AAQ406" s="457"/>
      <c r="AAR406" s="457"/>
      <c r="AAS406" s="457"/>
      <c r="AAT406" s="457"/>
      <c r="AAU406" s="457"/>
      <c r="AAV406" s="457"/>
      <c r="AAW406" s="457"/>
      <c r="AAX406" s="457"/>
      <c r="AAY406" s="457"/>
      <c r="AAZ406" s="457"/>
      <c r="ABA406" s="457"/>
      <c r="ABB406" s="457"/>
      <c r="ABC406" s="457"/>
      <c r="ABD406" s="457"/>
      <c r="ABE406" s="457"/>
      <c r="ABF406" s="457"/>
      <c r="ABG406" s="457"/>
      <c r="ABH406" s="457"/>
      <c r="ABI406" s="457"/>
      <c r="ABJ406" s="457"/>
      <c r="ABK406" s="457"/>
      <c r="ABL406" s="457"/>
      <c r="ABM406" s="457"/>
      <c r="ABN406" s="457"/>
      <c r="ABO406" s="457"/>
      <c r="ABP406" s="457"/>
      <c r="ABQ406" s="457"/>
      <c r="ABR406" s="457"/>
      <c r="ABS406" s="457"/>
      <c r="ABT406" s="457"/>
      <c r="ABU406" s="457"/>
      <c r="ABV406" s="457"/>
      <c r="ABW406" s="457"/>
      <c r="ABX406" s="457"/>
      <c r="ABY406" s="457"/>
      <c r="ABZ406" s="457"/>
      <c r="ACA406" s="457"/>
      <c r="ACB406" s="457"/>
      <c r="ACC406" s="457"/>
      <c r="ACD406" s="457"/>
      <c r="ACE406" s="457"/>
      <c r="ACF406" s="457"/>
      <c r="ACG406" s="457"/>
      <c r="ACH406" s="457"/>
      <c r="ACI406" s="457"/>
      <c r="ACJ406" s="457"/>
      <c r="ACK406" s="457"/>
      <c r="ACL406" s="457"/>
      <c r="ACM406" s="457"/>
      <c r="ACN406" s="457"/>
      <c r="ACO406" s="457"/>
      <c r="ACP406" s="457"/>
      <c r="ACQ406" s="457"/>
      <c r="ACR406" s="457"/>
      <c r="ACS406" s="457"/>
      <c r="ACT406" s="457"/>
      <c r="ACU406" s="457"/>
      <c r="ACV406" s="457"/>
    </row>
    <row r="407" spans="1:776" s="400" customFormat="1" x14ac:dyDescent="0.25">
      <c r="A407" s="470">
        <v>900120</v>
      </c>
      <c r="B407" s="237" t="s">
        <v>260</v>
      </c>
      <c r="C407" s="455"/>
      <c r="D407" s="454" t="s">
        <v>261</v>
      </c>
      <c r="E407" s="454">
        <v>0.61099999999999999</v>
      </c>
      <c r="F407" s="456">
        <v>39.4</v>
      </c>
      <c r="G407" s="454">
        <v>0.01</v>
      </c>
      <c r="H407" s="454">
        <v>0.12</v>
      </c>
      <c r="I407" s="456">
        <v>12.7</v>
      </c>
      <c r="J407" s="454">
        <v>294.2</v>
      </c>
      <c r="K407" s="456">
        <v>0.01</v>
      </c>
      <c r="L407" s="456">
        <v>297.60000000000002</v>
      </c>
      <c r="M407" s="454">
        <v>0.01</v>
      </c>
      <c r="N407" s="454">
        <v>2.48</v>
      </c>
      <c r="O407" s="454">
        <v>15.97</v>
      </c>
      <c r="P407" s="454">
        <v>74.7</v>
      </c>
      <c r="Q407" s="454">
        <v>35.869999999999997</v>
      </c>
      <c r="R407" s="454">
        <v>0.01</v>
      </c>
      <c r="S407" s="467">
        <v>0.01</v>
      </c>
      <c r="T407" s="454">
        <v>0.02</v>
      </c>
      <c r="U407" s="454">
        <v>0.02</v>
      </c>
      <c r="V407" s="454"/>
      <c r="W407" s="457"/>
      <c r="X407" s="457"/>
      <c r="Y407" s="457"/>
      <c r="Z407" s="457"/>
      <c r="AA407" s="457"/>
      <c r="AB407" s="457"/>
      <c r="AC407" s="457"/>
      <c r="AD407" s="457"/>
      <c r="AE407" s="457"/>
      <c r="AF407" s="457"/>
      <c r="AG407" s="457"/>
      <c r="AH407" s="457"/>
      <c r="AI407" s="457"/>
      <c r="AJ407" s="457"/>
      <c r="AK407" s="457"/>
      <c r="AL407" s="457"/>
      <c r="AM407" s="457"/>
      <c r="AN407" s="457"/>
      <c r="AO407" s="457"/>
      <c r="AP407" s="457"/>
      <c r="AQ407" s="457"/>
      <c r="AR407" s="457"/>
      <c r="AS407" s="457"/>
      <c r="AT407" s="457"/>
      <c r="AU407" s="457"/>
      <c r="AV407" s="457"/>
      <c r="AW407" s="457"/>
      <c r="AX407" s="457"/>
      <c r="AY407" s="457"/>
      <c r="AZ407" s="457"/>
      <c r="BA407" s="457"/>
      <c r="BB407" s="457"/>
      <c r="BC407" s="457"/>
      <c r="BD407" s="457"/>
      <c r="BE407" s="457"/>
      <c r="BF407" s="457"/>
      <c r="BG407" s="457"/>
      <c r="BH407" s="457"/>
      <c r="BI407" s="457"/>
      <c r="BJ407" s="457"/>
      <c r="BK407" s="457"/>
      <c r="BL407" s="457"/>
      <c r="BM407" s="457"/>
      <c r="BN407" s="457"/>
      <c r="BO407" s="457"/>
      <c r="BP407" s="457"/>
      <c r="BQ407" s="457"/>
      <c r="BR407" s="457"/>
      <c r="BS407" s="457"/>
      <c r="BT407" s="457"/>
      <c r="BU407" s="457"/>
      <c r="BV407" s="457"/>
      <c r="BW407" s="457"/>
      <c r="BX407" s="457"/>
      <c r="BY407" s="457"/>
      <c r="BZ407" s="457"/>
      <c r="CA407" s="457"/>
      <c r="CB407" s="457"/>
      <c r="CC407" s="457"/>
      <c r="CD407" s="457"/>
      <c r="CE407" s="457"/>
      <c r="CF407" s="457"/>
      <c r="CG407" s="457"/>
      <c r="CH407" s="457"/>
      <c r="CI407" s="457"/>
      <c r="CJ407" s="457"/>
      <c r="CK407" s="457"/>
      <c r="CL407" s="457"/>
      <c r="CM407" s="457"/>
      <c r="CN407" s="457"/>
      <c r="CO407" s="457"/>
      <c r="CP407" s="457"/>
      <c r="CQ407" s="457"/>
      <c r="CR407" s="457"/>
      <c r="CS407" s="457"/>
      <c r="CT407" s="457"/>
      <c r="CU407" s="457"/>
      <c r="CV407" s="457"/>
      <c r="CW407" s="457"/>
      <c r="CX407" s="457"/>
      <c r="CY407" s="457"/>
      <c r="CZ407" s="457"/>
      <c r="DA407" s="457"/>
      <c r="DB407" s="457"/>
      <c r="DC407" s="457"/>
      <c r="DD407" s="457"/>
      <c r="DE407" s="457"/>
      <c r="DF407" s="457"/>
      <c r="DG407" s="457"/>
      <c r="DH407" s="457"/>
      <c r="DI407" s="457"/>
      <c r="DJ407" s="457"/>
      <c r="DK407" s="457"/>
      <c r="DL407" s="457"/>
      <c r="DM407" s="457"/>
      <c r="DN407" s="457"/>
      <c r="DO407" s="457"/>
      <c r="DP407" s="457"/>
      <c r="DQ407" s="457"/>
      <c r="DR407" s="457"/>
      <c r="DS407" s="457"/>
      <c r="DT407" s="457"/>
      <c r="DU407" s="457"/>
      <c r="DV407" s="457"/>
      <c r="DW407" s="457"/>
      <c r="DX407" s="457"/>
      <c r="DY407" s="457"/>
      <c r="DZ407" s="457"/>
      <c r="EA407" s="457"/>
      <c r="EB407" s="457"/>
      <c r="EC407" s="457"/>
      <c r="ED407" s="457"/>
      <c r="EE407" s="457"/>
      <c r="EF407" s="457"/>
      <c r="EG407" s="457"/>
      <c r="EH407" s="457"/>
      <c r="EI407" s="457"/>
      <c r="EJ407" s="457"/>
      <c r="EK407" s="457"/>
      <c r="EL407" s="457"/>
      <c r="EM407" s="457"/>
      <c r="EN407" s="457"/>
      <c r="EO407" s="457"/>
      <c r="EP407" s="457"/>
      <c r="EQ407" s="457"/>
      <c r="ER407" s="457"/>
      <c r="ES407" s="457"/>
      <c r="ET407" s="457"/>
      <c r="EU407" s="457"/>
      <c r="EV407" s="457"/>
      <c r="EW407" s="457"/>
      <c r="EX407" s="457"/>
      <c r="EY407" s="457"/>
      <c r="EZ407" s="457"/>
      <c r="FA407" s="457"/>
      <c r="FB407" s="457"/>
      <c r="FC407" s="457"/>
      <c r="FD407" s="457"/>
      <c r="FE407" s="457"/>
      <c r="FF407" s="457"/>
      <c r="FG407" s="457"/>
      <c r="FH407" s="457"/>
      <c r="FI407" s="457"/>
      <c r="FJ407" s="457"/>
      <c r="FK407" s="457"/>
      <c r="FL407" s="457"/>
      <c r="FM407" s="457"/>
      <c r="FN407" s="457"/>
      <c r="FO407" s="457"/>
      <c r="FP407" s="457"/>
      <c r="FQ407" s="457"/>
      <c r="FR407" s="457"/>
      <c r="FS407" s="457"/>
      <c r="FT407" s="457"/>
      <c r="FU407" s="457"/>
      <c r="FV407" s="457"/>
      <c r="FW407" s="457"/>
      <c r="FX407" s="457"/>
      <c r="FY407" s="457"/>
      <c r="FZ407" s="457"/>
      <c r="GA407" s="457"/>
      <c r="GB407" s="457"/>
      <c r="GC407" s="457"/>
      <c r="GD407" s="457"/>
      <c r="GE407" s="457"/>
      <c r="GF407" s="457"/>
      <c r="GG407" s="457"/>
      <c r="GH407" s="457"/>
      <c r="GI407" s="457"/>
      <c r="GJ407" s="457"/>
      <c r="GK407" s="457"/>
      <c r="GL407" s="457"/>
      <c r="GM407" s="457"/>
      <c r="GN407" s="457"/>
      <c r="GO407" s="457"/>
      <c r="GP407" s="457"/>
      <c r="GQ407" s="457"/>
      <c r="GR407" s="457"/>
      <c r="GS407" s="457"/>
      <c r="GT407" s="457"/>
      <c r="GU407" s="457"/>
      <c r="GV407" s="457"/>
      <c r="GW407" s="457"/>
      <c r="GX407" s="457"/>
      <c r="GY407" s="457"/>
      <c r="GZ407" s="457"/>
      <c r="HA407" s="457"/>
      <c r="HB407" s="457"/>
      <c r="HC407" s="457"/>
      <c r="HD407" s="457"/>
      <c r="HE407" s="457"/>
      <c r="HF407" s="457"/>
      <c r="HG407" s="457"/>
      <c r="HH407" s="457"/>
      <c r="HI407" s="457"/>
      <c r="HJ407" s="457"/>
      <c r="HK407" s="457"/>
      <c r="HL407" s="457"/>
      <c r="HM407" s="457"/>
      <c r="HN407" s="457"/>
      <c r="HO407" s="457"/>
      <c r="HP407" s="457"/>
      <c r="HQ407" s="457"/>
      <c r="HR407" s="457"/>
      <c r="HS407" s="457"/>
      <c r="HT407" s="457"/>
      <c r="HU407" s="457"/>
      <c r="HV407" s="457"/>
      <c r="HW407" s="457"/>
      <c r="HX407" s="457"/>
      <c r="HY407" s="457"/>
      <c r="HZ407" s="457"/>
      <c r="IA407" s="457"/>
      <c r="IB407" s="457"/>
      <c r="IC407" s="457"/>
      <c r="ID407" s="457"/>
      <c r="IE407" s="457"/>
      <c r="IF407" s="457"/>
      <c r="IG407" s="457"/>
      <c r="IH407" s="457"/>
      <c r="II407" s="457"/>
      <c r="IJ407" s="457"/>
      <c r="IK407" s="457"/>
      <c r="IL407" s="457"/>
      <c r="IM407" s="457"/>
      <c r="IN407" s="457"/>
      <c r="IO407" s="457"/>
      <c r="IP407" s="457"/>
      <c r="IQ407" s="457"/>
      <c r="IR407" s="457"/>
      <c r="IS407" s="457"/>
      <c r="IT407" s="457"/>
      <c r="IU407" s="457"/>
      <c r="IV407" s="457"/>
      <c r="IW407" s="457"/>
      <c r="IX407" s="457"/>
      <c r="IY407" s="457"/>
      <c r="IZ407" s="457"/>
      <c r="JA407" s="457"/>
      <c r="JB407" s="457"/>
      <c r="JC407" s="457"/>
      <c r="JD407" s="457"/>
      <c r="JE407" s="457"/>
      <c r="JF407" s="457"/>
      <c r="JG407" s="457"/>
      <c r="JH407" s="457"/>
      <c r="JI407" s="457"/>
      <c r="JJ407" s="457"/>
      <c r="JK407" s="457"/>
      <c r="JL407" s="457"/>
      <c r="JM407" s="457"/>
      <c r="JN407" s="457"/>
      <c r="JO407" s="457"/>
      <c r="JP407" s="457"/>
      <c r="JQ407" s="457"/>
      <c r="JR407" s="457"/>
      <c r="JS407" s="457"/>
      <c r="JT407" s="457"/>
      <c r="JU407" s="457"/>
      <c r="JV407" s="457"/>
      <c r="JW407" s="457"/>
      <c r="JX407" s="457"/>
      <c r="JY407" s="457"/>
      <c r="JZ407" s="457"/>
      <c r="KA407" s="457"/>
      <c r="KB407" s="457"/>
      <c r="KC407" s="457"/>
      <c r="KD407" s="457"/>
      <c r="KE407" s="457"/>
      <c r="KF407" s="457"/>
      <c r="KG407" s="457"/>
      <c r="KH407" s="457"/>
      <c r="KI407" s="457"/>
      <c r="KJ407" s="457"/>
      <c r="KK407" s="457"/>
      <c r="KL407" s="457"/>
      <c r="KM407" s="457"/>
      <c r="KN407" s="457"/>
      <c r="KO407" s="457"/>
      <c r="KP407" s="457"/>
      <c r="KQ407" s="457"/>
      <c r="KR407" s="457"/>
      <c r="KS407" s="457"/>
      <c r="KT407" s="457"/>
      <c r="KU407" s="457"/>
      <c r="KV407" s="457"/>
      <c r="KW407" s="457"/>
      <c r="KX407" s="457"/>
      <c r="KY407" s="457"/>
      <c r="KZ407" s="457"/>
      <c r="LA407" s="457"/>
      <c r="LB407" s="457"/>
      <c r="LC407" s="457"/>
      <c r="LD407" s="457"/>
      <c r="LE407" s="457"/>
      <c r="LF407" s="457"/>
      <c r="LG407" s="457"/>
      <c r="LH407" s="457"/>
      <c r="LI407" s="457"/>
      <c r="LJ407" s="457"/>
      <c r="LK407" s="457"/>
      <c r="LL407" s="457"/>
      <c r="LM407" s="457"/>
      <c r="LN407" s="457"/>
      <c r="LO407" s="457"/>
      <c r="LP407" s="457"/>
      <c r="LQ407" s="457"/>
      <c r="LR407" s="457"/>
      <c r="LS407" s="457"/>
      <c r="LT407" s="457"/>
      <c r="LU407" s="457"/>
      <c r="LV407" s="457"/>
      <c r="LW407" s="457"/>
      <c r="LX407" s="457"/>
      <c r="LY407" s="457"/>
      <c r="LZ407" s="457"/>
      <c r="MA407" s="457"/>
      <c r="MB407" s="457"/>
      <c r="MC407" s="457"/>
      <c r="MD407" s="457"/>
      <c r="ME407" s="457"/>
      <c r="MF407" s="457"/>
      <c r="MG407" s="457"/>
      <c r="MH407" s="457"/>
      <c r="MI407" s="457"/>
      <c r="MJ407" s="457"/>
      <c r="MK407" s="457"/>
      <c r="ML407" s="457"/>
      <c r="MM407" s="457"/>
      <c r="MN407" s="457"/>
      <c r="MO407" s="457"/>
      <c r="MP407" s="457"/>
      <c r="MQ407" s="457"/>
      <c r="MR407" s="457"/>
      <c r="MS407" s="457"/>
      <c r="MT407" s="457"/>
      <c r="MU407" s="457"/>
      <c r="MV407" s="457"/>
      <c r="MW407" s="457"/>
      <c r="MX407" s="457"/>
      <c r="MY407" s="457"/>
      <c r="MZ407" s="457"/>
      <c r="NA407" s="457"/>
      <c r="NB407" s="457"/>
      <c r="NC407" s="457"/>
      <c r="ND407" s="457"/>
      <c r="NE407" s="457"/>
      <c r="NF407" s="457"/>
      <c r="NG407" s="457"/>
      <c r="NH407" s="457"/>
      <c r="NI407" s="457"/>
      <c r="NJ407" s="457"/>
      <c r="NK407" s="457"/>
      <c r="NL407" s="457"/>
      <c r="NM407" s="457"/>
      <c r="NN407" s="457"/>
      <c r="NO407" s="457"/>
      <c r="NP407" s="457"/>
      <c r="NQ407" s="457"/>
      <c r="NR407" s="457"/>
      <c r="NS407" s="457"/>
      <c r="NT407" s="457"/>
      <c r="NU407" s="457"/>
      <c r="NV407" s="457"/>
      <c r="NW407" s="457"/>
      <c r="NX407" s="457"/>
      <c r="NY407" s="457"/>
      <c r="NZ407" s="457"/>
      <c r="OA407" s="457"/>
      <c r="OB407" s="457"/>
      <c r="OC407" s="457"/>
      <c r="OD407" s="457"/>
      <c r="OE407" s="457"/>
      <c r="OF407" s="457"/>
      <c r="OG407" s="457"/>
      <c r="OH407" s="457"/>
      <c r="OI407" s="457"/>
      <c r="OJ407" s="457"/>
      <c r="OK407" s="457"/>
      <c r="OL407" s="457"/>
      <c r="OM407" s="457"/>
      <c r="ON407" s="457"/>
      <c r="OO407" s="457"/>
      <c r="OP407" s="457"/>
      <c r="OQ407" s="457"/>
      <c r="OR407" s="457"/>
      <c r="OS407" s="457"/>
      <c r="OT407" s="457"/>
      <c r="OU407" s="457"/>
      <c r="OV407" s="457"/>
      <c r="OW407" s="457"/>
      <c r="OX407" s="457"/>
      <c r="OY407" s="457"/>
      <c r="OZ407" s="457"/>
      <c r="PA407" s="457"/>
      <c r="PB407" s="457"/>
      <c r="PC407" s="457"/>
      <c r="PD407" s="457"/>
      <c r="PE407" s="457"/>
      <c r="PF407" s="457"/>
      <c r="PG407" s="457"/>
      <c r="PH407" s="457"/>
      <c r="PI407" s="457"/>
      <c r="PJ407" s="457"/>
      <c r="PK407" s="457"/>
      <c r="PL407" s="457"/>
      <c r="PM407" s="457"/>
      <c r="PN407" s="457"/>
      <c r="PO407" s="457"/>
      <c r="PP407" s="457"/>
      <c r="PQ407" s="457"/>
      <c r="PR407" s="457"/>
      <c r="PS407" s="457"/>
      <c r="PT407" s="457"/>
      <c r="PU407" s="457"/>
      <c r="PV407" s="457"/>
      <c r="PW407" s="457"/>
      <c r="PX407" s="457"/>
      <c r="PY407" s="457"/>
      <c r="PZ407" s="457"/>
      <c r="QA407" s="457"/>
      <c r="QB407" s="457"/>
      <c r="QC407" s="457"/>
      <c r="QD407" s="457"/>
      <c r="QE407" s="457"/>
      <c r="QF407" s="457"/>
      <c r="QG407" s="457"/>
      <c r="QH407" s="457"/>
      <c r="QI407" s="457"/>
      <c r="QJ407" s="457"/>
      <c r="QK407" s="457"/>
      <c r="QL407" s="457"/>
      <c r="QM407" s="457"/>
      <c r="QN407" s="457"/>
      <c r="QO407" s="457"/>
      <c r="QP407" s="457"/>
      <c r="QQ407" s="457"/>
      <c r="QR407" s="457"/>
      <c r="QS407" s="457"/>
      <c r="QT407" s="457"/>
      <c r="QU407" s="457"/>
      <c r="QV407" s="457"/>
      <c r="QW407" s="457"/>
      <c r="QX407" s="457"/>
      <c r="QY407" s="457"/>
      <c r="QZ407" s="457"/>
      <c r="RA407" s="457"/>
      <c r="RB407" s="457"/>
      <c r="RC407" s="457"/>
      <c r="RD407" s="457"/>
      <c r="RE407" s="457"/>
      <c r="RF407" s="457"/>
      <c r="RG407" s="457"/>
      <c r="RH407" s="457"/>
      <c r="RI407" s="457"/>
      <c r="RJ407" s="457"/>
      <c r="RK407" s="457"/>
      <c r="RL407" s="457"/>
      <c r="RM407" s="457"/>
      <c r="RN407" s="457"/>
      <c r="RO407" s="457"/>
      <c r="RP407" s="457"/>
      <c r="RQ407" s="457"/>
      <c r="RR407" s="457"/>
      <c r="RS407" s="457"/>
      <c r="RT407" s="457"/>
      <c r="RU407" s="457"/>
      <c r="RV407" s="457"/>
      <c r="RW407" s="457"/>
      <c r="RX407" s="457"/>
      <c r="RY407" s="457"/>
      <c r="RZ407" s="457"/>
      <c r="SA407" s="457"/>
      <c r="SB407" s="457"/>
      <c r="SC407" s="457"/>
      <c r="SD407" s="457"/>
      <c r="SE407" s="457"/>
      <c r="SF407" s="457"/>
      <c r="SG407" s="457"/>
      <c r="SH407" s="457"/>
      <c r="SI407" s="457"/>
      <c r="SJ407" s="457"/>
      <c r="SK407" s="457"/>
      <c r="SL407" s="457"/>
      <c r="SM407" s="457"/>
      <c r="SN407" s="457"/>
      <c r="SO407" s="457"/>
      <c r="SP407" s="457"/>
      <c r="SQ407" s="457"/>
      <c r="SR407" s="457"/>
      <c r="SS407" s="457"/>
      <c r="ST407" s="457"/>
      <c r="SU407" s="457"/>
      <c r="SV407" s="457"/>
      <c r="SW407" s="457"/>
      <c r="SX407" s="457"/>
      <c r="SY407" s="457"/>
      <c r="SZ407" s="457"/>
      <c r="TA407" s="457"/>
      <c r="TB407" s="457"/>
      <c r="TC407" s="457"/>
      <c r="TD407" s="457"/>
      <c r="TE407" s="457"/>
      <c r="TF407" s="457"/>
      <c r="TG407" s="457"/>
      <c r="TH407" s="457"/>
      <c r="TI407" s="457"/>
      <c r="TJ407" s="457"/>
      <c r="TK407" s="457"/>
      <c r="TL407" s="457"/>
      <c r="TM407" s="457"/>
      <c r="TN407" s="457"/>
      <c r="TO407" s="457"/>
      <c r="TP407" s="457"/>
      <c r="TQ407" s="457"/>
      <c r="TR407" s="457"/>
      <c r="TS407" s="457"/>
      <c r="TT407" s="457"/>
      <c r="TU407" s="457"/>
      <c r="TV407" s="457"/>
      <c r="TW407" s="457"/>
      <c r="TX407" s="457"/>
      <c r="TY407" s="457"/>
      <c r="TZ407" s="457"/>
      <c r="UA407" s="457"/>
      <c r="UB407" s="457"/>
      <c r="UC407" s="457"/>
      <c r="UD407" s="457"/>
      <c r="UE407" s="457"/>
      <c r="UF407" s="457"/>
      <c r="UG407" s="457"/>
      <c r="UH407" s="457"/>
      <c r="UI407" s="457"/>
      <c r="UJ407" s="457"/>
      <c r="UK407" s="457"/>
      <c r="UL407" s="457"/>
      <c r="UM407" s="457"/>
      <c r="UN407" s="457"/>
      <c r="UO407" s="457"/>
      <c r="UP407" s="457"/>
      <c r="UQ407" s="457"/>
      <c r="UR407" s="457"/>
      <c r="US407" s="457"/>
      <c r="UT407" s="457"/>
      <c r="UU407" s="457"/>
      <c r="UV407" s="457"/>
      <c r="UW407" s="457"/>
      <c r="UX407" s="457"/>
      <c r="UY407" s="457"/>
      <c r="UZ407" s="457"/>
      <c r="VA407" s="457"/>
      <c r="VB407" s="457"/>
      <c r="VC407" s="457"/>
      <c r="VD407" s="457"/>
      <c r="VE407" s="457"/>
      <c r="VF407" s="457"/>
      <c r="VG407" s="457"/>
      <c r="VH407" s="457"/>
      <c r="VI407" s="457"/>
      <c r="VJ407" s="457"/>
      <c r="VK407" s="457"/>
      <c r="VL407" s="457"/>
      <c r="VM407" s="457"/>
      <c r="VN407" s="457"/>
      <c r="VO407" s="457"/>
      <c r="VP407" s="457"/>
      <c r="VQ407" s="457"/>
      <c r="VR407" s="457"/>
      <c r="VS407" s="457"/>
      <c r="VT407" s="457"/>
      <c r="VU407" s="457"/>
      <c r="VV407" s="457"/>
      <c r="VW407" s="457"/>
      <c r="VX407" s="457"/>
      <c r="VY407" s="457"/>
      <c r="VZ407" s="457"/>
      <c r="WA407" s="457"/>
      <c r="WB407" s="457"/>
      <c r="WC407" s="457"/>
      <c r="WD407" s="457"/>
      <c r="WE407" s="457"/>
      <c r="WF407" s="457"/>
      <c r="WG407" s="457"/>
      <c r="WH407" s="457"/>
      <c r="WI407" s="457"/>
      <c r="WJ407" s="457"/>
      <c r="WK407" s="457"/>
      <c r="WL407" s="457"/>
      <c r="WM407" s="457"/>
      <c r="WN407" s="457"/>
      <c r="WO407" s="457"/>
      <c r="WP407" s="457"/>
      <c r="WQ407" s="457"/>
      <c r="WR407" s="457"/>
      <c r="WS407" s="457"/>
      <c r="WT407" s="457"/>
      <c r="WU407" s="457"/>
      <c r="WV407" s="457"/>
      <c r="WW407" s="457"/>
      <c r="WX407" s="457"/>
      <c r="WY407" s="457"/>
      <c r="WZ407" s="457"/>
      <c r="XA407" s="457"/>
      <c r="XB407" s="457"/>
      <c r="XC407" s="457"/>
      <c r="XD407" s="457"/>
      <c r="XE407" s="457"/>
      <c r="XF407" s="457"/>
      <c r="XG407" s="457"/>
      <c r="XH407" s="457"/>
      <c r="XI407" s="457"/>
      <c r="XJ407" s="457"/>
      <c r="XK407" s="457"/>
      <c r="XL407" s="457"/>
      <c r="XM407" s="457"/>
      <c r="XN407" s="457"/>
      <c r="XO407" s="457"/>
      <c r="XP407" s="457"/>
      <c r="XQ407" s="457"/>
      <c r="XR407" s="457"/>
      <c r="XS407" s="457"/>
      <c r="XT407" s="457"/>
      <c r="XU407" s="457"/>
      <c r="XV407" s="457"/>
      <c r="XW407" s="457"/>
      <c r="XX407" s="457"/>
      <c r="XY407" s="457"/>
      <c r="XZ407" s="457"/>
      <c r="YA407" s="457"/>
      <c r="YB407" s="457"/>
      <c r="YC407" s="457"/>
      <c r="YD407" s="457"/>
      <c r="YE407" s="457"/>
      <c r="YF407" s="457"/>
      <c r="YG407" s="457"/>
      <c r="YH407" s="457"/>
      <c r="YI407" s="457"/>
      <c r="YJ407" s="457"/>
      <c r="YK407" s="457"/>
      <c r="YL407" s="457"/>
      <c r="YM407" s="457"/>
      <c r="YN407" s="457"/>
      <c r="YO407" s="457"/>
      <c r="YP407" s="457"/>
      <c r="YQ407" s="457"/>
      <c r="YR407" s="457"/>
      <c r="YS407" s="457"/>
      <c r="YT407" s="457"/>
      <c r="YU407" s="457"/>
      <c r="YV407" s="457"/>
      <c r="YW407" s="457"/>
      <c r="YX407" s="457"/>
      <c r="YY407" s="457"/>
      <c r="YZ407" s="457"/>
      <c r="ZA407" s="457"/>
      <c r="ZB407" s="457"/>
      <c r="ZC407" s="457"/>
      <c r="ZD407" s="457"/>
      <c r="ZE407" s="457"/>
      <c r="ZF407" s="457"/>
      <c r="ZG407" s="457"/>
      <c r="ZH407" s="457"/>
      <c r="ZI407" s="457"/>
      <c r="ZJ407" s="457"/>
      <c r="ZK407" s="457"/>
      <c r="ZL407" s="457"/>
      <c r="ZM407" s="457"/>
      <c r="ZN407" s="457"/>
      <c r="ZO407" s="457"/>
      <c r="ZP407" s="457"/>
      <c r="ZQ407" s="457"/>
      <c r="ZR407" s="457"/>
      <c r="ZS407" s="457"/>
      <c r="ZT407" s="457"/>
      <c r="ZU407" s="457"/>
      <c r="ZV407" s="457"/>
      <c r="ZW407" s="457"/>
      <c r="ZX407" s="457"/>
      <c r="ZY407" s="457"/>
      <c r="ZZ407" s="457"/>
      <c r="AAA407" s="457"/>
      <c r="AAB407" s="457"/>
      <c r="AAC407" s="457"/>
      <c r="AAD407" s="457"/>
      <c r="AAE407" s="457"/>
      <c r="AAF407" s="457"/>
      <c r="AAG407" s="457"/>
      <c r="AAH407" s="457"/>
      <c r="AAI407" s="457"/>
      <c r="AAJ407" s="457"/>
      <c r="AAK407" s="457"/>
      <c r="AAL407" s="457"/>
      <c r="AAM407" s="457"/>
      <c r="AAN407" s="457"/>
      <c r="AAO407" s="457"/>
      <c r="AAP407" s="457"/>
      <c r="AAQ407" s="457"/>
      <c r="AAR407" s="457"/>
      <c r="AAS407" s="457"/>
      <c r="AAT407" s="457"/>
      <c r="AAU407" s="457"/>
      <c r="AAV407" s="457"/>
      <c r="AAW407" s="457"/>
      <c r="AAX407" s="457"/>
      <c r="AAY407" s="457"/>
      <c r="AAZ407" s="457"/>
      <c r="ABA407" s="457"/>
      <c r="ABB407" s="457"/>
      <c r="ABC407" s="457"/>
      <c r="ABD407" s="457"/>
      <c r="ABE407" s="457"/>
      <c r="ABF407" s="457"/>
      <c r="ABG407" s="457"/>
      <c r="ABH407" s="457"/>
      <c r="ABI407" s="457"/>
      <c r="ABJ407" s="457"/>
      <c r="ABK407" s="457"/>
      <c r="ABL407" s="457"/>
      <c r="ABM407" s="457"/>
      <c r="ABN407" s="457"/>
      <c r="ABO407" s="457"/>
      <c r="ABP407" s="457"/>
      <c r="ABQ407" s="457"/>
      <c r="ABR407" s="457"/>
      <c r="ABS407" s="457"/>
      <c r="ABT407" s="457"/>
      <c r="ABU407" s="457"/>
      <c r="ABV407" s="457"/>
      <c r="ABW407" s="457"/>
      <c r="ABX407" s="457"/>
      <c r="ABY407" s="457"/>
      <c r="ABZ407" s="457"/>
      <c r="ACA407" s="457"/>
      <c r="ACB407" s="457"/>
      <c r="ACC407" s="457"/>
      <c r="ACD407" s="457"/>
      <c r="ACE407" s="457"/>
      <c r="ACF407" s="457"/>
      <c r="ACG407" s="457"/>
      <c r="ACH407" s="457"/>
      <c r="ACI407" s="457"/>
      <c r="ACJ407" s="457"/>
      <c r="ACK407" s="457"/>
      <c r="ACL407" s="457"/>
      <c r="ACM407" s="457"/>
      <c r="ACN407" s="457"/>
      <c r="ACO407" s="457"/>
      <c r="ACP407" s="457"/>
      <c r="ACQ407" s="457"/>
      <c r="ACR407" s="457"/>
      <c r="ACS407" s="457"/>
      <c r="ACT407" s="457"/>
      <c r="ACU407" s="457"/>
      <c r="ACV407" s="457"/>
    </row>
    <row r="408" spans="1:776" s="400" customFormat="1" x14ac:dyDescent="0.25">
      <c r="A408" s="470">
        <v>900121</v>
      </c>
      <c r="B408" s="237" t="s">
        <v>262</v>
      </c>
      <c r="C408" s="455"/>
      <c r="D408" s="454" t="s">
        <v>210</v>
      </c>
      <c r="E408" s="454">
        <v>7.78</v>
      </c>
      <c r="F408" s="456">
        <v>14.1</v>
      </c>
      <c r="G408" s="454">
        <v>0.01</v>
      </c>
      <c r="H408" s="454">
        <v>0.15</v>
      </c>
      <c r="I408" s="456">
        <v>1783</v>
      </c>
      <c r="J408" s="454">
        <v>2303</v>
      </c>
      <c r="K408" s="456">
        <v>9.1800000000000007E-2</v>
      </c>
      <c r="L408" s="456">
        <v>465.6</v>
      </c>
      <c r="M408" s="454">
        <v>0.01</v>
      </c>
      <c r="N408" s="454">
        <v>33.119999999999997</v>
      </c>
      <c r="O408" s="454">
        <v>1051.75</v>
      </c>
      <c r="P408" s="454">
        <v>300.36</v>
      </c>
      <c r="Q408" s="454">
        <v>278.08</v>
      </c>
      <c r="R408" s="467">
        <v>0.01</v>
      </c>
      <c r="S408" s="467">
        <v>0.01</v>
      </c>
      <c r="T408" s="467">
        <v>0.01</v>
      </c>
      <c r="U408" s="454">
        <v>0.01</v>
      </c>
      <c r="V408" s="454"/>
      <c r="W408" s="457"/>
      <c r="X408" s="457"/>
      <c r="Y408" s="457"/>
      <c r="Z408" s="457"/>
      <c r="AA408" s="457"/>
      <c r="AB408" s="457"/>
      <c r="AC408" s="457"/>
      <c r="AD408" s="457"/>
      <c r="AE408" s="457"/>
      <c r="AF408" s="457"/>
      <c r="AG408" s="457"/>
      <c r="AH408" s="457"/>
      <c r="AI408" s="457"/>
      <c r="AJ408" s="457"/>
      <c r="AK408" s="457"/>
      <c r="AL408" s="457"/>
      <c r="AM408" s="457"/>
      <c r="AN408" s="457"/>
      <c r="AO408" s="457"/>
      <c r="AP408" s="457"/>
      <c r="AQ408" s="457"/>
      <c r="AR408" s="457"/>
      <c r="AS408" s="457"/>
      <c r="AT408" s="457"/>
      <c r="AU408" s="457"/>
      <c r="AV408" s="457"/>
      <c r="AW408" s="457"/>
      <c r="AX408" s="457"/>
      <c r="AY408" s="457"/>
      <c r="AZ408" s="457"/>
      <c r="BA408" s="457"/>
      <c r="BB408" s="457"/>
      <c r="BC408" s="457"/>
      <c r="BD408" s="457"/>
      <c r="BE408" s="457"/>
      <c r="BF408" s="457"/>
      <c r="BG408" s="457"/>
      <c r="BH408" s="457"/>
      <c r="BI408" s="457"/>
      <c r="BJ408" s="457"/>
      <c r="BK408" s="457"/>
      <c r="BL408" s="457"/>
      <c r="BM408" s="457"/>
      <c r="BN408" s="457"/>
      <c r="BO408" s="457"/>
      <c r="BP408" s="457"/>
      <c r="BQ408" s="457"/>
      <c r="BR408" s="457"/>
      <c r="BS408" s="457"/>
      <c r="BT408" s="457"/>
      <c r="BU408" s="457"/>
      <c r="BV408" s="457"/>
      <c r="BW408" s="457"/>
      <c r="BX408" s="457"/>
      <c r="BY408" s="457"/>
      <c r="BZ408" s="457"/>
      <c r="CA408" s="457"/>
      <c r="CB408" s="457"/>
      <c r="CC408" s="457"/>
      <c r="CD408" s="457"/>
      <c r="CE408" s="457"/>
      <c r="CF408" s="457"/>
      <c r="CG408" s="457"/>
      <c r="CH408" s="457"/>
      <c r="CI408" s="457"/>
      <c r="CJ408" s="457"/>
      <c r="CK408" s="457"/>
      <c r="CL408" s="457"/>
      <c r="CM408" s="457"/>
      <c r="CN408" s="457"/>
      <c r="CO408" s="457"/>
      <c r="CP408" s="457"/>
      <c r="CQ408" s="457"/>
      <c r="CR408" s="457"/>
      <c r="CS408" s="457"/>
      <c r="CT408" s="457"/>
      <c r="CU408" s="457"/>
      <c r="CV408" s="457"/>
      <c r="CW408" s="457"/>
      <c r="CX408" s="457"/>
      <c r="CY408" s="457"/>
      <c r="CZ408" s="457"/>
      <c r="DA408" s="457"/>
      <c r="DB408" s="457"/>
      <c r="DC408" s="457"/>
      <c r="DD408" s="457"/>
      <c r="DE408" s="457"/>
      <c r="DF408" s="457"/>
      <c r="DG408" s="457"/>
      <c r="DH408" s="457"/>
      <c r="DI408" s="457"/>
      <c r="DJ408" s="457"/>
      <c r="DK408" s="457"/>
      <c r="DL408" s="457"/>
      <c r="DM408" s="457"/>
      <c r="DN408" s="457"/>
      <c r="DO408" s="457"/>
      <c r="DP408" s="457"/>
      <c r="DQ408" s="457"/>
      <c r="DR408" s="457"/>
      <c r="DS408" s="457"/>
      <c r="DT408" s="457"/>
      <c r="DU408" s="457"/>
      <c r="DV408" s="457"/>
      <c r="DW408" s="457"/>
      <c r="DX408" s="457"/>
      <c r="DY408" s="457"/>
      <c r="DZ408" s="457"/>
      <c r="EA408" s="457"/>
      <c r="EB408" s="457"/>
      <c r="EC408" s="457"/>
      <c r="ED408" s="457"/>
      <c r="EE408" s="457"/>
      <c r="EF408" s="457"/>
      <c r="EG408" s="457"/>
      <c r="EH408" s="457"/>
      <c r="EI408" s="457"/>
      <c r="EJ408" s="457"/>
      <c r="EK408" s="457"/>
      <c r="EL408" s="457"/>
      <c r="EM408" s="457"/>
      <c r="EN408" s="457"/>
      <c r="EO408" s="457"/>
      <c r="EP408" s="457"/>
      <c r="EQ408" s="457"/>
      <c r="ER408" s="457"/>
      <c r="ES408" s="457"/>
      <c r="ET408" s="457"/>
      <c r="EU408" s="457"/>
      <c r="EV408" s="457"/>
      <c r="EW408" s="457"/>
      <c r="EX408" s="457"/>
      <c r="EY408" s="457"/>
      <c r="EZ408" s="457"/>
      <c r="FA408" s="457"/>
      <c r="FB408" s="457"/>
      <c r="FC408" s="457"/>
      <c r="FD408" s="457"/>
      <c r="FE408" s="457"/>
      <c r="FF408" s="457"/>
      <c r="FG408" s="457"/>
      <c r="FH408" s="457"/>
      <c r="FI408" s="457"/>
      <c r="FJ408" s="457"/>
      <c r="FK408" s="457"/>
      <c r="FL408" s="457"/>
      <c r="FM408" s="457"/>
      <c r="FN408" s="457"/>
      <c r="FO408" s="457"/>
      <c r="FP408" s="457"/>
      <c r="FQ408" s="457"/>
      <c r="FR408" s="457"/>
      <c r="FS408" s="457"/>
      <c r="FT408" s="457"/>
      <c r="FU408" s="457"/>
      <c r="FV408" s="457"/>
      <c r="FW408" s="457"/>
      <c r="FX408" s="457"/>
      <c r="FY408" s="457"/>
      <c r="FZ408" s="457"/>
      <c r="GA408" s="457"/>
      <c r="GB408" s="457"/>
      <c r="GC408" s="457"/>
      <c r="GD408" s="457"/>
      <c r="GE408" s="457"/>
      <c r="GF408" s="457"/>
      <c r="GG408" s="457"/>
      <c r="GH408" s="457"/>
      <c r="GI408" s="457"/>
      <c r="GJ408" s="457"/>
      <c r="GK408" s="457"/>
      <c r="GL408" s="457"/>
      <c r="GM408" s="457"/>
      <c r="GN408" s="457"/>
      <c r="GO408" s="457"/>
      <c r="GP408" s="457"/>
      <c r="GQ408" s="457"/>
      <c r="GR408" s="457"/>
      <c r="GS408" s="457"/>
      <c r="GT408" s="457"/>
      <c r="GU408" s="457"/>
      <c r="GV408" s="457"/>
      <c r="GW408" s="457"/>
      <c r="GX408" s="457"/>
      <c r="GY408" s="457"/>
      <c r="GZ408" s="457"/>
      <c r="HA408" s="457"/>
      <c r="HB408" s="457"/>
      <c r="HC408" s="457"/>
      <c r="HD408" s="457"/>
      <c r="HE408" s="457"/>
      <c r="HF408" s="457"/>
      <c r="HG408" s="457"/>
      <c r="HH408" s="457"/>
      <c r="HI408" s="457"/>
      <c r="HJ408" s="457"/>
      <c r="HK408" s="457"/>
      <c r="HL408" s="457"/>
      <c r="HM408" s="457"/>
      <c r="HN408" s="457"/>
      <c r="HO408" s="457"/>
      <c r="HP408" s="457"/>
      <c r="HQ408" s="457"/>
      <c r="HR408" s="457"/>
      <c r="HS408" s="457"/>
      <c r="HT408" s="457"/>
      <c r="HU408" s="457"/>
      <c r="HV408" s="457"/>
      <c r="HW408" s="457"/>
      <c r="HX408" s="457"/>
      <c r="HY408" s="457"/>
      <c r="HZ408" s="457"/>
      <c r="IA408" s="457"/>
      <c r="IB408" s="457"/>
      <c r="IC408" s="457"/>
      <c r="ID408" s="457"/>
      <c r="IE408" s="457"/>
      <c r="IF408" s="457"/>
      <c r="IG408" s="457"/>
      <c r="IH408" s="457"/>
      <c r="II408" s="457"/>
      <c r="IJ408" s="457"/>
      <c r="IK408" s="457"/>
      <c r="IL408" s="457"/>
      <c r="IM408" s="457"/>
      <c r="IN408" s="457"/>
      <c r="IO408" s="457"/>
      <c r="IP408" s="457"/>
      <c r="IQ408" s="457"/>
      <c r="IR408" s="457"/>
      <c r="IS408" s="457"/>
      <c r="IT408" s="457"/>
      <c r="IU408" s="457"/>
      <c r="IV408" s="457"/>
      <c r="IW408" s="457"/>
      <c r="IX408" s="457"/>
      <c r="IY408" s="457"/>
      <c r="IZ408" s="457"/>
      <c r="JA408" s="457"/>
      <c r="JB408" s="457"/>
      <c r="JC408" s="457"/>
      <c r="JD408" s="457"/>
      <c r="JE408" s="457"/>
      <c r="JF408" s="457"/>
      <c r="JG408" s="457"/>
      <c r="JH408" s="457"/>
      <c r="JI408" s="457"/>
      <c r="JJ408" s="457"/>
      <c r="JK408" s="457"/>
      <c r="JL408" s="457"/>
      <c r="JM408" s="457"/>
      <c r="JN408" s="457"/>
      <c r="JO408" s="457"/>
      <c r="JP408" s="457"/>
      <c r="JQ408" s="457"/>
      <c r="JR408" s="457"/>
      <c r="JS408" s="457"/>
      <c r="JT408" s="457"/>
      <c r="JU408" s="457"/>
      <c r="JV408" s="457"/>
      <c r="JW408" s="457"/>
      <c r="JX408" s="457"/>
      <c r="JY408" s="457"/>
      <c r="JZ408" s="457"/>
      <c r="KA408" s="457"/>
      <c r="KB408" s="457"/>
      <c r="KC408" s="457"/>
      <c r="KD408" s="457"/>
      <c r="KE408" s="457"/>
      <c r="KF408" s="457"/>
      <c r="KG408" s="457"/>
      <c r="KH408" s="457"/>
      <c r="KI408" s="457"/>
      <c r="KJ408" s="457"/>
      <c r="KK408" s="457"/>
      <c r="KL408" s="457"/>
      <c r="KM408" s="457"/>
      <c r="KN408" s="457"/>
      <c r="KO408" s="457"/>
      <c r="KP408" s="457"/>
      <c r="KQ408" s="457"/>
      <c r="KR408" s="457"/>
      <c r="KS408" s="457"/>
      <c r="KT408" s="457"/>
      <c r="KU408" s="457"/>
      <c r="KV408" s="457"/>
      <c r="KW408" s="457"/>
      <c r="KX408" s="457"/>
      <c r="KY408" s="457"/>
      <c r="KZ408" s="457"/>
      <c r="LA408" s="457"/>
      <c r="LB408" s="457"/>
      <c r="LC408" s="457"/>
      <c r="LD408" s="457"/>
      <c r="LE408" s="457"/>
      <c r="LF408" s="457"/>
      <c r="LG408" s="457"/>
      <c r="LH408" s="457"/>
      <c r="LI408" s="457"/>
      <c r="LJ408" s="457"/>
      <c r="LK408" s="457"/>
      <c r="LL408" s="457"/>
      <c r="LM408" s="457"/>
      <c r="LN408" s="457"/>
      <c r="LO408" s="457"/>
      <c r="LP408" s="457"/>
      <c r="LQ408" s="457"/>
      <c r="LR408" s="457"/>
      <c r="LS408" s="457"/>
      <c r="LT408" s="457"/>
      <c r="LU408" s="457"/>
      <c r="LV408" s="457"/>
      <c r="LW408" s="457"/>
      <c r="LX408" s="457"/>
      <c r="LY408" s="457"/>
      <c r="LZ408" s="457"/>
      <c r="MA408" s="457"/>
      <c r="MB408" s="457"/>
      <c r="MC408" s="457"/>
      <c r="MD408" s="457"/>
      <c r="ME408" s="457"/>
      <c r="MF408" s="457"/>
      <c r="MG408" s="457"/>
      <c r="MH408" s="457"/>
      <c r="MI408" s="457"/>
      <c r="MJ408" s="457"/>
      <c r="MK408" s="457"/>
      <c r="ML408" s="457"/>
      <c r="MM408" s="457"/>
      <c r="MN408" s="457"/>
      <c r="MO408" s="457"/>
      <c r="MP408" s="457"/>
      <c r="MQ408" s="457"/>
      <c r="MR408" s="457"/>
      <c r="MS408" s="457"/>
      <c r="MT408" s="457"/>
      <c r="MU408" s="457"/>
      <c r="MV408" s="457"/>
      <c r="MW408" s="457"/>
      <c r="MX408" s="457"/>
      <c r="MY408" s="457"/>
      <c r="MZ408" s="457"/>
      <c r="NA408" s="457"/>
      <c r="NB408" s="457"/>
      <c r="NC408" s="457"/>
      <c r="ND408" s="457"/>
      <c r="NE408" s="457"/>
      <c r="NF408" s="457"/>
      <c r="NG408" s="457"/>
      <c r="NH408" s="457"/>
      <c r="NI408" s="457"/>
      <c r="NJ408" s="457"/>
      <c r="NK408" s="457"/>
      <c r="NL408" s="457"/>
      <c r="NM408" s="457"/>
      <c r="NN408" s="457"/>
      <c r="NO408" s="457"/>
      <c r="NP408" s="457"/>
      <c r="NQ408" s="457"/>
      <c r="NR408" s="457"/>
      <c r="NS408" s="457"/>
      <c r="NT408" s="457"/>
      <c r="NU408" s="457"/>
      <c r="NV408" s="457"/>
      <c r="NW408" s="457"/>
      <c r="NX408" s="457"/>
      <c r="NY408" s="457"/>
      <c r="NZ408" s="457"/>
      <c r="OA408" s="457"/>
      <c r="OB408" s="457"/>
      <c r="OC408" s="457"/>
      <c r="OD408" s="457"/>
      <c r="OE408" s="457"/>
      <c r="OF408" s="457"/>
      <c r="OG408" s="457"/>
      <c r="OH408" s="457"/>
      <c r="OI408" s="457"/>
      <c r="OJ408" s="457"/>
      <c r="OK408" s="457"/>
      <c r="OL408" s="457"/>
      <c r="OM408" s="457"/>
      <c r="ON408" s="457"/>
      <c r="OO408" s="457"/>
      <c r="OP408" s="457"/>
      <c r="OQ408" s="457"/>
      <c r="OR408" s="457"/>
      <c r="OS408" s="457"/>
      <c r="OT408" s="457"/>
      <c r="OU408" s="457"/>
      <c r="OV408" s="457"/>
      <c r="OW408" s="457"/>
      <c r="OX408" s="457"/>
      <c r="OY408" s="457"/>
      <c r="OZ408" s="457"/>
      <c r="PA408" s="457"/>
      <c r="PB408" s="457"/>
      <c r="PC408" s="457"/>
      <c r="PD408" s="457"/>
      <c r="PE408" s="457"/>
      <c r="PF408" s="457"/>
      <c r="PG408" s="457"/>
      <c r="PH408" s="457"/>
      <c r="PI408" s="457"/>
      <c r="PJ408" s="457"/>
      <c r="PK408" s="457"/>
      <c r="PL408" s="457"/>
      <c r="PM408" s="457"/>
      <c r="PN408" s="457"/>
      <c r="PO408" s="457"/>
      <c r="PP408" s="457"/>
      <c r="PQ408" s="457"/>
      <c r="PR408" s="457"/>
      <c r="PS408" s="457"/>
      <c r="PT408" s="457"/>
      <c r="PU408" s="457"/>
      <c r="PV408" s="457"/>
      <c r="PW408" s="457"/>
      <c r="PX408" s="457"/>
      <c r="PY408" s="457"/>
      <c r="PZ408" s="457"/>
      <c r="QA408" s="457"/>
      <c r="QB408" s="457"/>
      <c r="QC408" s="457"/>
      <c r="QD408" s="457"/>
      <c r="QE408" s="457"/>
      <c r="QF408" s="457"/>
      <c r="QG408" s="457"/>
      <c r="QH408" s="457"/>
      <c r="QI408" s="457"/>
      <c r="QJ408" s="457"/>
      <c r="QK408" s="457"/>
      <c r="QL408" s="457"/>
      <c r="QM408" s="457"/>
      <c r="QN408" s="457"/>
      <c r="QO408" s="457"/>
      <c r="QP408" s="457"/>
      <c r="QQ408" s="457"/>
      <c r="QR408" s="457"/>
      <c r="QS408" s="457"/>
      <c r="QT408" s="457"/>
      <c r="QU408" s="457"/>
      <c r="QV408" s="457"/>
      <c r="QW408" s="457"/>
      <c r="QX408" s="457"/>
      <c r="QY408" s="457"/>
      <c r="QZ408" s="457"/>
      <c r="RA408" s="457"/>
      <c r="RB408" s="457"/>
      <c r="RC408" s="457"/>
      <c r="RD408" s="457"/>
      <c r="RE408" s="457"/>
      <c r="RF408" s="457"/>
      <c r="RG408" s="457"/>
      <c r="RH408" s="457"/>
      <c r="RI408" s="457"/>
      <c r="RJ408" s="457"/>
      <c r="RK408" s="457"/>
      <c r="RL408" s="457"/>
      <c r="RM408" s="457"/>
      <c r="RN408" s="457"/>
      <c r="RO408" s="457"/>
      <c r="RP408" s="457"/>
      <c r="RQ408" s="457"/>
      <c r="RR408" s="457"/>
      <c r="RS408" s="457"/>
      <c r="RT408" s="457"/>
      <c r="RU408" s="457"/>
      <c r="RV408" s="457"/>
      <c r="RW408" s="457"/>
      <c r="RX408" s="457"/>
      <c r="RY408" s="457"/>
      <c r="RZ408" s="457"/>
      <c r="SA408" s="457"/>
      <c r="SB408" s="457"/>
      <c r="SC408" s="457"/>
      <c r="SD408" s="457"/>
      <c r="SE408" s="457"/>
      <c r="SF408" s="457"/>
      <c r="SG408" s="457"/>
      <c r="SH408" s="457"/>
      <c r="SI408" s="457"/>
      <c r="SJ408" s="457"/>
      <c r="SK408" s="457"/>
      <c r="SL408" s="457"/>
      <c r="SM408" s="457"/>
      <c r="SN408" s="457"/>
      <c r="SO408" s="457"/>
      <c r="SP408" s="457"/>
      <c r="SQ408" s="457"/>
      <c r="SR408" s="457"/>
      <c r="SS408" s="457"/>
      <c r="ST408" s="457"/>
      <c r="SU408" s="457"/>
      <c r="SV408" s="457"/>
      <c r="SW408" s="457"/>
      <c r="SX408" s="457"/>
      <c r="SY408" s="457"/>
      <c r="SZ408" s="457"/>
      <c r="TA408" s="457"/>
      <c r="TB408" s="457"/>
      <c r="TC408" s="457"/>
      <c r="TD408" s="457"/>
      <c r="TE408" s="457"/>
      <c r="TF408" s="457"/>
      <c r="TG408" s="457"/>
      <c r="TH408" s="457"/>
      <c r="TI408" s="457"/>
      <c r="TJ408" s="457"/>
      <c r="TK408" s="457"/>
      <c r="TL408" s="457"/>
      <c r="TM408" s="457"/>
      <c r="TN408" s="457"/>
      <c r="TO408" s="457"/>
      <c r="TP408" s="457"/>
      <c r="TQ408" s="457"/>
      <c r="TR408" s="457"/>
      <c r="TS408" s="457"/>
      <c r="TT408" s="457"/>
      <c r="TU408" s="457"/>
      <c r="TV408" s="457"/>
      <c r="TW408" s="457"/>
      <c r="TX408" s="457"/>
      <c r="TY408" s="457"/>
      <c r="TZ408" s="457"/>
      <c r="UA408" s="457"/>
      <c r="UB408" s="457"/>
      <c r="UC408" s="457"/>
      <c r="UD408" s="457"/>
      <c r="UE408" s="457"/>
      <c r="UF408" s="457"/>
      <c r="UG408" s="457"/>
      <c r="UH408" s="457"/>
      <c r="UI408" s="457"/>
      <c r="UJ408" s="457"/>
      <c r="UK408" s="457"/>
      <c r="UL408" s="457"/>
      <c r="UM408" s="457"/>
      <c r="UN408" s="457"/>
      <c r="UO408" s="457"/>
      <c r="UP408" s="457"/>
      <c r="UQ408" s="457"/>
      <c r="UR408" s="457"/>
      <c r="US408" s="457"/>
      <c r="UT408" s="457"/>
      <c r="UU408" s="457"/>
      <c r="UV408" s="457"/>
      <c r="UW408" s="457"/>
      <c r="UX408" s="457"/>
      <c r="UY408" s="457"/>
      <c r="UZ408" s="457"/>
      <c r="VA408" s="457"/>
      <c r="VB408" s="457"/>
      <c r="VC408" s="457"/>
      <c r="VD408" s="457"/>
      <c r="VE408" s="457"/>
      <c r="VF408" s="457"/>
      <c r="VG408" s="457"/>
      <c r="VH408" s="457"/>
      <c r="VI408" s="457"/>
      <c r="VJ408" s="457"/>
      <c r="VK408" s="457"/>
      <c r="VL408" s="457"/>
      <c r="VM408" s="457"/>
      <c r="VN408" s="457"/>
      <c r="VO408" s="457"/>
      <c r="VP408" s="457"/>
      <c r="VQ408" s="457"/>
      <c r="VR408" s="457"/>
      <c r="VS408" s="457"/>
      <c r="VT408" s="457"/>
      <c r="VU408" s="457"/>
      <c r="VV408" s="457"/>
      <c r="VW408" s="457"/>
      <c r="VX408" s="457"/>
      <c r="VY408" s="457"/>
      <c r="VZ408" s="457"/>
      <c r="WA408" s="457"/>
      <c r="WB408" s="457"/>
      <c r="WC408" s="457"/>
      <c r="WD408" s="457"/>
      <c r="WE408" s="457"/>
      <c r="WF408" s="457"/>
      <c r="WG408" s="457"/>
      <c r="WH408" s="457"/>
      <c r="WI408" s="457"/>
      <c r="WJ408" s="457"/>
      <c r="WK408" s="457"/>
      <c r="WL408" s="457"/>
      <c r="WM408" s="457"/>
      <c r="WN408" s="457"/>
      <c r="WO408" s="457"/>
      <c r="WP408" s="457"/>
      <c r="WQ408" s="457"/>
      <c r="WR408" s="457"/>
      <c r="WS408" s="457"/>
      <c r="WT408" s="457"/>
      <c r="WU408" s="457"/>
      <c r="WV408" s="457"/>
      <c r="WW408" s="457"/>
      <c r="WX408" s="457"/>
      <c r="WY408" s="457"/>
      <c r="WZ408" s="457"/>
      <c r="XA408" s="457"/>
      <c r="XB408" s="457"/>
      <c r="XC408" s="457"/>
      <c r="XD408" s="457"/>
      <c r="XE408" s="457"/>
      <c r="XF408" s="457"/>
      <c r="XG408" s="457"/>
      <c r="XH408" s="457"/>
      <c r="XI408" s="457"/>
      <c r="XJ408" s="457"/>
      <c r="XK408" s="457"/>
      <c r="XL408" s="457"/>
      <c r="XM408" s="457"/>
      <c r="XN408" s="457"/>
      <c r="XO408" s="457"/>
      <c r="XP408" s="457"/>
      <c r="XQ408" s="457"/>
      <c r="XR408" s="457"/>
      <c r="XS408" s="457"/>
      <c r="XT408" s="457"/>
      <c r="XU408" s="457"/>
      <c r="XV408" s="457"/>
      <c r="XW408" s="457"/>
      <c r="XX408" s="457"/>
      <c r="XY408" s="457"/>
      <c r="XZ408" s="457"/>
      <c r="YA408" s="457"/>
      <c r="YB408" s="457"/>
      <c r="YC408" s="457"/>
      <c r="YD408" s="457"/>
      <c r="YE408" s="457"/>
      <c r="YF408" s="457"/>
      <c r="YG408" s="457"/>
      <c r="YH408" s="457"/>
      <c r="YI408" s="457"/>
      <c r="YJ408" s="457"/>
      <c r="YK408" s="457"/>
      <c r="YL408" s="457"/>
      <c r="YM408" s="457"/>
      <c r="YN408" s="457"/>
      <c r="YO408" s="457"/>
      <c r="YP408" s="457"/>
      <c r="YQ408" s="457"/>
      <c r="YR408" s="457"/>
      <c r="YS408" s="457"/>
      <c r="YT408" s="457"/>
      <c r="YU408" s="457"/>
      <c r="YV408" s="457"/>
      <c r="YW408" s="457"/>
      <c r="YX408" s="457"/>
      <c r="YY408" s="457"/>
      <c r="YZ408" s="457"/>
      <c r="ZA408" s="457"/>
      <c r="ZB408" s="457"/>
      <c r="ZC408" s="457"/>
      <c r="ZD408" s="457"/>
      <c r="ZE408" s="457"/>
      <c r="ZF408" s="457"/>
      <c r="ZG408" s="457"/>
      <c r="ZH408" s="457"/>
      <c r="ZI408" s="457"/>
      <c r="ZJ408" s="457"/>
      <c r="ZK408" s="457"/>
      <c r="ZL408" s="457"/>
      <c r="ZM408" s="457"/>
      <c r="ZN408" s="457"/>
      <c r="ZO408" s="457"/>
      <c r="ZP408" s="457"/>
      <c r="ZQ408" s="457"/>
      <c r="ZR408" s="457"/>
      <c r="ZS408" s="457"/>
      <c r="ZT408" s="457"/>
      <c r="ZU408" s="457"/>
      <c r="ZV408" s="457"/>
      <c r="ZW408" s="457"/>
      <c r="ZX408" s="457"/>
      <c r="ZY408" s="457"/>
      <c r="ZZ408" s="457"/>
      <c r="AAA408" s="457"/>
      <c r="AAB408" s="457"/>
      <c r="AAC408" s="457"/>
      <c r="AAD408" s="457"/>
      <c r="AAE408" s="457"/>
      <c r="AAF408" s="457"/>
      <c r="AAG408" s="457"/>
      <c r="AAH408" s="457"/>
      <c r="AAI408" s="457"/>
      <c r="AAJ408" s="457"/>
      <c r="AAK408" s="457"/>
      <c r="AAL408" s="457"/>
      <c r="AAM408" s="457"/>
      <c r="AAN408" s="457"/>
      <c r="AAO408" s="457"/>
      <c r="AAP408" s="457"/>
      <c r="AAQ408" s="457"/>
      <c r="AAR408" s="457"/>
      <c r="AAS408" s="457"/>
      <c r="AAT408" s="457"/>
      <c r="AAU408" s="457"/>
      <c r="AAV408" s="457"/>
      <c r="AAW408" s="457"/>
      <c r="AAX408" s="457"/>
      <c r="AAY408" s="457"/>
      <c r="AAZ408" s="457"/>
      <c r="ABA408" s="457"/>
      <c r="ABB408" s="457"/>
      <c r="ABC408" s="457"/>
      <c r="ABD408" s="457"/>
      <c r="ABE408" s="457"/>
      <c r="ABF408" s="457"/>
      <c r="ABG408" s="457"/>
      <c r="ABH408" s="457"/>
      <c r="ABI408" s="457"/>
      <c r="ABJ408" s="457"/>
      <c r="ABK408" s="457"/>
      <c r="ABL408" s="457"/>
      <c r="ABM408" s="457"/>
      <c r="ABN408" s="457"/>
      <c r="ABO408" s="457"/>
      <c r="ABP408" s="457"/>
      <c r="ABQ408" s="457"/>
      <c r="ABR408" s="457"/>
      <c r="ABS408" s="457"/>
      <c r="ABT408" s="457"/>
      <c r="ABU408" s="457"/>
      <c r="ABV408" s="457"/>
      <c r="ABW408" s="457"/>
      <c r="ABX408" s="457"/>
      <c r="ABY408" s="457"/>
      <c r="ABZ408" s="457"/>
      <c r="ACA408" s="457"/>
      <c r="ACB408" s="457"/>
      <c r="ACC408" s="457"/>
      <c r="ACD408" s="457"/>
      <c r="ACE408" s="457"/>
      <c r="ACF408" s="457"/>
      <c r="ACG408" s="457"/>
      <c r="ACH408" s="457"/>
      <c r="ACI408" s="457"/>
      <c r="ACJ408" s="457"/>
      <c r="ACK408" s="457"/>
      <c r="ACL408" s="457"/>
      <c r="ACM408" s="457"/>
      <c r="ACN408" s="457"/>
      <c r="ACO408" s="457"/>
      <c r="ACP408" s="457"/>
      <c r="ACQ408" s="457"/>
      <c r="ACR408" s="457"/>
      <c r="ACS408" s="457"/>
      <c r="ACT408" s="457"/>
      <c r="ACU408" s="457"/>
      <c r="ACV408" s="457"/>
    </row>
    <row r="409" spans="1:776" s="400" customFormat="1" x14ac:dyDescent="0.25">
      <c r="A409" s="470">
        <v>900122</v>
      </c>
      <c r="B409" s="237" t="s">
        <v>263</v>
      </c>
      <c r="C409" s="455"/>
      <c r="D409" s="454" t="s">
        <v>246</v>
      </c>
      <c r="E409" s="454">
        <v>2.0299999999999998</v>
      </c>
      <c r="F409" s="456">
        <v>69.989999999999995</v>
      </c>
      <c r="G409" s="454">
        <v>0.01</v>
      </c>
      <c r="H409" s="454">
        <v>0.11</v>
      </c>
      <c r="I409" s="456">
        <v>320.95</v>
      </c>
      <c r="J409" s="454">
        <v>179.3</v>
      </c>
      <c r="K409" s="456">
        <v>0.01</v>
      </c>
      <c r="L409" s="456">
        <v>376.8</v>
      </c>
      <c r="M409" s="454">
        <v>0.01</v>
      </c>
      <c r="N409" s="454">
        <v>3.08</v>
      </c>
      <c r="O409" s="454">
        <v>258.87</v>
      </c>
      <c r="P409" s="454">
        <v>84.45</v>
      </c>
      <c r="Q409" s="454">
        <v>65.48</v>
      </c>
      <c r="R409" s="467">
        <v>0.01</v>
      </c>
      <c r="S409" s="467">
        <v>0.01</v>
      </c>
      <c r="T409" s="467">
        <v>0.01</v>
      </c>
      <c r="U409" s="467">
        <v>0.01</v>
      </c>
      <c r="V409" s="454"/>
      <c r="W409" s="457"/>
      <c r="X409" s="457"/>
      <c r="Y409" s="457"/>
      <c r="Z409" s="457"/>
      <c r="AA409" s="457"/>
      <c r="AB409" s="457"/>
      <c r="AC409" s="457"/>
      <c r="AD409" s="457"/>
      <c r="AE409" s="457"/>
      <c r="AF409" s="457"/>
      <c r="AG409" s="457"/>
      <c r="AH409" s="457"/>
      <c r="AI409" s="457"/>
      <c r="AJ409" s="457"/>
      <c r="AK409" s="457"/>
      <c r="AL409" s="457"/>
      <c r="AM409" s="457"/>
      <c r="AN409" s="457"/>
      <c r="AO409" s="457"/>
      <c r="AP409" s="457"/>
      <c r="AQ409" s="457"/>
      <c r="AR409" s="457"/>
      <c r="AS409" s="457"/>
      <c r="AT409" s="457"/>
      <c r="AU409" s="457"/>
      <c r="AV409" s="457"/>
      <c r="AW409" s="457"/>
      <c r="AX409" s="457"/>
      <c r="AY409" s="457"/>
      <c r="AZ409" s="457"/>
      <c r="BA409" s="457"/>
      <c r="BB409" s="457"/>
      <c r="BC409" s="457"/>
      <c r="BD409" s="457"/>
      <c r="BE409" s="457"/>
      <c r="BF409" s="457"/>
      <c r="BG409" s="457"/>
      <c r="BH409" s="457"/>
      <c r="BI409" s="457"/>
      <c r="BJ409" s="457"/>
      <c r="BK409" s="457"/>
      <c r="BL409" s="457"/>
      <c r="BM409" s="457"/>
      <c r="BN409" s="457"/>
      <c r="BO409" s="457"/>
      <c r="BP409" s="457"/>
      <c r="BQ409" s="457"/>
      <c r="BR409" s="457"/>
      <c r="BS409" s="457"/>
      <c r="BT409" s="457"/>
      <c r="BU409" s="457"/>
      <c r="BV409" s="457"/>
      <c r="BW409" s="457"/>
      <c r="BX409" s="457"/>
      <c r="BY409" s="457"/>
      <c r="BZ409" s="457"/>
      <c r="CA409" s="457"/>
      <c r="CB409" s="457"/>
      <c r="CC409" s="457"/>
      <c r="CD409" s="457"/>
      <c r="CE409" s="457"/>
      <c r="CF409" s="457"/>
      <c r="CG409" s="457"/>
      <c r="CH409" s="457"/>
      <c r="CI409" s="457"/>
      <c r="CJ409" s="457"/>
      <c r="CK409" s="457"/>
      <c r="CL409" s="457"/>
      <c r="CM409" s="457"/>
      <c r="CN409" s="457"/>
      <c r="CO409" s="457"/>
      <c r="CP409" s="457"/>
      <c r="CQ409" s="457"/>
      <c r="CR409" s="457"/>
      <c r="CS409" s="457"/>
      <c r="CT409" s="457"/>
      <c r="CU409" s="457"/>
      <c r="CV409" s="457"/>
      <c r="CW409" s="457"/>
      <c r="CX409" s="457"/>
      <c r="CY409" s="457"/>
      <c r="CZ409" s="457"/>
      <c r="DA409" s="457"/>
      <c r="DB409" s="457"/>
      <c r="DC409" s="457"/>
      <c r="DD409" s="457"/>
      <c r="DE409" s="457"/>
      <c r="DF409" s="457"/>
      <c r="DG409" s="457"/>
      <c r="DH409" s="457"/>
      <c r="DI409" s="457"/>
      <c r="DJ409" s="457"/>
      <c r="DK409" s="457"/>
      <c r="DL409" s="457"/>
      <c r="DM409" s="457"/>
      <c r="DN409" s="457"/>
      <c r="DO409" s="457"/>
      <c r="DP409" s="457"/>
      <c r="DQ409" s="457"/>
      <c r="DR409" s="457"/>
      <c r="DS409" s="457"/>
      <c r="DT409" s="457"/>
      <c r="DU409" s="457"/>
      <c r="DV409" s="457"/>
      <c r="DW409" s="457"/>
      <c r="DX409" s="457"/>
      <c r="DY409" s="457"/>
      <c r="DZ409" s="457"/>
      <c r="EA409" s="457"/>
      <c r="EB409" s="457"/>
      <c r="EC409" s="457"/>
      <c r="ED409" s="457"/>
      <c r="EE409" s="457"/>
      <c r="EF409" s="457"/>
      <c r="EG409" s="457"/>
      <c r="EH409" s="457"/>
      <c r="EI409" s="457"/>
      <c r="EJ409" s="457"/>
      <c r="EK409" s="457"/>
      <c r="EL409" s="457"/>
      <c r="EM409" s="457"/>
      <c r="EN409" s="457"/>
      <c r="EO409" s="457"/>
      <c r="EP409" s="457"/>
      <c r="EQ409" s="457"/>
      <c r="ER409" s="457"/>
      <c r="ES409" s="457"/>
      <c r="ET409" s="457"/>
      <c r="EU409" s="457"/>
      <c r="EV409" s="457"/>
      <c r="EW409" s="457"/>
      <c r="EX409" s="457"/>
      <c r="EY409" s="457"/>
      <c r="EZ409" s="457"/>
      <c r="FA409" s="457"/>
      <c r="FB409" s="457"/>
      <c r="FC409" s="457"/>
      <c r="FD409" s="457"/>
      <c r="FE409" s="457"/>
      <c r="FF409" s="457"/>
      <c r="FG409" s="457"/>
      <c r="FH409" s="457"/>
      <c r="FI409" s="457"/>
      <c r="FJ409" s="457"/>
      <c r="FK409" s="457"/>
      <c r="FL409" s="457"/>
      <c r="FM409" s="457"/>
      <c r="FN409" s="457"/>
      <c r="FO409" s="457"/>
      <c r="FP409" s="457"/>
      <c r="FQ409" s="457"/>
      <c r="FR409" s="457"/>
      <c r="FS409" s="457"/>
      <c r="FT409" s="457"/>
      <c r="FU409" s="457"/>
      <c r="FV409" s="457"/>
      <c r="FW409" s="457"/>
      <c r="FX409" s="457"/>
      <c r="FY409" s="457"/>
      <c r="FZ409" s="457"/>
      <c r="GA409" s="457"/>
      <c r="GB409" s="457"/>
      <c r="GC409" s="457"/>
      <c r="GD409" s="457"/>
      <c r="GE409" s="457"/>
      <c r="GF409" s="457"/>
      <c r="GG409" s="457"/>
      <c r="GH409" s="457"/>
      <c r="GI409" s="457"/>
      <c r="GJ409" s="457"/>
      <c r="GK409" s="457"/>
      <c r="GL409" s="457"/>
      <c r="GM409" s="457"/>
      <c r="GN409" s="457"/>
      <c r="GO409" s="457"/>
      <c r="GP409" s="457"/>
      <c r="GQ409" s="457"/>
      <c r="GR409" s="457"/>
      <c r="GS409" s="457"/>
      <c r="GT409" s="457"/>
      <c r="GU409" s="457"/>
      <c r="GV409" s="457"/>
      <c r="GW409" s="457"/>
      <c r="GX409" s="457"/>
      <c r="GY409" s="457"/>
      <c r="GZ409" s="457"/>
      <c r="HA409" s="457"/>
      <c r="HB409" s="457"/>
      <c r="HC409" s="457"/>
      <c r="HD409" s="457"/>
      <c r="HE409" s="457"/>
      <c r="HF409" s="457"/>
      <c r="HG409" s="457"/>
      <c r="HH409" s="457"/>
      <c r="HI409" s="457"/>
      <c r="HJ409" s="457"/>
      <c r="HK409" s="457"/>
      <c r="HL409" s="457"/>
      <c r="HM409" s="457"/>
      <c r="HN409" s="457"/>
      <c r="HO409" s="457"/>
      <c r="HP409" s="457"/>
      <c r="HQ409" s="457"/>
      <c r="HR409" s="457"/>
      <c r="HS409" s="457"/>
      <c r="HT409" s="457"/>
      <c r="HU409" s="457"/>
      <c r="HV409" s="457"/>
      <c r="HW409" s="457"/>
      <c r="HX409" s="457"/>
      <c r="HY409" s="457"/>
      <c r="HZ409" s="457"/>
      <c r="IA409" s="457"/>
      <c r="IB409" s="457"/>
      <c r="IC409" s="457"/>
      <c r="ID409" s="457"/>
      <c r="IE409" s="457"/>
      <c r="IF409" s="457"/>
      <c r="IG409" s="457"/>
      <c r="IH409" s="457"/>
      <c r="II409" s="457"/>
      <c r="IJ409" s="457"/>
      <c r="IK409" s="457"/>
      <c r="IL409" s="457"/>
      <c r="IM409" s="457"/>
      <c r="IN409" s="457"/>
      <c r="IO409" s="457"/>
      <c r="IP409" s="457"/>
      <c r="IQ409" s="457"/>
      <c r="IR409" s="457"/>
      <c r="IS409" s="457"/>
      <c r="IT409" s="457"/>
      <c r="IU409" s="457"/>
      <c r="IV409" s="457"/>
      <c r="IW409" s="457"/>
      <c r="IX409" s="457"/>
      <c r="IY409" s="457"/>
      <c r="IZ409" s="457"/>
      <c r="JA409" s="457"/>
      <c r="JB409" s="457"/>
      <c r="JC409" s="457"/>
      <c r="JD409" s="457"/>
      <c r="JE409" s="457"/>
      <c r="JF409" s="457"/>
      <c r="JG409" s="457"/>
      <c r="JH409" s="457"/>
      <c r="JI409" s="457"/>
      <c r="JJ409" s="457"/>
      <c r="JK409" s="457"/>
      <c r="JL409" s="457"/>
      <c r="JM409" s="457"/>
      <c r="JN409" s="457"/>
      <c r="JO409" s="457"/>
      <c r="JP409" s="457"/>
      <c r="JQ409" s="457"/>
      <c r="JR409" s="457"/>
      <c r="JS409" s="457"/>
      <c r="JT409" s="457"/>
      <c r="JU409" s="457"/>
      <c r="JV409" s="457"/>
      <c r="JW409" s="457"/>
      <c r="JX409" s="457"/>
      <c r="JY409" s="457"/>
      <c r="JZ409" s="457"/>
      <c r="KA409" s="457"/>
      <c r="KB409" s="457"/>
      <c r="KC409" s="457"/>
      <c r="KD409" s="457"/>
      <c r="KE409" s="457"/>
      <c r="KF409" s="457"/>
      <c r="KG409" s="457"/>
      <c r="KH409" s="457"/>
      <c r="KI409" s="457"/>
      <c r="KJ409" s="457"/>
      <c r="KK409" s="457"/>
      <c r="KL409" s="457"/>
      <c r="KM409" s="457"/>
      <c r="KN409" s="457"/>
      <c r="KO409" s="457"/>
      <c r="KP409" s="457"/>
      <c r="KQ409" s="457"/>
      <c r="KR409" s="457"/>
      <c r="KS409" s="457"/>
      <c r="KT409" s="457"/>
      <c r="KU409" s="457"/>
      <c r="KV409" s="457"/>
      <c r="KW409" s="457"/>
      <c r="KX409" s="457"/>
      <c r="KY409" s="457"/>
      <c r="KZ409" s="457"/>
      <c r="LA409" s="457"/>
      <c r="LB409" s="457"/>
      <c r="LC409" s="457"/>
      <c r="LD409" s="457"/>
      <c r="LE409" s="457"/>
      <c r="LF409" s="457"/>
      <c r="LG409" s="457"/>
      <c r="LH409" s="457"/>
      <c r="LI409" s="457"/>
      <c r="LJ409" s="457"/>
      <c r="LK409" s="457"/>
      <c r="LL409" s="457"/>
      <c r="LM409" s="457"/>
      <c r="LN409" s="457"/>
      <c r="LO409" s="457"/>
      <c r="LP409" s="457"/>
      <c r="LQ409" s="457"/>
      <c r="LR409" s="457"/>
      <c r="LS409" s="457"/>
      <c r="LT409" s="457"/>
      <c r="LU409" s="457"/>
      <c r="LV409" s="457"/>
      <c r="LW409" s="457"/>
      <c r="LX409" s="457"/>
      <c r="LY409" s="457"/>
      <c r="LZ409" s="457"/>
      <c r="MA409" s="457"/>
      <c r="MB409" s="457"/>
      <c r="MC409" s="457"/>
      <c r="MD409" s="457"/>
      <c r="ME409" s="457"/>
      <c r="MF409" s="457"/>
      <c r="MG409" s="457"/>
      <c r="MH409" s="457"/>
      <c r="MI409" s="457"/>
      <c r="MJ409" s="457"/>
      <c r="MK409" s="457"/>
      <c r="ML409" s="457"/>
      <c r="MM409" s="457"/>
      <c r="MN409" s="457"/>
      <c r="MO409" s="457"/>
      <c r="MP409" s="457"/>
      <c r="MQ409" s="457"/>
      <c r="MR409" s="457"/>
      <c r="MS409" s="457"/>
      <c r="MT409" s="457"/>
      <c r="MU409" s="457"/>
      <c r="MV409" s="457"/>
      <c r="MW409" s="457"/>
      <c r="MX409" s="457"/>
      <c r="MY409" s="457"/>
      <c r="MZ409" s="457"/>
      <c r="NA409" s="457"/>
      <c r="NB409" s="457"/>
      <c r="NC409" s="457"/>
      <c r="ND409" s="457"/>
      <c r="NE409" s="457"/>
      <c r="NF409" s="457"/>
      <c r="NG409" s="457"/>
      <c r="NH409" s="457"/>
      <c r="NI409" s="457"/>
      <c r="NJ409" s="457"/>
      <c r="NK409" s="457"/>
      <c r="NL409" s="457"/>
      <c r="NM409" s="457"/>
      <c r="NN409" s="457"/>
      <c r="NO409" s="457"/>
      <c r="NP409" s="457"/>
      <c r="NQ409" s="457"/>
      <c r="NR409" s="457"/>
      <c r="NS409" s="457"/>
      <c r="NT409" s="457"/>
      <c r="NU409" s="457"/>
      <c r="NV409" s="457"/>
      <c r="NW409" s="457"/>
      <c r="NX409" s="457"/>
      <c r="NY409" s="457"/>
      <c r="NZ409" s="457"/>
      <c r="OA409" s="457"/>
      <c r="OB409" s="457"/>
      <c r="OC409" s="457"/>
      <c r="OD409" s="457"/>
      <c r="OE409" s="457"/>
      <c r="OF409" s="457"/>
      <c r="OG409" s="457"/>
      <c r="OH409" s="457"/>
      <c r="OI409" s="457"/>
      <c r="OJ409" s="457"/>
      <c r="OK409" s="457"/>
      <c r="OL409" s="457"/>
      <c r="OM409" s="457"/>
      <c r="ON409" s="457"/>
      <c r="OO409" s="457"/>
      <c r="OP409" s="457"/>
      <c r="OQ409" s="457"/>
      <c r="OR409" s="457"/>
      <c r="OS409" s="457"/>
      <c r="OT409" s="457"/>
      <c r="OU409" s="457"/>
      <c r="OV409" s="457"/>
      <c r="OW409" s="457"/>
      <c r="OX409" s="457"/>
      <c r="OY409" s="457"/>
      <c r="OZ409" s="457"/>
      <c r="PA409" s="457"/>
      <c r="PB409" s="457"/>
      <c r="PC409" s="457"/>
      <c r="PD409" s="457"/>
      <c r="PE409" s="457"/>
      <c r="PF409" s="457"/>
      <c r="PG409" s="457"/>
      <c r="PH409" s="457"/>
      <c r="PI409" s="457"/>
      <c r="PJ409" s="457"/>
      <c r="PK409" s="457"/>
      <c r="PL409" s="457"/>
      <c r="PM409" s="457"/>
      <c r="PN409" s="457"/>
      <c r="PO409" s="457"/>
      <c r="PP409" s="457"/>
      <c r="PQ409" s="457"/>
      <c r="PR409" s="457"/>
      <c r="PS409" s="457"/>
      <c r="PT409" s="457"/>
      <c r="PU409" s="457"/>
      <c r="PV409" s="457"/>
      <c r="PW409" s="457"/>
      <c r="PX409" s="457"/>
      <c r="PY409" s="457"/>
      <c r="PZ409" s="457"/>
      <c r="QA409" s="457"/>
      <c r="QB409" s="457"/>
      <c r="QC409" s="457"/>
      <c r="QD409" s="457"/>
      <c r="QE409" s="457"/>
      <c r="QF409" s="457"/>
      <c r="QG409" s="457"/>
      <c r="QH409" s="457"/>
      <c r="QI409" s="457"/>
      <c r="QJ409" s="457"/>
      <c r="QK409" s="457"/>
      <c r="QL409" s="457"/>
      <c r="QM409" s="457"/>
      <c r="QN409" s="457"/>
      <c r="QO409" s="457"/>
      <c r="QP409" s="457"/>
      <c r="QQ409" s="457"/>
      <c r="QR409" s="457"/>
      <c r="QS409" s="457"/>
      <c r="QT409" s="457"/>
      <c r="QU409" s="457"/>
      <c r="QV409" s="457"/>
      <c r="QW409" s="457"/>
      <c r="QX409" s="457"/>
      <c r="QY409" s="457"/>
      <c r="QZ409" s="457"/>
      <c r="RA409" s="457"/>
      <c r="RB409" s="457"/>
      <c r="RC409" s="457"/>
      <c r="RD409" s="457"/>
      <c r="RE409" s="457"/>
      <c r="RF409" s="457"/>
      <c r="RG409" s="457"/>
      <c r="RH409" s="457"/>
      <c r="RI409" s="457"/>
      <c r="RJ409" s="457"/>
      <c r="RK409" s="457"/>
      <c r="RL409" s="457"/>
      <c r="RM409" s="457"/>
      <c r="RN409" s="457"/>
      <c r="RO409" s="457"/>
      <c r="RP409" s="457"/>
      <c r="RQ409" s="457"/>
      <c r="RR409" s="457"/>
      <c r="RS409" s="457"/>
      <c r="RT409" s="457"/>
      <c r="RU409" s="457"/>
      <c r="RV409" s="457"/>
      <c r="RW409" s="457"/>
      <c r="RX409" s="457"/>
      <c r="RY409" s="457"/>
      <c r="RZ409" s="457"/>
      <c r="SA409" s="457"/>
      <c r="SB409" s="457"/>
      <c r="SC409" s="457"/>
      <c r="SD409" s="457"/>
      <c r="SE409" s="457"/>
      <c r="SF409" s="457"/>
      <c r="SG409" s="457"/>
      <c r="SH409" s="457"/>
      <c r="SI409" s="457"/>
      <c r="SJ409" s="457"/>
      <c r="SK409" s="457"/>
      <c r="SL409" s="457"/>
      <c r="SM409" s="457"/>
      <c r="SN409" s="457"/>
      <c r="SO409" s="457"/>
      <c r="SP409" s="457"/>
      <c r="SQ409" s="457"/>
      <c r="SR409" s="457"/>
      <c r="SS409" s="457"/>
      <c r="ST409" s="457"/>
      <c r="SU409" s="457"/>
      <c r="SV409" s="457"/>
      <c r="SW409" s="457"/>
      <c r="SX409" s="457"/>
      <c r="SY409" s="457"/>
      <c r="SZ409" s="457"/>
      <c r="TA409" s="457"/>
      <c r="TB409" s="457"/>
      <c r="TC409" s="457"/>
      <c r="TD409" s="457"/>
      <c r="TE409" s="457"/>
      <c r="TF409" s="457"/>
      <c r="TG409" s="457"/>
      <c r="TH409" s="457"/>
      <c r="TI409" s="457"/>
      <c r="TJ409" s="457"/>
      <c r="TK409" s="457"/>
      <c r="TL409" s="457"/>
      <c r="TM409" s="457"/>
      <c r="TN409" s="457"/>
      <c r="TO409" s="457"/>
      <c r="TP409" s="457"/>
      <c r="TQ409" s="457"/>
      <c r="TR409" s="457"/>
      <c r="TS409" s="457"/>
      <c r="TT409" s="457"/>
      <c r="TU409" s="457"/>
      <c r="TV409" s="457"/>
      <c r="TW409" s="457"/>
      <c r="TX409" s="457"/>
      <c r="TY409" s="457"/>
      <c r="TZ409" s="457"/>
      <c r="UA409" s="457"/>
      <c r="UB409" s="457"/>
      <c r="UC409" s="457"/>
      <c r="UD409" s="457"/>
      <c r="UE409" s="457"/>
      <c r="UF409" s="457"/>
      <c r="UG409" s="457"/>
      <c r="UH409" s="457"/>
      <c r="UI409" s="457"/>
      <c r="UJ409" s="457"/>
      <c r="UK409" s="457"/>
      <c r="UL409" s="457"/>
      <c r="UM409" s="457"/>
      <c r="UN409" s="457"/>
      <c r="UO409" s="457"/>
      <c r="UP409" s="457"/>
      <c r="UQ409" s="457"/>
      <c r="UR409" s="457"/>
      <c r="US409" s="457"/>
      <c r="UT409" s="457"/>
      <c r="UU409" s="457"/>
      <c r="UV409" s="457"/>
      <c r="UW409" s="457"/>
      <c r="UX409" s="457"/>
      <c r="UY409" s="457"/>
      <c r="UZ409" s="457"/>
      <c r="VA409" s="457"/>
      <c r="VB409" s="457"/>
      <c r="VC409" s="457"/>
      <c r="VD409" s="457"/>
      <c r="VE409" s="457"/>
      <c r="VF409" s="457"/>
      <c r="VG409" s="457"/>
      <c r="VH409" s="457"/>
      <c r="VI409" s="457"/>
      <c r="VJ409" s="457"/>
      <c r="VK409" s="457"/>
      <c r="VL409" s="457"/>
      <c r="VM409" s="457"/>
      <c r="VN409" s="457"/>
      <c r="VO409" s="457"/>
      <c r="VP409" s="457"/>
      <c r="VQ409" s="457"/>
      <c r="VR409" s="457"/>
      <c r="VS409" s="457"/>
      <c r="VT409" s="457"/>
      <c r="VU409" s="457"/>
      <c r="VV409" s="457"/>
      <c r="VW409" s="457"/>
      <c r="VX409" s="457"/>
      <c r="VY409" s="457"/>
      <c r="VZ409" s="457"/>
      <c r="WA409" s="457"/>
      <c r="WB409" s="457"/>
      <c r="WC409" s="457"/>
      <c r="WD409" s="457"/>
      <c r="WE409" s="457"/>
      <c r="WF409" s="457"/>
      <c r="WG409" s="457"/>
      <c r="WH409" s="457"/>
      <c r="WI409" s="457"/>
      <c r="WJ409" s="457"/>
      <c r="WK409" s="457"/>
      <c r="WL409" s="457"/>
      <c r="WM409" s="457"/>
      <c r="WN409" s="457"/>
      <c r="WO409" s="457"/>
      <c r="WP409" s="457"/>
      <c r="WQ409" s="457"/>
      <c r="WR409" s="457"/>
      <c r="WS409" s="457"/>
      <c r="WT409" s="457"/>
      <c r="WU409" s="457"/>
      <c r="WV409" s="457"/>
      <c r="WW409" s="457"/>
      <c r="WX409" s="457"/>
      <c r="WY409" s="457"/>
      <c r="WZ409" s="457"/>
      <c r="XA409" s="457"/>
      <c r="XB409" s="457"/>
      <c r="XC409" s="457"/>
      <c r="XD409" s="457"/>
      <c r="XE409" s="457"/>
      <c r="XF409" s="457"/>
      <c r="XG409" s="457"/>
      <c r="XH409" s="457"/>
      <c r="XI409" s="457"/>
      <c r="XJ409" s="457"/>
      <c r="XK409" s="457"/>
      <c r="XL409" s="457"/>
      <c r="XM409" s="457"/>
      <c r="XN409" s="457"/>
      <c r="XO409" s="457"/>
      <c r="XP409" s="457"/>
      <c r="XQ409" s="457"/>
      <c r="XR409" s="457"/>
      <c r="XS409" s="457"/>
      <c r="XT409" s="457"/>
      <c r="XU409" s="457"/>
      <c r="XV409" s="457"/>
      <c r="XW409" s="457"/>
      <c r="XX409" s="457"/>
      <c r="XY409" s="457"/>
      <c r="XZ409" s="457"/>
      <c r="YA409" s="457"/>
      <c r="YB409" s="457"/>
      <c r="YC409" s="457"/>
      <c r="YD409" s="457"/>
      <c r="YE409" s="457"/>
      <c r="YF409" s="457"/>
      <c r="YG409" s="457"/>
      <c r="YH409" s="457"/>
      <c r="YI409" s="457"/>
      <c r="YJ409" s="457"/>
      <c r="YK409" s="457"/>
      <c r="YL409" s="457"/>
      <c r="YM409" s="457"/>
      <c r="YN409" s="457"/>
      <c r="YO409" s="457"/>
      <c r="YP409" s="457"/>
      <c r="YQ409" s="457"/>
      <c r="YR409" s="457"/>
      <c r="YS409" s="457"/>
      <c r="YT409" s="457"/>
      <c r="YU409" s="457"/>
      <c r="YV409" s="457"/>
      <c r="YW409" s="457"/>
      <c r="YX409" s="457"/>
      <c r="YY409" s="457"/>
      <c r="YZ409" s="457"/>
      <c r="ZA409" s="457"/>
      <c r="ZB409" s="457"/>
      <c r="ZC409" s="457"/>
      <c r="ZD409" s="457"/>
      <c r="ZE409" s="457"/>
      <c r="ZF409" s="457"/>
      <c r="ZG409" s="457"/>
      <c r="ZH409" s="457"/>
      <c r="ZI409" s="457"/>
      <c r="ZJ409" s="457"/>
      <c r="ZK409" s="457"/>
      <c r="ZL409" s="457"/>
      <c r="ZM409" s="457"/>
      <c r="ZN409" s="457"/>
      <c r="ZO409" s="457"/>
      <c r="ZP409" s="457"/>
      <c r="ZQ409" s="457"/>
      <c r="ZR409" s="457"/>
      <c r="ZS409" s="457"/>
      <c r="ZT409" s="457"/>
      <c r="ZU409" s="457"/>
      <c r="ZV409" s="457"/>
      <c r="ZW409" s="457"/>
      <c r="ZX409" s="457"/>
      <c r="ZY409" s="457"/>
      <c r="ZZ409" s="457"/>
      <c r="AAA409" s="457"/>
      <c r="AAB409" s="457"/>
      <c r="AAC409" s="457"/>
      <c r="AAD409" s="457"/>
      <c r="AAE409" s="457"/>
      <c r="AAF409" s="457"/>
      <c r="AAG409" s="457"/>
      <c r="AAH409" s="457"/>
      <c r="AAI409" s="457"/>
      <c r="AAJ409" s="457"/>
      <c r="AAK409" s="457"/>
      <c r="AAL409" s="457"/>
      <c r="AAM409" s="457"/>
      <c r="AAN409" s="457"/>
      <c r="AAO409" s="457"/>
      <c r="AAP409" s="457"/>
      <c r="AAQ409" s="457"/>
      <c r="AAR409" s="457"/>
      <c r="AAS409" s="457"/>
      <c r="AAT409" s="457"/>
      <c r="AAU409" s="457"/>
      <c r="AAV409" s="457"/>
      <c r="AAW409" s="457"/>
      <c r="AAX409" s="457"/>
      <c r="AAY409" s="457"/>
      <c r="AAZ409" s="457"/>
      <c r="ABA409" s="457"/>
      <c r="ABB409" s="457"/>
      <c r="ABC409" s="457"/>
      <c r="ABD409" s="457"/>
      <c r="ABE409" s="457"/>
      <c r="ABF409" s="457"/>
      <c r="ABG409" s="457"/>
      <c r="ABH409" s="457"/>
      <c r="ABI409" s="457"/>
      <c r="ABJ409" s="457"/>
      <c r="ABK409" s="457"/>
      <c r="ABL409" s="457"/>
      <c r="ABM409" s="457"/>
      <c r="ABN409" s="457"/>
      <c r="ABO409" s="457"/>
      <c r="ABP409" s="457"/>
      <c r="ABQ409" s="457"/>
      <c r="ABR409" s="457"/>
      <c r="ABS409" s="457"/>
      <c r="ABT409" s="457"/>
      <c r="ABU409" s="457"/>
      <c r="ABV409" s="457"/>
      <c r="ABW409" s="457"/>
      <c r="ABX409" s="457"/>
      <c r="ABY409" s="457"/>
      <c r="ABZ409" s="457"/>
      <c r="ACA409" s="457"/>
      <c r="ACB409" s="457"/>
      <c r="ACC409" s="457"/>
      <c r="ACD409" s="457"/>
      <c r="ACE409" s="457"/>
      <c r="ACF409" s="457"/>
      <c r="ACG409" s="457"/>
      <c r="ACH409" s="457"/>
      <c r="ACI409" s="457"/>
      <c r="ACJ409" s="457"/>
      <c r="ACK409" s="457"/>
      <c r="ACL409" s="457"/>
      <c r="ACM409" s="457"/>
      <c r="ACN409" s="457"/>
      <c r="ACO409" s="457"/>
      <c r="ACP409" s="457"/>
      <c r="ACQ409" s="457"/>
      <c r="ACR409" s="457"/>
      <c r="ACS409" s="457"/>
      <c r="ACT409" s="457"/>
      <c r="ACU409" s="457"/>
      <c r="ACV409" s="457"/>
    </row>
    <row r="410" spans="1:776" s="400" customFormat="1" x14ac:dyDescent="0.25">
      <c r="A410" s="470">
        <v>900123</v>
      </c>
      <c r="B410" s="237" t="s">
        <v>264</v>
      </c>
      <c r="C410" s="455"/>
      <c r="D410" s="454" t="s">
        <v>265</v>
      </c>
      <c r="E410" s="454">
        <v>1.3029999999999999</v>
      </c>
      <c r="F410" s="456">
        <v>46.16</v>
      </c>
      <c r="G410" s="454">
        <v>0.01</v>
      </c>
      <c r="H410" s="454">
        <v>0.11</v>
      </c>
      <c r="I410" s="456">
        <v>230.08</v>
      </c>
      <c r="J410" s="454">
        <v>55.3</v>
      </c>
      <c r="K410" s="456">
        <v>3.0599999999999999E-2</v>
      </c>
      <c r="L410" s="456">
        <v>201.6</v>
      </c>
      <c r="M410" s="454">
        <v>0.01</v>
      </c>
      <c r="N410" s="454">
        <v>1.85</v>
      </c>
      <c r="O410" s="454">
        <v>157.80000000000001</v>
      </c>
      <c r="P410" s="454">
        <v>48.36</v>
      </c>
      <c r="Q410" s="454">
        <v>39.46</v>
      </c>
      <c r="R410" s="467">
        <v>0.01</v>
      </c>
      <c r="S410" s="467">
        <v>0.01</v>
      </c>
      <c r="T410" s="467">
        <v>0.01</v>
      </c>
      <c r="U410" s="467">
        <v>0.01</v>
      </c>
      <c r="V410" s="454"/>
      <c r="W410" s="457"/>
      <c r="X410" s="457"/>
      <c r="Y410" s="457"/>
      <c r="Z410" s="457"/>
      <c r="AA410" s="457"/>
      <c r="AB410" s="457"/>
      <c r="AC410" s="457"/>
      <c r="AD410" s="457"/>
      <c r="AE410" s="457"/>
      <c r="AF410" s="457"/>
      <c r="AG410" s="457"/>
      <c r="AH410" s="457"/>
      <c r="AI410" s="457"/>
      <c r="AJ410" s="457"/>
      <c r="AK410" s="457"/>
      <c r="AL410" s="457"/>
      <c r="AM410" s="457"/>
      <c r="AN410" s="457"/>
      <c r="AO410" s="457"/>
      <c r="AP410" s="457"/>
      <c r="AQ410" s="457"/>
      <c r="AR410" s="457"/>
      <c r="AS410" s="457"/>
      <c r="AT410" s="457"/>
      <c r="AU410" s="457"/>
      <c r="AV410" s="457"/>
      <c r="AW410" s="457"/>
      <c r="AX410" s="457"/>
      <c r="AY410" s="457"/>
      <c r="AZ410" s="457"/>
      <c r="BA410" s="457"/>
      <c r="BB410" s="457"/>
      <c r="BC410" s="457"/>
      <c r="BD410" s="457"/>
      <c r="BE410" s="457"/>
      <c r="BF410" s="457"/>
      <c r="BG410" s="457"/>
      <c r="BH410" s="457"/>
      <c r="BI410" s="457"/>
      <c r="BJ410" s="457"/>
      <c r="BK410" s="457"/>
      <c r="BL410" s="457"/>
      <c r="BM410" s="457"/>
      <c r="BN410" s="457"/>
      <c r="BO410" s="457"/>
      <c r="BP410" s="457"/>
      <c r="BQ410" s="457"/>
      <c r="BR410" s="457"/>
      <c r="BS410" s="457"/>
      <c r="BT410" s="457"/>
      <c r="BU410" s="457"/>
      <c r="BV410" s="457"/>
      <c r="BW410" s="457"/>
      <c r="BX410" s="457"/>
      <c r="BY410" s="457"/>
      <c r="BZ410" s="457"/>
      <c r="CA410" s="457"/>
      <c r="CB410" s="457"/>
      <c r="CC410" s="457"/>
      <c r="CD410" s="457"/>
      <c r="CE410" s="457"/>
      <c r="CF410" s="457"/>
      <c r="CG410" s="457"/>
      <c r="CH410" s="457"/>
      <c r="CI410" s="457"/>
      <c r="CJ410" s="457"/>
      <c r="CK410" s="457"/>
      <c r="CL410" s="457"/>
      <c r="CM410" s="457"/>
      <c r="CN410" s="457"/>
      <c r="CO410" s="457"/>
      <c r="CP410" s="457"/>
      <c r="CQ410" s="457"/>
      <c r="CR410" s="457"/>
      <c r="CS410" s="457"/>
      <c r="CT410" s="457"/>
      <c r="CU410" s="457"/>
      <c r="CV410" s="457"/>
      <c r="CW410" s="457"/>
      <c r="CX410" s="457"/>
      <c r="CY410" s="457"/>
      <c r="CZ410" s="457"/>
      <c r="DA410" s="457"/>
      <c r="DB410" s="457"/>
      <c r="DC410" s="457"/>
      <c r="DD410" s="457"/>
      <c r="DE410" s="457"/>
      <c r="DF410" s="457"/>
      <c r="DG410" s="457"/>
      <c r="DH410" s="457"/>
      <c r="DI410" s="457"/>
      <c r="DJ410" s="457"/>
      <c r="DK410" s="457"/>
      <c r="DL410" s="457"/>
      <c r="DM410" s="457"/>
      <c r="DN410" s="457"/>
      <c r="DO410" s="457"/>
      <c r="DP410" s="457"/>
      <c r="DQ410" s="457"/>
      <c r="DR410" s="457"/>
      <c r="DS410" s="457"/>
      <c r="DT410" s="457"/>
      <c r="DU410" s="457"/>
      <c r="DV410" s="457"/>
      <c r="DW410" s="457"/>
      <c r="DX410" s="457"/>
      <c r="DY410" s="457"/>
      <c r="DZ410" s="457"/>
      <c r="EA410" s="457"/>
      <c r="EB410" s="457"/>
      <c r="EC410" s="457"/>
      <c r="ED410" s="457"/>
      <c r="EE410" s="457"/>
      <c r="EF410" s="457"/>
      <c r="EG410" s="457"/>
      <c r="EH410" s="457"/>
      <c r="EI410" s="457"/>
      <c r="EJ410" s="457"/>
      <c r="EK410" s="457"/>
      <c r="EL410" s="457"/>
      <c r="EM410" s="457"/>
      <c r="EN410" s="457"/>
      <c r="EO410" s="457"/>
      <c r="EP410" s="457"/>
      <c r="EQ410" s="457"/>
      <c r="ER410" s="457"/>
      <c r="ES410" s="457"/>
      <c r="ET410" s="457"/>
      <c r="EU410" s="457"/>
      <c r="EV410" s="457"/>
      <c r="EW410" s="457"/>
      <c r="EX410" s="457"/>
      <c r="EY410" s="457"/>
      <c r="EZ410" s="457"/>
      <c r="FA410" s="457"/>
      <c r="FB410" s="457"/>
      <c r="FC410" s="457"/>
      <c r="FD410" s="457"/>
      <c r="FE410" s="457"/>
      <c r="FF410" s="457"/>
      <c r="FG410" s="457"/>
      <c r="FH410" s="457"/>
      <c r="FI410" s="457"/>
      <c r="FJ410" s="457"/>
      <c r="FK410" s="457"/>
      <c r="FL410" s="457"/>
      <c r="FM410" s="457"/>
      <c r="FN410" s="457"/>
      <c r="FO410" s="457"/>
      <c r="FP410" s="457"/>
      <c r="FQ410" s="457"/>
      <c r="FR410" s="457"/>
      <c r="FS410" s="457"/>
      <c r="FT410" s="457"/>
      <c r="FU410" s="457"/>
      <c r="FV410" s="457"/>
      <c r="FW410" s="457"/>
      <c r="FX410" s="457"/>
      <c r="FY410" s="457"/>
      <c r="FZ410" s="457"/>
      <c r="GA410" s="457"/>
      <c r="GB410" s="457"/>
      <c r="GC410" s="457"/>
      <c r="GD410" s="457"/>
      <c r="GE410" s="457"/>
      <c r="GF410" s="457"/>
      <c r="GG410" s="457"/>
      <c r="GH410" s="457"/>
      <c r="GI410" s="457"/>
      <c r="GJ410" s="457"/>
      <c r="GK410" s="457"/>
      <c r="GL410" s="457"/>
      <c r="GM410" s="457"/>
      <c r="GN410" s="457"/>
      <c r="GO410" s="457"/>
      <c r="GP410" s="457"/>
      <c r="GQ410" s="457"/>
      <c r="GR410" s="457"/>
      <c r="GS410" s="457"/>
      <c r="GT410" s="457"/>
      <c r="GU410" s="457"/>
      <c r="GV410" s="457"/>
      <c r="GW410" s="457"/>
      <c r="GX410" s="457"/>
      <c r="GY410" s="457"/>
      <c r="GZ410" s="457"/>
      <c r="HA410" s="457"/>
      <c r="HB410" s="457"/>
      <c r="HC410" s="457"/>
      <c r="HD410" s="457"/>
      <c r="HE410" s="457"/>
      <c r="HF410" s="457"/>
      <c r="HG410" s="457"/>
      <c r="HH410" s="457"/>
      <c r="HI410" s="457"/>
      <c r="HJ410" s="457"/>
      <c r="HK410" s="457"/>
      <c r="HL410" s="457"/>
      <c r="HM410" s="457"/>
      <c r="HN410" s="457"/>
      <c r="HO410" s="457"/>
      <c r="HP410" s="457"/>
      <c r="HQ410" s="457"/>
      <c r="HR410" s="457"/>
      <c r="HS410" s="457"/>
      <c r="HT410" s="457"/>
      <c r="HU410" s="457"/>
      <c r="HV410" s="457"/>
      <c r="HW410" s="457"/>
      <c r="HX410" s="457"/>
      <c r="HY410" s="457"/>
      <c r="HZ410" s="457"/>
      <c r="IA410" s="457"/>
      <c r="IB410" s="457"/>
      <c r="IC410" s="457"/>
      <c r="ID410" s="457"/>
      <c r="IE410" s="457"/>
      <c r="IF410" s="457"/>
      <c r="IG410" s="457"/>
      <c r="IH410" s="457"/>
      <c r="II410" s="457"/>
      <c r="IJ410" s="457"/>
      <c r="IK410" s="457"/>
      <c r="IL410" s="457"/>
      <c r="IM410" s="457"/>
      <c r="IN410" s="457"/>
      <c r="IO410" s="457"/>
      <c r="IP410" s="457"/>
      <c r="IQ410" s="457"/>
      <c r="IR410" s="457"/>
      <c r="IS410" s="457"/>
      <c r="IT410" s="457"/>
      <c r="IU410" s="457"/>
      <c r="IV410" s="457"/>
      <c r="IW410" s="457"/>
      <c r="IX410" s="457"/>
      <c r="IY410" s="457"/>
      <c r="IZ410" s="457"/>
      <c r="JA410" s="457"/>
      <c r="JB410" s="457"/>
      <c r="JC410" s="457"/>
      <c r="JD410" s="457"/>
      <c r="JE410" s="457"/>
      <c r="JF410" s="457"/>
      <c r="JG410" s="457"/>
      <c r="JH410" s="457"/>
      <c r="JI410" s="457"/>
      <c r="JJ410" s="457"/>
      <c r="JK410" s="457"/>
      <c r="JL410" s="457"/>
      <c r="JM410" s="457"/>
      <c r="JN410" s="457"/>
      <c r="JO410" s="457"/>
      <c r="JP410" s="457"/>
      <c r="JQ410" s="457"/>
      <c r="JR410" s="457"/>
      <c r="JS410" s="457"/>
      <c r="JT410" s="457"/>
      <c r="JU410" s="457"/>
      <c r="JV410" s="457"/>
      <c r="JW410" s="457"/>
      <c r="JX410" s="457"/>
      <c r="JY410" s="457"/>
      <c r="JZ410" s="457"/>
      <c r="KA410" s="457"/>
      <c r="KB410" s="457"/>
      <c r="KC410" s="457"/>
      <c r="KD410" s="457"/>
      <c r="KE410" s="457"/>
      <c r="KF410" s="457"/>
      <c r="KG410" s="457"/>
      <c r="KH410" s="457"/>
      <c r="KI410" s="457"/>
      <c r="KJ410" s="457"/>
      <c r="KK410" s="457"/>
      <c r="KL410" s="457"/>
      <c r="KM410" s="457"/>
      <c r="KN410" s="457"/>
      <c r="KO410" s="457"/>
      <c r="KP410" s="457"/>
      <c r="KQ410" s="457"/>
      <c r="KR410" s="457"/>
      <c r="KS410" s="457"/>
      <c r="KT410" s="457"/>
      <c r="KU410" s="457"/>
      <c r="KV410" s="457"/>
      <c r="KW410" s="457"/>
      <c r="KX410" s="457"/>
      <c r="KY410" s="457"/>
      <c r="KZ410" s="457"/>
      <c r="LA410" s="457"/>
      <c r="LB410" s="457"/>
      <c r="LC410" s="457"/>
      <c r="LD410" s="457"/>
      <c r="LE410" s="457"/>
      <c r="LF410" s="457"/>
      <c r="LG410" s="457"/>
      <c r="LH410" s="457"/>
      <c r="LI410" s="457"/>
      <c r="LJ410" s="457"/>
      <c r="LK410" s="457"/>
      <c r="LL410" s="457"/>
      <c r="LM410" s="457"/>
      <c r="LN410" s="457"/>
      <c r="LO410" s="457"/>
      <c r="LP410" s="457"/>
      <c r="LQ410" s="457"/>
      <c r="LR410" s="457"/>
      <c r="LS410" s="457"/>
      <c r="LT410" s="457"/>
      <c r="LU410" s="457"/>
      <c r="LV410" s="457"/>
      <c r="LW410" s="457"/>
      <c r="LX410" s="457"/>
      <c r="LY410" s="457"/>
      <c r="LZ410" s="457"/>
      <c r="MA410" s="457"/>
      <c r="MB410" s="457"/>
      <c r="MC410" s="457"/>
      <c r="MD410" s="457"/>
      <c r="ME410" s="457"/>
      <c r="MF410" s="457"/>
      <c r="MG410" s="457"/>
      <c r="MH410" s="457"/>
      <c r="MI410" s="457"/>
      <c r="MJ410" s="457"/>
      <c r="MK410" s="457"/>
      <c r="ML410" s="457"/>
      <c r="MM410" s="457"/>
      <c r="MN410" s="457"/>
      <c r="MO410" s="457"/>
      <c r="MP410" s="457"/>
      <c r="MQ410" s="457"/>
      <c r="MR410" s="457"/>
      <c r="MS410" s="457"/>
      <c r="MT410" s="457"/>
      <c r="MU410" s="457"/>
      <c r="MV410" s="457"/>
      <c r="MW410" s="457"/>
      <c r="MX410" s="457"/>
      <c r="MY410" s="457"/>
      <c r="MZ410" s="457"/>
      <c r="NA410" s="457"/>
      <c r="NB410" s="457"/>
      <c r="NC410" s="457"/>
      <c r="ND410" s="457"/>
      <c r="NE410" s="457"/>
      <c r="NF410" s="457"/>
      <c r="NG410" s="457"/>
      <c r="NH410" s="457"/>
      <c r="NI410" s="457"/>
      <c r="NJ410" s="457"/>
      <c r="NK410" s="457"/>
      <c r="NL410" s="457"/>
      <c r="NM410" s="457"/>
      <c r="NN410" s="457"/>
      <c r="NO410" s="457"/>
      <c r="NP410" s="457"/>
      <c r="NQ410" s="457"/>
      <c r="NR410" s="457"/>
      <c r="NS410" s="457"/>
      <c r="NT410" s="457"/>
      <c r="NU410" s="457"/>
      <c r="NV410" s="457"/>
      <c r="NW410" s="457"/>
      <c r="NX410" s="457"/>
      <c r="NY410" s="457"/>
      <c r="NZ410" s="457"/>
      <c r="OA410" s="457"/>
      <c r="OB410" s="457"/>
      <c r="OC410" s="457"/>
      <c r="OD410" s="457"/>
      <c r="OE410" s="457"/>
      <c r="OF410" s="457"/>
      <c r="OG410" s="457"/>
      <c r="OH410" s="457"/>
      <c r="OI410" s="457"/>
      <c r="OJ410" s="457"/>
      <c r="OK410" s="457"/>
      <c r="OL410" s="457"/>
      <c r="OM410" s="457"/>
      <c r="ON410" s="457"/>
      <c r="OO410" s="457"/>
      <c r="OP410" s="457"/>
      <c r="OQ410" s="457"/>
      <c r="OR410" s="457"/>
      <c r="OS410" s="457"/>
      <c r="OT410" s="457"/>
      <c r="OU410" s="457"/>
      <c r="OV410" s="457"/>
      <c r="OW410" s="457"/>
      <c r="OX410" s="457"/>
      <c r="OY410" s="457"/>
      <c r="OZ410" s="457"/>
      <c r="PA410" s="457"/>
      <c r="PB410" s="457"/>
      <c r="PC410" s="457"/>
      <c r="PD410" s="457"/>
      <c r="PE410" s="457"/>
      <c r="PF410" s="457"/>
      <c r="PG410" s="457"/>
      <c r="PH410" s="457"/>
      <c r="PI410" s="457"/>
      <c r="PJ410" s="457"/>
      <c r="PK410" s="457"/>
      <c r="PL410" s="457"/>
      <c r="PM410" s="457"/>
      <c r="PN410" s="457"/>
      <c r="PO410" s="457"/>
      <c r="PP410" s="457"/>
      <c r="PQ410" s="457"/>
      <c r="PR410" s="457"/>
      <c r="PS410" s="457"/>
      <c r="PT410" s="457"/>
      <c r="PU410" s="457"/>
      <c r="PV410" s="457"/>
      <c r="PW410" s="457"/>
      <c r="PX410" s="457"/>
      <c r="PY410" s="457"/>
      <c r="PZ410" s="457"/>
      <c r="QA410" s="457"/>
      <c r="QB410" s="457"/>
      <c r="QC410" s="457"/>
      <c r="QD410" s="457"/>
      <c r="QE410" s="457"/>
      <c r="QF410" s="457"/>
      <c r="QG410" s="457"/>
      <c r="QH410" s="457"/>
      <c r="QI410" s="457"/>
      <c r="QJ410" s="457"/>
      <c r="QK410" s="457"/>
      <c r="QL410" s="457"/>
      <c r="QM410" s="457"/>
      <c r="QN410" s="457"/>
      <c r="QO410" s="457"/>
      <c r="QP410" s="457"/>
      <c r="QQ410" s="457"/>
      <c r="QR410" s="457"/>
      <c r="QS410" s="457"/>
      <c r="QT410" s="457"/>
      <c r="QU410" s="457"/>
      <c r="QV410" s="457"/>
      <c r="QW410" s="457"/>
      <c r="QX410" s="457"/>
      <c r="QY410" s="457"/>
      <c r="QZ410" s="457"/>
      <c r="RA410" s="457"/>
      <c r="RB410" s="457"/>
      <c r="RC410" s="457"/>
      <c r="RD410" s="457"/>
      <c r="RE410" s="457"/>
      <c r="RF410" s="457"/>
      <c r="RG410" s="457"/>
      <c r="RH410" s="457"/>
      <c r="RI410" s="457"/>
      <c r="RJ410" s="457"/>
      <c r="RK410" s="457"/>
      <c r="RL410" s="457"/>
      <c r="RM410" s="457"/>
      <c r="RN410" s="457"/>
      <c r="RO410" s="457"/>
      <c r="RP410" s="457"/>
      <c r="RQ410" s="457"/>
      <c r="RR410" s="457"/>
      <c r="RS410" s="457"/>
      <c r="RT410" s="457"/>
      <c r="RU410" s="457"/>
      <c r="RV410" s="457"/>
      <c r="RW410" s="457"/>
      <c r="RX410" s="457"/>
      <c r="RY410" s="457"/>
      <c r="RZ410" s="457"/>
      <c r="SA410" s="457"/>
      <c r="SB410" s="457"/>
      <c r="SC410" s="457"/>
      <c r="SD410" s="457"/>
      <c r="SE410" s="457"/>
      <c r="SF410" s="457"/>
      <c r="SG410" s="457"/>
      <c r="SH410" s="457"/>
      <c r="SI410" s="457"/>
      <c r="SJ410" s="457"/>
      <c r="SK410" s="457"/>
      <c r="SL410" s="457"/>
      <c r="SM410" s="457"/>
      <c r="SN410" s="457"/>
      <c r="SO410" s="457"/>
      <c r="SP410" s="457"/>
      <c r="SQ410" s="457"/>
      <c r="SR410" s="457"/>
      <c r="SS410" s="457"/>
      <c r="ST410" s="457"/>
      <c r="SU410" s="457"/>
      <c r="SV410" s="457"/>
      <c r="SW410" s="457"/>
      <c r="SX410" s="457"/>
      <c r="SY410" s="457"/>
      <c r="SZ410" s="457"/>
      <c r="TA410" s="457"/>
      <c r="TB410" s="457"/>
      <c r="TC410" s="457"/>
      <c r="TD410" s="457"/>
      <c r="TE410" s="457"/>
      <c r="TF410" s="457"/>
      <c r="TG410" s="457"/>
      <c r="TH410" s="457"/>
      <c r="TI410" s="457"/>
      <c r="TJ410" s="457"/>
      <c r="TK410" s="457"/>
      <c r="TL410" s="457"/>
      <c r="TM410" s="457"/>
      <c r="TN410" s="457"/>
      <c r="TO410" s="457"/>
      <c r="TP410" s="457"/>
      <c r="TQ410" s="457"/>
      <c r="TR410" s="457"/>
      <c r="TS410" s="457"/>
      <c r="TT410" s="457"/>
      <c r="TU410" s="457"/>
      <c r="TV410" s="457"/>
      <c r="TW410" s="457"/>
      <c r="TX410" s="457"/>
      <c r="TY410" s="457"/>
      <c r="TZ410" s="457"/>
      <c r="UA410" s="457"/>
      <c r="UB410" s="457"/>
      <c r="UC410" s="457"/>
      <c r="UD410" s="457"/>
      <c r="UE410" s="457"/>
      <c r="UF410" s="457"/>
      <c r="UG410" s="457"/>
      <c r="UH410" s="457"/>
      <c r="UI410" s="457"/>
      <c r="UJ410" s="457"/>
      <c r="UK410" s="457"/>
      <c r="UL410" s="457"/>
      <c r="UM410" s="457"/>
      <c r="UN410" s="457"/>
      <c r="UO410" s="457"/>
      <c r="UP410" s="457"/>
      <c r="UQ410" s="457"/>
      <c r="UR410" s="457"/>
      <c r="US410" s="457"/>
      <c r="UT410" s="457"/>
      <c r="UU410" s="457"/>
      <c r="UV410" s="457"/>
      <c r="UW410" s="457"/>
      <c r="UX410" s="457"/>
      <c r="UY410" s="457"/>
      <c r="UZ410" s="457"/>
      <c r="VA410" s="457"/>
      <c r="VB410" s="457"/>
      <c r="VC410" s="457"/>
      <c r="VD410" s="457"/>
      <c r="VE410" s="457"/>
      <c r="VF410" s="457"/>
      <c r="VG410" s="457"/>
      <c r="VH410" s="457"/>
      <c r="VI410" s="457"/>
      <c r="VJ410" s="457"/>
      <c r="VK410" s="457"/>
      <c r="VL410" s="457"/>
      <c r="VM410" s="457"/>
      <c r="VN410" s="457"/>
      <c r="VO410" s="457"/>
      <c r="VP410" s="457"/>
      <c r="VQ410" s="457"/>
      <c r="VR410" s="457"/>
      <c r="VS410" s="457"/>
      <c r="VT410" s="457"/>
      <c r="VU410" s="457"/>
      <c r="VV410" s="457"/>
      <c r="VW410" s="457"/>
      <c r="VX410" s="457"/>
      <c r="VY410" s="457"/>
      <c r="VZ410" s="457"/>
      <c r="WA410" s="457"/>
      <c r="WB410" s="457"/>
      <c r="WC410" s="457"/>
      <c r="WD410" s="457"/>
      <c r="WE410" s="457"/>
      <c r="WF410" s="457"/>
      <c r="WG410" s="457"/>
      <c r="WH410" s="457"/>
      <c r="WI410" s="457"/>
      <c r="WJ410" s="457"/>
      <c r="WK410" s="457"/>
      <c r="WL410" s="457"/>
      <c r="WM410" s="457"/>
      <c r="WN410" s="457"/>
      <c r="WO410" s="457"/>
      <c r="WP410" s="457"/>
      <c r="WQ410" s="457"/>
      <c r="WR410" s="457"/>
      <c r="WS410" s="457"/>
      <c r="WT410" s="457"/>
      <c r="WU410" s="457"/>
      <c r="WV410" s="457"/>
      <c r="WW410" s="457"/>
      <c r="WX410" s="457"/>
      <c r="WY410" s="457"/>
      <c r="WZ410" s="457"/>
      <c r="XA410" s="457"/>
      <c r="XB410" s="457"/>
      <c r="XC410" s="457"/>
      <c r="XD410" s="457"/>
      <c r="XE410" s="457"/>
      <c r="XF410" s="457"/>
      <c r="XG410" s="457"/>
      <c r="XH410" s="457"/>
      <c r="XI410" s="457"/>
      <c r="XJ410" s="457"/>
      <c r="XK410" s="457"/>
      <c r="XL410" s="457"/>
      <c r="XM410" s="457"/>
      <c r="XN410" s="457"/>
      <c r="XO410" s="457"/>
      <c r="XP410" s="457"/>
      <c r="XQ410" s="457"/>
      <c r="XR410" s="457"/>
      <c r="XS410" s="457"/>
      <c r="XT410" s="457"/>
      <c r="XU410" s="457"/>
      <c r="XV410" s="457"/>
      <c r="XW410" s="457"/>
      <c r="XX410" s="457"/>
      <c r="XY410" s="457"/>
      <c r="XZ410" s="457"/>
      <c r="YA410" s="457"/>
      <c r="YB410" s="457"/>
      <c r="YC410" s="457"/>
      <c r="YD410" s="457"/>
      <c r="YE410" s="457"/>
      <c r="YF410" s="457"/>
      <c r="YG410" s="457"/>
      <c r="YH410" s="457"/>
      <c r="YI410" s="457"/>
      <c r="YJ410" s="457"/>
      <c r="YK410" s="457"/>
      <c r="YL410" s="457"/>
      <c r="YM410" s="457"/>
      <c r="YN410" s="457"/>
      <c r="YO410" s="457"/>
      <c r="YP410" s="457"/>
      <c r="YQ410" s="457"/>
      <c r="YR410" s="457"/>
      <c r="YS410" s="457"/>
      <c r="YT410" s="457"/>
      <c r="YU410" s="457"/>
      <c r="YV410" s="457"/>
      <c r="YW410" s="457"/>
      <c r="YX410" s="457"/>
      <c r="YY410" s="457"/>
      <c r="YZ410" s="457"/>
      <c r="ZA410" s="457"/>
      <c r="ZB410" s="457"/>
      <c r="ZC410" s="457"/>
      <c r="ZD410" s="457"/>
      <c r="ZE410" s="457"/>
      <c r="ZF410" s="457"/>
      <c r="ZG410" s="457"/>
      <c r="ZH410" s="457"/>
      <c r="ZI410" s="457"/>
      <c r="ZJ410" s="457"/>
      <c r="ZK410" s="457"/>
      <c r="ZL410" s="457"/>
      <c r="ZM410" s="457"/>
      <c r="ZN410" s="457"/>
      <c r="ZO410" s="457"/>
      <c r="ZP410" s="457"/>
      <c r="ZQ410" s="457"/>
      <c r="ZR410" s="457"/>
      <c r="ZS410" s="457"/>
      <c r="ZT410" s="457"/>
      <c r="ZU410" s="457"/>
      <c r="ZV410" s="457"/>
      <c r="ZW410" s="457"/>
      <c r="ZX410" s="457"/>
      <c r="ZY410" s="457"/>
      <c r="ZZ410" s="457"/>
      <c r="AAA410" s="457"/>
      <c r="AAB410" s="457"/>
      <c r="AAC410" s="457"/>
      <c r="AAD410" s="457"/>
      <c r="AAE410" s="457"/>
      <c r="AAF410" s="457"/>
      <c r="AAG410" s="457"/>
      <c r="AAH410" s="457"/>
      <c r="AAI410" s="457"/>
      <c r="AAJ410" s="457"/>
      <c r="AAK410" s="457"/>
      <c r="AAL410" s="457"/>
      <c r="AAM410" s="457"/>
      <c r="AAN410" s="457"/>
      <c r="AAO410" s="457"/>
      <c r="AAP410" s="457"/>
      <c r="AAQ410" s="457"/>
      <c r="AAR410" s="457"/>
      <c r="AAS410" s="457"/>
      <c r="AAT410" s="457"/>
      <c r="AAU410" s="457"/>
      <c r="AAV410" s="457"/>
      <c r="AAW410" s="457"/>
      <c r="AAX410" s="457"/>
      <c r="AAY410" s="457"/>
      <c r="AAZ410" s="457"/>
      <c r="ABA410" s="457"/>
      <c r="ABB410" s="457"/>
      <c r="ABC410" s="457"/>
      <c r="ABD410" s="457"/>
      <c r="ABE410" s="457"/>
      <c r="ABF410" s="457"/>
      <c r="ABG410" s="457"/>
      <c r="ABH410" s="457"/>
      <c r="ABI410" s="457"/>
      <c r="ABJ410" s="457"/>
      <c r="ABK410" s="457"/>
      <c r="ABL410" s="457"/>
      <c r="ABM410" s="457"/>
      <c r="ABN410" s="457"/>
      <c r="ABO410" s="457"/>
      <c r="ABP410" s="457"/>
      <c r="ABQ410" s="457"/>
      <c r="ABR410" s="457"/>
      <c r="ABS410" s="457"/>
      <c r="ABT410" s="457"/>
      <c r="ABU410" s="457"/>
      <c r="ABV410" s="457"/>
      <c r="ABW410" s="457"/>
      <c r="ABX410" s="457"/>
      <c r="ABY410" s="457"/>
      <c r="ABZ410" s="457"/>
      <c r="ACA410" s="457"/>
      <c r="ACB410" s="457"/>
      <c r="ACC410" s="457"/>
      <c r="ACD410" s="457"/>
      <c r="ACE410" s="457"/>
      <c r="ACF410" s="457"/>
      <c r="ACG410" s="457"/>
      <c r="ACH410" s="457"/>
      <c r="ACI410" s="457"/>
      <c r="ACJ410" s="457"/>
      <c r="ACK410" s="457"/>
      <c r="ACL410" s="457"/>
      <c r="ACM410" s="457"/>
      <c r="ACN410" s="457"/>
      <c r="ACO410" s="457"/>
      <c r="ACP410" s="457"/>
      <c r="ACQ410" s="457"/>
      <c r="ACR410" s="457"/>
      <c r="ACS410" s="457"/>
      <c r="ACT410" s="457"/>
      <c r="ACU410" s="457"/>
      <c r="ACV410" s="457"/>
    </row>
    <row r="411" spans="1:776" s="400" customFormat="1" x14ac:dyDescent="0.25">
      <c r="A411" s="470">
        <v>900124</v>
      </c>
      <c r="B411" s="237" t="s">
        <v>266</v>
      </c>
      <c r="C411" s="455"/>
      <c r="D411" s="454" t="s">
        <v>267</v>
      </c>
      <c r="E411" s="454">
        <v>6.31</v>
      </c>
      <c r="F411" s="456">
        <v>95.87</v>
      </c>
      <c r="G411" s="454">
        <v>0.01</v>
      </c>
      <c r="H411" s="454">
        <v>0.13</v>
      </c>
      <c r="I411" s="456">
        <v>1846.8</v>
      </c>
      <c r="J411" s="454">
        <v>265.7</v>
      </c>
      <c r="K411" s="456">
        <v>0.01</v>
      </c>
      <c r="L411" s="456">
        <v>285.60000000000002</v>
      </c>
      <c r="M411" s="454">
        <v>0.01</v>
      </c>
      <c r="N411" s="454">
        <v>5.66</v>
      </c>
      <c r="O411" s="454">
        <v>534.22</v>
      </c>
      <c r="P411" s="454">
        <v>335.18</v>
      </c>
      <c r="Q411" s="454">
        <v>270.60000000000002</v>
      </c>
      <c r="R411" s="467">
        <v>0.01</v>
      </c>
      <c r="S411" s="467">
        <v>0.01</v>
      </c>
      <c r="T411" s="467">
        <v>0.01</v>
      </c>
      <c r="U411" s="454">
        <v>0.03</v>
      </c>
      <c r="V411" s="454"/>
      <c r="W411" s="457"/>
      <c r="X411" s="457"/>
      <c r="Y411" s="457"/>
      <c r="Z411" s="457"/>
      <c r="AA411" s="457"/>
      <c r="AB411" s="457"/>
      <c r="AC411" s="457"/>
      <c r="AD411" s="457"/>
      <c r="AE411" s="457"/>
      <c r="AF411" s="457"/>
      <c r="AG411" s="457"/>
      <c r="AH411" s="457"/>
      <c r="AI411" s="457"/>
      <c r="AJ411" s="457"/>
      <c r="AK411" s="457"/>
      <c r="AL411" s="457"/>
      <c r="AM411" s="457"/>
      <c r="AN411" s="457"/>
      <c r="AO411" s="457"/>
      <c r="AP411" s="457"/>
      <c r="AQ411" s="457"/>
      <c r="AR411" s="457"/>
      <c r="AS411" s="457"/>
      <c r="AT411" s="457"/>
      <c r="AU411" s="457"/>
      <c r="AV411" s="457"/>
      <c r="AW411" s="457"/>
      <c r="AX411" s="457"/>
      <c r="AY411" s="457"/>
      <c r="AZ411" s="457"/>
      <c r="BA411" s="457"/>
      <c r="BB411" s="457"/>
      <c r="BC411" s="457"/>
      <c r="BD411" s="457"/>
      <c r="BE411" s="457"/>
      <c r="BF411" s="457"/>
      <c r="BG411" s="457"/>
      <c r="BH411" s="457"/>
      <c r="BI411" s="457"/>
      <c r="BJ411" s="457"/>
      <c r="BK411" s="457"/>
      <c r="BL411" s="457"/>
      <c r="BM411" s="457"/>
      <c r="BN411" s="457"/>
      <c r="BO411" s="457"/>
      <c r="BP411" s="457"/>
      <c r="BQ411" s="457"/>
      <c r="BR411" s="457"/>
      <c r="BS411" s="457"/>
      <c r="BT411" s="457"/>
      <c r="BU411" s="457"/>
      <c r="BV411" s="457"/>
      <c r="BW411" s="457"/>
      <c r="BX411" s="457"/>
      <c r="BY411" s="457"/>
      <c r="BZ411" s="457"/>
      <c r="CA411" s="457"/>
      <c r="CB411" s="457"/>
      <c r="CC411" s="457"/>
      <c r="CD411" s="457"/>
      <c r="CE411" s="457"/>
      <c r="CF411" s="457"/>
      <c r="CG411" s="457"/>
      <c r="CH411" s="457"/>
      <c r="CI411" s="457"/>
      <c r="CJ411" s="457"/>
      <c r="CK411" s="457"/>
      <c r="CL411" s="457"/>
      <c r="CM411" s="457"/>
      <c r="CN411" s="457"/>
      <c r="CO411" s="457"/>
      <c r="CP411" s="457"/>
      <c r="CQ411" s="457"/>
      <c r="CR411" s="457"/>
      <c r="CS411" s="457"/>
      <c r="CT411" s="457"/>
      <c r="CU411" s="457"/>
      <c r="CV411" s="457"/>
      <c r="CW411" s="457"/>
      <c r="CX411" s="457"/>
      <c r="CY411" s="457"/>
      <c r="CZ411" s="457"/>
      <c r="DA411" s="457"/>
      <c r="DB411" s="457"/>
      <c r="DC411" s="457"/>
      <c r="DD411" s="457"/>
      <c r="DE411" s="457"/>
      <c r="DF411" s="457"/>
      <c r="DG411" s="457"/>
      <c r="DH411" s="457"/>
      <c r="DI411" s="457"/>
      <c r="DJ411" s="457"/>
      <c r="DK411" s="457"/>
      <c r="DL411" s="457"/>
      <c r="DM411" s="457"/>
      <c r="DN411" s="457"/>
      <c r="DO411" s="457"/>
      <c r="DP411" s="457"/>
      <c r="DQ411" s="457"/>
      <c r="DR411" s="457"/>
      <c r="DS411" s="457"/>
      <c r="DT411" s="457"/>
      <c r="DU411" s="457"/>
      <c r="DV411" s="457"/>
      <c r="DW411" s="457"/>
      <c r="DX411" s="457"/>
      <c r="DY411" s="457"/>
      <c r="DZ411" s="457"/>
      <c r="EA411" s="457"/>
      <c r="EB411" s="457"/>
      <c r="EC411" s="457"/>
      <c r="ED411" s="457"/>
      <c r="EE411" s="457"/>
      <c r="EF411" s="457"/>
      <c r="EG411" s="457"/>
      <c r="EH411" s="457"/>
      <c r="EI411" s="457"/>
      <c r="EJ411" s="457"/>
      <c r="EK411" s="457"/>
      <c r="EL411" s="457"/>
      <c r="EM411" s="457"/>
      <c r="EN411" s="457"/>
      <c r="EO411" s="457"/>
      <c r="EP411" s="457"/>
      <c r="EQ411" s="457"/>
      <c r="ER411" s="457"/>
      <c r="ES411" s="457"/>
      <c r="ET411" s="457"/>
      <c r="EU411" s="457"/>
      <c r="EV411" s="457"/>
      <c r="EW411" s="457"/>
      <c r="EX411" s="457"/>
      <c r="EY411" s="457"/>
      <c r="EZ411" s="457"/>
      <c r="FA411" s="457"/>
      <c r="FB411" s="457"/>
      <c r="FC411" s="457"/>
      <c r="FD411" s="457"/>
      <c r="FE411" s="457"/>
      <c r="FF411" s="457"/>
      <c r="FG411" s="457"/>
      <c r="FH411" s="457"/>
      <c r="FI411" s="457"/>
      <c r="FJ411" s="457"/>
      <c r="FK411" s="457"/>
      <c r="FL411" s="457"/>
      <c r="FM411" s="457"/>
      <c r="FN411" s="457"/>
      <c r="FO411" s="457"/>
      <c r="FP411" s="457"/>
      <c r="FQ411" s="457"/>
      <c r="FR411" s="457"/>
      <c r="FS411" s="457"/>
      <c r="FT411" s="457"/>
      <c r="FU411" s="457"/>
      <c r="FV411" s="457"/>
      <c r="FW411" s="457"/>
      <c r="FX411" s="457"/>
      <c r="FY411" s="457"/>
      <c r="FZ411" s="457"/>
      <c r="GA411" s="457"/>
      <c r="GB411" s="457"/>
      <c r="GC411" s="457"/>
      <c r="GD411" s="457"/>
      <c r="GE411" s="457"/>
      <c r="GF411" s="457"/>
      <c r="GG411" s="457"/>
      <c r="GH411" s="457"/>
      <c r="GI411" s="457"/>
      <c r="GJ411" s="457"/>
      <c r="GK411" s="457"/>
      <c r="GL411" s="457"/>
      <c r="GM411" s="457"/>
      <c r="GN411" s="457"/>
      <c r="GO411" s="457"/>
      <c r="GP411" s="457"/>
      <c r="GQ411" s="457"/>
      <c r="GR411" s="457"/>
      <c r="GS411" s="457"/>
      <c r="GT411" s="457"/>
      <c r="GU411" s="457"/>
      <c r="GV411" s="457"/>
      <c r="GW411" s="457"/>
      <c r="GX411" s="457"/>
      <c r="GY411" s="457"/>
      <c r="GZ411" s="457"/>
      <c r="HA411" s="457"/>
      <c r="HB411" s="457"/>
      <c r="HC411" s="457"/>
      <c r="HD411" s="457"/>
      <c r="HE411" s="457"/>
      <c r="HF411" s="457"/>
      <c r="HG411" s="457"/>
      <c r="HH411" s="457"/>
      <c r="HI411" s="457"/>
      <c r="HJ411" s="457"/>
      <c r="HK411" s="457"/>
      <c r="HL411" s="457"/>
      <c r="HM411" s="457"/>
      <c r="HN411" s="457"/>
      <c r="HO411" s="457"/>
      <c r="HP411" s="457"/>
      <c r="HQ411" s="457"/>
      <c r="HR411" s="457"/>
      <c r="HS411" s="457"/>
      <c r="HT411" s="457"/>
      <c r="HU411" s="457"/>
      <c r="HV411" s="457"/>
      <c r="HW411" s="457"/>
      <c r="HX411" s="457"/>
      <c r="HY411" s="457"/>
      <c r="HZ411" s="457"/>
      <c r="IA411" s="457"/>
      <c r="IB411" s="457"/>
      <c r="IC411" s="457"/>
      <c r="ID411" s="457"/>
      <c r="IE411" s="457"/>
      <c r="IF411" s="457"/>
      <c r="IG411" s="457"/>
      <c r="IH411" s="457"/>
      <c r="II411" s="457"/>
      <c r="IJ411" s="457"/>
      <c r="IK411" s="457"/>
      <c r="IL411" s="457"/>
      <c r="IM411" s="457"/>
      <c r="IN411" s="457"/>
      <c r="IO411" s="457"/>
      <c r="IP411" s="457"/>
      <c r="IQ411" s="457"/>
      <c r="IR411" s="457"/>
      <c r="IS411" s="457"/>
      <c r="IT411" s="457"/>
      <c r="IU411" s="457"/>
      <c r="IV411" s="457"/>
      <c r="IW411" s="457"/>
      <c r="IX411" s="457"/>
      <c r="IY411" s="457"/>
      <c r="IZ411" s="457"/>
      <c r="JA411" s="457"/>
      <c r="JB411" s="457"/>
      <c r="JC411" s="457"/>
      <c r="JD411" s="457"/>
      <c r="JE411" s="457"/>
      <c r="JF411" s="457"/>
      <c r="JG411" s="457"/>
      <c r="JH411" s="457"/>
      <c r="JI411" s="457"/>
      <c r="JJ411" s="457"/>
      <c r="JK411" s="457"/>
      <c r="JL411" s="457"/>
      <c r="JM411" s="457"/>
      <c r="JN411" s="457"/>
      <c r="JO411" s="457"/>
      <c r="JP411" s="457"/>
      <c r="JQ411" s="457"/>
      <c r="JR411" s="457"/>
      <c r="JS411" s="457"/>
      <c r="JT411" s="457"/>
      <c r="JU411" s="457"/>
      <c r="JV411" s="457"/>
      <c r="JW411" s="457"/>
      <c r="JX411" s="457"/>
      <c r="JY411" s="457"/>
      <c r="JZ411" s="457"/>
      <c r="KA411" s="457"/>
      <c r="KB411" s="457"/>
      <c r="KC411" s="457"/>
      <c r="KD411" s="457"/>
      <c r="KE411" s="457"/>
      <c r="KF411" s="457"/>
      <c r="KG411" s="457"/>
      <c r="KH411" s="457"/>
      <c r="KI411" s="457"/>
      <c r="KJ411" s="457"/>
      <c r="KK411" s="457"/>
      <c r="KL411" s="457"/>
      <c r="KM411" s="457"/>
      <c r="KN411" s="457"/>
      <c r="KO411" s="457"/>
      <c r="KP411" s="457"/>
      <c r="KQ411" s="457"/>
      <c r="KR411" s="457"/>
      <c r="KS411" s="457"/>
      <c r="KT411" s="457"/>
      <c r="KU411" s="457"/>
      <c r="KV411" s="457"/>
      <c r="KW411" s="457"/>
      <c r="KX411" s="457"/>
      <c r="KY411" s="457"/>
      <c r="KZ411" s="457"/>
      <c r="LA411" s="457"/>
      <c r="LB411" s="457"/>
      <c r="LC411" s="457"/>
      <c r="LD411" s="457"/>
      <c r="LE411" s="457"/>
      <c r="LF411" s="457"/>
      <c r="LG411" s="457"/>
      <c r="LH411" s="457"/>
      <c r="LI411" s="457"/>
      <c r="LJ411" s="457"/>
      <c r="LK411" s="457"/>
      <c r="LL411" s="457"/>
      <c r="LM411" s="457"/>
      <c r="LN411" s="457"/>
      <c r="LO411" s="457"/>
      <c r="LP411" s="457"/>
      <c r="LQ411" s="457"/>
      <c r="LR411" s="457"/>
      <c r="LS411" s="457"/>
      <c r="LT411" s="457"/>
      <c r="LU411" s="457"/>
      <c r="LV411" s="457"/>
      <c r="LW411" s="457"/>
      <c r="LX411" s="457"/>
      <c r="LY411" s="457"/>
      <c r="LZ411" s="457"/>
      <c r="MA411" s="457"/>
      <c r="MB411" s="457"/>
      <c r="MC411" s="457"/>
      <c r="MD411" s="457"/>
      <c r="ME411" s="457"/>
      <c r="MF411" s="457"/>
      <c r="MG411" s="457"/>
      <c r="MH411" s="457"/>
      <c r="MI411" s="457"/>
      <c r="MJ411" s="457"/>
      <c r="MK411" s="457"/>
      <c r="ML411" s="457"/>
      <c r="MM411" s="457"/>
      <c r="MN411" s="457"/>
      <c r="MO411" s="457"/>
      <c r="MP411" s="457"/>
      <c r="MQ411" s="457"/>
      <c r="MR411" s="457"/>
      <c r="MS411" s="457"/>
      <c r="MT411" s="457"/>
      <c r="MU411" s="457"/>
      <c r="MV411" s="457"/>
      <c r="MW411" s="457"/>
      <c r="MX411" s="457"/>
      <c r="MY411" s="457"/>
      <c r="MZ411" s="457"/>
      <c r="NA411" s="457"/>
      <c r="NB411" s="457"/>
      <c r="NC411" s="457"/>
      <c r="ND411" s="457"/>
      <c r="NE411" s="457"/>
      <c r="NF411" s="457"/>
      <c r="NG411" s="457"/>
      <c r="NH411" s="457"/>
      <c r="NI411" s="457"/>
      <c r="NJ411" s="457"/>
      <c r="NK411" s="457"/>
      <c r="NL411" s="457"/>
      <c r="NM411" s="457"/>
      <c r="NN411" s="457"/>
      <c r="NO411" s="457"/>
      <c r="NP411" s="457"/>
      <c r="NQ411" s="457"/>
      <c r="NR411" s="457"/>
      <c r="NS411" s="457"/>
      <c r="NT411" s="457"/>
      <c r="NU411" s="457"/>
      <c r="NV411" s="457"/>
      <c r="NW411" s="457"/>
      <c r="NX411" s="457"/>
      <c r="NY411" s="457"/>
      <c r="NZ411" s="457"/>
      <c r="OA411" s="457"/>
      <c r="OB411" s="457"/>
      <c r="OC411" s="457"/>
      <c r="OD411" s="457"/>
      <c r="OE411" s="457"/>
      <c r="OF411" s="457"/>
      <c r="OG411" s="457"/>
      <c r="OH411" s="457"/>
      <c r="OI411" s="457"/>
      <c r="OJ411" s="457"/>
      <c r="OK411" s="457"/>
      <c r="OL411" s="457"/>
      <c r="OM411" s="457"/>
      <c r="ON411" s="457"/>
      <c r="OO411" s="457"/>
      <c r="OP411" s="457"/>
      <c r="OQ411" s="457"/>
      <c r="OR411" s="457"/>
      <c r="OS411" s="457"/>
      <c r="OT411" s="457"/>
      <c r="OU411" s="457"/>
      <c r="OV411" s="457"/>
      <c r="OW411" s="457"/>
      <c r="OX411" s="457"/>
      <c r="OY411" s="457"/>
      <c r="OZ411" s="457"/>
      <c r="PA411" s="457"/>
      <c r="PB411" s="457"/>
      <c r="PC411" s="457"/>
      <c r="PD411" s="457"/>
      <c r="PE411" s="457"/>
      <c r="PF411" s="457"/>
      <c r="PG411" s="457"/>
      <c r="PH411" s="457"/>
      <c r="PI411" s="457"/>
      <c r="PJ411" s="457"/>
      <c r="PK411" s="457"/>
      <c r="PL411" s="457"/>
      <c r="PM411" s="457"/>
      <c r="PN411" s="457"/>
      <c r="PO411" s="457"/>
      <c r="PP411" s="457"/>
      <c r="PQ411" s="457"/>
      <c r="PR411" s="457"/>
      <c r="PS411" s="457"/>
      <c r="PT411" s="457"/>
      <c r="PU411" s="457"/>
      <c r="PV411" s="457"/>
      <c r="PW411" s="457"/>
      <c r="PX411" s="457"/>
      <c r="PY411" s="457"/>
      <c r="PZ411" s="457"/>
      <c r="QA411" s="457"/>
      <c r="QB411" s="457"/>
      <c r="QC411" s="457"/>
      <c r="QD411" s="457"/>
      <c r="QE411" s="457"/>
      <c r="QF411" s="457"/>
      <c r="QG411" s="457"/>
      <c r="QH411" s="457"/>
      <c r="QI411" s="457"/>
      <c r="QJ411" s="457"/>
      <c r="QK411" s="457"/>
      <c r="QL411" s="457"/>
      <c r="QM411" s="457"/>
      <c r="QN411" s="457"/>
      <c r="QO411" s="457"/>
      <c r="QP411" s="457"/>
      <c r="QQ411" s="457"/>
      <c r="QR411" s="457"/>
      <c r="QS411" s="457"/>
      <c r="QT411" s="457"/>
      <c r="QU411" s="457"/>
      <c r="QV411" s="457"/>
      <c r="QW411" s="457"/>
      <c r="QX411" s="457"/>
      <c r="QY411" s="457"/>
      <c r="QZ411" s="457"/>
      <c r="RA411" s="457"/>
      <c r="RB411" s="457"/>
      <c r="RC411" s="457"/>
      <c r="RD411" s="457"/>
      <c r="RE411" s="457"/>
      <c r="RF411" s="457"/>
      <c r="RG411" s="457"/>
      <c r="RH411" s="457"/>
      <c r="RI411" s="457"/>
      <c r="RJ411" s="457"/>
      <c r="RK411" s="457"/>
      <c r="RL411" s="457"/>
      <c r="RM411" s="457"/>
      <c r="RN411" s="457"/>
      <c r="RO411" s="457"/>
      <c r="RP411" s="457"/>
      <c r="RQ411" s="457"/>
      <c r="RR411" s="457"/>
      <c r="RS411" s="457"/>
      <c r="RT411" s="457"/>
      <c r="RU411" s="457"/>
      <c r="RV411" s="457"/>
      <c r="RW411" s="457"/>
      <c r="RX411" s="457"/>
      <c r="RY411" s="457"/>
      <c r="RZ411" s="457"/>
      <c r="SA411" s="457"/>
      <c r="SB411" s="457"/>
      <c r="SC411" s="457"/>
      <c r="SD411" s="457"/>
      <c r="SE411" s="457"/>
      <c r="SF411" s="457"/>
      <c r="SG411" s="457"/>
      <c r="SH411" s="457"/>
      <c r="SI411" s="457"/>
      <c r="SJ411" s="457"/>
      <c r="SK411" s="457"/>
      <c r="SL411" s="457"/>
      <c r="SM411" s="457"/>
      <c r="SN411" s="457"/>
      <c r="SO411" s="457"/>
      <c r="SP411" s="457"/>
      <c r="SQ411" s="457"/>
      <c r="SR411" s="457"/>
      <c r="SS411" s="457"/>
      <c r="ST411" s="457"/>
      <c r="SU411" s="457"/>
      <c r="SV411" s="457"/>
      <c r="SW411" s="457"/>
      <c r="SX411" s="457"/>
      <c r="SY411" s="457"/>
      <c r="SZ411" s="457"/>
      <c r="TA411" s="457"/>
      <c r="TB411" s="457"/>
      <c r="TC411" s="457"/>
      <c r="TD411" s="457"/>
      <c r="TE411" s="457"/>
      <c r="TF411" s="457"/>
      <c r="TG411" s="457"/>
      <c r="TH411" s="457"/>
      <c r="TI411" s="457"/>
      <c r="TJ411" s="457"/>
      <c r="TK411" s="457"/>
      <c r="TL411" s="457"/>
      <c r="TM411" s="457"/>
      <c r="TN411" s="457"/>
      <c r="TO411" s="457"/>
      <c r="TP411" s="457"/>
      <c r="TQ411" s="457"/>
      <c r="TR411" s="457"/>
      <c r="TS411" s="457"/>
      <c r="TT411" s="457"/>
      <c r="TU411" s="457"/>
      <c r="TV411" s="457"/>
      <c r="TW411" s="457"/>
      <c r="TX411" s="457"/>
      <c r="TY411" s="457"/>
      <c r="TZ411" s="457"/>
      <c r="UA411" s="457"/>
      <c r="UB411" s="457"/>
      <c r="UC411" s="457"/>
      <c r="UD411" s="457"/>
      <c r="UE411" s="457"/>
      <c r="UF411" s="457"/>
      <c r="UG411" s="457"/>
      <c r="UH411" s="457"/>
      <c r="UI411" s="457"/>
      <c r="UJ411" s="457"/>
      <c r="UK411" s="457"/>
      <c r="UL411" s="457"/>
      <c r="UM411" s="457"/>
      <c r="UN411" s="457"/>
      <c r="UO411" s="457"/>
      <c r="UP411" s="457"/>
      <c r="UQ411" s="457"/>
      <c r="UR411" s="457"/>
      <c r="US411" s="457"/>
      <c r="UT411" s="457"/>
      <c r="UU411" s="457"/>
      <c r="UV411" s="457"/>
      <c r="UW411" s="457"/>
      <c r="UX411" s="457"/>
      <c r="UY411" s="457"/>
      <c r="UZ411" s="457"/>
      <c r="VA411" s="457"/>
      <c r="VB411" s="457"/>
      <c r="VC411" s="457"/>
      <c r="VD411" s="457"/>
      <c r="VE411" s="457"/>
      <c r="VF411" s="457"/>
      <c r="VG411" s="457"/>
      <c r="VH411" s="457"/>
      <c r="VI411" s="457"/>
      <c r="VJ411" s="457"/>
      <c r="VK411" s="457"/>
      <c r="VL411" s="457"/>
      <c r="VM411" s="457"/>
      <c r="VN411" s="457"/>
      <c r="VO411" s="457"/>
      <c r="VP411" s="457"/>
      <c r="VQ411" s="457"/>
      <c r="VR411" s="457"/>
      <c r="VS411" s="457"/>
      <c r="VT411" s="457"/>
      <c r="VU411" s="457"/>
      <c r="VV411" s="457"/>
      <c r="VW411" s="457"/>
      <c r="VX411" s="457"/>
      <c r="VY411" s="457"/>
      <c r="VZ411" s="457"/>
      <c r="WA411" s="457"/>
      <c r="WB411" s="457"/>
      <c r="WC411" s="457"/>
      <c r="WD411" s="457"/>
      <c r="WE411" s="457"/>
      <c r="WF411" s="457"/>
      <c r="WG411" s="457"/>
      <c r="WH411" s="457"/>
      <c r="WI411" s="457"/>
      <c r="WJ411" s="457"/>
      <c r="WK411" s="457"/>
      <c r="WL411" s="457"/>
      <c r="WM411" s="457"/>
      <c r="WN411" s="457"/>
      <c r="WO411" s="457"/>
      <c r="WP411" s="457"/>
      <c r="WQ411" s="457"/>
      <c r="WR411" s="457"/>
      <c r="WS411" s="457"/>
      <c r="WT411" s="457"/>
      <c r="WU411" s="457"/>
      <c r="WV411" s="457"/>
      <c r="WW411" s="457"/>
      <c r="WX411" s="457"/>
      <c r="WY411" s="457"/>
      <c r="WZ411" s="457"/>
      <c r="XA411" s="457"/>
      <c r="XB411" s="457"/>
      <c r="XC411" s="457"/>
      <c r="XD411" s="457"/>
      <c r="XE411" s="457"/>
      <c r="XF411" s="457"/>
      <c r="XG411" s="457"/>
      <c r="XH411" s="457"/>
      <c r="XI411" s="457"/>
      <c r="XJ411" s="457"/>
      <c r="XK411" s="457"/>
      <c r="XL411" s="457"/>
      <c r="XM411" s="457"/>
      <c r="XN411" s="457"/>
      <c r="XO411" s="457"/>
      <c r="XP411" s="457"/>
      <c r="XQ411" s="457"/>
      <c r="XR411" s="457"/>
      <c r="XS411" s="457"/>
      <c r="XT411" s="457"/>
      <c r="XU411" s="457"/>
      <c r="XV411" s="457"/>
      <c r="XW411" s="457"/>
      <c r="XX411" s="457"/>
      <c r="XY411" s="457"/>
      <c r="XZ411" s="457"/>
      <c r="YA411" s="457"/>
      <c r="YB411" s="457"/>
      <c r="YC411" s="457"/>
      <c r="YD411" s="457"/>
      <c r="YE411" s="457"/>
      <c r="YF411" s="457"/>
      <c r="YG411" s="457"/>
      <c r="YH411" s="457"/>
      <c r="YI411" s="457"/>
      <c r="YJ411" s="457"/>
      <c r="YK411" s="457"/>
      <c r="YL411" s="457"/>
      <c r="YM411" s="457"/>
      <c r="YN411" s="457"/>
      <c r="YO411" s="457"/>
      <c r="YP411" s="457"/>
      <c r="YQ411" s="457"/>
      <c r="YR411" s="457"/>
      <c r="YS411" s="457"/>
      <c r="YT411" s="457"/>
      <c r="YU411" s="457"/>
      <c r="YV411" s="457"/>
      <c r="YW411" s="457"/>
      <c r="YX411" s="457"/>
      <c r="YY411" s="457"/>
      <c r="YZ411" s="457"/>
      <c r="ZA411" s="457"/>
      <c r="ZB411" s="457"/>
      <c r="ZC411" s="457"/>
      <c r="ZD411" s="457"/>
      <c r="ZE411" s="457"/>
      <c r="ZF411" s="457"/>
      <c r="ZG411" s="457"/>
      <c r="ZH411" s="457"/>
      <c r="ZI411" s="457"/>
      <c r="ZJ411" s="457"/>
      <c r="ZK411" s="457"/>
      <c r="ZL411" s="457"/>
      <c r="ZM411" s="457"/>
      <c r="ZN411" s="457"/>
      <c r="ZO411" s="457"/>
      <c r="ZP411" s="457"/>
      <c r="ZQ411" s="457"/>
      <c r="ZR411" s="457"/>
      <c r="ZS411" s="457"/>
      <c r="ZT411" s="457"/>
      <c r="ZU411" s="457"/>
      <c r="ZV411" s="457"/>
      <c r="ZW411" s="457"/>
      <c r="ZX411" s="457"/>
      <c r="ZY411" s="457"/>
      <c r="ZZ411" s="457"/>
      <c r="AAA411" s="457"/>
      <c r="AAB411" s="457"/>
      <c r="AAC411" s="457"/>
      <c r="AAD411" s="457"/>
      <c r="AAE411" s="457"/>
      <c r="AAF411" s="457"/>
      <c r="AAG411" s="457"/>
      <c r="AAH411" s="457"/>
      <c r="AAI411" s="457"/>
      <c r="AAJ411" s="457"/>
      <c r="AAK411" s="457"/>
      <c r="AAL411" s="457"/>
      <c r="AAM411" s="457"/>
      <c r="AAN411" s="457"/>
      <c r="AAO411" s="457"/>
      <c r="AAP411" s="457"/>
      <c r="AAQ411" s="457"/>
      <c r="AAR411" s="457"/>
      <c r="AAS411" s="457"/>
      <c r="AAT411" s="457"/>
      <c r="AAU411" s="457"/>
      <c r="AAV411" s="457"/>
      <c r="AAW411" s="457"/>
      <c r="AAX411" s="457"/>
      <c r="AAY411" s="457"/>
      <c r="AAZ411" s="457"/>
      <c r="ABA411" s="457"/>
      <c r="ABB411" s="457"/>
      <c r="ABC411" s="457"/>
      <c r="ABD411" s="457"/>
      <c r="ABE411" s="457"/>
      <c r="ABF411" s="457"/>
      <c r="ABG411" s="457"/>
      <c r="ABH411" s="457"/>
      <c r="ABI411" s="457"/>
      <c r="ABJ411" s="457"/>
      <c r="ABK411" s="457"/>
      <c r="ABL411" s="457"/>
      <c r="ABM411" s="457"/>
      <c r="ABN411" s="457"/>
      <c r="ABO411" s="457"/>
      <c r="ABP411" s="457"/>
      <c r="ABQ411" s="457"/>
      <c r="ABR411" s="457"/>
      <c r="ABS411" s="457"/>
      <c r="ABT411" s="457"/>
      <c r="ABU411" s="457"/>
      <c r="ABV411" s="457"/>
      <c r="ABW411" s="457"/>
      <c r="ABX411" s="457"/>
      <c r="ABY411" s="457"/>
      <c r="ABZ411" s="457"/>
      <c r="ACA411" s="457"/>
      <c r="ACB411" s="457"/>
      <c r="ACC411" s="457"/>
      <c r="ACD411" s="457"/>
      <c r="ACE411" s="457"/>
      <c r="ACF411" s="457"/>
      <c r="ACG411" s="457"/>
      <c r="ACH411" s="457"/>
      <c r="ACI411" s="457"/>
      <c r="ACJ411" s="457"/>
      <c r="ACK411" s="457"/>
      <c r="ACL411" s="457"/>
      <c r="ACM411" s="457"/>
      <c r="ACN411" s="457"/>
      <c r="ACO411" s="457"/>
      <c r="ACP411" s="457"/>
      <c r="ACQ411" s="457"/>
      <c r="ACR411" s="457"/>
      <c r="ACS411" s="457"/>
      <c r="ACT411" s="457"/>
      <c r="ACU411" s="457"/>
      <c r="ACV411" s="457"/>
    </row>
    <row r="412" spans="1:776" s="400" customFormat="1" x14ac:dyDescent="0.25">
      <c r="A412" s="470">
        <v>900125</v>
      </c>
      <c r="B412" s="237" t="s">
        <v>268</v>
      </c>
      <c r="C412" s="455"/>
      <c r="D412" s="454" t="s">
        <v>212</v>
      </c>
      <c r="E412" s="454">
        <v>2.78</v>
      </c>
      <c r="F412" s="456">
        <v>0.93</v>
      </c>
      <c r="G412" s="454">
        <v>0.01</v>
      </c>
      <c r="H412" s="454">
        <v>0.14000000000000001</v>
      </c>
      <c r="I412" s="456">
        <v>619.35</v>
      </c>
      <c r="J412" s="454">
        <v>137.80000000000001</v>
      </c>
      <c r="K412" s="456">
        <v>0.01</v>
      </c>
      <c r="L412" s="456">
        <v>379.2</v>
      </c>
      <c r="M412" s="454">
        <v>0.01</v>
      </c>
      <c r="N412" s="454">
        <v>1.87</v>
      </c>
      <c r="O412" s="454">
        <v>350.13</v>
      </c>
      <c r="P412" s="454">
        <v>130.13</v>
      </c>
      <c r="Q412" s="454">
        <v>58.55</v>
      </c>
      <c r="R412" s="467">
        <v>0.01</v>
      </c>
      <c r="S412" s="467">
        <v>0.01</v>
      </c>
      <c r="T412" s="454">
        <v>0.14000000000000001</v>
      </c>
      <c r="U412" s="454">
        <v>0.11</v>
      </c>
      <c r="V412" s="454"/>
      <c r="W412" s="457"/>
      <c r="X412" s="457"/>
      <c r="Y412" s="457"/>
      <c r="Z412" s="457"/>
      <c r="AA412" s="457"/>
      <c r="AB412" s="457"/>
      <c r="AC412" s="457"/>
      <c r="AD412" s="457"/>
      <c r="AE412" s="457"/>
      <c r="AF412" s="457"/>
      <c r="AG412" s="457"/>
      <c r="AH412" s="457"/>
      <c r="AI412" s="457"/>
      <c r="AJ412" s="457"/>
      <c r="AK412" s="457"/>
      <c r="AL412" s="457"/>
      <c r="AM412" s="457"/>
      <c r="AN412" s="457"/>
      <c r="AO412" s="457"/>
      <c r="AP412" s="457"/>
      <c r="AQ412" s="457"/>
      <c r="AR412" s="457"/>
      <c r="AS412" s="457"/>
      <c r="AT412" s="457"/>
      <c r="AU412" s="457"/>
      <c r="AV412" s="457"/>
      <c r="AW412" s="457"/>
      <c r="AX412" s="457"/>
      <c r="AY412" s="457"/>
      <c r="AZ412" s="457"/>
      <c r="BA412" s="457"/>
      <c r="BB412" s="457"/>
      <c r="BC412" s="457"/>
      <c r="BD412" s="457"/>
      <c r="BE412" s="457"/>
      <c r="BF412" s="457"/>
      <c r="BG412" s="457"/>
      <c r="BH412" s="457"/>
      <c r="BI412" s="457"/>
      <c r="BJ412" s="457"/>
      <c r="BK412" s="457"/>
      <c r="BL412" s="457"/>
      <c r="BM412" s="457"/>
      <c r="BN412" s="457"/>
      <c r="BO412" s="457"/>
      <c r="BP412" s="457"/>
      <c r="BQ412" s="457"/>
      <c r="BR412" s="457"/>
      <c r="BS412" s="457"/>
      <c r="BT412" s="457"/>
      <c r="BU412" s="457"/>
      <c r="BV412" s="457"/>
      <c r="BW412" s="457"/>
      <c r="BX412" s="457"/>
      <c r="BY412" s="457"/>
      <c r="BZ412" s="457"/>
      <c r="CA412" s="457"/>
      <c r="CB412" s="457"/>
      <c r="CC412" s="457"/>
      <c r="CD412" s="457"/>
      <c r="CE412" s="457"/>
      <c r="CF412" s="457"/>
      <c r="CG412" s="457"/>
      <c r="CH412" s="457"/>
      <c r="CI412" s="457"/>
      <c r="CJ412" s="457"/>
      <c r="CK412" s="457"/>
      <c r="CL412" s="457"/>
      <c r="CM412" s="457"/>
      <c r="CN412" s="457"/>
      <c r="CO412" s="457"/>
      <c r="CP412" s="457"/>
      <c r="CQ412" s="457"/>
      <c r="CR412" s="457"/>
      <c r="CS412" s="457"/>
      <c r="CT412" s="457"/>
      <c r="CU412" s="457"/>
      <c r="CV412" s="457"/>
      <c r="CW412" s="457"/>
      <c r="CX412" s="457"/>
      <c r="CY412" s="457"/>
      <c r="CZ412" s="457"/>
      <c r="DA412" s="457"/>
      <c r="DB412" s="457"/>
      <c r="DC412" s="457"/>
      <c r="DD412" s="457"/>
      <c r="DE412" s="457"/>
      <c r="DF412" s="457"/>
      <c r="DG412" s="457"/>
      <c r="DH412" s="457"/>
      <c r="DI412" s="457"/>
      <c r="DJ412" s="457"/>
      <c r="DK412" s="457"/>
      <c r="DL412" s="457"/>
      <c r="DM412" s="457"/>
      <c r="DN412" s="457"/>
      <c r="DO412" s="457"/>
      <c r="DP412" s="457"/>
      <c r="DQ412" s="457"/>
      <c r="DR412" s="457"/>
      <c r="DS412" s="457"/>
      <c r="DT412" s="457"/>
      <c r="DU412" s="457"/>
      <c r="DV412" s="457"/>
      <c r="DW412" s="457"/>
      <c r="DX412" s="457"/>
      <c r="DY412" s="457"/>
      <c r="DZ412" s="457"/>
      <c r="EA412" s="457"/>
      <c r="EB412" s="457"/>
      <c r="EC412" s="457"/>
      <c r="ED412" s="457"/>
      <c r="EE412" s="457"/>
      <c r="EF412" s="457"/>
      <c r="EG412" s="457"/>
      <c r="EH412" s="457"/>
      <c r="EI412" s="457"/>
      <c r="EJ412" s="457"/>
      <c r="EK412" s="457"/>
      <c r="EL412" s="457"/>
      <c r="EM412" s="457"/>
      <c r="EN412" s="457"/>
      <c r="EO412" s="457"/>
      <c r="EP412" s="457"/>
      <c r="EQ412" s="457"/>
      <c r="ER412" s="457"/>
      <c r="ES412" s="457"/>
      <c r="ET412" s="457"/>
      <c r="EU412" s="457"/>
      <c r="EV412" s="457"/>
      <c r="EW412" s="457"/>
      <c r="EX412" s="457"/>
      <c r="EY412" s="457"/>
      <c r="EZ412" s="457"/>
      <c r="FA412" s="457"/>
      <c r="FB412" s="457"/>
      <c r="FC412" s="457"/>
      <c r="FD412" s="457"/>
      <c r="FE412" s="457"/>
      <c r="FF412" s="457"/>
      <c r="FG412" s="457"/>
      <c r="FH412" s="457"/>
      <c r="FI412" s="457"/>
      <c r="FJ412" s="457"/>
      <c r="FK412" s="457"/>
      <c r="FL412" s="457"/>
      <c r="FM412" s="457"/>
      <c r="FN412" s="457"/>
      <c r="FO412" s="457"/>
      <c r="FP412" s="457"/>
      <c r="FQ412" s="457"/>
      <c r="FR412" s="457"/>
      <c r="FS412" s="457"/>
      <c r="FT412" s="457"/>
      <c r="FU412" s="457"/>
      <c r="FV412" s="457"/>
      <c r="FW412" s="457"/>
      <c r="FX412" s="457"/>
      <c r="FY412" s="457"/>
      <c r="FZ412" s="457"/>
      <c r="GA412" s="457"/>
      <c r="GB412" s="457"/>
      <c r="GC412" s="457"/>
      <c r="GD412" s="457"/>
      <c r="GE412" s="457"/>
      <c r="GF412" s="457"/>
      <c r="GG412" s="457"/>
      <c r="GH412" s="457"/>
      <c r="GI412" s="457"/>
      <c r="GJ412" s="457"/>
      <c r="GK412" s="457"/>
      <c r="GL412" s="457"/>
      <c r="GM412" s="457"/>
      <c r="GN412" s="457"/>
      <c r="GO412" s="457"/>
      <c r="GP412" s="457"/>
      <c r="GQ412" s="457"/>
      <c r="GR412" s="457"/>
      <c r="GS412" s="457"/>
      <c r="GT412" s="457"/>
      <c r="GU412" s="457"/>
      <c r="GV412" s="457"/>
      <c r="GW412" s="457"/>
      <c r="GX412" s="457"/>
      <c r="GY412" s="457"/>
      <c r="GZ412" s="457"/>
      <c r="HA412" s="457"/>
      <c r="HB412" s="457"/>
      <c r="HC412" s="457"/>
      <c r="HD412" s="457"/>
      <c r="HE412" s="457"/>
      <c r="HF412" s="457"/>
      <c r="HG412" s="457"/>
      <c r="HH412" s="457"/>
      <c r="HI412" s="457"/>
      <c r="HJ412" s="457"/>
      <c r="HK412" s="457"/>
      <c r="HL412" s="457"/>
      <c r="HM412" s="457"/>
      <c r="HN412" s="457"/>
      <c r="HO412" s="457"/>
      <c r="HP412" s="457"/>
      <c r="HQ412" s="457"/>
      <c r="HR412" s="457"/>
      <c r="HS412" s="457"/>
      <c r="HT412" s="457"/>
      <c r="HU412" s="457"/>
      <c r="HV412" s="457"/>
      <c r="HW412" s="457"/>
      <c r="HX412" s="457"/>
      <c r="HY412" s="457"/>
      <c r="HZ412" s="457"/>
      <c r="IA412" s="457"/>
      <c r="IB412" s="457"/>
      <c r="IC412" s="457"/>
      <c r="ID412" s="457"/>
      <c r="IE412" s="457"/>
      <c r="IF412" s="457"/>
      <c r="IG412" s="457"/>
      <c r="IH412" s="457"/>
      <c r="II412" s="457"/>
      <c r="IJ412" s="457"/>
      <c r="IK412" s="457"/>
      <c r="IL412" s="457"/>
      <c r="IM412" s="457"/>
      <c r="IN412" s="457"/>
      <c r="IO412" s="457"/>
      <c r="IP412" s="457"/>
      <c r="IQ412" s="457"/>
      <c r="IR412" s="457"/>
      <c r="IS412" s="457"/>
      <c r="IT412" s="457"/>
      <c r="IU412" s="457"/>
      <c r="IV412" s="457"/>
      <c r="IW412" s="457"/>
      <c r="IX412" s="457"/>
      <c r="IY412" s="457"/>
      <c r="IZ412" s="457"/>
      <c r="JA412" s="457"/>
      <c r="JB412" s="457"/>
      <c r="JC412" s="457"/>
      <c r="JD412" s="457"/>
      <c r="JE412" s="457"/>
      <c r="JF412" s="457"/>
      <c r="JG412" s="457"/>
      <c r="JH412" s="457"/>
      <c r="JI412" s="457"/>
      <c r="JJ412" s="457"/>
      <c r="JK412" s="457"/>
      <c r="JL412" s="457"/>
      <c r="JM412" s="457"/>
      <c r="JN412" s="457"/>
      <c r="JO412" s="457"/>
      <c r="JP412" s="457"/>
      <c r="JQ412" s="457"/>
      <c r="JR412" s="457"/>
      <c r="JS412" s="457"/>
      <c r="JT412" s="457"/>
      <c r="JU412" s="457"/>
      <c r="JV412" s="457"/>
      <c r="JW412" s="457"/>
      <c r="JX412" s="457"/>
      <c r="JY412" s="457"/>
      <c r="JZ412" s="457"/>
      <c r="KA412" s="457"/>
      <c r="KB412" s="457"/>
      <c r="KC412" s="457"/>
      <c r="KD412" s="457"/>
      <c r="KE412" s="457"/>
      <c r="KF412" s="457"/>
      <c r="KG412" s="457"/>
      <c r="KH412" s="457"/>
      <c r="KI412" s="457"/>
      <c r="KJ412" s="457"/>
      <c r="KK412" s="457"/>
      <c r="KL412" s="457"/>
      <c r="KM412" s="457"/>
      <c r="KN412" s="457"/>
      <c r="KO412" s="457"/>
      <c r="KP412" s="457"/>
      <c r="KQ412" s="457"/>
      <c r="KR412" s="457"/>
      <c r="KS412" s="457"/>
      <c r="KT412" s="457"/>
      <c r="KU412" s="457"/>
      <c r="KV412" s="457"/>
      <c r="KW412" s="457"/>
      <c r="KX412" s="457"/>
      <c r="KY412" s="457"/>
      <c r="KZ412" s="457"/>
      <c r="LA412" s="457"/>
      <c r="LB412" s="457"/>
      <c r="LC412" s="457"/>
      <c r="LD412" s="457"/>
      <c r="LE412" s="457"/>
      <c r="LF412" s="457"/>
      <c r="LG412" s="457"/>
      <c r="LH412" s="457"/>
      <c r="LI412" s="457"/>
      <c r="LJ412" s="457"/>
      <c r="LK412" s="457"/>
      <c r="LL412" s="457"/>
      <c r="LM412" s="457"/>
      <c r="LN412" s="457"/>
      <c r="LO412" s="457"/>
      <c r="LP412" s="457"/>
      <c r="LQ412" s="457"/>
      <c r="LR412" s="457"/>
      <c r="LS412" s="457"/>
      <c r="LT412" s="457"/>
      <c r="LU412" s="457"/>
      <c r="LV412" s="457"/>
      <c r="LW412" s="457"/>
      <c r="LX412" s="457"/>
      <c r="LY412" s="457"/>
      <c r="LZ412" s="457"/>
      <c r="MA412" s="457"/>
      <c r="MB412" s="457"/>
      <c r="MC412" s="457"/>
      <c r="MD412" s="457"/>
      <c r="ME412" s="457"/>
      <c r="MF412" s="457"/>
      <c r="MG412" s="457"/>
      <c r="MH412" s="457"/>
      <c r="MI412" s="457"/>
      <c r="MJ412" s="457"/>
      <c r="MK412" s="457"/>
      <c r="ML412" s="457"/>
      <c r="MM412" s="457"/>
      <c r="MN412" s="457"/>
      <c r="MO412" s="457"/>
      <c r="MP412" s="457"/>
      <c r="MQ412" s="457"/>
      <c r="MR412" s="457"/>
      <c r="MS412" s="457"/>
      <c r="MT412" s="457"/>
      <c r="MU412" s="457"/>
      <c r="MV412" s="457"/>
      <c r="MW412" s="457"/>
      <c r="MX412" s="457"/>
      <c r="MY412" s="457"/>
      <c r="MZ412" s="457"/>
      <c r="NA412" s="457"/>
      <c r="NB412" s="457"/>
      <c r="NC412" s="457"/>
      <c r="ND412" s="457"/>
      <c r="NE412" s="457"/>
      <c r="NF412" s="457"/>
      <c r="NG412" s="457"/>
      <c r="NH412" s="457"/>
      <c r="NI412" s="457"/>
      <c r="NJ412" s="457"/>
      <c r="NK412" s="457"/>
      <c r="NL412" s="457"/>
      <c r="NM412" s="457"/>
      <c r="NN412" s="457"/>
      <c r="NO412" s="457"/>
      <c r="NP412" s="457"/>
      <c r="NQ412" s="457"/>
      <c r="NR412" s="457"/>
      <c r="NS412" s="457"/>
      <c r="NT412" s="457"/>
      <c r="NU412" s="457"/>
      <c r="NV412" s="457"/>
      <c r="NW412" s="457"/>
      <c r="NX412" s="457"/>
      <c r="NY412" s="457"/>
      <c r="NZ412" s="457"/>
      <c r="OA412" s="457"/>
      <c r="OB412" s="457"/>
      <c r="OC412" s="457"/>
      <c r="OD412" s="457"/>
      <c r="OE412" s="457"/>
      <c r="OF412" s="457"/>
      <c r="OG412" s="457"/>
      <c r="OH412" s="457"/>
      <c r="OI412" s="457"/>
      <c r="OJ412" s="457"/>
      <c r="OK412" s="457"/>
      <c r="OL412" s="457"/>
      <c r="OM412" s="457"/>
      <c r="ON412" s="457"/>
      <c r="OO412" s="457"/>
      <c r="OP412" s="457"/>
      <c r="OQ412" s="457"/>
      <c r="OR412" s="457"/>
      <c r="OS412" s="457"/>
      <c r="OT412" s="457"/>
      <c r="OU412" s="457"/>
      <c r="OV412" s="457"/>
      <c r="OW412" s="457"/>
      <c r="OX412" s="457"/>
      <c r="OY412" s="457"/>
      <c r="OZ412" s="457"/>
      <c r="PA412" s="457"/>
      <c r="PB412" s="457"/>
      <c r="PC412" s="457"/>
      <c r="PD412" s="457"/>
      <c r="PE412" s="457"/>
      <c r="PF412" s="457"/>
      <c r="PG412" s="457"/>
      <c r="PH412" s="457"/>
      <c r="PI412" s="457"/>
      <c r="PJ412" s="457"/>
      <c r="PK412" s="457"/>
      <c r="PL412" s="457"/>
      <c r="PM412" s="457"/>
      <c r="PN412" s="457"/>
      <c r="PO412" s="457"/>
      <c r="PP412" s="457"/>
      <c r="PQ412" s="457"/>
      <c r="PR412" s="457"/>
      <c r="PS412" s="457"/>
      <c r="PT412" s="457"/>
      <c r="PU412" s="457"/>
      <c r="PV412" s="457"/>
      <c r="PW412" s="457"/>
      <c r="PX412" s="457"/>
      <c r="PY412" s="457"/>
      <c r="PZ412" s="457"/>
      <c r="QA412" s="457"/>
      <c r="QB412" s="457"/>
      <c r="QC412" s="457"/>
      <c r="QD412" s="457"/>
      <c r="QE412" s="457"/>
      <c r="QF412" s="457"/>
      <c r="QG412" s="457"/>
      <c r="QH412" s="457"/>
      <c r="QI412" s="457"/>
      <c r="QJ412" s="457"/>
      <c r="QK412" s="457"/>
      <c r="QL412" s="457"/>
      <c r="QM412" s="457"/>
      <c r="QN412" s="457"/>
      <c r="QO412" s="457"/>
      <c r="QP412" s="457"/>
      <c r="QQ412" s="457"/>
      <c r="QR412" s="457"/>
      <c r="QS412" s="457"/>
      <c r="QT412" s="457"/>
      <c r="QU412" s="457"/>
      <c r="QV412" s="457"/>
      <c r="QW412" s="457"/>
      <c r="QX412" s="457"/>
      <c r="QY412" s="457"/>
      <c r="QZ412" s="457"/>
      <c r="RA412" s="457"/>
      <c r="RB412" s="457"/>
      <c r="RC412" s="457"/>
      <c r="RD412" s="457"/>
      <c r="RE412" s="457"/>
      <c r="RF412" s="457"/>
      <c r="RG412" s="457"/>
      <c r="RH412" s="457"/>
      <c r="RI412" s="457"/>
      <c r="RJ412" s="457"/>
      <c r="RK412" s="457"/>
      <c r="RL412" s="457"/>
      <c r="RM412" s="457"/>
      <c r="RN412" s="457"/>
      <c r="RO412" s="457"/>
      <c r="RP412" s="457"/>
      <c r="RQ412" s="457"/>
      <c r="RR412" s="457"/>
      <c r="RS412" s="457"/>
      <c r="RT412" s="457"/>
      <c r="RU412" s="457"/>
      <c r="RV412" s="457"/>
      <c r="RW412" s="457"/>
      <c r="RX412" s="457"/>
      <c r="RY412" s="457"/>
      <c r="RZ412" s="457"/>
      <c r="SA412" s="457"/>
      <c r="SB412" s="457"/>
      <c r="SC412" s="457"/>
      <c r="SD412" s="457"/>
      <c r="SE412" s="457"/>
      <c r="SF412" s="457"/>
      <c r="SG412" s="457"/>
      <c r="SH412" s="457"/>
      <c r="SI412" s="457"/>
      <c r="SJ412" s="457"/>
      <c r="SK412" s="457"/>
      <c r="SL412" s="457"/>
      <c r="SM412" s="457"/>
      <c r="SN412" s="457"/>
      <c r="SO412" s="457"/>
      <c r="SP412" s="457"/>
      <c r="SQ412" s="457"/>
      <c r="SR412" s="457"/>
      <c r="SS412" s="457"/>
      <c r="ST412" s="457"/>
      <c r="SU412" s="457"/>
      <c r="SV412" s="457"/>
      <c r="SW412" s="457"/>
      <c r="SX412" s="457"/>
      <c r="SY412" s="457"/>
      <c r="SZ412" s="457"/>
      <c r="TA412" s="457"/>
      <c r="TB412" s="457"/>
      <c r="TC412" s="457"/>
      <c r="TD412" s="457"/>
      <c r="TE412" s="457"/>
      <c r="TF412" s="457"/>
      <c r="TG412" s="457"/>
      <c r="TH412" s="457"/>
      <c r="TI412" s="457"/>
      <c r="TJ412" s="457"/>
      <c r="TK412" s="457"/>
      <c r="TL412" s="457"/>
      <c r="TM412" s="457"/>
      <c r="TN412" s="457"/>
      <c r="TO412" s="457"/>
      <c r="TP412" s="457"/>
      <c r="TQ412" s="457"/>
      <c r="TR412" s="457"/>
      <c r="TS412" s="457"/>
      <c r="TT412" s="457"/>
      <c r="TU412" s="457"/>
      <c r="TV412" s="457"/>
      <c r="TW412" s="457"/>
      <c r="TX412" s="457"/>
      <c r="TY412" s="457"/>
      <c r="TZ412" s="457"/>
      <c r="UA412" s="457"/>
      <c r="UB412" s="457"/>
      <c r="UC412" s="457"/>
      <c r="UD412" s="457"/>
      <c r="UE412" s="457"/>
      <c r="UF412" s="457"/>
      <c r="UG412" s="457"/>
      <c r="UH412" s="457"/>
      <c r="UI412" s="457"/>
      <c r="UJ412" s="457"/>
      <c r="UK412" s="457"/>
      <c r="UL412" s="457"/>
      <c r="UM412" s="457"/>
      <c r="UN412" s="457"/>
      <c r="UO412" s="457"/>
      <c r="UP412" s="457"/>
      <c r="UQ412" s="457"/>
      <c r="UR412" s="457"/>
      <c r="US412" s="457"/>
      <c r="UT412" s="457"/>
      <c r="UU412" s="457"/>
      <c r="UV412" s="457"/>
      <c r="UW412" s="457"/>
      <c r="UX412" s="457"/>
      <c r="UY412" s="457"/>
      <c r="UZ412" s="457"/>
      <c r="VA412" s="457"/>
      <c r="VB412" s="457"/>
      <c r="VC412" s="457"/>
      <c r="VD412" s="457"/>
      <c r="VE412" s="457"/>
      <c r="VF412" s="457"/>
      <c r="VG412" s="457"/>
      <c r="VH412" s="457"/>
      <c r="VI412" s="457"/>
      <c r="VJ412" s="457"/>
      <c r="VK412" s="457"/>
      <c r="VL412" s="457"/>
      <c r="VM412" s="457"/>
      <c r="VN412" s="457"/>
      <c r="VO412" s="457"/>
      <c r="VP412" s="457"/>
      <c r="VQ412" s="457"/>
      <c r="VR412" s="457"/>
      <c r="VS412" s="457"/>
      <c r="VT412" s="457"/>
      <c r="VU412" s="457"/>
      <c r="VV412" s="457"/>
      <c r="VW412" s="457"/>
      <c r="VX412" s="457"/>
      <c r="VY412" s="457"/>
      <c r="VZ412" s="457"/>
      <c r="WA412" s="457"/>
      <c r="WB412" s="457"/>
      <c r="WC412" s="457"/>
      <c r="WD412" s="457"/>
      <c r="WE412" s="457"/>
      <c r="WF412" s="457"/>
      <c r="WG412" s="457"/>
      <c r="WH412" s="457"/>
      <c r="WI412" s="457"/>
      <c r="WJ412" s="457"/>
      <c r="WK412" s="457"/>
      <c r="WL412" s="457"/>
      <c r="WM412" s="457"/>
      <c r="WN412" s="457"/>
      <c r="WO412" s="457"/>
      <c r="WP412" s="457"/>
      <c r="WQ412" s="457"/>
      <c r="WR412" s="457"/>
      <c r="WS412" s="457"/>
      <c r="WT412" s="457"/>
      <c r="WU412" s="457"/>
      <c r="WV412" s="457"/>
      <c r="WW412" s="457"/>
      <c r="WX412" s="457"/>
      <c r="WY412" s="457"/>
      <c r="WZ412" s="457"/>
      <c r="XA412" s="457"/>
      <c r="XB412" s="457"/>
      <c r="XC412" s="457"/>
      <c r="XD412" s="457"/>
      <c r="XE412" s="457"/>
      <c r="XF412" s="457"/>
      <c r="XG412" s="457"/>
      <c r="XH412" s="457"/>
      <c r="XI412" s="457"/>
      <c r="XJ412" s="457"/>
      <c r="XK412" s="457"/>
      <c r="XL412" s="457"/>
      <c r="XM412" s="457"/>
      <c r="XN412" s="457"/>
      <c r="XO412" s="457"/>
      <c r="XP412" s="457"/>
      <c r="XQ412" s="457"/>
      <c r="XR412" s="457"/>
      <c r="XS412" s="457"/>
      <c r="XT412" s="457"/>
      <c r="XU412" s="457"/>
      <c r="XV412" s="457"/>
      <c r="XW412" s="457"/>
      <c r="XX412" s="457"/>
      <c r="XY412" s="457"/>
      <c r="XZ412" s="457"/>
      <c r="YA412" s="457"/>
      <c r="YB412" s="457"/>
      <c r="YC412" s="457"/>
      <c r="YD412" s="457"/>
      <c r="YE412" s="457"/>
      <c r="YF412" s="457"/>
      <c r="YG412" s="457"/>
      <c r="YH412" s="457"/>
      <c r="YI412" s="457"/>
      <c r="YJ412" s="457"/>
      <c r="YK412" s="457"/>
      <c r="YL412" s="457"/>
      <c r="YM412" s="457"/>
      <c r="YN412" s="457"/>
      <c r="YO412" s="457"/>
      <c r="YP412" s="457"/>
      <c r="YQ412" s="457"/>
      <c r="YR412" s="457"/>
      <c r="YS412" s="457"/>
      <c r="YT412" s="457"/>
      <c r="YU412" s="457"/>
      <c r="YV412" s="457"/>
      <c r="YW412" s="457"/>
      <c r="YX412" s="457"/>
      <c r="YY412" s="457"/>
      <c r="YZ412" s="457"/>
      <c r="ZA412" s="457"/>
      <c r="ZB412" s="457"/>
      <c r="ZC412" s="457"/>
      <c r="ZD412" s="457"/>
      <c r="ZE412" s="457"/>
      <c r="ZF412" s="457"/>
      <c r="ZG412" s="457"/>
      <c r="ZH412" s="457"/>
      <c r="ZI412" s="457"/>
      <c r="ZJ412" s="457"/>
      <c r="ZK412" s="457"/>
      <c r="ZL412" s="457"/>
      <c r="ZM412" s="457"/>
      <c r="ZN412" s="457"/>
      <c r="ZO412" s="457"/>
      <c r="ZP412" s="457"/>
      <c r="ZQ412" s="457"/>
      <c r="ZR412" s="457"/>
      <c r="ZS412" s="457"/>
      <c r="ZT412" s="457"/>
      <c r="ZU412" s="457"/>
      <c r="ZV412" s="457"/>
      <c r="ZW412" s="457"/>
      <c r="ZX412" s="457"/>
      <c r="ZY412" s="457"/>
      <c r="ZZ412" s="457"/>
      <c r="AAA412" s="457"/>
      <c r="AAB412" s="457"/>
      <c r="AAC412" s="457"/>
      <c r="AAD412" s="457"/>
      <c r="AAE412" s="457"/>
      <c r="AAF412" s="457"/>
      <c r="AAG412" s="457"/>
      <c r="AAH412" s="457"/>
      <c r="AAI412" s="457"/>
      <c r="AAJ412" s="457"/>
      <c r="AAK412" s="457"/>
      <c r="AAL412" s="457"/>
      <c r="AAM412" s="457"/>
      <c r="AAN412" s="457"/>
      <c r="AAO412" s="457"/>
      <c r="AAP412" s="457"/>
      <c r="AAQ412" s="457"/>
      <c r="AAR412" s="457"/>
      <c r="AAS412" s="457"/>
      <c r="AAT412" s="457"/>
      <c r="AAU412" s="457"/>
      <c r="AAV412" s="457"/>
      <c r="AAW412" s="457"/>
      <c r="AAX412" s="457"/>
      <c r="AAY412" s="457"/>
      <c r="AAZ412" s="457"/>
      <c r="ABA412" s="457"/>
      <c r="ABB412" s="457"/>
      <c r="ABC412" s="457"/>
      <c r="ABD412" s="457"/>
      <c r="ABE412" s="457"/>
      <c r="ABF412" s="457"/>
      <c r="ABG412" s="457"/>
      <c r="ABH412" s="457"/>
      <c r="ABI412" s="457"/>
      <c r="ABJ412" s="457"/>
      <c r="ABK412" s="457"/>
      <c r="ABL412" s="457"/>
      <c r="ABM412" s="457"/>
      <c r="ABN412" s="457"/>
      <c r="ABO412" s="457"/>
      <c r="ABP412" s="457"/>
      <c r="ABQ412" s="457"/>
      <c r="ABR412" s="457"/>
      <c r="ABS412" s="457"/>
      <c r="ABT412" s="457"/>
      <c r="ABU412" s="457"/>
      <c r="ABV412" s="457"/>
      <c r="ABW412" s="457"/>
      <c r="ABX412" s="457"/>
      <c r="ABY412" s="457"/>
      <c r="ABZ412" s="457"/>
      <c r="ACA412" s="457"/>
      <c r="ACB412" s="457"/>
      <c r="ACC412" s="457"/>
      <c r="ACD412" s="457"/>
      <c r="ACE412" s="457"/>
      <c r="ACF412" s="457"/>
      <c r="ACG412" s="457"/>
      <c r="ACH412" s="457"/>
      <c r="ACI412" s="457"/>
      <c r="ACJ412" s="457"/>
      <c r="ACK412" s="457"/>
      <c r="ACL412" s="457"/>
      <c r="ACM412" s="457"/>
      <c r="ACN412" s="457"/>
      <c r="ACO412" s="457"/>
      <c r="ACP412" s="457"/>
      <c r="ACQ412" s="457"/>
      <c r="ACR412" s="457"/>
      <c r="ACS412" s="457"/>
      <c r="ACT412" s="457"/>
      <c r="ACU412" s="457"/>
      <c r="ACV412" s="457"/>
    </row>
    <row r="413" spans="1:776" s="400" customFormat="1" x14ac:dyDescent="0.25">
      <c r="A413" s="470">
        <v>900126</v>
      </c>
      <c r="B413" s="237" t="s">
        <v>269</v>
      </c>
      <c r="C413" s="455"/>
      <c r="D413" s="454" t="s">
        <v>270</v>
      </c>
      <c r="E413" s="454">
        <v>0.41799999999999998</v>
      </c>
      <c r="F413" s="456">
        <v>40.5</v>
      </c>
      <c r="G413" s="454">
        <v>0.01</v>
      </c>
      <c r="H413" s="454">
        <v>0.08</v>
      </c>
      <c r="I413" s="456">
        <v>31.98</v>
      </c>
      <c r="J413" s="454">
        <v>0.01</v>
      </c>
      <c r="K413" s="456">
        <v>0.01</v>
      </c>
      <c r="L413" s="456">
        <v>165.6</v>
      </c>
      <c r="M413" s="454">
        <v>0.01</v>
      </c>
      <c r="N413" s="454">
        <v>0.56000000000000005</v>
      </c>
      <c r="O413" s="454">
        <v>19.87</v>
      </c>
      <c r="P413" s="454">
        <v>59.81</v>
      </c>
      <c r="Q413" s="454">
        <v>8.3699999999999992</v>
      </c>
      <c r="R413" s="467">
        <v>0.01</v>
      </c>
      <c r="S413" s="467">
        <v>0.01</v>
      </c>
      <c r="T413" s="467">
        <v>0.01</v>
      </c>
      <c r="U413" s="454">
        <v>0.05</v>
      </c>
      <c r="V413" s="454"/>
      <c r="W413" s="457"/>
      <c r="X413" s="457"/>
      <c r="Y413" s="457"/>
      <c r="Z413" s="457"/>
      <c r="AA413" s="457"/>
      <c r="AB413" s="457"/>
      <c r="AC413" s="457"/>
      <c r="AD413" s="457"/>
      <c r="AE413" s="457"/>
      <c r="AF413" s="457"/>
      <c r="AG413" s="457"/>
      <c r="AH413" s="457"/>
      <c r="AI413" s="457"/>
      <c r="AJ413" s="457"/>
      <c r="AK413" s="457"/>
      <c r="AL413" s="457"/>
      <c r="AM413" s="457"/>
      <c r="AN413" s="457"/>
      <c r="AO413" s="457"/>
      <c r="AP413" s="457"/>
      <c r="AQ413" s="457"/>
      <c r="AR413" s="457"/>
      <c r="AS413" s="457"/>
      <c r="AT413" s="457"/>
      <c r="AU413" s="457"/>
      <c r="AV413" s="457"/>
      <c r="AW413" s="457"/>
      <c r="AX413" s="457"/>
      <c r="AY413" s="457"/>
      <c r="AZ413" s="457"/>
      <c r="BA413" s="457"/>
      <c r="BB413" s="457"/>
      <c r="BC413" s="457"/>
      <c r="BD413" s="457"/>
      <c r="BE413" s="457"/>
      <c r="BF413" s="457"/>
      <c r="BG413" s="457"/>
      <c r="BH413" s="457"/>
      <c r="BI413" s="457"/>
      <c r="BJ413" s="457"/>
      <c r="BK413" s="457"/>
      <c r="BL413" s="457"/>
      <c r="BM413" s="457"/>
      <c r="BN413" s="457"/>
      <c r="BO413" s="457"/>
      <c r="BP413" s="457"/>
      <c r="BQ413" s="457"/>
      <c r="BR413" s="457"/>
      <c r="BS413" s="457"/>
      <c r="BT413" s="457"/>
      <c r="BU413" s="457"/>
      <c r="BV413" s="457"/>
      <c r="BW413" s="457"/>
      <c r="BX413" s="457"/>
      <c r="BY413" s="457"/>
      <c r="BZ413" s="457"/>
      <c r="CA413" s="457"/>
      <c r="CB413" s="457"/>
      <c r="CC413" s="457"/>
      <c r="CD413" s="457"/>
      <c r="CE413" s="457"/>
      <c r="CF413" s="457"/>
      <c r="CG413" s="457"/>
      <c r="CH413" s="457"/>
      <c r="CI413" s="457"/>
      <c r="CJ413" s="457"/>
      <c r="CK413" s="457"/>
      <c r="CL413" s="457"/>
      <c r="CM413" s="457"/>
      <c r="CN413" s="457"/>
      <c r="CO413" s="457"/>
      <c r="CP413" s="457"/>
      <c r="CQ413" s="457"/>
      <c r="CR413" s="457"/>
      <c r="CS413" s="457"/>
      <c r="CT413" s="457"/>
      <c r="CU413" s="457"/>
      <c r="CV413" s="457"/>
      <c r="CW413" s="457"/>
      <c r="CX413" s="457"/>
      <c r="CY413" s="457"/>
      <c r="CZ413" s="457"/>
      <c r="DA413" s="457"/>
      <c r="DB413" s="457"/>
      <c r="DC413" s="457"/>
      <c r="DD413" s="457"/>
      <c r="DE413" s="457"/>
      <c r="DF413" s="457"/>
      <c r="DG413" s="457"/>
      <c r="DH413" s="457"/>
      <c r="DI413" s="457"/>
      <c r="DJ413" s="457"/>
      <c r="DK413" s="457"/>
      <c r="DL413" s="457"/>
      <c r="DM413" s="457"/>
      <c r="DN413" s="457"/>
      <c r="DO413" s="457"/>
      <c r="DP413" s="457"/>
      <c r="DQ413" s="457"/>
      <c r="DR413" s="457"/>
      <c r="DS413" s="457"/>
      <c r="DT413" s="457"/>
      <c r="DU413" s="457"/>
      <c r="DV413" s="457"/>
      <c r="DW413" s="457"/>
      <c r="DX413" s="457"/>
      <c r="DY413" s="457"/>
      <c r="DZ413" s="457"/>
      <c r="EA413" s="457"/>
      <c r="EB413" s="457"/>
      <c r="EC413" s="457"/>
      <c r="ED413" s="457"/>
      <c r="EE413" s="457"/>
      <c r="EF413" s="457"/>
      <c r="EG413" s="457"/>
      <c r="EH413" s="457"/>
      <c r="EI413" s="457"/>
      <c r="EJ413" s="457"/>
      <c r="EK413" s="457"/>
      <c r="EL413" s="457"/>
      <c r="EM413" s="457"/>
      <c r="EN413" s="457"/>
      <c r="EO413" s="457"/>
      <c r="EP413" s="457"/>
      <c r="EQ413" s="457"/>
      <c r="ER413" s="457"/>
      <c r="ES413" s="457"/>
      <c r="ET413" s="457"/>
      <c r="EU413" s="457"/>
      <c r="EV413" s="457"/>
      <c r="EW413" s="457"/>
      <c r="EX413" s="457"/>
      <c r="EY413" s="457"/>
      <c r="EZ413" s="457"/>
      <c r="FA413" s="457"/>
      <c r="FB413" s="457"/>
      <c r="FC413" s="457"/>
      <c r="FD413" s="457"/>
      <c r="FE413" s="457"/>
      <c r="FF413" s="457"/>
      <c r="FG413" s="457"/>
      <c r="FH413" s="457"/>
      <c r="FI413" s="457"/>
      <c r="FJ413" s="457"/>
      <c r="FK413" s="457"/>
      <c r="FL413" s="457"/>
      <c r="FM413" s="457"/>
      <c r="FN413" s="457"/>
      <c r="FO413" s="457"/>
      <c r="FP413" s="457"/>
      <c r="FQ413" s="457"/>
      <c r="FR413" s="457"/>
      <c r="FS413" s="457"/>
      <c r="FT413" s="457"/>
      <c r="FU413" s="457"/>
      <c r="FV413" s="457"/>
      <c r="FW413" s="457"/>
      <c r="FX413" s="457"/>
      <c r="FY413" s="457"/>
      <c r="FZ413" s="457"/>
      <c r="GA413" s="457"/>
      <c r="GB413" s="457"/>
      <c r="GC413" s="457"/>
      <c r="GD413" s="457"/>
      <c r="GE413" s="457"/>
      <c r="GF413" s="457"/>
      <c r="GG413" s="457"/>
      <c r="GH413" s="457"/>
      <c r="GI413" s="457"/>
      <c r="GJ413" s="457"/>
      <c r="GK413" s="457"/>
      <c r="GL413" s="457"/>
      <c r="GM413" s="457"/>
      <c r="GN413" s="457"/>
      <c r="GO413" s="457"/>
      <c r="GP413" s="457"/>
      <c r="GQ413" s="457"/>
      <c r="GR413" s="457"/>
      <c r="GS413" s="457"/>
      <c r="GT413" s="457"/>
      <c r="GU413" s="457"/>
      <c r="GV413" s="457"/>
      <c r="GW413" s="457"/>
      <c r="GX413" s="457"/>
      <c r="GY413" s="457"/>
      <c r="GZ413" s="457"/>
      <c r="HA413" s="457"/>
      <c r="HB413" s="457"/>
      <c r="HC413" s="457"/>
      <c r="HD413" s="457"/>
      <c r="HE413" s="457"/>
      <c r="HF413" s="457"/>
      <c r="HG413" s="457"/>
      <c r="HH413" s="457"/>
      <c r="HI413" s="457"/>
      <c r="HJ413" s="457"/>
      <c r="HK413" s="457"/>
      <c r="HL413" s="457"/>
      <c r="HM413" s="457"/>
      <c r="HN413" s="457"/>
      <c r="HO413" s="457"/>
      <c r="HP413" s="457"/>
      <c r="HQ413" s="457"/>
      <c r="HR413" s="457"/>
      <c r="HS413" s="457"/>
      <c r="HT413" s="457"/>
      <c r="HU413" s="457"/>
      <c r="HV413" s="457"/>
      <c r="HW413" s="457"/>
      <c r="HX413" s="457"/>
      <c r="HY413" s="457"/>
      <c r="HZ413" s="457"/>
      <c r="IA413" s="457"/>
      <c r="IB413" s="457"/>
      <c r="IC413" s="457"/>
      <c r="ID413" s="457"/>
      <c r="IE413" s="457"/>
      <c r="IF413" s="457"/>
      <c r="IG413" s="457"/>
      <c r="IH413" s="457"/>
      <c r="II413" s="457"/>
      <c r="IJ413" s="457"/>
      <c r="IK413" s="457"/>
      <c r="IL413" s="457"/>
      <c r="IM413" s="457"/>
      <c r="IN413" s="457"/>
      <c r="IO413" s="457"/>
      <c r="IP413" s="457"/>
      <c r="IQ413" s="457"/>
      <c r="IR413" s="457"/>
      <c r="IS413" s="457"/>
      <c r="IT413" s="457"/>
      <c r="IU413" s="457"/>
      <c r="IV413" s="457"/>
      <c r="IW413" s="457"/>
      <c r="IX413" s="457"/>
      <c r="IY413" s="457"/>
      <c r="IZ413" s="457"/>
      <c r="JA413" s="457"/>
      <c r="JB413" s="457"/>
      <c r="JC413" s="457"/>
      <c r="JD413" s="457"/>
      <c r="JE413" s="457"/>
      <c r="JF413" s="457"/>
      <c r="JG413" s="457"/>
      <c r="JH413" s="457"/>
      <c r="JI413" s="457"/>
      <c r="JJ413" s="457"/>
      <c r="JK413" s="457"/>
      <c r="JL413" s="457"/>
      <c r="JM413" s="457"/>
      <c r="JN413" s="457"/>
      <c r="JO413" s="457"/>
      <c r="JP413" s="457"/>
      <c r="JQ413" s="457"/>
      <c r="JR413" s="457"/>
      <c r="JS413" s="457"/>
      <c r="JT413" s="457"/>
      <c r="JU413" s="457"/>
      <c r="JV413" s="457"/>
      <c r="JW413" s="457"/>
      <c r="JX413" s="457"/>
      <c r="JY413" s="457"/>
      <c r="JZ413" s="457"/>
      <c r="KA413" s="457"/>
      <c r="KB413" s="457"/>
      <c r="KC413" s="457"/>
      <c r="KD413" s="457"/>
      <c r="KE413" s="457"/>
      <c r="KF413" s="457"/>
      <c r="KG413" s="457"/>
      <c r="KH413" s="457"/>
      <c r="KI413" s="457"/>
      <c r="KJ413" s="457"/>
      <c r="KK413" s="457"/>
      <c r="KL413" s="457"/>
      <c r="KM413" s="457"/>
      <c r="KN413" s="457"/>
      <c r="KO413" s="457"/>
      <c r="KP413" s="457"/>
      <c r="KQ413" s="457"/>
      <c r="KR413" s="457"/>
      <c r="KS413" s="457"/>
      <c r="KT413" s="457"/>
      <c r="KU413" s="457"/>
      <c r="KV413" s="457"/>
      <c r="KW413" s="457"/>
      <c r="KX413" s="457"/>
      <c r="KY413" s="457"/>
      <c r="KZ413" s="457"/>
      <c r="LA413" s="457"/>
      <c r="LB413" s="457"/>
      <c r="LC413" s="457"/>
      <c r="LD413" s="457"/>
      <c r="LE413" s="457"/>
      <c r="LF413" s="457"/>
      <c r="LG413" s="457"/>
      <c r="LH413" s="457"/>
      <c r="LI413" s="457"/>
      <c r="LJ413" s="457"/>
      <c r="LK413" s="457"/>
      <c r="LL413" s="457"/>
      <c r="LM413" s="457"/>
      <c r="LN413" s="457"/>
      <c r="LO413" s="457"/>
      <c r="LP413" s="457"/>
      <c r="LQ413" s="457"/>
      <c r="LR413" s="457"/>
      <c r="LS413" s="457"/>
      <c r="LT413" s="457"/>
      <c r="LU413" s="457"/>
      <c r="LV413" s="457"/>
      <c r="LW413" s="457"/>
      <c r="LX413" s="457"/>
      <c r="LY413" s="457"/>
      <c r="LZ413" s="457"/>
      <c r="MA413" s="457"/>
      <c r="MB413" s="457"/>
      <c r="MC413" s="457"/>
      <c r="MD413" s="457"/>
      <c r="ME413" s="457"/>
      <c r="MF413" s="457"/>
      <c r="MG413" s="457"/>
      <c r="MH413" s="457"/>
      <c r="MI413" s="457"/>
      <c r="MJ413" s="457"/>
      <c r="MK413" s="457"/>
      <c r="ML413" s="457"/>
      <c r="MM413" s="457"/>
      <c r="MN413" s="457"/>
      <c r="MO413" s="457"/>
      <c r="MP413" s="457"/>
      <c r="MQ413" s="457"/>
      <c r="MR413" s="457"/>
      <c r="MS413" s="457"/>
      <c r="MT413" s="457"/>
      <c r="MU413" s="457"/>
      <c r="MV413" s="457"/>
      <c r="MW413" s="457"/>
      <c r="MX413" s="457"/>
      <c r="MY413" s="457"/>
      <c r="MZ413" s="457"/>
      <c r="NA413" s="457"/>
      <c r="NB413" s="457"/>
      <c r="NC413" s="457"/>
      <c r="ND413" s="457"/>
      <c r="NE413" s="457"/>
      <c r="NF413" s="457"/>
      <c r="NG413" s="457"/>
      <c r="NH413" s="457"/>
      <c r="NI413" s="457"/>
      <c r="NJ413" s="457"/>
      <c r="NK413" s="457"/>
      <c r="NL413" s="457"/>
      <c r="NM413" s="457"/>
      <c r="NN413" s="457"/>
      <c r="NO413" s="457"/>
      <c r="NP413" s="457"/>
      <c r="NQ413" s="457"/>
      <c r="NR413" s="457"/>
      <c r="NS413" s="457"/>
      <c r="NT413" s="457"/>
      <c r="NU413" s="457"/>
      <c r="NV413" s="457"/>
      <c r="NW413" s="457"/>
      <c r="NX413" s="457"/>
      <c r="NY413" s="457"/>
      <c r="NZ413" s="457"/>
      <c r="OA413" s="457"/>
      <c r="OB413" s="457"/>
      <c r="OC413" s="457"/>
      <c r="OD413" s="457"/>
      <c r="OE413" s="457"/>
      <c r="OF413" s="457"/>
      <c r="OG413" s="457"/>
      <c r="OH413" s="457"/>
      <c r="OI413" s="457"/>
      <c r="OJ413" s="457"/>
      <c r="OK413" s="457"/>
      <c r="OL413" s="457"/>
      <c r="OM413" s="457"/>
      <c r="ON413" s="457"/>
      <c r="OO413" s="457"/>
      <c r="OP413" s="457"/>
      <c r="OQ413" s="457"/>
      <c r="OR413" s="457"/>
      <c r="OS413" s="457"/>
      <c r="OT413" s="457"/>
      <c r="OU413" s="457"/>
      <c r="OV413" s="457"/>
      <c r="OW413" s="457"/>
      <c r="OX413" s="457"/>
      <c r="OY413" s="457"/>
      <c r="OZ413" s="457"/>
      <c r="PA413" s="457"/>
      <c r="PB413" s="457"/>
      <c r="PC413" s="457"/>
      <c r="PD413" s="457"/>
      <c r="PE413" s="457"/>
      <c r="PF413" s="457"/>
      <c r="PG413" s="457"/>
      <c r="PH413" s="457"/>
      <c r="PI413" s="457"/>
      <c r="PJ413" s="457"/>
      <c r="PK413" s="457"/>
      <c r="PL413" s="457"/>
      <c r="PM413" s="457"/>
      <c r="PN413" s="457"/>
      <c r="PO413" s="457"/>
      <c r="PP413" s="457"/>
      <c r="PQ413" s="457"/>
      <c r="PR413" s="457"/>
      <c r="PS413" s="457"/>
      <c r="PT413" s="457"/>
      <c r="PU413" s="457"/>
      <c r="PV413" s="457"/>
      <c r="PW413" s="457"/>
      <c r="PX413" s="457"/>
      <c r="PY413" s="457"/>
      <c r="PZ413" s="457"/>
      <c r="QA413" s="457"/>
      <c r="QB413" s="457"/>
      <c r="QC413" s="457"/>
      <c r="QD413" s="457"/>
      <c r="QE413" s="457"/>
      <c r="QF413" s="457"/>
      <c r="QG413" s="457"/>
      <c r="QH413" s="457"/>
      <c r="QI413" s="457"/>
      <c r="QJ413" s="457"/>
      <c r="QK413" s="457"/>
      <c r="QL413" s="457"/>
      <c r="QM413" s="457"/>
      <c r="QN413" s="457"/>
      <c r="QO413" s="457"/>
      <c r="QP413" s="457"/>
      <c r="QQ413" s="457"/>
      <c r="QR413" s="457"/>
      <c r="QS413" s="457"/>
      <c r="QT413" s="457"/>
      <c r="QU413" s="457"/>
      <c r="QV413" s="457"/>
      <c r="QW413" s="457"/>
      <c r="QX413" s="457"/>
      <c r="QY413" s="457"/>
      <c r="QZ413" s="457"/>
      <c r="RA413" s="457"/>
      <c r="RB413" s="457"/>
      <c r="RC413" s="457"/>
      <c r="RD413" s="457"/>
      <c r="RE413" s="457"/>
      <c r="RF413" s="457"/>
      <c r="RG413" s="457"/>
      <c r="RH413" s="457"/>
      <c r="RI413" s="457"/>
      <c r="RJ413" s="457"/>
      <c r="RK413" s="457"/>
      <c r="RL413" s="457"/>
      <c r="RM413" s="457"/>
      <c r="RN413" s="457"/>
      <c r="RO413" s="457"/>
      <c r="RP413" s="457"/>
      <c r="RQ413" s="457"/>
      <c r="RR413" s="457"/>
      <c r="RS413" s="457"/>
      <c r="RT413" s="457"/>
      <c r="RU413" s="457"/>
      <c r="RV413" s="457"/>
      <c r="RW413" s="457"/>
      <c r="RX413" s="457"/>
      <c r="RY413" s="457"/>
      <c r="RZ413" s="457"/>
      <c r="SA413" s="457"/>
      <c r="SB413" s="457"/>
      <c r="SC413" s="457"/>
      <c r="SD413" s="457"/>
      <c r="SE413" s="457"/>
      <c r="SF413" s="457"/>
      <c r="SG413" s="457"/>
      <c r="SH413" s="457"/>
      <c r="SI413" s="457"/>
      <c r="SJ413" s="457"/>
      <c r="SK413" s="457"/>
      <c r="SL413" s="457"/>
      <c r="SM413" s="457"/>
      <c r="SN413" s="457"/>
      <c r="SO413" s="457"/>
      <c r="SP413" s="457"/>
      <c r="SQ413" s="457"/>
      <c r="SR413" s="457"/>
      <c r="SS413" s="457"/>
      <c r="ST413" s="457"/>
      <c r="SU413" s="457"/>
      <c r="SV413" s="457"/>
      <c r="SW413" s="457"/>
      <c r="SX413" s="457"/>
      <c r="SY413" s="457"/>
      <c r="SZ413" s="457"/>
      <c r="TA413" s="457"/>
      <c r="TB413" s="457"/>
      <c r="TC413" s="457"/>
      <c r="TD413" s="457"/>
      <c r="TE413" s="457"/>
      <c r="TF413" s="457"/>
      <c r="TG413" s="457"/>
      <c r="TH413" s="457"/>
      <c r="TI413" s="457"/>
      <c r="TJ413" s="457"/>
      <c r="TK413" s="457"/>
      <c r="TL413" s="457"/>
      <c r="TM413" s="457"/>
      <c r="TN413" s="457"/>
      <c r="TO413" s="457"/>
      <c r="TP413" s="457"/>
      <c r="TQ413" s="457"/>
      <c r="TR413" s="457"/>
      <c r="TS413" s="457"/>
      <c r="TT413" s="457"/>
      <c r="TU413" s="457"/>
      <c r="TV413" s="457"/>
      <c r="TW413" s="457"/>
      <c r="TX413" s="457"/>
      <c r="TY413" s="457"/>
      <c r="TZ413" s="457"/>
      <c r="UA413" s="457"/>
      <c r="UB413" s="457"/>
      <c r="UC413" s="457"/>
      <c r="UD413" s="457"/>
      <c r="UE413" s="457"/>
      <c r="UF413" s="457"/>
      <c r="UG413" s="457"/>
      <c r="UH413" s="457"/>
      <c r="UI413" s="457"/>
      <c r="UJ413" s="457"/>
      <c r="UK413" s="457"/>
      <c r="UL413" s="457"/>
      <c r="UM413" s="457"/>
      <c r="UN413" s="457"/>
      <c r="UO413" s="457"/>
      <c r="UP413" s="457"/>
      <c r="UQ413" s="457"/>
      <c r="UR413" s="457"/>
      <c r="US413" s="457"/>
      <c r="UT413" s="457"/>
      <c r="UU413" s="457"/>
      <c r="UV413" s="457"/>
      <c r="UW413" s="457"/>
      <c r="UX413" s="457"/>
      <c r="UY413" s="457"/>
      <c r="UZ413" s="457"/>
      <c r="VA413" s="457"/>
      <c r="VB413" s="457"/>
      <c r="VC413" s="457"/>
      <c r="VD413" s="457"/>
      <c r="VE413" s="457"/>
      <c r="VF413" s="457"/>
      <c r="VG413" s="457"/>
      <c r="VH413" s="457"/>
      <c r="VI413" s="457"/>
      <c r="VJ413" s="457"/>
      <c r="VK413" s="457"/>
      <c r="VL413" s="457"/>
      <c r="VM413" s="457"/>
      <c r="VN413" s="457"/>
      <c r="VO413" s="457"/>
      <c r="VP413" s="457"/>
      <c r="VQ413" s="457"/>
      <c r="VR413" s="457"/>
      <c r="VS413" s="457"/>
      <c r="VT413" s="457"/>
      <c r="VU413" s="457"/>
      <c r="VV413" s="457"/>
      <c r="VW413" s="457"/>
      <c r="VX413" s="457"/>
      <c r="VY413" s="457"/>
      <c r="VZ413" s="457"/>
      <c r="WA413" s="457"/>
      <c r="WB413" s="457"/>
      <c r="WC413" s="457"/>
      <c r="WD413" s="457"/>
      <c r="WE413" s="457"/>
      <c r="WF413" s="457"/>
      <c r="WG413" s="457"/>
      <c r="WH413" s="457"/>
      <c r="WI413" s="457"/>
      <c r="WJ413" s="457"/>
      <c r="WK413" s="457"/>
      <c r="WL413" s="457"/>
      <c r="WM413" s="457"/>
      <c r="WN413" s="457"/>
      <c r="WO413" s="457"/>
      <c r="WP413" s="457"/>
      <c r="WQ413" s="457"/>
      <c r="WR413" s="457"/>
      <c r="WS413" s="457"/>
      <c r="WT413" s="457"/>
      <c r="WU413" s="457"/>
      <c r="WV413" s="457"/>
      <c r="WW413" s="457"/>
      <c r="WX413" s="457"/>
      <c r="WY413" s="457"/>
      <c r="WZ413" s="457"/>
      <c r="XA413" s="457"/>
      <c r="XB413" s="457"/>
      <c r="XC413" s="457"/>
      <c r="XD413" s="457"/>
      <c r="XE413" s="457"/>
      <c r="XF413" s="457"/>
      <c r="XG413" s="457"/>
      <c r="XH413" s="457"/>
      <c r="XI413" s="457"/>
      <c r="XJ413" s="457"/>
      <c r="XK413" s="457"/>
      <c r="XL413" s="457"/>
      <c r="XM413" s="457"/>
      <c r="XN413" s="457"/>
      <c r="XO413" s="457"/>
      <c r="XP413" s="457"/>
      <c r="XQ413" s="457"/>
      <c r="XR413" s="457"/>
      <c r="XS413" s="457"/>
      <c r="XT413" s="457"/>
      <c r="XU413" s="457"/>
      <c r="XV413" s="457"/>
      <c r="XW413" s="457"/>
      <c r="XX413" s="457"/>
      <c r="XY413" s="457"/>
      <c r="XZ413" s="457"/>
      <c r="YA413" s="457"/>
      <c r="YB413" s="457"/>
      <c r="YC413" s="457"/>
      <c r="YD413" s="457"/>
      <c r="YE413" s="457"/>
      <c r="YF413" s="457"/>
      <c r="YG413" s="457"/>
      <c r="YH413" s="457"/>
      <c r="YI413" s="457"/>
      <c r="YJ413" s="457"/>
      <c r="YK413" s="457"/>
      <c r="YL413" s="457"/>
      <c r="YM413" s="457"/>
      <c r="YN413" s="457"/>
      <c r="YO413" s="457"/>
      <c r="YP413" s="457"/>
      <c r="YQ413" s="457"/>
      <c r="YR413" s="457"/>
      <c r="YS413" s="457"/>
      <c r="YT413" s="457"/>
      <c r="YU413" s="457"/>
      <c r="YV413" s="457"/>
      <c r="YW413" s="457"/>
      <c r="YX413" s="457"/>
      <c r="YY413" s="457"/>
      <c r="YZ413" s="457"/>
      <c r="ZA413" s="457"/>
      <c r="ZB413" s="457"/>
      <c r="ZC413" s="457"/>
      <c r="ZD413" s="457"/>
      <c r="ZE413" s="457"/>
      <c r="ZF413" s="457"/>
      <c r="ZG413" s="457"/>
      <c r="ZH413" s="457"/>
      <c r="ZI413" s="457"/>
      <c r="ZJ413" s="457"/>
      <c r="ZK413" s="457"/>
      <c r="ZL413" s="457"/>
      <c r="ZM413" s="457"/>
      <c r="ZN413" s="457"/>
      <c r="ZO413" s="457"/>
      <c r="ZP413" s="457"/>
      <c r="ZQ413" s="457"/>
      <c r="ZR413" s="457"/>
      <c r="ZS413" s="457"/>
      <c r="ZT413" s="457"/>
      <c r="ZU413" s="457"/>
      <c r="ZV413" s="457"/>
      <c r="ZW413" s="457"/>
      <c r="ZX413" s="457"/>
      <c r="ZY413" s="457"/>
      <c r="ZZ413" s="457"/>
      <c r="AAA413" s="457"/>
      <c r="AAB413" s="457"/>
      <c r="AAC413" s="457"/>
      <c r="AAD413" s="457"/>
      <c r="AAE413" s="457"/>
      <c r="AAF413" s="457"/>
      <c r="AAG413" s="457"/>
      <c r="AAH413" s="457"/>
      <c r="AAI413" s="457"/>
      <c r="AAJ413" s="457"/>
      <c r="AAK413" s="457"/>
      <c r="AAL413" s="457"/>
      <c r="AAM413" s="457"/>
      <c r="AAN413" s="457"/>
      <c r="AAO413" s="457"/>
      <c r="AAP413" s="457"/>
      <c r="AAQ413" s="457"/>
      <c r="AAR413" s="457"/>
      <c r="AAS413" s="457"/>
      <c r="AAT413" s="457"/>
      <c r="AAU413" s="457"/>
      <c r="AAV413" s="457"/>
      <c r="AAW413" s="457"/>
      <c r="AAX413" s="457"/>
      <c r="AAY413" s="457"/>
      <c r="AAZ413" s="457"/>
      <c r="ABA413" s="457"/>
      <c r="ABB413" s="457"/>
      <c r="ABC413" s="457"/>
      <c r="ABD413" s="457"/>
      <c r="ABE413" s="457"/>
      <c r="ABF413" s="457"/>
      <c r="ABG413" s="457"/>
      <c r="ABH413" s="457"/>
      <c r="ABI413" s="457"/>
      <c r="ABJ413" s="457"/>
      <c r="ABK413" s="457"/>
      <c r="ABL413" s="457"/>
      <c r="ABM413" s="457"/>
      <c r="ABN413" s="457"/>
      <c r="ABO413" s="457"/>
      <c r="ABP413" s="457"/>
      <c r="ABQ413" s="457"/>
      <c r="ABR413" s="457"/>
      <c r="ABS413" s="457"/>
      <c r="ABT413" s="457"/>
      <c r="ABU413" s="457"/>
      <c r="ABV413" s="457"/>
      <c r="ABW413" s="457"/>
      <c r="ABX413" s="457"/>
      <c r="ABY413" s="457"/>
      <c r="ABZ413" s="457"/>
      <c r="ACA413" s="457"/>
      <c r="ACB413" s="457"/>
      <c r="ACC413" s="457"/>
      <c r="ACD413" s="457"/>
      <c r="ACE413" s="457"/>
      <c r="ACF413" s="457"/>
      <c r="ACG413" s="457"/>
      <c r="ACH413" s="457"/>
      <c r="ACI413" s="457"/>
      <c r="ACJ413" s="457"/>
      <c r="ACK413" s="457"/>
      <c r="ACL413" s="457"/>
      <c r="ACM413" s="457"/>
      <c r="ACN413" s="457"/>
      <c r="ACO413" s="457"/>
      <c r="ACP413" s="457"/>
      <c r="ACQ413" s="457"/>
      <c r="ACR413" s="457"/>
      <c r="ACS413" s="457"/>
      <c r="ACT413" s="457"/>
      <c r="ACU413" s="457"/>
      <c r="ACV413" s="457"/>
    </row>
    <row r="414" spans="1:776" s="400" customFormat="1" x14ac:dyDescent="0.25">
      <c r="A414" s="470">
        <v>900127</v>
      </c>
      <c r="B414" s="237" t="s">
        <v>271</v>
      </c>
      <c r="C414" s="455"/>
      <c r="D414" s="454" t="s">
        <v>272</v>
      </c>
      <c r="E414" s="454">
        <v>0.63</v>
      </c>
      <c r="F414" s="456">
        <v>79.739999999999995</v>
      </c>
      <c r="G414" s="454">
        <v>0.01</v>
      </c>
      <c r="H414" s="454">
        <v>0.09</v>
      </c>
      <c r="I414" s="456">
        <v>93.83</v>
      </c>
      <c r="J414" s="454">
        <v>0.01</v>
      </c>
      <c r="K414" s="456">
        <v>6.1199999999999997E-2</v>
      </c>
      <c r="L414" s="456">
        <v>132</v>
      </c>
      <c r="M414" s="454">
        <v>0.01</v>
      </c>
      <c r="N414" s="454">
        <v>3.42</v>
      </c>
      <c r="O414" s="454">
        <v>40.869999999999997</v>
      </c>
      <c r="P414" s="454">
        <v>78.319999999999993</v>
      </c>
      <c r="Q414" s="454">
        <v>6.39</v>
      </c>
      <c r="R414" s="467">
        <v>0.01</v>
      </c>
      <c r="S414" s="467">
        <v>0.01</v>
      </c>
      <c r="T414" s="467">
        <v>0.01</v>
      </c>
      <c r="U414" s="454">
        <v>0.09</v>
      </c>
      <c r="V414" s="454"/>
      <c r="W414" s="457"/>
      <c r="X414" s="457"/>
      <c r="Y414" s="457"/>
      <c r="Z414" s="457"/>
      <c r="AA414" s="457"/>
      <c r="AB414" s="457"/>
      <c r="AC414" s="457"/>
      <c r="AD414" s="457"/>
      <c r="AE414" s="457"/>
      <c r="AF414" s="457"/>
      <c r="AG414" s="457"/>
      <c r="AH414" s="457"/>
      <c r="AI414" s="457"/>
      <c r="AJ414" s="457"/>
      <c r="AK414" s="457"/>
      <c r="AL414" s="457"/>
      <c r="AM414" s="457"/>
      <c r="AN414" s="457"/>
      <c r="AO414" s="457"/>
      <c r="AP414" s="457"/>
      <c r="AQ414" s="457"/>
      <c r="AR414" s="457"/>
      <c r="AS414" s="457"/>
      <c r="AT414" s="457"/>
      <c r="AU414" s="457"/>
      <c r="AV414" s="457"/>
      <c r="AW414" s="457"/>
      <c r="AX414" s="457"/>
      <c r="AY414" s="457"/>
      <c r="AZ414" s="457"/>
      <c r="BA414" s="457"/>
      <c r="BB414" s="457"/>
      <c r="BC414" s="457"/>
      <c r="BD414" s="457"/>
      <c r="BE414" s="457"/>
      <c r="BF414" s="457"/>
      <c r="BG414" s="457"/>
      <c r="BH414" s="457"/>
      <c r="BI414" s="457"/>
      <c r="BJ414" s="457"/>
      <c r="BK414" s="457"/>
      <c r="BL414" s="457"/>
      <c r="BM414" s="457"/>
      <c r="BN414" s="457"/>
      <c r="BO414" s="457"/>
      <c r="BP414" s="457"/>
      <c r="BQ414" s="457"/>
      <c r="BR414" s="457"/>
      <c r="BS414" s="457"/>
      <c r="BT414" s="457"/>
      <c r="BU414" s="457"/>
      <c r="BV414" s="457"/>
      <c r="BW414" s="457"/>
      <c r="BX414" s="457"/>
      <c r="BY414" s="457"/>
      <c r="BZ414" s="457"/>
      <c r="CA414" s="457"/>
      <c r="CB414" s="457"/>
      <c r="CC414" s="457"/>
      <c r="CD414" s="457"/>
      <c r="CE414" s="457"/>
      <c r="CF414" s="457"/>
      <c r="CG414" s="457"/>
      <c r="CH414" s="457"/>
      <c r="CI414" s="457"/>
      <c r="CJ414" s="457"/>
      <c r="CK414" s="457"/>
      <c r="CL414" s="457"/>
      <c r="CM414" s="457"/>
      <c r="CN414" s="457"/>
      <c r="CO414" s="457"/>
      <c r="CP414" s="457"/>
      <c r="CQ414" s="457"/>
      <c r="CR414" s="457"/>
      <c r="CS414" s="457"/>
      <c r="CT414" s="457"/>
      <c r="CU414" s="457"/>
      <c r="CV414" s="457"/>
      <c r="CW414" s="457"/>
      <c r="CX414" s="457"/>
      <c r="CY414" s="457"/>
      <c r="CZ414" s="457"/>
      <c r="DA414" s="457"/>
      <c r="DB414" s="457"/>
      <c r="DC414" s="457"/>
      <c r="DD414" s="457"/>
      <c r="DE414" s="457"/>
      <c r="DF414" s="457"/>
      <c r="DG414" s="457"/>
      <c r="DH414" s="457"/>
      <c r="DI414" s="457"/>
      <c r="DJ414" s="457"/>
      <c r="DK414" s="457"/>
      <c r="DL414" s="457"/>
      <c r="DM414" s="457"/>
      <c r="DN414" s="457"/>
      <c r="DO414" s="457"/>
      <c r="DP414" s="457"/>
      <c r="DQ414" s="457"/>
      <c r="DR414" s="457"/>
      <c r="DS414" s="457"/>
      <c r="DT414" s="457"/>
      <c r="DU414" s="457"/>
      <c r="DV414" s="457"/>
      <c r="DW414" s="457"/>
      <c r="DX414" s="457"/>
      <c r="DY414" s="457"/>
      <c r="DZ414" s="457"/>
      <c r="EA414" s="457"/>
      <c r="EB414" s="457"/>
      <c r="EC414" s="457"/>
      <c r="ED414" s="457"/>
      <c r="EE414" s="457"/>
      <c r="EF414" s="457"/>
      <c r="EG414" s="457"/>
      <c r="EH414" s="457"/>
      <c r="EI414" s="457"/>
      <c r="EJ414" s="457"/>
      <c r="EK414" s="457"/>
      <c r="EL414" s="457"/>
      <c r="EM414" s="457"/>
      <c r="EN414" s="457"/>
      <c r="EO414" s="457"/>
      <c r="EP414" s="457"/>
      <c r="EQ414" s="457"/>
      <c r="ER414" s="457"/>
      <c r="ES414" s="457"/>
      <c r="ET414" s="457"/>
      <c r="EU414" s="457"/>
      <c r="EV414" s="457"/>
      <c r="EW414" s="457"/>
      <c r="EX414" s="457"/>
      <c r="EY414" s="457"/>
      <c r="EZ414" s="457"/>
      <c r="FA414" s="457"/>
      <c r="FB414" s="457"/>
      <c r="FC414" s="457"/>
      <c r="FD414" s="457"/>
      <c r="FE414" s="457"/>
      <c r="FF414" s="457"/>
      <c r="FG414" s="457"/>
      <c r="FH414" s="457"/>
      <c r="FI414" s="457"/>
      <c r="FJ414" s="457"/>
      <c r="FK414" s="457"/>
      <c r="FL414" s="457"/>
      <c r="FM414" s="457"/>
      <c r="FN414" s="457"/>
      <c r="FO414" s="457"/>
      <c r="FP414" s="457"/>
      <c r="FQ414" s="457"/>
      <c r="FR414" s="457"/>
      <c r="FS414" s="457"/>
      <c r="FT414" s="457"/>
      <c r="FU414" s="457"/>
      <c r="FV414" s="457"/>
      <c r="FW414" s="457"/>
      <c r="FX414" s="457"/>
      <c r="FY414" s="457"/>
      <c r="FZ414" s="457"/>
      <c r="GA414" s="457"/>
      <c r="GB414" s="457"/>
      <c r="GC414" s="457"/>
      <c r="GD414" s="457"/>
      <c r="GE414" s="457"/>
      <c r="GF414" s="457"/>
      <c r="GG414" s="457"/>
      <c r="GH414" s="457"/>
      <c r="GI414" s="457"/>
      <c r="GJ414" s="457"/>
      <c r="GK414" s="457"/>
      <c r="GL414" s="457"/>
      <c r="GM414" s="457"/>
      <c r="GN414" s="457"/>
      <c r="GO414" s="457"/>
      <c r="GP414" s="457"/>
      <c r="GQ414" s="457"/>
      <c r="GR414" s="457"/>
      <c r="GS414" s="457"/>
      <c r="GT414" s="457"/>
      <c r="GU414" s="457"/>
      <c r="GV414" s="457"/>
      <c r="GW414" s="457"/>
      <c r="GX414" s="457"/>
      <c r="GY414" s="457"/>
      <c r="GZ414" s="457"/>
      <c r="HA414" s="457"/>
      <c r="HB414" s="457"/>
      <c r="HC414" s="457"/>
      <c r="HD414" s="457"/>
      <c r="HE414" s="457"/>
      <c r="HF414" s="457"/>
      <c r="HG414" s="457"/>
      <c r="HH414" s="457"/>
      <c r="HI414" s="457"/>
      <c r="HJ414" s="457"/>
      <c r="HK414" s="457"/>
      <c r="HL414" s="457"/>
      <c r="HM414" s="457"/>
      <c r="HN414" s="457"/>
      <c r="HO414" s="457"/>
      <c r="HP414" s="457"/>
      <c r="HQ414" s="457"/>
      <c r="HR414" s="457"/>
      <c r="HS414" s="457"/>
      <c r="HT414" s="457"/>
      <c r="HU414" s="457"/>
      <c r="HV414" s="457"/>
      <c r="HW414" s="457"/>
      <c r="HX414" s="457"/>
      <c r="HY414" s="457"/>
      <c r="HZ414" s="457"/>
      <c r="IA414" s="457"/>
      <c r="IB414" s="457"/>
      <c r="IC414" s="457"/>
      <c r="ID414" s="457"/>
      <c r="IE414" s="457"/>
      <c r="IF414" s="457"/>
      <c r="IG414" s="457"/>
      <c r="IH414" s="457"/>
      <c r="II414" s="457"/>
      <c r="IJ414" s="457"/>
      <c r="IK414" s="457"/>
      <c r="IL414" s="457"/>
      <c r="IM414" s="457"/>
      <c r="IN414" s="457"/>
      <c r="IO414" s="457"/>
      <c r="IP414" s="457"/>
      <c r="IQ414" s="457"/>
      <c r="IR414" s="457"/>
      <c r="IS414" s="457"/>
      <c r="IT414" s="457"/>
      <c r="IU414" s="457"/>
      <c r="IV414" s="457"/>
      <c r="IW414" s="457"/>
      <c r="IX414" s="457"/>
      <c r="IY414" s="457"/>
      <c r="IZ414" s="457"/>
      <c r="JA414" s="457"/>
      <c r="JB414" s="457"/>
      <c r="JC414" s="457"/>
      <c r="JD414" s="457"/>
      <c r="JE414" s="457"/>
      <c r="JF414" s="457"/>
      <c r="JG414" s="457"/>
      <c r="JH414" s="457"/>
      <c r="JI414" s="457"/>
      <c r="JJ414" s="457"/>
      <c r="JK414" s="457"/>
      <c r="JL414" s="457"/>
      <c r="JM414" s="457"/>
      <c r="JN414" s="457"/>
      <c r="JO414" s="457"/>
      <c r="JP414" s="457"/>
      <c r="JQ414" s="457"/>
      <c r="JR414" s="457"/>
      <c r="JS414" s="457"/>
      <c r="JT414" s="457"/>
      <c r="JU414" s="457"/>
      <c r="JV414" s="457"/>
      <c r="JW414" s="457"/>
      <c r="JX414" s="457"/>
      <c r="JY414" s="457"/>
      <c r="JZ414" s="457"/>
      <c r="KA414" s="457"/>
      <c r="KB414" s="457"/>
      <c r="KC414" s="457"/>
      <c r="KD414" s="457"/>
      <c r="KE414" s="457"/>
      <c r="KF414" s="457"/>
      <c r="KG414" s="457"/>
      <c r="KH414" s="457"/>
      <c r="KI414" s="457"/>
      <c r="KJ414" s="457"/>
      <c r="KK414" s="457"/>
      <c r="KL414" s="457"/>
      <c r="KM414" s="457"/>
      <c r="KN414" s="457"/>
      <c r="KO414" s="457"/>
      <c r="KP414" s="457"/>
      <c r="KQ414" s="457"/>
      <c r="KR414" s="457"/>
      <c r="KS414" s="457"/>
      <c r="KT414" s="457"/>
      <c r="KU414" s="457"/>
      <c r="KV414" s="457"/>
      <c r="KW414" s="457"/>
      <c r="KX414" s="457"/>
      <c r="KY414" s="457"/>
      <c r="KZ414" s="457"/>
      <c r="LA414" s="457"/>
      <c r="LB414" s="457"/>
      <c r="LC414" s="457"/>
      <c r="LD414" s="457"/>
      <c r="LE414" s="457"/>
      <c r="LF414" s="457"/>
      <c r="LG414" s="457"/>
      <c r="LH414" s="457"/>
      <c r="LI414" s="457"/>
      <c r="LJ414" s="457"/>
      <c r="LK414" s="457"/>
      <c r="LL414" s="457"/>
      <c r="LM414" s="457"/>
      <c r="LN414" s="457"/>
      <c r="LO414" s="457"/>
      <c r="LP414" s="457"/>
      <c r="LQ414" s="457"/>
      <c r="LR414" s="457"/>
      <c r="LS414" s="457"/>
      <c r="LT414" s="457"/>
      <c r="LU414" s="457"/>
      <c r="LV414" s="457"/>
      <c r="LW414" s="457"/>
      <c r="LX414" s="457"/>
      <c r="LY414" s="457"/>
      <c r="LZ414" s="457"/>
      <c r="MA414" s="457"/>
      <c r="MB414" s="457"/>
      <c r="MC414" s="457"/>
      <c r="MD414" s="457"/>
      <c r="ME414" s="457"/>
      <c r="MF414" s="457"/>
      <c r="MG414" s="457"/>
      <c r="MH414" s="457"/>
      <c r="MI414" s="457"/>
      <c r="MJ414" s="457"/>
      <c r="MK414" s="457"/>
      <c r="ML414" s="457"/>
      <c r="MM414" s="457"/>
      <c r="MN414" s="457"/>
      <c r="MO414" s="457"/>
      <c r="MP414" s="457"/>
      <c r="MQ414" s="457"/>
      <c r="MR414" s="457"/>
      <c r="MS414" s="457"/>
      <c r="MT414" s="457"/>
      <c r="MU414" s="457"/>
      <c r="MV414" s="457"/>
      <c r="MW414" s="457"/>
      <c r="MX414" s="457"/>
      <c r="MY414" s="457"/>
      <c r="MZ414" s="457"/>
      <c r="NA414" s="457"/>
      <c r="NB414" s="457"/>
      <c r="NC414" s="457"/>
      <c r="ND414" s="457"/>
      <c r="NE414" s="457"/>
      <c r="NF414" s="457"/>
      <c r="NG414" s="457"/>
      <c r="NH414" s="457"/>
      <c r="NI414" s="457"/>
      <c r="NJ414" s="457"/>
      <c r="NK414" s="457"/>
      <c r="NL414" s="457"/>
      <c r="NM414" s="457"/>
      <c r="NN414" s="457"/>
      <c r="NO414" s="457"/>
      <c r="NP414" s="457"/>
      <c r="NQ414" s="457"/>
      <c r="NR414" s="457"/>
      <c r="NS414" s="457"/>
      <c r="NT414" s="457"/>
      <c r="NU414" s="457"/>
      <c r="NV414" s="457"/>
      <c r="NW414" s="457"/>
      <c r="NX414" s="457"/>
      <c r="NY414" s="457"/>
      <c r="NZ414" s="457"/>
      <c r="OA414" s="457"/>
      <c r="OB414" s="457"/>
      <c r="OC414" s="457"/>
      <c r="OD414" s="457"/>
      <c r="OE414" s="457"/>
      <c r="OF414" s="457"/>
      <c r="OG414" s="457"/>
      <c r="OH414" s="457"/>
      <c r="OI414" s="457"/>
      <c r="OJ414" s="457"/>
      <c r="OK414" s="457"/>
      <c r="OL414" s="457"/>
      <c r="OM414" s="457"/>
      <c r="ON414" s="457"/>
      <c r="OO414" s="457"/>
      <c r="OP414" s="457"/>
      <c r="OQ414" s="457"/>
      <c r="OR414" s="457"/>
      <c r="OS414" s="457"/>
      <c r="OT414" s="457"/>
      <c r="OU414" s="457"/>
      <c r="OV414" s="457"/>
      <c r="OW414" s="457"/>
      <c r="OX414" s="457"/>
      <c r="OY414" s="457"/>
      <c r="OZ414" s="457"/>
      <c r="PA414" s="457"/>
      <c r="PB414" s="457"/>
      <c r="PC414" s="457"/>
      <c r="PD414" s="457"/>
      <c r="PE414" s="457"/>
      <c r="PF414" s="457"/>
      <c r="PG414" s="457"/>
      <c r="PH414" s="457"/>
      <c r="PI414" s="457"/>
      <c r="PJ414" s="457"/>
      <c r="PK414" s="457"/>
      <c r="PL414" s="457"/>
      <c r="PM414" s="457"/>
      <c r="PN414" s="457"/>
      <c r="PO414" s="457"/>
      <c r="PP414" s="457"/>
      <c r="PQ414" s="457"/>
      <c r="PR414" s="457"/>
      <c r="PS414" s="457"/>
      <c r="PT414" s="457"/>
      <c r="PU414" s="457"/>
      <c r="PV414" s="457"/>
      <c r="PW414" s="457"/>
      <c r="PX414" s="457"/>
      <c r="PY414" s="457"/>
      <c r="PZ414" s="457"/>
      <c r="QA414" s="457"/>
      <c r="QB414" s="457"/>
      <c r="QC414" s="457"/>
      <c r="QD414" s="457"/>
      <c r="QE414" s="457"/>
      <c r="QF414" s="457"/>
      <c r="QG414" s="457"/>
      <c r="QH414" s="457"/>
      <c r="QI414" s="457"/>
      <c r="QJ414" s="457"/>
      <c r="QK414" s="457"/>
      <c r="QL414" s="457"/>
      <c r="QM414" s="457"/>
      <c r="QN414" s="457"/>
      <c r="QO414" s="457"/>
      <c r="QP414" s="457"/>
      <c r="QQ414" s="457"/>
      <c r="QR414" s="457"/>
      <c r="QS414" s="457"/>
      <c r="QT414" s="457"/>
      <c r="QU414" s="457"/>
      <c r="QV414" s="457"/>
      <c r="QW414" s="457"/>
      <c r="QX414" s="457"/>
      <c r="QY414" s="457"/>
      <c r="QZ414" s="457"/>
      <c r="RA414" s="457"/>
      <c r="RB414" s="457"/>
      <c r="RC414" s="457"/>
      <c r="RD414" s="457"/>
      <c r="RE414" s="457"/>
      <c r="RF414" s="457"/>
      <c r="RG414" s="457"/>
      <c r="RH414" s="457"/>
      <c r="RI414" s="457"/>
      <c r="RJ414" s="457"/>
      <c r="RK414" s="457"/>
      <c r="RL414" s="457"/>
      <c r="RM414" s="457"/>
      <c r="RN414" s="457"/>
      <c r="RO414" s="457"/>
      <c r="RP414" s="457"/>
      <c r="RQ414" s="457"/>
      <c r="RR414" s="457"/>
      <c r="RS414" s="457"/>
      <c r="RT414" s="457"/>
      <c r="RU414" s="457"/>
      <c r="RV414" s="457"/>
      <c r="RW414" s="457"/>
      <c r="RX414" s="457"/>
      <c r="RY414" s="457"/>
      <c r="RZ414" s="457"/>
      <c r="SA414" s="457"/>
      <c r="SB414" s="457"/>
      <c r="SC414" s="457"/>
      <c r="SD414" s="457"/>
      <c r="SE414" s="457"/>
      <c r="SF414" s="457"/>
      <c r="SG414" s="457"/>
      <c r="SH414" s="457"/>
      <c r="SI414" s="457"/>
      <c r="SJ414" s="457"/>
      <c r="SK414" s="457"/>
      <c r="SL414" s="457"/>
      <c r="SM414" s="457"/>
      <c r="SN414" s="457"/>
      <c r="SO414" s="457"/>
      <c r="SP414" s="457"/>
      <c r="SQ414" s="457"/>
      <c r="SR414" s="457"/>
      <c r="SS414" s="457"/>
      <c r="ST414" s="457"/>
      <c r="SU414" s="457"/>
      <c r="SV414" s="457"/>
      <c r="SW414" s="457"/>
      <c r="SX414" s="457"/>
      <c r="SY414" s="457"/>
      <c r="SZ414" s="457"/>
      <c r="TA414" s="457"/>
      <c r="TB414" s="457"/>
      <c r="TC414" s="457"/>
      <c r="TD414" s="457"/>
      <c r="TE414" s="457"/>
      <c r="TF414" s="457"/>
      <c r="TG414" s="457"/>
      <c r="TH414" s="457"/>
      <c r="TI414" s="457"/>
      <c r="TJ414" s="457"/>
      <c r="TK414" s="457"/>
      <c r="TL414" s="457"/>
      <c r="TM414" s="457"/>
      <c r="TN414" s="457"/>
      <c r="TO414" s="457"/>
      <c r="TP414" s="457"/>
      <c r="TQ414" s="457"/>
      <c r="TR414" s="457"/>
      <c r="TS414" s="457"/>
      <c r="TT414" s="457"/>
      <c r="TU414" s="457"/>
      <c r="TV414" s="457"/>
      <c r="TW414" s="457"/>
      <c r="TX414" s="457"/>
      <c r="TY414" s="457"/>
      <c r="TZ414" s="457"/>
      <c r="UA414" s="457"/>
      <c r="UB414" s="457"/>
      <c r="UC414" s="457"/>
      <c r="UD414" s="457"/>
      <c r="UE414" s="457"/>
      <c r="UF414" s="457"/>
      <c r="UG414" s="457"/>
      <c r="UH414" s="457"/>
      <c r="UI414" s="457"/>
      <c r="UJ414" s="457"/>
      <c r="UK414" s="457"/>
      <c r="UL414" s="457"/>
      <c r="UM414" s="457"/>
      <c r="UN414" s="457"/>
      <c r="UO414" s="457"/>
      <c r="UP414" s="457"/>
      <c r="UQ414" s="457"/>
      <c r="UR414" s="457"/>
      <c r="US414" s="457"/>
      <c r="UT414" s="457"/>
      <c r="UU414" s="457"/>
      <c r="UV414" s="457"/>
      <c r="UW414" s="457"/>
      <c r="UX414" s="457"/>
      <c r="UY414" s="457"/>
      <c r="UZ414" s="457"/>
      <c r="VA414" s="457"/>
      <c r="VB414" s="457"/>
      <c r="VC414" s="457"/>
      <c r="VD414" s="457"/>
      <c r="VE414" s="457"/>
      <c r="VF414" s="457"/>
      <c r="VG414" s="457"/>
      <c r="VH414" s="457"/>
      <c r="VI414" s="457"/>
      <c r="VJ414" s="457"/>
      <c r="VK414" s="457"/>
      <c r="VL414" s="457"/>
      <c r="VM414" s="457"/>
      <c r="VN414" s="457"/>
      <c r="VO414" s="457"/>
      <c r="VP414" s="457"/>
      <c r="VQ414" s="457"/>
      <c r="VR414" s="457"/>
      <c r="VS414" s="457"/>
      <c r="VT414" s="457"/>
      <c r="VU414" s="457"/>
      <c r="VV414" s="457"/>
      <c r="VW414" s="457"/>
      <c r="VX414" s="457"/>
      <c r="VY414" s="457"/>
      <c r="VZ414" s="457"/>
      <c r="WA414" s="457"/>
      <c r="WB414" s="457"/>
      <c r="WC414" s="457"/>
      <c r="WD414" s="457"/>
      <c r="WE414" s="457"/>
      <c r="WF414" s="457"/>
      <c r="WG414" s="457"/>
      <c r="WH414" s="457"/>
      <c r="WI414" s="457"/>
      <c r="WJ414" s="457"/>
      <c r="WK414" s="457"/>
      <c r="WL414" s="457"/>
      <c r="WM414" s="457"/>
      <c r="WN414" s="457"/>
      <c r="WO414" s="457"/>
      <c r="WP414" s="457"/>
      <c r="WQ414" s="457"/>
      <c r="WR414" s="457"/>
      <c r="WS414" s="457"/>
      <c r="WT414" s="457"/>
      <c r="WU414" s="457"/>
      <c r="WV414" s="457"/>
      <c r="WW414" s="457"/>
      <c r="WX414" s="457"/>
      <c r="WY414" s="457"/>
      <c r="WZ414" s="457"/>
      <c r="XA414" s="457"/>
      <c r="XB414" s="457"/>
      <c r="XC414" s="457"/>
      <c r="XD414" s="457"/>
      <c r="XE414" s="457"/>
      <c r="XF414" s="457"/>
      <c r="XG414" s="457"/>
      <c r="XH414" s="457"/>
      <c r="XI414" s="457"/>
      <c r="XJ414" s="457"/>
      <c r="XK414" s="457"/>
      <c r="XL414" s="457"/>
      <c r="XM414" s="457"/>
      <c r="XN414" s="457"/>
      <c r="XO414" s="457"/>
      <c r="XP414" s="457"/>
      <c r="XQ414" s="457"/>
      <c r="XR414" s="457"/>
      <c r="XS414" s="457"/>
      <c r="XT414" s="457"/>
      <c r="XU414" s="457"/>
      <c r="XV414" s="457"/>
      <c r="XW414" s="457"/>
      <c r="XX414" s="457"/>
      <c r="XY414" s="457"/>
      <c r="XZ414" s="457"/>
      <c r="YA414" s="457"/>
      <c r="YB414" s="457"/>
      <c r="YC414" s="457"/>
      <c r="YD414" s="457"/>
      <c r="YE414" s="457"/>
      <c r="YF414" s="457"/>
      <c r="YG414" s="457"/>
      <c r="YH414" s="457"/>
      <c r="YI414" s="457"/>
      <c r="YJ414" s="457"/>
      <c r="YK414" s="457"/>
      <c r="YL414" s="457"/>
      <c r="YM414" s="457"/>
      <c r="YN414" s="457"/>
      <c r="YO414" s="457"/>
      <c r="YP414" s="457"/>
      <c r="YQ414" s="457"/>
      <c r="YR414" s="457"/>
      <c r="YS414" s="457"/>
      <c r="YT414" s="457"/>
      <c r="YU414" s="457"/>
      <c r="YV414" s="457"/>
      <c r="YW414" s="457"/>
      <c r="YX414" s="457"/>
      <c r="YY414" s="457"/>
      <c r="YZ414" s="457"/>
      <c r="ZA414" s="457"/>
      <c r="ZB414" s="457"/>
      <c r="ZC414" s="457"/>
      <c r="ZD414" s="457"/>
      <c r="ZE414" s="457"/>
      <c r="ZF414" s="457"/>
      <c r="ZG414" s="457"/>
      <c r="ZH414" s="457"/>
      <c r="ZI414" s="457"/>
      <c r="ZJ414" s="457"/>
      <c r="ZK414" s="457"/>
      <c r="ZL414" s="457"/>
      <c r="ZM414" s="457"/>
      <c r="ZN414" s="457"/>
      <c r="ZO414" s="457"/>
      <c r="ZP414" s="457"/>
      <c r="ZQ414" s="457"/>
      <c r="ZR414" s="457"/>
      <c r="ZS414" s="457"/>
      <c r="ZT414" s="457"/>
      <c r="ZU414" s="457"/>
      <c r="ZV414" s="457"/>
      <c r="ZW414" s="457"/>
      <c r="ZX414" s="457"/>
      <c r="ZY414" s="457"/>
      <c r="ZZ414" s="457"/>
      <c r="AAA414" s="457"/>
      <c r="AAB414" s="457"/>
      <c r="AAC414" s="457"/>
      <c r="AAD414" s="457"/>
      <c r="AAE414" s="457"/>
      <c r="AAF414" s="457"/>
      <c r="AAG414" s="457"/>
      <c r="AAH414" s="457"/>
      <c r="AAI414" s="457"/>
      <c r="AAJ414" s="457"/>
      <c r="AAK414" s="457"/>
      <c r="AAL414" s="457"/>
      <c r="AAM414" s="457"/>
      <c r="AAN414" s="457"/>
      <c r="AAO414" s="457"/>
      <c r="AAP414" s="457"/>
      <c r="AAQ414" s="457"/>
      <c r="AAR414" s="457"/>
      <c r="AAS414" s="457"/>
      <c r="AAT414" s="457"/>
      <c r="AAU414" s="457"/>
      <c r="AAV414" s="457"/>
      <c r="AAW414" s="457"/>
      <c r="AAX414" s="457"/>
      <c r="AAY414" s="457"/>
      <c r="AAZ414" s="457"/>
      <c r="ABA414" s="457"/>
      <c r="ABB414" s="457"/>
      <c r="ABC414" s="457"/>
      <c r="ABD414" s="457"/>
      <c r="ABE414" s="457"/>
      <c r="ABF414" s="457"/>
      <c r="ABG414" s="457"/>
      <c r="ABH414" s="457"/>
      <c r="ABI414" s="457"/>
      <c r="ABJ414" s="457"/>
      <c r="ABK414" s="457"/>
      <c r="ABL414" s="457"/>
      <c r="ABM414" s="457"/>
      <c r="ABN414" s="457"/>
      <c r="ABO414" s="457"/>
      <c r="ABP414" s="457"/>
      <c r="ABQ414" s="457"/>
      <c r="ABR414" s="457"/>
      <c r="ABS414" s="457"/>
      <c r="ABT414" s="457"/>
      <c r="ABU414" s="457"/>
      <c r="ABV414" s="457"/>
      <c r="ABW414" s="457"/>
      <c r="ABX414" s="457"/>
      <c r="ABY414" s="457"/>
      <c r="ABZ414" s="457"/>
      <c r="ACA414" s="457"/>
      <c r="ACB414" s="457"/>
      <c r="ACC414" s="457"/>
      <c r="ACD414" s="457"/>
      <c r="ACE414" s="457"/>
      <c r="ACF414" s="457"/>
      <c r="ACG414" s="457"/>
      <c r="ACH414" s="457"/>
      <c r="ACI414" s="457"/>
      <c r="ACJ414" s="457"/>
      <c r="ACK414" s="457"/>
      <c r="ACL414" s="457"/>
      <c r="ACM414" s="457"/>
      <c r="ACN414" s="457"/>
      <c r="ACO414" s="457"/>
      <c r="ACP414" s="457"/>
      <c r="ACQ414" s="457"/>
      <c r="ACR414" s="457"/>
      <c r="ACS414" s="457"/>
      <c r="ACT414" s="457"/>
      <c r="ACU414" s="457"/>
      <c r="ACV414" s="457"/>
    </row>
    <row r="415" spans="1:776" s="400" customFormat="1" x14ac:dyDescent="0.25">
      <c r="A415" s="470">
        <v>900128</v>
      </c>
      <c r="B415" s="237" t="s">
        <v>273</v>
      </c>
      <c r="C415" s="455"/>
      <c r="D415" s="454" t="s">
        <v>265</v>
      </c>
      <c r="E415" s="454">
        <v>0.58699999999999997</v>
      </c>
      <c r="F415" s="458">
        <v>26.7</v>
      </c>
      <c r="G415" s="454">
        <v>0.01</v>
      </c>
      <c r="H415" s="454">
        <v>0.08</v>
      </c>
      <c r="I415" s="456">
        <v>12.41</v>
      </c>
      <c r="J415" s="454">
        <v>27.6</v>
      </c>
      <c r="K415" s="456">
        <v>0.01</v>
      </c>
      <c r="L415" s="456">
        <v>297.60000000000002</v>
      </c>
      <c r="M415" s="454">
        <v>0.01</v>
      </c>
      <c r="N415" s="454">
        <v>2.5499999999999998</v>
      </c>
      <c r="O415" s="454">
        <v>18.989999999999998</v>
      </c>
      <c r="P415" s="454">
        <v>68.17</v>
      </c>
      <c r="Q415" s="454">
        <v>34.53</v>
      </c>
      <c r="R415" s="454">
        <v>0.01</v>
      </c>
      <c r="S415" s="467">
        <v>0.01</v>
      </c>
      <c r="T415" s="454">
        <v>0.02</v>
      </c>
      <c r="U415" s="454">
        <v>0.01</v>
      </c>
      <c r="V415" s="454"/>
      <c r="W415" s="457"/>
      <c r="X415" s="457"/>
      <c r="Y415" s="457"/>
      <c r="Z415" s="457"/>
      <c r="AA415" s="457"/>
      <c r="AB415" s="457"/>
      <c r="AC415" s="457"/>
      <c r="AD415" s="457"/>
      <c r="AE415" s="457"/>
      <c r="AF415" s="457"/>
      <c r="AG415" s="457"/>
      <c r="AH415" s="457"/>
      <c r="AI415" s="457"/>
      <c r="AJ415" s="457"/>
      <c r="AK415" s="457"/>
      <c r="AL415" s="457"/>
      <c r="AM415" s="457"/>
      <c r="AN415" s="457"/>
      <c r="AO415" s="457"/>
      <c r="AP415" s="457"/>
      <c r="AQ415" s="457"/>
      <c r="AR415" s="457"/>
      <c r="AS415" s="457"/>
      <c r="AT415" s="457"/>
      <c r="AU415" s="457"/>
      <c r="AV415" s="457"/>
      <c r="AW415" s="457"/>
      <c r="AX415" s="457"/>
      <c r="AY415" s="457"/>
      <c r="AZ415" s="457"/>
      <c r="BA415" s="457"/>
      <c r="BB415" s="457"/>
      <c r="BC415" s="457"/>
      <c r="BD415" s="457"/>
      <c r="BE415" s="457"/>
      <c r="BF415" s="457"/>
      <c r="BG415" s="457"/>
      <c r="BH415" s="457"/>
      <c r="BI415" s="457"/>
      <c r="BJ415" s="457"/>
      <c r="BK415" s="457"/>
      <c r="BL415" s="457"/>
      <c r="BM415" s="457"/>
      <c r="BN415" s="457"/>
      <c r="BO415" s="457"/>
      <c r="BP415" s="457"/>
      <c r="BQ415" s="457"/>
      <c r="BR415" s="457"/>
      <c r="BS415" s="457"/>
      <c r="BT415" s="457"/>
      <c r="BU415" s="457"/>
      <c r="BV415" s="457"/>
      <c r="BW415" s="457"/>
      <c r="BX415" s="457"/>
      <c r="BY415" s="457"/>
      <c r="BZ415" s="457"/>
      <c r="CA415" s="457"/>
      <c r="CB415" s="457"/>
      <c r="CC415" s="457"/>
      <c r="CD415" s="457"/>
      <c r="CE415" s="457"/>
      <c r="CF415" s="457"/>
      <c r="CG415" s="457"/>
      <c r="CH415" s="457"/>
      <c r="CI415" s="457"/>
      <c r="CJ415" s="457"/>
      <c r="CK415" s="457"/>
      <c r="CL415" s="457"/>
      <c r="CM415" s="457"/>
      <c r="CN415" s="457"/>
      <c r="CO415" s="457"/>
      <c r="CP415" s="457"/>
      <c r="CQ415" s="457"/>
      <c r="CR415" s="457"/>
      <c r="CS415" s="457"/>
      <c r="CT415" s="457"/>
      <c r="CU415" s="457"/>
      <c r="CV415" s="457"/>
      <c r="CW415" s="457"/>
      <c r="CX415" s="457"/>
      <c r="CY415" s="457"/>
      <c r="CZ415" s="457"/>
      <c r="DA415" s="457"/>
      <c r="DB415" s="457"/>
      <c r="DC415" s="457"/>
      <c r="DD415" s="457"/>
      <c r="DE415" s="457"/>
      <c r="DF415" s="457"/>
      <c r="DG415" s="457"/>
      <c r="DH415" s="457"/>
      <c r="DI415" s="457"/>
      <c r="DJ415" s="457"/>
      <c r="DK415" s="457"/>
      <c r="DL415" s="457"/>
      <c r="DM415" s="457"/>
      <c r="DN415" s="457"/>
      <c r="DO415" s="457"/>
      <c r="DP415" s="457"/>
      <c r="DQ415" s="457"/>
      <c r="DR415" s="457"/>
      <c r="DS415" s="457"/>
      <c r="DT415" s="457"/>
      <c r="DU415" s="457"/>
      <c r="DV415" s="457"/>
      <c r="DW415" s="457"/>
      <c r="DX415" s="457"/>
      <c r="DY415" s="457"/>
      <c r="DZ415" s="457"/>
      <c r="EA415" s="457"/>
      <c r="EB415" s="457"/>
      <c r="EC415" s="457"/>
      <c r="ED415" s="457"/>
      <c r="EE415" s="457"/>
      <c r="EF415" s="457"/>
      <c r="EG415" s="457"/>
      <c r="EH415" s="457"/>
      <c r="EI415" s="457"/>
      <c r="EJ415" s="457"/>
      <c r="EK415" s="457"/>
      <c r="EL415" s="457"/>
      <c r="EM415" s="457"/>
      <c r="EN415" s="457"/>
      <c r="EO415" s="457"/>
      <c r="EP415" s="457"/>
      <c r="EQ415" s="457"/>
      <c r="ER415" s="457"/>
      <c r="ES415" s="457"/>
      <c r="ET415" s="457"/>
      <c r="EU415" s="457"/>
      <c r="EV415" s="457"/>
      <c r="EW415" s="457"/>
      <c r="EX415" s="457"/>
      <c r="EY415" s="457"/>
      <c r="EZ415" s="457"/>
      <c r="FA415" s="457"/>
      <c r="FB415" s="457"/>
      <c r="FC415" s="457"/>
      <c r="FD415" s="457"/>
      <c r="FE415" s="457"/>
      <c r="FF415" s="457"/>
      <c r="FG415" s="457"/>
      <c r="FH415" s="457"/>
      <c r="FI415" s="457"/>
      <c r="FJ415" s="457"/>
      <c r="FK415" s="457"/>
      <c r="FL415" s="457"/>
      <c r="FM415" s="457"/>
      <c r="FN415" s="457"/>
      <c r="FO415" s="457"/>
      <c r="FP415" s="457"/>
      <c r="FQ415" s="457"/>
      <c r="FR415" s="457"/>
      <c r="FS415" s="457"/>
      <c r="FT415" s="457"/>
      <c r="FU415" s="457"/>
      <c r="FV415" s="457"/>
      <c r="FW415" s="457"/>
      <c r="FX415" s="457"/>
      <c r="FY415" s="457"/>
      <c r="FZ415" s="457"/>
      <c r="GA415" s="457"/>
      <c r="GB415" s="457"/>
      <c r="GC415" s="457"/>
      <c r="GD415" s="457"/>
      <c r="GE415" s="457"/>
      <c r="GF415" s="457"/>
      <c r="GG415" s="457"/>
      <c r="GH415" s="457"/>
      <c r="GI415" s="457"/>
      <c r="GJ415" s="457"/>
      <c r="GK415" s="457"/>
      <c r="GL415" s="457"/>
      <c r="GM415" s="457"/>
      <c r="GN415" s="457"/>
      <c r="GO415" s="457"/>
      <c r="GP415" s="457"/>
      <c r="GQ415" s="457"/>
      <c r="GR415" s="457"/>
      <c r="GS415" s="457"/>
      <c r="GT415" s="457"/>
      <c r="GU415" s="457"/>
      <c r="GV415" s="457"/>
      <c r="GW415" s="457"/>
      <c r="GX415" s="457"/>
      <c r="GY415" s="457"/>
      <c r="GZ415" s="457"/>
      <c r="HA415" s="457"/>
      <c r="HB415" s="457"/>
      <c r="HC415" s="457"/>
      <c r="HD415" s="457"/>
      <c r="HE415" s="457"/>
      <c r="HF415" s="457"/>
      <c r="HG415" s="457"/>
      <c r="HH415" s="457"/>
      <c r="HI415" s="457"/>
      <c r="HJ415" s="457"/>
      <c r="HK415" s="457"/>
      <c r="HL415" s="457"/>
      <c r="HM415" s="457"/>
      <c r="HN415" s="457"/>
      <c r="HO415" s="457"/>
      <c r="HP415" s="457"/>
      <c r="HQ415" s="457"/>
      <c r="HR415" s="457"/>
      <c r="HS415" s="457"/>
      <c r="HT415" s="457"/>
      <c r="HU415" s="457"/>
      <c r="HV415" s="457"/>
      <c r="HW415" s="457"/>
      <c r="HX415" s="457"/>
      <c r="HY415" s="457"/>
      <c r="HZ415" s="457"/>
      <c r="IA415" s="457"/>
      <c r="IB415" s="457"/>
      <c r="IC415" s="457"/>
      <c r="ID415" s="457"/>
      <c r="IE415" s="457"/>
      <c r="IF415" s="457"/>
      <c r="IG415" s="457"/>
      <c r="IH415" s="457"/>
      <c r="II415" s="457"/>
      <c r="IJ415" s="457"/>
      <c r="IK415" s="457"/>
      <c r="IL415" s="457"/>
      <c r="IM415" s="457"/>
      <c r="IN415" s="457"/>
      <c r="IO415" s="457"/>
      <c r="IP415" s="457"/>
      <c r="IQ415" s="457"/>
      <c r="IR415" s="457"/>
      <c r="IS415" s="457"/>
      <c r="IT415" s="457"/>
      <c r="IU415" s="457"/>
      <c r="IV415" s="457"/>
      <c r="IW415" s="457"/>
      <c r="IX415" s="457"/>
      <c r="IY415" s="457"/>
      <c r="IZ415" s="457"/>
      <c r="JA415" s="457"/>
      <c r="JB415" s="457"/>
      <c r="JC415" s="457"/>
      <c r="JD415" s="457"/>
      <c r="JE415" s="457"/>
      <c r="JF415" s="457"/>
      <c r="JG415" s="457"/>
      <c r="JH415" s="457"/>
      <c r="JI415" s="457"/>
      <c r="JJ415" s="457"/>
      <c r="JK415" s="457"/>
      <c r="JL415" s="457"/>
      <c r="JM415" s="457"/>
      <c r="JN415" s="457"/>
      <c r="JO415" s="457"/>
      <c r="JP415" s="457"/>
      <c r="JQ415" s="457"/>
      <c r="JR415" s="457"/>
      <c r="JS415" s="457"/>
      <c r="JT415" s="457"/>
      <c r="JU415" s="457"/>
      <c r="JV415" s="457"/>
      <c r="JW415" s="457"/>
      <c r="JX415" s="457"/>
      <c r="JY415" s="457"/>
      <c r="JZ415" s="457"/>
      <c r="KA415" s="457"/>
      <c r="KB415" s="457"/>
      <c r="KC415" s="457"/>
      <c r="KD415" s="457"/>
      <c r="KE415" s="457"/>
      <c r="KF415" s="457"/>
      <c r="KG415" s="457"/>
      <c r="KH415" s="457"/>
      <c r="KI415" s="457"/>
      <c r="KJ415" s="457"/>
      <c r="KK415" s="457"/>
      <c r="KL415" s="457"/>
      <c r="KM415" s="457"/>
      <c r="KN415" s="457"/>
      <c r="KO415" s="457"/>
      <c r="KP415" s="457"/>
      <c r="KQ415" s="457"/>
      <c r="KR415" s="457"/>
      <c r="KS415" s="457"/>
      <c r="KT415" s="457"/>
      <c r="KU415" s="457"/>
      <c r="KV415" s="457"/>
      <c r="KW415" s="457"/>
      <c r="KX415" s="457"/>
      <c r="KY415" s="457"/>
      <c r="KZ415" s="457"/>
      <c r="LA415" s="457"/>
      <c r="LB415" s="457"/>
      <c r="LC415" s="457"/>
      <c r="LD415" s="457"/>
      <c r="LE415" s="457"/>
      <c r="LF415" s="457"/>
      <c r="LG415" s="457"/>
      <c r="LH415" s="457"/>
      <c r="LI415" s="457"/>
      <c r="LJ415" s="457"/>
      <c r="LK415" s="457"/>
      <c r="LL415" s="457"/>
      <c r="LM415" s="457"/>
      <c r="LN415" s="457"/>
      <c r="LO415" s="457"/>
      <c r="LP415" s="457"/>
      <c r="LQ415" s="457"/>
      <c r="LR415" s="457"/>
      <c r="LS415" s="457"/>
      <c r="LT415" s="457"/>
      <c r="LU415" s="457"/>
      <c r="LV415" s="457"/>
      <c r="LW415" s="457"/>
      <c r="LX415" s="457"/>
      <c r="LY415" s="457"/>
      <c r="LZ415" s="457"/>
      <c r="MA415" s="457"/>
      <c r="MB415" s="457"/>
      <c r="MC415" s="457"/>
      <c r="MD415" s="457"/>
      <c r="ME415" s="457"/>
      <c r="MF415" s="457"/>
      <c r="MG415" s="457"/>
      <c r="MH415" s="457"/>
      <c r="MI415" s="457"/>
      <c r="MJ415" s="457"/>
      <c r="MK415" s="457"/>
      <c r="ML415" s="457"/>
      <c r="MM415" s="457"/>
      <c r="MN415" s="457"/>
      <c r="MO415" s="457"/>
      <c r="MP415" s="457"/>
      <c r="MQ415" s="457"/>
      <c r="MR415" s="457"/>
      <c r="MS415" s="457"/>
      <c r="MT415" s="457"/>
      <c r="MU415" s="457"/>
      <c r="MV415" s="457"/>
      <c r="MW415" s="457"/>
      <c r="MX415" s="457"/>
      <c r="MY415" s="457"/>
      <c r="MZ415" s="457"/>
      <c r="NA415" s="457"/>
      <c r="NB415" s="457"/>
      <c r="NC415" s="457"/>
      <c r="ND415" s="457"/>
      <c r="NE415" s="457"/>
      <c r="NF415" s="457"/>
      <c r="NG415" s="457"/>
      <c r="NH415" s="457"/>
      <c r="NI415" s="457"/>
      <c r="NJ415" s="457"/>
      <c r="NK415" s="457"/>
      <c r="NL415" s="457"/>
      <c r="NM415" s="457"/>
      <c r="NN415" s="457"/>
      <c r="NO415" s="457"/>
      <c r="NP415" s="457"/>
      <c r="NQ415" s="457"/>
      <c r="NR415" s="457"/>
      <c r="NS415" s="457"/>
      <c r="NT415" s="457"/>
      <c r="NU415" s="457"/>
      <c r="NV415" s="457"/>
      <c r="NW415" s="457"/>
      <c r="NX415" s="457"/>
      <c r="NY415" s="457"/>
      <c r="NZ415" s="457"/>
      <c r="OA415" s="457"/>
      <c r="OB415" s="457"/>
      <c r="OC415" s="457"/>
      <c r="OD415" s="457"/>
      <c r="OE415" s="457"/>
      <c r="OF415" s="457"/>
      <c r="OG415" s="457"/>
      <c r="OH415" s="457"/>
      <c r="OI415" s="457"/>
      <c r="OJ415" s="457"/>
      <c r="OK415" s="457"/>
      <c r="OL415" s="457"/>
      <c r="OM415" s="457"/>
      <c r="ON415" s="457"/>
      <c r="OO415" s="457"/>
      <c r="OP415" s="457"/>
      <c r="OQ415" s="457"/>
      <c r="OR415" s="457"/>
      <c r="OS415" s="457"/>
      <c r="OT415" s="457"/>
      <c r="OU415" s="457"/>
      <c r="OV415" s="457"/>
      <c r="OW415" s="457"/>
      <c r="OX415" s="457"/>
      <c r="OY415" s="457"/>
      <c r="OZ415" s="457"/>
      <c r="PA415" s="457"/>
      <c r="PB415" s="457"/>
      <c r="PC415" s="457"/>
      <c r="PD415" s="457"/>
      <c r="PE415" s="457"/>
      <c r="PF415" s="457"/>
      <c r="PG415" s="457"/>
      <c r="PH415" s="457"/>
      <c r="PI415" s="457"/>
      <c r="PJ415" s="457"/>
      <c r="PK415" s="457"/>
      <c r="PL415" s="457"/>
      <c r="PM415" s="457"/>
      <c r="PN415" s="457"/>
      <c r="PO415" s="457"/>
      <c r="PP415" s="457"/>
      <c r="PQ415" s="457"/>
      <c r="PR415" s="457"/>
      <c r="PS415" s="457"/>
      <c r="PT415" s="457"/>
      <c r="PU415" s="457"/>
      <c r="PV415" s="457"/>
      <c r="PW415" s="457"/>
      <c r="PX415" s="457"/>
      <c r="PY415" s="457"/>
      <c r="PZ415" s="457"/>
      <c r="QA415" s="457"/>
      <c r="QB415" s="457"/>
      <c r="QC415" s="457"/>
      <c r="QD415" s="457"/>
      <c r="QE415" s="457"/>
      <c r="QF415" s="457"/>
      <c r="QG415" s="457"/>
      <c r="QH415" s="457"/>
      <c r="QI415" s="457"/>
      <c r="QJ415" s="457"/>
      <c r="QK415" s="457"/>
      <c r="QL415" s="457"/>
      <c r="QM415" s="457"/>
      <c r="QN415" s="457"/>
      <c r="QO415" s="457"/>
      <c r="QP415" s="457"/>
      <c r="QQ415" s="457"/>
      <c r="QR415" s="457"/>
      <c r="QS415" s="457"/>
      <c r="QT415" s="457"/>
      <c r="QU415" s="457"/>
      <c r="QV415" s="457"/>
      <c r="QW415" s="457"/>
      <c r="QX415" s="457"/>
      <c r="QY415" s="457"/>
      <c r="QZ415" s="457"/>
      <c r="RA415" s="457"/>
      <c r="RB415" s="457"/>
      <c r="RC415" s="457"/>
      <c r="RD415" s="457"/>
      <c r="RE415" s="457"/>
      <c r="RF415" s="457"/>
      <c r="RG415" s="457"/>
      <c r="RH415" s="457"/>
      <c r="RI415" s="457"/>
      <c r="RJ415" s="457"/>
      <c r="RK415" s="457"/>
      <c r="RL415" s="457"/>
      <c r="RM415" s="457"/>
      <c r="RN415" s="457"/>
      <c r="RO415" s="457"/>
      <c r="RP415" s="457"/>
      <c r="RQ415" s="457"/>
      <c r="RR415" s="457"/>
      <c r="RS415" s="457"/>
      <c r="RT415" s="457"/>
      <c r="RU415" s="457"/>
      <c r="RV415" s="457"/>
      <c r="RW415" s="457"/>
      <c r="RX415" s="457"/>
      <c r="RY415" s="457"/>
      <c r="RZ415" s="457"/>
      <c r="SA415" s="457"/>
      <c r="SB415" s="457"/>
      <c r="SC415" s="457"/>
      <c r="SD415" s="457"/>
      <c r="SE415" s="457"/>
      <c r="SF415" s="457"/>
      <c r="SG415" s="457"/>
      <c r="SH415" s="457"/>
      <c r="SI415" s="457"/>
      <c r="SJ415" s="457"/>
      <c r="SK415" s="457"/>
      <c r="SL415" s="457"/>
      <c r="SM415" s="457"/>
      <c r="SN415" s="457"/>
      <c r="SO415" s="457"/>
      <c r="SP415" s="457"/>
      <c r="SQ415" s="457"/>
      <c r="SR415" s="457"/>
      <c r="SS415" s="457"/>
      <c r="ST415" s="457"/>
      <c r="SU415" s="457"/>
      <c r="SV415" s="457"/>
      <c r="SW415" s="457"/>
      <c r="SX415" s="457"/>
      <c r="SY415" s="457"/>
      <c r="SZ415" s="457"/>
      <c r="TA415" s="457"/>
      <c r="TB415" s="457"/>
      <c r="TC415" s="457"/>
      <c r="TD415" s="457"/>
      <c r="TE415" s="457"/>
      <c r="TF415" s="457"/>
      <c r="TG415" s="457"/>
      <c r="TH415" s="457"/>
      <c r="TI415" s="457"/>
      <c r="TJ415" s="457"/>
      <c r="TK415" s="457"/>
      <c r="TL415" s="457"/>
      <c r="TM415" s="457"/>
      <c r="TN415" s="457"/>
      <c r="TO415" s="457"/>
      <c r="TP415" s="457"/>
      <c r="TQ415" s="457"/>
      <c r="TR415" s="457"/>
      <c r="TS415" s="457"/>
      <c r="TT415" s="457"/>
      <c r="TU415" s="457"/>
      <c r="TV415" s="457"/>
      <c r="TW415" s="457"/>
      <c r="TX415" s="457"/>
      <c r="TY415" s="457"/>
      <c r="TZ415" s="457"/>
      <c r="UA415" s="457"/>
      <c r="UB415" s="457"/>
      <c r="UC415" s="457"/>
      <c r="UD415" s="457"/>
      <c r="UE415" s="457"/>
      <c r="UF415" s="457"/>
      <c r="UG415" s="457"/>
      <c r="UH415" s="457"/>
      <c r="UI415" s="457"/>
      <c r="UJ415" s="457"/>
      <c r="UK415" s="457"/>
      <c r="UL415" s="457"/>
      <c r="UM415" s="457"/>
      <c r="UN415" s="457"/>
      <c r="UO415" s="457"/>
      <c r="UP415" s="457"/>
      <c r="UQ415" s="457"/>
      <c r="UR415" s="457"/>
      <c r="US415" s="457"/>
      <c r="UT415" s="457"/>
      <c r="UU415" s="457"/>
      <c r="UV415" s="457"/>
      <c r="UW415" s="457"/>
      <c r="UX415" s="457"/>
      <c r="UY415" s="457"/>
      <c r="UZ415" s="457"/>
      <c r="VA415" s="457"/>
      <c r="VB415" s="457"/>
      <c r="VC415" s="457"/>
      <c r="VD415" s="457"/>
      <c r="VE415" s="457"/>
      <c r="VF415" s="457"/>
      <c r="VG415" s="457"/>
      <c r="VH415" s="457"/>
      <c r="VI415" s="457"/>
      <c r="VJ415" s="457"/>
      <c r="VK415" s="457"/>
      <c r="VL415" s="457"/>
      <c r="VM415" s="457"/>
      <c r="VN415" s="457"/>
      <c r="VO415" s="457"/>
      <c r="VP415" s="457"/>
      <c r="VQ415" s="457"/>
      <c r="VR415" s="457"/>
      <c r="VS415" s="457"/>
      <c r="VT415" s="457"/>
      <c r="VU415" s="457"/>
      <c r="VV415" s="457"/>
      <c r="VW415" s="457"/>
      <c r="VX415" s="457"/>
      <c r="VY415" s="457"/>
      <c r="VZ415" s="457"/>
      <c r="WA415" s="457"/>
      <c r="WB415" s="457"/>
      <c r="WC415" s="457"/>
      <c r="WD415" s="457"/>
      <c r="WE415" s="457"/>
      <c r="WF415" s="457"/>
      <c r="WG415" s="457"/>
      <c r="WH415" s="457"/>
      <c r="WI415" s="457"/>
      <c r="WJ415" s="457"/>
      <c r="WK415" s="457"/>
      <c r="WL415" s="457"/>
      <c r="WM415" s="457"/>
      <c r="WN415" s="457"/>
      <c r="WO415" s="457"/>
      <c r="WP415" s="457"/>
      <c r="WQ415" s="457"/>
      <c r="WR415" s="457"/>
      <c r="WS415" s="457"/>
      <c r="WT415" s="457"/>
      <c r="WU415" s="457"/>
      <c r="WV415" s="457"/>
      <c r="WW415" s="457"/>
      <c r="WX415" s="457"/>
      <c r="WY415" s="457"/>
      <c r="WZ415" s="457"/>
      <c r="XA415" s="457"/>
      <c r="XB415" s="457"/>
      <c r="XC415" s="457"/>
      <c r="XD415" s="457"/>
      <c r="XE415" s="457"/>
      <c r="XF415" s="457"/>
      <c r="XG415" s="457"/>
      <c r="XH415" s="457"/>
      <c r="XI415" s="457"/>
      <c r="XJ415" s="457"/>
      <c r="XK415" s="457"/>
      <c r="XL415" s="457"/>
      <c r="XM415" s="457"/>
      <c r="XN415" s="457"/>
      <c r="XO415" s="457"/>
      <c r="XP415" s="457"/>
      <c r="XQ415" s="457"/>
      <c r="XR415" s="457"/>
      <c r="XS415" s="457"/>
      <c r="XT415" s="457"/>
      <c r="XU415" s="457"/>
      <c r="XV415" s="457"/>
      <c r="XW415" s="457"/>
      <c r="XX415" s="457"/>
      <c r="XY415" s="457"/>
      <c r="XZ415" s="457"/>
      <c r="YA415" s="457"/>
      <c r="YB415" s="457"/>
      <c r="YC415" s="457"/>
      <c r="YD415" s="457"/>
      <c r="YE415" s="457"/>
      <c r="YF415" s="457"/>
      <c r="YG415" s="457"/>
      <c r="YH415" s="457"/>
      <c r="YI415" s="457"/>
      <c r="YJ415" s="457"/>
      <c r="YK415" s="457"/>
      <c r="YL415" s="457"/>
      <c r="YM415" s="457"/>
      <c r="YN415" s="457"/>
      <c r="YO415" s="457"/>
      <c r="YP415" s="457"/>
      <c r="YQ415" s="457"/>
      <c r="YR415" s="457"/>
      <c r="YS415" s="457"/>
      <c r="YT415" s="457"/>
      <c r="YU415" s="457"/>
      <c r="YV415" s="457"/>
      <c r="YW415" s="457"/>
      <c r="YX415" s="457"/>
      <c r="YY415" s="457"/>
      <c r="YZ415" s="457"/>
      <c r="ZA415" s="457"/>
      <c r="ZB415" s="457"/>
      <c r="ZC415" s="457"/>
      <c r="ZD415" s="457"/>
      <c r="ZE415" s="457"/>
      <c r="ZF415" s="457"/>
      <c r="ZG415" s="457"/>
      <c r="ZH415" s="457"/>
      <c r="ZI415" s="457"/>
      <c r="ZJ415" s="457"/>
      <c r="ZK415" s="457"/>
      <c r="ZL415" s="457"/>
      <c r="ZM415" s="457"/>
      <c r="ZN415" s="457"/>
      <c r="ZO415" s="457"/>
      <c r="ZP415" s="457"/>
      <c r="ZQ415" s="457"/>
      <c r="ZR415" s="457"/>
      <c r="ZS415" s="457"/>
      <c r="ZT415" s="457"/>
      <c r="ZU415" s="457"/>
      <c r="ZV415" s="457"/>
      <c r="ZW415" s="457"/>
      <c r="ZX415" s="457"/>
      <c r="ZY415" s="457"/>
      <c r="ZZ415" s="457"/>
      <c r="AAA415" s="457"/>
      <c r="AAB415" s="457"/>
      <c r="AAC415" s="457"/>
      <c r="AAD415" s="457"/>
      <c r="AAE415" s="457"/>
      <c r="AAF415" s="457"/>
      <c r="AAG415" s="457"/>
      <c r="AAH415" s="457"/>
      <c r="AAI415" s="457"/>
      <c r="AAJ415" s="457"/>
      <c r="AAK415" s="457"/>
      <c r="AAL415" s="457"/>
      <c r="AAM415" s="457"/>
      <c r="AAN415" s="457"/>
      <c r="AAO415" s="457"/>
      <c r="AAP415" s="457"/>
      <c r="AAQ415" s="457"/>
      <c r="AAR415" s="457"/>
      <c r="AAS415" s="457"/>
      <c r="AAT415" s="457"/>
      <c r="AAU415" s="457"/>
      <c r="AAV415" s="457"/>
      <c r="AAW415" s="457"/>
      <c r="AAX415" s="457"/>
      <c r="AAY415" s="457"/>
      <c r="AAZ415" s="457"/>
      <c r="ABA415" s="457"/>
      <c r="ABB415" s="457"/>
      <c r="ABC415" s="457"/>
      <c r="ABD415" s="457"/>
      <c r="ABE415" s="457"/>
      <c r="ABF415" s="457"/>
      <c r="ABG415" s="457"/>
      <c r="ABH415" s="457"/>
      <c r="ABI415" s="457"/>
      <c r="ABJ415" s="457"/>
      <c r="ABK415" s="457"/>
      <c r="ABL415" s="457"/>
      <c r="ABM415" s="457"/>
      <c r="ABN415" s="457"/>
      <c r="ABO415" s="457"/>
      <c r="ABP415" s="457"/>
      <c r="ABQ415" s="457"/>
      <c r="ABR415" s="457"/>
      <c r="ABS415" s="457"/>
      <c r="ABT415" s="457"/>
      <c r="ABU415" s="457"/>
      <c r="ABV415" s="457"/>
      <c r="ABW415" s="457"/>
      <c r="ABX415" s="457"/>
      <c r="ABY415" s="457"/>
      <c r="ABZ415" s="457"/>
      <c r="ACA415" s="457"/>
      <c r="ACB415" s="457"/>
      <c r="ACC415" s="457"/>
      <c r="ACD415" s="457"/>
      <c r="ACE415" s="457"/>
      <c r="ACF415" s="457"/>
      <c r="ACG415" s="457"/>
      <c r="ACH415" s="457"/>
      <c r="ACI415" s="457"/>
      <c r="ACJ415" s="457"/>
      <c r="ACK415" s="457"/>
      <c r="ACL415" s="457"/>
      <c r="ACM415" s="457"/>
      <c r="ACN415" s="457"/>
      <c r="ACO415" s="457"/>
      <c r="ACP415" s="457"/>
      <c r="ACQ415" s="457"/>
      <c r="ACR415" s="457"/>
      <c r="ACS415" s="457"/>
      <c r="ACT415" s="457"/>
      <c r="ACU415" s="457"/>
      <c r="ACV415" s="457"/>
    </row>
    <row r="416" spans="1:776" s="400" customFormat="1" x14ac:dyDescent="0.25">
      <c r="A416" s="470">
        <v>900129</v>
      </c>
      <c r="B416" s="237" t="s">
        <v>307</v>
      </c>
      <c r="C416" s="455"/>
      <c r="D416" s="454" t="s">
        <v>308</v>
      </c>
      <c r="E416" s="454">
        <v>1.31</v>
      </c>
      <c r="F416" s="458">
        <v>3.6</v>
      </c>
      <c r="G416" s="454">
        <v>0.01</v>
      </c>
      <c r="H416" s="454">
        <v>0.05</v>
      </c>
      <c r="I416" s="456">
        <v>121.61</v>
      </c>
      <c r="J416" s="454">
        <v>156.82</v>
      </c>
      <c r="K416" s="454">
        <v>3.0599999999999999E-2</v>
      </c>
      <c r="L416" s="456">
        <v>448.8</v>
      </c>
      <c r="M416" s="454">
        <v>0.01</v>
      </c>
      <c r="N416" s="454">
        <v>2.61</v>
      </c>
      <c r="O416" s="454">
        <v>91.02</v>
      </c>
      <c r="P416" s="454">
        <v>116.95</v>
      </c>
      <c r="Q416" s="454">
        <v>61.18</v>
      </c>
      <c r="R416" s="454">
        <v>0.01</v>
      </c>
      <c r="S416" s="454">
        <v>0.01</v>
      </c>
      <c r="T416" s="454">
        <v>0.01</v>
      </c>
      <c r="U416" s="454">
        <v>0.02</v>
      </c>
      <c r="V416" s="454"/>
      <c r="W416" s="457"/>
      <c r="X416" s="457"/>
      <c r="Y416" s="457"/>
      <c r="Z416" s="457"/>
      <c r="AA416" s="457"/>
      <c r="AB416" s="457"/>
      <c r="AC416" s="457"/>
      <c r="AD416" s="457"/>
      <c r="AE416" s="457"/>
      <c r="AF416" s="457"/>
      <c r="AG416" s="457"/>
      <c r="AH416" s="457"/>
      <c r="AI416" s="457"/>
      <c r="AJ416" s="457"/>
      <c r="AK416" s="457"/>
      <c r="AL416" s="457"/>
      <c r="AM416" s="457"/>
      <c r="AN416" s="457"/>
      <c r="AO416" s="457"/>
      <c r="AP416" s="457"/>
      <c r="AQ416" s="457"/>
      <c r="AR416" s="457"/>
      <c r="AS416" s="457"/>
      <c r="AT416" s="457"/>
      <c r="AU416" s="457"/>
      <c r="AV416" s="457"/>
      <c r="AW416" s="457"/>
      <c r="AX416" s="457"/>
      <c r="AY416" s="457"/>
      <c r="AZ416" s="457"/>
      <c r="BA416" s="457"/>
      <c r="BB416" s="457"/>
      <c r="BC416" s="457"/>
      <c r="BD416" s="457"/>
      <c r="BE416" s="457"/>
      <c r="BF416" s="457"/>
      <c r="BG416" s="457"/>
      <c r="BH416" s="457"/>
      <c r="BI416" s="457"/>
      <c r="BJ416" s="457"/>
      <c r="BK416" s="457"/>
      <c r="BL416" s="457"/>
      <c r="BM416" s="457"/>
      <c r="BN416" s="457"/>
      <c r="BO416" s="457"/>
      <c r="BP416" s="457"/>
      <c r="BQ416" s="457"/>
      <c r="BR416" s="457"/>
      <c r="BS416" s="457"/>
      <c r="BT416" s="457"/>
      <c r="BU416" s="457"/>
      <c r="BV416" s="457"/>
      <c r="BW416" s="457"/>
      <c r="BX416" s="457"/>
      <c r="BY416" s="457"/>
      <c r="BZ416" s="457"/>
      <c r="CA416" s="457"/>
      <c r="CB416" s="457"/>
      <c r="CC416" s="457"/>
      <c r="CD416" s="457"/>
      <c r="CE416" s="457"/>
      <c r="CF416" s="457"/>
      <c r="CG416" s="457"/>
      <c r="CH416" s="457"/>
      <c r="CI416" s="457"/>
      <c r="CJ416" s="457"/>
      <c r="CK416" s="457"/>
      <c r="CL416" s="457"/>
      <c r="CM416" s="457"/>
      <c r="CN416" s="457"/>
      <c r="CO416" s="457"/>
      <c r="CP416" s="457"/>
      <c r="CQ416" s="457"/>
      <c r="CR416" s="457"/>
      <c r="CS416" s="457"/>
      <c r="CT416" s="457"/>
      <c r="CU416" s="457"/>
      <c r="CV416" s="457"/>
      <c r="CW416" s="457"/>
      <c r="CX416" s="457"/>
      <c r="CY416" s="457"/>
      <c r="CZ416" s="457"/>
      <c r="DA416" s="457"/>
      <c r="DB416" s="457"/>
      <c r="DC416" s="457"/>
      <c r="DD416" s="457"/>
      <c r="DE416" s="457"/>
      <c r="DF416" s="457"/>
      <c r="DG416" s="457"/>
      <c r="DH416" s="457"/>
      <c r="DI416" s="457"/>
      <c r="DJ416" s="457"/>
      <c r="DK416" s="457"/>
      <c r="DL416" s="457"/>
      <c r="DM416" s="457"/>
      <c r="DN416" s="457"/>
      <c r="DO416" s="457"/>
      <c r="DP416" s="457"/>
      <c r="DQ416" s="457"/>
      <c r="DR416" s="457"/>
      <c r="DS416" s="457"/>
      <c r="DT416" s="457"/>
      <c r="DU416" s="457"/>
      <c r="DV416" s="457"/>
      <c r="DW416" s="457"/>
      <c r="DX416" s="457"/>
      <c r="DY416" s="457"/>
      <c r="DZ416" s="457"/>
      <c r="EA416" s="457"/>
      <c r="EB416" s="457"/>
      <c r="EC416" s="457"/>
      <c r="ED416" s="457"/>
      <c r="EE416" s="457"/>
      <c r="EF416" s="457"/>
      <c r="EG416" s="457"/>
      <c r="EH416" s="457"/>
      <c r="EI416" s="457"/>
      <c r="EJ416" s="457"/>
      <c r="EK416" s="457"/>
      <c r="EL416" s="457"/>
      <c r="EM416" s="457"/>
      <c r="EN416" s="457"/>
      <c r="EO416" s="457"/>
      <c r="EP416" s="457"/>
      <c r="EQ416" s="457"/>
      <c r="ER416" s="457"/>
      <c r="ES416" s="457"/>
      <c r="ET416" s="457"/>
      <c r="EU416" s="457"/>
      <c r="EV416" s="457"/>
      <c r="EW416" s="457"/>
      <c r="EX416" s="457"/>
      <c r="EY416" s="457"/>
      <c r="EZ416" s="457"/>
      <c r="FA416" s="457"/>
      <c r="FB416" s="457"/>
      <c r="FC416" s="457"/>
      <c r="FD416" s="457"/>
      <c r="FE416" s="457"/>
      <c r="FF416" s="457"/>
      <c r="FG416" s="457"/>
      <c r="FH416" s="457"/>
      <c r="FI416" s="457"/>
      <c r="FJ416" s="457"/>
      <c r="FK416" s="457"/>
      <c r="FL416" s="457"/>
      <c r="FM416" s="457"/>
      <c r="FN416" s="457"/>
      <c r="FO416" s="457"/>
      <c r="FP416" s="457"/>
      <c r="FQ416" s="457"/>
      <c r="FR416" s="457"/>
      <c r="FS416" s="457"/>
      <c r="FT416" s="457"/>
      <c r="FU416" s="457"/>
      <c r="FV416" s="457"/>
      <c r="FW416" s="457"/>
      <c r="FX416" s="457"/>
      <c r="FY416" s="457"/>
      <c r="FZ416" s="457"/>
      <c r="GA416" s="457"/>
      <c r="GB416" s="457"/>
      <c r="GC416" s="457"/>
      <c r="GD416" s="457"/>
      <c r="GE416" s="457"/>
      <c r="GF416" s="457"/>
      <c r="GG416" s="457"/>
      <c r="GH416" s="457"/>
      <c r="GI416" s="457"/>
      <c r="GJ416" s="457"/>
      <c r="GK416" s="457"/>
      <c r="GL416" s="457"/>
      <c r="GM416" s="457"/>
      <c r="GN416" s="457"/>
      <c r="GO416" s="457"/>
      <c r="GP416" s="457"/>
      <c r="GQ416" s="457"/>
      <c r="GR416" s="457"/>
      <c r="GS416" s="457"/>
      <c r="GT416" s="457"/>
      <c r="GU416" s="457"/>
      <c r="GV416" s="457"/>
      <c r="GW416" s="457"/>
      <c r="GX416" s="457"/>
      <c r="GY416" s="457"/>
      <c r="GZ416" s="457"/>
      <c r="HA416" s="457"/>
      <c r="HB416" s="457"/>
      <c r="HC416" s="457"/>
      <c r="HD416" s="457"/>
      <c r="HE416" s="457"/>
      <c r="HF416" s="457"/>
      <c r="HG416" s="457"/>
      <c r="HH416" s="457"/>
      <c r="HI416" s="457"/>
      <c r="HJ416" s="457"/>
      <c r="HK416" s="457"/>
      <c r="HL416" s="457"/>
      <c r="HM416" s="457"/>
      <c r="HN416" s="457"/>
      <c r="HO416" s="457"/>
      <c r="HP416" s="457"/>
      <c r="HQ416" s="457"/>
      <c r="HR416" s="457"/>
      <c r="HS416" s="457"/>
      <c r="HT416" s="457"/>
      <c r="HU416" s="457"/>
      <c r="HV416" s="457"/>
      <c r="HW416" s="457"/>
      <c r="HX416" s="457"/>
      <c r="HY416" s="457"/>
      <c r="HZ416" s="457"/>
      <c r="IA416" s="457"/>
      <c r="IB416" s="457"/>
      <c r="IC416" s="457"/>
      <c r="ID416" s="457"/>
      <c r="IE416" s="457"/>
      <c r="IF416" s="457"/>
      <c r="IG416" s="457"/>
      <c r="IH416" s="457"/>
      <c r="II416" s="457"/>
      <c r="IJ416" s="457"/>
      <c r="IK416" s="457"/>
      <c r="IL416" s="457"/>
      <c r="IM416" s="457"/>
      <c r="IN416" s="457"/>
      <c r="IO416" s="457"/>
      <c r="IP416" s="457"/>
      <c r="IQ416" s="457"/>
      <c r="IR416" s="457"/>
      <c r="IS416" s="457"/>
      <c r="IT416" s="457"/>
      <c r="IU416" s="457"/>
      <c r="IV416" s="457"/>
      <c r="IW416" s="457"/>
      <c r="IX416" s="457"/>
      <c r="IY416" s="457"/>
      <c r="IZ416" s="457"/>
      <c r="JA416" s="457"/>
      <c r="JB416" s="457"/>
      <c r="JC416" s="457"/>
      <c r="JD416" s="457"/>
      <c r="JE416" s="457"/>
      <c r="JF416" s="457"/>
      <c r="JG416" s="457"/>
      <c r="JH416" s="457"/>
      <c r="JI416" s="457"/>
      <c r="JJ416" s="457"/>
      <c r="JK416" s="457"/>
      <c r="JL416" s="457"/>
      <c r="JM416" s="457"/>
      <c r="JN416" s="457"/>
      <c r="JO416" s="457"/>
      <c r="JP416" s="457"/>
      <c r="JQ416" s="457"/>
      <c r="JR416" s="457"/>
      <c r="JS416" s="457"/>
      <c r="JT416" s="457"/>
      <c r="JU416" s="457"/>
      <c r="JV416" s="457"/>
      <c r="JW416" s="457"/>
      <c r="JX416" s="457"/>
      <c r="JY416" s="457"/>
      <c r="JZ416" s="457"/>
      <c r="KA416" s="457"/>
      <c r="KB416" s="457"/>
      <c r="KC416" s="457"/>
      <c r="KD416" s="457"/>
      <c r="KE416" s="457"/>
      <c r="KF416" s="457"/>
      <c r="KG416" s="457"/>
      <c r="KH416" s="457"/>
      <c r="KI416" s="457"/>
      <c r="KJ416" s="457"/>
      <c r="KK416" s="457"/>
      <c r="KL416" s="457"/>
      <c r="KM416" s="457"/>
      <c r="KN416" s="457"/>
      <c r="KO416" s="457"/>
      <c r="KP416" s="457"/>
      <c r="KQ416" s="457"/>
      <c r="KR416" s="457"/>
      <c r="KS416" s="457"/>
      <c r="KT416" s="457"/>
      <c r="KU416" s="457"/>
      <c r="KV416" s="457"/>
      <c r="KW416" s="457"/>
      <c r="KX416" s="457"/>
      <c r="KY416" s="457"/>
      <c r="KZ416" s="457"/>
      <c r="LA416" s="457"/>
      <c r="LB416" s="457"/>
      <c r="LC416" s="457"/>
      <c r="LD416" s="457"/>
      <c r="LE416" s="457"/>
      <c r="LF416" s="457"/>
      <c r="LG416" s="457"/>
      <c r="LH416" s="457"/>
      <c r="LI416" s="457"/>
      <c r="LJ416" s="457"/>
      <c r="LK416" s="457"/>
      <c r="LL416" s="457"/>
      <c r="LM416" s="457"/>
      <c r="LN416" s="457"/>
      <c r="LO416" s="457"/>
      <c r="LP416" s="457"/>
      <c r="LQ416" s="457"/>
      <c r="LR416" s="457"/>
      <c r="LS416" s="457"/>
      <c r="LT416" s="457"/>
      <c r="LU416" s="457"/>
      <c r="LV416" s="457"/>
      <c r="LW416" s="457"/>
      <c r="LX416" s="457"/>
      <c r="LY416" s="457"/>
      <c r="LZ416" s="457"/>
      <c r="MA416" s="457"/>
      <c r="MB416" s="457"/>
      <c r="MC416" s="457"/>
      <c r="MD416" s="457"/>
      <c r="ME416" s="457"/>
      <c r="MF416" s="457"/>
      <c r="MG416" s="457"/>
      <c r="MH416" s="457"/>
      <c r="MI416" s="457"/>
      <c r="MJ416" s="457"/>
      <c r="MK416" s="457"/>
      <c r="ML416" s="457"/>
      <c r="MM416" s="457"/>
      <c r="MN416" s="457"/>
      <c r="MO416" s="457"/>
      <c r="MP416" s="457"/>
      <c r="MQ416" s="457"/>
      <c r="MR416" s="457"/>
      <c r="MS416" s="457"/>
      <c r="MT416" s="457"/>
      <c r="MU416" s="457"/>
      <c r="MV416" s="457"/>
      <c r="MW416" s="457"/>
      <c r="MX416" s="457"/>
      <c r="MY416" s="457"/>
      <c r="MZ416" s="457"/>
      <c r="NA416" s="457"/>
      <c r="NB416" s="457"/>
      <c r="NC416" s="457"/>
      <c r="ND416" s="457"/>
      <c r="NE416" s="457"/>
      <c r="NF416" s="457"/>
      <c r="NG416" s="457"/>
      <c r="NH416" s="457"/>
      <c r="NI416" s="457"/>
      <c r="NJ416" s="457"/>
      <c r="NK416" s="457"/>
      <c r="NL416" s="457"/>
      <c r="NM416" s="457"/>
      <c r="NN416" s="457"/>
      <c r="NO416" s="457"/>
      <c r="NP416" s="457"/>
      <c r="NQ416" s="457"/>
      <c r="NR416" s="457"/>
      <c r="NS416" s="457"/>
      <c r="NT416" s="457"/>
      <c r="NU416" s="457"/>
      <c r="NV416" s="457"/>
      <c r="NW416" s="457"/>
      <c r="NX416" s="457"/>
      <c r="NY416" s="457"/>
      <c r="NZ416" s="457"/>
      <c r="OA416" s="457"/>
      <c r="OB416" s="457"/>
      <c r="OC416" s="457"/>
      <c r="OD416" s="457"/>
      <c r="OE416" s="457"/>
      <c r="OF416" s="457"/>
      <c r="OG416" s="457"/>
      <c r="OH416" s="457"/>
      <c r="OI416" s="457"/>
      <c r="OJ416" s="457"/>
      <c r="OK416" s="457"/>
      <c r="OL416" s="457"/>
      <c r="OM416" s="457"/>
      <c r="ON416" s="457"/>
      <c r="OO416" s="457"/>
      <c r="OP416" s="457"/>
      <c r="OQ416" s="457"/>
      <c r="OR416" s="457"/>
      <c r="OS416" s="457"/>
      <c r="OT416" s="457"/>
      <c r="OU416" s="457"/>
      <c r="OV416" s="457"/>
      <c r="OW416" s="457"/>
      <c r="OX416" s="457"/>
      <c r="OY416" s="457"/>
      <c r="OZ416" s="457"/>
      <c r="PA416" s="457"/>
      <c r="PB416" s="457"/>
      <c r="PC416" s="457"/>
      <c r="PD416" s="457"/>
      <c r="PE416" s="457"/>
      <c r="PF416" s="457"/>
      <c r="PG416" s="457"/>
      <c r="PH416" s="457"/>
      <c r="PI416" s="457"/>
      <c r="PJ416" s="457"/>
      <c r="PK416" s="457"/>
      <c r="PL416" s="457"/>
      <c r="PM416" s="457"/>
      <c r="PN416" s="457"/>
      <c r="PO416" s="457"/>
      <c r="PP416" s="457"/>
      <c r="PQ416" s="457"/>
      <c r="PR416" s="457"/>
      <c r="PS416" s="457"/>
      <c r="PT416" s="457"/>
      <c r="PU416" s="457"/>
      <c r="PV416" s="457"/>
      <c r="PW416" s="457"/>
      <c r="PX416" s="457"/>
      <c r="PY416" s="457"/>
      <c r="PZ416" s="457"/>
      <c r="QA416" s="457"/>
      <c r="QB416" s="457"/>
      <c r="QC416" s="457"/>
      <c r="QD416" s="457"/>
      <c r="QE416" s="457"/>
      <c r="QF416" s="457"/>
      <c r="QG416" s="457"/>
      <c r="QH416" s="457"/>
      <c r="QI416" s="457"/>
      <c r="QJ416" s="457"/>
      <c r="QK416" s="457"/>
      <c r="QL416" s="457"/>
      <c r="QM416" s="457"/>
      <c r="QN416" s="457"/>
      <c r="QO416" s="457"/>
      <c r="QP416" s="457"/>
      <c r="QQ416" s="457"/>
      <c r="QR416" s="457"/>
      <c r="QS416" s="457"/>
      <c r="QT416" s="457"/>
      <c r="QU416" s="457"/>
      <c r="QV416" s="457"/>
      <c r="QW416" s="457"/>
      <c r="QX416" s="457"/>
      <c r="QY416" s="457"/>
      <c r="QZ416" s="457"/>
      <c r="RA416" s="457"/>
      <c r="RB416" s="457"/>
      <c r="RC416" s="457"/>
      <c r="RD416" s="457"/>
      <c r="RE416" s="457"/>
      <c r="RF416" s="457"/>
      <c r="RG416" s="457"/>
      <c r="RH416" s="457"/>
      <c r="RI416" s="457"/>
      <c r="RJ416" s="457"/>
      <c r="RK416" s="457"/>
      <c r="RL416" s="457"/>
      <c r="RM416" s="457"/>
      <c r="RN416" s="457"/>
      <c r="RO416" s="457"/>
      <c r="RP416" s="457"/>
      <c r="RQ416" s="457"/>
      <c r="RR416" s="457"/>
      <c r="RS416" s="457"/>
      <c r="RT416" s="457"/>
      <c r="RU416" s="457"/>
      <c r="RV416" s="457"/>
      <c r="RW416" s="457"/>
      <c r="RX416" s="457"/>
      <c r="RY416" s="457"/>
      <c r="RZ416" s="457"/>
      <c r="SA416" s="457"/>
      <c r="SB416" s="457"/>
      <c r="SC416" s="457"/>
      <c r="SD416" s="457"/>
      <c r="SE416" s="457"/>
      <c r="SF416" s="457"/>
      <c r="SG416" s="457"/>
      <c r="SH416" s="457"/>
      <c r="SI416" s="457"/>
      <c r="SJ416" s="457"/>
      <c r="SK416" s="457"/>
      <c r="SL416" s="457"/>
      <c r="SM416" s="457"/>
      <c r="SN416" s="457"/>
      <c r="SO416" s="457"/>
      <c r="SP416" s="457"/>
      <c r="SQ416" s="457"/>
      <c r="SR416" s="457"/>
      <c r="SS416" s="457"/>
      <c r="ST416" s="457"/>
      <c r="SU416" s="457"/>
      <c r="SV416" s="457"/>
      <c r="SW416" s="457"/>
      <c r="SX416" s="457"/>
      <c r="SY416" s="457"/>
      <c r="SZ416" s="457"/>
      <c r="TA416" s="457"/>
      <c r="TB416" s="457"/>
      <c r="TC416" s="457"/>
      <c r="TD416" s="457"/>
      <c r="TE416" s="457"/>
      <c r="TF416" s="457"/>
      <c r="TG416" s="457"/>
      <c r="TH416" s="457"/>
      <c r="TI416" s="457"/>
      <c r="TJ416" s="457"/>
      <c r="TK416" s="457"/>
      <c r="TL416" s="457"/>
      <c r="TM416" s="457"/>
      <c r="TN416" s="457"/>
      <c r="TO416" s="457"/>
      <c r="TP416" s="457"/>
      <c r="TQ416" s="457"/>
      <c r="TR416" s="457"/>
      <c r="TS416" s="457"/>
      <c r="TT416" s="457"/>
      <c r="TU416" s="457"/>
      <c r="TV416" s="457"/>
      <c r="TW416" s="457"/>
      <c r="TX416" s="457"/>
      <c r="TY416" s="457"/>
      <c r="TZ416" s="457"/>
      <c r="UA416" s="457"/>
      <c r="UB416" s="457"/>
      <c r="UC416" s="457"/>
      <c r="UD416" s="457"/>
      <c r="UE416" s="457"/>
      <c r="UF416" s="457"/>
      <c r="UG416" s="457"/>
      <c r="UH416" s="457"/>
      <c r="UI416" s="457"/>
      <c r="UJ416" s="457"/>
      <c r="UK416" s="457"/>
      <c r="UL416" s="457"/>
      <c r="UM416" s="457"/>
      <c r="UN416" s="457"/>
      <c r="UO416" s="457"/>
      <c r="UP416" s="457"/>
      <c r="UQ416" s="457"/>
      <c r="UR416" s="457"/>
      <c r="US416" s="457"/>
      <c r="UT416" s="457"/>
      <c r="UU416" s="457"/>
      <c r="UV416" s="457"/>
      <c r="UW416" s="457"/>
      <c r="UX416" s="457"/>
      <c r="UY416" s="457"/>
      <c r="UZ416" s="457"/>
      <c r="VA416" s="457"/>
      <c r="VB416" s="457"/>
      <c r="VC416" s="457"/>
      <c r="VD416" s="457"/>
      <c r="VE416" s="457"/>
      <c r="VF416" s="457"/>
      <c r="VG416" s="457"/>
      <c r="VH416" s="457"/>
      <c r="VI416" s="457"/>
      <c r="VJ416" s="457"/>
      <c r="VK416" s="457"/>
      <c r="VL416" s="457"/>
      <c r="VM416" s="457"/>
      <c r="VN416" s="457"/>
      <c r="VO416" s="457"/>
      <c r="VP416" s="457"/>
      <c r="VQ416" s="457"/>
      <c r="VR416" s="457"/>
      <c r="VS416" s="457"/>
      <c r="VT416" s="457"/>
      <c r="VU416" s="457"/>
      <c r="VV416" s="457"/>
      <c r="VW416" s="457"/>
      <c r="VX416" s="457"/>
      <c r="VY416" s="457"/>
      <c r="VZ416" s="457"/>
      <c r="WA416" s="457"/>
      <c r="WB416" s="457"/>
      <c r="WC416" s="457"/>
      <c r="WD416" s="457"/>
      <c r="WE416" s="457"/>
      <c r="WF416" s="457"/>
      <c r="WG416" s="457"/>
      <c r="WH416" s="457"/>
      <c r="WI416" s="457"/>
      <c r="WJ416" s="457"/>
      <c r="WK416" s="457"/>
      <c r="WL416" s="457"/>
      <c r="WM416" s="457"/>
      <c r="WN416" s="457"/>
      <c r="WO416" s="457"/>
      <c r="WP416" s="457"/>
      <c r="WQ416" s="457"/>
      <c r="WR416" s="457"/>
      <c r="WS416" s="457"/>
      <c r="WT416" s="457"/>
      <c r="WU416" s="457"/>
      <c r="WV416" s="457"/>
      <c r="WW416" s="457"/>
      <c r="WX416" s="457"/>
      <c r="WY416" s="457"/>
      <c r="WZ416" s="457"/>
      <c r="XA416" s="457"/>
      <c r="XB416" s="457"/>
      <c r="XC416" s="457"/>
      <c r="XD416" s="457"/>
      <c r="XE416" s="457"/>
      <c r="XF416" s="457"/>
      <c r="XG416" s="457"/>
      <c r="XH416" s="457"/>
      <c r="XI416" s="457"/>
      <c r="XJ416" s="457"/>
      <c r="XK416" s="457"/>
      <c r="XL416" s="457"/>
      <c r="XM416" s="457"/>
      <c r="XN416" s="457"/>
      <c r="XO416" s="457"/>
      <c r="XP416" s="457"/>
      <c r="XQ416" s="457"/>
      <c r="XR416" s="457"/>
      <c r="XS416" s="457"/>
      <c r="XT416" s="457"/>
      <c r="XU416" s="457"/>
      <c r="XV416" s="457"/>
      <c r="XW416" s="457"/>
      <c r="XX416" s="457"/>
      <c r="XY416" s="457"/>
      <c r="XZ416" s="457"/>
      <c r="YA416" s="457"/>
      <c r="YB416" s="457"/>
      <c r="YC416" s="457"/>
      <c r="YD416" s="457"/>
      <c r="YE416" s="457"/>
      <c r="YF416" s="457"/>
      <c r="YG416" s="457"/>
      <c r="YH416" s="457"/>
      <c r="YI416" s="457"/>
      <c r="YJ416" s="457"/>
      <c r="YK416" s="457"/>
      <c r="YL416" s="457"/>
      <c r="YM416" s="457"/>
      <c r="YN416" s="457"/>
      <c r="YO416" s="457"/>
      <c r="YP416" s="457"/>
      <c r="YQ416" s="457"/>
      <c r="YR416" s="457"/>
      <c r="YS416" s="457"/>
      <c r="YT416" s="457"/>
      <c r="YU416" s="457"/>
      <c r="YV416" s="457"/>
      <c r="YW416" s="457"/>
      <c r="YX416" s="457"/>
      <c r="YY416" s="457"/>
      <c r="YZ416" s="457"/>
      <c r="ZA416" s="457"/>
      <c r="ZB416" s="457"/>
      <c r="ZC416" s="457"/>
      <c r="ZD416" s="457"/>
      <c r="ZE416" s="457"/>
      <c r="ZF416" s="457"/>
      <c r="ZG416" s="457"/>
      <c r="ZH416" s="457"/>
      <c r="ZI416" s="457"/>
      <c r="ZJ416" s="457"/>
      <c r="ZK416" s="457"/>
      <c r="ZL416" s="457"/>
      <c r="ZM416" s="457"/>
      <c r="ZN416" s="457"/>
      <c r="ZO416" s="457"/>
      <c r="ZP416" s="457"/>
      <c r="ZQ416" s="457"/>
      <c r="ZR416" s="457"/>
      <c r="ZS416" s="457"/>
      <c r="ZT416" s="457"/>
      <c r="ZU416" s="457"/>
      <c r="ZV416" s="457"/>
      <c r="ZW416" s="457"/>
      <c r="ZX416" s="457"/>
      <c r="ZY416" s="457"/>
      <c r="ZZ416" s="457"/>
      <c r="AAA416" s="457"/>
      <c r="AAB416" s="457"/>
      <c r="AAC416" s="457"/>
      <c r="AAD416" s="457"/>
      <c r="AAE416" s="457"/>
      <c r="AAF416" s="457"/>
      <c r="AAG416" s="457"/>
      <c r="AAH416" s="457"/>
      <c r="AAI416" s="457"/>
      <c r="AAJ416" s="457"/>
      <c r="AAK416" s="457"/>
      <c r="AAL416" s="457"/>
      <c r="AAM416" s="457"/>
      <c r="AAN416" s="457"/>
      <c r="AAO416" s="457"/>
      <c r="AAP416" s="457"/>
      <c r="AAQ416" s="457"/>
      <c r="AAR416" s="457"/>
      <c r="AAS416" s="457"/>
      <c r="AAT416" s="457"/>
      <c r="AAU416" s="457"/>
      <c r="AAV416" s="457"/>
      <c r="AAW416" s="457"/>
      <c r="AAX416" s="457"/>
      <c r="AAY416" s="457"/>
      <c r="AAZ416" s="457"/>
      <c r="ABA416" s="457"/>
      <c r="ABB416" s="457"/>
      <c r="ABC416" s="457"/>
      <c r="ABD416" s="457"/>
      <c r="ABE416" s="457"/>
      <c r="ABF416" s="457"/>
      <c r="ABG416" s="457"/>
      <c r="ABH416" s="457"/>
      <c r="ABI416" s="457"/>
      <c r="ABJ416" s="457"/>
      <c r="ABK416" s="457"/>
      <c r="ABL416" s="457"/>
      <c r="ABM416" s="457"/>
      <c r="ABN416" s="457"/>
      <c r="ABO416" s="457"/>
      <c r="ABP416" s="457"/>
      <c r="ABQ416" s="457"/>
      <c r="ABR416" s="457"/>
      <c r="ABS416" s="457"/>
      <c r="ABT416" s="457"/>
      <c r="ABU416" s="457"/>
      <c r="ABV416" s="457"/>
      <c r="ABW416" s="457"/>
      <c r="ABX416" s="457"/>
      <c r="ABY416" s="457"/>
      <c r="ABZ416" s="457"/>
      <c r="ACA416" s="457"/>
      <c r="ACB416" s="457"/>
      <c r="ACC416" s="457"/>
      <c r="ACD416" s="457"/>
      <c r="ACE416" s="457"/>
      <c r="ACF416" s="457"/>
      <c r="ACG416" s="457"/>
      <c r="ACH416" s="457"/>
      <c r="ACI416" s="457"/>
      <c r="ACJ416" s="457"/>
      <c r="ACK416" s="457"/>
      <c r="ACL416" s="457"/>
      <c r="ACM416" s="457"/>
      <c r="ACN416" s="457"/>
      <c r="ACO416" s="457"/>
      <c r="ACP416" s="457"/>
      <c r="ACQ416" s="457"/>
      <c r="ACR416" s="457"/>
      <c r="ACS416" s="457"/>
      <c r="ACT416" s="457"/>
      <c r="ACU416" s="457"/>
      <c r="ACV416" s="457"/>
    </row>
    <row r="417" spans="1:776" s="400" customFormat="1" x14ac:dyDescent="0.25">
      <c r="A417" s="470">
        <v>900130</v>
      </c>
      <c r="B417" s="237" t="s">
        <v>309</v>
      </c>
      <c r="C417" s="455"/>
      <c r="D417" s="454" t="s">
        <v>261</v>
      </c>
      <c r="E417" s="454">
        <v>1.85</v>
      </c>
      <c r="F417" s="458">
        <v>76.8</v>
      </c>
      <c r="G417" s="454">
        <v>0.01</v>
      </c>
      <c r="H417" s="454">
        <v>0.05</v>
      </c>
      <c r="I417" s="456">
        <v>373.1</v>
      </c>
      <c r="J417" s="454">
        <v>132.5</v>
      </c>
      <c r="K417" s="454">
        <v>3.0599999999999999E-2</v>
      </c>
      <c r="L417" s="456">
        <v>321.60000000000002</v>
      </c>
      <c r="M417" s="454">
        <v>0.01</v>
      </c>
      <c r="N417" s="454">
        <v>2.39</v>
      </c>
      <c r="O417" s="454">
        <v>214.66</v>
      </c>
      <c r="P417" s="454">
        <v>96.14</v>
      </c>
      <c r="Q417" s="454">
        <v>51.71</v>
      </c>
      <c r="R417" s="454">
        <v>2.9</v>
      </c>
      <c r="S417" s="454">
        <v>0.01</v>
      </c>
      <c r="T417" s="454">
        <v>0.01</v>
      </c>
      <c r="U417" s="454">
        <v>0.01</v>
      </c>
      <c r="V417" s="454"/>
      <c r="W417" s="457"/>
      <c r="X417" s="457"/>
      <c r="Y417" s="457"/>
      <c r="Z417" s="457"/>
      <c r="AA417" s="457"/>
      <c r="AB417" s="457"/>
      <c r="AC417" s="457"/>
      <c r="AD417" s="457"/>
      <c r="AE417" s="457"/>
      <c r="AF417" s="457"/>
      <c r="AG417" s="457"/>
      <c r="AH417" s="457"/>
      <c r="AI417" s="457"/>
      <c r="AJ417" s="457"/>
      <c r="AK417" s="457"/>
      <c r="AL417" s="457"/>
      <c r="AM417" s="457"/>
      <c r="AN417" s="457"/>
      <c r="AO417" s="457"/>
      <c r="AP417" s="457"/>
      <c r="AQ417" s="457"/>
      <c r="AR417" s="457"/>
      <c r="AS417" s="457"/>
      <c r="AT417" s="457"/>
      <c r="AU417" s="457"/>
      <c r="AV417" s="457"/>
      <c r="AW417" s="457"/>
      <c r="AX417" s="457"/>
      <c r="AY417" s="457"/>
      <c r="AZ417" s="457"/>
      <c r="BA417" s="457"/>
      <c r="BB417" s="457"/>
      <c r="BC417" s="457"/>
      <c r="BD417" s="457"/>
      <c r="BE417" s="457"/>
      <c r="BF417" s="457"/>
      <c r="BG417" s="457"/>
      <c r="BH417" s="457"/>
      <c r="BI417" s="457"/>
      <c r="BJ417" s="457"/>
      <c r="BK417" s="457"/>
      <c r="BL417" s="457"/>
      <c r="BM417" s="457"/>
      <c r="BN417" s="457"/>
      <c r="BO417" s="457"/>
      <c r="BP417" s="457"/>
      <c r="BQ417" s="457"/>
      <c r="BR417" s="457"/>
      <c r="BS417" s="457"/>
      <c r="BT417" s="457"/>
      <c r="BU417" s="457"/>
      <c r="BV417" s="457"/>
      <c r="BW417" s="457"/>
      <c r="BX417" s="457"/>
      <c r="BY417" s="457"/>
      <c r="BZ417" s="457"/>
      <c r="CA417" s="457"/>
      <c r="CB417" s="457"/>
      <c r="CC417" s="457"/>
      <c r="CD417" s="457"/>
      <c r="CE417" s="457"/>
      <c r="CF417" s="457"/>
      <c r="CG417" s="457"/>
      <c r="CH417" s="457"/>
      <c r="CI417" s="457"/>
      <c r="CJ417" s="457"/>
      <c r="CK417" s="457"/>
      <c r="CL417" s="457"/>
      <c r="CM417" s="457"/>
      <c r="CN417" s="457"/>
      <c r="CO417" s="457"/>
      <c r="CP417" s="457"/>
      <c r="CQ417" s="457"/>
      <c r="CR417" s="457"/>
      <c r="CS417" s="457"/>
      <c r="CT417" s="457"/>
      <c r="CU417" s="457"/>
      <c r="CV417" s="457"/>
      <c r="CW417" s="457"/>
      <c r="CX417" s="457"/>
      <c r="CY417" s="457"/>
      <c r="CZ417" s="457"/>
      <c r="DA417" s="457"/>
      <c r="DB417" s="457"/>
      <c r="DC417" s="457"/>
      <c r="DD417" s="457"/>
      <c r="DE417" s="457"/>
      <c r="DF417" s="457"/>
      <c r="DG417" s="457"/>
      <c r="DH417" s="457"/>
      <c r="DI417" s="457"/>
      <c r="DJ417" s="457"/>
      <c r="DK417" s="457"/>
      <c r="DL417" s="457"/>
      <c r="DM417" s="457"/>
      <c r="DN417" s="457"/>
      <c r="DO417" s="457"/>
      <c r="DP417" s="457"/>
      <c r="DQ417" s="457"/>
      <c r="DR417" s="457"/>
      <c r="DS417" s="457"/>
      <c r="DT417" s="457"/>
      <c r="DU417" s="457"/>
      <c r="DV417" s="457"/>
      <c r="DW417" s="457"/>
      <c r="DX417" s="457"/>
      <c r="DY417" s="457"/>
      <c r="DZ417" s="457"/>
      <c r="EA417" s="457"/>
      <c r="EB417" s="457"/>
      <c r="EC417" s="457"/>
      <c r="ED417" s="457"/>
      <c r="EE417" s="457"/>
      <c r="EF417" s="457"/>
      <c r="EG417" s="457"/>
      <c r="EH417" s="457"/>
      <c r="EI417" s="457"/>
      <c r="EJ417" s="457"/>
      <c r="EK417" s="457"/>
      <c r="EL417" s="457"/>
      <c r="EM417" s="457"/>
      <c r="EN417" s="457"/>
      <c r="EO417" s="457"/>
      <c r="EP417" s="457"/>
      <c r="EQ417" s="457"/>
      <c r="ER417" s="457"/>
      <c r="ES417" s="457"/>
      <c r="ET417" s="457"/>
      <c r="EU417" s="457"/>
      <c r="EV417" s="457"/>
      <c r="EW417" s="457"/>
      <c r="EX417" s="457"/>
      <c r="EY417" s="457"/>
      <c r="EZ417" s="457"/>
      <c r="FA417" s="457"/>
      <c r="FB417" s="457"/>
      <c r="FC417" s="457"/>
      <c r="FD417" s="457"/>
      <c r="FE417" s="457"/>
      <c r="FF417" s="457"/>
      <c r="FG417" s="457"/>
      <c r="FH417" s="457"/>
      <c r="FI417" s="457"/>
      <c r="FJ417" s="457"/>
      <c r="FK417" s="457"/>
      <c r="FL417" s="457"/>
      <c r="FM417" s="457"/>
      <c r="FN417" s="457"/>
      <c r="FO417" s="457"/>
      <c r="FP417" s="457"/>
      <c r="FQ417" s="457"/>
      <c r="FR417" s="457"/>
      <c r="FS417" s="457"/>
      <c r="FT417" s="457"/>
      <c r="FU417" s="457"/>
      <c r="FV417" s="457"/>
      <c r="FW417" s="457"/>
      <c r="FX417" s="457"/>
      <c r="FY417" s="457"/>
      <c r="FZ417" s="457"/>
      <c r="GA417" s="457"/>
      <c r="GB417" s="457"/>
      <c r="GC417" s="457"/>
      <c r="GD417" s="457"/>
      <c r="GE417" s="457"/>
      <c r="GF417" s="457"/>
      <c r="GG417" s="457"/>
      <c r="GH417" s="457"/>
      <c r="GI417" s="457"/>
      <c r="GJ417" s="457"/>
      <c r="GK417" s="457"/>
      <c r="GL417" s="457"/>
      <c r="GM417" s="457"/>
      <c r="GN417" s="457"/>
      <c r="GO417" s="457"/>
      <c r="GP417" s="457"/>
      <c r="GQ417" s="457"/>
      <c r="GR417" s="457"/>
      <c r="GS417" s="457"/>
      <c r="GT417" s="457"/>
      <c r="GU417" s="457"/>
      <c r="GV417" s="457"/>
      <c r="GW417" s="457"/>
      <c r="GX417" s="457"/>
      <c r="GY417" s="457"/>
      <c r="GZ417" s="457"/>
      <c r="HA417" s="457"/>
      <c r="HB417" s="457"/>
      <c r="HC417" s="457"/>
      <c r="HD417" s="457"/>
      <c r="HE417" s="457"/>
      <c r="HF417" s="457"/>
      <c r="HG417" s="457"/>
      <c r="HH417" s="457"/>
      <c r="HI417" s="457"/>
      <c r="HJ417" s="457"/>
      <c r="HK417" s="457"/>
      <c r="HL417" s="457"/>
      <c r="HM417" s="457"/>
      <c r="HN417" s="457"/>
      <c r="HO417" s="457"/>
      <c r="HP417" s="457"/>
      <c r="HQ417" s="457"/>
      <c r="HR417" s="457"/>
      <c r="HS417" s="457"/>
      <c r="HT417" s="457"/>
      <c r="HU417" s="457"/>
      <c r="HV417" s="457"/>
      <c r="HW417" s="457"/>
      <c r="HX417" s="457"/>
      <c r="HY417" s="457"/>
      <c r="HZ417" s="457"/>
      <c r="IA417" s="457"/>
      <c r="IB417" s="457"/>
      <c r="IC417" s="457"/>
      <c r="ID417" s="457"/>
      <c r="IE417" s="457"/>
      <c r="IF417" s="457"/>
      <c r="IG417" s="457"/>
      <c r="IH417" s="457"/>
      <c r="II417" s="457"/>
      <c r="IJ417" s="457"/>
      <c r="IK417" s="457"/>
      <c r="IL417" s="457"/>
      <c r="IM417" s="457"/>
      <c r="IN417" s="457"/>
      <c r="IO417" s="457"/>
      <c r="IP417" s="457"/>
      <c r="IQ417" s="457"/>
      <c r="IR417" s="457"/>
      <c r="IS417" s="457"/>
      <c r="IT417" s="457"/>
      <c r="IU417" s="457"/>
      <c r="IV417" s="457"/>
      <c r="IW417" s="457"/>
      <c r="IX417" s="457"/>
      <c r="IY417" s="457"/>
      <c r="IZ417" s="457"/>
      <c r="JA417" s="457"/>
      <c r="JB417" s="457"/>
      <c r="JC417" s="457"/>
      <c r="JD417" s="457"/>
      <c r="JE417" s="457"/>
      <c r="JF417" s="457"/>
      <c r="JG417" s="457"/>
      <c r="JH417" s="457"/>
      <c r="JI417" s="457"/>
      <c r="JJ417" s="457"/>
      <c r="JK417" s="457"/>
      <c r="JL417" s="457"/>
      <c r="JM417" s="457"/>
      <c r="JN417" s="457"/>
      <c r="JO417" s="457"/>
      <c r="JP417" s="457"/>
      <c r="JQ417" s="457"/>
      <c r="JR417" s="457"/>
      <c r="JS417" s="457"/>
      <c r="JT417" s="457"/>
      <c r="JU417" s="457"/>
      <c r="JV417" s="457"/>
      <c r="JW417" s="457"/>
      <c r="JX417" s="457"/>
      <c r="JY417" s="457"/>
      <c r="JZ417" s="457"/>
      <c r="KA417" s="457"/>
      <c r="KB417" s="457"/>
      <c r="KC417" s="457"/>
      <c r="KD417" s="457"/>
      <c r="KE417" s="457"/>
      <c r="KF417" s="457"/>
      <c r="KG417" s="457"/>
      <c r="KH417" s="457"/>
      <c r="KI417" s="457"/>
      <c r="KJ417" s="457"/>
      <c r="KK417" s="457"/>
      <c r="KL417" s="457"/>
      <c r="KM417" s="457"/>
      <c r="KN417" s="457"/>
      <c r="KO417" s="457"/>
      <c r="KP417" s="457"/>
      <c r="KQ417" s="457"/>
      <c r="KR417" s="457"/>
      <c r="KS417" s="457"/>
      <c r="KT417" s="457"/>
      <c r="KU417" s="457"/>
      <c r="KV417" s="457"/>
      <c r="KW417" s="457"/>
      <c r="KX417" s="457"/>
      <c r="KY417" s="457"/>
      <c r="KZ417" s="457"/>
      <c r="LA417" s="457"/>
      <c r="LB417" s="457"/>
      <c r="LC417" s="457"/>
      <c r="LD417" s="457"/>
      <c r="LE417" s="457"/>
      <c r="LF417" s="457"/>
      <c r="LG417" s="457"/>
      <c r="LH417" s="457"/>
      <c r="LI417" s="457"/>
      <c r="LJ417" s="457"/>
      <c r="LK417" s="457"/>
      <c r="LL417" s="457"/>
      <c r="LM417" s="457"/>
      <c r="LN417" s="457"/>
      <c r="LO417" s="457"/>
      <c r="LP417" s="457"/>
      <c r="LQ417" s="457"/>
      <c r="LR417" s="457"/>
      <c r="LS417" s="457"/>
      <c r="LT417" s="457"/>
      <c r="LU417" s="457"/>
      <c r="LV417" s="457"/>
      <c r="LW417" s="457"/>
      <c r="LX417" s="457"/>
      <c r="LY417" s="457"/>
      <c r="LZ417" s="457"/>
      <c r="MA417" s="457"/>
      <c r="MB417" s="457"/>
      <c r="MC417" s="457"/>
      <c r="MD417" s="457"/>
      <c r="ME417" s="457"/>
      <c r="MF417" s="457"/>
      <c r="MG417" s="457"/>
      <c r="MH417" s="457"/>
      <c r="MI417" s="457"/>
      <c r="MJ417" s="457"/>
      <c r="MK417" s="457"/>
      <c r="ML417" s="457"/>
      <c r="MM417" s="457"/>
      <c r="MN417" s="457"/>
      <c r="MO417" s="457"/>
      <c r="MP417" s="457"/>
      <c r="MQ417" s="457"/>
      <c r="MR417" s="457"/>
      <c r="MS417" s="457"/>
      <c r="MT417" s="457"/>
      <c r="MU417" s="457"/>
      <c r="MV417" s="457"/>
      <c r="MW417" s="457"/>
      <c r="MX417" s="457"/>
      <c r="MY417" s="457"/>
      <c r="MZ417" s="457"/>
      <c r="NA417" s="457"/>
      <c r="NB417" s="457"/>
      <c r="NC417" s="457"/>
      <c r="ND417" s="457"/>
      <c r="NE417" s="457"/>
      <c r="NF417" s="457"/>
      <c r="NG417" s="457"/>
      <c r="NH417" s="457"/>
      <c r="NI417" s="457"/>
      <c r="NJ417" s="457"/>
      <c r="NK417" s="457"/>
      <c r="NL417" s="457"/>
      <c r="NM417" s="457"/>
      <c r="NN417" s="457"/>
      <c r="NO417" s="457"/>
      <c r="NP417" s="457"/>
      <c r="NQ417" s="457"/>
      <c r="NR417" s="457"/>
      <c r="NS417" s="457"/>
      <c r="NT417" s="457"/>
      <c r="NU417" s="457"/>
      <c r="NV417" s="457"/>
      <c r="NW417" s="457"/>
      <c r="NX417" s="457"/>
      <c r="NY417" s="457"/>
      <c r="NZ417" s="457"/>
      <c r="OA417" s="457"/>
      <c r="OB417" s="457"/>
      <c r="OC417" s="457"/>
      <c r="OD417" s="457"/>
      <c r="OE417" s="457"/>
      <c r="OF417" s="457"/>
      <c r="OG417" s="457"/>
      <c r="OH417" s="457"/>
      <c r="OI417" s="457"/>
      <c r="OJ417" s="457"/>
      <c r="OK417" s="457"/>
      <c r="OL417" s="457"/>
      <c r="OM417" s="457"/>
      <c r="ON417" s="457"/>
      <c r="OO417" s="457"/>
      <c r="OP417" s="457"/>
      <c r="OQ417" s="457"/>
      <c r="OR417" s="457"/>
      <c r="OS417" s="457"/>
      <c r="OT417" s="457"/>
      <c r="OU417" s="457"/>
      <c r="OV417" s="457"/>
      <c r="OW417" s="457"/>
      <c r="OX417" s="457"/>
      <c r="OY417" s="457"/>
      <c r="OZ417" s="457"/>
      <c r="PA417" s="457"/>
      <c r="PB417" s="457"/>
      <c r="PC417" s="457"/>
      <c r="PD417" s="457"/>
      <c r="PE417" s="457"/>
      <c r="PF417" s="457"/>
      <c r="PG417" s="457"/>
      <c r="PH417" s="457"/>
      <c r="PI417" s="457"/>
      <c r="PJ417" s="457"/>
      <c r="PK417" s="457"/>
      <c r="PL417" s="457"/>
      <c r="PM417" s="457"/>
      <c r="PN417" s="457"/>
      <c r="PO417" s="457"/>
      <c r="PP417" s="457"/>
      <c r="PQ417" s="457"/>
      <c r="PR417" s="457"/>
      <c r="PS417" s="457"/>
      <c r="PT417" s="457"/>
      <c r="PU417" s="457"/>
      <c r="PV417" s="457"/>
      <c r="PW417" s="457"/>
      <c r="PX417" s="457"/>
      <c r="PY417" s="457"/>
      <c r="PZ417" s="457"/>
      <c r="QA417" s="457"/>
      <c r="QB417" s="457"/>
      <c r="QC417" s="457"/>
      <c r="QD417" s="457"/>
      <c r="QE417" s="457"/>
      <c r="QF417" s="457"/>
      <c r="QG417" s="457"/>
      <c r="QH417" s="457"/>
      <c r="QI417" s="457"/>
      <c r="QJ417" s="457"/>
      <c r="QK417" s="457"/>
      <c r="QL417" s="457"/>
      <c r="QM417" s="457"/>
      <c r="QN417" s="457"/>
      <c r="QO417" s="457"/>
      <c r="QP417" s="457"/>
      <c r="QQ417" s="457"/>
      <c r="QR417" s="457"/>
      <c r="QS417" s="457"/>
      <c r="QT417" s="457"/>
      <c r="QU417" s="457"/>
      <c r="QV417" s="457"/>
      <c r="QW417" s="457"/>
      <c r="QX417" s="457"/>
      <c r="QY417" s="457"/>
      <c r="QZ417" s="457"/>
      <c r="RA417" s="457"/>
      <c r="RB417" s="457"/>
      <c r="RC417" s="457"/>
      <c r="RD417" s="457"/>
      <c r="RE417" s="457"/>
      <c r="RF417" s="457"/>
      <c r="RG417" s="457"/>
      <c r="RH417" s="457"/>
      <c r="RI417" s="457"/>
      <c r="RJ417" s="457"/>
      <c r="RK417" s="457"/>
      <c r="RL417" s="457"/>
      <c r="RM417" s="457"/>
      <c r="RN417" s="457"/>
      <c r="RO417" s="457"/>
      <c r="RP417" s="457"/>
      <c r="RQ417" s="457"/>
      <c r="RR417" s="457"/>
      <c r="RS417" s="457"/>
      <c r="RT417" s="457"/>
      <c r="RU417" s="457"/>
      <c r="RV417" s="457"/>
      <c r="RW417" s="457"/>
      <c r="RX417" s="457"/>
      <c r="RY417" s="457"/>
      <c r="RZ417" s="457"/>
      <c r="SA417" s="457"/>
      <c r="SB417" s="457"/>
      <c r="SC417" s="457"/>
      <c r="SD417" s="457"/>
      <c r="SE417" s="457"/>
      <c r="SF417" s="457"/>
      <c r="SG417" s="457"/>
      <c r="SH417" s="457"/>
      <c r="SI417" s="457"/>
      <c r="SJ417" s="457"/>
      <c r="SK417" s="457"/>
      <c r="SL417" s="457"/>
      <c r="SM417" s="457"/>
      <c r="SN417" s="457"/>
      <c r="SO417" s="457"/>
      <c r="SP417" s="457"/>
      <c r="SQ417" s="457"/>
      <c r="SR417" s="457"/>
      <c r="SS417" s="457"/>
      <c r="ST417" s="457"/>
      <c r="SU417" s="457"/>
      <c r="SV417" s="457"/>
      <c r="SW417" s="457"/>
      <c r="SX417" s="457"/>
      <c r="SY417" s="457"/>
      <c r="SZ417" s="457"/>
      <c r="TA417" s="457"/>
      <c r="TB417" s="457"/>
      <c r="TC417" s="457"/>
      <c r="TD417" s="457"/>
      <c r="TE417" s="457"/>
      <c r="TF417" s="457"/>
      <c r="TG417" s="457"/>
      <c r="TH417" s="457"/>
      <c r="TI417" s="457"/>
      <c r="TJ417" s="457"/>
      <c r="TK417" s="457"/>
      <c r="TL417" s="457"/>
      <c r="TM417" s="457"/>
      <c r="TN417" s="457"/>
      <c r="TO417" s="457"/>
      <c r="TP417" s="457"/>
      <c r="TQ417" s="457"/>
      <c r="TR417" s="457"/>
      <c r="TS417" s="457"/>
      <c r="TT417" s="457"/>
      <c r="TU417" s="457"/>
      <c r="TV417" s="457"/>
      <c r="TW417" s="457"/>
      <c r="TX417" s="457"/>
      <c r="TY417" s="457"/>
      <c r="TZ417" s="457"/>
      <c r="UA417" s="457"/>
      <c r="UB417" s="457"/>
      <c r="UC417" s="457"/>
      <c r="UD417" s="457"/>
      <c r="UE417" s="457"/>
      <c r="UF417" s="457"/>
      <c r="UG417" s="457"/>
      <c r="UH417" s="457"/>
      <c r="UI417" s="457"/>
      <c r="UJ417" s="457"/>
      <c r="UK417" s="457"/>
      <c r="UL417" s="457"/>
      <c r="UM417" s="457"/>
      <c r="UN417" s="457"/>
      <c r="UO417" s="457"/>
      <c r="UP417" s="457"/>
      <c r="UQ417" s="457"/>
      <c r="UR417" s="457"/>
      <c r="US417" s="457"/>
      <c r="UT417" s="457"/>
      <c r="UU417" s="457"/>
      <c r="UV417" s="457"/>
      <c r="UW417" s="457"/>
      <c r="UX417" s="457"/>
      <c r="UY417" s="457"/>
      <c r="UZ417" s="457"/>
      <c r="VA417" s="457"/>
      <c r="VB417" s="457"/>
      <c r="VC417" s="457"/>
      <c r="VD417" s="457"/>
      <c r="VE417" s="457"/>
      <c r="VF417" s="457"/>
      <c r="VG417" s="457"/>
      <c r="VH417" s="457"/>
      <c r="VI417" s="457"/>
      <c r="VJ417" s="457"/>
      <c r="VK417" s="457"/>
      <c r="VL417" s="457"/>
      <c r="VM417" s="457"/>
      <c r="VN417" s="457"/>
      <c r="VO417" s="457"/>
      <c r="VP417" s="457"/>
      <c r="VQ417" s="457"/>
      <c r="VR417" s="457"/>
      <c r="VS417" s="457"/>
      <c r="VT417" s="457"/>
      <c r="VU417" s="457"/>
      <c r="VV417" s="457"/>
      <c r="VW417" s="457"/>
      <c r="VX417" s="457"/>
      <c r="VY417" s="457"/>
      <c r="VZ417" s="457"/>
      <c r="WA417" s="457"/>
      <c r="WB417" s="457"/>
      <c r="WC417" s="457"/>
      <c r="WD417" s="457"/>
      <c r="WE417" s="457"/>
      <c r="WF417" s="457"/>
      <c r="WG417" s="457"/>
      <c r="WH417" s="457"/>
      <c r="WI417" s="457"/>
      <c r="WJ417" s="457"/>
      <c r="WK417" s="457"/>
      <c r="WL417" s="457"/>
      <c r="WM417" s="457"/>
      <c r="WN417" s="457"/>
      <c r="WO417" s="457"/>
      <c r="WP417" s="457"/>
      <c r="WQ417" s="457"/>
      <c r="WR417" s="457"/>
      <c r="WS417" s="457"/>
      <c r="WT417" s="457"/>
      <c r="WU417" s="457"/>
      <c r="WV417" s="457"/>
      <c r="WW417" s="457"/>
      <c r="WX417" s="457"/>
      <c r="WY417" s="457"/>
      <c r="WZ417" s="457"/>
      <c r="XA417" s="457"/>
      <c r="XB417" s="457"/>
      <c r="XC417" s="457"/>
      <c r="XD417" s="457"/>
      <c r="XE417" s="457"/>
      <c r="XF417" s="457"/>
      <c r="XG417" s="457"/>
      <c r="XH417" s="457"/>
      <c r="XI417" s="457"/>
      <c r="XJ417" s="457"/>
      <c r="XK417" s="457"/>
      <c r="XL417" s="457"/>
      <c r="XM417" s="457"/>
      <c r="XN417" s="457"/>
      <c r="XO417" s="457"/>
      <c r="XP417" s="457"/>
      <c r="XQ417" s="457"/>
      <c r="XR417" s="457"/>
      <c r="XS417" s="457"/>
      <c r="XT417" s="457"/>
      <c r="XU417" s="457"/>
      <c r="XV417" s="457"/>
      <c r="XW417" s="457"/>
      <c r="XX417" s="457"/>
      <c r="XY417" s="457"/>
      <c r="XZ417" s="457"/>
      <c r="YA417" s="457"/>
      <c r="YB417" s="457"/>
      <c r="YC417" s="457"/>
      <c r="YD417" s="457"/>
      <c r="YE417" s="457"/>
      <c r="YF417" s="457"/>
      <c r="YG417" s="457"/>
      <c r="YH417" s="457"/>
      <c r="YI417" s="457"/>
      <c r="YJ417" s="457"/>
      <c r="YK417" s="457"/>
      <c r="YL417" s="457"/>
      <c r="YM417" s="457"/>
      <c r="YN417" s="457"/>
      <c r="YO417" s="457"/>
      <c r="YP417" s="457"/>
      <c r="YQ417" s="457"/>
      <c r="YR417" s="457"/>
      <c r="YS417" s="457"/>
      <c r="YT417" s="457"/>
      <c r="YU417" s="457"/>
      <c r="YV417" s="457"/>
      <c r="YW417" s="457"/>
      <c r="YX417" s="457"/>
      <c r="YY417" s="457"/>
      <c r="YZ417" s="457"/>
      <c r="ZA417" s="457"/>
      <c r="ZB417" s="457"/>
      <c r="ZC417" s="457"/>
      <c r="ZD417" s="457"/>
      <c r="ZE417" s="457"/>
      <c r="ZF417" s="457"/>
      <c r="ZG417" s="457"/>
      <c r="ZH417" s="457"/>
      <c r="ZI417" s="457"/>
      <c r="ZJ417" s="457"/>
      <c r="ZK417" s="457"/>
      <c r="ZL417" s="457"/>
      <c r="ZM417" s="457"/>
      <c r="ZN417" s="457"/>
      <c r="ZO417" s="457"/>
      <c r="ZP417" s="457"/>
      <c r="ZQ417" s="457"/>
      <c r="ZR417" s="457"/>
      <c r="ZS417" s="457"/>
      <c r="ZT417" s="457"/>
      <c r="ZU417" s="457"/>
      <c r="ZV417" s="457"/>
      <c r="ZW417" s="457"/>
      <c r="ZX417" s="457"/>
      <c r="ZY417" s="457"/>
      <c r="ZZ417" s="457"/>
      <c r="AAA417" s="457"/>
      <c r="AAB417" s="457"/>
      <c r="AAC417" s="457"/>
      <c r="AAD417" s="457"/>
      <c r="AAE417" s="457"/>
      <c r="AAF417" s="457"/>
      <c r="AAG417" s="457"/>
      <c r="AAH417" s="457"/>
      <c r="AAI417" s="457"/>
      <c r="AAJ417" s="457"/>
      <c r="AAK417" s="457"/>
      <c r="AAL417" s="457"/>
      <c r="AAM417" s="457"/>
      <c r="AAN417" s="457"/>
      <c r="AAO417" s="457"/>
      <c r="AAP417" s="457"/>
      <c r="AAQ417" s="457"/>
      <c r="AAR417" s="457"/>
      <c r="AAS417" s="457"/>
      <c r="AAT417" s="457"/>
      <c r="AAU417" s="457"/>
      <c r="AAV417" s="457"/>
      <c r="AAW417" s="457"/>
      <c r="AAX417" s="457"/>
      <c r="AAY417" s="457"/>
      <c r="AAZ417" s="457"/>
      <c r="ABA417" s="457"/>
      <c r="ABB417" s="457"/>
      <c r="ABC417" s="457"/>
      <c r="ABD417" s="457"/>
      <c r="ABE417" s="457"/>
      <c r="ABF417" s="457"/>
      <c r="ABG417" s="457"/>
      <c r="ABH417" s="457"/>
      <c r="ABI417" s="457"/>
      <c r="ABJ417" s="457"/>
      <c r="ABK417" s="457"/>
      <c r="ABL417" s="457"/>
      <c r="ABM417" s="457"/>
      <c r="ABN417" s="457"/>
      <c r="ABO417" s="457"/>
      <c r="ABP417" s="457"/>
      <c r="ABQ417" s="457"/>
      <c r="ABR417" s="457"/>
      <c r="ABS417" s="457"/>
      <c r="ABT417" s="457"/>
      <c r="ABU417" s="457"/>
      <c r="ABV417" s="457"/>
      <c r="ABW417" s="457"/>
      <c r="ABX417" s="457"/>
      <c r="ABY417" s="457"/>
      <c r="ABZ417" s="457"/>
      <c r="ACA417" s="457"/>
      <c r="ACB417" s="457"/>
      <c r="ACC417" s="457"/>
      <c r="ACD417" s="457"/>
      <c r="ACE417" s="457"/>
      <c r="ACF417" s="457"/>
      <c r="ACG417" s="457"/>
      <c r="ACH417" s="457"/>
      <c r="ACI417" s="457"/>
      <c r="ACJ417" s="457"/>
      <c r="ACK417" s="457"/>
      <c r="ACL417" s="457"/>
      <c r="ACM417" s="457"/>
      <c r="ACN417" s="457"/>
      <c r="ACO417" s="457"/>
      <c r="ACP417" s="457"/>
      <c r="ACQ417" s="457"/>
      <c r="ACR417" s="457"/>
      <c r="ACS417" s="457"/>
      <c r="ACT417" s="457"/>
      <c r="ACU417" s="457"/>
      <c r="ACV417" s="457"/>
    </row>
    <row r="418" spans="1:776" s="400" customFormat="1" x14ac:dyDescent="0.25">
      <c r="A418" s="470">
        <v>900131</v>
      </c>
      <c r="B418" s="237" t="s">
        <v>310</v>
      </c>
      <c r="C418" s="455"/>
      <c r="D418" s="454" t="s">
        <v>150</v>
      </c>
      <c r="E418" s="454">
        <v>0.95</v>
      </c>
      <c r="F418" s="458">
        <v>0.01</v>
      </c>
      <c r="G418" s="454">
        <v>0.01</v>
      </c>
      <c r="H418" s="454">
        <v>0.11</v>
      </c>
      <c r="I418" s="456">
        <v>189.02</v>
      </c>
      <c r="J418" s="454">
        <v>24.7</v>
      </c>
      <c r="K418" s="454">
        <v>0.01</v>
      </c>
      <c r="L418" s="456">
        <v>218.4</v>
      </c>
      <c r="M418" s="454">
        <v>0.01</v>
      </c>
      <c r="N418" s="454">
        <v>0.96</v>
      </c>
      <c r="O418" s="454">
        <v>92.94</v>
      </c>
      <c r="P418" s="454">
        <v>58.03</v>
      </c>
      <c r="Q418" s="454">
        <v>30.46</v>
      </c>
      <c r="R418" s="454">
        <v>0.01</v>
      </c>
      <c r="S418" s="454">
        <v>0.01</v>
      </c>
      <c r="T418" s="454">
        <v>0.04</v>
      </c>
      <c r="U418" s="454">
        <v>0.14000000000000001</v>
      </c>
      <c r="V418" s="454"/>
      <c r="W418" s="457"/>
      <c r="X418" s="457"/>
      <c r="Y418" s="457"/>
      <c r="Z418" s="457"/>
      <c r="AA418" s="457"/>
      <c r="AB418" s="457"/>
      <c r="AC418" s="457"/>
      <c r="AD418" s="457"/>
      <c r="AE418" s="457"/>
      <c r="AF418" s="457"/>
      <c r="AG418" s="457"/>
      <c r="AH418" s="457"/>
      <c r="AI418" s="457"/>
      <c r="AJ418" s="457"/>
      <c r="AK418" s="457"/>
      <c r="AL418" s="457"/>
      <c r="AM418" s="457"/>
      <c r="AN418" s="457"/>
      <c r="AO418" s="457"/>
      <c r="AP418" s="457"/>
      <c r="AQ418" s="457"/>
      <c r="AR418" s="457"/>
      <c r="AS418" s="457"/>
      <c r="AT418" s="457"/>
      <c r="AU418" s="457"/>
      <c r="AV418" s="457"/>
      <c r="AW418" s="457"/>
      <c r="AX418" s="457"/>
      <c r="AY418" s="457"/>
      <c r="AZ418" s="457"/>
      <c r="BA418" s="457"/>
      <c r="BB418" s="457"/>
      <c r="BC418" s="457"/>
      <c r="BD418" s="457"/>
      <c r="BE418" s="457"/>
      <c r="BF418" s="457"/>
      <c r="BG418" s="457"/>
      <c r="BH418" s="457"/>
      <c r="BI418" s="457"/>
      <c r="BJ418" s="457"/>
      <c r="BK418" s="457"/>
      <c r="BL418" s="457"/>
      <c r="BM418" s="457"/>
      <c r="BN418" s="457"/>
      <c r="BO418" s="457"/>
      <c r="BP418" s="457"/>
      <c r="BQ418" s="457"/>
      <c r="BR418" s="457"/>
      <c r="BS418" s="457"/>
      <c r="BT418" s="457"/>
      <c r="BU418" s="457"/>
      <c r="BV418" s="457"/>
      <c r="BW418" s="457"/>
      <c r="BX418" s="457"/>
      <c r="BY418" s="457"/>
      <c r="BZ418" s="457"/>
      <c r="CA418" s="457"/>
      <c r="CB418" s="457"/>
      <c r="CC418" s="457"/>
      <c r="CD418" s="457"/>
      <c r="CE418" s="457"/>
      <c r="CF418" s="457"/>
      <c r="CG418" s="457"/>
      <c r="CH418" s="457"/>
      <c r="CI418" s="457"/>
      <c r="CJ418" s="457"/>
      <c r="CK418" s="457"/>
      <c r="CL418" s="457"/>
      <c r="CM418" s="457"/>
      <c r="CN418" s="457"/>
      <c r="CO418" s="457"/>
      <c r="CP418" s="457"/>
      <c r="CQ418" s="457"/>
      <c r="CR418" s="457"/>
      <c r="CS418" s="457"/>
      <c r="CT418" s="457"/>
      <c r="CU418" s="457"/>
      <c r="CV418" s="457"/>
      <c r="CW418" s="457"/>
      <c r="CX418" s="457"/>
      <c r="CY418" s="457"/>
      <c r="CZ418" s="457"/>
      <c r="DA418" s="457"/>
      <c r="DB418" s="457"/>
      <c r="DC418" s="457"/>
      <c r="DD418" s="457"/>
      <c r="DE418" s="457"/>
      <c r="DF418" s="457"/>
      <c r="DG418" s="457"/>
      <c r="DH418" s="457"/>
      <c r="DI418" s="457"/>
      <c r="DJ418" s="457"/>
      <c r="DK418" s="457"/>
      <c r="DL418" s="457"/>
      <c r="DM418" s="457"/>
      <c r="DN418" s="457"/>
      <c r="DO418" s="457"/>
      <c r="DP418" s="457"/>
      <c r="DQ418" s="457"/>
      <c r="DR418" s="457"/>
      <c r="DS418" s="457"/>
      <c r="DT418" s="457"/>
      <c r="DU418" s="457"/>
      <c r="DV418" s="457"/>
      <c r="DW418" s="457"/>
      <c r="DX418" s="457"/>
      <c r="DY418" s="457"/>
      <c r="DZ418" s="457"/>
      <c r="EA418" s="457"/>
      <c r="EB418" s="457"/>
      <c r="EC418" s="457"/>
      <c r="ED418" s="457"/>
      <c r="EE418" s="457"/>
      <c r="EF418" s="457"/>
      <c r="EG418" s="457"/>
      <c r="EH418" s="457"/>
      <c r="EI418" s="457"/>
      <c r="EJ418" s="457"/>
      <c r="EK418" s="457"/>
      <c r="EL418" s="457"/>
      <c r="EM418" s="457"/>
      <c r="EN418" s="457"/>
      <c r="EO418" s="457"/>
      <c r="EP418" s="457"/>
      <c r="EQ418" s="457"/>
      <c r="ER418" s="457"/>
      <c r="ES418" s="457"/>
      <c r="ET418" s="457"/>
      <c r="EU418" s="457"/>
      <c r="EV418" s="457"/>
      <c r="EW418" s="457"/>
      <c r="EX418" s="457"/>
      <c r="EY418" s="457"/>
      <c r="EZ418" s="457"/>
      <c r="FA418" s="457"/>
      <c r="FB418" s="457"/>
      <c r="FC418" s="457"/>
      <c r="FD418" s="457"/>
      <c r="FE418" s="457"/>
      <c r="FF418" s="457"/>
      <c r="FG418" s="457"/>
      <c r="FH418" s="457"/>
      <c r="FI418" s="457"/>
      <c r="FJ418" s="457"/>
      <c r="FK418" s="457"/>
      <c r="FL418" s="457"/>
      <c r="FM418" s="457"/>
      <c r="FN418" s="457"/>
      <c r="FO418" s="457"/>
      <c r="FP418" s="457"/>
      <c r="FQ418" s="457"/>
      <c r="FR418" s="457"/>
      <c r="FS418" s="457"/>
      <c r="FT418" s="457"/>
      <c r="FU418" s="457"/>
      <c r="FV418" s="457"/>
      <c r="FW418" s="457"/>
      <c r="FX418" s="457"/>
      <c r="FY418" s="457"/>
      <c r="FZ418" s="457"/>
      <c r="GA418" s="457"/>
      <c r="GB418" s="457"/>
      <c r="GC418" s="457"/>
      <c r="GD418" s="457"/>
      <c r="GE418" s="457"/>
      <c r="GF418" s="457"/>
      <c r="GG418" s="457"/>
      <c r="GH418" s="457"/>
      <c r="GI418" s="457"/>
      <c r="GJ418" s="457"/>
      <c r="GK418" s="457"/>
      <c r="GL418" s="457"/>
      <c r="GM418" s="457"/>
      <c r="GN418" s="457"/>
      <c r="GO418" s="457"/>
      <c r="GP418" s="457"/>
      <c r="GQ418" s="457"/>
      <c r="GR418" s="457"/>
      <c r="GS418" s="457"/>
      <c r="GT418" s="457"/>
      <c r="GU418" s="457"/>
      <c r="GV418" s="457"/>
      <c r="GW418" s="457"/>
      <c r="GX418" s="457"/>
      <c r="GY418" s="457"/>
      <c r="GZ418" s="457"/>
      <c r="HA418" s="457"/>
      <c r="HB418" s="457"/>
      <c r="HC418" s="457"/>
      <c r="HD418" s="457"/>
      <c r="HE418" s="457"/>
      <c r="HF418" s="457"/>
      <c r="HG418" s="457"/>
      <c r="HH418" s="457"/>
      <c r="HI418" s="457"/>
      <c r="HJ418" s="457"/>
      <c r="HK418" s="457"/>
      <c r="HL418" s="457"/>
      <c r="HM418" s="457"/>
      <c r="HN418" s="457"/>
      <c r="HO418" s="457"/>
      <c r="HP418" s="457"/>
      <c r="HQ418" s="457"/>
      <c r="HR418" s="457"/>
      <c r="HS418" s="457"/>
      <c r="HT418" s="457"/>
      <c r="HU418" s="457"/>
      <c r="HV418" s="457"/>
      <c r="HW418" s="457"/>
      <c r="HX418" s="457"/>
      <c r="HY418" s="457"/>
      <c r="HZ418" s="457"/>
      <c r="IA418" s="457"/>
      <c r="IB418" s="457"/>
      <c r="IC418" s="457"/>
      <c r="ID418" s="457"/>
      <c r="IE418" s="457"/>
      <c r="IF418" s="457"/>
      <c r="IG418" s="457"/>
      <c r="IH418" s="457"/>
      <c r="II418" s="457"/>
      <c r="IJ418" s="457"/>
      <c r="IK418" s="457"/>
      <c r="IL418" s="457"/>
      <c r="IM418" s="457"/>
      <c r="IN418" s="457"/>
      <c r="IO418" s="457"/>
      <c r="IP418" s="457"/>
      <c r="IQ418" s="457"/>
      <c r="IR418" s="457"/>
      <c r="IS418" s="457"/>
      <c r="IT418" s="457"/>
      <c r="IU418" s="457"/>
      <c r="IV418" s="457"/>
      <c r="IW418" s="457"/>
      <c r="IX418" s="457"/>
      <c r="IY418" s="457"/>
      <c r="IZ418" s="457"/>
      <c r="JA418" s="457"/>
      <c r="JB418" s="457"/>
      <c r="JC418" s="457"/>
      <c r="JD418" s="457"/>
      <c r="JE418" s="457"/>
      <c r="JF418" s="457"/>
      <c r="JG418" s="457"/>
      <c r="JH418" s="457"/>
      <c r="JI418" s="457"/>
      <c r="JJ418" s="457"/>
      <c r="JK418" s="457"/>
      <c r="JL418" s="457"/>
      <c r="JM418" s="457"/>
      <c r="JN418" s="457"/>
      <c r="JO418" s="457"/>
      <c r="JP418" s="457"/>
      <c r="JQ418" s="457"/>
      <c r="JR418" s="457"/>
      <c r="JS418" s="457"/>
      <c r="JT418" s="457"/>
      <c r="JU418" s="457"/>
      <c r="JV418" s="457"/>
      <c r="JW418" s="457"/>
      <c r="JX418" s="457"/>
      <c r="JY418" s="457"/>
      <c r="JZ418" s="457"/>
      <c r="KA418" s="457"/>
      <c r="KB418" s="457"/>
      <c r="KC418" s="457"/>
      <c r="KD418" s="457"/>
      <c r="KE418" s="457"/>
      <c r="KF418" s="457"/>
      <c r="KG418" s="457"/>
      <c r="KH418" s="457"/>
      <c r="KI418" s="457"/>
      <c r="KJ418" s="457"/>
      <c r="KK418" s="457"/>
      <c r="KL418" s="457"/>
      <c r="KM418" s="457"/>
      <c r="KN418" s="457"/>
      <c r="KO418" s="457"/>
      <c r="KP418" s="457"/>
      <c r="KQ418" s="457"/>
      <c r="KR418" s="457"/>
      <c r="KS418" s="457"/>
      <c r="KT418" s="457"/>
      <c r="KU418" s="457"/>
      <c r="KV418" s="457"/>
      <c r="KW418" s="457"/>
      <c r="KX418" s="457"/>
      <c r="KY418" s="457"/>
      <c r="KZ418" s="457"/>
      <c r="LA418" s="457"/>
      <c r="LB418" s="457"/>
      <c r="LC418" s="457"/>
      <c r="LD418" s="457"/>
      <c r="LE418" s="457"/>
      <c r="LF418" s="457"/>
      <c r="LG418" s="457"/>
      <c r="LH418" s="457"/>
      <c r="LI418" s="457"/>
      <c r="LJ418" s="457"/>
      <c r="LK418" s="457"/>
      <c r="LL418" s="457"/>
      <c r="LM418" s="457"/>
      <c r="LN418" s="457"/>
      <c r="LO418" s="457"/>
      <c r="LP418" s="457"/>
      <c r="LQ418" s="457"/>
      <c r="LR418" s="457"/>
      <c r="LS418" s="457"/>
      <c r="LT418" s="457"/>
      <c r="LU418" s="457"/>
      <c r="LV418" s="457"/>
      <c r="LW418" s="457"/>
      <c r="LX418" s="457"/>
      <c r="LY418" s="457"/>
      <c r="LZ418" s="457"/>
      <c r="MA418" s="457"/>
      <c r="MB418" s="457"/>
      <c r="MC418" s="457"/>
      <c r="MD418" s="457"/>
      <c r="ME418" s="457"/>
      <c r="MF418" s="457"/>
      <c r="MG418" s="457"/>
      <c r="MH418" s="457"/>
      <c r="MI418" s="457"/>
      <c r="MJ418" s="457"/>
      <c r="MK418" s="457"/>
      <c r="ML418" s="457"/>
      <c r="MM418" s="457"/>
      <c r="MN418" s="457"/>
      <c r="MO418" s="457"/>
      <c r="MP418" s="457"/>
      <c r="MQ418" s="457"/>
      <c r="MR418" s="457"/>
      <c r="MS418" s="457"/>
      <c r="MT418" s="457"/>
      <c r="MU418" s="457"/>
      <c r="MV418" s="457"/>
      <c r="MW418" s="457"/>
      <c r="MX418" s="457"/>
      <c r="MY418" s="457"/>
      <c r="MZ418" s="457"/>
      <c r="NA418" s="457"/>
      <c r="NB418" s="457"/>
      <c r="NC418" s="457"/>
      <c r="ND418" s="457"/>
      <c r="NE418" s="457"/>
      <c r="NF418" s="457"/>
      <c r="NG418" s="457"/>
      <c r="NH418" s="457"/>
      <c r="NI418" s="457"/>
      <c r="NJ418" s="457"/>
      <c r="NK418" s="457"/>
      <c r="NL418" s="457"/>
      <c r="NM418" s="457"/>
      <c r="NN418" s="457"/>
      <c r="NO418" s="457"/>
      <c r="NP418" s="457"/>
      <c r="NQ418" s="457"/>
      <c r="NR418" s="457"/>
      <c r="NS418" s="457"/>
      <c r="NT418" s="457"/>
      <c r="NU418" s="457"/>
      <c r="NV418" s="457"/>
      <c r="NW418" s="457"/>
      <c r="NX418" s="457"/>
      <c r="NY418" s="457"/>
      <c r="NZ418" s="457"/>
      <c r="OA418" s="457"/>
      <c r="OB418" s="457"/>
      <c r="OC418" s="457"/>
      <c r="OD418" s="457"/>
      <c r="OE418" s="457"/>
      <c r="OF418" s="457"/>
      <c r="OG418" s="457"/>
      <c r="OH418" s="457"/>
      <c r="OI418" s="457"/>
      <c r="OJ418" s="457"/>
      <c r="OK418" s="457"/>
      <c r="OL418" s="457"/>
      <c r="OM418" s="457"/>
      <c r="ON418" s="457"/>
      <c r="OO418" s="457"/>
      <c r="OP418" s="457"/>
      <c r="OQ418" s="457"/>
      <c r="OR418" s="457"/>
      <c r="OS418" s="457"/>
      <c r="OT418" s="457"/>
      <c r="OU418" s="457"/>
      <c r="OV418" s="457"/>
      <c r="OW418" s="457"/>
      <c r="OX418" s="457"/>
      <c r="OY418" s="457"/>
      <c r="OZ418" s="457"/>
      <c r="PA418" s="457"/>
      <c r="PB418" s="457"/>
      <c r="PC418" s="457"/>
      <c r="PD418" s="457"/>
      <c r="PE418" s="457"/>
      <c r="PF418" s="457"/>
      <c r="PG418" s="457"/>
      <c r="PH418" s="457"/>
      <c r="PI418" s="457"/>
      <c r="PJ418" s="457"/>
      <c r="PK418" s="457"/>
      <c r="PL418" s="457"/>
      <c r="PM418" s="457"/>
      <c r="PN418" s="457"/>
      <c r="PO418" s="457"/>
      <c r="PP418" s="457"/>
      <c r="PQ418" s="457"/>
      <c r="PR418" s="457"/>
      <c r="PS418" s="457"/>
      <c r="PT418" s="457"/>
      <c r="PU418" s="457"/>
      <c r="PV418" s="457"/>
      <c r="PW418" s="457"/>
      <c r="PX418" s="457"/>
      <c r="PY418" s="457"/>
      <c r="PZ418" s="457"/>
      <c r="QA418" s="457"/>
      <c r="QB418" s="457"/>
      <c r="QC418" s="457"/>
      <c r="QD418" s="457"/>
      <c r="QE418" s="457"/>
      <c r="QF418" s="457"/>
      <c r="QG418" s="457"/>
      <c r="QH418" s="457"/>
      <c r="QI418" s="457"/>
      <c r="QJ418" s="457"/>
      <c r="QK418" s="457"/>
      <c r="QL418" s="457"/>
      <c r="QM418" s="457"/>
      <c r="QN418" s="457"/>
      <c r="QO418" s="457"/>
      <c r="QP418" s="457"/>
      <c r="QQ418" s="457"/>
      <c r="QR418" s="457"/>
      <c r="QS418" s="457"/>
      <c r="QT418" s="457"/>
      <c r="QU418" s="457"/>
      <c r="QV418" s="457"/>
      <c r="QW418" s="457"/>
      <c r="QX418" s="457"/>
      <c r="QY418" s="457"/>
      <c r="QZ418" s="457"/>
      <c r="RA418" s="457"/>
      <c r="RB418" s="457"/>
      <c r="RC418" s="457"/>
      <c r="RD418" s="457"/>
      <c r="RE418" s="457"/>
      <c r="RF418" s="457"/>
      <c r="RG418" s="457"/>
      <c r="RH418" s="457"/>
      <c r="RI418" s="457"/>
      <c r="RJ418" s="457"/>
      <c r="RK418" s="457"/>
      <c r="RL418" s="457"/>
      <c r="RM418" s="457"/>
      <c r="RN418" s="457"/>
      <c r="RO418" s="457"/>
      <c r="RP418" s="457"/>
      <c r="RQ418" s="457"/>
      <c r="RR418" s="457"/>
      <c r="RS418" s="457"/>
      <c r="RT418" s="457"/>
      <c r="RU418" s="457"/>
      <c r="RV418" s="457"/>
      <c r="RW418" s="457"/>
      <c r="RX418" s="457"/>
      <c r="RY418" s="457"/>
      <c r="RZ418" s="457"/>
      <c r="SA418" s="457"/>
      <c r="SB418" s="457"/>
      <c r="SC418" s="457"/>
      <c r="SD418" s="457"/>
      <c r="SE418" s="457"/>
      <c r="SF418" s="457"/>
      <c r="SG418" s="457"/>
      <c r="SH418" s="457"/>
      <c r="SI418" s="457"/>
      <c r="SJ418" s="457"/>
      <c r="SK418" s="457"/>
      <c r="SL418" s="457"/>
      <c r="SM418" s="457"/>
      <c r="SN418" s="457"/>
      <c r="SO418" s="457"/>
      <c r="SP418" s="457"/>
      <c r="SQ418" s="457"/>
      <c r="SR418" s="457"/>
      <c r="SS418" s="457"/>
      <c r="ST418" s="457"/>
      <c r="SU418" s="457"/>
      <c r="SV418" s="457"/>
      <c r="SW418" s="457"/>
      <c r="SX418" s="457"/>
      <c r="SY418" s="457"/>
      <c r="SZ418" s="457"/>
      <c r="TA418" s="457"/>
      <c r="TB418" s="457"/>
      <c r="TC418" s="457"/>
      <c r="TD418" s="457"/>
      <c r="TE418" s="457"/>
      <c r="TF418" s="457"/>
      <c r="TG418" s="457"/>
      <c r="TH418" s="457"/>
      <c r="TI418" s="457"/>
      <c r="TJ418" s="457"/>
      <c r="TK418" s="457"/>
      <c r="TL418" s="457"/>
      <c r="TM418" s="457"/>
      <c r="TN418" s="457"/>
      <c r="TO418" s="457"/>
      <c r="TP418" s="457"/>
      <c r="TQ418" s="457"/>
      <c r="TR418" s="457"/>
      <c r="TS418" s="457"/>
      <c r="TT418" s="457"/>
      <c r="TU418" s="457"/>
      <c r="TV418" s="457"/>
      <c r="TW418" s="457"/>
      <c r="TX418" s="457"/>
      <c r="TY418" s="457"/>
      <c r="TZ418" s="457"/>
      <c r="UA418" s="457"/>
      <c r="UB418" s="457"/>
      <c r="UC418" s="457"/>
      <c r="UD418" s="457"/>
      <c r="UE418" s="457"/>
      <c r="UF418" s="457"/>
      <c r="UG418" s="457"/>
      <c r="UH418" s="457"/>
      <c r="UI418" s="457"/>
      <c r="UJ418" s="457"/>
      <c r="UK418" s="457"/>
      <c r="UL418" s="457"/>
      <c r="UM418" s="457"/>
      <c r="UN418" s="457"/>
      <c r="UO418" s="457"/>
      <c r="UP418" s="457"/>
      <c r="UQ418" s="457"/>
      <c r="UR418" s="457"/>
      <c r="US418" s="457"/>
      <c r="UT418" s="457"/>
      <c r="UU418" s="457"/>
      <c r="UV418" s="457"/>
      <c r="UW418" s="457"/>
      <c r="UX418" s="457"/>
      <c r="UY418" s="457"/>
      <c r="UZ418" s="457"/>
      <c r="VA418" s="457"/>
      <c r="VB418" s="457"/>
      <c r="VC418" s="457"/>
      <c r="VD418" s="457"/>
      <c r="VE418" s="457"/>
      <c r="VF418" s="457"/>
      <c r="VG418" s="457"/>
      <c r="VH418" s="457"/>
      <c r="VI418" s="457"/>
      <c r="VJ418" s="457"/>
      <c r="VK418" s="457"/>
      <c r="VL418" s="457"/>
      <c r="VM418" s="457"/>
      <c r="VN418" s="457"/>
      <c r="VO418" s="457"/>
      <c r="VP418" s="457"/>
      <c r="VQ418" s="457"/>
      <c r="VR418" s="457"/>
      <c r="VS418" s="457"/>
      <c r="VT418" s="457"/>
      <c r="VU418" s="457"/>
      <c r="VV418" s="457"/>
      <c r="VW418" s="457"/>
      <c r="VX418" s="457"/>
      <c r="VY418" s="457"/>
      <c r="VZ418" s="457"/>
      <c r="WA418" s="457"/>
      <c r="WB418" s="457"/>
      <c r="WC418" s="457"/>
      <c r="WD418" s="457"/>
      <c r="WE418" s="457"/>
      <c r="WF418" s="457"/>
      <c r="WG418" s="457"/>
      <c r="WH418" s="457"/>
      <c r="WI418" s="457"/>
      <c r="WJ418" s="457"/>
      <c r="WK418" s="457"/>
      <c r="WL418" s="457"/>
      <c r="WM418" s="457"/>
      <c r="WN418" s="457"/>
      <c r="WO418" s="457"/>
      <c r="WP418" s="457"/>
      <c r="WQ418" s="457"/>
      <c r="WR418" s="457"/>
      <c r="WS418" s="457"/>
      <c r="WT418" s="457"/>
      <c r="WU418" s="457"/>
      <c r="WV418" s="457"/>
      <c r="WW418" s="457"/>
      <c r="WX418" s="457"/>
      <c r="WY418" s="457"/>
      <c r="WZ418" s="457"/>
      <c r="XA418" s="457"/>
      <c r="XB418" s="457"/>
      <c r="XC418" s="457"/>
      <c r="XD418" s="457"/>
      <c r="XE418" s="457"/>
      <c r="XF418" s="457"/>
      <c r="XG418" s="457"/>
      <c r="XH418" s="457"/>
      <c r="XI418" s="457"/>
      <c r="XJ418" s="457"/>
      <c r="XK418" s="457"/>
      <c r="XL418" s="457"/>
      <c r="XM418" s="457"/>
      <c r="XN418" s="457"/>
      <c r="XO418" s="457"/>
      <c r="XP418" s="457"/>
      <c r="XQ418" s="457"/>
      <c r="XR418" s="457"/>
      <c r="XS418" s="457"/>
      <c r="XT418" s="457"/>
      <c r="XU418" s="457"/>
      <c r="XV418" s="457"/>
      <c r="XW418" s="457"/>
      <c r="XX418" s="457"/>
      <c r="XY418" s="457"/>
      <c r="XZ418" s="457"/>
      <c r="YA418" s="457"/>
      <c r="YB418" s="457"/>
      <c r="YC418" s="457"/>
      <c r="YD418" s="457"/>
      <c r="YE418" s="457"/>
      <c r="YF418" s="457"/>
      <c r="YG418" s="457"/>
      <c r="YH418" s="457"/>
      <c r="YI418" s="457"/>
      <c r="YJ418" s="457"/>
      <c r="YK418" s="457"/>
      <c r="YL418" s="457"/>
      <c r="YM418" s="457"/>
      <c r="YN418" s="457"/>
      <c r="YO418" s="457"/>
      <c r="YP418" s="457"/>
      <c r="YQ418" s="457"/>
      <c r="YR418" s="457"/>
      <c r="YS418" s="457"/>
      <c r="YT418" s="457"/>
      <c r="YU418" s="457"/>
      <c r="YV418" s="457"/>
      <c r="YW418" s="457"/>
      <c r="YX418" s="457"/>
      <c r="YY418" s="457"/>
      <c r="YZ418" s="457"/>
      <c r="ZA418" s="457"/>
      <c r="ZB418" s="457"/>
      <c r="ZC418" s="457"/>
      <c r="ZD418" s="457"/>
      <c r="ZE418" s="457"/>
      <c r="ZF418" s="457"/>
      <c r="ZG418" s="457"/>
      <c r="ZH418" s="457"/>
      <c r="ZI418" s="457"/>
      <c r="ZJ418" s="457"/>
      <c r="ZK418" s="457"/>
      <c r="ZL418" s="457"/>
      <c r="ZM418" s="457"/>
      <c r="ZN418" s="457"/>
      <c r="ZO418" s="457"/>
      <c r="ZP418" s="457"/>
      <c r="ZQ418" s="457"/>
      <c r="ZR418" s="457"/>
      <c r="ZS418" s="457"/>
      <c r="ZT418" s="457"/>
      <c r="ZU418" s="457"/>
      <c r="ZV418" s="457"/>
      <c r="ZW418" s="457"/>
      <c r="ZX418" s="457"/>
      <c r="ZY418" s="457"/>
      <c r="ZZ418" s="457"/>
      <c r="AAA418" s="457"/>
      <c r="AAB418" s="457"/>
      <c r="AAC418" s="457"/>
      <c r="AAD418" s="457"/>
      <c r="AAE418" s="457"/>
      <c r="AAF418" s="457"/>
      <c r="AAG418" s="457"/>
      <c r="AAH418" s="457"/>
      <c r="AAI418" s="457"/>
      <c r="AAJ418" s="457"/>
      <c r="AAK418" s="457"/>
      <c r="AAL418" s="457"/>
      <c r="AAM418" s="457"/>
      <c r="AAN418" s="457"/>
      <c r="AAO418" s="457"/>
      <c r="AAP418" s="457"/>
      <c r="AAQ418" s="457"/>
      <c r="AAR418" s="457"/>
      <c r="AAS418" s="457"/>
      <c r="AAT418" s="457"/>
      <c r="AAU418" s="457"/>
      <c r="AAV418" s="457"/>
      <c r="AAW418" s="457"/>
      <c r="AAX418" s="457"/>
      <c r="AAY418" s="457"/>
      <c r="AAZ418" s="457"/>
      <c r="ABA418" s="457"/>
      <c r="ABB418" s="457"/>
      <c r="ABC418" s="457"/>
      <c r="ABD418" s="457"/>
      <c r="ABE418" s="457"/>
      <c r="ABF418" s="457"/>
      <c r="ABG418" s="457"/>
      <c r="ABH418" s="457"/>
      <c r="ABI418" s="457"/>
      <c r="ABJ418" s="457"/>
      <c r="ABK418" s="457"/>
      <c r="ABL418" s="457"/>
      <c r="ABM418" s="457"/>
      <c r="ABN418" s="457"/>
      <c r="ABO418" s="457"/>
      <c r="ABP418" s="457"/>
      <c r="ABQ418" s="457"/>
      <c r="ABR418" s="457"/>
      <c r="ABS418" s="457"/>
      <c r="ABT418" s="457"/>
      <c r="ABU418" s="457"/>
      <c r="ABV418" s="457"/>
      <c r="ABW418" s="457"/>
      <c r="ABX418" s="457"/>
      <c r="ABY418" s="457"/>
      <c r="ABZ418" s="457"/>
      <c r="ACA418" s="457"/>
      <c r="ACB418" s="457"/>
      <c r="ACC418" s="457"/>
      <c r="ACD418" s="457"/>
      <c r="ACE418" s="457"/>
      <c r="ACF418" s="457"/>
      <c r="ACG418" s="457"/>
      <c r="ACH418" s="457"/>
      <c r="ACI418" s="457"/>
      <c r="ACJ418" s="457"/>
      <c r="ACK418" s="457"/>
      <c r="ACL418" s="457"/>
      <c r="ACM418" s="457"/>
      <c r="ACN418" s="457"/>
      <c r="ACO418" s="457"/>
      <c r="ACP418" s="457"/>
      <c r="ACQ418" s="457"/>
      <c r="ACR418" s="457"/>
      <c r="ACS418" s="457"/>
      <c r="ACT418" s="457"/>
      <c r="ACU418" s="457"/>
      <c r="ACV418" s="457"/>
    </row>
    <row r="419" spans="1:776" s="400" customFormat="1" x14ac:dyDescent="0.25">
      <c r="A419" s="470">
        <v>900132</v>
      </c>
      <c r="B419" s="237" t="s">
        <v>311</v>
      </c>
      <c r="C419" s="455"/>
      <c r="D419" s="454" t="s">
        <v>312</v>
      </c>
      <c r="E419" s="454">
        <v>27.16</v>
      </c>
      <c r="F419" s="456">
        <v>1.81</v>
      </c>
      <c r="G419" s="454">
        <v>0.01</v>
      </c>
      <c r="H419" s="454">
        <v>0.87</v>
      </c>
      <c r="I419" s="456">
        <v>9269.2000000000007</v>
      </c>
      <c r="J419" s="454">
        <v>165.25</v>
      </c>
      <c r="K419" s="454">
        <v>6.1199999999999997E-2</v>
      </c>
      <c r="L419" s="456">
        <v>664.8</v>
      </c>
      <c r="M419" s="454">
        <v>0.01</v>
      </c>
      <c r="N419" s="454">
        <v>5.86</v>
      </c>
      <c r="O419" s="454">
        <v>4206.6400000000003</v>
      </c>
      <c r="P419" s="454">
        <v>781.45</v>
      </c>
      <c r="Q419" s="454">
        <v>614.61</v>
      </c>
      <c r="R419" s="454">
        <v>2.65</v>
      </c>
      <c r="S419" s="454">
        <v>0.01</v>
      </c>
      <c r="T419" s="454">
        <v>0.26</v>
      </c>
      <c r="U419" s="454">
        <v>0.06</v>
      </c>
      <c r="V419" s="454"/>
      <c r="W419" s="457"/>
      <c r="X419" s="457"/>
      <c r="Y419" s="457"/>
      <c r="Z419" s="457"/>
      <c r="AA419" s="457"/>
      <c r="AB419" s="457"/>
      <c r="AC419" s="457"/>
      <c r="AD419" s="457"/>
      <c r="AE419" s="457"/>
      <c r="AF419" s="457"/>
      <c r="AG419" s="457"/>
      <c r="AH419" s="457"/>
      <c r="AI419" s="457"/>
      <c r="AJ419" s="457"/>
      <c r="AK419" s="457"/>
      <c r="AL419" s="457"/>
      <c r="AM419" s="457"/>
      <c r="AN419" s="457"/>
      <c r="AO419" s="457"/>
      <c r="AP419" s="457"/>
      <c r="AQ419" s="457"/>
      <c r="AR419" s="457"/>
      <c r="AS419" s="457"/>
      <c r="AT419" s="457"/>
      <c r="AU419" s="457"/>
      <c r="AV419" s="457"/>
      <c r="AW419" s="457"/>
      <c r="AX419" s="457"/>
      <c r="AY419" s="457"/>
      <c r="AZ419" s="457"/>
      <c r="BA419" s="457"/>
      <c r="BB419" s="457"/>
      <c r="BC419" s="457"/>
      <c r="BD419" s="457"/>
      <c r="BE419" s="457"/>
      <c r="BF419" s="457"/>
      <c r="BG419" s="457"/>
      <c r="BH419" s="457"/>
      <c r="BI419" s="457"/>
      <c r="BJ419" s="457"/>
      <c r="BK419" s="457"/>
      <c r="BL419" s="457"/>
      <c r="BM419" s="457"/>
      <c r="BN419" s="457"/>
      <c r="BO419" s="457"/>
      <c r="BP419" s="457"/>
      <c r="BQ419" s="457"/>
      <c r="BR419" s="457"/>
      <c r="BS419" s="457"/>
      <c r="BT419" s="457"/>
      <c r="BU419" s="457"/>
      <c r="BV419" s="457"/>
      <c r="BW419" s="457"/>
      <c r="BX419" s="457"/>
      <c r="BY419" s="457"/>
      <c r="BZ419" s="457"/>
      <c r="CA419" s="457"/>
      <c r="CB419" s="457"/>
      <c r="CC419" s="457"/>
      <c r="CD419" s="457"/>
      <c r="CE419" s="457"/>
      <c r="CF419" s="457"/>
      <c r="CG419" s="457"/>
      <c r="CH419" s="457"/>
      <c r="CI419" s="457"/>
      <c r="CJ419" s="457"/>
      <c r="CK419" s="457"/>
      <c r="CL419" s="457"/>
      <c r="CM419" s="457"/>
      <c r="CN419" s="457"/>
      <c r="CO419" s="457"/>
      <c r="CP419" s="457"/>
      <c r="CQ419" s="457"/>
      <c r="CR419" s="457"/>
      <c r="CS419" s="457"/>
      <c r="CT419" s="457"/>
      <c r="CU419" s="457"/>
      <c r="CV419" s="457"/>
      <c r="CW419" s="457"/>
      <c r="CX419" s="457"/>
      <c r="CY419" s="457"/>
      <c r="CZ419" s="457"/>
      <c r="DA419" s="457"/>
      <c r="DB419" s="457"/>
      <c r="DC419" s="457"/>
      <c r="DD419" s="457"/>
      <c r="DE419" s="457"/>
      <c r="DF419" s="457"/>
      <c r="DG419" s="457"/>
      <c r="DH419" s="457"/>
      <c r="DI419" s="457"/>
      <c r="DJ419" s="457"/>
      <c r="DK419" s="457"/>
      <c r="DL419" s="457"/>
      <c r="DM419" s="457"/>
      <c r="DN419" s="457"/>
      <c r="DO419" s="457"/>
      <c r="DP419" s="457"/>
      <c r="DQ419" s="457"/>
      <c r="DR419" s="457"/>
      <c r="DS419" s="457"/>
      <c r="DT419" s="457"/>
      <c r="DU419" s="457"/>
      <c r="DV419" s="457"/>
      <c r="DW419" s="457"/>
      <c r="DX419" s="457"/>
      <c r="DY419" s="457"/>
      <c r="DZ419" s="457"/>
      <c r="EA419" s="457"/>
      <c r="EB419" s="457"/>
      <c r="EC419" s="457"/>
      <c r="ED419" s="457"/>
      <c r="EE419" s="457"/>
      <c r="EF419" s="457"/>
      <c r="EG419" s="457"/>
      <c r="EH419" s="457"/>
      <c r="EI419" s="457"/>
      <c r="EJ419" s="457"/>
      <c r="EK419" s="457"/>
      <c r="EL419" s="457"/>
      <c r="EM419" s="457"/>
      <c r="EN419" s="457"/>
      <c r="EO419" s="457"/>
      <c r="EP419" s="457"/>
      <c r="EQ419" s="457"/>
      <c r="ER419" s="457"/>
      <c r="ES419" s="457"/>
      <c r="ET419" s="457"/>
      <c r="EU419" s="457"/>
      <c r="EV419" s="457"/>
      <c r="EW419" s="457"/>
      <c r="EX419" s="457"/>
      <c r="EY419" s="457"/>
      <c r="EZ419" s="457"/>
      <c r="FA419" s="457"/>
      <c r="FB419" s="457"/>
      <c r="FC419" s="457"/>
      <c r="FD419" s="457"/>
      <c r="FE419" s="457"/>
      <c r="FF419" s="457"/>
      <c r="FG419" s="457"/>
      <c r="FH419" s="457"/>
      <c r="FI419" s="457"/>
      <c r="FJ419" s="457"/>
      <c r="FK419" s="457"/>
      <c r="FL419" s="457"/>
      <c r="FM419" s="457"/>
      <c r="FN419" s="457"/>
      <c r="FO419" s="457"/>
      <c r="FP419" s="457"/>
      <c r="FQ419" s="457"/>
      <c r="FR419" s="457"/>
      <c r="FS419" s="457"/>
      <c r="FT419" s="457"/>
      <c r="FU419" s="457"/>
      <c r="FV419" s="457"/>
      <c r="FW419" s="457"/>
      <c r="FX419" s="457"/>
      <c r="FY419" s="457"/>
      <c r="FZ419" s="457"/>
      <c r="GA419" s="457"/>
      <c r="GB419" s="457"/>
      <c r="GC419" s="457"/>
      <c r="GD419" s="457"/>
      <c r="GE419" s="457"/>
      <c r="GF419" s="457"/>
      <c r="GG419" s="457"/>
      <c r="GH419" s="457"/>
      <c r="GI419" s="457"/>
      <c r="GJ419" s="457"/>
      <c r="GK419" s="457"/>
      <c r="GL419" s="457"/>
      <c r="GM419" s="457"/>
      <c r="GN419" s="457"/>
      <c r="GO419" s="457"/>
      <c r="GP419" s="457"/>
      <c r="GQ419" s="457"/>
      <c r="GR419" s="457"/>
      <c r="GS419" s="457"/>
      <c r="GT419" s="457"/>
      <c r="GU419" s="457"/>
      <c r="GV419" s="457"/>
      <c r="GW419" s="457"/>
      <c r="GX419" s="457"/>
      <c r="GY419" s="457"/>
      <c r="GZ419" s="457"/>
      <c r="HA419" s="457"/>
      <c r="HB419" s="457"/>
      <c r="HC419" s="457"/>
      <c r="HD419" s="457"/>
      <c r="HE419" s="457"/>
      <c r="HF419" s="457"/>
      <c r="HG419" s="457"/>
      <c r="HH419" s="457"/>
      <c r="HI419" s="457"/>
      <c r="HJ419" s="457"/>
      <c r="HK419" s="457"/>
      <c r="HL419" s="457"/>
      <c r="HM419" s="457"/>
      <c r="HN419" s="457"/>
      <c r="HO419" s="457"/>
      <c r="HP419" s="457"/>
      <c r="HQ419" s="457"/>
      <c r="HR419" s="457"/>
      <c r="HS419" s="457"/>
      <c r="HT419" s="457"/>
      <c r="HU419" s="457"/>
      <c r="HV419" s="457"/>
      <c r="HW419" s="457"/>
      <c r="HX419" s="457"/>
      <c r="HY419" s="457"/>
      <c r="HZ419" s="457"/>
      <c r="IA419" s="457"/>
      <c r="IB419" s="457"/>
      <c r="IC419" s="457"/>
      <c r="ID419" s="457"/>
      <c r="IE419" s="457"/>
      <c r="IF419" s="457"/>
      <c r="IG419" s="457"/>
      <c r="IH419" s="457"/>
      <c r="II419" s="457"/>
      <c r="IJ419" s="457"/>
      <c r="IK419" s="457"/>
      <c r="IL419" s="457"/>
      <c r="IM419" s="457"/>
      <c r="IN419" s="457"/>
      <c r="IO419" s="457"/>
      <c r="IP419" s="457"/>
      <c r="IQ419" s="457"/>
      <c r="IR419" s="457"/>
      <c r="IS419" s="457"/>
      <c r="IT419" s="457"/>
      <c r="IU419" s="457"/>
      <c r="IV419" s="457"/>
      <c r="IW419" s="457"/>
      <c r="IX419" s="457"/>
      <c r="IY419" s="457"/>
      <c r="IZ419" s="457"/>
      <c r="JA419" s="457"/>
      <c r="JB419" s="457"/>
      <c r="JC419" s="457"/>
      <c r="JD419" s="457"/>
      <c r="JE419" s="457"/>
      <c r="JF419" s="457"/>
      <c r="JG419" s="457"/>
      <c r="JH419" s="457"/>
      <c r="JI419" s="457"/>
      <c r="JJ419" s="457"/>
      <c r="JK419" s="457"/>
      <c r="JL419" s="457"/>
      <c r="JM419" s="457"/>
      <c r="JN419" s="457"/>
      <c r="JO419" s="457"/>
      <c r="JP419" s="457"/>
      <c r="JQ419" s="457"/>
      <c r="JR419" s="457"/>
      <c r="JS419" s="457"/>
      <c r="JT419" s="457"/>
      <c r="JU419" s="457"/>
      <c r="JV419" s="457"/>
      <c r="JW419" s="457"/>
      <c r="JX419" s="457"/>
      <c r="JY419" s="457"/>
      <c r="JZ419" s="457"/>
      <c r="KA419" s="457"/>
      <c r="KB419" s="457"/>
      <c r="KC419" s="457"/>
      <c r="KD419" s="457"/>
      <c r="KE419" s="457"/>
      <c r="KF419" s="457"/>
      <c r="KG419" s="457"/>
      <c r="KH419" s="457"/>
      <c r="KI419" s="457"/>
      <c r="KJ419" s="457"/>
      <c r="KK419" s="457"/>
      <c r="KL419" s="457"/>
      <c r="KM419" s="457"/>
      <c r="KN419" s="457"/>
      <c r="KO419" s="457"/>
      <c r="KP419" s="457"/>
      <c r="KQ419" s="457"/>
      <c r="KR419" s="457"/>
      <c r="KS419" s="457"/>
      <c r="KT419" s="457"/>
      <c r="KU419" s="457"/>
      <c r="KV419" s="457"/>
      <c r="KW419" s="457"/>
      <c r="KX419" s="457"/>
      <c r="KY419" s="457"/>
      <c r="KZ419" s="457"/>
      <c r="LA419" s="457"/>
      <c r="LB419" s="457"/>
      <c r="LC419" s="457"/>
      <c r="LD419" s="457"/>
      <c r="LE419" s="457"/>
      <c r="LF419" s="457"/>
      <c r="LG419" s="457"/>
      <c r="LH419" s="457"/>
      <c r="LI419" s="457"/>
      <c r="LJ419" s="457"/>
      <c r="LK419" s="457"/>
      <c r="LL419" s="457"/>
      <c r="LM419" s="457"/>
      <c r="LN419" s="457"/>
      <c r="LO419" s="457"/>
      <c r="LP419" s="457"/>
      <c r="LQ419" s="457"/>
      <c r="LR419" s="457"/>
      <c r="LS419" s="457"/>
      <c r="LT419" s="457"/>
      <c r="LU419" s="457"/>
      <c r="LV419" s="457"/>
      <c r="LW419" s="457"/>
      <c r="LX419" s="457"/>
      <c r="LY419" s="457"/>
      <c r="LZ419" s="457"/>
      <c r="MA419" s="457"/>
      <c r="MB419" s="457"/>
      <c r="MC419" s="457"/>
      <c r="MD419" s="457"/>
      <c r="ME419" s="457"/>
      <c r="MF419" s="457"/>
      <c r="MG419" s="457"/>
      <c r="MH419" s="457"/>
      <c r="MI419" s="457"/>
      <c r="MJ419" s="457"/>
      <c r="MK419" s="457"/>
      <c r="ML419" s="457"/>
      <c r="MM419" s="457"/>
      <c r="MN419" s="457"/>
      <c r="MO419" s="457"/>
      <c r="MP419" s="457"/>
      <c r="MQ419" s="457"/>
      <c r="MR419" s="457"/>
      <c r="MS419" s="457"/>
      <c r="MT419" s="457"/>
      <c r="MU419" s="457"/>
      <c r="MV419" s="457"/>
      <c r="MW419" s="457"/>
      <c r="MX419" s="457"/>
      <c r="MY419" s="457"/>
      <c r="MZ419" s="457"/>
      <c r="NA419" s="457"/>
      <c r="NB419" s="457"/>
      <c r="NC419" s="457"/>
      <c r="ND419" s="457"/>
      <c r="NE419" s="457"/>
      <c r="NF419" s="457"/>
      <c r="NG419" s="457"/>
      <c r="NH419" s="457"/>
      <c r="NI419" s="457"/>
      <c r="NJ419" s="457"/>
      <c r="NK419" s="457"/>
      <c r="NL419" s="457"/>
      <c r="NM419" s="457"/>
      <c r="NN419" s="457"/>
      <c r="NO419" s="457"/>
      <c r="NP419" s="457"/>
      <c r="NQ419" s="457"/>
      <c r="NR419" s="457"/>
      <c r="NS419" s="457"/>
      <c r="NT419" s="457"/>
      <c r="NU419" s="457"/>
      <c r="NV419" s="457"/>
      <c r="NW419" s="457"/>
      <c r="NX419" s="457"/>
      <c r="NY419" s="457"/>
      <c r="NZ419" s="457"/>
      <c r="OA419" s="457"/>
      <c r="OB419" s="457"/>
      <c r="OC419" s="457"/>
      <c r="OD419" s="457"/>
      <c r="OE419" s="457"/>
      <c r="OF419" s="457"/>
      <c r="OG419" s="457"/>
      <c r="OH419" s="457"/>
      <c r="OI419" s="457"/>
      <c r="OJ419" s="457"/>
      <c r="OK419" s="457"/>
      <c r="OL419" s="457"/>
      <c r="OM419" s="457"/>
      <c r="ON419" s="457"/>
      <c r="OO419" s="457"/>
      <c r="OP419" s="457"/>
      <c r="OQ419" s="457"/>
      <c r="OR419" s="457"/>
      <c r="OS419" s="457"/>
      <c r="OT419" s="457"/>
      <c r="OU419" s="457"/>
      <c r="OV419" s="457"/>
      <c r="OW419" s="457"/>
      <c r="OX419" s="457"/>
      <c r="OY419" s="457"/>
      <c r="OZ419" s="457"/>
      <c r="PA419" s="457"/>
      <c r="PB419" s="457"/>
      <c r="PC419" s="457"/>
      <c r="PD419" s="457"/>
      <c r="PE419" s="457"/>
      <c r="PF419" s="457"/>
      <c r="PG419" s="457"/>
      <c r="PH419" s="457"/>
      <c r="PI419" s="457"/>
      <c r="PJ419" s="457"/>
      <c r="PK419" s="457"/>
      <c r="PL419" s="457"/>
      <c r="PM419" s="457"/>
      <c r="PN419" s="457"/>
      <c r="PO419" s="457"/>
      <c r="PP419" s="457"/>
      <c r="PQ419" s="457"/>
      <c r="PR419" s="457"/>
      <c r="PS419" s="457"/>
      <c r="PT419" s="457"/>
      <c r="PU419" s="457"/>
      <c r="PV419" s="457"/>
      <c r="PW419" s="457"/>
      <c r="PX419" s="457"/>
      <c r="PY419" s="457"/>
      <c r="PZ419" s="457"/>
      <c r="QA419" s="457"/>
      <c r="QB419" s="457"/>
      <c r="QC419" s="457"/>
      <c r="QD419" s="457"/>
      <c r="QE419" s="457"/>
      <c r="QF419" s="457"/>
      <c r="QG419" s="457"/>
      <c r="QH419" s="457"/>
      <c r="QI419" s="457"/>
      <c r="QJ419" s="457"/>
      <c r="QK419" s="457"/>
      <c r="QL419" s="457"/>
      <c r="QM419" s="457"/>
      <c r="QN419" s="457"/>
      <c r="QO419" s="457"/>
      <c r="QP419" s="457"/>
      <c r="QQ419" s="457"/>
      <c r="QR419" s="457"/>
      <c r="QS419" s="457"/>
      <c r="QT419" s="457"/>
      <c r="QU419" s="457"/>
      <c r="QV419" s="457"/>
      <c r="QW419" s="457"/>
      <c r="QX419" s="457"/>
      <c r="QY419" s="457"/>
      <c r="QZ419" s="457"/>
      <c r="RA419" s="457"/>
      <c r="RB419" s="457"/>
      <c r="RC419" s="457"/>
      <c r="RD419" s="457"/>
      <c r="RE419" s="457"/>
      <c r="RF419" s="457"/>
      <c r="RG419" s="457"/>
      <c r="RH419" s="457"/>
      <c r="RI419" s="457"/>
      <c r="RJ419" s="457"/>
      <c r="RK419" s="457"/>
      <c r="RL419" s="457"/>
      <c r="RM419" s="457"/>
      <c r="RN419" s="457"/>
      <c r="RO419" s="457"/>
      <c r="RP419" s="457"/>
      <c r="RQ419" s="457"/>
      <c r="RR419" s="457"/>
      <c r="RS419" s="457"/>
      <c r="RT419" s="457"/>
      <c r="RU419" s="457"/>
      <c r="RV419" s="457"/>
      <c r="RW419" s="457"/>
      <c r="RX419" s="457"/>
      <c r="RY419" s="457"/>
      <c r="RZ419" s="457"/>
      <c r="SA419" s="457"/>
      <c r="SB419" s="457"/>
      <c r="SC419" s="457"/>
      <c r="SD419" s="457"/>
      <c r="SE419" s="457"/>
      <c r="SF419" s="457"/>
      <c r="SG419" s="457"/>
      <c r="SH419" s="457"/>
      <c r="SI419" s="457"/>
      <c r="SJ419" s="457"/>
      <c r="SK419" s="457"/>
      <c r="SL419" s="457"/>
      <c r="SM419" s="457"/>
      <c r="SN419" s="457"/>
      <c r="SO419" s="457"/>
      <c r="SP419" s="457"/>
      <c r="SQ419" s="457"/>
      <c r="SR419" s="457"/>
      <c r="SS419" s="457"/>
      <c r="ST419" s="457"/>
      <c r="SU419" s="457"/>
      <c r="SV419" s="457"/>
      <c r="SW419" s="457"/>
      <c r="SX419" s="457"/>
      <c r="SY419" s="457"/>
      <c r="SZ419" s="457"/>
      <c r="TA419" s="457"/>
      <c r="TB419" s="457"/>
      <c r="TC419" s="457"/>
      <c r="TD419" s="457"/>
      <c r="TE419" s="457"/>
      <c r="TF419" s="457"/>
      <c r="TG419" s="457"/>
      <c r="TH419" s="457"/>
      <c r="TI419" s="457"/>
      <c r="TJ419" s="457"/>
      <c r="TK419" s="457"/>
      <c r="TL419" s="457"/>
      <c r="TM419" s="457"/>
      <c r="TN419" s="457"/>
      <c r="TO419" s="457"/>
      <c r="TP419" s="457"/>
      <c r="TQ419" s="457"/>
      <c r="TR419" s="457"/>
      <c r="TS419" s="457"/>
      <c r="TT419" s="457"/>
      <c r="TU419" s="457"/>
      <c r="TV419" s="457"/>
      <c r="TW419" s="457"/>
      <c r="TX419" s="457"/>
      <c r="TY419" s="457"/>
      <c r="TZ419" s="457"/>
      <c r="UA419" s="457"/>
      <c r="UB419" s="457"/>
      <c r="UC419" s="457"/>
      <c r="UD419" s="457"/>
      <c r="UE419" s="457"/>
      <c r="UF419" s="457"/>
      <c r="UG419" s="457"/>
      <c r="UH419" s="457"/>
      <c r="UI419" s="457"/>
      <c r="UJ419" s="457"/>
      <c r="UK419" s="457"/>
      <c r="UL419" s="457"/>
      <c r="UM419" s="457"/>
      <c r="UN419" s="457"/>
      <c r="UO419" s="457"/>
      <c r="UP419" s="457"/>
      <c r="UQ419" s="457"/>
      <c r="UR419" s="457"/>
      <c r="US419" s="457"/>
      <c r="UT419" s="457"/>
      <c r="UU419" s="457"/>
      <c r="UV419" s="457"/>
      <c r="UW419" s="457"/>
      <c r="UX419" s="457"/>
      <c r="UY419" s="457"/>
      <c r="UZ419" s="457"/>
      <c r="VA419" s="457"/>
      <c r="VB419" s="457"/>
      <c r="VC419" s="457"/>
      <c r="VD419" s="457"/>
      <c r="VE419" s="457"/>
      <c r="VF419" s="457"/>
      <c r="VG419" s="457"/>
      <c r="VH419" s="457"/>
      <c r="VI419" s="457"/>
      <c r="VJ419" s="457"/>
      <c r="VK419" s="457"/>
      <c r="VL419" s="457"/>
      <c r="VM419" s="457"/>
      <c r="VN419" s="457"/>
      <c r="VO419" s="457"/>
      <c r="VP419" s="457"/>
      <c r="VQ419" s="457"/>
      <c r="VR419" s="457"/>
      <c r="VS419" s="457"/>
      <c r="VT419" s="457"/>
      <c r="VU419" s="457"/>
      <c r="VV419" s="457"/>
      <c r="VW419" s="457"/>
      <c r="VX419" s="457"/>
      <c r="VY419" s="457"/>
      <c r="VZ419" s="457"/>
      <c r="WA419" s="457"/>
      <c r="WB419" s="457"/>
      <c r="WC419" s="457"/>
      <c r="WD419" s="457"/>
      <c r="WE419" s="457"/>
      <c r="WF419" s="457"/>
      <c r="WG419" s="457"/>
      <c r="WH419" s="457"/>
      <c r="WI419" s="457"/>
      <c r="WJ419" s="457"/>
      <c r="WK419" s="457"/>
      <c r="WL419" s="457"/>
      <c r="WM419" s="457"/>
      <c r="WN419" s="457"/>
      <c r="WO419" s="457"/>
      <c r="WP419" s="457"/>
      <c r="WQ419" s="457"/>
      <c r="WR419" s="457"/>
      <c r="WS419" s="457"/>
      <c r="WT419" s="457"/>
      <c r="WU419" s="457"/>
      <c r="WV419" s="457"/>
      <c r="WW419" s="457"/>
      <c r="WX419" s="457"/>
      <c r="WY419" s="457"/>
      <c r="WZ419" s="457"/>
      <c r="XA419" s="457"/>
      <c r="XB419" s="457"/>
      <c r="XC419" s="457"/>
      <c r="XD419" s="457"/>
      <c r="XE419" s="457"/>
      <c r="XF419" s="457"/>
      <c r="XG419" s="457"/>
      <c r="XH419" s="457"/>
      <c r="XI419" s="457"/>
      <c r="XJ419" s="457"/>
      <c r="XK419" s="457"/>
      <c r="XL419" s="457"/>
      <c r="XM419" s="457"/>
      <c r="XN419" s="457"/>
      <c r="XO419" s="457"/>
      <c r="XP419" s="457"/>
      <c r="XQ419" s="457"/>
      <c r="XR419" s="457"/>
      <c r="XS419" s="457"/>
      <c r="XT419" s="457"/>
      <c r="XU419" s="457"/>
      <c r="XV419" s="457"/>
      <c r="XW419" s="457"/>
      <c r="XX419" s="457"/>
      <c r="XY419" s="457"/>
      <c r="XZ419" s="457"/>
      <c r="YA419" s="457"/>
      <c r="YB419" s="457"/>
      <c r="YC419" s="457"/>
      <c r="YD419" s="457"/>
      <c r="YE419" s="457"/>
      <c r="YF419" s="457"/>
      <c r="YG419" s="457"/>
      <c r="YH419" s="457"/>
      <c r="YI419" s="457"/>
      <c r="YJ419" s="457"/>
      <c r="YK419" s="457"/>
      <c r="YL419" s="457"/>
      <c r="YM419" s="457"/>
      <c r="YN419" s="457"/>
      <c r="YO419" s="457"/>
      <c r="YP419" s="457"/>
      <c r="YQ419" s="457"/>
      <c r="YR419" s="457"/>
      <c r="YS419" s="457"/>
      <c r="YT419" s="457"/>
      <c r="YU419" s="457"/>
      <c r="YV419" s="457"/>
      <c r="YW419" s="457"/>
      <c r="YX419" s="457"/>
      <c r="YY419" s="457"/>
      <c r="YZ419" s="457"/>
      <c r="ZA419" s="457"/>
      <c r="ZB419" s="457"/>
      <c r="ZC419" s="457"/>
      <c r="ZD419" s="457"/>
      <c r="ZE419" s="457"/>
      <c r="ZF419" s="457"/>
      <c r="ZG419" s="457"/>
      <c r="ZH419" s="457"/>
      <c r="ZI419" s="457"/>
      <c r="ZJ419" s="457"/>
      <c r="ZK419" s="457"/>
      <c r="ZL419" s="457"/>
      <c r="ZM419" s="457"/>
      <c r="ZN419" s="457"/>
      <c r="ZO419" s="457"/>
      <c r="ZP419" s="457"/>
      <c r="ZQ419" s="457"/>
      <c r="ZR419" s="457"/>
      <c r="ZS419" s="457"/>
      <c r="ZT419" s="457"/>
      <c r="ZU419" s="457"/>
      <c r="ZV419" s="457"/>
      <c r="ZW419" s="457"/>
      <c r="ZX419" s="457"/>
      <c r="ZY419" s="457"/>
      <c r="ZZ419" s="457"/>
      <c r="AAA419" s="457"/>
      <c r="AAB419" s="457"/>
      <c r="AAC419" s="457"/>
      <c r="AAD419" s="457"/>
      <c r="AAE419" s="457"/>
      <c r="AAF419" s="457"/>
      <c r="AAG419" s="457"/>
      <c r="AAH419" s="457"/>
      <c r="AAI419" s="457"/>
      <c r="AAJ419" s="457"/>
      <c r="AAK419" s="457"/>
      <c r="AAL419" s="457"/>
      <c r="AAM419" s="457"/>
      <c r="AAN419" s="457"/>
      <c r="AAO419" s="457"/>
      <c r="AAP419" s="457"/>
      <c r="AAQ419" s="457"/>
      <c r="AAR419" s="457"/>
      <c r="AAS419" s="457"/>
      <c r="AAT419" s="457"/>
      <c r="AAU419" s="457"/>
      <c r="AAV419" s="457"/>
      <c r="AAW419" s="457"/>
      <c r="AAX419" s="457"/>
      <c r="AAY419" s="457"/>
      <c r="AAZ419" s="457"/>
      <c r="ABA419" s="457"/>
      <c r="ABB419" s="457"/>
      <c r="ABC419" s="457"/>
      <c r="ABD419" s="457"/>
      <c r="ABE419" s="457"/>
      <c r="ABF419" s="457"/>
      <c r="ABG419" s="457"/>
      <c r="ABH419" s="457"/>
      <c r="ABI419" s="457"/>
      <c r="ABJ419" s="457"/>
      <c r="ABK419" s="457"/>
      <c r="ABL419" s="457"/>
      <c r="ABM419" s="457"/>
      <c r="ABN419" s="457"/>
      <c r="ABO419" s="457"/>
      <c r="ABP419" s="457"/>
      <c r="ABQ419" s="457"/>
      <c r="ABR419" s="457"/>
      <c r="ABS419" s="457"/>
      <c r="ABT419" s="457"/>
      <c r="ABU419" s="457"/>
      <c r="ABV419" s="457"/>
      <c r="ABW419" s="457"/>
      <c r="ABX419" s="457"/>
      <c r="ABY419" s="457"/>
      <c r="ABZ419" s="457"/>
      <c r="ACA419" s="457"/>
      <c r="ACB419" s="457"/>
      <c r="ACC419" s="457"/>
      <c r="ACD419" s="457"/>
      <c r="ACE419" s="457"/>
      <c r="ACF419" s="457"/>
      <c r="ACG419" s="457"/>
      <c r="ACH419" s="457"/>
      <c r="ACI419" s="457"/>
      <c r="ACJ419" s="457"/>
      <c r="ACK419" s="457"/>
      <c r="ACL419" s="457"/>
      <c r="ACM419" s="457"/>
      <c r="ACN419" s="457"/>
      <c r="ACO419" s="457"/>
      <c r="ACP419" s="457"/>
      <c r="ACQ419" s="457"/>
      <c r="ACR419" s="457"/>
      <c r="ACS419" s="457"/>
      <c r="ACT419" s="457"/>
      <c r="ACU419" s="457"/>
      <c r="ACV419" s="457"/>
    </row>
    <row r="420" spans="1:776" s="400" customFormat="1" x14ac:dyDescent="0.25">
      <c r="A420" s="470">
        <v>900133</v>
      </c>
      <c r="B420" s="237" t="s">
        <v>313</v>
      </c>
      <c r="C420" s="455"/>
      <c r="D420" s="454" t="s">
        <v>314</v>
      </c>
      <c r="E420" s="454">
        <v>2.0699999999999998</v>
      </c>
      <c r="F420" s="456">
        <v>23.96</v>
      </c>
      <c r="G420" s="454">
        <v>0.01</v>
      </c>
      <c r="H420" s="454">
        <v>0.05</v>
      </c>
      <c r="I420" s="456">
        <v>382.25</v>
      </c>
      <c r="J420" s="454">
        <v>171.32</v>
      </c>
      <c r="K420" s="454">
        <v>6.1199999999999997E-2</v>
      </c>
      <c r="L420" s="456">
        <v>433.6</v>
      </c>
      <c r="M420" s="454">
        <v>0.01</v>
      </c>
      <c r="N420" s="454">
        <v>8.75</v>
      </c>
      <c r="O420" s="454">
        <v>125.68</v>
      </c>
      <c r="P420" s="454">
        <v>104.29</v>
      </c>
      <c r="Q420" s="454">
        <v>135.56</v>
      </c>
      <c r="R420" s="454">
        <v>0.01</v>
      </c>
      <c r="S420" s="454">
        <v>0.01</v>
      </c>
      <c r="T420" s="454">
        <v>0.01</v>
      </c>
      <c r="U420" s="454">
        <v>0.02</v>
      </c>
      <c r="V420" s="454"/>
      <c r="W420" s="457"/>
      <c r="X420" s="457"/>
      <c r="Y420" s="457"/>
      <c r="Z420" s="457"/>
      <c r="AA420" s="457"/>
      <c r="AB420" s="457"/>
      <c r="AC420" s="457"/>
      <c r="AD420" s="457"/>
      <c r="AE420" s="457"/>
      <c r="AF420" s="457"/>
      <c r="AG420" s="457"/>
      <c r="AH420" s="457"/>
      <c r="AI420" s="457"/>
      <c r="AJ420" s="457"/>
      <c r="AK420" s="457"/>
      <c r="AL420" s="457"/>
      <c r="AM420" s="457"/>
      <c r="AN420" s="457"/>
      <c r="AO420" s="457"/>
      <c r="AP420" s="457"/>
      <c r="AQ420" s="457"/>
      <c r="AR420" s="457"/>
      <c r="AS420" s="457"/>
      <c r="AT420" s="457"/>
      <c r="AU420" s="457"/>
      <c r="AV420" s="457"/>
      <c r="AW420" s="457"/>
      <c r="AX420" s="457"/>
      <c r="AY420" s="457"/>
      <c r="AZ420" s="457"/>
      <c r="BA420" s="457"/>
      <c r="BB420" s="457"/>
      <c r="BC420" s="457"/>
      <c r="BD420" s="457"/>
      <c r="BE420" s="457"/>
      <c r="BF420" s="457"/>
      <c r="BG420" s="457"/>
      <c r="BH420" s="457"/>
      <c r="BI420" s="457"/>
      <c r="BJ420" s="457"/>
      <c r="BK420" s="457"/>
      <c r="BL420" s="457"/>
      <c r="BM420" s="457"/>
      <c r="BN420" s="457"/>
      <c r="BO420" s="457"/>
      <c r="BP420" s="457"/>
      <c r="BQ420" s="457"/>
      <c r="BR420" s="457"/>
      <c r="BS420" s="457"/>
      <c r="BT420" s="457"/>
      <c r="BU420" s="457"/>
      <c r="BV420" s="457"/>
      <c r="BW420" s="457"/>
      <c r="BX420" s="457"/>
      <c r="BY420" s="457"/>
      <c r="BZ420" s="457"/>
      <c r="CA420" s="457"/>
      <c r="CB420" s="457"/>
      <c r="CC420" s="457"/>
      <c r="CD420" s="457"/>
      <c r="CE420" s="457"/>
      <c r="CF420" s="457"/>
      <c r="CG420" s="457"/>
      <c r="CH420" s="457"/>
      <c r="CI420" s="457"/>
      <c r="CJ420" s="457"/>
      <c r="CK420" s="457"/>
      <c r="CL420" s="457"/>
      <c r="CM420" s="457"/>
      <c r="CN420" s="457"/>
      <c r="CO420" s="457"/>
      <c r="CP420" s="457"/>
      <c r="CQ420" s="457"/>
      <c r="CR420" s="457"/>
      <c r="CS420" s="457"/>
      <c r="CT420" s="457"/>
      <c r="CU420" s="457"/>
      <c r="CV420" s="457"/>
      <c r="CW420" s="457"/>
      <c r="CX420" s="457"/>
      <c r="CY420" s="457"/>
      <c r="CZ420" s="457"/>
      <c r="DA420" s="457"/>
      <c r="DB420" s="457"/>
      <c r="DC420" s="457"/>
      <c r="DD420" s="457"/>
      <c r="DE420" s="457"/>
      <c r="DF420" s="457"/>
      <c r="DG420" s="457"/>
      <c r="DH420" s="457"/>
      <c r="DI420" s="457"/>
      <c r="DJ420" s="457"/>
      <c r="DK420" s="457"/>
      <c r="DL420" s="457"/>
      <c r="DM420" s="457"/>
      <c r="DN420" s="457"/>
      <c r="DO420" s="457"/>
      <c r="DP420" s="457"/>
      <c r="DQ420" s="457"/>
      <c r="DR420" s="457"/>
      <c r="DS420" s="457"/>
      <c r="DT420" s="457"/>
      <c r="DU420" s="457"/>
      <c r="DV420" s="457"/>
      <c r="DW420" s="457"/>
      <c r="DX420" s="457"/>
      <c r="DY420" s="457"/>
      <c r="DZ420" s="457"/>
      <c r="EA420" s="457"/>
      <c r="EB420" s="457"/>
      <c r="EC420" s="457"/>
      <c r="ED420" s="457"/>
      <c r="EE420" s="457"/>
      <c r="EF420" s="457"/>
      <c r="EG420" s="457"/>
      <c r="EH420" s="457"/>
      <c r="EI420" s="457"/>
      <c r="EJ420" s="457"/>
      <c r="EK420" s="457"/>
      <c r="EL420" s="457"/>
      <c r="EM420" s="457"/>
      <c r="EN420" s="457"/>
      <c r="EO420" s="457"/>
      <c r="EP420" s="457"/>
      <c r="EQ420" s="457"/>
      <c r="ER420" s="457"/>
      <c r="ES420" s="457"/>
      <c r="ET420" s="457"/>
      <c r="EU420" s="457"/>
      <c r="EV420" s="457"/>
      <c r="EW420" s="457"/>
      <c r="EX420" s="457"/>
      <c r="EY420" s="457"/>
      <c r="EZ420" s="457"/>
      <c r="FA420" s="457"/>
      <c r="FB420" s="457"/>
      <c r="FC420" s="457"/>
      <c r="FD420" s="457"/>
      <c r="FE420" s="457"/>
      <c r="FF420" s="457"/>
      <c r="FG420" s="457"/>
      <c r="FH420" s="457"/>
      <c r="FI420" s="457"/>
      <c r="FJ420" s="457"/>
      <c r="FK420" s="457"/>
      <c r="FL420" s="457"/>
      <c r="FM420" s="457"/>
      <c r="FN420" s="457"/>
      <c r="FO420" s="457"/>
      <c r="FP420" s="457"/>
      <c r="FQ420" s="457"/>
      <c r="FR420" s="457"/>
      <c r="FS420" s="457"/>
      <c r="FT420" s="457"/>
      <c r="FU420" s="457"/>
      <c r="FV420" s="457"/>
      <c r="FW420" s="457"/>
      <c r="FX420" s="457"/>
      <c r="FY420" s="457"/>
      <c r="FZ420" s="457"/>
      <c r="GA420" s="457"/>
      <c r="GB420" s="457"/>
      <c r="GC420" s="457"/>
      <c r="GD420" s="457"/>
      <c r="GE420" s="457"/>
      <c r="GF420" s="457"/>
      <c r="GG420" s="457"/>
      <c r="GH420" s="457"/>
      <c r="GI420" s="457"/>
      <c r="GJ420" s="457"/>
      <c r="GK420" s="457"/>
      <c r="GL420" s="457"/>
      <c r="GM420" s="457"/>
      <c r="GN420" s="457"/>
      <c r="GO420" s="457"/>
      <c r="GP420" s="457"/>
      <c r="GQ420" s="457"/>
      <c r="GR420" s="457"/>
      <c r="GS420" s="457"/>
      <c r="GT420" s="457"/>
      <c r="GU420" s="457"/>
      <c r="GV420" s="457"/>
      <c r="GW420" s="457"/>
      <c r="GX420" s="457"/>
      <c r="GY420" s="457"/>
      <c r="GZ420" s="457"/>
      <c r="HA420" s="457"/>
      <c r="HB420" s="457"/>
      <c r="HC420" s="457"/>
      <c r="HD420" s="457"/>
      <c r="HE420" s="457"/>
      <c r="HF420" s="457"/>
      <c r="HG420" s="457"/>
      <c r="HH420" s="457"/>
      <c r="HI420" s="457"/>
      <c r="HJ420" s="457"/>
      <c r="HK420" s="457"/>
      <c r="HL420" s="457"/>
      <c r="HM420" s="457"/>
      <c r="HN420" s="457"/>
      <c r="HO420" s="457"/>
      <c r="HP420" s="457"/>
      <c r="HQ420" s="457"/>
      <c r="HR420" s="457"/>
      <c r="HS420" s="457"/>
      <c r="HT420" s="457"/>
      <c r="HU420" s="457"/>
      <c r="HV420" s="457"/>
      <c r="HW420" s="457"/>
      <c r="HX420" s="457"/>
      <c r="HY420" s="457"/>
      <c r="HZ420" s="457"/>
      <c r="IA420" s="457"/>
      <c r="IB420" s="457"/>
      <c r="IC420" s="457"/>
      <c r="ID420" s="457"/>
      <c r="IE420" s="457"/>
      <c r="IF420" s="457"/>
      <c r="IG420" s="457"/>
      <c r="IH420" s="457"/>
      <c r="II420" s="457"/>
      <c r="IJ420" s="457"/>
      <c r="IK420" s="457"/>
      <c r="IL420" s="457"/>
      <c r="IM420" s="457"/>
      <c r="IN420" s="457"/>
      <c r="IO420" s="457"/>
      <c r="IP420" s="457"/>
      <c r="IQ420" s="457"/>
      <c r="IR420" s="457"/>
      <c r="IS420" s="457"/>
      <c r="IT420" s="457"/>
      <c r="IU420" s="457"/>
      <c r="IV420" s="457"/>
      <c r="IW420" s="457"/>
      <c r="IX420" s="457"/>
      <c r="IY420" s="457"/>
      <c r="IZ420" s="457"/>
      <c r="JA420" s="457"/>
      <c r="JB420" s="457"/>
      <c r="JC420" s="457"/>
      <c r="JD420" s="457"/>
      <c r="JE420" s="457"/>
      <c r="JF420" s="457"/>
      <c r="JG420" s="457"/>
      <c r="JH420" s="457"/>
      <c r="JI420" s="457"/>
      <c r="JJ420" s="457"/>
      <c r="JK420" s="457"/>
      <c r="JL420" s="457"/>
      <c r="JM420" s="457"/>
      <c r="JN420" s="457"/>
      <c r="JO420" s="457"/>
      <c r="JP420" s="457"/>
      <c r="JQ420" s="457"/>
      <c r="JR420" s="457"/>
      <c r="JS420" s="457"/>
      <c r="JT420" s="457"/>
      <c r="JU420" s="457"/>
      <c r="JV420" s="457"/>
      <c r="JW420" s="457"/>
      <c r="JX420" s="457"/>
      <c r="JY420" s="457"/>
      <c r="JZ420" s="457"/>
      <c r="KA420" s="457"/>
      <c r="KB420" s="457"/>
      <c r="KC420" s="457"/>
      <c r="KD420" s="457"/>
      <c r="KE420" s="457"/>
      <c r="KF420" s="457"/>
      <c r="KG420" s="457"/>
      <c r="KH420" s="457"/>
      <c r="KI420" s="457"/>
      <c r="KJ420" s="457"/>
      <c r="KK420" s="457"/>
      <c r="KL420" s="457"/>
      <c r="KM420" s="457"/>
      <c r="KN420" s="457"/>
      <c r="KO420" s="457"/>
      <c r="KP420" s="457"/>
      <c r="KQ420" s="457"/>
      <c r="KR420" s="457"/>
      <c r="KS420" s="457"/>
      <c r="KT420" s="457"/>
      <c r="KU420" s="457"/>
      <c r="KV420" s="457"/>
      <c r="KW420" s="457"/>
      <c r="KX420" s="457"/>
      <c r="KY420" s="457"/>
      <c r="KZ420" s="457"/>
      <c r="LA420" s="457"/>
      <c r="LB420" s="457"/>
      <c r="LC420" s="457"/>
      <c r="LD420" s="457"/>
      <c r="LE420" s="457"/>
      <c r="LF420" s="457"/>
      <c r="LG420" s="457"/>
      <c r="LH420" s="457"/>
      <c r="LI420" s="457"/>
      <c r="LJ420" s="457"/>
      <c r="LK420" s="457"/>
      <c r="LL420" s="457"/>
      <c r="LM420" s="457"/>
      <c r="LN420" s="457"/>
      <c r="LO420" s="457"/>
      <c r="LP420" s="457"/>
      <c r="LQ420" s="457"/>
      <c r="LR420" s="457"/>
      <c r="LS420" s="457"/>
      <c r="LT420" s="457"/>
      <c r="LU420" s="457"/>
      <c r="LV420" s="457"/>
      <c r="LW420" s="457"/>
      <c r="LX420" s="457"/>
      <c r="LY420" s="457"/>
      <c r="LZ420" s="457"/>
      <c r="MA420" s="457"/>
      <c r="MB420" s="457"/>
      <c r="MC420" s="457"/>
      <c r="MD420" s="457"/>
      <c r="ME420" s="457"/>
      <c r="MF420" s="457"/>
      <c r="MG420" s="457"/>
      <c r="MH420" s="457"/>
      <c r="MI420" s="457"/>
      <c r="MJ420" s="457"/>
      <c r="MK420" s="457"/>
      <c r="ML420" s="457"/>
      <c r="MM420" s="457"/>
      <c r="MN420" s="457"/>
      <c r="MO420" s="457"/>
      <c r="MP420" s="457"/>
      <c r="MQ420" s="457"/>
      <c r="MR420" s="457"/>
      <c r="MS420" s="457"/>
      <c r="MT420" s="457"/>
      <c r="MU420" s="457"/>
      <c r="MV420" s="457"/>
      <c r="MW420" s="457"/>
      <c r="MX420" s="457"/>
      <c r="MY420" s="457"/>
      <c r="MZ420" s="457"/>
      <c r="NA420" s="457"/>
      <c r="NB420" s="457"/>
      <c r="NC420" s="457"/>
      <c r="ND420" s="457"/>
      <c r="NE420" s="457"/>
      <c r="NF420" s="457"/>
      <c r="NG420" s="457"/>
      <c r="NH420" s="457"/>
      <c r="NI420" s="457"/>
      <c r="NJ420" s="457"/>
      <c r="NK420" s="457"/>
      <c r="NL420" s="457"/>
      <c r="NM420" s="457"/>
      <c r="NN420" s="457"/>
      <c r="NO420" s="457"/>
      <c r="NP420" s="457"/>
      <c r="NQ420" s="457"/>
      <c r="NR420" s="457"/>
      <c r="NS420" s="457"/>
      <c r="NT420" s="457"/>
      <c r="NU420" s="457"/>
      <c r="NV420" s="457"/>
      <c r="NW420" s="457"/>
      <c r="NX420" s="457"/>
      <c r="NY420" s="457"/>
      <c r="NZ420" s="457"/>
      <c r="OA420" s="457"/>
      <c r="OB420" s="457"/>
      <c r="OC420" s="457"/>
      <c r="OD420" s="457"/>
      <c r="OE420" s="457"/>
      <c r="OF420" s="457"/>
      <c r="OG420" s="457"/>
      <c r="OH420" s="457"/>
      <c r="OI420" s="457"/>
      <c r="OJ420" s="457"/>
      <c r="OK420" s="457"/>
      <c r="OL420" s="457"/>
      <c r="OM420" s="457"/>
      <c r="ON420" s="457"/>
      <c r="OO420" s="457"/>
      <c r="OP420" s="457"/>
      <c r="OQ420" s="457"/>
      <c r="OR420" s="457"/>
      <c r="OS420" s="457"/>
      <c r="OT420" s="457"/>
      <c r="OU420" s="457"/>
      <c r="OV420" s="457"/>
      <c r="OW420" s="457"/>
      <c r="OX420" s="457"/>
      <c r="OY420" s="457"/>
      <c r="OZ420" s="457"/>
      <c r="PA420" s="457"/>
      <c r="PB420" s="457"/>
      <c r="PC420" s="457"/>
      <c r="PD420" s="457"/>
      <c r="PE420" s="457"/>
      <c r="PF420" s="457"/>
      <c r="PG420" s="457"/>
      <c r="PH420" s="457"/>
      <c r="PI420" s="457"/>
      <c r="PJ420" s="457"/>
      <c r="PK420" s="457"/>
      <c r="PL420" s="457"/>
      <c r="PM420" s="457"/>
      <c r="PN420" s="457"/>
      <c r="PO420" s="457"/>
      <c r="PP420" s="457"/>
      <c r="PQ420" s="457"/>
      <c r="PR420" s="457"/>
      <c r="PS420" s="457"/>
      <c r="PT420" s="457"/>
      <c r="PU420" s="457"/>
      <c r="PV420" s="457"/>
      <c r="PW420" s="457"/>
      <c r="PX420" s="457"/>
      <c r="PY420" s="457"/>
      <c r="PZ420" s="457"/>
      <c r="QA420" s="457"/>
      <c r="QB420" s="457"/>
      <c r="QC420" s="457"/>
      <c r="QD420" s="457"/>
      <c r="QE420" s="457"/>
      <c r="QF420" s="457"/>
      <c r="QG420" s="457"/>
      <c r="QH420" s="457"/>
      <c r="QI420" s="457"/>
      <c r="QJ420" s="457"/>
      <c r="QK420" s="457"/>
      <c r="QL420" s="457"/>
      <c r="QM420" s="457"/>
      <c r="QN420" s="457"/>
      <c r="QO420" s="457"/>
      <c r="QP420" s="457"/>
      <c r="QQ420" s="457"/>
      <c r="QR420" s="457"/>
      <c r="QS420" s="457"/>
      <c r="QT420" s="457"/>
      <c r="QU420" s="457"/>
      <c r="QV420" s="457"/>
      <c r="QW420" s="457"/>
      <c r="QX420" s="457"/>
      <c r="QY420" s="457"/>
      <c r="QZ420" s="457"/>
      <c r="RA420" s="457"/>
      <c r="RB420" s="457"/>
      <c r="RC420" s="457"/>
      <c r="RD420" s="457"/>
      <c r="RE420" s="457"/>
      <c r="RF420" s="457"/>
      <c r="RG420" s="457"/>
      <c r="RH420" s="457"/>
      <c r="RI420" s="457"/>
      <c r="RJ420" s="457"/>
      <c r="RK420" s="457"/>
      <c r="RL420" s="457"/>
      <c r="RM420" s="457"/>
      <c r="RN420" s="457"/>
      <c r="RO420" s="457"/>
      <c r="RP420" s="457"/>
      <c r="RQ420" s="457"/>
      <c r="RR420" s="457"/>
      <c r="RS420" s="457"/>
      <c r="RT420" s="457"/>
      <c r="RU420" s="457"/>
      <c r="RV420" s="457"/>
      <c r="RW420" s="457"/>
      <c r="RX420" s="457"/>
      <c r="RY420" s="457"/>
      <c r="RZ420" s="457"/>
      <c r="SA420" s="457"/>
      <c r="SB420" s="457"/>
      <c r="SC420" s="457"/>
      <c r="SD420" s="457"/>
      <c r="SE420" s="457"/>
      <c r="SF420" s="457"/>
      <c r="SG420" s="457"/>
      <c r="SH420" s="457"/>
      <c r="SI420" s="457"/>
      <c r="SJ420" s="457"/>
      <c r="SK420" s="457"/>
      <c r="SL420" s="457"/>
      <c r="SM420" s="457"/>
      <c r="SN420" s="457"/>
      <c r="SO420" s="457"/>
      <c r="SP420" s="457"/>
      <c r="SQ420" s="457"/>
      <c r="SR420" s="457"/>
      <c r="SS420" s="457"/>
      <c r="ST420" s="457"/>
      <c r="SU420" s="457"/>
      <c r="SV420" s="457"/>
      <c r="SW420" s="457"/>
      <c r="SX420" s="457"/>
      <c r="SY420" s="457"/>
      <c r="SZ420" s="457"/>
      <c r="TA420" s="457"/>
      <c r="TB420" s="457"/>
      <c r="TC420" s="457"/>
      <c r="TD420" s="457"/>
      <c r="TE420" s="457"/>
      <c r="TF420" s="457"/>
      <c r="TG420" s="457"/>
      <c r="TH420" s="457"/>
      <c r="TI420" s="457"/>
      <c r="TJ420" s="457"/>
      <c r="TK420" s="457"/>
      <c r="TL420" s="457"/>
      <c r="TM420" s="457"/>
      <c r="TN420" s="457"/>
      <c r="TO420" s="457"/>
      <c r="TP420" s="457"/>
      <c r="TQ420" s="457"/>
      <c r="TR420" s="457"/>
      <c r="TS420" s="457"/>
      <c r="TT420" s="457"/>
      <c r="TU420" s="457"/>
      <c r="TV420" s="457"/>
      <c r="TW420" s="457"/>
      <c r="TX420" s="457"/>
      <c r="TY420" s="457"/>
      <c r="TZ420" s="457"/>
      <c r="UA420" s="457"/>
      <c r="UB420" s="457"/>
      <c r="UC420" s="457"/>
      <c r="UD420" s="457"/>
      <c r="UE420" s="457"/>
      <c r="UF420" s="457"/>
      <c r="UG420" s="457"/>
      <c r="UH420" s="457"/>
      <c r="UI420" s="457"/>
      <c r="UJ420" s="457"/>
      <c r="UK420" s="457"/>
      <c r="UL420" s="457"/>
      <c r="UM420" s="457"/>
      <c r="UN420" s="457"/>
      <c r="UO420" s="457"/>
      <c r="UP420" s="457"/>
      <c r="UQ420" s="457"/>
      <c r="UR420" s="457"/>
      <c r="US420" s="457"/>
      <c r="UT420" s="457"/>
      <c r="UU420" s="457"/>
      <c r="UV420" s="457"/>
      <c r="UW420" s="457"/>
      <c r="UX420" s="457"/>
      <c r="UY420" s="457"/>
      <c r="UZ420" s="457"/>
      <c r="VA420" s="457"/>
      <c r="VB420" s="457"/>
      <c r="VC420" s="457"/>
      <c r="VD420" s="457"/>
      <c r="VE420" s="457"/>
      <c r="VF420" s="457"/>
      <c r="VG420" s="457"/>
      <c r="VH420" s="457"/>
      <c r="VI420" s="457"/>
      <c r="VJ420" s="457"/>
      <c r="VK420" s="457"/>
      <c r="VL420" s="457"/>
      <c r="VM420" s="457"/>
      <c r="VN420" s="457"/>
      <c r="VO420" s="457"/>
      <c r="VP420" s="457"/>
      <c r="VQ420" s="457"/>
      <c r="VR420" s="457"/>
      <c r="VS420" s="457"/>
      <c r="VT420" s="457"/>
      <c r="VU420" s="457"/>
      <c r="VV420" s="457"/>
      <c r="VW420" s="457"/>
      <c r="VX420" s="457"/>
      <c r="VY420" s="457"/>
      <c r="VZ420" s="457"/>
      <c r="WA420" s="457"/>
      <c r="WB420" s="457"/>
      <c r="WC420" s="457"/>
      <c r="WD420" s="457"/>
      <c r="WE420" s="457"/>
      <c r="WF420" s="457"/>
      <c r="WG420" s="457"/>
      <c r="WH420" s="457"/>
      <c r="WI420" s="457"/>
      <c r="WJ420" s="457"/>
      <c r="WK420" s="457"/>
      <c r="WL420" s="457"/>
      <c r="WM420" s="457"/>
      <c r="WN420" s="457"/>
      <c r="WO420" s="457"/>
      <c r="WP420" s="457"/>
      <c r="WQ420" s="457"/>
      <c r="WR420" s="457"/>
      <c r="WS420" s="457"/>
      <c r="WT420" s="457"/>
      <c r="WU420" s="457"/>
      <c r="WV420" s="457"/>
      <c r="WW420" s="457"/>
      <c r="WX420" s="457"/>
      <c r="WY420" s="457"/>
      <c r="WZ420" s="457"/>
      <c r="XA420" s="457"/>
      <c r="XB420" s="457"/>
      <c r="XC420" s="457"/>
      <c r="XD420" s="457"/>
      <c r="XE420" s="457"/>
      <c r="XF420" s="457"/>
      <c r="XG420" s="457"/>
      <c r="XH420" s="457"/>
      <c r="XI420" s="457"/>
      <c r="XJ420" s="457"/>
      <c r="XK420" s="457"/>
      <c r="XL420" s="457"/>
      <c r="XM420" s="457"/>
      <c r="XN420" s="457"/>
      <c r="XO420" s="457"/>
      <c r="XP420" s="457"/>
      <c r="XQ420" s="457"/>
      <c r="XR420" s="457"/>
      <c r="XS420" s="457"/>
      <c r="XT420" s="457"/>
      <c r="XU420" s="457"/>
      <c r="XV420" s="457"/>
      <c r="XW420" s="457"/>
      <c r="XX420" s="457"/>
      <c r="XY420" s="457"/>
      <c r="XZ420" s="457"/>
      <c r="YA420" s="457"/>
      <c r="YB420" s="457"/>
      <c r="YC420" s="457"/>
      <c r="YD420" s="457"/>
      <c r="YE420" s="457"/>
      <c r="YF420" s="457"/>
      <c r="YG420" s="457"/>
      <c r="YH420" s="457"/>
      <c r="YI420" s="457"/>
      <c r="YJ420" s="457"/>
      <c r="YK420" s="457"/>
      <c r="YL420" s="457"/>
      <c r="YM420" s="457"/>
      <c r="YN420" s="457"/>
      <c r="YO420" s="457"/>
      <c r="YP420" s="457"/>
      <c r="YQ420" s="457"/>
      <c r="YR420" s="457"/>
      <c r="YS420" s="457"/>
      <c r="YT420" s="457"/>
      <c r="YU420" s="457"/>
      <c r="YV420" s="457"/>
      <c r="YW420" s="457"/>
      <c r="YX420" s="457"/>
      <c r="YY420" s="457"/>
      <c r="YZ420" s="457"/>
      <c r="ZA420" s="457"/>
      <c r="ZB420" s="457"/>
      <c r="ZC420" s="457"/>
      <c r="ZD420" s="457"/>
      <c r="ZE420" s="457"/>
      <c r="ZF420" s="457"/>
      <c r="ZG420" s="457"/>
      <c r="ZH420" s="457"/>
      <c r="ZI420" s="457"/>
      <c r="ZJ420" s="457"/>
      <c r="ZK420" s="457"/>
      <c r="ZL420" s="457"/>
      <c r="ZM420" s="457"/>
      <c r="ZN420" s="457"/>
      <c r="ZO420" s="457"/>
      <c r="ZP420" s="457"/>
      <c r="ZQ420" s="457"/>
      <c r="ZR420" s="457"/>
      <c r="ZS420" s="457"/>
      <c r="ZT420" s="457"/>
      <c r="ZU420" s="457"/>
      <c r="ZV420" s="457"/>
      <c r="ZW420" s="457"/>
      <c r="ZX420" s="457"/>
      <c r="ZY420" s="457"/>
      <c r="ZZ420" s="457"/>
      <c r="AAA420" s="457"/>
      <c r="AAB420" s="457"/>
      <c r="AAC420" s="457"/>
      <c r="AAD420" s="457"/>
      <c r="AAE420" s="457"/>
      <c r="AAF420" s="457"/>
      <c r="AAG420" s="457"/>
      <c r="AAH420" s="457"/>
      <c r="AAI420" s="457"/>
      <c r="AAJ420" s="457"/>
      <c r="AAK420" s="457"/>
      <c r="AAL420" s="457"/>
      <c r="AAM420" s="457"/>
      <c r="AAN420" s="457"/>
      <c r="AAO420" s="457"/>
      <c r="AAP420" s="457"/>
      <c r="AAQ420" s="457"/>
      <c r="AAR420" s="457"/>
      <c r="AAS420" s="457"/>
      <c r="AAT420" s="457"/>
      <c r="AAU420" s="457"/>
      <c r="AAV420" s="457"/>
      <c r="AAW420" s="457"/>
      <c r="AAX420" s="457"/>
      <c r="AAY420" s="457"/>
      <c r="AAZ420" s="457"/>
      <c r="ABA420" s="457"/>
      <c r="ABB420" s="457"/>
      <c r="ABC420" s="457"/>
      <c r="ABD420" s="457"/>
      <c r="ABE420" s="457"/>
      <c r="ABF420" s="457"/>
      <c r="ABG420" s="457"/>
      <c r="ABH420" s="457"/>
      <c r="ABI420" s="457"/>
      <c r="ABJ420" s="457"/>
      <c r="ABK420" s="457"/>
      <c r="ABL420" s="457"/>
      <c r="ABM420" s="457"/>
      <c r="ABN420" s="457"/>
      <c r="ABO420" s="457"/>
      <c r="ABP420" s="457"/>
      <c r="ABQ420" s="457"/>
      <c r="ABR420" s="457"/>
      <c r="ABS420" s="457"/>
      <c r="ABT420" s="457"/>
      <c r="ABU420" s="457"/>
      <c r="ABV420" s="457"/>
      <c r="ABW420" s="457"/>
      <c r="ABX420" s="457"/>
      <c r="ABY420" s="457"/>
      <c r="ABZ420" s="457"/>
      <c r="ACA420" s="457"/>
      <c r="ACB420" s="457"/>
      <c r="ACC420" s="457"/>
      <c r="ACD420" s="457"/>
      <c r="ACE420" s="457"/>
      <c r="ACF420" s="457"/>
      <c r="ACG420" s="457"/>
      <c r="ACH420" s="457"/>
      <c r="ACI420" s="457"/>
      <c r="ACJ420" s="457"/>
      <c r="ACK420" s="457"/>
      <c r="ACL420" s="457"/>
      <c r="ACM420" s="457"/>
      <c r="ACN420" s="457"/>
      <c r="ACO420" s="457"/>
      <c r="ACP420" s="457"/>
      <c r="ACQ420" s="457"/>
      <c r="ACR420" s="457"/>
      <c r="ACS420" s="457"/>
      <c r="ACT420" s="457"/>
      <c r="ACU420" s="457"/>
      <c r="ACV420" s="457"/>
    </row>
    <row r="421" spans="1:776" s="400" customFormat="1" x14ac:dyDescent="0.25">
      <c r="A421" s="470">
        <v>900134</v>
      </c>
      <c r="B421" s="237" t="s">
        <v>315</v>
      </c>
      <c r="C421" s="455"/>
      <c r="D421" s="454" t="s">
        <v>218</v>
      </c>
      <c r="E421" s="454">
        <v>1.145</v>
      </c>
      <c r="F421" s="456">
        <v>46.85</v>
      </c>
      <c r="G421" s="454">
        <v>0.01</v>
      </c>
      <c r="H421" s="454">
        <v>0.08</v>
      </c>
      <c r="I421" s="456">
        <v>191.31</v>
      </c>
      <c r="J421" s="454">
        <v>50.51</v>
      </c>
      <c r="K421" s="454">
        <v>0.01</v>
      </c>
      <c r="L421" s="456">
        <v>278.39999999999998</v>
      </c>
      <c r="M421" s="454">
        <v>0.01</v>
      </c>
      <c r="N421" s="454">
        <v>2.46</v>
      </c>
      <c r="O421" s="454">
        <v>95</v>
      </c>
      <c r="P421" s="454">
        <v>80.400000000000006</v>
      </c>
      <c r="Q421" s="454">
        <v>42.19</v>
      </c>
      <c r="R421" s="454">
        <v>0.01</v>
      </c>
      <c r="S421" s="454">
        <v>0.01</v>
      </c>
      <c r="T421" s="454">
        <v>0.01</v>
      </c>
      <c r="U421" s="454">
        <v>0.01</v>
      </c>
      <c r="V421" s="454"/>
      <c r="W421" s="457"/>
      <c r="X421" s="457"/>
      <c r="Y421" s="457"/>
      <c r="Z421" s="457"/>
      <c r="AA421" s="457"/>
      <c r="AB421" s="457"/>
      <c r="AC421" s="457"/>
      <c r="AD421" s="457"/>
      <c r="AE421" s="457"/>
      <c r="AF421" s="457"/>
      <c r="AG421" s="457"/>
      <c r="AH421" s="457"/>
      <c r="AI421" s="457"/>
      <c r="AJ421" s="457"/>
      <c r="AK421" s="457"/>
      <c r="AL421" s="457"/>
      <c r="AM421" s="457"/>
      <c r="AN421" s="457"/>
      <c r="AO421" s="457"/>
      <c r="AP421" s="457"/>
      <c r="AQ421" s="457"/>
      <c r="AR421" s="457"/>
      <c r="AS421" s="457"/>
      <c r="AT421" s="457"/>
      <c r="AU421" s="457"/>
      <c r="AV421" s="457"/>
      <c r="AW421" s="457"/>
      <c r="AX421" s="457"/>
      <c r="AY421" s="457"/>
      <c r="AZ421" s="457"/>
      <c r="BA421" s="457"/>
      <c r="BB421" s="457"/>
      <c r="BC421" s="457"/>
      <c r="BD421" s="457"/>
      <c r="BE421" s="457"/>
      <c r="BF421" s="457"/>
      <c r="BG421" s="457"/>
      <c r="BH421" s="457"/>
      <c r="BI421" s="457"/>
      <c r="BJ421" s="457"/>
      <c r="BK421" s="457"/>
      <c r="BL421" s="457"/>
      <c r="BM421" s="457"/>
      <c r="BN421" s="457"/>
      <c r="BO421" s="457"/>
      <c r="BP421" s="457"/>
      <c r="BQ421" s="457"/>
      <c r="BR421" s="457"/>
      <c r="BS421" s="457"/>
      <c r="BT421" s="457"/>
      <c r="BU421" s="457"/>
      <c r="BV421" s="457"/>
      <c r="BW421" s="457"/>
      <c r="BX421" s="457"/>
      <c r="BY421" s="457"/>
      <c r="BZ421" s="457"/>
      <c r="CA421" s="457"/>
      <c r="CB421" s="457"/>
      <c r="CC421" s="457"/>
      <c r="CD421" s="457"/>
      <c r="CE421" s="457"/>
      <c r="CF421" s="457"/>
      <c r="CG421" s="457"/>
      <c r="CH421" s="457"/>
      <c r="CI421" s="457"/>
      <c r="CJ421" s="457"/>
      <c r="CK421" s="457"/>
      <c r="CL421" s="457"/>
      <c r="CM421" s="457"/>
      <c r="CN421" s="457"/>
      <c r="CO421" s="457"/>
      <c r="CP421" s="457"/>
      <c r="CQ421" s="457"/>
      <c r="CR421" s="457"/>
      <c r="CS421" s="457"/>
      <c r="CT421" s="457"/>
      <c r="CU421" s="457"/>
      <c r="CV421" s="457"/>
      <c r="CW421" s="457"/>
      <c r="CX421" s="457"/>
      <c r="CY421" s="457"/>
      <c r="CZ421" s="457"/>
      <c r="DA421" s="457"/>
      <c r="DB421" s="457"/>
      <c r="DC421" s="457"/>
      <c r="DD421" s="457"/>
      <c r="DE421" s="457"/>
      <c r="DF421" s="457"/>
      <c r="DG421" s="457"/>
      <c r="DH421" s="457"/>
      <c r="DI421" s="457"/>
      <c r="DJ421" s="457"/>
      <c r="DK421" s="457"/>
      <c r="DL421" s="457"/>
      <c r="DM421" s="457"/>
      <c r="DN421" s="457"/>
      <c r="DO421" s="457"/>
      <c r="DP421" s="457"/>
      <c r="DQ421" s="457"/>
      <c r="DR421" s="457"/>
      <c r="DS421" s="457"/>
      <c r="DT421" s="457"/>
      <c r="DU421" s="457"/>
      <c r="DV421" s="457"/>
      <c r="DW421" s="457"/>
      <c r="DX421" s="457"/>
      <c r="DY421" s="457"/>
      <c r="DZ421" s="457"/>
      <c r="EA421" s="457"/>
      <c r="EB421" s="457"/>
      <c r="EC421" s="457"/>
      <c r="ED421" s="457"/>
      <c r="EE421" s="457"/>
      <c r="EF421" s="457"/>
      <c r="EG421" s="457"/>
      <c r="EH421" s="457"/>
      <c r="EI421" s="457"/>
      <c r="EJ421" s="457"/>
      <c r="EK421" s="457"/>
      <c r="EL421" s="457"/>
      <c r="EM421" s="457"/>
      <c r="EN421" s="457"/>
      <c r="EO421" s="457"/>
      <c r="EP421" s="457"/>
      <c r="EQ421" s="457"/>
      <c r="ER421" s="457"/>
      <c r="ES421" s="457"/>
      <c r="ET421" s="457"/>
      <c r="EU421" s="457"/>
      <c r="EV421" s="457"/>
      <c r="EW421" s="457"/>
      <c r="EX421" s="457"/>
      <c r="EY421" s="457"/>
      <c r="EZ421" s="457"/>
      <c r="FA421" s="457"/>
      <c r="FB421" s="457"/>
      <c r="FC421" s="457"/>
      <c r="FD421" s="457"/>
      <c r="FE421" s="457"/>
      <c r="FF421" s="457"/>
      <c r="FG421" s="457"/>
      <c r="FH421" s="457"/>
      <c r="FI421" s="457"/>
      <c r="FJ421" s="457"/>
      <c r="FK421" s="457"/>
      <c r="FL421" s="457"/>
      <c r="FM421" s="457"/>
      <c r="FN421" s="457"/>
      <c r="FO421" s="457"/>
      <c r="FP421" s="457"/>
      <c r="FQ421" s="457"/>
      <c r="FR421" s="457"/>
      <c r="FS421" s="457"/>
      <c r="FT421" s="457"/>
      <c r="FU421" s="457"/>
      <c r="FV421" s="457"/>
      <c r="FW421" s="457"/>
      <c r="FX421" s="457"/>
      <c r="FY421" s="457"/>
      <c r="FZ421" s="457"/>
      <c r="GA421" s="457"/>
      <c r="GB421" s="457"/>
      <c r="GC421" s="457"/>
      <c r="GD421" s="457"/>
      <c r="GE421" s="457"/>
      <c r="GF421" s="457"/>
      <c r="GG421" s="457"/>
      <c r="GH421" s="457"/>
      <c r="GI421" s="457"/>
      <c r="GJ421" s="457"/>
      <c r="GK421" s="457"/>
      <c r="GL421" s="457"/>
      <c r="GM421" s="457"/>
      <c r="GN421" s="457"/>
      <c r="GO421" s="457"/>
      <c r="GP421" s="457"/>
      <c r="GQ421" s="457"/>
      <c r="GR421" s="457"/>
      <c r="GS421" s="457"/>
      <c r="GT421" s="457"/>
      <c r="GU421" s="457"/>
      <c r="GV421" s="457"/>
      <c r="GW421" s="457"/>
      <c r="GX421" s="457"/>
      <c r="GY421" s="457"/>
      <c r="GZ421" s="457"/>
      <c r="HA421" s="457"/>
      <c r="HB421" s="457"/>
      <c r="HC421" s="457"/>
      <c r="HD421" s="457"/>
      <c r="HE421" s="457"/>
      <c r="HF421" s="457"/>
      <c r="HG421" s="457"/>
      <c r="HH421" s="457"/>
      <c r="HI421" s="457"/>
      <c r="HJ421" s="457"/>
      <c r="HK421" s="457"/>
      <c r="HL421" s="457"/>
      <c r="HM421" s="457"/>
      <c r="HN421" s="457"/>
      <c r="HO421" s="457"/>
      <c r="HP421" s="457"/>
      <c r="HQ421" s="457"/>
      <c r="HR421" s="457"/>
      <c r="HS421" s="457"/>
      <c r="HT421" s="457"/>
      <c r="HU421" s="457"/>
      <c r="HV421" s="457"/>
      <c r="HW421" s="457"/>
      <c r="HX421" s="457"/>
      <c r="HY421" s="457"/>
      <c r="HZ421" s="457"/>
      <c r="IA421" s="457"/>
      <c r="IB421" s="457"/>
      <c r="IC421" s="457"/>
      <c r="ID421" s="457"/>
      <c r="IE421" s="457"/>
      <c r="IF421" s="457"/>
      <c r="IG421" s="457"/>
      <c r="IH421" s="457"/>
      <c r="II421" s="457"/>
      <c r="IJ421" s="457"/>
      <c r="IK421" s="457"/>
      <c r="IL421" s="457"/>
      <c r="IM421" s="457"/>
      <c r="IN421" s="457"/>
      <c r="IO421" s="457"/>
      <c r="IP421" s="457"/>
      <c r="IQ421" s="457"/>
      <c r="IR421" s="457"/>
      <c r="IS421" s="457"/>
      <c r="IT421" s="457"/>
      <c r="IU421" s="457"/>
      <c r="IV421" s="457"/>
      <c r="IW421" s="457"/>
      <c r="IX421" s="457"/>
      <c r="IY421" s="457"/>
      <c r="IZ421" s="457"/>
      <c r="JA421" s="457"/>
      <c r="JB421" s="457"/>
      <c r="JC421" s="457"/>
      <c r="JD421" s="457"/>
      <c r="JE421" s="457"/>
      <c r="JF421" s="457"/>
      <c r="JG421" s="457"/>
      <c r="JH421" s="457"/>
      <c r="JI421" s="457"/>
      <c r="JJ421" s="457"/>
      <c r="JK421" s="457"/>
      <c r="JL421" s="457"/>
      <c r="JM421" s="457"/>
      <c r="JN421" s="457"/>
      <c r="JO421" s="457"/>
      <c r="JP421" s="457"/>
      <c r="JQ421" s="457"/>
      <c r="JR421" s="457"/>
      <c r="JS421" s="457"/>
      <c r="JT421" s="457"/>
      <c r="JU421" s="457"/>
      <c r="JV421" s="457"/>
      <c r="JW421" s="457"/>
      <c r="JX421" s="457"/>
      <c r="JY421" s="457"/>
      <c r="JZ421" s="457"/>
      <c r="KA421" s="457"/>
      <c r="KB421" s="457"/>
      <c r="KC421" s="457"/>
      <c r="KD421" s="457"/>
      <c r="KE421" s="457"/>
      <c r="KF421" s="457"/>
      <c r="KG421" s="457"/>
      <c r="KH421" s="457"/>
      <c r="KI421" s="457"/>
      <c r="KJ421" s="457"/>
      <c r="KK421" s="457"/>
      <c r="KL421" s="457"/>
      <c r="KM421" s="457"/>
      <c r="KN421" s="457"/>
      <c r="KO421" s="457"/>
      <c r="KP421" s="457"/>
      <c r="KQ421" s="457"/>
      <c r="KR421" s="457"/>
      <c r="KS421" s="457"/>
      <c r="KT421" s="457"/>
      <c r="KU421" s="457"/>
      <c r="KV421" s="457"/>
      <c r="KW421" s="457"/>
      <c r="KX421" s="457"/>
      <c r="KY421" s="457"/>
      <c r="KZ421" s="457"/>
      <c r="LA421" s="457"/>
      <c r="LB421" s="457"/>
      <c r="LC421" s="457"/>
      <c r="LD421" s="457"/>
      <c r="LE421" s="457"/>
      <c r="LF421" s="457"/>
      <c r="LG421" s="457"/>
      <c r="LH421" s="457"/>
      <c r="LI421" s="457"/>
      <c r="LJ421" s="457"/>
      <c r="LK421" s="457"/>
      <c r="LL421" s="457"/>
      <c r="LM421" s="457"/>
      <c r="LN421" s="457"/>
      <c r="LO421" s="457"/>
      <c r="LP421" s="457"/>
      <c r="LQ421" s="457"/>
      <c r="LR421" s="457"/>
      <c r="LS421" s="457"/>
      <c r="LT421" s="457"/>
      <c r="LU421" s="457"/>
      <c r="LV421" s="457"/>
      <c r="LW421" s="457"/>
      <c r="LX421" s="457"/>
      <c r="LY421" s="457"/>
      <c r="LZ421" s="457"/>
      <c r="MA421" s="457"/>
      <c r="MB421" s="457"/>
      <c r="MC421" s="457"/>
      <c r="MD421" s="457"/>
      <c r="ME421" s="457"/>
      <c r="MF421" s="457"/>
      <c r="MG421" s="457"/>
      <c r="MH421" s="457"/>
      <c r="MI421" s="457"/>
      <c r="MJ421" s="457"/>
      <c r="MK421" s="457"/>
      <c r="ML421" s="457"/>
      <c r="MM421" s="457"/>
      <c r="MN421" s="457"/>
      <c r="MO421" s="457"/>
      <c r="MP421" s="457"/>
      <c r="MQ421" s="457"/>
      <c r="MR421" s="457"/>
      <c r="MS421" s="457"/>
      <c r="MT421" s="457"/>
      <c r="MU421" s="457"/>
      <c r="MV421" s="457"/>
      <c r="MW421" s="457"/>
      <c r="MX421" s="457"/>
      <c r="MY421" s="457"/>
      <c r="MZ421" s="457"/>
      <c r="NA421" s="457"/>
      <c r="NB421" s="457"/>
      <c r="NC421" s="457"/>
      <c r="ND421" s="457"/>
      <c r="NE421" s="457"/>
      <c r="NF421" s="457"/>
      <c r="NG421" s="457"/>
      <c r="NH421" s="457"/>
      <c r="NI421" s="457"/>
      <c r="NJ421" s="457"/>
      <c r="NK421" s="457"/>
      <c r="NL421" s="457"/>
      <c r="NM421" s="457"/>
      <c r="NN421" s="457"/>
      <c r="NO421" s="457"/>
      <c r="NP421" s="457"/>
      <c r="NQ421" s="457"/>
      <c r="NR421" s="457"/>
      <c r="NS421" s="457"/>
      <c r="NT421" s="457"/>
      <c r="NU421" s="457"/>
      <c r="NV421" s="457"/>
      <c r="NW421" s="457"/>
      <c r="NX421" s="457"/>
      <c r="NY421" s="457"/>
      <c r="NZ421" s="457"/>
      <c r="OA421" s="457"/>
      <c r="OB421" s="457"/>
      <c r="OC421" s="457"/>
      <c r="OD421" s="457"/>
      <c r="OE421" s="457"/>
      <c r="OF421" s="457"/>
      <c r="OG421" s="457"/>
      <c r="OH421" s="457"/>
      <c r="OI421" s="457"/>
      <c r="OJ421" s="457"/>
      <c r="OK421" s="457"/>
      <c r="OL421" s="457"/>
      <c r="OM421" s="457"/>
      <c r="ON421" s="457"/>
      <c r="OO421" s="457"/>
      <c r="OP421" s="457"/>
      <c r="OQ421" s="457"/>
      <c r="OR421" s="457"/>
      <c r="OS421" s="457"/>
      <c r="OT421" s="457"/>
      <c r="OU421" s="457"/>
      <c r="OV421" s="457"/>
      <c r="OW421" s="457"/>
      <c r="OX421" s="457"/>
      <c r="OY421" s="457"/>
      <c r="OZ421" s="457"/>
      <c r="PA421" s="457"/>
      <c r="PB421" s="457"/>
      <c r="PC421" s="457"/>
      <c r="PD421" s="457"/>
      <c r="PE421" s="457"/>
      <c r="PF421" s="457"/>
      <c r="PG421" s="457"/>
      <c r="PH421" s="457"/>
      <c r="PI421" s="457"/>
      <c r="PJ421" s="457"/>
      <c r="PK421" s="457"/>
      <c r="PL421" s="457"/>
      <c r="PM421" s="457"/>
      <c r="PN421" s="457"/>
      <c r="PO421" s="457"/>
      <c r="PP421" s="457"/>
      <c r="PQ421" s="457"/>
      <c r="PR421" s="457"/>
      <c r="PS421" s="457"/>
      <c r="PT421" s="457"/>
      <c r="PU421" s="457"/>
      <c r="PV421" s="457"/>
      <c r="PW421" s="457"/>
      <c r="PX421" s="457"/>
      <c r="PY421" s="457"/>
      <c r="PZ421" s="457"/>
      <c r="QA421" s="457"/>
      <c r="QB421" s="457"/>
      <c r="QC421" s="457"/>
      <c r="QD421" s="457"/>
      <c r="QE421" s="457"/>
      <c r="QF421" s="457"/>
      <c r="QG421" s="457"/>
      <c r="QH421" s="457"/>
      <c r="QI421" s="457"/>
      <c r="QJ421" s="457"/>
      <c r="QK421" s="457"/>
      <c r="QL421" s="457"/>
      <c r="QM421" s="457"/>
      <c r="QN421" s="457"/>
      <c r="QO421" s="457"/>
      <c r="QP421" s="457"/>
      <c r="QQ421" s="457"/>
      <c r="QR421" s="457"/>
      <c r="QS421" s="457"/>
      <c r="QT421" s="457"/>
      <c r="QU421" s="457"/>
      <c r="QV421" s="457"/>
      <c r="QW421" s="457"/>
      <c r="QX421" s="457"/>
      <c r="QY421" s="457"/>
      <c r="QZ421" s="457"/>
      <c r="RA421" s="457"/>
      <c r="RB421" s="457"/>
      <c r="RC421" s="457"/>
      <c r="RD421" s="457"/>
      <c r="RE421" s="457"/>
      <c r="RF421" s="457"/>
      <c r="RG421" s="457"/>
      <c r="RH421" s="457"/>
      <c r="RI421" s="457"/>
      <c r="RJ421" s="457"/>
      <c r="RK421" s="457"/>
      <c r="RL421" s="457"/>
      <c r="RM421" s="457"/>
      <c r="RN421" s="457"/>
      <c r="RO421" s="457"/>
      <c r="RP421" s="457"/>
      <c r="RQ421" s="457"/>
      <c r="RR421" s="457"/>
      <c r="RS421" s="457"/>
      <c r="RT421" s="457"/>
      <c r="RU421" s="457"/>
      <c r="RV421" s="457"/>
      <c r="RW421" s="457"/>
      <c r="RX421" s="457"/>
      <c r="RY421" s="457"/>
      <c r="RZ421" s="457"/>
      <c r="SA421" s="457"/>
      <c r="SB421" s="457"/>
      <c r="SC421" s="457"/>
      <c r="SD421" s="457"/>
      <c r="SE421" s="457"/>
      <c r="SF421" s="457"/>
      <c r="SG421" s="457"/>
      <c r="SH421" s="457"/>
      <c r="SI421" s="457"/>
      <c r="SJ421" s="457"/>
      <c r="SK421" s="457"/>
      <c r="SL421" s="457"/>
      <c r="SM421" s="457"/>
      <c r="SN421" s="457"/>
      <c r="SO421" s="457"/>
      <c r="SP421" s="457"/>
      <c r="SQ421" s="457"/>
      <c r="SR421" s="457"/>
      <c r="SS421" s="457"/>
      <c r="ST421" s="457"/>
      <c r="SU421" s="457"/>
      <c r="SV421" s="457"/>
      <c r="SW421" s="457"/>
      <c r="SX421" s="457"/>
      <c r="SY421" s="457"/>
      <c r="SZ421" s="457"/>
      <c r="TA421" s="457"/>
      <c r="TB421" s="457"/>
      <c r="TC421" s="457"/>
      <c r="TD421" s="457"/>
      <c r="TE421" s="457"/>
      <c r="TF421" s="457"/>
      <c r="TG421" s="457"/>
      <c r="TH421" s="457"/>
      <c r="TI421" s="457"/>
      <c r="TJ421" s="457"/>
      <c r="TK421" s="457"/>
      <c r="TL421" s="457"/>
      <c r="TM421" s="457"/>
      <c r="TN421" s="457"/>
      <c r="TO421" s="457"/>
      <c r="TP421" s="457"/>
      <c r="TQ421" s="457"/>
      <c r="TR421" s="457"/>
      <c r="TS421" s="457"/>
      <c r="TT421" s="457"/>
      <c r="TU421" s="457"/>
      <c r="TV421" s="457"/>
      <c r="TW421" s="457"/>
      <c r="TX421" s="457"/>
      <c r="TY421" s="457"/>
      <c r="TZ421" s="457"/>
      <c r="UA421" s="457"/>
      <c r="UB421" s="457"/>
      <c r="UC421" s="457"/>
      <c r="UD421" s="457"/>
      <c r="UE421" s="457"/>
      <c r="UF421" s="457"/>
      <c r="UG421" s="457"/>
      <c r="UH421" s="457"/>
      <c r="UI421" s="457"/>
      <c r="UJ421" s="457"/>
      <c r="UK421" s="457"/>
      <c r="UL421" s="457"/>
      <c r="UM421" s="457"/>
      <c r="UN421" s="457"/>
      <c r="UO421" s="457"/>
      <c r="UP421" s="457"/>
      <c r="UQ421" s="457"/>
      <c r="UR421" s="457"/>
      <c r="US421" s="457"/>
      <c r="UT421" s="457"/>
      <c r="UU421" s="457"/>
      <c r="UV421" s="457"/>
      <c r="UW421" s="457"/>
      <c r="UX421" s="457"/>
      <c r="UY421" s="457"/>
      <c r="UZ421" s="457"/>
      <c r="VA421" s="457"/>
      <c r="VB421" s="457"/>
      <c r="VC421" s="457"/>
      <c r="VD421" s="457"/>
      <c r="VE421" s="457"/>
      <c r="VF421" s="457"/>
      <c r="VG421" s="457"/>
      <c r="VH421" s="457"/>
      <c r="VI421" s="457"/>
      <c r="VJ421" s="457"/>
      <c r="VK421" s="457"/>
      <c r="VL421" s="457"/>
      <c r="VM421" s="457"/>
      <c r="VN421" s="457"/>
      <c r="VO421" s="457"/>
      <c r="VP421" s="457"/>
      <c r="VQ421" s="457"/>
      <c r="VR421" s="457"/>
      <c r="VS421" s="457"/>
      <c r="VT421" s="457"/>
      <c r="VU421" s="457"/>
      <c r="VV421" s="457"/>
      <c r="VW421" s="457"/>
      <c r="VX421" s="457"/>
      <c r="VY421" s="457"/>
      <c r="VZ421" s="457"/>
      <c r="WA421" s="457"/>
      <c r="WB421" s="457"/>
      <c r="WC421" s="457"/>
      <c r="WD421" s="457"/>
      <c r="WE421" s="457"/>
      <c r="WF421" s="457"/>
      <c r="WG421" s="457"/>
      <c r="WH421" s="457"/>
      <c r="WI421" s="457"/>
      <c r="WJ421" s="457"/>
      <c r="WK421" s="457"/>
      <c r="WL421" s="457"/>
      <c r="WM421" s="457"/>
      <c r="WN421" s="457"/>
      <c r="WO421" s="457"/>
      <c r="WP421" s="457"/>
      <c r="WQ421" s="457"/>
      <c r="WR421" s="457"/>
      <c r="WS421" s="457"/>
      <c r="WT421" s="457"/>
      <c r="WU421" s="457"/>
      <c r="WV421" s="457"/>
      <c r="WW421" s="457"/>
      <c r="WX421" s="457"/>
      <c r="WY421" s="457"/>
      <c r="WZ421" s="457"/>
      <c r="XA421" s="457"/>
      <c r="XB421" s="457"/>
      <c r="XC421" s="457"/>
      <c r="XD421" s="457"/>
      <c r="XE421" s="457"/>
      <c r="XF421" s="457"/>
      <c r="XG421" s="457"/>
      <c r="XH421" s="457"/>
      <c r="XI421" s="457"/>
      <c r="XJ421" s="457"/>
      <c r="XK421" s="457"/>
      <c r="XL421" s="457"/>
      <c r="XM421" s="457"/>
      <c r="XN421" s="457"/>
      <c r="XO421" s="457"/>
      <c r="XP421" s="457"/>
      <c r="XQ421" s="457"/>
      <c r="XR421" s="457"/>
      <c r="XS421" s="457"/>
      <c r="XT421" s="457"/>
      <c r="XU421" s="457"/>
      <c r="XV421" s="457"/>
      <c r="XW421" s="457"/>
      <c r="XX421" s="457"/>
      <c r="XY421" s="457"/>
      <c r="XZ421" s="457"/>
      <c r="YA421" s="457"/>
      <c r="YB421" s="457"/>
      <c r="YC421" s="457"/>
      <c r="YD421" s="457"/>
      <c r="YE421" s="457"/>
      <c r="YF421" s="457"/>
      <c r="YG421" s="457"/>
      <c r="YH421" s="457"/>
      <c r="YI421" s="457"/>
      <c r="YJ421" s="457"/>
      <c r="YK421" s="457"/>
      <c r="YL421" s="457"/>
      <c r="YM421" s="457"/>
      <c r="YN421" s="457"/>
      <c r="YO421" s="457"/>
      <c r="YP421" s="457"/>
      <c r="YQ421" s="457"/>
      <c r="YR421" s="457"/>
      <c r="YS421" s="457"/>
      <c r="YT421" s="457"/>
      <c r="YU421" s="457"/>
      <c r="YV421" s="457"/>
      <c r="YW421" s="457"/>
      <c r="YX421" s="457"/>
      <c r="YY421" s="457"/>
      <c r="YZ421" s="457"/>
      <c r="ZA421" s="457"/>
      <c r="ZB421" s="457"/>
      <c r="ZC421" s="457"/>
      <c r="ZD421" s="457"/>
      <c r="ZE421" s="457"/>
      <c r="ZF421" s="457"/>
      <c r="ZG421" s="457"/>
      <c r="ZH421" s="457"/>
      <c r="ZI421" s="457"/>
      <c r="ZJ421" s="457"/>
      <c r="ZK421" s="457"/>
      <c r="ZL421" s="457"/>
      <c r="ZM421" s="457"/>
      <c r="ZN421" s="457"/>
      <c r="ZO421" s="457"/>
      <c r="ZP421" s="457"/>
      <c r="ZQ421" s="457"/>
      <c r="ZR421" s="457"/>
      <c r="ZS421" s="457"/>
      <c r="ZT421" s="457"/>
      <c r="ZU421" s="457"/>
      <c r="ZV421" s="457"/>
      <c r="ZW421" s="457"/>
      <c r="ZX421" s="457"/>
      <c r="ZY421" s="457"/>
      <c r="ZZ421" s="457"/>
      <c r="AAA421" s="457"/>
      <c r="AAB421" s="457"/>
      <c r="AAC421" s="457"/>
      <c r="AAD421" s="457"/>
      <c r="AAE421" s="457"/>
      <c r="AAF421" s="457"/>
      <c r="AAG421" s="457"/>
      <c r="AAH421" s="457"/>
      <c r="AAI421" s="457"/>
      <c r="AAJ421" s="457"/>
      <c r="AAK421" s="457"/>
      <c r="AAL421" s="457"/>
      <c r="AAM421" s="457"/>
      <c r="AAN421" s="457"/>
      <c r="AAO421" s="457"/>
      <c r="AAP421" s="457"/>
      <c r="AAQ421" s="457"/>
      <c r="AAR421" s="457"/>
      <c r="AAS421" s="457"/>
      <c r="AAT421" s="457"/>
      <c r="AAU421" s="457"/>
      <c r="AAV421" s="457"/>
      <c r="AAW421" s="457"/>
      <c r="AAX421" s="457"/>
      <c r="AAY421" s="457"/>
      <c r="AAZ421" s="457"/>
      <c r="ABA421" s="457"/>
      <c r="ABB421" s="457"/>
      <c r="ABC421" s="457"/>
      <c r="ABD421" s="457"/>
      <c r="ABE421" s="457"/>
      <c r="ABF421" s="457"/>
      <c r="ABG421" s="457"/>
      <c r="ABH421" s="457"/>
      <c r="ABI421" s="457"/>
      <c r="ABJ421" s="457"/>
      <c r="ABK421" s="457"/>
      <c r="ABL421" s="457"/>
      <c r="ABM421" s="457"/>
      <c r="ABN421" s="457"/>
      <c r="ABO421" s="457"/>
      <c r="ABP421" s="457"/>
      <c r="ABQ421" s="457"/>
      <c r="ABR421" s="457"/>
      <c r="ABS421" s="457"/>
      <c r="ABT421" s="457"/>
      <c r="ABU421" s="457"/>
      <c r="ABV421" s="457"/>
      <c r="ABW421" s="457"/>
      <c r="ABX421" s="457"/>
      <c r="ABY421" s="457"/>
      <c r="ABZ421" s="457"/>
      <c r="ACA421" s="457"/>
      <c r="ACB421" s="457"/>
      <c r="ACC421" s="457"/>
      <c r="ACD421" s="457"/>
      <c r="ACE421" s="457"/>
      <c r="ACF421" s="457"/>
      <c r="ACG421" s="457"/>
      <c r="ACH421" s="457"/>
      <c r="ACI421" s="457"/>
      <c r="ACJ421" s="457"/>
      <c r="ACK421" s="457"/>
      <c r="ACL421" s="457"/>
      <c r="ACM421" s="457"/>
      <c r="ACN421" s="457"/>
      <c r="ACO421" s="457"/>
      <c r="ACP421" s="457"/>
      <c r="ACQ421" s="457"/>
      <c r="ACR421" s="457"/>
      <c r="ACS421" s="457"/>
      <c r="ACT421" s="457"/>
      <c r="ACU421" s="457"/>
      <c r="ACV421" s="457"/>
    </row>
    <row r="422" spans="1:776" s="400" customFormat="1" x14ac:dyDescent="0.25">
      <c r="A422" s="470">
        <v>900135</v>
      </c>
      <c r="B422" s="237" t="s">
        <v>316</v>
      </c>
      <c r="C422" s="455"/>
      <c r="D422" s="454" t="s">
        <v>317</v>
      </c>
      <c r="E422" s="454">
        <v>0.89200000000000002</v>
      </c>
      <c r="F422" s="456">
        <v>14.7</v>
      </c>
      <c r="G422" s="454">
        <v>0.01</v>
      </c>
      <c r="H422" s="454">
        <v>0.11</v>
      </c>
      <c r="I422" s="456">
        <v>51.1</v>
      </c>
      <c r="J422" s="454">
        <v>96.12</v>
      </c>
      <c r="K422" s="454">
        <v>3.0599999999999999E-2</v>
      </c>
      <c r="L422" s="456">
        <v>376.8</v>
      </c>
      <c r="M422" s="454">
        <v>0.01</v>
      </c>
      <c r="N422" s="454">
        <v>2.72</v>
      </c>
      <c r="O422" s="454">
        <v>36.9</v>
      </c>
      <c r="P422" s="454">
        <v>72.459999999999994</v>
      </c>
      <c r="Q422" s="454">
        <v>59.8</v>
      </c>
      <c r="R422" s="454">
        <v>0.04</v>
      </c>
      <c r="S422" s="454">
        <v>0.01</v>
      </c>
      <c r="T422" s="454">
        <v>0.01</v>
      </c>
      <c r="U422" s="454">
        <v>0.01</v>
      </c>
      <c r="V422" s="454"/>
      <c r="W422" s="457"/>
      <c r="X422" s="457"/>
      <c r="Y422" s="457"/>
      <c r="Z422" s="457"/>
      <c r="AA422" s="457"/>
      <c r="AB422" s="457"/>
      <c r="AC422" s="457"/>
      <c r="AD422" s="457"/>
      <c r="AE422" s="457"/>
      <c r="AF422" s="457"/>
      <c r="AG422" s="457"/>
      <c r="AH422" s="457"/>
      <c r="AI422" s="457"/>
      <c r="AJ422" s="457"/>
      <c r="AK422" s="457"/>
      <c r="AL422" s="457"/>
      <c r="AM422" s="457"/>
      <c r="AN422" s="457"/>
      <c r="AO422" s="457"/>
      <c r="AP422" s="457"/>
      <c r="AQ422" s="457"/>
      <c r="AR422" s="457"/>
      <c r="AS422" s="457"/>
      <c r="AT422" s="457"/>
      <c r="AU422" s="457"/>
      <c r="AV422" s="457"/>
      <c r="AW422" s="457"/>
      <c r="AX422" s="457"/>
      <c r="AY422" s="457"/>
      <c r="AZ422" s="457"/>
      <c r="BA422" s="457"/>
      <c r="BB422" s="457"/>
      <c r="BC422" s="457"/>
      <c r="BD422" s="457"/>
      <c r="BE422" s="457"/>
      <c r="BF422" s="457"/>
      <c r="BG422" s="457"/>
      <c r="BH422" s="457"/>
      <c r="BI422" s="457"/>
      <c r="BJ422" s="457"/>
      <c r="BK422" s="457"/>
      <c r="BL422" s="457"/>
      <c r="BM422" s="457"/>
      <c r="BN422" s="457"/>
      <c r="BO422" s="457"/>
      <c r="BP422" s="457"/>
      <c r="BQ422" s="457"/>
      <c r="BR422" s="457"/>
      <c r="BS422" s="457"/>
      <c r="BT422" s="457"/>
      <c r="BU422" s="457"/>
      <c r="BV422" s="457"/>
      <c r="BW422" s="457"/>
      <c r="BX422" s="457"/>
      <c r="BY422" s="457"/>
      <c r="BZ422" s="457"/>
      <c r="CA422" s="457"/>
      <c r="CB422" s="457"/>
      <c r="CC422" s="457"/>
      <c r="CD422" s="457"/>
      <c r="CE422" s="457"/>
      <c r="CF422" s="457"/>
      <c r="CG422" s="457"/>
      <c r="CH422" s="457"/>
      <c r="CI422" s="457"/>
      <c r="CJ422" s="457"/>
      <c r="CK422" s="457"/>
      <c r="CL422" s="457"/>
      <c r="CM422" s="457"/>
      <c r="CN422" s="457"/>
      <c r="CO422" s="457"/>
      <c r="CP422" s="457"/>
      <c r="CQ422" s="457"/>
      <c r="CR422" s="457"/>
      <c r="CS422" s="457"/>
      <c r="CT422" s="457"/>
      <c r="CU422" s="457"/>
      <c r="CV422" s="457"/>
      <c r="CW422" s="457"/>
      <c r="CX422" s="457"/>
      <c r="CY422" s="457"/>
      <c r="CZ422" s="457"/>
      <c r="DA422" s="457"/>
      <c r="DB422" s="457"/>
      <c r="DC422" s="457"/>
      <c r="DD422" s="457"/>
      <c r="DE422" s="457"/>
      <c r="DF422" s="457"/>
      <c r="DG422" s="457"/>
      <c r="DH422" s="457"/>
      <c r="DI422" s="457"/>
      <c r="DJ422" s="457"/>
      <c r="DK422" s="457"/>
      <c r="DL422" s="457"/>
      <c r="DM422" s="457"/>
      <c r="DN422" s="457"/>
      <c r="DO422" s="457"/>
      <c r="DP422" s="457"/>
      <c r="DQ422" s="457"/>
      <c r="DR422" s="457"/>
      <c r="DS422" s="457"/>
      <c r="DT422" s="457"/>
      <c r="DU422" s="457"/>
      <c r="DV422" s="457"/>
      <c r="DW422" s="457"/>
      <c r="DX422" s="457"/>
      <c r="DY422" s="457"/>
      <c r="DZ422" s="457"/>
      <c r="EA422" s="457"/>
      <c r="EB422" s="457"/>
      <c r="EC422" s="457"/>
      <c r="ED422" s="457"/>
      <c r="EE422" s="457"/>
      <c r="EF422" s="457"/>
      <c r="EG422" s="457"/>
      <c r="EH422" s="457"/>
      <c r="EI422" s="457"/>
      <c r="EJ422" s="457"/>
      <c r="EK422" s="457"/>
      <c r="EL422" s="457"/>
      <c r="EM422" s="457"/>
      <c r="EN422" s="457"/>
      <c r="EO422" s="457"/>
      <c r="EP422" s="457"/>
      <c r="EQ422" s="457"/>
      <c r="ER422" s="457"/>
      <c r="ES422" s="457"/>
      <c r="ET422" s="457"/>
      <c r="EU422" s="457"/>
      <c r="EV422" s="457"/>
      <c r="EW422" s="457"/>
      <c r="EX422" s="457"/>
      <c r="EY422" s="457"/>
      <c r="EZ422" s="457"/>
      <c r="FA422" s="457"/>
      <c r="FB422" s="457"/>
      <c r="FC422" s="457"/>
      <c r="FD422" s="457"/>
      <c r="FE422" s="457"/>
      <c r="FF422" s="457"/>
      <c r="FG422" s="457"/>
      <c r="FH422" s="457"/>
      <c r="FI422" s="457"/>
      <c r="FJ422" s="457"/>
      <c r="FK422" s="457"/>
      <c r="FL422" s="457"/>
      <c r="FM422" s="457"/>
      <c r="FN422" s="457"/>
      <c r="FO422" s="457"/>
      <c r="FP422" s="457"/>
      <c r="FQ422" s="457"/>
      <c r="FR422" s="457"/>
      <c r="FS422" s="457"/>
      <c r="FT422" s="457"/>
      <c r="FU422" s="457"/>
      <c r="FV422" s="457"/>
      <c r="FW422" s="457"/>
      <c r="FX422" s="457"/>
      <c r="FY422" s="457"/>
      <c r="FZ422" s="457"/>
      <c r="GA422" s="457"/>
      <c r="GB422" s="457"/>
      <c r="GC422" s="457"/>
      <c r="GD422" s="457"/>
      <c r="GE422" s="457"/>
      <c r="GF422" s="457"/>
      <c r="GG422" s="457"/>
      <c r="GH422" s="457"/>
      <c r="GI422" s="457"/>
      <c r="GJ422" s="457"/>
      <c r="GK422" s="457"/>
      <c r="GL422" s="457"/>
      <c r="GM422" s="457"/>
      <c r="GN422" s="457"/>
      <c r="GO422" s="457"/>
      <c r="GP422" s="457"/>
      <c r="GQ422" s="457"/>
      <c r="GR422" s="457"/>
      <c r="GS422" s="457"/>
      <c r="GT422" s="457"/>
      <c r="GU422" s="457"/>
      <c r="GV422" s="457"/>
      <c r="GW422" s="457"/>
      <c r="GX422" s="457"/>
      <c r="GY422" s="457"/>
      <c r="GZ422" s="457"/>
      <c r="HA422" s="457"/>
      <c r="HB422" s="457"/>
      <c r="HC422" s="457"/>
      <c r="HD422" s="457"/>
      <c r="HE422" s="457"/>
      <c r="HF422" s="457"/>
      <c r="HG422" s="457"/>
      <c r="HH422" s="457"/>
      <c r="HI422" s="457"/>
      <c r="HJ422" s="457"/>
      <c r="HK422" s="457"/>
      <c r="HL422" s="457"/>
      <c r="HM422" s="457"/>
      <c r="HN422" s="457"/>
      <c r="HO422" s="457"/>
      <c r="HP422" s="457"/>
      <c r="HQ422" s="457"/>
      <c r="HR422" s="457"/>
      <c r="HS422" s="457"/>
      <c r="HT422" s="457"/>
      <c r="HU422" s="457"/>
      <c r="HV422" s="457"/>
      <c r="HW422" s="457"/>
      <c r="HX422" s="457"/>
      <c r="HY422" s="457"/>
      <c r="HZ422" s="457"/>
      <c r="IA422" s="457"/>
      <c r="IB422" s="457"/>
      <c r="IC422" s="457"/>
      <c r="ID422" s="457"/>
      <c r="IE422" s="457"/>
      <c r="IF422" s="457"/>
      <c r="IG422" s="457"/>
      <c r="IH422" s="457"/>
      <c r="II422" s="457"/>
      <c r="IJ422" s="457"/>
      <c r="IK422" s="457"/>
      <c r="IL422" s="457"/>
      <c r="IM422" s="457"/>
      <c r="IN422" s="457"/>
      <c r="IO422" s="457"/>
      <c r="IP422" s="457"/>
      <c r="IQ422" s="457"/>
      <c r="IR422" s="457"/>
      <c r="IS422" s="457"/>
      <c r="IT422" s="457"/>
      <c r="IU422" s="457"/>
      <c r="IV422" s="457"/>
      <c r="IW422" s="457"/>
      <c r="IX422" s="457"/>
      <c r="IY422" s="457"/>
      <c r="IZ422" s="457"/>
      <c r="JA422" s="457"/>
      <c r="JB422" s="457"/>
      <c r="JC422" s="457"/>
      <c r="JD422" s="457"/>
      <c r="JE422" s="457"/>
      <c r="JF422" s="457"/>
      <c r="JG422" s="457"/>
      <c r="JH422" s="457"/>
      <c r="JI422" s="457"/>
      <c r="JJ422" s="457"/>
      <c r="JK422" s="457"/>
      <c r="JL422" s="457"/>
      <c r="JM422" s="457"/>
      <c r="JN422" s="457"/>
      <c r="JO422" s="457"/>
      <c r="JP422" s="457"/>
      <c r="JQ422" s="457"/>
      <c r="JR422" s="457"/>
      <c r="JS422" s="457"/>
      <c r="JT422" s="457"/>
      <c r="JU422" s="457"/>
      <c r="JV422" s="457"/>
      <c r="JW422" s="457"/>
      <c r="JX422" s="457"/>
      <c r="JY422" s="457"/>
      <c r="JZ422" s="457"/>
      <c r="KA422" s="457"/>
      <c r="KB422" s="457"/>
      <c r="KC422" s="457"/>
      <c r="KD422" s="457"/>
      <c r="KE422" s="457"/>
      <c r="KF422" s="457"/>
      <c r="KG422" s="457"/>
      <c r="KH422" s="457"/>
      <c r="KI422" s="457"/>
      <c r="KJ422" s="457"/>
      <c r="KK422" s="457"/>
      <c r="KL422" s="457"/>
      <c r="KM422" s="457"/>
      <c r="KN422" s="457"/>
      <c r="KO422" s="457"/>
      <c r="KP422" s="457"/>
      <c r="KQ422" s="457"/>
      <c r="KR422" s="457"/>
      <c r="KS422" s="457"/>
      <c r="KT422" s="457"/>
      <c r="KU422" s="457"/>
      <c r="KV422" s="457"/>
      <c r="KW422" s="457"/>
      <c r="KX422" s="457"/>
      <c r="KY422" s="457"/>
      <c r="KZ422" s="457"/>
      <c r="LA422" s="457"/>
      <c r="LB422" s="457"/>
      <c r="LC422" s="457"/>
      <c r="LD422" s="457"/>
      <c r="LE422" s="457"/>
      <c r="LF422" s="457"/>
      <c r="LG422" s="457"/>
      <c r="LH422" s="457"/>
      <c r="LI422" s="457"/>
      <c r="LJ422" s="457"/>
      <c r="LK422" s="457"/>
      <c r="LL422" s="457"/>
      <c r="LM422" s="457"/>
      <c r="LN422" s="457"/>
      <c r="LO422" s="457"/>
      <c r="LP422" s="457"/>
      <c r="LQ422" s="457"/>
      <c r="LR422" s="457"/>
      <c r="LS422" s="457"/>
      <c r="LT422" s="457"/>
      <c r="LU422" s="457"/>
      <c r="LV422" s="457"/>
      <c r="LW422" s="457"/>
      <c r="LX422" s="457"/>
      <c r="LY422" s="457"/>
      <c r="LZ422" s="457"/>
      <c r="MA422" s="457"/>
      <c r="MB422" s="457"/>
      <c r="MC422" s="457"/>
      <c r="MD422" s="457"/>
      <c r="ME422" s="457"/>
      <c r="MF422" s="457"/>
      <c r="MG422" s="457"/>
      <c r="MH422" s="457"/>
      <c r="MI422" s="457"/>
      <c r="MJ422" s="457"/>
      <c r="MK422" s="457"/>
      <c r="ML422" s="457"/>
      <c r="MM422" s="457"/>
      <c r="MN422" s="457"/>
      <c r="MO422" s="457"/>
      <c r="MP422" s="457"/>
      <c r="MQ422" s="457"/>
      <c r="MR422" s="457"/>
      <c r="MS422" s="457"/>
      <c r="MT422" s="457"/>
      <c r="MU422" s="457"/>
      <c r="MV422" s="457"/>
      <c r="MW422" s="457"/>
      <c r="MX422" s="457"/>
      <c r="MY422" s="457"/>
      <c r="MZ422" s="457"/>
      <c r="NA422" s="457"/>
      <c r="NB422" s="457"/>
      <c r="NC422" s="457"/>
      <c r="ND422" s="457"/>
      <c r="NE422" s="457"/>
      <c r="NF422" s="457"/>
      <c r="NG422" s="457"/>
      <c r="NH422" s="457"/>
      <c r="NI422" s="457"/>
      <c r="NJ422" s="457"/>
      <c r="NK422" s="457"/>
      <c r="NL422" s="457"/>
      <c r="NM422" s="457"/>
      <c r="NN422" s="457"/>
      <c r="NO422" s="457"/>
      <c r="NP422" s="457"/>
      <c r="NQ422" s="457"/>
      <c r="NR422" s="457"/>
      <c r="NS422" s="457"/>
      <c r="NT422" s="457"/>
      <c r="NU422" s="457"/>
      <c r="NV422" s="457"/>
      <c r="NW422" s="457"/>
      <c r="NX422" s="457"/>
      <c r="NY422" s="457"/>
      <c r="NZ422" s="457"/>
      <c r="OA422" s="457"/>
      <c r="OB422" s="457"/>
      <c r="OC422" s="457"/>
      <c r="OD422" s="457"/>
      <c r="OE422" s="457"/>
      <c r="OF422" s="457"/>
      <c r="OG422" s="457"/>
      <c r="OH422" s="457"/>
      <c r="OI422" s="457"/>
      <c r="OJ422" s="457"/>
      <c r="OK422" s="457"/>
      <c r="OL422" s="457"/>
      <c r="OM422" s="457"/>
      <c r="ON422" s="457"/>
      <c r="OO422" s="457"/>
      <c r="OP422" s="457"/>
      <c r="OQ422" s="457"/>
      <c r="OR422" s="457"/>
      <c r="OS422" s="457"/>
      <c r="OT422" s="457"/>
      <c r="OU422" s="457"/>
      <c r="OV422" s="457"/>
      <c r="OW422" s="457"/>
      <c r="OX422" s="457"/>
      <c r="OY422" s="457"/>
      <c r="OZ422" s="457"/>
      <c r="PA422" s="457"/>
      <c r="PB422" s="457"/>
      <c r="PC422" s="457"/>
      <c r="PD422" s="457"/>
      <c r="PE422" s="457"/>
      <c r="PF422" s="457"/>
      <c r="PG422" s="457"/>
      <c r="PH422" s="457"/>
      <c r="PI422" s="457"/>
      <c r="PJ422" s="457"/>
      <c r="PK422" s="457"/>
      <c r="PL422" s="457"/>
      <c r="PM422" s="457"/>
      <c r="PN422" s="457"/>
      <c r="PO422" s="457"/>
      <c r="PP422" s="457"/>
      <c r="PQ422" s="457"/>
      <c r="PR422" s="457"/>
      <c r="PS422" s="457"/>
      <c r="PT422" s="457"/>
      <c r="PU422" s="457"/>
      <c r="PV422" s="457"/>
      <c r="PW422" s="457"/>
      <c r="PX422" s="457"/>
      <c r="PY422" s="457"/>
      <c r="PZ422" s="457"/>
      <c r="QA422" s="457"/>
      <c r="QB422" s="457"/>
      <c r="QC422" s="457"/>
      <c r="QD422" s="457"/>
      <c r="QE422" s="457"/>
      <c r="QF422" s="457"/>
      <c r="QG422" s="457"/>
      <c r="QH422" s="457"/>
      <c r="QI422" s="457"/>
      <c r="QJ422" s="457"/>
      <c r="QK422" s="457"/>
      <c r="QL422" s="457"/>
      <c r="QM422" s="457"/>
      <c r="QN422" s="457"/>
      <c r="QO422" s="457"/>
      <c r="QP422" s="457"/>
      <c r="QQ422" s="457"/>
      <c r="QR422" s="457"/>
      <c r="QS422" s="457"/>
      <c r="QT422" s="457"/>
      <c r="QU422" s="457"/>
      <c r="QV422" s="457"/>
      <c r="QW422" s="457"/>
      <c r="QX422" s="457"/>
      <c r="QY422" s="457"/>
      <c r="QZ422" s="457"/>
      <c r="RA422" s="457"/>
      <c r="RB422" s="457"/>
      <c r="RC422" s="457"/>
      <c r="RD422" s="457"/>
      <c r="RE422" s="457"/>
      <c r="RF422" s="457"/>
      <c r="RG422" s="457"/>
      <c r="RH422" s="457"/>
      <c r="RI422" s="457"/>
      <c r="RJ422" s="457"/>
      <c r="RK422" s="457"/>
      <c r="RL422" s="457"/>
      <c r="RM422" s="457"/>
      <c r="RN422" s="457"/>
      <c r="RO422" s="457"/>
      <c r="RP422" s="457"/>
      <c r="RQ422" s="457"/>
      <c r="RR422" s="457"/>
      <c r="RS422" s="457"/>
      <c r="RT422" s="457"/>
      <c r="RU422" s="457"/>
      <c r="RV422" s="457"/>
      <c r="RW422" s="457"/>
      <c r="RX422" s="457"/>
      <c r="RY422" s="457"/>
      <c r="RZ422" s="457"/>
      <c r="SA422" s="457"/>
      <c r="SB422" s="457"/>
      <c r="SC422" s="457"/>
      <c r="SD422" s="457"/>
      <c r="SE422" s="457"/>
      <c r="SF422" s="457"/>
      <c r="SG422" s="457"/>
      <c r="SH422" s="457"/>
      <c r="SI422" s="457"/>
      <c r="SJ422" s="457"/>
      <c r="SK422" s="457"/>
      <c r="SL422" s="457"/>
      <c r="SM422" s="457"/>
      <c r="SN422" s="457"/>
      <c r="SO422" s="457"/>
      <c r="SP422" s="457"/>
      <c r="SQ422" s="457"/>
      <c r="SR422" s="457"/>
      <c r="SS422" s="457"/>
      <c r="ST422" s="457"/>
      <c r="SU422" s="457"/>
      <c r="SV422" s="457"/>
      <c r="SW422" s="457"/>
      <c r="SX422" s="457"/>
      <c r="SY422" s="457"/>
      <c r="SZ422" s="457"/>
      <c r="TA422" s="457"/>
      <c r="TB422" s="457"/>
      <c r="TC422" s="457"/>
      <c r="TD422" s="457"/>
      <c r="TE422" s="457"/>
      <c r="TF422" s="457"/>
      <c r="TG422" s="457"/>
      <c r="TH422" s="457"/>
      <c r="TI422" s="457"/>
      <c r="TJ422" s="457"/>
      <c r="TK422" s="457"/>
      <c r="TL422" s="457"/>
      <c r="TM422" s="457"/>
      <c r="TN422" s="457"/>
      <c r="TO422" s="457"/>
      <c r="TP422" s="457"/>
      <c r="TQ422" s="457"/>
      <c r="TR422" s="457"/>
      <c r="TS422" s="457"/>
      <c r="TT422" s="457"/>
      <c r="TU422" s="457"/>
      <c r="TV422" s="457"/>
      <c r="TW422" s="457"/>
      <c r="TX422" s="457"/>
      <c r="TY422" s="457"/>
      <c r="TZ422" s="457"/>
      <c r="UA422" s="457"/>
      <c r="UB422" s="457"/>
      <c r="UC422" s="457"/>
      <c r="UD422" s="457"/>
      <c r="UE422" s="457"/>
      <c r="UF422" s="457"/>
      <c r="UG422" s="457"/>
      <c r="UH422" s="457"/>
      <c r="UI422" s="457"/>
      <c r="UJ422" s="457"/>
      <c r="UK422" s="457"/>
      <c r="UL422" s="457"/>
      <c r="UM422" s="457"/>
      <c r="UN422" s="457"/>
      <c r="UO422" s="457"/>
      <c r="UP422" s="457"/>
      <c r="UQ422" s="457"/>
      <c r="UR422" s="457"/>
      <c r="US422" s="457"/>
      <c r="UT422" s="457"/>
      <c r="UU422" s="457"/>
      <c r="UV422" s="457"/>
      <c r="UW422" s="457"/>
      <c r="UX422" s="457"/>
      <c r="UY422" s="457"/>
      <c r="UZ422" s="457"/>
      <c r="VA422" s="457"/>
      <c r="VB422" s="457"/>
      <c r="VC422" s="457"/>
      <c r="VD422" s="457"/>
      <c r="VE422" s="457"/>
      <c r="VF422" s="457"/>
      <c r="VG422" s="457"/>
      <c r="VH422" s="457"/>
      <c r="VI422" s="457"/>
      <c r="VJ422" s="457"/>
      <c r="VK422" s="457"/>
      <c r="VL422" s="457"/>
      <c r="VM422" s="457"/>
      <c r="VN422" s="457"/>
      <c r="VO422" s="457"/>
      <c r="VP422" s="457"/>
      <c r="VQ422" s="457"/>
      <c r="VR422" s="457"/>
      <c r="VS422" s="457"/>
      <c r="VT422" s="457"/>
      <c r="VU422" s="457"/>
      <c r="VV422" s="457"/>
      <c r="VW422" s="457"/>
      <c r="VX422" s="457"/>
      <c r="VY422" s="457"/>
      <c r="VZ422" s="457"/>
      <c r="WA422" s="457"/>
      <c r="WB422" s="457"/>
      <c r="WC422" s="457"/>
      <c r="WD422" s="457"/>
      <c r="WE422" s="457"/>
      <c r="WF422" s="457"/>
      <c r="WG422" s="457"/>
      <c r="WH422" s="457"/>
      <c r="WI422" s="457"/>
      <c r="WJ422" s="457"/>
      <c r="WK422" s="457"/>
      <c r="WL422" s="457"/>
      <c r="WM422" s="457"/>
      <c r="WN422" s="457"/>
      <c r="WO422" s="457"/>
      <c r="WP422" s="457"/>
      <c r="WQ422" s="457"/>
      <c r="WR422" s="457"/>
      <c r="WS422" s="457"/>
      <c r="WT422" s="457"/>
      <c r="WU422" s="457"/>
      <c r="WV422" s="457"/>
      <c r="WW422" s="457"/>
      <c r="WX422" s="457"/>
      <c r="WY422" s="457"/>
      <c r="WZ422" s="457"/>
      <c r="XA422" s="457"/>
      <c r="XB422" s="457"/>
      <c r="XC422" s="457"/>
      <c r="XD422" s="457"/>
      <c r="XE422" s="457"/>
      <c r="XF422" s="457"/>
      <c r="XG422" s="457"/>
      <c r="XH422" s="457"/>
      <c r="XI422" s="457"/>
      <c r="XJ422" s="457"/>
      <c r="XK422" s="457"/>
      <c r="XL422" s="457"/>
      <c r="XM422" s="457"/>
      <c r="XN422" s="457"/>
      <c r="XO422" s="457"/>
      <c r="XP422" s="457"/>
      <c r="XQ422" s="457"/>
      <c r="XR422" s="457"/>
      <c r="XS422" s="457"/>
      <c r="XT422" s="457"/>
      <c r="XU422" s="457"/>
      <c r="XV422" s="457"/>
      <c r="XW422" s="457"/>
      <c r="XX422" s="457"/>
      <c r="XY422" s="457"/>
      <c r="XZ422" s="457"/>
      <c r="YA422" s="457"/>
      <c r="YB422" s="457"/>
      <c r="YC422" s="457"/>
      <c r="YD422" s="457"/>
      <c r="YE422" s="457"/>
      <c r="YF422" s="457"/>
      <c r="YG422" s="457"/>
      <c r="YH422" s="457"/>
      <c r="YI422" s="457"/>
      <c r="YJ422" s="457"/>
      <c r="YK422" s="457"/>
      <c r="YL422" s="457"/>
      <c r="YM422" s="457"/>
      <c r="YN422" s="457"/>
      <c r="YO422" s="457"/>
      <c r="YP422" s="457"/>
      <c r="YQ422" s="457"/>
      <c r="YR422" s="457"/>
      <c r="YS422" s="457"/>
      <c r="YT422" s="457"/>
      <c r="YU422" s="457"/>
      <c r="YV422" s="457"/>
      <c r="YW422" s="457"/>
      <c r="YX422" s="457"/>
      <c r="YY422" s="457"/>
      <c r="YZ422" s="457"/>
      <c r="ZA422" s="457"/>
      <c r="ZB422" s="457"/>
      <c r="ZC422" s="457"/>
      <c r="ZD422" s="457"/>
      <c r="ZE422" s="457"/>
      <c r="ZF422" s="457"/>
      <c r="ZG422" s="457"/>
      <c r="ZH422" s="457"/>
      <c r="ZI422" s="457"/>
      <c r="ZJ422" s="457"/>
      <c r="ZK422" s="457"/>
      <c r="ZL422" s="457"/>
      <c r="ZM422" s="457"/>
      <c r="ZN422" s="457"/>
      <c r="ZO422" s="457"/>
      <c r="ZP422" s="457"/>
      <c r="ZQ422" s="457"/>
      <c r="ZR422" s="457"/>
      <c r="ZS422" s="457"/>
      <c r="ZT422" s="457"/>
      <c r="ZU422" s="457"/>
      <c r="ZV422" s="457"/>
      <c r="ZW422" s="457"/>
      <c r="ZX422" s="457"/>
      <c r="ZY422" s="457"/>
      <c r="ZZ422" s="457"/>
      <c r="AAA422" s="457"/>
      <c r="AAB422" s="457"/>
      <c r="AAC422" s="457"/>
      <c r="AAD422" s="457"/>
      <c r="AAE422" s="457"/>
      <c r="AAF422" s="457"/>
      <c r="AAG422" s="457"/>
      <c r="AAH422" s="457"/>
      <c r="AAI422" s="457"/>
      <c r="AAJ422" s="457"/>
      <c r="AAK422" s="457"/>
      <c r="AAL422" s="457"/>
      <c r="AAM422" s="457"/>
      <c r="AAN422" s="457"/>
      <c r="AAO422" s="457"/>
      <c r="AAP422" s="457"/>
      <c r="AAQ422" s="457"/>
      <c r="AAR422" s="457"/>
      <c r="AAS422" s="457"/>
      <c r="AAT422" s="457"/>
      <c r="AAU422" s="457"/>
      <c r="AAV422" s="457"/>
      <c r="AAW422" s="457"/>
      <c r="AAX422" s="457"/>
      <c r="AAY422" s="457"/>
      <c r="AAZ422" s="457"/>
      <c r="ABA422" s="457"/>
      <c r="ABB422" s="457"/>
      <c r="ABC422" s="457"/>
      <c r="ABD422" s="457"/>
      <c r="ABE422" s="457"/>
      <c r="ABF422" s="457"/>
      <c r="ABG422" s="457"/>
      <c r="ABH422" s="457"/>
      <c r="ABI422" s="457"/>
      <c r="ABJ422" s="457"/>
      <c r="ABK422" s="457"/>
      <c r="ABL422" s="457"/>
      <c r="ABM422" s="457"/>
      <c r="ABN422" s="457"/>
      <c r="ABO422" s="457"/>
      <c r="ABP422" s="457"/>
      <c r="ABQ422" s="457"/>
      <c r="ABR422" s="457"/>
      <c r="ABS422" s="457"/>
      <c r="ABT422" s="457"/>
      <c r="ABU422" s="457"/>
      <c r="ABV422" s="457"/>
      <c r="ABW422" s="457"/>
      <c r="ABX422" s="457"/>
      <c r="ABY422" s="457"/>
      <c r="ABZ422" s="457"/>
      <c r="ACA422" s="457"/>
      <c r="ACB422" s="457"/>
      <c r="ACC422" s="457"/>
      <c r="ACD422" s="457"/>
      <c r="ACE422" s="457"/>
      <c r="ACF422" s="457"/>
      <c r="ACG422" s="457"/>
      <c r="ACH422" s="457"/>
      <c r="ACI422" s="457"/>
      <c r="ACJ422" s="457"/>
      <c r="ACK422" s="457"/>
      <c r="ACL422" s="457"/>
      <c r="ACM422" s="457"/>
      <c r="ACN422" s="457"/>
      <c r="ACO422" s="457"/>
      <c r="ACP422" s="457"/>
      <c r="ACQ422" s="457"/>
      <c r="ACR422" s="457"/>
      <c r="ACS422" s="457"/>
      <c r="ACT422" s="457"/>
      <c r="ACU422" s="457"/>
      <c r="ACV422" s="457"/>
    </row>
    <row r="423" spans="1:776" s="400" customFormat="1" x14ac:dyDescent="0.25">
      <c r="A423" s="470">
        <v>900136</v>
      </c>
      <c r="B423" s="237" t="s">
        <v>318</v>
      </c>
      <c r="C423" s="455"/>
      <c r="D423" s="454" t="s">
        <v>319</v>
      </c>
      <c r="E423" s="454">
        <v>0.48899999999999999</v>
      </c>
      <c r="F423" s="456">
        <v>0.81</v>
      </c>
      <c r="G423" s="454">
        <v>0.01</v>
      </c>
      <c r="H423" s="454">
        <v>0.08</v>
      </c>
      <c r="I423" s="456">
        <v>28.01</v>
      </c>
      <c r="J423" s="454">
        <v>37.74</v>
      </c>
      <c r="K423" s="454">
        <v>0.01</v>
      </c>
      <c r="L423" s="456">
        <v>223.2</v>
      </c>
      <c r="M423" s="454">
        <v>0.01</v>
      </c>
      <c r="N423" s="454">
        <v>3.82</v>
      </c>
      <c r="O423" s="454">
        <v>22.49</v>
      </c>
      <c r="P423" s="454">
        <v>46.01</v>
      </c>
      <c r="Q423" s="454">
        <v>25.27</v>
      </c>
      <c r="R423" s="454">
        <v>0.01</v>
      </c>
      <c r="S423" s="454">
        <v>0.01</v>
      </c>
      <c r="T423" s="454">
        <v>0.01</v>
      </c>
      <c r="U423" s="454">
        <v>0.01</v>
      </c>
      <c r="V423" s="454"/>
      <c r="W423" s="457"/>
      <c r="X423" s="457"/>
      <c r="Y423" s="457"/>
      <c r="Z423" s="457"/>
      <c r="AA423" s="457"/>
      <c r="AB423" s="457"/>
      <c r="AC423" s="457"/>
      <c r="AD423" s="457"/>
      <c r="AE423" s="457"/>
      <c r="AF423" s="457"/>
      <c r="AG423" s="457"/>
      <c r="AH423" s="457"/>
      <c r="AI423" s="457"/>
      <c r="AJ423" s="457"/>
      <c r="AK423" s="457"/>
      <c r="AL423" s="457"/>
      <c r="AM423" s="457"/>
      <c r="AN423" s="457"/>
      <c r="AO423" s="457"/>
      <c r="AP423" s="457"/>
      <c r="AQ423" s="457"/>
      <c r="AR423" s="457"/>
      <c r="AS423" s="457"/>
      <c r="AT423" s="457"/>
      <c r="AU423" s="457"/>
      <c r="AV423" s="457"/>
      <c r="AW423" s="457"/>
      <c r="AX423" s="457"/>
      <c r="AY423" s="457"/>
      <c r="AZ423" s="457"/>
      <c r="BA423" s="457"/>
      <c r="BB423" s="457"/>
      <c r="BC423" s="457"/>
      <c r="BD423" s="457"/>
      <c r="BE423" s="457"/>
      <c r="BF423" s="457"/>
      <c r="BG423" s="457"/>
      <c r="BH423" s="457"/>
      <c r="BI423" s="457"/>
      <c r="BJ423" s="457"/>
      <c r="BK423" s="457"/>
      <c r="BL423" s="457"/>
      <c r="BM423" s="457"/>
      <c r="BN423" s="457"/>
      <c r="BO423" s="457"/>
      <c r="BP423" s="457"/>
      <c r="BQ423" s="457"/>
      <c r="BR423" s="457"/>
      <c r="BS423" s="457"/>
      <c r="BT423" s="457"/>
      <c r="BU423" s="457"/>
      <c r="BV423" s="457"/>
      <c r="BW423" s="457"/>
      <c r="BX423" s="457"/>
      <c r="BY423" s="457"/>
      <c r="BZ423" s="457"/>
      <c r="CA423" s="457"/>
      <c r="CB423" s="457"/>
      <c r="CC423" s="457"/>
      <c r="CD423" s="457"/>
      <c r="CE423" s="457"/>
      <c r="CF423" s="457"/>
      <c r="CG423" s="457"/>
      <c r="CH423" s="457"/>
      <c r="CI423" s="457"/>
      <c r="CJ423" s="457"/>
      <c r="CK423" s="457"/>
      <c r="CL423" s="457"/>
      <c r="CM423" s="457"/>
      <c r="CN423" s="457"/>
      <c r="CO423" s="457"/>
      <c r="CP423" s="457"/>
      <c r="CQ423" s="457"/>
      <c r="CR423" s="457"/>
      <c r="CS423" s="457"/>
      <c r="CT423" s="457"/>
      <c r="CU423" s="457"/>
      <c r="CV423" s="457"/>
      <c r="CW423" s="457"/>
      <c r="CX423" s="457"/>
      <c r="CY423" s="457"/>
      <c r="CZ423" s="457"/>
      <c r="DA423" s="457"/>
      <c r="DB423" s="457"/>
      <c r="DC423" s="457"/>
      <c r="DD423" s="457"/>
      <c r="DE423" s="457"/>
      <c r="DF423" s="457"/>
      <c r="DG423" s="457"/>
      <c r="DH423" s="457"/>
      <c r="DI423" s="457"/>
      <c r="DJ423" s="457"/>
      <c r="DK423" s="457"/>
      <c r="DL423" s="457"/>
      <c r="DM423" s="457"/>
      <c r="DN423" s="457"/>
      <c r="DO423" s="457"/>
      <c r="DP423" s="457"/>
      <c r="DQ423" s="457"/>
      <c r="DR423" s="457"/>
      <c r="DS423" s="457"/>
      <c r="DT423" s="457"/>
      <c r="DU423" s="457"/>
      <c r="DV423" s="457"/>
      <c r="DW423" s="457"/>
      <c r="DX423" s="457"/>
      <c r="DY423" s="457"/>
      <c r="DZ423" s="457"/>
      <c r="EA423" s="457"/>
      <c r="EB423" s="457"/>
      <c r="EC423" s="457"/>
      <c r="ED423" s="457"/>
      <c r="EE423" s="457"/>
      <c r="EF423" s="457"/>
      <c r="EG423" s="457"/>
      <c r="EH423" s="457"/>
      <c r="EI423" s="457"/>
      <c r="EJ423" s="457"/>
      <c r="EK423" s="457"/>
      <c r="EL423" s="457"/>
      <c r="EM423" s="457"/>
      <c r="EN423" s="457"/>
      <c r="EO423" s="457"/>
      <c r="EP423" s="457"/>
      <c r="EQ423" s="457"/>
      <c r="ER423" s="457"/>
      <c r="ES423" s="457"/>
      <c r="ET423" s="457"/>
      <c r="EU423" s="457"/>
      <c r="EV423" s="457"/>
      <c r="EW423" s="457"/>
      <c r="EX423" s="457"/>
      <c r="EY423" s="457"/>
      <c r="EZ423" s="457"/>
      <c r="FA423" s="457"/>
      <c r="FB423" s="457"/>
      <c r="FC423" s="457"/>
      <c r="FD423" s="457"/>
      <c r="FE423" s="457"/>
      <c r="FF423" s="457"/>
      <c r="FG423" s="457"/>
      <c r="FH423" s="457"/>
      <c r="FI423" s="457"/>
      <c r="FJ423" s="457"/>
      <c r="FK423" s="457"/>
      <c r="FL423" s="457"/>
      <c r="FM423" s="457"/>
      <c r="FN423" s="457"/>
      <c r="FO423" s="457"/>
      <c r="FP423" s="457"/>
      <c r="FQ423" s="457"/>
      <c r="FR423" s="457"/>
      <c r="FS423" s="457"/>
      <c r="FT423" s="457"/>
      <c r="FU423" s="457"/>
      <c r="FV423" s="457"/>
      <c r="FW423" s="457"/>
      <c r="FX423" s="457"/>
      <c r="FY423" s="457"/>
      <c r="FZ423" s="457"/>
      <c r="GA423" s="457"/>
      <c r="GB423" s="457"/>
      <c r="GC423" s="457"/>
      <c r="GD423" s="457"/>
      <c r="GE423" s="457"/>
      <c r="GF423" s="457"/>
      <c r="GG423" s="457"/>
      <c r="GH423" s="457"/>
      <c r="GI423" s="457"/>
      <c r="GJ423" s="457"/>
      <c r="GK423" s="457"/>
      <c r="GL423" s="457"/>
      <c r="GM423" s="457"/>
      <c r="GN423" s="457"/>
      <c r="GO423" s="457"/>
      <c r="GP423" s="457"/>
      <c r="GQ423" s="457"/>
      <c r="GR423" s="457"/>
      <c r="GS423" s="457"/>
      <c r="GT423" s="457"/>
      <c r="GU423" s="457"/>
      <c r="GV423" s="457"/>
      <c r="GW423" s="457"/>
      <c r="GX423" s="457"/>
      <c r="GY423" s="457"/>
      <c r="GZ423" s="457"/>
      <c r="HA423" s="457"/>
      <c r="HB423" s="457"/>
      <c r="HC423" s="457"/>
      <c r="HD423" s="457"/>
      <c r="HE423" s="457"/>
      <c r="HF423" s="457"/>
      <c r="HG423" s="457"/>
      <c r="HH423" s="457"/>
      <c r="HI423" s="457"/>
      <c r="HJ423" s="457"/>
      <c r="HK423" s="457"/>
      <c r="HL423" s="457"/>
      <c r="HM423" s="457"/>
      <c r="HN423" s="457"/>
      <c r="HO423" s="457"/>
      <c r="HP423" s="457"/>
      <c r="HQ423" s="457"/>
      <c r="HR423" s="457"/>
      <c r="HS423" s="457"/>
      <c r="HT423" s="457"/>
      <c r="HU423" s="457"/>
      <c r="HV423" s="457"/>
      <c r="HW423" s="457"/>
      <c r="HX423" s="457"/>
      <c r="HY423" s="457"/>
      <c r="HZ423" s="457"/>
      <c r="IA423" s="457"/>
      <c r="IB423" s="457"/>
      <c r="IC423" s="457"/>
      <c r="ID423" s="457"/>
      <c r="IE423" s="457"/>
      <c r="IF423" s="457"/>
      <c r="IG423" s="457"/>
      <c r="IH423" s="457"/>
      <c r="II423" s="457"/>
      <c r="IJ423" s="457"/>
      <c r="IK423" s="457"/>
      <c r="IL423" s="457"/>
      <c r="IM423" s="457"/>
      <c r="IN423" s="457"/>
      <c r="IO423" s="457"/>
      <c r="IP423" s="457"/>
      <c r="IQ423" s="457"/>
      <c r="IR423" s="457"/>
      <c r="IS423" s="457"/>
      <c r="IT423" s="457"/>
      <c r="IU423" s="457"/>
      <c r="IV423" s="457"/>
      <c r="IW423" s="457"/>
      <c r="IX423" s="457"/>
      <c r="IY423" s="457"/>
      <c r="IZ423" s="457"/>
      <c r="JA423" s="457"/>
      <c r="JB423" s="457"/>
      <c r="JC423" s="457"/>
      <c r="JD423" s="457"/>
      <c r="JE423" s="457"/>
      <c r="JF423" s="457"/>
      <c r="JG423" s="457"/>
      <c r="JH423" s="457"/>
      <c r="JI423" s="457"/>
      <c r="JJ423" s="457"/>
      <c r="JK423" s="457"/>
      <c r="JL423" s="457"/>
      <c r="JM423" s="457"/>
      <c r="JN423" s="457"/>
      <c r="JO423" s="457"/>
      <c r="JP423" s="457"/>
      <c r="JQ423" s="457"/>
      <c r="JR423" s="457"/>
      <c r="JS423" s="457"/>
      <c r="JT423" s="457"/>
      <c r="JU423" s="457"/>
      <c r="JV423" s="457"/>
      <c r="JW423" s="457"/>
      <c r="JX423" s="457"/>
      <c r="JY423" s="457"/>
      <c r="JZ423" s="457"/>
      <c r="KA423" s="457"/>
      <c r="KB423" s="457"/>
      <c r="KC423" s="457"/>
      <c r="KD423" s="457"/>
      <c r="KE423" s="457"/>
      <c r="KF423" s="457"/>
      <c r="KG423" s="457"/>
      <c r="KH423" s="457"/>
      <c r="KI423" s="457"/>
      <c r="KJ423" s="457"/>
      <c r="KK423" s="457"/>
      <c r="KL423" s="457"/>
      <c r="KM423" s="457"/>
      <c r="KN423" s="457"/>
      <c r="KO423" s="457"/>
      <c r="KP423" s="457"/>
      <c r="KQ423" s="457"/>
      <c r="KR423" s="457"/>
      <c r="KS423" s="457"/>
      <c r="KT423" s="457"/>
      <c r="KU423" s="457"/>
      <c r="KV423" s="457"/>
      <c r="KW423" s="457"/>
      <c r="KX423" s="457"/>
      <c r="KY423" s="457"/>
      <c r="KZ423" s="457"/>
      <c r="LA423" s="457"/>
      <c r="LB423" s="457"/>
      <c r="LC423" s="457"/>
      <c r="LD423" s="457"/>
      <c r="LE423" s="457"/>
      <c r="LF423" s="457"/>
      <c r="LG423" s="457"/>
      <c r="LH423" s="457"/>
      <c r="LI423" s="457"/>
      <c r="LJ423" s="457"/>
      <c r="LK423" s="457"/>
      <c r="LL423" s="457"/>
      <c r="LM423" s="457"/>
      <c r="LN423" s="457"/>
      <c r="LO423" s="457"/>
      <c r="LP423" s="457"/>
      <c r="LQ423" s="457"/>
      <c r="LR423" s="457"/>
      <c r="LS423" s="457"/>
      <c r="LT423" s="457"/>
      <c r="LU423" s="457"/>
      <c r="LV423" s="457"/>
      <c r="LW423" s="457"/>
      <c r="LX423" s="457"/>
      <c r="LY423" s="457"/>
      <c r="LZ423" s="457"/>
      <c r="MA423" s="457"/>
      <c r="MB423" s="457"/>
      <c r="MC423" s="457"/>
      <c r="MD423" s="457"/>
      <c r="ME423" s="457"/>
      <c r="MF423" s="457"/>
      <c r="MG423" s="457"/>
      <c r="MH423" s="457"/>
      <c r="MI423" s="457"/>
      <c r="MJ423" s="457"/>
      <c r="MK423" s="457"/>
      <c r="ML423" s="457"/>
      <c r="MM423" s="457"/>
      <c r="MN423" s="457"/>
      <c r="MO423" s="457"/>
      <c r="MP423" s="457"/>
      <c r="MQ423" s="457"/>
      <c r="MR423" s="457"/>
      <c r="MS423" s="457"/>
      <c r="MT423" s="457"/>
      <c r="MU423" s="457"/>
      <c r="MV423" s="457"/>
      <c r="MW423" s="457"/>
      <c r="MX423" s="457"/>
      <c r="MY423" s="457"/>
      <c r="MZ423" s="457"/>
      <c r="NA423" s="457"/>
      <c r="NB423" s="457"/>
      <c r="NC423" s="457"/>
      <c r="ND423" s="457"/>
      <c r="NE423" s="457"/>
      <c r="NF423" s="457"/>
      <c r="NG423" s="457"/>
      <c r="NH423" s="457"/>
      <c r="NI423" s="457"/>
      <c r="NJ423" s="457"/>
      <c r="NK423" s="457"/>
      <c r="NL423" s="457"/>
      <c r="NM423" s="457"/>
      <c r="NN423" s="457"/>
      <c r="NO423" s="457"/>
      <c r="NP423" s="457"/>
      <c r="NQ423" s="457"/>
      <c r="NR423" s="457"/>
      <c r="NS423" s="457"/>
      <c r="NT423" s="457"/>
      <c r="NU423" s="457"/>
      <c r="NV423" s="457"/>
      <c r="NW423" s="457"/>
      <c r="NX423" s="457"/>
      <c r="NY423" s="457"/>
      <c r="NZ423" s="457"/>
      <c r="OA423" s="457"/>
      <c r="OB423" s="457"/>
      <c r="OC423" s="457"/>
      <c r="OD423" s="457"/>
      <c r="OE423" s="457"/>
      <c r="OF423" s="457"/>
      <c r="OG423" s="457"/>
      <c r="OH423" s="457"/>
      <c r="OI423" s="457"/>
      <c r="OJ423" s="457"/>
      <c r="OK423" s="457"/>
      <c r="OL423" s="457"/>
      <c r="OM423" s="457"/>
      <c r="ON423" s="457"/>
      <c r="OO423" s="457"/>
      <c r="OP423" s="457"/>
      <c r="OQ423" s="457"/>
      <c r="OR423" s="457"/>
      <c r="OS423" s="457"/>
      <c r="OT423" s="457"/>
      <c r="OU423" s="457"/>
      <c r="OV423" s="457"/>
      <c r="OW423" s="457"/>
      <c r="OX423" s="457"/>
      <c r="OY423" s="457"/>
      <c r="OZ423" s="457"/>
      <c r="PA423" s="457"/>
      <c r="PB423" s="457"/>
      <c r="PC423" s="457"/>
      <c r="PD423" s="457"/>
      <c r="PE423" s="457"/>
      <c r="PF423" s="457"/>
      <c r="PG423" s="457"/>
      <c r="PH423" s="457"/>
      <c r="PI423" s="457"/>
      <c r="PJ423" s="457"/>
      <c r="PK423" s="457"/>
      <c r="PL423" s="457"/>
      <c r="PM423" s="457"/>
      <c r="PN423" s="457"/>
      <c r="PO423" s="457"/>
      <c r="PP423" s="457"/>
      <c r="PQ423" s="457"/>
      <c r="PR423" s="457"/>
      <c r="PS423" s="457"/>
      <c r="PT423" s="457"/>
      <c r="PU423" s="457"/>
      <c r="PV423" s="457"/>
      <c r="PW423" s="457"/>
      <c r="PX423" s="457"/>
      <c r="PY423" s="457"/>
      <c r="PZ423" s="457"/>
      <c r="QA423" s="457"/>
      <c r="QB423" s="457"/>
      <c r="QC423" s="457"/>
      <c r="QD423" s="457"/>
      <c r="QE423" s="457"/>
      <c r="QF423" s="457"/>
      <c r="QG423" s="457"/>
      <c r="QH423" s="457"/>
      <c r="QI423" s="457"/>
      <c r="QJ423" s="457"/>
      <c r="QK423" s="457"/>
      <c r="QL423" s="457"/>
      <c r="QM423" s="457"/>
      <c r="QN423" s="457"/>
      <c r="QO423" s="457"/>
      <c r="QP423" s="457"/>
      <c r="QQ423" s="457"/>
      <c r="QR423" s="457"/>
      <c r="QS423" s="457"/>
      <c r="QT423" s="457"/>
      <c r="QU423" s="457"/>
      <c r="QV423" s="457"/>
      <c r="QW423" s="457"/>
      <c r="QX423" s="457"/>
      <c r="QY423" s="457"/>
      <c r="QZ423" s="457"/>
      <c r="RA423" s="457"/>
      <c r="RB423" s="457"/>
      <c r="RC423" s="457"/>
      <c r="RD423" s="457"/>
      <c r="RE423" s="457"/>
      <c r="RF423" s="457"/>
      <c r="RG423" s="457"/>
      <c r="RH423" s="457"/>
      <c r="RI423" s="457"/>
      <c r="RJ423" s="457"/>
      <c r="RK423" s="457"/>
      <c r="RL423" s="457"/>
      <c r="RM423" s="457"/>
      <c r="RN423" s="457"/>
      <c r="RO423" s="457"/>
      <c r="RP423" s="457"/>
      <c r="RQ423" s="457"/>
      <c r="RR423" s="457"/>
      <c r="RS423" s="457"/>
      <c r="RT423" s="457"/>
      <c r="RU423" s="457"/>
      <c r="RV423" s="457"/>
      <c r="RW423" s="457"/>
      <c r="RX423" s="457"/>
      <c r="RY423" s="457"/>
      <c r="RZ423" s="457"/>
      <c r="SA423" s="457"/>
      <c r="SB423" s="457"/>
      <c r="SC423" s="457"/>
      <c r="SD423" s="457"/>
      <c r="SE423" s="457"/>
      <c r="SF423" s="457"/>
      <c r="SG423" s="457"/>
      <c r="SH423" s="457"/>
      <c r="SI423" s="457"/>
      <c r="SJ423" s="457"/>
      <c r="SK423" s="457"/>
      <c r="SL423" s="457"/>
      <c r="SM423" s="457"/>
      <c r="SN423" s="457"/>
      <c r="SO423" s="457"/>
      <c r="SP423" s="457"/>
      <c r="SQ423" s="457"/>
      <c r="SR423" s="457"/>
      <c r="SS423" s="457"/>
      <c r="ST423" s="457"/>
      <c r="SU423" s="457"/>
      <c r="SV423" s="457"/>
      <c r="SW423" s="457"/>
      <c r="SX423" s="457"/>
      <c r="SY423" s="457"/>
      <c r="SZ423" s="457"/>
      <c r="TA423" s="457"/>
      <c r="TB423" s="457"/>
      <c r="TC423" s="457"/>
      <c r="TD423" s="457"/>
      <c r="TE423" s="457"/>
      <c r="TF423" s="457"/>
      <c r="TG423" s="457"/>
      <c r="TH423" s="457"/>
      <c r="TI423" s="457"/>
      <c r="TJ423" s="457"/>
      <c r="TK423" s="457"/>
      <c r="TL423" s="457"/>
      <c r="TM423" s="457"/>
      <c r="TN423" s="457"/>
      <c r="TO423" s="457"/>
      <c r="TP423" s="457"/>
      <c r="TQ423" s="457"/>
      <c r="TR423" s="457"/>
      <c r="TS423" s="457"/>
      <c r="TT423" s="457"/>
      <c r="TU423" s="457"/>
      <c r="TV423" s="457"/>
      <c r="TW423" s="457"/>
      <c r="TX423" s="457"/>
      <c r="TY423" s="457"/>
      <c r="TZ423" s="457"/>
      <c r="UA423" s="457"/>
      <c r="UB423" s="457"/>
      <c r="UC423" s="457"/>
      <c r="UD423" s="457"/>
      <c r="UE423" s="457"/>
      <c r="UF423" s="457"/>
      <c r="UG423" s="457"/>
      <c r="UH423" s="457"/>
      <c r="UI423" s="457"/>
      <c r="UJ423" s="457"/>
      <c r="UK423" s="457"/>
      <c r="UL423" s="457"/>
      <c r="UM423" s="457"/>
      <c r="UN423" s="457"/>
      <c r="UO423" s="457"/>
      <c r="UP423" s="457"/>
      <c r="UQ423" s="457"/>
      <c r="UR423" s="457"/>
      <c r="US423" s="457"/>
      <c r="UT423" s="457"/>
      <c r="UU423" s="457"/>
      <c r="UV423" s="457"/>
      <c r="UW423" s="457"/>
      <c r="UX423" s="457"/>
      <c r="UY423" s="457"/>
      <c r="UZ423" s="457"/>
      <c r="VA423" s="457"/>
      <c r="VB423" s="457"/>
      <c r="VC423" s="457"/>
      <c r="VD423" s="457"/>
      <c r="VE423" s="457"/>
      <c r="VF423" s="457"/>
      <c r="VG423" s="457"/>
      <c r="VH423" s="457"/>
      <c r="VI423" s="457"/>
      <c r="VJ423" s="457"/>
      <c r="VK423" s="457"/>
      <c r="VL423" s="457"/>
      <c r="VM423" s="457"/>
      <c r="VN423" s="457"/>
      <c r="VO423" s="457"/>
      <c r="VP423" s="457"/>
      <c r="VQ423" s="457"/>
      <c r="VR423" s="457"/>
      <c r="VS423" s="457"/>
      <c r="VT423" s="457"/>
      <c r="VU423" s="457"/>
      <c r="VV423" s="457"/>
      <c r="VW423" s="457"/>
      <c r="VX423" s="457"/>
      <c r="VY423" s="457"/>
      <c r="VZ423" s="457"/>
      <c r="WA423" s="457"/>
      <c r="WB423" s="457"/>
      <c r="WC423" s="457"/>
      <c r="WD423" s="457"/>
      <c r="WE423" s="457"/>
      <c r="WF423" s="457"/>
      <c r="WG423" s="457"/>
      <c r="WH423" s="457"/>
      <c r="WI423" s="457"/>
      <c r="WJ423" s="457"/>
      <c r="WK423" s="457"/>
      <c r="WL423" s="457"/>
      <c r="WM423" s="457"/>
      <c r="WN423" s="457"/>
      <c r="WO423" s="457"/>
      <c r="WP423" s="457"/>
      <c r="WQ423" s="457"/>
      <c r="WR423" s="457"/>
      <c r="WS423" s="457"/>
      <c r="WT423" s="457"/>
      <c r="WU423" s="457"/>
      <c r="WV423" s="457"/>
      <c r="WW423" s="457"/>
      <c r="WX423" s="457"/>
      <c r="WY423" s="457"/>
      <c r="WZ423" s="457"/>
      <c r="XA423" s="457"/>
      <c r="XB423" s="457"/>
      <c r="XC423" s="457"/>
      <c r="XD423" s="457"/>
      <c r="XE423" s="457"/>
      <c r="XF423" s="457"/>
      <c r="XG423" s="457"/>
      <c r="XH423" s="457"/>
      <c r="XI423" s="457"/>
      <c r="XJ423" s="457"/>
      <c r="XK423" s="457"/>
      <c r="XL423" s="457"/>
      <c r="XM423" s="457"/>
      <c r="XN423" s="457"/>
      <c r="XO423" s="457"/>
      <c r="XP423" s="457"/>
      <c r="XQ423" s="457"/>
      <c r="XR423" s="457"/>
      <c r="XS423" s="457"/>
      <c r="XT423" s="457"/>
      <c r="XU423" s="457"/>
      <c r="XV423" s="457"/>
      <c r="XW423" s="457"/>
      <c r="XX423" s="457"/>
      <c r="XY423" s="457"/>
      <c r="XZ423" s="457"/>
      <c r="YA423" s="457"/>
      <c r="YB423" s="457"/>
      <c r="YC423" s="457"/>
      <c r="YD423" s="457"/>
      <c r="YE423" s="457"/>
      <c r="YF423" s="457"/>
      <c r="YG423" s="457"/>
      <c r="YH423" s="457"/>
      <c r="YI423" s="457"/>
      <c r="YJ423" s="457"/>
      <c r="YK423" s="457"/>
      <c r="YL423" s="457"/>
      <c r="YM423" s="457"/>
      <c r="YN423" s="457"/>
      <c r="YO423" s="457"/>
      <c r="YP423" s="457"/>
      <c r="YQ423" s="457"/>
      <c r="YR423" s="457"/>
      <c r="YS423" s="457"/>
      <c r="YT423" s="457"/>
      <c r="YU423" s="457"/>
      <c r="YV423" s="457"/>
      <c r="YW423" s="457"/>
      <c r="YX423" s="457"/>
      <c r="YY423" s="457"/>
      <c r="YZ423" s="457"/>
      <c r="ZA423" s="457"/>
      <c r="ZB423" s="457"/>
      <c r="ZC423" s="457"/>
      <c r="ZD423" s="457"/>
      <c r="ZE423" s="457"/>
      <c r="ZF423" s="457"/>
      <c r="ZG423" s="457"/>
      <c r="ZH423" s="457"/>
      <c r="ZI423" s="457"/>
      <c r="ZJ423" s="457"/>
      <c r="ZK423" s="457"/>
      <c r="ZL423" s="457"/>
      <c r="ZM423" s="457"/>
      <c r="ZN423" s="457"/>
      <c r="ZO423" s="457"/>
      <c r="ZP423" s="457"/>
      <c r="ZQ423" s="457"/>
      <c r="ZR423" s="457"/>
      <c r="ZS423" s="457"/>
      <c r="ZT423" s="457"/>
      <c r="ZU423" s="457"/>
      <c r="ZV423" s="457"/>
      <c r="ZW423" s="457"/>
      <c r="ZX423" s="457"/>
      <c r="ZY423" s="457"/>
      <c r="ZZ423" s="457"/>
      <c r="AAA423" s="457"/>
      <c r="AAB423" s="457"/>
      <c r="AAC423" s="457"/>
      <c r="AAD423" s="457"/>
      <c r="AAE423" s="457"/>
      <c r="AAF423" s="457"/>
      <c r="AAG423" s="457"/>
      <c r="AAH423" s="457"/>
      <c r="AAI423" s="457"/>
      <c r="AAJ423" s="457"/>
      <c r="AAK423" s="457"/>
      <c r="AAL423" s="457"/>
      <c r="AAM423" s="457"/>
      <c r="AAN423" s="457"/>
      <c r="AAO423" s="457"/>
      <c r="AAP423" s="457"/>
      <c r="AAQ423" s="457"/>
      <c r="AAR423" s="457"/>
      <c r="AAS423" s="457"/>
      <c r="AAT423" s="457"/>
      <c r="AAU423" s="457"/>
      <c r="AAV423" s="457"/>
      <c r="AAW423" s="457"/>
      <c r="AAX423" s="457"/>
      <c r="AAY423" s="457"/>
      <c r="AAZ423" s="457"/>
      <c r="ABA423" s="457"/>
      <c r="ABB423" s="457"/>
      <c r="ABC423" s="457"/>
      <c r="ABD423" s="457"/>
      <c r="ABE423" s="457"/>
      <c r="ABF423" s="457"/>
      <c r="ABG423" s="457"/>
      <c r="ABH423" s="457"/>
      <c r="ABI423" s="457"/>
      <c r="ABJ423" s="457"/>
      <c r="ABK423" s="457"/>
      <c r="ABL423" s="457"/>
      <c r="ABM423" s="457"/>
      <c r="ABN423" s="457"/>
      <c r="ABO423" s="457"/>
      <c r="ABP423" s="457"/>
      <c r="ABQ423" s="457"/>
      <c r="ABR423" s="457"/>
      <c r="ABS423" s="457"/>
      <c r="ABT423" s="457"/>
      <c r="ABU423" s="457"/>
      <c r="ABV423" s="457"/>
      <c r="ABW423" s="457"/>
      <c r="ABX423" s="457"/>
      <c r="ABY423" s="457"/>
      <c r="ABZ423" s="457"/>
      <c r="ACA423" s="457"/>
      <c r="ACB423" s="457"/>
      <c r="ACC423" s="457"/>
      <c r="ACD423" s="457"/>
      <c r="ACE423" s="457"/>
      <c r="ACF423" s="457"/>
      <c r="ACG423" s="457"/>
      <c r="ACH423" s="457"/>
      <c r="ACI423" s="457"/>
      <c r="ACJ423" s="457"/>
      <c r="ACK423" s="457"/>
      <c r="ACL423" s="457"/>
      <c r="ACM423" s="457"/>
      <c r="ACN423" s="457"/>
      <c r="ACO423" s="457"/>
      <c r="ACP423" s="457"/>
      <c r="ACQ423" s="457"/>
      <c r="ACR423" s="457"/>
      <c r="ACS423" s="457"/>
      <c r="ACT423" s="457"/>
      <c r="ACU423" s="457"/>
      <c r="ACV423" s="457"/>
    </row>
    <row r="424" spans="1:776" s="400" customFormat="1" x14ac:dyDescent="0.25">
      <c r="A424" s="470">
        <v>900137</v>
      </c>
      <c r="B424" s="237" t="s">
        <v>320</v>
      </c>
      <c r="C424" s="455"/>
      <c r="D424" s="454" t="s">
        <v>321</v>
      </c>
      <c r="E424" s="454">
        <v>0.82399999999999995</v>
      </c>
      <c r="F424" s="456">
        <v>6.45</v>
      </c>
      <c r="G424" s="454">
        <v>0.01</v>
      </c>
      <c r="H424" s="454">
        <v>0.02</v>
      </c>
      <c r="I424" s="456">
        <v>44.64</v>
      </c>
      <c r="J424" s="454">
        <v>138.79</v>
      </c>
      <c r="K424" s="454">
        <v>0.01</v>
      </c>
      <c r="L424" s="456">
        <v>297.60000000000002</v>
      </c>
      <c r="M424" s="454">
        <v>0.01</v>
      </c>
      <c r="N424" s="454">
        <v>2.17</v>
      </c>
      <c r="O424" s="454">
        <v>38.28</v>
      </c>
      <c r="P424" s="454">
        <v>89.61</v>
      </c>
      <c r="Q424" s="454">
        <v>37.840000000000003</v>
      </c>
      <c r="R424" s="454">
        <v>0.01</v>
      </c>
      <c r="S424" s="454">
        <v>0.01</v>
      </c>
      <c r="T424" s="454">
        <v>0.01</v>
      </c>
      <c r="U424" s="454">
        <v>0.01</v>
      </c>
      <c r="V424" s="454"/>
      <c r="W424" s="457"/>
      <c r="X424" s="457"/>
      <c r="Y424" s="457"/>
      <c r="Z424" s="457"/>
      <c r="AA424" s="457"/>
      <c r="AB424" s="457"/>
      <c r="AC424" s="457"/>
      <c r="AD424" s="457"/>
      <c r="AE424" s="457"/>
      <c r="AF424" s="457"/>
      <c r="AG424" s="457"/>
      <c r="AH424" s="457"/>
      <c r="AI424" s="457"/>
      <c r="AJ424" s="457"/>
      <c r="AK424" s="457"/>
      <c r="AL424" s="457"/>
      <c r="AM424" s="457"/>
      <c r="AN424" s="457"/>
      <c r="AO424" s="457"/>
      <c r="AP424" s="457"/>
      <c r="AQ424" s="457"/>
      <c r="AR424" s="457"/>
      <c r="AS424" s="457"/>
      <c r="AT424" s="457"/>
      <c r="AU424" s="457"/>
      <c r="AV424" s="457"/>
      <c r="AW424" s="457"/>
      <c r="AX424" s="457"/>
      <c r="AY424" s="457"/>
      <c r="AZ424" s="457"/>
      <c r="BA424" s="457"/>
      <c r="BB424" s="457"/>
      <c r="BC424" s="457"/>
      <c r="BD424" s="457"/>
      <c r="BE424" s="457"/>
      <c r="BF424" s="457"/>
      <c r="BG424" s="457"/>
      <c r="BH424" s="457"/>
      <c r="BI424" s="457"/>
      <c r="BJ424" s="457"/>
      <c r="BK424" s="457"/>
      <c r="BL424" s="457"/>
      <c r="BM424" s="457"/>
      <c r="BN424" s="457"/>
      <c r="BO424" s="457"/>
      <c r="BP424" s="457"/>
      <c r="BQ424" s="457"/>
      <c r="BR424" s="457"/>
      <c r="BS424" s="457"/>
      <c r="BT424" s="457"/>
      <c r="BU424" s="457"/>
      <c r="BV424" s="457"/>
      <c r="BW424" s="457"/>
      <c r="BX424" s="457"/>
      <c r="BY424" s="457"/>
      <c r="BZ424" s="457"/>
      <c r="CA424" s="457"/>
      <c r="CB424" s="457"/>
      <c r="CC424" s="457"/>
      <c r="CD424" s="457"/>
      <c r="CE424" s="457"/>
      <c r="CF424" s="457"/>
      <c r="CG424" s="457"/>
      <c r="CH424" s="457"/>
      <c r="CI424" s="457"/>
      <c r="CJ424" s="457"/>
      <c r="CK424" s="457"/>
      <c r="CL424" s="457"/>
      <c r="CM424" s="457"/>
      <c r="CN424" s="457"/>
      <c r="CO424" s="457"/>
      <c r="CP424" s="457"/>
      <c r="CQ424" s="457"/>
      <c r="CR424" s="457"/>
      <c r="CS424" s="457"/>
      <c r="CT424" s="457"/>
      <c r="CU424" s="457"/>
      <c r="CV424" s="457"/>
      <c r="CW424" s="457"/>
      <c r="CX424" s="457"/>
      <c r="CY424" s="457"/>
      <c r="CZ424" s="457"/>
      <c r="DA424" s="457"/>
      <c r="DB424" s="457"/>
      <c r="DC424" s="457"/>
      <c r="DD424" s="457"/>
      <c r="DE424" s="457"/>
      <c r="DF424" s="457"/>
      <c r="DG424" s="457"/>
      <c r="DH424" s="457"/>
      <c r="DI424" s="457"/>
      <c r="DJ424" s="457"/>
      <c r="DK424" s="457"/>
      <c r="DL424" s="457"/>
      <c r="DM424" s="457"/>
      <c r="DN424" s="457"/>
      <c r="DO424" s="457"/>
      <c r="DP424" s="457"/>
      <c r="DQ424" s="457"/>
      <c r="DR424" s="457"/>
      <c r="DS424" s="457"/>
      <c r="DT424" s="457"/>
      <c r="DU424" s="457"/>
      <c r="DV424" s="457"/>
      <c r="DW424" s="457"/>
      <c r="DX424" s="457"/>
      <c r="DY424" s="457"/>
      <c r="DZ424" s="457"/>
      <c r="EA424" s="457"/>
      <c r="EB424" s="457"/>
      <c r="EC424" s="457"/>
      <c r="ED424" s="457"/>
      <c r="EE424" s="457"/>
      <c r="EF424" s="457"/>
      <c r="EG424" s="457"/>
      <c r="EH424" s="457"/>
      <c r="EI424" s="457"/>
      <c r="EJ424" s="457"/>
      <c r="EK424" s="457"/>
      <c r="EL424" s="457"/>
      <c r="EM424" s="457"/>
      <c r="EN424" s="457"/>
      <c r="EO424" s="457"/>
      <c r="EP424" s="457"/>
      <c r="EQ424" s="457"/>
      <c r="ER424" s="457"/>
      <c r="ES424" s="457"/>
      <c r="ET424" s="457"/>
      <c r="EU424" s="457"/>
      <c r="EV424" s="457"/>
      <c r="EW424" s="457"/>
      <c r="EX424" s="457"/>
      <c r="EY424" s="457"/>
      <c r="EZ424" s="457"/>
      <c r="FA424" s="457"/>
      <c r="FB424" s="457"/>
      <c r="FC424" s="457"/>
      <c r="FD424" s="457"/>
      <c r="FE424" s="457"/>
      <c r="FF424" s="457"/>
      <c r="FG424" s="457"/>
      <c r="FH424" s="457"/>
      <c r="FI424" s="457"/>
      <c r="FJ424" s="457"/>
      <c r="FK424" s="457"/>
      <c r="FL424" s="457"/>
      <c r="FM424" s="457"/>
      <c r="FN424" s="457"/>
      <c r="FO424" s="457"/>
      <c r="FP424" s="457"/>
      <c r="FQ424" s="457"/>
      <c r="FR424" s="457"/>
      <c r="FS424" s="457"/>
      <c r="FT424" s="457"/>
      <c r="FU424" s="457"/>
      <c r="FV424" s="457"/>
      <c r="FW424" s="457"/>
      <c r="FX424" s="457"/>
      <c r="FY424" s="457"/>
      <c r="FZ424" s="457"/>
      <c r="GA424" s="457"/>
      <c r="GB424" s="457"/>
      <c r="GC424" s="457"/>
      <c r="GD424" s="457"/>
      <c r="GE424" s="457"/>
      <c r="GF424" s="457"/>
      <c r="GG424" s="457"/>
      <c r="GH424" s="457"/>
      <c r="GI424" s="457"/>
      <c r="GJ424" s="457"/>
      <c r="GK424" s="457"/>
      <c r="GL424" s="457"/>
      <c r="GM424" s="457"/>
      <c r="GN424" s="457"/>
      <c r="GO424" s="457"/>
      <c r="GP424" s="457"/>
      <c r="GQ424" s="457"/>
      <c r="GR424" s="457"/>
      <c r="GS424" s="457"/>
      <c r="GT424" s="457"/>
      <c r="GU424" s="457"/>
      <c r="GV424" s="457"/>
      <c r="GW424" s="457"/>
      <c r="GX424" s="457"/>
      <c r="GY424" s="457"/>
      <c r="GZ424" s="457"/>
      <c r="HA424" s="457"/>
      <c r="HB424" s="457"/>
      <c r="HC424" s="457"/>
      <c r="HD424" s="457"/>
      <c r="HE424" s="457"/>
      <c r="HF424" s="457"/>
      <c r="HG424" s="457"/>
      <c r="HH424" s="457"/>
      <c r="HI424" s="457"/>
      <c r="HJ424" s="457"/>
      <c r="HK424" s="457"/>
      <c r="HL424" s="457"/>
      <c r="HM424" s="457"/>
      <c r="HN424" s="457"/>
      <c r="HO424" s="457"/>
      <c r="HP424" s="457"/>
      <c r="HQ424" s="457"/>
      <c r="HR424" s="457"/>
      <c r="HS424" s="457"/>
      <c r="HT424" s="457"/>
      <c r="HU424" s="457"/>
      <c r="HV424" s="457"/>
      <c r="HW424" s="457"/>
      <c r="HX424" s="457"/>
      <c r="HY424" s="457"/>
      <c r="HZ424" s="457"/>
      <c r="IA424" s="457"/>
      <c r="IB424" s="457"/>
      <c r="IC424" s="457"/>
      <c r="ID424" s="457"/>
      <c r="IE424" s="457"/>
      <c r="IF424" s="457"/>
      <c r="IG424" s="457"/>
      <c r="IH424" s="457"/>
      <c r="II424" s="457"/>
      <c r="IJ424" s="457"/>
      <c r="IK424" s="457"/>
      <c r="IL424" s="457"/>
      <c r="IM424" s="457"/>
      <c r="IN424" s="457"/>
      <c r="IO424" s="457"/>
      <c r="IP424" s="457"/>
      <c r="IQ424" s="457"/>
      <c r="IR424" s="457"/>
      <c r="IS424" s="457"/>
      <c r="IT424" s="457"/>
      <c r="IU424" s="457"/>
      <c r="IV424" s="457"/>
      <c r="IW424" s="457"/>
      <c r="IX424" s="457"/>
      <c r="IY424" s="457"/>
      <c r="IZ424" s="457"/>
      <c r="JA424" s="457"/>
      <c r="JB424" s="457"/>
      <c r="JC424" s="457"/>
      <c r="JD424" s="457"/>
      <c r="JE424" s="457"/>
      <c r="JF424" s="457"/>
      <c r="JG424" s="457"/>
      <c r="JH424" s="457"/>
      <c r="JI424" s="457"/>
      <c r="JJ424" s="457"/>
      <c r="JK424" s="457"/>
      <c r="JL424" s="457"/>
      <c r="JM424" s="457"/>
      <c r="JN424" s="457"/>
      <c r="JO424" s="457"/>
      <c r="JP424" s="457"/>
      <c r="JQ424" s="457"/>
      <c r="JR424" s="457"/>
      <c r="JS424" s="457"/>
      <c r="JT424" s="457"/>
      <c r="JU424" s="457"/>
      <c r="JV424" s="457"/>
      <c r="JW424" s="457"/>
      <c r="JX424" s="457"/>
      <c r="JY424" s="457"/>
      <c r="JZ424" s="457"/>
      <c r="KA424" s="457"/>
      <c r="KB424" s="457"/>
      <c r="KC424" s="457"/>
      <c r="KD424" s="457"/>
      <c r="KE424" s="457"/>
      <c r="KF424" s="457"/>
      <c r="KG424" s="457"/>
      <c r="KH424" s="457"/>
      <c r="KI424" s="457"/>
      <c r="KJ424" s="457"/>
      <c r="KK424" s="457"/>
      <c r="KL424" s="457"/>
      <c r="KM424" s="457"/>
      <c r="KN424" s="457"/>
      <c r="KO424" s="457"/>
      <c r="KP424" s="457"/>
      <c r="KQ424" s="457"/>
      <c r="KR424" s="457"/>
      <c r="KS424" s="457"/>
      <c r="KT424" s="457"/>
      <c r="KU424" s="457"/>
      <c r="KV424" s="457"/>
      <c r="KW424" s="457"/>
      <c r="KX424" s="457"/>
      <c r="KY424" s="457"/>
      <c r="KZ424" s="457"/>
      <c r="LA424" s="457"/>
      <c r="LB424" s="457"/>
      <c r="LC424" s="457"/>
      <c r="LD424" s="457"/>
      <c r="LE424" s="457"/>
      <c r="LF424" s="457"/>
      <c r="LG424" s="457"/>
      <c r="LH424" s="457"/>
      <c r="LI424" s="457"/>
      <c r="LJ424" s="457"/>
      <c r="LK424" s="457"/>
      <c r="LL424" s="457"/>
      <c r="LM424" s="457"/>
      <c r="LN424" s="457"/>
      <c r="LO424" s="457"/>
      <c r="LP424" s="457"/>
      <c r="LQ424" s="457"/>
      <c r="LR424" s="457"/>
      <c r="LS424" s="457"/>
      <c r="LT424" s="457"/>
      <c r="LU424" s="457"/>
      <c r="LV424" s="457"/>
      <c r="LW424" s="457"/>
      <c r="LX424" s="457"/>
      <c r="LY424" s="457"/>
      <c r="LZ424" s="457"/>
      <c r="MA424" s="457"/>
      <c r="MB424" s="457"/>
      <c r="MC424" s="457"/>
      <c r="MD424" s="457"/>
      <c r="ME424" s="457"/>
      <c r="MF424" s="457"/>
      <c r="MG424" s="457"/>
      <c r="MH424" s="457"/>
      <c r="MI424" s="457"/>
      <c r="MJ424" s="457"/>
      <c r="MK424" s="457"/>
      <c r="ML424" s="457"/>
      <c r="MM424" s="457"/>
      <c r="MN424" s="457"/>
      <c r="MO424" s="457"/>
      <c r="MP424" s="457"/>
      <c r="MQ424" s="457"/>
      <c r="MR424" s="457"/>
      <c r="MS424" s="457"/>
      <c r="MT424" s="457"/>
      <c r="MU424" s="457"/>
      <c r="MV424" s="457"/>
      <c r="MW424" s="457"/>
      <c r="MX424" s="457"/>
      <c r="MY424" s="457"/>
      <c r="MZ424" s="457"/>
      <c r="NA424" s="457"/>
      <c r="NB424" s="457"/>
      <c r="NC424" s="457"/>
      <c r="ND424" s="457"/>
      <c r="NE424" s="457"/>
      <c r="NF424" s="457"/>
      <c r="NG424" s="457"/>
      <c r="NH424" s="457"/>
      <c r="NI424" s="457"/>
      <c r="NJ424" s="457"/>
      <c r="NK424" s="457"/>
      <c r="NL424" s="457"/>
      <c r="NM424" s="457"/>
      <c r="NN424" s="457"/>
      <c r="NO424" s="457"/>
      <c r="NP424" s="457"/>
      <c r="NQ424" s="457"/>
      <c r="NR424" s="457"/>
      <c r="NS424" s="457"/>
      <c r="NT424" s="457"/>
      <c r="NU424" s="457"/>
      <c r="NV424" s="457"/>
      <c r="NW424" s="457"/>
      <c r="NX424" s="457"/>
      <c r="NY424" s="457"/>
      <c r="NZ424" s="457"/>
      <c r="OA424" s="457"/>
      <c r="OB424" s="457"/>
      <c r="OC424" s="457"/>
      <c r="OD424" s="457"/>
      <c r="OE424" s="457"/>
      <c r="OF424" s="457"/>
      <c r="OG424" s="457"/>
      <c r="OH424" s="457"/>
      <c r="OI424" s="457"/>
      <c r="OJ424" s="457"/>
      <c r="OK424" s="457"/>
      <c r="OL424" s="457"/>
      <c r="OM424" s="457"/>
      <c r="ON424" s="457"/>
      <c r="OO424" s="457"/>
      <c r="OP424" s="457"/>
      <c r="OQ424" s="457"/>
      <c r="OR424" s="457"/>
      <c r="OS424" s="457"/>
      <c r="OT424" s="457"/>
      <c r="OU424" s="457"/>
      <c r="OV424" s="457"/>
      <c r="OW424" s="457"/>
      <c r="OX424" s="457"/>
      <c r="OY424" s="457"/>
      <c r="OZ424" s="457"/>
      <c r="PA424" s="457"/>
      <c r="PB424" s="457"/>
      <c r="PC424" s="457"/>
      <c r="PD424" s="457"/>
      <c r="PE424" s="457"/>
      <c r="PF424" s="457"/>
      <c r="PG424" s="457"/>
      <c r="PH424" s="457"/>
      <c r="PI424" s="457"/>
      <c r="PJ424" s="457"/>
      <c r="PK424" s="457"/>
      <c r="PL424" s="457"/>
      <c r="PM424" s="457"/>
      <c r="PN424" s="457"/>
      <c r="PO424" s="457"/>
      <c r="PP424" s="457"/>
      <c r="PQ424" s="457"/>
      <c r="PR424" s="457"/>
      <c r="PS424" s="457"/>
      <c r="PT424" s="457"/>
      <c r="PU424" s="457"/>
      <c r="PV424" s="457"/>
      <c r="PW424" s="457"/>
      <c r="PX424" s="457"/>
      <c r="PY424" s="457"/>
      <c r="PZ424" s="457"/>
      <c r="QA424" s="457"/>
      <c r="QB424" s="457"/>
      <c r="QC424" s="457"/>
      <c r="QD424" s="457"/>
      <c r="QE424" s="457"/>
      <c r="QF424" s="457"/>
      <c r="QG424" s="457"/>
      <c r="QH424" s="457"/>
      <c r="QI424" s="457"/>
      <c r="QJ424" s="457"/>
      <c r="QK424" s="457"/>
      <c r="QL424" s="457"/>
      <c r="QM424" s="457"/>
      <c r="QN424" s="457"/>
      <c r="QO424" s="457"/>
      <c r="QP424" s="457"/>
      <c r="QQ424" s="457"/>
      <c r="QR424" s="457"/>
      <c r="QS424" s="457"/>
      <c r="QT424" s="457"/>
      <c r="QU424" s="457"/>
      <c r="QV424" s="457"/>
      <c r="QW424" s="457"/>
      <c r="QX424" s="457"/>
      <c r="QY424" s="457"/>
      <c r="QZ424" s="457"/>
      <c r="RA424" s="457"/>
      <c r="RB424" s="457"/>
      <c r="RC424" s="457"/>
      <c r="RD424" s="457"/>
      <c r="RE424" s="457"/>
      <c r="RF424" s="457"/>
      <c r="RG424" s="457"/>
      <c r="RH424" s="457"/>
      <c r="RI424" s="457"/>
      <c r="RJ424" s="457"/>
      <c r="RK424" s="457"/>
      <c r="RL424" s="457"/>
      <c r="RM424" s="457"/>
      <c r="RN424" s="457"/>
      <c r="RO424" s="457"/>
      <c r="RP424" s="457"/>
      <c r="RQ424" s="457"/>
      <c r="RR424" s="457"/>
      <c r="RS424" s="457"/>
      <c r="RT424" s="457"/>
      <c r="RU424" s="457"/>
      <c r="RV424" s="457"/>
      <c r="RW424" s="457"/>
      <c r="RX424" s="457"/>
      <c r="RY424" s="457"/>
      <c r="RZ424" s="457"/>
      <c r="SA424" s="457"/>
      <c r="SB424" s="457"/>
      <c r="SC424" s="457"/>
      <c r="SD424" s="457"/>
      <c r="SE424" s="457"/>
      <c r="SF424" s="457"/>
      <c r="SG424" s="457"/>
      <c r="SH424" s="457"/>
      <c r="SI424" s="457"/>
      <c r="SJ424" s="457"/>
      <c r="SK424" s="457"/>
      <c r="SL424" s="457"/>
      <c r="SM424" s="457"/>
      <c r="SN424" s="457"/>
      <c r="SO424" s="457"/>
      <c r="SP424" s="457"/>
      <c r="SQ424" s="457"/>
      <c r="SR424" s="457"/>
      <c r="SS424" s="457"/>
      <c r="ST424" s="457"/>
      <c r="SU424" s="457"/>
      <c r="SV424" s="457"/>
      <c r="SW424" s="457"/>
      <c r="SX424" s="457"/>
      <c r="SY424" s="457"/>
      <c r="SZ424" s="457"/>
      <c r="TA424" s="457"/>
      <c r="TB424" s="457"/>
      <c r="TC424" s="457"/>
      <c r="TD424" s="457"/>
      <c r="TE424" s="457"/>
      <c r="TF424" s="457"/>
      <c r="TG424" s="457"/>
      <c r="TH424" s="457"/>
      <c r="TI424" s="457"/>
      <c r="TJ424" s="457"/>
      <c r="TK424" s="457"/>
      <c r="TL424" s="457"/>
      <c r="TM424" s="457"/>
      <c r="TN424" s="457"/>
      <c r="TO424" s="457"/>
      <c r="TP424" s="457"/>
      <c r="TQ424" s="457"/>
      <c r="TR424" s="457"/>
      <c r="TS424" s="457"/>
      <c r="TT424" s="457"/>
      <c r="TU424" s="457"/>
      <c r="TV424" s="457"/>
      <c r="TW424" s="457"/>
      <c r="TX424" s="457"/>
      <c r="TY424" s="457"/>
      <c r="TZ424" s="457"/>
      <c r="UA424" s="457"/>
      <c r="UB424" s="457"/>
      <c r="UC424" s="457"/>
      <c r="UD424" s="457"/>
      <c r="UE424" s="457"/>
      <c r="UF424" s="457"/>
      <c r="UG424" s="457"/>
      <c r="UH424" s="457"/>
      <c r="UI424" s="457"/>
      <c r="UJ424" s="457"/>
      <c r="UK424" s="457"/>
      <c r="UL424" s="457"/>
      <c r="UM424" s="457"/>
      <c r="UN424" s="457"/>
      <c r="UO424" s="457"/>
      <c r="UP424" s="457"/>
      <c r="UQ424" s="457"/>
      <c r="UR424" s="457"/>
      <c r="US424" s="457"/>
      <c r="UT424" s="457"/>
      <c r="UU424" s="457"/>
      <c r="UV424" s="457"/>
      <c r="UW424" s="457"/>
      <c r="UX424" s="457"/>
      <c r="UY424" s="457"/>
      <c r="UZ424" s="457"/>
      <c r="VA424" s="457"/>
      <c r="VB424" s="457"/>
      <c r="VC424" s="457"/>
      <c r="VD424" s="457"/>
      <c r="VE424" s="457"/>
      <c r="VF424" s="457"/>
      <c r="VG424" s="457"/>
      <c r="VH424" s="457"/>
      <c r="VI424" s="457"/>
      <c r="VJ424" s="457"/>
      <c r="VK424" s="457"/>
      <c r="VL424" s="457"/>
      <c r="VM424" s="457"/>
      <c r="VN424" s="457"/>
      <c r="VO424" s="457"/>
      <c r="VP424" s="457"/>
      <c r="VQ424" s="457"/>
      <c r="VR424" s="457"/>
      <c r="VS424" s="457"/>
      <c r="VT424" s="457"/>
      <c r="VU424" s="457"/>
      <c r="VV424" s="457"/>
      <c r="VW424" s="457"/>
      <c r="VX424" s="457"/>
      <c r="VY424" s="457"/>
      <c r="VZ424" s="457"/>
      <c r="WA424" s="457"/>
      <c r="WB424" s="457"/>
      <c r="WC424" s="457"/>
      <c r="WD424" s="457"/>
      <c r="WE424" s="457"/>
      <c r="WF424" s="457"/>
      <c r="WG424" s="457"/>
      <c r="WH424" s="457"/>
      <c r="WI424" s="457"/>
      <c r="WJ424" s="457"/>
      <c r="WK424" s="457"/>
      <c r="WL424" s="457"/>
      <c r="WM424" s="457"/>
      <c r="WN424" s="457"/>
      <c r="WO424" s="457"/>
      <c r="WP424" s="457"/>
      <c r="WQ424" s="457"/>
      <c r="WR424" s="457"/>
      <c r="WS424" s="457"/>
      <c r="WT424" s="457"/>
      <c r="WU424" s="457"/>
      <c r="WV424" s="457"/>
      <c r="WW424" s="457"/>
      <c r="WX424" s="457"/>
      <c r="WY424" s="457"/>
      <c r="WZ424" s="457"/>
      <c r="XA424" s="457"/>
      <c r="XB424" s="457"/>
      <c r="XC424" s="457"/>
      <c r="XD424" s="457"/>
      <c r="XE424" s="457"/>
      <c r="XF424" s="457"/>
      <c r="XG424" s="457"/>
      <c r="XH424" s="457"/>
      <c r="XI424" s="457"/>
      <c r="XJ424" s="457"/>
      <c r="XK424" s="457"/>
      <c r="XL424" s="457"/>
      <c r="XM424" s="457"/>
      <c r="XN424" s="457"/>
      <c r="XO424" s="457"/>
      <c r="XP424" s="457"/>
      <c r="XQ424" s="457"/>
      <c r="XR424" s="457"/>
      <c r="XS424" s="457"/>
      <c r="XT424" s="457"/>
      <c r="XU424" s="457"/>
      <c r="XV424" s="457"/>
      <c r="XW424" s="457"/>
      <c r="XX424" s="457"/>
      <c r="XY424" s="457"/>
      <c r="XZ424" s="457"/>
      <c r="YA424" s="457"/>
      <c r="YB424" s="457"/>
      <c r="YC424" s="457"/>
      <c r="YD424" s="457"/>
      <c r="YE424" s="457"/>
      <c r="YF424" s="457"/>
      <c r="YG424" s="457"/>
      <c r="YH424" s="457"/>
      <c r="YI424" s="457"/>
      <c r="YJ424" s="457"/>
      <c r="YK424" s="457"/>
      <c r="YL424" s="457"/>
      <c r="YM424" s="457"/>
      <c r="YN424" s="457"/>
      <c r="YO424" s="457"/>
      <c r="YP424" s="457"/>
      <c r="YQ424" s="457"/>
      <c r="YR424" s="457"/>
      <c r="YS424" s="457"/>
      <c r="YT424" s="457"/>
      <c r="YU424" s="457"/>
      <c r="YV424" s="457"/>
      <c r="YW424" s="457"/>
      <c r="YX424" s="457"/>
      <c r="YY424" s="457"/>
      <c r="YZ424" s="457"/>
      <c r="ZA424" s="457"/>
      <c r="ZB424" s="457"/>
      <c r="ZC424" s="457"/>
      <c r="ZD424" s="457"/>
      <c r="ZE424" s="457"/>
      <c r="ZF424" s="457"/>
      <c r="ZG424" s="457"/>
      <c r="ZH424" s="457"/>
      <c r="ZI424" s="457"/>
      <c r="ZJ424" s="457"/>
      <c r="ZK424" s="457"/>
      <c r="ZL424" s="457"/>
      <c r="ZM424" s="457"/>
      <c r="ZN424" s="457"/>
      <c r="ZO424" s="457"/>
      <c r="ZP424" s="457"/>
      <c r="ZQ424" s="457"/>
      <c r="ZR424" s="457"/>
      <c r="ZS424" s="457"/>
      <c r="ZT424" s="457"/>
      <c r="ZU424" s="457"/>
      <c r="ZV424" s="457"/>
      <c r="ZW424" s="457"/>
      <c r="ZX424" s="457"/>
      <c r="ZY424" s="457"/>
      <c r="ZZ424" s="457"/>
      <c r="AAA424" s="457"/>
      <c r="AAB424" s="457"/>
      <c r="AAC424" s="457"/>
      <c r="AAD424" s="457"/>
      <c r="AAE424" s="457"/>
      <c r="AAF424" s="457"/>
      <c r="AAG424" s="457"/>
      <c r="AAH424" s="457"/>
      <c r="AAI424" s="457"/>
      <c r="AAJ424" s="457"/>
      <c r="AAK424" s="457"/>
      <c r="AAL424" s="457"/>
      <c r="AAM424" s="457"/>
      <c r="AAN424" s="457"/>
      <c r="AAO424" s="457"/>
      <c r="AAP424" s="457"/>
      <c r="AAQ424" s="457"/>
      <c r="AAR424" s="457"/>
      <c r="AAS424" s="457"/>
      <c r="AAT424" s="457"/>
      <c r="AAU424" s="457"/>
      <c r="AAV424" s="457"/>
      <c r="AAW424" s="457"/>
      <c r="AAX424" s="457"/>
      <c r="AAY424" s="457"/>
      <c r="AAZ424" s="457"/>
      <c r="ABA424" s="457"/>
      <c r="ABB424" s="457"/>
      <c r="ABC424" s="457"/>
      <c r="ABD424" s="457"/>
      <c r="ABE424" s="457"/>
      <c r="ABF424" s="457"/>
      <c r="ABG424" s="457"/>
      <c r="ABH424" s="457"/>
      <c r="ABI424" s="457"/>
      <c r="ABJ424" s="457"/>
      <c r="ABK424" s="457"/>
      <c r="ABL424" s="457"/>
      <c r="ABM424" s="457"/>
      <c r="ABN424" s="457"/>
      <c r="ABO424" s="457"/>
      <c r="ABP424" s="457"/>
      <c r="ABQ424" s="457"/>
      <c r="ABR424" s="457"/>
      <c r="ABS424" s="457"/>
      <c r="ABT424" s="457"/>
      <c r="ABU424" s="457"/>
      <c r="ABV424" s="457"/>
      <c r="ABW424" s="457"/>
      <c r="ABX424" s="457"/>
      <c r="ABY424" s="457"/>
      <c r="ABZ424" s="457"/>
      <c r="ACA424" s="457"/>
      <c r="ACB424" s="457"/>
      <c r="ACC424" s="457"/>
      <c r="ACD424" s="457"/>
      <c r="ACE424" s="457"/>
      <c r="ACF424" s="457"/>
      <c r="ACG424" s="457"/>
      <c r="ACH424" s="457"/>
      <c r="ACI424" s="457"/>
      <c r="ACJ424" s="457"/>
      <c r="ACK424" s="457"/>
      <c r="ACL424" s="457"/>
      <c r="ACM424" s="457"/>
      <c r="ACN424" s="457"/>
      <c r="ACO424" s="457"/>
      <c r="ACP424" s="457"/>
      <c r="ACQ424" s="457"/>
      <c r="ACR424" s="457"/>
      <c r="ACS424" s="457"/>
      <c r="ACT424" s="457"/>
      <c r="ACU424" s="457"/>
      <c r="ACV424" s="457"/>
    </row>
    <row r="425" spans="1:776" s="400" customFormat="1" x14ac:dyDescent="0.25">
      <c r="A425" s="470">
        <v>900138</v>
      </c>
      <c r="B425" s="237" t="s">
        <v>322</v>
      </c>
      <c r="C425" s="455"/>
      <c r="D425" s="454" t="s">
        <v>323</v>
      </c>
      <c r="E425" s="454">
        <v>0.72799999999999998</v>
      </c>
      <c r="F425" s="456">
        <v>1.25</v>
      </c>
      <c r="G425" s="454">
        <v>0.01</v>
      </c>
      <c r="H425" s="454">
        <v>0.1</v>
      </c>
      <c r="I425" s="456">
        <v>58.66</v>
      </c>
      <c r="J425" s="454">
        <v>146.76</v>
      </c>
      <c r="K425" s="454">
        <v>0.01</v>
      </c>
      <c r="L425" s="456">
        <v>189.6</v>
      </c>
      <c r="M425" s="454">
        <v>0.01</v>
      </c>
      <c r="N425" s="454">
        <v>1.76</v>
      </c>
      <c r="O425" s="454">
        <v>36.590000000000003</v>
      </c>
      <c r="P425" s="454">
        <v>77.61</v>
      </c>
      <c r="Q425" s="454">
        <v>30.97</v>
      </c>
      <c r="R425" s="454">
        <v>0.01</v>
      </c>
      <c r="S425" s="454">
        <v>0.01</v>
      </c>
      <c r="T425" s="454">
        <v>0.01</v>
      </c>
      <c r="U425" s="454">
        <v>0.01</v>
      </c>
      <c r="V425" s="454"/>
      <c r="W425" s="457"/>
      <c r="X425" s="457"/>
      <c r="Y425" s="457"/>
      <c r="Z425" s="457"/>
      <c r="AA425" s="457"/>
      <c r="AB425" s="457"/>
      <c r="AC425" s="457"/>
      <c r="AD425" s="457"/>
      <c r="AE425" s="457"/>
      <c r="AF425" s="457"/>
      <c r="AG425" s="457"/>
      <c r="AH425" s="457"/>
      <c r="AI425" s="457"/>
      <c r="AJ425" s="457"/>
      <c r="AK425" s="457"/>
      <c r="AL425" s="457"/>
      <c r="AM425" s="457"/>
      <c r="AN425" s="457"/>
      <c r="AO425" s="457"/>
      <c r="AP425" s="457"/>
      <c r="AQ425" s="457"/>
      <c r="AR425" s="457"/>
      <c r="AS425" s="457"/>
      <c r="AT425" s="457"/>
      <c r="AU425" s="457"/>
      <c r="AV425" s="457"/>
      <c r="AW425" s="457"/>
      <c r="AX425" s="457"/>
      <c r="AY425" s="457"/>
      <c r="AZ425" s="457"/>
      <c r="BA425" s="457"/>
      <c r="BB425" s="457"/>
      <c r="BC425" s="457"/>
      <c r="BD425" s="457"/>
      <c r="BE425" s="457"/>
      <c r="BF425" s="457"/>
      <c r="BG425" s="457"/>
      <c r="BH425" s="457"/>
      <c r="BI425" s="457"/>
      <c r="BJ425" s="457"/>
      <c r="BK425" s="457"/>
      <c r="BL425" s="457"/>
      <c r="BM425" s="457"/>
      <c r="BN425" s="457"/>
      <c r="BO425" s="457"/>
      <c r="BP425" s="457"/>
      <c r="BQ425" s="457"/>
      <c r="BR425" s="457"/>
      <c r="BS425" s="457"/>
      <c r="BT425" s="457"/>
      <c r="BU425" s="457"/>
      <c r="BV425" s="457"/>
      <c r="BW425" s="457"/>
      <c r="BX425" s="457"/>
      <c r="BY425" s="457"/>
      <c r="BZ425" s="457"/>
      <c r="CA425" s="457"/>
      <c r="CB425" s="457"/>
      <c r="CC425" s="457"/>
      <c r="CD425" s="457"/>
      <c r="CE425" s="457"/>
      <c r="CF425" s="457"/>
      <c r="CG425" s="457"/>
      <c r="CH425" s="457"/>
      <c r="CI425" s="457"/>
      <c r="CJ425" s="457"/>
      <c r="CK425" s="457"/>
      <c r="CL425" s="457"/>
      <c r="CM425" s="457"/>
      <c r="CN425" s="457"/>
      <c r="CO425" s="457"/>
      <c r="CP425" s="457"/>
      <c r="CQ425" s="457"/>
      <c r="CR425" s="457"/>
      <c r="CS425" s="457"/>
      <c r="CT425" s="457"/>
      <c r="CU425" s="457"/>
      <c r="CV425" s="457"/>
      <c r="CW425" s="457"/>
      <c r="CX425" s="457"/>
      <c r="CY425" s="457"/>
      <c r="CZ425" s="457"/>
      <c r="DA425" s="457"/>
      <c r="DB425" s="457"/>
      <c r="DC425" s="457"/>
      <c r="DD425" s="457"/>
      <c r="DE425" s="457"/>
      <c r="DF425" s="457"/>
      <c r="DG425" s="457"/>
      <c r="DH425" s="457"/>
      <c r="DI425" s="457"/>
      <c r="DJ425" s="457"/>
      <c r="DK425" s="457"/>
      <c r="DL425" s="457"/>
      <c r="DM425" s="457"/>
      <c r="DN425" s="457"/>
      <c r="DO425" s="457"/>
      <c r="DP425" s="457"/>
      <c r="DQ425" s="457"/>
      <c r="DR425" s="457"/>
      <c r="DS425" s="457"/>
      <c r="DT425" s="457"/>
      <c r="DU425" s="457"/>
      <c r="DV425" s="457"/>
      <c r="DW425" s="457"/>
      <c r="DX425" s="457"/>
      <c r="DY425" s="457"/>
      <c r="DZ425" s="457"/>
      <c r="EA425" s="457"/>
      <c r="EB425" s="457"/>
      <c r="EC425" s="457"/>
      <c r="ED425" s="457"/>
      <c r="EE425" s="457"/>
      <c r="EF425" s="457"/>
      <c r="EG425" s="457"/>
      <c r="EH425" s="457"/>
      <c r="EI425" s="457"/>
      <c r="EJ425" s="457"/>
      <c r="EK425" s="457"/>
      <c r="EL425" s="457"/>
      <c r="EM425" s="457"/>
      <c r="EN425" s="457"/>
      <c r="EO425" s="457"/>
      <c r="EP425" s="457"/>
      <c r="EQ425" s="457"/>
      <c r="ER425" s="457"/>
      <c r="ES425" s="457"/>
      <c r="ET425" s="457"/>
      <c r="EU425" s="457"/>
      <c r="EV425" s="457"/>
      <c r="EW425" s="457"/>
      <c r="EX425" s="457"/>
      <c r="EY425" s="457"/>
      <c r="EZ425" s="457"/>
      <c r="FA425" s="457"/>
      <c r="FB425" s="457"/>
      <c r="FC425" s="457"/>
      <c r="FD425" s="457"/>
      <c r="FE425" s="457"/>
      <c r="FF425" s="457"/>
      <c r="FG425" s="457"/>
      <c r="FH425" s="457"/>
      <c r="FI425" s="457"/>
      <c r="FJ425" s="457"/>
      <c r="FK425" s="457"/>
      <c r="FL425" s="457"/>
      <c r="FM425" s="457"/>
      <c r="FN425" s="457"/>
      <c r="FO425" s="457"/>
      <c r="FP425" s="457"/>
      <c r="FQ425" s="457"/>
      <c r="FR425" s="457"/>
      <c r="FS425" s="457"/>
      <c r="FT425" s="457"/>
      <c r="FU425" s="457"/>
      <c r="FV425" s="457"/>
      <c r="FW425" s="457"/>
      <c r="FX425" s="457"/>
      <c r="FY425" s="457"/>
      <c r="FZ425" s="457"/>
      <c r="GA425" s="457"/>
      <c r="GB425" s="457"/>
      <c r="GC425" s="457"/>
      <c r="GD425" s="457"/>
      <c r="GE425" s="457"/>
      <c r="GF425" s="457"/>
      <c r="GG425" s="457"/>
      <c r="GH425" s="457"/>
      <c r="GI425" s="457"/>
      <c r="GJ425" s="457"/>
      <c r="GK425" s="457"/>
      <c r="GL425" s="457"/>
      <c r="GM425" s="457"/>
      <c r="GN425" s="457"/>
      <c r="GO425" s="457"/>
      <c r="GP425" s="457"/>
      <c r="GQ425" s="457"/>
      <c r="GR425" s="457"/>
      <c r="GS425" s="457"/>
      <c r="GT425" s="457"/>
      <c r="GU425" s="457"/>
      <c r="GV425" s="457"/>
      <c r="GW425" s="457"/>
      <c r="GX425" s="457"/>
      <c r="GY425" s="457"/>
      <c r="GZ425" s="457"/>
      <c r="HA425" s="457"/>
      <c r="HB425" s="457"/>
      <c r="HC425" s="457"/>
      <c r="HD425" s="457"/>
      <c r="HE425" s="457"/>
      <c r="HF425" s="457"/>
      <c r="HG425" s="457"/>
      <c r="HH425" s="457"/>
      <c r="HI425" s="457"/>
      <c r="HJ425" s="457"/>
      <c r="HK425" s="457"/>
      <c r="HL425" s="457"/>
      <c r="HM425" s="457"/>
      <c r="HN425" s="457"/>
      <c r="HO425" s="457"/>
      <c r="HP425" s="457"/>
      <c r="HQ425" s="457"/>
      <c r="HR425" s="457"/>
      <c r="HS425" s="457"/>
      <c r="HT425" s="457"/>
      <c r="HU425" s="457"/>
      <c r="HV425" s="457"/>
      <c r="HW425" s="457"/>
      <c r="HX425" s="457"/>
      <c r="HY425" s="457"/>
      <c r="HZ425" s="457"/>
      <c r="IA425" s="457"/>
      <c r="IB425" s="457"/>
      <c r="IC425" s="457"/>
      <c r="ID425" s="457"/>
      <c r="IE425" s="457"/>
      <c r="IF425" s="457"/>
      <c r="IG425" s="457"/>
      <c r="IH425" s="457"/>
      <c r="II425" s="457"/>
      <c r="IJ425" s="457"/>
      <c r="IK425" s="457"/>
      <c r="IL425" s="457"/>
      <c r="IM425" s="457"/>
      <c r="IN425" s="457"/>
      <c r="IO425" s="457"/>
      <c r="IP425" s="457"/>
      <c r="IQ425" s="457"/>
      <c r="IR425" s="457"/>
      <c r="IS425" s="457"/>
      <c r="IT425" s="457"/>
      <c r="IU425" s="457"/>
      <c r="IV425" s="457"/>
      <c r="IW425" s="457"/>
      <c r="IX425" s="457"/>
      <c r="IY425" s="457"/>
      <c r="IZ425" s="457"/>
      <c r="JA425" s="457"/>
      <c r="JB425" s="457"/>
      <c r="JC425" s="457"/>
      <c r="JD425" s="457"/>
      <c r="JE425" s="457"/>
      <c r="JF425" s="457"/>
      <c r="JG425" s="457"/>
      <c r="JH425" s="457"/>
      <c r="JI425" s="457"/>
      <c r="JJ425" s="457"/>
      <c r="JK425" s="457"/>
      <c r="JL425" s="457"/>
      <c r="JM425" s="457"/>
      <c r="JN425" s="457"/>
      <c r="JO425" s="457"/>
      <c r="JP425" s="457"/>
      <c r="JQ425" s="457"/>
      <c r="JR425" s="457"/>
      <c r="JS425" s="457"/>
      <c r="JT425" s="457"/>
      <c r="JU425" s="457"/>
      <c r="JV425" s="457"/>
      <c r="JW425" s="457"/>
      <c r="JX425" s="457"/>
      <c r="JY425" s="457"/>
      <c r="JZ425" s="457"/>
      <c r="KA425" s="457"/>
      <c r="KB425" s="457"/>
      <c r="KC425" s="457"/>
      <c r="KD425" s="457"/>
      <c r="KE425" s="457"/>
      <c r="KF425" s="457"/>
      <c r="KG425" s="457"/>
      <c r="KH425" s="457"/>
      <c r="KI425" s="457"/>
      <c r="KJ425" s="457"/>
      <c r="KK425" s="457"/>
      <c r="KL425" s="457"/>
      <c r="KM425" s="457"/>
      <c r="KN425" s="457"/>
      <c r="KO425" s="457"/>
      <c r="KP425" s="457"/>
      <c r="KQ425" s="457"/>
      <c r="KR425" s="457"/>
      <c r="KS425" s="457"/>
      <c r="KT425" s="457"/>
      <c r="KU425" s="457"/>
      <c r="KV425" s="457"/>
      <c r="KW425" s="457"/>
      <c r="KX425" s="457"/>
      <c r="KY425" s="457"/>
      <c r="KZ425" s="457"/>
      <c r="LA425" s="457"/>
      <c r="LB425" s="457"/>
      <c r="LC425" s="457"/>
      <c r="LD425" s="457"/>
      <c r="LE425" s="457"/>
      <c r="LF425" s="457"/>
      <c r="LG425" s="457"/>
      <c r="LH425" s="457"/>
      <c r="LI425" s="457"/>
      <c r="LJ425" s="457"/>
      <c r="LK425" s="457"/>
      <c r="LL425" s="457"/>
      <c r="LM425" s="457"/>
      <c r="LN425" s="457"/>
      <c r="LO425" s="457"/>
      <c r="LP425" s="457"/>
      <c r="LQ425" s="457"/>
      <c r="LR425" s="457"/>
      <c r="LS425" s="457"/>
      <c r="LT425" s="457"/>
      <c r="LU425" s="457"/>
      <c r="LV425" s="457"/>
      <c r="LW425" s="457"/>
      <c r="LX425" s="457"/>
      <c r="LY425" s="457"/>
      <c r="LZ425" s="457"/>
      <c r="MA425" s="457"/>
      <c r="MB425" s="457"/>
      <c r="MC425" s="457"/>
      <c r="MD425" s="457"/>
      <c r="ME425" s="457"/>
      <c r="MF425" s="457"/>
      <c r="MG425" s="457"/>
      <c r="MH425" s="457"/>
      <c r="MI425" s="457"/>
      <c r="MJ425" s="457"/>
      <c r="MK425" s="457"/>
      <c r="ML425" s="457"/>
      <c r="MM425" s="457"/>
      <c r="MN425" s="457"/>
      <c r="MO425" s="457"/>
      <c r="MP425" s="457"/>
      <c r="MQ425" s="457"/>
      <c r="MR425" s="457"/>
      <c r="MS425" s="457"/>
      <c r="MT425" s="457"/>
      <c r="MU425" s="457"/>
      <c r="MV425" s="457"/>
      <c r="MW425" s="457"/>
      <c r="MX425" s="457"/>
      <c r="MY425" s="457"/>
      <c r="MZ425" s="457"/>
      <c r="NA425" s="457"/>
      <c r="NB425" s="457"/>
      <c r="NC425" s="457"/>
      <c r="ND425" s="457"/>
      <c r="NE425" s="457"/>
      <c r="NF425" s="457"/>
      <c r="NG425" s="457"/>
      <c r="NH425" s="457"/>
      <c r="NI425" s="457"/>
      <c r="NJ425" s="457"/>
      <c r="NK425" s="457"/>
      <c r="NL425" s="457"/>
      <c r="NM425" s="457"/>
      <c r="NN425" s="457"/>
      <c r="NO425" s="457"/>
      <c r="NP425" s="457"/>
      <c r="NQ425" s="457"/>
      <c r="NR425" s="457"/>
      <c r="NS425" s="457"/>
      <c r="NT425" s="457"/>
      <c r="NU425" s="457"/>
      <c r="NV425" s="457"/>
      <c r="NW425" s="457"/>
      <c r="NX425" s="457"/>
      <c r="NY425" s="457"/>
      <c r="NZ425" s="457"/>
      <c r="OA425" s="457"/>
      <c r="OB425" s="457"/>
      <c r="OC425" s="457"/>
      <c r="OD425" s="457"/>
      <c r="OE425" s="457"/>
      <c r="OF425" s="457"/>
      <c r="OG425" s="457"/>
      <c r="OH425" s="457"/>
      <c r="OI425" s="457"/>
      <c r="OJ425" s="457"/>
      <c r="OK425" s="457"/>
      <c r="OL425" s="457"/>
      <c r="OM425" s="457"/>
      <c r="ON425" s="457"/>
      <c r="OO425" s="457"/>
      <c r="OP425" s="457"/>
      <c r="OQ425" s="457"/>
      <c r="OR425" s="457"/>
      <c r="OS425" s="457"/>
      <c r="OT425" s="457"/>
      <c r="OU425" s="457"/>
      <c r="OV425" s="457"/>
      <c r="OW425" s="457"/>
      <c r="OX425" s="457"/>
      <c r="OY425" s="457"/>
      <c r="OZ425" s="457"/>
      <c r="PA425" s="457"/>
      <c r="PB425" s="457"/>
      <c r="PC425" s="457"/>
      <c r="PD425" s="457"/>
      <c r="PE425" s="457"/>
      <c r="PF425" s="457"/>
      <c r="PG425" s="457"/>
      <c r="PH425" s="457"/>
      <c r="PI425" s="457"/>
      <c r="PJ425" s="457"/>
      <c r="PK425" s="457"/>
      <c r="PL425" s="457"/>
      <c r="PM425" s="457"/>
      <c r="PN425" s="457"/>
      <c r="PO425" s="457"/>
      <c r="PP425" s="457"/>
      <c r="PQ425" s="457"/>
      <c r="PR425" s="457"/>
      <c r="PS425" s="457"/>
      <c r="PT425" s="457"/>
      <c r="PU425" s="457"/>
      <c r="PV425" s="457"/>
      <c r="PW425" s="457"/>
      <c r="PX425" s="457"/>
      <c r="PY425" s="457"/>
      <c r="PZ425" s="457"/>
      <c r="QA425" s="457"/>
      <c r="QB425" s="457"/>
      <c r="QC425" s="457"/>
      <c r="QD425" s="457"/>
      <c r="QE425" s="457"/>
      <c r="QF425" s="457"/>
      <c r="QG425" s="457"/>
      <c r="QH425" s="457"/>
      <c r="QI425" s="457"/>
      <c r="QJ425" s="457"/>
      <c r="QK425" s="457"/>
      <c r="QL425" s="457"/>
      <c r="QM425" s="457"/>
      <c r="QN425" s="457"/>
      <c r="QO425" s="457"/>
      <c r="QP425" s="457"/>
      <c r="QQ425" s="457"/>
      <c r="QR425" s="457"/>
      <c r="QS425" s="457"/>
      <c r="QT425" s="457"/>
      <c r="QU425" s="457"/>
      <c r="QV425" s="457"/>
      <c r="QW425" s="457"/>
      <c r="QX425" s="457"/>
      <c r="QY425" s="457"/>
      <c r="QZ425" s="457"/>
      <c r="RA425" s="457"/>
      <c r="RB425" s="457"/>
      <c r="RC425" s="457"/>
      <c r="RD425" s="457"/>
      <c r="RE425" s="457"/>
      <c r="RF425" s="457"/>
      <c r="RG425" s="457"/>
      <c r="RH425" s="457"/>
      <c r="RI425" s="457"/>
      <c r="RJ425" s="457"/>
      <c r="RK425" s="457"/>
      <c r="RL425" s="457"/>
      <c r="RM425" s="457"/>
      <c r="RN425" s="457"/>
      <c r="RO425" s="457"/>
      <c r="RP425" s="457"/>
      <c r="RQ425" s="457"/>
      <c r="RR425" s="457"/>
      <c r="RS425" s="457"/>
      <c r="RT425" s="457"/>
      <c r="RU425" s="457"/>
      <c r="RV425" s="457"/>
      <c r="RW425" s="457"/>
      <c r="RX425" s="457"/>
      <c r="RY425" s="457"/>
      <c r="RZ425" s="457"/>
      <c r="SA425" s="457"/>
      <c r="SB425" s="457"/>
      <c r="SC425" s="457"/>
      <c r="SD425" s="457"/>
      <c r="SE425" s="457"/>
      <c r="SF425" s="457"/>
      <c r="SG425" s="457"/>
      <c r="SH425" s="457"/>
      <c r="SI425" s="457"/>
      <c r="SJ425" s="457"/>
      <c r="SK425" s="457"/>
      <c r="SL425" s="457"/>
      <c r="SM425" s="457"/>
      <c r="SN425" s="457"/>
      <c r="SO425" s="457"/>
      <c r="SP425" s="457"/>
      <c r="SQ425" s="457"/>
      <c r="SR425" s="457"/>
      <c r="SS425" s="457"/>
      <c r="ST425" s="457"/>
      <c r="SU425" s="457"/>
      <c r="SV425" s="457"/>
      <c r="SW425" s="457"/>
      <c r="SX425" s="457"/>
      <c r="SY425" s="457"/>
      <c r="SZ425" s="457"/>
      <c r="TA425" s="457"/>
      <c r="TB425" s="457"/>
      <c r="TC425" s="457"/>
      <c r="TD425" s="457"/>
      <c r="TE425" s="457"/>
      <c r="TF425" s="457"/>
      <c r="TG425" s="457"/>
      <c r="TH425" s="457"/>
      <c r="TI425" s="457"/>
      <c r="TJ425" s="457"/>
      <c r="TK425" s="457"/>
      <c r="TL425" s="457"/>
      <c r="TM425" s="457"/>
      <c r="TN425" s="457"/>
      <c r="TO425" s="457"/>
      <c r="TP425" s="457"/>
      <c r="TQ425" s="457"/>
      <c r="TR425" s="457"/>
      <c r="TS425" s="457"/>
      <c r="TT425" s="457"/>
      <c r="TU425" s="457"/>
      <c r="TV425" s="457"/>
      <c r="TW425" s="457"/>
      <c r="TX425" s="457"/>
      <c r="TY425" s="457"/>
      <c r="TZ425" s="457"/>
      <c r="UA425" s="457"/>
      <c r="UB425" s="457"/>
      <c r="UC425" s="457"/>
      <c r="UD425" s="457"/>
      <c r="UE425" s="457"/>
      <c r="UF425" s="457"/>
      <c r="UG425" s="457"/>
      <c r="UH425" s="457"/>
      <c r="UI425" s="457"/>
      <c r="UJ425" s="457"/>
      <c r="UK425" s="457"/>
      <c r="UL425" s="457"/>
      <c r="UM425" s="457"/>
      <c r="UN425" s="457"/>
      <c r="UO425" s="457"/>
      <c r="UP425" s="457"/>
      <c r="UQ425" s="457"/>
      <c r="UR425" s="457"/>
      <c r="US425" s="457"/>
      <c r="UT425" s="457"/>
      <c r="UU425" s="457"/>
      <c r="UV425" s="457"/>
      <c r="UW425" s="457"/>
      <c r="UX425" s="457"/>
      <c r="UY425" s="457"/>
      <c r="UZ425" s="457"/>
      <c r="VA425" s="457"/>
      <c r="VB425" s="457"/>
      <c r="VC425" s="457"/>
      <c r="VD425" s="457"/>
      <c r="VE425" s="457"/>
      <c r="VF425" s="457"/>
      <c r="VG425" s="457"/>
      <c r="VH425" s="457"/>
      <c r="VI425" s="457"/>
      <c r="VJ425" s="457"/>
      <c r="VK425" s="457"/>
      <c r="VL425" s="457"/>
      <c r="VM425" s="457"/>
      <c r="VN425" s="457"/>
      <c r="VO425" s="457"/>
      <c r="VP425" s="457"/>
      <c r="VQ425" s="457"/>
      <c r="VR425" s="457"/>
      <c r="VS425" s="457"/>
      <c r="VT425" s="457"/>
      <c r="VU425" s="457"/>
      <c r="VV425" s="457"/>
      <c r="VW425" s="457"/>
      <c r="VX425" s="457"/>
      <c r="VY425" s="457"/>
      <c r="VZ425" s="457"/>
      <c r="WA425" s="457"/>
      <c r="WB425" s="457"/>
      <c r="WC425" s="457"/>
      <c r="WD425" s="457"/>
      <c r="WE425" s="457"/>
      <c r="WF425" s="457"/>
      <c r="WG425" s="457"/>
      <c r="WH425" s="457"/>
      <c r="WI425" s="457"/>
      <c r="WJ425" s="457"/>
      <c r="WK425" s="457"/>
      <c r="WL425" s="457"/>
      <c r="WM425" s="457"/>
      <c r="WN425" s="457"/>
      <c r="WO425" s="457"/>
      <c r="WP425" s="457"/>
      <c r="WQ425" s="457"/>
      <c r="WR425" s="457"/>
      <c r="WS425" s="457"/>
      <c r="WT425" s="457"/>
      <c r="WU425" s="457"/>
      <c r="WV425" s="457"/>
      <c r="WW425" s="457"/>
      <c r="WX425" s="457"/>
      <c r="WY425" s="457"/>
      <c r="WZ425" s="457"/>
      <c r="XA425" s="457"/>
      <c r="XB425" s="457"/>
      <c r="XC425" s="457"/>
      <c r="XD425" s="457"/>
      <c r="XE425" s="457"/>
      <c r="XF425" s="457"/>
      <c r="XG425" s="457"/>
      <c r="XH425" s="457"/>
      <c r="XI425" s="457"/>
      <c r="XJ425" s="457"/>
      <c r="XK425" s="457"/>
      <c r="XL425" s="457"/>
      <c r="XM425" s="457"/>
      <c r="XN425" s="457"/>
      <c r="XO425" s="457"/>
      <c r="XP425" s="457"/>
      <c r="XQ425" s="457"/>
      <c r="XR425" s="457"/>
      <c r="XS425" s="457"/>
      <c r="XT425" s="457"/>
      <c r="XU425" s="457"/>
      <c r="XV425" s="457"/>
      <c r="XW425" s="457"/>
      <c r="XX425" s="457"/>
      <c r="XY425" s="457"/>
      <c r="XZ425" s="457"/>
      <c r="YA425" s="457"/>
      <c r="YB425" s="457"/>
      <c r="YC425" s="457"/>
      <c r="YD425" s="457"/>
      <c r="YE425" s="457"/>
      <c r="YF425" s="457"/>
      <c r="YG425" s="457"/>
      <c r="YH425" s="457"/>
      <c r="YI425" s="457"/>
      <c r="YJ425" s="457"/>
      <c r="YK425" s="457"/>
      <c r="YL425" s="457"/>
      <c r="YM425" s="457"/>
      <c r="YN425" s="457"/>
      <c r="YO425" s="457"/>
      <c r="YP425" s="457"/>
      <c r="YQ425" s="457"/>
      <c r="YR425" s="457"/>
      <c r="YS425" s="457"/>
      <c r="YT425" s="457"/>
      <c r="YU425" s="457"/>
      <c r="YV425" s="457"/>
      <c r="YW425" s="457"/>
      <c r="YX425" s="457"/>
      <c r="YY425" s="457"/>
      <c r="YZ425" s="457"/>
      <c r="ZA425" s="457"/>
      <c r="ZB425" s="457"/>
      <c r="ZC425" s="457"/>
      <c r="ZD425" s="457"/>
      <c r="ZE425" s="457"/>
      <c r="ZF425" s="457"/>
      <c r="ZG425" s="457"/>
      <c r="ZH425" s="457"/>
      <c r="ZI425" s="457"/>
      <c r="ZJ425" s="457"/>
      <c r="ZK425" s="457"/>
      <c r="ZL425" s="457"/>
      <c r="ZM425" s="457"/>
      <c r="ZN425" s="457"/>
      <c r="ZO425" s="457"/>
      <c r="ZP425" s="457"/>
      <c r="ZQ425" s="457"/>
      <c r="ZR425" s="457"/>
      <c r="ZS425" s="457"/>
      <c r="ZT425" s="457"/>
      <c r="ZU425" s="457"/>
      <c r="ZV425" s="457"/>
      <c r="ZW425" s="457"/>
      <c r="ZX425" s="457"/>
      <c r="ZY425" s="457"/>
      <c r="ZZ425" s="457"/>
      <c r="AAA425" s="457"/>
      <c r="AAB425" s="457"/>
      <c r="AAC425" s="457"/>
      <c r="AAD425" s="457"/>
      <c r="AAE425" s="457"/>
      <c r="AAF425" s="457"/>
      <c r="AAG425" s="457"/>
      <c r="AAH425" s="457"/>
      <c r="AAI425" s="457"/>
      <c r="AAJ425" s="457"/>
      <c r="AAK425" s="457"/>
      <c r="AAL425" s="457"/>
      <c r="AAM425" s="457"/>
      <c r="AAN425" s="457"/>
      <c r="AAO425" s="457"/>
      <c r="AAP425" s="457"/>
      <c r="AAQ425" s="457"/>
      <c r="AAR425" s="457"/>
      <c r="AAS425" s="457"/>
      <c r="AAT425" s="457"/>
      <c r="AAU425" s="457"/>
      <c r="AAV425" s="457"/>
      <c r="AAW425" s="457"/>
      <c r="AAX425" s="457"/>
      <c r="AAY425" s="457"/>
      <c r="AAZ425" s="457"/>
      <c r="ABA425" s="457"/>
      <c r="ABB425" s="457"/>
      <c r="ABC425" s="457"/>
      <c r="ABD425" s="457"/>
      <c r="ABE425" s="457"/>
      <c r="ABF425" s="457"/>
      <c r="ABG425" s="457"/>
      <c r="ABH425" s="457"/>
      <c r="ABI425" s="457"/>
      <c r="ABJ425" s="457"/>
      <c r="ABK425" s="457"/>
      <c r="ABL425" s="457"/>
      <c r="ABM425" s="457"/>
      <c r="ABN425" s="457"/>
      <c r="ABO425" s="457"/>
      <c r="ABP425" s="457"/>
      <c r="ABQ425" s="457"/>
      <c r="ABR425" s="457"/>
      <c r="ABS425" s="457"/>
      <c r="ABT425" s="457"/>
      <c r="ABU425" s="457"/>
      <c r="ABV425" s="457"/>
      <c r="ABW425" s="457"/>
      <c r="ABX425" s="457"/>
      <c r="ABY425" s="457"/>
      <c r="ABZ425" s="457"/>
      <c r="ACA425" s="457"/>
      <c r="ACB425" s="457"/>
      <c r="ACC425" s="457"/>
      <c r="ACD425" s="457"/>
      <c r="ACE425" s="457"/>
      <c r="ACF425" s="457"/>
      <c r="ACG425" s="457"/>
      <c r="ACH425" s="457"/>
      <c r="ACI425" s="457"/>
      <c r="ACJ425" s="457"/>
      <c r="ACK425" s="457"/>
      <c r="ACL425" s="457"/>
      <c r="ACM425" s="457"/>
      <c r="ACN425" s="457"/>
      <c r="ACO425" s="457"/>
      <c r="ACP425" s="457"/>
      <c r="ACQ425" s="457"/>
      <c r="ACR425" s="457"/>
      <c r="ACS425" s="457"/>
      <c r="ACT425" s="457"/>
      <c r="ACU425" s="457"/>
      <c r="ACV425" s="457"/>
    </row>
    <row r="426" spans="1:776" s="400" customFormat="1" x14ac:dyDescent="0.25">
      <c r="A426" s="470">
        <v>900139</v>
      </c>
      <c r="B426" s="237" t="s">
        <v>324</v>
      </c>
      <c r="C426" s="455"/>
      <c r="D426" s="454" t="s">
        <v>325</v>
      </c>
      <c r="E426" s="454">
        <v>1.1499999999999999</v>
      </c>
      <c r="F426" s="456">
        <v>15.12</v>
      </c>
      <c r="G426" s="454">
        <v>0.01</v>
      </c>
      <c r="H426" s="454">
        <v>0.04</v>
      </c>
      <c r="I426" s="456">
        <v>127</v>
      </c>
      <c r="J426" s="454">
        <v>172.29</v>
      </c>
      <c r="K426" s="454">
        <v>0.01</v>
      </c>
      <c r="L426" s="456">
        <v>247.2</v>
      </c>
      <c r="M426" s="454">
        <v>0.01</v>
      </c>
      <c r="N426" s="454">
        <v>2.14</v>
      </c>
      <c r="O426" s="454">
        <v>68.66</v>
      </c>
      <c r="P426" s="454">
        <v>107.39</v>
      </c>
      <c r="Q426" s="454">
        <v>45.26</v>
      </c>
      <c r="R426" s="454">
        <v>0.01</v>
      </c>
      <c r="S426" s="454">
        <v>0.01</v>
      </c>
      <c r="T426" s="454">
        <v>0.01</v>
      </c>
      <c r="U426" s="454">
        <v>0.01</v>
      </c>
      <c r="V426" s="454"/>
      <c r="W426" s="457"/>
      <c r="X426" s="457"/>
      <c r="Y426" s="457"/>
      <c r="Z426" s="457"/>
      <c r="AA426" s="457"/>
      <c r="AB426" s="457"/>
      <c r="AC426" s="457"/>
      <c r="AD426" s="457"/>
      <c r="AE426" s="457"/>
      <c r="AF426" s="457"/>
      <c r="AG426" s="457"/>
      <c r="AH426" s="457"/>
      <c r="AI426" s="457"/>
      <c r="AJ426" s="457"/>
      <c r="AK426" s="457"/>
      <c r="AL426" s="457"/>
      <c r="AM426" s="457"/>
      <c r="AN426" s="457"/>
      <c r="AO426" s="457"/>
      <c r="AP426" s="457"/>
      <c r="AQ426" s="457"/>
      <c r="AR426" s="457"/>
      <c r="AS426" s="457"/>
      <c r="AT426" s="457"/>
      <c r="AU426" s="457"/>
      <c r="AV426" s="457"/>
      <c r="AW426" s="457"/>
      <c r="AX426" s="457"/>
      <c r="AY426" s="457"/>
      <c r="AZ426" s="457"/>
      <c r="BA426" s="457"/>
      <c r="BB426" s="457"/>
      <c r="BC426" s="457"/>
      <c r="BD426" s="457"/>
      <c r="BE426" s="457"/>
      <c r="BF426" s="457"/>
      <c r="BG426" s="457"/>
      <c r="BH426" s="457"/>
      <c r="BI426" s="457"/>
      <c r="BJ426" s="457"/>
      <c r="BK426" s="457"/>
      <c r="BL426" s="457"/>
      <c r="BM426" s="457"/>
      <c r="BN426" s="457"/>
      <c r="BO426" s="457"/>
      <c r="BP426" s="457"/>
      <c r="BQ426" s="457"/>
      <c r="BR426" s="457"/>
      <c r="BS426" s="457"/>
      <c r="BT426" s="457"/>
      <c r="BU426" s="457"/>
      <c r="BV426" s="457"/>
      <c r="BW426" s="457"/>
      <c r="BX426" s="457"/>
      <c r="BY426" s="457"/>
      <c r="BZ426" s="457"/>
      <c r="CA426" s="457"/>
      <c r="CB426" s="457"/>
      <c r="CC426" s="457"/>
      <c r="CD426" s="457"/>
      <c r="CE426" s="457"/>
      <c r="CF426" s="457"/>
      <c r="CG426" s="457"/>
      <c r="CH426" s="457"/>
      <c r="CI426" s="457"/>
      <c r="CJ426" s="457"/>
      <c r="CK426" s="457"/>
      <c r="CL426" s="457"/>
      <c r="CM426" s="457"/>
      <c r="CN426" s="457"/>
      <c r="CO426" s="457"/>
      <c r="CP426" s="457"/>
      <c r="CQ426" s="457"/>
      <c r="CR426" s="457"/>
      <c r="CS426" s="457"/>
      <c r="CT426" s="457"/>
      <c r="CU426" s="457"/>
      <c r="CV426" s="457"/>
      <c r="CW426" s="457"/>
      <c r="CX426" s="457"/>
      <c r="CY426" s="457"/>
      <c r="CZ426" s="457"/>
      <c r="DA426" s="457"/>
      <c r="DB426" s="457"/>
      <c r="DC426" s="457"/>
      <c r="DD426" s="457"/>
      <c r="DE426" s="457"/>
      <c r="DF426" s="457"/>
      <c r="DG426" s="457"/>
      <c r="DH426" s="457"/>
      <c r="DI426" s="457"/>
      <c r="DJ426" s="457"/>
      <c r="DK426" s="457"/>
      <c r="DL426" s="457"/>
      <c r="DM426" s="457"/>
      <c r="DN426" s="457"/>
      <c r="DO426" s="457"/>
      <c r="DP426" s="457"/>
      <c r="DQ426" s="457"/>
      <c r="DR426" s="457"/>
      <c r="DS426" s="457"/>
      <c r="DT426" s="457"/>
      <c r="DU426" s="457"/>
      <c r="DV426" s="457"/>
      <c r="DW426" s="457"/>
      <c r="DX426" s="457"/>
      <c r="DY426" s="457"/>
      <c r="DZ426" s="457"/>
      <c r="EA426" s="457"/>
      <c r="EB426" s="457"/>
      <c r="EC426" s="457"/>
      <c r="ED426" s="457"/>
      <c r="EE426" s="457"/>
      <c r="EF426" s="457"/>
      <c r="EG426" s="457"/>
      <c r="EH426" s="457"/>
      <c r="EI426" s="457"/>
      <c r="EJ426" s="457"/>
      <c r="EK426" s="457"/>
      <c r="EL426" s="457"/>
      <c r="EM426" s="457"/>
      <c r="EN426" s="457"/>
      <c r="EO426" s="457"/>
      <c r="EP426" s="457"/>
      <c r="EQ426" s="457"/>
      <c r="ER426" s="457"/>
      <c r="ES426" s="457"/>
      <c r="ET426" s="457"/>
      <c r="EU426" s="457"/>
      <c r="EV426" s="457"/>
      <c r="EW426" s="457"/>
      <c r="EX426" s="457"/>
      <c r="EY426" s="457"/>
      <c r="EZ426" s="457"/>
      <c r="FA426" s="457"/>
      <c r="FB426" s="457"/>
      <c r="FC426" s="457"/>
      <c r="FD426" s="457"/>
      <c r="FE426" s="457"/>
      <c r="FF426" s="457"/>
      <c r="FG426" s="457"/>
      <c r="FH426" s="457"/>
      <c r="FI426" s="457"/>
      <c r="FJ426" s="457"/>
      <c r="FK426" s="457"/>
      <c r="FL426" s="457"/>
      <c r="FM426" s="457"/>
      <c r="FN426" s="457"/>
      <c r="FO426" s="457"/>
      <c r="FP426" s="457"/>
      <c r="FQ426" s="457"/>
      <c r="FR426" s="457"/>
      <c r="FS426" s="457"/>
      <c r="FT426" s="457"/>
      <c r="FU426" s="457"/>
      <c r="FV426" s="457"/>
      <c r="FW426" s="457"/>
      <c r="FX426" s="457"/>
      <c r="FY426" s="457"/>
      <c r="FZ426" s="457"/>
      <c r="GA426" s="457"/>
      <c r="GB426" s="457"/>
      <c r="GC426" s="457"/>
      <c r="GD426" s="457"/>
      <c r="GE426" s="457"/>
      <c r="GF426" s="457"/>
      <c r="GG426" s="457"/>
      <c r="GH426" s="457"/>
      <c r="GI426" s="457"/>
      <c r="GJ426" s="457"/>
      <c r="GK426" s="457"/>
      <c r="GL426" s="457"/>
      <c r="GM426" s="457"/>
      <c r="GN426" s="457"/>
      <c r="GO426" s="457"/>
      <c r="GP426" s="457"/>
      <c r="GQ426" s="457"/>
      <c r="GR426" s="457"/>
      <c r="GS426" s="457"/>
      <c r="GT426" s="457"/>
      <c r="GU426" s="457"/>
      <c r="GV426" s="457"/>
      <c r="GW426" s="457"/>
      <c r="GX426" s="457"/>
      <c r="GY426" s="457"/>
      <c r="GZ426" s="457"/>
      <c r="HA426" s="457"/>
      <c r="HB426" s="457"/>
      <c r="HC426" s="457"/>
      <c r="HD426" s="457"/>
      <c r="HE426" s="457"/>
      <c r="HF426" s="457"/>
      <c r="HG426" s="457"/>
      <c r="HH426" s="457"/>
      <c r="HI426" s="457"/>
      <c r="HJ426" s="457"/>
      <c r="HK426" s="457"/>
      <c r="HL426" s="457"/>
      <c r="HM426" s="457"/>
      <c r="HN426" s="457"/>
      <c r="HO426" s="457"/>
      <c r="HP426" s="457"/>
      <c r="HQ426" s="457"/>
      <c r="HR426" s="457"/>
      <c r="HS426" s="457"/>
      <c r="HT426" s="457"/>
      <c r="HU426" s="457"/>
      <c r="HV426" s="457"/>
      <c r="HW426" s="457"/>
      <c r="HX426" s="457"/>
      <c r="HY426" s="457"/>
      <c r="HZ426" s="457"/>
      <c r="IA426" s="457"/>
      <c r="IB426" s="457"/>
      <c r="IC426" s="457"/>
      <c r="ID426" s="457"/>
      <c r="IE426" s="457"/>
      <c r="IF426" s="457"/>
      <c r="IG426" s="457"/>
      <c r="IH426" s="457"/>
      <c r="II426" s="457"/>
      <c r="IJ426" s="457"/>
      <c r="IK426" s="457"/>
      <c r="IL426" s="457"/>
      <c r="IM426" s="457"/>
      <c r="IN426" s="457"/>
      <c r="IO426" s="457"/>
      <c r="IP426" s="457"/>
      <c r="IQ426" s="457"/>
      <c r="IR426" s="457"/>
      <c r="IS426" s="457"/>
      <c r="IT426" s="457"/>
      <c r="IU426" s="457"/>
      <c r="IV426" s="457"/>
      <c r="IW426" s="457"/>
      <c r="IX426" s="457"/>
      <c r="IY426" s="457"/>
      <c r="IZ426" s="457"/>
      <c r="JA426" s="457"/>
      <c r="JB426" s="457"/>
      <c r="JC426" s="457"/>
      <c r="JD426" s="457"/>
      <c r="JE426" s="457"/>
      <c r="JF426" s="457"/>
      <c r="JG426" s="457"/>
      <c r="JH426" s="457"/>
      <c r="JI426" s="457"/>
      <c r="JJ426" s="457"/>
      <c r="JK426" s="457"/>
      <c r="JL426" s="457"/>
      <c r="JM426" s="457"/>
      <c r="JN426" s="457"/>
      <c r="JO426" s="457"/>
      <c r="JP426" s="457"/>
      <c r="JQ426" s="457"/>
      <c r="JR426" s="457"/>
      <c r="JS426" s="457"/>
      <c r="JT426" s="457"/>
      <c r="JU426" s="457"/>
      <c r="JV426" s="457"/>
      <c r="JW426" s="457"/>
      <c r="JX426" s="457"/>
      <c r="JY426" s="457"/>
      <c r="JZ426" s="457"/>
      <c r="KA426" s="457"/>
      <c r="KB426" s="457"/>
      <c r="KC426" s="457"/>
      <c r="KD426" s="457"/>
      <c r="KE426" s="457"/>
      <c r="KF426" s="457"/>
      <c r="KG426" s="457"/>
      <c r="KH426" s="457"/>
      <c r="KI426" s="457"/>
      <c r="KJ426" s="457"/>
      <c r="KK426" s="457"/>
      <c r="KL426" s="457"/>
      <c r="KM426" s="457"/>
      <c r="KN426" s="457"/>
      <c r="KO426" s="457"/>
      <c r="KP426" s="457"/>
      <c r="KQ426" s="457"/>
      <c r="KR426" s="457"/>
      <c r="KS426" s="457"/>
      <c r="KT426" s="457"/>
      <c r="KU426" s="457"/>
      <c r="KV426" s="457"/>
      <c r="KW426" s="457"/>
      <c r="KX426" s="457"/>
      <c r="KY426" s="457"/>
      <c r="KZ426" s="457"/>
      <c r="LA426" s="457"/>
      <c r="LB426" s="457"/>
      <c r="LC426" s="457"/>
      <c r="LD426" s="457"/>
      <c r="LE426" s="457"/>
      <c r="LF426" s="457"/>
      <c r="LG426" s="457"/>
      <c r="LH426" s="457"/>
      <c r="LI426" s="457"/>
      <c r="LJ426" s="457"/>
      <c r="LK426" s="457"/>
      <c r="LL426" s="457"/>
      <c r="LM426" s="457"/>
      <c r="LN426" s="457"/>
      <c r="LO426" s="457"/>
      <c r="LP426" s="457"/>
      <c r="LQ426" s="457"/>
      <c r="LR426" s="457"/>
      <c r="LS426" s="457"/>
      <c r="LT426" s="457"/>
      <c r="LU426" s="457"/>
      <c r="LV426" s="457"/>
      <c r="LW426" s="457"/>
      <c r="LX426" s="457"/>
      <c r="LY426" s="457"/>
      <c r="LZ426" s="457"/>
      <c r="MA426" s="457"/>
      <c r="MB426" s="457"/>
      <c r="MC426" s="457"/>
      <c r="MD426" s="457"/>
      <c r="ME426" s="457"/>
      <c r="MF426" s="457"/>
      <c r="MG426" s="457"/>
      <c r="MH426" s="457"/>
      <c r="MI426" s="457"/>
      <c r="MJ426" s="457"/>
      <c r="MK426" s="457"/>
      <c r="ML426" s="457"/>
      <c r="MM426" s="457"/>
      <c r="MN426" s="457"/>
      <c r="MO426" s="457"/>
      <c r="MP426" s="457"/>
      <c r="MQ426" s="457"/>
      <c r="MR426" s="457"/>
      <c r="MS426" s="457"/>
      <c r="MT426" s="457"/>
      <c r="MU426" s="457"/>
      <c r="MV426" s="457"/>
      <c r="MW426" s="457"/>
      <c r="MX426" s="457"/>
      <c r="MY426" s="457"/>
      <c r="MZ426" s="457"/>
      <c r="NA426" s="457"/>
      <c r="NB426" s="457"/>
      <c r="NC426" s="457"/>
      <c r="ND426" s="457"/>
      <c r="NE426" s="457"/>
      <c r="NF426" s="457"/>
      <c r="NG426" s="457"/>
      <c r="NH426" s="457"/>
      <c r="NI426" s="457"/>
      <c r="NJ426" s="457"/>
      <c r="NK426" s="457"/>
      <c r="NL426" s="457"/>
      <c r="NM426" s="457"/>
      <c r="NN426" s="457"/>
      <c r="NO426" s="457"/>
      <c r="NP426" s="457"/>
      <c r="NQ426" s="457"/>
      <c r="NR426" s="457"/>
      <c r="NS426" s="457"/>
      <c r="NT426" s="457"/>
      <c r="NU426" s="457"/>
      <c r="NV426" s="457"/>
      <c r="NW426" s="457"/>
      <c r="NX426" s="457"/>
      <c r="NY426" s="457"/>
      <c r="NZ426" s="457"/>
      <c r="OA426" s="457"/>
      <c r="OB426" s="457"/>
      <c r="OC426" s="457"/>
      <c r="OD426" s="457"/>
      <c r="OE426" s="457"/>
      <c r="OF426" s="457"/>
      <c r="OG426" s="457"/>
      <c r="OH426" s="457"/>
      <c r="OI426" s="457"/>
      <c r="OJ426" s="457"/>
      <c r="OK426" s="457"/>
      <c r="OL426" s="457"/>
      <c r="OM426" s="457"/>
      <c r="ON426" s="457"/>
      <c r="OO426" s="457"/>
      <c r="OP426" s="457"/>
      <c r="OQ426" s="457"/>
      <c r="OR426" s="457"/>
      <c r="OS426" s="457"/>
      <c r="OT426" s="457"/>
      <c r="OU426" s="457"/>
      <c r="OV426" s="457"/>
      <c r="OW426" s="457"/>
      <c r="OX426" s="457"/>
      <c r="OY426" s="457"/>
      <c r="OZ426" s="457"/>
      <c r="PA426" s="457"/>
      <c r="PB426" s="457"/>
      <c r="PC426" s="457"/>
      <c r="PD426" s="457"/>
      <c r="PE426" s="457"/>
      <c r="PF426" s="457"/>
      <c r="PG426" s="457"/>
      <c r="PH426" s="457"/>
      <c r="PI426" s="457"/>
      <c r="PJ426" s="457"/>
      <c r="PK426" s="457"/>
      <c r="PL426" s="457"/>
      <c r="PM426" s="457"/>
      <c r="PN426" s="457"/>
      <c r="PO426" s="457"/>
      <c r="PP426" s="457"/>
      <c r="PQ426" s="457"/>
      <c r="PR426" s="457"/>
      <c r="PS426" s="457"/>
      <c r="PT426" s="457"/>
      <c r="PU426" s="457"/>
      <c r="PV426" s="457"/>
      <c r="PW426" s="457"/>
      <c r="PX426" s="457"/>
      <c r="PY426" s="457"/>
      <c r="PZ426" s="457"/>
      <c r="QA426" s="457"/>
      <c r="QB426" s="457"/>
      <c r="QC426" s="457"/>
      <c r="QD426" s="457"/>
      <c r="QE426" s="457"/>
      <c r="QF426" s="457"/>
      <c r="QG426" s="457"/>
      <c r="QH426" s="457"/>
      <c r="QI426" s="457"/>
      <c r="QJ426" s="457"/>
      <c r="QK426" s="457"/>
      <c r="QL426" s="457"/>
      <c r="QM426" s="457"/>
      <c r="QN426" s="457"/>
      <c r="QO426" s="457"/>
      <c r="QP426" s="457"/>
      <c r="QQ426" s="457"/>
      <c r="QR426" s="457"/>
      <c r="QS426" s="457"/>
      <c r="QT426" s="457"/>
      <c r="QU426" s="457"/>
      <c r="QV426" s="457"/>
      <c r="QW426" s="457"/>
      <c r="QX426" s="457"/>
      <c r="QY426" s="457"/>
      <c r="QZ426" s="457"/>
      <c r="RA426" s="457"/>
      <c r="RB426" s="457"/>
      <c r="RC426" s="457"/>
      <c r="RD426" s="457"/>
      <c r="RE426" s="457"/>
      <c r="RF426" s="457"/>
      <c r="RG426" s="457"/>
      <c r="RH426" s="457"/>
      <c r="RI426" s="457"/>
      <c r="RJ426" s="457"/>
      <c r="RK426" s="457"/>
      <c r="RL426" s="457"/>
      <c r="RM426" s="457"/>
      <c r="RN426" s="457"/>
      <c r="RO426" s="457"/>
      <c r="RP426" s="457"/>
      <c r="RQ426" s="457"/>
      <c r="RR426" s="457"/>
      <c r="RS426" s="457"/>
      <c r="RT426" s="457"/>
      <c r="RU426" s="457"/>
      <c r="RV426" s="457"/>
      <c r="RW426" s="457"/>
      <c r="RX426" s="457"/>
      <c r="RY426" s="457"/>
      <c r="RZ426" s="457"/>
      <c r="SA426" s="457"/>
      <c r="SB426" s="457"/>
      <c r="SC426" s="457"/>
      <c r="SD426" s="457"/>
      <c r="SE426" s="457"/>
      <c r="SF426" s="457"/>
      <c r="SG426" s="457"/>
      <c r="SH426" s="457"/>
      <c r="SI426" s="457"/>
      <c r="SJ426" s="457"/>
      <c r="SK426" s="457"/>
      <c r="SL426" s="457"/>
      <c r="SM426" s="457"/>
      <c r="SN426" s="457"/>
      <c r="SO426" s="457"/>
      <c r="SP426" s="457"/>
      <c r="SQ426" s="457"/>
      <c r="SR426" s="457"/>
      <c r="SS426" s="457"/>
      <c r="ST426" s="457"/>
      <c r="SU426" s="457"/>
      <c r="SV426" s="457"/>
      <c r="SW426" s="457"/>
      <c r="SX426" s="457"/>
      <c r="SY426" s="457"/>
      <c r="SZ426" s="457"/>
      <c r="TA426" s="457"/>
      <c r="TB426" s="457"/>
      <c r="TC426" s="457"/>
      <c r="TD426" s="457"/>
      <c r="TE426" s="457"/>
      <c r="TF426" s="457"/>
      <c r="TG426" s="457"/>
      <c r="TH426" s="457"/>
      <c r="TI426" s="457"/>
      <c r="TJ426" s="457"/>
      <c r="TK426" s="457"/>
      <c r="TL426" s="457"/>
      <c r="TM426" s="457"/>
      <c r="TN426" s="457"/>
      <c r="TO426" s="457"/>
      <c r="TP426" s="457"/>
      <c r="TQ426" s="457"/>
      <c r="TR426" s="457"/>
      <c r="TS426" s="457"/>
      <c r="TT426" s="457"/>
      <c r="TU426" s="457"/>
      <c r="TV426" s="457"/>
      <c r="TW426" s="457"/>
      <c r="TX426" s="457"/>
      <c r="TY426" s="457"/>
      <c r="TZ426" s="457"/>
      <c r="UA426" s="457"/>
      <c r="UB426" s="457"/>
      <c r="UC426" s="457"/>
      <c r="UD426" s="457"/>
      <c r="UE426" s="457"/>
      <c r="UF426" s="457"/>
      <c r="UG426" s="457"/>
      <c r="UH426" s="457"/>
      <c r="UI426" s="457"/>
      <c r="UJ426" s="457"/>
      <c r="UK426" s="457"/>
      <c r="UL426" s="457"/>
      <c r="UM426" s="457"/>
      <c r="UN426" s="457"/>
      <c r="UO426" s="457"/>
      <c r="UP426" s="457"/>
      <c r="UQ426" s="457"/>
      <c r="UR426" s="457"/>
      <c r="US426" s="457"/>
      <c r="UT426" s="457"/>
      <c r="UU426" s="457"/>
      <c r="UV426" s="457"/>
      <c r="UW426" s="457"/>
      <c r="UX426" s="457"/>
      <c r="UY426" s="457"/>
      <c r="UZ426" s="457"/>
      <c r="VA426" s="457"/>
      <c r="VB426" s="457"/>
      <c r="VC426" s="457"/>
      <c r="VD426" s="457"/>
      <c r="VE426" s="457"/>
      <c r="VF426" s="457"/>
      <c r="VG426" s="457"/>
      <c r="VH426" s="457"/>
      <c r="VI426" s="457"/>
      <c r="VJ426" s="457"/>
      <c r="VK426" s="457"/>
      <c r="VL426" s="457"/>
      <c r="VM426" s="457"/>
      <c r="VN426" s="457"/>
      <c r="VO426" s="457"/>
      <c r="VP426" s="457"/>
      <c r="VQ426" s="457"/>
      <c r="VR426" s="457"/>
      <c r="VS426" s="457"/>
      <c r="VT426" s="457"/>
      <c r="VU426" s="457"/>
      <c r="VV426" s="457"/>
      <c r="VW426" s="457"/>
      <c r="VX426" s="457"/>
      <c r="VY426" s="457"/>
      <c r="VZ426" s="457"/>
      <c r="WA426" s="457"/>
      <c r="WB426" s="457"/>
      <c r="WC426" s="457"/>
      <c r="WD426" s="457"/>
      <c r="WE426" s="457"/>
      <c r="WF426" s="457"/>
      <c r="WG426" s="457"/>
      <c r="WH426" s="457"/>
      <c r="WI426" s="457"/>
      <c r="WJ426" s="457"/>
      <c r="WK426" s="457"/>
      <c r="WL426" s="457"/>
      <c r="WM426" s="457"/>
      <c r="WN426" s="457"/>
      <c r="WO426" s="457"/>
      <c r="WP426" s="457"/>
      <c r="WQ426" s="457"/>
      <c r="WR426" s="457"/>
      <c r="WS426" s="457"/>
      <c r="WT426" s="457"/>
      <c r="WU426" s="457"/>
      <c r="WV426" s="457"/>
      <c r="WW426" s="457"/>
      <c r="WX426" s="457"/>
      <c r="WY426" s="457"/>
      <c r="WZ426" s="457"/>
      <c r="XA426" s="457"/>
      <c r="XB426" s="457"/>
      <c r="XC426" s="457"/>
      <c r="XD426" s="457"/>
      <c r="XE426" s="457"/>
      <c r="XF426" s="457"/>
      <c r="XG426" s="457"/>
      <c r="XH426" s="457"/>
      <c r="XI426" s="457"/>
      <c r="XJ426" s="457"/>
      <c r="XK426" s="457"/>
      <c r="XL426" s="457"/>
      <c r="XM426" s="457"/>
      <c r="XN426" s="457"/>
      <c r="XO426" s="457"/>
      <c r="XP426" s="457"/>
      <c r="XQ426" s="457"/>
      <c r="XR426" s="457"/>
      <c r="XS426" s="457"/>
      <c r="XT426" s="457"/>
      <c r="XU426" s="457"/>
      <c r="XV426" s="457"/>
      <c r="XW426" s="457"/>
      <c r="XX426" s="457"/>
      <c r="XY426" s="457"/>
      <c r="XZ426" s="457"/>
      <c r="YA426" s="457"/>
      <c r="YB426" s="457"/>
      <c r="YC426" s="457"/>
      <c r="YD426" s="457"/>
      <c r="YE426" s="457"/>
      <c r="YF426" s="457"/>
      <c r="YG426" s="457"/>
      <c r="YH426" s="457"/>
      <c r="YI426" s="457"/>
      <c r="YJ426" s="457"/>
      <c r="YK426" s="457"/>
      <c r="YL426" s="457"/>
      <c r="YM426" s="457"/>
      <c r="YN426" s="457"/>
      <c r="YO426" s="457"/>
      <c r="YP426" s="457"/>
      <c r="YQ426" s="457"/>
      <c r="YR426" s="457"/>
      <c r="YS426" s="457"/>
      <c r="YT426" s="457"/>
      <c r="YU426" s="457"/>
      <c r="YV426" s="457"/>
      <c r="YW426" s="457"/>
      <c r="YX426" s="457"/>
      <c r="YY426" s="457"/>
      <c r="YZ426" s="457"/>
      <c r="ZA426" s="457"/>
      <c r="ZB426" s="457"/>
      <c r="ZC426" s="457"/>
      <c r="ZD426" s="457"/>
      <c r="ZE426" s="457"/>
      <c r="ZF426" s="457"/>
      <c r="ZG426" s="457"/>
      <c r="ZH426" s="457"/>
      <c r="ZI426" s="457"/>
      <c r="ZJ426" s="457"/>
      <c r="ZK426" s="457"/>
      <c r="ZL426" s="457"/>
      <c r="ZM426" s="457"/>
      <c r="ZN426" s="457"/>
      <c r="ZO426" s="457"/>
      <c r="ZP426" s="457"/>
      <c r="ZQ426" s="457"/>
      <c r="ZR426" s="457"/>
      <c r="ZS426" s="457"/>
      <c r="ZT426" s="457"/>
      <c r="ZU426" s="457"/>
      <c r="ZV426" s="457"/>
      <c r="ZW426" s="457"/>
      <c r="ZX426" s="457"/>
      <c r="ZY426" s="457"/>
      <c r="ZZ426" s="457"/>
      <c r="AAA426" s="457"/>
      <c r="AAB426" s="457"/>
      <c r="AAC426" s="457"/>
      <c r="AAD426" s="457"/>
      <c r="AAE426" s="457"/>
      <c r="AAF426" s="457"/>
      <c r="AAG426" s="457"/>
      <c r="AAH426" s="457"/>
      <c r="AAI426" s="457"/>
      <c r="AAJ426" s="457"/>
      <c r="AAK426" s="457"/>
      <c r="AAL426" s="457"/>
      <c r="AAM426" s="457"/>
      <c r="AAN426" s="457"/>
      <c r="AAO426" s="457"/>
      <c r="AAP426" s="457"/>
      <c r="AAQ426" s="457"/>
      <c r="AAR426" s="457"/>
      <c r="AAS426" s="457"/>
      <c r="AAT426" s="457"/>
      <c r="AAU426" s="457"/>
      <c r="AAV426" s="457"/>
      <c r="AAW426" s="457"/>
      <c r="AAX426" s="457"/>
      <c r="AAY426" s="457"/>
      <c r="AAZ426" s="457"/>
      <c r="ABA426" s="457"/>
      <c r="ABB426" s="457"/>
      <c r="ABC426" s="457"/>
      <c r="ABD426" s="457"/>
      <c r="ABE426" s="457"/>
      <c r="ABF426" s="457"/>
      <c r="ABG426" s="457"/>
      <c r="ABH426" s="457"/>
      <c r="ABI426" s="457"/>
      <c r="ABJ426" s="457"/>
      <c r="ABK426" s="457"/>
      <c r="ABL426" s="457"/>
      <c r="ABM426" s="457"/>
      <c r="ABN426" s="457"/>
      <c r="ABO426" s="457"/>
      <c r="ABP426" s="457"/>
      <c r="ABQ426" s="457"/>
      <c r="ABR426" s="457"/>
      <c r="ABS426" s="457"/>
      <c r="ABT426" s="457"/>
      <c r="ABU426" s="457"/>
      <c r="ABV426" s="457"/>
      <c r="ABW426" s="457"/>
      <c r="ABX426" s="457"/>
      <c r="ABY426" s="457"/>
      <c r="ABZ426" s="457"/>
      <c r="ACA426" s="457"/>
      <c r="ACB426" s="457"/>
      <c r="ACC426" s="457"/>
      <c r="ACD426" s="457"/>
      <c r="ACE426" s="457"/>
      <c r="ACF426" s="457"/>
      <c r="ACG426" s="457"/>
      <c r="ACH426" s="457"/>
      <c r="ACI426" s="457"/>
      <c r="ACJ426" s="457"/>
      <c r="ACK426" s="457"/>
      <c r="ACL426" s="457"/>
      <c r="ACM426" s="457"/>
      <c r="ACN426" s="457"/>
      <c r="ACO426" s="457"/>
      <c r="ACP426" s="457"/>
      <c r="ACQ426" s="457"/>
      <c r="ACR426" s="457"/>
      <c r="ACS426" s="457"/>
      <c r="ACT426" s="457"/>
      <c r="ACU426" s="457"/>
      <c r="ACV426" s="457"/>
    </row>
    <row r="427" spans="1:776" s="400" customFormat="1" x14ac:dyDescent="0.25">
      <c r="A427" s="470">
        <v>900140</v>
      </c>
      <c r="B427" s="237" t="s">
        <v>326</v>
      </c>
      <c r="C427" s="455"/>
      <c r="D427" s="454" t="s">
        <v>327</v>
      </c>
      <c r="E427" s="454">
        <v>0.63900000000000001</v>
      </c>
      <c r="F427" s="456">
        <v>19.059999999999999</v>
      </c>
      <c r="G427" s="454">
        <v>0.01</v>
      </c>
      <c r="H427" s="454">
        <v>0.01</v>
      </c>
      <c r="I427" s="456">
        <v>26.07</v>
      </c>
      <c r="J427" s="454">
        <v>54.42</v>
      </c>
      <c r="K427" s="454">
        <v>3.0599999999999999E-2</v>
      </c>
      <c r="L427" s="456">
        <v>297.60000000000002</v>
      </c>
      <c r="M427" s="454">
        <v>0.01</v>
      </c>
      <c r="N427" s="454">
        <v>1.67</v>
      </c>
      <c r="O427" s="454">
        <v>25.49</v>
      </c>
      <c r="P427" s="454">
        <v>67.97</v>
      </c>
      <c r="Q427" s="454">
        <v>35.42</v>
      </c>
      <c r="R427" s="454">
        <v>0.01</v>
      </c>
      <c r="S427" s="454">
        <v>0.01</v>
      </c>
      <c r="T427" s="454">
        <v>0.01</v>
      </c>
      <c r="U427" s="454">
        <v>0.01</v>
      </c>
      <c r="V427" s="454"/>
      <c r="W427" s="457"/>
      <c r="X427" s="457"/>
      <c r="Y427" s="457"/>
      <c r="Z427" s="457"/>
      <c r="AA427" s="457"/>
      <c r="AB427" s="457"/>
      <c r="AC427" s="457"/>
      <c r="AD427" s="457"/>
      <c r="AE427" s="457"/>
      <c r="AF427" s="457"/>
      <c r="AG427" s="457"/>
      <c r="AH427" s="457"/>
      <c r="AI427" s="457"/>
      <c r="AJ427" s="457"/>
      <c r="AK427" s="457"/>
      <c r="AL427" s="457"/>
      <c r="AM427" s="457"/>
      <c r="AN427" s="457"/>
      <c r="AO427" s="457"/>
      <c r="AP427" s="457"/>
      <c r="AQ427" s="457"/>
      <c r="AR427" s="457"/>
      <c r="AS427" s="457"/>
      <c r="AT427" s="457"/>
      <c r="AU427" s="457"/>
      <c r="AV427" s="457"/>
      <c r="AW427" s="457"/>
      <c r="AX427" s="457"/>
      <c r="AY427" s="457"/>
      <c r="AZ427" s="457"/>
      <c r="BA427" s="457"/>
      <c r="BB427" s="457"/>
      <c r="BC427" s="457"/>
      <c r="BD427" s="457"/>
      <c r="BE427" s="457"/>
      <c r="BF427" s="457"/>
      <c r="BG427" s="457"/>
      <c r="BH427" s="457"/>
      <c r="BI427" s="457"/>
      <c r="BJ427" s="457"/>
      <c r="BK427" s="457"/>
      <c r="BL427" s="457"/>
      <c r="BM427" s="457"/>
      <c r="BN427" s="457"/>
      <c r="BO427" s="457"/>
      <c r="BP427" s="457"/>
      <c r="BQ427" s="457"/>
      <c r="BR427" s="457"/>
      <c r="BS427" s="457"/>
      <c r="BT427" s="457"/>
      <c r="BU427" s="457"/>
      <c r="BV427" s="457"/>
      <c r="BW427" s="457"/>
      <c r="BX427" s="457"/>
      <c r="BY427" s="457"/>
      <c r="BZ427" s="457"/>
      <c r="CA427" s="457"/>
      <c r="CB427" s="457"/>
      <c r="CC427" s="457"/>
      <c r="CD427" s="457"/>
      <c r="CE427" s="457"/>
      <c r="CF427" s="457"/>
      <c r="CG427" s="457"/>
      <c r="CH427" s="457"/>
      <c r="CI427" s="457"/>
      <c r="CJ427" s="457"/>
      <c r="CK427" s="457"/>
      <c r="CL427" s="457"/>
      <c r="CM427" s="457"/>
      <c r="CN427" s="457"/>
      <c r="CO427" s="457"/>
      <c r="CP427" s="457"/>
      <c r="CQ427" s="457"/>
      <c r="CR427" s="457"/>
      <c r="CS427" s="457"/>
      <c r="CT427" s="457"/>
      <c r="CU427" s="457"/>
      <c r="CV427" s="457"/>
      <c r="CW427" s="457"/>
      <c r="CX427" s="457"/>
      <c r="CY427" s="457"/>
      <c r="CZ427" s="457"/>
      <c r="DA427" s="457"/>
      <c r="DB427" s="457"/>
      <c r="DC427" s="457"/>
      <c r="DD427" s="457"/>
      <c r="DE427" s="457"/>
      <c r="DF427" s="457"/>
      <c r="DG427" s="457"/>
      <c r="DH427" s="457"/>
      <c r="DI427" s="457"/>
      <c r="DJ427" s="457"/>
      <c r="DK427" s="457"/>
      <c r="DL427" s="457"/>
      <c r="DM427" s="457"/>
      <c r="DN427" s="457"/>
      <c r="DO427" s="457"/>
      <c r="DP427" s="457"/>
      <c r="DQ427" s="457"/>
      <c r="DR427" s="457"/>
      <c r="DS427" s="457"/>
      <c r="DT427" s="457"/>
      <c r="DU427" s="457"/>
      <c r="DV427" s="457"/>
      <c r="DW427" s="457"/>
      <c r="DX427" s="457"/>
      <c r="DY427" s="457"/>
      <c r="DZ427" s="457"/>
      <c r="EA427" s="457"/>
      <c r="EB427" s="457"/>
      <c r="EC427" s="457"/>
      <c r="ED427" s="457"/>
      <c r="EE427" s="457"/>
      <c r="EF427" s="457"/>
      <c r="EG427" s="457"/>
      <c r="EH427" s="457"/>
      <c r="EI427" s="457"/>
      <c r="EJ427" s="457"/>
      <c r="EK427" s="457"/>
      <c r="EL427" s="457"/>
      <c r="EM427" s="457"/>
      <c r="EN427" s="457"/>
      <c r="EO427" s="457"/>
      <c r="EP427" s="457"/>
      <c r="EQ427" s="457"/>
      <c r="ER427" s="457"/>
      <c r="ES427" s="457"/>
      <c r="ET427" s="457"/>
      <c r="EU427" s="457"/>
      <c r="EV427" s="457"/>
      <c r="EW427" s="457"/>
      <c r="EX427" s="457"/>
      <c r="EY427" s="457"/>
      <c r="EZ427" s="457"/>
      <c r="FA427" s="457"/>
      <c r="FB427" s="457"/>
      <c r="FC427" s="457"/>
      <c r="FD427" s="457"/>
      <c r="FE427" s="457"/>
      <c r="FF427" s="457"/>
      <c r="FG427" s="457"/>
      <c r="FH427" s="457"/>
      <c r="FI427" s="457"/>
      <c r="FJ427" s="457"/>
      <c r="FK427" s="457"/>
      <c r="FL427" s="457"/>
      <c r="FM427" s="457"/>
      <c r="FN427" s="457"/>
      <c r="FO427" s="457"/>
      <c r="FP427" s="457"/>
      <c r="FQ427" s="457"/>
      <c r="FR427" s="457"/>
      <c r="FS427" s="457"/>
      <c r="FT427" s="457"/>
      <c r="FU427" s="457"/>
      <c r="FV427" s="457"/>
      <c r="FW427" s="457"/>
      <c r="FX427" s="457"/>
      <c r="FY427" s="457"/>
      <c r="FZ427" s="457"/>
      <c r="GA427" s="457"/>
      <c r="GB427" s="457"/>
      <c r="GC427" s="457"/>
      <c r="GD427" s="457"/>
      <c r="GE427" s="457"/>
      <c r="GF427" s="457"/>
      <c r="GG427" s="457"/>
      <c r="GH427" s="457"/>
      <c r="GI427" s="457"/>
      <c r="GJ427" s="457"/>
      <c r="GK427" s="457"/>
      <c r="GL427" s="457"/>
      <c r="GM427" s="457"/>
      <c r="GN427" s="457"/>
      <c r="GO427" s="457"/>
      <c r="GP427" s="457"/>
      <c r="GQ427" s="457"/>
      <c r="GR427" s="457"/>
      <c r="GS427" s="457"/>
      <c r="GT427" s="457"/>
      <c r="GU427" s="457"/>
      <c r="GV427" s="457"/>
      <c r="GW427" s="457"/>
      <c r="GX427" s="457"/>
      <c r="GY427" s="457"/>
      <c r="GZ427" s="457"/>
      <c r="HA427" s="457"/>
      <c r="HB427" s="457"/>
      <c r="HC427" s="457"/>
      <c r="HD427" s="457"/>
      <c r="HE427" s="457"/>
      <c r="HF427" s="457"/>
      <c r="HG427" s="457"/>
      <c r="HH427" s="457"/>
      <c r="HI427" s="457"/>
      <c r="HJ427" s="457"/>
      <c r="HK427" s="457"/>
      <c r="HL427" s="457"/>
      <c r="HM427" s="457"/>
      <c r="HN427" s="457"/>
      <c r="HO427" s="457"/>
      <c r="HP427" s="457"/>
      <c r="HQ427" s="457"/>
      <c r="HR427" s="457"/>
      <c r="HS427" s="457"/>
      <c r="HT427" s="457"/>
      <c r="HU427" s="457"/>
      <c r="HV427" s="457"/>
      <c r="HW427" s="457"/>
      <c r="HX427" s="457"/>
      <c r="HY427" s="457"/>
      <c r="HZ427" s="457"/>
      <c r="IA427" s="457"/>
      <c r="IB427" s="457"/>
      <c r="IC427" s="457"/>
      <c r="ID427" s="457"/>
      <c r="IE427" s="457"/>
      <c r="IF427" s="457"/>
      <c r="IG427" s="457"/>
      <c r="IH427" s="457"/>
      <c r="II427" s="457"/>
      <c r="IJ427" s="457"/>
      <c r="IK427" s="457"/>
      <c r="IL427" s="457"/>
      <c r="IM427" s="457"/>
      <c r="IN427" s="457"/>
      <c r="IO427" s="457"/>
      <c r="IP427" s="457"/>
      <c r="IQ427" s="457"/>
      <c r="IR427" s="457"/>
      <c r="IS427" s="457"/>
      <c r="IT427" s="457"/>
      <c r="IU427" s="457"/>
      <c r="IV427" s="457"/>
      <c r="IW427" s="457"/>
      <c r="IX427" s="457"/>
      <c r="IY427" s="457"/>
      <c r="IZ427" s="457"/>
      <c r="JA427" s="457"/>
      <c r="JB427" s="457"/>
      <c r="JC427" s="457"/>
      <c r="JD427" s="457"/>
      <c r="JE427" s="457"/>
      <c r="JF427" s="457"/>
      <c r="JG427" s="457"/>
      <c r="JH427" s="457"/>
      <c r="JI427" s="457"/>
      <c r="JJ427" s="457"/>
      <c r="JK427" s="457"/>
      <c r="JL427" s="457"/>
      <c r="JM427" s="457"/>
      <c r="JN427" s="457"/>
      <c r="JO427" s="457"/>
      <c r="JP427" s="457"/>
      <c r="JQ427" s="457"/>
      <c r="JR427" s="457"/>
      <c r="JS427" s="457"/>
      <c r="JT427" s="457"/>
      <c r="JU427" s="457"/>
      <c r="JV427" s="457"/>
      <c r="JW427" s="457"/>
      <c r="JX427" s="457"/>
      <c r="JY427" s="457"/>
      <c r="JZ427" s="457"/>
      <c r="KA427" s="457"/>
      <c r="KB427" s="457"/>
      <c r="KC427" s="457"/>
      <c r="KD427" s="457"/>
      <c r="KE427" s="457"/>
      <c r="KF427" s="457"/>
      <c r="KG427" s="457"/>
      <c r="KH427" s="457"/>
      <c r="KI427" s="457"/>
      <c r="KJ427" s="457"/>
      <c r="KK427" s="457"/>
      <c r="KL427" s="457"/>
      <c r="KM427" s="457"/>
      <c r="KN427" s="457"/>
      <c r="KO427" s="457"/>
      <c r="KP427" s="457"/>
      <c r="KQ427" s="457"/>
      <c r="KR427" s="457"/>
      <c r="KS427" s="457"/>
      <c r="KT427" s="457"/>
      <c r="KU427" s="457"/>
      <c r="KV427" s="457"/>
      <c r="KW427" s="457"/>
      <c r="KX427" s="457"/>
      <c r="KY427" s="457"/>
      <c r="KZ427" s="457"/>
      <c r="LA427" s="457"/>
      <c r="LB427" s="457"/>
      <c r="LC427" s="457"/>
      <c r="LD427" s="457"/>
      <c r="LE427" s="457"/>
      <c r="LF427" s="457"/>
      <c r="LG427" s="457"/>
      <c r="LH427" s="457"/>
      <c r="LI427" s="457"/>
      <c r="LJ427" s="457"/>
      <c r="LK427" s="457"/>
      <c r="LL427" s="457"/>
      <c r="LM427" s="457"/>
      <c r="LN427" s="457"/>
      <c r="LO427" s="457"/>
      <c r="LP427" s="457"/>
      <c r="LQ427" s="457"/>
      <c r="LR427" s="457"/>
      <c r="LS427" s="457"/>
      <c r="LT427" s="457"/>
      <c r="LU427" s="457"/>
      <c r="LV427" s="457"/>
      <c r="LW427" s="457"/>
      <c r="LX427" s="457"/>
      <c r="LY427" s="457"/>
      <c r="LZ427" s="457"/>
      <c r="MA427" s="457"/>
      <c r="MB427" s="457"/>
      <c r="MC427" s="457"/>
      <c r="MD427" s="457"/>
      <c r="ME427" s="457"/>
      <c r="MF427" s="457"/>
      <c r="MG427" s="457"/>
      <c r="MH427" s="457"/>
      <c r="MI427" s="457"/>
      <c r="MJ427" s="457"/>
      <c r="MK427" s="457"/>
      <c r="ML427" s="457"/>
      <c r="MM427" s="457"/>
      <c r="MN427" s="457"/>
      <c r="MO427" s="457"/>
      <c r="MP427" s="457"/>
      <c r="MQ427" s="457"/>
      <c r="MR427" s="457"/>
      <c r="MS427" s="457"/>
      <c r="MT427" s="457"/>
      <c r="MU427" s="457"/>
      <c r="MV427" s="457"/>
      <c r="MW427" s="457"/>
      <c r="MX427" s="457"/>
      <c r="MY427" s="457"/>
      <c r="MZ427" s="457"/>
      <c r="NA427" s="457"/>
      <c r="NB427" s="457"/>
      <c r="NC427" s="457"/>
      <c r="ND427" s="457"/>
      <c r="NE427" s="457"/>
      <c r="NF427" s="457"/>
      <c r="NG427" s="457"/>
      <c r="NH427" s="457"/>
      <c r="NI427" s="457"/>
      <c r="NJ427" s="457"/>
      <c r="NK427" s="457"/>
      <c r="NL427" s="457"/>
      <c r="NM427" s="457"/>
      <c r="NN427" s="457"/>
      <c r="NO427" s="457"/>
      <c r="NP427" s="457"/>
      <c r="NQ427" s="457"/>
      <c r="NR427" s="457"/>
      <c r="NS427" s="457"/>
      <c r="NT427" s="457"/>
      <c r="NU427" s="457"/>
      <c r="NV427" s="457"/>
      <c r="NW427" s="457"/>
      <c r="NX427" s="457"/>
      <c r="NY427" s="457"/>
      <c r="NZ427" s="457"/>
      <c r="OA427" s="457"/>
      <c r="OB427" s="457"/>
      <c r="OC427" s="457"/>
      <c r="OD427" s="457"/>
      <c r="OE427" s="457"/>
      <c r="OF427" s="457"/>
      <c r="OG427" s="457"/>
      <c r="OH427" s="457"/>
      <c r="OI427" s="457"/>
      <c r="OJ427" s="457"/>
      <c r="OK427" s="457"/>
      <c r="OL427" s="457"/>
      <c r="OM427" s="457"/>
      <c r="ON427" s="457"/>
      <c r="OO427" s="457"/>
      <c r="OP427" s="457"/>
      <c r="OQ427" s="457"/>
      <c r="OR427" s="457"/>
      <c r="OS427" s="457"/>
      <c r="OT427" s="457"/>
      <c r="OU427" s="457"/>
      <c r="OV427" s="457"/>
      <c r="OW427" s="457"/>
      <c r="OX427" s="457"/>
      <c r="OY427" s="457"/>
      <c r="OZ427" s="457"/>
      <c r="PA427" s="457"/>
      <c r="PB427" s="457"/>
      <c r="PC427" s="457"/>
      <c r="PD427" s="457"/>
      <c r="PE427" s="457"/>
      <c r="PF427" s="457"/>
      <c r="PG427" s="457"/>
      <c r="PH427" s="457"/>
      <c r="PI427" s="457"/>
      <c r="PJ427" s="457"/>
      <c r="PK427" s="457"/>
      <c r="PL427" s="457"/>
      <c r="PM427" s="457"/>
      <c r="PN427" s="457"/>
      <c r="PO427" s="457"/>
      <c r="PP427" s="457"/>
      <c r="PQ427" s="457"/>
      <c r="PR427" s="457"/>
      <c r="PS427" s="457"/>
      <c r="PT427" s="457"/>
      <c r="PU427" s="457"/>
      <c r="PV427" s="457"/>
      <c r="PW427" s="457"/>
      <c r="PX427" s="457"/>
      <c r="PY427" s="457"/>
      <c r="PZ427" s="457"/>
      <c r="QA427" s="457"/>
      <c r="QB427" s="457"/>
      <c r="QC427" s="457"/>
      <c r="QD427" s="457"/>
      <c r="QE427" s="457"/>
      <c r="QF427" s="457"/>
      <c r="QG427" s="457"/>
      <c r="QH427" s="457"/>
      <c r="QI427" s="457"/>
      <c r="QJ427" s="457"/>
      <c r="QK427" s="457"/>
      <c r="QL427" s="457"/>
      <c r="QM427" s="457"/>
      <c r="QN427" s="457"/>
      <c r="QO427" s="457"/>
      <c r="QP427" s="457"/>
      <c r="QQ427" s="457"/>
      <c r="QR427" s="457"/>
      <c r="QS427" s="457"/>
      <c r="QT427" s="457"/>
      <c r="QU427" s="457"/>
      <c r="QV427" s="457"/>
      <c r="QW427" s="457"/>
      <c r="QX427" s="457"/>
      <c r="QY427" s="457"/>
      <c r="QZ427" s="457"/>
      <c r="RA427" s="457"/>
      <c r="RB427" s="457"/>
      <c r="RC427" s="457"/>
      <c r="RD427" s="457"/>
      <c r="RE427" s="457"/>
      <c r="RF427" s="457"/>
      <c r="RG427" s="457"/>
      <c r="RH427" s="457"/>
      <c r="RI427" s="457"/>
      <c r="RJ427" s="457"/>
      <c r="RK427" s="457"/>
      <c r="RL427" s="457"/>
      <c r="RM427" s="457"/>
      <c r="RN427" s="457"/>
      <c r="RO427" s="457"/>
      <c r="RP427" s="457"/>
      <c r="RQ427" s="457"/>
      <c r="RR427" s="457"/>
      <c r="RS427" s="457"/>
      <c r="RT427" s="457"/>
      <c r="RU427" s="457"/>
      <c r="RV427" s="457"/>
      <c r="RW427" s="457"/>
      <c r="RX427" s="457"/>
      <c r="RY427" s="457"/>
      <c r="RZ427" s="457"/>
      <c r="SA427" s="457"/>
      <c r="SB427" s="457"/>
      <c r="SC427" s="457"/>
      <c r="SD427" s="457"/>
      <c r="SE427" s="457"/>
      <c r="SF427" s="457"/>
      <c r="SG427" s="457"/>
      <c r="SH427" s="457"/>
      <c r="SI427" s="457"/>
      <c r="SJ427" s="457"/>
      <c r="SK427" s="457"/>
      <c r="SL427" s="457"/>
      <c r="SM427" s="457"/>
      <c r="SN427" s="457"/>
      <c r="SO427" s="457"/>
      <c r="SP427" s="457"/>
      <c r="SQ427" s="457"/>
      <c r="SR427" s="457"/>
      <c r="SS427" s="457"/>
      <c r="ST427" s="457"/>
      <c r="SU427" s="457"/>
      <c r="SV427" s="457"/>
      <c r="SW427" s="457"/>
      <c r="SX427" s="457"/>
      <c r="SY427" s="457"/>
      <c r="SZ427" s="457"/>
      <c r="TA427" s="457"/>
      <c r="TB427" s="457"/>
      <c r="TC427" s="457"/>
      <c r="TD427" s="457"/>
      <c r="TE427" s="457"/>
      <c r="TF427" s="457"/>
      <c r="TG427" s="457"/>
      <c r="TH427" s="457"/>
      <c r="TI427" s="457"/>
      <c r="TJ427" s="457"/>
      <c r="TK427" s="457"/>
      <c r="TL427" s="457"/>
      <c r="TM427" s="457"/>
      <c r="TN427" s="457"/>
      <c r="TO427" s="457"/>
      <c r="TP427" s="457"/>
      <c r="TQ427" s="457"/>
      <c r="TR427" s="457"/>
      <c r="TS427" s="457"/>
      <c r="TT427" s="457"/>
      <c r="TU427" s="457"/>
      <c r="TV427" s="457"/>
      <c r="TW427" s="457"/>
      <c r="TX427" s="457"/>
      <c r="TY427" s="457"/>
      <c r="TZ427" s="457"/>
      <c r="UA427" s="457"/>
      <c r="UB427" s="457"/>
      <c r="UC427" s="457"/>
      <c r="UD427" s="457"/>
      <c r="UE427" s="457"/>
      <c r="UF427" s="457"/>
      <c r="UG427" s="457"/>
      <c r="UH427" s="457"/>
      <c r="UI427" s="457"/>
      <c r="UJ427" s="457"/>
      <c r="UK427" s="457"/>
      <c r="UL427" s="457"/>
      <c r="UM427" s="457"/>
      <c r="UN427" s="457"/>
      <c r="UO427" s="457"/>
      <c r="UP427" s="457"/>
      <c r="UQ427" s="457"/>
      <c r="UR427" s="457"/>
      <c r="US427" s="457"/>
      <c r="UT427" s="457"/>
      <c r="UU427" s="457"/>
      <c r="UV427" s="457"/>
      <c r="UW427" s="457"/>
      <c r="UX427" s="457"/>
      <c r="UY427" s="457"/>
      <c r="UZ427" s="457"/>
      <c r="VA427" s="457"/>
      <c r="VB427" s="457"/>
      <c r="VC427" s="457"/>
      <c r="VD427" s="457"/>
      <c r="VE427" s="457"/>
      <c r="VF427" s="457"/>
      <c r="VG427" s="457"/>
      <c r="VH427" s="457"/>
      <c r="VI427" s="457"/>
      <c r="VJ427" s="457"/>
      <c r="VK427" s="457"/>
      <c r="VL427" s="457"/>
      <c r="VM427" s="457"/>
      <c r="VN427" s="457"/>
      <c r="VO427" s="457"/>
      <c r="VP427" s="457"/>
      <c r="VQ427" s="457"/>
      <c r="VR427" s="457"/>
      <c r="VS427" s="457"/>
      <c r="VT427" s="457"/>
      <c r="VU427" s="457"/>
      <c r="VV427" s="457"/>
      <c r="VW427" s="457"/>
      <c r="VX427" s="457"/>
      <c r="VY427" s="457"/>
      <c r="VZ427" s="457"/>
      <c r="WA427" s="457"/>
      <c r="WB427" s="457"/>
      <c r="WC427" s="457"/>
      <c r="WD427" s="457"/>
      <c r="WE427" s="457"/>
      <c r="WF427" s="457"/>
      <c r="WG427" s="457"/>
      <c r="WH427" s="457"/>
      <c r="WI427" s="457"/>
      <c r="WJ427" s="457"/>
      <c r="WK427" s="457"/>
      <c r="WL427" s="457"/>
      <c r="WM427" s="457"/>
      <c r="WN427" s="457"/>
      <c r="WO427" s="457"/>
      <c r="WP427" s="457"/>
      <c r="WQ427" s="457"/>
      <c r="WR427" s="457"/>
      <c r="WS427" s="457"/>
      <c r="WT427" s="457"/>
      <c r="WU427" s="457"/>
      <c r="WV427" s="457"/>
      <c r="WW427" s="457"/>
      <c r="WX427" s="457"/>
      <c r="WY427" s="457"/>
      <c r="WZ427" s="457"/>
      <c r="XA427" s="457"/>
      <c r="XB427" s="457"/>
      <c r="XC427" s="457"/>
      <c r="XD427" s="457"/>
      <c r="XE427" s="457"/>
      <c r="XF427" s="457"/>
      <c r="XG427" s="457"/>
      <c r="XH427" s="457"/>
      <c r="XI427" s="457"/>
      <c r="XJ427" s="457"/>
      <c r="XK427" s="457"/>
      <c r="XL427" s="457"/>
      <c r="XM427" s="457"/>
      <c r="XN427" s="457"/>
      <c r="XO427" s="457"/>
      <c r="XP427" s="457"/>
      <c r="XQ427" s="457"/>
      <c r="XR427" s="457"/>
      <c r="XS427" s="457"/>
      <c r="XT427" s="457"/>
      <c r="XU427" s="457"/>
      <c r="XV427" s="457"/>
      <c r="XW427" s="457"/>
      <c r="XX427" s="457"/>
      <c r="XY427" s="457"/>
      <c r="XZ427" s="457"/>
      <c r="YA427" s="457"/>
      <c r="YB427" s="457"/>
      <c r="YC427" s="457"/>
      <c r="YD427" s="457"/>
      <c r="YE427" s="457"/>
      <c r="YF427" s="457"/>
      <c r="YG427" s="457"/>
      <c r="YH427" s="457"/>
      <c r="YI427" s="457"/>
      <c r="YJ427" s="457"/>
      <c r="YK427" s="457"/>
      <c r="YL427" s="457"/>
      <c r="YM427" s="457"/>
      <c r="YN427" s="457"/>
      <c r="YO427" s="457"/>
      <c r="YP427" s="457"/>
      <c r="YQ427" s="457"/>
      <c r="YR427" s="457"/>
      <c r="YS427" s="457"/>
      <c r="YT427" s="457"/>
      <c r="YU427" s="457"/>
      <c r="YV427" s="457"/>
      <c r="YW427" s="457"/>
      <c r="YX427" s="457"/>
      <c r="YY427" s="457"/>
      <c r="YZ427" s="457"/>
      <c r="ZA427" s="457"/>
      <c r="ZB427" s="457"/>
      <c r="ZC427" s="457"/>
      <c r="ZD427" s="457"/>
      <c r="ZE427" s="457"/>
      <c r="ZF427" s="457"/>
      <c r="ZG427" s="457"/>
      <c r="ZH427" s="457"/>
      <c r="ZI427" s="457"/>
      <c r="ZJ427" s="457"/>
      <c r="ZK427" s="457"/>
      <c r="ZL427" s="457"/>
      <c r="ZM427" s="457"/>
      <c r="ZN427" s="457"/>
      <c r="ZO427" s="457"/>
      <c r="ZP427" s="457"/>
      <c r="ZQ427" s="457"/>
      <c r="ZR427" s="457"/>
      <c r="ZS427" s="457"/>
      <c r="ZT427" s="457"/>
      <c r="ZU427" s="457"/>
      <c r="ZV427" s="457"/>
      <c r="ZW427" s="457"/>
      <c r="ZX427" s="457"/>
      <c r="ZY427" s="457"/>
      <c r="ZZ427" s="457"/>
      <c r="AAA427" s="457"/>
      <c r="AAB427" s="457"/>
      <c r="AAC427" s="457"/>
      <c r="AAD427" s="457"/>
      <c r="AAE427" s="457"/>
      <c r="AAF427" s="457"/>
      <c r="AAG427" s="457"/>
      <c r="AAH427" s="457"/>
      <c r="AAI427" s="457"/>
      <c r="AAJ427" s="457"/>
      <c r="AAK427" s="457"/>
      <c r="AAL427" s="457"/>
      <c r="AAM427" s="457"/>
      <c r="AAN427" s="457"/>
      <c r="AAO427" s="457"/>
      <c r="AAP427" s="457"/>
      <c r="AAQ427" s="457"/>
      <c r="AAR427" s="457"/>
      <c r="AAS427" s="457"/>
      <c r="AAT427" s="457"/>
      <c r="AAU427" s="457"/>
      <c r="AAV427" s="457"/>
      <c r="AAW427" s="457"/>
      <c r="AAX427" s="457"/>
      <c r="AAY427" s="457"/>
      <c r="AAZ427" s="457"/>
      <c r="ABA427" s="457"/>
      <c r="ABB427" s="457"/>
      <c r="ABC427" s="457"/>
      <c r="ABD427" s="457"/>
      <c r="ABE427" s="457"/>
      <c r="ABF427" s="457"/>
      <c r="ABG427" s="457"/>
      <c r="ABH427" s="457"/>
      <c r="ABI427" s="457"/>
      <c r="ABJ427" s="457"/>
      <c r="ABK427" s="457"/>
      <c r="ABL427" s="457"/>
      <c r="ABM427" s="457"/>
      <c r="ABN427" s="457"/>
      <c r="ABO427" s="457"/>
      <c r="ABP427" s="457"/>
      <c r="ABQ427" s="457"/>
      <c r="ABR427" s="457"/>
      <c r="ABS427" s="457"/>
      <c r="ABT427" s="457"/>
      <c r="ABU427" s="457"/>
      <c r="ABV427" s="457"/>
      <c r="ABW427" s="457"/>
      <c r="ABX427" s="457"/>
      <c r="ABY427" s="457"/>
      <c r="ABZ427" s="457"/>
      <c r="ACA427" s="457"/>
      <c r="ACB427" s="457"/>
      <c r="ACC427" s="457"/>
      <c r="ACD427" s="457"/>
      <c r="ACE427" s="457"/>
      <c r="ACF427" s="457"/>
      <c r="ACG427" s="457"/>
      <c r="ACH427" s="457"/>
      <c r="ACI427" s="457"/>
      <c r="ACJ427" s="457"/>
      <c r="ACK427" s="457"/>
      <c r="ACL427" s="457"/>
      <c r="ACM427" s="457"/>
      <c r="ACN427" s="457"/>
      <c r="ACO427" s="457"/>
      <c r="ACP427" s="457"/>
      <c r="ACQ427" s="457"/>
      <c r="ACR427" s="457"/>
      <c r="ACS427" s="457"/>
      <c r="ACT427" s="457"/>
      <c r="ACU427" s="457"/>
      <c r="ACV427" s="457"/>
    </row>
    <row r="428" spans="1:776" s="400" customFormat="1" x14ac:dyDescent="0.25">
      <c r="A428" s="470">
        <v>900141</v>
      </c>
      <c r="B428" s="237" t="s">
        <v>328</v>
      </c>
      <c r="C428" s="455"/>
      <c r="D428" s="454" t="s">
        <v>329</v>
      </c>
      <c r="E428" s="454">
        <v>0.68700000000000006</v>
      </c>
      <c r="F428" s="456">
        <v>6.24</v>
      </c>
      <c r="G428" s="454">
        <v>0.01</v>
      </c>
      <c r="H428" s="454">
        <v>0.05</v>
      </c>
      <c r="I428" s="456">
        <v>31.65</v>
      </c>
      <c r="J428" s="454">
        <v>142.47999999999999</v>
      </c>
      <c r="K428" s="454">
        <v>3.0599999999999999E-2</v>
      </c>
      <c r="L428" s="456">
        <v>230.4</v>
      </c>
      <c r="M428" s="454">
        <v>0.01</v>
      </c>
      <c r="N428" s="454">
        <v>1.71</v>
      </c>
      <c r="O428" s="454">
        <v>40.9</v>
      </c>
      <c r="P428" s="454">
        <v>65.52</v>
      </c>
      <c r="Q428" s="454">
        <v>34.03</v>
      </c>
      <c r="R428" s="454">
        <v>0.01</v>
      </c>
      <c r="S428" s="454">
        <v>0.01</v>
      </c>
      <c r="T428" s="454">
        <v>0.01</v>
      </c>
      <c r="U428" s="454">
        <v>0.01</v>
      </c>
      <c r="V428" s="454"/>
      <c r="W428" s="457"/>
      <c r="X428" s="457"/>
      <c r="Y428" s="457"/>
      <c r="Z428" s="457"/>
      <c r="AA428" s="457"/>
      <c r="AB428" s="457"/>
      <c r="AC428" s="457"/>
      <c r="AD428" s="457"/>
      <c r="AE428" s="457"/>
      <c r="AF428" s="457"/>
      <c r="AG428" s="457"/>
      <c r="AH428" s="457"/>
      <c r="AI428" s="457"/>
      <c r="AJ428" s="457"/>
      <c r="AK428" s="457"/>
      <c r="AL428" s="457"/>
      <c r="AM428" s="457"/>
      <c r="AN428" s="457"/>
      <c r="AO428" s="457"/>
      <c r="AP428" s="457"/>
      <c r="AQ428" s="457"/>
      <c r="AR428" s="457"/>
      <c r="AS428" s="457"/>
      <c r="AT428" s="457"/>
      <c r="AU428" s="457"/>
      <c r="AV428" s="457"/>
      <c r="AW428" s="457"/>
      <c r="AX428" s="457"/>
      <c r="AY428" s="457"/>
      <c r="AZ428" s="457"/>
      <c r="BA428" s="457"/>
      <c r="BB428" s="457"/>
      <c r="BC428" s="457"/>
      <c r="BD428" s="457"/>
      <c r="BE428" s="457"/>
      <c r="BF428" s="457"/>
      <c r="BG428" s="457"/>
      <c r="BH428" s="457"/>
      <c r="BI428" s="457"/>
      <c r="BJ428" s="457"/>
      <c r="BK428" s="457"/>
      <c r="BL428" s="457"/>
      <c r="BM428" s="457"/>
      <c r="BN428" s="457"/>
      <c r="BO428" s="457"/>
      <c r="BP428" s="457"/>
      <c r="BQ428" s="457"/>
      <c r="BR428" s="457"/>
      <c r="BS428" s="457"/>
      <c r="BT428" s="457"/>
      <c r="BU428" s="457"/>
      <c r="BV428" s="457"/>
      <c r="BW428" s="457"/>
      <c r="BX428" s="457"/>
      <c r="BY428" s="457"/>
      <c r="BZ428" s="457"/>
      <c r="CA428" s="457"/>
      <c r="CB428" s="457"/>
      <c r="CC428" s="457"/>
      <c r="CD428" s="457"/>
      <c r="CE428" s="457"/>
      <c r="CF428" s="457"/>
      <c r="CG428" s="457"/>
      <c r="CH428" s="457"/>
      <c r="CI428" s="457"/>
      <c r="CJ428" s="457"/>
      <c r="CK428" s="457"/>
      <c r="CL428" s="457"/>
      <c r="CM428" s="457"/>
      <c r="CN428" s="457"/>
      <c r="CO428" s="457"/>
      <c r="CP428" s="457"/>
      <c r="CQ428" s="457"/>
      <c r="CR428" s="457"/>
      <c r="CS428" s="457"/>
      <c r="CT428" s="457"/>
      <c r="CU428" s="457"/>
      <c r="CV428" s="457"/>
      <c r="CW428" s="457"/>
      <c r="CX428" s="457"/>
      <c r="CY428" s="457"/>
      <c r="CZ428" s="457"/>
      <c r="DA428" s="457"/>
      <c r="DB428" s="457"/>
      <c r="DC428" s="457"/>
      <c r="DD428" s="457"/>
      <c r="DE428" s="457"/>
      <c r="DF428" s="457"/>
      <c r="DG428" s="457"/>
      <c r="DH428" s="457"/>
      <c r="DI428" s="457"/>
      <c r="DJ428" s="457"/>
      <c r="DK428" s="457"/>
      <c r="DL428" s="457"/>
      <c r="DM428" s="457"/>
      <c r="DN428" s="457"/>
      <c r="DO428" s="457"/>
      <c r="DP428" s="457"/>
      <c r="DQ428" s="457"/>
      <c r="DR428" s="457"/>
      <c r="DS428" s="457"/>
      <c r="DT428" s="457"/>
      <c r="DU428" s="457"/>
      <c r="DV428" s="457"/>
      <c r="DW428" s="457"/>
      <c r="DX428" s="457"/>
      <c r="DY428" s="457"/>
      <c r="DZ428" s="457"/>
      <c r="EA428" s="457"/>
      <c r="EB428" s="457"/>
      <c r="EC428" s="457"/>
      <c r="ED428" s="457"/>
      <c r="EE428" s="457"/>
      <c r="EF428" s="457"/>
      <c r="EG428" s="457"/>
      <c r="EH428" s="457"/>
      <c r="EI428" s="457"/>
      <c r="EJ428" s="457"/>
      <c r="EK428" s="457"/>
      <c r="EL428" s="457"/>
      <c r="EM428" s="457"/>
      <c r="EN428" s="457"/>
      <c r="EO428" s="457"/>
      <c r="EP428" s="457"/>
      <c r="EQ428" s="457"/>
      <c r="ER428" s="457"/>
      <c r="ES428" s="457"/>
      <c r="ET428" s="457"/>
      <c r="EU428" s="457"/>
      <c r="EV428" s="457"/>
      <c r="EW428" s="457"/>
      <c r="EX428" s="457"/>
      <c r="EY428" s="457"/>
      <c r="EZ428" s="457"/>
      <c r="FA428" s="457"/>
      <c r="FB428" s="457"/>
      <c r="FC428" s="457"/>
      <c r="FD428" s="457"/>
      <c r="FE428" s="457"/>
      <c r="FF428" s="457"/>
      <c r="FG428" s="457"/>
      <c r="FH428" s="457"/>
      <c r="FI428" s="457"/>
      <c r="FJ428" s="457"/>
      <c r="FK428" s="457"/>
      <c r="FL428" s="457"/>
      <c r="FM428" s="457"/>
      <c r="FN428" s="457"/>
      <c r="FO428" s="457"/>
      <c r="FP428" s="457"/>
      <c r="FQ428" s="457"/>
      <c r="FR428" s="457"/>
      <c r="FS428" s="457"/>
      <c r="FT428" s="457"/>
      <c r="FU428" s="457"/>
      <c r="FV428" s="457"/>
      <c r="FW428" s="457"/>
      <c r="FX428" s="457"/>
      <c r="FY428" s="457"/>
      <c r="FZ428" s="457"/>
      <c r="GA428" s="457"/>
      <c r="GB428" s="457"/>
      <c r="GC428" s="457"/>
      <c r="GD428" s="457"/>
      <c r="GE428" s="457"/>
      <c r="GF428" s="457"/>
      <c r="GG428" s="457"/>
      <c r="GH428" s="457"/>
      <c r="GI428" s="457"/>
      <c r="GJ428" s="457"/>
      <c r="GK428" s="457"/>
      <c r="GL428" s="457"/>
      <c r="GM428" s="457"/>
      <c r="GN428" s="457"/>
      <c r="GO428" s="457"/>
      <c r="GP428" s="457"/>
      <c r="GQ428" s="457"/>
      <c r="GR428" s="457"/>
      <c r="GS428" s="457"/>
      <c r="GT428" s="457"/>
      <c r="GU428" s="457"/>
      <c r="GV428" s="457"/>
      <c r="GW428" s="457"/>
      <c r="GX428" s="457"/>
      <c r="GY428" s="457"/>
      <c r="GZ428" s="457"/>
      <c r="HA428" s="457"/>
      <c r="HB428" s="457"/>
      <c r="HC428" s="457"/>
      <c r="HD428" s="457"/>
      <c r="HE428" s="457"/>
      <c r="HF428" s="457"/>
      <c r="HG428" s="457"/>
      <c r="HH428" s="457"/>
      <c r="HI428" s="457"/>
      <c r="HJ428" s="457"/>
      <c r="HK428" s="457"/>
      <c r="HL428" s="457"/>
      <c r="HM428" s="457"/>
      <c r="HN428" s="457"/>
      <c r="HO428" s="457"/>
      <c r="HP428" s="457"/>
      <c r="HQ428" s="457"/>
      <c r="HR428" s="457"/>
      <c r="HS428" s="457"/>
      <c r="HT428" s="457"/>
      <c r="HU428" s="457"/>
      <c r="HV428" s="457"/>
      <c r="HW428" s="457"/>
      <c r="HX428" s="457"/>
      <c r="HY428" s="457"/>
      <c r="HZ428" s="457"/>
      <c r="IA428" s="457"/>
      <c r="IB428" s="457"/>
      <c r="IC428" s="457"/>
      <c r="ID428" s="457"/>
      <c r="IE428" s="457"/>
      <c r="IF428" s="457"/>
      <c r="IG428" s="457"/>
      <c r="IH428" s="457"/>
      <c r="II428" s="457"/>
      <c r="IJ428" s="457"/>
      <c r="IK428" s="457"/>
      <c r="IL428" s="457"/>
      <c r="IM428" s="457"/>
      <c r="IN428" s="457"/>
      <c r="IO428" s="457"/>
      <c r="IP428" s="457"/>
      <c r="IQ428" s="457"/>
      <c r="IR428" s="457"/>
      <c r="IS428" s="457"/>
      <c r="IT428" s="457"/>
      <c r="IU428" s="457"/>
      <c r="IV428" s="457"/>
      <c r="IW428" s="457"/>
      <c r="IX428" s="457"/>
      <c r="IY428" s="457"/>
      <c r="IZ428" s="457"/>
      <c r="JA428" s="457"/>
      <c r="JB428" s="457"/>
      <c r="JC428" s="457"/>
      <c r="JD428" s="457"/>
      <c r="JE428" s="457"/>
      <c r="JF428" s="457"/>
      <c r="JG428" s="457"/>
      <c r="JH428" s="457"/>
      <c r="JI428" s="457"/>
      <c r="JJ428" s="457"/>
      <c r="JK428" s="457"/>
      <c r="JL428" s="457"/>
      <c r="JM428" s="457"/>
      <c r="JN428" s="457"/>
      <c r="JO428" s="457"/>
      <c r="JP428" s="457"/>
      <c r="JQ428" s="457"/>
      <c r="JR428" s="457"/>
      <c r="JS428" s="457"/>
      <c r="JT428" s="457"/>
      <c r="JU428" s="457"/>
      <c r="JV428" s="457"/>
      <c r="JW428" s="457"/>
      <c r="JX428" s="457"/>
      <c r="JY428" s="457"/>
      <c r="JZ428" s="457"/>
      <c r="KA428" s="457"/>
      <c r="KB428" s="457"/>
      <c r="KC428" s="457"/>
      <c r="KD428" s="457"/>
      <c r="KE428" s="457"/>
      <c r="KF428" s="457"/>
      <c r="KG428" s="457"/>
      <c r="KH428" s="457"/>
      <c r="KI428" s="457"/>
      <c r="KJ428" s="457"/>
      <c r="KK428" s="457"/>
      <c r="KL428" s="457"/>
      <c r="KM428" s="457"/>
      <c r="KN428" s="457"/>
      <c r="KO428" s="457"/>
      <c r="KP428" s="457"/>
      <c r="KQ428" s="457"/>
      <c r="KR428" s="457"/>
      <c r="KS428" s="457"/>
      <c r="KT428" s="457"/>
      <c r="KU428" s="457"/>
      <c r="KV428" s="457"/>
      <c r="KW428" s="457"/>
      <c r="KX428" s="457"/>
      <c r="KY428" s="457"/>
      <c r="KZ428" s="457"/>
      <c r="LA428" s="457"/>
      <c r="LB428" s="457"/>
      <c r="LC428" s="457"/>
      <c r="LD428" s="457"/>
      <c r="LE428" s="457"/>
      <c r="LF428" s="457"/>
      <c r="LG428" s="457"/>
      <c r="LH428" s="457"/>
      <c r="LI428" s="457"/>
      <c r="LJ428" s="457"/>
      <c r="LK428" s="457"/>
      <c r="LL428" s="457"/>
      <c r="LM428" s="457"/>
      <c r="LN428" s="457"/>
      <c r="LO428" s="457"/>
      <c r="LP428" s="457"/>
      <c r="LQ428" s="457"/>
      <c r="LR428" s="457"/>
      <c r="LS428" s="457"/>
      <c r="LT428" s="457"/>
      <c r="LU428" s="457"/>
      <c r="LV428" s="457"/>
      <c r="LW428" s="457"/>
      <c r="LX428" s="457"/>
      <c r="LY428" s="457"/>
      <c r="LZ428" s="457"/>
      <c r="MA428" s="457"/>
      <c r="MB428" s="457"/>
      <c r="MC428" s="457"/>
      <c r="MD428" s="457"/>
      <c r="ME428" s="457"/>
      <c r="MF428" s="457"/>
      <c r="MG428" s="457"/>
      <c r="MH428" s="457"/>
      <c r="MI428" s="457"/>
      <c r="MJ428" s="457"/>
      <c r="MK428" s="457"/>
      <c r="ML428" s="457"/>
      <c r="MM428" s="457"/>
      <c r="MN428" s="457"/>
      <c r="MO428" s="457"/>
      <c r="MP428" s="457"/>
      <c r="MQ428" s="457"/>
      <c r="MR428" s="457"/>
      <c r="MS428" s="457"/>
      <c r="MT428" s="457"/>
      <c r="MU428" s="457"/>
      <c r="MV428" s="457"/>
      <c r="MW428" s="457"/>
      <c r="MX428" s="457"/>
      <c r="MY428" s="457"/>
      <c r="MZ428" s="457"/>
      <c r="NA428" s="457"/>
      <c r="NB428" s="457"/>
      <c r="NC428" s="457"/>
      <c r="ND428" s="457"/>
      <c r="NE428" s="457"/>
      <c r="NF428" s="457"/>
      <c r="NG428" s="457"/>
      <c r="NH428" s="457"/>
      <c r="NI428" s="457"/>
      <c r="NJ428" s="457"/>
      <c r="NK428" s="457"/>
      <c r="NL428" s="457"/>
      <c r="NM428" s="457"/>
      <c r="NN428" s="457"/>
      <c r="NO428" s="457"/>
      <c r="NP428" s="457"/>
      <c r="NQ428" s="457"/>
      <c r="NR428" s="457"/>
      <c r="NS428" s="457"/>
      <c r="NT428" s="457"/>
      <c r="NU428" s="457"/>
      <c r="NV428" s="457"/>
      <c r="NW428" s="457"/>
      <c r="NX428" s="457"/>
      <c r="NY428" s="457"/>
      <c r="NZ428" s="457"/>
      <c r="OA428" s="457"/>
      <c r="OB428" s="457"/>
      <c r="OC428" s="457"/>
      <c r="OD428" s="457"/>
      <c r="OE428" s="457"/>
      <c r="OF428" s="457"/>
      <c r="OG428" s="457"/>
      <c r="OH428" s="457"/>
      <c r="OI428" s="457"/>
      <c r="OJ428" s="457"/>
      <c r="OK428" s="457"/>
      <c r="OL428" s="457"/>
      <c r="OM428" s="457"/>
      <c r="ON428" s="457"/>
      <c r="OO428" s="457"/>
      <c r="OP428" s="457"/>
      <c r="OQ428" s="457"/>
      <c r="OR428" s="457"/>
      <c r="OS428" s="457"/>
      <c r="OT428" s="457"/>
      <c r="OU428" s="457"/>
      <c r="OV428" s="457"/>
      <c r="OW428" s="457"/>
      <c r="OX428" s="457"/>
      <c r="OY428" s="457"/>
      <c r="OZ428" s="457"/>
      <c r="PA428" s="457"/>
      <c r="PB428" s="457"/>
      <c r="PC428" s="457"/>
      <c r="PD428" s="457"/>
      <c r="PE428" s="457"/>
      <c r="PF428" s="457"/>
      <c r="PG428" s="457"/>
      <c r="PH428" s="457"/>
      <c r="PI428" s="457"/>
      <c r="PJ428" s="457"/>
      <c r="PK428" s="457"/>
      <c r="PL428" s="457"/>
      <c r="PM428" s="457"/>
      <c r="PN428" s="457"/>
      <c r="PO428" s="457"/>
      <c r="PP428" s="457"/>
      <c r="PQ428" s="457"/>
      <c r="PR428" s="457"/>
      <c r="PS428" s="457"/>
      <c r="PT428" s="457"/>
      <c r="PU428" s="457"/>
      <c r="PV428" s="457"/>
      <c r="PW428" s="457"/>
      <c r="PX428" s="457"/>
      <c r="PY428" s="457"/>
      <c r="PZ428" s="457"/>
      <c r="QA428" s="457"/>
      <c r="QB428" s="457"/>
      <c r="QC428" s="457"/>
      <c r="QD428" s="457"/>
      <c r="QE428" s="457"/>
      <c r="QF428" s="457"/>
      <c r="QG428" s="457"/>
      <c r="QH428" s="457"/>
      <c r="QI428" s="457"/>
      <c r="QJ428" s="457"/>
      <c r="QK428" s="457"/>
      <c r="QL428" s="457"/>
      <c r="QM428" s="457"/>
      <c r="QN428" s="457"/>
      <c r="QO428" s="457"/>
      <c r="QP428" s="457"/>
      <c r="QQ428" s="457"/>
      <c r="QR428" s="457"/>
      <c r="QS428" s="457"/>
      <c r="QT428" s="457"/>
      <c r="QU428" s="457"/>
      <c r="QV428" s="457"/>
      <c r="QW428" s="457"/>
      <c r="QX428" s="457"/>
      <c r="QY428" s="457"/>
      <c r="QZ428" s="457"/>
      <c r="RA428" s="457"/>
      <c r="RB428" s="457"/>
      <c r="RC428" s="457"/>
      <c r="RD428" s="457"/>
      <c r="RE428" s="457"/>
      <c r="RF428" s="457"/>
      <c r="RG428" s="457"/>
      <c r="RH428" s="457"/>
      <c r="RI428" s="457"/>
      <c r="RJ428" s="457"/>
      <c r="RK428" s="457"/>
      <c r="RL428" s="457"/>
      <c r="RM428" s="457"/>
      <c r="RN428" s="457"/>
      <c r="RO428" s="457"/>
      <c r="RP428" s="457"/>
      <c r="RQ428" s="457"/>
      <c r="RR428" s="457"/>
      <c r="RS428" s="457"/>
      <c r="RT428" s="457"/>
      <c r="RU428" s="457"/>
      <c r="RV428" s="457"/>
      <c r="RW428" s="457"/>
      <c r="RX428" s="457"/>
      <c r="RY428" s="457"/>
      <c r="RZ428" s="457"/>
      <c r="SA428" s="457"/>
      <c r="SB428" s="457"/>
      <c r="SC428" s="457"/>
      <c r="SD428" s="457"/>
      <c r="SE428" s="457"/>
      <c r="SF428" s="457"/>
      <c r="SG428" s="457"/>
      <c r="SH428" s="457"/>
      <c r="SI428" s="457"/>
      <c r="SJ428" s="457"/>
      <c r="SK428" s="457"/>
      <c r="SL428" s="457"/>
      <c r="SM428" s="457"/>
      <c r="SN428" s="457"/>
      <c r="SO428" s="457"/>
      <c r="SP428" s="457"/>
      <c r="SQ428" s="457"/>
      <c r="SR428" s="457"/>
      <c r="SS428" s="457"/>
      <c r="ST428" s="457"/>
      <c r="SU428" s="457"/>
      <c r="SV428" s="457"/>
      <c r="SW428" s="457"/>
      <c r="SX428" s="457"/>
      <c r="SY428" s="457"/>
      <c r="SZ428" s="457"/>
      <c r="TA428" s="457"/>
      <c r="TB428" s="457"/>
      <c r="TC428" s="457"/>
      <c r="TD428" s="457"/>
      <c r="TE428" s="457"/>
      <c r="TF428" s="457"/>
      <c r="TG428" s="457"/>
      <c r="TH428" s="457"/>
      <c r="TI428" s="457"/>
      <c r="TJ428" s="457"/>
      <c r="TK428" s="457"/>
      <c r="TL428" s="457"/>
      <c r="TM428" s="457"/>
      <c r="TN428" s="457"/>
      <c r="TO428" s="457"/>
      <c r="TP428" s="457"/>
      <c r="TQ428" s="457"/>
      <c r="TR428" s="457"/>
      <c r="TS428" s="457"/>
      <c r="TT428" s="457"/>
      <c r="TU428" s="457"/>
      <c r="TV428" s="457"/>
      <c r="TW428" s="457"/>
      <c r="TX428" s="457"/>
      <c r="TY428" s="457"/>
      <c r="TZ428" s="457"/>
      <c r="UA428" s="457"/>
      <c r="UB428" s="457"/>
      <c r="UC428" s="457"/>
      <c r="UD428" s="457"/>
      <c r="UE428" s="457"/>
      <c r="UF428" s="457"/>
      <c r="UG428" s="457"/>
      <c r="UH428" s="457"/>
      <c r="UI428" s="457"/>
      <c r="UJ428" s="457"/>
      <c r="UK428" s="457"/>
      <c r="UL428" s="457"/>
      <c r="UM428" s="457"/>
      <c r="UN428" s="457"/>
      <c r="UO428" s="457"/>
      <c r="UP428" s="457"/>
      <c r="UQ428" s="457"/>
      <c r="UR428" s="457"/>
      <c r="US428" s="457"/>
      <c r="UT428" s="457"/>
      <c r="UU428" s="457"/>
      <c r="UV428" s="457"/>
      <c r="UW428" s="457"/>
      <c r="UX428" s="457"/>
      <c r="UY428" s="457"/>
      <c r="UZ428" s="457"/>
      <c r="VA428" s="457"/>
      <c r="VB428" s="457"/>
      <c r="VC428" s="457"/>
      <c r="VD428" s="457"/>
      <c r="VE428" s="457"/>
      <c r="VF428" s="457"/>
      <c r="VG428" s="457"/>
      <c r="VH428" s="457"/>
      <c r="VI428" s="457"/>
      <c r="VJ428" s="457"/>
      <c r="VK428" s="457"/>
      <c r="VL428" s="457"/>
      <c r="VM428" s="457"/>
      <c r="VN428" s="457"/>
      <c r="VO428" s="457"/>
      <c r="VP428" s="457"/>
      <c r="VQ428" s="457"/>
      <c r="VR428" s="457"/>
      <c r="VS428" s="457"/>
      <c r="VT428" s="457"/>
      <c r="VU428" s="457"/>
      <c r="VV428" s="457"/>
      <c r="VW428" s="457"/>
      <c r="VX428" s="457"/>
      <c r="VY428" s="457"/>
      <c r="VZ428" s="457"/>
      <c r="WA428" s="457"/>
      <c r="WB428" s="457"/>
      <c r="WC428" s="457"/>
      <c r="WD428" s="457"/>
      <c r="WE428" s="457"/>
      <c r="WF428" s="457"/>
      <c r="WG428" s="457"/>
      <c r="WH428" s="457"/>
      <c r="WI428" s="457"/>
      <c r="WJ428" s="457"/>
      <c r="WK428" s="457"/>
      <c r="WL428" s="457"/>
      <c r="WM428" s="457"/>
      <c r="WN428" s="457"/>
      <c r="WO428" s="457"/>
      <c r="WP428" s="457"/>
      <c r="WQ428" s="457"/>
      <c r="WR428" s="457"/>
      <c r="WS428" s="457"/>
      <c r="WT428" s="457"/>
      <c r="WU428" s="457"/>
      <c r="WV428" s="457"/>
      <c r="WW428" s="457"/>
      <c r="WX428" s="457"/>
      <c r="WY428" s="457"/>
      <c r="WZ428" s="457"/>
      <c r="XA428" s="457"/>
      <c r="XB428" s="457"/>
      <c r="XC428" s="457"/>
      <c r="XD428" s="457"/>
      <c r="XE428" s="457"/>
      <c r="XF428" s="457"/>
      <c r="XG428" s="457"/>
      <c r="XH428" s="457"/>
      <c r="XI428" s="457"/>
      <c r="XJ428" s="457"/>
      <c r="XK428" s="457"/>
      <c r="XL428" s="457"/>
      <c r="XM428" s="457"/>
      <c r="XN428" s="457"/>
      <c r="XO428" s="457"/>
      <c r="XP428" s="457"/>
      <c r="XQ428" s="457"/>
      <c r="XR428" s="457"/>
      <c r="XS428" s="457"/>
      <c r="XT428" s="457"/>
      <c r="XU428" s="457"/>
      <c r="XV428" s="457"/>
      <c r="XW428" s="457"/>
      <c r="XX428" s="457"/>
      <c r="XY428" s="457"/>
      <c r="XZ428" s="457"/>
      <c r="YA428" s="457"/>
      <c r="YB428" s="457"/>
      <c r="YC428" s="457"/>
      <c r="YD428" s="457"/>
      <c r="YE428" s="457"/>
      <c r="YF428" s="457"/>
      <c r="YG428" s="457"/>
      <c r="YH428" s="457"/>
      <c r="YI428" s="457"/>
      <c r="YJ428" s="457"/>
      <c r="YK428" s="457"/>
      <c r="YL428" s="457"/>
      <c r="YM428" s="457"/>
      <c r="YN428" s="457"/>
      <c r="YO428" s="457"/>
      <c r="YP428" s="457"/>
      <c r="YQ428" s="457"/>
      <c r="YR428" s="457"/>
      <c r="YS428" s="457"/>
      <c r="YT428" s="457"/>
      <c r="YU428" s="457"/>
      <c r="YV428" s="457"/>
      <c r="YW428" s="457"/>
      <c r="YX428" s="457"/>
      <c r="YY428" s="457"/>
      <c r="YZ428" s="457"/>
      <c r="ZA428" s="457"/>
      <c r="ZB428" s="457"/>
      <c r="ZC428" s="457"/>
      <c r="ZD428" s="457"/>
      <c r="ZE428" s="457"/>
      <c r="ZF428" s="457"/>
      <c r="ZG428" s="457"/>
      <c r="ZH428" s="457"/>
      <c r="ZI428" s="457"/>
      <c r="ZJ428" s="457"/>
      <c r="ZK428" s="457"/>
      <c r="ZL428" s="457"/>
      <c r="ZM428" s="457"/>
      <c r="ZN428" s="457"/>
      <c r="ZO428" s="457"/>
      <c r="ZP428" s="457"/>
      <c r="ZQ428" s="457"/>
      <c r="ZR428" s="457"/>
      <c r="ZS428" s="457"/>
      <c r="ZT428" s="457"/>
      <c r="ZU428" s="457"/>
      <c r="ZV428" s="457"/>
      <c r="ZW428" s="457"/>
      <c r="ZX428" s="457"/>
      <c r="ZY428" s="457"/>
      <c r="ZZ428" s="457"/>
      <c r="AAA428" s="457"/>
      <c r="AAB428" s="457"/>
      <c r="AAC428" s="457"/>
      <c r="AAD428" s="457"/>
      <c r="AAE428" s="457"/>
      <c r="AAF428" s="457"/>
      <c r="AAG428" s="457"/>
      <c r="AAH428" s="457"/>
      <c r="AAI428" s="457"/>
      <c r="AAJ428" s="457"/>
      <c r="AAK428" s="457"/>
      <c r="AAL428" s="457"/>
      <c r="AAM428" s="457"/>
      <c r="AAN428" s="457"/>
      <c r="AAO428" s="457"/>
      <c r="AAP428" s="457"/>
      <c r="AAQ428" s="457"/>
      <c r="AAR428" s="457"/>
      <c r="AAS428" s="457"/>
      <c r="AAT428" s="457"/>
      <c r="AAU428" s="457"/>
      <c r="AAV428" s="457"/>
      <c r="AAW428" s="457"/>
      <c r="AAX428" s="457"/>
      <c r="AAY428" s="457"/>
      <c r="AAZ428" s="457"/>
      <c r="ABA428" s="457"/>
      <c r="ABB428" s="457"/>
      <c r="ABC428" s="457"/>
      <c r="ABD428" s="457"/>
      <c r="ABE428" s="457"/>
      <c r="ABF428" s="457"/>
      <c r="ABG428" s="457"/>
      <c r="ABH428" s="457"/>
      <c r="ABI428" s="457"/>
      <c r="ABJ428" s="457"/>
      <c r="ABK428" s="457"/>
      <c r="ABL428" s="457"/>
      <c r="ABM428" s="457"/>
      <c r="ABN428" s="457"/>
      <c r="ABO428" s="457"/>
      <c r="ABP428" s="457"/>
      <c r="ABQ428" s="457"/>
      <c r="ABR428" s="457"/>
      <c r="ABS428" s="457"/>
      <c r="ABT428" s="457"/>
      <c r="ABU428" s="457"/>
      <c r="ABV428" s="457"/>
      <c r="ABW428" s="457"/>
      <c r="ABX428" s="457"/>
      <c r="ABY428" s="457"/>
      <c r="ABZ428" s="457"/>
      <c r="ACA428" s="457"/>
      <c r="ACB428" s="457"/>
      <c r="ACC428" s="457"/>
      <c r="ACD428" s="457"/>
      <c r="ACE428" s="457"/>
      <c r="ACF428" s="457"/>
      <c r="ACG428" s="457"/>
      <c r="ACH428" s="457"/>
      <c r="ACI428" s="457"/>
      <c r="ACJ428" s="457"/>
      <c r="ACK428" s="457"/>
      <c r="ACL428" s="457"/>
      <c r="ACM428" s="457"/>
      <c r="ACN428" s="457"/>
      <c r="ACO428" s="457"/>
      <c r="ACP428" s="457"/>
      <c r="ACQ428" s="457"/>
      <c r="ACR428" s="457"/>
      <c r="ACS428" s="457"/>
      <c r="ACT428" s="457"/>
      <c r="ACU428" s="457"/>
      <c r="ACV428" s="457"/>
    </row>
    <row r="429" spans="1:776" s="400" customFormat="1" x14ac:dyDescent="0.25">
      <c r="A429" s="470">
        <v>900142</v>
      </c>
      <c r="B429" s="237" t="s">
        <v>330</v>
      </c>
      <c r="C429" s="455"/>
      <c r="D429" s="454" t="s">
        <v>331</v>
      </c>
      <c r="E429" s="454">
        <v>0.77800000000000002</v>
      </c>
      <c r="F429" s="456">
        <v>7.79</v>
      </c>
      <c r="G429" s="454">
        <v>0.01</v>
      </c>
      <c r="H429" s="454">
        <v>7.0000000000000007E-2</v>
      </c>
      <c r="I429" s="456">
        <v>46.49</v>
      </c>
      <c r="J429" s="454">
        <v>85.28</v>
      </c>
      <c r="K429" s="454">
        <v>0.01</v>
      </c>
      <c r="L429" s="456">
        <v>345.6</v>
      </c>
      <c r="M429" s="454">
        <v>0.01</v>
      </c>
      <c r="N429" s="454">
        <v>2.4900000000000002</v>
      </c>
      <c r="O429" s="454">
        <v>43.08</v>
      </c>
      <c r="P429" s="454">
        <v>57.71</v>
      </c>
      <c r="Q429" s="454">
        <v>49.46</v>
      </c>
      <c r="R429" s="454">
        <v>0.01</v>
      </c>
      <c r="S429" s="454">
        <v>0.01</v>
      </c>
      <c r="T429" s="454">
        <v>0.01</v>
      </c>
      <c r="U429" s="454">
        <v>0.01</v>
      </c>
      <c r="V429" s="454"/>
      <c r="W429" s="457"/>
      <c r="X429" s="457"/>
      <c r="Y429" s="457"/>
      <c r="Z429" s="457"/>
      <c r="AA429" s="457"/>
      <c r="AB429" s="457"/>
      <c r="AC429" s="457"/>
      <c r="AD429" s="457"/>
      <c r="AE429" s="457"/>
      <c r="AF429" s="457"/>
      <c r="AG429" s="457"/>
      <c r="AH429" s="457"/>
      <c r="AI429" s="457"/>
      <c r="AJ429" s="457"/>
      <c r="AK429" s="457"/>
      <c r="AL429" s="457"/>
      <c r="AM429" s="457"/>
      <c r="AN429" s="457"/>
      <c r="AO429" s="457"/>
      <c r="AP429" s="457"/>
      <c r="AQ429" s="457"/>
      <c r="AR429" s="457"/>
      <c r="AS429" s="457"/>
      <c r="AT429" s="457"/>
      <c r="AU429" s="457"/>
      <c r="AV429" s="457"/>
      <c r="AW429" s="457"/>
      <c r="AX429" s="457"/>
      <c r="AY429" s="457"/>
      <c r="AZ429" s="457"/>
      <c r="BA429" s="457"/>
      <c r="BB429" s="457"/>
      <c r="BC429" s="457"/>
      <c r="BD429" s="457"/>
      <c r="BE429" s="457"/>
      <c r="BF429" s="457"/>
      <c r="BG429" s="457"/>
      <c r="BH429" s="457"/>
      <c r="BI429" s="457"/>
      <c r="BJ429" s="457"/>
      <c r="BK429" s="457"/>
      <c r="BL429" s="457"/>
      <c r="BM429" s="457"/>
      <c r="BN429" s="457"/>
      <c r="BO429" s="457"/>
      <c r="BP429" s="457"/>
      <c r="BQ429" s="457"/>
      <c r="BR429" s="457"/>
      <c r="BS429" s="457"/>
      <c r="BT429" s="457"/>
      <c r="BU429" s="457"/>
      <c r="BV429" s="457"/>
      <c r="BW429" s="457"/>
      <c r="BX429" s="457"/>
      <c r="BY429" s="457"/>
      <c r="BZ429" s="457"/>
      <c r="CA429" s="457"/>
      <c r="CB429" s="457"/>
      <c r="CC429" s="457"/>
      <c r="CD429" s="457"/>
      <c r="CE429" s="457"/>
      <c r="CF429" s="457"/>
      <c r="CG429" s="457"/>
      <c r="CH429" s="457"/>
      <c r="CI429" s="457"/>
      <c r="CJ429" s="457"/>
      <c r="CK429" s="457"/>
      <c r="CL429" s="457"/>
      <c r="CM429" s="457"/>
      <c r="CN429" s="457"/>
      <c r="CO429" s="457"/>
      <c r="CP429" s="457"/>
      <c r="CQ429" s="457"/>
      <c r="CR429" s="457"/>
      <c r="CS429" s="457"/>
      <c r="CT429" s="457"/>
      <c r="CU429" s="457"/>
      <c r="CV429" s="457"/>
      <c r="CW429" s="457"/>
      <c r="CX429" s="457"/>
      <c r="CY429" s="457"/>
      <c r="CZ429" s="457"/>
      <c r="DA429" s="457"/>
      <c r="DB429" s="457"/>
      <c r="DC429" s="457"/>
      <c r="DD429" s="457"/>
      <c r="DE429" s="457"/>
      <c r="DF429" s="457"/>
      <c r="DG429" s="457"/>
      <c r="DH429" s="457"/>
      <c r="DI429" s="457"/>
      <c r="DJ429" s="457"/>
      <c r="DK429" s="457"/>
      <c r="DL429" s="457"/>
      <c r="DM429" s="457"/>
      <c r="DN429" s="457"/>
      <c r="DO429" s="457"/>
      <c r="DP429" s="457"/>
      <c r="DQ429" s="457"/>
      <c r="DR429" s="457"/>
      <c r="DS429" s="457"/>
      <c r="DT429" s="457"/>
      <c r="DU429" s="457"/>
      <c r="DV429" s="457"/>
      <c r="DW429" s="457"/>
      <c r="DX429" s="457"/>
      <c r="DY429" s="457"/>
      <c r="DZ429" s="457"/>
      <c r="EA429" s="457"/>
      <c r="EB429" s="457"/>
      <c r="EC429" s="457"/>
      <c r="ED429" s="457"/>
      <c r="EE429" s="457"/>
      <c r="EF429" s="457"/>
      <c r="EG429" s="457"/>
      <c r="EH429" s="457"/>
      <c r="EI429" s="457"/>
      <c r="EJ429" s="457"/>
      <c r="EK429" s="457"/>
      <c r="EL429" s="457"/>
      <c r="EM429" s="457"/>
      <c r="EN429" s="457"/>
      <c r="EO429" s="457"/>
      <c r="EP429" s="457"/>
      <c r="EQ429" s="457"/>
      <c r="ER429" s="457"/>
      <c r="ES429" s="457"/>
      <c r="ET429" s="457"/>
      <c r="EU429" s="457"/>
      <c r="EV429" s="457"/>
      <c r="EW429" s="457"/>
      <c r="EX429" s="457"/>
      <c r="EY429" s="457"/>
      <c r="EZ429" s="457"/>
      <c r="FA429" s="457"/>
      <c r="FB429" s="457"/>
      <c r="FC429" s="457"/>
      <c r="FD429" s="457"/>
      <c r="FE429" s="457"/>
      <c r="FF429" s="457"/>
      <c r="FG429" s="457"/>
      <c r="FH429" s="457"/>
      <c r="FI429" s="457"/>
      <c r="FJ429" s="457"/>
      <c r="FK429" s="457"/>
      <c r="FL429" s="457"/>
      <c r="FM429" s="457"/>
      <c r="FN429" s="457"/>
      <c r="FO429" s="457"/>
      <c r="FP429" s="457"/>
      <c r="FQ429" s="457"/>
      <c r="FR429" s="457"/>
      <c r="FS429" s="457"/>
      <c r="FT429" s="457"/>
      <c r="FU429" s="457"/>
      <c r="FV429" s="457"/>
      <c r="FW429" s="457"/>
      <c r="FX429" s="457"/>
      <c r="FY429" s="457"/>
      <c r="FZ429" s="457"/>
      <c r="GA429" s="457"/>
      <c r="GB429" s="457"/>
      <c r="GC429" s="457"/>
      <c r="GD429" s="457"/>
      <c r="GE429" s="457"/>
      <c r="GF429" s="457"/>
      <c r="GG429" s="457"/>
      <c r="GH429" s="457"/>
      <c r="GI429" s="457"/>
      <c r="GJ429" s="457"/>
      <c r="GK429" s="457"/>
      <c r="GL429" s="457"/>
      <c r="GM429" s="457"/>
      <c r="GN429" s="457"/>
      <c r="GO429" s="457"/>
      <c r="GP429" s="457"/>
      <c r="GQ429" s="457"/>
      <c r="GR429" s="457"/>
      <c r="GS429" s="457"/>
      <c r="GT429" s="457"/>
      <c r="GU429" s="457"/>
      <c r="GV429" s="457"/>
      <c r="GW429" s="457"/>
      <c r="GX429" s="457"/>
      <c r="GY429" s="457"/>
      <c r="GZ429" s="457"/>
      <c r="HA429" s="457"/>
      <c r="HB429" s="457"/>
      <c r="HC429" s="457"/>
      <c r="HD429" s="457"/>
      <c r="HE429" s="457"/>
      <c r="HF429" s="457"/>
      <c r="HG429" s="457"/>
      <c r="HH429" s="457"/>
      <c r="HI429" s="457"/>
      <c r="HJ429" s="457"/>
      <c r="HK429" s="457"/>
      <c r="HL429" s="457"/>
      <c r="HM429" s="457"/>
      <c r="HN429" s="457"/>
      <c r="HO429" s="457"/>
      <c r="HP429" s="457"/>
      <c r="HQ429" s="457"/>
      <c r="HR429" s="457"/>
      <c r="HS429" s="457"/>
      <c r="HT429" s="457"/>
      <c r="HU429" s="457"/>
      <c r="HV429" s="457"/>
      <c r="HW429" s="457"/>
      <c r="HX429" s="457"/>
      <c r="HY429" s="457"/>
      <c r="HZ429" s="457"/>
      <c r="IA429" s="457"/>
      <c r="IB429" s="457"/>
      <c r="IC429" s="457"/>
      <c r="ID429" s="457"/>
      <c r="IE429" s="457"/>
      <c r="IF429" s="457"/>
      <c r="IG429" s="457"/>
      <c r="IH429" s="457"/>
      <c r="II429" s="457"/>
      <c r="IJ429" s="457"/>
      <c r="IK429" s="457"/>
      <c r="IL429" s="457"/>
      <c r="IM429" s="457"/>
      <c r="IN429" s="457"/>
      <c r="IO429" s="457"/>
      <c r="IP429" s="457"/>
      <c r="IQ429" s="457"/>
      <c r="IR429" s="457"/>
      <c r="IS429" s="457"/>
      <c r="IT429" s="457"/>
      <c r="IU429" s="457"/>
      <c r="IV429" s="457"/>
      <c r="IW429" s="457"/>
      <c r="IX429" s="457"/>
      <c r="IY429" s="457"/>
      <c r="IZ429" s="457"/>
      <c r="JA429" s="457"/>
      <c r="JB429" s="457"/>
      <c r="JC429" s="457"/>
      <c r="JD429" s="457"/>
      <c r="JE429" s="457"/>
      <c r="JF429" s="457"/>
      <c r="JG429" s="457"/>
      <c r="JH429" s="457"/>
      <c r="JI429" s="457"/>
      <c r="JJ429" s="457"/>
      <c r="JK429" s="457"/>
      <c r="JL429" s="457"/>
      <c r="JM429" s="457"/>
      <c r="JN429" s="457"/>
      <c r="JO429" s="457"/>
      <c r="JP429" s="457"/>
      <c r="JQ429" s="457"/>
      <c r="JR429" s="457"/>
      <c r="JS429" s="457"/>
      <c r="JT429" s="457"/>
      <c r="JU429" s="457"/>
      <c r="JV429" s="457"/>
      <c r="JW429" s="457"/>
      <c r="JX429" s="457"/>
      <c r="JY429" s="457"/>
      <c r="JZ429" s="457"/>
      <c r="KA429" s="457"/>
      <c r="KB429" s="457"/>
      <c r="KC429" s="457"/>
      <c r="KD429" s="457"/>
      <c r="KE429" s="457"/>
      <c r="KF429" s="457"/>
      <c r="KG429" s="457"/>
      <c r="KH429" s="457"/>
      <c r="KI429" s="457"/>
      <c r="KJ429" s="457"/>
      <c r="KK429" s="457"/>
      <c r="KL429" s="457"/>
      <c r="KM429" s="457"/>
      <c r="KN429" s="457"/>
      <c r="KO429" s="457"/>
      <c r="KP429" s="457"/>
      <c r="KQ429" s="457"/>
      <c r="KR429" s="457"/>
      <c r="KS429" s="457"/>
      <c r="KT429" s="457"/>
      <c r="KU429" s="457"/>
      <c r="KV429" s="457"/>
      <c r="KW429" s="457"/>
      <c r="KX429" s="457"/>
      <c r="KY429" s="457"/>
      <c r="KZ429" s="457"/>
      <c r="LA429" s="457"/>
      <c r="LB429" s="457"/>
      <c r="LC429" s="457"/>
      <c r="LD429" s="457"/>
      <c r="LE429" s="457"/>
      <c r="LF429" s="457"/>
      <c r="LG429" s="457"/>
      <c r="LH429" s="457"/>
      <c r="LI429" s="457"/>
      <c r="LJ429" s="457"/>
      <c r="LK429" s="457"/>
      <c r="LL429" s="457"/>
      <c r="LM429" s="457"/>
      <c r="LN429" s="457"/>
      <c r="LO429" s="457"/>
      <c r="LP429" s="457"/>
      <c r="LQ429" s="457"/>
      <c r="LR429" s="457"/>
      <c r="LS429" s="457"/>
      <c r="LT429" s="457"/>
      <c r="LU429" s="457"/>
      <c r="LV429" s="457"/>
      <c r="LW429" s="457"/>
      <c r="LX429" s="457"/>
      <c r="LY429" s="457"/>
      <c r="LZ429" s="457"/>
      <c r="MA429" s="457"/>
      <c r="MB429" s="457"/>
      <c r="MC429" s="457"/>
      <c r="MD429" s="457"/>
      <c r="ME429" s="457"/>
      <c r="MF429" s="457"/>
      <c r="MG429" s="457"/>
      <c r="MH429" s="457"/>
      <c r="MI429" s="457"/>
      <c r="MJ429" s="457"/>
      <c r="MK429" s="457"/>
      <c r="ML429" s="457"/>
      <c r="MM429" s="457"/>
      <c r="MN429" s="457"/>
      <c r="MO429" s="457"/>
      <c r="MP429" s="457"/>
      <c r="MQ429" s="457"/>
      <c r="MR429" s="457"/>
      <c r="MS429" s="457"/>
      <c r="MT429" s="457"/>
      <c r="MU429" s="457"/>
      <c r="MV429" s="457"/>
      <c r="MW429" s="457"/>
      <c r="MX429" s="457"/>
      <c r="MY429" s="457"/>
      <c r="MZ429" s="457"/>
      <c r="NA429" s="457"/>
      <c r="NB429" s="457"/>
      <c r="NC429" s="457"/>
      <c r="ND429" s="457"/>
      <c r="NE429" s="457"/>
      <c r="NF429" s="457"/>
      <c r="NG429" s="457"/>
      <c r="NH429" s="457"/>
      <c r="NI429" s="457"/>
      <c r="NJ429" s="457"/>
      <c r="NK429" s="457"/>
      <c r="NL429" s="457"/>
      <c r="NM429" s="457"/>
      <c r="NN429" s="457"/>
      <c r="NO429" s="457"/>
      <c r="NP429" s="457"/>
      <c r="NQ429" s="457"/>
      <c r="NR429" s="457"/>
      <c r="NS429" s="457"/>
      <c r="NT429" s="457"/>
      <c r="NU429" s="457"/>
      <c r="NV429" s="457"/>
      <c r="NW429" s="457"/>
      <c r="NX429" s="457"/>
      <c r="NY429" s="457"/>
      <c r="NZ429" s="457"/>
      <c r="OA429" s="457"/>
      <c r="OB429" s="457"/>
      <c r="OC429" s="457"/>
      <c r="OD429" s="457"/>
      <c r="OE429" s="457"/>
      <c r="OF429" s="457"/>
      <c r="OG429" s="457"/>
      <c r="OH429" s="457"/>
      <c r="OI429" s="457"/>
      <c r="OJ429" s="457"/>
      <c r="OK429" s="457"/>
      <c r="OL429" s="457"/>
      <c r="OM429" s="457"/>
      <c r="ON429" s="457"/>
      <c r="OO429" s="457"/>
      <c r="OP429" s="457"/>
      <c r="OQ429" s="457"/>
      <c r="OR429" s="457"/>
      <c r="OS429" s="457"/>
      <c r="OT429" s="457"/>
      <c r="OU429" s="457"/>
      <c r="OV429" s="457"/>
      <c r="OW429" s="457"/>
      <c r="OX429" s="457"/>
      <c r="OY429" s="457"/>
      <c r="OZ429" s="457"/>
      <c r="PA429" s="457"/>
      <c r="PB429" s="457"/>
      <c r="PC429" s="457"/>
      <c r="PD429" s="457"/>
      <c r="PE429" s="457"/>
      <c r="PF429" s="457"/>
      <c r="PG429" s="457"/>
      <c r="PH429" s="457"/>
      <c r="PI429" s="457"/>
      <c r="PJ429" s="457"/>
      <c r="PK429" s="457"/>
      <c r="PL429" s="457"/>
      <c r="PM429" s="457"/>
      <c r="PN429" s="457"/>
      <c r="PO429" s="457"/>
      <c r="PP429" s="457"/>
      <c r="PQ429" s="457"/>
      <c r="PR429" s="457"/>
      <c r="PS429" s="457"/>
      <c r="PT429" s="457"/>
      <c r="PU429" s="457"/>
      <c r="PV429" s="457"/>
      <c r="PW429" s="457"/>
      <c r="PX429" s="457"/>
      <c r="PY429" s="457"/>
      <c r="PZ429" s="457"/>
      <c r="QA429" s="457"/>
      <c r="QB429" s="457"/>
      <c r="QC429" s="457"/>
      <c r="QD429" s="457"/>
      <c r="QE429" s="457"/>
      <c r="QF429" s="457"/>
      <c r="QG429" s="457"/>
      <c r="QH429" s="457"/>
      <c r="QI429" s="457"/>
      <c r="QJ429" s="457"/>
      <c r="QK429" s="457"/>
      <c r="QL429" s="457"/>
      <c r="QM429" s="457"/>
      <c r="QN429" s="457"/>
      <c r="QO429" s="457"/>
      <c r="QP429" s="457"/>
      <c r="QQ429" s="457"/>
      <c r="QR429" s="457"/>
      <c r="QS429" s="457"/>
      <c r="QT429" s="457"/>
      <c r="QU429" s="457"/>
      <c r="QV429" s="457"/>
      <c r="QW429" s="457"/>
      <c r="QX429" s="457"/>
      <c r="QY429" s="457"/>
      <c r="QZ429" s="457"/>
      <c r="RA429" s="457"/>
      <c r="RB429" s="457"/>
      <c r="RC429" s="457"/>
      <c r="RD429" s="457"/>
      <c r="RE429" s="457"/>
      <c r="RF429" s="457"/>
      <c r="RG429" s="457"/>
      <c r="RH429" s="457"/>
      <c r="RI429" s="457"/>
      <c r="RJ429" s="457"/>
      <c r="RK429" s="457"/>
      <c r="RL429" s="457"/>
      <c r="RM429" s="457"/>
      <c r="RN429" s="457"/>
      <c r="RO429" s="457"/>
      <c r="RP429" s="457"/>
      <c r="RQ429" s="457"/>
      <c r="RR429" s="457"/>
      <c r="RS429" s="457"/>
      <c r="RT429" s="457"/>
      <c r="RU429" s="457"/>
      <c r="RV429" s="457"/>
      <c r="RW429" s="457"/>
      <c r="RX429" s="457"/>
      <c r="RY429" s="457"/>
      <c r="RZ429" s="457"/>
      <c r="SA429" s="457"/>
      <c r="SB429" s="457"/>
      <c r="SC429" s="457"/>
      <c r="SD429" s="457"/>
      <c r="SE429" s="457"/>
      <c r="SF429" s="457"/>
      <c r="SG429" s="457"/>
      <c r="SH429" s="457"/>
      <c r="SI429" s="457"/>
      <c r="SJ429" s="457"/>
      <c r="SK429" s="457"/>
      <c r="SL429" s="457"/>
      <c r="SM429" s="457"/>
      <c r="SN429" s="457"/>
      <c r="SO429" s="457"/>
      <c r="SP429" s="457"/>
      <c r="SQ429" s="457"/>
      <c r="SR429" s="457"/>
      <c r="SS429" s="457"/>
      <c r="ST429" s="457"/>
      <c r="SU429" s="457"/>
      <c r="SV429" s="457"/>
      <c r="SW429" s="457"/>
      <c r="SX429" s="457"/>
      <c r="SY429" s="457"/>
      <c r="SZ429" s="457"/>
      <c r="TA429" s="457"/>
      <c r="TB429" s="457"/>
      <c r="TC429" s="457"/>
      <c r="TD429" s="457"/>
      <c r="TE429" s="457"/>
      <c r="TF429" s="457"/>
      <c r="TG429" s="457"/>
      <c r="TH429" s="457"/>
      <c r="TI429" s="457"/>
      <c r="TJ429" s="457"/>
      <c r="TK429" s="457"/>
      <c r="TL429" s="457"/>
      <c r="TM429" s="457"/>
      <c r="TN429" s="457"/>
      <c r="TO429" s="457"/>
      <c r="TP429" s="457"/>
      <c r="TQ429" s="457"/>
      <c r="TR429" s="457"/>
      <c r="TS429" s="457"/>
      <c r="TT429" s="457"/>
      <c r="TU429" s="457"/>
      <c r="TV429" s="457"/>
      <c r="TW429" s="457"/>
      <c r="TX429" s="457"/>
      <c r="TY429" s="457"/>
      <c r="TZ429" s="457"/>
      <c r="UA429" s="457"/>
      <c r="UB429" s="457"/>
      <c r="UC429" s="457"/>
      <c r="UD429" s="457"/>
      <c r="UE429" s="457"/>
      <c r="UF429" s="457"/>
      <c r="UG429" s="457"/>
      <c r="UH429" s="457"/>
      <c r="UI429" s="457"/>
      <c r="UJ429" s="457"/>
      <c r="UK429" s="457"/>
      <c r="UL429" s="457"/>
      <c r="UM429" s="457"/>
      <c r="UN429" s="457"/>
      <c r="UO429" s="457"/>
      <c r="UP429" s="457"/>
      <c r="UQ429" s="457"/>
      <c r="UR429" s="457"/>
      <c r="US429" s="457"/>
      <c r="UT429" s="457"/>
      <c r="UU429" s="457"/>
      <c r="UV429" s="457"/>
      <c r="UW429" s="457"/>
      <c r="UX429" s="457"/>
      <c r="UY429" s="457"/>
      <c r="UZ429" s="457"/>
      <c r="VA429" s="457"/>
      <c r="VB429" s="457"/>
      <c r="VC429" s="457"/>
      <c r="VD429" s="457"/>
      <c r="VE429" s="457"/>
      <c r="VF429" s="457"/>
      <c r="VG429" s="457"/>
      <c r="VH429" s="457"/>
      <c r="VI429" s="457"/>
      <c r="VJ429" s="457"/>
      <c r="VK429" s="457"/>
      <c r="VL429" s="457"/>
      <c r="VM429" s="457"/>
      <c r="VN429" s="457"/>
      <c r="VO429" s="457"/>
      <c r="VP429" s="457"/>
      <c r="VQ429" s="457"/>
      <c r="VR429" s="457"/>
      <c r="VS429" s="457"/>
      <c r="VT429" s="457"/>
      <c r="VU429" s="457"/>
      <c r="VV429" s="457"/>
      <c r="VW429" s="457"/>
      <c r="VX429" s="457"/>
      <c r="VY429" s="457"/>
      <c r="VZ429" s="457"/>
      <c r="WA429" s="457"/>
      <c r="WB429" s="457"/>
      <c r="WC429" s="457"/>
      <c r="WD429" s="457"/>
      <c r="WE429" s="457"/>
      <c r="WF429" s="457"/>
      <c r="WG429" s="457"/>
      <c r="WH429" s="457"/>
      <c r="WI429" s="457"/>
      <c r="WJ429" s="457"/>
      <c r="WK429" s="457"/>
      <c r="WL429" s="457"/>
      <c r="WM429" s="457"/>
      <c r="WN429" s="457"/>
      <c r="WO429" s="457"/>
      <c r="WP429" s="457"/>
      <c r="WQ429" s="457"/>
      <c r="WR429" s="457"/>
      <c r="WS429" s="457"/>
      <c r="WT429" s="457"/>
      <c r="WU429" s="457"/>
      <c r="WV429" s="457"/>
      <c r="WW429" s="457"/>
      <c r="WX429" s="457"/>
      <c r="WY429" s="457"/>
      <c r="WZ429" s="457"/>
      <c r="XA429" s="457"/>
      <c r="XB429" s="457"/>
      <c r="XC429" s="457"/>
      <c r="XD429" s="457"/>
      <c r="XE429" s="457"/>
      <c r="XF429" s="457"/>
      <c r="XG429" s="457"/>
      <c r="XH429" s="457"/>
      <c r="XI429" s="457"/>
      <c r="XJ429" s="457"/>
      <c r="XK429" s="457"/>
      <c r="XL429" s="457"/>
      <c r="XM429" s="457"/>
      <c r="XN429" s="457"/>
      <c r="XO429" s="457"/>
      <c r="XP429" s="457"/>
      <c r="XQ429" s="457"/>
      <c r="XR429" s="457"/>
      <c r="XS429" s="457"/>
      <c r="XT429" s="457"/>
      <c r="XU429" s="457"/>
      <c r="XV429" s="457"/>
      <c r="XW429" s="457"/>
      <c r="XX429" s="457"/>
      <c r="XY429" s="457"/>
      <c r="XZ429" s="457"/>
      <c r="YA429" s="457"/>
      <c r="YB429" s="457"/>
      <c r="YC429" s="457"/>
      <c r="YD429" s="457"/>
      <c r="YE429" s="457"/>
      <c r="YF429" s="457"/>
      <c r="YG429" s="457"/>
      <c r="YH429" s="457"/>
      <c r="YI429" s="457"/>
      <c r="YJ429" s="457"/>
      <c r="YK429" s="457"/>
      <c r="YL429" s="457"/>
      <c r="YM429" s="457"/>
      <c r="YN429" s="457"/>
      <c r="YO429" s="457"/>
      <c r="YP429" s="457"/>
      <c r="YQ429" s="457"/>
      <c r="YR429" s="457"/>
      <c r="YS429" s="457"/>
      <c r="YT429" s="457"/>
      <c r="YU429" s="457"/>
      <c r="YV429" s="457"/>
      <c r="YW429" s="457"/>
      <c r="YX429" s="457"/>
      <c r="YY429" s="457"/>
      <c r="YZ429" s="457"/>
      <c r="ZA429" s="457"/>
      <c r="ZB429" s="457"/>
      <c r="ZC429" s="457"/>
      <c r="ZD429" s="457"/>
      <c r="ZE429" s="457"/>
      <c r="ZF429" s="457"/>
      <c r="ZG429" s="457"/>
      <c r="ZH429" s="457"/>
      <c r="ZI429" s="457"/>
      <c r="ZJ429" s="457"/>
      <c r="ZK429" s="457"/>
      <c r="ZL429" s="457"/>
      <c r="ZM429" s="457"/>
      <c r="ZN429" s="457"/>
      <c r="ZO429" s="457"/>
      <c r="ZP429" s="457"/>
      <c r="ZQ429" s="457"/>
      <c r="ZR429" s="457"/>
      <c r="ZS429" s="457"/>
      <c r="ZT429" s="457"/>
      <c r="ZU429" s="457"/>
      <c r="ZV429" s="457"/>
      <c r="ZW429" s="457"/>
      <c r="ZX429" s="457"/>
      <c r="ZY429" s="457"/>
      <c r="ZZ429" s="457"/>
      <c r="AAA429" s="457"/>
      <c r="AAB429" s="457"/>
      <c r="AAC429" s="457"/>
      <c r="AAD429" s="457"/>
      <c r="AAE429" s="457"/>
      <c r="AAF429" s="457"/>
      <c r="AAG429" s="457"/>
      <c r="AAH429" s="457"/>
      <c r="AAI429" s="457"/>
      <c r="AAJ429" s="457"/>
      <c r="AAK429" s="457"/>
      <c r="AAL429" s="457"/>
      <c r="AAM429" s="457"/>
      <c r="AAN429" s="457"/>
      <c r="AAO429" s="457"/>
      <c r="AAP429" s="457"/>
      <c r="AAQ429" s="457"/>
      <c r="AAR429" s="457"/>
      <c r="AAS429" s="457"/>
      <c r="AAT429" s="457"/>
      <c r="AAU429" s="457"/>
      <c r="AAV429" s="457"/>
      <c r="AAW429" s="457"/>
      <c r="AAX429" s="457"/>
      <c r="AAY429" s="457"/>
      <c r="AAZ429" s="457"/>
      <c r="ABA429" s="457"/>
      <c r="ABB429" s="457"/>
      <c r="ABC429" s="457"/>
      <c r="ABD429" s="457"/>
      <c r="ABE429" s="457"/>
      <c r="ABF429" s="457"/>
      <c r="ABG429" s="457"/>
      <c r="ABH429" s="457"/>
      <c r="ABI429" s="457"/>
      <c r="ABJ429" s="457"/>
      <c r="ABK429" s="457"/>
      <c r="ABL429" s="457"/>
      <c r="ABM429" s="457"/>
      <c r="ABN429" s="457"/>
      <c r="ABO429" s="457"/>
      <c r="ABP429" s="457"/>
      <c r="ABQ429" s="457"/>
      <c r="ABR429" s="457"/>
      <c r="ABS429" s="457"/>
      <c r="ABT429" s="457"/>
      <c r="ABU429" s="457"/>
      <c r="ABV429" s="457"/>
      <c r="ABW429" s="457"/>
      <c r="ABX429" s="457"/>
      <c r="ABY429" s="457"/>
      <c r="ABZ429" s="457"/>
      <c r="ACA429" s="457"/>
      <c r="ACB429" s="457"/>
      <c r="ACC429" s="457"/>
      <c r="ACD429" s="457"/>
      <c r="ACE429" s="457"/>
      <c r="ACF429" s="457"/>
      <c r="ACG429" s="457"/>
      <c r="ACH429" s="457"/>
      <c r="ACI429" s="457"/>
      <c r="ACJ429" s="457"/>
      <c r="ACK429" s="457"/>
      <c r="ACL429" s="457"/>
      <c r="ACM429" s="457"/>
      <c r="ACN429" s="457"/>
      <c r="ACO429" s="457"/>
      <c r="ACP429" s="457"/>
      <c r="ACQ429" s="457"/>
      <c r="ACR429" s="457"/>
      <c r="ACS429" s="457"/>
      <c r="ACT429" s="457"/>
      <c r="ACU429" s="457"/>
      <c r="ACV429" s="457"/>
    </row>
    <row r="430" spans="1:776" s="400" customFormat="1" x14ac:dyDescent="0.25">
      <c r="A430" s="470">
        <v>900143</v>
      </c>
      <c r="B430" s="237" t="s">
        <v>332</v>
      </c>
      <c r="C430" s="455"/>
      <c r="D430" s="454" t="s">
        <v>333</v>
      </c>
      <c r="E430" s="454">
        <v>0.68600000000000005</v>
      </c>
      <c r="F430" s="456">
        <v>10.43</v>
      </c>
      <c r="G430" s="454">
        <v>0.01</v>
      </c>
      <c r="H430" s="454">
        <v>0.17</v>
      </c>
      <c r="I430" s="456">
        <v>31.76</v>
      </c>
      <c r="J430" s="454">
        <v>84.97</v>
      </c>
      <c r="K430" s="454">
        <v>0.01</v>
      </c>
      <c r="L430" s="456">
        <v>297.60000000000002</v>
      </c>
      <c r="M430" s="454">
        <v>0.01</v>
      </c>
      <c r="N430" s="454">
        <v>2.44</v>
      </c>
      <c r="O430" s="454">
        <v>32.07</v>
      </c>
      <c r="P430" s="454">
        <v>68.349999999999994</v>
      </c>
      <c r="Q430" s="454">
        <v>35.130000000000003</v>
      </c>
      <c r="R430" s="454">
        <v>0.01</v>
      </c>
      <c r="S430" s="454">
        <v>0.01</v>
      </c>
      <c r="T430" s="454">
        <v>0.01</v>
      </c>
      <c r="U430" s="454">
        <v>0.01</v>
      </c>
      <c r="V430" s="454"/>
      <c r="W430" s="457"/>
      <c r="X430" s="457"/>
      <c r="Y430" s="457"/>
      <c r="Z430" s="457"/>
      <c r="AA430" s="457"/>
      <c r="AB430" s="457"/>
      <c r="AC430" s="457"/>
      <c r="AD430" s="457"/>
      <c r="AE430" s="457"/>
      <c r="AF430" s="457"/>
      <c r="AG430" s="457"/>
      <c r="AH430" s="457"/>
      <c r="AI430" s="457"/>
      <c r="AJ430" s="457"/>
      <c r="AK430" s="457"/>
      <c r="AL430" s="457"/>
      <c r="AM430" s="457"/>
      <c r="AN430" s="457"/>
      <c r="AO430" s="457"/>
      <c r="AP430" s="457"/>
      <c r="AQ430" s="457"/>
      <c r="AR430" s="457"/>
      <c r="AS430" s="457"/>
      <c r="AT430" s="457"/>
      <c r="AU430" s="457"/>
      <c r="AV430" s="457"/>
      <c r="AW430" s="457"/>
      <c r="AX430" s="457"/>
      <c r="AY430" s="457"/>
      <c r="AZ430" s="457"/>
      <c r="BA430" s="457"/>
      <c r="BB430" s="457"/>
      <c r="BC430" s="457"/>
      <c r="BD430" s="457"/>
      <c r="BE430" s="457"/>
      <c r="BF430" s="457"/>
      <c r="BG430" s="457"/>
      <c r="BH430" s="457"/>
      <c r="BI430" s="457"/>
      <c r="BJ430" s="457"/>
      <c r="BK430" s="457"/>
      <c r="BL430" s="457"/>
      <c r="BM430" s="457"/>
      <c r="BN430" s="457"/>
      <c r="BO430" s="457"/>
      <c r="BP430" s="457"/>
      <c r="BQ430" s="457"/>
      <c r="BR430" s="457"/>
      <c r="BS430" s="457"/>
      <c r="BT430" s="457"/>
      <c r="BU430" s="457"/>
      <c r="BV430" s="457"/>
      <c r="BW430" s="457"/>
      <c r="BX430" s="457"/>
      <c r="BY430" s="457"/>
      <c r="BZ430" s="457"/>
      <c r="CA430" s="457"/>
      <c r="CB430" s="457"/>
      <c r="CC430" s="457"/>
      <c r="CD430" s="457"/>
      <c r="CE430" s="457"/>
      <c r="CF430" s="457"/>
      <c r="CG430" s="457"/>
      <c r="CH430" s="457"/>
      <c r="CI430" s="457"/>
      <c r="CJ430" s="457"/>
      <c r="CK430" s="457"/>
      <c r="CL430" s="457"/>
      <c r="CM430" s="457"/>
      <c r="CN430" s="457"/>
      <c r="CO430" s="457"/>
      <c r="CP430" s="457"/>
      <c r="CQ430" s="457"/>
      <c r="CR430" s="457"/>
      <c r="CS430" s="457"/>
      <c r="CT430" s="457"/>
      <c r="CU430" s="457"/>
      <c r="CV430" s="457"/>
      <c r="CW430" s="457"/>
      <c r="CX430" s="457"/>
      <c r="CY430" s="457"/>
      <c r="CZ430" s="457"/>
      <c r="DA430" s="457"/>
      <c r="DB430" s="457"/>
      <c r="DC430" s="457"/>
      <c r="DD430" s="457"/>
      <c r="DE430" s="457"/>
      <c r="DF430" s="457"/>
      <c r="DG430" s="457"/>
      <c r="DH430" s="457"/>
      <c r="DI430" s="457"/>
      <c r="DJ430" s="457"/>
      <c r="DK430" s="457"/>
      <c r="DL430" s="457"/>
      <c r="DM430" s="457"/>
      <c r="DN430" s="457"/>
      <c r="DO430" s="457"/>
      <c r="DP430" s="457"/>
      <c r="DQ430" s="457"/>
      <c r="DR430" s="457"/>
      <c r="DS430" s="457"/>
      <c r="DT430" s="457"/>
      <c r="DU430" s="457"/>
      <c r="DV430" s="457"/>
      <c r="DW430" s="457"/>
      <c r="DX430" s="457"/>
      <c r="DY430" s="457"/>
      <c r="DZ430" s="457"/>
      <c r="EA430" s="457"/>
      <c r="EB430" s="457"/>
      <c r="EC430" s="457"/>
      <c r="ED430" s="457"/>
      <c r="EE430" s="457"/>
      <c r="EF430" s="457"/>
      <c r="EG430" s="457"/>
      <c r="EH430" s="457"/>
      <c r="EI430" s="457"/>
      <c r="EJ430" s="457"/>
      <c r="EK430" s="457"/>
      <c r="EL430" s="457"/>
      <c r="EM430" s="457"/>
      <c r="EN430" s="457"/>
      <c r="EO430" s="457"/>
      <c r="EP430" s="457"/>
      <c r="EQ430" s="457"/>
      <c r="ER430" s="457"/>
      <c r="ES430" s="457"/>
      <c r="ET430" s="457"/>
      <c r="EU430" s="457"/>
      <c r="EV430" s="457"/>
      <c r="EW430" s="457"/>
      <c r="EX430" s="457"/>
      <c r="EY430" s="457"/>
      <c r="EZ430" s="457"/>
      <c r="FA430" s="457"/>
      <c r="FB430" s="457"/>
      <c r="FC430" s="457"/>
      <c r="FD430" s="457"/>
      <c r="FE430" s="457"/>
      <c r="FF430" s="457"/>
      <c r="FG430" s="457"/>
      <c r="FH430" s="457"/>
      <c r="FI430" s="457"/>
      <c r="FJ430" s="457"/>
      <c r="FK430" s="457"/>
      <c r="FL430" s="457"/>
      <c r="FM430" s="457"/>
      <c r="FN430" s="457"/>
      <c r="FO430" s="457"/>
      <c r="FP430" s="457"/>
      <c r="FQ430" s="457"/>
      <c r="FR430" s="457"/>
      <c r="FS430" s="457"/>
      <c r="FT430" s="457"/>
      <c r="FU430" s="457"/>
      <c r="FV430" s="457"/>
      <c r="FW430" s="457"/>
      <c r="FX430" s="457"/>
      <c r="FY430" s="457"/>
      <c r="FZ430" s="457"/>
      <c r="GA430" s="457"/>
      <c r="GB430" s="457"/>
      <c r="GC430" s="457"/>
      <c r="GD430" s="457"/>
      <c r="GE430" s="457"/>
      <c r="GF430" s="457"/>
      <c r="GG430" s="457"/>
      <c r="GH430" s="457"/>
      <c r="GI430" s="457"/>
      <c r="GJ430" s="457"/>
      <c r="GK430" s="457"/>
      <c r="GL430" s="457"/>
      <c r="GM430" s="457"/>
      <c r="GN430" s="457"/>
      <c r="GO430" s="457"/>
      <c r="GP430" s="457"/>
      <c r="GQ430" s="457"/>
      <c r="GR430" s="457"/>
      <c r="GS430" s="457"/>
      <c r="GT430" s="457"/>
      <c r="GU430" s="457"/>
      <c r="GV430" s="457"/>
      <c r="GW430" s="457"/>
      <c r="GX430" s="457"/>
      <c r="GY430" s="457"/>
      <c r="GZ430" s="457"/>
      <c r="HA430" s="457"/>
      <c r="HB430" s="457"/>
      <c r="HC430" s="457"/>
      <c r="HD430" s="457"/>
      <c r="HE430" s="457"/>
      <c r="HF430" s="457"/>
      <c r="HG430" s="457"/>
      <c r="HH430" s="457"/>
      <c r="HI430" s="457"/>
      <c r="HJ430" s="457"/>
      <c r="HK430" s="457"/>
      <c r="HL430" s="457"/>
      <c r="HM430" s="457"/>
      <c r="HN430" s="457"/>
      <c r="HO430" s="457"/>
      <c r="HP430" s="457"/>
      <c r="HQ430" s="457"/>
      <c r="HR430" s="457"/>
      <c r="HS430" s="457"/>
      <c r="HT430" s="457"/>
      <c r="HU430" s="457"/>
      <c r="HV430" s="457"/>
      <c r="HW430" s="457"/>
      <c r="HX430" s="457"/>
      <c r="HY430" s="457"/>
      <c r="HZ430" s="457"/>
      <c r="IA430" s="457"/>
      <c r="IB430" s="457"/>
      <c r="IC430" s="457"/>
      <c r="ID430" s="457"/>
      <c r="IE430" s="457"/>
      <c r="IF430" s="457"/>
      <c r="IG430" s="457"/>
      <c r="IH430" s="457"/>
      <c r="II430" s="457"/>
      <c r="IJ430" s="457"/>
      <c r="IK430" s="457"/>
      <c r="IL430" s="457"/>
      <c r="IM430" s="457"/>
      <c r="IN430" s="457"/>
      <c r="IO430" s="457"/>
      <c r="IP430" s="457"/>
      <c r="IQ430" s="457"/>
      <c r="IR430" s="457"/>
      <c r="IS430" s="457"/>
      <c r="IT430" s="457"/>
      <c r="IU430" s="457"/>
      <c r="IV430" s="457"/>
      <c r="IW430" s="457"/>
      <c r="IX430" s="457"/>
      <c r="IY430" s="457"/>
      <c r="IZ430" s="457"/>
      <c r="JA430" s="457"/>
      <c r="JB430" s="457"/>
      <c r="JC430" s="457"/>
      <c r="JD430" s="457"/>
      <c r="JE430" s="457"/>
      <c r="JF430" s="457"/>
      <c r="JG430" s="457"/>
      <c r="JH430" s="457"/>
      <c r="JI430" s="457"/>
      <c r="JJ430" s="457"/>
      <c r="JK430" s="457"/>
      <c r="JL430" s="457"/>
      <c r="JM430" s="457"/>
      <c r="JN430" s="457"/>
      <c r="JO430" s="457"/>
      <c r="JP430" s="457"/>
      <c r="JQ430" s="457"/>
      <c r="JR430" s="457"/>
      <c r="JS430" s="457"/>
      <c r="JT430" s="457"/>
      <c r="JU430" s="457"/>
      <c r="JV430" s="457"/>
      <c r="JW430" s="457"/>
      <c r="JX430" s="457"/>
      <c r="JY430" s="457"/>
      <c r="JZ430" s="457"/>
      <c r="KA430" s="457"/>
      <c r="KB430" s="457"/>
      <c r="KC430" s="457"/>
      <c r="KD430" s="457"/>
      <c r="KE430" s="457"/>
      <c r="KF430" s="457"/>
      <c r="KG430" s="457"/>
      <c r="KH430" s="457"/>
      <c r="KI430" s="457"/>
      <c r="KJ430" s="457"/>
      <c r="KK430" s="457"/>
      <c r="KL430" s="457"/>
      <c r="KM430" s="457"/>
      <c r="KN430" s="457"/>
      <c r="KO430" s="457"/>
      <c r="KP430" s="457"/>
      <c r="KQ430" s="457"/>
      <c r="KR430" s="457"/>
      <c r="KS430" s="457"/>
      <c r="KT430" s="457"/>
      <c r="KU430" s="457"/>
      <c r="KV430" s="457"/>
      <c r="KW430" s="457"/>
      <c r="KX430" s="457"/>
      <c r="KY430" s="457"/>
      <c r="KZ430" s="457"/>
      <c r="LA430" s="457"/>
      <c r="LB430" s="457"/>
      <c r="LC430" s="457"/>
      <c r="LD430" s="457"/>
      <c r="LE430" s="457"/>
      <c r="LF430" s="457"/>
      <c r="LG430" s="457"/>
      <c r="LH430" s="457"/>
      <c r="LI430" s="457"/>
      <c r="LJ430" s="457"/>
      <c r="LK430" s="457"/>
      <c r="LL430" s="457"/>
      <c r="LM430" s="457"/>
      <c r="LN430" s="457"/>
      <c r="LO430" s="457"/>
      <c r="LP430" s="457"/>
      <c r="LQ430" s="457"/>
      <c r="LR430" s="457"/>
      <c r="LS430" s="457"/>
      <c r="LT430" s="457"/>
      <c r="LU430" s="457"/>
      <c r="LV430" s="457"/>
      <c r="LW430" s="457"/>
      <c r="LX430" s="457"/>
      <c r="LY430" s="457"/>
      <c r="LZ430" s="457"/>
      <c r="MA430" s="457"/>
      <c r="MB430" s="457"/>
      <c r="MC430" s="457"/>
      <c r="MD430" s="457"/>
      <c r="ME430" s="457"/>
      <c r="MF430" s="457"/>
      <c r="MG430" s="457"/>
      <c r="MH430" s="457"/>
      <c r="MI430" s="457"/>
      <c r="MJ430" s="457"/>
      <c r="MK430" s="457"/>
      <c r="ML430" s="457"/>
      <c r="MM430" s="457"/>
      <c r="MN430" s="457"/>
      <c r="MO430" s="457"/>
      <c r="MP430" s="457"/>
      <c r="MQ430" s="457"/>
      <c r="MR430" s="457"/>
      <c r="MS430" s="457"/>
      <c r="MT430" s="457"/>
      <c r="MU430" s="457"/>
      <c r="MV430" s="457"/>
      <c r="MW430" s="457"/>
      <c r="MX430" s="457"/>
      <c r="MY430" s="457"/>
      <c r="MZ430" s="457"/>
      <c r="NA430" s="457"/>
      <c r="NB430" s="457"/>
      <c r="NC430" s="457"/>
      <c r="ND430" s="457"/>
      <c r="NE430" s="457"/>
      <c r="NF430" s="457"/>
      <c r="NG430" s="457"/>
      <c r="NH430" s="457"/>
      <c r="NI430" s="457"/>
      <c r="NJ430" s="457"/>
      <c r="NK430" s="457"/>
      <c r="NL430" s="457"/>
      <c r="NM430" s="457"/>
      <c r="NN430" s="457"/>
      <c r="NO430" s="457"/>
      <c r="NP430" s="457"/>
      <c r="NQ430" s="457"/>
      <c r="NR430" s="457"/>
      <c r="NS430" s="457"/>
      <c r="NT430" s="457"/>
      <c r="NU430" s="457"/>
      <c r="NV430" s="457"/>
      <c r="NW430" s="457"/>
      <c r="NX430" s="457"/>
      <c r="NY430" s="457"/>
      <c r="NZ430" s="457"/>
      <c r="OA430" s="457"/>
      <c r="OB430" s="457"/>
      <c r="OC430" s="457"/>
      <c r="OD430" s="457"/>
      <c r="OE430" s="457"/>
      <c r="OF430" s="457"/>
      <c r="OG430" s="457"/>
      <c r="OH430" s="457"/>
      <c r="OI430" s="457"/>
      <c r="OJ430" s="457"/>
      <c r="OK430" s="457"/>
      <c r="OL430" s="457"/>
      <c r="OM430" s="457"/>
      <c r="ON430" s="457"/>
      <c r="OO430" s="457"/>
      <c r="OP430" s="457"/>
      <c r="OQ430" s="457"/>
      <c r="OR430" s="457"/>
      <c r="OS430" s="457"/>
      <c r="OT430" s="457"/>
      <c r="OU430" s="457"/>
      <c r="OV430" s="457"/>
      <c r="OW430" s="457"/>
      <c r="OX430" s="457"/>
      <c r="OY430" s="457"/>
      <c r="OZ430" s="457"/>
      <c r="PA430" s="457"/>
      <c r="PB430" s="457"/>
      <c r="PC430" s="457"/>
      <c r="PD430" s="457"/>
      <c r="PE430" s="457"/>
      <c r="PF430" s="457"/>
      <c r="PG430" s="457"/>
      <c r="PH430" s="457"/>
      <c r="PI430" s="457"/>
      <c r="PJ430" s="457"/>
      <c r="PK430" s="457"/>
      <c r="PL430" s="457"/>
      <c r="PM430" s="457"/>
      <c r="PN430" s="457"/>
      <c r="PO430" s="457"/>
      <c r="PP430" s="457"/>
      <c r="PQ430" s="457"/>
      <c r="PR430" s="457"/>
      <c r="PS430" s="457"/>
      <c r="PT430" s="457"/>
      <c r="PU430" s="457"/>
      <c r="PV430" s="457"/>
      <c r="PW430" s="457"/>
      <c r="PX430" s="457"/>
      <c r="PY430" s="457"/>
      <c r="PZ430" s="457"/>
      <c r="QA430" s="457"/>
      <c r="QB430" s="457"/>
      <c r="QC430" s="457"/>
      <c r="QD430" s="457"/>
      <c r="QE430" s="457"/>
      <c r="QF430" s="457"/>
      <c r="QG430" s="457"/>
      <c r="QH430" s="457"/>
      <c r="QI430" s="457"/>
      <c r="QJ430" s="457"/>
      <c r="QK430" s="457"/>
      <c r="QL430" s="457"/>
      <c r="QM430" s="457"/>
      <c r="QN430" s="457"/>
      <c r="QO430" s="457"/>
      <c r="QP430" s="457"/>
      <c r="QQ430" s="457"/>
      <c r="QR430" s="457"/>
      <c r="QS430" s="457"/>
      <c r="QT430" s="457"/>
      <c r="QU430" s="457"/>
      <c r="QV430" s="457"/>
      <c r="QW430" s="457"/>
      <c r="QX430" s="457"/>
      <c r="QY430" s="457"/>
      <c r="QZ430" s="457"/>
      <c r="RA430" s="457"/>
      <c r="RB430" s="457"/>
      <c r="RC430" s="457"/>
      <c r="RD430" s="457"/>
      <c r="RE430" s="457"/>
      <c r="RF430" s="457"/>
      <c r="RG430" s="457"/>
      <c r="RH430" s="457"/>
      <c r="RI430" s="457"/>
      <c r="RJ430" s="457"/>
      <c r="RK430" s="457"/>
      <c r="RL430" s="457"/>
      <c r="RM430" s="457"/>
      <c r="RN430" s="457"/>
      <c r="RO430" s="457"/>
      <c r="RP430" s="457"/>
      <c r="RQ430" s="457"/>
      <c r="RR430" s="457"/>
      <c r="RS430" s="457"/>
      <c r="RT430" s="457"/>
      <c r="RU430" s="457"/>
      <c r="RV430" s="457"/>
      <c r="RW430" s="457"/>
      <c r="RX430" s="457"/>
      <c r="RY430" s="457"/>
      <c r="RZ430" s="457"/>
      <c r="SA430" s="457"/>
      <c r="SB430" s="457"/>
      <c r="SC430" s="457"/>
      <c r="SD430" s="457"/>
      <c r="SE430" s="457"/>
      <c r="SF430" s="457"/>
      <c r="SG430" s="457"/>
      <c r="SH430" s="457"/>
      <c r="SI430" s="457"/>
      <c r="SJ430" s="457"/>
      <c r="SK430" s="457"/>
      <c r="SL430" s="457"/>
      <c r="SM430" s="457"/>
      <c r="SN430" s="457"/>
      <c r="SO430" s="457"/>
      <c r="SP430" s="457"/>
      <c r="SQ430" s="457"/>
      <c r="SR430" s="457"/>
      <c r="SS430" s="457"/>
      <c r="ST430" s="457"/>
      <c r="SU430" s="457"/>
      <c r="SV430" s="457"/>
      <c r="SW430" s="457"/>
      <c r="SX430" s="457"/>
      <c r="SY430" s="457"/>
      <c r="SZ430" s="457"/>
      <c r="TA430" s="457"/>
      <c r="TB430" s="457"/>
      <c r="TC430" s="457"/>
      <c r="TD430" s="457"/>
      <c r="TE430" s="457"/>
      <c r="TF430" s="457"/>
      <c r="TG430" s="457"/>
      <c r="TH430" s="457"/>
      <c r="TI430" s="457"/>
      <c r="TJ430" s="457"/>
      <c r="TK430" s="457"/>
      <c r="TL430" s="457"/>
      <c r="TM430" s="457"/>
      <c r="TN430" s="457"/>
      <c r="TO430" s="457"/>
      <c r="TP430" s="457"/>
      <c r="TQ430" s="457"/>
      <c r="TR430" s="457"/>
      <c r="TS430" s="457"/>
      <c r="TT430" s="457"/>
      <c r="TU430" s="457"/>
      <c r="TV430" s="457"/>
      <c r="TW430" s="457"/>
      <c r="TX430" s="457"/>
      <c r="TY430" s="457"/>
      <c r="TZ430" s="457"/>
      <c r="UA430" s="457"/>
      <c r="UB430" s="457"/>
      <c r="UC430" s="457"/>
      <c r="UD430" s="457"/>
      <c r="UE430" s="457"/>
      <c r="UF430" s="457"/>
      <c r="UG430" s="457"/>
      <c r="UH430" s="457"/>
      <c r="UI430" s="457"/>
      <c r="UJ430" s="457"/>
      <c r="UK430" s="457"/>
      <c r="UL430" s="457"/>
      <c r="UM430" s="457"/>
      <c r="UN430" s="457"/>
      <c r="UO430" s="457"/>
      <c r="UP430" s="457"/>
      <c r="UQ430" s="457"/>
      <c r="UR430" s="457"/>
      <c r="US430" s="457"/>
      <c r="UT430" s="457"/>
      <c r="UU430" s="457"/>
      <c r="UV430" s="457"/>
      <c r="UW430" s="457"/>
      <c r="UX430" s="457"/>
      <c r="UY430" s="457"/>
      <c r="UZ430" s="457"/>
      <c r="VA430" s="457"/>
      <c r="VB430" s="457"/>
      <c r="VC430" s="457"/>
      <c r="VD430" s="457"/>
      <c r="VE430" s="457"/>
      <c r="VF430" s="457"/>
      <c r="VG430" s="457"/>
      <c r="VH430" s="457"/>
      <c r="VI430" s="457"/>
      <c r="VJ430" s="457"/>
      <c r="VK430" s="457"/>
      <c r="VL430" s="457"/>
      <c r="VM430" s="457"/>
      <c r="VN430" s="457"/>
      <c r="VO430" s="457"/>
      <c r="VP430" s="457"/>
      <c r="VQ430" s="457"/>
      <c r="VR430" s="457"/>
      <c r="VS430" s="457"/>
      <c r="VT430" s="457"/>
      <c r="VU430" s="457"/>
      <c r="VV430" s="457"/>
      <c r="VW430" s="457"/>
      <c r="VX430" s="457"/>
      <c r="VY430" s="457"/>
      <c r="VZ430" s="457"/>
      <c r="WA430" s="457"/>
      <c r="WB430" s="457"/>
      <c r="WC430" s="457"/>
      <c r="WD430" s="457"/>
      <c r="WE430" s="457"/>
      <c r="WF430" s="457"/>
      <c r="WG430" s="457"/>
      <c r="WH430" s="457"/>
      <c r="WI430" s="457"/>
      <c r="WJ430" s="457"/>
      <c r="WK430" s="457"/>
      <c r="WL430" s="457"/>
      <c r="WM430" s="457"/>
      <c r="WN430" s="457"/>
      <c r="WO430" s="457"/>
      <c r="WP430" s="457"/>
      <c r="WQ430" s="457"/>
      <c r="WR430" s="457"/>
      <c r="WS430" s="457"/>
      <c r="WT430" s="457"/>
      <c r="WU430" s="457"/>
      <c r="WV430" s="457"/>
      <c r="WW430" s="457"/>
      <c r="WX430" s="457"/>
      <c r="WY430" s="457"/>
      <c r="WZ430" s="457"/>
      <c r="XA430" s="457"/>
      <c r="XB430" s="457"/>
      <c r="XC430" s="457"/>
      <c r="XD430" s="457"/>
      <c r="XE430" s="457"/>
      <c r="XF430" s="457"/>
      <c r="XG430" s="457"/>
      <c r="XH430" s="457"/>
      <c r="XI430" s="457"/>
      <c r="XJ430" s="457"/>
      <c r="XK430" s="457"/>
      <c r="XL430" s="457"/>
      <c r="XM430" s="457"/>
      <c r="XN430" s="457"/>
      <c r="XO430" s="457"/>
      <c r="XP430" s="457"/>
      <c r="XQ430" s="457"/>
      <c r="XR430" s="457"/>
      <c r="XS430" s="457"/>
      <c r="XT430" s="457"/>
      <c r="XU430" s="457"/>
      <c r="XV430" s="457"/>
      <c r="XW430" s="457"/>
      <c r="XX430" s="457"/>
      <c r="XY430" s="457"/>
      <c r="XZ430" s="457"/>
      <c r="YA430" s="457"/>
      <c r="YB430" s="457"/>
      <c r="YC430" s="457"/>
      <c r="YD430" s="457"/>
      <c r="YE430" s="457"/>
      <c r="YF430" s="457"/>
      <c r="YG430" s="457"/>
      <c r="YH430" s="457"/>
      <c r="YI430" s="457"/>
      <c r="YJ430" s="457"/>
      <c r="YK430" s="457"/>
      <c r="YL430" s="457"/>
      <c r="YM430" s="457"/>
      <c r="YN430" s="457"/>
      <c r="YO430" s="457"/>
      <c r="YP430" s="457"/>
      <c r="YQ430" s="457"/>
      <c r="YR430" s="457"/>
      <c r="YS430" s="457"/>
      <c r="YT430" s="457"/>
      <c r="YU430" s="457"/>
      <c r="YV430" s="457"/>
      <c r="YW430" s="457"/>
      <c r="YX430" s="457"/>
      <c r="YY430" s="457"/>
      <c r="YZ430" s="457"/>
      <c r="ZA430" s="457"/>
      <c r="ZB430" s="457"/>
      <c r="ZC430" s="457"/>
      <c r="ZD430" s="457"/>
      <c r="ZE430" s="457"/>
      <c r="ZF430" s="457"/>
      <c r="ZG430" s="457"/>
      <c r="ZH430" s="457"/>
      <c r="ZI430" s="457"/>
      <c r="ZJ430" s="457"/>
      <c r="ZK430" s="457"/>
      <c r="ZL430" s="457"/>
      <c r="ZM430" s="457"/>
      <c r="ZN430" s="457"/>
      <c r="ZO430" s="457"/>
      <c r="ZP430" s="457"/>
      <c r="ZQ430" s="457"/>
      <c r="ZR430" s="457"/>
      <c r="ZS430" s="457"/>
      <c r="ZT430" s="457"/>
      <c r="ZU430" s="457"/>
      <c r="ZV430" s="457"/>
      <c r="ZW430" s="457"/>
      <c r="ZX430" s="457"/>
      <c r="ZY430" s="457"/>
      <c r="ZZ430" s="457"/>
      <c r="AAA430" s="457"/>
      <c r="AAB430" s="457"/>
      <c r="AAC430" s="457"/>
      <c r="AAD430" s="457"/>
      <c r="AAE430" s="457"/>
      <c r="AAF430" s="457"/>
      <c r="AAG430" s="457"/>
      <c r="AAH430" s="457"/>
      <c r="AAI430" s="457"/>
      <c r="AAJ430" s="457"/>
      <c r="AAK430" s="457"/>
      <c r="AAL430" s="457"/>
      <c r="AAM430" s="457"/>
      <c r="AAN430" s="457"/>
      <c r="AAO430" s="457"/>
      <c r="AAP430" s="457"/>
      <c r="AAQ430" s="457"/>
      <c r="AAR430" s="457"/>
      <c r="AAS430" s="457"/>
      <c r="AAT430" s="457"/>
      <c r="AAU430" s="457"/>
      <c r="AAV430" s="457"/>
      <c r="AAW430" s="457"/>
      <c r="AAX430" s="457"/>
      <c r="AAY430" s="457"/>
      <c r="AAZ430" s="457"/>
      <c r="ABA430" s="457"/>
      <c r="ABB430" s="457"/>
      <c r="ABC430" s="457"/>
      <c r="ABD430" s="457"/>
      <c r="ABE430" s="457"/>
      <c r="ABF430" s="457"/>
      <c r="ABG430" s="457"/>
      <c r="ABH430" s="457"/>
      <c r="ABI430" s="457"/>
      <c r="ABJ430" s="457"/>
      <c r="ABK430" s="457"/>
      <c r="ABL430" s="457"/>
      <c r="ABM430" s="457"/>
      <c r="ABN430" s="457"/>
      <c r="ABO430" s="457"/>
      <c r="ABP430" s="457"/>
      <c r="ABQ430" s="457"/>
      <c r="ABR430" s="457"/>
      <c r="ABS430" s="457"/>
      <c r="ABT430" s="457"/>
      <c r="ABU430" s="457"/>
      <c r="ABV430" s="457"/>
      <c r="ABW430" s="457"/>
      <c r="ABX430" s="457"/>
      <c r="ABY430" s="457"/>
      <c r="ABZ430" s="457"/>
      <c r="ACA430" s="457"/>
      <c r="ACB430" s="457"/>
      <c r="ACC430" s="457"/>
      <c r="ACD430" s="457"/>
      <c r="ACE430" s="457"/>
      <c r="ACF430" s="457"/>
      <c r="ACG430" s="457"/>
      <c r="ACH430" s="457"/>
      <c r="ACI430" s="457"/>
      <c r="ACJ430" s="457"/>
      <c r="ACK430" s="457"/>
      <c r="ACL430" s="457"/>
      <c r="ACM430" s="457"/>
      <c r="ACN430" s="457"/>
      <c r="ACO430" s="457"/>
      <c r="ACP430" s="457"/>
      <c r="ACQ430" s="457"/>
      <c r="ACR430" s="457"/>
      <c r="ACS430" s="457"/>
      <c r="ACT430" s="457"/>
      <c r="ACU430" s="457"/>
      <c r="ACV430" s="457"/>
    </row>
    <row r="431" spans="1:776" s="400" customFormat="1" x14ac:dyDescent="0.25">
      <c r="A431" s="470">
        <v>900144</v>
      </c>
      <c r="B431" s="237" t="s">
        <v>334</v>
      </c>
      <c r="C431" s="455"/>
      <c r="D431" s="454" t="s">
        <v>335</v>
      </c>
      <c r="E431" s="454">
        <v>0.67400000000000004</v>
      </c>
      <c r="F431" s="456">
        <v>15.63</v>
      </c>
      <c r="G431" s="454">
        <v>0.01</v>
      </c>
      <c r="H431" s="454">
        <v>0.09</v>
      </c>
      <c r="I431" s="456">
        <v>31.34</v>
      </c>
      <c r="J431" s="454">
        <v>74.790000000000006</v>
      </c>
      <c r="K431" s="454">
        <v>6.1199999999999997E-2</v>
      </c>
      <c r="L431" s="456">
        <v>295.2</v>
      </c>
      <c r="M431" s="454">
        <v>0.01</v>
      </c>
      <c r="N431" s="454">
        <v>2.44</v>
      </c>
      <c r="O431" s="454">
        <v>30.1</v>
      </c>
      <c r="P431" s="454">
        <v>69.39</v>
      </c>
      <c r="Q431" s="454">
        <v>37.51</v>
      </c>
      <c r="R431" s="454">
        <v>0.01</v>
      </c>
      <c r="S431" s="454">
        <v>0.01</v>
      </c>
      <c r="T431" s="454">
        <v>0.01</v>
      </c>
      <c r="U431" s="454">
        <v>0.01</v>
      </c>
      <c r="V431" s="454"/>
      <c r="W431" s="457"/>
      <c r="X431" s="457"/>
      <c r="Y431" s="457"/>
      <c r="Z431" s="457"/>
      <c r="AA431" s="457"/>
      <c r="AB431" s="457"/>
      <c r="AC431" s="457"/>
      <c r="AD431" s="457"/>
      <c r="AE431" s="457"/>
      <c r="AF431" s="457"/>
      <c r="AG431" s="457"/>
      <c r="AH431" s="457"/>
      <c r="AI431" s="457"/>
      <c r="AJ431" s="457"/>
      <c r="AK431" s="457"/>
      <c r="AL431" s="457"/>
      <c r="AM431" s="457"/>
      <c r="AN431" s="457"/>
      <c r="AO431" s="457"/>
      <c r="AP431" s="457"/>
      <c r="AQ431" s="457"/>
      <c r="AR431" s="457"/>
      <c r="AS431" s="457"/>
      <c r="AT431" s="457"/>
      <c r="AU431" s="457"/>
      <c r="AV431" s="457"/>
      <c r="AW431" s="457"/>
      <c r="AX431" s="457"/>
      <c r="AY431" s="457"/>
      <c r="AZ431" s="457"/>
      <c r="BA431" s="457"/>
      <c r="BB431" s="457"/>
      <c r="BC431" s="457"/>
      <c r="BD431" s="457"/>
      <c r="BE431" s="457"/>
      <c r="BF431" s="457"/>
      <c r="BG431" s="457"/>
      <c r="BH431" s="457"/>
      <c r="BI431" s="457"/>
      <c r="BJ431" s="457"/>
      <c r="BK431" s="457"/>
      <c r="BL431" s="457"/>
      <c r="BM431" s="457"/>
      <c r="BN431" s="457"/>
      <c r="BO431" s="457"/>
      <c r="BP431" s="457"/>
      <c r="BQ431" s="457"/>
      <c r="BR431" s="457"/>
      <c r="BS431" s="457"/>
      <c r="BT431" s="457"/>
      <c r="BU431" s="457"/>
      <c r="BV431" s="457"/>
      <c r="BW431" s="457"/>
      <c r="BX431" s="457"/>
      <c r="BY431" s="457"/>
      <c r="BZ431" s="457"/>
      <c r="CA431" s="457"/>
      <c r="CB431" s="457"/>
      <c r="CC431" s="457"/>
      <c r="CD431" s="457"/>
      <c r="CE431" s="457"/>
      <c r="CF431" s="457"/>
      <c r="CG431" s="457"/>
      <c r="CH431" s="457"/>
      <c r="CI431" s="457"/>
      <c r="CJ431" s="457"/>
      <c r="CK431" s="457"/>
      <c r="CL431" s="457"/>
      <c r="CM431" s="457"/>
      <c r="CN431" s="457"/>
      <c r="CO431" s="457"/>
      <c r="CP431" s="457"/>
      <c r="CQ431" s="457"/>
      <c r="CR431" s="457"/>
      <c r="CS431" s="457"/>
      <c r="CT431" s="457"/>
      <c r="CU431" s="457"/>
      <c r="CV431" s="457"/>
      <c r="CW431" s="457"/>
      <c r="CX431" s="457"/>
      <c r="CY431" s="457"/>
      <c r="CZ431" s="457"/>
      <c r="DA431" s="457"/>
      <c r="DB431" s="457"/>
      <c r="DC431" s="457"/>
      <c r="DD431" s="457"/>
      <c r="DE431" s="457"/>
      <c r="DF431" s="457"/>
      <c r="DG431" s="457"/>
      <c r="DH431" s="457"/>
      <c r="DI431" s="457"/>
      <c r="DJ431" s="457"/>
      <c r="DK431" s="457"/>
      <c r="DL431" s="457"/>
      <c r="DM431" s="457"/>
      <c r="DN431" s="457"/>
      <c r="DO431" s="457"/>
      <c r="DP431" s="457"/>
      <c r="DQ431" s="457"/>
      <c r="DR431" s="457"/>
      <c r="DS431" s="457"/>
      <c r="DT431" s="457"/>
      <c r="DU431" s="457"/>
      <c r="DV431" s="457"/>
      <c r="DW431" s="457"/>
      <c r="DX431" s="457"/>
      <c r="DY431" s="457"/>
      <c r="DZ431" s="457"/>
      <c r="EA431" s="457"/>
      <c r="EB431" s="457"/>
      <c r="EC431" s="457"/>
      <c r="ED431" s="457"/>
      <c r="EE431" s="457"/>
      <c r="EF431" s="457"/>
      <c r="EG431" s="457"/>
      <c r="EH431" s="457"/>
      <c r="EI431" s="457"/>
      <c r="EJ431" s="457"/>
      <c r="EK431" s="457"/>
      <c r="EL431" s="457"/>
      <c r="EM431" s="457"/>
      <c r="EN431" s="457"/>
      <c r="EO431" s="457"/>
      <c r="EP431" s="457"/>
      <c r="EQ431" s="457"/>
      <c r="ER431" s="457"/>
      <c r="ES431" s="457"/>
      <c r="ET431" s="457"/>
      <c r="EU431" s="457"/>
      <c r="EV431" s="457"/>
      <c r="EW431" s="457"/>
      <c r="EX431" s="457"/>
      <c r="EY431" s="457"/>
      <c r="EZ431" s="457"/>
      <c r="FA431" s="457"/>
      <c r="FB431" s="457"/>
      <c r="FC431" s="457"/>
      <c r="FD431" s="457"/>
      <c r="FE431" s="457"/>
      <c r="FF431" s="457"/>
      <c r="FG431" s="457"/>
      <c r="FH431" s="457"/>
      <c r="FI431" s="457"/>
      <c r="FJ431" s="457"/>
      <c r="FK431" s="457"/>
      <c r="FL431" s="457"/>
      <c r="FM431" s="457"/>
      <c r="FN431" s="457"/>
      <c r="FO431" s="457"/>
      <c r="FP431" s="457"/>
      <c r="FQ431" s="457"/>
      <c r="FR431" s="457"/>
      <c r="FS431" s="457"/>
      <c r="FT431" s="457"/>
      <c r="FU431" s="457"/>
      <c r="FV431" s="457"/>
      <c r="FW431" s="457"/>
      <c r="FX431" s="457"/>
      <c r="FY431" s="457"/>
      <c r="FZ431" s="457"/>
      <c r="GA431" s="457"/>
      <c r="GB431" s="457"/>
      <c r="GC431" s="457"/>
      <c r="GD431" s="457"/>
      <c r="GE431" s="457"/>
      <c r="GF431" s="457"/>
      <c r="GG431" s="457"/>
      <c r="GH431" s="457"/>
      <c r="GI431" s="457"/>
      <c r="GJ431" s="457"/>
      <c r="GK431" s="457"/>
      <c r="GL431" s="457"/>
      <c r="GM431" s="457"/>
      <c r="GN431" s="457"/>
      <c r="GO431" s="457"/>
      <c r="GP431" s="457"/>
      <c r="GQ431" s="457"/>
      <c r="GR431" s="457"/>
      <c r="GS431" s="457"/>
      <c r="GT431" s="457"/>
      <c r="GU431" s="457"/>
      <c r="GV431" s="457"/>
      <c r="GW431" s="457"/>
      <c r="GX431" s="457"/>
      <c r="GY431" s="457"/>
      <c r="GZ431" s="457"/>
      <c r="HA431" s="457"/>
      <c r="HB431" s="457"/>
      <c r="HC431" s="457"/>
      <c r="HD431" s="457"/>
      <c r="HE431" s="457"/>
      <c r="HF431" s="457"/>
      <c r="HG431" s="457"/>
      <c r="HH431" s="457"/>
      <c r="HI431" s="457"/>
      <c r="HJ431" s="457"/>
      <c r="HK431" s="457"/>
      <c r="HL431" s="457"/>
      <c r="HM431" s="457"/>
      <c r="HN431" s="457"/>
      <c r="HO431" s="457"/>
      <c r="HP431" s="457"/>
      <c r="HQ431" s="457"/>
      <c r="HR431" s="457"/>
      <c r="HS431" s="457"/>
      <c r="HT431" s="457"/>
      <c r="HU431" s="457"/>
      <c r="HV431" s="457"/>
      <c r="HW431" s="457"/>
      <c r="HX431" s="457"/>
      <c r="HY431" s="457"/>
      <c r="HZ431" s="457"/>
      <c r="IA431" s="457"/>
      <c r="IB431" s="457"/>
      <c r="IC431" s="457"/>
      <c r="ID431" s="457"/>
      <c r="IE431" s="457"/>
      <c r="IF431" s="457"/>
      <c r="IG431" s="457"/>
      <c r="IH431" s="457"/>
      <c r="II431" s="457"/>
      <c r="IJ431" s="457"/>
      <c r="IK431" s="457"/>
      <c r="IL431" s="457"/>
      <c r="IM431" s="457"/>
      <c r="IN431" s="457"/>
      <c r="IO431" s="457"/>
      <c r="IP431" s="457"/>
      <c r="IQ431" s="457"/>
      <c r="IR431" s="457"/>
      <c r="IS431" s="457"/>
      <c r="IT431" s="457"/>
      <c r="IU431" s="457"/>
      <c r="IV431" s="457"/>
      <c r="IW431" s="457"/>
      <c r="IX431" s="457"/>
      <c r="IY431" s="457"/>
      <c r="IZ431" s="457"/>
      <c r="JA431" s="457"/>
      <c r="JB431" s="457"/>
      <c r="JC431" s="457"/>
      <c r="JD431" s="457"/>
      <c r="JE431" s="457"/>
      <c r="JF431" s="457"/>
      <c r="JG431" s="457"/>
      <c r="JH431" s="457"/>
      <c r="JI431" s="457"/>
      <c r="JJ431" s="457"/>
      <c r="JK431" s="457"/>
      <c r="JL431" s="457"/>
      <c r="JM431" s="457"/>
      <c r="JN431" s="457"/>
      <c r="JO431" s="457"/>
      <c r="JP431" s="457"/>
      <c r="JQ431" s="457"/>
      <c r="JR431" s="457"/>
      <c r="JS431" s="457"/>
      <c r="JT431" s="457"/>
      <c r="JU431" s="457"/>
      <c r="JV431" s="457"/>
      <c r="JW431" s="457"/>
      <c r="JX431" s="457"/>
      <c r="JY431" s="457"/>
      <c r="JZ431" s="457"/>
      <c r="KA431" s="457"/>
      <c r="KB431" s="457"/>
      <c r="KC431" s="457"/>
      <c r="KD431" s="457"/>
      <c r="KE431" s="457"/>
      <c r="KF431" s="457"/>
      <c r="KG431" s="457"/>
      <c r="KH431" s="457"/>
      <c r="KI431" s="457"/>
      <c r="KJ431" s="457"/>
      <c r="KK431" s="457"/>
      <c r="KL431" s="457"/>
      <c r="KM431" s="457"/>
      <c r="KN431" s="457"/>
      <c r="KO431" s="457"/>
      <c r="KP431" s="457"/>
      <c r="KQ431" s="457"/>
      <c r="KR431" s="457"/>
      <c r="KS431" s="457"/>
      <c r="KT431" s="457"/>
      <c r="KU431" s="457"/>
      <c r="KV431" s="457"/>
      <c r="KW431" s="457"/>
      <c r="KX431" s="457"/>
      <c r="KY431" s="457"/>
      <c r="KZ431" s="457"/>
      <c r="LA431" s="457"/>
      <c r="LB431" s="457"/>
      <c r="LC431" s="457"/>
      <c r="LD431" s="457"/>
      <c r="LE431" s="457"/>
      <c r="LF431" s="457"/>
      <c r="LG431" s="457"/>
      <c r="LH431" s="457"/>
      <c r="LI431" s="457"/>
      <c r="LJ431" s="457"/>
      <c r="LK431" s="457"/>
      <c r="LL431" s="457"/>
      <c r="LM431" s="457"/>
      <c r="LN431" s="457"/>
      <c r="LO431" s="457"/>
      <c r="LP431" s="457"/>
      <c r="LQ431" s="457"/>
      <c r="LR431" s="457"/>
      <c r="LS431" s="457"/>
      <c r="LT431" s="457"/>
      <c r="LU431" s="457"/>
      <c r="LV431" s="457"/>
      <c r="LW431" s="457"/>
      <c r="LX431" s="457"/>
      <c r="LY431" s="457"/>
      <c r="LZ431" s="457"/>
      <c r="MA431" s="457"/>
      <c r="MB431" s="457"/>
      <c r="MC431" s="457"/>
      <c r="MD431" s="457"/>
      <c r="ME431" s="457"/>
      <c r="MF431" s="457"/>
      <c r="MG431" s="457"/>
      <c r="MH431" s="457"/>
      <c r="MI431" s="457"/>
      <c r="MJ431" s="457"/>
      <c r="MK431" s="457"/>
      <c r="ML431" s="457"/>
      <c r="MM431" s="457"/>
      <c r="MN431" s="457"/>
      <c r="MO431" s="457"/>
      <c r="MP431" s="457"/>
      <c r="MQ431" s="457"/>
      <c r="MR431" s="457"/>
      <c r="MS431" s="457"/>
      <c r="MT431" s="457"/>
      <c r="MU431" s="457"/>
      <c r="MV431" s="457"/>
      <c r="MW431" s="457"/>
      <c r="MX431" s="457"/>
      <c r="MY431" s="457"/>
      <c r="MZ431" s="457"/>
      <c r="NA431" s="457"/>
      <c r="NB431" s="457"/>
      <c r="NC431" s="457"/>
      <c r="ND431" s="457"/>
      <c r="NE431" s="457"/>
      <c r="NF431" s="457"/>
      <c r="NG431" s="457"/>
      <c r="NH431" s="457"/>
      <c r="NI431" s="457"/>
      <c r="NJ431" s="457"/>
      <c r="NK431" s="457"/>
      <c r="NL431" s="457"/>
      <c r="NM431" s="457"/>
      <c r="NN431" s="457"/>
      <c r="NO431" s="457"/>
      <c r="NP431" s="457"/>
      <c r="NQ431" s="457"/>
      <c r="NR431" s="457"/>
      <c r="NS431" s="457"/>
      <c r="NT431" s="457"/>
      <c r="NU431" s="457"/>
      <c r="NV431" s="457"/>
      <c r="NW431" s="457"/>
      <c r="NX431" s="457"/>
      <c r="NY431" s="457"/>
      <c r="NZ431" s="457"/>
      <c r="OA431" s="457"/>
      <c r="OB431" s="457"/>
      <c r="OC431" s="457"/>
      <c r="OD431" s="457"/>
      <c r="OE431" s="457"/>
      <c r="OF431" s="457"/>
      <c r="OG431" s="457"/>
      <c r="OH431" s="457"/>
      <c r="OI431" s="457"/>
      <c r="OJ431" s="457"/>
      <c r="OK431" s="457"/>
      <c r="OL431" s="457"/>
      <c r="OM431" s="457"/>
      <c r="ON431" s="457"/>
      <c r="OO431" s="457"/>
      <c r="OP431" s="457"/>
      <c r="OQ431" s="457"/>
      <c r="OR431" s="457"/>
      <c r="OS431" s="457"/>
      <c r="OT431" s="457"/>
      <c r="OU431" s="457"/>
      <c r="OV431" s="457"/>
      <c r="OW431" s="457"/>
      <c r="OX431" s="457"/>
      <c r="OY431" s="457"/>
      <c r="OZ431" s="457"/>
      <c r="PA431" s="457"/>
      <c r="PB431" s="457"/>
      <c r="PC431" s="457"/>
      <c r="PD431" s="457"/>
      <c r="PE431" s="457"/>
      <c r="PF431" s="457"/>
      <c r="PG431" s="457"/>
      <c r="PH431" s="457"/>
      <c r="PI431" s="457"/>
      <c r="PJ431" s="457"/>
      <c r="PK431" s="457"/>
      <c r="PL431" s="457"/>
      <c r="PM431" s="457"/>
      <c r="PN431" s="457"/>
      <c r="PO431" s="457"/>
      <c r="PP431" s="457"/>
      <c r="PQ431" s="457"/>
      <c r="PR431" s="457"/>
      <c r="PS431" s="457"/>
      <c r="PT431" s="457"/>
      <c r="PU431" s="457"/>
      <c r="PV431" s="457"/>
      <c r="PW431" s="457"/>
      <c r="PX431" s="457"/>
      <c r="PY431" s="457"/>
      <c r="PZ431" s="457"/>
      <c r="QA431" s="457"/>
      <c r="QB431" s="457"/>
      <c r="QC431" s="457"/>
      <c r="QD431" s="457"/>
      <c r="QE431" s="457"/>
      <c r="QF431" s="457"/>
      <c r="QG431" s="457"/>
      <c r="QH431" s="457"/>
      <c r="QI431" s="457"/>
      <c r="QJ431" s="457"/>
      <c r="QK431" s="457"/>
      <c r="QL431" s="457"/>
      <c r="QM431" s="457"/>
      <c r="QN431" s="457"/>
      <c r="QO431" s="457"/>
      <c r="QP431" s="457"/>
      <c r="QQ431" s="457"/>
      <c r="QR431" s="457"/>
      <c r="QS431" s="457"/>
      <c r="QT431" s="457"/>
      <c r="QU431" s="457"/>
      <c r="QV431" s="457"/>
      <c r="QW431" s="457"/>
      <c r="QX431" s="457"/>
      <c r="QY431" s="457"/>
      <c r="QZ431" s="457"/>
      <c r="RA431" s="457"/>
      <c r="RB431" s="457"/>
      <c r="RC431" s="457"/>
      <c r="RD431" s="457"/>
      <c r="RE431" s="457"/>
      <c r="RF431" s="457"/>
      <c r="RG431" s="457"/>
      <c r="RH431" s="457"/>
      <c r="RI431" s="457"/>
      <c r="RJ431" s="457"/>
      <c r="RK431" s="457"/>
      <c r="RL431" s="457"/>
      <c r="RM431" s="457"/>
      <c r="RN431" s="457"/>
      <c r="RO431" s="457"/>
      <c r="RP431" s="457"/>
      <c r="RQ431" s="457"/>
      <c r="RR431" s="457"/>
      <c r="RS431" s="457"/>
      <c r="RT431" s="457"/>
      <c r="RU431" s="457"/>
      <c r="RV431" s="457"/>
      <c r="RW431" s="457"/>
      <c r="RX431" s="457"/>
      <c r="RY431" s="457"/>
      <c r="RZ431" s="457"/>
      <c r="SA431" s="457"/>
      <c r="SB431" s="457"/>
      <c r="SC431" s="457"/>
      <c r="SD431" s="457"/>
      <c r="SE431" s="457"/>
      <c r="SF431" s="457"/>
      <c r="SG431" s="457"/>
      <c r="SH431" s="457"/>
      <c r="SI431" s="457"/>
      <c r="SJ431" s="457"/>
      <c r="SK431" s="457"/>
      <c r="SL431" s="457"/>
      <c r="SM431" s="457"/>
      <c r="SN431" s="457"/>
      <c r="SO431" s="457"/>
      <c r="SP431" s="457"/>
      <c r="SQ431" s="457"/>
      <c r="SR431" s="457"/>
      <c r="SS431" s="457"/>
      <c r="ST431" s="457"/>
      <c r="SU431" s="457"/>
      <c r="SV431" s="457"/>
      <c r="SW431" s="457"/>
      <c r="SX431" s="457"/>
      <c r="SY431" s="457"/>
      <c r="SZ431" s="457"/>
      <c r="TA431" s="457"/>
      <c r="TB431" s="457"/>
      <c r="TC431" s="457"/>
      <c r="TD431" s="457"/>
      <c r="TE431" s="457"/>
      <c r="TF431" s="457"/>
      <c r="TG431" s="457"/>
      <c r="TH431" s="457"/>
      <c r="TI431" s="457"/>
      <c r="TJ431" s="457"/>
      <c r="TK431" s="457"/>
      <c r="TL431" s="457"/>
      <c r="TM431" s="457"/>
      <c r="TN431" s="457"/>
      <c r="TO431" s="457"/>
      <c r="TP431" s="457"/>
      <c r="TQ431" s="457"/>
      <c r="TR431" s="457"/>
      <c r="TS431" s="457"/>
      <c r="TT431" s="457"/>
      <c r="TU431" s="457"/>
      <c r="TV431" s="457"/>
      <c r="TW431" s="457"/>
      <c r="TX431" s="457"/>
      <c r="TY431" s="457"/>
      <c r="TZ431" s="457"/>
      <c r="UA431" s="457"/>
      <c r="UB431" s="457"/>
      <c r="UC431" s="457"/>
      <c r="UD431" s="457"/>
      <c r="UE431" s="457"/>
      <c r="UF431" s="457"/>
      <c r="UG431" s="457"/>
      <c r="UH431" s="457"/>
      <c r="UI431" s="457"/>
      <c r="UJ431" s="457"/>
      <c r="UK431" s="457"/>
      <c r="UL431" s="457"/>
      <c r="UM431" s="457"/>
      <c r="UN431" s="457"/>
      <c r="UO431" s="457"/>
      <c r="UP431" s="457"/>
      <c r="UQ431" s="457"/>
      <c r="UR431" s="457"/>
      <c r="US431" s="457"/>
      <c r="UT431" s="457"/>
      <c r="UU431" s="457"/>
      <c r="UV431" s="457"/>
      <c r="UW431" s="457"/>
      <c r="UX431" s="457"/>
      <c r="UY431" s="457"/>
      <c r="UZ431" s="457"/>
      <c r="VA431" s="457"/>
      <c r="VB431" s="457"/>
      <c r="VC431" s="457"/>
      <c r="VD431" s="457"/>
      <c r="VE431" s="457"/>
      <c r="VF431" s="457"/>
      <c r="VG431" s="457"/>
      <c r="VH431" s="457"/>
      <c r="VI431" s="457"/>
      <c r="VJ431" s="457"/>
      <c r="VK431" s="457"/>
      <c r="VL431" s="457"/>
      <c r="VM431" s="457"/>
      <c r="VN431" s="457"/>
      <c r="VO431" s="457"/>
      <c r="VP431" s="457"/>
      <c r="VQ431" s="457"/>
      <c r="VR431" s="457"/>
      <c r="VS431" s="457"/>
      <c r="VT431" s="457"/>
      <c r="VU431" s="457"/>
      <c r="VV431" s="457"/>
      <c r="VW431" s="457"/>
      <c r="VX431" s="457"/>
      <c r="VY431" s="457"/>
      <c r="VZ431" s="457"/>
      <c r="WA431" s="457"/>
      <c r="WB431" s="457"/>
      <c r="WC431" s="457"/>
      <c r="WD431" s="457"/>
      <c r="WE431" s="457"/>
      <c r="WF431" s="457"/>
      <c r="WG431" s="457"/>
      <c r="WH431" s="457"/>
      <c r="WI431" s="457"/>
      <c r="WJ431" s="457"/>
      <c r="WK431" s="457"/>
      <c r="WL431" s="457"/>
      <c r="WM431" s="457"/>
      <c r="WN431" s="457"/>
      <c r="WO431" s="457"/>
      <c r="WP431" s="457"/>
      <c r="WQ431" s="457"/>
      <c r="WR431" s="457"/>
      <c r="WS431" s="457"/>
      <c r="WT431" s="457"/>
      <c r="WU431" s="457"/>
      <c r="WV431" s="457"/>
      <c r="WW431" s="457"/>
      <c r="WX431" s="457"/>
      <c r="WY431" s="457"/>
      <c r="WZ431" s="457"/>
      <c r="XA431" s="457"/>
      <c r="XB431" s="457"/>
      <c r="XC431" s="457"/>
      <c r="XD431" s="457"/>
      <c r="XE431" s="457"/>
      <c r="XF431" s="457"/>
      <c r="XG431" s="457"/>
      <c r="XH431" s="457"/>
      <c r="XI431" s="457"/>
      <c r="XJ431" s="457"/>
      <c r="XK431" s="457"/>
      <c r="XL431" s="457"/>
      <c r="XM431" s="457"/>
      <c r="XN431" s="457"/>
      <c r="XO431" s="457"/>
      <c r="XP431" s="457"/>
      <c r="XQ431" s="457"/>
      <c r="XR431" s="457"/>
      <c r="XS431" s="457"/>
      <c r="XT431" s="457"/>
      <c r="XU431" s="457"/>
      <c r="XV431" s="457"/>
      <c r="XW431" s="457"/>
      <c r="XX431" s="457"/>
      <c r="XY431" s="457"/>
      <c r="XZ431" s="457"/>
      <c r="YA431" s="457"/>
      <c r="YB431" s="457"/>
      <c r="YC431" s="457"/>
      <c r="YD431" s="457"/>
      <c r="YE431" s="457"/>
      <c r="YF431" s="457"/>
      <c r="YG431" s="457"/>
      <c r="YH431" s="457"/>
      <c r="YI431" s="457"/>
      <c r="YJ431" s="457"/>
      <c r="YK431" s="457"/>
      <c r="YL431" s="457"/>
      <c r="YM431" s="457"/>
      <c r="YN431" s="457"/>
      <c r="YO431" s="457"/>
      <c r="YP431" s="457"/>
      <c r="YQ431" s="457"/>
      <c r="YR431" s="457"/>
      <c r="YS431" s="457"/>
      <c r="YT431" s="457"/>
      <c r="YU431" s="457"/>
      <c r="YV431" s="457"/>
      <c r="YW431" s="457"/>
      <c r="YX431" s="457"/>
      <c r="YY431" s="457"/>
      <c r="YZ431" s="457"/>
      <c r="ZA431" s="457"/>
      <c r="ZB431" s="457"/>
      <c r="ZC431" s="457"/>
      <c r="ZD431" s="457"/>
      <c r="ZE431" s="457"/>
      <c r="ZF431" s="457"/>
      <c r="ZG431" s="457"/>
      <c r="ZH431" s="457"/>
      <c r="ZI431" s="457"/>
      <c r="ZJ431" s="457"/>
      <c r="ZK431" s="457"/>
      <c r="ZL431" s="457"/>
      <c r="ZM431" s="457"/>
      <c r="ZN431" s="457"/>
      <c r="ZO431" s="457"/>
      <c r="ZP431" s="457"/>
      <c r="ZQ431" s="457"/>
      <c r="ZR431" s="457"/>
      <c r="ZS431" s="457"/>
      <c r="ZT431" s="457"/>
      <c r="ZU431" s="457"/>
      <c r="ZV431" s="457"/>
      <c r="ZW431" s="457"/>
      <c r="ZX431" s="457"/>
      <c r="ZY431" s="457"/>
      <c r="ZZ431" s="457"/>
      <c r="AAA431" s="457"/>
      <c r="AAB431" s="457"/>
      <c r="AAC431" s="457"/>
      <c r="AAD431" s="457"/>
      <c r="AAE431" s="457"/>
      <c r="AAF431" s="457"/>
      <c r="AAG431" s="457"/>
      <c r="AAH431" s="457"/>
      <c r="AAI431" s="457"/>
      <c r="AAJ431" s="457"/>
      <c r="AAK431" s="457"/>
      <c r="AAL431" s="457"/>
      <c r="AAM431" s="457"/>
      <c r="AAN431" s="457"/>
      <c r="AAO431" s="457"/>
      <c r="AAP431" s="457"/>
      <c r="AAQ431" s="457"/>
      <c r="AAR431" s="457"/>
      <c r="AAS431" s="457"/>
      <c r="AAT431" s="457"/>
      <c r="AAU431" s="457"/>
      <c r="AAV431" s="457"/>
      <c r="AAW431" s="457"/>
      <c r="AAX431" s="457"/>
      <c r="AAY431" s="457"/>
      <c r="AAZ431" s="457"/>
      <c r="ABA431" s="457"/>
      <c r="ABB431" s="457"/>
      <c r="ABC431" s="457"/>
      <c r="ABD431" s="457"/>
      <c r="ABE431" s="457"/>
      <c r="ABF431" s="457"/>
      <c r="ABG431" s="457"/>
      <c r="ABH431" s="457"/>
      <c r="ABI431" s="457"/>
      <c r="ABJ431" s="457"/>
      <c r="ABK431" s="457"/>
      <c r="ABL431" s="457"/>
      <c r="ABM431" s="457"/>
      <c r="ABN431" s="457"/>
      <c r="ABO431" s="457"/>
      <c r="ABP431" s="457"/>
      <c r="ABQ431" s="457"/>
      <c r="ABR431" s="457"/>
      <c r="ABS431" s="457"/>
      <c r="ABT431" s="457"/>
      <c r="ABU431" s="457"/>
      <c r="ABV431" s="457"/>
      <c r="ABW431" s="457"/>
      <c r="ABX431" s="457"/>
      <c r="ABY431" s="457"/>
      <c r="ABZ431" s="457"/>
      <c r="ACA431" s="457"/>
      <c r="ACB431" s="457"/>
      <c r="ACC431" s="457"/>
      <c r="ACD431" s="457"/>
      <c r="ACE431" s="457"/>
      <c r="ACF431" s="457"/>
      <c r="ACG431" s="457"/>
      <c r="ACH431" s="457"/>
      <c r="ACI431" s="457"/>
      <c r="ACJ431" s="457"/>
      <c r="ACK431" s="457"/>
      <c r="ACL431" s="457"/>
      <c r="ACM431" s="457"/>
      <c r="ACN431" s="457"/>
      <c r="ACO431" s="457"/>
      <c r="ACP431" s="457"/>
      <c r="ACQ431" s="457"/>
      <c r="ACR431" s="457"/>
      <c r="ACS431" s="457"/>
      <c r="ACT431" s="457"/>
      <c r="ACU431" s="457"/>
      <c r="ACV431" s="457"/>
    </row>
    <row r="432" spans="1:776" s="400" customFormat="1" x14ac:dyDescent="0.25">
      <c r="A432" s="470">
        <v>900145</v>
      </c>
      <c r="B432" s="237" t="s">
        <v>336</v>
      </c>
      <c r="C432" s="455"/>
      <c r="D432" s="454" t="s">
        <v>337</v>
      </c>
      <c r="E432" s="454">
        <v>0.85399999999999998</v>
      </c>
      <c r="F432" s="456">
        <v>9.9499999999999993</v>
      </c>
      <c r="G432" s="454">
        <v>0.01</v>
      </c>
      <c r="H432" s="454">
        <v>0.06</v>
      </c>
      <c r="I432" s="456">
        <v>53.45</v>
      </c>
      <c r="J432" s="454">
        <v>146.30000000000001</v>
      </c>
      <c r="K432" s="454">
        <v>3.0599999999999999E-2</v>
      </c>
      <c r="L432" s="456">
        <v>302.39999999999998</v>
      </c>
      <c r="M432" s="454">
        <v>0.01</v>
      </c>
      <c r="N432" s="454">
        <v>2.65</v>
      </c>
      <c r="O432" s="454">
        <v>44.55</v>
      </c>
      <c r="P432" s="454">
        <v>88.7</v>
      </c>
      <c r="Q432" s="454">
        <v>42.42</v>
      </c>
      <c r="R432" s="454">
        <v>0.01</v>
      </c>
      <c r="S432" s="454">
        <v>0.01</v>
      </c>
      <c r="T432" s="454">
        <v>0.01</v>
      </c>
      <c r="U432" s="454">
        <v>0.01</v>
      </c>
      <c r="V432" s="454"/>
      <c r="W432" s="457"/>
      <c r="X432" s="457"/>
      <c r="Y432" s="457"/>
      <c r="Z432" s="457"/>
      <c r="AA432" s="457"/>
      <c r="AB432" s="457"/>
      <c r="AC432" s="457"/>
      <c r="AD432" s="457"/>
      <c r="AE432" s="457"/>
      <c r="AF432" s="457"/>
      <c r="AG432" s="457"/>
      <c r="AH432" s="457"/>
      <c r="AI432" s="457"/>
      <c r="AJ432" s="457"/>
      <c r="AK432" s="457"/>
      <c r="AL432" s="457"/>
      <c r="AM432" s="457"/>
      <c r="AN432" s="457"/>
      <c r="AO432" s="457"/>
      <c r="AP432" s="457"/>
      <c r="AQ432" s="457"/>
      <c r="AR432" s="457"/>
      <c r="AS432" s="457"/>
      <c r="AT432" s="457"/>
      <c r="AU432" s="457"/>
      <c r="AV432" s="457"/>
      <c r="AW432" s="457"/>
      <c r="AX432" s="457"/>
      <c r="AY432" s="457"/>
      <c r="AZ432" s="457"/>
      <c r="BA432" s="457"/>
      <c r="BB432" s="457"/>
      <c r="BC432" s="457"/>
      <c r="BD432" s="457"/>
      <c r="BE432" s="457"/>
      <c r="BF432" s="457"/>
      <c r="BG432" s="457"/>
      <c r="BH432" s="457"/>
      <c r="BI432" s="457"/>
      <c r="BJ432" s="457"/>
      <c r="BK432" s="457"/>
      <c r="BL432" s="457"/>
      <c r="BM432" s="457"/>
      <c r="BN432" s="457"/>
      <c r="BO432" s="457"/>
      <c r="BP432" s="457"/>
      <c r="BQ432" s="457"/>
      <c r="BR432" s="457"/>
      <c r="BS432" s="457"/>
      <c r="BT432" s="457"/>
      <c r="BU432" s="457"/>
      <c r="BV432" s="457"/>
      <c r="BW432" s="457"/>
      <c r="BX432" s="457"/>
      <c r="BY432" s="457"/>
      <c r="BZ432" s="457"/>
      <c r="CA432" s="457"/>
      <c r="CB432" s="457"/>
      <c r="CC432" s="457"/>
      <c r="CD432" s="457"/>
      <c r="CE432" s="457"/>
      <c r="CF432" s="457"/>
      <c r="CG432" s="457"/>
      <c r="CH432" s="457"/>
      <c r="CI432" s="457"/>
      <c r="CJ432" s="457"/>
      <c r="CK432" s="457"/>
      <c r="CL432" s="457"/>
      <c r="CM432" s="457"/>
      <c r="CN432" s="457"/>
      <c r="CO432" s="457"/>
      <c r="CP432" s="457"/>
      <c r="CQ432" s="457"/>
      <c r="CR432" s="457"/>
      <c r="CS432" s="457"/>
      <c r="CT432" s="457"/>
      <c r="CU432" s="457"/>
      <c r="CV432" s="457"/>
      <c r="CW432" s="457"/>
      <c r="CX432" s="457"/>
      <c r="CY432" s="457"/>
      <c r="CZ432" s="457"/>
      <c r="DA432" s="457"/>
      <c r="DB432" s="457"/>
      <c r="DC432" s="457"/>
      <c r="DD432" s="457"/>
      <c r="DE432" s="457"/>
      <c r="DF432" s="457"/>
      <c r="DG432" s="457"/>
      <c r="DH432" s="457"/>
      <c r="DI432" s="457"/>
      <c r="DJ432" s="457"/>
      <c r="DK432" s="457"/>
      <c r="DL432" s="457"/>
      <c r="DM432" s="457"/>
      <c r="DN432" s="457"/>
      <c r="DO432" s="457"/>
      <c r="DP432" s="457"/>
      <c r="DQ432" s="457"/>
      <c r="DR432" s="457"/>
      <c r="DS432" s="457"/>
      <c r="DT432" s="457"/>
      <c r="DU432" s="457"/>
      <c r="DV432" s="457"/>
      <c r="DW432" s="457"/>
      <c r="DX432" s="457"/>
      <c r="DY432" s="457"/>
      <c r="DZ432" s="457"/>
      <c r="EA432" s="457"/>
      <c r="EB432" s="457"/>
      <c r="EC432" s="457"/>
      <c r="ED432" s="457"/>
      <c r="EE432" s="457"/>
      <c r="EF432" s="457"/>
      <c r="EG432" s="457"/>
      <c r="EH432" s="457"/>
      <c r="EI432" s="457"/>
      <c r="EJ432" s="457"/>
      <c r="EK432" s="457"/>
      <c r="EL432" s="457"/>
      <c r="EM432" s="457"/>
      <c r="EN432" s="457"/>
      <c r="EO432" s="457"/>
      <c r="EP432" s="457"/>
      <c r="EQ432" s="457"/>
      <c r="ER432" s="457"/>
      <c r="ES432" s="457"/>
      <c r="ET432" s="457"/>
      <c r="EU432" s="457"/>
      <c r="EV432" s="457"/>
      <c r="EW432" s="457"/>
      <c r="EX432" s="457"/>
      <c r="EY432" s="457"/>
      <c r="EZ432" s="457"/>
      <c r="FA432" s="457"/>
      <c r="FB432" s="457"/>
      <c r="FC432" s="457"/>
      <c r="FD432" s="457"/>
      <c r="FE432" s="457"/>
      <c r="FF432" s="457"/>
      <c r="FG432" s="457"/>
      <c r="FH432" s="457"/>
      <c r="FI432" s="457"/>
      <c r="FJ432" s="457"/>
      <c r="FK432" s="457"/>
      <c r="FL432" s="457"/>
      <c r="FM432" s="457"/>
      <c r="FN432" s="457"/>
      <c r="FO432" s="457"/>
      <c r="FP432" s="457"/>
      <c r="FQ432" s="457"/>
      <c r="FR432" s="457"/>
      <c r="FS432" s="457"/>
      <c r="FT432" s="457"/>
      <c r="FU432" s="457"/>
      <c r="FV432" s="457"/>
      <c r="FW432" s="457"/>
      <c r="FX432" s="457"/>
      <c r="FY432" s="457"/>
      <c r="FZ432" s="457"/>
      <c r="GA432" s="457"/>
      <c r="GB432" s="457"/>
      <c r="GC432" s="457"/>
      <c r="GD432" s="457"/>
      <c r="GE432" s="457"/>
      <c r="GF432" s="457"/>
      <c r="GG432" s="457"/>
      <c r="GH432" s="457"/>
      <c r="GI432" s="457"/>
      <c r="GJ432" s="457"/>
      <c r="GK432" s="457"/>
      <c r="GL432" s="457"/>
      <c r="GM432" s="457"/>
      <c r="GN432" s="457"/>
      <c r="GO432" s="457"/>
      <c r="GP432" s="457"/>
      <c r="GQ432" s="457"/>
      <c r="GR432" s="457"/>
      <c r="GS432" s="457"/>
      <c r="GT432" s="457"/>
      <c r="GU432" s="457"/>
      <c r="GV432" s="457"/>
      <c r="GW432" s="457"/>
      <c r="GX432" s="457"/>
      <c r="GY432" s="457"/>
      <c r="GZ432" s="457"/>
      <c r="HA432" s="457"/>
      <c r="HB432" s="457"/>
      <c r="HC432" s="457"/>
      <c r="HD432" s="457"/>
      <c r="HE432" s="457"/>
      <c r="HF432" s="457"/>
      <c r="HG432" s="457"/>
      <c r="HH432" s="457"/>
      <c r="HI432" s="457"/>
      <c r="HJ432" s="457"/>
      <c r="HK432" s="457"/>
      <c r="HL432" s="457"/>
      <c r="HM432" s="457"/>
      <c r="HN432" s="457"/>
      <c r="HO432" s="457"/>
      <c r="HP432" s="457"/>
      <c r="HQ432" s="457"/>
      <c r="HR432" s="457"/>
      <c r="HS432" s="457"/>
      <c r="HT432" s="457"/>
      <c r="HU432" s="457"/>
      <c r="HV432" s="457"/>
      <c r="HW432" s="457"/>
      <c r="HX432" s="457"/>
      <c r="HY432" s="457"/>
      <c r="HZ432" s="457"/>
      <c r="IA432" s="457"/>
      <c r="IB432" s="457"/>
      <c r="IC432" s="457"/>
      <c r="ID432" s="457"/>
      <c r="IE432" s="457"/>
      <c r="IF432" s="457"/>
      <c r="IG432" s="457"/>
      <c r="IH432" s="457"/>
      <c r="II432" s="457"/>
      <c r="IJ432" s="457"/>
      <c r="IK432" s="457"/>
      <c r="IL432" s="457"/>
      <c r="IM432" s="457"/>
      <c r="IN432" s="457"/>
      <c r="IO432" s="457"/>
      <c r="IP432" s="457"/>
      <c r="IQ432" s="457"/>
      <c r="IR432" s="457"/>
      <c r="IS432" s="457"/>
      <c r="IT432" s="457"/>
      <c r="IU432" s="457"/>
      <c r="IV432" s="457"/>
      <c r="IW432" s="457"/>
      <c r="IX432" s="457"/>
      <c r="IY432" s="457"/>
      <c r="IZ432" s="457"/>
      <c r="JA432" s="457"/>
      <c r="JB432" s="457"/>
      <c r="JC432" s="457"/>
      <c r="JD432" s="457"/>
      <c r="JE432" s="457"/>
      <c r="JF432" s="457"/>
      <c r="JG432" s="457"/>
      <c r="JH432" s="457"/>
      <c r="JI432" s="457"/>
      <c r="JJ432" s="457"/>
      <c r="JK432" s="457"/>
      <c r="JL432" s="457"/>
      <c r="JM432" s="457"/>
      <c r="JN432" s="457"/>
      <c r="JO432" s="457"/>
      <c r="JP432" s="457"/>
      <c r="JQ432" s="457"/>
      <c r="JR432" s="457"/>
      <c r="JS432" s="457"/>
      <c r="JT432" s="457"/>
      <c r="JU432" s="457"/>
      <c r="JV432" s="457"/>
      <c r="JW432" s="457"/>
      <c r="JX432" s="457"/>
      <c r="JY432" s="457"/>
      <c r="JZ432" s="457"/>
      <c r="KA432" s="457"/>
      <c r="KB432" s="457"/>
      <c r="KC432" s="457"/>
      <c r="KD432" s="457"/>
      <c r="KE432" s="457"/>
      <c r="KF432" s="457"/>
      <c r="KG432" s="457"/>
      <c r="KH432" s="457"/>
      <c r="KI432" s="457"/>
      <c r="KJ432" s="457"/>
      <c r="KK432" s="457"/>
      <c r="KL432" s="457"/>
      <c r="KM432" s="457"/>
      <c r="KN432" s="457"/>
      <c r="KO432" s="457"/>
      <c r="KP432" s="457"/>
      <c r="KQ432" s="457"/>
      <c r="KR432" s="457"/>
      <c r="KS432" s="457"/>
      <c r="KT432" s="457"/>
      <c r="KU432" s="457"/>
      <c r="KV432" s="457"/>
      <c r="KW432" s="457"/>
      <c r="KX432" s="457"/>
      <c r="KY432" s="457"/>
      <c r="KZ432" s="457"/>
      <c r="LA432" s="457"/>
      <c r="LB432" s="457"/>
      <c r="LC432" s="457"/>
      <c r="LD432" s="457"/>
      <c r="LE432" s="457"/>
      <c r="LF432" s="457"/>
      <c r="LG432" s="457"/>
      <c r="LH432" s="457"/>
      <c r="LI432" s="457"/>
      <c r="LJ432" s="457"/>
      <c r="LK432" s="457"/>
      <c r="LL432" s="457"/>
      <c r="LM432" s="457"/>
      <c r="LN432" s="457"/>
      <c r="LO432" s="457"/>
      <c r="LP432" s="457"/>
      <c r="LQ432" s="457"/>
      <c r="LR432" s="457"/>
      <c r="LS432" s="457"/>
      <c r="LT432" s="457"/>
      <c r="LU432" s="457"/>
      <c r="LV432" s="457"/>
      <c r="LW432" s="457"/>
      <c r="LX432" s="457"/>
      <c r="LY432" s="457"/>
      <c r="LZ432" s="457"/>
      <c r="MA432" s="457"/>
      <c r="MB432" s="457"/>
      <c r="MC432" s="457"/>
      <c r="MD432" s="457"/>
      <c r="ME432" s="457"/>
      <c r="MF432" s="457"/>
      <c r="MG432" s="457"/>
      <c r="MH432" s="457"/>
      <c r="MI432" s="457"/>
      <c r="MJ432" s="457"/>
      <c r="MK432" s="457"/>
      <c r="ML432" s="457"/>
      <c r="MM432" s="457"/>
      <c r="MN432" s="457"/>
      <c r="MO432" s="457"/>
      <c r="MP432" s="457"/>
      <c r="MQ432" s="457"/>
      <c r="MR432" s="457"/>
      <c r="MS432" s="457"/>
      <c r="MT432" s="457"/>
      <c r="MU432" s="457"/>
      <c r="MV432" s="457"/>
      <c r="MW432" s="457"/>
      <c r="MX432" s="457"/>
      <c r="MY432" s="457"/>
      <c r="MZ432" s="457"/>
      <c r="NA432" s="457"/>
      <c r="NB432" s="457"/>
      <c r="NC432" s="457"/>
      <c r="ND432" s="457"/>
      <c r="NE432" s="457"/>
      <c r="NF432" s="457"/>
      <c r="NG432" s="457"/>
      <c r="NH432" s="457"/>
      <c r="NI432" s="457"/>
      <c r="NJ432" s="457"/>
      <c r="NK432" s="457"/>
      <c r="NL432" s="457"/>
      <c r="NM432" s="457"/>
      <c r="NN432" s="457"/>
      <c r="NO432" s="457"/>
      <c r="NP432" s="457"/>
      <c r="NQ432" s="457"/>
      <c r="NR432" s="457"/>
      <c r="NS432" s="457"/>
      <c r="NT432" s="457"/>
      <c r="NU432" s="457"/>
      <c r="NV432" s="457"/>
      <c r="NW432" s="457"/>
      <c r="NX432" s="457"/>
      <c r="NY432" s="457"/>
      <c r="NZ432" s="457"/>
      <c r="OA432" s="457"/>
      <c r="OB432" s="457"/>
      <c r="OC432" s="457"/>
      <c r="OD432" s="457"/>
      <c r="OE432" s="457"/>
      <c r="OF432" s="457"/>
      <c r="OG432" s="457"/>
      <c r="OH432" s="457"/>
      <c r="OI432" s="457"/>
      <c r="OJ432" s="457"/>
      <c r="OK432" s="457"/>
      <c r="OL432" s="457"/>
      <c r="OM432" s="457"/>
      <c r="ON432" s="457"/>
      <c r="OO432" s="457"/>
      <c r="OP432" s="457"/>
      <c r="OQ432" s="457"/>
      <c r="OR432" s="457"/>
      <c r="OS432" s="457"/>
      <c r="OT432" s="457"/>
      <c r="OU432" s="457"/>
      <c r="OV432" s="457"/>
      <c r="OW432" s="457"/>
      <c r="OX432" s="457"/>
      <c r="OY432" s="457"/>
      <c r="OZ432" s="457"/>
      <c r="PA432" s="457"/>
      <c r="PB432" s="457"/>
      <c r="PC432" s="457"/>
      <c r="PD432" s="457"/>
      <c r="PE432" s="457"/>
      <c r="PF432" s="457"/>
      <c r="PG432" s="457"/>
      <c r="PH432" s="457"/>
      <c r="PI432" s="457"/>
      <c r="PJ432" s="457"/>
      <c r="PK432" s="457"/>
      <c r="PL432" s="457"/>
      <c r="PM432" s="457"/>
      <c r="PN432" s="457"/>
      <c r="PO432" s="457"/>
      <c r="PP432" s="457"/>
      <c r="PQ432" s="457"/>
      <c r="PR432" s="457"/>
      <c r="PS432" s="457"/>
      <c r="PT432" s="457"/>
      <c r="PU432" s="457"/>
      <c r="PV432" s="457"/>
      <c r="PW432" s="457"/>
      <c r="PX432" s="457"/>
      <c r="PY432" s="457"/>
      <c r="PZ432" s="457"/>
      <c r="QA432" s="457"/>
      <c r="QB432" s="457"/>
      <c r="QC432" s="457"/>
      <c r="QD432" s="457"/>
      <c r="QE432" s="457"/>
      <c r="QF432" s="457"/>
      <c r="QG432" s="457"/>
      <c r="QH432" s="457"/>
      <c r="QI432" s="457"/>
      <c r="QJ432" s="457"/>
      <c r="QK432" s="457"/>
      <c r="QL432" s="457"/>
      <c r="QM432" s="457"/>
      <c r="QN432" s="457"/>
      <c r="QO432" s="457"/>
      <c r="QP432" s="457"/>
      <c r="QQ432" s="457"/>
      <c r="QR432" s="457"/>
      <c r="QS432" s="457"/>
      <c r="QT432" s="457"/>
      <c r="QU432" s="457"/>
      <c r="QV432" s="457"/>
      <c r="QW432" s="457"/>
      <c r="QX432" s="457"/>
      <c r="QY432" s="457"/>
      <c r="QZ432" s="457"/>
      <c r="RA432" s="457"/>
      <c r="RB432" s="457"/>
      <c r="RC432" s="457"/>
      <c r="RD432" s="457"/>
      <c r="RE432" s="457"/>
      <c r="RF432" s="457"/>
      <c r="RG432" s="457"/>
      <c r="RH432" s="457"/>
      <c r="RI432" s="457"/>
      <c r="RJ432" s="457"/>
      <c r="RK432" s="457"/>
      <c r="RL432" s="457"/>
      <c r="RM432" s="457"/>
      <c r="RN432" s="457"/>
      <c r="RO432" s="457"/>
      <c r="RP432" s="457"/>
      <c r="RQ432" s="457"/>
      <c r="RR432" s="457"/>
      <c r="RS432" s="457"/>
      <c r="RT432" s="457"/>
      <c r="RU432" s="457"/>
      <c r="RV432" s="457"/>
      <c r="RW432" s="457"/>
      <c r="RX432" s="457"/>
      <c r="RY432" s="457"/>
      <c r="RZ432" s="457"/>
      <c r="SA432" s="457"/>
      <c r="SB432" s="457"/>
      <c r="SC432" s="457"/>
      <c r="SD432" s="457"/>
      <c r="SE432" s="457"/>
      <c r="SF432" s="457"/>
      <c r="SG432" s="457"/>
      <c r="SH432" s="457"/>
      <c r="SI432" s="457"/>
      <c r="SJ432" s="457"/>
      <c r="SK432" s="457"/>
      <c r="SL432" s="457"/>
      <c r="SM432" s="457"/>
      <c r="SN432" s="457"/>
      <c r="SO432" s="457"/>
      <c r="SP432" s="457"/>
      <c r="SQ432" s="457"/>
      <c r="SR432" s="457"/>
      <c r="SS432" s="457"/>
      <c r="ST432" s="457"/>
      <c r="SU432" s="457"/>
      <c r="SV432" s="457"/>
      <c r="SW432" s="457"/>
      <c r="SX432" s="457"/>
      <c r="SY432" s="457"/>
      <c r="SZ432" s="457"/>
      <c r="TA432" s="457"/>
      <c r="TB432" s="457"/>
      <c r="TC432" s="457"/>
      <c r="TD432" s="457"/>
      <c r="TE432" s="457"/>
      <c r="TF432" s="457"/>
      <c r="TG432" s="457"/>
      <c r="TH432" s="457"/>
      <c r="TI432" s="457"/>
      <c r="TJ432" s="457"/>
      <c r="TK432" s="457"/>
      <c r="TL432" s="457"/>
      <c r="TM432" s="457"/>
      <c r="TN432" s="457"/>
      <c r="TO432" s="457"/>
      <c r="TP432" s="457"/>
      <c r="TQ432" s="457"/>
      <c r="TR432" s="457"/>
      <c r="TS432" s="457"/>
      <c r="TT432" s="457"/>
      <c r="TU432" s="457"/>
      <c r="TV432" s="457"/>
      <c r="TW432" s="457"/>
      <c r="TX432" s="457"/>
      <c r="TY432" s="457"/>
      <c r="TZ432" s="457"/>
      <c r="UA432" s="457"/>
      <c r="UB432" s="457"/>
      <c r="UC432" s="457"/>
      <c r="UD432" s="457"/>
      <c r="UE432" s="457"/>
      <c r="UF432" s="457"/>
      <c r="UG432" s="457"/>
      <c r="UH432" s="457"/>
      <c r="UI432" s="457"/>
      <c r="UJ432" s="457"/>
      <c r="UK432" s="457"/>
      <c r="UL432" s="457"/>
      <c r="UM432" s="457"/>
      <c r="UN432" s="457"/>
      <c r="UO432" s="457"/>
      <c r="UP432" s="457"/>
      <c r="UQ432" s="457"/>
      <c r="UR432" s="457"/>
      <c r="US432" s="457"/>
      <c r="UT432" s="457"/>
      <c r="UU432" s="457"/>
      <c r="UV432" s="457"/>
      <c r="UW432" s="457"/>
      <c r="UX432" s="457"/>
      <c r="UY432" s="457"/>
      <c r="UZ432" s="457"/>
      <c r="VA432" s="457"/>
      <c r="VB432" s="457"/>
      <c r="VC432" s="457"/>
      <c r="VD432" s="457"/>
      <c r="VE432" s="457"/>
      <c r="VF432" s="457"/>
      <c r="VG432" s="457"/>
      <c r="VH432" s="457"/>
      <c r="VI432" s="457"/>
      <c r="VJ432" s="457"/>
      <c r="VK432" s="457"/>
      <c r="VL432" s="457"/>
      <c r="VM432" s="457"/>
      <c r="VN432" s="457"/>
      <c r="VO432" s="457"/>
      <c r="VP432" s="457"/>
      <c r="VQ432" s="457"/>
      <c r="VR432" s="457"/>
      <c r="VS432" s="457"/>
      <c r="VT432" s="457"/>
      <c r="VU432" s="457"/>
      <c r="VV432" s="457"/>
      <c r="VW432" s="457"/>
      <c r="VX432" s="457"/>
      <c r="VY432" s="457"/>
      <c r="VZ432" s="457"/>
      <c r="WA432" s="457"/>
      <c r="WB432" s="457"/>
      <c r="WC432" s="457"/>
      <c r="WD432" s="457"/>
      <c r="WE432" s="457"/>
      <c r="WF432" s="457"/>
      <c r="WG432" s="457"/>
      <c r="WH432" s="457"/>
      <c r="WI432" s="457"/>
      <c r="WJ432" s="457"/>
      <c r="WK432" s="457"/>
      <c r="WL432" s="457"/>
      <c r="WM432" s="457"/>
      <c r="WN432" s="457"/>
      <c r="WO432" s="457"/>
      <c r="WP432" s="457"/>
      <c r="WQ432" s="457"/>
      <c r="WR432" s="457"/>
      <c r="WS432" s="457"/>
      <c r="WT432" s="457"/>
      <c r="WU432" s="457"/>
      <c r="WV432" s="457"/>
      <c r="WW432" s="457"/>
      <c r="WX432" s="457"/>
      <c r="WY432" s="457"/>
      <c r="WZ432" s="457"/>
      <c r="XA432" s="457"/>
      <c r="XB432" s="457"/>
      <c r="XC432" s="457"/>
      <c r="XD432" s="457"/>
      <c r="XE432" s="457"/>
      <c r="XF432" s="457"/>
      <c r="XG432" s="457"/>
      <c r="XH432" s="457"/>
      <c r="XI432" s="457"/>
      <c r="XJ432" s="457"/>
      <c r="XK432" s="457"/>
      <c r="XL432" s="457"/>
      <c r="XM432" s="457"/>
      <c r="XN432" s="457"/>
      <c r="XO432" s="457"/>
      <c r="XP432" s="457"/>
      <c r="XQ432" s="457"/>
      <c r="XR432" s="457"/>
      <c r="XS432" s="457"/>
      <c r="XT432" s="457"/>
      <c r="XU432" s="457"/>
      <c r="XV432" s="457"/>
      <c r="XW432" s="457"/>
      <c r="XX432" s="457"/>
      <c r="XY432" s="457"/>
      <c r="XZ432" s="457"/>
      <c r="YA432" s="457"/>
      <c r="YB432" s="457"/>
      <c r="YC432" s="457"/>
      <c r="YD432" s="457"/>
      <c r="YE432" s="457"/>
      <c r="YF432" s="457"/>
      <c r="YG432" s="457"/>
      <c r="YH432" s="457"/>
      <c r="YI432" s="457"/>
      <c r="YJ432" s="457"/>
      <c r="YK432" s="457"/>
      <c r="YL432" s="457"/>
      <c r="YM432" s="457"/>
      <c r="YN432" s="457"/>
      <c r="YO432" s="457"/>
      <c r="YP432" s="457"/>
      <c r="YQ432" s="457"/>
      <c r="YR432" s="457"/>
      <c r="YS432" s="457"/>
      <c r="YT432" s="457"/>
      <c r="YU432" s="457"/>
      <c r="YV432" s="457"/>
      <c r="YW432" s="457"/>
      <c r="YX432" s="457"/>
      <c r="YY432" s="457"/>
      <c r="YZ432" s="457"/>
      <c r="ZA432" s="457"/>
      <c r="ZB432" s="457"/>
      <c r="ZC432" s="457"/>
      <c r="ZD432" s="457"/>
      <c r="ZE432" s="457"/>
      <c r="ZF432" s="457"/>
      <c r="ZG432" s="457"/>
      <c r="ZH432" s="457"/>
      <c r="ZI432" s="457"/>
      <c r="ZJ432" s="457"/>
      <c r="ZK432" s="457"/>
      <c r="ZL432" s="457"/>
      <c r="ZM432" s="457"/>
      <c r="ZN432" s="457"/>
      <c r="ZO432" s="457"/>
      <c r="ZP432" s="457"/>
      <c r="ZQ432" s="457"/>
      <c r="ZR432" s="457"/>
      <c r="ZS432" s="457"/>
      <c r="ZT432" s="457"/>
      <c r="ZU432" s="457"/>
      <c r="ZV432" s="457"/>
      <c r="ZW432" s="457"/>
      <c r="ZX432" s="457"/>
      <c r="ZY432" s="457"/>
      <c r="ZZ432" s="457"/>
      <c r="AAA432" s="457"/>
      <c r="AAB432" s="457"/>
      <c r="AAC432" s="457"/>
      <c r="AAD432" s="457"/>
      <c r="AAE432" s="457"/>
      <c r="AAF432" s="457"/>
      <c r="AAG432" s="457"/>
      <c r="AAH432" s="457"/>
      <c r="AAI432" s="457"/>
      <c r="AAJ432" s="457"/>
      <c r="AAK432" s="457"/>
      <c r="AAL432" s="457"/>
      <c r="AAM432" s="457"/>
      <c r="AAN432" s="457"/>
      <c r="AAO432" s="457"/>
      <c r="AAP432" s="457"/>
      <c r="AAQ432" s="457"/>
      <c r="AAR432" s="457"/>
      <c r="AAS432" s="457"/>
      <c r="AAT432" s="457"/>
      <c r="AAU432" s="457"/>
      <c r="AAV432" s="457"/>
      <c r="AAW432" s="457"/>
      <c r="AAX432" s="457"/>
      <c r="AAY432" s="457"/>
      <c r="AAZ432" s="457"/>
      <c r="ABA432" s="457"/>
      <c r="ABB432" s="457"/>
      <c r="ABC432" s="457"/>
      <c r="ABD432" s="457"/>
      <c r="ABE432" s="457"/>
      <c r="ABF432" s="457"/>
      <c r="ABG432" s="457"/>
      <c r="ABH432" s="457"/>
      <c r="ABI432" s="457"/>
      <c r="ABJ432" s="457"/>
      <c r="ABK432" s="457"/>
      <c r="ABL432" s="457"/>
      <c r="ABM432" s="457"/>
      <c r="ABN432" s="457"/>
      <c r="ABO432" s="457"/>
      <c r="ABP432" s="457"/>
      <c r="ABQ432" s="457"/>
      <c r="ABR432" s="457"/>
      <c r="ABS432" s="457"/>
      <c r="ABT432" s="457"/>
      <c r="ABU432" s="457"/>
      <c r="ABV432" s="457"/>
      <c r="ABW432" s="457"/>
      <c r="ABX432" s="457"/>
      <c r="ABY432" s="457"/>
      <c r="ABZ432" s="457"/>
      <c r="ACA432" s="457"/>
      <c r="ACB432" s="457"/>
      <c r="ACC432" s="457"/>
      <c r="ACD432" s="457"/>
      <c r="ACE432" s="457"/>
      <c r="ACF432" s="457"/>
      <c r="ACG432" s="457"/>
      <c r="ACH432" s="457"/>
      <c r="ACI432" s="457"/>
      <c r="ACJ432" s="457"/>
      <c r="ACK432" s="457"/>
      <c r="ACL432" s="457"/>
      <c r="ACM432" s="457"/>
      <c r="ACN432" s="457"/>
      <c r="ACO432" s="457"/>
      <c r="ACP432" s="457"/>
      <c r="ACQ432" s="457"/>
      <c r="ACR432" s="457"/>
      <c r="ACS432" s="457"/>
      <c r="ACT432" s="457"/>
      <c r="ACU432" s="457"/>
      <c r="ACV432" s="457"/>
    </row>
    <row r="433" spans="1:776" s="400" customFormat="1" x14ac:dyDescent="0.25">
      <c r="A433" s="470">
        <v>900146</v>
      </c>
      <c r="B433" s="237" t="s">
        <v>338</v>
      </c>
      <c r="C433" s="455"/>
      <c r="D433" s="454" t="s">
        <v>339</v>
      </c>
      <c r="E433" s="454">
        <v>0.81499999999999995</v>
      </c>
      <c r="F433" s="456">
        <v>1.33</v>
      </c>
      <c r="G433" s="454">
        <v>0.01</v>
      </c>
      <c r="H433" s="454">
        <v>0.09</v>
      </c>
      <c r="I433" s="835">
        <v>60.01</v>
      </c>
      <c r="J433" s="454">
        <v>151.08000000000001</v>
      </c>
      <c r="K433" s="454">
        <v>0.01</v>
      </c>
      <c r="L433" s="456">
        <v>223.2</v>
      </c>
      <c r="M433" s="454">
        <v>0.01</v>
      </c>
      <c r="N433" s="454">
        <v>2.56</v>
      </c>
      <c r="O433" s="454">
        <v>41.96</v>
      </c>
      <c r="P433" s="454">
        <v>79.069999999999993</v>
      </c>
      <c r="Q433" s="454">
        <v>39.520000000000003</v>
      </c>
      <c r="R433" s="454">
        <v>0.01</v>
      </c>
      <c r="S433" s="454">
        <v>0.01</v>
      </c>
      <c r="T433" s="454">
        <v>0.01</v>
      </c>
      <c r="U433" s="454">
        <v>0.01</v>
      </c>
      <c r="V433" s="454"/>
      <c r="W433" s="457"/>
      <c r="X433" s="457"/>
      <c r="Y433" s="457"/>
      <c r="Z433" s="457"/>
      <c r="AA433" s="457"/>
      <c r="AB433" s="457"/>
      <c r="AC433" s="457"/>
      <c r="AD433" s="457"/>
      <c r="AE433" s="457"/>
      <c r="AF433" s="457"/>
      <c r="AG433" s="457"/>
      <c r="AH433" s="457"/>
      <c r="AI433" s="457"/>
      <c r="AJ433" s="457"/>
      <c r="AK433" s="457"/>
      <c r="AL433" s="457"/>
      <c r="AM433" s="457"/>
      <c r="AN433" s="457"/>
      <c r="AO433" s="457"/>
      <c r="AP433" s="457"/>
      <c r="AQ433" s="457"/>
      <c r="AR433" s="457"/>
      <c r="AS433" s="457"/>
      <c r="AT433" s="457"/>
      <c r="AU433" s="457"/>
      <c r="AV433" s="457"/>
      <c r="AW433" s="457"/>
      <c r="AX433" s="457"/>
      <c r="AY433" s="457"/>
      <c r="AZ433" s="457"/>
      <c r="BA433" s="457"/>
      <c r="BB433" s="457"/>
      <c r="BC433" s="457"/>
      <c r="BD433" s="457"/>
      <c r="BE433" s="457"/>
      <c r="BF433" s="457"/>
      <c r="BG433" s="457"/>
      <c r="BH433" s="457"/>
      <c r="BI433" s="457"/>
      <c r="BJ433" s="457"/>
      <c r="BK433" s="457"/>
      <c r="BL433" s="457"/>
      <c r="BM433" s="457"/>
      <c r="BN433" s="457"/>
      <c r="BO433" s="457"/>
      <c r="BP433" s="457"/>
      <c r="BQ433" s="457"/>
      <c r="BR433" s="457"/>
      <c r="BS433" s="457"/>
      <c r="BT433" s="457"/>
      <c r="BU433" s="457"/>
      <c r="BV433" s="457"/>
      <c r="BW433" s="457"/>
      <c r="BX433" s="457"/>
      <c r="BY433" s="457"/>
      <c r="BZ433" s="457"/>
      <c r="CA433" s="457"/>
      <c r="CB433" s="457"/>
      <c r="CC433" s="457"/>
      <c r="CD433" s="457"/>
      <c r="CE433" s="457"/>
      <c r="CF433" s="457"/>
      <c r="CG433" s="457"/>
      <c r="CH433" s="457"/>
      <c r="CI433" s="457"/>
      <c r="CJ433" s="457"/>
      <c r="CK433" s="457"/>
      <c r="CL433" s="457"/>
      <c r="CM433" s="457"/>
      <c r="CN433" s="457"/>
      <c r="CO433" s="457"/>
      <c r="CP433" s="457"/>
      <c r="CQ433" s="457"/>
      <c r="CR433" s="457"/>
      <c r="CS433" s="457"/>
      <c r="CT433" s="457"/>
      <c r="CU433" s="457"/>
      <c r="CV433" s="457"/>
      <c r="CW433" s="457"/>
      <c r="CX433" s="457"/>
      <c r="CY433" s="457"/>
      <c r="CZ433" s="457"/>
      <c r="DA433" s="457"/>
      <c r="DB433" s="457"/>
      <c r="DC433" s="457"/>
      <c r="DD433" s="457"/>
      <c r="DE433" s="457"/>
      <c r="DF433" s="457"/>
      <c r="DG433" s="457"/>
      <c r="DH433" s="457"/>
      <c r="DI433" s="457"/>
      <c r="DJ433" s="457"/>
      <c r="DK433" s="457"/>
      <c r="DL433" s="457"/>
      <c r="DM433" s="457"/>
      <c r="DN433" s="457"/>
      <c r="DO433" s="457"/>
      <c r="DP433" s="457"/>
      <c r="DQ433" s="457"/>
      <c r="DR433" s="457"/>
      <c r="DS433" s="457"/>
      <c r="DT433" s="457"/>
      <c r="DU433" s="457"/>
      <c r="DV433" s="457"/>
      <c r="DW433" s="457"/>
      <c r="DX433" s="457"/>
      <c r="DY433" s="457"/>
      <c r="DZ433" s="457"/>
      <c r="EA433" s="457"/>
      <c r="EB433" s="457"/>
      <c r="EC433" s="457"/>
      <c r="ED433" s="457"/>
      <c r="EE433" s="457"/>
      <c r="EF433" s="457"/>
      <c r="EG433" s="457"/>
      <c r="EH433" s="457"/>
      <c r="EI433" s="457"/>
      <c r="EJ433" s="457"/>
      <c r="EK433" s="457"/>
      <c r="EL433" s="457"/>
      <c r="EM433" s="457"/>
      <c r="EN433" s="457"/>
      <c r="EO433" s="457"/>
      <c r="EP433" s="457"/>
      <c r="EQ433" s="457"/>
      <c r="ER433" s="457"/>
      <c r="ES433" s="457"/>
      <c r="ET433" s="457"/>
      <c r="EU433" s="457"/>
      <c r="EV433" s="457"/>
      <c r="EW433" s="457"/>
      <c r="EX433" s="457"/>
      <c r="EY433" s="457"/>
      <c r="EZ433" s="457"/>
      <c r="FA433" s="457"/>
      <c r="FB433" s="457"/>
      <c r="FC433" s="457"/>
      <c r="FD433" s="457"/>
      <c r="FE433" s="457"/>
      <c r="FF433" s="457"/>
      <c r="FG433" s="457"/>
      <c r="FH433" s="457"/>
      <c r="FI433" s="457"/>
      <c r="FJ433" s="457"/>
      <c r="FK433" s="457"/>
      <c r="FL433" s="457"/>
      <c r="FM433" s="457"/>
      <c r="FN433" s="457"/>
      <c r="FO433" s="457"/>
      <c r="FP433" s="457"/>
      <c r="FQ433" s="457"/>
      <c r="FR433" s="457"/>
      <c r="FS433" s="457"/>
      <c r="FT433" s="457"/>
      <c r="FU433" s="457"/>
      <c r="FV433" s="457"/>
      <c r="FW433" s="457"/>
      <c r="FX433" s="457"/>
      <c r="FY433" s="457"/>
      <c r="FZ433" s="457"/>
      <c r="GA433" s="457"/>
      <c r="GB433" s="457"/>
      <c r="GC433" s="457"/>
      <c r="GD433" s="457"/>
      <c r="GE433" s="457"/>
      <c r="GF433" s="457"/>
      <c r="GG433" s="457"/>
      <c r="GH433" s="457"/>
      <c r="GI433" s="457"/>
      <c r="GJ433" s="457"/>
      <c r="GK433" s="457"/>
      <c r="GL433" s="457"/>
      <c r="GM433" s="457"/>
      <c r="GN433" s="457"/>
      <c r="GO433" s="457"/>
      <c r="GP433" s="457"/>
      <c r="GQ433" s="457"/>
      <c r="GR433" s="457"/>
      <c r="GS433" s="457"/>
      <c r="GT433" s="457"/>
      <c r="GU433" s="457"/>
      <c r="GV433" s="457"/>
      <c r="GW433" s="457"/>
      <c r="GX433" s="457"/>
      <c r="GY433" s="457"/>
      <c r="GZ433" s="457"/>
      <c r="HA433" s="457"/>
      <c r="HB433" s="457"/>
      <c r="HC433" s="457"/>
      <c r="HD433" s="457"/>
      <c r="HE433" s="457"/>
      <c r="HF433" s="457"/>
      <c r="HG433" s="457"/>
      <c r="HH433" s="457"/>
      <c r="HI433" s="457"/>
      <c r="HJ433" s="457"/>
      <c r="HK433" s="457"/>
      <c r="HL433" s="457"/>
      <c r="HM433" s="457"/>
      <c r="HN433" s="457"/>
      <c r="HO433" s="457"/>
      <c r="HP433" s="457"/>
      <c r="HQ433" s="457"/>
      <c r="HR433" s="457"/>
      <c r="HS433" s="457"/>
      <c r="HT433" s="457"/>
      <c r="HU433" s="457"/>
      <c r="HV433" s="457"/>
      <c r="HW433" s="457"/>
      <c r="HX433" s="457"/>
      <c r="HY433" s="457"/>
      <c r="HZ433" s="457"/>
      <c r="IA433" s="457"/>
      <c r="IB433" s="457"/>
      <c r="IC433" s="457"/>
      <c r="ID433" s="457"/>
      <c r="IE433" s="457"/>
      <c r="IF433" s="457"/>
      <c r="IG433" s="457"/>
      <c r="IH433" s="457"/>
      <c r="II433" s="457"/>
      <c r="IJ433" s="457"/>
      <c r="IK433" s="457"/>
      <c r="IL433" s="457"/>
      <c r="IM433" s="457"/>
      <c r="IN433" s="457"/>
      <c r="IO433" s="457"/>
      <c r="IP433" s="457"/>
      <c r="IQ433" s="457"/>
      <c r="IR433" s="457"/>
      <c r="IS433" s="457"/>
      <c r="IT433" s="457"/>
      <c r="IU433" s="457"/>
      <c r="IV433" s="457"/>
      <c r="IW433" s="457"/>
      <c r="IX433" s="457"/>
      <c r="IY433" s="457"/>
      <c r="IZ433" s="457"/>
      <c r="JA433" s="457"/>
      <c r="JB433" s="457"/>
      <c r="JC433" s="457"/>
      <c r="JD433" s="457"/>
      <c r="JE433" s="457"/>
      <c r="JF433" s="457"/>
      <c r="JG433" s="457"/>
      <c r="JH433" s="457"/>
      <c r="JI433" s="457"/>
      <c r="JJ433" s="457"/>
      <c r="JK433" s="457"/>
      <c r="JL433" s="457"/>
      <c r="JM433" s="457"/>
      <c r="JN433" s="457"/>
      <c r="JO433" s="457"/>
      <c r="JP433" s="457"/>
      <c r="JQ433" s="457"/>
      <c r="JR433" s="457"/>
      <c r="JS433" s="457"/>
      <c r="JT433" s="457"/>
      <c r="JU433" s="457"/>
      <c r="JV433" s="457"/>
      <c r="JW433" s="457"/>
      <c r="JX433" s="457"/>
      <c r="JY433" s="457"/>
      <c r="JZ433" s="457"/>
      <c r="KA433" s="457"/>
      <c r="KB433" s="457"/>
      <c r="KC433" s="457"/>
      <c r="KD433" s="457"/>
      <c r="KE433" s="457"/>
      <c r="KF433" s="457"/>
      <c r="KG433" s="457"/>
      <c r="KH433" s="457"/>
      <c r="KI433" s="457"/>
      <c r="KJ433" s="457"/>
      <c r="KK433" s="457"/>
      <c r="KL433" s="457"/>
      <c r="KM433" s="457"/>
      <c r="KN433" s="457"/>
      <c r="KO433" s="457"/>
      <c r="KP433" s="457"/>
      <c r="KQ433" s="457"/>
      <c r="KR433" s="457"/>
      <c r="KS433" s="457"/>
      <c r="KT433" s="457"/>
      <c r="KU433" s="457"/>
      <c r="KV433" s="457"/>
      <c r="KW433" s="457"/>
      <c r="KX433" s="457"/>
      <c r="KY433" s="457"/>
      <c r="KZ433" s="457"/>
      <c r="LA433" s="457"/>
      <c r="LB433" s="457"/>
      <c r="LC433" s="457"/>
      <c r="LD433" s="457"/>
      <c r="LE433" s="457"/>
      <c r="LF433" s="457"/>
      <c r="LG433" s="457"/>
      <c r="LH433" s="457"/>
      <c r="LI433" s="457"/>
      <c r="LJ433" s="457"/>
      <c r="LK433" s="457"/>
      <c r="LL433" s="457"/>
      <c r="LM433" s="457"/>
      <c r="LN433" s="457"/>
      <c r="LO433" s="457"/>
      <c r="LP433" s="457"/>
      <c r="LQ433" s="457"/>
      <c r="LR433" s="457"/>
      <c r="LS433" s="457"/>
      <c r="LT433" s="457"/>
      <c r="LU433" s="457"/>
      <c r="LV433" s="457"/>
      <c r="LW433" s="457"/>
      <c r="LX433" s="457"/>
      <c r="LY433" s="457"/>
      <c r="LZ433" s="457"/>
      <c r="MA433" s="457"/>
      <c r="MB433" s="457"/>
      <c r="MC433" s="457"/>
      <c r="MD433" s="457"/>
      <c r="ME433" s="457"/>
      <c r="MF433" s="457"/>
      <c r="MG433" s="457"/>
      <c r="MH433" s="457"/>
      <c r="MI433" s="457"/>
      <c r="MJ433" s="457"/>
      <c r="MK433" s="457"/>
      <c r="ML433" s="457"/>
      <c r="MM433" s="457"/>
      <c r="MN433" s="457"/>
      <c r="MO433" s="457"/>
      <c r="MP433" s="457"/>
      <c r="MQ433" s="457"/>
      <c r="MR433" s="457"/>
      <c r="MS433" s="457"/>
      <c r="MT433" s="457"/>
      <c r="MU433" s="457"/>
      <c r="MV433" s="457"/>
      <c r="MW433" s="457"/>
      <c r="MX433" s="457"/>
      <c r="MY433" s="457"/>
      <c r="MZ433" s="457"/>
      <c r="NA433" s="457"/>
      <c r="NB433" s="457"/>
      <c r="NC433" s="457"/>
      <c r="ND433" s="457"/>
      <c r="NE433" s="457"/>
      <c r="NF433" s="457"/>
      <c r="NG433" s="457"/>
      <c r="NH433" s="457"/>
      <c r="NI433" s="457"/>
      <c r="NJ433" s="457"/>
      <c r="NK433" s="457"/>
      <c r="NL433" s="457"/>
      <c r="NM433" s="457"/>
      <c r="NN433" s="457"/>
      <c r="NO433" s="457"/>
      <c r="NP433" s="457"/>
      <c r="NQ433" s="457"/>
      <c r="NR433" s="457"/>
      <c r="NS433" s="457"/>
      <c r="NT433" s="457"/>
      <c r="NU433" s="457"/>
      <c r="NV433" s="457"/>
      <c r="NW433" s="457"/>
      <c r="NX433" s="457"/>
      <c r="NY433" s="457"/>
      <c r="NZ433" s="457"/>
      <c r="OA433" s="457"/>
      <c r="OB433" s="457"/>
      <c r="OC433" s="457"/>
      <c r="OD433" s="457"/>
      <c r="OE433" s="457"/>
      <c r="OF433" s="457"/>
      <c r="OG433" s="457"/>
      <c r="OH433" s="457"/>
      <c r="OI433" s="457"/>
      <c r="OJ433" s="457"/>
      <c r="OK433" s="457"/>
      <c r="OL433" s="457"/>
      <c r="OM433" s="457"/>
      <c r="ON433" s="457"/>
      <c r="OO433" s="457"/>
      <c r="OP433" s="457"/>
      <c r="OQ433" s="457"/>
      <c r="OR433" s="457"/>
      <c r="OS433" s="457"/>
      <c r="OT433" s="457"/>
      <c r="OU433" s="457"/>
      <c r="OV433" s="457"/>
      <c r="OW433" s="457"/>
      <c r="OX433" s="457"/>
      <c r="OY433" s="457"/>
      <c r="OZ433" s="457"/>
      <c r="PA433" s="457"/>
      <c r="PB433" s="457"/>
      <c r="PC433" s="457"/>
      <c r="PD433" s="457"/>
      <c r="PE433" s="457"/>
      <c r="PF433" s="457"/>
      <c r="PG433" s="457"/>
      <c r="PH433" s="457"/>
      <c r="PI433" s="457"/>
      <c r="PJ433" s="457"/>
      <c r="PK433" s="457"/>
      <c r="PL433" s="457"/>
      <c r="PM433" s="457"/>
      <c r="PN433" s="457"/>
      <c r="PO433" s="457"/>
      <c r="PP433" s="457"/>
      <c r="PQ433" s="457"/>
      <c r="PR433" s="457"/>
      <c r="PS433" s="457"/>
      <c r="PT433" s="457"/>
      <c r="PU433" s="457"/>
      <c r="PV433" s="457"/>
      <c r="PW433" s="457"/>
      <c r="PX433" s="457"/>
      <c r="PY433" s="457"/>
      <c r="PZ433" s="457"/>
      <c r="QA433" s="457"/>
      <c r="QB433" s="457"/>
      <c r="QC433" s="457"/>
      <c r="QD433" s="457"/>
      <c r="QE433" s="457"/>
      <c r="QF433" s="457"/>
      <c r="QG433" s="457"/>
      <c r="QH433" s="457"/>
      <c r="QI433" s="457"/>
      <c r="QJ433" s="457"/>
      <c r="QK433" s="457"/>
      <c r="QL433" s="457"/>
      <c r="QM433" s="457"/>
      <c r="QN433" s="457"/>
      <c r="QO433" s="457"/>
      <c r="QP433" s="457"/>
      <c r="QQ433" s="457"/>
      <c r="QR433" s="457"/>
      <c r="QS433" s="457"/>
      <c r="QT433" s="457"/>
      <c r="QU433" s="457"/>
      <c r="QV433" s="457"/>
      <c r="QW433" s="457"/>
      <c r="QX433" s="457"/>
      <c r="QY433" s="457"/>
      <c r="QZ433" s="457"/>
      <c r="RA433" s="457"/>
      <c r="RB433" s="457"/>
      <c r="RC433" s="457"/>
      <c r="RD433" s="457"/>
      <c r="RE433" s="457"/>
      <c r="RF433" s="457"/>
      <c r="RG433" s="457"/>
      <c r="RH433" s="457"/>
      <c r="RI433" s="457"/>
      <c r="RJ433" s="457"/>
      <c r="RK433" s="457"/>
      <c r="RL433" s="457"/>
      <c r="RM433" s="457"/>
      <c r="RN433" s="457"/>
      <c r="RO433" s="457"/>
      <c r="RP433" s="457"/>
      <c r="RQ433" s="457"/>
      <c r="RR433" s="457"/>
      <c r="RS433" s="457"/>
      <c r="RT433" s="457"/>
      <c r="RU433" s="457"/>
      <c r="RV433" s="457"/>
      <c r="RW433" s="457"/>
      <c r="RX433" s="457"/>
      <c r="RY433" s="457"/>
      <c r="RZ433" s="457"/>
      <c r="SA433" s="457"/>
      <c r="SB433" s="457"/>
      <c r="SC433" s="457"/>
      <c r="SD433" s="457"/>
      <c r="SE433" s="457"/>
      <c r="SF433" s="457"/>
      <c r="SG433" s="457"/>
      <c r="SH433" s="457"/>
      <c r="SI433" s="457"/>
      <c r="SJ433" s="457"/>
      <c r="SK433" s="457"/>
      <c r="SL433" s="457"/>
      <c r="SM433" s="457"/>
      <c r="SN433" s="457"/>
      <c r="SO433" s="457"/>
      <c r="SP433" s="457"/>
      <c r="SQ433" s="457"/>
      <c r="SR433" s="457"/>
      <c r="SS433" s="457"/>
      <c r="ST433" s="457"/>
      <c r="SU433" s="457"/>
      <c r="SV433" s="457"/>
      <c r="SW433" s="457"/>
      <c r="SX433" s="457"/>
      <c r="SY433" s="457"/>
      <c r="SZ433" s="457"/>
      <c r="TA433" s="457"/>
      <c r="TB433" s="457"/>
      <c r="TC433" s="457"/>
      <c r="TD433" s="457"/>
      <c r="TE433" s="457"/>
      <c r="TF433" s="457"/>
      <c r="TG433" s="457"/>
      <c r="TH433" s="457"/>
      <c r="TI433" s="457"/>
      <c r="TJ433" s="457"/>
      <c r="TK433" s="457"/>
      <c r="TL433" s="457"/>
      <c r="TM433" s="457"/>
      <c r="TN433" s="457"/>
      <c r="TO433" s="457"/>
      <c r="TP433" s="457"/>
      <c r="TQ433" s="457"/>
      <c r="TR433" s="457"/>
      <c r="TS433" s="457"/>
      <c r="TT433" s="457"/>
      <c r="TU433" s="457"/>
      <c r="TV433" s="457"/>
      <c r="TW433" s="457"/>
      <c r="TX433" s="457"/>
      <c r="TY433" s="457"/>
      <c r="TZ433" s="457"/>
      <c r="UA433" s="457"/>
      <c r="UB433" s="457"/>
      <c r="UC433" s="457"/>
      <c r="UD433" s="457"/>
      <c r="UE433" s="457"/>
      <c r="UF433" s="457"/>
      <c r="UG433" s="457"/>
      <c r="UH433" s="457"/>
      <c r="UI433" s="457"/>
      <c r="UJ433" s="457"/>
      <c r="UK433" s="457"/>
      <c r="UL433" s="457"/>
      <c r="UM433" s="457"/>
      <c r="UN433" s="457"/>
      <c r="UO433" s="457"/>
      <c r="UP433" s="457"/>
      <c r="UQ433" s="457"/>
      <c r="UR433" s="457"/>
      <c r="US433" s="457"/>
      <c r="UT433" s="457"/>
      <c r="UU433" s="457"/>
      <c r="UV433" s="457"/>
      <c r="UW433" s="457"/>
      <c r="UX433" s="457"/>
      <c r="UY433" s="457"/>
      <c r="UZ433" s="457"/>
      <c r="VA433" s="457"/>
      <c r="VB433" s="457"/>
      <c r="VC433" s="457"/>
      <c r="VD433" s="457"/>
      <c r="VE433" s="457"/>
      <c r="VF433" s="457"/>
      <c r="VG433" s="457"/>
      <c r="VH433" s="457"/>
      <c r="VI433" s="457"/>
      <c r="VJ433" s="457"/>
      <c r="VK433" s="457"/>
      <c r="VL433" s="457"/>
      <c r="VM433" s="457"/>
      <c r="VN433" s="457"/>
      <c r="VO433" s="457"/>
      <c r="VP433" s="457"/>
      <c r="VQ433" s="457"/>
      <c r="VR433" s="457"/>
      <c r="VS433" s="457"/>
      <c r="VT433" s="457"/>
      <c r="VU433" s="457"/>
      <c r="VV433" s="457"/>
      <c r="VW433" s="457"/>
      <c r="VX433" s="457"/>
      <c r="VY433" s="457"/>
      <c r="VZ433" s="457"/>
      <c r="WA433" s="457"/>
      <c r="WB433" s="457"/>
      <c r="WC433" s="457"/>
      <c r="WD433" s="457"/>
      <c r="WE433" s="457"/>
      <c r="WF433" s="457"/>
      <c r="WG433" s="457"/>
      <c r="WH433" s="457"/>
      <c r="WI433" s="457"/>
      <c r="WJ433" s="457"/>
      <c r="WK433" s="457"/>
      <c r="WL433" s="457"/>
      <c r="WM433" s="457"/>
      <c r="WN433" s="457"/>
      <c r="WO433" s="457"/>
      <c r="WP433" s="457"/>
      <c r="WQ433" s="457"/>
      <c r="WR433" s="457"/>
      <c r="WS433" s="457"/>
      <c r="WT433" s="457"/>
      <c r="WU433" s="457"/>
      <c r="WV433" s="457"/>
      <c r="WW433" s="457"/>
      <c r="WX433" s="457"/>
      <c r="WY433" s="457"/>
      <c r="WZ433" s="457"/>
      <c r="XA433" s="457"/>
      <c r="XB433" s="457"/>
      <c r="XC433" s="457"/>
      <c r="XD433" s="457"/>
      <c r="XE433" s="457"/>
      <c r="XF433" s="457"/>
      <c r="XG433" s="457"/>
      <c r="XH433" s="457"/>
      <c r="XI433" s="457"/>
      <c r="XJ433" s="457"/>
      <c r="XK433" s="457"/>
      <c r="XL433" s="457"/>
      <c r="XM433" s="457"/>
      <c r="XN433" s="457"/>
      <c r="XO433" s="457"/>
      <c r="XP433" s="457"/>
      <c r="XQ433" s="457"/>
      <c r="XR433" s="457"/>
      <c r="XS433" s="457"/>
      <c r="XT433" s="457"/>
      <c r="XU433" s="457"/>
      <c r="XV433" s="457"/>
      <c r="XW433" s="457"/>
      <c r="XX433" s="457"/>
      <c r="XY433" s="457"/>
      <c r="XZ433" s="457"/>
      <c r="YA433" s="457"/>
      <c r="YB433" s="457"/>
      <c r="YC433" s="457"/>
      <c r="YD433" s="457"/>
      <c r="YE433" s="457"/>
      <c r="YF433" s="457"/>
      <c r="YG433" s="457"/>
      <c r="YH433" s="457"/>
      <c r="YI433" s="457"/>
      <c r="YJ433" s="457"/>
      <c r="YK433" s="457"/>
      <c r="YL433" s="457"/>
      <c r="YM433" s="457"/>
      <c r="YN433" s="457"/>
      <c r="YO433" s="457"/>
      <c r="YP433" s="457"/>
      <c r="YQ433" s="457"/>
      <c r="YR433" s="457"/>
      <c r="YS433" s="457"/>
      <c r="YT433" s="457"/>
      <c r="YU433" s="457"/>
      <c r="YV433" s="457"/>
      <c r="YW433" s="457"/>
      <c r="YX433" s="457"/>
      <c r="YY433" s="457"/>
      <c r="YZ433" s="457"/>
      <c r="ZA433" s="457"/>
      <c r="ZB433" s="457"/>
      <c r="ZC433" s="457"/>
      <c r="ZD433" s="457"/>
      <c r="ZE433" s="457"/>
      <c r="ZF433" s="457"/>
      <c r="ZG433" s="457"/>
      <c r="ZH433" s="457"/>
      <c r="ZI433" s="457"/>
      <c r="ZJ433" s="457"/>
      <c r="ZK433" s="457"/>
      <c r="ZL433" s="457"/>
      <c r="ZM433" s="457"/>
      <c r="ZN433" s="457"/>
      <c r="ZO433" s="457"/>
      <c r="ZP433" s="457"/>
      <c r="ZQ433" s="457"/>
      <c r="ZR433" s="457"/>
      <c r="ZS433" s="457"/>
      <c r="ZT433" s="457"/>
      <c r="ZU433" s="457"/>
      <c r="ZV433" s="457"/>
      <c r="ZW433" s="457"/>
      <c r="ZX433" s="457"/>
      <c r="ZY433" s="457"/>
      <c r="ZZ433" s="457"/>
      <c r="AAA433" s="457"/>
      <c r="AAB433" s="457"/>
      <c r="AAC433" s="457"/>
      <c r="AAD433" s="457"/>
      <c r="AAE433" s="457"/>
      <c r="AAF433" s="457"/>
      <c r="AAG433" s="457"/>
      <c r="AAH433" s="457"/>
      <c r="AAI433" s="457"/>
      <c r="AAJ433" s="457"/>
      <c r="AAK433" s="457"/>
      <c r="AAL433" s="457"/>
      <c r="AAM433" s="457"/>
      <c r="AAN433" s="457"/>
      <c r="AAO433" s="457"/>
      <c r="AAP433" s="457"/>
      <c r="AAQ433" s="457"/>
      <c r="AAR433" s="457"/>
      <c r="AAS433" s="457"/>
      <c r="AAT433" s="457"/>
      <c r="AAU433" s="457"/>
      <c r="AAV433" s="457"/>
      <c r="AAW433" s="457"/>
      <c r="AAX433" s="457"/>
      <c r="AAY433" s="457"/>
      <c r="AAZ433" s="457"/>
      <c r="ABA433" s="457"/>
      <c r="ABB433" s="457"/>
      <c r="ABC433" s="457"/>
      <c r="ABD433" s="457"/>
      <c r="ABE433" s="457"/>
      <c r="ABF433" s="457"/>
      <c r="ABG433" s="457"/>
      <c r="ABH433" s="457"/>
      <c r="ABI433" s="457"/>
      <c r="ABJ433" s="457"/>
      <c r="ABK433" s="457"/>
      <c r="ABL433" s="457"/>
      <c r="ABM433" s="457"/>
      <c r="ABN433" s="457"/>
      <c r="ABO433" s="457"/>
      <c r="ABP433" s="457"/>
      <c r="ABQ433" s="457"/>
      <c r="ABR433" s="457"/>
      <c r="ABS433" s="457"/>
      <c r="ABT433" s="457"/>
      <c r="ABU433" s="457"/>
      <c r="ABV433" s="457"/>
      <c r="ABW433" s="457"/>
      <c r="ABX433" s="457"/>
      <c r="ABY433" s="457"/>
      <c r="ABZ433" s="457"/>
      <c r="ACA433" s="457"/>
      <c r="ACB433" s="457"/>
      <c r="ACC433" s="457"/>
      <c r="ACD433" s="457"/>
      <c r="ACE433" s="457"/>
      <c r="ACF433" s="457"/>
      <c r="ACG433" s="457"/>
      <c r="ACH433" s="457"/>
      <c r="ACI433" s="457"/>
      <c r="ACJ433" s="457"/>
      <c r="ACK433" s="457"/>
      <c r="ACL433" s="457"/>
      <c r="ACM433" s="457"/>
      <c r="ACN433" s="457"/>
      <c r="ACO433" s="457"/>
      <c r="ACP433" s="457"/>
      <c r="ACQ433" s="457"/>
      <c r="ACR433" s="457"/>
      <c r="ACS433" s="457"/>
      <c r="ACT433" s="457"/>
      <c r="ACU433" s="457"/>
      <c r="ACV433" s="457"/>
    </row>
    <row r="434" spans="1:776" s="400" customFormat="1" x14ac:dyDescent="0.25">
      <c r="A434" s="470">
        <v>900147</v>
      </c>
      <c r="B434" s="237" t="s">
        <v>340</v>
      </c>
      <c r="C434" s="455"/>
      <c r="D434" s="454" t="s">
        <v>329</v>
      </c>
      <c r="E434" s="454">
        <v>0.78900000000000003</v>
      </c>
      <c r="F434" s="456">
        <v>2.69</v>
      </c>
      <c r="G434" s="454">
        <v>0.01</v>
      </c>
      <c r="H434" s="454">
        <v>0.09</v>
      </c>
      <c r="I434" s="456">
        <v>48.23</v>
      </c>
      <c r="J434" s="454">
        <v>144.16999999999999</v>
      </c>
      <c r="K434" s="454">
        <v>3.0599999999999999E-2</v>
      </c>
      <c r="L434" s="456">
        <v>280.8</v>
      </c>
      <c r="M434" s="454">
        <v>0.01</v>
      </c>
      <c r="N434" s="454">
        <v>2.64</v>
      </c>
      <c r="O434" s="454">
        <v>39.270000000000003</v>
      </c>
      <c r="P434" s="454">
        <v>76.099999999999994</v>
      </c>
      <c r="Q434" s="454">
        <v>42.02</v>
      </c>
      <c r="R434" s="454">
        <v>0.01</v>
      </c>
      <c r="S434" s="454">
        <v>0.01</v>
      </c>
      <c r="T434" s="454">
        <v>0.01</v>
      </c>
      <c r="U434" s="454">
        <v>0.01</v>
      </c>
      <c r="V434" s="454"/>
      <c r="W434" s="457"/>
      <c r="X434" s="457"/>
      <c r="Y434" s="457"/>
      <c r="Z434" s="457"/>
      <c r="AA434" s="457"/>
      <c r="AB434" s="457"/>
      <c r="AC434" s="457"/>
      <c r="AD434" s="457"/>
      <c r="AE434" s="457"/>
      <c r="AF434" s="457"/>
      <c r="AG434" s="457"/>
      <c r="AH434" s="457"/>
      <c r="AI434" s="457"/>
      <c r="AJ434" s="457"/>
      <c r="AK434" s="457"/>
      <c r="AL434" s="457"/>
      <c r="AM434" s="457"/>
      <c r="AN434" s="457"/>
      <c r="AO434" s="457"/>
      <c r="AP434" s="457"/>
      <c r="AQ434" s="457"/>
      <c r="AR434" s="457"/>
      <c r="AS434" s="457"/>
      <c r="AT434" s="457"/>
      <c r="AU434" s="457"/>
      <c r="AV434" s="457"/>
      <c r="AW434" s="457"/>
      <c r="AX434" s="457"/>
      <c r="AY434" s="457"/>
      <c r="AZ434" s="457"/>
      <c r="BA434" s="457"/>
      <c r="BB434" s="457"/>
      <c r="BC434" s="457"/>
      <c r="BD434" s="457"/>
      <c r="BE434" s="457"/>
      <c r="BF434" s="457"/>
      <c r="BG434" s="457"/>
      <c r="BH434" s="457"/>
      <c r="BI434" s="457"/>
      <c r="BJ434" s="457"/>
      <c r="BK434" s="457"/>
      <c r="BL434" s="457"/>
      <c r="BM434" s="457"/>
      <c r="BN434" s="457"/>
      <c r="BO434" s="457"/>
      <c r="BP434" s="457"/>
      <c r="BQ434" s="457"/>
      <c r="BR434" s="457"/>
      <c r="BS434" s="457"/>
      <c r="BT434" s="457"/>
      <c r="BU434" s="457"/>
      <c r="BV434" s="457"/>
      <c r="BW434" s="457"/>
      <c r="BX434" s="457"/>
      <c r="BY434" s="457"/>
      <c r="BZ434" s="457"/>
      <c r="CA434" s="457"/>
      <c r="CB434" s="457"/>
      <c r="CC434" s="457"/>
      <c r="CD434" s="457"/>
      <c r="CE434" s="457"/>
      <c r="CF434" s="457"/>
      <c r="CG434" s="457"/>
      <c r="CH434" s="457"/>
      <c r="CI434" s="457"/>
      <c r="CJ434" s="457"/>
      <c r="CK434" s="457"/>
      <c r="CL434" s="457"/>
      <c r="CM434" s="457"/>
      <c r="CN434" s="457"/>
      <c r="CO434" s="457"/>
      <c r="CP434" s="457"/>
      <c r="CQ434" s="457"/>
      <c r="CR434" s="457"/>
      <c r="CS434" s="457"/>
      <c r="CT434" s="457"/>
      <c r="CU434" s="457"/>
      <c r="CV434" s="457"/>
      <c r="CW434" s="457"/>
      <c r="CX434" s="457"/>
      <c r="CY434" s="457"/>
      <c r="CZ434" s="457"/>
      <c r="DA434" s="457"/>
      <c r="DB434" s="457"/>
      <c r="DC434" s="457"/>
      <c r="DD434" s="457"/>
      <c r="DE434" s="457"/>
      <c r="DF434" s="457"/>
      <c r="DG434" s="457"/>
      <c r="DH434" s="457"/>
      <c r="DI434" s="457"/>
      <c r="DJ434" s="457"/>
      <c r="DK434" s="457"/>
      <c r="DL434" s="457"/>
      <c r="DM434" s="457"/>
      <c r="DN434" s="457"/>
      <c r="DO434" s="457"/>
      <c r="DP434" s="457"/>
      <c r="DQ434" s="457"/>
      <c r="DR434" s="457"/>
      <c r="DS434" s="457"/>
      <c r="DT434" s="457"/>
      <c r="DU434" s="457"/>
      <c r="DV434" s="457"/>
      <c r="DW434" s="457"/>
      <c r="DX434" s="457"/>
      <c r="DY434" s="457"/>
      <c r="DZ434" s="457"/>
      <c r="EA434" s="457"/>
      <c r="EB434" s="457"/>
      <c r="EC434" s="457"/>
      <c r="ED434" s="457"/>
      <c r="EE434" s="457"/>
      <c r="EF434" s="457"/>
      <c r="EG434" s="457"/>
      <c r="EH434" s="457"/>
      <c r="EI434" s="457"/>
      <c r="EJ434" s="457"/>
      <c r="EK434" s="457"/>
      <c r="EL434" s="457"/>
      <c r="EM434" s="457"/>
      <c r="EN434" s="457"/>
      <c r="EO434" s="457"/>
      <c r="EP434" s="457"/>
      <c r="EQ434" s="457"/>
      <c r="ER434" s="457"/>
      <c r="ES434" s="457"/>
      <c r="ET434" s="457"/>
      <c r="EU434" s="457"/>
      <c r="EV434" s="457"/>
      <c r="EW434" s="457"/>
      <c r="EX434" s="457"/>
      <c r="EY434" s="457"/>
      <c r="EZ434" s="457"/>
      <c r="FA434" s="457"/>
      <c r="FB434" s="457"/>
      <c r="FC434" s="457"/>
      <c r="FD434" s="457"/>
      <c r="FE434" s="457"/>
      <c r="FF434" s="457"/>
      <c r="FG434" s="457"/>
      <c r="FH434" s="457"/>
      <c r="FI434" s="457"/>
      <c r="FJ434" s="457"/>
      <c r="FK434" s="457"/>
      <c r="FL434" s="457"/>
      <c r="FM434" s="457"/>
      <c r="FN434" s="457"/>
      <c r="FO434" s="457"/>
      <c r="FP434" s="457"/>
      <c r="FQ434" s="457"/>
      <c r="FR434" s="457"/>
      <c r="FS434" s="457"/>
      <c r="FT434" s="457"/>
      <c r="FU434" s="457"/>
      <c r="FV434" s="457"/>
      <c r="FW434" s="457"/>
      <c r="FX434" s="457"/>
      <c r="FY434" s="457"/>
      <c r="FZ434" s="457"/>
      <c r="GA434" s="457"/>
      <c r="GB434" s="457"/>
      <c r="GC434" s="457"/>
      <c r="GD434" s="457"/>
      <c r="GE434" s="457"/>
      <c r="GF434" s="457"/>
      <c r="GG434" s="457"/>
      <c r="GH434" s="457"/>
      <c r="GI434" s="457"/>
      <c r="GJ434" s="457"/>
      <c r="GK434" s="457"/>
      <c r="GL434" s="457"/>
      <c r="GM434" s="457"/>
      <c r="GN434" s="457"/>
      <c r="GO434" s="457"/>
      <c r="GP434" s="457"/>
      <c r="GQ434" s="457"/>
      <c r="GR434" s="457"/>
      <c r="GS434" s="457"/>
      <c r="GT434" s="457"/>
      <c r="GU434" s="457"/>
      <c r="GV434" s="457"/>
      <c r="GW434" s="457"/>
      <c r="GX434" s="457"/>
      <c r="GY434" s="457"/>
      <c r="GZ434" s="457"/>
      <c r="HA434" s="457"/>
      <c r="HB434" s="457"/>
      <c r="HC434" s="457"/>
      <c r="HD434" s="457"/>
      <c r="HE434" s="457"/>
      <c r="HF434" s="457"/>
      <c r="HG434" s="457"/>
      <c r="HH434" s="457"/>
      <c r="HI434" s="457"/>
      <c r="HJ434" s="457"/>
      <c r="HK434" s="457"/>
      <c r="HL434" s="457"/>
      <c r="HM434" s="457"/>
      <c r="HN434" s="457"/>
      <c r="HO434" s="457"/>
      <c r="HP434" s="457"/>
      <c r="HQ434" s="457"/>
      <c r="HR434" s="457"/>
      <c r="HS434" s="457"/>
      <c r="HT434" s="457"/>
      <c r="HU434" s="457"/>
      <c r="HV434" s="457"/>
      <c r="HW434" s="457"/>
      <c r="HX434" s="457"/>
      <c r="HY434" s="457"/>
      <c r="HZ434" s="457"/>
      <c r="IA434" s="457"/>
      <c r="IB434" s="457"/>
      <c r="IC434" s="457"/>
      <c r="ID434" s="457"/>
      <c r="IE434" s="457"/>
      <c r="IF434" s="457"/>
      <c r="IG434" s="457"/>
      <c r="IH434" s="457"/>
      <c r="II434" s="457"/>
      <c r="IJ434" s="457"/>
      <c r="IK434" s="457"/>
      <c r="IL434" s="457"/>
      <c r="IM434" s="457"/>
      <c r="IN434" s="457"/>
      <c r="IO434" s="457"/>
      <c r="IP434" s="457"/>
      <c r="IQ434" s="457"/>
      <c r="IR434" s="457"/>
      <c r="IS434" s="457"/>
      <c r="IT434" s="457"/>
      <c r="IU434" s="457"/>
      <c r="IV434" s="457"/>
      <c r="IW434" s="457"/>
      <c r="IX434" s="457"/>
      <c r="IY434" s="457"/>
      <c r="IZ434" s="457"/>
      <c r="JA434" s="457"/>
      <c r="JB434" s="457"/>
      <c r="JC434" s="457"/>
      <c r="JD434" s="457"/>
      <c r="JE434" s="457"/>
      <c r="JF434" s="457"/>
      <c r="JG434" s="457"/>
      <c r="JH434" s="457"/>
      <c r="JI434" s="457"/>
      <c r="JJ434" s="457"/>
      <c r="JK434" s="457"/>
      <c r="JL434" s="457"/>
      <c r="JM434" s="457"/>
      <c r="JN434" s="457"/>
      <c r="JO434" s="457"/>
      <c r="JP434" s="457"/>
      <c r="JQ434" s="457"/>
      <c r="JR434" s="457"/>
      <c r="JS434" s="457"/>
      <c r="JT434" s="457"/>
      <c r="JU434" s="457"/>
      <c r="JV434" s="457"/>
      <c r="JW434" s="457"/>
      <c r="JX434" s="457"/>
      <c r="JY434" s="457"/>
      <c r="JZ434" s="457"/>
      <c r="KA434" s="457"/>
      <c r="KB434" s="457"/>
      <c r="KC434" s="457"/>
      <c r="KD434" s="457"/>
      <c r="KE434" s="457"/>
      <c r="KF434" s="457"/>
      <c r="KG434" s="457"/>
      <c r="KH434" s="457"/>
      <c r="KI434" s="457"/>
      <c r="KJ434" s="457"/>
      <c r="KK434" s="457"/>
      <c r="KL434" s="457"/>
      <c r="KM434" s="457"/>
      <c r="KN434" s="457"/>
      <c r="KO434" s="457"/>
      <c r="KP434" s="457"/>
      <c r="KQ434" s="457"/>
      <c r="KR434" s="457"/>
      <c r="KS434" s="457"/>
      <c r="KT434" s="457"/>
      <c r="KU434" s="457"/>
      <c r="KV434" s="457"/>
      <c r="KW434" s="457"/>
      <c r="KX434" s="457"/>
      <c r="KY434" s="457"/>
      <c r="KZ434" s="457"/>
      <c r="LA434" s="457"/>
      <c r="LB434" s="457"/>
      <c r="LC434" s="457"/>
      <c r="LD434" s="457"/>
      <c r="LE434" s="457"/>
      <c r="LF434" s="457"/>
      <c r="LG434" s="457"/>
      <c r="LH434" s="457"/>
      <c r="LI434" s="457"/>
      <c r="LJ434" s="457"/>
      <c r="LK434" s="457"/>
      <c r="LL434" s="457"/>
      <c r="LM434" s="457"/>
      <c r="LN434" s="457"/>
      <c r="LO434" s="457"/>
      <c r="LP434" s="457"/>
      <c r="LQ434" s="457"/>
      <c r="LR434" s="457"/>
      <c r="LS434" s="457"/>
      <c r="LT434" s="457"/>
      <c r="LU434" s="457"/>
      <c r="LV434" s="457"/>
      <c r="LW434" s="457"/>
      <c r="LX434" s="457"/>
      <c r="LY434" s="457"/>
      <c r="LZ434" s="457"/>
      <c r="MA434" s="457"/>
      <c r="MB434" s="457"/>
      <c r="MC434" s="457"/>
      <c r="MD434" s="457"/>
      <c r="ME434" s="457"/>
      <c r="MF434" s="457"/>
      <c r="MG434" s="457"/>
      <c r="MH434" s="457"/>
      <c r="MI434" s="457"/>
      <c r="MJ434" s="457"/>
      <c r="MK434" s="457"/>
      <c r="ML434" s="457"/>
      <c r="MM434" s="457"/>
      <c r="MN434" s="457"/>
      <c r="MO434" s="457"/>
      <c r="MP434" s="457"/>
      <c r="MQ434" s="457"/>
      <c r="MR434" s="457"/>
      <c r="MS434" s="457"/>
      <c r="MT434" s="457"/>
      <c r="MU434" s="457"/>
      <c r="MV434" s="457"/>
      <c r="MW434" s="457"/>
      <c r="MX434" s="457"/>
      <c r="MY434" s="457"/>
      <c r="MZ434" s="457"/>
      <c r="NA434" s="457"/>
      <c r="NB434" s="457"/>
      <c r="NC434" s="457"/>
      <c r="ND434" s="457"/>
      <c r="NE434" s="457"/>
      <c r="NF434" s="457"/>
      <c r="NG434" s="457"/>
      <c r="NH434" s="457"/>
      <c r="NI434" s="457"/>
      <c r="NJ434" s="457"/>
      <c r="NK434" s="457"/>
      <c r="NL434" s="457"/>
      <c r="NM434" s="457"/>
      <c r="NN434" s="457"/>
      <c r="NO434" s="457"/>
      <c r="NP434" s="457"/>
      <c r="NQ434" s="457"/>
      <c r="NR434" s="457"/>
      <c r="NS434" s="457"/>
      <c r="NT434" s="457"/>
      <c r="NU434" s="457"/>
      <c r="NV434" s="457"/>
      <c r="NW434" s="457"/>
      <c r="NX434" s="457"/>
      <c r="NY434" s="457"/>
      <c r="NZ434" s="457"/>
      <c r="OA434" s="457"/>
      <c r="OB434" s="457"/>
      <c r="OC434" s="457"/>
      <c r="OD434" s="457"/>
      <c r="OE434" s="457"/>
      <c r="OF434" s="457"/>
      <c r="OG434" s="457"/>
      <c r="OH434" s="457"/>
      <c r="OI434" s="457"/>
      <c r="OJ434" s="457"/>
      <c r="OK434" s="457"/>
      <c r="OL434" s="457"/>
      <c r="OM434" s="457"/>
      <c r="ON434" s="457"/>
      <c r="OO434" s="457"/>
      <c r="OP434" s="457"/>
      <c r="OQ434" s="457"/>
      <c r="OR434" s="457"/>
      <c r="OS434" s="457"/>
      <c r="OT434" s="457"/>
      <c r="OU434" s="457"/>
      <c r="OV434" s="457"/>
      <c r="OW434" s="457"/>
      <c r="OX434" s="457"/>
      <c r="OY434" s="457"/>
      <c r="OZ434" s="457"/>
      <c r="PA434" s="457"/>
      <c r="PB434" s="457"/>
      <c r="PC434" s="457"/>
      <c r="PD434" s="457"/>
      <c r="PE434" s="457"/>
      <c r="PF434" s="457"/>
      <c r="PG434" s="457"/>
      <c r="PH434" s="457"/>
      <c r="PI434" s="457"/>
      <c r="PJ434" s="457"/>
      <c r="PK434" s="457"/>
      <c r="PL434" s="457"/>
      <c r="PM434" s="457"/>
      <c r="PN434" s="457"/>
      <c r="PO434" s="457"/>
      <c r="PP434" s="457"/>
      <c r="PQ434" s="457"/>
      <c r="PR434" s="457"/>
      <c r="PS434" s="457"/>
      <c r="PT434" s="457"/>
      <c r="PU434" s="457"/>
      <c r="PV434" s="457"/>
      <c r="PW434" s="457"/>
      <c r="PX434" s="457"/>
      <c r="PY434" s="457"/>
      <c r="PZ434" s="457"/>
      <c r="QA434" s="457"/>
      <c r="QB434" s="457"/>
      <c r="QC434" s="457"/>
      <c r="QD434" s="457"/>
      <c r="QE434" s="457"/>
      <c r="QF434" s="457"/>
      <c r="QG434" s="457"/>
      <c r="QH434" s="457"/>
      <c r="QI434" s="457"/>
      <c r="QJ434" s="457"/>
      <c r="QK434" s="457"/>
      <c r="QL434" s="457"/>
      <c r="QM434" s="457"/>
      <c r="QN434" s="457"/>
      <c r="QO434" s="457"/>
      <c r="QP434" s="457"/>
      <c r="QQ434" s="457"/>
      <c r="QR434" s="457"/>
      <c r="QS434" s="457"/>
      <c r="QT434" s="457"/>
      <c r="QU434" s="457"/>
      <c r="QV434" s="457"/>
      <c r="QW434" s="457"/>
      <c r="QX434" s="457"/>
      <c r="QY434" s="457"/>
      <c r="QZ434" s="457"/>
      <c r="RA434" s="457"/>
      <c r="RB434" s="457"/>
      <c r="RC434" s="457"/>
      <c r="RD434" s="457"/>
      <c r="RE434" s="457"/>
      <c r="RF434" s="457"/>
      <c r="RG434" s="457"/>
      <c r="RH434" s="457"/>
      <c r="RI434" s="457"/>
      <c r="RJ434" s="457"/>
      <c r="RK434" s="457"/>
      <c r="RL434" s="457"/>
      <c r="RM434" s="457"/>
      <c r="RN434" s="457"/>
      <c r="RO434" s="457"/>
      <c r="RP434" s="457"/>
      <c r="RQ434" s="457"/>
      <c r="RR434" s="457"/>
      <c r="RS434" s="457"/>
      <c r="RT434" s="457"/>
      <c r="RU434" s="457"/>
      <c r="RV434" s="457"/>
      <c r="RW434" s="457"/>
      <c r="RX434" s="457"/>
      <c r="RY434" s="457"/>
      <c r="RZ434" s="457"/>
      <c r="SA434" s="457"/>
      <c r="SB434" s="457"/>
      <c r="SC434" s="457"/>
      <c r="SD434" s="457"/>
      <c r="SE434" s="457"/>
      <c r="SF434" s="457"/>
      <c r="SG434" s="457"/>
      <c r="SH434" s="457"/>
      <c r="SI434" s="457"/>
      <c r="SJ434" s="457"/>
      <c r="SK434" s="457"/>
      <c r="SL434" s="457"/>
      <c r="SM434" s="457"/>
      <c r="SN434" s="457"/>
      <c r="SO434" s="457"/>
      <c r="SP434" s="457"/>
      <c r="SQ434" s="457"/>
      <c r="SR434" s="457"/>
      <c r="SS434" s="457"/>
      <c r="ST434" s="457"/>
      <c r="SU434" s="457"/>
      <c r="SV434" s="457"/>
      <c r="SW434" s="457"/>
      <c r="SX434" s="457"/>
      <c r="SY434" s="457"/>
      <c r="SZ434" s="457"/>
      <c r="TA434" s="457"/>
      <c r="TB434" s="457"/>
      <c r="TC434" s="457"/>
      <c r="TD434" s="457"/>
      <c r="TE434" s="457"/>
      <c r="TF434" s="457"/>
      <c r="TG434" s="457"/>
      <c r="TH434" s="457"/>
      <c r="TI434" s="457"/>
      <c r="TJ434" s="457"/>
      <c r="TK434" s="457"/>
      <c r="TL434" s="457"/>
      <c r="TM434" s="457"/>
      <c r="TN434" s="457"/>
      <c r="TO434" s="457"/>
      <c r="TP434" s="457"/>
      <c r="TQ434" s="457"/>
      <c r="TR434" s="457"/>
      <c r="TS434" s="457"/>
      <c r="TT434" s="457"/>
      <c r="TU434" s="457"/>
      <c r="TV434" s="457"/>
      <c r="TW434" s="457"/>
      <c r="TX434" s="457"/>
      <c r="TY434" s="457"/>
      <c r="TZ434" s="457"/>
      <c r="UA434" s="457"/>
      <c r="UB434" s="457"/>
      <c r="UC434" s="457"/>
      <c r="UD434" s="457"/>
      <c r="UE434" s="457"/>
      <c r="UF434" s="457"/>
      <c r="UG434" s="457"/>
      <c r="UH434" s="457"/>
      <c r="UI434" s="457"/>
      <c r="UJ434" s="457"/>
      <c r="UK434" s="457"/>
      <c r="UL434" s="457"/>
      <c r="UM434" s="457"/>
      <c r="UN434" s="457"/>
      <c r="UO434" s="457"/>
      <c r="UP434" s="457"/>
      <c r="UQ434" s="457"/>
      <c r="UR434" s="457"/>
      <c r="US434" s="457"/>
      <c r="UT434" s="457"/>
      <c r="UU434" s="457"/>
      <c r="UV434" s="457"/>
      <c r="UW434" s="457"/>
      <c r="UX434" s="457"/>
      <c r="UY434" s="457"/>
      <c r="UZ434" s="457"/>
      <c r="VA434" s="457"/>
      <c r="VB434" s="457"/>
      <c r="VC434" s="457"/>
      <c r="VD434" s="457"/>
      <c r="VE434" s="457"/>
      <c r="VF434" s="457"/>
      <c r="VG434" s="457"/>
      <c r="VH434" s="457"/>
      <c r="VI434" s="457"/>
      <c r="VJ434" s="457"/>
      <c r="VK434" s="457"/>
      <c r="VL434" s="457"/>
      <c r="VM434" s="457"/>
      <c r="VN434" s="457"/>
      <c r="VO434" s="457"/>
      <c r="VP434" s="457"/>
      <c r="VQ434" s="457"/>
      <c r="VR434" s="457"/>
      <c r="VS434" s="457"/>
      <c r="VT434" s="457"/>
      <c r="VU434" s="457"/>
      <c r="VV434" s="457"/>
      <c r="VW434" s="457"/>
      <c r="VX434" s="457"/>
      <c r="VY434" s="457"/>
      <c r="VZ434" s="457"/>
      <c r="WA434" s="457"/>
      <c r="WB434" s="457"/>
      <c r="WC434" s="457"/>
      <c r="WD434" s="457"/>
      <c r="WE434" s="457"/>
      <c r="WF434" s="457"/>
      <c r="WG434" s="457"/>
      <c r="WH434" s="457"/>
      <c r="WI434" s="457"/>
      <c r="WJ434" s="457"/>
      <c r="WK434" s="457"/>
      <c r="WL434" s="457"/>
      <c r="WM434" s="457"/>
      <c r="WN434" s="457"/>
      <c r="WO434" s="457"/>
      <c r="WP434" s="457"/>
      <c r="WQ434" s="457"/>
      <c r="WR434" s="457"/>
      <c r="WS434" s="457"/>
      <c r="WT434" s="457"/>
      <c r="WU434" s="457"/>
      <c r="WV434" s="457"/>
      <c r="WW434" s="457"/>
      <c r="WX434" s="457"/>
      <c r="WY434" s="457"/>
      <c r="WZ434" s="457"/>
      <c r="XA434" s="457"/>
      <c r="XB434" s="457"/>
      <c r="XC434" s="457"/>
      <c r="XD434" s="457"/>
      <c r="XE434" s="457"/>
      <c r="XF434" s="457"/>
      <c r="XG434" s="457"/>
      <c r="XH434" s="457"/>
      <c r="XI434" s="457"/>
      <c r="XJ434" s="457"/>
      <c r="XK434" s="457"/>
      <c r="XL434" s="457"/>
      <c r="XM434" s="457"/>
      <c r="XN434" s="457"/>
      <c r="XO434" s="457"/>
      <c r="XP434" s="457"/>
      <c r="XQ434" s="457"/>
      <c r="XR434" s="457"/>
      <c r="XS434" s="457"/>
      <c r="XT434" s="457"/>
      <c r="XU434" s="457"/>
      <c r="XV434" s="457"/>
      <c r="XW434" s="457"/>
      <c r="XX434" s="457"/>
      <c r="XY434" s="457"/>
      <c r="XZ434" s="457"/>
      <c r="YA434" s="457"/>
      <c r="YB434" s="457"/>
      <c r="YC434" s="457"/>
      <c r="YD434" s="457"/>
      <c r="YE434" s="457"/>
      <c r="YF434" s="457"/>
      <c r="YG434" s="457"/>
      <c r="YH434" s="457"/>
      <c r="YI434" s="457"/>
      <c r="YJ434" s="457"/>
      <c r="YK434" s="457"/>
      <c r="YL434" s="457"/>
      <c r="YM434" s="457"/>
      <c r="YN434" s="457"/>
      <c r="YO434" s="457"/>
      <c r="YP434" s="457"/>
      <c r="YQ434" s="457"/>
      <c r="YR434" s="457"/>
      <c r="YS434" s="457"/>
      <c r="YT434" s="457"/>
      <c r="YU434" s="457"/>
      <c r="YV434" s="457"/>
      <c r="YW434" s="457"/>
      <c r="YX434" s="457"/>
      <c r="YY434" s="457"/>
      <c r="YZ434" s="457"/>
      <c r="ZA434" s="457"/>
      <c r="ZB434" s="457"/>
      <c r="ZC434" s="457"/>
      <c r="ZD434" s="457"/>
      <c r="ZE434" s="457"/>
      <c r="ZF434" s="457"/>
      <c r="ZG434" s="457"/>
      <c r="ZH434" s="457"/>
      <c r="ZI434" s="457"/>
      <c r="ZJ434" s="457"/>
      <c r="ZK434" s="457"/>
      <c r="ZL434" s="457"/>
      <c r="ZM434" s="457"/>
      <c r="ZN434" s="457"/>
      <c r="ZO434" s="457"/>
      <c r="ZP434" s="457"/>
      <c r="ZQ434" s="457"/>
      <c r="ZR434" s="457"/>
      <c r="ZS434" s="457"/>
      <c r="ZT434" s="457"/>
      <c r="ZU434" s="457"/>
      <c r="ZV434" s="457"/>
      <c r="ZW434" s="457"/>
      <c r="ZX434" s="457"/>
      <c r="ZY434" s="457"/>
      <c r="ZZ434" s="457"/>
      <c r="AAA434" s="457"/>
      <c r="AAB434" s="457"/>
      <c r="AAC434" s="457"/>
      <c r="AAD434" s="457"/>
      <c r="AAE434" s="457"/>
      <c r="AAF434" s="457"/>
      <c r="AAG434" s="457"/>
      <c r="AAH434" s="457"/>
      <c r="AAI434" s="457"/>
      <c r="AAJ434" s="457"/>
      <c r="AAK434" s="457"/>
      <c r="AAL434" s="457"/>
      <c r="AAM434" s="457"/>
      <c r="AAN434" s="457"/>
      <c r="AAO434" s="457"/>
      <c r="AAP434" s="457"/>
      <c r="AAQ434" s="457"/>
      <c r="AAR434" s="457"/>
      <c r="AAS434" s="457"/>
      <c r="AAT434" s="457"/>
      <c r="AAU434" s="457"/>
      <c r="AAV434" s="457"/>
      <c r="AAW434" s="457"/>
      <c r="AAX434" s="457"/>
      <c r="AAY434" s="457"/>
      <c r="AAZ434" s="457"/>
      <c r="ABA434" s="457"/>
      <c r="ABB434" s="457"/>
      <c r="ABC434" s="457"/>
      <c r="ABD434" s="457"/>
      <c r="ABE434" s="457"/>
      <c r="ABF434" s="457"/>
      <c r="ABG434" s="457"/>
      <c r="ABH434" s="457"/>
      <c r="ABI434" s="457"/>
      <c r="ABJ434" s="457"/>
      <c r="ABK434" s="457"/>
      <c r="ABL434" s="457"/>
      <c r="ABM434" s="457"/>
      <c r="ABN434" s="457"/>
      <c r="ABO434" s="457"/>
      <c r="ABP434" s="457"/>
      <c r="ABQ434" s="457"/>
      <c r="ABR434" s="457"/>
      <c r="ABS434" s="457"/>
      <c r="ABT434" s="457"/>
      <c r="ABU434" s="457"/>
      <c r="ABV434" s="457"/>
      <c r="ABW434" s="457"/>
      <c r="ABX434" s="457"/>
      <c r="ABY434" s="457"/>
      <c r="ABZ434" s="457"/>
      <c r="ACA434" s="457"/>
      <c r="ACB434" s="457"/>
      <c r="ACC434" s="457"/>
      <c r="ACD434" s="457"/>
      <c r="ACE434" s="457"/>
      <c r="ACF434" s="457"/>
      <c r="ACG434" s="457"/>
      <c r="ACH434" s="457"/>
      <c r="ACI434" s="457"/>
      <c r="ACJ434" s="457"/>
      <c r="ACK434" s="457"/>
      <c r="ACL434" s="457"/>
      <c r="ACM434" s="457"/>
      <c r="ACN434" s="457"/>
      <c r="ACO434" s="457"/>
      <c r="ACP434" s="457"/>
      <c r="ACQ434" s="457"/>
      <c r="ACR434" s="457"/>
      <c r="ACS434" s="457"/>
      <c r="ACT434" s="457"/>
      <c r="ACU434" s="457"/>
      <c r="ACV434" s="457"/>
    </row>
    <row r="435" spans="1:776" s="400" customFormat="1" x14ac:dyDescent="0.25">
      <c r="A435" s="470">
        <v>900148</v>
      </c>
      <c r="B435" s="237" t="s">
        <v>341</v>
      </c>
      <c r="C435" s="455"/>
      <c r="D435" s="454" t="s">
        <v>339</v>
      </c>
      <c r="E435" s="454">
        <v>0.77300000000000002</v>
      </c>
      <c r="F435" s="456">
        <v>0.89</v>
      </c>
      <c r="G435" s="454">
        <v>0.01</v>
      </c>
      <c r="H435" s="454">
        <v>0.15</v>
      </c>
      <c r="I435" s="456">
        <v>51.74</v>
      </c>
      <c r="J435" s="454">
        <v>143.27000000000001</v>
      </c>
      <c r="K435" s="454">
        <v>0.01</v>
      </c>
      <c r="L435" s="456">
        <v>261.60000000000002</v>
      </c>
      <c r="M435" s="454">
        <v>0.01</v>
      </c>
      <c r="N435" s="454">
        <v>2.68</v>
      </c>
      <c r="O435" s="454">
        <v>39.79</v>
      </c>
      <c r="P435" s="454">
        <v>71.540000000000006</v>
      </c>
      <c r="Q435" s="454">
        <v>42.4</v>
      </c>
      <c r="R435" s="454">
        <v>0.01</v>
      </c>
      <c r="S435" s="454">
        <v>0.01</v>
      </c>
      <c r="T435" s="454">
        <v>0.01</v>
      </c>
      <c r="U435" s="454">
        <v>0.01</v>
      </c>
      <c r="V435" s="454"/>
      <c r="W435" s="457"/>
      <c r="X435" s="457"/>
      <c r="Y435" s="457"/>
      <c r="Z435" s="457"/>
      <c r="AA435" s="457"/>
      <c r="AB435" s="457"/>
      <c r="AC435" s="457"/>
      <c r="AD435" s="457"/>
      <c r="AE435" s="457"/>
      <c r="AF435" s="457"/>
      <c r="AG435" s="457"/>
      <c r="AH435" s="457"/>
      <c r="AI435" s="457"/>
      <c r="AJ435" s="457"/>
      <c r="AK435" s="457"/>
      <c r="AL435" s="457"/>
      <c r="AM435" s="457"/>
      <c r="AN435" s="457"/>
      <c r="AO435" s="457"/>
      <c r="AP435" s="457"/>
      <c r="AQ435" s="457"/>
      <c r="AR435" s="457"/>
      <c r="AS435" s="457"/>
      <c r="AT435" s="457"/>
      <c r="AU435" s="457"/>
      <c r="AV435" s="457"/>
      <c r="AW435" s="457"/>
      <c r="AX435" s="457"/>
      <c r="AY435" s="457"/>
      <c r="AZ435" s="457"/>
      <c r="BA435" s="457"/>
      <c r="BB435" s="457"/>
      <c r="BC435" s="457"/>
      <c r="BD435" s="457"/>
      <c r="BE435" s="457"/>
      <c r="BF435" s="457"/>
      <c r="BG435" s="457"/>
      <c r="BH435" s="457"/>
      <c r="BI435" s="457"/>
      <c r="BJ435" s="457"/>
      <c r="BK435" s="457"/>
      <c r="BL435" s="457"/>
      <c r="BM435" s="457"/>
      <c r="BN435" s="457"/>
      <c r="BO435" s="457"/>
      <c r="BP435" s="457"/>
      <c r="BQ435" s="457"/>
      <c r="BR435" s="457"/>
      <c r="BS435" s="457"/>
      <c r="BT435" s="457"/>
      <c r="BU435" s="457"/>
      <c r="BV435" s="457"/>
      <c r="BW435" s="457"/>
      <c r="BX435" s="457"/>
      <c r="BY435" s="457"/>
      <c r="BZ435" s="457"/>
      <c r="CA435" s="457"/>
      <c r="CB435" s="457"/>
      <c r="CC435" s="457"/>
      <c r="CD435" s="457"/>
      <c r="CE435" s="457"/>
      <c r="CF435" s="457"/>
      <c r="CG435" s="457"/>
      <c r="CH435" s="457"/>
      <c r="CI435" s="457"/>
      <c r="CJ435" s="457"/>
      <c r="CK435" s="457"/>
      <c r="CL435" s="457"/>
      <c r="CM435" s="457"/>
      <c r="CN435" s="457"/>
      <c r="CO435" s="457"/>
      <c r="CP435" s="457"/>
      <c r="CQ435" s="457"/>
      <c r="CR435" s="457"/>
      <c r="CS435" s="457"/>
      <c r="CT435" s="457"/>
      <c r="CU435" s="457"/>
      <c r="CV435" s="457"/>
      <c r="CW435" s="457"/>
      <c r="CX435" s="457"/>
      <c r="CY435" s="457"/>
      <c r="CZ435" s="457"/>
      <c r="DA435" s="457"/>
      <c r="DB435" s="457"/>
      <c r="DC435" s="457"/>
      <c r="DD435" s="457"/>
      <c r="DE435" s="457"/>
      <c r="DF435" s="457"/>
      <c r="DG435" s="457"/>
      <c r="DH435" s="457"/>
      <c r="DI435" s="457"/>
      <c r="DJ435" s="457"/>
      <c r="DK435" s="457"/>
      <c r="DL435" s="457"/>
      <c r="DM435" s="457"/>
      <c r="DN435" s="457"/>
      <c r="DO435" s="457"/>
      <c r="DP435" s="457"/>
      <c r="DQ435" s="457"/>
      <c r="DR435" s="457"/>
      <c r="DS435" s="457"/>
      <c r="DT435" s="457"/>
      <c r="DU435" s="457"/>
      <c r="DV435" s="457"/>
      <c r="DW435" s="457"/>
      <c r="DX435" s="457"/>
      <c r="DY435" s="457"/>
      <c r="DZ435" s="457"/>
      <c r="EA435" s="457"/>
      <c r="EB435" s="457"/>
      <c r="EC435" s="457"/>
      <c r="ED435" s="457"/>
      <c r="EE435" s="457"/>
      <c r="EF435" s="457"/>
      <c r="EG435" s="457"/>
      <c r="EH435" s="457"/>
      <c r="EI435" s="457"/>
      <c r="EJ435" s="457"/>
      <c r="EK435" s="457"/>
      <c r="EL435" s="457"/>
      <c r="EM435" s="457"/>
      <c r="EN435" s="457"/>
      <c r="EO435" s="457"/>
      <c r="EP435" s="457"/>
      <c r="EQ435" s="457"/>
      <c r="ER435" s="457"/>
      <c r="ES435" s="457"/>
      <c r="ET435" s="457"/>
      <c r="EU435" s="457"/>
      <c r="EV435" s="457"/>
      <c r="EW435" s="457"/>
      <c r="EX435" s="457"/>
      <c r="EY435" s="457"/>
      <c r="EZ435" s="457"/>
      <c r="FA435" s="457"/>
      <c r="FB435" s="457"/>
      <c r="FC435" s="457"/>
      <c r="FD435" s="457"/>
      <c r="FE435" s="457"/>
      <c r="FF435" s="457"/>
      <c r="FG435" s="457"/>
      <c r="FH435" s="457"/>
      <c r="FI435" s="457"/>
      <c r="FJ435" s="457"/>
      <c r="FK435" s="457"/>
      <c r="FL435" s="457"/>
      <c r="FM435" s="457"/>
      <c r="FN435" s="457"/>
      <c r="FO435" s="457"/>
      <c r="FP435" s="457"/>
      <c r="FQ435" s="457"/>
      <c r="FR435" s="457"/>
      <c r="FS435" s="457"/>
      <c r="FT435" s="457"/>
      <c r="FU435" s="457"/>
      <c r="FV435" s="457"/>
      <c r="FW435" s="457"/>
      <c r="FX435" s="457"/>
      <c r="FY435" s="457"/>
      <c r="FZ435" s="457"/>
      <c r="GA435" s="457"/>
      <c r="GB435" s="457"/>
      <c r="GC435" s="457"/>
      <c r="GD435" s="457"/>
      <c r="GE435" s="457"/>
      <c r="GF435" s="457"/>
      <c r="GG435" s="457"/>
      <c r="GH435" s="457"/>
      <c r="GI435" s="457"/>
      <c r="GJ435" s="457"/>
      <c r="GK435" s="457"/>
      <c r="GL435" s="457"/>
      <c r="GM435" s="457"/>
      <c r="GN435" s="457"/>
      <c r="GO435" s="457"/>
      <c r="GP435" s="457"/>
      <c r="GQ435" s="457"/>
      <c r="GR435" s="457"/>
      <c r="GS435" s="457"/>
      <c r="GT435" s="457"/>
      <c r="GU435" s="457"/>
      <c r="GV435" s="457"/>
      <c r="GW435" s="457"/>
      <c r="GX435" s="457"/>
      <c r="GY435" s="457"/>
      <c r="GZ435" s="457"/>
      <c r="HA435" s="457"/>
      <c r="HB435" s="457"/>
      <c r="HC435" s="457"/>
      <c r="HD435" s="457"/>
      <c r="HE435" s="457"/>
      <c r="HF435" s="457"/>
      <c r="HG435" s="457"/>
      <c r="HH435" s="457"/>
      <c r="HI435" s="457"/>
      <c r="HJ435" s="457"/>
      <c r="HK435" s="457"/>
      <c r="HL435" s="457"/>
      <c r="HM435" s="457"/>
      <c r="HN435" s="457"/>
      <c r="HO435" s="457"/>
      <c r="HP435" s="457"/>
      <c r="HQ435" s="457"/>
      <c r="HR435" s="457"/>
      <c r="HS435" s="457"/>
      <c r="HT435" s="457"/>
      <c r="HU435" s="457"/>
      <c r="HV435" s="457"/>
      <c r="HW435" s="457"/>
      <c r="HX435" s="457"/>
      <c r="HY435" s="457"/>
      <c r="HZ435" s="457"/>
      <c r="IA435" s="457"/>
      <c r="IB435" s="457"/>
      <c r="IC435" s="457"/>
      <c r="ID435" s="457"/>
      <c r="IE435" s="457"/>
      <c r="IF435" s="457"/>
      <c r="IG435" s="457"/>
      <c r="IH435" s="457"/>
      <c r="II435" s="457"/>
      <c r="IJ435" s="457"/>
      <c r="IK435" s="457"/>
      <c r="IL435" s="457"/>
      <c r="IM435" s="457"/>
      <c r="IN435" s="457"/>
      <c r="IO435" s="457"/>
      <c r="IP435" s="457"/>
      <c r="IQ435" s="457"/>
      <c r="IR435" s="457"/>
      <c r="IS435" s="457"/>
      <c r="IT435" s="457"/>
      <c r="IU435" s="457"/>
      <c r="IV435" s="457"/>
      <c r="IW435" s="457"/>
      <c r="IX435" s="457"/>
      <c r="IY435" s="457"/>
      <c r="IZ435" s="457"/>
      <c r="JA435" s="457"/>
      <c r="JB435" s="457"/>
      <c r="JC435" s="457"/>
      <c r="JD435" s="457"/>
      <c r="JE435" s="457"/>
      <c r="JF435" s="457"/>
      <c r="JG435" s="457"/>
      <c r="JH435" s="457"/>
      <c r="JI435" s="457"/>
      <c r="JJ435" s="457"/>
      <c r="JK435" s="457"/>
      <c r="JL435" s="457"/>
      <c r="JM435" s="457"/>
      <c r="JN435" s="457"/>
      <c r="JO435" s="457"/>
      <c r="JP435" s="457"/>
      <c r="JQ435" s="457"/>
      <c r="JR435" s="457"/>
      <c r="JS435" s="457"/>
      <c r="JT435" s="457"/>
      <c r="JU435" s="457"/>
      <c r="JV435" s="457"/>
      <c r="JW435" s="457"/>
      <c r="JX435" s="457"/>
      <c r="JY435" s="457"/>
      <c r="JZ435" s="457"/>
      <c r="KA435" s="457"/>
      <c r="KB435" s="457"/>
      <c r="KC435" s="457"/>
      <c r="KD435" s="457"/>
      <c r="KE435" s="457"/>
      <c r="KF435" s="457"/>
      <c r="KG435" s="457"/>
      <c r="KH435" s="457"/>
      <c r="KI435" s="457"/>
      <c r="KJ435" s="457"/>
      <c r="KK435" s="457"/>
      <c r="KL435" s="457"/>
      <c r="KM435" s="457"/>
      <c r="KN435" s="457"/>
      <c r="KO435" s="457"/>
      <c r="KP435" s="457"/>
      <c r="KQ435" s="457"/>
      <c r="KR435" s="457"/>
      <c r="KS435" s="457"/>
      <c r="KT435" s="457"/>
      <c r="KU435" s="457"/>
      <c r="KV435" s="457"/>
      <c r="KW435" s="457"/>
      <c r="KX435" s="457"/>
      <c r="KY435" s="457"/>
      <c r="KZ435" s="457"/>
      <c r="LA435" s="457"/>
      <c r="LB435" s="457"/>
      <c r="LC435" s="457"/>
      <c r="LD435" s="457"/>
      <c r="LE435" s="457"/>
      <c r="LF435" s="457"/>
      <c r="LG435" s="457"/>
      <c r="LH435" s="457"/>
      <c r="LI435" s="457"/>
      <c r="LJ435" s="457"/>
      <c r="LK435" s="457"/>
      <c r="LL435" s="457"/>
      <c r="LM435" s="457"/>
      <c r="LN435" s="457"/>
      <c r="LO435" s="457"/>
      <c r="LP435" s="457"/>
      <c r="LQ435" s="457"/>
      <c r="LR435" s="457"/>
      <c r="LS435" s="457"/>
      <c r="LT435" s="457"/>
      <c r="LU435" s="457"/>
      <c r="LV435" s="457"/>
      <c r="LW435" s="457"/>
      <c r="LX435" s="457"/>
      <c r="LY435" s="457"/>
      <c r="LZ435" s="457"/>
      <c r="MA435" s="457"/>
      <c r="MB435" s="457"/>
      <c r="MC435" s="457"/>
      <c r="MD435" s="457"/>
      <c r="ME435" s="457"/>
      <c r="MF435" s="457"/>
      <c r="MG435" s="457"/>
      <c r="MH435" s="457"/>
      <c r="MI435" s="457"/>
      <c r="MJ435" s="457"/>
      <c r="MK435" s="457"/>
      <c r="ML435" s="457"/>
      <c r="MM435" s="457"/>
      <c r="MN435" s="457"/>
      <c r="MO435" s="457"/>
      <c r="MP435" s="457"/>
      <c r="MQ435" s="457"/>
      <c r="MR435" s="457"/>
      <c r="MS435" s="457"/>
      <c r="MT435" s="457"/>
      <c r="MU435" s="457"/>
      <c r="MV435" s="457"/>
      <c r="MW435" s="457"/>
      <c r="MX435" s="457"/>
      <c r="MY435" s="457"/>
      <c r="MZ435" s="457"/>
      <c r="NA435" s="457"/>
      <c r="NB435" s="457"/>
      <c r="NC435" s="457"/>
      <c r="ND435" s="457"/>
      <c r="NE435" s="457"/>
      <c r="NF435" s="457"/>
      <c r="NG435" s="457"/>
      <c r="NH435" s="457"/>
      <c r="NI435" s="457"/>
      <c r="NJ435" s="457"/>
      <c r="NK435" s="457"/>
      <c r="NL435" s="457"/>
      <c r="NM435" s="457"/>
      <c r="NN435" s="457"/>
      <c r="NO435" s="457"/>
      <c r="NP435" s="457"/>
      <c r="NQ435" s="457"/>
      <c r="NR435" s="457"/>
      <c r="NS435" s="457"/>
      <c r="NT435" s="457"/>
      <c r="NU435" s="457"/>
      <c r="NV435" s="457"/>
      <c r="NW435" s="457"/>
      <c r="NX435" s="457"/>
      <c r="NY435" s="457"/>
      <c r="NZ435" s="457"/>
      <c r="OA435" s="457"/>
      <c r="OB435" s="457"/>
      <c r="OC435" s="457"/>
      <c r="OD435" s="457"/>
      <c r="OE435" s="457"/>
      <c r="OF435" s="457"/>
      <c r="OG435" s="457"/>
      <c r="OH435" s="457"/>
      <c r="OI435" s="457"/>
      <c r="OJ435" s="457"/>
      <c r="OK435" s="457"/>
      <c r="OL435" s="457"/>
      <c r="OM435" s="457"/>
      <c r="ON435" s="457"/>
      <c r="OO435" s="457"/>
      <c r="OP435" s="457"/>
      <c r="OQ435" s="457"/>
      <c r="OR435" s="457"/>
      <c r="OS435" s="457"/>
      <c r="OT435" s="457"/>
      <c r="OU435" s="457"/>
      <c r="OV435" s="457"/>
      <c r="OW435" s="457"/>
      <c r="OX435" s="457"/>
      <c r="OY435" s="457"/>
      <c r="OZ435" s="457"/>
      <c r="PA435" s="457"/>
      <c r="PB435" s="457"/>
      <c r="PC435" s="457"/>
      <c r="PD435" s="457"/>
      <c r="PE435" s="457"/>
      <c r="PF435" s="457"/>
      <c r="PG435" s="457"/>
      <c r="PH435" s="457"/>
      <c r="PI435" s="457"/>
      <c r="PJ435" s="457"/>
      <c r="PK435" s="457"/>
      <c r="PL435" s="457"/>
      <c r="PM435" s="457"/>
      <c r="PN435" s="457"/>
      <c r="PO435" s="457"/>
      <c r="PP435" s="457"/>
      <c r="PQ435" s="457"/>
      <c r="PR435" s="457"/>
      <c r="PS435" s="457"/>
      <c r="PT435" s="457"/>
      <c r="PU435" s="457"/>
      <c r="PV435" s="457"/>
      <c r="PW435" s="457"/>
      <c r="PX435" s="457"/>
      <c r="PY435" s="457"/>
      <c r="PZ435" s="457"/>
      <c r="QA435" s="457"/>
      <c r="QB435" s="457"/>
      <c r="QC435" s="457"/>
      <c r="QD435" s="457"/>
      <c r="QE435" s="457"/>
      <c r="QF435" s="457"/>
      <c r="QG435" s="457"/>
      <c r="QH435" s="457"/>
      <c r="QI435" s="457"/>
      <c r="QJ435" s="457"/>
      <c r="QK435" s="457"/>
      <c r="QL435" s="457"/>
      <c r="QM435" s="457"/>
      <c r="QN435" s="457"/>
      <c r="QO435" s="457"/>
      <c r="QP435" s="457"/>
      <c r="QQ435" s="457"/>
      <c r="QR435" s="457"/>
      <c r="QS435" s="457"/>
      <c r="QT435" s="457"/>
      <c r="QU435" s="457"/>
      <c r="QV435" s="457"/>
      <c r="QW435" s="457"/>
      <c r="QX435" s="457"/>
      <c r="QY435" s="457"/>
      <c r="QZ435" s="457"/>
      <c r="RA435" s="457"/>
      <c r="RB435" s="457"/>
      <c r="RC435" s="457"/>
      <c r="RD435" s="457"/>
      <c r="RE435" s="457"/>
      <c r="RF435" s="457"/>
      <c r="RG435" s="457"/>
      <c r="RH435" s="457"/>
      <c r="RI435" s="457"/>
      <c r="RJ435" s="457"/>
      <c r="RK435" s="457"/>
      <c r="RL435" s="457"/>
      <c r="RM435" s="457"/>
      <c r="RN435" s="457"/>
      <c r="RO435" s="457"/>
      <c r="RP435" s="457"/>
      <c r="RQ435" s="457"/>
      <c r="RR435" s="457"/>
      <c r="RS435" s="457"/>
      <c r="RT435" s="457"/>
      <c r="RU435" s="457"/>
      <c r="RV435" s="457"/>
      <c r="RW435" s="457"/>
      <c r="RX435" s="457"/>
      <c r="RY435" s="457"/>
      <c r="RZ435" s="457"/>
      <c r="SA435" s="457"/>
      <c r="SB435" s="457"/>
      <c r="SC435" s="457"/>
      <c r="SD435" s="457"/>
      <c r="SE435" s="457"/>
      <c r="SF435" s="457"/>
      <c r="SG435" s="457"/>
      <c r="SH435" s="457"/>
      <c r="SI435" s="457"/>
      <c r="SJ435" s="457"/>
      <c r="SK435" s="457"/>
      <c r="SL435" s="457"/>
      <c r="SM435" s="457"/>
      <c r="SN435" s="457"/>
      <c r="SO435" s="457"/>
      <c r="SP435" s="457"/>
      <c r="SQ435" s="457"/>
      <c r="SR435" s="457"/>
      <c r="SS435" s="457"/>
      <c r="ST435" s="457"/>
      <c r="SU435" s="457"/>
      <c r="SV435" s="457"/>
      <c r="SW435" s="457"/>
      <c r="SX435" s="457"/>
      <c r="SY435" s="457"/>
      <c r="SZ435" s="457"/>
      <c r="TA435" s="457"/>
      <c r="TB435" s="457"/>
      <c r="TC435" s="457"/>
      <c r="TD435" s="457"/>
      <c r="TE435" s="457"/>
      <c r="TF435" s="457"/>
      <c r="TG435" s="457"/>
      <c r="TH435" s="457"/>
      <c r="TI435" s="457"/>
      <c r="TJ435" s="457"/>
      <c r="TK435" s="457"/>
      <c r="TL435" s="457"/>
      <c r="TM435" s="457"/>
      <c r="TN435" s="457"/>
      <c r="TO435" s="457"/>
      <c r="TP435" s="457"/>
      <c r="TQ435" s="457"/>
      <c r="TR435" s="457"/>
      <c r="TS435" s="457"/>
      <c r="TT435" s="457"/>
      <c r="TU435" s="457"/>
      <c r="TV435" s="457"/>
      <c r="TW435" s="457"/>
      <c r="TX435" s="457"/>
      <c r="TY435" s="457"/>
      <c r="TZ435" s="457"/>
      <c r="UA435" s="457"/>
      <c r="UB435" s="457"/>
      <c r="UC435" s="457"/>
      <c r="UD435" s="457"/>
      <c r="UE435" s="457"/>
      <c r="UF435" s="457"/>
      <c r="UG435" s="457"/>
      <c r="UH435" s="457"/>
      <c r="UI435" s="457"/>
      <c r="UJ435" s="457"/>
      <c r="UK435" s="457"/>
      <c r="UL435" s="457"/>
      <c r="UM435" s="457"/>
      <c r="UN435" s="457"/>
      <c r="UO435" s="457"/>
      <c r="UP435" s="457"/>
      <c r="UQ435" s="457"/>
      <c r="UR435" s="457"/>
      <c r="US435" s="457"/>
      <c r="UT435" s="457"/>
      <c r="UU435" s="457"/>
      <c r="UV435" s="457"/>
      <c r="UW435" s="457"/>
      <c r="UX435" s="457"/>
      <c r="UY435" s="457"/>
      <c r="UZ435" s="457"/>
      <c r="VA435" s="457"/>
      <c r="VB435" s="457"/>
      <c r="VC435" s="457"/>
      <c r="VD435" s="457"/>
      <c r="VE435" s="457"/>
      <c r="VF435" s="457"/>
      <c r="VG435" s="457"/>
      <c r="VH435" s="457"/>
      <c r="VI435" s="457"/>
      <c r="VJ435" s="457"/>
      <c r="VK435" s="457"/>
      <c r="VL435" s="457"/>
      <c r="VM435" s="457"/>
      <c r="VN435" s="457"/>
      <c r="VO435" s="457"/>
      <c r="VP435" s="457"/>
      <c r="VQ435" s="457"/>
      <c r="VR435" s="457"/>
      <c r="VS435" s="457"/>
      <c r="VT435" s="457"/>
      <c r="VU435" s="457"/>
      <c r="VV435" s="457"/>
      <c r="VW435" s="457"/>
      <c r="VX435" s="457"/>
      <c r="VY435" s="457"/>
      <c r="VZ435" s="457"/>
      <c r="WA435" s="457"/>
      <c r="WB435" s="457"/>
      <c r="WC435" s="457"/>
      <c r="WD435" s="457"/>
      <c r="WE435" s="457"/>
      <c r="WF435" s="457"/>
      <c r="WG435" s="457"/>
      <c r="WH435" s="457"/>
      <c r="WI435" s="457"/>
      <c r="WJ435" s="457"/>
      <c r="WK435" s="457"/>
      <c r="WL435" s="457"/>
      <c r="WM435" s="457"/>
      <c r="WN435" s="457"/>
      <c r="WO435" s="457"/>
      <c r="WP435" s="457"/>
      <c r="WQ435" s="457"/>
      <c r="WR435" s="457"/>
      <c r="WS435" s="457"/>
      <c r="WT435" s="457"/>
      <c r="WU435" s="457"/>
      <c r="WV435" s="457"/>
      <c r="WW435" s="457"/>
      <c r="WX435" s="457"/>
      <c r="WY435" s="457"/>
      <c r="WZ435" s="457"/>
      <c r="XA435" s="457"/>
      <c r="XB435" s="457"/>
      <c r="XC435" s="457"/>
      <c r="XD435" s="457"/>
      <c r="XE435" s="457"/>
      <c r="XF435" s="457"/>
      <c r="XG435" s="457"/>
      <c r="XH435" s="457"/>
      <c r="XI435" s="457"/>
      <c r="XJ435" s="457"/>
      <c r="XK435" s="457"/>
      <c r="XL435" s="457"/>
      <c r="XM435" s="457"/>
      <c r="XN435" s="457"/>
      <c r="XO435" s="457"/>
      <c r="XP435" s="457"/>
      <c r="XQ435" s="457"/>
      <c r="XR435" s="457"/>
      <c r="XS435" s="457"/>
      <c r="XT435" s="457"/>
      <c r="XU435" s="457"/>
      <c r="XV435" s="457"/>
      <c r="XW435" s="457"/>
      <c r="XX435" s="457"/>
      <c r="XY435" s="457"/>
      <c r="XZ435" s="457"/>
      <c r="YA435" s="457"/>
      <c r="YB435" s="457"/>
      <c r="YC435" s="457"/>
      <c r="YD435" s="457"/>
      <c r="YE435" s="457"/>
      <c r="YF435" s="457"/>
      <c r="YG435" s="457"/>
      <c r="YH435" s="457"/>
      <c r="YI435" s="457"/>
      <c r="YJ435" s="457"/>
      <c r="YK435" s="457"/>
      <c r="YL435" s="457"/>
      <c r="YM435" s="457"/>
      <c r="YN435" s="457"/>
      <c r="YO435" s="457"/>
      <c r="YP435" s="457"/>
      <c r="YQ435" s="457"/>
      <c r="YR435" s="457"/>
      <c r="YS435" s="457"/>
      <c r="YT435" s="457"/>
      <c r="YU435" s="457"/>
      <c r="YV435" s="457"/>
      <c r="YW435" s="457"/>
      <c r="YX435" s="457"/>
      <c r="YY435" s="457"/>
      <c r="YZ435" s="457"/>
      <c r="ZA435" s="457"/>
      <c r="ZB435" s="457"/>
      <c r="ZC435" s="457"/>
      <c r="ZD435" s="457"/>
      <c r="ZE435" s="457"/>
      <c r="ZF435" s="457"/>
      <c r="ZG435" s="457"/>
      <c r="ZH435" s="457"/>
      <c r="ZI435" s="457"/>
      <c r="ZJ435" s="457"/>
      <c r="ZK435" s="457"/>
      <c r="ZL435" s="457"/>
      <c r="ZM435" s="457"/>
      <c r="ZN435" s="457"/>
      <c r="ZO435" s="457"/>
      <c r="ZP435" s="457"/>
      <c r="ZQ435" s="457"/>
      <c r="ZR435" s="457"/>
      <c r="ZS435" s="457"/>
      <c r="ZT435" s="457"/>
      <c r="ZU435" s="457"/>
      <c r="ZV435" s="457"/>
      <c r="ZW435" s="457"/>
      <c r="ZX435" s="457"/>
      <c r="ZY435" s="457"/>
      <c r="ZZ435" s="457"/>
      <c r="AAA435" s="457"/>
      <c r="AAB435" s="457"/>
      <c r="AAC435" s="457"/>
      <c r="AAD435" s="457"/>
      <c r="AAE435" s="457"/>
      <c r="AAF435" s="457"/>
      <c r="AAG435" s="457"/>
      <c r="AAH435" s="457"/>
      <c r="AAI435" s="457"/>
      <c r="AAJ435" s="457"/>
      <c r="AAK435" s="457"/>
      <c r="AAL435" s="457"/>
      <c r="AAM435" s="457"/>
      <c r="AAN435" s="457"/>
      <c r="AAO435" s="457"/>
      <c r="AAP435" s="457"/>
      <c r="AAQ435" s="457"/>
      <c r="AAR435" s="457"/>
      <c r="AAS435" s="457"/>
      <c r="AAT435" s="457"/>
      <c r="AAU435" s="457"/>
      <c r="AAV435" s="457"/>
      <c r="AAW435" s="457"/>
      <c r="AAX435" s="457"/>
      <c r="AAY435" s="457"/>
      <c r="AAZ435" s="457"/>
      <c r="ABA435" s="457"/>
      <c r="ABB435" s="457"/>
      <c r="ABC435" s="457"/>
      <c r="ABD435" s="457"/>
      <c r="ABE435" s="457"/>
      <c r="ABF435" s="457"/>
      <c r="ABG435" s="457"/>
      <c r="ABH435" s="457"/>
      <c r="ABI435" s="457"/>
      <c r="ABJ435" s="457"/>
      <c r="ABK435" s="457"/>
      <c r="ABL435" s="457"/>
      <c r="ABM435" s="457"/>
      <c r="ABN435" s="457"/>
      <c r="ABO435" s="457"/>
      <c r="ABP435" s="457"/>
      <c r="ABQ435" s="457"/>
      <c r="ABR435" s="457"/>
      <c r="ABS435" s="457"/>
      <c r="ABT435" s="457"/>
      <c r="ABU435" s="457"/>
      <c r="ABV435" s="457"/>
      <c r="ABW435" s="457"/>
      <c r="ABX435" s="457"/>
      <c r="ABY435" s="457"/>
      <c r="ABZ435" s="457"/>
      <c r="ACA435" s="457"/>
      <c r="ACB435" s="457"/>
      <c r="ACC435" s="457"/>
      <c r="ACD435" s="457"/>
      <c r="ACE435" s="457"/>
      <c r="ACF435" s="457"/>
      <c r="ACG435" s="457"/>
      <c r="ACH435" s="457"/>
      <c r="ACI435" s="457"/>
      <c r="ACJ435" s="457"/>
      <c r="ACK435" s="457"/>
      <c r="ACL435" s="457"/>
      <c r="ACM435" s="457"/>
      <c r="ACN435" s="457"/>
      <c r="ACO435" s="457"/>
      <c r="ACP435" s="457"/>
      <c r="ACQ435" s="457"/>
      <c r="ACR435" s="457"/>
      <c r="ACS435" s="457"/>
      <c r="ACT435" s="457"/>
      <c r="ACU435" s="457"/>
      <c r="ACV435" s="457"/>
    </row>
    <row r="436" spans="1:776" s="400" customFormat="1" x14ac:dyDescent="0.25">
      <c r="A436" s="470">
        <v>900149</v>
      </c>
      <c r="B436" s="237" t="s">
        <v>342</v>
      </c>
      <c r="C436" s="455"/>
      <c r="D436" s="454" t="s">
        <v>343</v>
      </c>
      <c r="E436" s="454">
        <v>0.754</v>
      </c>
      <c r="F436" s="456">
        <v>2.59</v>
      </c>
      <c r="G436" s="454">
        <v>0.01</v>
      </c>
      <c r="H436" s="454">
        <v>0.17</v>
      </c>
      <c r="I436" s="456">
        <v>45.9</v>
      </c>
      <c r="J436" s="454">
        <v>126.45</v>
      </c>
      <c r="K436" s="454">
        <v>3.0599999999999999E-2</v>
      </c>
      <c r="L436" s="456">
        <v>273.60000000000002</v>
      </c>
      <c r="M436" s="454">
        <v>0.01</v>
      </c>
      <c r="N436" s="454">
        <v>2.69</v>
      </c>
      <c r="O436" s="454">
        <v>35.92</v>
      </c>
      <c r="P436" s="454">
        <v>74.680000000000007</v>
      </c>
      <c r="Q436" s="454">
        <v>37.92</v>
      </c>
      <c r="R436" s="454">
        <v>0.01</v>
      </c>
      <c r="S436" s="454">
        <v>0.01</v>
      </c>
      <c r="T436" s="454">
        <v>0.01</v>
      </c>
      <c r="U436" s="454">
        <v>0.01</v>
      </c>
      <c r="V436" s="454"/>
      <c r="W436" s="457"/>
      <c r="X436" s="457"/>
      <c r="Y436" s="457"/>
      <c r="Z436" s="457"/>
      <c r="AA436" s="457"/>
      <c r="AB436" s="457"/>
      <c r="AC436" s="457"/>
      <c r="AD436" s="457"/>
      <c r="AE436" s="457"/>
      <c r="AF436" s="457"/>
      <c r="AG436" s="457"/>
      <c r="AH436" s="457"/>
      <c r="AI436" s="457"/>
      <c r="AJ436" s="457"/>
      <c r="AK436" s="457"/>
      <c r="AL436" s="457"/>
      <c r="AM436" s="457"/>
      <c r="AN436" s="457"/>
      <c r="AO436" s="457"/>
      <c r="AP436" s="457"/>
      <c r="AQ436" s="457"/>
      <c r="AR436" s="457"/>
      <c r="AS436" s="457"/>
      <c r="AT436" s="457"/>
      <c r="AU436" s="457"/>
      <c r="AV436" s="457"/>
      <c r="AW436" s="457"/>
      <c r="AX436" s="457"/>
      <c r="AY436" s="457"/>
      <c r="AZ436" s="457"/>
      <c r="BA436" s="457"/>
      <c r="BB436" s="457"/>
      <c r="BC436" s="457"/>
      <c r="BD436" s="457"/>
      <c r="BE436" s="457"/>
      <c r="BF436" s="457"/>
      <c r="BG436" s="457"/>
      <c r="BH436" s="457"/>
      <c r="BI436" s="457"/>
      <c r="BJ436" s="457"/>
      <c r="BK436" s="457"/>
      <c r="BL436" s="457"/>
      <c r="BM436" s="457"/>
      <c r="BN436" s="457"/>
      <c r="BO436" s="457"/>
      <c r="BP436" s="457"/>
      <c r="BQ436" s="457"/>
      <c r="BR436" s="457"/>
      <c r="BS436" s="457"/>
      <c r="BT436" s="457"/>
      <c r="BU436" s="457"/>
      <c r="BV436" s="457"/>
      <c r="BW436" s="457"/>
      <c r="BX436" s="457"/>
      <c r="BY436" s="457"/>
      <c r="BZ436" s="457"/>
      <c r="CA436" s="457"/>
      <c r="CB436" s="457"/>
      <c r="CC436" s="457"/>
      <c r="CD436" s="457"/>
      <c r="CE436" s="457"/>
      <c r="CF436" s="457"/>
      <c r="CG436" s="457"/>
      <c r="CH436" s="457"/>
      <c r="CI436" s="457"/>
      <c r="CJ436" s="457"/>
      <c r="CK436" s="457"/>
      <c r="CL436" s="457"/>
      <c r="CM436" s="457"/>
      <c r="CN436" s="457"/>
      <c r="CO436" s="457"/>
      <c r="CP436" s="457"/>
      <c r="CQ436" s="457"/>
      <c r="CR436" s="457"/>
      <c r="CS436" s="457"/>
      <c r="CT436" s="457"/>
      <c r="CU436" s="457"/>
      <c r="CV436" s="457"/>
      <c r="CW436" s="457"/>
      <c r="CX436" s="457"/>
      <c r="CY436" s="457"/>
      <c r="CZ436" s="457"/>
      <c r="DA436" s="457"/>
      <c r="DB436" s="457"/>
      <c r="DC436" s="457"/>
      <c r="DD436" s="457"/>
      <c r="DE436" s="457"/>
      <c r="DF436" s="457"/>
      <c r="DG436" s="457"/>
      <c r="DH436" s="457"/>
      <c r="DI436" s="457"/>
      <c r="DJ436" s="457"/>
      <c r="DK436" s="457"/>
      <c r="DL436" s="457"/>
      <c r="DM436" s="457"/>
      <c r="DN436" s="457"/>
      <c r="DO436" s="457"/>
      <c r="DP436" s="457"/>
      <c r="DQ436" s="457"/>
      <c r="DR436" s="457"/>
      <c r="DS436" s="457"/>
      <c r="DT436" s="457"/>
      <c r="DU436" s="457"/>
      <c r="DV436" s="457"/>
      <c r="DW436" s="457"/>
      <c r="DX436" s="457"/>
      <c r="DY436" s="457"/>
      <c r="DZ436" s="457"/>
      <c r="EA436" s="457"/>
      <c r="EB436" s="457"/>
      <c r="EC436" s="457"/>
      <c r="ED436" s="457"/>
      <c r="EE436" s="457"/>
      <c r="EF436" s="457"/>
      <c r="EG436" s="457"/>
      <c r="EH436" s="457"/>
      <c r="EI436" s="457"/>
      <c r="EJ436" s="457"/>
      <c r="EK436" s="457"/>
      <c r="EL436" s="457"/>
      <c r="EM436" s="457"/>
      <c r="EN436" s="457"/>
      <c r="EO436" s="457"/>
      <c r="EP436" s="457"/>
      <c r="EQ436" s="457"/>
      <c r="ER436" s="457"/>
      <c r="ES436" s="457"/>
      <c r="ET436" s="457"/>
      <c r="EU436" s="457"/>
      <c r="EV436" s="457"/>
      <c r="EW436" s="457"/>
      <c r="EX436" s="457"/>
      <c r="EY436" s="457"/>
      <c r="EZ436" s="457"/>
      <c r="FA436" s="457"/>
      <c r="FB436" s="457"/>
      <c r="FC436" s="457"/>
      <c r="FD436" s="457"/>
      <c r="FE436" s="457"/>
      <c r="FF436" s="457"/>
      <c r="FG436" s="457"/>
      <c r="FH436" s="457"/>
      <c r="FI436" s="457"/>
      <c r="FJ436" s="457"/>
      <c r="FK436" s="457"/>
      <c r="FL436" s="457"/>
      <c r="FM436" s="457"/>
      <c r="FN436" s="457"/>
      <c r="FO436" s="457"/>
      <c r="FP436" s="457"/>
      <c r="FQ436" s="457"/>
      <c r="FR436" s="457"/>
      <c r="FS436" s="457"/>
      <c r="FT436" s="457"/>
      <c r="FU436" s="457"/>
      <c r="FV436" s="457"/>
      <c r="FW436" s="457"/>
      <c r="FX436" s="457"/>
      <c r="FY436" s="457"/>
      <c r="FZ436" s="457"/>
      <c r="GA436" s="457"/>
      <c r="GB436" s="457"/>
      <c r="GC436" s="457"/>
      <c r="GD436" s="457"/>
      <c r="GE436" s="457"/>
      <c r="GF436" s="457"/>
      <c r="GG436" s="457"/>
      <c r="GH436" s="457"/>
      <c r="GI436" s="457"/>
      <c r="GJ436" s="457"/>
      <c r="GK436" s="457"/>
      <c r="GL436" s="457"/>
      <c r="GM436" s="457"/>
      <c r="GN436" s="457"/>
      <c r="GO436" s="457"/>
      <c r="GP436" s="457"/>
      <c r="GQ436" s="457"/>
      <c r="GR436" s="457"/>
      <c r="GS436" s="457"/>
      <c r="GT436" s="457"/>
      <c r="GU436" s="457"/>
      <c r="GV436" s="457"/>
      <c r="GW436" s="457"/>
      <c r="GX436" s="457"/>
      <c r="GY436" s="457"/>
      <c r="GZ436" s="457"/>
      <c r="HA436" s="457"/>
      <c r="HB436" s="457"/>
      <c r="HC436" s="457"/>
      <c r="HD436" s="457"/>
      <c r="HE436" s="457"/>
      <c r="HF436" s="457"/>
      <c r="HG436" s="457"/>
      <c r="HH436" s="457"/>
      <c r="HI436" s="457"/>
      <c r="HJ436" s="457"/>
      <c r="HK436" s="457"/>
      <c r="HL436" s="457"/>
      <c r="HM436" s="457"/>
      <c r="HN436" s="457"/>
      <c r="HO436" s="457"/>
      <c r="HP436" s="457"/>
      <c r="HQ436" s="457"/>
      <c r="HR436" s="457"/>
      <c r="HS436" s="457"/>
      <c r="HT436" s="457"/>
      <c r="HU436" s="457"/>
      <c r="HV436" s="457"/>
      <c r="HW436" s="457"/>
      <c r="HX436" s="457"/>
      <c r="HY436" s="457"/>
      <c r="HZ436" s="457"/>
      <c r="IA436" s="457"/>
      <c r="IB436" s="457"/>
      <c r="IC436" s="457"/>
      <c r="ID436" s="457"/>
      <c r="IE436" s="457"/>
      <c r="IF436" s="457"/>
      <c r="IG436" s="457"/>
      <c r="IH436" s="457"/>
      <c r="II436" s="457"/>
      <c r="IJ436" s="457"/>
      <c r="IK436" s="457"/>
      <c r="IL436" s="457"/>
      <c r="IM436" s="457"/>
      <c r="IN436" s="457"/>
      <c r="IO436" s="457"/>
      <c r="IP436" s="457"/>
      <c r="IQ436" s="457"/>
      <c r="IR436" s="457"/>
      <c r="IS436" s="457"/>
      <c r="IT436" s="457"/>
      <c r="IU436" s="457"/>
      <c r="IV436" s="457"/>
      <c r="IW436" s="457"/>
      <c r="IX436" s="457"/>
      <c r="IY436" s="457"/>
      <c r="IZ436" s="457"/>
      <c r="JA436" s="457"/>
      <c r="JB436" s="457"/>
      <c r="JC436" s="457"/>
      <c r="JD436" s="457"/>
      <c r="JE436" s="457"/>
      <c r="JF436" s="457"/>
      <c r="JG436" s="457"/>
      <c r="JH436" s="457"/>
      <c r="JI436" s="457"/>
      <c r="JJ436" s="457"/>
      <c r="JK436" s="457"/>
      <c r="JL436" s="457"/>
      <c r="JM436" s="457"/>
      <c r="JN436" s="457"/>
      <c r="JO436" s="457"/>
      <c r="JP436" s="457"/>
      <c r="JQ436" s="457"/>
      <c r="JR436" s="457"/>
      <c r="JS436" s="457"/>
      <c r="JT436" s="457"/>
      <c r="JU436" s="457"/>
      <c r="JV436" s="457"/>
      <c r="JW436" s="457"/>
      <c r="JX436" s="457"/>
      <c r="JY436" s="457"/>
      <c r="JZ436" s="457"/>
      <c r="KA436" s="457"/>
      <c r="KB436" s="457"/>
      <c r="KC436" s="457"/>
      <c r="KD436" s="457"/>
      <c r="KE436" s="457"/>
      <c r="KF436" s="457"/>
      <c r="KG436" s="457"/>
      <c r="KH436" s="457"/>
      <c r="KI436" s="457"/>
      <c r="KJ436" s="457"/>
      <c r="KK436" s="457"/>
      <c r="KL436" s="457"/>
      <c r="KM436" s="457"/>
      <c r="KN436" s="457"/>
      <c r="KO436" s="457"/>
      <c r="KP436" s="457"/>
      <c r="KQ436" s="457"/>
      <c r="KR436" s="457"/>
      <c r="KS436" s="457"/>
      <c r="KT436" s="457"/>
      <c r="KU436" s="457"/>
      <c r="KV436" s="457"/>
      <c r="KW436" s="457"/>
      <c r="KX436" s="457"/>
      <c r="KY436" s="457"/>
      <c r="KZ436" s="457"/>
      <c r="LA436" s="457"/>
      <c r="LB436" s="457"/>
      <c r="LC436" s="457"/>
      <c r="LD436" s="457"/>
      <c r="LE436" s="457"/>
      <c r="LF436" s="457"/>
      <c r="LG436" s="457"/>
      <c r="LH436" s="457"/>
      <c r="LI436" s="457"/>
      <c r="LJ436" s="457"/>
      <c r="LK436" s="457"/>
      <c r="LL436" s="457"/>
      <c r="LM436" s="457"/>
      <c r="LN436" s="457"/>
      <c r="LO436" s="457"/>
      <c r="LP436" s="457"/>
      <c r="LQ436" s="457"/>
      <c r="LR436" s="457"/>
      <c r="LS436" s="457"/>
      <c r="LT436" s="457"/>
      <c r="LU436" s="457"/>
      <c r="LV436" s="457"/>
      <c r="LW436" s="457"/>
      <c r="LX436" s="457"/>
      <c r="LY436" s="457"/>
      <c r="LZ436" s="457"/>
      <c r="MA436" s="457"/>
      <c r="MB436" s="457"/>
      <c r="MC436" s="457"/>
      <c r="MD436" s="457"/>
      <c r="ME436" s="457"/>
      <c r="MF436" s="457"/>
      <c r="MG436" s="457"/>
      <c r="MH436" s="457"/>
      <c r="MI436" s="457"/>
      <c r="MJ436" s="457"/>
      <c r="MK436" s="457"/>
      <c r="ML436" s="457"/>
      <c r="MM436" s="457"/>
      <c r="MN436" s="457"/>
      <c r="MO436" s="457"/>
      <c r="MP436" s="457"/>
      <c r="MQ436" s="457"/>
      <c r="MR436" s="457"/>
      <c r="MS436" s="457"/>
      <c r="MT436" s="457"/>
      <c r="MU436" s="457"/>
      <c r="MV436" s="457"/>
      <c r="MW436" s="457"/>
      <c r="MX436" s="457"/>
      <c r="MY436" s="457"/>
      <c r="MZ436" s="457"/>
      <c r="NA436" s="457"/>
      <c r="NB436" s="457"/>
      <c r="NC436" s="457"/>
      <c r="ND436" s="457"/>
      <c r="NE436" s="457"/>
      <c r="NF436" s="457"/>
      <c r="NG436" s="457"/>
      <c r="NH436" s="457"/>
      <c r="NI436" s="457"/>
      <c r="NJ436" s="457"/>
      <c r="NK436" s="457"/>
      <c r="NL436" s="457"/>
      <c r="NM436" s="457"/>
      <c r="NN436" s="457"/>
      <c r="NO436" s="457"/>
      <c r="NP436" s="457"/>
      <c r="NQ436" s="457"/>
      <c r="NR436" s="457"/>
      <c r="NS436" s="457"/>
      <c r="NT436" s="457"/>
      <c r="NU436" s="457"/>
      <c r="NV436" s="457"/>
      <c r="NW436" s="457"/>
      <c r="NX436" s="457"/>
      <c r="NY436" s="457"/>
      <c r="NZ436" s="457"/>
      <c r="OA436" s="457"/>
      <c r="OB436" s="457"/>
      <c r="OC436" s="457"/>
      <c r="OD436" s="457"/>
      <c r="OE436" s="457"/>
      <c r="OF436" s="457"/>
      <c r="OG436" s="457"/>
      <c r="OH436" s="457"/>
      <c r="OI436" s="457"/>
      <c r="OJ436" s="457"/>
      <c r="OK436" s="457"/>
      <c r="OL436" s="457"/>
      <c r="OM436" s="457"/>
      <c r="ON436" s="457"/>
      <c r="OO436" s="457"/>
      <c r="OP436" s="457"/>
      <c r="OQ436" s="457"/>
      <c r="OR436" s="457"/>
      <c r="OS436" s="457"/>
      <c r="OT436" s="457"/>
      <c r="OU436" s="457"/>
      <c r="OV436" s="457"/>
      <c r="OW436" s="457"/>
      <c r="OX436" s="457"/>
      <c r="OY436" s="457"/>
      <c r="OZ436" s="457"/>
      <c r="PA436" s="457"/>
      <c r="PB436" s="457"/>
      <c r="PC436" s="457"/>
      <c r="PD436" s="457"/>
      <c r="PE436" s="457"/>
      <c r="PF436" s="457"/>
      <c r="PG436" s="457"/>
      <c r="PH436" s="457"/>
      <c r="PI436" s="457"/>
      <c r="PJ436" s="457"/>
      <c r="PK436" s="457"/>
      <c r="PL436" s="457"/>
      <c r="PM436" s="457"/>
      <c r="PN436" s="457"/>
      <c r="PO436" s="457"/>
      <c r="PP436" s="457"/>
      <c r="PQ436" s="457"/>
      <c r="PR436" s="457"/>
      <c r="PS436" s="457"/>
      <c r="PT436" s="457"/>
      <c r="PU436" s="457"/>
      <c r="PV436" s="457"/>
      <c r="PW436" s="457"/>
      <c r="PX436" s="457"/>
      <c r="PY436" s="457"/>
      <c r="PZ436" s="457"/>
      <c r="QA436" s="457"/>
      <c r="QB436" s="457"/>
      <c r="QC436" s="457"/>
      <c r="QD436" s="457"/>
      <c r="QE436" s="457"/>
      <c r="QF436" s="457"/>
      <c r="QG436" s="457"/>
      <c r="QH436" s="457"/>
      <c r="QI436" s="457"/>
      <c r="QJ436" s="457"/>
      <c r="QK436" s="457"/>
      <c r="QL436" s="457"/>
      <c r="QM436" s="457"/>
      <c r="QN436" s="457"/>
      <c r="QO436" s="457"/>
      <c r="QP436" s="457"/>
      <c r="QQ436" s="457"/>
      <c r="QR436" s="457"/>
      <c r="QS436" s="457"/>
      <c r="QT436" s="457"/>
      <c r="QU436" s="457"/>
      <c r="QV436" s="457"/>
      <c r="QW436" s="457"/>
      <c r="QX436" s="457"/>
      <c r="QY436" s="457"/>
      <c r="QZ436" s="457"/>
      <c r="RA436" s="457"/>
      <c r="RB436" s="457"/>
      <c r="RC436" s="457"/>
      <c r="RD436" s="457"/>
      <c r="RE436" s="457"/>
      <c r="RF436" s="457"/>
      <c r="RG436" s="457"/>
      <c r="RH436" s="457"/>
      <c r="RI436" s="457"/>
      <c r="RJ436" s="457"/>
      <c r="RK436" s="457"/>
      <c r="RL436" s="457"/>
      <c r="RM436" s="457"/>
      <c r="RN436" s="457"/>
      <c r="RO436" s="457"/>
      <c r="RP436" s="457"/>
      <c r="RQ436" s="457"/>
      <c r="RR436" s="457"/>
      <c r="RS436" s="457"/>
      <c r="RT436" s="457"/>
      <c r="RU436" s="457"/>
      <c r="RV436" s="457"/>
      <c r="RW436" s="457"/>
      <c r="RX436" s="457"/>
      <c r="RY436" s="457"/>
      <c r="RZ436" s="457"/>
      <c r="SA436" s="457"/>
      <c r="SB436" s="457"/>
      <c r="SC436" s="457"/>
      <c r="SD436" s="457"/>
      <c r="SE436" s="457"/>
      <c r="SF436" s="457"/>
      <c r="SG436" s="457"/>
      <c r="SH436" s="457"/>
      <c r="SI436" s="457"/>
      <c r="SJ436" s="457"/>
      <c r="SK436" s="457"/>
      <c r="SL436" s="457"/>
      <c r="SM436" s="457"/>
      <c r="SN436" s="457"/>
      <c r="SO436" s="457"/>
      <c r="SP436" s="457"/>
      <c r="SQ436" s="457"/>
      <c r="SR436" s="457"/>
      <c r="SS436" s="457"/>
      <c r="ST436" s="457"/>
      <c r="SU436" s="457"/>
      <c r="SV436" s="457"/>
      <c r="SW436" s="457"/>
      <c r="SX436" s="457"/>
      <c r="SY436" s="457"/>
      <c r="SZ436" s="457"/>
      <c r="TA436" s="457"/>
      <c r="TB436" s="457"/>
      <c r="TC436" s="457"/>
      <c r="TD436" s="457"/>
      <c r="TE436" s="457"/>
      <c r="TF436" s="457"/>
      <c r="TG436" s="457"/>
      <c r="TH436" s="457"/>
      <c r="TI436" s="457"/>
      <c r="TJ436" s="457"/>
      <c r="TK436" s="457"/>
      <c r="TL436" s="457"/>
      <c r="TM436" s="457"/>
      <c r="TN436" s="457"/>
      <c r="TO436" s="457"/>
      <c r="TP436" s="457"/>
      <c r="TQ436" s="457"/>
      <c r="TR436" s="457"/>
      <c r="TS436" s="457"/>
      <c r="TT436" s="457"/>
      <c r="TU436" s="457"/>
      <c r="TV436" s="457"/>
      <c r="TW436" s="457"/>
      <c r="TX436" s="457"/>
      <c r="TY436" s="457"/>
      <c r="TZ436" s="457"/>
      <c r="UA436" s="457"/>
      <c r="UB436" s="457"/>
      <c r="UC436" s="457"/>
      <c r="UD436" s="457"/>
      <c r="UE436" s="457"/>
      <c r="UF436" s="457"/>
      <c r="UG436" s="457"/>
      <c r="UH436" s="457"/>
      <c r="UI436" s="457"/>
      <c r="UJ436" s="457"/>
      <c r="UK436" s="457"/>
      <c r="UL436" s="457"/>
      <c r="UM436" s="457"/>
      <c r="UN436" s="457"/>
      <c r="UO436" s="457"/>
      <c r="UP436" s="457"/>
      <c r="UQ436" s="457"/>
      <c r="UR436" s="457"/>
      <c r="US436" s="457"/>
      <c r="UT436" s="457"/>
      <c r="UU436" s="457"/>
      <c r="UV436" s="457"/>
      <c r="UW436" s="457"/>
      <c r="UX436" s="457"/>
      <c r="UY436" s="457"/>
      <c r="UZ436" s="457"/>
      <c r="VA436" s="457"/>
      <c r="VB436" s="457"/>
      <c r="VC436" s="457"/>
      <c r="VD436" s="457"/>
      <c r="VE436" s="457"/>
      <c r="VF436" s="457"/>
      <c r="VG436" s="457"/>
      <c r="VH436" s="457"/>
      <c r="VI436" s="457"/>
      <c r="VJ436" s="457"/>
      <c r="VK436" s="457"/>
      <c r="VL436" s="457"/>
      <c r="VM436" s="457"/>
      <c r="VN436" s="457"/>
      <c r="VO436" s="457"/>
      <c r="VP436" s="457"/>
      <c r="VQ436" s="457"/>
      <c r="VR436" s="457"/>
      <c r="VS436" s="457"/>
      <c r="VT436" s="457"/>
      <c r="VU436" s="457"/>
      <c r="VV436" s="457"/>
      <c r="VW436" s="457"/>
      <c r="VX436" s="457"/>
      <c r="VY436" s="457"/>
      <c r="VZ436" s="457"/>
      <c r="WA436" s="457"/>
      <c r="WB436" s="457"/>
      <c r="WC436" s="457"/>
      <c r="WD436" s="457"/>
      <c r="WE436" s="457"/>
      <c r="WF436" s="457"/>
      <c r="WG436" s="457"/>
      <c r="WH436" s="457"/>
      <c r="WI436" s="457"/>
      <c r="WJ436" s="457"/>
      <c r="WK436" s="457"/>
      <c r="WL436" s="457"/>
      <c r="WM436" s="457"/>
      <c r="WN436" s="457"/>
      <c r="WO436" s="457"/>
      <c r="WP436" s="457"/>
      <c r="WQ436" s="457"/>
      <c r="WR436" s="457"/>
      <c r="WS436" s="457"/>
      <c r="WT436" s="457"/>
      <c r="WU436" s="457"/>
      <c r="WV436" s="457"/>
      <c r="WW436" s="457"/>
      <c r="WX436" s="457"/>
      <c r="WY436" s="457"/>
      <c r="WZ436" s="457"/>
      <c r="XA436" s="457"/>
      <c r="XB436" s="457"/>
      <c r="XC436" s="457"/>
      <c r="XD436" s="457"/>
      <c r="XE436" s="457"/>
      <c r="XF436" s="457"/>
      <c r="XG436" s="457"/>
      <c r="XH436" s="457"/>
      <c r="XI436" s="457"/>
      <c r="XJ436" s="457"/>
      <c r="XK436" s="457"/>
      <c r="XL436" s="457"/>
      <c r="XM436" s="457"/>
      <c r="XN436" s="457"/>
      <c r="XO436" s="457"/>
      <c r="XP436" s="457"/>
      <c r="XQ436" s="457"/>
      <c r="XR436" s="457"/>
      <c r="XS436" s="457"/>
      <c r="XT436" s="457"/>
      <c r="XU436" s="457"/>
      <c r="XV436" s="457"/>
      <c r="XW436" s="457"/>
      <c r="XX436" s="457"/>
      <c r="XY436" s="457"/>
      <c r="XZ436" s="457"/>
      <c r="YA436" s="457"/>
      <c r="YB436" s="457"/>
      <c r="YC436" s="457"/>
      <c r="YD436" s="457"/>
      <c r="YE436" s="457"/>
      <c r="YF436" s="457"/>
      <c r="YG436" s="457"/>
      <c r="YH436" s="457"/>
      <c r="YI436" s="457"/>
      <c r="YJ436" s="457"/>
      <c r="YK436" s="457"/>
      <c r="YL436" s="457"/>
      <c r="YM436" s="457"/>
      <c r="YN436" s="457"/>
      <c r="YO436" s="457"/>
      <c r="YP436" s="457"/>
      <c r="YQ436" s="457"/>
      <c r="YR436" s="457"/>
      <c r="YS436" s="457"/>
      <c r="YT436" s="457"/>
      <c r="YU436" s="457"/>
      <c r="YV436" s="457"/>
      <c r="YW436" s="457"/>
      <c r="YX436" s="457"/>
      <c r="YY436" s="457"/>
      <c r="YZ436" s="457"/>
      <c r="ZA436" s="457"/>
      <c r="ZB436" s="457"/>
      <c r="ZC436" s="457"/>
      <c r="ZD436" s="457"/>
      <c r="ZE436" s="457"/>
      <c r="ZF436" s="457"/>
      <c r="ZG436" s="457"/>
      <c r="ZH436" s="457"/>
      <c r="ZI436" s="457"/>
      <c r="ZJ436" s="457"/>
      <c r="ZK436" s="457"/>
      <c r="ZL436" s="457"/>
      <c r="ZM436" s="457"/>
      <c r="ZN436" s="457"/>
      <c r="ZO436" s="457"/>
      <c r="ZP436" s="457"/>
      <c r="ZQ436" s="457"/>
      <c r="ZR436" s="457"/>
      <c r="ZS436" s="457"/>
      <c r="ZT436" s="457"/>
      <c r="ZU436" s="457"/>
      <c r="ZV436" s="457"/>
      <c r="ZW436" s="457"/>
      <c r="ZX436" s="457"/>
      <c r="ZY436" s="457"/>
      <c r="ZZ436" s="457"/>
      <c r="AAA436" s="457"/>
      <c r="AAB436" s="457"/>
      <c r="AAC436" s="457"/>
      <c r="AAD436" s="457"/>
      <c r="AAE436" s="457"/>
      <c r="AAF436" s="457"/>
      <c r="AAG436" s="457"/>
      <c r="AAH436" s="457"/>
      <c r="AAI436" s="457"/>
      <c r="AAJ436" s="457"/>
      <c r="AAK436" s="457"/>
      <c r="AAL436" s="457"/>
      <c r="AAM436" s="457"/>
      <c r="AAN436" s="457"/>
      <c r="AAO436" s="457"/>
      <c r="AAP436" s="457"/>
      <c r="AAQ436" s="457"/>
      <c r="AAR436" s="457"/>
      <c r="AAS436" s="457"/>
      <c r="AAT436" s="457"/>
      <c r="AAU436" s="457"/>
      <c r="AAV436" s="457"/>
      <c r="AAW436" s="457"/>
      <c r="AAX436" s="457"/>
      <c r="AAY436" s="457"/>
      <c r="AAZ436" s="457"/>
      <c r="ABA436" s="457"/>
      <c r="ABB436" s="457"/>
      <c r="ABC436" s="457"/>
      <c r="ABD436" s="457"/>
      <c r="ABE436" s="457"/>
      <c r="ABF436" s="457"/>
      <c r="ABG436" s="457"/>
      <c r="ABH436" s="457"/>
      <c r="ABI436" s="457"/>
      <c r="ABJ436" s="457"/>
      <c r="ABK436" s="457"/>
      <c r="ABL436" s="457"/>
      <c r="ABM436" s="457"/>
      <c r="ABN436" s="457"/>
      <c r="ABO436" s="457"/>
      <c r="ABP436" s="457"/>
      <c r="ABQ436" s="457"/>
      <c r="ABR436" s="457"/>
      <c r="ABS436" s="457"/>
      <c r="ABT436" s="457"/>
      <c r="ABU436" s="457"/>
      <c r="ABV436" s="457"/>
      <c r="ABW436" s="457"/>
      <c r="ABX436" s="457"/>
      <c r="ABY436" s="457"/>
      <c r="ABZ436" s="457"/>
      <c r="ACA436" s="457"/>
      <c r="ACB436" s="457"/>
      <c r="ACC436" s="457"/>
      <c r="ACD436" s="457"/>
      <c r="ACE436" s="457"/>
      <c r="ACF436" s="457"/>
      <c r="ACG436" s="457"/>
      <c r="ACH436" s="457"/>
      <c r="ACI436" s="457"/>
      <c r="ACJ436" s="457"/>
      <c r="ACK436" s="457"/>
      <c r="ACL436" s="457"/>
      <c r="ACM436" s="457"/>
      <c r="ACN436" s="457"/>
      <c r="ACO436" s="457"/>
      <c r="ACP436" s="457"/>
      <c r="ACQ436" s="457"/>
      <c r="ACR436" s="457"/>
      <c r="ACS436" s="457"/>
      <c r="ACT436" s="457"/>
      <c r="ACU436" s="457"/>
      <c r="ACV436" s="457"/>
    </row>
    <row r="437" spans="1:776" s="400" customFormat="1" x14ac:dyDescent="0.25">
      <c r="A437" s="470">
        <v>900150</v>
      </c>
      <c r="B437" s="237" t="s">
        <v>344</v>
      </c>
      <c r="C437" s="455"/>
      <c r="D437" s="454" t="s">
        <v>345</v>
      </c>
      <c r="E437" s="454">
        <v>1.02</v>
      </c>
      <c r="F437" s="456">
        <v>8.3699999999999992</v>
      </c>
      <c r="G437" s="454">
        <v>0.01</v>
      </c>
      <c r="H437" s="454">
        <v>0.11</v>
      </c>
      <c r="I437" s="456">
        <v>36.700000000000003</v>
      </c>
      <c r="J437" s="454">
        <v>167.91</v>
      </c>
      <c r="K437" s="454">
        <v>0.01</v>
      </c>
      <c r="L437" s="456">
        <v>285.60000000000002</v>
      </c>
      <c r="M437" s="454">
        <v>0.01</v>
      </c>
      <c r="N437" s="454">
        <v>2.71</v>
      </c>
      <c r="O437" s="454">
        <v>29.87</v>
      </c>
      <c r="P437" s="454">
        <v>123.08</v>
      </c>
      <c r="Q437" s="454">
        <v>52.14</v>
      </c>
      <c r="R437" s="454">
        <v>0.01</v>
      </c>
      <c r="S437" s="454">
        <v>0.01</v>
      </c>
      <c r="T437" s="454">
        <v>0.01</v>
      </c>
      <c r="U437" s="454">
        <v>0.01</v>
      </c>
      <c r="V437" s="454"/>
      <c r="W437" s="457"/>
      <c r="X437" s="457"/>
      <c r="Y437" s="457"/>
      <c r="Z437" s="457"/>
      <c r="AA437" s="457"/>
      <c r="AB437" s="457"/>
      <c r="AC437" s="457"/>
      <c r="AD437" s="457"/>
      <c r="AE437" s="457"/>
      <c r="AF437" s="457"/>
      <c r="AG437" s="457"/>
      <c r="AH437" s="457"/>
      <c r="AI437" s="457"/>
      <c r="AJ437" s="457"/>
      <c r="AK437" s="457"/>
      <c r="AL437" s="457"/>
      <c r="AM437" s="457"/>
      <c r="AN437" s="457"/>
      <c r="AO437" s="457"/>
      <c r="AP437" s="457"/>
      <c r="AQ437" s="457"/>
      <c r="AR437" s="457"/>
      <c r="AS437" s="457"/>
      <c r="AT437" s="457"/>
      <c r="AU437" s="457"/>
      <c r="AV437" s="457"/>
      <c r="AW437" s="457"/>
      <c r="AX437" s="457"/>
      <c r="AY437" s="457"/>
      <c r="AZ437" s="457"/>
      <c r="BA437" s="457"/>
      <c r="BB437" s="457"/>
      <c r="BC437" s="457"/>
      <c r="BD437" s="457"/>
      <c r="BE437" s="457"/>
      <c r="BF437" s="457"/>
      <c r="BG437" s="457"/>
      <c r="BH437" s="457"/>
      <c r="BI437" s="457"/>
      <c r="BJ437" s="457"/>
      <c r="BK437" s="457"/>
      <c r="BL437" s="457"/>
      <c r="BM437" s="457"/>
      <c r="BN437" s="457"/>
      <c r="BO437" s="457"/>
      <c r="BP437" s="457"/>
      <c r="BQ437" s="457"/>
      <c r="BR437" s="457"/>
      <c r="BS437" s="457"/>
      <c r="BT437" s="457"/>
      <c r="BU437" s="457"/>
      <c r="BV437" s="457"/>
      <c r="BW437" s="457"/>
      <c r="BX437" s="457"/>
      <c r="BY437" s="457"/>
      <c r="BZ437" s="457"/>
      <c r="CA437" s="457"/>
      <c r="CB437" s="457"/>
      <c r="CC437" s="457"/>
      <c r="CD437" s="457"/>
      <c r="CE437" s="457"/>
      <c r="CF437" s="457"/>
      <c r="CG437" s="457"/>
      <c r="CH437" s="457"/>
      <c r="CI437" s="457"/>
      <c r="CJ437" s="457"/>
      <c r="CK437" s="457"/>
      <c r="CL437" s="457"/>
      <c r="CM437" s="457"/>
      <c r="CN437" s="457"/>
      <c r="CO437" s="457"/>
      <c r="CP437" s="457"/>
      <c r="CQ437" s="457"/>
      <c r="CR437" s="457"/>
      <c r="CS437" s="457"/>
      <c r="CT437" s="457"/>
      <c r="CU437" s="457"/>
      <c r="CV437" s="457"/>
      <c r="CW437" s="457"/>
      <c r="CX437" s="457"/>
      <c r="CY437" s="457"/>
      <c r="CZ437" s="457"/>
      <c r="DA437" s="457"/>
      <c r="DB437" s="457"/>
      <c r="DC437" s="457"/>
      <c r="DD437" s="457"/>
      <c r="DE437" s="457"/>
      <c r="DF437" s="457"/>
      <c r="DG437" s="457"/>
      <c r="DH437" s="457"/>
      <c r="DI437" s="457"/>
      <c r="DJ437" s="457"/>
      <c r="DK437" s="457"/>
      <c r="DL437" s="457"/>
      <c r="DM437" s="457"/>
      <c r="DN437" s="457"/>
      <c r="DO437" s="457"/>
      <c r="DP437" s="457"/>
      <c r="DQ437" s="457"/>
      <c r="DR437" s="457"/>
      <c r="DS437" s="457"/>
      <c r="DT437" s="457"/>
      <c r="DU437" s="457"/>
      <c r="DV437" s="457"/>
      <c r="DW437" s="457"/>
      <c r="DX437" s="457"/>
      <c r="DY437" s="457"/>
      <c r="DZ437" s="457"/>
      <c r="EA437" s="457"/>
      <c r="EB437" s="457"/>
      <c r="EC437" s="457"/>
      <c r="ED437" s="457"/>
      <c r="EE437" s="457"/>
      <c r="EF437" s="457"/>
      <c r="EG437" s="457"/>
      <c r="EH437" s="457"/>
      <c r="EI437" s="457"/>
      <c r="EJ437" s="457"/>
      <c r="EK437" s="457"/>
      <c r="EL437" s="457"/>
      <c r="EM437" s="457"/>
      <c r="EN437" s="457"/>
      <c r="EO437" s="457"/>
      <c r="EP437" s="457"/>
      <c r="EQ437" s="457"/>
      <c r="ER437" s="457"/>
      <c r="ES437" s="457"/>
      <c r="ET437" s="457"/>
      <c r="EU437" s="457"/>
      <c r="EV437" s="457"/>
      <c r="EW437" s="457"/>
      <c r="EX437" s="457"/>
      <c r="EY437" s="457"/>
      <c r="EZ437" s="457"/>
      <c r="FA437" s="457"/>
      <c r="FB437" s="457"/>
      <c r="FC437" s="457"/>
      <c r="FD437" s="457"/>
      <c r="FE437" s="457"/>
      <c r="FF437" s="457"/>
      <c r="FG437" s="457"/>
      <c r="FH437" s="457"/>
      <c r="FI437" s="457"/>
      <c r="FJ437" s="457"/>
      <c r="FK437" s="457"/>
      <c r="FL437" s="457"/>
      <c r="FM437" s="457"/>
      <c r="FN437" s="457"/>
      <c r="FO437" s="457"/>
      <c r="FP437" s="457"/>
      <c r="FQ437" s="457"/>
      <c r="FR437" s="457"/>
      <c r="FS437" s="457"/>
      <c r="FT437" s="457"/>
      <c r="FU437" s="457"/>
      <c r="FV437" s="457"/>
      <c r="FW437" s="457"/>
      <c r="FX437" s="457"/>
      <c r="FY437" s="457"/>
      <c r="FZ437" s="457"/>
      <c r="GA437" s="457"/>
      <c r="GB437" s="457"/>
      <c r="GC437" s="457"/>
      <c r="GD437" s="457"/>
      <c r="GE437" s="457"/>
      <c r="GF437" s="457"/>
      <c r="GG437" s="457"/>
      <c r="GH437" s="457"/>
      <c r="GI437" s="457"/>
      <c r="GJ437" s="457"/>
      <c r="GK437" s="457"/>
      <c r="GL437" s="457"/>
      <c r="GM437" s="457"/>
      <c r="GN437" s="457"/>
      <c r="GO437" s="457"/>
      <c r="GP437" s="457"/>
      <c r="GQ437" s="457"/>
      <c r="GR437" s="457"/>
      <c r="GS437" s="457"/>
      <c r="GT437" s="457"/>
      <c r="GU437" s="457"/>
      <c r="GV437" s="457"/>
      <c r="GW437" s="457"/>
      <c r="GX437" s="457"/>
      <c r="GY437" s="457"/>
      <c r="GZ437" s="457"/>
      <c r="HA437" s="457"/>
      <c r="HB437" s="457"/>
      <c r="HC437" s="457"/>
      <c r="HD437" s="457"/>
      <c r="HE437" s="457"/>
      <c r="HF437" s="457"/>
      <c r="HG437" s="457"/>
      <c r="HH437" s="457"/>
      <c r="HI437" s="457"/>
      <c r="HJ437" s="457"/>
      <c r="HK437" s="457"/>
      <c r="HL437" s="457"/>
      <c r="HM437" s="457"/>
      <c r="HN437" s="457"/>
      <c r="HO437" s="457"/>
      <c r="HP437" s="457"/>
      <c r="HQ437" s="457"/>
      <c r="HR437" s="457"/>
      <c r="HS437" s="457"/>
      <c r="HT437" s="457"/>
      <c r="HU437" s="457"/>
      <c r="HV437" s="457"/>
      <c r="HW437" s="457"/>
      <c r="HX437" s="457"/>
      <c r="HY437" s="457"/>
      <c r="HZ437" s="457"/>
      <c r="IA437" s="457"/>
      <c r="IB437" s="457"/>
      <c r="IC437" s="457"/>
      <c r="ID437" s="457"/>
      <c r="IE437" s="457"/>
      <c r="IF437" s="457"/>
      <c r="IG437" s="457"/>
      <c r="IH437" s="457"/>
      <c r="II437" s="457"/>
      <c r="IJ437" s="457"/>
      <c r="IK437" s="457"/>
      <c r="IL437" s="457"/>
      <c r="IM437" s="457"/>
      <c r="IN437" s="457"/>
      <c r="IO437" s="457"/>
      <c r="IP437" s="457"/>
      <c r="IQ437" s="457"/>
      <c r="IR437" s="457"/>
      <c r="IS437" s="457"/>
      <c r="IT437" s="457"/>
      <c r="IU437" s="457"/>
      <c r="IV437" s="457"/>
      <c r="IW437" s="457"/>
      <c r="IX437" s="457"/>
      <c r="IY437" s="457"/>
      <c r="IZ437" s="457"/>
      <c r="JA437" s="457"/>
      <c r="JB437" s="457"/>
      <c r="JC437" s="457"/>
      <c r="JD437" s="457"/>
      <c r="JE437" s="457"/>
      <c r="JF437" s="457"/>
      <c r="JG437" s="457"/>
      <c r="JH437" s="457"/>
      <c r="JI437" s="457"/>
      <c r="JJ437" s="457"/>
      <c r="JK437" s="457"/>
      <c r="JL437" s="457"/>
      <c r="JM437" s="457"/>
      <c r="JN437" s="457"/>
      <c r="JO437" s="457"/>
      <c r="JP437" s="457"/>
      <c r="JQ437" s="457"/>
      <c r="JR437" s="457"/>
      <c r="JS437" s="457"/>
      <c r="JT437" s="457"/>
      <c r="JU437" s="457"/>
      <c r="JV437" s="457"/>
      <c r="JW437" s="457"/>
      <c r="JX437" s="457"/>
      <c r="JY437" s="457"/>
      <c r="JZ437" s="457"/>
      <c r="KA437" s="457"/>
      <c r="KB437" s="457"/>
      <c r="KC437" s="457"/>
      <c r="KD437" s="457"/>
      <c r="KE437" s="457"/>
      <c r="KF437" s="457"/>
      <c r="KG437" s="457"/>
      <c r="KH437" s="457"/>
      <c r="KI437" s="457"/>
      <c r="KJ437" s="457"/>
      <c r="KK437" s="457"/>
      <c r="KL437" s="457"/>
      <c r="KM437" s="457"/>
      <c r="KN437" s="457"/>
      <c r="KO437" s="457"/>
      <c r="KP437" s="457"/>
      <c r="KQ437" s="457"/>
      <c r="KR437" s="457"/>
      <c r="KS437" s="457"/>
      <c r="KT437" s="457"/>
      <c r="KU437" s="457"/>
      <c r="KV437" s="457"/>
      <c r="KW437" s="457"/>
      <c r="KX437" s="457"/>
      <c r="KY437" s="457"/>
      <c r="KZ437" s="457"/>
      <c r="LA437" s="457"/>
      <c r="LB437" s="457"/>
      <c r="LC437" s="457"/>
      <c r="LD437" s="457"/>
      <c r="LE437" s="457"/>
      <c r="LF437" s="457"/>
      <c r="LG437" s="457"/>
      <c r="LH437" s="457"/>
      <c r="LI437" s="457"/>
      <c r="LJ437" s="457"/>
      <c r="LK437" s="457"/>
      <c r="LL437" s="457"/>
      <c r="LM437" s="457"/>
      <c r="LN437" s="457"/>
      <c r="LO437" s="457"/>
      <c r="LP437" s="457"/>
      <c r="LQ437" s="457"/>
      <c r="LR437" s="457"/>
      <c r="LS437" s="457"/>
      <c r="LT437" s="457"/>
      <c r="LU437" s="457"/>
      <c r="LV437" s="457"/>
      <c r="LW437" s="457"/>
      <c r="LX437" s="457"/>
      <c r="LY437" s="457"/>
      <c r="LZ437" s="457"/>
      <c r="MA437" s="457"/>
      <c r="MB437" s="457"/>
      <c r="MC437" s="457"/>
      <c r="MD437" s="457"/>
      <c r="ME437" s="457"/>
      <c r="MF437" s="457"/>
      <c r="MG437" s="457"/>
      <c r="MH437" s="457"/>
      <c r="MI437" s="457"/>
      <c r="MJ437" s="457"/>
      <c r="MK437" s="457"/>
      <c r="ML437" s="457"/>
      <c r="MM437" s="457"/>
      <c r="MN437" s="457"/>
      <c r="MO437" s="457"/>
      <c r="MP437" s="457"/>
      <c r="MQ437" s="457"/>
      <c r="MR437" s="457"/>
      <c r="MS437" s="457"/>
      <c r="MT437" s="457"/>
      <c r="MU437" s="457"/>
      <c r="MV437" s="457"/>
      <c r="MW437" s="457"/>
      <c r="MX437" s="457"/>
      <c r="MY437" s="457"/>
      <c r="MZ437" s="457"/>
      <c r="NA437" s="457"/>
      <c r="NB437" s="457"/>
      <c r="NC437" s="457"/>
      <c r="ND437" s="457"/>
      <c r="NE437" s="457"/>
      <c r="NF437" s="457"/>
      <c r="NG437" s="457"/>
      <c r="NH437" s="457"/>
      <c r="NI437" s="457"/>
      <c r="NJ437" s="457"/>
      <c r="NK437" s="457"/>
      <c r="NL437" s="457"/>
      <c r="NM437" s="457"/>
      <c r="NN437" s="457"/>
      <c r="NO437" s="457"/>
      <c r="NP437" s="457"/>
      <c r="NQ437" s="457"/>
      <c r="NR437" s="457"/>
      <c r="NS437" s="457"/>
      <c r="NT437" s="457"/>
      <c r="NU437" s="457"/>
      <c r="NV437" s="457"/>
      <c r="NW437" s="457"/>
      <c r="NX437" s="457"/>
      <c r="NY437" s="457"/>
      <c r="NZ437" s="457"/>
      <c r="OA437" s="457"/>
      <c r="OB437" s="457"/>
      <c r="OC437" s="457"/>
      <c r="OD437" s="457"/>
      <c r="OE437" s="457"/>
      <c r="OF437" s="457"/>
      <c r="OG437" s="457"/>
      <c r="OH437" s="457"/>
      <c r="OI437" s="457"/>
      <c r="OJ437" s="457"/>
      <c r="OK437" s="457"/>
      <c r="OL437" s="457"/>
      <c r="OM437" s="457"/>
      <c r="ON437" s="457"/>
      <c r="OO437" s="457"/>
      <c r="OP437" s="457"/>
      <c r="OQ437" s="457"/>
      <c r="OR437" s="457"/>
      <c r="OS437" s="457"/>
      <c r="OT437" s="457"/>
      <c r="OU437" s="457"/>
      <c r="OV437" s="457"/>
      <c r="OW437" s="457"/>
      <c r="OX437" s="457"/>
      <c r="OY437" s="457"/>
      <c r="OZ437" s="457"/>
      <c r="PA437" s="457"/>
      <c r="PB437" s="457"/>
      <c r="PC437" s="457"/>
      <c r="PD437" s="457"/>
      <c r="PE437" s="457"/>
      <c r="PF437" s="457"/>
      <c r="PG437" s="457"/>
      <c r="PH437" s="457"/>
      <c r="PI437" s="457"/>
      <c r="PJ437" s="457"/>
      <c r="PK437" s="457"/>
      <c r="PL437" s="457"/>
      <c r="PM437" s="457"/>
      <c r="PN437" s="457"/>
      <c r="PO437" s="457"/>
      <c r="PP437" s="457"/>
      <c r="PQ437" s="457"/>
      <c r="PR437" s="457"/>
      <c r="PS437" s="457"/>
      <c r="PT437" s="457"/>
      <c r="PU437" s="457"/>
      <c r="PV437" s="457"/>
      <c r="PW437" s="457"/>
      <c r="PX437" s="457"/>
      <c r="PY437" s="457"/>
      <c r="PZ437" s="457"/>
      <c r="QA437" s="457"/>
      <c r="QB437" s="457"/>
      <c r="QC437" s="457"/>
      <c r="QD437" s="457"/>
      <c r="QE437" s="457"/>
      <c r="QF437" s="457"/>
      <c r="QG437" s="457"/>
      <c r="QH437" s="457"/>
      <c r="QI437" s="457"/>
      <c r="QJ437" s="457"/>
      <c r="QK437" s="457"/>
      <c r="QL437" s="457"/>
      <c r="QM437" s="457"/>
      <c r="QN437" s="457"/>
      <c r="QO437" s="457"/>
      <c r="QP437" s="457"/>
      <c r="QQ437" s="457"/>
      <c r="QR437" s="457"/>
      <c r="QS437" s="457"/>
      <c r="QT437" s="457"/>
      <c r="QU437" s="457"/>
      <c r="QV437" s="457"/>
      <c r="QW437" s="457"/>
      <c r="QX437" s="457"/>
      <c r="QY437" s="457"/>
      <c r="QZ437" s="457"/>
      <c r="RA437" s="457"/>
      <c r="RB437" s="457"/>
      <c r="RC437" s="457"/>
      <c r="RD437" s="457"/>
      <c r="RE437" s="457"/>
      <c r="RF437" s="457"/>
      <c r="RG437" s="457"/>
      <c r="RH437" s="457"/>
      <c r="RI437" s="457"/>
      <c r="RJ437" s="457"/>
      <c r="RK437" s="457"/>
      <c r="RL437" s="457"/>
      <c r="RM437" s="457"/>
      <c r="RN437" s="457"/>
      <c r="RO437" s="457"/>
      <c r="RP437" s="457"/>
      <c r="RQ437" s="457"/>
      <c r="RR437" s="457"/>
      <c r="RS437" s="457"/>
      <c r="RT437" s="457"/>
      <c r="RU437" s="457"/>
      <c r="RV437" s="457"/>
      <c r="RW437" s="457"/>
      <c r="RX437" s="457"/>
      <c r="RY437" s="457"/>
      <c r="RZ437" s="457"/>
      <c r="SA437" s="457"/>
      <c r="SB437" s="457"/>
      <c r="SC437" s="457"/>
      <c r="SD437" s="457"/>
      <c r="SE437" s="457"/>
      <c r="SF437" s="457"/>
      <c r="SG437" s="457"/>
      <c r="SH437" s="457"/>
      <c r="SI437" s="457"/>
      <c r="SJ437" s="457"/>
      <c r="SK437" s="457"/>
      <c r="SL437" s="457"/>
      <c r="SM437" s="457"/>
      <c r="SN437" s="457"/>
      <c r="SO437" s="457"/>
      <c r="SP437" s="457"/>
      <c r="SQ437" s="457"/>
      <c r="SR437" s="457"/>
      <c r="SS437" s="457"/>
      <c r="ST437" s="457"/>
      <c r="SU437" s="457"/>
      <c r="SV437" s="457"/>
      <c r="SW437" s="457"/>
      <c r="SX437" s="457"/>
      <c r="SY437" s="457"/>
      <c r="SZ437" s="457"/>
      <c r="TA437" s="457"/>
      <c r="TB437" s="457"/>
      <c r="TC437" s="457"/>
      <c r="TD437" s="457"/>
      <c r="TE437" s="457"/>
      <c r="TF437" s="457"/>
      <c r="TG437" s="457"/>
      <c r="TH437" s="457"/>
      <c r="TI437" s="457"/>
      <c r="TJ437" s="457"/>
      <c r="TK437" s="457"/>
      <c r="TL437" s="457"/>
      <c r="TM437" s="457"/>
      <c r="TN437" s="457"/>
      <c r="TO437" s="457"/>
      <c r="TP437" s="457"/>
      <c r="TQ437" s="457"/>
      <c r="TR437" s="457"/>
      <c r="TS437" s="457"/>
      <c r="TT437" s="457"/>
      <c r="TU437" s="457"/>
      <c r="TV437" s="457"/>
      <c r="TW437" s="457"/>
      <c r="TX437" s="457"/>
      <c r="TY437" s="457"/>
      <c r="TZ437" s="457"/>
      <c r="UA437" s="457"/>
      <c r="UB437" s="457"/>
      <c r="UC437" s="457"/>
      <c r="UD437" s="457"/>
      <c r="UE437" s="457"/>
      <c r="UF437" s="457"/>
      <c r="UG437" s="457"/>
      <c r="UH437" s="457"/>
      <c r="UI437" s="457"/>
      <c r="UJ437" s="457"/>
      <c r="UK437" s="457"/>
      <c r="UL437" s="457"/>
      <c r="UM437" s="457"/>
      <c r="UN437" s="457"/>
      <c r="UO437" s="457"/>
      <c r="UP437" s="457"/>
      <c r="UQ437" s="457"/>
      <c r="UR437" s="457"/>
      <c r="US437" s="457"/>
      <c r="UT437" s="457"/>
      <c r="UU437" s="457"/>
      <c r="UV437" s="457"/>
      <c r="UW437" s="457"/>
      <c r="UX437" s="457"/>
      <c r="UY437" s="457"/>
      <c r="UZ437" s="457"/>
      <c r="VA437" s="457"/>
      <c r="VB437" s="457"/>
      <c r="VC437" s="457"/>
      <c r="VD437" s="457"/>
      <c r="VE437" s="457"/>
      <c r="VF437" s="457"/>
      <c r="VG437" s="457"/>
      <c r="VH437" s="457"/>
      <c r="VI437" s="457"/>
      <c r="VJ437" s="457"/>
      <c r="VK437" s="457"/>
      <c r="VL437" s="457"/>
      <c r="VM437" s="457"/>
      <c r="VN437" s="457"/>
      <c r="VO437" s="457"/>
      <c r="VP437" s="457"/>
      <c r="VQ437" s="457"/>
      <c r="VR437" s="457"/>
      <c r="VS437" s="457"/>
      <c r="VT437" s="457"/>
      <c r="VU437" s="457"/>
      <c r="VV437" s="457"/>
      <c r="VW437" s="457"/>
      <c r="VX437" s="457"/>
      <c r="VY437" s="457"/>
      <c r="VZ437" s="457"/>
      <c r="WA437" s="457"/>
      <c r="WB437" s="457"/>
      <c r="WC437" s="457"/>
      <c r="WD437" s="457"/>
      <c r="WE437" s="457"/>
      <c r="WF437" s="457"/>
      <c r="WG437" s="457"/>
      <c r="WH437" s="457"/>
      <c r="WI437" s="457"/>
      <c r="WJ437" s="457"/>
      <c r="WK437" s="457"/>
      <c r="WL437" s="457"/>
      <c r="WM437" s="457"/>
      <c r="WN437" s="457"/>
      <c r="WO437" s="457"/>
      <c r="WP437" s="457"/>
      <c r="WQ437" s="457"/>
      <c r="WR437" s="457"/>
      <c r="WS437" s="457"/>
      <c r="WT437" s="457"/>
      <c r="WU437" s="457"/>
      <c r="WV437" s="457"/>
      <c r="WW437" s="457"/>
      <c r="WX437" s="457"/>
      <c r="WY437" s="457"/>
      <c r="WZ437" s="457"/>
      <c r="XA437" s="457"/>
      <c r="XB437" s="457"/>
      <c r="XC437" s="457"/>
      <c r="XD437" s="457"/>
      <c r="XE437" s="457"/>
      <c r="XF437" s="457"/>
      <c r="XG437" s="457"/>
      <c r="XH437" s="457"/>
      <c r="XI437" s="457"/>
      <c r="XJ437" s="457"/>
      <c r="XK437" s="457"/>
      <c r="XL437" s="457"/>
      <c r="XM437" s="457"/>
      <c r="XN437" s="457"/>
      <c r="XO437" s="457"/>
      <c r="XP437" s="457"/>
      <c r="XQ437" s="457"/>
      <c r="XR437" s="457"/>
      <c r="XS437" s="457"/>
      <c r="XT437" s="457"/>
      <c r="XU437" s="457"/>
      <c r="XV437" s="457"/>
      <c r="XW437" s="457"/>
      <c r="XX437" s="457"/>
      <c r="XY437" s="457"/>
      <c r="XZ437" s="457"/>
      <c r="YA437" s="457"/>
      <c r="YB437" s="457"/>
      <c r="YC437" s="457"/>
      <c r="YD437" s="457"/>
      <c r="YE437" s="457"/>
      <c r="YF437" s="457"/>
      <c r="YG437" s="457"/>
      <c r="YH437" s="457"/>
      <c r="YI437" s="457"/>
      <c r="YJ437" s="457"/>
      <c r="YK437" s="457"/>
      <c r="YL437" s="457"/>
      <c r="YM437" s="457"/>
      <c r="YN437" s="457"/>
      <c r="YO437" s="457"/>
      <c r="YP437" s="457"/>
      <c r="YQ437" s="457"/>
      <c r="YR437" s="457"/>
      <c r="YS437" s="457"/>
      <c r="YT437" s="457"/>
      <c r="YU437" s="457"/>
      <c r="YV437" s="457"/>
      <c r="YW437" s="457"/>
      <c r="YX437" s="457"/>
      <c r="YY437" s="457"/>
      <c r="YZ437" s="457"/>
      <c r="ZA437" s="457"/>
      <c r="ZB437" s="457"/>
      <c r="ZC437" s="457"/>
      <c r="ZD437" s="457"/>
      <c r="ZE437" s="457"/>
      <c r="ZF437" s="457"/>
      <c r="ZG437" s="457"/>
      <c r="ZH437" s="457"/>
      <c r="ZI437" s="457"/>
      <c r="ZJ437" s="457"/>
      <c r="ZK437" s="457"/>
      <c r="ZL437" s="457"/>
      <c r="ZM437" s="457"/>
      <c r="ZN437" s="457"/>
      <c r="ZO437" s="457"/>
      <c r="ZP437" s="457"/>
      <c r="ZQ437" s="457"/>
      <c r="ZR437" s="457"/>
      <c r="ZS437" s="457"/>
      <c r="ZT437" s="457"/>
      <c r="ZU437" s="457"/>
      <c r="ZV437" s="457"/>
      <c r="ZW437" s="457"/>
      <c r="ZX437" s="457"/>
      <c r="ZY437" s="457"/>
      <c r="ZZ437" s="457"/>
      <c r="AAA437" s="457"/>
      <c r="AAB437" s="457"/>
      <c r="AAC437" s="457"/>
      <c r="AAD437" s="457"/>
      <c r="AAE437" s="457"/>
      <c r="AAF437" s="457"/>
      <c r="AAG437" s="457"/>
      <c r="AAH437" s="457"/>
      <c r="AAI437" s="457"/>
      <c r="AAJ437" s="457"/>
      <c r="AAK437" s="457"/>
      <c r="AAL437" s="457"/>
      <c r="AAM437" s="457"/>
      <c r="AAN437" s="457"/>
      <c r="AAO437" s="457"/>
      <c r="AAP437" s="457"/>
      <c r="AAQ437" s="457"/>
      <c r="AAR437" s="457"/>
      <c r="AAS437" s="457"/>
      <c r="AAT437" s="457"/>
      <c r="AAU437" s="457"/>
      <c r="AAV437" s="457"/>
      <c r="AAW437" s="457"/>
      <c r="AAX437" s="457"/>
      <c r="AAY437" s="457"/>
      <c r="AAZ437" s="457"/>
      <c r="ABA437" s="457"/>
      <c r="ABB437" s="457"/>
      <c r="ABC437" s="457"/>
      <c r="ABD437" s="457"/>
      <c r="ABE437" s="457"/>
      <c r="ABF437" s="457"/>
      <c r="ABG437" s="457"/>
      <c r="ABH437" s="457"/>
      <c r="ABI437" s="457"/>
      <c r="ABJ437" s="457"/>
      <c r="ABK437" s="457"/>
      <c r="ABL437" s="457"/>
      <c r="ABM437" s="457"/>
      <c r="ABN437" s="457"/>
      <c r="ABO437" s="457"/>
      <c r="ABP437" s="457"/>
      <c r="ABQ437" s="457"/>
      <c r="ABR437" s="457"/>
      <c r="ABS437" s="457"/>
      <c r="ABT437" s="457"/>
      <c r="ABU437" s="457"/>
      <c r="ABV437" s="457"/>
      <c r="ABW437" s="457"/>
      <c r="ABX437" s="457"/>
      <c r="ABY437" s="457"/>
      <c r="ABZ437" s="457"/>
      <c r="ACA437" s="457"/>
      <c r="ACB437" s="457"/>
      <c r="ACC437" s="457"/>
      <c r="ACD437" s="457"/>
      <c r="ACE437" s="457"/>
      <c r="ACF437" s="457"/>
      <c r="ACG437" s="457"/>
      <c r="ACH437" s="457"/>
      <c r="ACI437" s="457"/>
      <c r="ACJ437" s="457"/>
      <c r="ACK437" s="457"/>
      <c r="ACL437" s="457"/>
      <c r="ACM437" s="457"/>
      <c r="ACN437" s="457"/>
      <c r="ACO437" s="457"/>
      <c r="ACP437" s="457"/>
      <c r="ACQ437" s="457"/>
      <c r="ACR437" s="457"/>
      <c r="ACS437" s="457"/>
      <c r="ACT437" s="457"/>
      <c r="ACU437" s="457"/>
      <c r="ACV437" s="457"/>
    </row>
    <row r="438" spans="1:776" s="400" customFormat="1" x14ac:dyDescent="0.25">
      <c r="A438" s="470">
        <v>900151</v>
      </c>
      <c r="B438" s="237" t="s">
        <v>346</v>
      </c>
      <c r="C438" s="455"/>
      <c r="D438" s="454" t="s">
        <v>347</v>
      </c>
      <c r="E438" s="454">
        <v>1.24</v>
      </c>
      <c r="F438" s="456">
        <v>19.72</v>
      </c>
      <c r="G438" s="454">
        <v>0.01</v>
      </c>
      <c r="H438" s="454">
        <v>0.18</v>
      </c>
      <c r="I438" s="456">
        <v>43.73</v>
      </c>
      <c r="J438" s="454">
        <v>170.2</v>
      </c>
      <c r="K438" s="454">
        <v>0.01</v>
      </c>
      <c r="L438" s="456">
        <v>380.2</v>
      </c>
      <c r="M438" s="454">
        <v>0.01</v>
      </c>
      <c r="N438" s="454">
        <v>2.91</v>
      </c>
      <c r="O438" s="454">
        <v>30.23</v>
      </c>
      <c r="P438" s="454">
        <v>171.94</v>
      </c>
      <c r="Q438" s="454">
        <v>56.92</v>
      </c>
      <c r="R438" s="454">
        <v>0.01</v>
      </c>
      <c r="S438" s="454">
        <v>0.01</v>
      </c>
      <c r="T438" s="454">
        <v>0.01</v>
      </c>
      <c r="U438" s="454">
        <v>0.01</v>
      </c>
      <c r="V438" s="454"/>
      <c r="W438" s="457"/>
      <c r="X438" s="457"/>
      <c r="Y438" s="457"/>
      <c r="Z438" s="457"/>
      <c r="AA438" s="457"/>
      <c r="AB438" s="457"/>
      <c r="AC438" s="457"/>
      <c r="AD438" s="457"/>
      <c r="AE438" s="457"/>
      <c r="AF438" s="457"/>
      <c r="AG438" s="457"/>
      <c r="AH438" s="457"/>
      <c r="AI438" s="457"/>
      <c r="AJ438" s="457"/>
      <c r="AK438" s="457"/>
      <c r="AL438" s="457"/>
      <c r="AM438" s="457"/>
      <c r="AN438" s="457"/>
      <c r="AO438" s="457"/>
      <c r="AP438" s="457"/>
      <c r="AQ438" s="457"/>
      <c r="AR438" s="457"/>
      <c r="AS438" s="457"/>
      <c r="AT438" s="457"/>
      <c r="AU438" s="457"/>
      <c r="AV438" s="457"/>
      <c r="AW438" s="457"/>
      <c r="AX438" s="457"/>
      <c r="AY438" s="457"/>
      <c r="AZ438" s="457"/>
      <c r="BA438" s="457"/>
      <c r="BB438" s="457"/>
      <c r="BC438" s="457"/>
      <c r="BD438" s="457"/>
      <c r="BE438" s="457"/>
      <c r="BF438" s="457"/>
      <c r="BG438" s="457"/>
      <c r="BH438" s="457"/>
      <c r="BI438" s="457"/>
      <c r="BJ438" s="457"/>
      <c r="BK438" s="457"/>
      <c r="BL438" s="457"/>
      <c r="BM438" s="457"/>
      <c r="BN438" s="457"/>
      <c r="BO438" s="457"/>
      <c r="BP438" s="457"/>
      <c r="BQ438" s="457"/>
      <c r="BR438" s="457"/>
      <c r="BS438" s="457"/>
      <c r="BT438" s="457"/>
      <c r="BU438" s="457"/>
      <c r="BV438" s="457"/>
      <c r="BW438" s="457"/>
      <c r="BX438" s="457"/>
      <c r="BY438" s="457"/>
      <c r="BZ438" s="457"/>
      <c r="CA438" s="457"/>
      <c r="CB438" s="457"/>
      <c r="CC438" s="457"/>
      <c r="CD438" s="457"/>
      <c r="CE438" s="457"/>
      <c r="CF438" s="457"/>
      <c r="CG438" s="457"/>
      <c r="CH438" s="457"/>
      <c r="CI438" s="457"/>
      <c r="CJ438" s="457"/>
      <c r="CK438" s="457"/>
      <c r="CL438" s="457"/>
      <c r="CM438" s="457"/>
      <c r="CN438" s="457"/>
      <c r="CO438" s="457"/>
      <c r="CP438" s="457"/>
      <c r="CQ438" s="457"/>
      <c r="CR438" s="457"/>
      <c r="CS438" s="457"/>
      <c r="CT438" s="457"/>
      <c r="CU438" s="457"/>
      <c r="CV438" s="457"/>
      <c r="CW438" s="457"/>
      <c r="CX438" s="457"/>
      <c r="CY438" s="457"/>
      <c r="CZ438" s="457"/>
      <c r="DA438" s="457"/>
      <c r="DB438" s="457"/>
      <c r="DC438" s="457"/>
      <c r="DD438" s="457"/>
      <c r="DE438" s="457"/>
      <c r="DF438" s="457"/>
      <c r="DG438" s="457"/>
      <c r="DH438" s="457"/>
      <c r="DI438" s="457"/>
      <c r="DJ438" s="457"/>
      <c r="DK438" s="457"/>
      <c r="DL438" s="457"/>
      <c r="DM438" s="457"/>
      <c r="DN438" s="457"/>
      <c r="DO438" s="457"/>
      <c r="DP438" s="457"/>
      <c r="DQ438" s="457"/>
      <c r="DR438" s="457"/>
      <c r="DS438" s="457"/>
      <c r="DT438" s="457"/>
      <c r="DU438" s="457"/>
      <c r="DV438" s="457"/>
      <c r="DW438" s="457"/>
      <c r="DX438" s="457"/>
      <c r="DY438" s="457"/>
      <c r="DZ438" s="457"/>
      <c r="EA438" s="457"/>
      <c r="EB438" s="457"/>
      <c r="EC438" s="457"/>
      <c r="ED438" s="457"/>
      <c r="EE438" s="457"/>
      <c r="EF438" s="457"/>
      <c r="EG438" s="457"/>
      <c r="EH438" s="457"/>
      <c r="EI438" s="457"/>
      <c r="EJ438" s="457"/>
      <c r="EK438" s="457"/>
      <c r="EL438" s="457"/>
      <c r="EM438" s="457"/>
      <c r="EN438" s="457"/>
      <c r="EO438" s="457"/>
      <c r="EP438" s="457"/>
      <c r="EQ438" s="457"/>
      <c r="ER438" s="457"/>
      <c r="ES438" s="457"/>
      <c r="ET438" s="457"/>
      <c r="EU438" s="457"/>
      <c r="EV438" s="457"/>
      <c r="EW438" s="457"/>
      <c r="EX438" s="457"/>
      <c r="EY438" s="457"/>
      <c r="EZ438" s="457"/>
      <c r="FA438" s="457"/>
      <c r="FB438" s="457"/>
      <c r="FC438" s="457"/>
      <c r="FD438" s="457"/>
      <c r="FE438" s="457"/>
      <c r="FF438" s="457"/>
      <c r="FG438" s="457"/>
      <c r="FH438" s="457"/>
      <c r="FI438" s="457"/>
      <c r="FJ438" s="457"/>
      <c r="FK438" s="457"/>
      <c r="FL438" s="457"/>
      <c r="FM438" s="457"/>
      <c r="FN438" s="457"/>
      <c r="FO438" s="457"/>
      <c r="FP438" s="457"/>
      <c r="FQ438" s="457"/>
      <c r="FR438" s="457"/>
      <c r="FS438" s="457"/>
      <c r="FT438" s="457"/>
      <c r="FU438" s="457"/>
      <c r="FV438" s="457"/>
      <c r="FW438" s="457"/>
      <c r="FX438" s="457"/>
      <c r="FY438" s="457"/>
      <c r="FZ438" s="457"/>
      <c r="GA438" s="457"/>
      <c r="GB438" s="457"/>
      <c r="GC438" s="457"/>
      <c r="GD438" s="457"/>
      <c r="GE438" s="457"/>
      <c r="GF438" s="457"/>
      <c r="GG438" s="457"/>
      <c r="GH438" s="457"/>
      <c r="GI438" s="457"/>
      <c r="GJ438" s="457"/>
      <c r="GK438" s="457"/>
      <c r="GL438" s="457"/>
      <c r="GM438" s="457"/>
      <c r="GN438" s="457"/>
      <c r="GO438" s="457"/>
      <c r="GP438" s="457"/>
      <c r="GQ438" s="457"/>
      <c r="GR438" s="457"/>
      <c r="GS438" s="457"/>
      <c r="GT438" s="457"/>
      <c r="GU438" s="457"/>
      <c r="GV438" s="457"/>
      <c r="GW438" s="457"/>
      <c r="GX438" s="457"/>
      <c r="GY438" s="457"/>
      <c r="GZ438" s="457"/>
      <c r="HA438" s="457"/>
      <c r="HB438" s="457"/>
      <c r="HC438" s="457"/>
      <c r="HD438" s="457"/>
      <c r="HE438" s="457"/>
      <c r="HF438" s="457"/>
      <c r="HG438" s="457"/>
      <c r="HH438" s="457"/>
      <c r="HI438" s="457"/>
      <c r="HJ438" s="457"/>
      <c r="HK438" s="457"/>
      <c r="HL438" s="457"/>
      <c r="HM438" s="457"/>
      <c r="HN438" s="457"/>
      <c r="HO438" s="457"/>
      <c r="HP438" s="457"/>
      <c r="HQ438" s="457"/>
      <c r="HR438" s="457"/>
      <c r="HS438" s="457"/>
      <c r="HT438" s="457"/>
      <c r="HU438" s="457"/>
      <c r="HV438" s="457"/>
      <c r="HW438" s="457"/>
      <c r="HX438" s="457"/>
      <c r="HY438" s="457"/>
      <c r="HZ438" s="457"/>
      <c r="IA438" s="457"/>
      <c r="IB438" s="457"/>
      <c r="IC438" s="457"/>
      <c r="ID438" s="457"/>
      <c r="IE438" s="457"/>
      <c r="IF438" s="457"/>
      <c r="IG438" s="457"/>
      <c r="IH438" s="457"/>
      <c r="II438" s="457"/>
      <c r="IJ438" s="457"/>
      <c r="IK438" s="457"/>
      <c r="IL438" s="457"/>
      <c r="IM438" s="457"/>
      <c r="IN438" s="457"/>
      <c r="IO438" s="457"/>
      <c r="IP438" s="457"/>
      <c r="IQ438" s="457"/>
      <c r="IR438" s="457"/>
      <c r="IS438" s="457"/>
      <c r="IT438" s="457"/>
      <c r="IU438" s="457"/>
      <c r="IV438" s="457"/>
      <c r="IW438" s="457"/>
      <c r="IX438" s="457"/>
      <c r="IY438" s="457"/>
      <c r="IZ438" s="457"/>
      <c r="JA438" s="457"/>
      <c r="JB438" s="457"/>
      <c r="JC438" s="457"/>
      <c r="JD438" s="457"/>
      <c r="JE438" s="457"/>
      <c r="JF438" s="457"/>
      <c r="JG438" s="457"/>
      <c r="JH438" s="457"/>
      <c r="JI438" s="457"/>
      <c r="JJ438" s="457"/>
      <c r="JK438" s="457"/>
      <c r="JL438" s="457"/>
      <c r="JM438" s="457"/>
      <c r="JN438" s="457"/>
      <c r="JO438" s="457"/>
      <c r="JP438" s="457"/>
      <c r="JQ438" s="457"/>
      <c r="JR438" s="457"/>
      <c r="JS438" s="457"/>
      <c r="JT438" s="457"/>
      <c r="JU438" s="457"/>
      <c r="JV438" s="457"/>
      <c r="JW438" s="457"/>
      <c r="JX438" s="457"/>
      <c r="JY438" s="457"/>
      <c r="JZ438" s="457"/>
      <c r="KA438" s="457"/>
      <c r="KB438" s="457"/>
      <c r="KC438" s="457"/>
      <c r="KD438" s="457"/>
      <c r="KE438" s="457"/>
      <c r="KF438" s="457"/>
      <c r="KG438" s="457"/>
      <c r="KH438" s="457"/>
      <c r="KI438" s="457"/>
      <c r="KJ438" s="457"/>
      <c r="KK438" s="457"/>
      <c r="KL438" s="457"/>
      <c r="KM438" s="457"/>
      <c r="KN438" s="457"/>
      <c r="KO438" s="457"/>
      <c r="KP438" s="457"/>
      <c r="KQ438" s="457"/>
      <c r="KR438" s="457"/>
      <c r="KS438" s="457"/>
      <c r="KT438" s="457"/>
      <c r="KU438" s="457"/>
      <c r="KV438" s="457"/>
      <c r="KW438" s="457"/>
      <c r="KX438" s="457"/>
      <c r="KY438" s="457"/>
      <c r="KZ438" s="457"/>
      <c r="LA438" s="457"/>
      <c r="LB438" s="457"/>
      <c r="LC438" s="457"/>
      <c r="LD438" s="457"/>
      <c r="LE438" s="457"/>
      <c r="LF438" s="457"/>
      <c r="LG438" s="457"/>
      <c r="LH438" s="457"/>
      <c r="LI438" s="457"/>
      <c r="LJ438" s="457"/>
      <c r="LK438" s="457"/>
      <c r="LL438" s="457"/>
      <c r="LM438" s="457"/>
      <c r="LN438" s="457"/>
      <c r="LO438" s="457"/>
      <c r="LP438" s="457"/>
      <c r="LQ438" s="457"/>
      <c r="LR438" s="457"/>
      <c r="LS438" s="457"/>
      <c r="LT438" s="457"/>
      <c r="LU438" s="457"/>
      <c r="LV438" s="457"/>
      <c r="LW438" s="457"/>
      <c r="LX438" s="457"/>
      <c r="LY438" s="457"/>
      <c r="LZ438" s="457"/>
      <c r="MA438" s="457"/>
      <c r="MB438" s="457"/>
      <c r="MC438" s="457"/>
      <c r="MD438" s="457"/>
      <c r="ME438" s="457"/>
      <c r="MF438" s="457"/>
      <c r="MG438" s="457"/>
      <c r="MH438" s="457"/>
      <c r="MI438" s="457"/>
      <c r="MJ438" s="457"/>
      <c r="MK438" s="457"/>
      <c r="ML438" s="457"/>
      <c r="MM438" s="457"/>
      <c r="MN438" s="457"/>
      <c r="MO438" s="457"/>
      <c r="MP438" s="457"/>
      <c r="MQ438" s="457"/>
      <c r="MR438" s="457"/>
      <c r="MS438" s="457"/>
      <c r="MT438" s="457"/>
      <c r="MU438" s="457"/>
      <c r="MV438" s="457"/>
      <c r="MW438" s="457"/>
      <c r="MX438" s="457"/>
      <c r="MY438" s="457"/>
      <c r="MZ438" s="457"/>
      <c r="NA438" s="457"/>
      <c r="NB438" s="457"/>
      <c r="NC438" s="457"/>
      <c r="ND438" s="457"/>
      <c r="NE438" s="457"/>
      <c r="NF438" s="457"/>
      <c r="NG438" s="457"/>
      <c r="NH438" s="457"/>
      <c r="NI438" s="457"/>
      <c r="NJ438" s="457"/>
      <c r="NK438" s="457"/>
      <c r="NL438" s="457"/>
      <c r="NM438" s="457"/>
      <c r="NN438" s="457"/>
      <c r="NO438" s="457"/>
      <c r="NP438" s="457"/>
      <c r="NQ438" s="457"/>
      <c r="NR438" s="457"/>
      <c r="NS438" s="457"/>
      <c r="NT438" s="457"/>
      <c r="NU438" s="457"/>
      <c r="NV438" s="457"/>
      <c r="NW438" s="457"/>
      <c r="NX438" s="457"/>
      <c r="NY438" s="457"/>
      <c r="NZ438" s="457"/>
      <c r="OA438" s="457"/>
      <c r="OB438" s="457"/>
      <c r="OC438" s="457"/>
      <c r="OD438" s="457"/>
      <c r="OE438" s="457"/>
      <c r="OF438" s="457"/>
      <c r="OG438" s="457"/>
      <c r="OH438" s="457"/>
      <c r="OI438" s="457"/>
      <c r="OJ438" s="457"/>
      <c r="OK438" s="457"/>
      <c r="OL438" s="457"/>
      <c r="OM438" s="457"/>
      <c r="ON438" s="457"/>
      <c r="OO438" s="457"/>
      <c r="OP438" s="457"/>
      <c r="OQ438" s="457"/>
      <c r="OR438" s="457"/>
      <c r="OS438" s="457"/>
      <c r="OT438" s="457"/>
      <c r="OU438" s="457"/>
      <c r="OV438" s="457"/>
      <c r="OW438" s="457"/>
      <c r="OX438" s="457"/>
      <c r="OY438" s="457"/>
      <c r="OZ438" s="457"/>
      <c r="PA438" s="457"/>
      <c r="PB438" s="457"/>
      <c r="PC438" s="457"/>
      <c r="PD438" s="457"/>
      <c r="PE438" s="457"/>
      <c r="PF438" s="457"/>
      <c r="PG438" s="457"/>
      <c r="PH438" s="457"/>
      <c r="PI438" s="457"/>
      <c r="PJ438" s="457"/>
      <c r="PK438" s="457"/>
      <c r="PL438" s="457"/>
      <c r="PM438" s="457"/>
      <c r="PN438" s="457"/>
      <c r="PO438" s="457"/>
      <c r="PP438" s="457"/>
      <c r="PQ438" s="457"/>
      <c r="PR438" s="457"/>
      <c r="PS438" s="457"/>
      <c r="PT438" s="457"/>
      <c r="PU438" s="457"/>
      <c r="PV438" s="457"/>
      <c r="PW438" s="457"/>
      <c r="PX438" s="457"/>
      <c r="PY438" s="457"/>
      <c r="PZ438" s="457"/>
      <c r="QA438" s="457"/>
      <c r="QB438" s="457"/>
      <c r="QC438" s="457"/>
      <c r="QD438" s="457"/>
      <c r="QE438" s="457"/>
      <c r="QF438" s="457"/>
      <c r="QG438" s="457"/>
      <c r="QH438" s="457"/>
      <c r="QI438" s="457"/>
      <c r="QJ438" s="457"/>
      <c r="QK438" s="457"/>
      <c r="QL438" s="457"/>
      <c r="QM438" s="457"/>
      <c r="QN438" s="457"/>
      <c r="QO438" s="457"/>
      <c r="QP438" s="457"/>
      <c r="QQ438" s="457"/>
      <c r="QR438" s="457"/>
      <c r="QS438" s="457"/>
      <c r="QT438" s="457"/>
      <c r="QU438" s="457"/>
      <c r="QV438" s="457"/>
      <c r="QW438" s="457"/>
      <c r="QX438" s="457"/>
      <c r="QY438" s="457"/>
      <c r="QZ438" s="457"/>
      <c r="RA438" s="457"/>
      <c r="RB438" s="457"/>
      <c r="RC438" s="457"/>
      <c r="RD438" s="457"/>
      <c r="RE438" s="457"/>
      <c r="RF438" s="457"/>
      <c r="RG438" s="457"/>
      <c r="RH438" s="457"/>
      <c r="RI438" s="457"/>
      <c r="RJ438" s="457"/>
      <c r="RK438" s="457"/>
      <c r="RL438" s="457"/>
      <c r="RM438" s="457"/>
      <c r="RN438" s="457"/>
      <c r="RO438" s="457"/>
      <c r="RP438" s="457"/>
      <c r="RQ438" s="457"/>
      <c r="RR438" s="457"/>
      <c r="RS438" s="457"/>
      <c r="RT438" s="457"/>
      <c r="RU438" s="457"/>
      <c r="RV438" s="457"/>
      <c r="RW438" s="457"/>
      <c r="RX438" s="457"/>
      <c r="RY438" s="457"/>
      <c r="RZ438" s="457"/>
      <c r="SA438" s="457"/>
      <c r="SB438" s="457"/>
      <c r="SC438" s="457"/>
      <c r="SD438" s="457"/>
      <c r="SE438" s="457"/>
      <c r="SF438" s="457"/>
      <c r="SG438" s="457"/>
      <c r="SH438" s="457"/>
      <c r="SI438" s="457"/>
      <c r="SJ438" s="457"/>
      <c r="SK438" s="457"/>
      <c r="SL438" s="457"/>
      <c r="SM438" s="457"/>
      <c r="SN438" s="457"/>
      <c r="SO438" s="457"/>
      <c r="SP438" s="457"/>
      <c r="SQ438" s="457"/>
      <c r="SR438" s="457"/>
      <c r="SS438" s="457"/>
      <c r="ST438" s="457"/>
      <c r="SU438" s="457"/>
      <c r="SV438" s="457"/>
      <c r="SW438" s="457"/>
      <c r="SX438" s="457"/>
      <c r="SY438" s="457"/>
      <c r="SZ438" s="457"/>
      <c r="TA438" s="457"/>
      <c r="TB438" s="457"/>
      <c r="TC438" s="457"/>
      <c r="TD438" s="457"/>
      <c r="TE438" s="457"/>
      <c r="TF438" s="457"/>
      <c r="TG438" s="457"/>
      <c r="TH438" s="457"/>
      <c r="TI438" s="457"/>
      <c r="TJ438" s="457"/>
      <c r="TK438" s="457"/>
      <c r="TL438" s="457"/>
      <c r="TM438" s="457"/>
      <c r="TN438" s="457"/>
      <c r="TO438" s="457"/>
      <c r="TP438" s="457"/>
      <c r="TQ438" s="457"/>
      <c r="TR438" s="457"/>
      <c r="TS438" s="457"/>
      <c r="TT438" s="457"/>
      <c r="TU438" s="457"/>
      <c r="TV438" s="457"/>
      <c r="TW438" s="457"/>
      <c r="TX438" s="457"/>
      <c r="TY438" s="457"/>
      <c r="TZ438" s="457"/>
      <c r="UA438" s="457"/>
      <c r="UB438" s="457"/>
      <c r="UC438" s="457"/>
      <c r="UD438" s="457"/>
      <c r="UE438" s="457"/>
      <c r="UF438" s="457"/>
      <c r="UG438" s="457"/>
      <c r="UH438" s="457"/>
      <c r="UI438" s="457"/>
      <c r="UJ438" s="457"/>
      <c r="UK438" s="457"/>
      <c r="UL438" s="457"/>
      <c r="UM438" s="457"/>
      <c r="UN438" s="457"/>
      <c r="UO438" s="457"/>
      <c r="UP438" s="457"/>
      <c r="UQ438" s="457"/>
      <c r="UR438" s="457"/>
      <c r="US438" s="457"/>
      <c r="UT438" s="457"/>
      <c r="UU438" s="457"/>
      <c r="UV438" s="457"/>
      <c r="UW438" s="457"/>
      <c r="UX438" s="457"/>
      <c r="UY438" s="457"/>
      <c r="UZ438" s="457"/>
      <c r="VA438" s="457"/>
      <c r="VB438" s="457"/>
      <c r="VC438" s="457"/>
      <c r="VD438" s="457"/>
      <c r="VE438" s="457"/>
      <c r="VF438" s="457"/>
      <c r="VG438" s="457"/>
      <c r="VH438" s="457"/>
      <c r="VI438" s="457"/>
      <c r="VJ438" s="457"/>
      <c r="VK438" s="457"/>
      <c r="VL438" s="457"/>
      <c r="VM438" s="457"/>
      <c r="VN438" s="457"/>
      <c r="VO438" s="457"/>
      <c r="VP438" s="457"/>
      <c r="VQ438" s="457"/>
      <c r="VR438" s="457"/>
      <c r="VS438" s="457"/>
      <c r="VT438" s="457"/>
      <c r="VU438" s="457"/>
      <c r="VV438" s="457"/>
      <c r="VW438" s="457"/>
      <c r="VX438" s="457"/>
      <c r="VY438" s="457"/>
      <c r="VZ438" s="457"/>
      <c r="WA438" s="457"/>
      <c r="WB438" s="457"/>
      <c r="WC438" s="457"/>
      <c r="WD438" s="457"/>
      <c r="WE438" s="457"/>
      <c r="WF438" s="457"/>
      <c r="WG438" s="457"/>
      <c r="WH438" s="457"/>
      <c r="WI438" s="457"/>
      <c r="WJ438" s="457"/>
      <c r="WK438" s="457"/>
      <c r="WL438" s="457"/>
      <c r="WM438" s="457"/>
      <c r="WN438" s="457"/>
      <c r="WO438" s="457"/>
      <c r="WP438" s="457"/>
      <c r="WQ438" s="457"/>
      <c r="WR438" s="457"/>
      <c r="WS438" s="457"/>
      <c r="WT438" s="457"/>
      <c r="WU438" s="457"/>
      <c r="WV438" s="457"/>
      <c r="WW438" s="457"/>
      <c r="WX438" s="457"/>
      <c r="WY438" s="457"/>
      <c r="WZ438" s="457"/>
      <c r="XA438" s="457"/>
      <c r="XB438" s="457"/>
      <c r="XC438" s="457"/>
      <c r="XD438" s="457"/>
      <c r="XE438" s="457"/>
      <c r="XF438" s="457"/>
      <c r="XG438" s="457"/>
      <c r="XH438" s="457"/>
      <c r="XI438" s="457"/>
      <c r="XJ438" s="457"/>
      <c r="XK438" s="457"/>
      <c r="XL438" s="457"/>
      <c r="XM438" s="457"/>
      <c r="XN438" s="457"/>
      <c r="XO438" s="457"/>
      <c r="XP438" s="457"/>
      <c r="XQ438" s="457"/>
      <c r="XR438" s="457"/>
      <c r="XS438" s="457"/>
      <c r="XT438" s="457"/>
      <c r="XU438" s="457"/>
      <c r="XV438" s="457"/>
      <c r="XW438" s="457"/>
      <c r="XX438" s="457"/>
      <c r="XY438" s="457"/>
      <c r="XZ438" s="457"/>
      <c r="YA438" s="457"/>
      <c r="YB438" s="457"/>
      <c r="YC438" s="457"/>
      <c r="YD438" s="457"/>
      <c r="YE438" s="457"/>
      <c r="YF438" s="457"/>
      <c r="YG438" s="457"/>
      <c r="YH438" s="457"/>
      <c r="YI438" s="457"/>
      <c r="YJ438" s="457"/>
      <c r="YK438" s="457"/>
      <c r="YL438" s="457"/>
      <c r="YM438" s="457"/>
      <c r="YN438" s="457"/>
      <c r="YO438" s="457"/>
      <c r="YP438" s="457"/>
      <c r="YQ438" s="457"/>
      <c r="YR438" s="457"/>
      <c r="YS438" s="457"/>
      <c r="YT438" s="457"/>
      <c r="YU438" s="457"/>
      <c r="YV438" s="457"/>
      <c r="YW438" s="457"/>
      <c r="YX438" s="457"/>
      <c r="YY438" s="457"/>
      <c r="YZ438" s="457"/>
      <c r="ZA438" s="457"/>
      <c r="ZB438" s="457"/>
      <c r="ZC438" s="457"/>
      <c r="ZD438" s="457"/>
      <c r="ZE438" s="457"/>
      <c r="ZF438" s="457"/>
      <c r="ZG438" s="457"/>
      <c r="ZH438" s="457"/>
      <c r="ZI438" s="457"/>
      <c r="ZJ438" s="457"/>
      <c r="ZK438" s="457"/>
      <c r="ZL438" s="457"/>
      <c r="ZM438" s="457"/>
      <c r="ZN438" s="457"/>
      <c r="ZO438" s="457"/>
      <c r="ZP438" s="457"/>
      <c r="ZQ438" s="457"/>
      <c r="ZR438" s="457"/>
      <c r="ZS438" s="457"/>
      <c r="ZT438" s="457"/>
      <c r="ZU438" s="457"/>
      <c r="ZV438" s="457"/>
      <c r="ZW438" s="457"/>
      <c r="ZX438" s="457"/>
      <c r="ZY438" s="457"/>
      <c r="ZZ438" s="457"/>
      <c r="AAA438" s="457"/>
      <c r="AAB438" s="457"/>
      <c r="AAC438" s="457"/>
      <c r="AAD438" s="457"/>
      <c r="AAE438" s="457"/>
      <c r="AAF438" s="457"/>
      <c r="AAG438" s="457"/>
      <c r="AAH438" s="457"/>
      <c r="AAI438" s="457"/>
      <c r="AAJ438" s="457"/>
      <c r="AAK438" s="457"/>
      <c r="AAL438" s="457"/>
      <c r="AAM438" s="457"/>
      <c r="AAN438" s="457"/>
      <c r="AAO438" s="457"/>
      <c r="AAP438" s="457"/>
      <c r="AAQ438" s="457"/>
      <c r="AAR438" s="457"/>
      <c r="AAS438" s="457"/>
      <c r="AAT438" s="457"/>
      <c r="AAU438" s="457"/>
      <c r="AAV438" s="457"/>
      <c r="AAW438" s="457"/>
      <c r="AAX438" s="457"/>
      <c r="AAY438" s="457"/>
      <c r="AAZ438" s="457"/>
      <c r="ABA438" s="457"/>
      <c r="ABB438" s="457"/>
      <c r="ABC438" s="457"/>
      <c r="ABD438" s="457"/>
      <c r="ABE438" s="457"/>
      <c r="ABF438" s="457"/>
      <c r="ABG438" s="457"/>
      <c r="ABH438" s="457"/>
      <c r="ABI438" s="457"/>
      <c r="ABJ438" s="457"/>
      <c r="ABK438" s="457"/>
      <c r="ABL438" s="457"/>
      <c r="ABM438" s="457"/>
      <c r="ABN438" s="457"/>
      <c r="ABO438" s="457"/>
      <c r="ABP438" s="457"/>
      <c r="ABQ438" s="457"/>
      <c r="ABR438" s="457"/>
      <c r="ABS438" s="457"/>
      <c r="ABT438" s="457"/>
      <c r="ABU438" s="457"/>
      <c r="ABV438" s="457"/>
      <c r="ABW438" s="457"/>
      <c r="ABX438" s="457"/>
      <c r="ABY438" s="457"/>
      <c r="ABZ438" s="457"/>
      <c r="ACA438" s="457"/>
      <c r="ACB438" s="457"/>
      <c r="ACC438" s="457"/>
      <c r="ACD438" s="457"/>
      <c r="ACE438" s="457"/>
      <c r="ACF438" s="457"/>
      <c r="ACG438" s="457"/>
      <c r="ACH438" s="457"/>
      <c r="ACI438" s="457"/>
      <c r="ACJ438" s="457"/>
      <c r="ACK438" s="457"/>
      <c r="ACL438" s="457"/>
      <c r="ACM438" s="457"/>
      <c r="ACN438" s="457"/>
      <c r="ACO438" s="457"/>
      <c r="ACP438" s="457"/>
      <c r="ACQ438" s="457"/>
      <c r="ACR438" s="457"/>
      <c r="ACS438" s="457"/>
      <c r="ACT438" s="457"/>
      <c r="ACU438" s="457"/>
      <c r="ACV438" s="457"/>
    </row>
    <row r="439" spans="1:776" s="400" customFormat="1" x14ac:dyDescent="0.25">
      <c r="A439" s="470">
        <v>900152</v>
      </c>
      <c r="B439" s="237" t="s">
        <v>348</v>
      </c>
      <c r="C439" s="455"/>
      <c r="D439" s="454" t="s">
        <v>349</v>
      </c>
      <c r="E439" s="454">
        <v>0.84899999999999998</v>
      </c>
      <c r="F439" s="456">
        <v>33.299999999999997</v>
      </c>
      <c r="G439" s="454">
        <v>0.01</v>
      </c>
      <c r="H439" s="454">
        <v>0.11</v>
      </c>
      <c r="I439" s="456">
        <v>82.17</v>
      </c>
      <c r="J439" s="454">
        <v>38.51</v>
      </c>
      <c r="K439" s="454">
        <v>0.01</v>
      </c>
      <c r="L439" s="456">
        <v>237.6</v>
      </c>
      <c r="M439" s="454">
        <v>0.01</v>
      </c>
      <c r="N439" s="454">
        <v>2.4700000000000002</v>
      </c>
      <c r="O439" s="454">
        <v>29.73</v>
      </c>
      <c r="P439" s="454">
        <v>81.75</v>
      </c>
      <c r="Q439" s="454">
        <v>46.03</v>
      </c>
      <c r="R439" s="454">
        <v>0.02</v>
      </c>
      <c r="S439" s="454">
        <v>0.01</v>
      </c>
      <c r="T439" s="454">
        <v>0.01</v>
      </c>
      <c r="U439" s="454">
        <v>0.01</v>
      </c>
      <c r="V439" s="454"/>
      <c r="W439" s="457"/>
      <c r="X439" s="457"/>
      <c r="Y439" s="457"/>
      <c r="Z439" s="457"/>
      <c r="AA439" s="457"/>
      <c r="AB439" s="457"/>
      <c r="AC439" s="457"/>
      <c r="AD439" s="457"/>
      <c r="AE439" s="457"/>
      <c r="AF439" s="457"/>
      <c r="AG439" s="457"/>
      <c r="AH439" s="457"/>
      <c r="AI439" s="457"/>
      <c r="AJ439" s="457"/>
      <c r="AK439" s="457"/>
      <c r="AL439" s="457"/>
      <c r="AM439" s="457"/>
      <c r="AN439" s="457"/>
      <c r="AO439" s="457"/>
      <c r="AP439" s="457"/>
      <c r="AQ439" s="457"/>
      <c r="AR439" s="457"/>
      <c r="AS439" s="457"/>
      <c r="AT439" s="457"/>
      <c r="AU439" s="457"/>
      <c r="AV439" s="457"/>
      <c r="AW439" s="457"/>
      <c r="AX439" s="457"/>
      <c r="AY439" s="457"/>
      <c r="AZ439" s="457"/>
      <c r="BA439" s="457"/>
      <c r="BB439" s="457"/>
      <c r="BC439" s="457"/>
      <c r="BD439" s="457"/>
      <c r="BE439" s="457"/>
      <c r="BF439" s="457"/>
      <c r="BG439" s="457"/>
      <c r="BH439" s="457"/>
      <c r="BI439" s="457"/>
      <c r="BJ439" s="457"/>
      <c r="BK439" s="457"/>
      <c r="BL439" s="457"/>
      <c r="BM439" s="457"/>
      <c r="BN439" s="457"/>
      <c r="BO439" s="457"/>
      <c r="BP439" s="457"/>
      <c r="BQ439" s="457"/>
      <c r="BR439" s="457"/>
      <c r="BS439" s="457"/>
      <c r="BT439" s="457"/>
      <c r="BU439" s="457"/>
      <c r="BV439" s="457"/>
      <c r="BW439" s="457"/>
      <c r="BX439" s="457"/>
      <c r="BY439" s="457"/>
      <c r="BZ439" s="457"/>
      <c r="CA439" s="457"/>
      <c r="CB439" s="457"/>
      <c r="CC439" s="457"/>
      <c r="CD439" s="457"/>
      <c r="CE439" s="457"/>
      <c r="CF439" s="457"/>
      <c r="CG439" s="457"/>
      <c r="CH439" s="457"/>
      <c r="CI439" s="457"/>
      <c r="CJ439" s="457"/>
      <c r="CK439" s="457"/>
      <c r="CL439" s="457"/>
      <c r="CM439" s="457"/>
      <c r="CN439" s="457"/>
      <c r="CO439" s="457"/>
      <c r="CP439" s="457"/>
      <c r="CQ439" s="457"/>
      <c r="CR439" s="457"/>
      <c r="CS439" s="457"/>
      <c r="CT439" s="457"/>
      <c r="CU439" s="457"/>
      <c r="CV439" s="457"/>
      <c r="CW439" s="457"/>
      <c r="CX439" s="457"/>
      <c r="CY439" s="457"/>
      <c r="CZ439" s="457"/>
      <c r="DA439" s="457"/>
      <c r="DB439" s="457"/>
      <c r="DC439" s="457"/>
      <c r="DD439" s="457"/>
      <c r="DE439" s="457"/>
      <c r="DF439" s="457"/>
      <c r="DG439" s="457"/>
      <c r="DH439" s="457"/>
      <c r="DI439" s="457"/>
      <c r="DJ439" s="457"/>
      <c r="DK439" s="457"/>
      <c r="DL439" s="457"/>
      <c r="DM439" s="457"/>
      <c r="DN439" s="457"/>
      <c r="DO439" s="457"/>
      <c r="DP439" s="457"/>
      <c r="DQ439" s="457"/>
      <c r="DR439" s="457"/>
      <c r="DS439" s="457"/>
      <c r="DT439" s="457"/>
      <c r="DU439" s="457"/>
      <c r="DV439" s="457"/>
      <c r="DW439" s="457"/>
      <c r="DX439" s="457"/>
      <c r="DY439" s="457"/>
      <c r="DZ439" s="457"/>
      <c r="EA439" s="457"/>
      <c r="EB439" s="457"/>
      <c r="EC439" s="457"/>
      <c r="ED439" s="457"/>
      <c r="EE439" s="457"/>
      <c r="EF439" s="457"/>
      <c r="EG439" s="457"/>
      <c r="EH439" s="457"/>
      <c r="EI439" s="457"/>
      <c r="EJ439" s="457"/>
      <c r="EK439" s="457"/>
      <c r="EL439" s="457"/>
      <c r="EM439" s="457"/>
      <c r="EN439" s="457"/>
      <c r="EO439" s="457"/>
      <c r="EP439" s="457"/>
      <c r="EQ439" s="457"/>
      <c r="ER439" s="457"/>
      <c r="ES439" s="457"/>
      <c r="ET439" s="457"/>
      <c r="EU439" s="457"/>
      <c r="EV439" s="457"/>
      <c r="EW439" s="457"/>
      <c r="EX439" s="457"/>
      <c r="EY439" s="457"/>
      <c r="EZ439" s="457"/>
      <c r="FA439" s="457"/>
      <c r="FB439" s="457"/>
      <c r="FC439" s="457"/>
      <c r="FD439" s="457"/>
      <c r="FE439" s="457"/>
      <c r="FF439" s="457"/>
      <c r="FG439" s="457"/>
      <c r="FH439" s="457"/>
      <c r="FI439" s="457"/>
      <c r="FJ439" s="457"/>
      <c r="FK439" s="457"/>
      <c r="FL439" s="457"/>
      <c r="FM439" s="457"/>
      <c r="FN439" s="457"/>
      <c r="FO439" s="457"/>
      <c r="FP439" s="457"/>
      <c r="FQ439" s="457"/>
      <c r="FR439" s="457"/>
      <c r="FS439" s="457"/>
      <c r="FT439" s="457"/>
      <c r="FU439" s="457"/>
      <c r="FV439" s="457"/>
      <c r="FW439" s="457"/>
      <c r="FX439" s="457"/>
      <c r="FY439" s="457"/>
      <c r="FZ439" s="457"/>
      <c r="GA439" s="457"/>
      <c r="GB439" s="457"/>
      <c r="GC439" s="457"/>
      <c r="GD439" s="457"/>
      <c r="GE439" s="457"/>
      <c r="GF439" s="457"/>
      <c r="GG439" s="457"/>
      <c r="GH439" s="457"/>
      <c r="GI439" s="457"/>
      <c r="GJ439" s="457"/>
      <c r="GK439" s="457"/>
      <c r="GL439" s="457"/>
      <c r="GM439" s="457"/>
      <c r="GN439" s="457"/>
      <c r="GO439" s="457"/>
      <c r="GP439" s="457"/>
      <c r="GQ439" s="457"/>
      <c r="GR439" s="457"/>
      <c r="GS439" s="457"/>
      <c r="GT439" s="457"/>
      <c r="GU439" s="457"/>
      <c r="GV439" s="457"/>
      <c r="GW439" s="457"/>
      <c r="GX439" s="457"/>
      <c r="GY439" s="457"/>
      <c r="GZ439" s="457"/>
      <c r="HA439" s="457"/>
      <c r="HB439" s="457"/>
      <c r="HC439" s="457"/>
      <c r="HD439" s="457"/>
      <c r="HE439" s="457"/>
      <c r="HF439" s="457"/>
      <c r="HG439" s="457"/>
      <c r="HH439" s="457"/>
      <c r="HI439" s="457"/>
      <c r="HJ439" s="457"/>
      <c r="HK439" s="457"/>
      <c r="HL439" s="457"/>
      <c r="HM439" s="457"/>
      <c r="HN439" s="457"/>
      <c r="HO439" s="457"/>
      <c r="HP439" s="457"/>
      <c r="HQ439" s="457"/>
      <c r="HR439" s="457"/>
      <c r="HS439" s="457"/>
      <c r="HT439" s="457"/>
      <c r="HU439" s="457"/>
      <c r="HV439" s="457"/>
      <c r="HW439" s="457"/>
      <c r="HX439" s="457"/>
      <c r="HY439" s="457"/>
      <c r="HZ439" s="457"/>
      <c r="IA439" s="457"/>
      <c r="IB439" s="457"/>
      <c r="IC439" s="457"/>
      <c r="ID439" s="457"/>
      <c r="IE439" s="457"/>
      <c r="IF439" s="457"/>
      <c r="IG439" s="457"/>
      <c r="IH439" s="457"/>
      <c r="II439" s="457"/>
      <c r="IJ439" s="457"/>
      <c r="IK439" s="457"/>
      <c r="IL439" s="457"/>
      <c r="IM439" s="457"/>
      <c r="IN439" s="457"/>
      <c r="IO439" s="457"/>
      <c r="IP439" s="457"/>
      <c r="IQ439" s="457"/>
      <c r="IR439" s="457"/>
      <c r="IS439" s="457"/>
      <c r="IT439" s="457"/>
      <c r="IU439" s="457"/>
      <c r="IV439" s="457"/>
      <c r="IW439" s="457"/>
      <c r="IX439" s="457"/>
      <c r="IY439" s="457"/>
      <c r="IZ439" s="457"/>
      <c r="JA439" s="457"/>
      <c r="JB439" s="457"/>
      <c r="JC439" s="457"/>
      <c r="JD439" s="457"/>
      <c r="JE439" s="457"/>
      <c r="JF439" s="457"/>
      <c r="JG439" s="457"/>
      <c r="JH439" s="457"/>
      <c r="JI439" s="457"/>
      <c r="JJ439" s="457"/>
      <c r="JK439" s="457"/>
      <c r="JL439" s="457"/>
      <c r="JM439" s="457"/>
      <c r="JN439" s="457"/>
      <c r="JO439" s="457"/>
      <c r="JP439" s="457"/>
      <c r="JQ439" s="457"/>
      <c r="JR439" s="457"/>
      <c r="JS439" s="457"/>
      <c r="JT439" s="457"/>
      <c r="JU439" s="457"/>
      <c r="JV439" s="457"/>
      <c r="JW439" s="457"/>
      <c r="JX439" s="457"/>
      <c r="JY439" s="457"/>
      <c r="JZ439" s="457"/>
      <c r="KA439" s="457"/>
      <c r="KB439" s="457"/>
      <c r="KC439" s="457"/>
      <c r="KD439" s="457"/>
      <c r="KE439" s="457"/>
      <c r="KF439" s="457"/>
      <c r="KG439" s="457"/>
      <c r="KH439" s="457"/>
      <c r="KI439" s="457"/>
      <c r="KJ439" s="457"/>
      <c r="KK439" s="457"/>
      <c r="KL439" s="457"/>
      <c r="KM439" s="457"/>
      <c r="KN439" s="457"/>
      <c r="KO439" s="457"/>
      <c r="KP439" s="457"/>
      <c r="KQ439" s="457"/>
      <c r="KR439" s="457"/>
      <c r="KS439" s="457"/>
      <c r="KT439" s="457"/>
      <c r="KU439" s="457"/>
      <c r="KV439" s="457"/>
      <c r="KW439" s="457"/>
      <c r="KX439" s="457"/>
      <c r="KY439" s="457"/>
      <c r="KZ439" s="457"/>
      <c r="LA439" s="457"/>
      <c r="LB439" s="457"/>
      <c r="LC439" s="457"/>
      <c r="LD439" s="457"/>
      <c r="LE439" s="457"/>
      <c r="LF439" s="457"/>
      <c r="LG439" s="457"/>
      <c r="LH439" s="457"/>
      <c r="LI439" s="457"/>
      <c r="LJ439" s="457"/>
      <c r="LK439" s="457"/>
      <c r="LL439" s="457"/>
      <c r="LM439" s="457"/>
      <c r="LN439" s="457"/>
      <c r="LO439" s="457"/>
      <c r="LP439" s="457"/>
      <c r="LQ439" s="457"/>
      <c r="LR439" s="457"/>
      <c r="LS439" s="457"/>
      <c r="LT439" s="457"/>
      <c r="LU439" s="457"/>
      <c r="LV439" s="457"/>
      <c r="LW439" s="457"/>
      <c r="LX439" s="457"/>
      <c r="LY439" s="457"/>
      <c r="LZ439" s="457"/>
      <c r="MA439" s="457"/>
      <c r="MB439" s="457"/>
      <c r="MC439" s="457"/>
      <c r="MD439" s="457"/>
      <c r="ME439" s="457"/>
      <c r="MF439" s="457"/>
      <c r="MG439" s="457"/>
      <c r="MH439" s="457"/>
      <c r="MI439" s="457"/>
      <c r="MJ439" s="457"/>
      <c r="MK439" s="457"/>
      <c r="ML439" s="457"/>
      <c r="MM439" s="457"/>
      <c r="MN439" s="457"/>
      <c r="MO439" s="457"/>
      <c r="MP439" s="457"/>
      <c r="MQ439" s="457"/>
      <c r="MR439" s="457"/>
      <c r="MS439" s="457"/>
      <c r="MT439" s="457"/>
      <c r="MU439" s="457"/>
      <c r="MV439" s="457"/>
      <c r="MW439" s="457"/>
      <c r="MX439" s="457"/>
      <c r="MY439" s="457"/>
      <c r="MZ439" s="457"/>
      <c r="NA439" s="457"/>
      <c r="NB439" s="457"/>
      <c r="NC439" s="457"/>
      <c r="ND439" s="457"/>
      <c r="NE439" s="457"/>
      <c r="NF439" s="457"/>
      <c r="NG439" s="457"/>
      <c r="NH439" s="457"/>
      <c r="NI439" s="457"/>
      <c r="NJ439" s="457"/>
      <c r="NK439" s="457"/>
      <c r="NL439" s="457"/>
      <c r="NM439" s="457"/>
      <c r="NN439" s="457"/>
      <c r="NO439" s="457"/>
      <c r="NP439" s="457"/>
      <c r="NQ439" s="457"/>
      <c r="NR439" s="457"/>
      <c r="NS439" s="457"/>
      <c r="NT439" s="457"/>
      <c r="NU439" s="457"/>
      <c r="NV439" s="457"/>
      <c r="NW439" s="457"/>
      <c r="NX439" s="457"/>
      <c r="NY439" s="457"/>
      <c r="NZ439" s="457"/>
      <c r="OA439" s="457"/>
      <c r="OB439" s="457"/>
      <c r="OC439" s="457"/>
      <c r="OD439" s="457"/>
      <c r="OE439" s="457"/>
      <c r="OF439" s="457"/>
      <c r="OG439" s="457"/>
      <c r="OH439" s="457"/>
      <c r="OI439" s="457"/>
      <c r="OJ439" s="457"/>
      <c r="OK439" s="457"/>
      <c r="OL439" s="457"/>
      <c r="OM439" s="457"/>
      <c r="ON439" s="457"/>
      <c r="OO439" s="457"/>
      <c r="OP439" s="457"/>
      <c r="OQ439" s="457"/>
      <c r="OR439" s="457"/>
      <c r="OS439" s="457"/>
      <c r="OT439" s="457"/>
      <c r="OU439" s="457"/>
      <c r="OV439" s="457"/>
      <c r="OW439" s="457"/>
      <c r="OX439" s="457"/>
      <c r="OY439" s="457"/>
      <c r="OZ439" s="457"/>
      <c r="PA439" s="457"/>
      <c r="PB439" s="457"/>
      <c r="PC439" s="457"/>
      <c r="PD439" s="457"/>
      <c r="PE439" s="457"/>
      <c r="PF439" s="457"/>
      <c r="PG439" s="457"/>
      <c r="PH439" s="457"/>
      <c r="PI439" s="457"/>
      <c r="PJ439" s="457"/>
      <c r="PK439" s="457"/>
      <c r="PL439" s="457"/>
      <c r="PM439" s="457"/>
      <c r="PN439" s="457"/>
      <c r="PO439" s="457"/>
      <c r="PP439" s="457"/>
      <c r="PQ439" s="457"/>
      <c r="PR439" s="457"/>
      <c r="PS439" s="457"/>
      <c r="PT439" s="457"/>
      <c r="PU439" s="457"/>
      <c r="PV439" s="457"/>
      <c r="PW439" s="457"/>
      <c r="PX439" s="457"/>
      <c r="PY439" s="457"/>
      <c r="PZ439" s="457"/>
      <c r="QA439" s="457"/>
      <c r="QB439" s="457"/>
      <c r="QC439" s="457"/>
      <c r="QD439" s="457"/>
      <c r="QE439" s="457"/>
      <c r="QF439" s="457"/>
      <c r="QG439" s="457"/>
      <c r="QH439" s="457"/>
      <c r="QI439" s="457"/>
      <c r="QJ439" s="457"/>
      <c r="QK439" s="457"/>
      <c r="QL439" s="457"/>
      <c r="QM439" s="457"/>
      <c r="QN439" s="457"/>
      <c r="QO439" s="457"/>
      <c r="QP439" s="457"/>
      <c r="QQ439" s="457"/>
      <c r="QR439" s="457"/>
      <c r="QS439" s="457"/>
      <c r="QT439" s="457"/>
      <c r="QU439" s="457"/>
      <c r="QV439" s="457"/>
      <c r="QW439" s="457"/>
      <c r="QX439" s="457"/>
      <c r="QY439" s="457"/>
      <c r="QZ439" s="457"/>
      <c r="RA439" s="457"/>
      <c r="RB439" s="457"/>
      <c r="RC439" s="457"/>
      <c r="RD439" s="457"/>
      <c r="RE439" s="457"/>
      <c r="RF439" s="457"/>
      <c r="RG439" s="457"/>
      <c r="RH439" s="457"/>
      <c r="RI439" s="457"/>
      <c r="RJ439" s="457"/>
      <c r="RK439" s="457"/>
      <c r="RL439" s="457"/>
      <c r="RM439" s="457"/>
      <c r="RN439" s="457"/>
      <c r="RO439" s="457"/>
      <c r="RP439" s="457"/>
      <c r="RQ439" s="457"/>
      <c r="RR439" s="457"/>
      <c r="RS439" s="457"/>
      <c r="RT439" s="457"/>
      <c r="RU439" s="457"/>
      <c r="RV439" s="457"/>
      <c r="RW439" s="457"/>
      <c r="RX439" s="457"/>
      <c r="RY439" s="457"/>
      <c r="RZ439" s="457"/>
      <c r="SA439" s="457"/>
      <c r="SB439" s="457"/>
      <c r="SC439" s="457"/>
      <c r="SD439" s="457"/>
      <c r="SE439" s="457"/>
      <c r="SF439" s="457"/>
      <c r="SG439" s="457"/>
      <c r="SH439" s="457"/>
      <c r="SI439" s="457"/>
      <c r="SJ439" s="457"/>
      <c r="SK439" s="457"/>
      <c r="SL439" s="457"/>
      <c r="SM439" s="457"/>
      <c r="SN439" s="457"/>
      <c r="SO439" s="457"/>
      <c r="SP439" s="457"/>
      <c r="SQ439" s="457"/>
      <c r="SR439" s="457"/>
      <c r="SS439" s="457"/>
      <c r="ST439" s="457"/>
      <c r="SU439" s="457"/>
      <c r="SV439" s="457"/>
      <c r="SW439" s="457"/>
      <c r="SX439" s="457"/>
      <c r="SY439" s="457"/>
      <c r="SZ439" s="457"/>
      <c r="TA439" s="457"/>
      <c r="TB439" s="457"/>
      <c r="TC439" s="457"/>
      <c r="TD439" s="457"/>
      <c r="TE439" s="457"/>
      <c r="TF439" s="457"/>
      <c r="TG439" s="457"/>
      <c r="TH439" s="457"/>
      <c r="TI439" s="457"/>
      <c r="TJ439" s="457"/>
      <c r="TK439" s="457"/>
      <c r="TL439" s="457"/>
      <c r="TM439" s="457"/>
      <c r="TN439" s="457"/>
      <c r="TO439" s="457"/>
      <c r="TP439" s="457"/>
      <c r="TQ439" s="457"/>
      <c r="TR439" s="457"/>
      <c r="TS439" s="457"/>
      <c r="TT439" s="457"/>
      <c r="TU439" s="457"/>
      <c r="TV439" s="457"/>
      <c r="TW439" s="457"/>
      <c r="TX439" s="457"/>
      <c r="TY439" s="457"/>
      <c r="TZ439" s="457"/>
      <c r="UA439" s="457"/>
      <c r="UB439" s="457"/>
      <c r="UC439" s="457"/>
      <c r="UD439" s="457"/>
      <c r="UE439" s="457"/>
      <c r="UF439" s="457"/>
      <c r="UG439" s="457"/>
      <c r="UH439" s="457"/>
      <c r="UI439" s="457"/>
      <c r="UJ439" s="457"/>
      <c r="UK439" s="457"/>
      <c r="UL439" s="457"/>
      <c r="UM439" s="457"/>
      <c r="UN439" s="457"/>
      <c r="UO439" s="457"/>
      <c r="UP439" s="457"/>
      <c r="UQ439" s="457"/>
      <c r="UR439" s="457"/>
      <c r="US439" s="457"/>
      <c r="UT439" s="457"/>
      <c r="UU439" s="457"/>
      <c r="UV439" s="457"/>
      <c r="UW439" s="457"/>
      <c r="UX439" s="457"/>
      <c r="UY439" s="457"/>
      <c r="UZ439" s="457"/>
      <c r="VA439" s="457"/>
      <c r="VB439" s="457"/>
      <c r="VC439" s="457"/>
      <c r="VD439" s="457"/>
      <c r="VE439" s="457"/>
      <c r="VF439" s="457"/>
      <c r="VG439" s="457"/>
      <c r="VH439" s="457"/>
      <c r="VI439" s="457"/>
      <c r="VJ439" s="457"/>
      <c r="VK439" s="457"/>
      <c r="VL439" s="457"/>
      <c r="VM439" s="457"/>
      <c r="VN439" s="457"/>
      <c r="VO439" s="457"/>
      <c r="VP439" s="457"/>
      <c r="VQ439" s="457"/>
      <c r="VR439" s="457"/>
      <c r="VS439" s="457"/>
      <c r="VT439" s="457"/>
      <c r="VU439" s="457"/>
      <c r="VV439" s="457"/>
      <c r="VW439" s="457"/>
      <c r="VX439" s="457"/>
      <c r="VY439" s="457"/>
      <c r="VZ439" s="457"/>
      <c r="WA439" s="457"/>
      <c r="WB439" s="457"/>
      <c r="WC439" s="457"/>
      <c r="WD439" s="457"/>
      <c r="WE439" s="457"/>
      <c r="WF439" s="457"/>
      <c r="WG439" s="457"/>
      <c r="WH439" s="457"/>
      <c r="WI439" s="457"/>
      <c r="WJ439" s="457"/>
      <c r="WK439" s="457"/>
      <c r="WL439" s="457"/>
      <c r="WM439" s="457"/>
      <c r="WN439" s="457"/>
      <c r="WO439" s="457"/>
      <c r="WP439" s="457"/>
      <c r="WQ439" s="457"/>
      <c r="WR439" s="457"/>
      <c r="WS439" s="457"/>
      <c r="WT439" s="457"/>
      <c r="WU439" s="457"/>
      <c r="WV439" s="457"/>
      <c r="WW439" s="457"/>
      <c r="WX439" s="457"/>
      <c r="WY439" s="457"/>
      <c r="WZ439" s="457"/>
      <c r="XA439" s="457"/>
      <c r="XB439" s="457"/>
      <c r="XC439" s="457"/>
      <c r="XD439" s="457"/>
      <c r="XE439" s="457"/>
      <c r="XF439" s="457"/>
      <c r="XG439" s="457"/>
      <c r="XH439" s="457"/>
      <c r="XI439" s="457"/>
      <c r="XJ439" s="457"/>
      <c r="XK439" s="457"/>
      <c r="XL439" s="457"/>
      <c r="XM439" s="457"/>
      <c r="XN439" s="457"/>
      <c r="XO439" s="457"/>
      <c r="XP439" s="457"/>
      <c r="XQ439" s="457"/>
      <c r="XR439" s="457"/>
      <c r="XS439" s="457"/>
      <c r="XT439" s="457"/>
      <c r="XU439" s="457"/>
      <c r="XV439" s="457"/>
      <c r="XW439" s="457"/>
      <c r="XX439" s="457"/>
      <c r="XY439" s="457"/>
      <c r="XZ439" s="457"/>
      <c r="YA439" s="457"/>
      <c r="YB439" s="457"/>
      <c r="YC439" s="457"/>
      <c r="YD439" s="457"/>
      <c r="YE439" s="457"/>
      <c r="YF439" s="457"/>
      <c r="YG439" s="457"/>
      <c r="YH439" s="457"/>
      <c r="YI439" s="457"/>
      <c r="YJ439" s="457"/>
      <c r="YK439" s="457"/>
      <c r="YL439" s="457"/>
      <c r="YM439" s="457"/>
      <c r="YN439" s="457"/>
      <c r="YO439" s="457"/>
      <c r="YP439" s="457"/>
      <c r="YQ439" s="457"/>
      <c r="YR439" s="457"/>
      <c r="YS439" s="457"/>
      <c r="YT439" s="457"/>
      <c r="YU439" s="457"/>
      <c r="YV439" s="457"/>
      <c r="YW439" s="457"/>
      <c r="YX439" s="457"/>
      <c r="YY439" s="457"/>
      <c r="YZ439" s="457"/>
      <c r="ZA439" s="457"/>
      <c r="ZB439" s="457"/>
      <c r="ZC439" s="457"/>
      <c r="ZD439" s="457"/>
      <c r="ZE439" s="457"/>
      <c r="ZF439" s="457"/>
      <c r="ZG439" s="457"/>
      <c r="ZH439" s="457"/>
      <c r="ZI439" s="457"/>
      <c r="ZJ439" s="457"/>
      <c r="ZK439" s="457"/>
      <c r="ZL439" s="457"/>
      <c r="ZM439" s="457"/>
      <c r="ZN439" s="457"/>
      <c r="ZO439" s="457"/>
      <c r="ZP439" s="457"/>
      <c r="ZQ439" s="457"/>
      <c r="ZR439" s="457"/>
      <c r="ZS439" s="457"/>
      <c r="ZT439" s="457"/>
      <c r="ZU439" s="457"/>
      <c r="ZV439" s="457"/>
      <c r="ZW439" s="457"/>
      <c r="ZX439" s="457"/>
      <c r="ZY439" s="457"/>
      <c r="ZZ439" s="457"/>
      <c r="AAA439" s="457"/>
      <c r="AAB439" s="457"/>
      <c r="AAC439" s="457"/>
      <c r="AAD439" s="457"/>
      <c r="AAE439" s="457"/>
      <c r="AAF439" s="457"/>
      <c r="AAG439" s="457"/>
      <c r="AAH439" s="457"/>
      <c r="AAI439" s="457"/>
      <c r="AAJ439" s="457"/>
      <c r="AAK439" s="457"/>
      <c r="AAL439" s="457"/>
      <c r="AAM439" s="457"/>
      <c r="AAN439" s="457"/>
      <c r="AAO439" s="457"/>
      <c r="AAP439" s="457"/>
      <c r="AAQ439" s="457"/>
      <c r="AAR439" s="457"/>
      <c r="AAS439" s="457"/>
      <c r="AAT439" s="457"/>
      <c r="AAU439" s="457"/>
      <c r="AAV439" s="457"/>
      <c r="AAW439" s="457"/>
      <c r="AAX439" s="457"/>
      <c r="AAY439" s="457"/>
      <c r="AAZ439" s="457"/>
      <c r="ABA439" s="457"/>
      <c r="ABB439" s="457"/>
      <c r="ABC439" s="457"/>
      <c r="ABD439" s="457"/>
      <c r="ABE439" s="457"/>
      <c r="ABF439" s="457"/>
      <c r="ABG439" s="457"/>
      <c r="ABH439" s="457"/>
      <c r="ABI439" s="457"/>
      <c r="ABJ439" s="457"/>
      <c r="ABK439" s="457"/>
      <c r="ABL439" s="457"/>
      <c r="ABM439" s="457"/>
      <c r="ABN439" s="457"/>
      <c r="ABO439" s="457"/>
      <c r="ABP439" s="457"/>
      <c r="ABQ439" s="457"/>
      <c r="ABR439" s="457"/>
      <c r="ABS439" s="457"/>
      <c r="ABT439" s="457"/>
      <c r="ABU439" s="457"/>
      <c r="ABV439" s="457"/>
      <c r="ABW439" s="457"/>
      <c r="ABX439" s="457"/>
      <c r="ABY439" s="457"/>
      <c r="ABZ439" s="457"/>
      <c r="ACA439" s="457"/>
      <c r="ACB439" s="457"/>
      <c r="ACC439" s="457"/>
      <c r="ACD439" s="457"/>
      <c r="ACE439" s="457"/>
      <c r="ACF439" s="457"/>
      <c r="ACG439" s="457"/>
      <c r="ACH439" s="457"/>
      <c r="ACI439" s="457"/>
      <c r="ACJ439" s="457"/>
      <c r="ACK439" s="457"/>
      <c r="ACL439" s="457"/>
      <c r="ACM439" s="457"/>
      <c r="ACN439" s="457"/>
      <c r="ACO439" s="457"/>
      <c r="ACP439" s="457"/>
      <c r="ACQ439" s="457"/>
      <c r="ACR439" s="457"/>
      <c r="ACS439" s="457"/>
      <c r="ACT439" s="457"/>
      <c r="ACU439" s="457"/>
      <c r="ACV439" s="457"/>
    </row>
    <row r="440" spans="1:776" s="400" customFormat="1" x14ac:dyDescent="0.25">
      <c r="A440" s="470">
        <v>900153</v>
      </c>
      <c r="B440" s="237" t="s">
        <v>350</v>
      </c>
      <c r="C440" s="455"/>
      <c r="D440" s="454" t="s">
        <v>199</v>
      </c>
      <c r="E440" s="454">
        <v>3.6</v>
      </c>
      <c r="F440" s="456">
        <v>54.67</v>
      </c>
      <c r="G440" s="454">
        <v>0.01</v>
      </c>
      <c r="H440" s="454">
        <v>0.1</v>
      </c>
      <c r="I440" s="456">
        <v>1075.0999999999999</v>
      </c>
      <c r="J440" s="454">
        <v>142.61000000000001</v>
      </c>
      <c r="K440" s="454">
        <v>3.0599999999999999E-2</v>
      </c>
      <c r="L440" s="456">
        <v>189.6</v>
      </c>
      <c r="M440" s="454">
        <v>0.01</v>
      </c>
      <c r="N440" s="454">
        <v>19.02</v>
      </c>
      <c r="O440" s="454">
        <v>502.73</v>
      </c>
      <c r="P440" s="454">
        <v>131.32</v>
      </c>
      <c r="Q440" s="454">
        <v>66.38</v>
      </c>
      <c r="R440" s="454">
        <v>0.01</v>
      </c>
      <c r="S440" s="454">
        <v>0.01</v>
      </c>
      <c r="T440" s="454">
        <v>0.01</v>
      </c>
      <c r="U440" s="454">
        <v>0.12</v>
      </c>
      <c r="V440" s="454"/>
      <c r="W440" s="457"/>
      <c r="X440" s="457"/>
      <c r="Y440" s="457"/>
      <c r="Z440" s="457"/>
      <c r="AA440" s="457"/>
      <c r="AB440" s="457"/>
      <c r="AC440" s="457"/>
      <c r="AD440" s="457"/>
      <c r="AE440" s="457"/>
      <c r="AF440" s="457"/>
      <c r="AG440" s="457"/>
      <c r="AH440" s="457"/>
      <c r="AI440" s="457"/>
      <c r="AJ440" s="457"/>
      <c r="AK440" s="457"/>
      <c r="AL440" s="457"/>
      <c r="AM440" s="457"/>
      <c r="AN440" s="457"/>
      <c r="AO440" s="457"/>
      <c r="AP440" s="457"/>
      <c r="AQ440" s="457"/>
      <c r="AR440" s="457"/>
      <c r="AS440" s="457"/>
      <c r="AT440" s="457"/>
      <c r="AU440" s="457"/>
      <c r="AV440" s="457"/>
      <c r="AW440" s="457"/>
      <c r="AX440" s="457"/>
      <c r="AY440" s="457"/>
      <c r="AZ440" s="457"/>
      <c r="BA440" s="457"/>
      <c r="BB440" s="457"/>
      <c r="BC440" s="457"/>
      <c r="BD440" s="457"/>
      <c r="BE440" s="457"/>
      <c r="BF440" s="457"/>
      <c r="BG440" s="457"/>
      <c r="BH440" s="457"/>
      <c r="BI440" s="457"/>
      <c r="BJ440" s="457"/>
      <c r="BK440" s="457"/>
      <c r="BL440" s="457"/>
      <c r="BM440" s="457"/>
      <c r="BN440" s="457"/>
      <c r="BO440" s="457"/>
      <c r="BP440" s="457"/>
      <c r="BQ440" s="457"/>
      <c r="BR440" s="457"/>
      <c r="BS440" s="457"/>
      <c r="BT440" s="457"/>
      <c r="BU440" s="457"/>
      <c r="BV440" s="457"/>
      <c r="BW440" s="457"/>
      <c r="BX440" s="457"/>
      <c r="BY440" s="457"/>
      <c r="BZ440" s="457"/>
      <c r="CA440" s="457"/>
      <c r="CB440" s="457"/>
      <c r="CC440" s="457"/>
      <c r="CD440" s="457"/>
      <c r="CE440" s="457"/>
      <c r="CF440" s="457"/>
      <c r="CG440" s="457"/>
      <c r="CH440" s="457"/>
      <c r="CI440" s="457"/>
      <c r="CJ440" s="457"/>
      <c r="CK440" s="457"/>
      <c r="CL440" s="457"/>
      <c r="CM440" s="457"/>
      <c r="CN440" s="457"/>
      <c r="CO440" s="457"/>
      <c r="CP440" s="457"/>
      <c r="CQ440" s="457"/>
      <c r="CR440" s="457"/>
      <c r="CS440" s="457"/>
      <c r="CT440" s="457"/>
      <c r="CU440" s="457"/>
      <c r="CV440" s="457"/>
      <c r="CW440" s="457"/>
      <c r="CX440" s="457"/>
      <c r="CY440" s="457"/>
      <c r="CZ440" s="457"/>
      <c r="DA440" s="457"/>
      <c r="DB440" s="457"/>
      <c r="DC440" s="457"/>
      <c r="DD440" s="457"/>
      <c r="DE440" s="457"/>
      <c r="DF440" s="457"/>
      <c r="DG440" s="457"/>
      <c r="DH440" s="457"/>
      <c r="DI440" s="457"/>
      <c r="DJ440" s="457"/>
      <c r="DK440" s="457"/>
      <c r="DL440" s="457"/>
      <c r="DM440" s="457"/>
      <c r="DN440" s="457"/>
      <c r="DO440" s="457"/>
      <c r="DP440" s="457"/>
      <c r="DQ440" s="457"/>
      <c r="DR440" s="457"/>
      <c r="DS440" s="457"/>
      <c r="DT440" s="457"/>
      <c r="DU440" s="457"/>
      <c r="DV440" s="457"/>
      <c r="DW440" s="457"/>
      <c r="DX440" s="457"/>
      <c r="DY440" s="457"/>
      <c r="DZ440" s="457"/>
      <c r="EA440" s="457"/>
      <c r="EB440" s="457"/>
      <c r="EC440" s="457"/>
      <c r="ED440" s="457"/>
      <c r="EE440" s="457"/>
      <c r="EF440" s="457"/>
      <c r="EG440" s="457"/>
      <c r="EH440" s="457"/>
      <c r="EI440" s="457"/>
      <c r="EJ440" s="457"/>
      <c r="EK440" s="457"/>
      <c r="EL440" s="457"/>
      <c r="EM440" s="457"/>
      <c r="EN440" s="457"/>
      <c r="EO440" s="457"/>
      <c r="EP440" s="457"/>
      <c r="EQ440" s="457"/>
      <c r="ER440" s="457"/>
      <c r="ES440" s="457"/>
      <c r="ET440" s="457"/>
      <c r="EU440" s="457"/>
      <c r="EV440" s="457"/>
      <c r="EW440" s="457"/>
      <c r="EX440" s="457"/>
      <c r="EY440" s="457"/>
      <c r="EZ440" s="457"/>
      <c r="FA440" s="457"/>
      <c r="FB440" s="457"/>
      <c r="FC440" s="457"/>
      <c r="FD440" s="457"/>
      <c r="FE440" s="457"/>
      <c r="FF440" s="457"/>
      <c r="FG440" s="457"/>
      <c r="FH440" s="457"/>
      <c r="FI440" s="457"/>
      <c r="FJ440" s="457"/>
      <c r="FK440" s="457"/>
      <c r="FL440" s="457"/>
      <c r="FM440" s="457"/>
      <c r="FN440" s="457"/>
      <c r="FO440" s="457"/>
      <c r="FP440" s="457"/>
      <c r="FQ440" s="457"/>
      <c r="FR440" s="457"/>
      <c r="FS440" s="457"/>
      <c r="FT440" s="457"/>
      <c r="FU440" s="457"/>
      <c r="FV440" s="457"/>
      <c r="FW440" s="457"/>
      <c r="FX440" s="457"/>
      <c r="FY440" s="457"/>
      <c r="FZ440" s="457"/>
      <c r="GA440" s="457"/>
      <c r="GB440" s="457"/>
      <c r="GC440" s="457"/>
      <c r="GD440" s="457"/>
      <c r="GE440" s="457"/>
      <c r="GF440" s="457"/>
      <c r="GG440" s="457"/>
      <c r="GH440" s="457"/>
      <c r="GI440" s="457"/>
      <c r="GJ440" s="457"/>
      <c r="GK440" s="457"/>
      <c r="GL440" s="457"/>
      <c r="GM440" s="457"/>
      <c r="GN440" s="457"/>
      <c r="GO440" s="457"/>
      <c r="GP440" s="457"/>
      <c r="GQ440" s="457"/>
      <c r="GR440" s="457"/>
      <c r="GS440" s="457"/>
      <c r="GT440" s="457"/>
      <c r="GU440" s="457"/>
      <c r="GV440" s="457"/>
      <c r="GW440" s="457"/>
      <c r="GX440" s="457"/>
      <c r="GY440" s="457"/>
      <c r="GZ440" s="457"/>
      <c r="HA440" s="457"/>
      <c r="HB440" s="457"/>
      <c r="HC440" s="457"/>
      <c r="HD440" s="457"/>
      <c r="HE440" s="457"/>
      <c r="HF440" s="457"/>
      <c r="HG440" s="457"/>
      <c r="HH440" s="457"/>
      <c r="HI440" s="457"/>
      <c r="HJ440" s="457"/>
      <c r="HK440" s="457"/>
      <c r="HL440" s="457"/>
      <c r="HM440" s="457"/>
      <c r="HN440" s="457"/>
      <c r="HO440" s="457"/>
      <c r="HP440" s="457"/>
      <c r="HQ440" s="457"/>
      <c r="HR440" s="457"/>
      <c r="HS440" s="457"/>
      <c r="HT440" s="457"/>
      <c r="HU440" s="457"/>
      <c r="HV440" s="457"/>
      <c r="HW440" s="457"/>
      <c r="HX440" s="457"/>
      <c r="HY440" s="457"/>
      <c r="HZ440" s="457"/>
      <c r="IA440" s="457"/>
      <c r="IB440" s="457"/>
      <c r="IC440" s="457"/>
      <c r="ID440" s="457"/>
      <c r="IE440" s="457"/>
      <c r="IF440" s="457"/>
      <c r="IG440" s="457"/>
      <c r="IH440" s="457"/>
      <c r="II440" s="457"/>
      <c r="IJ440" s="457"/>
      <c r="IK440" s="457"/>
      <c r="IL440" s="457"/>
      <c r="IM440" s="457"/>
      <c r="IN440" s="457"/>
      <c r="IO440" s="457"/>
      <c r="IP440" s="457"/>
      <c r="IQ440" s="457"/>
      <c r="IR440" s="457"/>
      <c r="IS440" s="457"/>
      <c r="IT440" s="457"/>
      <c r="IU440" s="457"/>
      <c r="IV440" s="457"/>
      <c r="IW440" s="457"/>
      <c r="IX440" s="457"/>
      <c r="IY440" s="457"/>
      <c r="IZ440" s="457"/>
      <c r="JA440" s="457"/>
      <c r="JB440" s="457"/>
      <c r="JC440" s="457"/>
      <c r="JD440" s="457"/>
      <c r="JE440" s="457"/>
      <c r="JF440" s="457"/>
      <c r="JG440" s="457"/>
      <c r="JH440" s="457"/>
      <c r="JI440" s="457"/>
      <c r="JJ440" s="457"/>
      <c r="JK440" s="457"/>
      <c r="JL440" s="457"/>
      <c r="JM440" s="457"/>
      <c r="JN440" s="457"/>
      <c r="JO440" s="457"/>
      <c r="JP440" s="457"/>
      <c r="JQ440" s="457"/>
      <c r="JR440" s="457"/>
      <c r="JS440" s="457"/>
      <c r="JT440" s="457"/>
      <c r="JU440" s="457"/>
      <c r="JV440" s="457"/>
      <c r="JW440" s="457"/>
      <c r="JX440" s="457"/>
      <c r="JY440" s="457"/>
      <c r="JZ440" s="457"/>
      <c r="KA440" s="457"/>
      <c r="KB440" s="457"/>
      <c r="KC440" s="457"/>
      <c r="KD440" s="457"/>
      <c r="KE440" s="457"/>
      <c r="KF440" s="457"/>
      <c r="KG440" s="457"/>
      <c r="KH440" s="457"/>
      <c r="KI440" s="457"/>
      <c r="KJ440" s="457"/>
      <c r="KK440" s="457"/>
      <c r="KL440" s="457"/>
      <c r="KM440" s="457"/>
      <c r="KN440" s="457"/>
      <c r="KO440" s="457"/>
      <c r="KP440" s="457"/>
      <c r="KQ440" s="457"/>
      <c r="KR440" s="457"/>
      <c r="KS440" s="457"/>
      <c r="KT440" s="457"/>
      <c r="KU440" s="457"/>
      <c r="KV440" s="457"/>
      <c r="KW440" s="457"/>
      <c r="KX440" s="457"/>
      <c r="KY440" s="457"/>
      <c r="KZ440" s="457"/>
      <c r="LA440" s="457"/>
      <c r="LB440" s="457"/>
      <c r="LC440" s="457"/>
      <c r="LD440" s="457"/>
      <c r="LE440" s="457"/>
      <c r="LF440" s="457"/>
      <c r="LG440" s="457"/>
      <c r="LH440" s="457"/>
      <c r="LI440" s="457"/>
      <c r="LJ440" s="457"/>
      <c r="LK440" s="457"/>
      <c r="LL440" s="457"/>
      <c r="LM440" s="457"/>
      <c r="LN440" s="457"/>
      <c r="LO440" s="457"/>
      <c r="LP440" s="457"/>
      <c r="LQ440" s="457"/>
      <c r="LR440" s="457"/>
      <c r="LS440" s="457"/>
      <c r="LT440" s="457"/>
      <c r="LU440" s="457"/>
      <c r="LV440" s="457"/>
      <c r="LW440" s="457"/>
      <c r="LX440" s="457"/>
      <c r="LY440" s="457"/>
      <c r="LZ440" s="457"/>
      <c r="MA440" s="457"/>
      <c r="MB440" s="457"/>
      <c r="MC440" s="457"/>
      <c r="MD440" s="457"/>
      <c r="ME440" s="457"/>
      <c r="MF440" s="457"/>
      <c r="MG440" s="457"/>
      <c r="MH440" s="457"/>
      <c r="MI440" s="457"/>
      <c r="MJ440" s="457"/>
      <c r="MK440" s="457"/>
      <c r="ML440" s="457"/>
      <c r="MM440" s="457"/>
      <c r="MN440" s="457"/>
      <c r="MO440" s="457"/>
      <c r="MP440" s="457"/>
      <c r="MQ440" s="457"/>
      <c r="MR440" s="457"/>
      <c r="MS440" s="457"/>
      <c r="MT440" s="457"/>
      <c r="MU440" s="457"/>
      <c r="MV440" s="457"/>
      <c r="MW440" s="457"/>
      <c r="MX440" s="457"/>
      <c r="MY440" s="457"/>
      <c r="MZ440" s="457"/>
      <c r="NA440" s="457"/>
      <c r="NB440" s="457"/>
      <c r="NC440" s="457"/>
      <c r="ND440" s="457"/>
      <c r="NE440" s="457"/>
      <c r="NF440" s="457"/>
      <c r="NG440" s="457"/>
      <c r="NH440" s="457"/>
      <c r="NI440" s="457"/>
      <c r="NJ440" s="457"/>
      <c r="NK440" s="457"/>
      <c r="NL440" s="457"/>
      <c r="NM440" s="457"/>
      <c r="NN440" s="457"/>
      <c r="NO440" s="457"/>
      <c r="NP440" s="457"/>
      <c r="NQ440" s="457"/>
      <c r="NR440" s="457"/>
      <c r="NS440" s="457"/>
      <c r="NT440" s="457"/>
      <c r="NU440" s="457"/>
      <c r="NV440" s="457"/>
      <c r="NW440" s="457"/>
      <c r="NX440" s="457"/>
      <c r="NY440" s="457"/>
      <c r="NZ440" s="457"/>
      <c r="OA440" s="457"/>
      <c r="OB440" s="457"/>
      <c r="OC440" s="457"/>
      <c r="OD440" s="457"/>
      <c r="OE440" s="457"/>
      <c r="OF440" s="457"/>
      <c r="OG440" s="457"/>
      <c r="OH440" s="457"/>
      <c r="OI440" s="457"/>
      <c r="OJ440" s="457"/>
      <c r="OK440" s="457"/>
      <c r="OL440" s="457"/>
      <c r="OM440" s="457"/>
      <c r="ON440" s="457"/>
      <c r="OO440" s="457"/>
      <c r="OP440" s="457"/>
      <c r="OQ440" s="457"/>
      <c r="OR440" s="457"/>
      <c r="OS440" s="457"/>
      <c r="OT440" s="457"/>
      <c r="OU440" s="457"/>
      <c r="OV440" s="457"/>
      <c r="OW440" s="457"/>
      <c r="OX440" s="457"/>
      <c r="OY440" s="457"/>
      <c r="OZ440" s="457"/>
      <c r="PA440" s="457"/>
      <c r="PB440" s="457"/>
      <c r="PC440" s="457"/>
      <c r="PD440" s="457"/>
      <c r="PE440" s="457"/>
      <c r="PF440" s="457"/>
      <c r="PG440" s="457"/>
      <c r="PH440" s="457"/>
      <c r="PI440" s="457"/>
      <c r="PJ440" s="457"/>
      <c r="PK440" s="457"/>
      <c r="PL440" s="457"/>
      <c r="PM440" s="457"/>
      <c r="PN440" s="457"/>
      <c r="PO440" s="457"/>
      <c r="PP440" s="457"/>
      <c r="PQ440" s="457"/>
      <c r="PR440" s="457"/>
      <c r="PS440" s="457"/>
      <c r="PT440" s="457"/>
      <c r="PU440" s="457"/>
      <c r="PV440" s="457"/>
      <c r="PW440" s="457"/>
      <c r="PX440" s="457"/>
      <c r="PY440" s="457"/>
      <c r="PZ440" s="457"/>
      <c r="QA440" s="457"/>
      <c r="QB440" s="457"/>
      <c r="QC440" s="457"/>
      <c r="QD440" s="457"/>
      <c r="QE440" s="457"/>
      <c r="QF440" s="457"/>
      <c r="QG440" s="457"/>
      <c r="QH440" s="457"/>
      <c r="QI440" s="457"/>
      <c r="QJ440" s="457"/>
      <c r="QK440" s="457"/>
      <c r="QL440" s="457"/>
      <c r="QM440" s="457"/>
      <c r="QN440" s="457"/>
      <c r="QO440" s="457"/>
      <c r="QP440" s="457"/>
      <c r="QQ440" s="457"/>
      <c r="QR440" s="457"/>
      <c r="QS440" s="457"/>
      <c r="QT440" s="457"/>
      <c r="QU440" s="457"/>
      <c r="QV440" s="457"/>
      <c r="QW440" s="457"/>
      <c r="QX440" s="457"/>
      <c r="QY440" s="457"/>
      <c r="QZ440" s="457"/>
      <c r="RA440" s="457"/>
      <c r="RB440" s="457"/>
      <c r="RC440" s="457"/>
      <c r="RD440" s="457"/>
      <c r="RE440" s="457"/>
      <c r="RF440" s="457"/>
      <c r="RG440" s="457"/>
      <c r="RH440" s="457"/>
      <c r="RI440" s="457"/>
      <c r="RJ440" s="457"/>
      <c r="RK440" s="457"/>
      <c r="RL440" s="457"/>
      <c r="RM440" s="457"/>
      <c r="RN440" s="457"/>
      <c r="RO440" s="457"/>
      <c r="RP440" s="457"/>
      <c r="RQ440" s="457"/>
      <c r="RR440" s="457"/>
      <c r="RS440" s="457"/>
      <c r="RT440" s="457"/>
      <c r="RU440" s="457"/>
      <c r="RV440" s="457"/>
      <c r="RW440" s="457"/>
      <c r="RX440" s="457"/>
      <c r="RY440" s="457"/>
      <c r="RZ440" s="457"/>
      <c r="SA440" s="457"/>
      <c r="SB440" s="457"/>
      <c r="SC440" s="457"/>
      <c r="SD440" s="457"/>
      <c r="SE440" s="457"/>
      <c r="SF440" s="457"/>
      <c r="SG440" s="457"/>
      <c r="SH440" s="457"/>
      <c r="SI440" s="457"/>
      <c r="SJ440" s="457"/>
      <c r="SK440" s="457"/>
      <c r="SL440" s="457"/>
      <c r="SM440" s="457"/>
      <c r="SN440" s="457"/>
      <c r="SO440" s="457"/>
      <c r="SP440" s="457"/>
      <c r="SQ440" s="457"/>
      <c r="SR440" s="457"/>
      <c r="SS440" s="457"/>
      <c r="ST440" s="457"/>
      <c r="SU440" s="457"/>
      <c r="SV440" s="457"/>
      <c r="SW440" s="457"/>
      <c r="SX440" s="457"/>
      <c r="SY440" s="457"/>
      <c r="SZ440" s="457"/>
      <c r="TA440" s="457"/>
      <c r="TB440" s="457"/>
      <c r="TC440" s="457"/>
      <c r="TD440" s="457"/>
      <c r="TE440" s="457"/>
      <c r="TF440" s="457"/>
      <c r="TG440" s="457"/>
      <c r="TH440" s="457"/>
      <c r="TI440" s="457"/>
      <c r="TJ440" s="457"/>
      <c r="TK440" s="457"/>
      <c r="TL440" s="457"/>
      <c r="TM440" s="457"/>
      <c r="TN440" s="457"/>
      <c r="TO440" s="457"/>
      <c r="TP440" s="457"/>
      <c r="TQ440" s="457"/>
      <c r="TR440" s="457"/>
      <c r="TS440" s="457"/>
      <c r="TT440" s="457"/>
      <c r="TU440" s="457"/>
      <c r="TV440" s="457"/>
      <c r="TW440" s="457"/>
      <c r="TX440" s="457"/>
      <c r="TY440" s="457"/>
      <c r="TZ440" s="457"/>
      <c r="UA440" s="457"/>
      <c r="UB440" s="457"/>
      <c r="UC440" s="457"/>
      <c r="UD440" s="457"/>
      <c r="UE440" s="457"/>
      <c r="UF440" s="457"/>
      <c r="UG440" s="457"/>
      <c r="UH440" s="457"/>
      <c r="UI440" s="457"/>
      <c r="UJ440" s="457"/>
      <c r="UK440" s="457"/>
      <c r="UL440" s="457"/>
      <c r="UM440" s="457"/>
      <c r="UN440" s="457"/>
      <c r="UO440" s="457"/>
      <c r="UP440" s="457"/>
      <c r="UQ440" s="457"/>
      <c r="UR440" s="457"/>
      <c r="US440" s="457"/>
      <c r="UT440" s="457"/>
      <c r="UU440" s="457"/>
      <c r="UV440" s="457"/>
      <c r="UW440" s="457"/>
      <c r="UX440" s="457"/>
      <c r="UY440" s="457"/>
      <c r="UZ440" s="457"/>
      <c r="VA440" s="457"/>
      <c r="VB440" s="457"/>
      <c r="VC440" s="457"/>
      <c r="VD440" s="457"/>
      <c r="VE440" s="457"/>
      <c r="VF440" s="457"/>
      <c r="VG440" s="457"/>
      <c r="VH440" s="457"/>
      <c r="VI440" s="457"/>
      <c r="VJ440" s="457"/>
      <c r="VK440" s="457"/>
      <c r="VL440" s="457"/>
      <c r="VM440" s="457"/>
      <c r="VN440" s="457"/>
      <c r="VO440" s="457"/>
      <c r="VP440" s="457"/>
      <c r="VQ440" s="457"/>
      <c r="VR440" s="457"/>
      <c r="VS440" s="457"/>
      <c r="VT440" s="457"/>
      <c r="VU440" s="457"/>
      <c r="VV440" s="457"/>
      <c r="VW440" s="457"/>
      <c r="VX440" s="457"/>
      <c r="VY440" s="457"/>
      <c r="VZ440" s="457"/>
      <c r="WA440" s="457"/>
      <c r="WB440" s="457"/>
      <c r="WC440" s="457"/>
      <c r="WD440" s="457"/>
      <c r="WE440" s="457"/>
      <c r="WF440" s="457"/>
      <c r="WG440" s="457"/>
      <c r="WH440" s="457"/>
      <c r="WI440" s="457"/>
      <c r="WJ440" s="457"/>
      <c r="WK440" s="457"/>
      <c r="WL440" s="457"/>
      <c r="WM440" s="457"/>
      <c r="WN440" s="457"/>
      <c r="WO440" s="457"/>
      <c r="WP440" s="457"/>
      <c r="WQ440" s="457"/>
      <c r="WR440" s="457"/>
      <c r="WS440" s="457"/>
      <c r="WT440" s="457"/>
      <c r="WU440" s="457"/>
      <c r="WV440" s="457"/>
      <c r="WW440" s="457"/>
      <c r="WX440" s="457"/>
      <c r="WY440" s="457"/>
      <c r="WZ440" s="457"/>
      <c r="XA440" s="457"/>
      <c r="XB440" s="457"/>
      <c r="XC440" s="457"/>
      <c r="XD440" s="457"/>
      <c r="XE440" s="457"/>
      <c r="XF440" s="457"/>
      <c r="XG440" s="457"/>
      <c r="XH440" s="457"/>
      <c r="XI440" s="457"/>
      <c r="XJ440" s="457"/>
      <c r="XK440" s="457"/>
      <c r="XL440" s="457"/>
      <c r="XM440" s="457"/>
      <c r="XN440" s="457"/>
      <c r="XO440" s="457"/>
      <c r="XP440" s="457"/>
      <c r="XQ440" s="457"/>
      <c r="XR440" s="457"/>
      <c r="XS440" s="457"/>
      <c r="XT440" s="457"/>
      <c r="XU440" s="457"/>
      <c r="XV440" s="457"/>
      <c r="XW440" s="457"/>
      <c r="XX440" s="457"/>
      <c r="XY440" s="457"/>
      <c r="XZ440" s="457"/>
      <c r="YA440" s="457"/>
      <c r="YB440" s="457"/>
      <c r="YC440" s="457"/>
      <c r="YD440" s="457"/>
      <c r="YE440" s="457"/>
      <c r="YF440" s="457"/>
      <c r="YG440" s="457"/>
      <c r="YH440" s="457"/>
      <c r="YI440" s="457"/>
      <c r="YJ440" s="457"/>
      <c r="YK440" s="457"/>
      <c r="YL440" s="457"/>
      <c r="YM440" s="457"/>
      <c r="YN440" s="457"/>
      <c r="YO440" s="457"/>
      <c r="YP440" s="457"/>
      <c r="YQ440" s="457"/>
      <c r="YR440" s="457"/>
      <c r="YS440" s="457"/>
      <c r="YT440" s="457"/>
      <c r="YU440" s="457"/>
      <c r="YV440" s="457"/>
      <c r="YW440" s="457"/>
      <c r="YX440" s="457"/>
      <c r="YY440" s="457"/>
      <c r="YZ440" s="457"/>
      <c r="ZA440" s="457"/>
      <c r="ZB440" s="457"/>
      <c r="ZC440" s="457"/>
      <c r="ZD440" s="457"/>
      <c r="ZE440" s="457"/>
      <c r="ZF440" s="457"/>
      <c r="ZG440" s="457"/>
      <c r="ZH440" s="457"/>
      <c r="ZI440" s="457"/>
      <c r="ZJ440" s="457"/>
      <c r="ZK440" s="457"/>
      <c r="ZL440" s="457"/>
      <c r="ZM440" s="457"/>
      <c r="ZN440" s="457"/>
      <c r="ZO440" s="457"/>
      <c r="ZP440" s="457"/>
      <c r="ZQ440" s="457"/>
      <c r="ZR440" s="457"/>
      <c r="ZS440" s="457"/>
      <c r="ZT440" s="457"/>
      <c r="ZU440" s="457"/>
      <c r="ZV440" s="457"/>
      <c r="ZW440" s="457"/>
      <c r="ZX440" s="457"/>
      <c r="ZY440" s="457"/>
      <c r="ZZ440" s="457"/>
      <c r="AAA440" s="457"/>
      <c r="AAB440" s="457"/>
      <c r="AAC440" s="457"/>
      <c r="AAD440" s="457"/>
      <c r="AAE440" s="457"/>
      <c r="AAF440" s="457"/>
      <c r="AAG440" s="457"/>
      <c r="AAH440" s="457"/>
      <c r="AAI440" s="457"/>
      <c r="AAJ440" s="457"/>
      <c r="AAK440" s="457"/>
      <c r="AAL440" s="457"/>
      <c r="AAM440" s="457"/>
      <c r="AAN440" s="457"/>
      <c r="AAO440" s="457"/>
      <c r="AAP440" s="457"/>
      <c r="AAQ440" s="457"/>
      <c r="AAR440" s="457"/>
      <c r="AAS440" s="457"/>
      <c r="AAT440" s="457"/>
      <c r="AAU440" s="457"/>
      <c r="AAV440" s="457"/>
      <c r="AAW440" s="457"/>
      <c r="AAX440" s="457"/>
      <c r="AAY440" s="457"/>
      <c r="AAZ440" s="457"/>
      <c r="ABA440" s="457"/>
      <c r="ABB440" s="457"/>
      <c r="ABC440" s="457"/>
      <c r="ABD440" s="457"/>
      <c r="ABE440" s="457"/>
      <c r="ABF440" s="457"/>
      <c r="ABG440" s="457"/>
      <c r="ABH440" s="457"/>
      <c r="ABI440" s="457"/>
      <c r="ABJ440" s="457"/>
      <c r="ABK440" s="457"/>
      <c r="ABL440" s="457"/>
      <c r="ABM440" s="457"/>
      <c r="ABN440" s="457"/>
      <c r="ABO440" s="457"/>
      <c r="ABP440" s="457"/>
      <c r="ABQ440" s="457"/>
      <c r="ABR440" s="457"/>
      <c r="ABS440" s="457"/>
      <c r="ABT440" s="457"/>
      <c r="ABU440" s="457"/>
      <c r="ABV440" s="457"/>
      <c r="ABW440" s="457"/>
      <c r="ABX440" s="457"/>
      <c r="ABY440" s="457"/>
      <c r="ABZ440" s="457"/>
      <c r="ACA440" s="457"/>
      <c r="ACB440" s="457"/>
      <c r="ACC440" s="457"/>
      <c r="ACD440" s="457"/>
      <c r="ACE440" s="457"/>
      <c r="ACF440" s="457"/>
      <c r="ACG440" s="457"/>
      <c r="ACH440" s="457"/>
      <c r="ACI440" s="457"/>
      <c r="ACJ440" s="457"/>
      <c r="ACK440" s="457"/>
      <c r="ACL440" s="457"/>
      <c r="ACM440" s="457"/>
      <c r="ACN440" s="457"/>
      <c r="ACO440" s="457"/>
      <c r="ACP440" s="457"/>
      <c r="ACQ440" s="457"/>
      <c r="ACR440" s="457"/>
      <c r="ACS440" s="457"/>
      <c r="ACT440" s="457"/>
      <c r="ACU440" s="457"/>
      <c r="ACV440" s="457"/>
    </row>
    <row r="441" spans="1:776" s="400" customFormat="1" x14ac:dyDescent="0.25">
      <c r="A441" s="470">
        <v>900154</v>
      </c>
      <c r="B441" s="237" t="s">
        <v>351</v>
      </c>
      <c r="C441" s="455"/>
      <c r="D441" s="454" t="s">
        <v>272</v>
      </c>
      <c r="E441" s="454">
        <v>1.82</v>
      </c>
      <c r="F441" s="456">
        <v>74.5</v>
      </c>
      <c r="G441" s="454">
        <v>0.01</v>
      </c>
      <c r="H441" s="454">
        <v>0.09</v>
      </c>
      <c r="I441" s="456">
        <v>467.19</v>
      </c>
      <c r="J441" s="454">
        <v>74.11</v>
      </c>
      <c r="K441" s="454">
        <v>0.01</v>
      </c>
      <c r="L441" s="456">
        <v>172.8</v>
      </c>
      <c r="M441" s="454">
        <v>0.01</v>
      </c>
      <c r="N441" s="454">
        <v>7.65</v>
      </c>
      <c r="O441" s="454">
        <v>230.22</v>
      </c>
      <c r="P441" s="454">
        <v>58.1</v>
      </c>
      <c r="Q441" s="454">
        <v>41.99</v>
      </c>
      <c r="R441" s="454">
        <v>0.02</v>
      </c>
      <c r="S441" s="454">
        <v>0.01</v>
      </c>
      <c r="T441" s="454">
        <v>0.01</v>
      </c>
      <c r="U441" s="454">
        <v>0.01</v>
      </c>
      <c r="V441" s="454"/>
      <c r="W441" s="457"/>
      <c r="X441" s="457"/>
      <c r="Y441" s="457"/>
      <c r="Z441" s="457"/>
      <c r="AA441" s="457"/>
      <c r="AB441" s="457"/>
      <c r="AC441" s="457"/>
      <c r="AD441" s="457"/>
      <c r="AE441" s="457"/>
      <c r="AF441" s="457"/>
      <c r="AG441" s="457"/>
      <c r="AH441" s="457"/>
      <c r="AI441" s="457"/>
      <c r="AJ441" s="457"/>
      <c r="AK441" s="457"/>
      <c r="AL441" s="457"/>
      <c r="AM441" s="457"/>
      <c r="AN441" s="457"/>
      <c r="AO441" s="457"/>
      <c r="AP441" s="457"/>
      <c r="AQ441" s="457"/>
      <c r="AR441" s="457"/>
      <c r="AS441" s="457"/>
      <c r="AT441" s="457"/>
      <c r="AU441" s="457"/>
      <c r="AV441" s="457"/>
      <c r="AW441" s="457"/>
      <c r="AX441" s="457"/>
      <c r="AY441" s="457"/>
      <c r="AZ441" s="457"/>
      <c r="BA441" s="457"/>
      <c r="BB441" s="457"/>
      <c r="BC441" s="457"/>
      <c r="BD441" s="457"/>
      <c r="BE441" s="457"/>
      <c r="BF441" s="457"/>
      <c r="BG441" s="457"/>
      <c r="BH441" s="457"/>
      <c r="BI441" s="457"/>
      <c r="BJ441" s="457"/>
      <c r="BK441" s="457"/>
      <c r="BL441" s="457"/>
      <c r="BM441" s="457"/>
      <c r="BN441" s="457"/>
      <c r="BO441" s="457"/>
      <c r="BP441" s="457"/>
      <c r="BQ441" s="457"/>
      <c r="BR441" s="457"/>
      <c r="BS441" s="457"/>
      <c r="BT441" s="457"/>
      <c r="BU441" s="457"/>
      <c r="BV441" s="457"/>
      <c r="BW441" s="457"/>
      <c r="BX441" s="457"/>
      <c r="BY441" s="457"/>
      <c r="BZ441" s="457"/>
      <c r="CA441" s="457"/>
      <c r="CB441" s="457"/>
      <c r="CC441" s="457"/>
      <c r="CD441" s="457"/>
      <c r="CE441" s="457"/>
      <c r="CF441" s="457"/>
      <c r="CG441" s="457"/>
      <c r="CH441" s="457"/>
      <c r="CI441" s="457"/>
      <c r="CJ441" s="457"/>
      <c r="CK441" s="457"/>
      <c r="CL441" s="457"/>
      <c r="CM441" s="457"/>
      <c r="CN441" s="457"/>
      <c r="CO441" s="457"/>
      <c r="CP441" s="457"/>
      <c r="CQ441" s="457"/>
      <c r="CR441" s="457"/>
      <c r="CS441" s="457"/>
      <c r="CT441" s="457"/>
      <c r="CU441" s="457"/>
      <c r="CV441" s="457"/>
      <c r="CW441" s="457"/>
      <c r="CX441" s="457"/>
      <c r="CY441" s="457"/>
      <c r="CZ441" s="457"/>
      <c r="DA441" s="457"/>
      <c r="DB441" s="457"/>
      <c r="DC441" s="457"/>
      <c r="DD441" s="457"/>
      <c r="DE441" s="457"/>
      <c r="DF441" s="457"/>
      <c r="DG441" s="457"/>
      <c r="DH441" s="457"/>
      <c r="DI441" s="457"/>
      <c r="DJ441" s="457"/>
      <c r="DK441" s="457"/>
      <c r="DL441" s="457"/>
      <c r="DM441" s="457"/>
      <c r="DN441" s="457"/>
      <c r="DO441" s="457"/>
      <c r="DP441" s="457"/>
      <c r="DQ441" s="457"/>
      <c r="DR441" s="457"/>
      <c r="DS441" s="457"/>
      <c r="DT441" s="457"/>
      <c r="DU441" s="457"/>
      <c r="DV441" s="457"/>
      <c r="DW441" s="457"/>
      <c r="DX441" s="457"/>
      <c r="DY441" s="457"/>
      <c r="DZ441" s="457"/>
      <c r="EA441" s="457"/>
      <c r="EB441" s="457"/>
      <c r="EC441" s="457"/>
      <c r="ED441" s="457"/>
      <c r="EE441" s="457"/>
      <c r="EF441" s="457"/>
      <c r="EG441" s="457"/>
      <c r="EH441" s="457"/>
      <c r="EI441" s="457"/>
      <c r="EJ441" s="457"/>
      <c r="EK441" s="457"/>
      <c r="EL441" s="457"/>
      <c r="EM441" s="457"/>
      <c r="EN441" s="457"/>
      <c r="EO441" s="457"/>
      <c r="EP441" s="457"/>
      <c r="EQ441" s="457"/>
      <c r="ER441" s="457"/>
      <c r="ES441" s="457"/>
      <c r="ET441" s="457"/>
      <c r="EU441" s="457"/>
      <c r="EV441" s="457"/>
      <c r="EW441" s="457"/>
      <c r="EX441" s="457"/>
      <c r="EY441" s="457"/>
      <c r="EZ441" s="457"/>
      <c r="FA441" s="457"/>
      <c r="FB441" s="457"/>
      <c r="FC441" s="457"/>
      <c r="FD441" s="457"/>
      <c r="FE441" s="457"/>
      <c r="FF441" s="457"/>
      <c r="FG441" s="457"/>
      <c r="FH441" s="457"/>
      <c r="FI441" s="457"/>
      <c r="FJ441" s="457"/>
      <c r="FK441" s="457"/>
      <c r="FL441" s="457"/>
      <c r="FM441" s="457"/>
      <c r="FN441" s="457"/>
      <c r="FO441" s="457"/>
      <c r="FP441" s="457"/>
      <c r="FQ441" s="457"/>
      <c r="FR441" s="457"/>
      <c r="FS441" s="457"/>
      <c r="FT441" s="457"/>
      <c r="FU441" s="457"/>
      <c r="FV441" s="457"/>
      <c r="FW441" s="457"/>
      <c r="FX441" s="457"/>
      <c r="FY441" s="457"/>
      <c r="FZ441" s="457"/>
      <c r="GA441" s="457"/>
      <c r="GB441" s="457"/>
      <c r="GC441" s="457"/>
      <c r="GD441" s="457"/>
      <c r="GE441" s="457"/>
      <c r="GF441" s="457"/>
      <c r="GG441" s="457"/>
      <c r="GH441" s="457"/>
      <c r="GI441" s="457"/>
      <c r="GJ441" s="457"/>
      <c r="GK441" s="457"/>
      <c r="GL441" s="457"/>
      <c r="GM441" s="457"/>
      <c r="GN441" s="457"/>
      <c r="GO441" s="457"/>
      <c r="GP441" s="457"/>
      <c r="GQ441" s="457"/>
      <c r="GR441" s="457"/>
      <c r="GS441" s="457"/>
      <c r="GT441" s="457"/>
      <c r="GU441" s="457"/>
      <c r="GV441" s="457"/>
      <c r="GW441" s="457"/>
      <c r="GX441" s="457"/>
      <c r="GY441" s="457"/>
      <c r="GZ441" s="457"/>
      <c r="HA441" s="457"/>
      <c r="HB441" s="457"/>
      <c r="HC441" s="457"/>
      <c r="HD441" s="457"/>
      <c r="HE441" s="457"/>
      <c r="HF441" s="457"/>
      <c r="HG441" s="457"/>
      <c r="HH441" s="457"/>
      <c r="HI441" s="457"/>
      <c r="HJ441" s="457"/>
      <c r="HK441" s="457"/>
      <c r="HL441" s="457"/>
      <c r="HM441" s="457"/>
      <c r="HN441" s="457"/>
      <c r="HO441" s="457"/>
      <c r="HP441" s="457"/>
      <c r="HQ441" s="457"/>
      <c r="HR441" s="457"/>
      <c r="HS441" s="457"/>
      <c r="HT441" s="457"/>
      <c r="HU441" s="457"/>
      <c r="HV441" s="457"/>
      <c r="HW441" s="457"/>
      <c r="HX441" s="457"/>
      <c r="HY441" s="457"/>
      <c r="HZ441" s="457"/>
      <c r="IA441" s="457"/>
      <c r="IB441" s="457"/>
      <c r="IC441" s="457"/>
      <c r="ID441" s="457"/>
      <c r="IE441" s="457"/>
      <c r="IF441" s="457"/>
      <c r="IG441" s="457"/>
      <c r="IH441" s="457"/>
      <c r="II441" s="457"/>
      <c r="IJ441" s="457"/>
      <c r="IK441" s="457"/>
      <c r="IL441" s="457"/>
      <c r="IM441" s="457"/>
      <c r="IN441" s="457"/>
      <c r="IO441" s="457"/>
      <c r="IP441" s="457"/>
      <c r="IQ441" s="457"/>
      <c r="IR441" s="457"/>
      <c r="IS441" s="457"/>
      <c r="IT441" s="457"/>
      <c r="IU441" s="457"/>
      <c r="IV441" s="457"/>
      <c r="IW441" s="457"/>
      <c r="IX441" s="457"/>
      <c r="IY441" s="457"/>
      <c r="IZ441" s="457"/>
      <c r="JA441" s="457"/>
      <c r="JB441" s="457"/>
      <c r="JC441" s="457"/>
      <c r="JD441" s="457"/>
      <c r="JE441" s="457"/>
      <c r="JF441" s="457"/>
      <c r="JG441" s="457"/>
      <c r="JH441" s="457"/>
      <c r="JI441" s="457"/>
      <c r="JJ441" s="457"/>
      <c r="JK441" s="457"/>
      <c r="JL441" s="457"/>
      <c r="JM441" s="457"/>
      <c r="JN441" s="457"/>
      <c r="JO441" s="457"/>
      <c r="JP441" s="457"/>
      <c r="JQ441" s="457"/>
      <c r="JR441" s="457"/>
      <c r="JS441" s="457"/>
      <c r="JT441" s="457"/>
      <c r="JU441" s="457"/>
      <c r="JV441" s="457"/>
      <c r="JW441" s="457"/>
      <c r="JX441" s="457"/>
      <c r="JY441" s="457"/>
      <c r="JZ441" s="457"/>
      <c r="KA441" s="457"/>
      <c r="KB441" s="457"/>
      <c r="KC441" s="457"/>
      <c r="KD441" s="457"/>
      <c r="KE441" s="457"/>
      <c r="KF441" s="457"/>
      <c r="KG441" s="457"/>
      <c r="KH441" s="457"/>
      <c r="KI441" s="457"/>
      <c r="KJ441" s="457"/>
      <c r="KK441" s="457"/>
      <c r="KL441" s="457"/>
      <c r="KM441" s="457"/>
      <c r="KN441" s="457"/>
      <c r="KO441" s="457"/>
      <c r="KP441" s="457"/>
      <c r="KQ441" s="457"/>
      <c r="KR441" s="457"/>
      <c r="KS441" s="457"/>
      <c r="KT441" s="457"/>
      <c r="KU441" s="457"/>
      <c r="KV441" s="457"/>
      <c r="KW441" s="457"/>
      <c r="KX441" s="457"/>
      <c r="KY441" s="457"/>
      <c r="KZ441" s="457"/>
      <c r="LA441" s="457"/>
      <c r="LB441" s="457"/>
      <c r="LC441" s="457"/>
      <c r="LD441" s="457"/>
      <c r="LE441" s="457"/>
      <c r="LF441" s="457"/>
      <c r="LG441" s="457"/>
      <c r="LH441" s="457"/>
      <c r="LI441" s="457"/>
      <c r="LJ441" s="457"/>
      <c r="LK441" s="457"/>
      <c r="LL441" s="457"/>
      <c r="LM441" s="457"/>
      <c r="LN441" s="457"/>
      <c r="LO441" s="457"/>
      <c r="LP441" s="457"/>
      <c r="LQ441" s="457"/>
      <c r="LR441" s="457"/>
      <c r="LS441" s="457"/>
      <c r="LT441" s="457"/>
      <c r="LU441" s="457"/>
      <c r="LV441" s="457"/>
      <c r="LW441" s="457"/>
      <c r="LX441" s="457"/>
      <c r="LY441" s="457"/>
      <c r="LZ441" s="457"/>
      <c r="MA441" s="457"/>
      <c r="MB441" s="457"/>
      <c r="MC441" s="457"/>
      <c r="MD441" s="457"/>
      <c r="ME441" s="457"/>
      <c r="MF441" s="457"/>
      <c r="MG441" s="457"/>
      <c r="MH441" s="457"/>
      <c r="MI441" s="457"/>
      <c r="MJ441" s="457"/>
      <c r="MK441" s="457"/>
      <c r="ML441" s="457"/>
      <c r="MM441" s="457"/>
      <c r="MN441" s="457"/>
      <c r="MO441" s="457"/>
      <c r="MP441" s="457"/>
      <c r="MQ441" s="457"/>
      <c r="MR441" s="457"/>
      <c r="MS441" s="457"/>
      <c r="MT441" s="457"/>
      <c r="MU441" s="457"/>
      <c r="MV441" s="457"/>
      <c r="MW441" s="457"/>
      <c r="MX441" s="457"/>
      <c r="MY441" s="457"/>
      <c r="MZ441" s="457"/>
      <c r="NA441" s="457"/>
      <c r="NB441" s="457"/>
      <c r="NC441" s="457"/>
      <c r="ND441" s="457"/>
      <c r="NE441" s="457"/>
      <c r="NF441" s="457"/>
      <c r="NG441" s="457"/>
      <c r="NH441" s="457"/>
      <c r="NI441" s="457"/>
      <c r="NJ441" s="457"/>
      <c r="NK441" s="457"/>
      <c r="NL441" s="457"/>
      <c r="NM441" s="457"/>
      <c r="NN441" s="457"/>
      <c r="NO441" s="457"/>
      <c r="NP441" s="457"/>
      <c r="NQ441" s="457"/>
      <c r="NR441" s="457"/>
      <c r="NS441" s="457"/>
      <c r="NT441" s="457"/>
      <c r="NU441" s="457"/>
      <c r="NV441" s="457"/>
      <c r="NW441" s="457"/>
      <c r="NX441" s="457"/>
      <c r="NY441" s="457"/>
      <c r="NZ441" s="457"/>
      <c r="OA441" s="457"/>
      <c r="OB441" s="457"/>
      <c r="OC441" s="457"/>
      <c r="OD441" s="457"/>
      <c r="OE441" s="457"/>
      <c r="OF441" s="457"/>
      <c r="OG441" s="457"/>
      <c r="OH441" s="457"/>
      <c r="OI441" s="457"/>
      <c r="OJ441" s="457"/>
      <c r="OK441" s="457"/>
      <c r="OL441" s="457"/>
      <c r="OM441" s="457"/>
      <c r="ON441" s="457"/>
      <c r="OO441" s="457"/>
      <c r="OP441" s="457"/>
      <c r="OQ441" s="457"/>
      <c r="OR441" s="457"/>
      <c r="OS441" s="457"/>
      <c r="OT441" s="457"/>
      <c r="OU441" s="457"/>
      <c r="OV441" s="457"/>
      <c r="OW441" s="457"/>
      <c r="OX441" s="457"/>
      <c r="OY441" s="457"/>
      <c r="OZ441" s="457"/>
      <c r="PA441" s="457"/>
      <c r="PB441" s="457"/>
      <c r="PC441" s="457"/>
      <c r="PD441" s="457"/>
      <c r="PE441" s="457"/>
      <c r="PF441" s="457"/>
      <c r="PG441" s="457"/>
      <c r="PH441" s="457"/>
      <c r="PI441" s="457"/>
      <c r="PJ441" s="457"/>
      <c r="PK441" s="457"/>
      <c r="PL441" s="457"/>
      <c r="PM441" s="457"/>
      <c r="PN441" s="457"/>
      <c r="PO441" s="457"/>
      <c r="PP441" s="457"/>
      <c r="PQ441" s="457"/>
      <c r="PR441" s="457"/>
      <c r="PS441" s="457"/>
      <c r="PT441" s="457"/>
      <c r="PU441" s="457"/>
      <c r="PV441" s="457"/>
      <c r="PW441" s="457"/>
      <c r="PX441" s="457"/>
      <c r="PY441" s="457"/>
      <c r="PZ441" s="457"/>
      <c r="QA441" s="457"/>
      <c r="QB441" s="457"/>
      <c r="QC441" s="457"/>
      <c r="QD441" s="457"/>
      <c r="QE441" s="457"/>
      <c r="QF441" s="457"/>
      <c r="QG441" s="457"/>
      <c r="QH441" s="457"/>
      <c r="QI441" s="457"/>
      <c r="QJ441" s="457"/>
      <c r="QK441" s="457"/>
      <c r="QL441" s="457"/>
      <c r="QM441" s="457"/>
      <c r="QN441" s="457"/>
      <c r="QO441" s="457"/>
      <c r="QP441" s="457"/>
      <c r="QQ441" s="457"/>
      <c r="QR441" s="457"/>
      <c r="QS441" s="457"/>
      <c r="QT441" s="457"/>
      <c r="QU441" s="457"/>
      <c r="QV441" s="457"/>
      <c r="QW441" s="457"/>
      <c r="QX441" s="457"/>
      <c r="QY441" s="457"/>
      <c r="QZ441" s="457"/>
      <c r="RA441" s="457"/>
      <c r="RB441" s="457"/>
      <c r="RC441" s="457"/>
      <c r="RD441" s="457"/>
      <c r="RE441" s="457"/>
      <c r="RF441" s="457"/>
      <c r="RG441" s="457"/>
      <c r="RH441" s="457"/>
      <c r="RI441" s="457"/>
      <c r="RJ441" s="457"/>
      <c r="RK441" s="457"/>
      <c r="RL441" s="457"/>
      <c r="RM441" s="457"/>
      <c r="RN441" s="457"/>
      <c r="RO441" s="457"/>
      <c r="RP441" s="457"/>
      <c r="RQ441" s="457"/>
      <c r="RR441" s="457"/>
      <c r="RS441" s="457"/>
      <c r="RT441" s="457"/>
      <c r="RU441" s="457"/>
      <c r="RV441" s="457"/>
      <c r="RW441" s="457"/>
      <c r="RX441" s="457"/>
      <c r="RY441" s="457"/>
      <c r="RZ441" s="457"/>
      <c r="SA441" s="457"/>
      <c r="SB441" s="457"/>
      <c r="SC441" s="457"/>
      <c r="SD441" s="457"/>
      <c r="SE441" s="457"/>
      <c r="SF441" s="457"/>
      <c r="SG441" s="457"/>
      <c r="SH441" s="457"/>
      <c r="SI441" s="457"/>
      <c r="SJ441" s="457"/>
      <c r="SK441" s="457"/>
      <c r="SL441" s="457"/>
      <c r="SM441" s="457"/>
      <c r="SN441" s="457"/>
      <c r="SO441" s="457"/>
      <c r="SP441" s="457"/>
      <c r="SQ441" s="457"/>
      <c r="SR441" s="457"/>
      <c r="SS441" s="457"/>
      <c r="ST441" s="457"/>
      <c r="SU441" s="457"/>
      <c r="SV441" s="457"/>
      <c r="SW441" s="457"/>
      <c r="SX441" s="457"/>
      <c r="SY441" s="457"/>
      <c r="SZ441" s="457"/>
      <c r="TA441" s="457"/>
      <c r="TB441" s="457"/>
      <c r="TC441" s="457"/>
      <c r="TD441" s="457"/>
      <c r="TE441" s="457"/>
      <c r="TF441" s="457"/>
      <c r="TG441" s="457"/>
      <c r="TH441" s="457"/>
      <c r="TI441" s="457"/>
      <c r="TJ441" s="457"/>
      <c r="TK441" s="457"/>
      <c r="TL441" s="457"/>
      <c r="TM441" s="457"/>
      <c r="TN441" s="457"/>
      <c r="TO441" s="457"/>
      <c r="TP441" s="457"/>
      <c r="TQ441" s="457"/>
      <c r="TR441" s="457"/>
      <c r="TS441" s="457"/>
      <c r="TT441" s="457"/>
      <c r="TU441" s="457"/>
      <c r="TV441" s="457"/>
      <c r="TW441" s="457"/>
      <c r="TX441" s="457"/>
      <c r="TY441" s="457"/>
      <c r="TZ441" s="457"/>
      <c r="UA441" s="457"/>
      <c r="UB441" s="457"/>
      <c r="UC441" s="457"/>
      <c r="UD441" s="457"/>
      <c r="UE441" s="457"/>
      <c r="UF441" s="457"/>
      <c r="UG441" s="457"/>
      <c r="UH441" s="457"/>
      <c r="UI441" s="457"/>
      <c r="UJ441" s="457"/>
      <c r="UK441" s="457"/>
      <c r="UL441" s="457"/>
      <c r="UM441" s="457"/>
      <c r="UN441" s="457"/>
      <c r="UO441" s="457"/>
      <c r="UP441" s="457"/>
      <c r="UQ441" s="457"/>
      <c r="UR441" s="457"/>
      <c r="US441" s="457"/>
      <c r="UT441" s="457"/>
      <c r="UU441" s="457"/>
      <c r="UV441" s="457"/>
      <c r="UW441" s="457"/>
      <c r="UX441" s="457"/>
      <c r="UY441" s="457"/>
      <c r="UZ441" s="457"/>
      <c r="VA441" s="457"/>
      <c r="VB441" s="457"/>
      <c r="VC441" s="457"/>
      <c r="VD441" s="457"/>
      <c r="VE441" s="457"/>
      <c r="VF441" s="457"/>
      <c r="VG441" s="457"/>
      <c r="VH441" s="457"/>
      <c r="VI441" s="457"/>
      <c r="VJ441" s="457"/>
      <c r="VK441" s="457"/>
      <c r="VL441" s="457"/>
      <c r="VM441" s="457"/>
      <c r="VN441" s="457"/>
      <c r="VO441" s="457"/>
      <c r="VP441" s="457"/>
      <c r="VQ441" s="457"/>
      <c r="VR441" s="457"/>
      <c r="VS441" s="457"/>
      <c r="VT441" s="457"/>
      <c r="VU441" s="457"/>
      <c r="VV441" s="457"/>
      <c r="VW441" s="457"/>
      <c r="VX441" s="457"/>
      <c r="VY441" s="457"/>
      <c r="VZ441" s="457"/>
      <c r="WA441" s="457"/>
      <c r="WB441" s="457"/>
      <c r="WC441" s="457"/>
      <c r="WD441" s="457"/>
      <c r="WE441" s="457"/>
      <c r="WF441" s="457"/>
      <c r="WG441" s="457"/>
      <c r="WH441" s="457"/>
      <c r="WI441" s="457"/>
      <c r="WJ441" s="457"/>
      <c r="WK441" s="457"/>
      <c r="WL441" s="457"/>
      <c r="WM441" s="457"/>
      <c r="WN441" s="457"/>
      <c r="WO441" s="457"/>
      <c r="WP441" s="457"/>
      <c r="WQ441" s="457"/>
      <c r="WR441" s="457"/>
      <c r="WS441" s="457"/>
      <c r="WT441" s="457"/>
      <c r="WU441" s="457"/>
      <c r="WV441" s="457"/>
      <c r="WW441" s="457"/>
      <c r="WX441" s="457"/>
      <c r="WY441" s="457"/>
      <c r="WZ441" s="457"/>
      <c r="XA441" s="457"/>
      <c r="XB441" s="457"/>
      <c r="XC441" s="457"/>
      <c r="XD441" s="457"/>
      <c r="XE441" s="457"/>
      <c r="XF441" s="457"/>
      <c r="XG441" s="457"/>
      <c r="XH441" s="457"/>
      <c r="XI441" s="457"/>
      <c r="XJ441" s="457"/>
      <c r="XK441" s="457"/>
      <c r="XL441" s="457"/>
      <c r="XM441" s="457"/>
      <c r="XN441" s="457"/>
      <c r="XO441" s="457"/>
      <c r="XP441" s="457"/>
      <c r="XQ441" s="457"/>
      <c r="XR441" s="457"/>
      <c r="XS441" s="457"/>
      <c r="XT441" s="457"/>
      <c r="XU441" s="457"/>
      <c r="XV441" s="457"/>
      <c r="XW441" s="457"/>
      <c r="XX441" s="457"/>
      <c r="XY441" s="457"/>
      <c r="XZ441" s="457"/>
      <c r="YA441" s="457"/>
      <c r="YB441" s="457"/>
      <c r="YC441" s="457"/>
      <c r="YD441" s="457"/>
      <c r="YE441" s="457"/>
      <c r="YF441" s="457"/>
      <c r="YG441" s="457"/>
      <c r="YH441" s="457"/>
      <c r="YI441" s="457"/>
      <c r="YJ441" s="457"/>
      <c r="YK441" s="457"/>
      <c r="YL441" s="457"/>
      <c r="YM441" s="457"/>
      <c r="YN441" s="457"/>
      <c r="YO441" s="457"/>
      <c r="YP441" s="457"/>
      <c r="YQ441" s="457"/>
      <c r="YR441" s="457"/>
      <c r="YS441" s="457"/>
      <c r="YT441" s="457"/>
      <c r="YU441" s="457"/>
      <c r="YV441" s="457"/>
      <c r="YW441" s="457"/>
      <c r="YX441" s="457"/>
      <c r="YY441" s="457"/>
      <c r="YZ441" s="457"/>
      <c r="ZA441" s="457"/>
      <c r="ZB441" s="457"/>
      <c r="ZC441" s="457"/>
      <c r="ZD441" s="457"/>
      <c r="ZE441" s="457"/>
      <c r="ZF441" s="457"/>
      <c r="ZG441" s="457"/>
      <c r="ZH441" s="457"/>
      <c r="ZI441" s="457"/>
      <c r="ZJ441" s="457"/>
      <c r="ZK441" s="457"/>
      <c r="ZL441" s="457"/>
      <c r="ZM441" s="457"/>
      <c r="ZN441" s="457"/>
      <c r="ZO441" s="457"/>
      <c r="ZP441" s="457"/>
      <c r="ZQ441" s="457"/>
      <c r="ZR441" s="457"/>
      <c r="ZS441" s="457"/>
      <c r="ZT441" s="457"/>
      <c r="ZU441" s="457"/>
      <c r="ZV441" s="457"/>
      <c r="ZW441" s="457"/>
      <c r="ZX441" s="457"/>
      <c r="ZY441" s="457"/>
      <c r="ZZ441" s="457"/>
      <c r="AAA441" s="457"/>
      <c r="AAB441" s="457"/>
      <c r="AAC441" s="457"/>
      <c r="AAD441" s="457"/>
      <c r="AAE441" s="457"/>
      <c r="AAF441" s="457"/>
      <c r="AAG441" s="457"/>
      <c r="AAH441" s="457"/>
      <c r="AAI441" s="457"/>
      <c r="AAJ441" s="457"/>
      <c r="AAK441" s="457"/>
      <c r="AAL441" s="457"/>
      <c r="AAM441" s="457"/>
      <c r="AAN441" s="457"/>
      <c r="AAO441" s="457"/>
      <c r="AAP441" s="457"/>
      <c r="AAQ441" s="457"/>
      <c r="AAR441" s="457"/>
      <c r="AAS441" s="457"/>
      <c r="AAT441" s="457"/>
      <c r="AAU441" s="457"/>
      <c r="AAV441" s="457"/>
      <c r="AAW441" s="457"/>
      <c r="AAX441" s="457"/>
      <c r="AAY441" s="457"/>
      <c r="AAZ441" s="457"/>
      <c r="ABA441" s="457"/>
      <c r="ABB441" s="457"/>
      <c r="ABC441" s="457"/>
      <c r="ABD441" s="457"/>
      <c r="ABE441" s="457"/>
      <c r="ABF441" s="457"/>
      <c r="ABG441" s="457"/>
      <c r="ABH441" s="457"/>
      <c r="ABI441" s="457"/>
      <c r="ABJ441" s="457"/>
      <c r="ABK441" s="457"/>
      <c r="ABL441" s="457"/>
      <c r="ABM441" s="457"/>
      <c r="ABN441" s="457"/>
      <c r="ABO441" s="457"/>
      <c r="ABP441" s="457"/>
      <c r="ABQ441" s="457"/>
      <c r="ABR441" s="457"/>
      <c r="ABS441" s="457"/>
      <c r="ABT441" s="457"/>
      <c r="ABU441" s="457"/>
      <c r="ABV441" s="457"/>
      <c r="ABW441" s="457"/>
      <c r="ABX441" s="457"/>
      <c r="ABY441" s="457"/>
      <c r="ABZ441" s="457"/>
      <c r="ACA441" s="457"/>
      <c r="ACB441" s="457"/>
      <c r="ACC441" s="457"/>
      <c r="ACD441" s="457"/>
      <c r="ACE441" s="457"/>
      <c r="ACF441" s="457"/>
      <c r="ACG441" s="457"/>
      <c r="ACH441" s="457"/>
      <c r="ACI441" s="457"/>
      <c r="ACJ441" s="457"/>
      <c r="ACK441" s="457"/>
      <c r="ACL441" s="457"/>
      <c r="ACM441" s="457"/>
      <c r="ACN441" s="457"/>
      <c r="ACO441" s="457"/>
      <c r="ACP441" s="457"/>
      <c r="ACQ441" s="457"/>
      <c r="ACR441" s="457"/>
      <c r="ACS441" s="457"/>
      <c r="ACT441" s="457"/>
      <c r="ACU441" s="457"/>
      <c r="ACV441" s="457"/>
    </row>
    <row r="442" spans="1:776" s="400" customFormat="1" x14ac:dyDescent="0.25">
      <c r="A442" s="470">
        <v>900155</v>
      </c>
      <c r="B442" s="237" t="s">
        <v>352</v>
      </c>
      <c r="C442" s="455"/>
      <c r="D442" s="454" t="s">
        <v>353</v>
      </c>
      <c r="E442" s="454">
        <v>1.57</v>
      </c>
      <c r="F442" s="456">
        <v>6.15</v>
      </c>
      <c r="G442" s="454">
        <v>0.01</v>
      </c>
      <c r="H442" s="454">
        <v>0.11</v>
      </c>
      <c r="I442" s="456">
        <v>250.46</v>
      </c>
      <c r="J442" s="454">
        <v>162.84</v>
      </c>
      <c r="K442" s="454">
        <v>0.01</v>
      </c>
      <c r="L442" s="456">
        <v>213.6</v>
      </c>
      <c r="M442" s="454">
        <v>0.01</v>
      </c>
      <c r="N442" s="454">
        <v>7.6</v>
      </c>
      <c r="O442" s="454">
        <v>106.47</v>
      </c>
      <c r="P442" s="454">
        <v>136.57</v>
      </c>
      <c r="Q442" s="454">
        <v>51.68</v>
      </c>
      <c r="R442" s="454">
        <v>0.01</v>
      </c>
      <c r="S442" s="454">
        <v>0.01</v>
      </c>
      <c r="T442" s="454">
        <v>0.01</v>
      </c>
      <c r="U442" s="454">
        <v>0.01</v>
      </c>
      <c r="V442" s="454"/>
      <c r="W442" s="457"/>
      <c r="X442" s="457"/>
      <c r="Y442" s="457"/>
      <c r="Z442" s="457"/>
      <c r="AA442" s="457"/>
      <c r="AB442" s="457"/>
      <c r="AC442" s="457"/>
      <c r="AD442" s="457"/>
      <c r="AE442" s="457"/>
      <c r="AF442" s="457"/>
      <c r="AG442" s="457"/>
      <c r="AH442" s="457"/>
      <c r="AI442" s="457"/>
      <c r="AJ442" s="457"/>
      <c r="AK442" s="457"/>
      <c r="AL442" s="457"/>
      <c r="AM442" s="457"/>
      <c r="AN442" s="457"/>
      <c r="AO442" s="457"/>
      <c r="AP442" s="457"/>
      <c r="AQ442" s="457"/>
      <c r="AR442" s="457"/>
      <c r="AS442" s="457"/>
      <c r="AT442" s="457"/>
      <c r="AU442" s="457"/>
      <c r="AV442" s="457"/>
      <c r="AW442" s="457"/>
      <c r="AX442" s="457"/>
      <c r="AY442" s="457"/>
      <c r="AZ442" s="457"/>
      <c r="BA442" s="457"/>
      <c r="BB442" s="457"/>
      <c r="BC442" s="457"/>
      <c r="BD442" s="457"/>
      <c r="BE442" s="457"/>
      <c r="BF442" s="457"/>
      <c r="BG442" s="457"/>
      <c r="BH442" s="457"/>
      <c r="BI442" s="457"/>
      <c r="BJ442" s="457"/>
      <c r="BK442" s="457"/>
      <c r="BL442" s="457"/>
      <c r="BM442" s="457"/>
      <c r="BN442" s="457"/>
      <c r="BO442" s="457"/>
      <c r="BP442" s="457"/>
      <c r="BQ442" s="457"/>
      <c r="BR442" s="457"/>
      <c r="BS442" s="457"/>
      <c r="BT442" s="457"/>
      <c r="BU442" s="457"/>
      <c r="BV442" s="457"/>
      <c r="BW442" s="457"/>
      <c r="BX442" s="457"/>
      <c r="BY442" s="457"/>
      <c r="BZ442" s="457"/>
      <c r="CA442" s="457"/>
      <c r="CB442" s="457"/>
      <c r="CC442" s="457"/>
      <c r="CD442" s="457"/>
      <c r="CE442" s="457"/>
      <c r="CF442" s="457"/>
      <c r="CG442" s="457"/>
      <c r="CH442" s="457"/>
      <c r="CI442" s="457"/>
      <c r="CJ442" s="457"/>
      <c r="CK442" s="457"/>
      <c r="CL442" s="457"/>
      <c r="CM442" s="457"/>
      <c r="CN442" s="457"/>
      <c r="CO442" s="457"/>
      <c r="CP442" s="457"/>
      <c r="CQ442" s="457"/>
      <c r="CR442" s="457"/>
      <c r="CS442" s="457"/>
      <c r="CT442" s="457"/>
      <c r="CU442" s="457"/>
      <c r="CV442" s="457"/>
      <c r="CW442" s="457"/>
      <c r="CX442" s="457"/>
      <c r="CY442" s="457"/>
      <c r="CZ442" s="457"/>
      <c r="DA442" s="457"/>
      <c r="DB442" s="457"/>
      <c r="DC442" s="457"/>
      <c r="DD442" s="457"/>
      <c r="DE442" s="457"/>
      <c r="DF442" s="457"/>
      <c r="DG442" s="457"/>
      <c r="DH442" s="457"/>
      <c r="DI442" s="457"/>
      <c r="DJ442" s="457"/>
      <c r="DK442" s="457"/>
      <c r="DL442" s="457"/>
      <c r="DM442" s="457"/>
      <c r="DN442" s="457"/>
      <c r="DO442" s="457"/>
      <c r="DP442" s="457"/>
      <c r="DQ442" s="457"/>
      <c r="DR442" s="457"/>
      <c r="DS442" s="457"/>
      <c r="DT442" s="457"/>
      <c r="DU442" s="457"/>
      <c r="DV442" s="457"/>
      <c r="DW442" s="457"/>
      <c r="DX442" s="457"/>
      <c r="DY442" s="457"/>
      <c r="DZ442" s="457"/>
      <c r="EA442" s="457"/>
      <c r="EB442" s="457"/>
      <c r="EC442" s="457"/>
      <c r="ED442" s="457"/>
      <c r="EE442" s="457"/>
      <c r="EF442" s="457"/>
      <c r="EG442" s="457"/>
      <c r="EH442" s="457"/>
      <c r="EI442" s="457"/>
      <c r="EJ442" s="457"/>
      <c r="EK442" s="457"/>
      <c r="EL442" s="457"/>
      <c r="EM442" s="457"/>
      <c r="EN442" s="457"/>
      <c r="EO442" s="457"/>
      <c r="EP442" s="457"/>
      <c r="EQ442" s="457"/>
      <c r="ER442" s="457"/>
      <c r="ES442" s="457"/>
      <c r="ET442" s="457"/>
      <c r="EU442" s="457"/>
      <c r="EV442" s="457"/>
      <c r="EW442" s="457"/>
      <c r="EX442" s="457"/>
      <c r="EY442" s="457"/>
      <c r="EZ442" s="457"/>
      <c r="FA442" s="457"/>
      <c r="FB442" s="457"/>
      <c r="FC442" s="457"/>
      <c r="FD442" s="457"/>
      <c r="FE442" s="457"/>
      <c r="FF442" s="457"/>
      <c r="FG442" s="457"/>
      <c r="FH442" s="457"/>
      <c r="FI442" s="457"/>
      <c r="FJ442" s="457"/>
      <c r="FK442" s="457"/>
      <c r="FL442" s="457"/>
      <c r="FM442" s="457"/>
      <c r="FN442" s="457"/>
      <c r="FO442" s="457"/>
      <c r="FP442" s="457"/>
      <c r="FQ442" s="457"/>
      <c r="FR442" s="457"/>
      <c r="FS442" s="457"/>
      <c r="FT442" s="457"/>
      <c r="FU442" s="457"/>
      <c r="FV442" s="457"/>
      <c r="FW442" s="457"/>
      <c r="FX442" s="457"/>
      <c r="FY442" s="457"/>
      <c r="FZ442" s="457"/>
      <c r="GA442" s="457"/>
      <c r="GB442" s="457"/>
      <c r="GC442" s="457"/>
      <c r="GD442" s="457"/>
      <c r="GE442" s="457"/>
      <c r="GF442" s="457"/>
      <c r="GG442" s="457"/>
      <c r="GH442" s="457"/>
      <c r="GI442" s="457"/>
      <c r="GJ442" s="457"/>
      <c r="GK442" s="457"/>
      <c r="GL442" s="457"/>
      <c r="GM442" s="457"/>
      <c r="GN442" s="457"/>
      <c r="GO442" s="457"/>
      <c r="GP442" s="457"/>
      <c r="GQ442" s="457"/>
      <c r="GR442" s="457"/>
      <c r="GS442" s="457"/>
      <c r="GT442" s="457"/>
      <c r="GU442" s="457"/>
      <c r="GV442" s="457"/>
      <c r="GW442" s="457"/>
      <c r="GX442" s="457"/>
      <c r="GY442" s="457"/>
      <c r="GZ442" s="457"/>
      <c r="HA442" s="457"/>
      <c r="HB442" s="457"/>
      <c r="HC442" s="457"/>
      <c r="HD442" s="457"/>
      <c r="HE442" s="457"/>
      <c r="HF442" s="457"/>
      <c r="HG442" s="457"/>
      <c r="HH442" s="457"/>
      <c r="HI442" s="457"/>
      <c r="HJ442" s="457"/>
      <c r="HK442" s="457"/>
      <c r="HL442" s="457"/>
      <c r="HM442" s="457"/>
      <c r="HN442" s="457"/>
      <c r="HO442" s="457"/>
      <c r="HP442" s="457"/>
      <c r="HQ442" s="457"/>
      <c r="HR442" s="457"/>
      <c r="HS442" s="457"/>
      <c r="HT442" s="457"/>
      <c r="HU442" s="457"/>
      <c r="HV442" s="457"/>
      <c r="HW442" s="457"/>
      <c r="HX442" s="457"/>
      <c r="HY442" s="457"/>
      <c r="HZ442" s="457"/>
      <c r="IA442" s="457"/>
      <c r="IB442" s="457"/>
      <c r="IC442" s="457"/>
      <c r="ID442" s="457"/>
      <c r="IE442" s="457"/>
      <c r="IF442" s="457"/>
      <c r="IG442" s="457"/>
      <c r="IH442" s="457"/>
      <c r="II442" s="457"/>
      <c r="IJ442" s="457"/>
      <c r="IK442" s="457"/>
      <c r="IL442" s="457"/>
      <c r="IM442" s="457"/>
      <c r="IN442" s="457"/>
      <c r="IO442" s="457"/>
      <c r="IP442" s="457"/>
      <c r="IQ442" s="457"/>
      <c r="IR442" s="457"/>
      <c r="IS442" s="457"/>
      <c r="IT442" s="457"/>
      <c r="IU442" s="457"/>
      <c r="IV442" s="457"/>
      <c r="IW442" s="457"/>
      <c r="IX442" s="457"/>
      <c r="IY442" s="457"/>
      <c r="IZ442" s="457"/>
      <c r="JA442" s="457"/>
      <c r="JB442" s="457"/>
      <c r="JC442" s="457"/>
      <c r="JD442" s="457"/>
      <c r="JE442" s="457"/>
      <c r="JF442" s="457"/>
      <c r="JG442" s="457"/>
      <c r="JH442" s="457"/>
      <c r="JI442" s="457"/>
      <c r="JJ442" s="457"/>
      <c r="JK442" s="457"/>
      <c r="JL442" s="457"/>
      <c r="JM442" s="457"/>
      <c r="JN442" s="457"/>
      <c r="JO442" s="457"/>
      <c r="JP442" s="457"/>
      <c r="JQ442" s="457"/>
      <c r="JR442" s="457"/>
      <c r="JS442" s="457"/>
      <c r="JT442" s="457"/>
      <c r="JU442" s="457"/>
      <c r="JV442" s="457"/>
      <c r="JW442" s="457"/>
      <c r="JX442" s="457"/>
      <c r="JY442" s="457"/>
      <c r="JZ442" s="457"/>
      <c r="KA442" s="457"/>
      <c r="KB442" s="457"/>
      <c r="KC442" s="457"/>
      <c r="KD442" s="457"/>
      <c r="KE442" s="457"/>
      <c r="KF442" s="457"/>
      <c r="KG442" s="457"/>
      <c r="KH442" s="457"/>
      <c r="KI442" s="457"/>
      <c r="KJ442" s="457"/>
      <c r="KK442" s="457"/>
      <c r="KL442" s="457"/>
      <c r="KM442" s="457"/>
      <c r="KN442" s="457"/>
      <c r="KO442" s="457"/>
      <c r="KP442" s="457"/>
      <c r="KQ442" s="457"/>
      <c r="KR442" s="457"/>
      <c r="KS442" s="457"/>
      <c r="KT442" s="457"/>
      <c r="KU442" s="457"/>
      <c r="KV442" s="457"/>
      <c r="KW442" s="457"/>
      <c r="KX442" s="457"/>
      <c r="KY442" s="457"/>
      <c r="KZ442" s="457"/>
      <c r="LA442" s="457"/>
      <c r="LB442" s="457"/>
      <c r="LC442" s="457"/>
      <c r="LD442" s="457"/>
      <c r="LE442" s="457"/>
      <c r="LF442" s="457"/>
      <c r="LG442" s="457"/>
      <c r="LH442" s="457"/>
      <c r="LI442" s="457"/>
      <c r="LJ442" s="457"/>
      <c r="LK442" s="457"/>
      <c r="LL442" s="457"/>
      <c r="LM442" s="457"/>
      <c r="LN442" s="457"/>
      <c r="LO442" s="457"/>
      <c r="LP442" s="457"/>
      <c r="LQ442" s="457"/>
      <c r="LR442" s="457"/>
      <c r="LS442" s="457"/>
      <c r="LT442" s="457"/>
      <c r="LU442" s="457"/>
      <c r="LV442" s="457"/>
      <c r="LW442" s="457"/>
      <c r="LX442" s="457"/>
      <c r="LY442" s="457"/>
      <c r="LZ442" s="457"/>
      <c r="MA442" s="457"/>
      <c r="MB442" s="457"/>
      <c r="MC442" s="457"/>
      <c r="MD442" s="457"/>
      <c r="ME442" s="457"/>
      <c r="MF442" s="457"/>
      <c r="MG442" s="457"/>
      <c r="MH442" s="457"/>
      <c r="MI442" s="457"/>
      <c r="MJ442" s="457"/>
      <c r="MK442" s="457"/>
      <c r="ML442" s="457"/>
      <c r="MM442" s="457"/>
      <c r="MN442" s="457"/>
      <c r="MO442" s="457"/>
      <c r="MP442" s="457"/>
      <c r="MQ442" s="457"/>
      <c r="MR442" s="457"/>
      <c r="MS442" s="457"/>
      <c r="MT442" s="457"/>
      <c r="MU442" s="457"/>
      <c r="MV442" s="457"/>
      <c r="MW442" s="457"/>
      <c r="MX442" s="457"/>
      <c r="MY442" s="457"/>
      <c r="MZ442" s="457"/>
      <c r="NA442" s="457"/>
      <c r="NB442" s="457"/>
      <c r="NC442" s="457"/>
      <c r="ND442" s="457"/>
      <c r="NE442" s="457"/>
      <c r="NF442" s="457"/>
      <c r="NG442" s="457"/>
      <c r="NH442" s="457"/>
      <c r="NI442" s="457"/>
      <c r="NJ442" s="457"/>
      <c r="NK442" s="457"/>
      <c r="NL442" s="457"/>
      <c r="NM442" s="457"/>
      <c r="NN442" s="457"/>
      <c r="NO442" s="457"/>
      <c r="NP442" s="457"/>
      <c r="NQ442" s="457"/>
      <c r="NR442" s="457"/>
      <c r="NS442" s="457"/>
      <c r="NT442" s="457"/>
      <c r="NU442" s="457"/>
      <c r="NV442" s="457"/>
      <c r="NW442" s="457"/>
      <c r="NX442" s="457"/>
      <c r="NY442" s="457"/>
      <c r="NZ442" s="457"/>
      <c r="OA442" s="457"/>
      <c r="OB442" s="457"/>
      <c r="OC442" s="457"/>
      <c r="OD442" s="457"/>
      <c r="OE442" s="457"/>
      <c r="OF442" s="457"/>
      <c r="OG442" s="457"/>
      <c r="OH442" s="457"/>
      <c r="OI442" s="457"/>
      <c r="OJ442" s="457"/>
      <c r="OK442" s="457"/>
      <c r="OL442" s="457"/>
      <c r="OM442" s="457"/>
      <c r="ON442" s="457"/>
      <c r="OO442" s="457"/>
      <c r="OP442" s="457"/>
      <c r="OQ442" s="457"/>
      <c r="OR442" s="457"/>
      <c r="OS442" s="457"/>
      <c r="OT442" s="457"/>
      <c r="OU442" s="457"/>
      <c r="OV442" s="457"/>
      <c r="OW442" s="457"/>
      <c r="OX442" s="457"/>
      <c r="OY442" s="457"/>
      <c r="OZ442" s="457"/>
      <c r="PA442" s="457"/>
      <c r="PB442" s="457"/>
      <c r="PC442" s="457"/>
      <c r="PD442" s="457"/>
      <c r="PE442" s="457"/>
      <c r="PF442" s="457"/>
      <c r="PG442" s="457"/>
      <c r="PH442" s="457"/>
      <c r="PI442" s="457"/>
      <c r="PJ442" s="457"/>
      <c r="PK442" s="457"/>
      <c r="PL442" s="457"/>
      <c r="PM442" s="457"/>
      <c r="PN442" s="457"/>
      <c r="PO442" s="457"/>
      <c r="PP442" s="457"/>
      <c r="PQ442" s="457"/>
      <c r="PR442" s="457"/>
      <c r="PS442" s="457"/>
      <c r="PT442" s="457"/>
      <c r="PU442" s="457"/>
      <c r="PV442" s="457"/>
      <c r="PW442" s="457"/>
      <c r="PX442" s="457"/>
      <c r="PY442" s="457"/>
      <c r="PZ442" s="457"/>
      <c r="QA442" s="457"/>
      <c r="QB442" s="457"/>
      <c r="QC442" s="457"/>
      <c r="QD442" s="457"/>
      <c r="QE442" s="457"/>
      <c r="QF442" s="457"/>
      <c r="QG442" s="457"/>
      <c r="QH442" s="457"/>
      <c r="QI442" s="457"/>
      <c r="QJ442" s="457"/>
      <c r="QK442" s="457"/>
      <c r="QL442" s="457"/>
      <c r="QM442" s="457"/>
      <c r="QN442" s="457"/>
      <c r="QO442" s="457"/>
      <c r="QP442" s="457"/>
      <c r="QQ442" s="457"/>
      <c r="QR442" s="457"/>
      <c r="QS442" s="457"/>
      <c r="QT442" s="457"/>
      <c r="QU442" s="457"/>
      <c r="QV442" s="457"/>
      <c r="QW442" s="457"/>
      <c r="QX442" s="457"/>
      <c r="QY442" s="457"/>
      <c r="QZ442" s="457"/>
      <c r="RA442" s="457"/>
      <c r="RB442" s="457"/>
      <c r="RC442" s="457"/>
      <c r="RD442" s="457"/>
      <c r="RE442" s="457"/>
      <c r="RF442" s="457"/>
      <c r="RG442" s="457"/>
      <c r="RH442" s="457"/>
      <c r="RI442" s="457"/>
      <c r="RJ442" s="457"/>
      <c r="RK442" s="457"/>
      <c r="RL442" s="457"/>
      <c r="RM442" s="457"/>
      <c r="RN442" s="457"/>
      <c r="RO442" s="457"/>
      <c r="RP442" s="457"/>
      <c r="RQ442" s="457"/>
      <c r="RR442" s="457"/>
      <c r="RS442" s="457"/>
      <c r="RT442" s="457"/>
      <c r="RU442" s="457"/>
      <c r="RV442" s="457"/>
      <c r="RW442" s="457"/>
      <c r="RX442" s="457"/>
      <c r="RY442" s="457"/>
      <c r="RZ442" s="457"/>
      <c r="SA442" s="457"/>
      <c r="SB442" s="457"/>
      <c r="SC442" s="457"/>
      <c r="SD442" s="457"/>
      <c r="SE442" s="457"/>
      <c r="SF442" s="457"/>
      <c r="SG442" s="457"/>
      <c r="SH442" s="457"/>
      <c r="SI442" s="457"/>
      <c r="SJ442" s="457"/>
      <c r="SK442" s="457"/>
      <c r="SL442" s="457"/>
      <c r="SM442" s="457"/>
      <c r="SN442" s="457"/>
      <c r="SO442" s="457"/>
      <c r="SP442" s="457"/>
      <c r="SQ442" s="457"/>
      <c r="SR442" s="457"/>
      <c r="SS442" s="457"/>
      <c r="ST442" s="457"/>
      <c r="SU442" s="457"/>
      <c r="SV442" s="457"/>
      <c r="SW442" s="457"/>
      <c r="SX442" s="457"/>
      <c r="SY442" s="457"/>
      <c r="SZ442" s="457"/>
      <c r="TA442" s="457"/>
      <c r="TB442" s="457"/>
      <c r="TC442" s="457"/>
      <c r="TD442" s="457"/>
      <c r="TE442" s="457"/>
      <c r="TF442" s="457"/>
      <c r="TG442" s="457"/>
      <c r="TH442" s="457"/>
      <c r="TI442" s="457"/>
      <c r="TJ442" s="457"/>
      <c r="TK442" s="457"/>
      <c r="TL442" s="457"/>
      <c r="TM442" s="457"/>
      <c r="TN442" s="457"/>
      <c r="TO442" s="457"/>
      <c r="TP442" s="457"/>
      <c r="TQ442" s="457"/>
      <c r="TR442" s="457"/>
      <c r="TS442" s="457"/>
      <c r="TT442" s="457"/>
      <c r="TU442" s="457"/>
      <c r="TV442" s="457"/>
      <c r="TW442" s="457"/>
      <c r="TX442" s="457"/>
      <c r="TY442" s="457"/>
      <c r="TZ442" s="457"/>
      <c r="UA442" s="457"/>
      <c r="UB442" s="457"/>
      <c r="UC442" s="457"/>
      <c r="UD442" s="457"/>
      <c r="UE442" s="457"/>
      <c r="UF442" s="457"/>
      <c r="UG442" s="457"/>
      <c r="UH442" s="457"/>
      <c r="UI442" s="457"/>
      <c r="UJ442" s="457"/>
      <c r="UK442" s="457"/>
      <c r="UL442" s="457"/>
      <c r="UM442" s="457"/>
      <c r="UN442" s="457"/>
      <c r="UO442" s="457"/>
      <c r="UP442" s="457"/>
      <c r="UQ442" s="457"/>
      <c r="UR442" s="457"/>
      <c r="US442" s="457"/>
      <c r="UT442" s="457"/>
      <c r="UU442" s="457"/>
      <c r="UV442" s="457"/>
      <c r="UW442" s="457"/>
      <c r="UX442" s="457"/>
      <c r="UY442" s="457"/>
      <c r="UZ442" s="457"/>
      <c r="VA442" s="457"/>
      <c r="VB442" s="457"/>
      <c r="VC442" s="457"/>
      <c r="VD442" s="457"/>
      <c r="VE442" s="457"/>
      <c r="VF442" s="457"/>
      <c r="VG442" s="457"/>
      <c r="VH442" s="457"/>
      <c r="VI442" s="457"/>
      <c r="VJ442" s="457"/>
      <c r="VK442" s="457"/>
      <c r="VL442" s="457"/>
      <c r="VM442" s="457"/>
      <c r="VN442" s="457"/>
      <c r="VO442" s="457"/>
      <c r="VP442" s="457"/>
      <c r="VQ442" s="457"/>
      <c r="VR442" s="457"/>
      <c r="VS442" s="457"/>
      <c r="VT442" s="457"/>
      <c r="VU442" s="457"/>
      <c r="VV442" s="457"/>
      <c r="VW442" s="457"/>
      <c r="VX442" s="457"/>
      <c r="VY442" s="457"/>
      <c r="VZ442" s="457"/>
      <c r="WA442" s="457"/>
      <c r="WB442" s="457"/>
      <c r="WC442" s="457"/>
      <c r="WD442" s="457"/>
      <c r="WE442" s="457"/>
      <c r="WF442" s="457"/>
      <c r="WG442" s="457"/>
      <c r="WH442" s="457"/>
      <c r="WI442" s="457"/>
      <c r="WJ442" s="457"/>
      <c r="WK442" s="457"/>
      <c r="WL442" s="457"/>
      <c r="WM442" s="457"/>
      <c r="WN442" s="457"/>
      <c r="WO442" s="457"/>
      <c r="WP442" s="457"/>
      <c r="WQ442" s="457"/>
      <c r="WR442" s="457"/>
      <c r="WS442" s="457"/>
      <c r="WT442" s="457"/>
      <c r="WU442" s="457"/>
      <c r="WV442" s="457"/>
      <c r="WW442" s="457"/>
      <c r="WX442" s="457"/>
      <c r="WY442" s="457"/>
      <c r="WZ442" s="457"/>
      <c r="XA442" s="457"/>
      <c r="XB442" s="457"/>
      <c r="XC442" s="457"/>
      <c r="XD442" s="457"/>
      <c r="XE442" s="457"/>
      <c r="XF442" s="457"/>
      <c r="XG442" s="457"/>
      <c r="XH442" s="457"/>
      <c r="XI442" s="457"/>
      <c r="XJ442" s="457"/>
      <c r="XK442" s="457"/>
      <c r="XL442" s="457"/>
      <c r="XM442" s="457"/>
      <c r="XN442" s="457"/>
      <c r="XO442" s="457"/>
      <c r="XP442" s="457"/>
      <c r="XQ442" s="457"/>
      <c r="XR442" s="457"/>
      <c r="XS442" s="457"/>
      <c r="XT442" s="457"/>
      <c r="XU442" s="457"/>
      <c r="XV442" s="457"/>
      <c r="XW442" s="457"/>
      <c r="XX442" s="457"/>
      <c r="XY442" s="457"/>
      <c r="XZ442" s="457"/>
      <c r="YA442" s="457"/>
      <c r="YB442" s="457"/>
      <c r="YC442" s="457"/>
      <c r="YD442" s="457"/>
      <c r="YE442" s="457"/>
      <c r="YF442" s="457"/>
      <c r="YG442" s="457"/>
      <c r="YH442" s="457"/>
      <c r="YI442" s="457"/>
      <c r="YJ442" s="457"/>
      <c r="YK442" s="457"/>
      <c r="YL442" s="457"/>
      <c r="YM442" s="457"/>
      <c r="YN442" s="457"/>
      <c r="YO442" s="457"/>
      <c r="YP442" s="457"/>
      <c r="YQ442" s="457"/>
      <c r="YR442" s="457"/>
      <c r="YS442" s="457"/>
      <c r="YT442" s="457"/>
      <c r="YU442" s="457"/>
      <c r="YV442" s="457"/>
      <c r="YW442" s="457"/>
      <c r="YX442" s="457"/>
      <c r="YY442" s="457"/>
      <c r="YZ442" s="457"/>
      <c r="ZA442" s="457"/>
      <c r="ZB442" s="457"/>
      <c r="ZC442" s="457"/>
      <c r="ZD442" s="457"/>
      <c r="ZE442" s="457"/>
      <c r="ZF442" s="457"/>
      <c r="ZG442" s="457"/>
      <c r="ZH442" s="457"/>
      <c r="ZI442" s="457"/>
      <c r="ZJ442" s="457"/>
      <c r="ZK442" s="457"/>
      <c r="ZL442" s="457"/>
      <c r="ZM442" s="457"/>
      <c r="ZN442" s="457"/>
      <c r="ZO442" s="457"/>
      <c r="ZP442" s="457"/>
      <c r="ZQ442" s="457"/>
      <c r="ZR442" s="457"/>
      <c r="ZS442" s="457"/>
      <c r="ZT442" s="457"/>
      <c r="ZU442" s="457"/>
      <c r="ZV442" s="457"/>
      <c r="ZW442" s="457"/>
      <c r="ZX442" s="457"/>
      <c r="ZY442" s="457"/>
      <c r="ZZ442" s="457"/>
      <c r="AAA442" s="457"/>
      <c r="AAB442" s="457"/>
      <c r="AAC442" s="457"/>
      <c r="AAD442" s="457"/>
      <c r="AAE442" s="457"/>
      <c r="AAF442" s="457"/>
      <c r="AAG442" s="457"/>
      <c r="AAH442" s="457"/>
      <c r="AAI442" s="457"/>
      <c r="AAJ442" s="457"/>
      <c r="AAK442" s="457"/>
      <c r="AAL442" s="457"/>
      <c r="AAM442" s="457"/>
      <c r="AAN442" s="457"/>
      <c r="AAO442" s="457"/>
      <c r="AAP442" s="457"/>
      <c r="AAQ442" s="457"/>
      <c r="AAR442" s="457"/>
      <c r="AAS442" s="457"/>
      <c r="AAT442" s="457"/>
      <c r="AAU442" s="457"/>
      <c r="AAV442" s="457"/>
      <c r="AAW442" s="457"/>
      <c r="AAX442" s="457"/>
      <c r="AAY442" s="457"/>
      <c r="AAZ442" s="457"/>
      <c r="ABA442" s="457"/>
      <c r="ABB442" s="457"/>
      <c r="ABC442" s="457"/>
      <c r="ABD442" s="457"/>
      <c r="ABE442" s="457"/>
      <c r="ABF442" s="457"/>
      <c r="ABG442" s="457"/>
      <c r="ABH442" s="457"/>
      <c r="ABI442" s="457"/>
      <c r="ABJ442" s="457"/>
      <c r="ABK442" s="457"/>
      <c r="ABL442" s="457"/>
      <c r="ABM442" s="457"/>
      <c r="ABN442" s="457"/>
      <c r="ABO442" s="457"/>
      <c r="ABP442" s="457"/>
      <c r="ABQ442" s="457"/>
      <c r="ABR442" s="457"/>
      <c r="ABS442" s="457"/>
      <c r="ABT442" s="457"/>
      <c r="ABU442" s="457"/>
      <c r="ABV442" s="457"/>
      <c r="ABW442" s="457"/>
      <c r="ABX442" s="457"/>
      <c r="ABY442" s="457"/>
      <c r="ABZ442" s="457"/>
      <c r="ACA442" s="457"/>
      <c r="ACB442" s="457"/>
      <c r="ACC442" s="457"/>
      <c r="ACD442" s="457"/>
      <c r="ACE442" s="457"/>
      <c r="ACF442" s="457"/>
      <c r="ACG442" s="457"/>
      <c r="ACH442" s="457"/>
      <c r="ACI442" s="457"/>
      <c r="ACJ442" s="457"/>
      <c r="ACK442" s="457"/>
      <c r="ACL442" s="457"/>
      <c r="ACM442" s="457"/>
      <c r="ACN442" s="457"/>
      <c r="ACO442" s="457"/>
      <c r="ACP442" s="457"/>
      <c r="ACQ442" s="457"/>
      <c r="ACR442" s="457"/>
      <c r="ACS442" s="457"/>
      <c r="ACT442" s="457"/>
      <c r="ACU442" s="457"/>
      <c r="ACV442" s="457"/>
    </row>
    <row r="443" spans="1:776" s="400" customFormat="1" x14ac:dyDescent="0.25">
      <c r="A443" s="470">
        <v>900156</v>
      </c>
      <c r="B443" s="237" t="s">
        <v>354</v>
      </c>
      <c r="C443" s="455"/>
      <c r="D443" s="454" t="s">
        <v>355</v>
      </c>
      <c r="E443" s="454">
        <v>2.76</v>
      </c>
      <c r="F443" s="456">
        <v>59.01</v>
      </c>
      <c r="G443" s="454">
        <v>0.01</v>
      </c>
      <c r="H443" s="454">
        <v>0.1</v>
      </c>
      <c r="I443" s="456">
        <v>778.05</v>
      </c>
      <c r="J443" s="454">
        <v>111.79</v>
      </c>
      <c r="K443" s="454">
        <v>3.0599999999999999E-2</v>
      </c>
      <c r="L443" s="456">
        <v>177.6</v>
      </c>
      <c r="M443" s="454">
        <v>0.01</v>
      </c>
      <c r="N443" s="454">
        <v>14.42</v>
      </c>
      <c r="O443" s="454">
        <v>367.22</v>
      </c>
      <c r="P443" s="454">
        <v>82.37</v>
      </c>
      <c r="Q443" s="454">
        <v>57.08</v>
      </c>
      <c r="R443" s="454">
        <v>0.01</v>
      </c>
      <c r="S443" s="454">
        <v>0.01</v>
      </c>
      <c r="T443" s="454">
        <v>0.01</v>
      </c>
      <c r="U443" s="454">
        <v>0.02</v>
      </c>
      <c r="V443" s="454"/>
      <c r="W443" s="457"/>
      <c r="X443" s="457"/>
      <c r="Y443" s="457"/>
      <c r="Z443" s="457"/>
      <c r="AA443" s="457"/>
      <c r="AB443" s="457"/>
      <c r="AC443" s="457"/>
      <c r="AD443" s="457"/>
      <c r="AE443" s="457"/>
      <c r="AF443" s="457"/>
      <c r="AG443" s="457"/>
      <c r="AH443" s="457"/>
      <c r="AI443" s="457"/>
      <c r="AJ443" s="457"/>
      <c r="AK443" s="457"/>
      <c r="AL443" s="457"/>
      <c r="AM443" s="457"/>
      <c r="AN443" s="457"/>
      <c r="AO443" s="457"/>
      <c r="AP443" s="457"/>
      <c r="AQ443" s="457"/>
      <c r="AR443" s="457"/>
      <c r="AS443" s="457"/>
      <c r="AT443" s="457"/>
      <c r="AU443" s="457"/>
      <c r="AV443" s="457"/>
      <c r="AW443" s="457"/>
      <c r="AX443" s="457"/>
      <c r="AY443" s="457"/>
      <c r="AZ443" s="457"/>
      <c r="BA443" s="457"/>
      <c r="BB443" s="457"/>
      <c r="BC443" s="457"/>
      <c r="BD443" s="457"/>
      <c r="BE443" s="457"/>
      <c r="BF443" s="457"/>
      <c r="BG443" s="457"/>
      <c r="BH443" s="457"/>
      <c r="BI443" s="457"/>
      <c r="BJ443" s="457"/>
      <c r="BK443" s="457"/>
      <c r="BL443" s="457"/>
      <c r="BM443" s="457"/>
      <c r="BN443" s="457"/>
      <c r="BO443" s="457"/>
      <c r="BP443" s="457"/>
      <c r="BQ443" s="457"/>
      <c r="BR443" s="457"/>
      <c r="BS443" s="457"/>
      <c r="BT443" s="457"/>
      <c r="BU443" s="457"/>
      <c r="BV443" s="457"/>
      <c r="BW443" s="457"/>
      <c r="BX443" s="457"/>
      <c r="BY443" s="457"/>
      <c r="BZ443" s="457"/>
      <c r="CA443" s="457"/>
      <c r="CB443" s="457"/>
      <c r="CC443" s="457"/>
      <c r="CD443" s="457"/>
      <c r="CE443" s="457"/>
      <c r="CF443" s="457"/>
      <c r="CG443" s="457"/>
      <c r="CH443" s="457"/>
      <c r="CI443" s="457"/>
      <c r="CJ443" s="457"/>
      <c r="CK443" s="457"/>
      <c r="CL443" s="457"/>
      <c r="CM443" s="457"/>
      <c r="CN443" s="457"/>
      <c r="CO443" s="457"/>
      <c r="CP443" s="457"/>
      <c r="CQ443" s="457"/>
      <c r="CR443" s="457"/>
      <c r="CS443" s="457"/>
      <c r="CT443" s="457"/>
      <c r="CU443" s="457"/>
      <c r="CV443" s="457"/>
      <c r="CW443" s="457"/>
      <c r="CX443" s="457"/>
      <c r="CY443" s="457"/>
      <c r="CZ443" s="457"/>
      <c r="DA443" s="457"/>
      <c r="DB443" s="457"/>
      <c r="DC443" s="457"/>
      <c r="DD443" s="457"/>
      <c r="DE443" s="457"/>
      <c r="DF443" s="457"/>
      <c r="DG443" s="457"/>
      <c r="DH443" s="457"/>
      <c r="DI443" s="457"/>
      <c r="DJ443" s="457"/>
      <c r="DK443" s="457"/>
      <c r="DL443" s="457"/>
      <c r="DM443" s="457"/>
      <c r="DN443" s="457"/>
      <c r="DO443" s="457"/>
      <c r="DP443" s="457"/>
      <c r="DQ443" s="457"/>
      <c r="DR443" s="457"/>
      <c r="DS443" s="457"/>
      <c r="DT443" s="457"/>
      <c r="DU443" s="457"/>
      <c r="DV443" s="457"/>
      <c r="DW443" s="457"/>
      <c r="DX443" s="457"/>
      <c r="DY443" s="457"/>
      <c r="DZ443" s="457"/>
      <c r="EA443" s="457"/>
      <c r="EB443" s="457"/>
      <c r="EC443" s="457"/>
      <c r="ED443" s="457"/>
      <c r="EE443" s="457"/>
      <c r="EF443" s="457"/>
      <c r="EG443" s="457"/>
      <c r="EH443" s="457"/>
      <c r="EI443" s="457"/>
      <c r="EJ443" s="457"/>
      <c r="EK443" s="457"/>
      <c r="EL443" s="457"/>
      <c r="EM443" s="457"/>
      <c r="EN443" s="457"/>
      <c r="EO443" s="457"/>
      <c r="EP443" s="457"/>
      <c r="EQ443" s="457"/>
      <c r="ER443" s="457"/>
      <c r="ES443" s="457"/>
      <c r="ET443" s="457"/>
      <c r="EU443" s="457"/>
      <c r="EV443" s="457"/>
      <c r="EW443" s="457"/>
      <c r="EX443" s="457"/>
      <c r="EY443" s="457"/>
      <c r="EZ443" s="457"/>
      <c r="FA443" s="457"/>
      <c r="FB443" s="457"/>
      <c r="FC443" s="457"/>
      <c r="FD443" s="457"/>
      <c r="FE443" s="457"/>
      <c r="FF443" s="457"/>
      <c r="FG443" s="457"/>
      <c r="FH443" s="457"/>
      <c r="FI443" s="457"/>
      <c r="FJ443" s="457"/>
      <c r="FK443" s="457"/>
      <c r="FL443" s="457"/>
      <c r="FM443" s="457"/>
      <c r="FN443" s="457"/>
      <c r="FO443" s="457"/>
      <c r="FP443" s="457"/>
      <c r="FQ443" s="457"/>
      <c r="FR443" s="457"/>
      <c r="FS443" s="457"/>
      <c r="FT443" s="457"/>
      <c r="FU443" s="457"/>
      <c r="FV443" s="457"/>
      <c r="FW443" s="457"/>
      <c r="FX443" s="457"/>
      <c r="FY443" s="457"/>
      <c r="FZ443" s="457"/>
      <c r="GA443" s="457"/>
      <c r="GB443" s="457"/>
      <c r="GC443" s="457"/>
      <c r="GD443" s="457"/>
      <c r="GE443" s="457"/>
      <c r="GF443" s="457"/>
      <c r="GG443" s="457"/>
      <c r="GH443" s="457"/>
      <c r="GI443" s="457"/>
      <c r="GJ443" s="457"/>
      <c r="GK443" s="457"/>
      <c r="GL443" s="457"/>
      <c r="GM443" s="457"/>
      <c r="GN443" s="457"/>
      <c r="GO443" s="457"/>
      <c r="GP443" s="457"/>
      <c r="GQ443" s="457"/>
      <c r="GR443" s="457"/>
      <c r="GS443" s="457"/>
      <c r="GT443" s="457"/>
      <c r="GU443" s="457"/>
      <c r="GV443" s="457"/>
      <c r="GW443" s="457"/>
      <c r="GX443" s="457"/>
      <c r="GY443" s="457"/>
      <c r="GZ443" s="457"/>
      <c r="HA443" s="457"/>
      <c r="HB443" s="457"/>
      <c r="HC443" s="457"/>
      <c r="HD443" s="457"/>
      <c r="HE443" s="457"/>
      <c r="HF443" s="457"/>
      <c r="HG443" s="457"/>
      <c r="HH443" s="457"/>
      <c r="HI443" s="457"/>
      <c r="HJ443" s="457"/>
      <c r="HK443" s="457"/>
      <c r="HL443" s="457"/>
      <c r="HM443" s="457"/>
      <c r="HN443" s="457"/>
      <c r="HO443" s="457"/>
      <c r="HP443" s="457"/>
      <c r="HQ443" s="457"/>
      <c r="HR443" s="457"/>
      <c r="HS443" s="457"/>
      <c r="HT443" s="457"/>
      <c r="HU443" s="457"/>
      <c r="HV443" s="457"/>
      <c r="HW443" s="457"/>
      <c r="HX443" s="457"/>
      <c r="HY443" s="457"/>
      <c r="HZ443" s="457"/>
      <c r="IA443" s="457"/>
      <c r="IB443" s="457"/>
      <c r="IC443" s="457"/>
      <c r="ID443" s="457"/>
      <c r="IE443" s="457"/>
      <c r="IF443" s="457"/>
      <c r="IG443" s="457"/>
      <c r="IH443" s="457"/>
      <c r="II443" s="457"/>
      <c r="IJ443" s="457"/>
      <c r="IK443" s="457"/>
      <c r="IL443" s="457"/>
      <c r="IM443" s="457"/>
      <c r="IN443" s="457"/>
      <c r="IO443" s="457"/>
      <c r="IP443" s="457"/>
      <c r="IQ443" s="457"/>
      <c r="IR443" s="457"/>
      <c r="IS443" s="457"/>
      <c r="IT443" s="457"/>
      <c r="IU443" s="457"/>
      <c r="IV443" s="457"/>
      <c r="IW443" s="457"/>
      <c r="IX443" s="457"/>
      <c r="IY443" s="457"/>
      <c r="IZ443" s="457"/>
      <c r="JA443" s="457"/>
      <c r="JB443" s="457"/>
      <c r="JC443" s="457"/>
      <c r="JD443" s="457"/>
      <c r="JE443" s="457"/>
      <c r="JF443" s="457"/>
      <c r="JG443" s="457"/>
      <c r="JH443" s="457"/>
      <c r="JI443" s="457"/>
      <c r="JJ443" s="457"/>
      <c r="JK443" s="457"/>
      <c r="JL443" s="457"/>
      <c r="JM443" s="457"/>
      <c r="JN443" s="457"/>
      <c r="JO443" s="457"/>
      <c r="JP443" s="457"/>
      <c r="JQ443" s="457"/>
      <c r="JR443" s="457"/>
      <c r="JS443" s="457"/>
      <c r="JT443" s="457"/>
      <c r="JU443" s="457"/>
      <c r="JV443" s="457"/>
      <c r="JW443" s="457"/>
      <c r="JX443" s="457"/>
      <c r="JY443" s="457"/>
      <c r="JZ443" s="457"/>
      <c r="KA443" s="457"/>
      <c r="KB443" s="457"/>
      <c r="KC443" s="457"/>
      <c r="KD443" s="457"/>
      <c r="KE443" s="457"/>
      <c r="KF443" s="457"/>
      <c r="KG443" s="457"/>
      <c r="KH443" s="457"/>
      <c r="KI443" s="457"/>
      <c r="KJ443" s="457"/>
      <c r="KK443" s="457"/>
      <c r="KL443" s="457"/>
      <c r="KM443" s="457"/>
      <c r="KN443" s="457"/>
      <c r="KO443" s="457"/>
      <c r="KP443" s="457"/>
      <c r="KQ443" s="457"/>
      <c r="KR443" s="457"/>
      <c r="KS443" s="457"/>
      <c r="KT443" s="457"/>
      <c r="KU443" s="457"/>
      <c r="KV443" s="457"/>
      <c r="KW443" s="457"/>
      <c r="KX443" s="457"/>
      <c r="KY443" s="457"/>
      <c r="KZ443" s="457"/>
      <c r="LA443" s="457"/>
      <c r="LB443" s="457"/>
      <c r="LC443" s="457"/>
      <c r="LD443" s="457"/>
      <c r="LE443" s="457"/>
      <c r="LF443" s="457"/>
      <c r="LG443" s="457"/>
      <c r="LH443" s="457"/>
      <c r="LI443" s="457"/>
      <c r="LJ443" s="457"/>
      <c r="LK443" s="457"/>
      <c r="LL443" s="457"/>
      <c r="LM443" s="457"/>
      <c r="LN443" s="457"/>
      <c r="LO443" s="457"/>
      <c r="LP443" s="457"/>
      <c r="LQ443" s="457"/>
      <c r="LR443" s="457"/>
      <c r="LS443" s="457"/>
      <c r="LT443" s="457"/>
      <c r="LU443" s="457"/>
      <c r="LV443" s="457"/>
      <c r="LW443" s="457"/>
      <c r="LX443" s="457"/>
      <c r="LY443" s="457"/>
      <c r="LZ443" s="457"/>
      <c r="MA443" s="457"/>
      <c r="MB443" s="457"/>
      <c r="MC443" s="457"/>
      <c r="MD443" s="457"/>
      <c r="ME443" s="457"/>
      <c r="MF443" s="457"/>
      <c r="MG443" s="457"/>
      <c r="MH443" s="457"/>
      <c r="MI443" s="457"/>
      <c r="MJ443" s="457"/>
      <c r="MK443" s="457"/>
      <c r="ML443" s="457"/>
      <c r="MM443" s="457"/>
      <c r="MN443" s="457"/>
      <c r="MO443" s="457"/>
      <c r="MP443" s="457"/>
      <c r="MQ443" s="457"/>
      <c r="MR443" s="457"/>
      <c r="MS443" s="457"/>
      <c r="MT443" s="457"/>
      <c r="MU443" s="457"/>
      <c r="MV443" s="457"/>
      <c r="MW443" s="457"/>
      <c r="MX443" s="457"/>
      <c r="MY443" s="457"/>
      <c r="MZ443" s="457"/>
      <c r="NA443" s="457"/>
      <c r="NB443" s="457"/>
      <c r="NC443" s="457"/>
      <c r="ND443" s="457"/>
      <c r="NE443" s="457"/>
      <c r="NF443" s="457"/>
      <c r="NG443" s="457"/>
      <c r="NH443" s="457"/>
      <c r="NI443" s="457"/>
      <c r="NJ443" s="457"/>
      <c r="NK443" s="457"/>
      <c r="NL443" s="457"/>
      <c r="NM443" s="457"/>
      <c r="NN443" s="457"/>
      <c r="NO443" s="457"/>
      <c r="NP443" s="457"/>
      <c r="NQ443" s="457"/>
      <c r="NR443" s="457"/>
      <c r="NS443" s="457"/>
      <c r="NT443" s="457"/>
      <c r="NU443" s="457"/>
      <c r="NV443" s="457"/>
      <c r="NW443" s="457"/>
      <c r="NX443" s="457"/>
      <c r="NY443" s="457"/>
      <c r="NZ443" s="457"/>
      <c r="OA443" s="457"/>
      <c r="OB443" s="457"/>
      <c r="OC443" s="457"/>
      <c r="OD443" s="457"/>
      <c r="OE443" s="457"/>
      <c r="OF443" s="457"/>
      <c r="OG443" s="457"/>
      <c r="OH443" s="457"/>
      <c r="OI443" s="457"/>
      <c r="OJ443" s="457"/>
      <c r="OK443" s="457"/>
      <c r="OL443" s="457"/>
      <c r="OM443" s="457"/>
      <c r="ON443" s="457"/>
      <c r="OO443" s="457"/>
      <c r="OP443" s="457"/>
      <c r="OQ443" s="457"/>
      <c r="OR443" s="457"/>
      <c r="OS443" s="457"/>
      <c r="OT443" s="457"/>
      <c r="OU443" s="457"/>
      <c r="OV443" s="457"/>
      <c r="OW443" s="457"/>
      <c r="OX443" s="457"/>
      <c r="OY443" s="457"/>
      <c r="OZ443" s="457"/>
      <c r="PA443" s="457"/>
      <c r="PB443" s="457"/>
      <c r="PC443" s="457"/>
      <c r="PD443" s="457"/>
      <c r="PE443" s="457"/>
      <c r="PF443" s="457"/>
      <c r="PG443" s="457"/>
      <c r="PH443" s="457"/>
      <c r="PI443" s="457"/>
      <c r="PJ443" s="457"/>
      <c r="PK443" s="457"/>
      <c r="PL443" s="457"/>
      <c r="PM443" s="457"/>
      <c r="PN443" s="457"/>
      <c r="PO443" s="457"/>
      <c r="PP443" s="457"/>
      <c r="PQ443" s="457"/>
      <c r="PR443" s="457"/>
      <c r="PS443" s="457"/>
      <c r="PT443" s="457"/>
      <c r="PU443" s="457"/>
      <c r="PV443" s="457"/>
      <c r="PW443" s="457"/>
      <c r="PX443" s="457"/>
      <c r="PY443" s="457"/>
      <c r="PZ443" s="457"/>
      <c r="QA443" s="457"/>
      <c r="QB443" s="457"/>
      <c r="QC443" s="457"/>
      <c r="QD443" s="457"/>
      <c r="QE443" s="457"/>
      <c r="QF443" s="457"/>
      <c r="QG443" s="457"/>
      <c r="QH443" s="457"/>
      <c r="QI443" s="457"/>
      <c r="QJ443" s="457"/>
      <c r="QK443" s="457"/>
      <c r="QL443" s="457"/>
      <c r="QM443" s="457"/>
      <c r="QN443" s="457"/>
      <c r="QO443" s="457"/>
      <c r="QP443" s="457"/>
      <c r="QQ443" s="457"/>
      <c r="QR443" s="457"/>
      <c r="QS443" s="457"/>
      <c r="QT443" s="457"/>
      <c r="QU443" s="457"/>
      <c r="QV443" s="457"/>
      <c r="QW443" s="457"/>
      <c r="QX443" s="457"/>
      <c r="QY443" s="457"/>
      <c r="QZ443" s="457"/>
      <c r="RA443" s="457"/>
      <c r="RB443" s="457"/>
      <c r="RC443" s="457"/>
      <c r="RD443" s="457"/>
      <c r="RE443" s="457"/>
      <c r="RF443" s="457"/>
      <c r="RG443" s="457"/>
      <c r="RH443" s="457"/>
      <c r="RI443" s="457"/>
      <c r="RJ443" s="457"/>
      <c r="RK443" s="457"/>
      <c r="RL443" s="457"/>
      <c r="RM443" s="457"/>
      <c r="RN443" s="457"/>
      <c r="RO443" s="457"/>
      <c r="RP443" s="457"/>
      <c r="RQ443" s="457"/>
      <c r="RR443" s="457"/>
      <c r="RS443" s="457"/>
      <c r="RT443" s="457"/>
      <c r="RU443" s="457"/>
      <c r="RV443" s="457"/>
      <c r="RW443" s="457"/>
      <c r="RX443" s="457"/>
      <c r="RY443" s="457"/>
      <c r="RZ443" s="457"/>
      <c r="SA443" s="457"/>
      <c r="SB443" s="457"/>
      <c r="SC443" s="457"/>
      <c r="SD443" s="457"/>
      <c r="SE443" s="457"/>
      <c r="SF443" s="457"/>
      <c r="SG443" s="457"/>
      <c r="SH443" s="457"/>
      <c r="SI443" s="457"/>
      <c r="SJ443" s="457"/>
      <c r="SK443" s="457"/>
      <c r="SL443" s="457"/>
      <c r="SM443" s="457"/>
      <c r="SN443" s="457"/>
      <c r="SO443" s="457"/>
      <c r="SP443" s="457"/>
      <c r="SQ443" s="457"/>
      <c r="SR443" s="457"/>
      <c r="SS443" s="457"/>
      <c r="ST443" s="457"/>
      <c r="SU443" s="457"/>
      <c r="SV443" s="457"/>
      <c r="SW443" s="457"/>
      <c r="SX443" s="457"/>
      <c r="SY443" s="457"/>
      <c r="SZ443" s="457"/>
      <c r="TA443" s="457"/>
      <c r="TB443" s="457"/>
      <c r="TC443" s="457"/>
      <c r="TD443" s="457"/>
      <c r="TE443" s="457"/>
      <c r="TF443" s="457"/>
      <c r="TG443" s="457"/>
      <c r="TH443" s="457"/>
      <c r="TI443" s="457"/>
      <c r="TJ443" s="457"/>
      <c r="TK443" s="457"/>
      <c r="TL443" s="457"/>
      <c r="TM443" s="457"/>
      <c r="TN443" s="457"/>
      <c r="TO443" s="457"/>
      <c r="TP443" s="457"/>
      <c r="TQ443" s="457"/>
      <c r="TR443" s="457"/>
      <c r="TS443" s="457"/>
      <c r="TT443" s="457"/>
      <c r="TU443" s="457"/>
      <c r="TV443" s="457"/>
      <c r="TW443" s="457"/>
      <c r="TX443" s="457"/>
      <c r="TY443" s="457"/>
      <c r="TZ443" s="457"/>
      <c r="UA443" s="457"/>
      <c r="UB443" s="457"/>
      <c r="UC443" s="457"/>
      <c r="UD443" s="457"/>
      <c r="UE443" s="457"/>
      <c r="UF443" s="457"/>
      <c r="UG443" s="457"/>
      <c r="UH443" s="457"/>
      <c r="UI443" s="457"/>
      <c r="UJ443" s="457"/>
      <c r="UK443" s="457"/>
      <c r="UL443" s="457"/>
      <c r="UM443" s="457"/>
      <c r="UN443" s="457"/>
      <c r="UO443" s="457"/>
      <c r="UP443" s="457"/>
      <c r="UQ443" s="457"/>
      <c r="UR443" s="457"/>
      <c r="US443" s="457"/>
      <c r="UT443" s="457"/>
      <c r="UU443" s="457"/>
      <c r="UV443" s="457"/>
      <c r="UW443" s="457"/>
      <c r="UX443" s="457"/>
      <c r="UY443" s="457"/>
      <c r="UZ443" s="457"/>
      <c r="VA443" s="457"/>
      <c r="VB443" s="457"/>
      <c r="VC443" s="457"/>
      <c r="VD443" s="457"/>
      <c r="VE443" s="457"/>
      <c r="VF443" s="457"/>
      <c r="VG443" s="457"/>
      <c r="VH443" s="457"/>
      <c r="VI443" s="457"/>
      <c r="VJ443" s="457"/>
      <c r="VK443" s="457"/>
      <c r="VL443" s="457"/>
      <c r="VM443" s="457"/>
      <c r="VN443" s="457"/>
      <c r="VO443" s="457"/>
      <c r="VP443" s="457"/>
      <c r="VQ443" s="457"/>
      <c r="VR443" s="457"/>
      <c r="VS443" s="457"/>
      <c r="VT443" s="457"/>
      <c r="VU443" s="457"/>
      <c r="VV443" s="457"/>
      <c r="VW443" s="457"/>
      <c r="VX443" s="457"/>
      <c r="VY443" s="457"/>
      <c r="VZ443" s="457"/>
      <c r="WA443" s="457"/>
      <c r="WB443" s="457"/>
      <c r="WC443" s="457"/>
      <c r="WD443" s="457"/>
      <c r="WE443" s="457"/>
      <c r="WF443" s="457"/>
      <c r="WG443" s="457"/>
      <c r="WH443" s="457"/>
      <c r="WI443" s="457"/>
      <c r="WJ443" s="457"/>
      <c r="WK443" s="457"/>
      <c r="WL443" s="457"/>
      <c r="WM443" s="457"/>
      <c r="WN443" s="457"/>
      <c r="WO443" s="457"/>
      <c r="WP443" s="457"/>
      <c r="WQ443" s="457"/>
      <c r="WR443" s="457"/>
      <c r="WS443" s="457"/>
      <c r="WT443" s="457"/>
      <c r="WU443" s="457"/>
      <c r="WV443" s="457"/>
      <c r="WW443" s="457"/>
      <c r="WX443" s="457"/>
      <c r="WY443" s="457"/>
      <c r="WZ443" s="457"/>
      <c r="XA443" s="457"/>
      <c r="XB443" s="457"/>
      <c r="XC443" s="457"/>
      <c r="XD443" s="457"/>
      <c r="XE443" s="457"/>
      <c r="XF443" s="457"/>
      <c r="XG443" s="457"/>
      <c r="XH443" s="457"/>
      <c r="XI443" s="457"/>
      <c r="XJ443" s="457"/>
      <c r="XK443" s="457"/>
      <c r="XL443" s="457"/>
      <c r="XM443" s="457"/>
      <c r="XN443" s="457"/>
      <c r="XO443" s="457"/>
      <c r="XP443" s="457"/>
      <c r="XQ443" s="457"/>
      <c r="XR443" s="457"/>
      <c r="XS443" s="457"/>
      <c r="XT443" s="457"/>
      <c r="XU443" s="457"/>
      <c r="XV443" s="457"/>
      <c r="XW443" s="457"/>
      <c r="XX443" s="457"/>
      <c r="XY443" s="457"/>
      <c r="XZ443" s="457"/>
      <c r="YA443" s="457"/>
      <c r="YB443" s="457"/>
      <c r="YC443" s="457"/>
      <c r="YD443" s="457"/>
      <c r="YE443" s="457"/>
      <c r="YF443" s="457"/>
      <c r="YG443" s="457"/>
      <c r="YH443" s="457"/>
      <c r="YI443" s="457"/>
      <c r="YJ443" s="457"/>
      <c r="YK443" s="457"/>
      <c r="YL443" s="457"/>
      <c r="YM443" s="457"/>
      <c r="YN443" s="457"/>
      <c r="YO443" s="457"/>
      <c r="YP443" s="457"/>
      <c r="YQ443" s="457"/>
      <c r="YR443" s="457"/>
      <c r="YS443" s="457"/>
      <c r="YT443" s="457"/>
      <c r="YU443" s="457"/>
      <c r="YV443" s="457"/>
      <c r="YW443" s="457"/>
      <c r="YX443" s="457"/>
      <c r="YY443" s="457"/>
      <c r="YZ443" s="457"/>
      <c r="ZA443" s="457"/>
      <c r="ZB443" s="457"/>
      <c r="ZC443" s="457"/>
      <c r="ZD443" s="457"/>
      <c r="ZE443" s="457"/>
      <c r="ZF443" s="457"/>
      <c r="ZG443" s="457"/>
      <c r="ZH443" s="457"/>
      <c r="ZI443" s="457"/>
      <c r="ZJ443" s="457"/>
      <c r="ZK443" s="457"/>
      <c r="ZL443" s="457"/>
      <c r="ZM443" s="457"/>
      <c r="ZN443" s="457"/>
      <c r="ZO443" s="457"/>
      <c r="ZP443" s="457"/>
      <c r="ZQ443" s="457"/>
      <c r="ZR443" s="457"/>
      <c r="ZS443" s="457"/>
      <c r="ZT443" s="457"/>
      <c r="ZU443" s="457"/>
      <c r="ZV443" s="457"/>
      <c r="ZW443" s="457"/>
      <c r="ZX443" s="457"/>
      <c r="ZY443" s="457"/>
      <c r="ZZ443" s="457"/>
      <c r="AAA443" s="457"/>
      <c r="AAB443" s="457"/>
      <c r="AAC443" s="457"/>
      <c r="AAD443" s="457"/>
      <c r="AAE443" s="457"/>
      <c r="AAF443" s="457"/>
      <c r="AAG443" s="457"/>
      <c r="AAH443" s="457"/>
      <c r="AAI443" s="457"/>
      <c r="AAJ443" s="457"/>
      <c r="AAK443" s="457"/>
      <c r="AAL443" s="457"/>
      <c r="AAM443" s="457"/>
      <c r="AAN443" s="457"/>
      <c r="AAO443" s="457"/>
      <c r="AAP443" s="457"/>
      <c r="AAQ443" s="457"/>
      <c r="AAR443" s="457"/>
      <c r="AAS443" s="457"/>
      <c r="AAT443" s="457"/>
      <c r="AAU443" s="457"/>
      <c r="AAV443" s="457"/>
      <c r="AAW443" s="457"/>
      <c r="AAX443" s="457"/>
      <c r="AAY443" s="457"/>
      <c r="AAZ443" s="457"/>
      <c r="ABA443" s="457"/>
      <c r="ABB443" s="457"/>
      <c r="ABC443" s="457"/>
      <c r="ABD443" s="457"/>
      <c r="ABE443" s="457"/>
      <c r="ABF443" s="457"/>
      <c r="ABG443" s="457"/>
      <c r="ABH443" s="457"/>
      <c r="ABI443" s="457"/>
      <c r="ABJ443" s="457"/>
      <c r="ABK443" s="457"/>
      <c r="ABL443" s="457"/>
      <c r="ABM443" s="457"/>
      <c r="ABN443" s="457"/>
      <c r="ABO443" s="457"/>
      <c r="ABP443" s="457"/>
      <c r="ABQ443" s="457"/>
      <c r="ABR443" s="457"/>
      <c r="ABS443" s="457"/>
      <c r="ABT443" s="457"/>
      <c r="ABU443" s="457"/>
      <c r="ABV443" s="457"/>
      <c r="ABW443" s="457"/>
      <c r="ABX443" s="457"/>
      <c r="ABY443" s="457"/>
      <c r="ABZ443" s="457"/>
      <c r="ACA443" s="457"/>
      <c r="ACB443" s="457"/>
      <c r="ACC443" s="457"/>
      <c r="ACD443" s="457"/>
      <c r="ACE443" s="457"/>
      <c r="ACF443" s="457"/>
      <c r="ACG443" s="457"/>
      <c r="ACH443" s="457"/>
      <c r="ACI443" s="457"/>
      <c r="ACJ443" s="457"/>
      <c r="ACK443" s="457"/>
      <c r="ACL443" s="457"/>
      <c r="ACM443" s="457"/>
      <c r="ACN443" s="457"/>
      <c r="ACO443" s="457"/>
      <c r="ACP443" s="457"/>
      <c r="ACQ443" s="457"/>
      <c r="ACR443" s="457"/>
      <c r="ACS443" s="457"/>
      <c r="ACT443" s="457"/>
      <c r="ACU443" s="457"/>
      <c r="ACV443" s="457"/>
    </row>
    <row r="444" spans="1:776" s="400" customFormat="1" x14ac:dyDescent="0.25">
      <c r="A444" s="470">
        <v>900157</v>
      </c>
      <c r="B444" s="237" t="s">
        <v>356</v>
      </c>
      <c r="C444" s="455"/>
      <c r="D444" s="454" t="s">
        <v>357</v>
      </c>
      <c r="E444" s="454">
        <v>1.1000000000000001</v>
      </c>
      <c r="F444" s="456">
        <v>101.5</v>
      </c>
      <c r="G444" s="454">
        <v>0.01</v>
      </c>
      <c r="H444" s="454">
        <v>0.1</v>
      </c>
      <c r="I444" s="456">
        <v>223.34</v>
      </c>
      <c r="J444" s="454">
        <v>26.24</v>
      </c>
      <c r="K444" s="454">
        <v>0.01</v>
      </c>
      <c r="L444" s="456">
        <v>165.6</v>
      </c>
      <c r="M444" s="454">
        <v>0.01</v>
      </c>
      <c r="N444" s="454">
        <v>3.14</v>
      </c>
      <c r="O444" s="454">
        <v>108.03</v>
      </c>
      <c r="P444" s="454">
        <v>88.51</v>
      </c>
      <c r="Q444" s="454">
        <v>18.670000000000002</v>
      </c>
      <c r="R444" s="454">
        <v>0.01</v>
      </c>
      <c r="S444" s="454">
        <v>0.01</v>
      </c>
      <c r="T444" s="454">
        <v>0.01</v>
      </c>
      <c r="U444" s="454">
        <v>0.01</v>
      </c>
      <c r="V444" s="454"/>
      <c r="W444" s="457"/>
      <c r="X444" s="457"/>
      <c r="Y444" s="457"/>
      <c r="Z444" s="457"/>
      <c r="AA444" s="457"/>
      <c r="AB444" s="457"/>
      <c r="AC444" s="457"/>
      <c r="AD444" s="457"/>
      <c r="AE444" s="457"/>
      <c r="AF444" s="457"/>
      <c r="AG444" s="457"/>
      <c r="AH444" s="457"/>
      <c r="AI444" s="457"/>
      <c r="AJ444" s="457"/>
      <c r="AK444" s="457"/>
      <c r="AL444" s="457"/>
      <c r="AM444" s="457"/>
      <c r="AN444" s="457"/>
      <c r="AO444" s="457"/>
      <c r="AP444" s="457"/>
      <c r="AQ444" s="457"/>
      <c r="AR444" s="457"/>
      <c r="AS444" s="457"/>
      <c r="AT444" s="457"/>
      <c r="AU444" s="457"/>
      <c r="AV444" s="457"/>
      <c r="AW444" s="457"/>
      <c r="AX444" s="457"/>
      <c r="AY444" s="457"/>
      <c r="AZ444" s="457"/>
      <c r="BA444" s="457"/>
      <c r="BB444" s="457"/>
      <c r="BC444" s="457"/>
      <c r="BD444" s="457"/>
      <c r="BE444" s="457"/>
      <c r="BF444" s="457"/>
      <c r="BG444" s="457"/>
      <c r="BH444" s="457"/>
      <c r="BI444" s="457"/>
      <c r="BJ444" s="457"/>
      <c r="BK444" s="457"/>
      <c r="BL444" s="457"/>
      <c r="BM444" s="457"/>
      <c r="BN444" s="457"/>
      <c r="BO444" s="457"/>
      <c r="BP444" s="457"/>
      <c r="BQ444" s="457"/>
      <c r="BR444" s="457"/>
      <c r="BS444" s="457"/>
      <c r="BT444" s="457"/>
      <c r="BU444" s="457"/>
      <c r="BV444" s="457"/>
      <c r="BW444" s="457"/>
      <c r="BX444" s="457"/>
      <c r="BY444" s="457"/>
      <c r="BZ444" s="457"/>
      <c r="CA444" s="457"/>
      <c r="CB444" s="457"/>
      <c r="CC444" s="457"/>
      <c r="CD444" s="457"/>
      <c r="CE444" s="457"/>
      <c r="CF444" s="457"/>
      <c r="CG444" s="457"/>
      <c r="CH444" s="457"/>
      <c r="CI444" s="457"/>
      <c r="CJ444" s="457"/>
      <c r="CK444" s="457"/>
      <c r="CL444" s="457"/>
      <c r="CM444" s="457"/>
      <c r="CN444" s="457"/>
      <c r="CO444" s="457"/>
      <c r="CP444" s="457"/>
      <c r="CQ444" s="457"/>
      <c r="CR444" s="457"/>
      <c r="CS444" s="457"/>
      <c r="CT444" s="457"/>
      <c r="CU444" s="457"/>
      <c r="CV444" s="457"/>
      <c r="CW444" s="457"/>
      <c r="CX444" s="457"/>
      <c r="CY444" s="457"/>
      <c r="CZ444" s="457"/>
      <c r="DA444" s="457"/>
      <c r="DB444" s="457"/>
      <c r="DC444" s="457"/>
      <c r="DD444" s="457"/>
      <c r="DE444" s="457"/>
      <c r="DF444" s="457"/>
      <c r="DG444" s="457"/>
      <c r="DH444" s="457"/>
      <c r="DI444" s="457"/>
      <c r="DJ444" s="457"/>
      <c r="DK444" s="457"/>
      <c r="DL444" s="457"/>
      <c r="DM444" s="457"/>
      <c r="DN444" s="457"/>
      <c r="DO444" s="457"/>
      <c r="DP444" s="457"/>
      <c r="DQ444" s="457"/>
      <c r="DR444" s="457"/>
      <c r="DS444" s="457"/>
      <c r="DT444" s="457"/>
      <c r="DU444" s="457"/>
      <c r="DV444" s="457"/>
      <c r="DW444" s="457"/>
      <c r="DX444" s="457"/>
      <c r="DY444" s="457"/>
      <c r="DZ444" s="457"/>
      <c r="EA444" s="457"/>
      <c r="EB444" s="457"/>
      <c r="EC444" s="457"/>
      <c r="ED444" s="457"/>
      <c r="EE444" s="457"/>
      <c r="EF444" s="457"/>
      <c r="EG444" s="457"/>
      <c r="EH444" s="457"/>
      <c r="EI444" s="457"/>
      <c r="EJ444" s="457"/>
      <c r="EK444" s="457"/>
      <c r="EL444" s="457"/>
      <c r="EM444" s="457"/>
      <c r="EN444" s="457"/>
      <c r="EO444" s="457"/>
      <c r="EP444" s="457"/>
      <c r="EQ444" s="457"/>
      <c r="ER444" s="457"/>
      <c r="ES444" s="457"/>
      <c r="ET444" s="457"/>
      <c r="EU444" s="457"/>
      <c r="EV444" s="457"/>
      <c r="EW444" s="457"/>
      <c r="EX444" s="457"/>
      <c r="EY444" s="457"/>
      <c r="EZ444" s="457"/>
      <c r="FA444" s="457"/>
      <c r="FB444" s="457"/>
      <c r="FC444" s="457"/>
      <c r="FD444" s="457"/>
      <c r="FE444" s="457"/>
      <c r="FF444" s="457"/>
      <c r="FG444" s="457"/>
      <c r="FH444" s="457"/>
      <c r="FI444" s="457"/>
      <c r="FJ444" s="457"/>
      <c r="FK444" s="457"/>
      <c r="FL444" s="457"/>
      <c r="FM444" s="457"/>
      <c r="FN444" s="457"/>
      <c r="FO444" s="457"/>
      <c r="FP444" s="457"/>
      <c r="FQ444" s="457"/>
      <c r="FR444" s="457"/>
      <c r="FS444" s="457"/>
      <c r="FT444" s="457"/>
      <c r="FU444" s="457"/>
      <c r="FV444" s="457"/>
      <c r="FW444" s="457"/>
      <c r="FX444" s="457"/>
      <c r="FY444" s="457"/>
      <c r="FZ444" s="457"/>
      <c r="GA444" s="457"/>
      <c r="GB444" s="457"/>
      <c r="GC444" s="457"/>
      <c r="GD444" s="457"/>
      <c r="GE444" s="457"/>
      <c r="GF444" s="457"/>
      <c r="GG444" s="457"/>
      <c r="GH444" s="457"/>
      <c r="GI444" s="457"/>
      <c r="GJ444" s="457"/>
      <c r="GK444" s="457"/>
      <c r="GL444" s="457"/>
      <c r="GM444" s="457"/>
      <c r="GN444" s="457"/>
      <c r="GO444" s="457"/>
      <c r="GP444" s="457"/>
      <c r="GQ444" s="457"/>
      <c r="GR444" s="457"/>
      <c r="GS444" s="457"/>
      <c r="GT444" s="457"/>
      <c r="GU444" s="457"/>
      <c r="GV444" s="457"/>
      <c r="GW444" s="457"/>
      <c r="GX444" s="457"/>
      <c r="GY444" s="457"/>
      <c r="GZ444" s="457"/>
      <c r="HA444" s="457"/>
      <c r="HB444" s="457"/>
      <c r="HC444" s="457"/>
      <c r="HD444" s="457"/>
      <c r="HE444" s="457"/>
      <c r="HF444" s="457"/>
      <c r="HG444" s="457"/>
      <c r="HH444" s="457"/>
      <c r="HI444" s="457"/>
      <c r="HJ444" s="457"/>
      <c r="HK444" s="457"/>
      <c r="HL444" s="457"/>
      <c r="HM444" s="457"/>
      <c r="HN444" s="457"/>
      <c r="HO444" s="457"/>
      <c r="HP444" s="457"/>
      <c r="HQ444" s="457"/>
      <c r="HR444" s="457"/>
      <c r="HS444" s="457"/>
      <c r="HT444" s="457"/>
      <c r="HU444" s="457"/>
      <c r="HV444" s="457"/>
      <c r="HW444" s="457"/>
      <c r="HX444" s="457"/>
      <c r="HY444" s="457"/>
      <c r="HZ444" s="457"/>
      <c r="IA444" s="457"/>
      <c r="IB444" s="457"/>
      <c r="IC444" s="457"/>
      <c r="ID444" s="457"/>
      <c r="IE444" s="457"/>
      <c r="IF444" s="457"/>
      <c r="IG444" s="457"/>
      <c r="IH444" s="457"/>
      <c r="II444" s="457"/>
      <c r="IJ444" s="457"/>
      <c r="IK444" s="457"/>
      <c r="IL444" s="457"/>
      <c r="IM444" s="457"/>
      <c r="IN444" s="457"/>
      <c r="IO444" s="457"/>
      <c r="IP444" s="457"/>
      <c r="IQ444" s="457"/>
      <c r="IR444" s="457"/>
      <c r="IS444" s="457"/>
      <c r="IT444" s="457"/>
      <c r="IU444" s="457"/>
      <c r="IV444" s="457"/>
      <c r="IW444" s="457"/>
      <c r="IX444" s="457"/>
      <c r="IY444" s="457"/>
      <c r="IZ444" s="457"/>
      <c r="JA444" s="457"/>
      <c r="JB444" s="457"/>
      <c r="JC444" s="457"/>
      <c r="JD444" s="457"/>
      <c r="JE444" s="457"/>
      <c r="JF444" s="457"/>
      <c r="JG444" s="457"/>
      <c r="JH444" s="457"/>
      <c r="JI444" s="457"/>
      <c r="JJ444" s="457"/>
      <c r="JK444" s="457"/>
      <c r="JL444" s="457"/>
      <c r="JM444" s="457"/>
      <c r="JN444" s="457"/>
      <c r="JO444" s="457"/>
      <c r="JP444" s="457"/>
      <c r="JQ444" s="457"/>
      <c r="JR444" s="457"/>
      <c r="JS444" s="457"/>
      <c r="JT444" s="457"/>
      <c r="JU444" s="457"/>
      <c r="JV444" s="457"/>
      <c r="JW444" s="457"/>
      <c r="JX444" s="457"/>
      <c r="JY444" s="457"/>
      <c r="JZ444" s="457"/>
      <c r="KA444" s="457"/>
      <c r="KB444" s="457"/>
      <c r="KC444" s="457"/>
      <c r="KD444" s="457"/>
      <c r="KE444" s="457"/>
      <c r="KF444" s="457"/>
      <c r="KG444" s="457"/>
      <c r="KH444" s="457"/>
      <c r="KI444" s="457"/>
      <c r="KJ444" s="457"/>
      <c r="KK444" s="457"/>
      <c r="KL444" s="457"/>
      <c r="KM444" s="457"/>
      <c r="KN444" s="457"/>
      <c r="KO444" s="457"/>
      <c r="KP444" s="457"/>
      <c r="KQ444" s="457"/>
      <c r="KR444" s="457"/>
      <c r="KS444" s="457"/>
      <c r="KT444" s="457"/>
      <c r="KU444" s="457"/>
      <c r="KV444" s="457"/>
      <c r="KW444" s="457"/>
      <c r="KX444" s="457"/>
      <c r="KY444" s="457"/>
      <c r="KZ444" s="457"/>
      <c r="LA444" s="457"/>
      <c r="LB444" s="457"/>
      <c r="LC444" s="457"/>
      <c r="LD444" s="457"/>
      <c r="LE444" s="457"/>
      <c r="LF444" s="457"/>
      <c r="LG444" s="457"/>
      <c r="LH444" s="457"/>
      <c r="LI444" s="457"/>
      <c r="LJ444" s="457"/>
      <c r="LK444" s="457"/>
      <c r="LL444" s="457"/>
      <c r="LM444" s="457"/>
      <c r="LN444" s="457"/>
      <c r="LO444" s="457"/>
      <c r="LP444" s="457"/>
      <c r="LQ444" s="457"/>
      <c r="LR444" s="457"/>
      <c r="LS444" s="457"/>
      <c r="LT444" s="457"/>
      <c r="LU444" s="457"/>
      <c r="LV444" s="457"/>
      <c r="LW444" s="457"/>
      <c r="LX444" s="457"/>
      <c r="LY444" s="457"/>
      <c r="LZ444" s="457"/>
      <c r="MA444" s="457"/>
      <c r="MB444" s="457"/>
      <c r="MC444" s="457"/>
      <c r="MD444" s="457"/>
      <c r="ME444" s="457"/>
      <c r="MF444" s="457"/>
      <c r="MG444" s="457"/>
      <c r="MH444" s="457"/>
      <c r="MI444" s="457"/>
      <c r="MJ444" s="457"/>
      <c r="MK444" s="457"/>
      <c r="ML444" s="457"/>
      <c r="MM444" s="457"/>
      <c r="MN444" s="457"/>
      <c r="MO444" s="457"/>
      <c r="MP444" s="457"/>
      <c r="MQ444" s="457"/>
      <c r="MR444" s="457"/>
      <c r="MS444" s="457"/>
      <c r="MT444" s="457"/>
      <c r="MU444" s="457"/>
      <c r="MV444" s="457"/>
      <c r="MW444" s="457"/>
      <c r="MX444" s="457"/>
      <c r="MY444" s="457"/>
      <c r="MZ444" s="457"/>
      <c r="NA444" s="457"/>
      <c r="NB444" s="457"/>
      <c r="NC444" s="457"/>
      <c r="ND444" s="457"/>
      <c r="NE444" s="457"/>
      <c r="NF444" s="457"/>
      <c r="NG444" s="457"/>
      <c r="NH444" s="457"/>
      <c r="NI444" s="457"/>
      <c r="NJ444" s="457"/>
      <c r="NK444" s="457"/>
      <c r="NL444" s="457"/>
      <c r="NM444" s="457"/>
      <c r="NN444" s="457"/>
      <c r="NO444" s="457"/>
      <c r="NP444" s="457"/>
      <c r="NQ444" s="457"/>
      <c r="NR444" s="457"/>
      <c r="NS444" s="457"/>
      <c r="NT444" s="457"/>
      <c r="NU444" s="457"/>
      <c r="NV444" s="457"/>
      <c r="NW444" s="457"/>
      <c r="NX444" s="457"/>
      <c r="NY444" s="457"/>
      <c r="NZ444" s="457"/>
      <c r="OA444" s="457"/>
      <c r="OB444" s="457"/>
      <c r="OC444" s="457"/>
      <c r="OD444" s="457"/>
      <c r="OE444" s="457"/>
      <c r="OF444" s="457"/>
      <c r="OG444" s="457"/>
      <c r="OH444" s="457"/>
      <c r="OI444" s="457"/>
      <c r="OJ444" s="457"/>
      <c r="OK444" s="457"/>
      <c r="OL444" s="457"/>
      <c r="OM444" s="457"/>
      <c r="ON444" s="457"/>
      <c r="OO444" s="457"/>
      <c r="OP444" s="457"/>
      <c r="OQ444" s="457"/>
      <c r="OR444" s="457"/>
      <c r="OS444" s="457"/>
      <c r="OT444" s="457"/>
      <c r="OU444" s="457"/>
      <c r="OV444" s="457"/>
      <c r="OW444" s="457"/>
      <c r="OX444" s="457"/>
      <c r="OY444" s="457"/>
      <c r="OZ444" s="457"/>
      <c r="PA444" s="457"/>
      <c r="PB444" s="457"/>
      <c r="PC444" s="457"/>
      <c r="PD444" s="457"/>
      <c r="PE444" s="457"/>
      <c r="PF444" s="457"/>
      <c r="PG444" s="457"/>
      <c r="PH444" s="457"/>
      <c r="PI444" s="457"/>
      <c r="PJ444" s="457"/>
      <c r="PK444" s="457"/>
      <c r="PL444" s="457"/>
      <c r="PM444" s="457"/>
      <c r="PN444" s="457"/>
      <c r="PO444" s="457"/>
      <c r="PP444" s="457"/>
      <c r="PQ444" s="457"/>
      <c r="PR444" s="457"/>
      <c r="PS444" s="457"/>
      <c r="PT444" s="457"/>
      <c r="PU444" s="457"/>
      <c r="PV444" s="457"/>
      <c r="PW444" s="457"/>
      <c r="PX444" s="457"/>
      <c r="PY444" s="457"/>
      <c r="PZ444" s="457"/>
      <c r="QA444" s="457"/>
      <c r="QB444" s="457"/>
      <c r="QC444" s="457"/>
      <c r="QD444" s="457"/>
      <c r="QE444" s="457"/>
      <c r="QF444" s="457"/>
      <c r="QG444" s="457"/>
      <c r="QH444" s="457"/>
      <c r="QI444" s="457"/>
      <c r="QJ444" s="457"/>
      <c r="QK444" s="457"/>
      <c r="QL444" s="457"/>
      <c r="QM444" s="457"/>
      <c r="QN444" s="457"/>
      <c r="QO444" s="457"/>
      <c r="QP444" s="457"/>
      <c r="QQ444" s="457"/>
      <c r="QR444" s="457"/>
      <c r="QS444" s="457"/>
      <c r="QT444" s="457"/>
      <c r="QU444" s="457"/>
      <c r="QV444" s="457"/>
      <c r="QW444" s="457"/>
      <c r="QX444" s="457"/>
      <c r="QY444" s="457"/>
      <c r="QZ444" s="457"/>
      <c r="RA444" s="457"/>
      <c r="RB444" s="457"/>
      <c r="RC444" s="457"/>
      <c r="RD444" s="457"/>
      <c r="RE444" s="457"/>
      <c r="RF444" s="457"/>
      <c r="RG444" s="457"/>
      <c r="RH444" s="457"/>
      <c r="RI444" s="457"/>
      <c r="RJ444" s="457"/>
      <c r="RK444" s="457"/>
      <c r="RL444" s="457"/>
      <c r="RM444" s="457"/>
      <c r="RN444" s="457"/>
      <c r="RO444" s="457"/>
      <c r="RP444" s="457"/>
      <c r="RQ444" s="457"/>
      <c r="RR444" s="457"/>
      <c r="RS444" s="457"/>
      <c r="RT444" s="457"/>
      <c r="RU444" s="457"/>
      <c r="RV444" s="457"/>
      <c r="RW444" s="457"/>
      <c r="RX444" s="457"/>
      <c r="RY444" s="457"/>
      <c r="RZ444" s="457"/>
      <c r="SA444" s="457"/>
      <c r="SB444" s="457"/>
      <c r="SC444" s="457"/>
      <c r="SD444" s="457"/>
      <c r="SE444" s="457"/>
      <c r="SF444" s="457"/>
      <c r="SG444" s="457"/>
      <c r="SH444" s="457"/>
      <c r="SI444" s="457"/>
      <c r="SJ444" s="457"/>
      <c r="SK444" s="457"/>
      <c r="SL444" s="457"/>
      <c r="SM444" s="457"/>
      <c r="SN444" s="457"/>
      <c r="SO444" s="457"/>
      <c r="SP444" s="457"/>
      <c r="SQ444" s="457"/>
      <c r="SR444" s="457"/>
      <c r="SS444" s="457"/>
      <c r="ST444" s="457"/>
      <c r="SU444" s="457"/>
      <c r="SV444" s="457"/>
      <c r="SW444" s="457"/>
      <c r="SX444" s="457"/>
      <c r="SY444" s="457"/>
      <c r="SZ444" s="457"/>
      <c r="TA444" s="457"/>
      <c r="TB444" s="457"/>
      <c r="TC444" s="457"/>
      <c r="TD444" s="457"/>
      <c r="TE444" s="457"/>
      <c r="TF444" s="457"/>
      <c r="TG444" s="457"/>
      <c r="TH444" s="457"/>
      <c r="TI444" s="457"/>
      <c r="TJ444" s="457"/>
      <c r="TK444" s="457"/>
      <c r="TL444" s="457"/>
      <c r="TM444" s="457"/>
      <c r="TN444" s="457"/>
      <c r="TO444" s="457"/>
      <c r="TP444" s="457"/>
      <c r="TQ444" s="457"/>
      <c r="TR444" s="457"/>
      <c r="TS444" s="457"/>
      <c r="TT444" s="457"/>
      <c r="TU444" s="457"/>
      <c r="TV444" s="457"/>
      <c r="TW444" s="457"/>
      <c r="TX444" s="457"/>
      <c r="TY444" s="457"/>
      <c r="TZ444" s="457"/>
      <c r="UA444" s="457"/>
      <c r="UB444" s="457"/>
      <c r="UC444" s="457"/>
      <c r="UD444" s="457"/>
      <c r="UE444" s="457"/>
      <c r="UF444" s="457"/>
      <c r="UG444" s="457"/>
      <c r="UH444" s="457"/>
      <c r="UI444" s="457"/>
      <c r="UJ444" s="457"/>
      <c r="UK444" s="457"/>
      <c r="UL444" s="457"/>
      <c r="UM444" s="457"/>
      <c r="UN444" s="457"/>
      <c r="UO444" s="457"/>
      <c r="UP444" s="457"/>
      <c r="UQ444" s="457"/>
      <c r="UR444" s="457"/>
      <c r="US444" s="457"/>
      <c r="UT444" s="457"/>
      <c r="UU444" s="457"/>
      <c r="UV444" s="457"/>
      <c r="UW444" s="457"/>
      <c r="UX444" s="457"/>
      <c r="UY444" s="457"/>
      <c r="UZ444" s="457"/>
      <c r="VA444" s="457"/>
      <c r="VB444" s="457"/>
      <c r="VC444" s="457"/>
      <c r="VD444" s="457"/>
      <c r="VE444" s="457"/>
      <c r="VF444" s="457"/>
      <c r="VG444" s="457"/>
      <c r="VH444" s="457"/>
      <c r="VI444" s="457"/>
      <c r="VJ444" s="457"/>
      <c r="VK444" s="457"/>
      <c r="VL444" s="457"/>
      <c r="VM444" s="457"/>
      <c r="VN444" s="457"/>
      <c r="VO444" s="457"/>
      <c r="VP444" s="457"/>
      <c r="VQ444" s="457"/>
      <c r="VR444" s="457"/>
      <c r="VS444" s="457"/>
      <c r="VT444" s="457"/>
      <c r="VU444" s="457"/>
      <c r="VV444" s="457"/>
      <c r="VW444" s="457"/>
      <c r="VX444" s="457"/>
      <c r="VY444" s="457"/>
      <c r="VZ444" s="457"/>
      <c r="WA444" s="457"/>
      <c r="WB444" s="457"/>
      <c r="WC444" s="457"/>
      <c r="WD444" s="457"/>
      <c r="WE444" s="457"/>
      <c r="WF444" s="457"/>
      <c r="WG444" s="457"/>
      <c r="WH444" s="457"/>
      <c r="WI444" s="457"/>
      <c r="WJ444" s="457"/>
      <c r="WK444" s="457"/>
      <c r="WL444" s="457"/>
      <c r="WM444" s="457"/>
      <c r="WN444" s="457"/>
      <c r="WO444" s="457"/>
      <c r="WP444" s="457"/>
      <c r="WQ444" s="457"/>
      <c r="WR444" s="457"/>
      <c r="WS444" s="457"/>
      <c r="WT444" s="457"/>
      <c r="WU444" s="457"/>
      <c r="WV444" s="457"/>
      <c r="WW444" s="457"/>
      <c r="WX444" s="457"/>
      <c r="WY444" s="457"/>
      <c r="WZ444" s="457"/>
      <c r="XA444" s="457"/>
      <c r="XB444" s="457"/>
      <c r="XC444" s="457"/>
      <c r="XD444" s="457"/>
      <c r="XE444" s="457"/>
      <c r="XF444" s="457"/>
      <c r="XG444" s="457"/>
      <c r="XH444" s="457"/>
      <c r="XI444" s="457"/>
      <c r="XJ444" s="457"/>
      <c r="XK444" s="457"/>
      <c r="XL444" s="457"/>
      <c r="XM444" s="457"/>
      <c r="XN444" s="457"/>
      <c r="XO444" s="457"/>
      <c r="XP444" s="457"/>
      <c r="XQ444" s="457"/>
      <c r="XR444" s="457"/>
      <c r="XS444" s="457"/>
      <c r="XT444" s="457"/>
      <c r="XU444" s="457"/>
      <c r="XV444" s="457"/>
      <c r="XW444" s="457"/>
      <c r="XX444" s="457"/>
      <c r="XY444" s="457"/>
      <c r="XZ444" s="457"/>
      <c r="YA444" s="457"/>
      <c r="YB444" s="457"/>
      <c r="YC444" s="457"/>
      <c r="YD444" s="457"/>
      <c r="YE444" s="457"/>
      <c r="YF444" s="457"/>
      <c r="YG444" s="457"/>
      <c r="YH444" s="457"/>
      <c r="YI444" s="457"/>
      <c r="YJ444" s="457"/>
      <c r="YK444" s="457"/>
      <c r="YL444" s="457"/>
      <c r="YM444" s="457"/>
      <c r="YN444" s="457"/>
      <c r="YO444" s="457"/>
      <c r="YP444" s="457"/>
      <c r="YQ444" s="457"/>
      <c r="YR444" s="457"/>
      <c r="YS444" s="457"/>
      <c r="YT444" s="457"/>
      <c r="YU444" s="457"/>
      <c r="YV444" s="457"/>
      <c r="YW444" s="457"/>
      <c r="YX444" s="457"/>
      <c r="YY444" s="457"/>
      <c r="YZ444" s="457"/>
      <c r="ZA444" s="457"/>
      <c r="ZB444" s="457"/>
      <c r="ZC444" s="457"/>
      <c r="ZD444" s="457"/>
      <c r="ZE444" s="457"/>
      <c r="ZF444" s="457"/>
      <c r="ZG444" s="457"/>
      <c r="ZH444" s="457"/>
      <c r="ZI444" s="457"/>
      <c r="ZJ444" s="457"/>
      <c r="ZK444" s="457"/>
      <c r="ZL444" s="457"/>
      <c r="ZM444" s="457"/>
      <c r="ZN444" s="457"/>
      <c r="ZO444" s="457"/>
      <c r="ZP444" s="457"/>
      <c r="ZQ444" s="457"/>
      <c r="ZR444" s="457"/>
      <c r="ZS444" s="457"/>
      <c r="ZT444" s="457"/>
      <c r="ZU444" s="457"/>
      <c r="ZV444" s="457"/>
      <c r="ZW444" s="457"/>
      <c r="ZX444" s="457"/>
      <c r="ZY444" s="457"/>
      <c r="ZZ444" s="457"/>
      <c r="AAA444" s="457"/>
      <c r="AAB444" s="457"/>
      <c r="AAC444" s="457"/>
      <c r="AAD444" s="457"/>
      <c r="AAE444" s="457"/>
      <c r="AAF444" s="457"/>
      <c r="AAG444" s="457"/>
      <c r="AAH444" s="457"/>
      <c r="AAI444" s="457"/>
      <c r="AAJ444" s="457"/>
      <c r="AAK444" s="457"/>
      <c r="AAL444" s="457"/>
      <c r="AAM444" s="457"/>
      <c r="AAN444" s="457"/>
      <c r="AAO444" s="457"/>
      <c r="AAP444" s="457"/>
      <c r="AAQ444" s="457"/>
      <c r="AAR444" s="457"/>
      <c r="AAS444" s="457"/>
      <c r="AAT444" s="457"/>
      <c r="AAU444" s="457"/>
      <c r="AAV444" s="457"/>
      <c r="AAW444" s="457"/>
      <c r="AAX444" s="457"/>
      <c r="AAY444" s="457"/>
      <c r="AAZ444" s="457"/>
      <c r="ABA444" s="457"/>
      <c r="ABB444" s="457"/>
      <c r="ABC444" s="457"/>
      <c r="ABD444" s="457"/>
      <c r="ABE444" s="457"/>
      <c r="ABF444" s="457"/>
      <c r="ABG444" s="457"/>
      <c r="ABH444" s="457"/>
      <c r="ABI444" s="457"/>
      <c r="ABJ444" s="457"/>
      <c r="ABK444" s="457"/>
      <c r="ABL444" s="457"/>
      <c r="ABM444" s="457"/>
      <c r="ABN444" s="457"/>
      <c r="ABO444" s="457"/>
      <c r="ABP444" s="457"/>
      <c r="ABQ444" s="457"/>
      <c r="ABR444" s="457"/>
      <c r="ABS444" s="457"/>
      <c r="ABT444" s="457"/>
      <c r="ABU444" s="457"/>
      <c r="ABV444" s="457"/>
      <c r="ABW444" s="457"/>
      <c r="ABX444" s="457"/>
      <c r="ABY444" s="457"/>
      <c r="ABZ444" s="457"/>
      <c r="ACA444" s="457"/>
      <c r="ACB444" s="457"/>
      <c r="ACC444" s="457"/>
      <c r="ACD444" s="457"/>
      <c r="ACE444" s="457"/>
      <c r="ACF444" s="457"/>
      <c r="ACG444" s="457"/>
      <c r="ACH444" s="457"/>
      <c r="ACI444" s="457"/>
      <c r="ACJ444" s="457"/>
      <c r="ACK444" s="457"/>
      <c r="ACL444" s="457"/>
      <c r="ACM444" s="457"/>
      <c r="ACN444" s="457"/>
      <c r="ACO444" s="457"/>
      <c r="ACP444" s="457"/>
      <c r="ACQ444" s="457"/>
      <c r="ACR444" s="457"/>
      <c r="ACS444" s="457"/>
      <c r="ACT444" s="457"/>
      <c r="ACU444" s="457"/>
      <c r="ACV444" s="457"/>
    </row>
    <row r="445" spans="1:776" s="400" customFormat="1" x14ac:dyDescent="0.25">
      <c r="A445" s="470">
        <v>900158</v>
      </c>
      <c r="B445" s="237" t="s">
        <v>358</v>
      </c>
      <c r="C445" s="455"/>
      <c r="D445" s="454" t="s">
        <v>359</v>
      </c>
      <c r="E445" s="454">
        <v>1.27</v>
      </c>
      <c r="F445" s="456">
        <v>90.42</v>
      </c>
      <c r="G445" s="454">
        <v>0.01</v>
      </c>
      <c r="H445" s="454">
        <v>0.15</v>
      </c>
      <c r="I445" s="456">
        <v>298.94</v>
      </c>
      <c r="J445" s="454">
        <v>40.93</v>
      </c>
      <c r="K445" s="454">
        <v>0.01</v>
      </c>
      <c r="L445" s="456">
        <v>158.4</v>
      </c>
      <c r="M445" s="454">
        <v>0.01</v>
      </c>
      <c r="N445" s="454">
        <v>4.95</v>
      </c>
      <c r="O445" s="454">
        <v>137.59</v>
      </c>
      <c r="P445" s="454">
        <v>71.05</v>
      </c>
      <c r="Q445" s="454">
        <v>25.75</v>
      </c>
      <c r="R445" s="454">
        <v>0.01</v>
      </c>
      <c r="S445" s="454">
        <v>0.01</v>
      </c>
      <c r="T445" s="454">
        <v>0.01</v>
      </c>
      <c r="U445" s="454">
        <v>0.01</v>
      </c>
      <c r="V445" s="454"/>
      <c r="W445" s="457"/>
      <c r="X445" s="457"/>
      <c r="Y445" s="457"/>
      <c r="Z445" s="457"/>
      <c r="AA445" s="457"/>
      <c r="AB445" s="457"/>
      <c r="AC445" s="457"/>
      <c r="AD445" s="457"/>
      <c r="AE445" s="457"/>
      <c r="AF445" s="457"/>
      <c r="AG445" s="457"/>
      <c r="AH445" s="457"/>
      <c r="AI445" s="457"/>
      <c r="AJ445" s="457"/>
      <c r="AK445" s="457"/>
      <c r="AL445" s="457"/>
      <c r="AM445" s="457"/>
      <c r="AN445" s="457"/>
      <c r="AO445" s="457"/>
      <c r="AP445" s="457"/>
      <c r="AQ445" s="457"/>
      <c r="AR445" s="457"/>
      <c r="AS445" s="457"/>
      <c r="AT445" s="457"/>
      <c r="AU445" s="457"/>
      <c r="AV445" s="457"/>
      <c r="AW445" s="457"/>
      <c r="AX445" s="457"/>
      <c r="AY445" s="457"/>
      <c r="AZ445" s="457"/>
      <c r="BA445" s="457"/>
      <c r="BB445" s="457"/>
      <c r="BC445" s="457"/>
      <c r="BD445" s="457"/>
      <c r="BE445" s="457"/>
      <c r="BF445" s="457"/>
      <c r="BG445" s="457"/>
      <c r="BH445" s="457"/>
      <c r="BI445" s="457"/>
      <c r="BJ445" s="457"/>
      <c r="BK445" s="457"/>
      <c r="BL445" s="457"/>
      <c r="BM445" s="457"/>
      <c r="BN445" s="457"/>
      <c r="BO445" s="457"/>
      <c r="BP445" s="457"/>
      <c r="BQ445" s="457"/>
      <c r="BR445" s="457"/>
      <c r="BS445" s="457"/>
      <c r="BT445" s="457"/>
      <c r="BU445" s="457"/>
      <c r="BV445" s="457"/>
      <c r="BW445" s="457"/>
      <c r="BX445" s="457"/>
      <c r="BY445" s="457"/>
      <c r="BZ445" s="457"/>
      <c r="CA445" s="457"/>
      <c r="CB445" s="457"/>
      <c r="CC445" s="457"/>
      <c r="CD445" s="457"/>
      <c r="CE445" s="457"/>
      <c r="CF445" s="457"/>
      <c r="CG445" s="457"/>
      <c r="CH445" s="457"/>
      <c r="CI445" s="457"/>
      <c r="CJ445" s="457"/>
      <c r="CK445" s="457"/>
      <c r="CL445" s="457"/>
      <c r="CM445" s="457"/>
      <c r="CN445" s="457"/>
      <c r="CO445" s="457"/>
      <c r="CP445" s="457"/>
      <c r="CQ445" s="457"/>
      <c r="CR445" s="457"/>
      <c r="CS445" s="457"/>
      <c r="CT445" s="457"/>
      <c r="CU445" s="457"/>
      <c r="CV445" s="457"/>
      <c r="CW445" s="457"/>
      <c r="CX445" s="457"/>
      <c r="CY445" s="457"/>
      <c r="CZ445" s="457"/>
      <c r="DA445" s="457"/>
      <c r="DB445" s="457"/>
      <c r="DC445" s="457"/>
      <c r="DD445" s="457"/>
      <c r="DE445" s="457"/>
      <c r="DF445" s="457"/>
      <c r="DG445" s="457"/>
      <c r="DH445" s="457"/>
      <c r="DI445" s="457"/>
      <c r="DJ445" s="457"/>
      <c r="DK445" s="457"/>
      <c r="DL445" s="457"/>
      <c r="DM445" s="457"/>
      <c r="DN445" s="457"/>
      <c r="DO445" s="457"/>
      <c r="DP445" s="457"/>
      <c r="DQ445" s="457"/>
      <c r="DR445" s="457"/>
      <c r="DS445" s="457"/>
      <c r="DT445" s="457"/>
      <c r="DU445" s="457"/>
      <c r="DV445" s="457"/>
      <c r="DW445" s="457"/>
      <c r="DX445" s="457"/>
      <c r="DY445" s="457"/>
      <c r="DZ445" s="457"/>
      <c r="EA445" s="457"/>
      <c r="EB445" s="457"/>
      <c r="EC445" s="457"/>
      <c r="ED445" s="457"/>
      <c r="EE445" s="457"/>
      <c r="EF445" s="457"/>
      <c r="EG445" s="457"/>
      <c r="EH445" s="457"/>
      <c r="EI445" s="457"/>
      <c r="EJ445" s="457"/>
      <c r="EK445" s="457"/>
      <c r="EL445" s="457"/>
      <c r="EM445" s="457"/>
      <c r="EN445" s="457"/>
      <c r="EO445" s="457"/>
      <c r="EP445" s="457"/>
      <c r="EQ445" s="457"/>
      <c r="ER445" s="457"/>
      <c r="ES445" s="457"/>
      <c r="ET445" s="457"/>
      <c r="EU445" s="457"/>
      <c r="EV445" s="457"/>
      <c r="EW445" s="457"/>
      <c r="EX445" s="457"/>
      <c r="EY445" s="457"/>
      <c r="EZ445" s="457"/>
      <c r="FA445" s="457"/>
      <c r="FB445" s="457"/>
      <c r="FC445" s="457"/>
      <c r="FD445" s="457"/>
      <c r="FE445" s="457"/>
      <c r="FF445" s="457"/>
      <c r="FG445" s="457"/>
      <c r="FH445" s="457"/>
      <c r="FI445" s="457"/>
      <c r="FJ445" s="457"/>
      <c r="FK445" s="457"/>
      <c r="FL445" s="457"/>
      <c r="FM445" s="457"/>
      <c r="FN445" s="457"/>
      <c r="FO445" s="457"/>
      <c r="FP445" s="457"/>
      <c r="FQ445" s="457"/>
      <c r="FR445" s="457"/>
      <c r="FS445" s="457"/>
      <c r="FT445" s="457"/>
      <c r="FU445" s="457"/>
      <c r="FV445" s="457"/>
      <c r="FW445" s="457"/>
      <c r="FX445" s="457"/>
      <c r="FY445" s="457"/>
      <c r="FZ445" s="457"/>
      <c r="GA445" s="457"/>
      <c r="GB445" s="457"/>
      <c r="GC445" s="457"/>
      <c r="GD445" s="457"/>
      <c r="GE445" s="457"/>
      <c r="GF445" s="457"/>
      <c r="GG445" s="457"/>
      <c r="GH445" s="457"/>
      <c r="GI445" s="457"/>
      <c r="GJ445" s="457"/>
      <c r="GK445" s="457"/>
      <c r="GL445" s="457"/>
      <c r="GM445" s="457"/>
      <c r="GN445" s="457"/>
      <c r="GO445" s="457"/>
      <c r="GP445" s="457"/>
      <c r="GQ445" s="457"/>
      <c r="GR445" s="457"/>
      <c r="GS445" s="457"/>
      <c r="GT445" s="457"/>
      <c r="GU445" s="457"/>
      <c r="GV445" s="457"/>
      <c r="GW445" s="457"/>
      <c r="GX445" s="457"/>
      <c r="GY445" s="457"/>
      <c r="GZ445" s="457"/>
      <c r="HA445" s="457"/>
      <c r="HB445" s="457"/>
      <c r="HC445" s="457"/>
      <c r="HD445" s="457"/>
      <c r="HE445" s="457"/>
      <c r="HF445" s="457"/>
      <c r="HG445" s="457"/>
      <c r="HH445" s="457"/>
      <c r="HI445" s="457"/>
      <c r="HJ445" s="457"/>
      <c r="HK445" s="457"/>
      <c r="HL445" s="457"/>
      <c r="HM445" s="457"/>
      <c r="HN445" s="457"/>
      <c r="HO445" s="457"/>
      <c r="HP445" s="457"/>
      <c r="HQ445" s="457"/>
      <c r="HR445" s="457"/>
      <c r="HS445" s="457"/>
      <c r="HT445" s="457"/>
      <c r="HU445" s="457"/>
      <c r="HV445" s="457"/>
      <c r="HW445" s="457"/>
      <c r="HX445" s="457"/>
      <c r="HY445" s="457"/>
      <c r="HZ445" s="457"/>
      <c r="IA445" s="457"/>
      <c r="IB445" s="457"/>
      <c r="IC445" s="457"/>
      <c r="ID445" s="457"/>
      <c r="IE445" s="457"/>
      <c r="IF445" s="457"/>
      <c r="IG445" s="457"/>
      <c r="IH445" s="457"/>
      <c r="II445" s="457"/>
      <c r="IJ445" s="457"/>
      <c r="IK445" s="457"/>
      <c r="IL445" s="457"/>
      <c r="IM445" s="457"/>
      <c r="IN445" s="457"/>
      <c r="IO445" s="457"/>
      <c r="IP445" s="457"/>
      <c r="IQ445" s="457"/>
      <c r="IR445" s="457"/>
      <c r="IS445" s="457"/>
      <c r="IT445" s="457"/>
      <c r="IU445" s="457"/>
      <c r="IV445" s="457"/>
      <c r="IW445" s="457"/>
      <c r="IX445" s="457"/>
      <c r="IY445" s="457"/>
      <c r="IZ445" s="457"/>
      <c r="JA445" s="457"/>
      <c r="JB445" s="457"/>
      <c r="JC445" s="457"/>
      <c r="JD445" s="457"/>
      <c r="JE445" s="457"/>
      <c r="JF445" s="457"/>
      <c r="JG445" s="457"/>
      <c r="JH445" s="457"/>
      <c r="JI445" s="457"/>
      <c r="JJ445" s="457"/>
      <c r="JK445" s="457"/>
      <c r="JL445" s="457"/>
      <c r="JM445" s="457"/>
      <c r="JN445" s="457"/>
      <c r="JO445" s="457"/>
      <c r="JP445" s="457"/>
      <c r="JQ445" s="457"/>
      <c r="JR445" s="457"/>
      <c r="JS445" s="457"/>
      <c r="JT445" s="457"/>
      <c r="JU445" s="457"/>
      <c r="JV445" s="457"/>
      <c r="JW445" s="457"/>
      <c r="JX445" s="457"/>
      <c r="JY445" s="457"/>
      <c r="JZ445" s="457"/>
      <c r="KA445" s="457"/>
      <c r="KB445" s="457"/>
      <c r="KC445" s="457"/>
      <c r="KD445" s="457"/>
      <c r="KE445" s="457"/>
      <c r="KF445" s="457"/>
      <c r="KG445" s="457"/>
      <c r="KH445" s="457"/>
      <c r="KI445" s="457"/>
      <c r="KJ445" s="457"/>
      <c r="KK445" s="457"/>
      <c r="KL445" s="457"/>
      <c r="KM445" s="457"/>
      <c r="KN445" s="457"/>
      <c r="KO445" s="457"/>
      <c r="KP445" s="457"/>
      <c r="KQ445" s="457"/>
      <c r="KR445" s="457"/>
      <c r="KS445" s="457"/>
      <c r="KT445" s="457"/>
      <c r="KU445" s="457"/>
      <c r="KV445" s="457"/>
      <c r="KW445" s="457"/>
      <c r="KX445" s="457"/>
      <c r="KY445" s="457"/>
      <c r="KZ445" s="457"/>
      <c r="LA445" s="457"/>
      <c r="LB445" s="457"/>
      <c r="LC445" s="457"/>
      <c r="LD445" s="457"/>
      <c r="LE445" s="457"/>
      <c r="LF445" s="457"/>
      <c r="LG445" s="457"/>
      <c r="LH445" s="457"/>
      <c r="LI445" s="457"/>
      <c r="LJ445" s="457"/>
      <c r="LK445" s="457"/>
      <c r="LL445" s="457"/>
      <c r="LM445" s="457"/>
      <c r="LN445" s="457"/>
      <c r="LO445" s="457"/>
      <c r="LP445" s="457"/>
      <c r="LQ445" s="457"/>
      <c r="LR445" s="457"/>
      <c r="LS445" s="457"/>
      <c r="LT445" s="457"/>
      <c r="LU445" s="457"/>
      <c r="LV445" s="457"/>
      <c r="LW445" s="457"/>
      <c r="LX445" s="457"/>
      <c r="LY445" s="457"/>
      <c r="LZ445" s="457"/>
      <c r="MA445" s="457"/>
      <c r="MB445" s="457"/>
      <c r="MC445" s="457"/>
      <c r="MD445" s="457"/>
      <c r="ME445" s="457"/>
      <c r="MF445" s="457"/>
      <c r="MG445" s="457"/>
      <c r="MH445" s="457"/>
      <c r="MI445" s="457"/>
      <c r="MJ445" s="457"/>
      <c r="MK445" s="457"/>
      <c r="ML445" s="457"/>
      <c r="MM445" s="457"/>
      <c r="MN445" s="457"/>
      <c r="MO445" s="457"/>
      <c r="MP445" s="457"/>
      <c r="MQ445" s="457"/>
      <c r="MR445" s="457"/>
      <c r="MS445" s="457"/>
      <c r="MT445" s="457"/>
      <c r="MU445" s="457"/>
      <c r="MV445" s="457"/>
      <c r="MW445" s="457"/>
      <c r="MX445" s="457"/>
      <c r="MY445" s="457"/>
      <c r="MZ445" s="457"/>
      <c r="NA445" s="457"/>
      <c r="NB445" s="457"/>
      <c r="NC445" s="457"/>
      <c r="ND445" s="457"/>
      <c r="NE445" s="457"/>
      <c r="NF445" s="457"/>
      <c r="NG445" s="457"/>
      <c r="NH445" s="457"/>
      <c r="NI445" s="457"/>
      <c r="NJ445" s="457"/>
      <c r="NK445" s="457"/>
      <c r="NL445" s="457"/>
      <c r="NM445" s="457"/>
      <c r="NN445" s="457"/>
      <c r="NO445" s="457"/>
      <c r="NP445" s="457"/>
      <c r="NQ445" s="457"/>
      <c r="NR445" s="457"/>
      <c r="NS445" s="457"/>
      <c r="NT445" s="457"/>
      <c r="NU445" s="457"/>
      <c r="NV445" s="457"/>
      <c r="NW445" s="457"/>
      <c r="NX445" s="457"/>
      <c r="NY445" s="457"/>
      <c r="NZ445" s="457"/>
      <c r="OA445" s="457"/>
      <c r="OB445" s="457"/>
      <c r="OC445" s="457"/>
      <c r="OD445" s="457"/>
      <c r="OE445" s="457"/>
      <c r="OF445" s="457"/>
      <c r="OG445" s="457"/>
      <c r="OH445" s="457"/>
      <c r="OI445" s="457"/>
      <c r="OJ445" s="457"/>
      <c r="OK445" s="457"/>
      <c r="OL445" s="457"/>
      <c r="OM445" s="457"/>
      <c r="ON445" s="457"/>
      <c r="OO445" s="457"/>
      <c r="OP445" s="457"/>
      <c r="OQ445" s="457"/>
      <c r="OR445" s="457"/>
      <c r="OS445" s="457"/>
      <c r="OT445" s="457"/>
      <c r="OU445" s="457"/>
      <c r="OV445" s="457"/>
      <c r="OW445" s="457"/>
      <c r="OX445" s="457"/>
      <c r="OY445" s="457"/>
      <c r="OZ445" s="457"/>
      <c r="PA445" s="457"/>
      <c r="PB445" s="457"/>
      <c r="PC445" s="457"/>
      <c r="PD445" s="457"/>
      <c r="PE445" s="457"/>
      <c r="PF445" s="457"/>
      <c r="PG445" s="457"/>
      <c r="PH445" s="457"/>
      <c r="PI445" s="457"/>
      <c r="PJ445" s="457"/>
      <c r="PK445" s="457"/>
      <c r="PL445" s="457"/>
      <c r="PM445" s="457"/>
      <c r="PN445" s="457"/>
      <c r="PO445" s="457"/>
      <c r="PP445" s="457"/>
      <c r="PQ445" s="457"/>
      <c r="PR445" s="457"/>
      <c r="PS445" s="457"/>
      <c r="PT445" s="457"/>
      <c r="PU445" s="457"/>
      <c r="PV445" s="457"/>
      <c r="PW445" s="457"/>
      <c r="PX445" s="457"/>
      <c r="PY445" s="457"/>
      <c r="PZ445" s="457"/>
      <c r="QA445" s="457"/>
      <c r="QB445" s="457"/>
      <c r="QC445" s="457"/>
      <c r="QD445" s="457"/>
      <c r="QE445" s="457"/>
      <c r="QF445" s="457"/>
      <c r="QG445" s="457"/>
      <c r="QH445" s="457"/>
      <c r="QI445" s="457"/>
      <c r="QJ445" s="457"/>
      <c r="QK445" s="457"/>
      <c r="QL445" s="457"/>
      <c r="QM445" s="457"/>
      <c r="QN445" s="457"/>
      <c r="QO445" s="457"/>
      <c r="QP445" s="457"/>
      <c r="QQ445" s="457"/>
      <c r="QR445" s="457"/>
      <c r="QS445" s="457"/>
      <c r="QT445" s="457"/>
      <c r="QU445" s="457"/>
      <c r="QV445" s="457"/>
      <c r="QW445" s="457"/>
      <c r="QX445" s="457"/>
      <c r="QY445" s="457"/>
      <c r="QZ445" s="457"/>
      <c r="RA445" s="457"/>
      <c r="RB445" s="457"/>
      <c r="RC445" s="457"/>
      <c r="RD445" s="457"/>
      <c r="RE445" s="457"/>
      <c r="RF445" s="457"/>
      <c r="RG445" s="457"/>
      <c r="RH445" s="457"/>
      <c r="RI445" s="457"/>
      <c r="RJ445" s="457"/>
      <c r="RK445" s="457"/>
      <c r="RL445" s="457"/>
      <c r="RM445" s="457"/>
      <c r="RN445" s="457"/>
      <c r="RO445" s="457"/>
      <c r="RP445" s="457"/>
      <c r="RQ445" s="457"/>
      <c r="RR445" s="457"/>
      <c r="RS445" s="457"/>
      <c r="RT445" s="457"/>
      <c r="RU445" s="457"/>
      <c r="RV445" s="457"/>
      <c r="RW445" s="457"/>
      <c r="RX445" s="457"/>
      <c r="RY445" s="457"/>
      <c r="RZ445" s="457"/>
      <c r="SA445" s="457"/>
      <c r="SB445" s="457"/>
      <c r="SC445" s="457"/>
      <c r="SD445" s="457"/>
      <c r="SE445" s="457"/>
      <c r="SF445" s="457"/>
      <c r="SG445" s="457"/>
      <c r="SH445" s="457"/>
      <c r="SI445" s="457"/>
      <c r="SJ445" s="457"/>
      <c r="SK445" s="457"/>
      <c r="SL445" s="457"/>
      <c r="SM445" s="457"/>
      <c r="SN445" s="457"/>
      <c r="SO445" s="457"/>
      <c r="SP445" s="457"/>
      <c r="SQ445" s="457"/>
      <c r="SR445" s="457"/>
      <c r="SS445" s="457"/>
      <c r="ST445" s="457"/>
      <c r="SU445" s="457"/>
      <c r="SV445" s="457"/>
      <c r="SW445" s="457"/>
      <c r="SX445" s="457"/>
      <c r="SY445" s="457"/>
      <c r="SZ445" s="457"/>
      <c r="TA445" s="457"/>
      <c r="TB445" s="457"/>
      <c r="TC445" s="457"/>
      <c r="TD445" s="457"/>
      <c r="TE445" s="457"/>
      <c r="TF445" s="457"/>
      <c r="TG445" s="457"/>
      <c r="TH445" s="457"/>
      <c r="TI445" s="457"/>
      <c r="TJ445" s="457"/>
      <c r="TK445" s="457"/>
      <c r="TL445" s="457"/>
      <c r="TM445" s="457"/>
      <c r="TN445" s="457"/>
      <c r="TO445" s="457"/>
      <c r="TP445" s="457"/>
      <c r="TQ445" s="457"/>
      <c r="TR445" s="457"/>
      <c r="TS445" s="457"/>
      <c r="TT445" s="457"/>
      <c r="TU445" s="457"/>
      <c r="TV445" s="457"/>
      <c r="TW445" s="457"/>
      <c r="TX445" s="457"/>
      <c r="TY445" s="457"/>
      <c r="TZ445" s="457"/>
      <c r="UA445" s="457"/>
      <c r="UB445" s="457"/>
      <c r="UC445" s="457"/>
      <c r="UD445" s="457"/>
      <c r="UE445" s="457"/>
      <c r="UF445" s="457"/>
      <c r="UG445" s="457"/>
      <c r="UH445" s="457"/>
      <c r="UI445" s="457"/>
      <c r="UJ445" s="457"/>
      <c r="UK445" s="457"/>
      <c r="UL445" s="457"/>
      <c r="UM445" s="457"/>
      <c r="UN445" s="457"/>
      <c r="UO445" s="457"/>
      <c r="UP445" s="457"/>
      <c r="UQ445" s="457"/>
      <c r="UR445" s="457"/>
      <c r="US445" s="457"/>
      <c r="UT445" s="457"/>
      <c r="UU445" s="457"/>
      <c r="UV445" s="457"/>
      <c r="UW445" s="457"/>
      <c r="UX445" s="457"/>
      <c r="UY445" s="457"/>
      <c r="UZ445" s="457"/>
      <c r="VA445" s="457"/>
      <c r="VB445" s="457"/>
      <c r="VC445" s="457"/>
      <c r="VD445" s="457"/>
      <c r="VE445" s="457"/>
      <c r="VF445" s="457"/>
      <c r="VG445" s="457"/>
      <c r="VH445" s="457"/>
      <c r="VI445" s="457"/>
      <c r="VJ445" s="457"/>
      <c r="VK445" s="457"/>
      <c r="VL445" s="457"/>
      <c r="VM445" s="457"/>
      <c r="VN445" s="457"/>
      <c r="VO445" s="457"/>
      <c r="VP445" s="457"/>
      <c r="VQ445" s="457"/>
      <c r="VR445" s="457"/>
      <c r="VS445" s="457"/>
      <c r="VT445" s="457"/>
      <c r="VU445" s="457"/>
      <c r="VV445" s="457"/>
      <c r="VW445" s="457"/>
      <c r="VX445" s="457"/>
      <c r="VY445" s="457"/>
      <c r="VZ445" s="457"/>
      <c r="WA445" s="457"/>
      <c r="WB445" s="457"/>
      <c r="WC445" s="457"/>
      <c r="WD445" s="457"/>
      <c r="WE445" s="457"/>
      <c r="WF445" s="457"/>
      <c r="WG445" s="457"/>
      <c r="WH445" s="457"/>
      <c r="WI445" s="457"/>
      <c r="WJ445" s="457"/>
      <c r="WK445" s="457"/>
      <c r="WL445" s="457"/>
      <c r="WM445" s="457"/>
      <c r="WN445" s="457"/>
      <c r="WO445" s="457"/>
      <c r="WP445" s="457"/>
      <c r="WQ445" s="457"/>
      <c r="WR445" s="457"/>
      <c r="WS445" s="457"/>
      <c r="WT445" s="457"/>
      <c r="WU445" s="457"/>
      <c r="WV445" s="457"/>
      <c r="WW445" s="457"/>
      <c r="WX445" s="457"/>
      <c r="WY445" s="457"/>
      <c r="WZ445" s="457"/>
      <c r="XA445" s="457"/>
      <c r="XB445" s="457"/>
      <c r="XC445" s="457"/>
      <c r="XD445" s="457"/>
      <c r="XE445" s="457"/>
      <c r="XF445" s="457"/>
      <c r="XG445" s="457"/>
      <c r="XH445" s="457"/>
      <c r="XI445" s="457"/>
      <c r="XJ445" s="457"/>
      <c r="XK445" s="457"/>
      <c r="XL445" s="457"/>
      <c r="XM445" s="457"/>
      <c r="XN445" s="457"/>
      <c r="XO445" s="457"/>
      <c r="XP445" s="457"/>
      <c r="XQ445" s="457"/>
      <c r="XR445" s="457"/>
      <c r="XS445" s="457"/>
      <c r="XT445" s="457"/>
      <c r="XU445" s="457"/>
      <c r="XV445" s="457"/>
      <c r="XW445" s="457"/>
      <c r="XX445" s="457"/>
      <c r="XY445" s="457"/>
      <c r="XZ445" s="457"/>
      <c r="YA445" s="457"/>
      <c r="YB445" s="457"/>
      <c r="YC445" s="457"/>
      <c r="YD445" s="457"/>
      <c r="YE445" s="457"/>
      <c r="YF445" s="457"/>
      <c r="YG445" s="457"/>
      <c r="YH445" s="457"/>
      <c r="YI445" s="457"/>
      <c r="YJ445" s="457"/>
      <c r="YK445" s="457"/>
      <c r="YL445" s="457"/>
      <c r="YM445" s="457"/>
      <c r="YN445" s="457"/>
      <c r="YO445" s="457"/>
      <c r="YP445" s="457"/>
      <c r="YQ445" s="457"/>
      <c r="YR445" s="457"/>
      <c r="YS445" s="457"/>
      <c r="YT445" s="457"/>
      <c r="YU445" s="457"/>
      <c r="YV445" s="457"/>
      <c r="YW445" s="457"/>
      <c r="YX445" s="457"/>
      <c r="YY445" s="457"/>
      <c r="YZ445" s="457"/>
      <c r="ZA445" s="457"/>
      <c r="ZB445" s="457"/>
      <c r="ZC445" s="457"/>
      <c r="ZD445" s="457"/>
      <c r="ZE445" s="457"/>
      <c r="ZF445" s="457"/>
      <c r="ZG445" s="457"/>
      <c r="ZH445" s="457"/>
      <c r="ZI445" s="457"/>
      <c r="ZJ445" s="457"/>
      <c r="ZK445" s="457"/>
      <c r="ZL445" s="457"/>
      <c r="ZM445" s="457"/>
      <c r="ZN445" s="457"/>
      <c r="ZO445" s="457"/>
      <c r="ZP445" s="457"/>
      <c r="ZQ445" s="457"/>
      <c r="ZR445" s="457"/>
      <c r="ZS445" s="457"/>
      <c r="ZT445" s="457"/>
      <c r="ZU445" s="457"/>
      <c r="ZV445" s="457"/>
      <c r="ZW445" s="457"/>
      <c r="ZX445" s="457"/>
      <c r="ZY445" s="457"/>
      <c r="ZZ445" s="457"/>
      <c r="AAA445" s="457"/>
      <c r="AAB445" s="457"/>
      <c r="AAC445" s="457"/>
      <c r="AAD445" s="457"/>
      <c r="AAE445" s="457"/>
      <c r="AAF445" s="457"/>
      <c r="AAG445" s="457"/>
      <c r="AAH445" s="457"/>
      <c r="AAI445" s="457"/>
      <c r="AAJ445" s="457"/>
      <c r="AAK445" s="457"/>
      <c r="AAL445" s="457"/>
      <c r="AAM445" s="457"/>
      <c r="AAN445" s="457"/>
      <c r="AAO445" s="457"/>
      <c r="AAP445" s="457"/>
      <c r="AAQ445" s="457"/>
      <c r="AAR445" s="457"/>
      <c r="AAS445" s="457"/>
      <c r="AAT445" s="457"/>
      <c r="AAU445" s="457"/>
      <c r="AAV445" s="457"/>
      <c r="AAW445" s="457"/>
      <c r="AAX445" s="457"/>
      <c r="AAY445" s="457"/>
      <c r="AAZ445" s="457"/>
      <c r="ABA445" s="457"/>
      <c r="ABB445" s="457"/>
      <c r="ABC445" s="457"/>
      <c r="ABD445" s="457"/>
      <c r="ABE445" s="457"/>
      <c r="ABF445" s="457"/>
      <c r="ABG445" s="457"/>
      <c r="ABH445" s="457"/>
      <c r="ABI445" s="457"/>
      <c r="ABJ445" s="457"/>
      <c r="ABK445" s="457"/>
      <c r="ABL445" s="457"/>
      <c r="ABM445" s="457"/>
      <c r="ABN445" s="457"/>
      <c r="ABO445" s="457"/>
      <c r="ABP445" s="457"/>
      <c r="ABQ445" s="457"/>
      <c r="ABR445" s="457"/>
      <c r="ABS445" s="457"/>
      <c r="ABT445" s="457"/>
      <c r="ABU445" s="457"/>
      <c r="ABV445" s="457"/>
      <c r="ABW445" s="457"/>
      <c r="ABX445" s="457"/>
      <c r="ABY445" s="457"/>
      <c r="ABZ445" s="457"/>
      <c r="ACA445" s="457"/>
      <c r="ACB445" s="457"/>
      <c r="ACC445" s="457"/>
      <c r="ACD445" s="457"/>
      <c r="ACE445" s="457"/>
      <c r="ACF445" s="457"/>
      <c r="ACG445" s="457"/>
      <c r="ACH445" s="457"/>
      <c r="ACI445" s="457"/>
      <c r="ACJ445" s="457"/>
      <c r="ACK445" s="457"/>
      <c r="ACL445" s="457"/>
      <c r="ACM445" s="457"/>
      <c r="ACN445" s="457"/>
      <c r="ACO445" s="457"/>
      <c r="ACP445" s="457"/>
      <c r="ACQ445" s="457"/>
      <c r="ACR445" s="457"/>
      <c r="ACS445" s="457"/>
      <c r="ACT445" s="457"/>
      <c r="ACU445" s="457"/>
      <c r="ACV445" s="457"/>
    </row>
    <row r="446" spans="1:776" s="400" customFormat="1" x14ac:dyDescent="0.25">
      <c r="A446" s="470">
        <v>900159</v>
      </c>
      <c r="B446" s="237" t="s">
        <v>360</v>
      </c>
      <c r="C446" s="455"/>
      <c r="D446" s="454" t="s">
        <v>193</v>
      </c>
      <c r="E446" s="454">
        <v>2.38</v>
      </c>
      <c r="F446" s="456">
        <v>64.58</v>
      </c>
      <c r="G446" s="454">
        <v>0.01</v>
      </c>
      <c r="H446" s="454">
        <v>0.13</v>
      </c>
      <c r="I446" s="456">
        <v>443.15</v>
      </c>
      <c r="J446" s="454">
        <v>270.7</v>
      </c>
      <c r="K446" s="454">
        <v>0.01</v>
      </c>
      <c r="L446" s="456">
        <v>201.6</v>
      </c>
      <c r="M446" s="454">
        <v>0.01</v>
      </c>
      <c r="N446" s="454">
        <v>2.91</v>
      </c>
      <c r="O446" s="454">
        <v>137.41</v>
      </c>
      <c r="P446" s="454">
        <v>209.96</v>
      </c>
      <c r="Q446" s="454">
        <v>85.09</v>
      </c>
      <c r="R446" s="454">
        <v>0.04</v>
      </c>
      <c r="S446" s="454">
        <v>0.01</v>
      </c>
      <c r="T446" s="454">
        <v>0.01</v>
      </c>
      <c r="U446" s="454">
        <v>0.15</v>
      </c>
      <c r="V446" s="454"/>
      <c r="W446" s="457"/>
      <c r="X446" s="457"/>
      <c r="Y446" s="457"/>
      <c r="Z446" s="457"/>
      <c r="AA446" s="457"/>
      <c r="AB446" s="457"/>
      <c r="AC446" s="457"/>
      <c r="AD446" s="457"/>
      <c r="AE446" s="457"/>
      <c r="AF446" s="457"/>
      <c r="AG446" s="457"/>
      <c r="AH446" s="457"/>
      <c r="AI446" s="457"/>
      <c r="AJ446" s="457"/>
      <c r="AK446" s="457"/>
      <c r="AL446" s="457"/>
      <c r="AM446" s="457"/>
      <c r="AN446" s="457"/>
      <c r="AO446" s="457"/>
      <c r="AP446" s="457"/>
      <c r="AQ446" s="457"/>
      <c r="AR446" s="457"/>
      <c r="AS446" s="457"/>
      <c r="AT446" s="457"/>
      <c r="AU446" s="457"/>
      <c r="AV446" s="457"/>
      <c r="AW446" s="457"/>
      <c r="AX446" s="457"/>
      <c r="AY446" s="457"/>
      <c r="AZ446" s="457"/>
      <c r="BA446" s="457"/>
      <c r="BB446" s="457"/>
      <c r="BC446" s="457"/>
      <c r="BD446" s="457"/>
      <c r="BE446" s="457"/>
      <c r="BF446" s="457"/>
      <c r="BG446" s="457"/>
      <c r="BH446" s="457"/>
      <c r="BI446" s="457"/>
      <c r="BJ446" s="457"/>
      <c r="BK446" s="457"/>
      <c r="BL446" s="457"/>
      <c r="BM446" s="457"/>
      <c r="BN446" s="457"/>
      <c r="BO446" s="457"/>
      <c r="BP446" s="457"/>
      <c r="BQ446" s="457"/>
      <c r="BR446" s="457"/>
      <c r="BS446" s="457"/>
      <c r="BT446" s="457"/>
      <c r="BU446" s="457"/>
      <c r="BV446" s="457"/>
      <c r="BW446" s="457"/>
      <c r="BX446" s="457"/>
      <c r="BY446" s="457"/>
      <c r="BZ446" s="457"/>
      <c r="CA446" s="457"/>
      <c r="CB446" s="457"/>
      <c r="CC446" s="457"/>
      <c r="CD446" s="457"/>
      <c r="CE446" s="457"/>
      <c r="CF446" s="457"/>
      <c r="CG446" s="457"/>
      <c r="CH446" s="457"/>
      <c r="CI446" s="457"/>
      <c r="CJ446" s="457"/>
      <c r="CK446" s="457"/>
      <c r="CL446" s="457"/>
      <c r="CM446" s="457"/>
      <c r="CN446" s="457"/>
      <c r="CO446" s="457"/>
      <c r="CP446" s="457"/>
      <c r="CQ446" s="457"/>
      <c r="CR446" s="457"/>
      <c r="CS446" s="457"/>
      <c r="CT446" s="457"/>
      <c r="CU446" s="457"/>
      <c r="CV446" s="457"/>
      <c r="CW446" s="457"/>
      <c r="CX446" s="457"/>
      <c r="CY446" s="457"/>
      <c r="CZ446" s="457"/>
      <c r="DA446" s="457"/>
      <c r="DB446" s="457"/>
      <c r="DC446" s="457"/>
      <c r="DD446" s="457"/>
      <c r="DE446" s="457"/>
      <c r="DF446" s="457"/>
      <c r="DG446" s="457"/>
      <c r="DH446" s="457"/>
      <c r="DI446" s="457"/>
      <c r="DJ446" s="457"/>
      <c r="DK446" s="457"/>
      <c r="DL446" s="457"/>
      <c r="DM446" s="457"/>
      <c r="DN446" s="457"/>
      <c r="DO446" s="457"/>
      <c r="DP446" s="457"/>
      <c r="DQ446" s="457"/>
      <c r="DR446" s="457"/>
      <c r="DS446" s="457"/>
      <c r="DT446" s="457"/>
      <c r="DU446" s="457"/>
      <c r="DV446" s="457"/>
      <c r="DW446" s="457"/>
      <c r="DX446" s="457"/>
      <c r="DY446" s="457"/>
      <c r="DZ446" s="457"/>
      <c r="EA446" s="457"/>
      <c r="EB446" s="457"/>
      <c r="EC446" s="457"/>
      <c r="ED446" s="457"/>
      <c r="EE446" s="457"/>
      <c r="EF446" s="457"/>
      <c r="EG446" s="457"/>
      <c r="EH446" s="457"/>
      <c r="EI446" s="457"/>
      <c r="EJ446" s="457"/>
      <c r="EK446" s="457"/>
      <c r="EL446" s="457"/>
      <c r="EM446" s="457"/>
      <c r="EN446" s="457"/>
      <c r="EO446" s="457"/>
      <c r="EP446" s="457"/>
      <c r="EQ446" s="457"/>
      <c r="ER446" s="457"/>
      <c r="ES446" s="457"/>
      <c r="ET446" s="457"/>
      <c r="EU446" s="457"/>
      <c r="EV446" s="457"/>
      <c r="EW446" s="457"/>
      <c r="EX446" s="457"/>
      <c r="EY446" s="457"/>
      <c r="EZ446" s="457"/>
      <c r="FA446" s="457"/>
      <c r="FB446" s="457"/>
      <c r="FC446" s="457"/>
      <c r="FD446" s="457"/>
      <c r="FE446" s="457"/>
      <c r="FF446" s="457"/>
      <c r="FG446" s="457"/>
      <c r="FH446" s="457"/>
      <c r="FI446" s="457"/>
      <c r="FJ446" s="457"/>
      <c r="FK446" s="457"/>
      <c r="FL446" s="457"/>
      <c r="FM446" s="457"/>
      <c r="FN446" s="457"/>
      <c r="FO446" s="457"/>
      <c r="FP446" s="457"/>
      <c r="FQ446" s="457"/>
      <c r="FR446" s="457"/>
      <c r="FS446" s="457"/>
      <c r="FT446" s="457"/>
      <c r="FU446" s="457"/>
      <c r="FV446" s="457"/>
      <c r="FW446" s="457"/>
      <c r="FX446" s="457"/>
      <c r="FY446" s="457"/>
      <c r="FZ446" s="457"/>
      <c r="GA446" s="457"/>
      <c r="GB446" s="457"/>
      <c r="GC446" s="457"/>
      <c r="GD446" s="457"/>
      <c r="GE446" s="457"/>
      <c r="GF446" s="457"/>
      <c r="GG446" s="457"/>
      <c r="GH446" s="457"/>
      <c r="GI446" s="457"/>
      <c r="GJ446" s="457"/>
      <c r="GK446" s="457"/>
      <c r="GL446" s="457"/>
      <c r="GM446" s="457"/>
      <c r="GN446" s="457"/>
      <c r="GO446" s="457"/>
      <c r="GP446" s="457"/>
      <c r="GQ446" s="457"/>
      <c r="GR446" s="457"/>
      <c r="GS446" s="457"/>
      <c r="GT446" s="457"/>
      <c r="GU446" s="457"/>
      <c r="GV446" s="457"/>
      <c r="GW446" s="457"/>
      <c r="GX446" s="457"/>
      <c r="GY446" s="457"/>
      <c r="GZ446" s="457"/>
      <c r="HA446" s="457"/>
      <c r="HB446" s="457"/>
      <c r="HC446" s="457"/>
      <c r="HD446" s="457"/>
      <c r="HE446" s="457"/>
      <c r="HF446" s="457"/>
      <c r="HG446" s="457"/>
      <c r="HH446" s="457"/>
      <c r="HI446" s="457"/>
      <c r="HJ446" s="457"/>
      <c r="HK446" s="457"/>
      <c r="HL446" s="457"/>
      <c r="HM446" s="457"/>
      <c r="HN446" s="457"/>
      <c r="HO446" s="457"/>
      <c r="HP446" s="457"/>
      <c r="HQ446" s="457"/>
      <c r="HR446" s="457"/>
      <c r="HS446" s="457"/>
      <c r="HT446" s="457"/>
      <c r="HU446" s="457"/>
      <c r="HV446" s="457"/>
      <c r="HW446" s="457"/>
      <c r="HX446" s="457"/>
      <c r="HY446" s="457"/>
      <c r="HZ446" s="457"/>
      <c r="IA446" s="457"/>
      <c r="IB446" s="457"/>
      <c r="IC446" s="457"/>
      <c r="ID446" s="457"/>
      <c r="IE446" s="457"/>
      <c r="IF446" s="457"/>
      <c r="IG446" s="457"/>
      <c r="IH446" s="457"/>
      <c r="II446" s="457"/>
      <c r="IJ446" s="457"/>
      <c r="IK446" s="457"/>
      <c r="IL446" s="457"/>
      <c r="IM446" s="457"/>
      <c r="IN446" s="457"/>
      <c r="IO446" s="457"/>
      <c r="IP446" s="457"/>
      <c r="IQ446" s="457"/>
      <c r="IR446" s="457"/>
      <c r="IS446" s="457"/>
      <c r="IT446" s="457"/>
      <c r="IU446" s="457"/>
      <c r="IV446" s="457"/>
      <c r="IW446" s="457"/>
      <c r="IX446" s="457"/>
      <c r="IY446" s="457"/>
      <c r="IZ446" s="457"/>
      <c r="JA446" s="457"/>
      <c r="JB446" s="457"/>
      <c r="JC446" s="457"/>
      <c r="JD446" s="457"/>
      <c r="JE446" s="457"/>
      <c r="JF446" s="457"/>
      <c r="JG446" s="457"/>
      <c r="JH446" s="457"/>
      <c r="JI446" s="457"/>
      <c r="JJ446" s="457"/>
      <c r="JK446" s="457"/>
      <c r="JL446" s="457"/>
      <c r="JM446" s="457"/>
      <c r="JN446" s="457"/>
      <c r="JO446" s="457"/>
      <c r="JP446" s="457"/>
      <c r="JQ446" s="457"/>
      <c r="JR446" s="457"/>
      <c r="JS446" s="457"/>
      <c r="JT446" s="457"/>
      <c r="JU446" s="457"/>
      <c r="JV446" s="457"/>
      <c r="JW446" s="457"/>
      <c r="JX446" s="457"/>
      <c r="JY446" s="457"/>
      <c r="JZ446" s="457"/>
      <c r="KA446" s="457"/>
      <c r="KB446" s="457"/>
      <c r="KC446" s="457"/>
      <c r="KD446" s="457"/>
      <c r="KE446" s="457"/>
      <c r="KF446" s="457"/>
      <c r="KG446" s="457"/>
      <c r="KH446" s="457"/>
      <c r="KI446" s="457"/>
      <c r="KJ446" s="457"/>
      <c r="KK446" s="457"/>
      <c r="KL446" s="457"/>
      <c r="KM446" s="457"/>
      <c r="KN446" s="457"/>
      <c r="KO446" s="457"/>
      <c r="KP446" s="457"/>
      <c r="KQ446" s="457"/>
      <c r="KR446" s="457"/>
      <c r="KS446" s="457"/>
      <c r="KT446" s="457"/>
      <c r="KU446" s="457"/>
      <c r="KV446" s="457"/>
      <c r="KW446" s="457"/>
      <c r="KX446" s="457"/>
      <c r="KY446" s="457"/>
      <c r="KZ446" s="457"/>
      <c r="LA446" s="457"/>
      <c r="LB446" s="457"/>
      <c r="LC446" s="457"/>
      <c r="LD446" s="457"/>
      <c r="LE446" s="457"/>
      <c r="LF446" s="457"/>
      <c r="LG446" s="457"/>
      <c r="LH446" s="457"/>
      <c r="LI446" s="457"/>
      <c r="LJ446" s="457"/>
      <c r="LK446" s="457"/>
      <c r="LL446" s="457"/>
      <c r="LM446" s="457"/>
      <c r="LN446" s="457"/>
      <c r="LO446" s="457"/>
      <c r="LP446" s="457"/>
      <c r="LQ446" s="457"/>
      <c r="LR446" s="457"/>
      <c r="LS446" s="457"/>
      <c r="LT446" s="457"/>
      <c r="LU446" s="457"/>
      <c r="LV446" s="457"/>
      <c r="LW446" s="457"/>
      <c r="LX446" s="457"/>
      <c r="LY446" s="457"/>
      <c r="LZ446" s="457"/>
      <c r="MA446" s="457"/>
      <c r="MB446" s="457"/>
      <c r="MC446" s="457"/>
      <c r="MD446" s="457"/>
      <c r="ME446" s="457"/>
      <c r="MF446" s="457"/>
      <c r="MG446" s="457"/>
      <c r="MH446" s="457"/>
      <c r="MI446" s="457"/>
      <c r="MJ446" s="457"/>
      <c r="MK446" s="457"/>
      <c r="ML446" s="457"/>
      <c r="MM446" s="457"/>
      <c r="MN446" s="457"/>
      <c r="MO446" s="457"/>
      <c r="MP446" s="457"/>
      <c r="MQ446" s="457"/>
      <c r="MR446" s="457"/>
      <c r="MS446" s="457"/>
      <c r="MT446" s="457"/>
      <c r="MU446" s="457"/>
      <c r="MV446" s="457"/>
      <c r="MW446" s="457"/>
      <c r="MX446" s="457"/>
      <c r="MY446" s="457"/>
      <c r="MZ446" s="457"/>
      <c r="NA446" s="457"/>
      <c r="NB446" s="457"/>
      <c r="NC446" s="457"/>
      <c r="ND446" s="457"/>
      <c r="NE446" s="457"/>
      <c r="NF446" s="457"/>
      <c r="NG446" s="457"/>
      <c r="NH446" s="457"/>
      <c r="NI446" s="457"/>
      <c r="NJ446" s="457"/>
      <c r="NK446" s="457"/>
      <c r="NL446" s="457"/>
      <c r="NM446" s="457"/>
      <c r="NN446" s="457"/>
      <c r="NO446" s="457"/>
      <c r="NP446" s="457"/>
      <c r="NQ446" s="457"/>
      <c r="NR446" s="457"/>
      <c r="NS446" s="457"/>
      <c r="NT446" s="457"/>
      <c r="NU446" s="457"/>
      <c r="NV446" s="457"/>
      <c r="NW446" s="457"/>
      <c r="NX446" s="457"/>
      <c r="NY446" s="457"/>
      <c r="NZ446" s="457"/>
      <c r="OA446" s="457"/>
      <c r="OB446" s="457"/>
      <c r="OC446" s="457"/>
      <c r="OD446" s="457"/>
      <c r="OE446" s="457"/>
      <c r="OF446" s="457"/>
      <c r="OG446" s="457"/>
      <c r="OH446" s="457"/>
      <c r="OI446" s="457"/>
      <c r="OJ446" s="457"/>
      <c r="OK446" s="457"/>
      <c r="OL446" s="457"/>
      <c r="OM446" s="457"/>
      <c r="ON446" s="457"/>
      <c r="OO446" s="457"/>
      <c r="OP446" s="457"/>
      <c r="OQ446" s="457"/>
      <c r="OR446" s="457"/>
      <c r="OS446" s="457"/>
      <c r="OT446" s="457"/>
      <c r="OU446" s="457"/>
      <c r="OV446" s="457"/>
      <c r="OW446" s="457"/>
      <c r="OX446" s="457"/>
      <c r="OY446" s="457"/>
      <c r="OZ446" s="457"/>
      <c r="PA446" s="457"/>
      <c r="PB446" s="457"/>
      <c r="PC446" s="457"/>
      <c r="PD446" s="457"/>
      <c r="PE446" s="457"/>
      <c r="PF446" s="457"/>
      <c r="PG446" s="457"/>
      <c r="PH446" s="457"/>
      <c r="PI446" s="457"/>
      <c r="PJ446" s="457"/>
      <c r="PK446" s="457"/>
      <c r="PL446" s="457"/>
      <c r="PM446" s="457"/>
      <c r="PN446" s="457"/>
      <c r="PO446" s="457"/>
      <c r="PP446" s="457"/>
      <c r="PQ446" s="457"/>
      <c r="PR446" s="457"/>
      <c r="PS446" s="457"/>
      <c r="PT446" s="457"/>
      <c r="PU446" s="457"/>
      <c r="PV446" s="457"/>
      <c r="PW446" s="457"/>
      <c r="PX446" s="457"/>
      <c r="PY446" s="457"/>
      <c r="PZ446" s="457"/>
      <c r="QA446" s="457"/>
      <c r="QB446" s="457"/>
      <c r="QC446" s="457"/>
      <c r="QD446" s="457"/>
      <c r="QE446" s="457"/>
      <c r="QF446" s="457"/>
      <c r="QG446" s="457"/>
      <c r="QH446" s="457"/>
      <c r="QI446" s="457"/>
      <c r="QJ446" s="457"/>
      <c r="QK446" s="457"/>
      <c r="QL446" s="457"/>
      <c r="QM446" s="457"/>
      <c r="QN446" s="457"/>
      <c r="QO446" s="457"/>
      <c r="QP446" s="457"/>
      <c r="QQ446" s="457"/>
      <c r="QR446" s="457"/>
      <c r="QS446" s="457"/>
      <c r="QT446" s="457"/>
      <c r="QU446" s="457"/>
      <c r="QV446" s="457"/>
      <c r="QW446" s="457"/>
      <c r="QX446" s="457"/>
      <c r="QY446" s="457"/>
      <c r="QZ446" s="457"/>
      <c r="RA446" s="457"/>
      <c r="RB446" s="457"/>
      <c r="RC446" s="457"/>
      <c r="RD446" s="457"/>
      <c r="RE446" s="457"/>
      <c r="RF446" s="457"/>
      <c r="RG446" s="457"/>
      <c r="RH446" s="457"/>
      <c r="RI446" s="457"/>
      <c r="RJ446" s="457"/>
      <c r="RK446" s="457"/>
      <c r="RL446" s="457"/>
      <c r="RM446" s="457"/>
      <c r="RN446" s="457"/>
      <c r="RO446" s="457"/>
      <c r="RP446" s="457"/>
      <c r="RQ446" s="457"/>
      <c r="RR446" s="457"/>
      <c r="RS446" s="457"/>
      <c r="RT446" s="457"/>
      <c r="RU446" s="457"/>
      <c r="RV446" s="457"/>
      <c r="RW446" s="457"/>
      <c r="RX446" s="457"/>
      <c r="RY446" s="457"/>
      <c r="RZ446" s="457"/>
      <c r="SA446" s="457"/>
      <c r="SB446" s="457"/>
      <c r="SC446" s="457"/>
      <c r="SD446" s="457"/>
      <c r="SE446" s="457"/>
      <c r="SF446" s="457"/>
      <c r="SG446" s="457"/>
      <c r="SH446" s="457"/>
      <c r="SI446" s="457"/>
      <c r="SJ446" s="457"/>
      <c r="SK446" s="457"/>
      <c r="SL446" s="457"/>
      <c r="SM446" s="457"/>
      <c r="SN446" s="457"/>
      <c r="SO446" s="457"/>
      <c r="SP446" s="457"/>
      <c r="SQ446" s="457"/>
      <c r="SR446" s="457"/>
      <c r="SS446" s="457"/>
      <c r="ST446" s="457"/>
      <c r="SU446" s="457"/>
      <c r="SV446" s="457"/>
      <c r="SW446" s="457"/>
      <c r="SX446" s="457"/>
      <c r="SY446" s="457"/>
      <c r="SZ446" s="457"/>
      <c r="TA446" s="457"/>
      <c r="TB446" s="457"/>
      <c r="TC446" s="457"/>
      <c r="TD446" s="457"/>
      <c r="TE446" s="457"/>
      <c r="TF446" s="457"/>
      <c r="TG446" s="457"/>
      <c r="TH446" s="457"/>
      <c r="TI446" s="457"/>
      <c r="TJ446" s="457"/>
      <c r="TK446" s="457"/>
      <c r="TL446" s="457"/>
      <c r="TM446" s="457"/>
      <c r="TN446" s="457"/>
      <c r="TO446" s="457"/>
      <c r="TP446" s="457"/>
      <c r="TQ446" s="457"/>
      <c r="TR446" s="457"/>
      <c r="TS446" s="457"/>
      <c r="TT446" s="457"/>
      <c r="TU446" s="457"/>
      <c r="TV446" s="457"/>
      <c r="TW446" s="457"/>
      <c r="TX446" s="457"/>
      <c r="TY446" s="457"/>
      <c r="TZ446" s="457"/>
      <c r="UA446" s="457"/>
      <c r="UB446" s="457"/>
      <c r="UC446" s="457"/>
      <c r="UD446" s="457"/>
      <c r="UE446" s="457"/>
      <c r="UF446" s="457"/>
      <c r="UG446" s="457"/>
      <c r="UH446" s="457"/>
      <c r="UI446" s="457"/>
      <c r="UJ446" s="457"/>
      <c r="UK446" s="457"/>
      <c r="UL446" s="457"/>
      <c r="UM446" s="457"/>
      <c r="UN446" s="457"/>
      <c r="UO446" s="457"/>
      <c r="UP446" s="457"/>
      <c r="UQ446" s="457"/>
      <c r="UR446" s="457"/>
      <c r="US446" s="457"/>
      <c r="UT446" s="457"/>
      <c r="UU446" s="457"/>
      <c r="UV446" s="457"/>
      <c r="UW446" s="457"/>
      <c r="UX446" s="457"/>
      <c r="UY446" s="457"/>
      <c r="UZ446" s="457"/>
      <c r="VA446" s="457"/>
      <c r="VB446" s="457"/>
      <c r="VC446" s="457"/>
      <c r="VD446" s="457"/>
      <c r="VE446" s="457"/>
      <c r="VF446" s="457"/>
      <c r="VG446" s="457"/>
      <c r="VH446" s="457"/>
      <c r="VI446" s="457"/>
      <c r="VJ446" s="457"/>
      <c r="VK446" s="457"/>
      <c r="VL446" s="457"/>
      <c r="VM446" s="457"/>
      <c r="VN446" s="457"/>
      <c r="VO446" s="457"/>
      <c r="VP446" s="457"/>
      <c r="VQ446" s="457"/>
      <c r="VR446" s="457"/>
      <c r="VS446" s="457"/>
      <c r="VT446" s="457"/>
      <c r="VU446" s="457"/>
      <c r="VV446" s="457"/>
      <c r="VW446" s="457"/>
      <c r="VX446" s="457"/>
      <c r="VY446" s="457"/>
      <c r="VZ446" s="457"/>
      <c r="WA446" s="457"/>
      <c r="WB446" s="457"/>
      <c r="WC446" s="457"/>
      <c r="WD446" s="457"/>
      <c r="WE446" s="457"/>
      <c r="WF446" s="457"/>
      <c r="WG446" s="457"/>
      <c r="WH446" s="457"/>
      <c r="WI446" s="457"/>
      <c r="WJ446" s="457"/>
      <c r="WK446" s="457"/>
      <c r="WL446" s="457"/>
      <c r="WM446" s="457"/>
      <c r="WN446" s="457"/>
      <c r="WO446" s="457"/>
      <c r="WP446" s="457"/>
      <c r="WQ446" s="457"/>
      <c r="WR446" s="457"/>
      <c r="WS446" s="457"/>
      <c r="WT446" s="457"/>
      <c r="WU446" s="457"/>
      <c r="WV446" s="457"/>
      <c r="WW446" s="457"/>
      <c r="WX446" s="457"/>
      <c r="WY446" s="457"/>
      <c r="WZ446" s="457"/>
      <c r="XA446" s="457"/>
      <c r="XB446" s="457"/>
      <c r="XC446" s="457"/>
      <c r="XD446" s="457"/>
      <c r="XE446" s="457"/>
      <c r="XF446" s="457"/>
      <c r="XG446" s="457"/>
      <c r="XH446" s="457"/>
      <c r="XI446" s="457"/>
      <c r="XJ446" s="457"/>
      <c r="XK446" s="457"/>
      <c r="XL446" s="457"/>
      <c r="XM446" s="457"/>
      <c r="XN446" s="457"/>
      <c r="XO446" s="457"/>
      <c r="XP446" s="457"/>
      <c r="XQ446" s="457"/>
      <c r="XR446" s="457"/>
      <c r="XS446" s="457"/>
      <c r="XT446" s="457"/>
      <c r="XU446" s="457"/>
      <c r="XV446" s="457"/>
      <c r="XW446" s="457"/>
      <c r="XX446" s="457"/>
      <c r="XY446" s="457"/>
      <c r="XZ446" s="457"/>
      <c r="YA446" s="457"/>
      <c r="YB446" s="457"/>
      <c r="YC446" s="457"/>
      <c r="YD446" s="457"/>
      <c r="YE446" s="457"/>
      <c r="YF446" s="457"/>
      <c r="YG446" s="457"/>
      <c r="YH446" s="457"/>
      <c r="YI446" s="457"/>
      <c r="YJ446" s="457"/>
      <c r="YK446" s="457"/>
      <c r="YL446" s="457"/>
      <c r="YM446" s="457"/>
      <c r="YN446" s="457"/>
      <c r="YO446" s="457"/>
      <c r="YP446" s="457"/>
      <c r="YQ446" s="457"/>
      <c r="YR446" s="457"/>
      <c r="YS446" s="457"/>
      <c r="YT446" s="457"/>
      <c r="YU446" s="457"/>
      <c r="YV446" s="457"/>
      <c r="YW446" s="457"/>
      <c r="YX446" s="457"/>
      <c r="YY446" s="457"/>
      <c r="YZ446" s="457"/>
      <c r="ZA446" s="457"/>
      <c r="ZB446" s="457"/>
      <c r="ZC446" s="457"/>
      <c r="ZD446" s="457"/>
      <c r="ZE446" s="457"/>
      <c r="ZF446" s="457"/>
      <c r="ZG446" s="457"/>
      <c r="ZH446" s="457"/>
      <c r="ZI446" s="457"/>
      <c r="ZJ446" s="457"/>
      <c r="ZK446" s="457"/>
      <c r="ZL446" s="457"/>
      <c r="ZM446" s="457"/>
      <c r="ZN446" s="457"/>
      <c r="ZO446" s="457"/>
      <c r="ZP446" s="457"/>
      <c r="ZQ446" s="457"/>
      <c r="ZR446" s="457"/>
      <c r="ZS446" s="457"/>
      <c r="ZT446" s="457"/>
      <c r="ZU446" s="457"/>
      <c r="ZV446" s="457"/>
      <c r="ZW446" s="457"/>
      <c r="ZX446" s="457"/>
      <c r="ZY446" s="457"/>
      <c r="ZZ446" s="457"/>
      <c r="AAA446" s="457"/>
      <c r="AAB446" s="457"/>
      <c r="AAC446" s="457"/>
      <c r="AAD446" s="457"/>
      <c r="AAE446" s="457"/>
      <c r="AAF446" s="457"/>
      <c r="AAG446" s="457"/>
      <c r="AAH446" s="457"/>
      <c r="AAI446" s="457"/>
      <c r="AAJ446" s="457"/>
      <c r="AAK446" s="457"/>
      <c r="AAL446" s="457"/>
      <c r="AAM446" s="457"/>
      <c r="AAN446" s="457"/>
      <c r="AAO446" s="457"/>
      <c r="AAP446" s="457"/>
      <c r="AAQ446" s="457"/>
      <c r="AAR446" s="457"/>
      <c r="AAS446" s="457"/>
      <c r="AAT446" s="457"/>
      <c r="AAU446" s="457"/>
      <c r="AAV446" s="457"/>
      <c r="AAW446" s="457"/>
      <c r="AAX446" s="457"/>
      <c r="AAY446" s="457"/>
      <c r="AAZ446" s="457"/>
      <c r="ABA446" s="457"/>
      <c r="ABB446" s="457"/>
      <c r="ABC446" s="457"/>
      <c r="ABD446" s="457"/>
      <c r="ABE446" s="457"/>
      <c r="ABF446" s="457"/>
      <c r="ABG446" s="457"/>
      <c r="ABH446" s="457"/>
      <c r="ABI446" s="457"/>
      <c r="ABJ446" s="457"/>
      <c r="ABK446" s="457"/>
      <c r="ABL446" s="457"/>
      <c r="ABM446" s="457"/>
      <c r="ABN446" s="457"/>
      <c r="ABO446" s="457"/>
      <c r="ABP446" s="457"/>
      <c r="ABQ446" s="457"/>
      <c r="ABR446" s="457"/>
      <c r="ABS446" s="457"/>
      <c r="ABT446" s="457"/>
      <c r="ABU446" s="457"/>
      <c r="ABV446" s="457"/>
      <c r="ABW446" s="457"/>
      <c r="ABX446" s="457"/>
      <c r="ABY446" s="457"/>
      <c r="ABZ446" s="457"/>
      <c r="ACA446" s="457"/>
      <c r="ACB446" s="457"/>
      <c r="ACC446" s="457"/>
      <c r="ACD446" s="457"/>
      <c r="ACE446" s="457"/>
      <c r="ACF446" s="457"/>
      <c r="ACG446" s="457"/>
      <c r="ACH446" s="457"/>
      <c r="ACI446" s="457"/>
      <c r="ACJ446" s="457"/>
      <c r="ACK446" s="457"/>
      <c r="ACL446" s="457"/>
      <c r="ACM446" s="457"/>
      <c r="ACN446" s="457"/>
      <c r="ACO446" s="457"/>
      <c r="ACP446" s="457"/>
      <c r="ACQ446" s="457"/>
      <c r="ACR446" s="457"/>
      <c r="ACS446" s="457"/>
      <c r="ACT446" s="457"/>
      <c r="ACU446" s="457"/>
      <c r="ACV446" s="457"/>
    </row>
    <row r="447" spans="1:776" s="400" customFormat="1" x14ac:dyDescent="0.25">
      <c r="A447" s="470">
        <v>900160</v>
      </c>
      <c r="B447" s="237" t="s">
        <v>361</v>
      </c>
      <c r="C447" s="455"/>
      <c r="D447" s="454" t="s">
        <v>362</v>
      </c>
      <c r="E447" s="454">
        <v>1.05</v>
      </c>
      <c r="F447" s="456">
        <v>36.83</v>
      </c>
      <c r="G447" s="454">
        <v>0.01</v>
      </c>
      <c r="H447" s="454">
        <v>0.11</v>
      </c>
      <c r="I447" s="456">
        <v>194.46</v>
      </c>
      <c r="J447" s="454">
        <v>45.86</v>
      </c>
      <c r="K447" s="454">
        <v>3.0599999999999999E-2</v>
      </c>
      <c r="L447" s="456">
        <v>266.39999999999998</v>
      </c>
      <c r="M447" s="454">
        <v>0.01</v>
      </c>
      <c r="N447" s="454">
        <v>4.33</v>
      </c>
      <c r="O447" s="454">
        <v>97.94</v>
      </c>
      <c r="P447" s="454">
        <v>73.22</v>
      </c>
      <c r="Q447" s="454">
        <v>35.39</v>
      </c>
      <c r="R447" s="454">
        <v>0.09</v>
      </c>
      <c r="S447" s="454">
        <v>0.01</v>
      </c>
      <c r="T447" s="454">
        <v>0.01</v>
      </c>
      <c r="U447" s="454">
        <v>0.01</v>
      </c>
      <c r="V447" s="454"/>
      <c r="W447" s="457"/>
      <c r="X447" s="457"/>
      <c r="Y447" s="457"/>
      <c r="Z447" s="457"/>
      <c r="AA447" s="457"/>
      <c r="AB447" s="457"/>
      <c r="AC447" s="457"/>
      <c r="AD447" s="457"/>
      <c r="AE447" s="457"/>
      <c r="AF447" s="457"/>
      <c r="AG447" s="457"/>
      <c r="AH447" s="457"/>
      <c r="AI447" s="457"/>
      <c r="AJ447" s="457"/>
      <c r="AK447" s="457"/>
      <c r="AL447" s="457"/>
      <c r="AM447" s="457"/>
      <c r="AN447" s="457"/>
      <c r="AO447" s="457"/>
      <c r="AP447" s="457"/>
      <c r="AQ447" s="457"/>
      <c r="AR447" s="457"/>
      <c r="AS447" s="457"/>
      <c r="AT447" s="457"/>
      <c r="AU447" s="457"/>
      <c r="AV447" s="457"/>
      <c r="AW447" s="457"/>
      <c r="AX447" s="457"/>
      <c r="AY447" s="457"/>
      <c r="AZ447" s="457"/>
      <c r="BA447" s="457"/>
      <c r="BB447" s="457"/>
      <c r="BC447" s="457"/>
      <c r="BD447" s="457"/>
      <c r="BE447" s="457"/>
      <c r="BF447" s="457"/>
      <c r="BG447" s="457"/>
      <c r="BH447" s="457"/>
      <c r="BI447" s="457"/>
      <c r="BJ447" s="457"/>
      <c r="BK447" s="457"/>
      <c r="BL447" s="457"/>
      <c r="BM447" s="457"/>
      <c r="BN447" s="457"/>
      <c r="BO447" s="457"/>
      <c r="BP447" s="457"/>
      <c r="BQ447" s="457"/>
      <c r="BR447" s="457"/>
      <c r="BS447" s="457"/>
      <c r="BT447" s="457"/>
      <c r="BU447" s="457"/>
      <c r="BV447" s="457"/>
      <c r="BW447" s="457"/>
      <c r="BX447" s="457"/>
      <c r="BY447" s="457"/>
      <c r="BZ447" s="457"/>
      <c r="CA447" s="457"/>
      <c r="CB447" s="457"/>
      <c r="CC447" s="457"/>
      <c r="CD447" s="457"/>
      <c r="CE447" s="457"/>
      <c r="CF447" s="457"/>
      <c r="CG447" s="457"/>
      <c r="CH447" s="457"/>
      <c r="CI447" s="457"/>
      <c r="CJ447" s="457"/>
      <c r="CK447" s="457"/>
      <c r="CL447" s="457"/>
      <c r="CM447" s="457"/>
      <c r="CN447" s="457"/>
      <c r="CO447" s="457"/>
      <c r="CP447" s="457"/>
      <c r="CQ447" s="457"/>
      <c r="CR447" s="457"/>
      <c r="CS447" s="457"/>
      <c r="CT447" s="457"/>
      <c r="CU447" s="457"/>
      <c r="CV447" s="457"/>
      <c r="CW447" s="457"/>
      <c r="CX447" s="457"/>
      <c r="CY447" s="457"/>
      <c r="CZ447" s="457"/>
      <c r="DA447" s="457"/>
      <c r="DB447" s="457"/>
      <c r="DC447" s="457"/>
      <c r="DD447" s="457"/>
      <c r="DE447" s="457"/>
      <c r="DF447" s="457"/>
      <c r="DG447" s="457"/>
      <c r="DH447" s="457"/>
      <c r="DI447" s="457"/>
      <c r="DJ447" s="457"/>
      <c r="DK447" s="457"/>
      <c r="DL447" s="457"/>
      <c r="DM447" s="457"/>
      <c r="DN447" s="457"/>
      <c r="DO447" s="457"/>
      <c r="DP447" s="457"/>
      <c r="DQ447" s="457"/>
      <c r="DR447" s="457"/>
      <c r="DS447" s="457"/>
      <c r="DT447" s="457"/>
      <c r="DU447" s="457"/>
      <c r="DV447" s="457"/>
      <c r="DW447" s="457"/>
      <c r="DX447" s="457"/>
      <c r="DY447" s="457"/>
      <c r="DZ447" s="457"/>
      <c r="EA447" s="457"/>
      <c r="EB447" s="457"/>
      <c r="EC447" s="457"/>
      <c r="ED447" s="457"/>
      <c r="EE447" s="457"/>
      <c r="EF447" s="457"/>
      <c r="EG447" s="457"/>
      <c r="EH447" s="457"/>
      <c r="EI447" s="457"/>
      <c r="EJ447" s="457"/>
      <c r="EK447" s="457"/>
      <c r="EL447" s="457"/>
      <c r="EM447" s="457"/>
      <c r="EN447" s="457"/>
      <c r="EO447" s="457"/>
      <c r="EP447" s="457"/>
      <c r="EQ447" s="457"/>
      <c r="ER447" s="457"/>
      <c r="ES447" s="457"/>
      <c r="ET447" s="457"/>
      <c r="EU447" s="457"/>
      <c r="EV447" s="457"/>
      <c r="EW447" s="457"/>
      <c r="EX447" s="457"/>
      <c r="EY447" s="457"/>
      <c r="EZ447" s="457"/>
      <c r="FA447" s="457"/>
      <c r="FB447" s="457"/>
      <c r="FC447" s="457"/>
      <c r="FD447" s="457"/>
      <c r="FE447" s="457"/>
      <c r="FF447" s="457"/>
      <c r="FG447" s="457"/>
      <c r="FH447" s="457"/>
      <c r="FI447" s="457"/>
      <c r="FJ447" s="457"/>
      <c r="FK447" s="457"/>
      <c r="FL447" s="457"/>
      <c r="FM447" s="457"/>
      <c r="FN447" s="457"/>
      <c r="FO447" s="457"/>
      <c r="FP447" s="457"/>
      <c r="FQ447" s="457"/>
      <c r="FR447" s="457"/>
      <c r="FS447" s="457"/>
      <c r="FT447" s="457"/>
      <c r="FU447" s="457"/>
      <c r="FV447" s="457"/>
      <c r="FW447" s="457"/>
      <c r="FX447" s="457"/>
      <c r="FY447" s="457"/>
      <c r="FZ447" s="457"/>
      <c r="GA447" s="457"/>
      <c r="GB447" s="457"/>
      <c r="GC447" s="457"/>
      <c r="GD447" s="457"/>
      <c r="GE447" s="457"/>
      <c r="GF447" s="457"/>
      <c r="GG447" s="457"/>
      <c r="GH447" s="457"/>
      <c r="GI447" s="457"/>
      <c r="GJ447" s="457"/>
      <c r="GK447" s="457"/>
      <c r="GL447" s="457"/>
      <c r="GM447" s="457"/>
      <c r="GN447" s="457"/>
      <c r="GO447" s="457"/>
      <c r="GP447" s="457"/>
      <c r="GQ447" s="457"/>
      <c r="GR447" s="457"/>
      <c r="GS447" s="457"/>
      <c r="GT447" s="457"/>
      <c r="GU447" s="457"/>
      <c r="GV447" s="457"/>
      <c r="GW447" s="457"/>
      <c r="GX447" s="457"/>
      <c r="GY447" s="457"/>
      <c r="GZ447" s="457"/>
      <c r="HA447" s="457"/>
      <c r="HB447" s="457"/>
      <c r="HC447" s="457"/>
      <c r="HD447" s="457"/>
      <c r="HE447" s="457"/>
      <c r="HF447" s="457"/>
      <c r="HG447" s="457"/>
      <c r="HH447" s="457"/>
      <c r="HI447" s="457"/>
      <c r="HJ447" s="457"/>
      <c r="HK447" s="457"/>
      <c r="HL447" s="457"/>
      <c r="HM447" s="457"/>
      <c r="HN447" s="457"/>
      <c r="HO447" s="457"/>
      <c r="HP447" s="457"/>
      <c r="HQ447" s="457"/>
      <c r="HR447" s="457"/>
      <c r="HS447" s="457"/>
      <c r="HT447" s="457"/>
      <c r="HU447" s="457"/>
      <c r="HV447" s="457"/>
      <c r="HW447" s="457"/>
      <c r="HX447" s="457"/>
      <c r="HY447" s="457"/>
      <c r="HZ447" s="457"/>
      <c r="IA447" s="457"/>
      <c r="IB447" s="457"/>
      <c r="IC447" s="457"/>
      <c r="ID447" s="457"/>
      <c r="IE447" s="457"/>
      <c r="IF447" s="457"/>
      <c r="IG447" s="457"/>
      <c r="IH447" s="457"/>
      <c r="II447" s="457"/>
      <c r="IJ447" s="457"/>
      <c r="IK447" s="457"/>
      <c r="IL447" s="457"/>
      <c r="IM447" s="457"/>
      <c r="IN447" s="457"/>
      <c r="IO447" s="457"/>
      <c r="IP447" s="457"/>
      <c r="IQ447" s="457"/>
      <c r="IR447" s="457"/>
      <c r="IS447" s="457"/>
      <c r="IT447" s="457"/>
      <c r="IU447" s="457"/>
      <c r="IV447" s="457"/>
      <c r="IW447" s="457"/>
      <c r="IX447" s="457"/>
      <c r="IY447" s="457"/>
      <c r="IZ447" s="457"/>
      <c r="JA447" s="457"/>
      <c r="JB447" s="457"/>
      <c r="JC447" s="457"/>
      <c r="JD447" s="457"/>
      <c r="JE447" s="457"/>
      <c r="JF447" s="457"/>
      <c r="JG447" s="457"/>
      <c r="JH447" s="457"/>
      <c r="JI447" s="457"/>
      <c r="JJ447" s="457"/>
      <c r="JK447" s="457"/>
      <c r="JL447" s="457"/>
      <c r="JM447" s="457"/>
      <c r="JN447" s="457"/>
      <c r="JO447" s="457"/>
      <c r="JP447" s="457"/>
      <c r="JQ447" s="457"/>
      <c r="JR447" s="457"/>
      <c r="JS447" s="457"/>
      <c r="JT447" s="457"/>
      <c r="JU447" s="457"/>
      <c r="JV447" s="457"/>
      <c r="JW447" s="457"/>
      <c r="JX447" s="457"/>
      <c r="JY447" s="457"/>
      <c r="JZ447" s="457"/>
      <c r="KA447" s="457"/>
      <c r="KB447" s="457"/>
      <c r="KC447" s="457"/>
      <c r="KD447" s="457"/>
      <c r="KE447" s="457"/>
      <c r="KF447" s="457"/>
      <c r="KG447" s="457"/>
      <c r="KH447" s="457"/>
      <c r="KI447" s="457"/>
      <c r="KJ447" s="457"/>
      <c r="KK447" s="457"/>
      <c r="KL447" s="457"/>
      <c r="KM447" s="457"/>
      <c r="KN447" s="457"/>
      <c r="KO447" s="457"/>
      <c r="KP447" s="457"/>
      <c r="KQ447" s="457"/>
      <c r="KR447" s="457"/>
      <c r="KS447" s="457"/>
      <c r="KT447" s="457"/>
      <c r="KU447" s="457"/>
      <c r="KV447" s="457"/>
      <c r="KW447" s="457"/>
      <c r="KX447" s="457"/>
      <c r="KY447" s="457"/>
      <c r="KZ447" s="457"/>
      <c r="LA447" s="457"/>
      <c r="LB447" s="457"/>
      <c r="LC447" s="457"/>
      <c r="LD447" s="457"/>
      <c r="LE447" s="457"/>
      <c r="LF447" s="457"/>
      <c r="LG447" s="457"/>
      <c r="LH447" s="457"/>
      <c r="LI447" s="457"/>
      <c r="LJ447" s="457"/>
      <c r="LK447" s="457"/>
      <c r="LL447" s="457"/>
      <c r="LM447" s="457"/>
      <c r="LN447" s="457"/>
      <c r="LO447" s="457"/>
      <c r="LP447" s="457"/>
      <c r="LQ447" s="457"/>
      <c r="LR447" s="457"/>
      <c r="LS447" s="457"/>
      <c r="LT447" s="457"/>
      <c r="LU447" s="457"/>
      <c r="LV447" s="457"/>
      <c r="LW447" s="457"/>
      <c r="LX447" s="457"/>
      <c r="LY447" s="457"/>
      <c r="LZ447" s="457"/>
      <c r="MA447" s="457"/>
      <c r="MB447" s="457"/>
      <c r="MC447" s="457"/>
      <c r="MD447" s="457"/>
      <c r="ME447" s="457"/>
      <c r="MF447" s="457"/>
      <c r="MG447" s="457"/>
      <c r="MH447" s="457"/>
      <c r="MI447" s="457"/>
      <c r="MJ447" s="457"/>
      <c r="MK447" s="457"/>
      <c r="ML447" s="457"/>
      <c r="MM447" s="457"/>
      <c r="MN447" s="457"/>
      <c r="MO447" s="457"/>
      <c r="MP447" s="457"/>
      <c r="MQ447" s="457"/>
      <c r="MR447" s="457"/>
      <c r="MS447" s="457"/>
      <c r="MT447" s="457"/>
      <c r="MU447" s="457"/>
      <c r="MV447" s="457"/>
      <c r="MW447" s="457"/>
      <c r="MX447" s="457"/>
      <c r="MY447" s="457"/>
      <c r="MZ447" s="457"/>
      <c r="NA447" s="457"/>
      <c r="NB447" s="457"/>
      <c r="NC447" s="457"/>
      <c r="ND447" s="457"/>
      <c r="NE447" s="457"/>
      <c r="NF447" s="457"/>
      <c r="NG447" s="457"/>
      <c r="NH447" s="457"/>
      <c r="NI447" s="457"/>
      <c r="NJ447" s="457"/>
      <c r="NK447" s="457"/>
      <c r="NL447" s="457"/>
      <c r="NM447" s="457"/>
      <c r="NN447" s="457"/>
      <c r="NO447" s="457"/>
      <c r="NP447" s="457"/>
      <c r="NQ447" s="457"/>
      <c r="NR447" s="457"/>
      <c r="NS447" s="457"/>
      <c r="NT447" s="457"/>
      <c r="NU447" s="457"/>
      <c r="NV447" s="457"/>
      <c r="NW447" s="457"/>
      <c r="NX447" s="457"/>
      <c r="NY447" s="457"/>
      <c r="NZ447" s="457"/>
      <c r="OA447" s="457"/>
      <c r="OB447" s="457"/>
      <c r="OC447" s="457"/>
      <c r="OD447" s="457"/>
      <c r="OE447" s="457"/>
      <c r="OF447" s="457"/>
      <c r="OG447" s="457"/>
      <c r="OH447" s="457"/>
      <c r="OI447" s="457"/>
      <c r="OJ447" s="457"/>
      <c r="OK447" s="457"/>
      <c r="OL447" s="457"/>
      <c r="OM447" s="457"/>
      <c r="ON447" s="457"/>
      <c r="OO447" s="457"/>
      <c r="OP447" s="457"/>
      <c r="OQ447" s="457"/>
      <c r="OR447" s="457"/>
      <c r="OS447" s="457"/>
      <c r="OT447" s="457"/>
      <c r="OU447" s="457"/>
      <c r="OV447" s="457"/>
      <c r="OW447" s="457"/>
      <c r="OX447" s="457"/>
      <c r="OY447" s="457"/>
      <c r="OZ447" s="457"/>
      <c r="PA447" s="457"/>
      <c r="PB447" s="457"/>
      <c r="PC447" s="457"/>
      <c r="PD447" s="457"/>
      <c r="PE447" s="457"/>
      <c r="PF447" s="457"/>
      <c r="PG447" s="457"/>
      <c r="PH447" s="457"/>
      <c r="PI447" s="457"/>
      <c r="PJ447" s="457"/>
      <c r="PK447" s="457"/>
      <c r="PL447" s="457"/>
      <c r="PM447" s="457"/>
      <c r="PN447" s="457"/>
      <c r="PO447" s="457"/>
      <c r="PP447" s="457"/>
      <c r="PQ447" s="457"/>
      <c r="PR447" s="457"/>
      <c r="PS447" s="457"/>
      <c r="PT447" s="457"/>
      <c r="PU447" s="457"/>
      <c r="PV447" s="457"/>
      <c r="PW447" s="457"/>
      <c r="PX447" s="457"/>
      <c r="PY447" s="457"/>
      <c r="PZ447" s="457"/>
      <c r="QA447" s="457"/>
      <c r="QB447" s="457"/>
      <c r="QC447" s="457"/>
      <c r="QD447" s="457"/>
      <c r="QE447" s="457"/>
      <c r="QF447" s="457"/>
      <c r="QG447" s="457"/>
      <c r="QH447" s="457"/>
      <c r="QI447" s="457"/>
      <c r="QJ447" s="457"/>
      <c r="QK447" s="457"/>
      <c r="QL447" s="457"/>
      <c r="QM447" s="457"/>
      <c r="QN447" s="457"/>
      <c r="QO447" s="457"/>
      <c r="QP447" s="457"/>
      <c r="QQ447" s="457"/>
      <c r="QR447" s="457"/>
      <c r="QS447" s="457"/>
      <c r="QT447" s="457"/>
      <c r="QU447" s="457"/>
      <c r="QV447" s="457"/>
      <c r="QW447" s="457"/>
      <c r="QX447" s="457"/>
      <c r="QY447" s="457"/>
      <c r="QZ447" s="457"/>
      <c r="RA447" s="457"/>
      <c r="RB447" s="457"/>
      <c r="RC447" s="457"/>
      <c r="RD447" s="457"/>
      <c r="RE447" s="457"/>
      <c r="RF447" s="457"/>
      <c r="RG447" s="457"/>
      <c r="RH447" s="457"/>
      <c r="RI447" s="457"/>
      <c r="RJ447" s="457"/>
      <c r="RK447" s="457"/>
      <c r="RL447" s="457"/>
      <c r="RM447" s="457"/>
      <c r="RN447" s="457"/>
      <c r="RO447" s="457"/>
      <c r="RP447" s="457"/>
      <c r="RQ447" s="457"/>
      <c r="RR447" s="457"/>
      <c r="RS447" s="457"/>
      <c r="RT447" s="457"/>
      <c r="RU447" s="457"/>
      <c r="RV447" s="457"/>
      <c r="RW447" s="457"/>
      <c r="RX447" s="457"/>
      <c r="RY447" s="457"/>
      <c r="RZ447" s="457"/>
      <c r="SA447" s="457"/>
      <c r="SB447" s="457"/>
      <c r="SC447" s="457"/>
      <c r="SD447" s="457"/>
      <c r="SE447" s="457"/>
      <c r="SF447" s="457"/>
      <c r="SG447" s="457"/>
      <c r="SH447" s="457"/>
      <c r="SI447" s="457"/>
      <c r="SJ447" s="457"/>
      <c r="SK447" s="457"/>
      <c r="SL447" s="457"/>
      <c r="SM447" s="457"/>
      <c r="SN447" s="457"/>
      <c r="SO447" s="457"/>
      <c r="SP447" s="457"/>
      <c r="SQ447" s="457"/>
      <c r="SR447" s="457"/>
      <c r="SS447" s="457"/>
      <c r="ST447" s="457"/>
      <c r="SU447" s="457"/>
      <c r="SV447" s="457"/>
      <c r="SW447" s="457"/>
      <c r="SX447" s="457"/>
      <c r="SY447" s="457"/>
      <c r="SZ447" s="457"/>
      <c r="TA447" s="457"/>
      <c r="TB447" s="457"/>
      <c r="TC447" s="457"/>
      <c r="TD447" s="457"/>
      <c r="TE447" s="457"/>
      <c r="TF447" s="457"/>
      <c r="TG447" s="457"/>
      <c r="TH447" s="457"/>
      <c r="TI447" s="457"/>
      <c r="TJ447" s="457"/>
      <c r="TK447" s="457"/>
      <c r="TL447" s="457"/>
      <c r="TM447" s="457"/>
      <c r="TN447" s="457"/>
      <c r="TO447" s="457"/>
      <c r="TP447" s="457"/>
      <c r="TQ447" s="457"/>
      <c r="TR447" s="457"/>
      <c r="TS447" s="457"/>
      <c r="TT447" s="457"/>
      <c r="TU447" s="457"/>
      <c r="TV447" s="457"/>
      <c r="TW447" s="457"/>
      <c r="TX447" s="457"/>
      <c r="TY447" s="457"/>
      <c r="TZ447" s="457"/>
      <c r="UA447" s="457"/>
      <c r="UB447" s="457"/>
      <c r="UC447" s="457"/>
      <c r="UD447" s="457"/>
      <c r="UE447" s="457"/>
      <c r="UF447" s="457"/>
      <c r="UG447" s="457"/>
      <c r="UH447" s="457"/>
      <c r="UI447" s="457"/>
      <c r="UJ447" s="457"/>
      <c r="UK447" s="457"/>
      <c r="UL447" s="457"/>
      <c r="UM447" s="457"/>
      <c r="UN447" s="457"/>
      <c r="UO447" s="457"/>
      <c r="UP447" s="457"/>
      <c r="UQ447" s="457"/>
      <c r="UR447" s="457"/>
      <c r="US447" s="457"/>
      <c r="UT447" s="457"/>
      <c r="UU447" s="457"/>
      <c r="UV447" s="457"/>
      <c r="UW447" s="457"/>
      <c r="UX447" s="457"/>
      <c r="UY447" s="457"/>
      <c r="UZ447" s="457"/>
      <c r="VA447" s="457"/>
      <c r="VB447" s="457"/>
      <c r="VC447" s="457"/>
      <c r="VD447" s="457"/>
      <c r="VE447" s="457"/>
      <c r="VF447" s="457"/>
      <c r="VG447" s="457"/>
      <c r="VH447" s="457"/>
      <c r="VI447" s="457"/>
      <c r="VJ447" s="457"/>
      <c r="VK447" s="457"/>
      <c r="VL447" s="457"/>
      <c r="VM447" s="457"/>
      <c r="VN447" s="457"/>
      <c r="VO447" s="457"/>
      <c r="VP447" s="457"/>
      <c r="VQ447" s="457"/>
      <c r="VR447" s="457"/>
      <c r="VS447" s="457"/>
      <c r="VT447" s="457"/>
      <c r="VU447" s="457"/>
      <c r="VV447" s="457"/>
      <c r="VW447" s="457"/>
      <c r="VX447" s="457"/>
      <c r="VY447" s="457"/>
      <c r="VZ447" s="457"/>
      <c r="WA447" s="457"/>
      <c r="WB447" s="457"/>
      <c r="WC447" s="457"/>
      <c r="WD447" s="457"/>
      <c r="WE447" s="457"/>
      <c r="WF447" s="457"/>
      <c r="WG447" s="457"/>
      <c r="WH447" s="457"/>
      <c r="WI447" s="457"/>
      <c r="WJ447" s="457"/>
      <c r="WK447" s="457"/>
      <c r="WL447" s="457"/>
      <c r="WM447" s="457"/>
      <c r="WN447" s="457"/>
      <c r="WO447" s="457"/>
      <c r="WP447" s="457"/>
      <c r="WQ447" s="457"/>
      <c r="WR447" s="457"/>
      <c r="WS447" s="457"/>
      <c r="WT447" s="457"/>
      <c r="WU447" s="457"/>
      <c r="WV447" s="457"/>
      <c r="WW447" s="457"/>
      <c r="WX447" s="457"/>
      <c r="WY447" s="457"/>
      <c r="WZ447" s="457"/>
      <c r="XA447" s="457"/>
      <c r="XB447" s="457"/>
      <c r="XC447" s="457"/>
      <c r="XD447" s="457"/>
      <c r="XE447" s="457"/>
      <c r="XF447" s="457"/>
      <c r="XG447" s="457"/>
      <c r="XH447" s="457"/>
      <c r="XI447" s="457"/>
      <c r="XJ447" s="457"/>
      <c r="XK447" s="457"/>
      <c r="XL447" s="457"/>
      <c r="XM447" s="457"/>
      <c r="XN447" s="457"/>
      <c r="XO447" s="457"/>
      <c r="XP447" s="457"/>
      <c r="XQ447" s="457"/>
      <c r="XR447" s="457"/>
      <c r="XS447" s="457"/>
      <c r="XT447" s="457"/>
      <c r="XU447" s="457"/>
      <c r="XV447" s="457"/>
      <c r="XW447" s="457"/>
      <c r="XX447" s="457"/>
      <c r="XY447" s="457"/>
      <c r="XZ447" s="457"/>
      <c r="YA447" s="457"/>
      <c r="YB447" s="457"/>
      <c r="YC447" s="457"/>
      <c r="YD447" s="457"/>
      <c r="YE447" s="457"/>
      <c r="YF447" s="457"/>
      <c r="YG447" s="457"/>
      <c r="YH447" s="457"/>
      <c r="YI447" s="457"/>
      <c r="YJ447" s="457"/>
      <c r="YK447" s="457"/>
      <c r="YL447" s="457"/>
      <c r="YM447" s="457"/>
      <c r="YN447" s="457"/>
      <c r="YO447" s="457"/>
      <c r="YP447" s="457"/>
      <c r="YQ447" s="457"/>
      <c r="YR447" s="457"/>
      <c r="YS447" s="457"/>
      <c r="YT447" s="457"/>
      <c r="YU447" s="457"/>
      <c r="YV447" s="457"/>
      <c r="YW447" s="457"/>
      <c r="YX447" s="457"/>
      <c r="YY447" s="457"/>
      <c r="YZ447" s="457"/>
      <c r="ZA447" s="457"/>
      <c r="ZB447" s="457"/>
      <c r="ZC447" s="457"/>
      <c r="ZD447" s="457"/>
      <c r="ZE447" s="457"/>
      <c r="ZF447" s="457"/>
      <c r="ZG447" s="457"/>
      <c r="ZH447" s="457"/>
      <c r="ZI447" s="457"/>
      <c r="ZJ447" s="457"/>
      <c r="ZK447" s="457"/>
      <c r="ZL447" s="457"/>
      <c r="ZM447" s="457"/>
      <c r="ZN447" s="457"/>
      <c r="ZO447" s="457"/>
      <c r="ZP447" s="457"/>
      <c r="ZQ447" s="457"/>
      <c r="ZR447" s="457"/>
      <c r="ZS447" s="457"/>
      <c r="ZT447" s="457"/>
      <c r="ZU447" s="457"/>
      <c r="ZV447" s="457"/>
      <c r="ZW447" s="457"/>
      <c r="ZX447" s="457"/>
      <c r="ZY447" s="457"/>
      <c r="ZZ447" s="457"/>
      <c r="AAA447" s="457"/>
      <c r="AAB447" s="457"/>
      <c r="AAC447" s="457"/>
      <c r="AAD447" s="457"/>
      <c r="AAE447" s="457"/>
      <c r="AAF447" s="457"/>
      <c r="AAG447" s="457"/>
      <c r="AAH447" s="457"/>
      <c r="AAI447" s="457"/>
      <c r="AAJ447" s="457"/>
      <c r="AAK447" s="457"/>
      <c r="AAL447" s="457"/>
      <c r="AAM447" s="457"/>
      <c r="AAN447" s="457"/>
      <c r="AAO447" s="457"/>
      <c r="AAP447" s="457"/>
      <c r="AAQ447" s="457"/>
      <c r="AAR447" s="457"/>
      <c r="AAS447" s="457"/>
      <c r="AAT447" s="457"/>
      <c r="AAU447" s="457"/>
      <c r="AAV447" s="457"/>
      <c r="AAW447" s="457"/>
      <c r="AAX447" s="457"/>
      <c r="AAY447" s="457"/>
      <c r="AAZ447" s="457"/>
      <c r="ABA447" s="457"/>
      <c r="ABB447" s="457"/>
      <c r="ABC447" s="457"/>
      <c r="ABD447" s="457"/>
      <c r="ABE447" s="457"/>
      <c r="ABF447" s="457"/>
      <c r="ABG447" s="457"/>
      <c r="ABH447" s="457"/>
      <c r="ABI447" s="457"/>
      <c r="ABJ447" s="457"/>
      <c r="ABK447" s="457"/>
      <c r="ABL447" s="457"/>
      <c r="ABM447" s="457"/>
      <c r="ABN447" s="457"/>
      <c r="ABO447" s="457"/>
      <c r="ABP447" s="457"/>
      <c r="ABQ447" s="457"/>
      <c r="ABR447" s="457"/>
      <c r="ABS447" s="457"/>
      <c r="ABT447" s="457"/>
      <c r="ABU447" s="457"/>
      <c r="ABV447" s="457"/>
      <c r="ABW447" s="457"/>
      <c r="ABX447" s="457"/>
      <c r="ABY447" s="457"/>
      <c r="ABZ447" s="457"/>
      <c r="ACA447" s="457"/>
      <c r="ACB447" s="457"/>
      <c r="ACC447" s="457"/>
      <c r="ACD447" s="457"/>
      <c r="ACE447" s="457"/>
      <c r="ACF447" s="457"/>
      <c r="ACG447" s="457"/>
      <c r="ACH447" s="457"/>
      <c r="ACI447" s="457"/>
      <c r="ACJ447" s="457"/>
      <c r="ACK447" s="457"/>
      <c r="ACL447" s="457"/>
      <c r="ACM447" s="457"/>
      <c r="ACN447" s="457"/>
      <c r="ACO447" s="457"/>
      <c r="ACP447" s="457"/>
      <c r="ACQ447" s="457"/>
      <c r="ACR447" s="457"/>
      <c r="ACS447" s="457"/>
      <c r="ACT447" s="457"/>
      <c r="ACU447" s="457"/>
      <c r="ACV447" s="457"/>
    </row>
    <row r="448" spans="1:776" s="400" customFormat="1" x14ac:dyDescent="0.25">
      <c r="A448" s="470">
        <v>900161</v>
      </c>
      <c r="B448" s="237" t="s">
        <v>363</v>
      </c>
      <c r="C448" s="455"/>
      <c r="D448" s="454" t="s">
        <v>364</v>
      </c>
      <c r="E448" s="454">
        <v>1.23</v>
      </c>
      <c r="F448" s="456">
        <v>60.25</v>
      </c>
      <c r="G448" s="454">
        <v>0.01</v>
      </c>
      <c r="H448" s="454">
        <v>0.08</v>
      </c>
      <c r="I448" s="456">
        <v>272.33999999999997</v>
      </c>
      <c r="J448" s="454">
        <v>47.33</v>
      </c>
      <c r="K448" s="454">
        <v>0.01</v>
      </c>
      <c r="L448" s="456">
        <v>213.6</v>
      </c>
      <c r="M448" s="454">
        <v>0.01</v>
      </c>
      <c r="N448" s="454">
        <v>4.09</v>
      </c>
      <c r="O448" s="454">
        <v>121.85</v>
      </c>
      <c r="P448" s="454">
        <v>79.42</v>
      </c>
      <c r="Q448" s="454">
        <v>29.47</v>
      </c>
      <c r="R448" s="454">
        <v>0.01</v>
      </c>
      <c r="S448" s="454">
        <v>0.01</v>
      </c>
      <c r="T448" s="454">
        <v>0.01</v>
      </c>
      <c r="U448" s="454">
        <v>0.01</v>
      </c>
      <c r="V448" s="454"/>
      <c r="W448" s="457"/>
      <c r="X448" s="457"/>
      <c r="Y448" s="457"/>
      <c r="Z448" s="457"/>
      <c r="AA448" s="457"/>
      <c r="AB448" s="457"/>
      <c r="AC448" s="457"/>
      <c r="AD448" s="457"/>
      <c r="AE448" s="457"/>
      <c r="AF448" s="457"/>
      <c r="AG448" s="457"/>
      <c r="AH448" s="457"/>
      <c r="AI448" s="457"/>
      <c r="AJ448" s="457"/>
      <c r="AK448" s="457"/>
      <c r="AL448" s="457"/>
      <c r="AM448" s="457"/>
      <c r="AN448" s="457"/>
      <c r="AO448" s="457"/>
      <c r="AP448" s="457"/>
      <c r="AQ448" s="457"/>
      <c r="AR448" s="457"/>
      <c r="AS448" s="457"/>
      <c r="AT448" s="457"/>
      <c r="AU448" s="457"/>
      <c r="AV448" s="457"/>
      <c r="AW448" s="457"/>
      <c r="AX448" s="457"/>
      <c r="AY448" s="457"/>
      <c r="AZ448" s="457"/>
      <c r="BA448" s="457"/>
      <c r="BB448" s="457"/>
      <c r="BC448" s="457"/>
      <c r="BD448" s="457"/>
      <c r="BE448" s="457"/>
      <c r="BF448" s="457"/>
      <c r="BG448" s="457"/>
      <c r="BH448" s="457"/>
      <c r="BI448" s="457"/>
      <c r="BJ448" s="457"/>
      <c r="BK448" s="457"/>
      <c r="BL448" s="457"/>
      <c r="BM448" s="457"/>
      <c r="BN448" s="457"/>
      <c r="BO448" s="457"/>
      <c r="BP448" s="457"/>
      <c r="BQ448" s="457"/>
      <c r="BR448" s="457"/>
      <c r="BS448" s="457"/>
      <c r="BT448" s="457"/>
      <c r="BU448" s="457"/>
      <c r="BV448" s="457"/>
      <c r="BW448" s="457"/>
      <c r="BX448" s="457"/>
      <c r="BY448" s="457"/>
      <c r="BZ448" s="457"/>
      <c r="CA448" s="457"/>
      <c r="CB448" s="457"/>
      <c r="CC448" s="457"/>
      <c r="CD448" s="457"/>
      <c r="CE448" s="457"/>
      <c r="CF448" s="457"/>
      <c r="CG448" s="457"/>
      <c r="CH448" s="457"/>
      <c r="CI448" s="457"/>
      <c r="CJ448" s="457"/>
      <c r="CK448" s="457"/>
      <c r="CL448" s="457"/>
      <c r="CM448" s="457"/>
      <c r="CN448" s="457"/>
      <c r="CO448" s="457"/>
      <c r="CP448" s="457"/>
      <c r="CQ448" s="457"/>
      <c r="CR448" s="457"/>
      <c r="CS448" s="457"/>
      <c r="CT448" s="457"/>
      <c r="CU448" s="457"/>
      <c r="CV448" s="457"/>
      <c r="CW448" s="457"/>
      <c r="CX448" s="457"/>
      <c r="CY448" s="457"/>
      <c r="CZ448" s="457"/>
      <c r="DA448" s="457"/>
      <c r="DB448" s="457"/>
      <c r="DC448" s="457"/>
      <c r="DD448" s="457"/>
      <c r="DE448" s="457"/>
      <c r="DF448" s="457"/>
      <c r="DG448" s="457"/>
      <c r="DH448" s="457"/>
      <c r="DI448" s="457"/>
      <c r="DJ448" s="457"/>
      <c r="DK448" s="457"/>
      <c r="DL448" s="457"/>
      <c r="DM448" s="457"/>
      <c r="DN448" s="457"/>
      <c r="DO448" s="457"/>
      <c r="DP448" s="457"/>
      <c r="DQ448" s="457"/>
      <c r="DR448" s="457"/>
      <c r="DS448" s="457"/>
      <c r="DT448" s="457"/>
      <c r="DU448" s="457"/>
      <c r="DV448" s="457"/>
      <c r="DW448" s="457"/>
      <c r="DX448" s="457"/>
      <c r="DY448" s="457"/>
      <c r="DZ448" s="457"/>
      <c r="EA448" s="457"/>
      <c r="EB448" s="457"/>
      <c r="EC448" s="457"/>
      <c r="ED448" s="457"/>
      <c r="EE448" s="457"/>
      <c r="EF448" s="457"/>
      <c r="EG448" s="457"/>
      <c r="EH448" s="457"/>
      <c r="EI448" s="457"/>
      <c r="EJ448" s="457"/>
      <c r="EK448" s="457"/>
      <c r="EL448" s="457"/>
      <c r="EM448" s="457"/>
      <c r="EN448" s="457"/>
      <c r="EO448" s="457"/>
      <c r="EP448" s="457"/>
      <c r="EQ448" s="457"/>
      <c r="ER448" s="457"/>
      <c r="ES448" s="457"/>
      <c r="ET448" s="457"/>
      <c r="EU448" s="457"/>
      <c r="EV448" s="457"/>
      <c r="EW448" s="457"/>
      <c r="EX448" s="457"/>
      <c r="EY448" s="457"/>
      <c r="EZ448" s="457"/>
      <c r="FA448" s="457"/>
      <c r="FB448" s="457"/>
      <c r="FC448" s="457"/>
      <c r="FD448" s="457"/>
      <c r="FE448" s="457"/>
      <c r="FF448" s="457"/>
      <c r="FG448" s="457"/>
      <c r="FH448" s="457"/>
      <c r="FI448" s="457"/>
      <c r="FJ448" s="457"/>
      <c r="FK448" s="457"/>
      <c r="FL448" s="457"/>
      <c r="FM448" s="457"/>
      <c r="FN448" s="457"/>
      <c r="FO448" s="457"/>
      <c r="FP448" s="457"/>
      <c r="FQ448" s="457"/>
      <c r="FR448" s="457"/>
      <c r="FS448" s="457"/>
      <c r="FT448" s="457"/>
      <c r="FU448" s="457"/>
      <c r="FV448" s="457"/>
      <c r="FW448" s="457"/>
      <c r="FX448" s="457"/>
      <c r="FY448" s="457"/>
      <c r="FZ448" s="457"/>
      <c r="GA448" s="457"/>
      <c r="GB448" s="457"/>
      <c r="GC448" s="457"/>
      <c r="GD448" s="457"/>
      <c r="GE448" s="457"/>
      <c r="GF448" s="457"/>
      <c r="GG448" s="457"/>
      <c r="GH448" s="457"/>
      <c r="GI448" s="457"/>
      <c r="GJ448" s="457"/>
      <c r="GK448" s="457"/>
      <c r="GL448" s="457"/>
      <c r="GM448" s="457"/>
      <c r="GN448" s="457"/>
      <c r="GO448" s="457"/>
      <c r="GP448" s="457"/>
      <c r="GQ448" s="457"/>
      <c r="GR448" s="457"/>
      <c r="GS448" s="457"/>
      <c r="GT448" s="457"/>
      <c r="GU448" s="457"/>
      <c r="GV448" s="457"/>
      <c r="GW448" s="457"/>
      <c r="GX448" s="457"/>
      <c r="GY448" s="457"/>
      <c r="GZ448" s="457"/>
      <c r="HA448" s="457"/>
      <c r="HB448" s="457"/>
      <c r="HC448" s="457"/>
      <c r="HD448" s="457"/>
      <c r="HE448" s="457"/>
      <c r="HF448" s="457"/>
      <c r="HG448" s="457"/>
      <c r="HH448" s="457"/>
      <c r="HI448" s="457"/>
      <c r="HJ448" s="457"/>
      <c r="HK448" s="457"/>
      <c r="HL448" s="457"/>
      <c r="HM448" s="457"/>
      <c r="HN448" s="457"/>
      <c r="HO448" s="457"/>
      <c r="HP448" s="457"/>
      <c r="HQ448" s="457"/>
      <c r="HR448" s="457"/>
      <c r="HS448" s="457"/>
      <c r="HT448" s="457"/>
      <c r="HU448" s="457"/>
      <c r="HV448" s="457"/>
      <c r="HW448" s="457"/>
      <c r="HX448" s="457"/>
      <c r="HY448" s="457"/>
      <c r="HZ448" s="457"/>
      <c r="IA448" s="457"/>
      <c r="IB448" s="457"/>
      <c r="IC448" s="457"/>
      <c r="ID448" s="457"/>
      <c r="IE448" s="457"/>
      <c r="IF448" s="457"/>
      <c r="IG448" s="457"/>
      <c r="IH448" s="457"/>
      <c r="II448" s="457"/>
      <c r="IJ448" s="457"/>
      <c r="IK448" s="457"/>
      <c r="IL448" s="457"/>
      <c r="IM448" s="457"/>
      <c r="IN448" s="457"/>
      <c r="IO448" s="457"/>
      <c r="IP448" s="457"/>
      <c r="IQ448" s="457"/>
      <c r="IR448" s="457"/>
      <c r="IS448" s="457"/>
      <c r="IT448" s="457"/>
      <c r="IU448" s="457"/>
      <c r="IV448" s="457"/>
      <c r="IW448" s="457"/>
      <c r="IX448" s="457"/>
      <c r="IY448" s="457"/>
      <c r="IZ448" s="457"/>
      <c r="JA448" s="457"/>
      <c r="JB448" s="457"/>
      <c r="JC448" s="457"/>
      <c r="JD448" s="457"/>
      <c r="JE448" s="457"/>
      <c r="JF448" s="457"/>
      <c r="JG448" s="457"/>
      <c r="JH448" s="457"/>
      <c r="JI448" s="457"/>
      <c r="JJ448" s="457"/>
      <c r="JK448" s="457"/>
      <c r="JL448" s="457"/>
      <c r="JM448" s="457"/>
      <c r="JN448" s="457"/>
      <c r="JO448" s="457"/>
      <c r="JP448" s="457"/>
      <c r="JQ448" s="457"/>
      <c r="JR448" s="457"/>
      <c r="JS448" s="457"/>
      <c r="JT448" s="457"/>
      <c r="JU448" s="457"/>
      <c r="JV448" s="457"/>
      <c r="JW448" s="457"/>
      <c r="JX448" s="457"/>
      <c r="JY448" s="457"/>
      <c r="JZ448" s="457"/>
      <c r="KA448" s="457"/>
      <c r="KB448" s="457"/>
      <c r="KC448" s="457"/>
      <c r="KD448" s="457"/>
      <c r="KE448" s="457"/>
      <c r="KF448" s="457"/>
      <c r="KG448" s="457"/>
      <c r="KH448" s="457"/>
      <c r="KI448" s="457"/>
      <c r="KJ448" s="457"/>
      <c r="KK448" s="457"/>
      <c r="KL448" s="457"/>
      <c r="KM448" s="457"/>
      <c r="KN448" s="457"/>
      <c r="KO448" s="457"/>
      <c r="KP448" s="457"/>
      <c r="KQ448" s="457"/>
      <c r="KR448" s="457"/>
      <c r="KS448" s="457"/>
      <c r="KT448" s="457"/>
      <c r="KU448" s="457"/>
      <c r="KV448" s="457"/>
      <c r="KW448" s="457"/>
      <c r="KX448" s="457"/>
      <c r="KY448" s="457"/>
      <c r="KZ448" s="457"/>
      <c r="LA448" s="457"/>
      <c r="LB448" s="457"/>
      <c r="LC448" s="457"/>
      <c r="LD448" s="457"/>
      <c r="LE448" s="457"/>
      <c r="LF448" s="457"/>
      <c r="LG448" s="457"/>
      <c r="LH448" s="457"/>
      <c r="LI448" s="457"/>
      <c r="LJ448" s="457"/>
      <c r="LK448" s="457"/>
      <c r="LL448" s="457"/>
      <c r="LM448" s="457"/>
      <c r="LN448" s="457"/>
      <c r="LO448" s="457"/>
      <c r="LP448" s="457"/>
      <c r="LQ448" s="457"/>
      <c r="LR448" s="457"/>
      <c r="LS448" s="457"/>
      <c r="LT448" s="457"/>
      <c r="LU448" s="457"/>
      <c r="LV448" s="457"/>
      <c r="LW448" s="457"/>
      <c r="LX448" s="457"/>
      <c r="LY448" s="457"/>
      <c r="LZ448" s="457"/>
      <c r="MA448" s="457"/>
      <c r="MB448" s="457"/>
      <c r="MC448" s="457"/>
      <c r="MD448" s="457"/>
      <c r="ME448" s="457"/>
      <c r="MF448" s="457"/>
      <c r="MG448" s="457"/>
      <c r="MH448" s="457"/>
      <c r="MI448" s="457"/>
      <c r="MJ448" s="457"/>
      <c r="MK448" s="457"/>
      <c r="ML448" s="457"/>
      <c r="MM448" s="457"/>
      <c r="MN448" s="457"/>
      <c r="MO448" s="457"/>
      <c r="MP448" s="457"/>
      <c r="MQ448" s="457"/>
      <c r="MR448" s="457"/>
      <c r="MS448" s="457"/>
      <c r="MT448" s="457"/>
      <c r="MU448" s="457"/>
      <c r="MV448" s="457"/>
      <c r="MW448" s="457"/>
      <c r="MX448" s="457"/>
      <c r="MY448" s="457"/>
      <c r="MZ448" s="457"/>
      <c r="NA448" s="457"/>
      <c r="NB448" s="457"/>
      <c r="NC448" s="457"/>
      <c r="ND448" s="457"/>
      <c r="NE448" s="457"/>
      <c r="NF448" s="457"/>
      <c r="NG448" s="457"/>
      <c r="NH448" s="457"/>
      <c r="NI448" s="457"/>
      <c r="NJ448" s="457"/>
      <c r="NK448" s="457"/>
      <c r="NL448" s="457"/>
      <c r="NM448" s="457"/>
      <c r="NN448" s="457"/>
      <c r="NO448" s="457"/>
      <c r="NP448" s="457"/>
      <c r="NQ448" s="457"/>
      <c r="NR448" s="457"/>
      <c r="NS448" s="457"/>
      <c r="NT448" s="457"/>
      <c r="NU448" s="457"/>
      <c r="NV448" s="457"/>
      <c r="NW448" s="457"/>
      <c r="NX448" s="457"/>
      <c r="NY448" s="457"/>
      <c r="NZ448" s="457"/>
      <c r="OA448" s="457"/>
      <c r="OB448" s="457"/>
      <c r="OC448" s="457"/>
      <c r="OD448" s="457"/>
      <c r="OE448" s="457"/>
      <c r="OF448" s="457"/>
      <c r="OG448" s="457"/>
      <c r="OH448" s="457"/>
      <c r="OI448" s="457"/>
      <c r="OJ448" s="457"/>
      <c r="OK448" s="457"/>
      <c r="OL448" s="457"/>
      <c r="OM448" s="457"/>
      <c r="ON448" s="457"/>
      <c r="OO448" s="457"/>
      <c r="OP448" s="457"/>
      <c r="OQ448" s="457"/>
      <c r="OR448" s="457"/>
      <c r="OS448" s="457"/>
      <c r="OT448" s="457"/>
      <c r="OU448" s="457"/>
      <c r="OV448" s="457"/>
      <c r="OW448" s="457"/>
      <c r="OX448" s="457"/>
      <c r="OY448" s="457"/>
      <c r="OZ448" s="457"/>
      <c r="PA448" s="457"/>
      <c r="PB448" s="457"/>
      <c r="PC448" s="457"/>
      <c r="PD448" s="457"/>
      <c r="PE448" s="457"/>
      <c r="PF448" s="457"/>
      <c r="PG448" s="457"/>
      <c r="PH448" s="457"/>
      <c r="PI448" s="457"/>
      <c r="PJ448" s="457"/>
      <c r="PK448" s="457"/>
      <c r="PL448" s="457"/>
      <c r="PM448" s="457"/>
      <c r="PN448" s="457"/>
      <c r="PO448" s="457"/>
      <c r="PP448" s="457"/>
      <c r="PQ448" s="457"/>
      <c r="PR448" s="457"/>
      <c r="PS448" s="457"/>
      <c r="PT448" s="457"/>
      <c r="PU448" s="457"/>
      <c r="PV448" s="457"/>
      <c r="PW448" s="457"/>
      <c r="PX448" s="457"/>
      <c r="PY448" s="457"/>
      <c r="PZ448" s="457"/>
      <c r="QA448" s="457"/>
      <c r="QB448" s="457"/>
      <c r="QC448" s="457"/>
      <c r="QD448" s="457"/>
      <c r="QE448" s="457"/>
      <c r="QF448" s="457"/>
      <c r="QG448" s="457"/>
      <c r="QH448" s="457"/>
      <c r="QI448" s="457"/>
      <c r="QJ448" s="457"/>
      <c r="QK448" s="457"/>
      <c r="QL448" s="457"/>
      <c r="QM448" s="457"/>
      <c r="QN448" s="457"/>
      <c r="QO448" s="457"/>
      <c r="QP448" s="457"/>
      <c r="QQ448" s="457"/>
      <c r="QR448" s="457"/>
      <c r="QS448" s="457"/>
      <c r="QT448" s="457"/>
      <c r="QU448" s="457"/>
      <c r="QV448" s="457"/>
      <c r="QW448" s="457"/>
      <c r="QX448" s="457"/>
      <c r="QY448" s="457"/>
      <c r="QZ448" s="457"/>
      <c r="RA448" s="457"/>
      <c r="RB448" s="457"/>
      <c r="RC448" s="457"/>
      <c r="RD448" s="457"/>
      <c r="RE448" s="457"/>
      <c r="RF448" s="457"/>
      <c r="RG448" s="457"/>
      <c r="RH448" s="457"/>
      <c r="RI448" s="457"/>
      <c r="RJ448" s="457"/>
      <c r="RK448" s="457"/>
      <c r="RL448" s="457"/>
      <c r="RM448" s="457"/>
      <c r="RN448" s="457"/>
      <c r="RO448" s="457"/>
      <c r="RP448" s="457"/>
      <c r="RQ448" s="457"/>
      <c r="RR448" s="457"/>
      <c r="RS448" s="457"/>
      <c r="RT448" s="457"/>
      <c r="RU448" s="457"/>
      <c r="RV448" s="457"/>
      <c r="RW448" s="457"/>
      <c r="RX448" s="457"/>
      <c r="RY448" s="457"/>
      <c r="RZ448" s="457"/>
      <c r="SA448" s="457"/>
      <c r="SB448" s="457"/>
      <c r="SC448" s="457"/>
      <c r="SD448" s="457"/>
      <c r="SE448" s="457"/>
      <c r="SF448" s="457"/>
      <c r="SG448" s="457"/>
      <c r="SH448" s="457"/>
      <c r="SI448" s="457"/>
      <c r="SJ448" s="457"/>
      <c r="SK448" s="457"/>
      <c r="SL448" s="457"/>
      <c r="SM448" s="457"/>
      <c r="SN448" s="457"/>
      <c r="SO448" s="457"/>
      <c r="SP448" s="457"/>
      <c r="SQ448" s="457"/>
      <c r="SR448" s="457"/>
      <c r="SS448" s="457"/>
      <c r="ST448" s="457"/>
      <c r="SU448" s="457"/>
      <c r="SV448" s="457"/>
      <c r="SW448" s="457"/>
      <c r="SX448" s="457"/>
      <c r="SY448" s="457"/>
      <c r="SZ448" s="457"/>
      <c r="TA448" s="457"/>
      <c r="TB448" s="457"/>
      <c r="TC448" s="457"/>
      <c r="TD448" s="457"/>
      <c r="TE448" s="457"/>
      <c r="TF448" s="457"/>
      <c r="TG448" s="457"/>
      <c r="TH448" s="457"/>
      <c r="TI448" s="457"/>
      <c r="TJ448" s="457"/>
      <c r="TK448" s="457"/>
      <c r="TL448" s="457"/>
      <c r="TM448" s="457"/>
      <c r="TN448" s="457"/>
      <c r="TO448" s="457"/>
      <c r="TP448" s="457"/>
      <c r="TQ448" s="457"/>
      <c r="TR448" s="457"/>
      <c r="TS448" s="457"/>
      <c r="TT448" s="457"/>
      <c r="TU448" s="457"/>
      <c r="TV448" s="457"/>
      <c r="TW448" s="457"/>
      <c r="TX448" s="457"/>
      <c r="TY448" s="457"/>
      <c r="TZ448" s="457"/>
      <c r="UA448" s="457"/>
      <c r="UB448" s="457"/>
      <c r="UC448" s="457"/>
      <c r="UD448" s="457"/>
      <c r="UE448" s="457"/>
      <c r="UF448" s="457"/>
      <c r="UG448" s="457"/>
      <c r="UH448" s="457"/>
      <c r="UI448" s="457"/>
      <c r="UJ448" s="457"/>
      <c r="UK448" s="457"/>
      <c r="UL448" s="457"/>
      <c r="UM448" s="457"/>
      <c r="UN448" s="457"/>
      <c r="UO448" s="457"/>
      <c r="UP448" s="457"/>
      <c r="UQ448" s="457"/>
      <c r="UR448" s="457"/>
      <c r="US448" s="457"/>
      <c r="UT448" s="457"/>
      <c r="UU448" s="457"/>
      <c r="UV448" s="457"/>
      <c r="UW448" s="457"/>
      <c r="UX448" s="457"/>
      <c r="UY448" s="457"/>
      <c r="UZ448" s="457"/>
      <c r="VA448" s="457"/>
      <c r="VB448" s="457"/>
      <c r="VC448" s="457"/>
      <c r="VD448" s="457"/>
      <c r="VE448" s="457"/>
      <c r="VF448" s="457"/>
      <c r="VG448" s="457"/>
      <c r="VH448" s="457"/>
      <c r="VI448" s="457"/>
      <c r="VJ448" s="457"/>
      <c r="VK448" s="457"/>
      <c r="VL448" s="457"/>
      <c r="VM448" s="457"/>
      <c r="VN448" s="457"/>
      <c r="VO448" s="457"/>
      <c r="VP448" s="457"/>
      <c r="VQ448" s="457"/>
      <c r="VR448" s="457"/>
      <c r="VS448" s="457"/>
      <c r="VT448" s="457"/>
      <c r="VU448" s="457"/>
      <c r="VV448" s="457"/>
      <c r="VW448" s="457"/>
      <c r="VX448" s="457"/>
      <c r="VY448" s="457"/>
      <c r="VZ448" s="457"/>
      <c r="WA448" s="457"/>
      <c r="WB448" s="457"/>
      <c r="WC448" s="457"/>
      <c r="WD448" s="457"/>
      <c r="WE448" s="457"/>
      <c r="WF448" s="457"/>
      <c r="WG448" s="457"/>
      <c r="WH448" s="457"/>
      <c r="WI448" s="457"/>
      <c r="WJ448" s="457"/>
      <c r="WK448" s="457"/>
      <c r="WL448" s="457"/>
      <c r="WM448" s="457"/>
      <c r="WN448" s="457"/>
      <c r="WO448" s="457"/>
      <c r="WP448" s="457"/>
      <c r="WQ448" s="457"/>
      <c r="WR448" s="457"/>
      <c r="WS448" s="457"/>
      <c r="WT448" s="457"/>
      <c r="WU448" s="457"/>
      <c r="WV448" s="457"/>
      <c r="WW448" s="457"/>
      <c r="WX448" s="457"/>
      <c r="WY448" s="457"/>
      <c r="WZ448" s="457"/>
      <c r="XA448" s="457"/>
      <c r="XB448" s="457"/>
      <c r="XC448" s="457"/>
      <c r="XD448" s="457"/>
      <c r="XE448" s="457"/>
      <c r="XF448" s="457"/>
      <c r="XG448" s="457"/>
      <c r="XH448" s="457"/>
      <c r="XI448" s="457"/>
      <c r="XJ448" s="457"/>
      <c r="XK448" s="457"/>
      <c r="XL448" s="457"/>
      <c r="XM448" s="457"/>
      <c r="XN448" s="457"/>
      <c r="XO448" s="457"/>
      <c r="XP448" s="457"/>
      <c r="XQ448" s="457"/>
      <c r="XR448" s="457"/>
      <c r="XS448" s="457"/>
      <c r="XT448" s="457"/>
      <c r="XU448" s="457"/>
      <c r="XV448" s="457"/>
      <c r="XW448" s="457"/>
      <c r="XX448" s="457"/>
      <c r="XY448" s="457"/>
      <c r="XZ448" s="457"/>
      <c r="YA448" s="457"/>
      <c r="YB448" s="457"/>
      <c r="YC448" s="457"/>
      <c r="YD448" s="457"/>
      <c r="YE448" s="457"/>
      <c r="YF448" s="457"/>
      <c r="YG448" s="457"/>
      <c r="YH448" s="457"/>
      <c r="YI448" s="457"/>
      <c r="YJ448" s="457"/>
      <c r="YK448" s="457"/>
      <c r="YL448" s="457"/>
      <c r="YM448" s="457"/>
      <c r="YN448" s="457"/>
      <c r="YO448" s="457"/>
      <c r="YP448" s="457"/>
      <c r="YQ448" s="457"/>
      <c r="YR448" s="457"/>
      <c r="YS448" s="457"/>
      <c r="YT448" s="457"/>
      <c r="YU448" s="457"/>
      <c r="YV448" s="457"/>
      <c r="YW448" s="457"/>
      <c r="YX448" s="457"/>
      <c r="YY448" s="457"/>
      <c r="YZ448" s="457"/>
      <c r="ZA448" s="457"/>
      <c r="ZB448" s="457"/>
      <c r="ZC448" s="457"/>
      <c r="ZD448" s="457"/>
      <c r="ZE448" s="457"/>
      <c r="ZF448" s="457"/>
      <c r="ZG448" s="457"/>
      <c r="ZH448" s="457"/>
      <c r="ZI448" s="457"/>
      <c r="ZJ448" s="457"/>
      <c r="ZK448" s="457"/>
      <c r="ZL448" s="457"/>
      <c r="ZM448" s="457"/>
      <c r="ZN448" s="457"/>
      <c r="ZO448" s="457"/>
      <c r="ZP448" s="457"/>
      <c r="ZQ448" s="457"/>
      <c r="ZR448" s="457"/>
      <c r="ZS448" s="457"/>
      <c r="ZT448" s="457"/>
      <c r="ZU448" s="457"/>
      <c r="ZV448" s="457"/>
      <c r="ZW448" s="457"/>
      <c r="ZX448" s="457"/>
      <c r="ZY448" s="457"/>
      <c r="ZZ448" s="457"/>
      <c r="AAA448" s="457"/>
      <c r="AAB448" s="457"/>
      <c r="AAC448" s="457"/>
      <c r="AAD448" s="457"/>
      <c r="AAE448" s="457"/>
      <c r="AAF448" s="457"/>
      <c r="AAG448" s="457"/>
      <c r="AAH448" s="457"/>
      <c r="AAI448" s="457"/>
      <c r="AAJ448" s="457"/>
      <c r="AAK448" s="457"/>
      <c r="AAL448" s="457"/>
      <c r="AAM448" s="457"/>
      <c r="AAN448" s="457"/>
      <c r="AAO448" s="457"/>
      <c r="AAP448" s="457"/>
      <c r="AAQ448" s="457"/>
      <c r="AAR448" s="457"/>
      <c r="AAS448" s="457"/>
      <c r="AAT448" s="457"/>
      <c r="AAU448" s="457"/>
      <c r="AAV448" s="457"/>
      <c r="AAW448" s="457"/>
      <c r="AAX448" s="457"/>
      <c r="AAY448" s="457"/>
      <c r="AAZ448" s="457"/>
      <c r="ABA448" s="457"/>
      <c r="ABB448" s="457"/>
      <c r="ABC448" s="457"/>
      <c r="ABD448" s="457"/>
      <c r="ABE448" s="457"/>
      <c r="ABF448" s="457"/>
      <c r="ABG448" s="457"/>
      <c r="ABH448" s="457"/>
      <c r="ABI448" s="457"/>
      <c r="ABJ448" s="457"/>
      <c r="ABK448" s="457"/>
      <c r="ABL448" s="457"/>
      <c r="ABM448" s="457"/>
      <c r="ABN448" s="457"/>
      <c r="ABO448" s="457"/>
      <c r="ABP448" s="457"/>
      <c r="ABQ448" s="457"/>
      <c r="ABR448" s="457"/>
      <c r="ABS448" s="457"/>
      <c r="ABT448" s="457"/>
      <c r="ABU448" s="457"/>
      <c r="ABV448" s="457"/>
      <c r="ABW448" s="457"/>
      <c r="ABX448" s="457"/>
      <c r="ABY448" s="457"/>
      <c r="ABZ448" s="457"/>
      <c r="ACA448" s="457"/>
      <c r="ACB448" s="457"/>
      <c r="ACC448" s="457"/>
      <c r="ACD448" s="457"/>
      <c r="ACE448" s="457"/>
      <c r="ACF448" s="457"/>
      <c r="ACG448" s="457"/>
      <c r="ACH448" s="457"/>
      <c r="ACI448" s="457"/>
      <c r="ACJ448" s="457"/>
      <c r="ACK448" s="457"/>
      <c r="ACL448" s="457"/>
      <c r="ACM448" s="457"/>
      <c r="ACN448" s="457"/>
      <c r="ACO448" s="457"/>
      <c r="ACP448" s="457"/>
      <c r="ACQ448" s="457"/>
      <c r="ACR448" s="457"/>
      <c r="ACS448" s="457"/>
      <c r="ACT448" s="457"/>
      <c r="ACU448" s="457"/>
      <c r="ACV448" s="457"/>
    </row>
    <row r="449" spans="1:776" s="400" customFormat="1" x14ac:dyDescent="0.25">
      <c r="A449" s="470">
        <v>900162</v>
      </c>
      <c r="B449" s="237" t="s">
        <v>365</v>
      </c>
      <c r="C449" s="455"/>
      <c r="D449" s="454" t="s">
        <v>366</v>
      </c>
      <c r="E449" s="454">
        <v>0.50800000000000001</v>
      </c>
      <c r="F449" s="456">
        <v>96.88</v>
      </c>
      <c r="G449" s="454">
        <v>0.01</v>
      </c>
      <c r="H449" s="454">
        <v>0.02</v>
      </c>
      <c r="I449" s="456">
        <v>54.26</v>
      </c>
      <c r="J449" s="454">
        <v>15.19</v>
      </c>
      <c r="K449" s="454">
        <v>3.0599999999999999E-2</v>
      </c>
      <c r="L449" s="456">
        <v>122.4</v>
      </c>
      <c r="M449" s="454">
        <v>0.01</v>
      </c>
      <c r="N449" s="454">
        <v>0.6</v>
      </c>
      <c r="O449" s="454">
        <v>30.7</v>
      </c>
      <c r="P449" s="454">
        <v>65.680000000000007</v>
      </c>
      <c r="Q449" s="454">
        <v>6.17</v>
      </c>
      <c r="R449" s="454">
        <v>0.01</v>
      </c>
      <c r="S449" s="454">
        <v>0.01</v>
      </c>
      <c r="T449" s="454">
        <v>0.01</v>
      </c>
      <c r="U449" s="454">
        <v>0.01</v>
      </c>
      <c r="V449" s="454"/>
      <c r="W449" s="457"/>
      <c r="X449" s="457"/>
      <c r="Y449" s="457"/>
      <c r="Z449" s="457"/>
      <c r="AA449" s="457"/>
      <c r="AB449" s="457"/>
      <c r="AC449" s="457"/>
      <c r="AD449" s="457"/>
      <c r="AE449" s="457"/>
      <c r="AF449" s="457"/>
      <c r="AG449" s="457"/>
      <c r="AH449" s="457"/>
      <c r="AI449" s="457"/>
      <c r="AJ449" s="457"/>
      <c r="AK449" s="457"/>
      <c r="AL449" s="457"/>
      <c r="AM449" s="457"/>
      <c r="AN449" s="457"/>
      <c r="AO449" s="457"/>
      <c r="AP449" s="457"/>
      <c r="AQ449" s="457"/>
      <c r="AR449" s="457"/>
      <c r="AS449" s="457"/>
      <c r="AT449" s="457"/>
      <c r="AU449" s="457"/>
      <c r="AV449" s="457"/>
      <c r="AW449" s="457"/>
      <c r="AX449" s="457"/>
      <c r="AY449" s="457"/>
      <c r="AZ449" s="457"/>
      <c r="BA449" s="457"/>
      <c r="BB449" s="457"/>
      <c r="BC449" s="457"/>
      <c r="BD449" s="457"/>
      <c r="BE449" s="457"/>
      <c r="BF449" s="457"/>
      <c r="BG449" s="457"/>
      <c r="BH449" s="457"/>
      <c r="BI449" s="457"/>
      <c r="BJ449" s="457"/>
      <c r="BK449" s="457"/>
      <c r="BL449" s="457"/>
      <c r="BM449" s="457"/>
      <c r="BN449" s="457"/>
      <c r="BO449" s="457"/>
      <c r="BP449" s="457"/>
      <c r="BQ449" s="457"/>
      <c r="BR449" s="457"/>
      <c r="BS449" s="457"/>
      <c r="BT449" s="457"/>
      <c r="BU449" s="457"/>
      <c r="BV449" s="457"/>
      <c r="BW449" s="457"/>
      <c r="BX449" s="457"/>
      <c r="BY449" s="457"/>
      <c r="BZ449" s="457"/>
      <c r="CA449" s="457"/>
      <c r="CB449" s="457"/>
      <c r="CC449" s="457"/>
      <c r="CD449" s="457"/>
      <c r="CE449" s="457"/>
      <c r="CF449" s="457"/>
      <c r="CG449" s="457"/>
      <c r="CH449" s="457"/>
      <c r="CI449" s="457"/>
      <c r="CJ449" s="457"/>
      <c r="CK449" s="457"/>
      <c r="CL449" s="457"/>
      <c r="CM449" s="457"/>
      <c r="CN449" s="457"/>
      <c r="CO449" s="457"/>
      <c r="CP449" s="457"/>
      <c r="CQ449" s="457"/>
      <c r="CR449" s="457"/>
      <c r="CS449" s="457"/>
      <c r="CT449" s="457"/>
      <c r="CU449" s="457"/>
      <c r="CV449" s="457"/>
      <c r="CW449" s="457"/>
      <c r="CX449" s="457"/>
      <c r="CY449" s="457"/>
      <c r="CZ449" s="457"/>
      <c r="DA449" s="457"/>
      <c r="DB449" s="457"/>
      <c r="DC449" s="457"/>
      <c r="DD449" s="457"/>
      <c r="DE449" s="457"/>
      <c r="DF449" s="457"/>
      <c r="DG449" s="457"/>
      <c r="DH449" s="457"/>
      <c r="DI449" s="457"/>
      <c r="DJ449" s="457"/>
      <c r="DK449" s="457"/>
      <c r="DL449" s="457"/>
      <c r="DM449" s="457"/>
      <c r="DN449" s="457"/>
      <c r="DO449" s="457"/>
      <c r="DP449" s="457"/>
      <c r="DQ449" s="457"/>
      <c r="DR449" s="457"/>
      <c r="DS449" s="457"/>
      <c r="DT449" s="457"/>
      <c r="DU449" s="457"/>
      <c r="DV449" s="457"/>
      <c r="DW449" s="457"/>
      <c r="DX449" s="457"/>
      <c r="DY449" s="457"/>
      <c r="DZ449" s="457"/>
      <c r="EA449" s="457"/>
      <c r="EB449" s="457"/>
      <c r="EC449" s="457"/>
      <c r="ED449" s="457"/>
      <c r="EE449" s="457"/>
      <c r="EF449" s="457"/>
      <c r="EG449" s="457"/>
      <c r="EH449" s="457"/>
      <c r="EI449" s="457"/>
      <c r="EJ449" s="457"/>
      <c r="EK449" s="457"/>
      <c r="EL449" s="457"/>
      <c r="EM449" s="457"/>
      <c r="EN449" s="457"/>
      <c r="EO449" s="457"/>
      <c r="EP449" s="457"/>
      <c r="EQ449" s="457"/>
      <c r="ER449" s="457"/>
      <c r="ES449" s="457"/>
      <c r="ET449" s="457"/>
      <c r="EU449" s="457"/>
      <c r="EV449" s="457"/>
      <c r="EW449" s="457"/>
      <c r="EX449" s="457"/>
      <c r="EY449" s="457"/>
      <c r="EZ449" s="457"/>
      <c r="FA449" s="457"/>
      <c r="FB449" s="457"/>
      <c r="FC449" s="457"/>
      <c r="FD449" s="457"/>
      <c r="FE449" s="457"/>
      <c r="FF449" s="457"/>
      <c r="FG449" s="457"/>
      <c r="FH449" s="457"/>
      <c r="FI449" s="457"/>
      <c r="FJ449" s="457"/>
      <c r="FK449" s="457"/>
      <c r="FL449" s="457"/>
      <c r="FM449" s="457"/>
      <c r="FN449" s="457"/>
      <c r="FO449" s="457"/>
      <c r="FP449" s="457"/>
      <c r="FQ449" s="457"/>
      <c r="FR449" s="457"/>
      <c r="FS449" s="457"/>
      <c r="FT449" s="457"/>
      <c r="FU449" s="457"/>
      <c r="FV449" s="457"/>
      <c r="FW449" s="457"/>
      <c r="FX449" s="457"/>
      <c r="FY449" s="457"/>
      <c r="FZ449" s="457"/>
      <c r="GA449" s="457"/>
      <c r="GB449" s="457"/>
      <c r="GC449" s="457"/>
      <c r="GD449" s="457"/>
      <c r="GE449" s="457"/>
      <c r="GF449" s="457"/>
      <c r="GG449" s="457"/>
      <c r="GH449" s="457"/>
      <c r="GI449" s="457"/>
      <c r="GJ449" s="457"/>
      <c r="GK449" s="457"/>
      <c r="GL449" s="457"/>
      <c r="GM449" s="457"/>
      <c r="GN449" s="457"/>
      <c r="GO449" s="457"/>
      <c r="GP449" s="457"/>
      <c r="GQ449" s="457"/>
      <c r="GR449" s="457"/>
      <c r="GS449" s="457"/>
      <c r="GT449" s="457"/>
      <c r="GU449" s="457"/>
      <c r="GV449" s="457"/>
      <c r="GW449" s="457"/>
      <c r="GX449" s="457"/>
      <c r="GY449" s="457"/>
      <c r="GZ449" s="457"/>
      <c r="HA449" s="457"/>
      <c r="HB449" s="457"/>
      <c r="HC449" s="457"/>
      <c r="HD449" s="457"/>
      <c r="HE449" s="457"/>
      <c r="HF449" s="457"/>
      <c r="HG449" s="457"/>
      <c r="HH449" s="457"/>
      <c r="HI449" s="457"/>
      <c r="HJ449" s="457"/>
      <c r="HK449" s="457"/>
      <c r="HL449" s="457"/>
      <c r="HM449" s="457"/>
      <c r="HN449" s="457"/>
      <c r="HO449" s="457"/>
      <c r="HP449" s="457"/>
      <c r="HQ449" s="457"/>
      <c r="HR449" s="457"/>
      <c r="HS449" s="457"/>
      <c r="HT449" s="457"/>
      <c r="HU449" s="457"/>
      <c r="HV449" s="457"/>
      <c r="HW449" s="457"/>
      <c r="HX449" s="457"/>
      <c r="HY449" s="457"/>
      <c r="HZ449" s="457"/>
      <c r="IA449" s="457"/>
      <c r="IB449" s="457"/>
      <c r="IC449" s="457"/>
      <c r="ID449" s="457"/>
      <c r="IE449" s="457"/>
      <c r="IF449" s="457"/>
      <c r="IG449" s="457"/>
      <c r="IH449" s="457"/>
      <c r="II449" s="457"/>
      <c r="IJ449" s="457"/>
      <c r="IK449" s="457"/>
      <c r="IL449" s="457"/>
      <c r="IM449" s="457"/>
      <c r="IN449" s="457"/>
      <c r="IO449" s="457"/>
      <c r="IP449" s="457"/>
      <c r="IQ449" s="457"/>
      <c r="IR449" s="457"/>
      <c r="IS449" s="457"/>
      <c r="IT449" s="457"/>
      <c r="IU449" s="457"/>
      <c r="IV449" s="457"/>
      <c r="IW449" s="457"/>
      <c r="IX449" s="457"/>
      <c r="IY449" s="457"/>
      <c r="IZ449" s="457"/>
      <c r="JA449" s="457"/>
      <c r="JB449" s="457"/>
      <c r="JC449" s="457"/>
      <c r="JD449" s="457"/>
      <c r="JE449" s="457"/>
      <c r="JF449" s="457"/>
      <c r="JG449" s="457"/>
      <c r="JH449" s="457"/>
      <c r="JI449" s="457"/>
      <c r="JJ449" s="457"/>
      <c r="JK449" s="457"/>
      <c r="JL449" s="457"/>
      <c r="JM449" s="457"/>
      <c r="JN449" s="457"/>
      <c r="JO449" s="457"/>
      <c r="JP449" s="457"/>
      <c r="JQ449" s="457"/>
      <c r="JR449" s="457"/>
      <c r="JS449" s="457"/>
      <c r="JT449" s="457"/>
      <c r="JU449" s="457"/>
      <c r="JV449" s="457"/>
      <c r="JW449" s="457"/>
      <c r="JX449" s="457"/>
      <c r="JY449" s="457"/>
      <c r="JZ449" s="457"/>
      <c r="KA449" s="457"/>
      <c r="KB449" s="457"/>
      <c r="KC449" s="457"/>
      <c r="KD449" s="457"/>
      <c r="KE449" s="457"/>
      <c r="KF449" s="457"/>
      <c r="KG449" s="457"/>
      <c r="KH449" s="457"/>
      <c r="KI449" s="457"/>
      <c r="KJ449" s="457"/>
      <c r="KK449" s="457"/>
      <c r="KL449" s="457"/>
      <c r="KM449" s="457"/>
      <c r="KN449" s="457"/>
      <c r="KO449" s="457"/>
      <c r="KP449" s="457"/>
      <c r="KQ449" s="457"/>
      <c r="KR449" s="457"/>
      <c r="KS449" s="457"/>
      <c r="KT449" s="457"/>
      <c r="KU449" s="457"/>
      <c r="KV449" s="457"/>
      <c r="KW449" s="457"/>
      <c r="KX449" s="457"/>
      <c r="KY449" s="457"/>
      <c r="KZ449" s="457"/>
      <c r="LA449" s="457"/>
      <c r="LB449" s="457"/>
      <c r="LC449" s="457"/>
      <c r="LD449" s="457"/>
      <c r="LE449" s="457"/>
      <c r="LF449" s="457"/>
      <c r="LG449" s="457"/>
      <c r="LH449" s="457"/>
      <c r="LI449" s="457"/>
      <c r="LJ449" s="457"/>
      <c r="LK449" s="457"/>
      <c r="LL449" s="457"/>
      <c r="LM449" s="457"/>
      <c r="LN449" s="457"/>
      <c r="LO449" s="457"/>
      <c r="LP449" s="457"/>
      <c r="LQ449" s="457"/>
      <c r="LR449" s="457"/>
      <c r="LS449" s="457"/>
      <c r="LT449" s="457"/>
      <c r="LU449" s="457"/>
      <c r="LV449" s="457"/>
      <c r="LW449" s="457"/>
      <c r="LX449" s="457"/>
      <c r="LY449" s="457"/>
      <c r="LZ449" s="457"/>
      <c r="MA449" s="457"/>
      <c r="MB449" s="457"/>
      <c r="MC449" s="457"/>
      <c r="MD449" s="457"/>
      <c r="ME449" s="457"/>
      <c r="MF449" s="457"/>
      <c r="MG449" s="457"/>
      <c r="MH449" s="457"/>
      <c r="MI449" s="457"/>
      <c r="MJ449" s="457"/>
      <c r="MK449" s="457"/>
      <c r="ML449" s="457"/>
      <c r="MM449" s="457"/>
      <c r="MN449" s="457"/>
      <c r="MO449" s="457"/>
      <c r="MP449" s="457"/>
      <c r="MQ449" s="457"/>
      <c r="MR449" s="457"/>
      <c r="MS449" s="457"/>
      <c r="MT449" s="457"/>
      <c r="MU449" s="457"/>
      <c r="MV449" s="457"/>
      <c r="MW449" s="457"/>
      <c r="MX449" s="457"/>
      <c r="MY449" s="457"/>
      <c r="MZ449" s="457"/>
      <c r="NA449" s="457"/>
      <c r="NB449" s="457"/>
      <c r="NC449" s="457"/>
      <c r="ND449" s="457"/>
      <c r="NE449" s="457"/>
      <c r="NF449" s="457"/>
      <c r="NG449" s="457"/>
      <c r="NH449" s="457"/>
      <c r="NI449" s="457"/>
      <c r="NJ449" s="457"/>
      <c r="NK449" s="457"/>
      <c r="NL449" s="457"/>
      <c r="NM449" s="457"/>
      <c r="NN449" s="457"/>
      <c r="NO449" s="457"/>
      <c r="NP449" s="457"/>
      <c r="NQ449" s="457"/>
      <c r="NR449" s="457"/>
      <c r="NS449" s="457"/>
      <c r="NT449" s="457"/>
      <c r="NU449" s="457"/>
      <c r="NV449" s="457"/>
      <c r="NW449" s="457"/>
      <c r="NX449" s="457"/>
      <c r="NY449" s="457"/>
      <c r="NZ449" s="457"/>
      <c r="OA449" s="457"/>
      <c r="OB449" s="457"/>
      <c r="OC449" s="457"/>
      <c r="OD449" s="457"/>
      <c r="OE449" s="457"/>
      <c r="OF449" s="457"/>
      <c r="OG449" s="457"/>
      <c r="OH449" s="457"/>
      <c r="OI449" s="457"/>
      <c r="OJ449" s="457"/>
      <c r="OK449" s="457"/>
      <c r="OL449" s="457"/>
      <c r="OM449" s="457"/>
      <c r="ON449" s="457"/>
      <c r="OO449" s="457"/>
      <c r="OP449" s="457"/>
      <c r="OQ449" s="457"/>
      <c r="OR449" s="457"/>
      <c r="OS449" s="457"/>
      <c r="OT449" s="457"/>
      <c r="OU449" s="457"/>
      <c r="OV449" s="457"/>
      <c r="OW449" s="457"/>
      <c r="OX449" s="457"/>
      <c r="OY449" s="457"/>
      <c r="OZ449" s="457"/>
      <c r="PA449" s="457"/>
      <c r="PB449" s="457"/>
      <c r="PC449" s="457"/>
      <c r="PD449" s="457"/>
      <c r="PE449" s="457"/>
      <c r="PF449" s="457"/>
      <c r="PG449" s="457"/>
      <c r="PH449" s="457"/>
      <c r="PI449" s="457"/>
      <c r="PJ449" s="457"/>
      <c r="PK449" s="457"/>
      <c r="PL449" s="457"/>
      <c r="PM449" s="457"/>
      <c r="PN449" s="457"/>
      <c r="PO449" s="457"/>
      <c r="PP449" s="457"/>
      <c r="PQ449" s="457"/>
      <c r="PR449" s="457"/>
      <c r="PS449" s="457"/>
      <c r="PT449" s="457"/>
      <c r="PU449" s="457"/>
      <c r="PV449" s="457"/>
      <c r="PW449" s="457"/>
      <c r="PX449" s="457"/>
      <c r="PY449" s="457"/>
      <c r="PZ449" s="457"/>
      <c r="QA449" s="457"/>
      <c r="QB449" s="457"/>
      <c r="QC449" s="457"/>
      <c r="QD449" s="457"/>
      <c r="QE449" s="457"/>
      <c r="QF449" s="457"/>
      <c r="QG449" s="457"/>
      <c r="QH449" s="457"/>
      <c r="QI449" s="457"/>
      <c r="QJ449" s="457"/>
      <c r="QK449" s="457"/>
      <c r="QL449" s="457"/>
      <c r="QM449" s="457"/>
      <c r="QN449" s="457"/>
      <c r="QO449" s="457"/>
      <c r="QP449" s="457"/>
      <c r="QQ449" s="457"/>
      <c r="QR449" s="457"/>
      <c r="QS449" s="457"/>
      <c r="QT449" s="457"/>
      <c r="QU449" s="457"/>
      <c r="QV449" s="457"/>
      <c r="QW449" s="457"/>
      <c r="QX449" s="457"/>
      <c r="QY449" s="457"/>
      <c r="QZ449" s="457"/>
      <c r="RA449" s="457"/>
      <c r="RB449" s="457"/>
      <c r="RC449" s="457"/>
      <c r="RD449" s="457"/>
      <c r="RE449" s="457"/>
      <c r="RF449" s="457"/>
      <c r="RG449" s="457"/>
      <c r="RH449" s="457"/>
      <c r="RI449" s="457"/>
      <c r="RJ449" s="457"/>
      <c r="RK449" s="457"/>
      <c r="RL449" s="457"/>
      <c r="RM449" s="457"/>
      <c r="RN449" s="457"/>
      <c r="RO449" s="457"/>
      <c r="RP449" s="457"/>
      <c r="RQ449" s="457"/>
      <c r="RR449" s="457"/>
      <c r="RS449" s="457"/>
      <c r="RT449" s="457"/>
      <c r="RU449" s="457"/>
      <c r="RV449" s="457"/>
      <c r="RW449" s="457"/>
      <c r="RX449" s="457"/>
      <c r="RY449" s="457"/>
      <c r="RZ449" s="457"/>
      <c r="SA449" s="457"/>
      <c r="SB449" s="457"/>
      <c r="SC449" s="457"/>
      <c r="SD449" s="457"/>
      <c r="SE449" s="457"/>
      <c r="SF449" s="457"/>
      <c r="SG449" s="457"/>
      <c r="SH449" s="457"/>
      <c r="SI449" s="457"/>
      <c r="SJ449" s="457"/>
      <c r="SK449" s="457"/>
      <c r="SL449" s="457"/>
      <c r="SM449" s="457"/>
      <c r="SN449" s="457"/>
      <c r="SO449" s="457"/>
      <c r="SP449" s="457"/>
      <c r="SQ449" s="457"/>
      <c r="SR449" s="457"/>
      <c r="SS449" s="457"/>
      <c r="ST449" s="457"/>
      <c r="SU449" s="457"/>
      <c r="SV449" s="457"/>
      <c r="SW449" s="457"/>
      <c r="SX449" s="457"/>
      <c r="SY449" s="457"/>
      <c r="SZ449" s="457"/>
      <c r="TA449" s="457"/>
      <c r="TB449" s="457"/>
      <c r="TC449" s="457"/>
      <c r="TD449" s="457"/>
      <c r="TE449" s="457"/>
      <c r="TF449" s="457"/>
      <c r="TG449" s="457"/>
      <c r="TH449" s="457"/>
      <c r="TI449" s="457"/>
      <c r="TJ449" s="457"/>
      <c r="TK449" s="457"/>
      <c r="TL449" s="457"/>
      <c r="TM449" s="457"/>
      <c r="TN449" s="457"/>
      <c r="TO449" s="457"/>
      <c r="TP449" s="457"/>
      <c r="TQ449" s="457"/>
      <c r="TR449" s="457"/>
      <c r="TS449" s="457"/>
      <c r="TT449" s="457"/>
      <c r="TU449" s="457"/>
      <c r="TV449" s="457"/>
      <c r="TW449" s="457"/>
      <c r="TX449" s="457"/>
      <c r="TY449" s="457"/>
      <c r="TZ449" s="457"/>
      <c r="UA449" s="457"/>
      <c r="UB449" s="457"/>
      <c r="UC449" s="457"/>
      <c r="UD449" s="457"/>
      <c r="UE449" s="457"/>
      <c r="UF449" s="457"/>
      <c r="UG449" s="457"/>
      <c r="UH449" s="457"/>
      <c r="UI449" s="457"/>
      <c r="UJ449" s="457"/>
      <c r="UK449" s="457"/>
      <c r="UL449" s="457"/>
      <c r="UM449" s="457"/>
      <c r="UN449" s="457"/>
      <c r="UO449" s="457"/>
      <c r="UP449" s="457"/>
      <c r="UQ449" s="457"/>
      <c r="UR449" s="457"/>
      <c r="US449" s="457"/>
      <c r="UT449" s="457"/>
      <c r="UU449" s="457"/>
      <c r="UV449" s="457"/>
      <c r="UW449" s="457"/>
      <c r="UX449" s="457"/>
      <c r="UY449" s="457"/>
      <c r="UZ449" s="457"/>
      <c r="VA449" s="457"/>
      <c r="VB449" s="457"/>
      <c r="VC449" s="457"/>
      <c r="VD449" s="457"/>
      <c r="VE449" s="457"/>
      <c r="VF449" s="457"/>
      <c r="VG449" s="457"/>
      <c r="VH449" s="457"/>
      <c r="VI449" s="457"/>
      <c r="VJ449" s="457"/>
      <c r="VK449" s="457"/>
      <c r="VL449" s="457"/>
      <c r="VM449" s="457"/>
      <c r="VN449" s="457"/>
      <c r="VO449" s="457"/>
      <c r="VP449" s="457"/>
      <c r="VQ449" s="457"/>
      <c r="VR449" s="457"/>
      <c r="VS449" s="457"/>
      <c r="VT449" s="457"/>
      <c r="VU449" s="457"/>
      <c r="VV449" s="457"/>
      <c r="VW449" s="457"/>
      <c r="VX449" s="457"/>
      <c r="VY449" s="457"/>
      <c r="VZ449" s="457"/>
      <c r="WA449" s="457"/>
      <c r="WB449" s="457"/>
      <c r="WC449" s="457"/>
      <c r="WD449" s="457"/>
      <c r="WE449" s="457"/>
      <c r="WF449" s="457"/>
      <c r="WG449" s="457"/>
      <c r="WH449" s="457"/>
      <c r="WI449" s="457"/>
      <c r="WJ449" s="457"/>
      <c r="WK449" s="457"/>
      <c r="WL449" s="457"/>
      <c r="WM449" s="457"/>
      <c r="WN449" s="457"/>
      <c r="WO449" s="457"/>
      <c r="WP449" s="457"/>
      <c r="WQ449" s="457"/>
      <c r="WR449" s="457"/>
      <c r="WS449" s="457"/>
      <c r="WT449" s="457"/>
      <c r="WU449" s="457"/>
      <c r="WV449" s="457"/>
      <c r="WW449" s="457"/>
      <c r="WX449" s="457"/>
      <c r="WY449" s="457"/>
      <c r="WZ449" s="457"/>
      <c r="XA449" s="457"/>
      <c r="XB449" s="457"/>
      <c r="XC449" s="457"/>
      <c r="XD449" s="457"/>
      <c r="XE449" s="457"/>
      <c r="XF449" s="457"/>
      <c r="XG449" s="457"/>
      <c r="XH449" s="457"/>
      <c r="XI449" s="457"/>
      <c r="XJ449" s="457"/>
      <c r="XK449" s="457"/>
      <c r="XL449" s="457"/>
      <c r="XM449" s="457"/>
      <c r="XN449" s="457"/>
      <c r="XO449" s="457"/>
      <c r="XP449" s="457"/>
      <c r="XQ449" s="457"/>
      <c r="XR449" s="457"/>
      <c r="XS449" s="457"/>
      <c r="XT449" s="457"/>
      <c r="XU449" s="457"/>
      <c r="XV449" s="457"/>
      <c r="XW449" s="457"/>
      <c r="XX449" s="457"/>
      <c r="XY449" s="457"/>
      <c r="XZ449" s="457"/>
      <c r="YA449" s="457"/>
      <c r="YB449" s="457"/>
      <c r="YC449" s="457"/>
      <c r="YD449" s="457"/>
      <c r="YE449" s="457"/>
      <c r="YF449" s="457"/>
      <c r="YG449" s="457"/>
      <c r="YH449" s="457"/>
      <c r="YI449" s="457"/>
      <c r="YJ449" s="457"/>
      <c r="YK449" s="457"/>
      <c r="YL449" s="457"/>
      <c r="YM449" s="457"/>
      <c r="YN449" s="457"/>
      <c r="YO449" s="457"/>
      <c r="YP449" s="457"/>
      <c r="YQ449" s="457"/>
      <c r="YR449" s="457"/>
      <c r="YS449" s="457"/>
      <c r="YT449" s="457"/>
      <c r="YU449" s="457"/>
      <c r="YV449" s="457"/>
      <c r="YW449" s="457"/>
      <c r="YX449" s="457"/>
      <c r="YY449" s="457"/>
      <c r="YZ449" s="457"/>
      <c r="ZA449" s="457"/>
      <c r="ZB449" s="457"/>
      <c r="ZC449" s="457"/>
      <c r="ZD449" s="457"/>
      <c r="ZE449" s="457"/>
      <c r="ZF449" s="457"/>
      <c r="ZG449" s="457"/>
      <c r="ZH449" s="457"/>
      <c r="ZI449" s="457"/>
      <c r="ZJ449" s="457"/>
      <c r="ZK449" s="457"/>
      <c r="ZL449" s="457"/>
      <c r="ZM449" s="457"/>
      <c r="ZN449" s="457"/>
      <c r="ZO449" s="457"/>
      <c r="ZP449" s="457"/>
      <c r="ZQ449" s="457"/>
      <c r="ZR449" s="457"/>
      <c r="ZS449" s="457"/>
      <c r="ZT449" s="457"/>
      <c r="ZU449" s="457"/>
      <c r="ZV449" s="457"/>
      <c r="ZW449" s="457"/>
      <c r="ZX449" s="457"/>
      <c r="ZY449" s="457"/>
      <c r="ZZ449" s="457"/>
      <c r="AAA449" s="457"/>
      <c r="AAB449" s="457"/>
      <c r="AAC449" s="457"/>
      <c r="AAD449" s="457"/>
      <c r="AAE449" s="457"/>
      <c r="AAF449" s="457"/>
      <c r="AAG449" s="457"/>
      <c r="AAH449" s="457"/>
      <c r="AAI449" s="457"/>
      <c r="AAJ449" s="457"/>
      <c r="AAK449" s="457"/>
      <c r="AAL449" s="457"/>
      <c r="AAM449" s="457"/>
      <c r="AAN449" s="457"/>
      <c r="AAO449" s="457"/>
      <c r="AAP449" s="457"/>
      <c r="AAQ449" s="457"/>
      <c r="AAR449" s="457"/>
      <c r="AAS449" s="457"/>
      <c r="AAT449" s="457"/>
      <c r="AAU449" s="457"/>
      <c r="AAV449" s="457"/>
      <c r="AAW449" s="457"/>
      <c r="AAX449" s="457"/>
      <c r="AAY449" s="457"/>
      <c r="AAZ449" s="457"/>
      <c r="ABA449" s="457"/>
      <c r="ABB449" s="457"/>
      <c r="ABC449" s="457"/>
      <c r="ABD449" s="457"/>
      <c r="ABE449" s="457"/>
      <c r="ABF449" s="457"/>
      <c r="ABG449" s="457"/>
      <c r="ABH449" s="457"/>
      <c r="ABI449" s="457"/>
      <c r="ABJ449" s="457"/>
      <c r="ABK449" s="457"/>
      <c r="ABL449" s="457"/>
      <c r="ABM449" s="457"/>
      <c r="ABN449" s="457"/>
      <c r="ABO449" s="457"/>
      <c r="ABP449" s="457"/>
      <c r="ABQ449" s="457"/>
      <c r="ABR449" s="457"/>
      <c r="ABS449" s="457"/>
      <c r="ABT449" s="457"/>
      <c r="ABU449" s="457"/>
      <c r="ABV449" s="457"/>
      <c r="ABW449" s="457"/>
      <c r="ABX449" s="457"/>
      <c r="ABY449" s="457"/>
      <c r="ABZ449" s="457"/>
      <c r="ACA449" s="457"/>
      <c r="ACB449" s="457"/>
      <c r="ACC449" s="457"/>
      <c r="ACD449" s="457"/>
      <c r="ACE449" s="457"/>
      <c r="ACF449" s="457"/>
      <c r="ACG449" s="457"/>
      <c r="ACH449" s="457"/>
      <c r="ACI449" s="457"/>
      <c r="ACJ449" s="457"/>
      <c r="ACK449" s="457"/>
      <c r="ACL449" s="457"/>
      <c r="ACM449" s="457"/>
      <c r="ACN449" s="457"/>
      <c r="ACO449" s="457"/>
      <c r="ACP449" s="457"/>
      <c r="ACQ449" s="457"/>
      <c r="ACR449" s="457"/>
      <c r="ACS449" s="457"/>
      <c r="ACT449" s="457"/>
      <c r="ACU449" s="457"/>
      <c r="ACV449" s="457"/>
    </row>
    <row r="450" spans="1:776" s="400" customFormat="1" x14ac:dyDescent="0.25">
      <c r="A450" s="470">
        <v>900163</v>
      </c>
      <c r="B450" s="237" t="s">
        <v>368</v>
      </c>
      <c r="C450" s="455"/>
      <c r="D450" s="454" t="s">
        <v>369</v>
      </c>
      <c r="E450" s="454">
        <v>0.51900000000000002</v>
      </c>
      <c r="F450" s="458">
        <v>70.3</v>
      </c>
      <c r="G450" s="454">
        <v>0</v>
      </c>
      <c r="H450" s="454">
        <v>0.19</v>
      </c>
      <c r="I450" s="456">
        <v>26.8</v>
      </c>
      <c r="J450" s="454">
        <v>4.0599999999999996</v>
      </c>
      <c r="K450" s="454">
        <v>0</v>
      </c>
      <c r="L450" s="456">
        <v>271.2</v>
      </c>
      <c r="M450" s="454">
        <v>0</v>
      </c>
      <c r="N450" s="454">
        <v>2.16</v>
      </c>
      <c r="O450" s="454">
        <v>13.84</v>
      </c>
      <c r="P450" s="454">
        <v>54.63</v>
      </c>
      <c r="Q450" s="454">
        <v>34.65</v>
      </c>
      <c r="R450" s="454">
        <v>9.9999999999999995E-7</v>
      </c>
      <c r="S450" s="454">
        <v>0.01</v>
      </c>
      <c r="T450" s="454">
        <v>9.9999999999999995E-7</v>
      </c>
      <c r="U450" s="454">
        <v>9.9999999999999995E-7</v>
      </c>
      <c r="V450" s="454"/>
      <c r="W450" s="457"/>
      <c r="X450" s="457"/>
      <c r="Y450" s="457"/>
      <c r="Z450" s="457"/>
      <c r="AA450" s="457"/>
      <c r="AB450" s="457"/>
      <c r="AC450" s="457"/>
      <c r="AD450" s="457"/>
      <c r="AE450" s="457"/>
      <c r="AF450" s="457"/>
      <c r="AG450" s="457"/>
      <c r="AH450" s="457"/>
      <c r="AI450" s="457"/>
      <c r="AJ450" s="457"/>
      <c r="AK450" s="457"/>
      <c r="AL450" s="457"/>
      <c r="AM450" s="457"/>
      <c r="AN450" s="457"/>
      <c r="AO450" s="457"/>
      <c r="AP450" s="457"/>
      <c r="AQ450" s="457"/>
      <c r="AR450" s="457"/>
      <c r="AS450" s="457"/>
      <c r="AT450" s="457"/>
      <c r="AU450" s="457"/>
      <c r="AV450" s="457"/>
      <c r="AW450" s="457"/>
      <c r="AX450" s="457"/>
      <c r="AY450" s="457"/>
      <c r="AZ450" s="457"/>
      <c r="BA450" s="457"/>
      <c r="BB450" s="457"/>
      <c r="BC450" s="457"/>
      <c r="BD450" s="457"/>
      <c r="BE450" s="457"/>
      <c r="BF450" s="457"/>
      <c r="BG450" s="457"/>
      <c r="BH450" s="457"/>
      <c r="BI450" s="457"/>
      <c r="BJ450" s="457"/>
      <c r="BK450" s="457"/>
      <c r="BL450" s="457"/>
      <c r="BM450" s="457"/>
      <c r="BN450" s="457"/>
      <c r="BO450" s="457"/>
      <c r="BP450" s="457"/>
      <c r="BQ450" s="457"/>
      <c r="BR450" s="457"/>
      <c r="BS450" s="457"/>
      <c r="BT450" s="457"/>
      <c r="BU450" s="457"/>
      <c r="BV450" s="457"/>
      <c r="BW450" s="457"/>
      <c r="BX450" s="457"/>
      <c r="BY450" s="457"/>
      <c r="BZ450" s="457"/>
      <c r="CA450" s="457"/>
      <c r="CB450" s="457"/>
      <c r="CC450" s="457"/>
      <c r="CD450" s="457"/>
      <c r="CE450" s="457"/>
      <c r="CF450" s="457"/>
      <c r="CG450" s="457"/>
      <c r="CH450" s="457"/>
      <c r="CI450" s="457"/>
      <c r="CJ450" s="457"/>
      <c r="CK450" s="457"/>
      <c r="CL450" s="457"/>
      <c r="CM450" s="457"/>
      <c r="CN450" s="457"/>
      <c r="CO450" s="457"/>
      <c r="CP450" s="457"/>
      <c r="CQ450" s="457"/>
      <c r="CR450" s="457"/>
      <c r="CS450" s="457"/>
      <c r="CT450" s="457"/>
      <c r="CU450" s="457"/>
      <c r="CV450" s="457"/>
      <c r="CW450" s="457"/>
      <c r="CX450" s="457"/>
      <c r="CY450" s="457"/>
      <c r="CZ450" s="457"/>
      <c r="DA450" s="457"/>
      <c r="DB450" s="457"/>
      <c r="DC450" s="457"/>
      <c r="DD450" s="457"/>
      <c r="DE450" s="457"/>
      <c r="DF450" s="457"/>
      <c r="DG450" s="457"/>
      <c r="DH450" s="457"/>
      <c r="DI450" s="457"/>
      <c r="DJ450" s="457"/>
      <c r="DK450" s="457"/>
      <c r="DL450" s="457"/>
      <c r="DM450" s="457"/>
      <c r="DN450" s="457"/>
      <c r="DO450" s="457"/>
      <c r="DP450" s="457"/>
      <c r="DQ450" s="457"/>
      <c r="DR450" s="457"/>
      <c r="DS450" s="457"/>
      <c r="DT450" s="457"/>
      <c r="DU450" s="457"/>
      <c r="DV450" s="457"/>
      <c r="DW450" s="457"/>
      <c r="DX450" s="457"/>
      <c r="DY450" s="457"/>
      <c r="DZ450" s="457"/>
      <c r="EA450" s="457"/>
      <c r="EB450" s="457"/>
      <c r="EC450" s="457"/>
      <c r="ED450" s="457"/>
      <c r="EE450" s="457"/>
      <c r="EF450" s="457"/>
      <c r="EG450" s="457"/>
      <c r="EH450" s="457"/>
      <c r="EI450" s="457"/>
      <c r="EJ450" s="457"/>
      <c r="EK450" s="457"/>
      <c r="EL450" s="457"/>
      <c r="EM450" s="457"/>
      <c r="EN450" s="457"/>
      <c r="EO450" s="457"/>
      <c r="EP450" s="457"/>
      <c r="EQ450" s="457"/>
      <c r="ER450" s="457"/>
      <c r="ES450" s="457"/>
      <c r="ET450" s="457"/>
      <c r="EU450" s="457"/>
      <c r="EV450" s="457"/>
      <c r="EW450" s="457"/>
      <c r="EX450" s="457"/>
      <c r="EY450" s="457"/>
      <c r="EZ450" s="457"/>
      <c r="FA450" s="457"/>
      <c r="FB450" s="457"/>
      <c r="FC450" s="457"/>
      <c r="FD450" s="457"/>
      <c r="FE450" s="457"/>
      <c r="FF450" s="457"/>
      <c r="FG450" s="457"/>
      <c r="FH450" s="457"/>
      <c r="FI450" s="457"/>
      <c r="FJ450" s="457"/>
      <c r="FK450" s="457"/>
      <c r="FL450" s="457"/>
      <c r="FM450" s="457"/>
      <c r="FN450" s="457"/>
      <c r="FO450" s="457"/>
      <c r="FP450" s="457"/>
      <c r="FQ450" s="457"/>
      <c r="FR450" s="457"/>
      <c r="FS450" s="457"/>
      <c r="FT450" s="457"/>
      <c r="FU450" s="457"/>
      <c r="FV450" s="457"/>
      <c r="FW450" s="457"/>
      <c r="FX450" s="457"/>
      <c r="FY450" s="457"/>
      <c r="FZ450" s="457"/>
      <c r="GA450" s="457"/>
      <c r="GB450" s="457"/>
      <c r="GC450" s="457"/>
      <c r="GD450" s="457"/>
      <c r="GE450" s="457"/>
      <c r="GF450" s="457"/>
      <c r="GG450" s="457"/>
      <c r="GH450" s="457"/>
      <c r="GI450" s="457"/>
      <c r="GJ450" s="457"/>
      <c r="GK450" s="457"/>
      <c r="GL450" s="457"/>
      <c r="GM450" s="457"/>
      <c r="GN450" s="457"/>
      <c r="GO450" s="457"/>
      <c r="GP450" s="457"/>
      <c r="GQ450" s="457"/>
      <c r="GR450" s="457"/>
      <c r="GS450" s="457"/>
      <c r="GT450" s="457"/>
      <c r="GU450" s="457"/>
      <c r="GV450" s="457"/>
      <c r="GW450" s="457"/>
      <c r="GX450" s="457"/>
      <c r="GY450" s="457"/>
      <c r="GZ450" s="457"/>
      <c r="HA450" s="457"/>
      <c r="HB450" s="457"/>
      <c r="HC450" s="457"/>
      <c r="HD450" s="457"/>
      <c r="HE450" s="457"/>
      <c r="HF450" s="457"/>
      <c r="HG450" s="457"/>
      <c r="HH450" s="457"/>
      <c r="HI450" s="457"/>
      <c r="HJ450" s="457"/>
      <c r="HK450" s="457"/>
      <c r="HL450" s="457"/>
      <c r="HM450" s="457"/>
      <c r="HN450" s="457"/>
      <c r="HO450" s="457"/>
      <c r="HP450" s="457"/>
      <c r="HQ450" s="457"/>
      <c r="HR450" s="457"/>
      <c r="HS450" s="457"/>
      <c r="HT450" s="457"/>
      <c r="HU450" s="457"/>
      <c r="HV450" s="457"/>
      <c r="HW450" s="457"/>
      <c r="HX450" s="457"/>
      <c r="HY450" s="457"/>
      <c r="HZ450" s="457"/>
      <c r="IA450" s="457"/>
      <c r="IB450" s="457"/>
      <c r="IC450" s="457"/>
      <c r="ID450" s="457"/>
      <c r="IE450" s="457"/>
      <c r="IF450" s="457"/>
      <c r="IG450" s="457"/>
      <c r="IH450" s="457"/>
      <c r="II450" s="457"/>
      <c r="IJ450" s="457"/>
      <c r="IK450" s="457"/>
      <c r="IL450" s="457"/>
      <c r="IM450" s="457"/>
      <c r="IN450" s="457"/>
      <c r="IO450" s="457"/>
      <c r="IP450" s="457"/>
      <c r="IQ450" s="457"/>
      <c r="IR450" s="457"/>
      <c r="IS450" s="457"/>
      <c r="IT450" s="457"/>
      <c r="IU450" s="457"/>
      <c r="IV450" s="457"/>
      <c r="IW450" s="457"/>
      <c r="IX450" s="457"/>
      <c r="IY450" s="457"/>
      <c r="IZ450" s="457"/>
      <c r="JA450" s="457"/>
      <c r="JB450" s="457"/>
      <c r="JC450" s="457"/>
      <c r="JD450" s="457"/>
      <c r="JE450" s="457"/>
      <c r="JF450" s="457"/>
      <c r="JG450" s="457"/>
      <c r="JH450" s="457"/>
      <c r="JI450" s="457"/>
      <c r="JJ450" s="457"/>
      <c r="JK450" s="457"/>
      <c r="JL450" s="457"/>
      <c r="JM450" s="457"/>
      <c r="JN450" s="457"/>
      <c r="JO450" s="457"/>
      <c r="JP450" s="457"/>
      <c r="JQ450" s="457"/>
      <c r="JR450" s="457"/>
      <c r="JS450" s="457"/>
      <c r="JT450" s="457"/>
      <c r="JU450" s="457"/>
      <c r="JV450" s="457"/>
      <c r="JW450" s="457"/>
      <c r="JX450" s="457"/>
      <c r="JY450" s="457"/>
      <c r="JZ450" s="457"/>
      <c r="KA450" s="457"/>
      <c r="KB450" s="457"/>
      <c r="KC450" s="457"/>
      <c r="KD450" s="457"/>
      <c r="KE450" s="457"/>
      <c r="KF450" s="457"/>
      <c r="KG450" s="457"/>
      <c r="KH450" s="457"/>
      <c r="KI450" s="457"/>
      <c r="KJ450" s="457"/>
      <c r="KK450" s="457"/>
      <c r="KL450" s="457"/>
      <c r="KM450" s="457"/>
      <c r="KN450" s="457"/>
      <c r="KO450" s="457"/>
      <c r="KP450" s="457"/>
      <c r="KQ450" s="457"/>
      <c r="KR450" s="457"/>
      <c r="KS450" s="457"/>
      <c r="KT450" s="457"/>
      <c r="KU450" s="457"/>
      <c r="KV450" s="457"/>
      <c r="KW450" s="457"/>
      <c r="KX450" s="457"/>
      <c r="KY450" s="457"/>
      <c r="KZ450" s="457"/>
      <c r="LA450" s="457"/>
      <c r="LB450" s="457"/>
      <c r="LC450" s="457"/>
      <c r="LD450" s="457"/>
      <c r="LE450" s="457"/>
      <c r="LF450" s="457"/>
      <c r="LG450" s="457"/>
      <c r="LH450" s="457"/>
      <c r="LI450" s="457"/>
      <c r="LJ450" s="457"/>
      <c r="LK450" s="457"/>
      <c r="LL450" s="457"/>
      <c r="LM450" s="457"/>
      <c r="LN450" s="457"/>
      <c r="LO450" s="457"/>
      <c r="LP450" s="457"/>
      <c r="LQ450" s="457"/>
      <c r="LR450" s="457"/>
      <c r="LS450" s="457"/>
      <c r="LT450" s="457"/>
      <c r="LU450" s="457"/>
      <c r="LV450" s="457"/>
      <c r="LW450" s="457"/>
      <c r="LX450" s="457"/>
      <c r="LY450" s="457"/>
      <c r="LZ450" s="457"/>
      <c r="MA450" s="457"/>
      <c r="MB450" s="457"/>
      <c r="MC450" s="457"/>
      <c r="MD450" s="457"/>
      <c r="ME450" s="457"/>
      <c r="MF450" s="457"/>
      <c r="MG450" s="457"/>
      <c r="MH450" s="457"/>
      <c r="MI450" s="457"/>
      <c r="MJ450" s="457"/>
      <c r="MK450" s="457"/>
      <c r="ML450" s="457"/>
      <c r="MM450" s="457"/>
      <c r="MN450" s="457"/>
      <c r="MO450" s="457"/>
      <c r="MP450" s="457"/>
      <c r="MQ450" s="457"/>
      <c r="MR450" s="457"/>
      <c r="MS450" s="457"/>
      <c r="MT450" s="457"/>
      <c r="MU450" s="457"/>
      <c r="MV450" s="457"/>
      <c r="MW450" s="457"/>
      <c r="MX450" s="457"/>
      <c r="MY450" s="457"/>
      <c r="MZ450" s="457"/>
      <c r="NA450" s="457"/>
      <c r="NB450" s="457"/>
      <c r="NC450" s="457"/>
      <c r="ND450" s="457"/>
      <c r="NE450" s="457"/>
      <c r="NF450" s="457"/>
      <c r="NG450" s="457"/>
      <c r="NH450" s="457"/>
      <c r="NI450" s="457"/>
      <c r="NJ450" s="457"/>
      <c r="NK450" s="457"/>
      <c r="NL450" s="457"/>
      <c r="NM450" s="457"/>
      <c r="NN450" s="457"/>
      <c r="NO450" s="457"/>
      <c r="NP450" s="457"/>
      <c r="NQ450" s="457"/>
      <c r="NR450" s="457"/>
      <c r="NS450" s="457"/>
      <c r="NT450" s="457"/>
      <c r="NU450" s="457"/>
      <c r="NV450" s="457"/>
      <c r="NW450" s="457"/>
      <c r="NX450" s="457"/>
      <c r="NY450" s="457"/>
      <c r="NZ450" s="457"/>
      <c r="OA450" s="457"/>
      <c r="OB450" s="457"/>
      <c r="OC450" s="457"/>
      <c r="OD450" s="457"/>
      <c r="OE450" s="457"/>
      <c r="OF450" s="457"/>
      <c r="OG450" s="457"/>
      <c r="OH450" s="457"/>
      <c r="OI450" s="457"/>
      <c r="OJ450" s="457"/>
      <c r="OK450" s="457"/>
      <c r="OL450" s="457"/>
      <c r="OM450" s="457"/>
      <c r="ON450" s="457"/>
      <c r="OO450" s="457"/>
      <c r="OP450" s="457"/>
      <c r="OQ450" s="457"/>
      <c r="OR450" s="457"/>
      <c r="OS450" s="457"/>
      <c r="OT450" s="457"/>
      <c r="OU450" s="457"/>
      <c r="OV450" s="457"/>
      <c r="OW450" s="457"/>
      <c r="OX450" s="457"/>
      <c r="OY450" s="457"/>
      <c r="OZ450" s="457"/>
      <c r="PA450" s="457"/>
      <c r="PB450" s="457"/>
      <c r="PC450" s="457"/>
      <c r="PD450" s="457"/>
      <c r="PE450" s="457"/>
      <c r="PF450" s="457"/>
      <c r="PG450" s="457"/>
      <c r="PH450" s="457"/>
      <c r="PI450" s="457"/>
      <c r="PJ450" s="457"/>
      <c r="PK450" s="457"/>
      <c r="PL450" s="457"/>
      <c r="PM450" s="457"/>
      <c r="PN450" s="457"/>
      <c r="PO450" s="457"/>
      <c r="PP450" s="457"/>
      <c r="PQ450" s="457"/>
      <c r="PR450" s="457"/>
      <c r="PS450" s="457"/>
      <c r="PT450" s="457"/>
      <c r="PU450" s="457"/>
      <c r="PV450" s="457"/>
      <c r="PW450" s="457"/>
      <c r="PX450" s="457"/>
      <c r="PY450" s="457"/>
      <c r="PZ450" s="457"/>
      <c r="QA450" s="457"/>
      <c r="QB450" s="457"/>
      <c r="QC450" s="457"/>
      <c r="QD450" s="457"/>
      <c r="QE450" s="457"/>
      <c r="QF450" s="457"/>
      <c r="QG450" s="457"/>
      <c r="QH450" s="457"/>
      <c r="QI450" s="457"/>
      <c r="QJ450" s="457"/>
      <c r="QK450" s="457"/>
      <c r="QL450" s="457"/>
      <c r="QM450" s="457"/>
      <c r="QN450" s="457"/>
      <c r="QO450" s="457"/>
      <c r="QP450" s="457"/>
      <c r="QQ450" s="457"/>
      <c r="QR450" s="457"/>
      <c r="QS450" s="457"/>
      <c r="QT450" s="457"/>
      <c r="QU450" s="457"/>
      <c r="QV450" s="457"/>
      <c r="QW450" s="457"/>
      <c r="QX450" s="457"/>
      <c r="QY450" s="457"/>
      <c r="QZ450" s="457"/>
      <c r="RA450" s="457"/>
      <c r="RB450" s="457"/>
      <c r="RC450" s="457"/>
      <c r="RD450" s="457"/>
      <c r="RE450" s="457"/>
      <c r="RF450" s="457"/>
      <c r="RG450" s="457"/>
      <c r="RH450" s="457"/>
      <c r="RI450" s="457"/>
      <c r="RJ450" s="457"/>
      <c r="RK450" s="457"/>
      <c r="RL450" s="457"/>
      <c r="RM450" s="457"/>
      <c r="RN450" s="457"/>
      <c r="RO450" s="457"/>
      <c r="RP450" s="457"/>
      <c r="RQ450" s="457"/>
      <c r="RR450" s="457"/>
      <c r="RS450" s="457"/>
      <c r="RT450" s="457"/>
      <c r="RU450" s="457"/>
      <c r="RV450" s="457"/>
      <c r="RW450" s="457"/>
      <c r="RX450" s="457"/>
      <c r="RY450" s="457"/>
      <c r="RZ450" s="457"/>
      <c r="SA450" s="457"/>
      <c r="SB450" s="457"/>
      <c r="SC450" s="457"/>
      <c r="SD450" s="457"/>
      <c r="SE450" s="457"/>
      <c r="SF450" s="457"/>
      <c r="SG450" s="457"/>
      <c r="SH450" s="457"/>
      <c r="SI450" s="457"/>
      <c r="SJ450" s="457"/>
      <c r="SK450" s="457"/>
      <c r="SL450" s="457"/>
      <c r="SM450" s="457"/>
      <c r="SN450" s="457"/>
      <c r="SO450" s="457"/>
      <c r="SP450" s="457"/>
      <c r="SQ450" s="457"/>
      <c r="SR450" s="457"/>
      <c r="SS450" s="457"/>
      <c r="ST450" s="457"/>
      <c r="SU450" s="457"/>
      <c r="SV450" s="457"/>
      <c r="SW450" s="457"/>
      <c r="SX450" s="457"/>
      <c r="SY450" s="457"/>
      <c r="SZ450" s="457"/>
      <c r="TA450" s="457"/>
      <c r="TB450" s="457"/>
      <c r="TC450" s="457"/>
      <c r="TD450" s="457"/>
      <c r="TE450" s="457"/>
      <c r="TF450" s="457"/>
      <c r="TG450" s="457"/>
      <c r="TH450" s="457"/>
      <c r="TI450" s="457"/>
      <c r="TJ450" s="457"/>
      <c r="TK450" s="457"/>
      <c r="TL450" s="457"/>
      <c r="TM450" s="457"/>
      <c r="TN450" s="457"/>
      <c r="TO450" s="457"/>
      <c r="TP450" s="457"/>
      <c r="TQ450" s="457"/>
      <c r="TR450" s="457"/>
      <c r="TS450" s="457"/>
      <c r="TT450" s="457"/>
      <c r="TU450" s="457"/>
      <c r="TV450" s="457"/>
      <c r="TW450" s="457"/>
      <c r="TX450" s="457"/>
      <c r="TY450" s="457"/>
      <c r="TZ450" s="457"/>
      <c r="UA450" s="457"/>
      <c r="UB450" s="457"/>
      <c r="UC450" s="457"/>
      <c r="UD450" s="457"/>
      <c r="UE450" s="457"/>
      <c r="UF450" s="457"/>
      <c r="UG450" s="457"/>
      <c r="UH450" s="457"/>
      <c r="UI450" s="457"/>
      <c r="UJ450" s="457"/>
      <c r="UK450" s="457"/>
      <c r="UL450" s="457"/>
      <c r="UM450" s="457"/>
      <c r="UN450" s="457"/>
      <c r="UO450" s="457"/>
      <c r="UP450" s="457"/>
      <c r="UQ450" s="457"/>
      <c r="UR450" s="457"/>
      <c r="US450" s="457"/>
      <c r="UT450" s="457"/>
      <c r="UU450" s="457"/>
      <c r="UV450" s="457"/>
      <c r="UW450" s="457"/>
      <c r="UX450" s="457"/>
      <c r="UY450" s="457"/>
      <c r="UZ450" s="457"/>
      <c r="VA450" s="457"/>
      <c r="VB450" s="457"/>
      <c r="VC450" s="457"/>
      <c r="VD450" s="457"/>
      <c r="VE450" s="457"/>
      <c r="VF450" s="457"/>
      <c r="VG450" s="457"/>
      <c r="VH450" s="457"/>
      <c r="VI450" s="457"/>
      <c r="VJ450" s="457"/>
      <c r="VK450" s="457"/>
      <c r="VL450" s="457"/>
      <c r="VM450" s="457"/>
      <c r="VN450" s="457"/>
      <c r="VO450" s="457"/>
      <c r="VP450" s="457"/>
      <c r="VQ450" s="457"/>
      <c r="VR450" s="457"/>
      <c r="VS450" s="457"/>
      <c r="VT450" s="457"/>
      <c r="VU450" s="457"/>
      <c r="VV450" s="457"/>
      <c r="VW450" s="457"/>
      <c r="VX450" s="457"/>
      <c r="VY450" s="457"/>
      <c r="VZ450" s="457"/>
      <c r="WA450" s="457"/>
      <c r="WB450" s="457"/>
      <c r="WC450" s="457"/>
      <c r="WD450" s="457"/>
      <c r="WE450" s="457"/>
      <c r="WF450" s="457"/>
      <c r="WG450" s="457"/>
      <c r="WH450" s="457"/>
      <c r="WI450" s="457"/>
      <c r="WJ450" s="457"/>
      <c r="WK450" s="457"/>
      <c r="WL450" s="457"/>
      <c r="WM450" s="457"/>
      <c r="WN450" s="457"/>
      <c r="WO450" s="457"/>
      <c r="WP450" s="457"/>
      <c r="WQ450" s="457"/>
      <c r="WR450" s="457"/>
      <c r="WS450" s="457"/>
      <c r="WT450" s="457"/>
      <c r="WU450" s="457"/>
      <c r="WV450" s="457"/>
      <c r="WW450" s="457"/>
      <c r="WX450" s="457"/>
      <c r="WY450" s="457"/>
      <c r="WZ450" s="457"/>
      <c r="XA450" s="457"/>
      <c r="XB450" s="457"/>
      <c r="XC450" s="457"/>
      <c r="XD450" s="457"/>
      <c r="XE450" s="457"/>
      <c r="XF450" s="457"/>
      <c r="XG450" s="457"/>
      <c r="XH450" s="457"/>
      <c r="XI450" s="457"/>
      <c r="XJ450" s="457"/>
      <c r="XK450" s="457"/>
      <c r="XL450" s="457"/>
      <c r="XM450" s="457"/>
      <c r="XN450" s="457"/>
      <c r="XO450" s="457"/>
      <c r="XP450" s="457"/>
      <c r="XQ450" s="457"/>
      <c r="XR450" s="457"/>
      <c r="XS450" s="457"/>
      <c r="XT450" s="457"/>
      <c r="XU450" s="457"/>
      <c r="XV450" s="457"/>
      <c r="XW450" s="457"/>
      <c r="XX450" s="457"/>
      <c r="XY450" s="457"/>
      <c r="XZ450" s="457"/>
      <c r="YA450" s="457"/>
      <c r="YB450" s="457"/>
      <c r="YC450" s="457"/>
      <c r="YD450" s="457"/>
      <c r="YE450" s="457"/>
      <c r="YF450" s="457"/>
      <c r="YG450" s="457"/>
      <c r="YH450" s="457"/>
      <c r="YI450" s="457"/>
      <c r="YJ450" s="457"/>
      <c r="YK450" s="457"/>
      <c r="YL450" s="457"/>
      <c r="YM450" s="457"/>
      <c r="YN450" s="457"/>
      <c r="YO450" s="457"/>
      <c r="YP450" s="457"/>
      <c r="YQ450" s="457"/>
      <c r="YR450" s="457"/>
      <c r="YS450" s="457"/>
      <c r="YT450" s="457"/>
      <c r="YU450" s="457"/>
      <c r="YV450" s="457"/>
      <c r="YW450" s="457"/>
      <c r="YX450" s="457"/>
      <c r="YY450" s="457"/>
      <c r="YZ450" s="457"/>
      <c r="ZA450" s="457"/>
      <c r="ZB450" s="457"/>
      <c r="ZC450" s="457"/>
      <c r="ZD450" s="457"/>
      <c r="ZE450" s="457"/>
      <c r="ZF450" s="457"/>
      <c r="ZG450" s="457"/>
      <c r="ZH450" s="457"/>
      <c r="ZI450" s="457"/>
      <c r="ZJ450" s="457"/>
      <c r="ZK450" s="457"/>
      <c r="ZL450" s="457"/>
      <c r="ZM450" s="457"/>
      <c r="ZN450" s="457"/>
      <c r="ZO450" s="457"/>
      <c r="ZP450" s="457"/>
      <c r="ZQ450" s="457"/>
      <c r="ZR450" s="457"/>
      <c r="ZS450" s="457"/>
      <c r="ZT450" s="457"/>
      <c r="ZU450" s="457"/>
      <c r="ZV450" s="457"/>
      <c r="ZW450" s="457"/>
      <c r="ZX450" s="457"/>
      <c r="ZY450" s="457"/>
      <c r="ZZ450" s="457"/>
      <c r="AAA450" s="457"/>
      <c r="AAB450" s="457"/>
      <c r="AAC450" s="457"/>
      <c r="AAD450" s="457"/>
      <c r="AAE450" s="457"/>
      <c r="AAF450" s="457"/>
      <c r="AAG450" s="457"/>
      <c r="AAH450" s="457"/>
      <c r="AAI450" s="457"/>
      <c r="AAJ450" s="457"/>
      <c r="AAK450" s="457"/>
      <c r="AAL450" s="457"/>
      <c r="AAM450" s="457"/>
      <c r="AAN450" s="457"/>
      <c r="AAO450" s="457"/>
      <c r="AAP450" s="457"/>
      <c r="AAQ450" s="457"/>
      <c r="AAR450" s="457"/>
      <c r="AAS450" s="457"/>
      <c r="AAT450" s="457"/>
      <c r="AAU450" s="457"/>
      <c r="AAV450" s="457"/>
      <c r="AAW450" s="457"/>
      <c r="AAX450" s="457"/>
      <c r="AAY450" s="457"/>
      <c r="AAZ450" s="457"/>
      <c r="ABA450" s="457"/>
      <c r="ABB450" s="457"/>
      <c r="ABC450" s="457"/>
      <c r="ABD450" s="457"/>
      <c r="ABE450" s="457"/>
      <c r="ABF450" s="457"/>
      <c r="ABG450" s="457"/>
      <c r="ABH450" s="457"/>
      <c r="ABI450" s="457"/>
      <c r="ABJ450" s="457"/>
      <c r="ABK450" s="457"/>
      <c r="ABL450" s="457"/>
      <c r="ABM450" s="457"/>
      <c r="ABN450" s="457"/>
      <c r="ABO450" s="457"/>
      <c r="ABP450" s="457"/>
      <c r="ABQ450" s="457"/>
      <c r="ABR450" s="457"/>
      <c r="ABS450" s="457"/>
      <c r="ABT450" s="457"/>
      <c r="ABU450" s="457"/>
      <c r="ABV450" s="457"/>
      <c r="ABW450" s="457"/>
      <c r="ABX450" s="457"/>
      <c r="ABY450" s="457"/>
      <c r="ABZ450" s="457"/>
      <c r="ACA450" s="457"/>
      <c r="ACB450" s="457"/>
      <c r="ACC450" s="457"/>
      <c r="ACD450" s="457"/>
      <c r="ACE450" s="457"/>
      <c r="ACF450" s="457"/>
      <c r="ACG450" s="457"/>
      <c r="ACH450" s="457"/>
      <c r="ACI450" s="457"/>
      <c r="ACJ450" s="457"/>
      <c r="ACK450" s="457"/>
      <c r="ACL450" s="457"/>
      <c r="ACM450" s="457"/>
      <c r="ACN450" s="457"/>
      <c r="ACO450" s="457"/>
      <c r="ACP450" s="457"/>
      <c r="ACQ450" s="457"/>
      <c r="ACR450" s="457"/>
      <c r="ACS450" s="457"/>
      <c r="ACT450" s="457"/>
      <c r="ACU450" s="457"/>
      <c r="ACV450" s="457"/>
    </row>
    <row r="451" spans="1:776" s="400" customFormat="1" x14ac:dyDescent="0.25">
      <c r="A451" s="470">
        <v>900164</v>
      </c>
      <c r="B451" s="237" t="s">
        <v>370</v>
      </c>
      <c r="C451" s="455"/>
      <c r="D451" s="454" t="s">
        <v>371</v>
      </c>
      <c r="E451" s="454">
        <v>1.71</v>
      </c>
      <c r="F451" s="458">
        <v>53.9</v>
      </c>
      <c r="G451" s="454">
        <v>0</v>
      </c>
      <c r="H451" s="454">
        <v>7.0000000000000007E-2</v>
      </c>
      <c r="I451" s="456">
        <v>330.57</v>
      </c>
      <c r="J451" s="454">
        <v>52.79</v>
      </c>
      <c r="K451" s="454">
        <v>0</v>
      </c>
      <c r="L451" s="456">
        <v>283.2</v>
      </c>
      <c r="M451" s="454">
        <v>0</v>
      </c>
      <c r="N451" s="454">
        <v>1.75</v>
      </c>
      <c r="O451" s="454">
        <v>156.69999999999999</v>
      </c>
      <c r="P451" s="454">
        <v>153.46</v>
      </c>
      <c r="Q451" s="454">
        <v>35.96</v>
      </c>
      <c r="R451" s="454">
        <v>9.9999999999999995E-7</v>
      </c>
      <c r="S451" s="454">
        <v>9.9999999999999995E-7</v>
      </c>
      <c r="T451" s="454">
        <v>9.9999999999999995E-7</v>
      </c>
      <c r="U451" s="454">
        <v>9.9999999999999995E-7</v>
      </c>
      <c r="V451" s="454"/>
      <c r="W451" s="457"/>
      <c r="X451" s="457"/>
      <c r="Y451" s="457"/>
      <c r="Z451" s="457"/>
      <c r="AA451" s="457"/>
      <c r="AB451" s="457"/>
      <c r="AC451" s="457"/>
      <c r="AD451" s="457"/>
      <c r="AE451" s="457"/>
      <c r="AF451" s="457"/>
      <c r="AG451" s="457"/>
      <c r="AH451" s="457"/>
      <c r="AI451" s="457"/>
      <c r="AJ451" s="457"/>
      <c r="AK451" s="457"/>
      <c r="AL451" s="457"/>
      <c r="AM451" s="457"/>
      <c r="AN451" s="457"/>
      <c r="AO451" s="457"/>
      <c r="AP451" s="457"/>
      <c r="AQ451" s="457"/>
      <c r="AR451" s="457"/>
      <c r="AS451" s="457"/>
      <c r="AT451" s="457"/>
      <c r="AU451" s="457"/>
      <c r="AV451" s="457"/>
      <c r="AW451" s="457"/>
      <c r="AX451" s="457"/>
      <c r="AY451" s="457"/>
      <c r="AZ451" s="457"/>
      <c r="BA451" s="457"/>
      <c r="BB451" s="457"/>
      <c r="BC451" s="457"/>
      <c r="BD451" s="457"/>
      <c r="BE451" s="457"/>
      <c r="BF451" s="457"/>
      <c r="BG451" s="457"/>
      <c r="BH451" s="457"/>
      <c r="BI451" s="457"/>
      <c r="BJ451" s="457"/>
      <c r="BK451" s="457"/>
      <c r="BL451" s="457"/>
      <c r="BM451" s="457"/>
      <c r="BN451" s="457"/>
      <c r="BO451" s="457"/>
      <c r="BP451" s="457"/>
      <c r="BQ451" s="457"/>
      <c r="BR451" s="457"/>
      <c r="BS451" s="457"/>
      <c r="BT451" s="457"/>
      <c r="BU451" s="457"/>
      <c r="BV451" s="457"/>
      <c r="BW451" s="457"/>
      <c r="BX451" s="457"/>
      <c r="BY451" s="457"/>
      <c r="BZ451" s="457"/>
      <c r="CA451" s="457"/>
      <c r="CB451" s="457"/>
      <c r="CC451" s="457"/>
      <c r="CD451" s="457"/>
      <c r="CE451" s="457"/>
      <c r="CF451" s="457"/>
      <c r="CG451" s="457"/>
      <c r="CH451" s="457"/>
      <c r="CI451" s="457"/>
      <c r="CJ451" s="457"/>
      <c r="CK451" s="457"/>
      <c r="CL451" s="457"/>
      <c r="CM451" s="457"/>
      <c r="CN451" s="457"/>
      <c r="CO451" s="457"/>
      <c r="CP451" s="457"/>
      <c r="CQ451" s="457"/>
      <c r="CR451" s="457"/>
      <c r="CS451" s="457"/>
      <c r="CT451" s="457"/>
      <c r="CU451" s="457"/>
      <c r="CV451" s="457"/>
      <c r="CW451" s="457"/>
      <c r="CX451" s="457"/>
      <c r="CY451" s="457"/>
      <c r="CZ451" s="457"/>
      <c r="DA451" s="457"/>
      <c r="DB451" s="457"/>
      <c r="DC451" s="457"/>
      <c r="DD451" s="457"/>
      <c r="DE451" s="457"/>
      <c r="DF451" s="457"/>
      <c r="DG451" s="457"/>
      <c r="DH451" s="457"/>
      <c r="DI451" s="457"/>
      <c r="DJ451" s="457"/>
      <c r="DK451" s="457"/>
      <c r="DL451" s="457"/>
      <c r="DM451" s="457"/>
      <c r="DN451" s="457"/>
      <c r="DO451" s="457"/>
      <c r="DP451" s="457"/>
      <c r="DQ451" s="457"/>
      <c r="DR451" s="457"/>
      <c r="DS451" s="457"/>
      <c r="DT451" s="457"/>
      <c r="DU451" s="457"/>
      <c r="DV451" s="457"/>
      <c r="DW451" s="457"/>
      <c r="DX451" s="457"/>
      <c r="DY451" s="457"/>
      <c r="DZ451" s="457"/>
      <c r="EA451" s="457"/>
      <c r="EB451" s="457"/>
      <c r="EC451" s="457"/>
      <c r="ED451" s="457"/>
      <c r="EE451" s="457"/>
      <c r="EF451" s="457"/>
      <c r="EG451" s="457"/>
      <c r="EH451" s="457"/>
      <c r="EI451" s="457"/>
      <c r="EJ451" s="457"/>
      <c r="EK451" s="457"/>
      <c r="EL451" s="457"/>
      <c r="EM451" s="457"/>
      <c r="EN451" s="457"/>
      <c r="EO451" s="457"/>
      <c r="EP451" s="457"/>
      <c r="EQ451" s="457"/>
      <c r="ER451" s="457"/>
      <c r="ES451" s="457"/>
      <c r="ET451" s="457"/>
      <c r="EU451" s="457"/>
      <c r="EV451" s="457"/>
      <c r="EW451" s="457"/>
      <c r="EX451" s="457"/>
      <c r="EY451" s="457"/>
      <c r="EZ451" s="457"/>
      <c r="FA451" s="457"/>
      <c r="FB451" s="457"/>
      <c r="FC451" s="457"/>
      <c r="FD451" s="457"/>
      <c r="FE451" s="457"/>
      <c r="FF451" s="457"/>
      <c r="FG451" s="457"/>
      <c r="FH451" s="457"/>
      <c r="FI451" s="457"/>
      <c r="FJ451" s="457"/>
      <c r="FK451" s="457"/>
      <c r="FL451" s="457"/>
      <c r="FM451" s="457"/>
      <c r="FN451" s="457"/>
      <c r="FO451" s="457"/>
      <c r="FP451" s="457"/>
      <c r="FQ451" s="457"/>
      <c r="FR451" s="457"/>
      <c r="FS451" s="457"/>
      <c r="FT451" s="457"/>
      <c r="FU451" s="457"/>
      <c r="FV451" s="457"/>
      <c r="FW451" s="457"/>
      <c r="FX451" s="457"/>
      <c r="FY451" s="457"/>
      <c r="FZ451" s="457"/>
      <c r="GA451" s="457"/>
      <c r="GB451" s="457"/>
      <c r="GC451" s="457"/>
      <c r="GD451" s="457"/>
      <c r="GE451" s="457"/>
      <c r="GF451" s="457"/>
      <c r="GG451" s="457"/>
      <c r="GH451" s="457"/>
      <c r="GI451" s="457"/>
      <c r="GJ451" s="457"/>
      <c r="GK451" s="457"/>
      <c r="GL451" s="457"/>
      <c r="GM451" s="457"/>
      <c r="GN451" s="457"/>
      <c r="GO451" s="457"/>
      <c r="GP451" s="457"/>
      <c r="GQ451" s="457"/>
      <c r="GR451" s="457"/>
      <c r="GS451" s="457"/>
      <c r="GT451" s="457"/>
      <c r="GU451" s="457"/>
      <c r="GV451" s="457"/>
      <c r="GW451" s="457"/>
      <c r="GX451" s="457"/>
      <c r="GY451" s="457"/>
      <c r="GZ451" s="457"/>
      <c r="HA451" s="457"/>
      <c r="HB451" s="457"/>
      <c r="HC451" s="457"/>
      <c r="HD451" s="457"/>
      <c r="HE451" s="457"/>
      <c r="HF451" s="457"/>
      <c r="HG451" s="457"/>
      <c r="HH451" s="457"/>
      <c r="HI451" s="457"/>
      <c r="HJ451" s="457"/>
      <c r="HK451" s="457"/>
      <c r="HL451" s="457"/>
      <c r="HM451" s="457"/>
      <c r="HN451" s="457"/>
      <c r="HO451" s="457"/>
      <c r="HP451" s="457"/>
      <c r="HQ451" s="457"/>
      <c r="HR451" s="457"/>
      <c r="HS451" s="457"/>
      <c r="HT451" s="457"/>
      <c r="HU451" s="457"/>
      <c r="HV451" s="457"/>
      <c r="HW451" s="457"/>
      <c r="HX451" s="457"/>
      <c r="HY451" s="457"/>
      <c r="HZ451" s="457"/>
      <c r="IA451" s="457"/>
      <c r="IB451" s="457"/>
      <c r="IC451" s="457"/>
      <c r="ID451" s="457"/>
      <c r="IE451" s="457"/>
      <c r="IF451" s="457"/>
      <c r="IG451" s="457"/>
      <c r="IH451" s="457"/>
      <c r="II451" s="457"/>
      <c r="IJ451" s="457"/>
      <c r="IK451" s="457"/>
      <c r="IL451" s="457"/>
      <c r="IM451" s="457"/>
      <c r="IN451" s="457"/>
      <c r="IO451" s="457"/>
      <c r="IP451" s="457"/>
      <c r="IQ451" s="457"/>
      <c r="IR451" s="457"/>
      <c r="IS451" s="457"/>
      <c r="IT451" s="457"/>
      <c r="IU451" s="457"/>
      <c r="IV451" s="457"/>
      <c r="IW451" s="457"/>
      <c r="IX451" s="457"/>
      <c r="IY451" s="457"/>
      <c r="IZ451" s="457"/>
      <c r="JA451" s="457"/>
      <c r="JB451" s="457"/>
      <c r="JC451" s="457"/>
      <c r="JD451" s="457"/>
      <c r="JE451" s="457"/>
      <c r="JF451" s="457"/>
      <c r="JG451" s="457"/>
      <c r="JH451" s="457"/>
      <c r="JI451" s="457"/>
      <c r="JJ451" s="457"/>
      <c r="JK451" s="457"/>
      <c r="JL451" s="457"/>
      <c r="JM451" s="457"/>
      <c r="JN451" s="457"/>
      <c r="JO451" s="457"/>
      <c r="JP451" s="457"/>
      <c r="JQ451" s="457"/>
      <c r="JR451" s="457"/>
      <c r="JS451" s="457"/>
      <c r="JT451" s="457"/>
      <c r="JU451" s="457"/>
      <c r="JV451" s="457"/>
      <c r="JW451" s="457"/>
      <c r="JX451" s="457"/>
      <c r="JY451" s="457"/>
      <c r="JZ451" s="457"/>
      <c r="KA451" s="457"/>
      <c r="KB451" s="457"/>
      <c r="KC451" s="457"/>
      <c r="KD451" s="457"/>
      <c r="KE451" s="457"/>
      <c r="KF451" s="457"/>
      <c r="KG451" s="457"/>
      <c r="KH451" s="457"/>
      <c r="KI451" s="457"/>
      <c r="KJ451" s="457"/>
      <c r="KK451" s="457"/>
      <c r="KL451" s="457"/>
      <c r="KM451" s="457"/>
      <c r="KN451" s="457"/>
      <c r="KO451" s="457"/>
      <c r="KP451" s="457"/>
      <c r="KQ451" s="457"/>
      <c r="KR451" s="457"/>
      <c r="KS451" s="457"/>
      <c r="KT451" s="457"/>
      <c r="KU451" s="457"/>
      <c r="KV451" s="457"/>
      <c r="KW451" s="457"/>
      <c r="KX451" s="457"/>
      <c r="KY451" s="457"/>
      <c r="KZ451" s="457"/>
      <c r="LA451" s="457"/>
      <c r="LB451" s="457"/>
      <c r="LC451" s="457"/>
      <c r="LD451" s="457"/>
      <c r="LE451" s="457"/>
      <c r="LF451" s="457"/>
      <c r="LG451" s="457"/>
      <c r="LH451" s="457"/>
      <c r="LI451" s="457"/>
      <c r="LJ451" s="457"/>
      <c r="LK451" s="457"/>
      <c r="LL451" s="457"/>
      <c r="LM451" s="457"/>
      <c r="LN451" s="457"/>
      <c r="LO451" s="457"/>
      <c r="LP451" s="457"/>
      <c r="LQ451" s="457"/>
      <c r="LR451" s="457"/>
      <c r="LS451" s="457"/>
      <c r="LT451" s="457"/>
      <c r="LU451" s="457"/>
      <c r="LV451" s="457"/>
      <c r="LW451" s="457"/>
      <c r="LX451" s="457"/>
      <c r="LY451" s="457"/>
      <c r="LZ451" s="457"/>
      <c r="MA451" s="457"/>
      <c r="MB451" s="457"/>
      <c r="MC451" s="457"/>
      <c r="MD451" s="457"/>
      <c r="ME451" s="457"/>
      <c r="MF451" s="457"/>
      <c r="MG451" s="457"/>
      <c r="MH451" s="457"/>
      <c r="MI451" s="457"/>
      <c r="MJ451" s="457"/>
      <c r="MK451" s="457"/>
      <c r="ML451" s="457"/>
      <c r="MM451" s="457"/>
      <c r="MN451" s="457"/>
      <c r="MO451" s="457"/>
      <c r="MP451" s="457"/>
      <c r="MQ451" s="457"/>
      <c r="MR451" s="457"/>
      <c r="MS451" s="457"/>
      <c r="MT451" s="457"/>
      <c r="MU451" s="457"/>
      <c r="MV451" s="457"/>
      <c r="MW451" s="457"/>
      <c r="MX451" s="457"/>
      <c r="MY451" s="457"/>
      <c r="MZ451" s="457"/>
      <c r="NA451" s="457"/>
      <c r="NB451" s="457"/>
      <c r="NC451" s="457"/>
      <c r="ND451" s="457"/>
      <c r="NE451" s="457"/>
      <c r="NF451" s="457"/>
      <c r="NG451" s="457"/>
      <c r="NH451" s="457"/>
      <c r="NI451" s="457"/>
      <c r="NJ451" s="457"/>
      <c r="NK451" s="457"/>
      <c r="NL451" s="457"/>
      <c r="NM451" s="457"/>
      <c r="NN451" s="457"/>
      <c r="NO451" s="457"/>
      <c r="NP451" s="457"/>
      <c r="NQ451" s="457"/>
      <c r="NR451" s="457"/>
      <c r="NS451" s="457"/>
      <c r="NT451" s="457"/>
      <c r="NU451" s="457"/>
      <c r="NV451" s="457"/>
      <c r="NW451" s="457"/>
      <c r="NX451" s="457"/>
      <c r="NY451" s="457"/>
      <c r="NZ451" s="457"/>
      <c r="OA451" s="457"/>
      <c r="OB451" s="457"/>
      <c r="OC451" s="457"/>
      <c r="OD451" s="457"/>
      <c r="OE451" s="457"/>
      <c r="OF451" s="457"/>
      <c r="OG451" s="457"/>
      <c r="OH451" s="457"/>
      <c r="OI451" s="457"/>
      <c r="OJ451" s="457"/>
      <c r="OK451" s="457"/>
      <c r="OL451" s="457"/>
      <c r="OM451" s="457"/>
      <c r="ON451" s="457"/>
      <c r="OO451" s="457"/>
      <c r="OP451" s="457"/>
      <c r="OQ451" s="457"/>
      <c r="OR451" s="457"/>
      <c r="OS451" s="457"/>
      <c r="OT451" s="457"/>
      <c r="OU451" s="457"/>
      <c r="OV451" s="457"/>
      <c r="OW451" s="457"/>
      <c r="OX451" s="457"/>
      <c r="OY451" s="457"/>
      <c r="OZ451" s="457"/>
      <c r="PA451" s="457"/>
      <c r="PB451" s="457"/>
      <c r="PC451" s="457"/>
      <c r="PD451" s="457"/>
      <c r="PE451" s="457"/>
      <c r="PF451" s="457"/>
      <c r="PG451" s="457"/>
      <c r="PH451" s="457"/>
      <c r="PI451" s="457"/>
      <c r="PJ451" s="457"/>
      <c r="PK451" s="457"/>
      <c r="PL451" s="457"/>
      <c r="PM451" s="457"/>
      <c r="PN451" s="457"/>
      <c r="PO451" s="457"/>
      <c r="PP451" s="457"/>
      <c r="PQ451" s="457"/>
      <c r="PR451" s="457"/>
      <c r="PS451" s="457"/>
      <c r="PT451" s="457"/>
      <c r="PU451" s="457"/>
      <c r="PV451" s="457"/>
      <c r="PW451" s="457"/>
      <c r="PX451" s="457"/>
      <c r="PY451" s="457"/>
      <c r="PZ451" s="457"/>
      <c r="QA451" s="457"/>
      <c r="QB451" s="457"/>
      <c r="QC451" s="457"/>
      <c r="QD451" s="457"/>
      <c r="QE451" s="457"/>
      <c r="QF451" s="457"/>
      <c r="QG451" s="457"/>
      <c r="QH451" s="457"/>
      <c r="QI451" s="457"/>
      <c r="QJ451" s="457"/>
      <c r="QK451" s="457"/>
      <c r="QL451" s="457"/>
      <c r="QM451" s="457"/>
      <c r="QN451" s="457"/>
      <c r="QO451" s="457"/>
      <c r="QP451" s="457"/>
      <c r="QQ451" s="457"/>
      <c r="QR451" s="457"/>
      <c r="QS451" s="457"/>
      <c r="QT451" s="457"/>
      <c r="QU451" s="457"/>
      <c r="QV451" s="457"/>
      <c r="QW451" s="457"/>
      <c r="QX451" s="457"/>
      <c r="QY451" s="457"/>
      <c r="QZ451" s="457"/>
      <c r="RA451" s="457"/>
      <c r="RB451" s="457"/>
      <c r="RC451" s="457"/>
      <c r="RD451" s="457"/>
      <c r="RE451" s="457"/>
      <c r="RF451" s="457"/>
      <c r="RG451" s="457"/>
      <c r="RH451" s="457"/>
      <c r="RI451" s="457"/>
      <c r="RJ451" s="457"/>
      <c r="RK451" s="457"/>
      <c r="RL451" s="457"/>
      <c r="RM451" s="457"/>
      <c r="RN451" s="457"/>
      <c r="RO451" s="457"/>
      <c r="RP451" s="457"/>
      <c r="RQ451" s="457"/>
      <c r="RR451" s="457"/>
      <c r="RS451" s="457"/>
      <c r="RT451" s="457"/>
      <c r="RU451" s="457"/>
      <c r="RV451" s="457"/>
      <c r="RW451" s="457"/>
      <c r="RX451" s="457"/>
      <c r="RY451" s="457"/>
      <c r="RZ451" s="457"/>
      <c r="SA451" s="457"/>
      <c r="SB451" s="457"/>
      <c r="SC451" s="457"/>
      <c r="SD451" s="457"/>
      <c r="SE451" s="457"/>
      <c r="SF451" s="457"/>
      <c r="SG451" s="457"/>
      <c r="SH451" s="457"/>
      <c r="SI451" s="457"/>
      <c r="SJ451" s="457"/>
      <c r="SK451" s="457"/>
      <c r="SL451" s="457"/>
      <c r="SM451" s="457"/>
      <c r="SN451" s="457"/>
      <c r="SO451" s="457"/>
      <c r="SP451" s="457"/>
      <c r="SQ451" s="457"/>
      <c r="SR451" s="457"/>
      <c r="SS451" s="457"/>
      <c r="ST451" s="457"/>
      <c r="SU451" s="457"/>
      <c r="SV451" s="457"/>
      <c r="SW451" s="457"/>
      <c r="SX451" s="457"/>
      <c r="SY451" s="457"/>
      <c r="SZ451" s="457"/>
      <c r="TA451" s="457"/>
      <c r="TB451" s="457"/>
      <c r="TC451" s="457"/>
      <c r="TD451" s="457"/>
      <c r="TE451" s="457"/>
      <c r="TF451" s="457"/>
      <c r="TG451" s="457"/>
      <c r="TH451" s="457"/>
      <c r="TI451" s="457"/>
      <c r="TJ451" s="457"/>
      <c r="TK451" s="457"/>
      <c r="TL451" s="457"/>
      <c r="TM451" s="457"/>
      <c r="TN451" s="457"/>
      <c r="TO451" s="457"/>
      <c r="TP451" s="457"/>
      <c r="TQ451" s="457"/>
      <c r="TR451" s="457"/>
      <c r="TS451" s="457"/>
      <c r="TT451" s="457"/>
      <c r="TU451" s="457"/>
      <c r="TV451" s="457"/>
      <c r="TW451" s="457"/>
      <c r="TX451" s="457"/>
      <c r="TY451" s="457"/>
      <c r="TZ451" s="457"/>
      <c r="UA451" s="457"/>
      <c r="UB451" s="457"/>
      <c r="UC451" s="457"/>
      <c r="UD451" s="457"/>
      <c r="UE451" s="457"/>
      <c r="UF451" s="457"/>
      <c r="UG451" s="457"/>
      <c r="UH451" s="457"/>
      <c r="UI451" s="457"/>
      <c r="UJ451" s="457"/>
      <c r="UK451" s="457"/>
      <c r="UL451" s="457"/>
      <c r="UM451" s="457"/>
      <c r="UN451" s="457"/>
      <c r="UO451" s="457"/>
      <c r="UP451" s="457"/>
      <c r="UQ451" s="457"/>
      <c r="UR451" s="457"/>
      <c r="US451" s="457"/>
      <c r="UT451" s="457"/>
      <c r="UU451" s="457"/>
      <c r="UV451" s="457"/>
      <c r="UW451" s="457"/>
      <c r="UX451" s="457"/>
      <c r="UY451" s="457"/>
      <c r="UZ451" s="457"/>
      <c r="VA451" s="457"/>
      <c r="VB451" s="457"/>
      <c r="VC451" s="457"/>
      <c r="VD451" s="457"/>
      <c r="VE451" s="457"/>
      <c r="VF451" s="457"/>
      <c r="VG451" s="457"/>
      <c r="VH451" s="457"/>
      <c r="VI451" s="457"/>
      <c r="VJ451" s="457"/>
      <c r="VK451" s="457"/>
      <c r="VL451" s="457"/>
      <c r="VM451" s="457"/>
      <c r="VN451" s="457"/>
      <c r="VO451" s="457"/>
      <c r="VP451" s="457"/>
      <c r="VQ451" s="457"/>
      <c r="VR451" s="457"/>
      <c r="VS451" s="457"/>
      <c r="VT451" s="457"/>
      <c r="VU451" s="457"/>
      <c r="VV451" s="457"/>
      <c r="VW451" s="457"/>
      <c r="VX451" s="457"/>
      <c r="VY451" s="457"/>
      <c r="VZ451" s="457"/>
      <c r="WA451" s="457"/>
      <c r="WB451" s="457"/>
      <c r="WC451" s="457"/>
      <c r="WD451" s="457"/>
      <c r="WE451" s="457"/>
      <c r="WF451" s="457"/>
      <c r="WG451" s="457"/>
      <c r="WH451" s="457"/>
      <c r="WI451" s="457"/>
      <c r="WJ451" s="457"/>
      <c r="WK451" s="457"/>
      <c r="WL451" s="457"/>
      <c r="WM451" s="457"/>
      <c r="WN451" s="457"/>
      <c r="WO451" s="457"/>
      <c r="WP451" s="457"/>
      <c r="WQ451" s="457"/>
      <c r="WR451" s="457"/>
      <c r="WS451" s="457"/>
      <c r="WT451" s="457"/>
      <c r="WU451" s="457"/>
      <c r="WV451" s="457"/>
      <c r="WW451" s="457"/>
      <c r="WX451" s="457"/>
      <c r="WY451" s="457"/>
      <c r="WZ451" s="457"/>
      <c r="XA451" s="457"/>
      <c r="XB451" s="457"/>
      <c r="XC451" s="457"/>
      <c r="XD451" s="457"/>
      <c r="XE451" s="457"/>
      <c r="XF451" s="457"/>
      <c r="XG451" s="457"/>
      <c r="XH451" s="457"/>
      <c r="XI451" s="457"/>
      <c r="XJ451" s="457"/>
      <c r="XK451" s="457"/>
      <c r="XL451" s="457"/>
      <c r="XM451" s="457"/>
      <c r="XN451" s="457"/>
      <c r="XO451" s="457"/>
      <c r="XP451" s="457"/>
      <c r="XQ451" s="457"/>
      <c r="XR451" s="457"/>
      <c r="XS451" s="457"/>
      <c r="XT451" s="457"/>
      <c r="XU451" s="457"/>
      <c r="XV451" s="457"/>
      <c r="XW451" s="457"/>
      <c r="XX451" s="457"/>
      <c r="XY451" s="457"/>
      <c r="XZ451" s="457"/>
      <c r="YA451" s="457"/>
      <c r="YB451" s="457"/>
      <c r="YC451" s="457"/>
      <c r="YD451" s="457"/>
      <c r="YE451" s="457"/>
      <c r="YF451" s="457"/>
      <c r="YG451" s="457"/>
      <c r="YH451" s="457"/>
      <c r="YI451" s="457"/>
      <c r="YJ451" s="457"/>
      <c r="YK451" s="457"/>
      <c r="YL451" s="457"/>
      <c r="YM451" s="457"/>
      <c r="YN451" s="457"/>
      <c r="YO451" s="457"/>
      <c r="YP451" s="457"/>
      <c r="YQ451" s="457"/>
      <c r="YR451" s="457"/>
      <c r="YS451" s="457"/>
      <c r="YT451" s="457"/>
      <c r="YU451" s="457"/>
      <c r="YV451" s="457"/>
      <c r="YW451" s="457"/>
      <c r="YX451" s="457"/>
      <c r="YY451" s="457"/>
      <c r="YZ451" s="457"/>
      <c r="ZA451" s="457"/>
      <c r="ZB451" s="457"/>
      <c r="ZC451" s="457"/>
      <c r="ZD451" s="457"/>
      <c r="ZE451" s="457"/>
      <c r="ZF451" s="457"/>
      <c r="ZG451" s="457"/>
      <c r="ZH451" s="457"/>
      <c r="ZI451" s="457"/>
      <c r="ZJ451" s="457"/>
      <c r="ZK451" s="457"/>
      <c r="ZL451" s="457"/>
      <c r="ZM451" s="457"/>
      <c r="ZN451" s="457"/>
      <c r="ZO451" s="457"/>
      <c r="ZP451" s="457"/>
      <c r="ZQ451" s="457"/>
      <c r="ZR451" s="457"/>
      <c r="ZS451" s="457"/>
      <c r="ZT451" s="457"/>
      <c r="ZU451" s="457"/>
      <c r="ZV451" s="457"/>
      <c r="ZW451" s="457"/>
      <c r="ZX451" s="457"/>
      <c r="ZY451" s="457"/>
      <c r="ZZ451" s="457"/>
      <c r="AAA451" s="457"/>
      <c r="AAB451" s="457"/>
      <c r="AAC451" s="457"/>
      <c r="AAD451" s="457"/>
      <c r="AAE451" s="457"/>
      <c r="AAF451" s="457"/>
      <c r="AAG451" s="457"/>
      <c r="AAH451" s="457"/>
      <c r="AAI451" s="457"/>
      <c r="AAJ451" s="457"/>
      <c r="AAK451" s="457"/>
      <c r="AAL451" s="457"/>
      <c r="AAM451" s="457"/>
      <c r="AAN451" s="457"/>
      <c r="AAO451" s="457"/>
      <c r="AAP451" s="457"/>
      <c r="AAQ451" s="457"/>
      <c r="AAR451" s="457"/>
      <c r="AAS451" s="457"/>
      <c r="AAT451" s="457"/>
      <c r="AAU451" s="457"/>
      <c r="AAV451" s="457"/>
      <c r="AAW451" s="457"/>
      <c r="AAX451" s="457"/>
      <c r="AAY451" s="457"/>
      <c r="AAZ451" s="457"/>
      <c r="ABA451" s="457"/>
      <c r="ABB451" s="457"/>
      <c r="ABC451" s="457"/>
      <c r="ABD451" s="457"/>
      <c r="ABE451" s="457"/>
      <c r="ABF451" s="457"/>
      <c r="ABG451" s="457"/>
      <c r="ABH451" s="457"/>
      <c r="ABI451" s="457"/>
      <c r="ABJ451" s="457"/>
      <c r="ABK451" s="457"/>
      <c r="ABL451" s="457"/>
      <c r="ABM451" s="457"/>
      <c r="ABN451" s="457"/>
      <c r="ABO451" s="457"/>
      <c r="ABP451" s="457"/>
      <c r="ABQ451" s="457"/>
      <c r="ABR451" s="457"/>
      <c r="ABS451" s="457"/>
      <c r="ABT451" s="457"/>
      <c r="ABU451" s="457"/>
      <c r="ABV451" s="457"/>
      <c r="ABW451" s="457"/>
      <c r="ABX451" s="457"/>
      <c r="ABY451" s="457"/>
      <c r="ABZ451" s="457"/>
      <c r="ACA451" s="457"/>
      <c r="ACB451" s="457"/>
      <c r="ACC451" s="457"/>
      <c r="ACD451" s="457"/>
      <c r="ACE451" s="457"/>
      <c r="ACF451" s="457"/>
      <c r="ACG451" s="457"/>
      <c r="ACH451" s="457"/>
      <c r="ACI451" s="457"/>
      <c r="ACJ451" s="457"/>
      <c r="ACK451" s="457"/>
      <c r="ACL451" s="457"/>
      <c r="ACM451" s="457"/>
      <c r="ACN451" s="457"/>
      <c r="ACO451" s="457"/>
      <c r="ACP451" s="457"/>
      <c r="ACQ451" s="457"/>
      <c r="ACR451" s="457"/>
      <c r="ACS451" s="457"/>
      <c r="ACT451" s="457"/>
      <c r="ACU451" s="457"/>
      <c r="ACV451" s="457"/>
    </row>
    <row r="452" spans="1:776" s="400" customFormat="1" x14ac:dyDescent="0.25">
      <c r="A452" s="470">
        <v>900165</v>
      </c>
      <c r="B452" s="237" t="s">
        <v>372</v>
      </c>
      <c r="C452" s="455"/>
      <c r="D452" s="454" t="s">
        <v>345</v>
      </c>
      <c r="E452" s="454">
        <v>1.64</v>
      </c>
      <c r="F452" s="469">
        <v>5.3</v>
      </c>
      <c r="G452" s="454">
        <v>0</v>
      </c>
      <c r="H452" s="454">
        <v>0.22</v>
      </c>
      <c r="I452" s="456">
        <v>333.15</v>
      </c>
      <c r="J452" s="454">
        <v>122.74</v>
      </c>
      <c r="K452" s="454">
        <v>0</v>
      </c>
      <c r="L452" s="456">
        <v>180</v>
      </c>
      <c r="M452" s="454">
        <v>0</v>
      </c>
      <c r="N452" s="454">
        <v>3.78</v>
      </c>
      <c r="O452" s="454">
        <v>223.74</v>
      </c>
      <c r="P452" s="454">
        <v>64.22</v>
      </c>
      <c r="Q452" s="454">
        <v>38.119999999999997</v>
      </c>
      <c r="R452" s="454">
        <v>9.9999999999999995E-7</v>
      </c>
      <c r="S452" s="454">
        <v>9.9999999999999995E-7</v>
      </c>
      <c r="T452" s="454">
        <v>9.9999999999999995E-7</v>
      </c>
      <c r="U452" s="454">
        <v>9.9999999999999995E-7</v>
      </c>
      <c r="V452" s="454"/>
      <c r="W452" s="457"/>
      <c r="X452" s="457"/>
      <c r="Y452" s="457"/>
      <c r="Z452" s="457"/>
      <c r="AA452" s="457"/>
      <c r="AB452" s="457"/>
      <c r="AC452" s="457"/>
      <c r="AD452" s="457"/>
      <c r="AE452" s="457"/>
      <c r="AF452" s="457"/>
      <c r="AG452" s="457"/>
      <c r="AH452" s="457"/>
      <c r="AI452" s="457"/>
      <c r="AJ452" s="457"/>
      <c r="AK452" s="457"/>
      <c r="AL452" s="457"/>
      <c r="AM452" s="457"/>
      <c r="AN452" s="457"/>
      <c r="AO452" s="457"/>
      <c r="AP452" s="457"/>
      <c r="AQ452" s="457"/>
      <c r="AR452" s="457"/>
      <c r="AS452" s="457"/>
      <c r="AT452" s="457"/>
      <c r="AU452" s="457"/>
      <c r="AV452" s="457"/>
      <c r="AW452" s="457"/>
      <c r="AX452" s="457"/>
      <c r="AY452" s="457"/>
      <c r="AZ452" s="457"/>
      <c r="BA452" s="457"/>
      <c r="BB452" s="457"/>
      <c r="BC452" s="457"/>
      <c r="BD452" s="457"/>
      <c r="BE452" s="457"/>
      <c r="BF452" s="457"/>
      <c r="BG452" s="457"/>
      <c r="BH452" s="457"/>
      <c r="BI452" s="457"/>
      <c r="BJ452" s="457"/>
      <c r="BK452" s="457"/>
      <c r="BL452" s="457"/>
      <c r="BM452" s="457"/>
      <c r="BN452" s="457"/>
      <c r="BO452" s="457"/>
      <c r="BP452" s="457"/>
      <c r="BQ452" s="457"/>
      <c r="BR452" s="457"/>
      <c r="BS452" s="457"/>
      <c r="BT452" s="457"/>
      <c r="BU452" s="457"/>
      <c r="BV452" s="457"/>
      <c r="BW452" s="457"/>
      <c r="BX452" s="457"/>
      <c r="BY452" s="457"/>
      <c r="BZ452" s="457"/>
      <c r="CA452" s="457"/>
      <c r="CB452" s="457"/>
      <c r="CC452" s="457"/>
      <c r="CD452" s="457"/>
      <c r="CE452" s="457"/>
      <c r="CF452" s="457"/>
      <c r="CG452" s="457"/>
      <c r="CH452" s="457"/>
      <c r="CI452" s="457"/>
      <c r="CJ452" s="457"/>
      <c r="CK452" s="457"/>
      <c r="CL452" s="457"/>
      <c r="CM452" s="457"/>
      <c r="CN452" s="457"/>
      <c r="CO452" s="457"/>
      <c r="CP452" s="457"/>
      <c r="CQ452" s="457"/>
      <c r="CR452" s="457"/>
      <c r="CS452" s="457"/>
      <c r="CT452" s="457"/>
      <c r="CU452" s="457"/>
      <c r="CV452" s="457"/>
      <c r="CW452" s="457"/>
      <c r="CX452" s="457"/>
      <c r="CY452" s="457"/>
      <c r="CZ452" s="457"/>
      <c r="DA452" s="457"/>
      <c r="DB452" s="457"/>
      <c r="DC452" s="457"/>
      <c r="DD452" s="457"/>
      <c r="DE452" s="457"/>
      <c r="DF452" s="457"/>
      <c r="DG452" s="457"/>
      <c r="DH452" s="457"/>
      <c r="DI452" s="457"/>
      <c r="DJ452" s="457"/>
      <c r="DK452" s="457"/>
      <c r="DL452" s="457"/>
      <c r="DM452" s="457"/>
      <c r="DN452" s="457"/>
      <c r="DO452" s="457"/>
      <c r="DP452" s="457"/>
      <c r="DQ452" s="457"/>
      <c r="DR452" s="457"/>
      <c r="DS452" s="457"/>
      <c r="DT452" s="457"/>
      <c r="DU452" s="457"/>
      <c r="DV452" s="457"/>
      <c r="DW452" s="457"/>
      <c r="DX452" s="457"/>
      <c r="DY452" s="457"/>
      <c r="DZ452" s="457"/>
      <c r="EA452" s="457"/>
      <c r="EB452" s="457"/>
      <c r="EC452" s="457"/>
      <c r="ED452" s="457"/>
      <c r="EE452" s="457"/>
      <c r="EF452" s="457"/>
      <c r="EG452" s="457"/>
      <c r="EH452" s="457"/>
      <c r="EI452" s="457"/>
      <c r="EJ452" s="457"/>
      <c r="EK452" s="457"/>
      <c r="EL452" s="457"/>
      <c r="EM452" s="457"/>
      <c r="EN452" s="457"/>
      <c r="EO452" s="457"/>
      <c r="EP452" s="457"/>
      <c r="EQ452" s="457"/>
      <c r="ER452" s="457"/>
      <c r="ES452" s="457"/>
      <c r="ET452" s="457"/>
      <c r="EU452" s="457"/>
      <c r="EV452" s="457"/>
      <c r="EW452" s="457"/>
      <c r="EX452" s="457"/>
      <c r="EY452" s="457"/>
      <c r="EZ452" s="457"/>
      <c r="FA452" s="457"/>
      <c r="FB452" s="457"/>
      <c r="FC452" s="457"/>
      <c r="FD452" s="457"/>
      <c r="FE452" s="457"/>
      <c r="FF452" s="457"/>
      <c r="FG452" s="457"/>
      <c r="FH452" s="457"/>
      <c r="FI452" s="457"/>
      <c r="FJ452" s="457"/>
      <c r="FK452" s="457"/>
      <c r="FL452" s="457"/>
      <c r="FM452" s="457"/>
      <c r="FN452" s="457"/>
      <c r="FO452" s="457"/>
      <c r="FP452" s="457"/>
      <c r="FQ452" s="457"/>
      <c r="FR452" s="457"/>
      <c r="FS452" s="457"/>
      <c r="FT452" s="457"/>
      <c r="FU452" s="457"/>
      <c r="FV452" s="457"/>
      <c r="FW452" s="457"/>
      <c r="FX452" s="457"/>
      <c r="FY452" s="457"/>
      <c r="FZ452" s="457"/>
      <c r="GA452" s="457"/>
      <c r="GB452" s="457"/>
      <c r="GC452" s="457"/>
      <c r="GD452" s="457"/>
      <c r="GE452" s="457"/>
      <c r="GF452" s="457"/>
      <c r="GG452" s="457"/>
      <c r="GH452" s="457"/>
      <c r="GI452" s="457"/>
      <c r="GJ452" s="457"/>
      <c r="GK452" s="457"/>
      <c r="GL452" s="457"/>
      <c r="GM452" s="457"/>
      <c r="GN452" s="457"/>
      <c r="GO452" s="457"/>
      <c r="GP452" s="457"/>
      <c r="GQ452" s="457"/>
      <c r="GR452" s="457"/>
      <c r="GS452" s="457"/>
      <c r="GT452" s="457"/>
      <c r="GU452" s="457"/>
      <c r="GV452" s="457"/>
      <c r="GW452" s="457"/>
      <c r="GX452" s="457"/>
      <c r="GY452" s="457"/>
      <c r="GZ452" s="457"/>
      <c r="HA452" s="457"/>
      <c r="HB452" s="457"/>
      <c r="HC452" s="457"/>
      <c r="HD452" s="457"/>
      <c r="HE452" s="457"/>
      <c r="HF452" s="457"/>
      <c r="HG452" s="457"/>
      <c r="HH452" s="457"/>
      <c r="HI452" s="457"/>
      <c r="HJ452" s="457"/>
      <c r="HK452" s="457"/>
      <c r="HL452" s="457"/>
      <c r="HM452" s="457"/>
      <c r="HN452" s="457"/>
      <c r="HO452" s="457"/>
      <c r="HP452" s="457"/>
      <c r="HQ452" s="457"/>
      <c r="HR452" s="457"/>
      <c r="HS452" s="457"/>
      <c r="HT452" s="457"/>
      <c r="HU452" s="457"/>
      <c r="HV452" s="457"/>
      <c r="HW452" s="457"/>
      <c r="HX452" s="457"/>
      <c r="HY452" s="457"/>
      <c r="HZ452" s="457"/>
      <c r="IA452" s="457"/>
      <c r="IB452" s="457"/>
      <c r="IC452" s="457"/>
      <c r="ID452" s="457"/>
      <c r="IE452" s="457"/>
      <c r="IF452" s="457"/>
      <c r="IG452" s="457"/>
      <c r="IH452" s="457"/>
      <c r="II452" s="457"/>
      <c r="IJ452" s="457"/>
      <c r="IK452" s="457"/>
      <c r="IL452" s="457"/>
      <c r="IM452" s="457"/>
      <c r="IN452" s="457"/>
      <c r="IO452" s="457"/>
      <c r="IP452" s="457"/>
      <c r="IQ452" s="457"/>
      <c r="IR452" s="457"/>
      <c r="IS452" s="457"/>
      <c r="IT452" s="457"/>
      <c r="IU452" s="457"/>
      <c r="IV452" s="457"/>
      <c r="IW452" s="457"/>
      <c r="IX452" s="457"/>
      <c r="IY452" s="457"/>
      <c r="IZ452" s="457"/>
      <c r="JA452" s="457"/>
      <c r="JB452" s="457"/>
      <c r="JC452" s="457"/>
      <c r="JD452" s="457"/>
      <c r="JE452" s="457"/>
      <c r="JF452" s="457"/>
      <c r="JG452" s="457"/>
      <c r="JH452" s="457"/>
      <c r="JI452" s="457"/>
      <c r="JJ452" s="457"/>
      <c r="JK452" s="457"/>
      <c r="JL452" s="457"/>
      <c r="JM452" s="457"/>
      <c r="JN452" s="457"/>
      <c r="JO452" s="457"/>
      <c r="JP452" s="457"/>
      <c r="JQ452" s="457"/>
      <c r="JR452" s="457"/>
      <c r="JS452" s="457"/>
      <c r="JT452" s="457"/>
      <c r="JU452" s="457"/>
      <c r="JV452" s="457"/>
      <c r="JW452" s="457"/>
      <c r="JX452" s="457"/>
      <c r="JY452" s="457"/>
      <c r="JZ452" s="457"/>
      <c r="KA452" s="457"/>
      <c r="KB452" s="457"/>
      <c r="KC452" s="457"/>
      <c r="KD452" s="457"/>
      <c r="KE452" s="457"/>
      <c r="KF452" s="457"/>
      <c r="KG452" s="457"/>
      <c r="KH452" s="457"/>
      <c r="KI452" s="457"/>
      <c r="KJ452" s="457"/>
      <c r="KK452" s="457"/>
      <c r="KL452" s="457"/>
      <c r="KM452" s="457"/>
      <c r="KN452" s="457"/>
      <c r="KO452" s="457"/>
      <c r="KP452" s="457"/>
      <c r="KQ452" s="457"/>
      <c r="KR452" s="457"/>
      <c r="KS452" s="457"/>
      <c r="KT452" s="457"/>
      <c r="KU452" s="457"/>
      <c r="KV452" s="457"/>
      <c r="KW452" s="457"/>
      <c r="KX452" s="457"/>
      <c r="KY452" s="457"/>
      <c r="KZ452" s="457"/>
      <c r="LA452" s="457"/>
      <c r="LB452" s="457"/>
      <c r="LC452" s="457"/>
      <c r="LD452" s="457"/>
      <c r="LE452" s="457"/>
      <c r="LF452" s="457"/>
      <c r="LG452" s="457"/>
      <c r="LH452" s="457"/>
      <c r="LI452" s="457"/>
      <c r="LJ452" s="457"/>
      <c r="LK452" s="457"/>
      <c r="LL452" s="457"/>
      <c r="LM452" s="457"/>
      <c r="LN452" s="457"/>
      <c r="LO452" s="457"/>
      <c r="LP452" s="457"/>
      <c r="LQ452" s="457"/>
      <c r="LR452" s="457"/>
      <c r="LS452" s="457"/>
      <c r="LT452" s="457"/>
      <c r="LU452" s="457"/>
      <c r="LV452" s="457"/>
      <c r="LW452" s="457"/>
      <c r="LX452" s="457"/>
      <c r="LY452" s="457"/>
      <c r="LZ452" s="457"/>
      <c r="MA452" s="457"/>
      <c r="MB452" s="457"/>
      <c r="MC452" s="457"/>
      <c r="MD452" s="457"/>
      <c r="ME452" s="457"/>
      <c r="MF452" s="457"/>
      <c r="MG452" s="457"/>
      <c r="MH452" s="457"/>
      <c r="MI452" s="457"/>
      <c r="MJ452" s="457"/>
      <c r="MK452" s="457"/>
      <c r="ML452" s="457"/>
      <c r="MM452" s="457"/>
      <c r="MN452" s="457"/>
      <c r="MO452" s="457"/>
      <c r="MP452" s="457"/>
      <c r="MQ452" s="457"/>
      <c r="MR452" s="457"/>
      <c r="MS452" s="457"/>
      <c r="MT452" s="457"/>
      <c r="MU452" s="457"/>
      <c r="MV452" s="457"/>
      <c r="MW452" s="457"/>
      <c r="MX452" s="457"/>
      <c r="MY452" s="457"/>
      <c r="MZ452" s="457"/>
      <c r="NA452" s="457"/>
      <c r="NB452" s="457"/>
      <c r="NC452" s="457"/>
      <c r="ND452" s="457"/>
      <c r="NE452" s="457"/>
      <c r="NF452" s="457"/>
      <c r="NG452" s="457"/>
      <c r="NH452" s="457"/>
      <c r="NI452" s="457"/>
      <c r="NJ452" s="457"/>
      <c r="NK452" s="457"/>
      <c r="NL452" s="457"/>
      <c r="NM452" s="457"/>
      <c r="NN452" s="457"/>
      <c r="NO452" s="457"/>
      <c r="NP452" s="457"/>
      <c r="NQ452" s="457"/>
      <c r="NR452" s="457"/>
      <c r="NS452" s="457"/>
      <c r="NT452" s="457"/>
      <c r="NU452" s="457"/>
      <c r="NV452" s="457"/>
      <c r="NW452" s="457"/>
      <c r="NX452" s="457"/>
      <c r="NY452" s="457"/>
      <c r="NZ452" s="457"/>
      <c r="OA452" s="457"/>
      <c r="OB452" s="457"/>
      <c r="OC452" s="457"/>
      <c r="OD452" s="457"/>
      <c r="OE452" s="457"/>
      <c r="OF452" s="457"/>
      <c r="OG452" s="457"/>
      <c r="OH452" s="457"/>
      <c r="OI452" s="457"/>
      <c r="OJ452" s="457"/>
      <c r="OK452" s="457"/>
      <c r="OL452" s="457"/>
      <c r="OM452" s="457"/>
      <c r="ON452" s="457"/>
      <c r="OO452" s="457"/>
      <c r="OP452" s="457"/>
      <c r="OQ452" s="457"/>
      <c r="OR452" s="457"/>
      <c r="OS452" s="457"/>
      <c r="OT452" s="457"/>
      <c r="OU452" s="457"/>
      <c r="OV452" s="457"/>
      <c r="OW452" s="457"/>
      <c r="OX452" s="457"/>
      <c r="OY452" s="457"/>
      <c r="OZ452" s="457"/>
      <c r="PA452" s="457"/>
      <c r="PB452" s="457"/>
      <c r="PC452" s="457"/>
      <c r="PD452" s="457"/>
      <c r="PE452" s="457"/>
      <c r="PF452" s="457"/>
      <c r="PG452" s="457"/>
      <c r="PH452" s="457"/>
      <c r="PI452" s="457"/>
      <c r="PJ452" s="457"/>
      <c r="PK452" s="457"/>
      <c r="PL452" s="457"/>
      <c r="PM452" s="457"/>
      <c r="PN452" s="457"/>
      <c r="PO452" s="457"/>
      <c r="PP452" s="457"/>
      <c r="PQ452" s="457"/>
      <c r="PR452" s="457"/>
      <c r="PS452" s="457"/>
      <c r="PT452" s="457"/>
      <c r="PU452" s="457"/>
      <c r="PV452" s="457"/>
      <c r="PW452" s="457"/>
      <c r="PX452" s="457"/>
      <c r="PY452" s="457"/>
      <c r="PZ452" s="457"/>
      <c r="QA452" s="457"/>
      <c r="QB452" s="457"/>
      <c r="QC452" s="457"/>
      <c r="QD452" s="457"/>
      <c r="QE452" s="457"/>
      <c r="QF452" s="457"/>
      <c r="QG452" s="457"/>
      <c r="QH452" s="457"/>
      <c r="QI452" s="457"/>
      <c r="QJ452" s="457"/>
      <c r="QK452" s="457"/>
      <c r="QL452" s="457"/>
      <c r="QM452" s="457"/>
      <c r="QN452" s="457"/>
      <c r="QO452" s="457"/>
      <c r="QP452" s="457"/>
      <c r="QQ452" s="457"/>
      <c r="QR452" s="457"/>
      <c r="QS452" s="457"/>
      <c r="QT452" s="457"/>
      <c r="QU452" s="457"/>
      <c r="QV452" s="457"/>
      <c r="QW452" s="457"/>
      <c r="QX452" s="457"/>
      <c r="QY452" s="457"/>
      <c r="QZ452" s="457"/>
      <c r="RA452" s="457"/>
      <c r="RB452" s="457"/>
      <c r="RC452" s="457"/>
      <c r="RD452" s="457"/>
      <c r="RE452" s="457"/>
      <c r="RF452" s="457"/>
      <c r="RG452" s="457"/>
      <c r="RH452" s="457"/>
      <c r="RI452" s="457"/>
      <c r="RJ452" s="457"/>
      <c r="RK452" s="457"/>
      <c r="RL452" s="457"/>
      <c r="RM452" s="457"/>
      <c r="RN452" s="457"/>
      <c r="RO452" s="457"/>
      <c r="RP452" s="457"/>
      <c r="RQ452" s="457"/>
      <c r="RR452" s="457"/>
      <c r="RS452" s="457"/>
      <c r="RT452" s="457"/>
      <c r="RU452" s="457"/>
      <c r="RV452" s="457"/>
      <c r="RW452" s="457"/>
      <c r="RX452" s="457"/>
      <c r="RY452" s="457"/>
      <c r="RZ452" s="457"/>
      <c r="SA452" s="457"/>
      <c r="SB452" s="457"/>
      <c r="SC452" s="457"/>
      <c r="SD452" s="457"/>
      <c r="SE452" s="457"/>
      <c r="SF452" s="457"/>
      <c r="SG452" s="457"/>
      <c r="SH452" s="457"/>
      <c r="SI452" s="457"/>
      <c r="SJ452" s="457"/>
      <c r="SK452" s="457"/>
      <c r="SL452" s="457"/>
      <c r="SM452" s="457"/>
      <c r="SN452" s="457"/>
      <c r="SO452" s="457"/>
      <c r="SP452" s="457"/>
      <c r="SQ452" s="457"/>
      <c r="SR452" s="457"/>
      <c r="SS452" s="457"/>
      <c r="ST452" s="457"/>
      <c r="SU452" s="457"/>
      <c r="SV452" s="457"/>
      <c r="SW452" s="457"/>
      <c r="SX452" s="457"/>
      <c r="SY452" s="457"/>
      <c r="SZ452" s="457"/>
      <c r="TA452" s="457"/>
      <c r="TB452" s="457"/>
      <c r="TC452" s="457"/>
      <c r="TD452" s="457"/>
      <c r="TE452" s="457"/>
      <c r="TF452" s="457"/>
      <c r="TG452" s="457"/>
      <c r="TH452" s="457"/>
      <c r="TI452" s="457"/>
      <c r="TJ452" s="457"/>
      <c r="TK452" s="457"/>
      <c r="TL452" s="457"/>
      <c r="TM452" s="457"/>
      <c r="TN452" s="457"/>
      <c r="TO452" s="457"/>
      <c r="TP452" s="457"/>
      <c r="TQ452" s="457"/>
      <c r="TR452" s="457"/>
      <c r="TS452" s="457"/>
      <c r="TT452" s="457"/>
      <c r="TU452" s="457"/>
      <c r="TV452" s="457"/>
      <c r="TW452" s="457"/>
      <c r="TX452" s="457"/>
      <c r="TY452" s="457"/>
      <c r="TZ452" s="457"/>
      <c r="UA452" s="457"/>
      <c r="UB452" s="457"/>
      <c r="UC452" s="457"/>
      <c r="UD452" s="457"/>
      <c r="UE452" s="457"/>
      <c r="UF452" s="457"/>
      <c r="UG452" s="457"/>
      <c r="UH452" s="457"/>
      <c r="UI452" s="457"/>
      <c r="UJ452" s="457"/>
      <c r="UK452" s="457"/>
      <c r="UL452" s="457"/>
      <c r="UM452" s="457"/>
      <c r="UN452" s="457"/>
      <c r="UO452" s="457"/>
      <c r="UP452" s="457"/>
      <c r="UQ452" s="457"/>
      <c r="UR452" s="457"/>
      <c r="US452" s="457"/>
      <c r="UT452" s="457"/>
      <c r="UU452" s="457"/>
      <c r="UV452" s="457"/>
      <c r="UW452" s="457"/>
      <c r="UX452" s="457"/>
      <c r="UY452" s="457"/>
      <c r="UZ452" s="457"/>
      <c r="VA452" s="457"/>
      <c r="VB452" s="457"/>
      <c r="VC452" s="457"/>
      <c r="VD452" s="457"/>
      <c r="VE452" s="457"/>
      <c r="VF452" s="457"/>
      <c r="VG452" s="457"/>
      <c r="VH452" s="457"/>
      <c r="VI452" s="457"/>
      <c r="VJ452" s="457"/>
      <c r="VK452" s="457"/>
      <c r="VL452" s="457"/>
      <c r="VM452" s="457"/>
      <c r="VN452" s="457"/>
      <c r="VO452" s="457"/>
      <c r="VP452" s="457"/>
      <c r="VQ452" s="457"/>
      <c r="VR452" s="457"/>
      <c r="VS452" s="457"/>
      <c r="VT452" s="457"/>
      <c r="VU452" s="457"/>
      <c r="VV452" s="457"/>
      <c r="VW452" s="457"/>
      <c r="VX452" s="457"/>
      <c r="VY452" s="457"/>
      <c r="VZ452" s="457"/>
      <c r="WA452" s="457"/>
      <c r="WB452" s="457"/>
      <c r="WC452" s="457"/>
      <c r="WD452" s="457"/>
      <c r="WE452" s="457"/>
      <c r="WF452" s="457"/>
      <c r="WG452" s="457"/>
      <c r="WH452" s="457"/>
      <c r="WI452" s="457"/>
      <c r="WJ452" s="457"/>
      <c r="WK452" s="457"/>
      <c r="WL452" s="457"/>
      <c r="WM452" s="457"/>
      <c r="WN452" s="457"/>
      <c r="WO452" s="457"/>
      <c r="WP452" s="457"/>
      <c r="WQ452" s="457"/>
      <c r="WR452" s="457"/>
      <c r="WS452" s="457"/>
      <c r="WT452" s="457"/>
      <c r="WU452" s="457"/>
      <c r="WV452" s="457"/>
      <c r="WW452" s="457"/>
      <c r="WX452" s="457"/>
      <c r="WY452" s="457"/>
      <c r="WZ452" s="457"/>
      <c r="XA452" s="457"/>
      <c r="XB452" s="457"/>
      <c r="XC452" s="457"/>
      <c r="XD452" s="457"/>
      <c r="XE452" s="457"/>
      <c r="XF452" s="457"/>
      <c r="XG452" s="457"/>
      <c r="XH452" s="457"/>
      <c r="XI452" s="457"/>
      <c r="XJ452" s="457"/>
      <c r="XK452" s="457"/>
      <c r="XL452" s="457"/>
      <c r="XM452" s="457"/>
      <c r="XN452" s="457"/>
      <c r="XO452" s="457"/>
      <c r="XP452" s="457"/>
      <c r="XQ452" s="457"/>
      <c r="XR452" s="457"/>
      <c r="XS452" s="457"/>
      <c r="XT452" s="457"/>
      <c r="XU452" s="457"/>
      <c r="XV452" s="457"/>
      <c r="XW452" s="457"/>
      <c r="XX452" s="457"/>
      <c r="XY452" s="457"/>
      <c r="XZ452" s="457"/>
      <c r="YA452" s="457"/>
      <c r="YB452" s="457"/>
      <c r="YC452" s="457"/>
      <c r="YD452" s="457"/>
      <c r="YE452" s="457"/>
      <c r="YF452" s="457"/>
      <c r="YG452" s="457"/>
      <c r="YH452" s="457"/>
      <c r="YI452" s="457"/>
      <c r="YJ452" s="457"/>
      <c r="YK452" s="457"/>
      <c r="YL452" s="457"/>
      <c r="YM452" s="457"/>
      <c r="YN452" s="457"/>
      <c r="YO452" s="457"/>
      <c r="YP452" s="457"/>
      <c r="YQ452" s="457"/>
      <c r="YR452" s="457"/>
      <c r="YS452" s="457"/>
      <c r="YT452" s="457"/>
      <c r="YU452" s="457"/>
      <c r="YV452" s="457"/>
      <c r="YW452" s="457"/>
      <c r="YX452" s="457"/>
      <c r="YY452" s="457"/>
      <c r="YZ452" s="457"/>
      <c r="ZA452" s="457"/>
      <c r="ZB452" s="457"/>
      <c r="ZC452" s="457"/>
      <c r="ZD452" s="457"/>
      <c r="ZE452" s="457"/>
      <c r="ZF452" s="457"/>
      <c r="ZG452" s="457"/>
      <c r="ZH452" s="457"/>
      <c r="ZI452" s="457"/>
      <c r="ZJ452" s="457"/>
      <c r="ZK452" s="457"/>
      <c r="ZL452" s="457"/>
      <c r="ZM452" s="457"/>
      <c r="ZN452" s="457"/>
      <c r="ZO452" s="457"/>
      <c r="ZP452" s="457"/>
      <c r="ZQ452" s="457"/>
      <c r="ZR452" s="457"/>
      <c r="ZS452" s="457"/>
      <c r="ZT452" s="457"/>
      <c r="ZU452" s="457"/>
      <c r="ZV452" s="457"/>
      <c r="ZW452" s="457"/>
      <c r="ZX452" s="457"/>
      <c r="ZY452" s="457"/>
      <c r="ZZ452" s="457"/>
      <c r="AAA452" s="457"/>
      <c r="AAB452" s="457"/>
      <c r="AAC452" s="457"/>
      <c r="AAD452" s="457"/>
      <c r="AAE452" s="457"/>
      <c r="AAF452" s="457"/>
      <c r="AAG452" s="457"/>
      <c r="AAH452" s="457"/>
      <c r="AAI452" s="457"/>
      <c r="AAJ452" s="457"/>
      <c r="AAK452" s="457"/>
      <c r="AAL452" s="457"/>
      <c r="AAM452" s="457"/>
      <c r="AAN452" s="457"/>
      <c r="AAO452" s="457"/>
      <c r="AAP452" s="457"/>
      <c r="AAQ452" s="457"/>
      <c r="AAR452" s="457"/>
      <c r="AAS452" s="457"/>
      <c r="AAT452" s="457"/>
      <c r="AAU452" s="457"/>
      <c r="AAV452" s="457"/>
      <c r="AAW452" s="457"/>
      <c r="AAX452" s="457"/>
      <c r="AAY452" s="457"/>
      <c r="AAZ452" s="457"/>
      <c r="ABA452" s="457"/>
      <c r="ABB452" s="457"/>
      <c r="ABC452" s="457"/>
      <c r="ABD452" s="457"/>
      <c r="ABE452" s="457"/>
      <c r="ABF452" s="457"/>
      <c r="ABG452" s="457"/>
      <c r="ABH452" s="457"/>
      <c r="ABI452" s="457"/>
      <c r="ABJ452" s="457"/>
      <c r="ABK452" s="457"/>
      <c r="ABL452" s="457"/>
      <c r="ABM452" s="457"/>
      <c r="ABN452" s="457"/>
      <c r="ABO452" s="457"/>
      <c r="ABP452" s="457"/>
      <c r="ABQ452" s="457"/>
      <c r="ABR452" s="457"/>
      <c r="ABS452" s="457"/>
      <c r="ABT452" s="457"/>
      <c r="ABU452" s="457"/>
      <c r="ABV452" s="457"/>
      <c r="ABW452" s="457"/>
      <c r="ABX452" s="457"/>
      <c r="ABY452" s="457"/>
      <c r="ABZ452" s="457"/>
      <c r="ACA452" s="457"/>
      <c r="ACB452" s="457"/>
      <c r="ACC452" s="457"/>
      <c r="ACD452" s="457"/>
      <c r="ACE452" s="457"/>
      <c r="ACF452" s="457"/>
      <c r="ACG452" s="457"/>
      <c r="ACH452" s="457"/>
      <c r="ACI452" s="457"/>
      <c r="ACJ452" s="457"/>
      <c r="ACK452" s="457"/>
      <c r="ACL452" s="457"/>
      <c r="ACM452" s="457"/>
      <c r="ACN452" s="457"/>
      <c r="ACO452" s="457"/>
      <c r="ACP452" s="457"/>
      <c r="ACQ452" s="457"/>
      <c r="ACR452" s="457"/>
      <c r="ACS452" s="457"/>
      <c r="ACT452" s="457"/>
      <c r="ACU452" s="457"/>
      <c r="ACV452" s="457"/>
    </row>
    <row r="453" spans="1:776" s="400" customFormat="1" x14ac:dyDescent="0.25">
      <c r="A453" s="470">
        <v>900166</v>
      </c>
      <c r="B453" s="237" t="s">
        <v>373</v>
      </c>
      <c r="C453" s="455"/>
      <c r="D453" s="454" t="s">
        <v>355</v>
      </c>
      <c r="E453" s="454">
        <v>1.63</v>
      </c>
      <c r="F453" s="469">
        <v>12.3</v>
      </c>
      <c r="G453" s="454">
        <v>0</v>
      </c>
      <c r="H453" s="454">
        <v>0.28000000000000003</v>
      </c>
      <c r="I453" s="456">
        <v>333.75</v>
      </c>
      <c r="J453" s="454">
        <v>126.6</v>
      </c>
      <c r="K453" s="454">
        <v>0</v>
      </c>
      <c r="L453" s="456">
        <v>187.2</v>
      </c>
      <c r="M453" s="454">
        <v>0</v>
      </c>
      <c r="N453" s="454">
        <v>3.74</v>
      </c>
      <c r="O453" s="454">
        <v>216.57</v>
      </c>
      <c r="P453" s="454">
        <v>64.58</v>
      </c>
      <c r="Q453" s="454">
        <v>38.130000000000003</v>
      </c>
      <c r="R453" s="454">
        <v>9.9999999999999995E-7</v>
      </c>
      <c r="S453" s="454">
        <v>9.9999999999999995E-7</v>
      </c>
      <c r="T453" s="454">
        <v>9.9999999999999995E-7</v>
      </c>
      <c r="U453" s="454">
        <v>0.01</v>
      </c>
      <c r="V453" s="454"/>
      <c r="W453" s="457">
        <v>0</v>
      </c>
      <c r="X453" s="457"/>
      <c r="Y453" s="457">
        <v>0</v>
      </c>
      <c r="Z453" s="457"/>
      <c r="AA453" s="457"/>
      <c r="AB453" s="457"/>
      <c r="AC453" s="457">
        <v>0.04</v>
      </c>
      <c r="AD453" s="457"/>
      <c r="AE453" s="457"/>
      <c r="AF453" s="457"/>
      <c r="AG453" s="457"/>
      <c r="AH453" s="457"/>
      <c r="AI453" s="457"/>
      <c r="AJ453" s="457"/>
      <c r="AK453" s="457"/>
      <c r="AL453" s="457"/>
      <c r="AM453" s="457"/>
      <c r="AN453" s="457"/>
      <c r="AO453" s="457"/>
      <c r="AP453" s="457"/>
      <c r="AQ453" s="457"/>
      <c r="AR453" s="457"/>
      <c r="AS453" s="457"/>
      <c r="AT453" s="457"/>
      <c r="AU453" s="457"/>
      <c r="AV453" s="457"/>
      <c r="AW453" s="457"/>
      <c r="AX453" s="457"/>
      <c r="AY453" s="457"/>
      <c r="AZ453" s="457"/>
      <c r="BA453" s="457"/>
      <c r="BB453" s="457"/>
      <c r="BC453" s="457"/>
      <c r="BD453" s="457"/>
      <c r="BE453" s="457"/>
      <c r="BF453" s="457"/>
      <c r="BG453" s="457"/>
      <c r="BH453" s="457"/>
      <c r="BI453" s="457"/>
      <c r="BJ453" s="457"/>
      <c r="BK453" s="457"/>
      <c r="BL453" s="457"/>
      <c r="BM453" s="457"/>
      <c r="BN453" s="457"/>
      <c r="BO453" s="457"/>
      <c r="BP453" s="457"/>
      <c r="BQ453" s="457"/>
      <c r="BR453" s="457"/>
      <c r="BS453" s="457"/>
      <c r="BT453" s="457"/>
      <c r="BU453" s="457"/>
      <c r="BV453" s="457"/>
      <c r="BW453" s="457"/>
      <c r="BX453" s="457"/>
      <c r="BY453" s="457"/>
      <c r="BZ453" s="457"/>
      <c r="CA453" s="457"/>
      <c r="CB453" s="457"/>
      <c r="CC453" s="457"/>
      <c r="CD453" s="457"/>
      <c r="CE453" s="457"/>
      <c r="CF453" s="457"/>
      <c r="CG453" s="457"/>
      <c r="CH453" s="457"/>
      <c r="CI453" s="457"/>
      <c r="CJ453" s="457"/>
      <c r="CK453" s="457"/>
      <c r="CL453" s="457"/>
      <c r="CM453" s="457"/>
      <c r="CN453" s="457"/>
      <c r="CO453" s="457"/>
      <c r="CP453" s="457"/>
      <c r="CQ453" s="457"/>
      <c r="CR453" s="457"/>
      <c r="CS453" s="457"/>
      <c r="CT453" s="457"/>
      <c r="CU453" s="457"/>
      <c r="CV453" s="457"/>
      <c r="CW453" s="457"/>
      <c r="CX453" s="457"/>
      <c r="CY453" s="457"/>
      <c r="CZ453" s="457"/>
      <c r="DA453" s="457"/>
      <c r="DB453" s="457"/>
      <c r="DC453" s="457"/>
      <c r="DD453" s="457"/>
      <c r="DE453" s="457"/>
      <c r="DF453" s="457"/>
      <c r="DG453" s="457"/>
      <c r="DH453" s="457"/>
      <c r="DI453" s="457"/>
      <c r="DJ453" s="457"/>
      <c r="DK453" s="457"/>
      <c r="DL453" s="457"/>
      <c r="DM453" s="457"/>
      <c r="DN453" s="457"/>
      <c r="DO453" s="457"/>
      <c r="DP453" s="457"/>
      <c r="DQ453" s="457"/>
      <c r="DR453" s="457"/>
      <c r="DS453" s="457"/>
      <c r="DT453" s="457"/>
      <c r="DU453" s="457"/>
      <c r="DV453" s="457"/>
      <c r="DW453" s="457"/>
      <c r="DX453" s="457"/>
      <c r="DY453" s="457"/>
      <c r="DZ453" s="457"/>
      <c r="EA453" s="457"/>
      <c r="EB453" s="457"/>
      <c r="EC453" s="457"/>
      <c r="ED453" s="457"/>
      <c r="EE453" s="457"/>
      <c r="EF453" s="457"/>
      <c r="EG453" s="457"/>
      <c r="EH453" s="457"/>
      <c r="EI453" s="457"/>
      <c r="EJ453" s="457"/>
      <c r="EK453" s="457"/>
      <c r="EL453" s="457"/>
      <c r="EM453" s="457"/>
      <c r="EN453" s="457"/>
      <c r="EO453" s="457"/>
      <c r="EP453" s="457"/>
      <c r="EQ453" s="457"/>
      <c r="ER453" s="457"/>
      <c r="ES453" s="457"/>
      <c r="ET453" s="457"/>
      <c r="EU453" s="457"/>
      <c r="EV453" s="457"/>
      <c r="EW453" s="457"/>
      <c r="EX453" s="457"/>
      <c r="EY453" s="457"/>
      <c r="EZ453" s="457"/>
      <c r="FA453" s="457"/>
      <c r="FB453" s="457"/>
      <c r="FC453" s="457"/>
      <c r="FD453" s="457"/>
      <c r="FE453" s="457"/>
      <c r="FF453" s="457"/>
      <c r="FG453" s="457"/>
      <c r="FH453" s="457"/>
      <c r="FI453" s="457"/>
      <c r="FJ453" s="457"/>
      <c r="FK453" s="457"/>
      <c r="FL453" s="457"/>
      <c r="FM453" s="457"/>
      <c r="FN453" s="457"/>
      <c r="FO453" s="457"/>
      <c r="FP453" s="457"/>
      <c r="FQ453" s="457"/>
      <c r="FR453" s="457"/>
      <c r="FS453" s="457"/>
      <c r="FT453" s="457"/>
      <c r="FU453" s="457"/>
      <c r="FV453" s="457"/>
      <c r="FW453" s="457"/>
      <c r="FX453" s="457"/>
      <c r="FY453" s="457"/>
      <c r="FZ453" s="457"/>
      <c r="GA453" s="457"/>
      <c r="GB453" s="457"/>
      <c r="GC453" s="457"/>
      <c r="GD453" s="457"/>
      <c r="GE453" s="457"/>
      <c r="GF453" s="457"/>
      <c r="GG453" s="457"/>
      <c r="GH453" s="457"/>
      <c r="GI453" s="457"/>
      <c r="GJ453" s="457"/>
      <c r="GK453" s="457"/>
      <c r="GL453" s="457"/>
      <c r="GM453" s="457"/>
      <c r="GN453" s="457"/>
      <c r="GO453" s="457"/>
      <c r="GP453" s="457"/>
      <c r="GQ453" s="457"/>
      <c r="GR453" s="457"/>
      <c r="GS453" s="457"/>
      <c r="GT453" s="457"/>
      <c r="GU453" s="457"/>
      <c r="GV453" s="457"/>
      <c r="GW453" s="457"/>
      <c r="GX453" s="457"/>
      <c r="GY453" s="457"/>
      <c r="GZ453" s="457"/>
      <c r="HA453" s="457"/>
      <c r="HB453" s="457"/>
      <c r="HC453" s="457"/>
      <c r="HD453" s="457"/>
      <c r="HE453" s="457"/>
      <c r="HF453" s="457"/>
      <c r="HG453" s="457"/>
      <c r="HH453" s="457"/>
      <c r="HI453" s="457"/>
      <c r="HJ453" s="457"/>
      <c r="HK453" s="457"/>
      <c r="HL453" s="457"/>
      <c r="HM453" s="457"/>
      <c r="HN453" s="457"/>
      <c r="HO453" s="457"/>
      <c r="HP453" s="457"/>
      <c r="HQ453" s="457"/>
      <c r="HR453" s="457"/>
      <c r="HS453" s="457"/>
      <c r="HT453" s="457"/>
      <c r="HU453" s="457"/>
      <c r="HV453" s="457"/>
      <c r="HW453" s="457"/>
      <c r="HX453" s="457"/>
      <c r="HY453" s="457"/>
      <c r="HZ453" s="457"/>
      <c r="IA453" s="457"/>
      <c r="IB453" s="457"/>
      <c r="IC453" s="457"/>
      <c r="ID453" s="457"/>
      <c r="IE453" s="457"/>
      <c r="IF453" s="457"/>
      <c r="IG453" s="457"/>
      <c r="IH453" s="457"/>
      <c r="II453" s="457"/>
      <c r="IJ453" s="457"/>
      <c r="IK453" s="457"/>
      <c r="IL453" s="457"/>
      <c r="IM453" s="457"/>
      <c r="IN453" s="457"/>
      <c r="IO453" s="457"/>
      <c r="IP453" s="457"/>
      <c r="IQ453" s="457"/>
      <c r="IR453" s="457"/>
      <c r="IS453" s="457"/>
      <c r="IT453" s="457"/>
      <c r="IU453" s="457"/>
      <c r="IV453" s="457"/>
      <c r="IW453" s="457"/>
      <c r="IX453" s="457"/>
      <c r="IY453" s="457"/>
      <c r="IZ453" s="457"/>
      <c r="JA453" s="457"/>
      <c r="JB453" s="457"/>
      <c r="JC453" s="457"/>
      <c r="JD453" s="457"/>
      <c r="JE453" s="457"/>
      <c r="JF453" s="457"/>
      <c r="JG453" s="457"/>
      <c r="JH453" s="457"/>
      <c r="JI453" s="457"/>
      <c r="JJ453" s="457"/>
      <c r="JK453" s="457"/>
      <c r="JL453" s="457"/>
      <c r="JM453" s="457"/>
      <c r="JN453" s="457"/>
      <c r="JO453" s="457"/>
      <c r="JP453" s="457"/>
      <c r="JQ453" s="457"/>
      <c r="JR453" s="457"/>
      <c r="JS453" s="457"/>
      <c r="JT453" s="457"/>
      <c r="JU453" s="457"/>
      <c r="JV453" s="457"/>
      <c r="JW453" s="457"/>
      <c r="JX453" s="457"/>
      <c r="JY453" s="457"/>
      <c r="JZ453" s="457"/>
      <c r="KA453" s="457"/>
      <c r="KB453" s="457"/>
      <c r="KC453" s="457"/>
      <c r="KD453" s="457"/>
      <c r="KE453" s="457"/>
      <c r="KF453" s="457"/>
      <c r="KG453" s="457"/>
      <c r="KH453" s="457"/>
      <c r="KI453" s="457"/>
      <c r="KJ453" s="457"/>
      <c r="KK453" s="457"/>
      <c r="KL453" s="457"/>
      <c r="KM453" s="457"/>
      <c r="KN453" s="457"/>
      <c r="KO453" s="457"/>
      <c r="KP453" s="457"/>
      <c r="KQ453" s="457"/>
      <c r="KR453" s="457"/>
      <c r="KS453" s="457"/>
      <c r="KT453" s="457"/>
      <c r="KU453" s="457"/>
      <c r="KV453" s="457"/>
      <c r="KW453" s="457"/>
      <c r="KX453" s="457"/>
      <c r="KY453" s="457"/>
      <c r="KZ453" s="457"/>
      <c r="LA453" s="457"/>
      <c r="LB453" s="457"/>
      <c r="LC453" s="457"/>
      <c r="LD453" s="457"/>
      <c r="LE453" s="457"/>
      <c r="LF453" s="457"/>
      <c r="LG453" s="457"/>
      <c r="LH453" s="457"/>
      <c r="LI453" s="457"/>
      <c r="LJ453" s="457"/>
      <c r="LK453" s="457"/>
      <c r="LL453" s="457"/>
      <c r="LM453" s="457"/>
      <c r="LN453" s="457"/>
      <c r="LO453" s="457"/>
      <c r="LP453" s="457"/>
      <c r="LQ453" s="457"/>
      <c r="LR453" s="457"/>
      <c r="LS453" s="457"/>
      <c r="LT453" s="457"/>
      <c r="LU453" s="457"/>
      <c r="LV453" s="457"/>
      <c r="LW453" s="457"/>
      <c r="LX453" s="457"/>
      <c r="LY453" s="457"/>
      <c r="LZ453" s="457"/>
      <c r="MA453" s="457"/>
      <c r="MB453" s="457"/>
      <c r="MC453" s="457"/>
      <c r="MD453" s="457"/>
      <c r="ME453" s="457"/>
      <c r="MF453" s="457"/>
      <c r="MG453" s="457"/>
      <c r="MH453" s="457"/>
      <c r="MI453" s="457"/>
      <c r="MJ453" s="457"/>
      <c r="MK453" s="457"/>
      <c r="ML453" s="457"/>
      <c r="MM453" s="457"/>
      <c r="MN453" s="457"/>
      <c r="MO453" s="457"/>
      <c r="MP453" s="457"/>
      <c r="MQ453" s="457"/>
      <c r="MR453" s="457"/>
      <c r="MS453" s="457"/>
      <c r="MT453" s="457"/>
      <c r="MU453" s="457"/>
      <c r="MV453" s="457"/>
      <c r="MW453" s="457"/>
      <c r="MX453" s="457"/>
      <c r="MY453" s="457"/>
      <c r="MZ453" s="457"/>
      <c r="NA453" s="457"/>
      <c r="NB453" s="457"/>
      <c r="NC453" s="457"/>
      <c r="ND453" s="457"/>
      <c r="NE453" s="457"/>
      <c r="NF453" s="457"/>
      <c r="NG453" s="457"/>
      <c r="NH453" s="457"/>
      <c r="NI453" s="457"/>
      <c r="NJ453" s="457"/>
      <c r="NK453" s="457"/>
      <c r="NL453" s="457"/>
      <c r="NM453" s="457"/>
      <c r="NN453" s="457"/>
      <c r="NO453" s="457"/>
      <c r="NP453" s="457"/>
      <c r="NQ453" s="457"/>
      <c r="NR453" s="457"/>
      <c r="NS453" s="457"/>
      <c r="NT453" s="457"/>
      <c r="NU453" s="457"/>
      <c r="NV453" s="457"/>
      <c r="NW453" s="457"/>
      <c r="NX453" s="457"/>
      <c r="NY453" s="457"/>
      <c r="NZ453" s="457"/>
      <c r="OA453" s="457"/>
      <c r="OB453" s="457"/>
      <c r="OC453" s="457"/>
      <c r="OD453" s="457"/>
      <c r="OE453" s="457"/>
      <c r="OF453" s="457"/>
      <c r="OG453" s="457"/>
      <c r="OH453" s="457"/>
      <c r="OI453" s="457"/>
      <c r="OJ453" s="457"/>
      <c r="OK453" s="457"/>
      <c r="OL453" s="457"/>
      <c r="OM453" s="457"/>
      <c r="ON453" s="457"/>
      <c r="OO453" s="457"/>
      <c r="OP453" s="457"/>
      <c r="OQ453" s="457"/>
      <c r="OR453" s="457"/>
      <c r="OS453" s="457"/>
      <c r="OT453" s="457"/>
      <c r="OU453" s="457"/>
      <c r="OV453" s="457"/>
      <c r="OW453" s="457"/>
      <c r="OX453" s="457"/>
      <c r="OY453" s="457"/>
      <c r="OZ453" s="457"/>
      <c r="PA453" s="457"/>
      <c r="PB453" s="457"/>
      <c r="PC453" s="457"/>
      <c r="PD453" s="457"/>
      <c r="PE453" s="457"/>
      <c r="PF453" s="457"/>
      <c r="PG453" s="457"/>
      <c r="PH453" s="457"/>
      <c r="PI453" s="457"/>
      <c r="PJ453" s="457"/>
      <c r="PK453" s="457"/>
      <c r="PL453" s="457"/>
      <c r="PM453" s="457"/>
      <c r="PN453" s="457"/>
      <c r="PO453" s="457"/>
      <c r="PP453" s="457"/>
      <c r="PQ453" s="457"/>
      <c r="PR453" s="457"/>
      <c r="PS453" s="457"/>
      <c r="PT453" s="457"/>
      <c r="PU453" s="457"/>
      <c r="PV453" s="457"/>
      <c r="PW453" s="457"/>
      <c r="PX453" s="457"/>
      <c r="PY453" s="457"/>
      <c r="PZ453" s="457"/>
      <c r="QA453" s="457"/>
      <c r="QB453" s="457"/>
      <c r="QC453" s="457"/>
      <c r="QD453" s="457"/>
      <c r="QE453" s="457"/>
      <c r="QF453" s="457"/>
      <c r="QG453" s="457"/>
      <c r="QH453" s="457"/>
      <c r="QI453" s="457"/>
      <c r="QJ453" s="457"/>
      <c r="QK453" s="457"/>
      <c r="QL453" s="457"/>
      <c r="QM453" s="457"/>
      <c r="QN453" s="457"/>
      <c r="QO453" s="457"/>
      <c r="QP453" s="457"/>
      <c r="QQ453" s="457"/>
      <c r="QR453" s="457"/>
      <c r="QS453" s="457"/>
      <c r="QT453" s="457"/>
      <c r="QU453" s="457"/>
      <c r="QV453" s="457"/>
      <c r="QW453" s="457"/>
      <c r="QX453" s="457"/>
      <c r="QY453" s="457"/>
      <c r="QZ453" s="457"/>
      <c r="RA453" s="457"/>
      <c r="RB453" s="457"/>
      <c r="RC453" s="457"/>
      <c r="RD453" s="457"/>
      <c r="RE453" s="457"/>
      <c r="RF453" s="457"/>
      <c r="RG453" s="457"/>
      <c r="RH453" s="457"/>
      <c r="RI453" s="457"/>
      <c r="RJ453" s="457"/>
      <c r="RK453" s="457"/>
      <c r="RL453" s="457"/>
      <c r="RM453" s="457"/>
      <c r="RN453" s="457"/>
      <c r="RO453" s="457"/>
      <c r="RP453" s="457"/>
      <c r="RQ453" s="457"/>
      <c r="RR453" s="457"/>
      <c r="RS453" s="457"/>
      <c r="RT453" s="457"/>
      <c r="RU453" s="457"/>
      <c r="RV453" s="457"/>
      <c r="RW453" s="457"/>
      <c r="RX453" s="457"/>
      <c r="RY453" s="457"/>
      <c r="RZ453" s="457"/>
      <c r="SA453" s="457"/>
      <c r="SB453" s="457"/>
      <c r="SC453" s="457"/>
      <c r="SD453" s="457"/>
      <c r="SE453" s="457"/>
      <c r="SF453" s="457"/>
      <c r="SG453" s="457"/>
      <c r="SH453" s="457"/>
      <c r="SI453" s="457"/>
      <c r="SJ453" s="457"/>
      <c r="SK453" s="457"/>
      <c r="SL453" s="457"/>
      <c r="SM453" s="457"/>
      <c r="SN453" s="457"/>
      <c r="SO453" s="457"/>
      <c r="SP453" s="457"/>
      <c r="SQ453" s="457"/>
      <c r="SR453" s="457"/>
      <c r="SS453" s="457"/>
      <c r="ST453" s="457"/>
      <c r="SU453" s="457"/>
      <c r="SV453" s="457"/>
      <c r="SW453" s="457"/>
      <c r="SX453" s="457"/>
      <c r="SY453" s="457"/>
      <c r="SZ453" s="457"/>
      <c r="TA453" s="457"/>
      <c r="TB453" s="457"/>
      <c r="TC453" s="457"/>
      <c r="TD453" s="457"/>
      <c r="TE453" s="457"/>
      <c r="TF453" s="457"/>
      <c r="TG453" s="457"/>
      <c r="TH453" s="457"/>
      <c r="TI453" s="457"/>
      <c r="TJ453" s="457"/>
      <c r="TK453" s="457"/>
      <c r="TL453" s="457"/>
      <c r="TM453" s="457"/>
      <c r="TN453" s="457"/>
      <c r="TO453" s="457"/>
      <c r="TP453" s="457"/>
      <c r="TQ453" s="457"/>
      <c r="TR453" s="457"/>
      <c r="TS453" s="457"/>
      <c r="TT453" s="457"/>
      <c r="TU453" s="457"/>
      <c r="TV453" s="457"/>
      <c r="TW453" s="457"/>
      <c r="TX453" s="457"/>
      <c r="TY453" s="457"/>
      <c r="TZ453" s="457"/>
      <c r="UA453" s="457"/>
      <c r="UB453" s="457"/>
      <c r="UC453" s="457"/>
      <c r="UD453" s="457"/>
      <c r="UE453" s="457"/>
      <c r="UF453" s="457"/>
      <c r="UG453" s="457"/>
      <c r="UH453" s="457"/>
      <c r="UI453" s="457"/>
      <c r="UJ453" s="457"/>
      <c r="UK453" s="457"/>
      <c r="UL453" s="457"/>
      <c r="UM453" s="457"/>
      <c r="UN453" s="457"/>
      <c r="UO453" s="457"/>
      <c r="UP453" s="457"/>
      <c r="UQ453" s="457"/>
      <c r="UR453" s="457"/>
      <c r="US453" s="457"/>
      <c r="UT453" s="457"/>
      <c r="UU453" s="457"/>
      <c r="UV453" s="457"/>
      <c r="UW453" s="457"/>
      <c r="UX453" s="457"/>
      <c r="UY453" s="457"/>
      <c r="UZ453" s="457"/>
      <c r="VA453" s="457"/>
      <c r="VB453" s="457"/>
      <c r="VC453" s="457"/>
      <c r="VD453" s="457"/>
      <c r="VE453" s="457"/>
      <c r="VF453" s="457"/>
      <c r="VG453" s="457"/>
      <c r="VH453" s="457"/>
      <c r="VI453" s="457"/>
      <c r="VJ453" s="457"/>
      <c r="VK453" s="457"/>
      <c r="VL453" s="457"/>
      <c r="VM453" s="457"/>
      <c r="VN453" s="457"/>
      <c r="VO453" s="457"/>
      <c r="VP453" s="457"/>
      <c r="VQ453" s="457"/>
      <c r="VR453" s="457"/>
      <c r="VS453" s="457"/>
      <c r="VT453" s="457"/>
      <c r="VU453" s="457"/>
      <c r="VV453" s="457"/>
      <c r="VW453" s="457"/>
      <c r="VX453" s="457"/>
      <c r="VY453" s="457"/>
      <c r="VZ453" s="457"/>
      <c r="WA453" s="457"/>
      <c r="WB453" s="457"/>
      <c r="WC453" s="457"/>
      <c r="WD453" s="457"/>
      <c r="WE453" s="457"/>
      <c r="WF453" s="457"/>
      <c r="WG453" s="457"/>
      <c r="WH453" s="457"/>
      <c r="WI453" s="457"/>
      <c r="WJ453" s="457"/>
      <c r="WK453" s="457"/>
      <c r="WL453" s="457"/>
      <c r="WM453" s="457"/>
      <c r="WN453" s="457"/>
      <c r="WO453" s="457"/>
      <c r="WP453" s="457"/>
      <c r="WQ453" s="457"/>
      <c r="WR453" s="457"/>
      <c r="WS453" s="457"/>
      <c r="WT453" s="457"/>
      <c r="WU453" s="457"/>
      <c r="WV453" s="457"/>
      <c r="WW453" s="457"/>
      <c r="WX453" s="457"/>
      <c r="WY453" s="457"/>
      <c r="WZ453" s="457"/>
      <c r="XA453" s="457"/>
      <c r="XB453" s="457"/>
      <c r="XC453" s="457"/>
      <c r="XD453" s="457"/>
      <c r="XE453" s="457"/>
      <c r="XF453" s="457"/>
      <c r="XG453" s="457"/>
      <c r="XH453" s="457"/>
      <c r="XI453" s="457"/>
      <c r="XJ453" s="457"/>
      <c r="XK453" s="457"/>
      <c r="XL453" s="457"/>
      <c r="XM453" s="457"/>
      <c r="XN453" s="457"/>
      <c r="XO453" s="457"/>
      <c r="XP453" s="457"/>
      <c r="XQ453" s="457"/>
      <c r="XR453" s="457"/>
      <c r="XS453" s="457"/>
      <c r="XT453" s="457"/>
      <c r="XU453" s="457"/>
      <c r="XV453" s="457"/>
      <c r="XW453" s="457"/>
      <c r="XX453" s="457"/>
      <c r="XY453" s="457"/>
      <c r="XZ453" s="457"/>
      <c r="YA453" s="457"/>
      <c r="YB453" s="457"/>
      <c r="YC453" s="457"/>
      <c r="YD453" s="457"/>
      <c r="YE453" s="457"/>
      <c r="YF453" s="457"/>
      <c r="YG453" s="457"/>
      <c r="YH453" s="457"/>
      <c r="YI453" s="457"/>
      <c r="YJ453" s="457"/>
      <c r="YK453" s="457"/>
      <c r="YL453" s="457"/>
      <c r="YM453" s="457"/>
      <c r="YN453" s="457"/>
      <c r="YO453" s="457"/>
      <c r="YP453" s="457"/>
      <c r="YQ453" s="457"/>
      <c r="YR453" s="457"/>
      <c r="YS453" s="457"/>
      <c r="YT453" s="457"/>
      <c r="YU453" s="457"/>
      <c r="YV453" s="457"/>
      <c r="YW453" s="457"/>
      <c r="YX453" s="457"/>
      <c r="YY453" s="457"/>
      <c r="YZ453" s="457"/>
      <c r="ZA453" s="457"/>
      <c r="ZB453" s="457"/>
      <c r="ZC453" s="457"/>
      <c r="ZD453" s="457"/>
      <c r="ZE453" s="457"/>
      <c r="ZF453" s="457"/>
      <c r="ZG453" s="457"/>
      <c r="ZH453" s="457"/>
      <c r="ZI453" s="457"/>
      <c r="ZJ453" s="457"/>
      <c r="ZK453" s="457"/>
      <c r="ZL453" s="457"/>
      <c r="ZM453" s="457"/>
      <c r="ZN453" s="457"/>
      <c r="ZO453" s="457"/>
      <c r="ZP453" s="457"/>
      <c r="ZQ453" s="457"/>
      <c r="ZR453" s="457"/>
      <c r="ZS453" s="457"/>
      <c r="ZT453" s="457"/>
      <c r="ZU453" s="457"/>
      <c r="ZV453" s="457"/>
      <c r="ZW453" s="457"/>
      <c r="ZX453" s="457"/>
      <c r="ZY453" s="457"/>
      <c r="ZZ453" s="457"/>
      <c r="AAA453" s="457"/>
      <c r="AAB453" s="457"/>
      <c r="AAC453" s="457"/>
      <c r="AAD453" s="457"/>
      <c r="AAE453" s="457"/>
      <c r="AAF453" s="457"/>
      <c r="AAG453" s="457"/>
      <c r="AAH453" s="457"/>
      <c r="AAI453" s="457"/>
      <c r="AAJ453" s="457"/>
      <c r="AAK453" s="457"/>
      <c r="AAL453" s="457"/>
      <c r="AAM453" s="457"/>
      <c r="AAN453" s="457"/>
      <c r="AAO453" s="457"/>
      <c r="AAP453" s="457"/>
      <c r="AAQ453" s="457"/>
      <c r="AAR453" s="457"/>
      <c r="AAS453" s="457"/>
      <c r="AAT453" s="457"/>
      <c r="AAU453" s="457"/>
      <c r="AAV453" s="457"/>
      <c r="AAW453" s="457"/>
      <c r="AAX453" s="457"/>
      <c r="AAY453" s="457"/>
      <c r="AAZ453" s="457"/>
      <c r="ABA453" s="457"/>
      <c r="ABB453" s="457"/>
      <c r="ABC453" s="457"/>
      <c r="ABD453" s="457"/>
      <c r="ABE453" s="457"/>
      <c r="ABF453" s="457"/>
      <c r="ABG453" s="457"/>
      <c r="ABH453" s="457"/>
      <c r="ABI453" s="457"/>
      <c r="ABJ453" s="457"/>
      <c r="ABK453" s="457"/>
      <c r="ABL453" s="457"/>
      <c r="ABM453" s="457"/>
      <c r="ABN453" s="457"/>
      <c r="ABO453" s="457"/>
      <c r="ABP453" s="457"/>
      <c r="ABQ453" s="457"/>
      <c r="ABR453" s="457"/>
      <c r="ABS453" s="457"/>
      <c r="ABT453" s="457"/>
      <c r="ABU453" s="457"/>
      <c r="ABV453" s="457"/>
      <c r="ABW453" s="457"/>
      <c r="ABX453" s="457"/>
      <c r="ABY453" s="457"/>
      <c r="ABZ453" s="457"/>
      <c r="ACA453" s="457"/>
      <c r="ACB453" s="457"/>
      <c r="ACC453" s="457"/>
      <c r="ACD453" s="457"/>
      <c r="ACE453" s="457"/>
      <c r="ACF453" s="457"/>
      <c r="ACG453" s="457"/>
      <c r="ACH453" s="457"/>
      <c r="ACI453" s="457"/>
      <c r="ACJ453" s="457"/>
      <c r="ACK453" s="457"/>
      <c r="ACL453" s="457"/>
      <c r="ACM453" s="457"/>
      <c r="ACN453" s="457"/>
      <c r="ACO453" s="457"/>
      <c r="ACP453" s="457"/>
      <c r="ACQ453" s="457"/>
      <c r="ACR453" s="457"/>
      <c r="ACS453" s="457"/>
      <c r="ACT453" s="457"/>
      <c r="ACU453" s="457"/>
      <c r="ACV453" s="457"/>
    </row>
    <row r="454" spans="1:776" s="400" customFormat="1" x14ac:dyDescent="0.25">
      <c r="A454" s="470">
        <v>900167</v>
      </c>
      <c r="B454" s="237" t="s">
        <v>374</v>
      </c>
      <c r="C454" s="455"/>
      <c r="D454" s="454" t="s">
        <v>375</v>
      </c>
      <c r="E454" s="454">
        <v>1.7</v>
      </c>
      <c r="F454" s="458">
        <v>84.2</v>
      </c>
      <c r="G454" s="454">
        <v>0</v>
      </c>
      <c r="H454" s="454">
        <v>0.31</v>
      </c>
      <c r="I454" s="456">
        <v>267.02</v>
      </c>
      <c r="J454" s="454">
        <v>104.05</v>
      </c>
      <c r="K454" s="454">
        <v>6.1199999999999997E-2</v>
      </c>
      <c r="L454" s="456">
        <v>403.2</v>
      </c>
      <c r="M454" s="454">
        <v>0</v>
      </c>
      <c r="N454" s="454">
        <v>7.07</v>
      </c>
      <c r="O454" s="454">
        <v>182.33</v>
      </c>
      <c r="P454" s="454">
        <v>91.83</v>
      </c>
      <c r="Q454" s="454">
        <v>58.22</v>
      </c>
      <c r="R454" s="454">
        <v>9.9999999999999995E-7</v>
      </c>
      <c r="S454" s="454">
        <v>9.9999999999999995E-7</v>
      </c>
      <c r="T454" s="454">
        <v>9.9999999999999995E-7</v>
      </c>
      <c r="U454" s="454">
        <v>9.9999999999999995E-7</v>
      </c>
      <c r="V454" s="454"/>
      <c r="W454" s="457"/>
      <c r="X454" s="457"/>
      <c r="Y454" s="457"/>
      <c r="Z454" s="457"/>
      <c r="AA454" s="457"/>
      <c r="AB454" s="457"/>
      <c r="AC454" s="457"/>
      <c r="AD454" s="457"/>
      <c r="AE454" s="457"/>
      <c r="AF454" s="457"/>
      <c r="AG454" s="457"/>
      <c r="AH454" s="457"/>
      <c r="AI454" s="457"/>
      <c r="AJ454" s="457"/>
      <c r="AK454" s="457"/>
      <c r="AL454" s="457"/>
      <c r="AM454" s="457"/>
      <c r="AN454" s="457"/>
      <c r="AO454" s="457"/>
      <c r="AP454" s="457"/>
      <c r="AQ454" s="457"/>
      <c r="AR454" s="457"/>
      <c r="AS454" s="457"/>
      <c r="AT454" s="457"/>
      <c r="AU454" s="457"/>
      <c r="AV454" s="457"/>
      <c r="AW454" s="457"/>
      <c r="AX454" s="457"/>
      <c r="AY454" s="457"/>
      <c r="AZ454" s="457"/>
      <c r="BA454" s="457"/>
      <c r="BB454" s="457"/>
      <c r="BC454" s="457"/>
      <c r="BD454" s="457"/>
      <c r="BE454" s="457"/>
      <c r="BF454" s="457"/>
      <c r="BG454" s="457"/>
      <c r="BH454" s="457"/>
      <c r="BI454" s="457"/>
      <c r="BJ454" s="457"/>
      <c r="BK454" s="457"/>
      <c r="BL454" s="457"/>
      <c r="BM454" s="457"/>
      <c r="BN454" s="457"/>
      <c r="BO454" s="457"/>
      <c r="BP454" s="457"/>
      <c r="BQ454" s="457"/>
      <c r="BR454" s="457"/>
      <c r="BS454" s="457"/>
      <c r="BT454" s="457"/>
      <c r="BU454" s="457"/>
      <c r="BV454" s="457"/>
      <c r="BW454" s="457"/>
      <c r="BX454" s="457"/>
      <c r="BY454" s="457"/>
      <c r="BZ454" s="457"/>
      <c r="CA454" s="457"/>
      <c r="CB454" s="457"/>
      <c r="CC454" s="457"/>
      <c r="CD454" s="457"/>
      <c r="CE454" s="457"/>
      <c r="CF454" s="457"/>
      <c r="CG454" s="457"/>
      <c r="CH454" s="457"/>
      <c r="CI454" s="457"/>
      <c r="CJ454" s="457"/>
      <c r="CK454" s="457"/>
      <c r="CL454" s="457"/>
      <c r="CM454" s="457"/>
      <c r="CN454" s="457"/>
      <c r="CO454" s="457"/>
      <c r="CP454" s="457"/>
      <c r="CQ454" s="457"/>
      <c r="CR454" s="457"/>
      <c r="CS454" s="457"/>
      <c r="CT454" s="457"/>
      <c r="CU454" s="457"/>
      <c r="CV454" s="457"/>
      <c r="CW454" s="457"/>
      <c r="CX454" s="457"/>
      <c r="CY454" s="457"/>
      <c r="CZ454" s="457"/>
      <c r="DA454" s="457"/>
      <c r="DB454" s="457"/>
      <c r="DC454" s="457"/>
      <c r="DD454" s="457"/>
      <c r="DE454" s="457"/>
      <c r="DF454" s="457"/>
      <c r="DG454" s="457"/>
      <c r="DH454" s="457"/>
      <c r="DI454" s="457"/>
      <c r="DJ454" s="457"/>
      <c r="DK454" s="457"/>
      <c r="DL454" s="457"/>
      <c r="DM454" s="457"/>
      <c r="DN454" s="457"/>
      <c r="DO454" s="457"/>
      <c r="DP454" s="457"/>
      <c r="DQ454" s="457"/>
      <c r="DR454" s="457"/>
      <c r="DS454" s="457"/>
      <c r="DT454" s="457"/>
      <c r="DU454" s="457"/>
      <c r="DV454" s="457"/>
      <c r="DW454" s="457"/>
      <c r="DX454" s="457"/>
      <c r="DY454" s="457"/>
      <c r="DZ454" s="457"/>
      <c r="EA454" s="457"/>
      <c r="EB454" s="457"/>
      <c r="EC454" s="457"/>
      <c r="ED454" s="457"/>
      <c r="EE454" s="457"/>
      <c r="EF454" s="457"/>
      <c r="EG454" s="457"/>
      <c r="EH454" s="457"/>
      <c r="EI454" s="457"/>
      <c r="EJ454" s="457"/>
      <c r="EK454" s="457"/>
      <c r="EL454" s="457"/>
      <c r="EM454" s="457"/>
      <c r="EN454" s="457"/>
      <c r="EO454" s="457"/>
      <c r="EP454" s="457"/>
      <c r="EQ454" s="457"/>
      <c r="ER454" s="457"/>
      <c r="ES454" s="457"/>
      <c r="ET454" s="457"/>
      <c r="EU454" s="457"/>
      <c r="EV454" s="457"/>
      <c r="EW454" s="457"/>
      <c r="EX454" s="457"/>
      <c r="EY454" s="457"/>
      <c r="EZ454" s="457"/>
      <c r="FA454" s="457"/>
      <c r="FB454" s="457"/>
      <c r="FC454" s="457"/>
      <c r="FD454" s="457"/>
      <c r="FE454" s="457"/>
      <c r="FF454" s="457"/>
      <c r="FG454" s="457"/>
      <c r="FH454" s="457"/>
      <c r="FI454" s="457"/>
      <c r="FJ454" s="457"/>
      <c r="FK454" s="457"/>
      <c r="FL454" s="457"/>
      <c r="FM454" s="457"/>
      <c r="FN454" s="457"/>
      <c r="FO454" s="457"/>
      <c r="FP454" s="457"/>
      <c r="FQ454" s="457"/>
      <c r="FR454" s="457"/>
      <c r="FS454" s="457"/>
      <c r="FT454" s="457"/>
      <c r="FU454" s="457"/>
      <c r="FV454" s="457"/>
      <c r="FW454" s="457"/>
      <c r="FX454" s="457"/>
      <c r="FY454" s="457"/>
      <c r="FZ454" s="457"/>
      <c r="GA454" s="457"/>
      <c r="GB454" s="457"/>
      <c r="GC454" s="457"/>
      <c r="GD454" s="457"/>
      <c r="GE454" s="457"/>
      <c r="GF454" s="457"/>
      <c r="GG454" s="457"/>
      <c r="GH454" s="457"/>
      <c r="GI454" s="457"/>
      <c r="GJ454" s="457"/>
      <c r="GK454" s="457"/>
      <c r="GL454" s="457"/>
      <c r="GM454" s="457"/>
      <c r="GN454" s="457"/>
      <c r="GO454" s="457"/>
      <c r="GP454" s="457"/>
      <c r="GQ454" s="457"/>
      <c r="GR454" s="457"/>
      <c r="GS454" s="457"/>
      <c r="GT454" s="457"/>
      <c r="GU454" s="457"/>
      <c r="GV454" s="457"/>
      <c r="GW454" s="457"/>
      <c r="GX454" s="457"/>
      <c r="GY454" s="457"/>
      <c r="GZ454" s="457"/>
      <c r="HA454" s="457"/>
      <c r="HB454" s="457"/>
      <c r="HC454" s="457"/>
      <c r="HD454" s="457"/>
      <c r="HE454" s="457"/>
      <c r="HF454" s="457"/>
      <c r="HG454" s="457"/>
      <c r="HH454" s="457"/>
      <c r="HI454" s="457"/>
      <c r="HJ454" s="457"/>
      <c r="HK454" s="457"/>
      <c r="HL454" s="457"/>
      <c r="HM454" s="457"/>
      <c r="HN454" s="457"/>
      <c r="HO454" s="457"/>
      <c r="HP454" s="457"/>
      <c r="HQ454" s="457"/>
      <c r="HR454" s="457"/>
      <c r="HS454" s="457"/>
      <c r="HT454" s="457"/>
      <c r="HU454" s="457"/>
      <c r="HV454" s="457"/>
      <c r="HW454" s="457"/>
      <c r="HX454" s="457"/>
      <c r="HY454" s="457"/>
      <c r="HZ454" s="457"/>
      <c r="IA454" s="457"/>
      <c r="IB454" s="457"/>
      <c r="IC454" s="457"/>
      <c r="ID454" s="457"/>
      <c r="IE454" s="457"/>
      <c r="IF454" s="457"/>
      <c r="IG454" s="457"/>
      <c r="IH454" s="457"/>
      <c r="II454" s="457"/>
      <c r="IJ454" s="457"/>
      <c r="IK454" s="457"/>
      <c r="IL454" s="457"/>
      <c r="IM454" s="457"/>
      <c r="IN454" s="457"/>
      <c r="IO454" s="457"/>
      <c r="IP454" s="457"/>
      <c r="IQ454" s="457"/>
      <c r="IR454" s="457"/>
      <c r="IS454" s="457"/>
      <c r="IT454" s="457"/>
      <c r="IU454" s="457"/>
      <c r="IV454" s="457"/>
      <c r="IW454" s="457"/>
      <c r="IX454" s="457"/>
      <c r="IY454" s="457"/>
      <c r="IZ454" s="457"/>
      <c r="JA454" s="457"/>
      <c r="JB454" s="457"/>
      <c r="JC454" s="457"/>
      <c r="JD454" s="457"/>
      <c r="JE454" s="457"/>
      <c r="JF454" s="457"/>
      <c r="JG454" s="457"/>
      <c r="JH454" s="457"/>
      <c r="JI454" s="457"/>
      <c r="JJ454" s="457"/>
      <c r="JK454" s="457"/>
      <c r="JL454" s="457"/>
      <c r="JM454" s="457"/>
      <c r="JN454" s="457"/>
      <c r="JO454" s="457"/>
      <c r="JP454" s="457"/>
      <c r="JQ454" s="457"/>
      <c r="JR454" s="457"/>
      <c r="JS454" s="457"/>
      <c r="JT454" s="457"/>
      <c r="JU454" s="457"/>
      <c r="JV454" s="457"/>
      <c r="JW454" s="457"/>
      <c r="JX454" s="457"/>
      <c r="JY454" s="457"/>
      <c r="JZ454" s="457"/>
      <c r="KA454" s="457"/>
      <c r="KB454" s="457"/>
      <c r="KC454" s="457"/>
      <c r="KD454" s="457"/>
      <c r="KE454" s="457"/>
      <c r="KF454" s="457"/>
      <c r="KG454" s="457"/>
      <c r="KH454" s="457"/>
      <c r="KI454" s="457"/>
      <c r="KJ454" s="457"/>
      <c r="KK454" s="457"/>
      <c r="KL454" s="457"/>
      <c r="KM454" s="457"/>
      <c r="KN454" s="457"/>
      <c r="KO454" s="457"/>
      <c r="KP454" s="457"/>
      <c r="KQ454" s="457"/>
      <c r="KR454" s="457"/>
      <c r="KS454" s="457"/>
      <c r="KT454" s="457"/>
      <c r="KU454" s="457"/>
      <c r="KV454" s="457"/>
      <c r="KW454" s="457"/>
      <c r="KX454" s="457"/>
      <c r="KY454" s="457"/>
      <c r="KZ454" s="457"/>
      <c r="LA454" s="457"/>
      <c r="LB454" s="457"/>
      <c r="LC454" s="457"/>
      <c r="LD454" s="457"/>
      <c r="LE454" s="457"/>
      <c r="LF454" s="457"/>
      <c r="LG454" s="457"/>
      <c r="LH454" s="457"/>
      <c r="LI454" s="457"/>
      <c r="LJ454" s="457"/>
      <c r="LK454" s="457"/>
      <c r="LL454" s="457"/>
      <c r="LM454" s="457"/>
      <c r="LN454" s="457"/>
      <c r="LO454" s="457"/>
      <c r="LP454" s="457"/>
      <c r="LQ454" s="457"/>
      <c r="LR454" s="457"/>
      <c r="LS454" s="457"/>
      <c r="LT454" s="457"/>
      <c r="LU454" s="457"/>
      <c r="LV454" s="457"/>
      <c r="LW454" s="457"/>
      <c r="LX454" s="457"/>
      <c r="LY454" s="457"/>
      <c r="LZ454" s="457"/>
      <c r="MA454" s="457"/>
      <c r="MB454" s="457"/>
      <c r="MC454" s="457"/>
      <c r="MD454" s="457"/>
      <c r="ME454" s="457"/>
      <c r="MF454" s="457"/>
      <c r="MG454" s="457"/>
      <c r="MH454" s="457"/>
      <c r="MI454" s="457"/>
      <c r="MJ454" s="457"/>
      <c r="MK454" s="457"/>
      <c r="ML454" s="457"/>
      <c r="MM454" s="457"/>
      <c r="MN454" s="457"/>
      <c r="MO454" s="457"/>
      <c r="MP454" s="457"/>
      <c r="MQ454" s="457"/>
      <c r="MR454" s="457"/>
      <c r="MS454" s="457"/>
      <c r="MT454" s="457"/>
      <c r="MU454" s="457"/>
      <c r="MV454" s="457"/>
      <c r="MW454" s="457"/>
      <c r="MX454" s="457"/>
      <c r="MY454" s="457"/>
      <c r="MZ454" s="457"/>
      <c r="NA454" s="457"/>
      <c r="NB454" s="457"/>
      <c r="NC454" s="457"/>
      <c r="ND454" s="457"/>
      <c r="NE454" s="457"/>
      <c r="NF454" s="457"/>
      <c r="NG454" s="457"/>
      <c r="NH454" s="457"/>
      <c r="NI454" s="457"/>
      <c r="NJ454" s="457"/>
      <c r="NK454" s="457"/>
      <c r="NL454" s="457"/>
      <c r="NM454" s="457"/>
      <c r="NN454" s="457"/>
      <c r="NO454" s="457"/>
      <c r="NP454" s="457"/>
      <c r="NQ454" s="457"/>
      <c r="NR454" s="457"/>
      <c r="NS454" s="457"/>
      <c r="NT454" s="457"/>
      <c r="NU454" s="457"/>
      <c r="NV454" s="457"/>
      <c r="NW454" s="457"/>
      <c r="NX454" s="457"/>
      <c r="NY454" s="457"/>
      <c r="NZ454" s="457"/>
      <c r="OA454" s="457"/>
      <c r="OB454" s="457"/>
      <c r="OC454" s="457"/>
      <c r="OD454" s="457"/>
      <c r="OE454" s="457"/>
      <c r="OF454" s="457"/>
      <c r="OG454" s="457"/>
      <c r="OH454" s="457"/>
      <c r="OI454" s="457"/>
      <c r="OJ454" s="457"/>
      <c r="OK454" s="457"/>
      <c r="OL454" s="457"/>
      <c r="OM454" s="457"/>
      <c r="ON454" s="457"/>
      <c r="OO454" s="457"/>
      <c r="OP454" s="457"/>
      <c r="OQ454" s="457"/>
      <c r="OR454" s="457"/>
      <c r="OS454" s="457"/>
      <c r="OT454" s="457"/>
      <c r="OU454" s="457"/>
      <c r="OV454" s="457"/>
      <c r="OW454" s="457"/>
      <c r="OX454" s="457"/>
      <c r="OY454" s="457"/>
      <c r="OZ454" s="457"/>
      <c r="PA454" s="457"/>
      <c r="PB454" s="457"/>
      <c r="PC454" s="457"/>
      <c r="PD454" s="457"/>
      <c r="PE454" s="457"/>
      <c r="PF454" s="457"/>
      <c r="PG454" s="457"/>
      <c r="PH454" s="457"/>
      <c r="PI454" s="457"/>
      <c r="PJ454" s="457"/>
      <c r="PK454" s="457"/>
      <c r="PL454" s="457"/>
      <c r="PM454" s="457"/>
      <c r="PN454" s="457"/>
      <c r="PO454" s="457"/>
      <c r="PP454" s="457"/>
      <c r="PQ454" s="457"/>
      <c r="PR454" s="457"/>
      <c r="PS454" s="457"/>
      <c r="PT454" s="457"/>
      <c r="PU454" s="457"/>
      <c r="PV454" s="457"/>
      <c r="PW454" s="457"/>
      <c r="PX454" s="457"/>
      <c r="PY454" s="457"/>
      <c r="PZ454" s="457"/>
      <c r="QA454" s="457"/>
      <c r="QB454" s="457"/>
      <c r="QC454" s="457"/>
      <c r="QD454" s="457"/>
      <c r="QE454" s="457"/>
      <c r="QF454" s="457"/>
      <c r="QG454" s="457"/>
      <c r="QH454" s="457"/>
      <c r="QI454" s="457"/>
      <c r="QJ454" s="457"/>
      <c r="QK454" s="457"/>
      <c r="QL454" s="457"/>
      <c r="QM454" s="457"/>
      <c r="QN454" s="457"/>
      <c r="QO454" s="457"/>
      <c r="QP454" s="457"/>
      <c r="QQ454" s="457"/>
      <c r="QR454" s="457"/>
      <c r="QS454" s="457"/>
      <c r="QT454" s="457"/>
      <c r="QU454" s="457"/>
      <c r="QV454" s="457"/>
      <c r="QW454" s="457"/>
      <c r="QX454" s="457"/>
      <c r="QY454" s="457"/>
      <c r="QZ454" s="457"/>
      <c r="RA454" s="457"/>
      <c r="RB454" s="457"/>
      <c r="RC454" s="457"/>
      <c r="RD454" s="457"/>
      <c r="RE454" s="457"/>
      <c r="RF454" s="457"/>
      <c r="RG454" s="457"/>
      <c r="RH454" s="457"/>
      <c r="RI454" s="457"/>
      <c r="RJ454" s="457"/>
      <c r="RK454" s="457"/>
      <c r="RL454" s="457"/>
      <c r="RM454" s="457"/>
      <c r="RN454" s="457"/>
      <c r="RO454" s="457"/>
      <c r="RP454" s="457"/>
      <c r="RQ454" s="457"/>
      <c r="RR454" s="457"/>
      <c r="RS454" s="457"/>
      <c r="RT454" s="457"/>
      <c r="RU454" s="457"/>
      <c r="RV454" s="457"/>
      <c r="RW454" s="457"/>
      <c r="RX454" s="457"/>
      <c r="RY454" s="457"/>
      <c r="RZ454" s="457"/>
      <c r="SA454" s="457"/>
      <c r="SB454" s="457"/>
      <c r="SC454" s="457"/>
      <c r="SD454" s="457"/>
      <c r="SE454" s="457"/>
      <c r="SF454" s="457"/>
      <c r="SG454" s="457"/>
      <c r="SH454" s="457"/>
      <c r="SI454" s="457"/>
      <c r="SJ454" s="457"/>
      <c r="SK454" s="457"/>
      <c r="SL454" s="457"/>
      <c r="SM454" s="457"/>
      <c r="SN454" s="457"/>
      <c r="SO454" s="457"/>
      <c r="SP454" s="457"/>
      <c r="SQ454" s="457"/>
      <c r="SR454" s="457"/>
      <c r="SS454" s="457"/>
      <c r="ST454" s="457"/>
      <c r="SU454" s="457"/>
      <c r="SV454" s="457"/>
      <c r="SW454" s="457"/>
      <c r="SX454" s="457"/>
      <c r="SY454" s="457"/>
      <c r="SZ454" s="457"/>
      <c r="TA454" s="457"/>
      <c r="TB454" s="457"/>
      <c r="TC454" s="457"/>
      <c r="TD454" s="457"/>
      <c r="TE454" s="457"/>
      <c r="TF454" s="457"/>
      <c r="TG454" s="457"/>
      <c r="TH454" s="457"/>
      <c r="TI454" s="457"/>
      <c r="TJ454" s="457"/>
      <c r="TK454" s="457"/>
      <c r="TL454" s="457"/>
      <c r="TM454" s="457"/>
      <c r="TN454" s="457"/>
      <c r="TO454" s="457"/>
      <c r="TP454" s="457"/>
      <c r="TQ454" s="457"/>
      <c r="TR454" s="457"/>
      <c r="TS454" s="457"/>
      <c r="TT454" s="457"/>
      <c r="TU454" s="457"/>
      <c r="TV454" s="457"/>
      <c r="TW454" s="457"/>
      <c r="TX454" s="457"/>
      <c r="TY454" s="457"/>
      <c r="TZ454" s="457"/>
      <c r="UA454" s="457"/>
      <c r="UB454" s="457"/>
      <c r="UC454" s="457"/>
      <c r="UD454" s="457"/>
      <c r="UE454" s="457"/>
      <c r="UF454" s="457"/>
      <c r="UG454" s="457"/>
      <c r="UH454" s="457"/>
      <c r="UI454" s="457"/>
      <c r="UJ454" s="457"/>
      <c r="UK454" s="457"/>
      <c r="UL454" s="457"/>
      <c r="UM454" s="457"/>
      <c r="UN454" s="457"/>
      <c r="UO454" s="457"/>
      <c r="UP454" s="457"/>
      <c r="UQ454" s="457"/>
      <c r="UR454" s="457"/>
      <c r="US454" s="457"/>
      <c r="UT454" s="457"/>
      <c r="UU454" s="457"/>
      <c r="UV454" s="457"/>
      <c r="UW454" s="457"/>
      <c r="UX454" s="457"/>
      <c r="UY454" s="457"/>
      <c r="UZ454" s="457"/>
      <c r="VA454" s="457"/>
      <c r="VB454" s="457"/>
      <c r="VC454" s="457"/>
      <c r="VD454" s="457"/>
      <c r="VE454" s="457"/>
      <c r="VF454" s="457"/>
      <c r="VG454" s="457"/>
      <c r="VH454" s="457"/>
      <c r="VI454" s="457"/>
      <c r="VJ454" s="457"/>
      <c r="VK454" s="457"/>
      <c r="VL454" s="457"/>
      <c r="VM454" s="457"/>
      <c r="VN454" s="457"/>
      <c r="VO454" s="457"/>
      <c r="VP454" s="457"/>
      <c r="VQ454" s="457"/>
      <c r="VR454" s="457"/>
      <c r="VS454" s="457"/>
      <c r="VT454" s="457"/>
      <c r="VU454" s="457"/>
      <c r="VV454" s="457"/>
      <c r="VW454" s="457"/>
      <c r="VX454" s="457"/>
      <c r="VY454" s="457"/>
      <c r="VZ454" s="457"/>
      <c r="WA454" s="457"/>
      <c r="WB454" s="457"/>
      <c r="WC454" s="457"/>
      <c r="WD454" s="457"/>
      <c r="WE454" s="457"/>
      <c r="WF454" s="457"/>
      <c r="WG454" s="457"/>
      <c r="WH454" s="457"/>
      <c r="WI454" s="457"/>
      <c r="WJ454" s="457"/>
      <c r="WK454" s="457"/>
      <c r="WL454" s="457"/>
      <c r="WM454" s="457"/>
      <c r="WN454" s="457"/>
      <c r="WO454" s="457"/>
      <c r="WP454" s="457"/>
      <c r="WQ454" s="457"/>
      <c r="WR454" s="457"/>
      <c r="WS454" s="457"/>
      <c r="WT454" s="457"/>
      <c r="WU454" s="457"/>
      <c r="WV454" s="457"/>
      <c r="WW454" s="457"/>
      <c r="WX454" s="457"/>
      <c r="WY454" s="457"/>
      <c r="WZ454" s="457"/>
      <c r="XA454" s="457"/>
      <c r="XB454" s="457"/>
      <c r="XC454" s="457"/>
      <c r="XD454" s="457"/>
      <c r="XE454" s="457"/>
      <c r="XF454" s="457"/>
      <c r="XG454" s="457"/>
      <c r="XH454" s="457"/>
      <c r="XI454" s="457"/>
      <c r="XJ454" s="457"/>
      <c r="XK454" s="457"/>
      <c r="XL454" s="457"/>
      <c r="XM454" s="457"/>
      <c r="XN454" s="457"/>
      <c r="XO454" s="457"/>
      <c r="XP454" s="457"/>
      <c r="XQ454" s="457"/>
      <c r="XR454" s="457"/>
      <c r="XS454" s="457"/>
      <c r="XT454" s="457"/>
      <c r="XU454" s="457"/>
      <c r="XV454" s="457"/>
      <c r="XW454" s="457"/>
      <c r="XX454" s="457"/>
      <c r="XY454" s="457"/>
      <c r="XZ454" s="457"/>
      <c r="YA454" s="457"/>
      <c r="YB454" s="457"/>
      <c r="YC454" s="457"/>
      <c r="YD454" s="457"/>
      <c r="YE454" s="457"/>
      <c r="YF454" s="457"/>
      <c r="YG454" s="457"/>
      <c r="YH454" s="457"/>
      <c r="YI454" s="457"/>
      <c r="YJ454" s="457"/>
      <c r="YK454" s="457"/>
      <c r="YL454" s="457"/>
      <c r="YM454" s="457"/>
      <c r="YN454" s="457"/>
      <c r="YO454" s="457"/>
      <c r="YP454" s="457"/>
      <c r="YQ454" s="457"/>
      <c r="YR454" s="457"/>
      <c r="YS454" s="457"/>
      <c r="YT454" s="457"/>
      <c r="YU454" s="457"/>
      <c r="YV454" s="457"/>
      <c r="YW454" s="457"/>
      <c r="YX454" s="457"/>
      <c r="YY454" s="457"/>
      <c r="YZ454" s="457"/>
      <c r="ZA454" s="457"/>
      <c r="ZB454" s="457"/>
      <c r="ZC454" s="457"/>
      <c r="ZD454" s="457"/>
      <c r="ZE454" s="457"/>
      <c r="ZF454" s="457"/>
      <c r="ZG454" s="457"/>
      <c r="ZH454" s="457"/>
      <c r="ZI454" s="457"/>
      <c r="ZJ454" s="457"/>
      <c r="ZK454" s="457"/>
      <c r="ZL454" s="457"/>
      <c r="ZM454" s="457"/>
      <c r="ZN454" s="457"/>
      <c r="ZO454" s="457"/>
      <c r="ZP454" s="457"/>
      <c r="ZQ454" s="457"/>
      <c r="ZR454" s="457"/>
      <c r="ZS454" s="457"/>
      <c r="ZT454" s="457"/>
      <c r="ZU454" s="457"/>
      <c r="ZV454" s="457"/>
      <c r="ZW454" s="457"/>
      <c r="ZX454" s="457"/>
      <c r="ZY454" s="457"/>
      <c r="ZZ454" s="457"/>
      <c r="AAA454" s="457"/>
      <c r="AAB454" s="457"/>
      <c r="AAC454" s="457"/>
      <c r="AAD454" s="457"/>
      <c r="AAE454" s="457"/>
      <c r="AAF454" s="457"/>
      <c r="AAG454" s="457"/>
      <c r="AAH454" s="457"/>
      <c r="AAI454" s="457"/>
      <c r="AAJ454" s="457"/>
      <c r="AAK454" s="457"/>
      <c r="AAL454" s="457"/>
      <c r="AAM454" s="457"/>
      <c r="AAN454" s="457"/>
      <c r="AAO454" s="457"/>
      <c r="AAP454" s="457"/>
      <c r="AAQ454" s="457"/>
      <c r="AAR454" s="457"/>
      <c r="AAS454" s="457"/>
      <c r="AAT454" s="457"/>
      <c r="AAU454" s="457"/>
      <c r="AAV454" s="457"/>
      <c r="AAW454" s="457"/>
      <c r="AAX454" s="457"/>
      <c r="AAY454" s="457"/>
      <c r="AAZ454" s="457"/>
      <c r="ABA454" s="457"/>
      <c r="ABB454" s="457"/>
      <c r="ABC454" s="457"/>
      <c r="ABD454" s="457"/>
      <c r="ABE454" s="457"/>
      <c r="ABF454" s="457"/>
      <c r="ABG454" s="457"/>
      <c r="ABH454" s="457"/>
      <c r="ABI454" s="457"/>
      <c r="ABJ454" s="457"/>
      <c r="ABK454" s="457"/>
      <c r="ABL454" s="457"/>
      <c r="ABM454" s="457"/>
      <c r="ABN454" s="457"/>
      <c r="ABO454" s="457"/>
      <c r="ABP454" s="457"/>
      <c r="ABQ454" s="457"/>
      <c r="ABR454" s="457"/>
      <c r="ABS454" s="457"/>
      <c r="ABT454" s="457"/>
      <c r="ABU454" s="457"/>
      <c r="ABV454" s="457"/>
      <c r="ABW454" s="457"/>
      <c r="ABX454" s="457"/>
      <c r="ABY454" s="457"/>
      <c r="ABZ454" s="457"/>
      <c r="ACA454" s="457"/>
      <c r="ACB454" s="457"/>
      <c r="ACC454" s="457"/>
      <c r="ACD454" s="457"/>
      <c r="ACE454" s="457"/>
      <c r="ACF454" s="457"/>
      <c r="ACG454" s="457"/>
      <c r="ACH454" s="457"/>
      <c r="ACI454" s="457"/>
      <c r="ACJ454" s="457"/>
      <c r="ACK454" s="457"/>
      <c r="ACL454" s="457"/>
      <c r="ACM454" s="457"/>
      <c r="ACN454" s="457"/>
      <c r="ACO454" s="457"/>
      <c r="ACP454" s="457"/>
      <c r="ACQ454" s="457"/>
      <c r="ACR454" s="457"/>
      <c r="ACS454" s="457"/>
      <c r="ACT454" s="457"/>
      <c r="ACU454" s="457"/>
      <c r="ACV454" s="457"/>
    </row>
    <row r="455" spans="1:776" s="400" customFormat="1" x14ac:dyDescent="0.25">
      <c r="A455" s="470">
        <v>900168</v>
      </c>
      <c r="B455" s="237" t="s">
        <v>376</v>
      </c>
      <c r="C455" s="455"/>
      <c r="D455" s="454" t="s">
        <v>215</v>
      </c>
      <c r="E455" s="454">
        <v>1.31</v>
      </c>
      <c r="F455" s="458">
        <v>47.8</v>
      </c>
      <c r="G455" s="454">
        <v>0</v>
      </c>
      <c r="H455" s="454">
        <v>0.21</v>
      </c>
      <c r="I455" s="456">
        <v>200.82</v>
      </c>
      <c r="J455" s="454">
        <v>66.09</v>
      </c>
      <c r="K455" s="454">
        <v>0</v>
      </c>
      <c r="L455" s="456">
        <v>362.4</v>
      </c>
      <c r="M455" s="454">
        <v>0</v>
      </c>
      <c r="N455" s="454">
        <v>2.2799999999999998</v>
      </c>
      <c r="O455" s="454">
        <v>96.82</v>
      </c>
      <c r="P455" s="454">
        <v>91.55</v>
      </c>
      <c r="Q455" s="454">
        <v>55.66</v>
      </c>
      <c r="R455" s="454">
        <v>9.9999999999999995E-7</v>
      </c>
      <c r="S455" s="454">
        <v>9.9999999999999995E-7</v>
      </c>
      <c r="T455" s="454">
        <v>9.9999999999999995E-7</v>
      </c>
      <c r="U455" s="454">
        <v>9.9999999999999995E-7</v>
      </c>
      <c r="V455" s="454"/>
      <c r="W455" s="457"/>
      <c r="X455" s="457"/>
      <c r="Y455" s="457"/>
      <c r="Z455" s="457"/>
      <c r="AA455" s="457"/>
      <c r="AB455" s="457"/>
      <c r="AC455" s="457"/>
      <c r="AD455" s="457"/>
      <c r="AE455" s="457"/>
      <c r="AF455" s="457"/>
      <c r="AG455" s="457"/>
      <c r="AH455" s="457"/>
      <c r="AI455" s="457"/>
      <c r="AJ455" s="457"/>
      <c r="AK455" s="457"/>
      <c r="AL455" s="457"/>
      <c r="AM455" s="457"/>
      <c r="AN455" s="457"/>
      <c r="AO455" s="457"/>
      <c r="AP455" s="457"/>
      <c r="AQ455" s="457"/>
      <c r="AR455" s="457"/>
      <c r="AS455" s="457"/>
      <c r="AT455" s="457"/>
      <c r="AU455" s="457"/>
      <c r="AV455" s="457"/>
      <c r="AW455" s="457"/>
      <c r="AX455" s="457"/>
      <c r="AY455" s="457"/>
      <c r="AZ455" s="457"/>
      <c r="BA455" s="457"/>
      <c r="BB455" s="457"/>
      <c r="BC455" s="457"/>
      <c r="BD455" s="457"/>
      <c r="BE455" s="457"/>
      <c r="BF455" s="457"/>
      <c r="BG455" s="457"/>
      <c r="BH455" s="457"/>
      <c r="BI455" s="457"/>
      <c r="BJ455" s="457"/>
      <c r="BK455" s="457"/>
      <c r="BL455" s="457"/>
      <c r="BM455" s="457"/>
      <c r="BN455" s="457"/>
      <c r="BO455" s="457"/>
      <c r="BP455" s="457"/>
      <c r="BQ455" s="457"/>
      <c r="BR455" s="457"/>
      <c r="BS455" s="457"/>
      <c r="BT455" s="457"/>
      <c r="BU455" s="457"/>
      <c r="BV455" s="457"/>
      <c r="BW455" s="457"/>
      <c r="BX455" s="457"/>
      <c r="BY455" s="457"/>
      <c r="BZ455" s="457"/>
      <c r="CA455" s="457"/>
      <c r="CB455" s="457"/>
      <c r="CC455" s="457"/>
      <c r="CD455" s="457"/>
      <c r="CE455" s="457"/>
      <c r="CF455" s="457"/>
      <c r="CG455" s="457"/>
      <c r="CH455" s="457"/>
      <c r="CI455" s="457"/>
      <c r="CJ455" s="457"/>
      <c r="CK455" s="457"/>
      <c r="CL455" s="457"/>
      <c r="CM455" s="457"/>
      <c r="CN455" s="457"/>
      <c r="CO455" s="457"/>
      <c r="CP455" s="457"/>
      <c r="CQ455" s="457"/>
      <c r="CR455" s="457"/>
      <c r="CS455" s="457"/>
      <c r="CT455" s="457"/>
      <c r="CU455" s="457"/>
      <c r="CV455" s="457"/>
      <c r="CW455" s="457"/>
      <c r="CX455" s="457"/>
      <c r="CY455" s="457"/>
      <c r="CZ455" s="457"/>
      <c r="DA455" s="457"/>
      <c r="DB455" s="457"/>
      <c r="DC455" s="457"/>
      <c r="DD455" s="457"/>
      <c r="DE455" s="457"/>
      <c r="DF455" s="457"/>
      <c r="DG455" s="457"/>
      <c r="DH455" s="457"/>
      <c r="DI455" s="457"/>
      <c r="DJ455" s="457"/>
      <c r="DK455" s="457"/>
      <c r="DL455" s="457"/>
      <c r="DM455" s="457"/>
      <c r="DN455" s="457"/>
      <c r="DO455" s="457"/>
      <c r="DP455" s="457"/>
      <c r="DQ455" s="457"/>
      <c r="DR455" s="457"/>
      <c r="DS455" s="457"/>
      <c r="DT455" s="457"/>
      <c r="DU455" s="457"/>
      <c r="DV455" s="457"/>
      <c r="DW455" s="457"/>
      <c r="DX455" s="457"/>
      <c r="DY455" s="457"/>
      <c r="DZ455" s="457"/>
      <c r="EA455" s="457"/>
      <c r="EB455" s="457"/>
      <c r="EC455" s="457"/>
      <c r="ED455" s="457"/>
      <c r="EE455" s="457"/>
      <c r="EF455" s="457"/>
      <c r="EG455" s="457"/>
      <c r="EH455" s="457"/>
      <c r="EI455" s="457"/>
      <c r="EJ455" s="457"/>
      <c r="EK455" s="457"/>
      <c r="EL455" s="457"/>
      <c r="EM455" s="457"/>
      <c r="EN455" s="457"/>
      <c r="EO455" s="457"/>
      <c r="EP455" s="457"/>
      <c r="EQ455" s="457"/>
      <c r="ER455" s="457"/>
      <c r="ES455" s="457"/>
      <c r="ET455" s="457"/>
      <c r="EU455" s="457"/>
      <c r="EV455" s="457"/>
      <c r="EW455" s="457"/>
      <c r="EX455" s="457"/>
      <c r="EY455" s="457"/>
      <c r="EZ455" s="457"/>
      <c r="FA455" s="457"/>
      <c r="FB455" s="457"/>
      <c r="FC455" s="457"/>
      <c r="FD455" s="457"/>
      <c r="FE455" s="457"/>
      <c r="FF455" s="457"/>
      <c r="FG455" s="457"/>
      <c r="FH455" s="457"/>
      <c r="FI455" s="457"/>
      <c r="FJ455" s="457"/>
      <c r="FK455" s="457"/>
      <c r="FL455" s="457"/>
      <c r="FM455" s="457"/>
      <c r="FN455" s="457"/>
      <c r="FO455" s="457"/>
      <c r="FP455" s="457"/>
      <c r="FQ455" s="457"/>
      <c r="FR455" s="457"/>
      <c r="FS455" s="457"/>
      <c r="FT455" s="457"/>
      <c r="FU455" s="457"/>
      <c r="FV455" s="457"/>
      <c r="FW455" s="457"/>
      <c r="FX455" s="457"/>
      <c r="FY455" s="457"/>
      <c r="FZ455" s="457"/>
      <c r="GA455" s="457"/>
      <c r="GB455" s="457"/>
      <c r="GC455" s="457"/>
      <c r="GD455" s="457"/>
      <c r="GE455" s="457"/>
      <c r="GF455" s="457"/>
      <c r="GG455" s="457"/>
      <c r="GH455" s="457"/>
      <c r="GI455" s="457"/>
      <c r="GJ455" s="457"/>
      <c r="GK455" s="457"/>
      <c r="GL455" s="457"/>
      <c r="GM455" s="457"/>
      <c r="GN455" s="457"/>
      <c r="GO455" s="457"/>
      <c r="GP455" s="457"/>
      <c r="GQ455" s="457"/>
      <c r="GR455" s="457"/>
      <c r="GS455" s="457"/>
      <c r="GT455" s="457"/>
      <c r="GU455" s="457"/>
      <c r="GV455" s="457"/>
      <c r="GW455" s="457"/>
      <c r="GX455" s="457"/>
      <c r="GY455" s="457"/>
      <c r="GZ455" s="457"/>
      <c r="HA455" s="457"/>
      <c r="HB455" s="457"/>
      <c r="HC455" s="457"/>
      <c r="HD455" s="457"/>
      <c r="HE455" s="457"/>
      <c r="HF455" s="457"/>
      <c r="HG455" s="457"/>
      <c r="HH455" s="457"/>
      <c r="HI455" s="457"/>
      <c r="HJ455" s="457"/>
      <c r="HK455" s="457"/>
      <c r="HL455" s="457"/>
      <c r="HM455" s="457"/>
      <c r="HN455" s="457"/>
      <c r="HO455" s="457"/>
      <c r="HP455" s="457"/>
      <c r="HQ455" s="457"/>
      <c r="HR455" s="457"/>
      <c r="HS455" s="457"/>
      <c r="HT455" s="457"/>
      <c r="HU455" s="457"/>
      <c r="HV455" s="457"/>
      <c r="HW455" s="457"/>
      <c r="HX455" s="457"/>
      <c r="HY455" s="457"/>
      <c r="HZ455" s="457"/>
      <c r="IA455" s="457"/>
      <c r="IB455" s="457"/>
      <c r="IC455" s="457"/>
      <c r="ID455" s="457"/>
      <c r="IE455" s="457"/>
      <c r="IF455" s="457"/>
      <c r="IG455" s="457"/>
      <c r="IH455" s="457"/>
      <c r="II455" s="457"/>
      <c r="IJ455" s="457"/>
      <c r="IK455" s="457"/>
      <c r="IL455" s="457"/>
      <c r="IM455" s="457"/>
      <c r="IN455" s="457"/>
      <c r="IO455" s="457"/>
      <c r="IP455" s="457"/>
      <c r="IQ455" s="457"/>
      <c r="IR455" s="457"/>
      <c r="IS455" s="457"/>
      <c r="IT455" s="457"/>
      <c r="IU455" s="457"/>
      <c r="IV455" s="457"/>
      <c r="IW455" s="457"/>
      <c r="IX455" s="457"/>
      <c r="IY455" s="457"/>
      <c r="IZ455" s="457"/>
      <c r="JA455" s="457"/>
      <c r="JB455" s="457"/>
      <c r="JC455" s="457"/>
      <c r="JD455" s="457"/>
      <c r="JE455" s="457"/>
      <c r="JF455" s="457"/>
      <c r="JG455" s="457"/>
      <c r="JH455" s="457"/>
      <c r="JI455" s="457"/>
      <c r="JJ455" s="457"/>
      <c r="JK455" s="457"/>
      <c r="JL455" s="457"/>
      <c r="JM455" s="457"/>
      <c r="JN455" s="457"/>
      <c r="JO455" s="457"/>
      <c r="JP455" s="457"/>
      <c r="JQ455" s="457"/>
      <c r="JR455" s="457"/>
      <c r="JS455" s="457"/>
      <c r="JT455" s="457"/>
      <c r="JU455" s="457"/>
      <c r="JV455" s="457"/>
      <c r="JW455" s="457"/>
      <c r="JX455" s="457"/>
      <c r="JY455" s="457"/>
      <c r="JZ455" s="457"/>
      <c r="KA455" s="457"/>
      <c r="KB455" s="457"/>
      <c r="KC455" s="457"/>
      <c r="KD455" s="457"/>
      <c r="KE455" s="457"/>
      <c r="KF455" s="457"/>
      <c r="KG455" s="457"/>
      <c r="KH455" s="457"/>
      <c r="KI455" s="457"/>
      <c r="KJ455" s="457"/>
      <c r="KK455" s="457"/>
      <c r="KL455" s="457"/>
      <c r="KM455" s="457"/>
      <c r="KN455" s="457"/>
      <c r="KO455" s="457"/>
      <c r="KP455" s="457"/>
      <c r="KQ455" s="457"/>
      <c r="KR455" s="457"/>
      <c r="KS455" s="457"/>
      <c r="KT455" s="457"/>
      <c r="KU455" s="457"/>
      <c r="KV455" s="457"/>
      <c r="KW455" s="457"/>
      <c r="KX455" s="457"/>
      <c r="KY455" s="457"/>
      <c r="KZ455" s="457"/>
      <c r="LA455" s="457"/>
      <c r="LB455" s="457"/>
      <c r="LC455" s="457"/>
      <c r="LD455" s="457"/>
      <c r="LE455" s="457"/>
      <c r="LF455" s="457"/>
      <c r="LG455" s="457"/>
      <c r="LH455" s="457"/>
      <c r="LI455" s="457"/>
      <c r="LJ455" s="457"/>
      <c r="LK455" s="457"/>
      <c r="LL455" s="457"/>
      <c r="LM455" s="457"/>
      <c r="LN455" s="457"/>
      <c r="LO455" s="457"/>
      <c r="LP455" s="457"/>
      <c r="LQ455" s="457"/>
      <c r="LR455" s="457"/>
      <c r="LS455" s="457"/>
      <c r="LT455" s="457"/>
      <c r="LU455" s="457"/>
      <c r="LV455" s="457"/>
      <c r="LW455" s="457"/>
      <c r="LX455" s="457"/>
      <c r="LY455" s="457"/>
      <c r="LZ455" s="457"/>
      <c r="MA455" s="457"/>
      <c r="MB455" s="457"/>
      <c r="MC455" s="457"/>
      <c r="MD455" s="457"/>
      <c r="ME455" s="457"/>
      <c r="MF455" s="457"/>
      <c r="MG455" s="457"/>
      <c r="MH455" s="457"/>
      <c r="MI455" s="457"/>
      <c r="MJ455" s="457"/>
      <c r="MK455" s="457"/>
      <c r="ML455" s="457"/>
      <c r="MM455" s="457"/>
      <c r="MN455" s="457"/>
      <c r="MO455" s="457"/>
      <c r="MP455" s="457"/>
      <c r="MQ455" s="457"/>
      <c r="MR455" s="457"/>
      <c r="MS455" s="457"/>
      <c r="MT455" s="457"/>
      <c r="MU455" s="457"/>
      <c r="MV455" s="457"/>
      <c r="MW455" s="457"/>
      <c r="MX455" s="457"/>
      <c r="MY455" s="457"/>
      <c r="MZ455" s="457"/>
      <c r="NA455" s="457"/>
      <c r="NB455" s="457"/>
      <c r="NC455" s="457"/>
      <c r="ND455" s="457"/>
      <c r="NE455" s="457"/>
      <c r="NF455" s="457"/>
      <c r="NG455" s="457"/>
      <c r="NH455" s="457"/>
      <c r="NI455" s="457"/>
      <c r="NJ455" s="457"/>
      <c r="NK455" s="457"/>
      <c r="NL455" s="457"/>
      <c r="NM455" s="457"/>
      <c r="NN455" s="457"/>
      <c r="NO455" s="457"/>
      <c r="NP455" s="457"/>
      <c r="NQ455" s="457"/>
      <c r="NR455" s="457"/>
      <c r="NS455" s="457"/>
      <c r="NT455" s="457"/>
      <c r="NU455" s="457"/>
      <c r="NV455" s="457"/>
      <c r="NW455" s="457"/>
      <c r="NX455" s="457"/>
      <c r="NY455" s="457"/>
      <c r="NZ455" s="457"/>
      <c r="OA455" s="457"/>
      <c r="OB455" s="457"/>
      <c r="OC455" s="457"/>
      <c r="OD455" s="457"/>
      <c r="OE455" s="457"/>
      <c r="OF455" s="457"/>
      <c r="OG455" s="457"/>
      <c r="OH455" s="457"/>
      <c r="OI455" s="457"/>
      <c r="OJ455" s="457"/>
      <c r="OK455" s="457"/>
      <c r="OL455" s="457"/>
      <c r="OM455" s="457"/>
      <c r="ON455" s="457"/>
      <c r="OO455" s="457"/>
      <c r="OP455" s="457"/>
      <c r="OQ455" s="457"/>
      <c r="OR455" s="457"/>
      <c r="OS455" s="457"/>
      <c r="OT455" s="457"/>
      <c r="OU455" s="457"/>
      <c r="OV455" s="457"/>
      <c r="OW455" s="457"/>
      <c r="OX455" s="457"/>
      <c r="OY455" s="457"/>
      <c r="OZ455" s="457"/>
      <c r="PA455" s="457"/>
      <c r="PB455" s="457"/>
      <c r="PC455" s="457"/>
      <c r="PD455" s="457"/>
      <c r="PE455" s="457"/>
      <c r="PF455" s="457"/>
      <c r="PG455" s="457"/>
      <c r="PH455" s="457"/>
      <c r="PI455" s="457"/>
      <c r="PJ455" s="457"/>
      <c r="PK455" s="457"/>
      <c r="PL455" s="457"/>
      <c r="PM455" s="457"/>
      <c r="PN455" s="457"/>
      <c r="PO455" s="457"/>
      <c r="PP455" s="457"/>
      <c r="PQ455" s="457"/>
      <c r="PR455" s="457"/>
      <c r="PS455" s="457"/>
      <c r="PT455" s="457"/>
      <c r="PU455" s="457"/>
      <c r="PV455" s="457"/>
      <c r="PW455" s="457"/>
      <c r="PX455" s="457"/>
      <c r="PY455" s="457"/>
      <c r="PZ455" s="457"/>
      <c r="QA455" s="457"/>
      <c r="QB455" s="457"/>
      <c r="QC455" s="457"/>
      <c r="QD455" s="457"/>
      <c r="QE455" s="457"/>
      <c r="QF455" s="457"/>
      <c r="QG455" s="457"/>
      <c r="QH455" s="457"/>
      <c r="QI455" s="457"/>
      <c r="QJ455" s="457"/>
      <c r="QK455" s="457"/>
      <c r="QL455" s="457"/>
      <c r="QM455" s="457"/>
      <c r="QN455" s="457"/>
      <c r="QO455" s="457"/>
      <c r="QP455" s="457"/>
      <c r="QQ455" s="457"/>
      <c r="QR455" s="457"/>
      <c r="QS455" s="457"/>
      <c r="QT455" s="457"/>
      <c r="QU455" s="457"/>
      <c r="QV455" s="457"/>
      <c r="QW455" s="457"/>
      <c r="QX455" s="457"/>
      <c r="QY455" s="457"/>
      <c r="QZ455" s="457"/>
      <c r="RA455" s="457"/>
      <c r="RB455" s="457"/>
      <c r="RC455" s="457"/>
      <c r="RD455" s="457"/>
      <c r="RE455" s="457"/>
      <c r="RF455" s="457"/>
      <c r="RG455" s="457"/>
      <c r="RH455" s="457"/>
      <c r="RI455" s="457"/>
      <c r="RJ455" s="457"/>
      <c r="RK455" s="457"/>
      <c r="RL455" s="457"/>
      <c r="RM455" s="457"/>
      <c r="RN455" s="457"/>
      <c r="RO455" s="457"/>
      <c r="RP455" s="457"/>
      <c r="RQ455" s="457"/>
      <c r="RR455" s="457"/>
      <c r="RS455" s="457"/>
      <c r="RT455" s="457"/>
      <c r="RU455" s="457"/>
      <c r="RV455" s="457"/>
      <c r="RW455" s="457"/>
      <c r="RX455" s="457"/>
      <c r="RY455" s="457"/>
      <c r="RZ455" s="457"/>
      <c r="SA455" s="457"/>
      <c r="SB455" s="457"/>
      <c r="SC455" s="457"/>
      <c r="SD455" s="457"/>
      <c r="SE455" s="457"/>
      <c r="SF455" s="457"/>
      <c r="SG455" s="457"/>
      <c r="SH455" s="457"/>
      <c r="SI455" s="457"/>
      <c r="SJ455" s="457"/>
      <c r="SK455" s="457"/>
      <c r="SL455" s="457"/>
      <c r="SM455" s="457"/>
      <c r="SN455" s="457"/>
      <c r="SO455" s="457"/>
      <c r="SP455" s="457"/>
      <c r="SQ455" s="457"/>
      <c r="SR455" s="457"/>
      <c r="SS455" s="457"/>
      <c r="ST455" s="457"/>
      <c r="SU455" s="457"/>
      <c r="SV455" s="457"/>
      <c r="SW455" s="457"/>
      <c r="SX455" s="457"/>
      <c r="SY455" s="457"/>
      <c r="SZ455" s="457"/>
      <c r="TA455" s="457"/>
      <c r="TB455" s="457"/>
      <c r="TC455" s="457"/>
      <c r="TD455" s="457"/>
      <c r="TE455" s="457"/>
      <c r="TF455" s="457"/>
      <c r="TG455" s="457"/>
      <c r="TH455" s="457"/>
      <c r="TI455" s="457"/>
      <c r="TJ455" s="457"/>
      <c r="TK455" s="457"/>
      <c r="TL455" s="457"/>
      <c r="TM455" s="457"/>
      <c r="TN455" s="457"/>
      <c r="TO455" s="457"/>
      <c r="TP455" s="457"/>
      <c r="TQ455" s="457"/>
      <c r="TR455" s="457"/>
      <c r="TS455" s="457"/>
      <c r="TT455" s="457"/>
      <c r="TU455" s="457"/>
      <c r="TV455" s="457"/>
      <c r="TW455" s="457"/>
      <c r="TX455" s="457"/>
      <c r="TY455" s="457"/>
      <c r="TZ455" s="457"/>
      <c r="UA455" s="457"/>
      <c r="UB455" s="457"/>
      <c r="UC455" s="457"/>
      <c r="UD455" s="457"/>
      <c r="UE455" s="457"/>
      <c r="UF455" s="457"/>
      <c r="UG455" s="457"/>
      <c r="UH455" s="457"/>
      <c r="UI455" s="457"/>
      <c r="UJ455" s="457"/>
      <c r="UK455" s="457"/>
      <c r="UL455" s="457"/>
      <c r="UM455" s="457"/>
      <c r="UN455" s="457"/>
      <c r="UO455" s="457"/>
      <c r="UP455" s="457"/>
      <c r="UQ455" s="457"/>
      <c r="UR455" s="457"/>
      <c r="US455" s="457"/>
      <c r="UT455" s="457"/>
      <c r="UU455" s="457"/>
      <c r="UV455" s="457"/>
      <c r="UW455" s="457"/>
      <c r="UX455" s="457"/>
      <c r="UY455" s="457"/>
      <c r="UZ455" s="457"/>
      <c r="VA455" s="457"/>
      <c r="VB455" s="457"/>
      <c r="VC455" s="457"/>
      <c r="VD455" s="457"/>
      <c r="VE455" s="457"/>
      <c r="VF455" s="457"/>
      <c r="VG455" s="457"/>
      <c r="VH455" s="457"/>
      <c r="VI455" s="457"/>
      <c r="VJ455" s="457"/>
      <c r="VK455" s="457"/>
      <c r="VL455" s="457"/>
      <c r="VM455" s="457"/>
      <c r="VN455" s="457"/>
      <c r="VO455" s="457"/>
      <c r="VP455" s="457"/>
      <c r="VQ455" s="457"/>
      <c r="VR455" s="457"/>
      <c r="VS455" s="457"/>
      <c r="VT455" s="457"/>
      <c r="VU455" s="457"/>
      <c r="VV455" s="457"/>
      <c r="VW455" s="457"/>
      <c r="VX455" s="457"/>
      <c r="VY455" s="457"/>
      <c r="VZ455" s="457"/>
      <c r="WA455" s="457"/>
      <c r="WB455" s="457"/>
      <c r="WC455" s="457"/>
      <c r="WD455" s="457"/>
      <c r="WE455" s="457"/>
      <c r="WF455" s="457"/>
      <c r="WG455" s="457"/>
      <c r="WH455" s="457"/>
      <c r="WI455" s="457"/>
      <c r="WJ455" s="457"/>
      <c r="WK455" s="457"/>
      <c r="WL455" s="457"/>
      <c r="WM455" s="457"/>
      <c r="WN455" s="457"/>
      <c r="WO455" s="457"/>
      <c r="WP455" s="457"/>
      <c r="WQ455" s="457"/>
      <c r="WR455" s="457"/>
      <c r="WS455" s="457"/>
      <c r="WT455" s="457"/>
      <c r="WU455" s="457"/>
      <c r="WV455" s="457"/>
      <c r="WW455" s="457"/>
      <c r="WX455" s="457"/>
      <c r="WY455" s="457"/>
      <c r="WZ455" s="457"/>
      <c r="XA455" s="457"/>
      <c r="XB455" s="457"/>
      <c r="XC455" s="457"/>
      <c r="XD455" s="457"/>
      <c r="XE455" s="457"/>
      <c r="XF455" s="457"/>
      <c r="XG455" s="457"/>
      <c r="XH455" s="457"/>
      <c r="XI455" s="457"/>
      <c r="XJ455" s="457"/>
      <c r="XK455" s="457"/>
      <c r="XL455" s="457"/>
      <c r="XM455" s="457"/>
      <c r="XN455" s="457"/>
      <c r="XO455" s="457"/>
      <c r="XP455" s="457"/>
      <c r="XQ455" s="457"/>
      <c r="XR455" s="457"/>
      <c r="XS455" s="457"/>
      <c r="XT455" s="457"/>
      <c r="XU455" s="457"/>
      <c r="XV455" s="457"/>
      <c r="XW455" s="457"/>
      <c r="XX455" s="457"/>
      <c r="XY455" s="457"/>
      <c r="XZ455" s="457"/>
      <c r="YA455" s="457"/>
      <c r="YB455" s="457"/>
      <c r="YC455" s="457"/>
      <c r="YD455" s="457"/>
      <c r="YE455" s="457"/>
      <c r="YF455" s="457"/>
      <c r="YG455" s="457"/>
      <c r="YH455" s="457"/>
      <c r="YI455" s="457"/>
      <c r="YJ455" s="457"/>
      <c r="YK455" s="457"/>
      <c r="YL455" s="457"/>
      <c r="YM455" s="457"/>
      <c r="YN455" s="457"/>
      <c r="YO455" s="457"/>
      <c r="YP455" s="457"/>
      <c r="YQ455" s="457"/>
      <c r="YR455" s="457"/>
      <c r="YS455" s="457"/>
      <c r="YT455" s="457"/>
      <c r="YU455" s="457"/>
      <c r="YV455" s="457"/>
      <c r="YW455" s="457"/>
      <c r="YX455" s="457"/>
      <c r="YY455" s="457"/>
      <c r="YZ455" s="457"/>
      <c r="ZA455" s="457"/>
      <c r="ZB455" s="457"/>
      <c r="ZC455" s="457"/>
      <c r="ZD455" s="457"/>
      <c r="ZE455" s="457"/>
      <c r="ZF455" s="457"/>
      <c r="ZG455" s="457"/>
      <c r="ZH455" s="457"/>
      <c r="ZI455" s="457"/>
      <c r="ZJ455" s="457"/>
      <c r="ZK455" s="457"/>
      <c r="ZL455" s="457"/>
      <c r="ZM455" s="457"/>
      <c r="ZN455" s="457"/>
      <c r="ZO455" s="457"/>
      <c r="ZP455" s="457"/>
      <c r="ZQ455" s="457"/>
      <c r="ZR455" s="457"/>
      <c r="ZS455" s="457"/>
      <c r="ZT455" s="457"/>
      <c r="ZU455" s="457"/>
      <c r="ZV455" s="457"/>
      <c r="ZW455" s="457"/>
      <c r="ZX455" s="457"/>
      <c r="ZY455" s="457"/>
      <c r="ZZ455" s="457"/>
      <c r="AAA455" s="457"/>
      <c r="AAB455" s="457"/>
      <c r="AAC455" s="457"/>
      <c r="AAD455" s="457"/>
      <c r="AAE455" s="457"/>
      <c r="AAF455" s="457"/>
      <c r="AAG455" s="457"/>
      <c r="AAH455" s="457"/>
      <c r="AAI455" s="457"/>
      <c r="AAJ455" s="457"/>
      <c r="AAK455" s="457"/>
      <c r="AAL455" s="457"/>
      <c r="AAM455" s="457"/>
      <c r="AAN455" s="457"/>
      <c r="AAO455" s="457"/>
      <c r="AAP455" s="457"/>
      <c r="AAQ455" s="457"/>
      <c r="AAR455" s="457"/>
      <c r="AAS455" s="457"/>
      <c r="AAT455" s="457"/>
      <c r="AAU455" s="457"/>
      <c r="AAV455" s="457"/>
      <c r="AAW455" s="457"/>
      <c r="AAX455" s="457"/>
      <c r="AAY455" s="457"/>
      <c r="AAZ455" s="457"/>
      <c r="ABA455" s="457"/>
      <c r="ABB455" s="457"/>
      <c r="ABC455" s="457"/>
      <c r="ABD455" s="457"/>
      <c r="ABE455" s="457"/>
      <c r="ABF455" s="457"/>
      <c r="ABG455" s="457"/>
      <c r="ABH455" s="457"/>
      <c r="ABI455" s="457"/>
      <c r="ABJ455" s="457"/>
      <c r="ABK455" s="457"/>
      <c r="ABL455" s="457"/>
      <c r="ABM455" s="457"/>
      <c r="ABN455" s="457"/>
      <c r="ABO455" s="457"/>
      <c r="ABP455" s="457"/>
      <c r="ABQ455" s="457"/>
      <c r="ABR455" s="457"/>
      <c r="ABS455" s="457"/>
      <c r="ABT455" s="457"/>
      <c r="ABU455" s="457"/>
      <c r="ABV455" s="457"/>
      <c r="ABW455" s="457"/>
      <c r="ABX455" s="457"/>
      <c r="ABY455" s="457"/>
      <c r="ABZ455" s="457"/>
      <c r="ACA455" s="457"/>
      <c r="ACB455" s="457"/>
      <c r="ACC455" s="457"/>
      <c r="ACD455" s="457"/>
      <c r="ACE455" s="457"/>
      <c r="ACF455" s="457"/>
      <c r="ACG455" s="457"/>
      <c r="ACH455" s="457"/>
      <c r="ACI455" s="457"/>
      <c r="ACJ455" s="457"/>
      <c r="ACK455" s="457"/>
      <c r="ACL455" s="457"/>
      <c r="ACM455" s="457"/>
      <c r="ACN455" s="457"/>
      <c r="ACO455" s="457"/>
      <c r="ACP455" s="457"/>
      <c r="ACQ455" s="457"/>
      <c r="ACR455" s="457"/>
      <c r="ACS455" s="457"/>
      <c r="ACT455" s="457"/>
      <c r="ACU455" s="457"/>
      <c r="ACV455" s="457"/>
    </row>
    <row r="456" spans="1:776" s="400" customFormat="1" x14ac:dyDescent="0.25">
      <c r="A456" s="470">
        <v>901014</v>
      </c>
      <c r="B456" s="237" t="s">
        <v>377</v>
      </c>
      <c r="C456" s="455"/>
      <c r="D456" s="454" t="s">
        <v>378</v>
      </c>
      <c r="E456" s="454">
        <v>3.21</v>
      </c>
      <c r="F456" s="458">
        <v>93.6</v>
      </c>
      <c r="G456" s="454">
        <v>0</v>
      </c>
      <c r="H456" s="454">
        <v>0.31</v>
      </c>
      <c r="I456" s="456">
        <v>680.3</v>
      </c>
      <c r="J456" s="454">
        <v>168.85</v>
      </c>
      <c r="K456" s="456">
        <v>10.8</v>
      </c>
      <c r="L456" s="454">
        <v>81.599999999999994</v>
      </c>
      <c r="M456" s="454">
        <v>0</v>
      </c>
      <c r="N456" s="454">
        <v>85.98</v>
      </c>
      <c r="O456" s="454">
        <v>509</v>
      </c>
      <c r="P456" s="454">
        <v>28.68</v>
      </c>
      <c r="Q456" s="454">
        <v>27.92</v>
      </c>
      <c r="R456" s="454">
        <v>0.1</v>
      </c>
      <c r="S456" s="454">
        <v>9.9999999999999995E-7</v>
      </c>
      <c r="T456" s="454">
        <v>0.01</v>
      </c>
      <c r="U456" s="454">
        <v>0.02</v>
      </c>
      <c r="V456" s="454">
        <v>0.56999999999999995</v>
      </c>
      <c r="W456" s="457"/>
      <c r="X456" s="457"/>
      <c r="Y456" s="457"/>
      <c r="Z456" s="457"/>
      <c r="AA456" s="457"/>
      <c r="AB456" s="457"/>
      <c r="AC456" s="457"/>
      <c r="AD456" s="457"/>
      <c r="AE456" s="457"/>
      <c r="AF456" s="457"/>
      <c r="AG456" s="457"/>
      <c r="AH456" s="457"/>
      <c r="AI456" s="457"/>
      <c r="AJ456" s="457"/>
      <c r="AK456" s="457"/>
      <c r="AL456" s="457"/>
      <c r="AM456" s="457"/>
      <c r="AN456" s="457"/>
      <c r="AO456" s="457"/>
      <c r="AP456" s="457"/>
      <c r="AQ456" s="457"/>
      <c r="AR456" s="457"/>
      <c r="AS456" s="457"/>
      <c r="AT456" s="457"/>
      <c r="AU456" s="457"/>
      <c r="AV456" s="457"/>
      <c r="AW456" s="457"/>
      <c r="AX456" s="457"/>
      <c r="AY456" s="457"/>
      <c r="AZ456" s="457"/>
      <c r="BA456" s="457"/>
      <c r="BB456" s="457"/>
      <c r="BC456" s="457"/>
      <c r="BD456" s="457"/>
      <c r="BE456" s="457"/>
      <c r="BF456" s="457"/>
      <c r="BG456" s="457"/>
      <c r="BH456" s="457"/>
      <c r="BI456" s="457"/>
      <c r="BJ456" s="457"/>
      <c r="BK456" s="457"/>
      <c r="BL456" s="457"/>
      <c r="BM456" s="457"/>
      <c r="BN456" s="457"/>
      <c r="BO456" s="457"/>
      <c r="BP456" s="457"/>
      <c r="BQ456" s="457"/>
      <c r="BR456" s="457"/>
      <c r="BS456" s="457"/>
      <c r="BT456" s="457"/>
      <c r="BU456" s="457"/>
      <c r="BV456" s="457"/>
      <c r="BW456" s="457"/>
      <c r="BX456" s="457"/>
      <c r="BY456" s="457"/>
      <c r="BZ456" s="457"/>
      <c r="CA456" s="457"/>
      <c r="CB456" s="457"/>
      <c r="CC456" s="457"/>
      <c r="CD456" s="457"/>
      <c r="CE456" s="457"/>
      <c r="CF456" s="457"/>
      <c r="CG456" s="457"/>
      <c r="CH456" s="457"/>
      <c r="CI456" s="457"/>
      <c r="CJ456" s="457"/>
      <c r="CK456" s="457"/>
      <c r="CL456" s="457"/>
      <c r="CM456" s="457"/>
      <c r="CN456" s="457"/>
      <c r="CO456" s="457"/>
      <c r="CP456" s="457"/>
      <c r="CQ456" s="457"/>
      <c r="CR456" s="457"/>
      <c r="CS456" s="457"/>
      <c r="CT456" s="457"/>
      <c r="CU456" s="457"/>
      <c r="CV456" s="457"/>
      <c r="CW456" s="457"/>
      <c r="CX456" s="457"/>
      <c r="CY456" s="457"/>
      <c r="CZ456" s="457"/>
      <c r="DA456" s="457"/>
      <c r="DB456" s="457"/>
      <c r="DC456" s="457"/>
      <c r="DD456" s="457"/>
      <c r="DE456" s="457"/>
      <c r="DF456" s="457"/>
      <c r="DG456" s="457"/>
      <c r="DH456" s="457"/>
      <c r="DI456" s="457"/>
      <c r="DJ456" s="457"/>
      <c r="DK456" s="457"/>
      <c r="DL456" s="457"/>
      <c r="DM456" s="457"/>
      <c r="DN456" s="457"/>
      <c r="DO456" s="457"/>
      <c r="DP456" s="457"/>
      <c r="DQ456" s="457"/>
      <c r="DR456" s="457"/>
      <c r="DS456" s="457"/>
      <c r="DT456" s="457"/>
      <c r="DU456" s="457"/>
      <c r="DV456" s="457"/>
      <c r="DW456" s="457"/>
      <c r="DX456" s="457"/>
      <c r="DY456" s="457"/>
      <c r="DZ456" s="457"/>
      <c r="EA456" s="457"/>
      <c r="EB456" s="457"/>
      <c r="EC456" s="457"/>
      <c r="ED456" s="457"/>
      <c r="EE456" s="457"/>
      <c r="EF456" s="457"/>
      <c r="EG456" s="457"/>
      <c r="EH456" s="457"/>
      <c r="EI456" s="457"/>
      <c r="EJ456" s="457"/>
      <c r="EK456" s="457"/>
      <c r="EL456" s="457"/>
      <c r="EM456" s="457"/>
      <c r="EN456" s="457"/>
      <c r="EO456" s="457"/>
      <c r="EP456" s="457"/>
      <c r="EQ456" s="457"/>
      <c r="ER456" s="457"/>
      <c r="ES456" s="457"/>
      <c r="ET456" s="457"/>
      <c r="EU456" s="457"/>
      <c r="EV456" s="457"/>
      <c r="EW456" s="457"/>
      <c r="EX456" s="457"/>
      <c r="EY456" s="457"/>
      <c r="EZ456" s="457"/>
      <c r="FA456" s="457"/>
      <c r="FB456" s="457"/>
      <c r="FC456" s="457"/>
      <c r="FD456" s="457"/>
      <c r="FE456" s="457"/>
      <c r="FF456" s="457"/>
      <c r="FG456" s="457"/>
      <c r="FH456" s="457"/>
      <c r="FI456" s="457"/>
      <c r="FJ456" s="457"/>
      <c r="FK456" s="457"/>
      <c r="FL456" s="457"/>
      <c r="FM456" s="457"/>
      <c r="FN456" s="457"/>
      <c r="FO456" s="457"/>
      <c r="FP456" s="457"/>
      <c r="FQ456" s="457"/>
      <c r="FR456" s="457"/>
      <c r="FS456" s="457"/>
      <c r="FT456" s="457"/>
      <c r="FU456" s="457"/>
      <c r="FV456" s="457"/>
      <c r="FW456" s="457"/>
      <c r="FX456" s="457"/>
      <c r="FY456" s="457"/>
      <c r="FZ456" s="457"/>
      <c r="GA456" s="457"/>
      <c r="GB456" s="457"/>
      <c r="GC456" s="457"/>
      <c r="GD456" s="457"/>
      <c r="GE456" s="457"/>
      <c r="GF456" s="457"/>
      <c r="GG456" s="457"/>
      <c r="GH456" s="457"/>
      <c r="GI456" s="457"/>
      <c r="GJ456" s="457"/>
      <c r="GK456" s="457"/>
      <c r="GL456" s="457"/>
      <c r="GM456" s="457"/>
      <c r="GN456" s="457"/>
      <c r="GO456" s="457"/>
      <c r="GP456" s="457"/>
      <c r="GQ456" s="457"/>
      <c r="GR456" s="457"/>
      <c r="GS456" s="457"/>
      <c r="GT456" s="457"/>
      <c r="GU456" s="457"/>
      <c r="GV456" s="457"/>
      <c r="GW456" s="457"/>
      <c r="GX456" s="457"/>
      <c r="GY456" s="457"/>
      <c r="GZ456" s="457"/>
      <c r="HA456" s="457"/>
      <c r="HB456" s="457"/>
      <c r="HC456" s="457"/>
      <c r="HD456" s="457"/>
      <c r="HE456" s="457"/>
      <c r="HF456" s="457"/>
      <c r="HG456" s="457"/>
      <c r="HH456" s="457"/>
      <c r="HI456" s="457"/>
      <c r="HJ456" s="457"/>
      <c r="HK456" s="457"/>
      <c r="HL456" s="457"/>
      <c r="HM456" s="457"/>
      <c r="HN456" s="457"/>
      <c r="HO456" s="457"/>
      <c r="HP456" s="457"/>
      <c r="HQ456" s="457"/>
      <c r="HR456" s="457"/>
      <c r="HS456" s="457"/>
      <c r="HT456" s="457"/>
      <c r="HU456" s="457"/>
      <c r="HV456" s="457"/>
      <c r="HW456" s="457"/>
      <c r="HX456" s="457"/>
      <c r="HY456" s="457"/>
      <c r="HZ456" s="457"/>
      <c r="IA456" s="457"/>
      <c r="IB456" s="457"/>
      <c r="IC456" s="457"/>
      <c r="ID456" s="457"/>
      <c r="IE456" s="457"/>
      <c r="IF456" s="457"/>
      <c r="IG456" s="457"/>
      <c r="IH456" s="457"/>
      <c r="II456" s="457"/>
      <c r="IJ456" s="457"/>
      <c r="IK456" s="457"/>
      <c r="IL456" s="457"/>
      <c r="IM456" s="457"/>
      <c r="IN456" s="457"/>
      <c r="IO456" s="457"/>
      <c r="IP456" s="457"/>
      <c r="IQ456" s="457"/>
      <c r="IR456" s="457"/>
      <c r="IS456" s="457"/>
      <c r="IT456" s="457"/>
      <c r="IU456" s="457"/>
      <c r="IV456" s="457"/>
      <c r="IW456" s="457"/>
      <c r="IX456" s="457"/>
      <c r="IY456" s="457"/>
      <c r="IZ456" s="457"/>
      <c r="JA456" s="457"/>
      <c r="JB456" s="457"/>
      <c r="JC456" s="457"/>
      <c r="JD456" s="457"/>
      <c r="JE456" s="457"/>
      <c r="JF456" s="457"/>
      <c r="JG456" s="457"/>
      <c r="JH456" s="457"/>
      <c r="JI456" s="457"/>
      <c r="JJ456" s="457"/>
      <c r="JK456" s="457"/>
      <c r="JL456" s="457"/>
      <c r="JM456" s="457"/>
      <c r="JN456" s="457"/>
      <c r="JO456" s="457"/>
      <c r="JP456" s="457"/>
      <c r="JQ456" s="457"/>
      <c r="JR456" s="457"/>
      <c r="JS456" s="457"/>
      <c r="JT456" s="457"/>
      <c r="JU456" s="457"/>
      <c r="JV456" s="457"/>
      <c r="JW456" s="457"/>
      <c r="JX456" s="457"/>
      <c r="JY456" s="457"/>
      <c r="JZ456" s="457"/>
      <c r="KA456" s="457"/>
      <c r="KB456" s="457"/>
      <c r="KC456" s="457"/>
      <c r="KD456" s="457"/>
      <c r="KE456" s="457"/>
      <c r="KF456" s="457"/>
      <c r="KG456" s="457"/>
      <c r="KH456" s="457"/>
      <c r="KI456" s="457"/>
      <c r="KJ456" s="457"/>
      <c r="KK456" s="457"/>
      <c r="KL456" s="457"/>
      <c r="KM456" s="457"/>
      <c r="KN456" s="457"/>
      <c r="KO456" s="457"/>
      <c r="KP456" s="457"/>
      <c r="KQ456" s="457"/>
      <c r="KR456" s="457"/>
      <c r="KS456" s="457"/>
      <c r="KT456" s="457"/>
      <c r="KU456" s="457"/>
      <c r="KV456" s="457"/>
      <c r="KW456" s="457"/>
      <c r="KX456" s="457"/>
      <c r="KY456" s="457"/>
      <c r="KZ456" s="457"/>
      <c r="LA456" s="457"/>
      <c r="LB456" s="457"/>
      <c r="LC456" s="457"/>
      <c r="LD456" s="457"/>
      <c r="LE456" s="457"/>
      <c r="LF456" s="457"/>
      <c r="LG456" s="457"/>
      <c r="LH456" s="457"/>
      <c r="LI456" s="457"/>
      <c r="LJ456" s="457"/>
      <c r="LK456" s="457"/>
      <c r="LL456" s="457"/>
      <c r="LM456" s="457"/>
      <c r="LN456" s="457"/>
      <c r="LO456" s="457"/>
      <c r="LP456" s="457"/>
      <c r="LQ456" s="457"/>
      <c r="LR456" s="457"/>
      <c r="LS456" s="457"/>
      <c r="LT456" s="457"/>
      <c r="LU456" s="457"/>
      <c r="LV456" s="457"/>
      <c r="LW456" s="457"/>
      <c r="LX456" s="457"/>
      <c r="LY456" s="457"/>
      <c r="LZ456" s="457"/>
      <c r="MA456" s="457"/>
      <c r="MB456" s="457"/>
      <c r="MC456" s="457"/>
      <c r="MD456" s="457"/>
      <c r="ME456" s="457"/>
      <c r="MF456" s="457"/>
      <c r="MG456" s="457"/>
      <c r="MH456" s="457"/>
      <c r="MI456" s="457"/>
      <c r="MJ456" s="457"/>
      <c r="MK456" s="457"/>
      <c r="ML456" s="457"/>
      <c r="MM456" s="457"/>
      <c r="MN456" s="457"/>
      <c r="MO456" s="457"/>
      <c r="MP456" s="457"/>
      <c r="MQ456" s="457"/>
      <c r="MR456" s="457"/>
      <c r="MS456" s="457"/>
      <c r="MT456" s="457"/>
      <c r="MU456" s="457"/>
      <c r="MV456" s="457"/>
      <c r="MW456" s="457"/>
      <c r="MX456" s="457"/>
      <c r="MY456" s="457"/>
      <c r="MZ456" s="457"/>
      <c r="NA456" s="457"/>
      <c r="NB456" s="457"/>
      <c r="NC456" s="457"/>
      <c r="ND456" s="457"/>
      <c r="NE456" s="457"/>
      <c r="NF456" s="457"/>
      <c r="NG456" s="457"/>
      <c r="NH456" s="457"/>
      <c r="NI456" s="457"/>
      <c r="NJ456" s="457"/>
      <c r="NK456" s="457"/>
      <c r="NL456" s="457"/>
      <c r="NM456" s="457"/>
      <c r="NN456" s="457"/>
      <c r="NO456" s="457"/>
      <c r="NP456" s="457"/>
      <c r="NQ456" s="457"/>
      <c r="NR456" s="457"/>
      <c r="NS456" s="457"/>
      <c r="NT456" s="457"/>
      <c r="NU456" s="457"/>
      <c r="NV456" s="457"/>
      <c r="NW456" s="457"/>
      <c r="NX456" s="457"/>
      <c r="NY456" s="457"/>
      <c r="NZ456" s="457"/>
      <c r="OA456" s="457"/>
      <c r="OB456" s="457"/>
      <c r="OC456" s="457"/>
      <c r="OD456" s="457"/>
      <c r="OE456" s="457"/>
      <c r="OF456" s="457"/>
      <c r="OG456" s="457"/>
      <c r="OH456" s="457"/>
      <c r="OI456" s="457"/>
      <c r="OJ456" s="457"/>
      <c r="OK456" s="457"/>
      <c r="OL456" s="457"/>
      <c r="OM456" s="457"/>
      <c r="ON456" s="457"/>
      <c r="OO456" s="457"/>
      <c r="OP456" s="457"/>
      <c r="OQ456" s="457"/>
      <c r="OR456" s="457"/>
      <c r="OS456" s="457"/>
      <c r="OT456" s="457"/>
      <c r="OU456" s="457"/>
      <c r="OV456" s="457"/>
      <c r="OW456" s="457"/>
      <c r="OX456" s="457"/>
      <c r="OY456" s="457"/>
      <c r="OZ456" s="457"/>
      <c r="PA456" s="457"/>
      <c r="PB456" s="457"/>
      <c r="PC456" s="457"/>
      <c r="PD456" s="457"/>
      <c r="PE456" s="457"/>
      <c r="PF456" s="457"/>
      <c r="PG456" s="457"/>
      <c r="PH456" s="457"/>
      <c r="PI456" s="457"/>
      <c r="PJ456" s="457"/>
      <c r="PK456" s="457"/>
      <c r="PL456" s="457"/>
      <c r="PM456" s="457"/>
      <c r="PN456" s="457"/>
      <c r="PO456" s="457"/>
      <c r="PP456" s="457"/>
      <c r="PQ456" s="457"/>
      <c r="PR456" s="457"/>
      <c r="PS456" s="457"/>
      <c r="PT456" s="457"/>
      <c r="PU456" s="457"/>
      <c r="PV456" s="457"/>
      <c r="PW456" s="457"/>
      <c r="PX456" s="457"/>
      <c r="PY456" s="457"/>
      <c r="PZ456" s="457"/>
      <c r="QA456" s="457"/>
      <c r="QB456" s="457"/>
      <c r="QC456" s="457"/>
      <c r="QD456" s="457"/>
      <c r="QE456" s="457"/>
      <c r="QF456" s="457"/>
      <c r="QG456" s="457"/>
      <c r="QH456" s="457"/>
      <c r="QI456" s="457"/>
      <c r="QJ456" s="457"/>
      <c r="QK456" s="457"/>
      <c r="QL456" s="457"/>
      <c r="QM456" s="457"/>
      <c r="QN456" s="457"/>
      <c r="QO456" s="457"/>
      <c r="QP456" s="457"/>
      <c r="QQ456" s="457"/>
      <c r="QR456" s="457"/>
      <c r="QS456" s="457"/>
      <c r="QT456" s="457"/>
      <c r="QU456" s="457"/>
      <c r="QV456" s="457"/>
      <c r="QW456" s="457"/>
      <c r="QX456" s="457"/>
      <c r="QY456" s="457"/>
      <c r="QZ456" s="457"/>
      <c r="RA456" s="457"/>
      <c r="RB456" s="457"/>
      <c r="RC456" s="457"/>
      <c r="RD456" s="457"/>
      <c r="RE456" s="457"/>
      <c r="RF456" s="457"/>
      <c r="RG456" s="457"/>
      <c r="RH456" s="457"/>
      <c r="RI456" s="457"/>
      <c r="RJ456" s="457"/>
      <c r="RK456" s="457"/>
      <c r="RL456" s="457"/>
      <c r="RM456" s="457"/>
      <c r="RN456" s="457"/>
      <c r="RO456" s="457"/>
      <c r="RP456" s="457"/>
      <c r="RQ456" s="457"/>
      <c r="RR456" s="457"/>
      <c r="RS456" s="457"/>
      <c r="RT456" s="457"/>
      <c r="RU456" s="457"/>
      <c r="RV456" s="457"/>
      <c r="RW456" s="457"/>
      <c r="RX456" s="457"/>
      <c r="RY456" s="457"/>
      <c r="RZ456" s="457"/>
      <c r="SA456" s="457"/>
      <c r="SB456" s="457"/>
      <c r="SC456" s="457"/>
      <c r="SD456" s="457"/>
      <c r="SE456" s="457"/>
      <c r="SF456" s="457"/>
      <c r="SG456" s="457"/>
      <c r="SH456" s="457"/>
      <c r="SI456" s="457"/>
      <c r="SJ456" s="457"/>
      <c r="SK456" s="457"/>
      <c r="SL456" s="457"/>
      <c r="SM456" s="457"/>
      <c r="SN456" s="457"/>
      <c r="SO456" s="457"/>
      <c r="SP456" s="457"/>
      <c r="SQ456" s="457"/>
      <c r="SR456" s="457"/>
      <c r="SS456" s="457"/>
      <c r="ST456" s="457"/>
      <c r="SU456" s="457"/>
      <c r="SV456" s="457"/>
      <c r="SW456" s="457"/>
      <c r="SX456" s="457"/>
      <c r="SY456" s="457"/>
      <c r="SZ456" s="457"/>
      <c r="TA456" s="457"/>
      <c r="TB456" s="457"/>
      <c r="TC456" s="457"/>
      <c r="TD456" s="457"/>
      <c r="TE456" s="457"/>
      <c r="TF456" s="457"/>
      <c r="TG456" s="457"/>
      <c r="TH456" s="457"/>
      <c r="TI456" s="457"/>
      <c r="TJ456" s="457"/>
      <c r="TK456" s="457"/>
      <c r="TL456" s="457"/>
      <c r="TM456" s="457"/>
      <c r="TN456" s="457"/>
      <c r="TO456" s="457"/>
      <c r="TP456" s="457"/>
      <c r="TQ456" s="457"/>
      <c r="TR456" s="457"/>
      <c r="TS456" s="457"/>
      <c r="TT456" s="457"/>
      <c r="TU456" s="457"/>
      <c r="TV456" s="457"/>
      <c r="TW456" s="457"/>
      <c r="TX456" s="457"/>
      <c r="TY456" s="457"/>
      <c r="TZ456" s="457"/>
      <c r="UA456" s="457"/>
      <c r="UB456" s="457"/>
      <c r="UC456" s="457"/>
      <c r="UD456" s="457"/>
      <c r="UE456" s="457"/>
      <c r="UF456" s="457"/>
      <c r="UG456" s="457"/>
      <c r="UH456" s="457"/>
      <c r="UI456" s="457"/>
      <c r="UJ456" s="457"/>
      <c r="UK456" s="457"/>
      <c r="UL456" s="457"/>
      <c r="UM456" s="457"/>
      <c r="UN456" s="457"/>
      <c r="UO456" s="457"/>
      <c r="UP456" s="457"/>
      <c r="UQ456" s="457"/>
      <c r="UR456" s="457"/>
      <c r="US456" s="457"/>
      <c r="UT456" s="457"/>
      <c r="UU456" s="457"/>
      <c r="UV456" s="457"/>
      <c r="UW456" s="457"/>
      <c r="UX456" s="457"/>
      <c r="UY456" s="457"/>
      <c r="UZ456" s="457"/>
      <c r="VA456" s="457"/>
      <c r="VB456" s="457"/>
      <c r="VC456" s="457"/>
      <c r="VD456" s="457"/>
      <c r="VE456" s="457"/>
      <c r="VF456" s="457"/>
      <c r="VG456" s="457"/>
      <c r="VH456" s="457"/>
      <c r="VI456" s="457"/>
      <c r="VJ456" s="457"/>
      <c r="VK456" s="457"/>
      <c r="VL456" s="457"/>
      <c r="VM456" s="457"/>
      <c r="VN456" s="457"/>
      <c r="VO456" s="457"/>
      <c r="VP456" s="457"/>
      <c r="VQ456" s="457"/>
      <c r="VR456" s="457"/>
      <c r="VS456" s="457"/>
      <c r="VT456" s="457"/>
      <c r="VU456" s="457"/>
      <c r="VV456" s="457"/>
      <c r="VW456" s="457"/>
      <c r="VX456" s="457"/>
      <c r="VY456" s="457"/>
      <c r="VZ456" s="457"/>
      <c r="WA456" s="457"/>
      <c r="WB456" s="457"/>
      <c r="WC456" s="457"/>
      <c r="WD456" s="457"/>
      <c r="WE456" s="457"/>
      <c r="WF456" s="457"/>
      <c r="WG456" s="457"/>
      <c r="WH456" s="457"/>
      <c r="WI456" s="457"/>
      <c r="WJ456" s="457"/>
      <c r="WK456" s="457"/>
      <c r="WL456" s="457"/>
      <c r="WM456" s="457"/>
      <c r="WN456" s="457"/>
      <c r="WO456" s="457"/>
      <c r="WP456" s="457"/>
      <c r="WQ456" s="457"/>
      <c r="WR456" s="457"/>
      <c r="WS456" s="457"/>
      <c r="WT456" s="457"/>
      <c r="WU456" s="457"/>
      <c r="WV456" s="457"/>
      <c r="WW456" s="457"/>
      <c r="WX456" s="457"/>
      <c r="WY456" s="457"/>
      <c r="WZ456" s="457"/>
      <c r="XA456" s="457"/>
      <c r="XB456" s="457"/>
      <c r="XC456" s="457"/>
      <c r="XD456" s="457"/>
      <c r="XE456" s="457"/>
      <c r="XF456" s="457"/>
      <c r="XG456" s="457"/>
      <c r="XH456" s="457"/>
      <c r="XI456" s="457"/>
      <c r="XJ456" s="457"/>
      <c r="XK456" s="457"/>
      <c r="XL456" s="457"/>
      <c r="XM456" s="457"/>
      <c r="XN456" s="457"/>
      <c r="XO456" s="457"/>
      <c r="XP456" s="457"/>
      <c r="XQ456" s="457"/>
      <c r="XR456" s="457"/>
      <c r="XS456" s="457"/>
      <c r="XT456" s="457"/>
      <c r="XU456" s="457"/>
      <c r="XV456" s="457"/>
      <c r="XW456" s="457"/>
      <c r="XX456" s="457"/>
      <c r="XY456" s="457"/>
      <c r="XZ456" s="457"/>
      <c r="YA456" s="457"/>
      <c r="YB456" s="457"/>
      <c r="YC456" s="457"/>
      <c r="YD456" s="457"/>
      <c r="YE456" s="457"/>
      <c r="YF456" s="457"/>
      <c r="YG456" s="457"/>
      <c r="YH456" s="457"/>
      <c r="YI456" s="457"/>
      <c r="YJ456" s="457"/>
      <c r="YK456" s="457"/>
      <c r="YL456" s="457"/>
      <c r="YM456" s="457"/>
      <c r="YN456" s="457"/>
      <c r="YO456" s="457"/>
      <c r="YP456" s="457"/>
      <c r="YQ456" s="457"/>
      <c r="YR456" s="457"/>
      <c r="YS456" s="457"/>
      <c r="YT456" s="457"/>
      <c r="YU456" s="457"/>
      <c r="YV456" s="457"/>
      <c r="YW456" s="457"/>
      <c r="YX456" s="457"/>
      <c r="YY456" s="457"/>
      <c r="YZ456" s="457"/>
      <c r="ZA456" s="457"/>
      <c r="ZB456" s="457"/>
      <c r="ZC456" s="457"/>
      <c r="ZD456" s="457"/>
      <c r="ZE456" s="457"/>
      <c r="ZF456" s="457"/>
      <c r="ZG456" s="457"/>
      <c r="ZH456" s="457"/>
      <c r="ZI456" s="457"/>
      <c r="ZJ456" s="457"/>
      <c r="ZK456" s="457"/>
      <c r="ZL456" s="457"/>
      <c r="ZM456" s="457"/>
      <c r="ZN456" s="457"/>
      <c r="ZO456" s="457"/>
      <c r="ZP456" s="457"/>
      <c r="ZQ456" s="457"/>
      <c r="ZR456" s="457"/>
      <c r="ZS456" s="457"/>
      <c r="ZT456" s="457"/>
      <c r="ZU456" s="457"/>
      <c r="ZV456" s="457"/>
      <c r="ZW456" s="457"/>
      <c r="ZX456" s="457"/>
      <c r="ZY456" s="457"/>
      <c r="ZZ456" s="457"/>
      <c r="AAA456" s="457"/>
      <c r="AAB456" s="457"/>
      <c r="AAC456" s="457"/>
      <c r="AAD456" s="457"/>
      <c r="AAE456" s="457"/>
      <c r="AAF456" s="457"/>
      <c r="AAG456" s="457"/>
      <c r="AAH456" s="457"/>
      <c r="AAI456" s="457"/>
      <c r="AAJ456" s="457"/>
      <c r="AAK456" s="457"/>
      <c r="AAL456" s="457"/>
      <c r="AAM456" s="457"/>
      <c r="AAN456" s="457"/>
      <c r="AAO456" s="457"/>
      <c r="AAP456" s="457"/>
      <c r="AAQ456" s="457"/>
      <c r="AAR456" s="457"/>
      <c r="AAS456" s="457"/>
      <c r="AAT456" s="457"/>
      <c r="AAU456" s="457"/>
      <c r="AAV456" s="457"/>
      <c r="AAW456" s="457"/>
      <c r="AAX456" s="457"/>
      <c r="AAY456" s="457"/>
      <c r="AAZ456" s="457"/>
      <c r="ABA456" s="457"/>
      <c r="ABB456" s="457"/>
      <c r="ABC456" s="457"/>
      <c r="ABD456" s="457"/>
      <c r="ABE456" s="457"/>
      <c r="ABF456" s="457"/>
      <c r="ABG456" s="457"/>
      <c r="ABH456" s="457"/>
      <c r="ABI456" s="457"/>
      <c r="ABJ456" s="457"/>
      <c r="ABK456" s="457"/>
      <c r="ABL456" s="457"/>
      <c r="ABM456" s="457"/>
      <c r="ABN456" s="457"/>
      <c r="ABO456" s="457"/>
      <c r="ABP456" s="457"/>
      <c r="ABQ456" s="457"/>
      <c r="ABR456" s="457"/>
      <c r="ABS456" s="457"/>
      <c r="ABT456" s="457"/>
      <c r="ABU456" s="457"/>
      <c r="ABV456" s="457"/>
      <c r="ABW456" s="457"/>
      <c r="ABX456" s="457"/>
      <c r="ABY456" s="457"/>
      <c r="ABZ456" s="457"/>
      <c r="ACA456" s="457"/>
      <c r="ACB456" s="457"/>
      <c r="ACC456" s="457"/>
      <c r="ACD456" s="457"/>
      <c r="ACE456" s="457"/>
      <c r="ACF456" s="457"/>
      <c r="ACG456" s="457"/>
      <c r="ACH456" s="457"/>
      <c r="ACI456" s="457"/>
      <c r="ACJ456" s="457"/>
      <c r="ACK456" s="457"/>
      <c r="ACL456" s="457"/>
      <c r="ACM456" s="457"/>
      <c r="ACN456" s="457"/>
      <c r="ACO456" s="457"/>
      <c r="ACP456" s="457"/>
      <c r="ACQ456" s="457"/>
      <c r="ACR456" s="457"/>
      <c r="ACS456" s="457"/>
      <c r="ACT456" s="457"/>
      <c r="ACU456" s="457"/>
      <c r="ACV456" s="457"/>
    </row>
    <row r="457" spans="1:776" s="400" customFormat="1" x14ac:dyDescent="0.25">
      <c r="A457" s="470">
        <v>901015</v>
      </c>
      <c r="B457" s="237" t="s">
        <v>379</v>
      </c>
      <c r="C457" s="455"/>
      <c r="D457" s="454" t="s">
        <v>380</v>
      </c>
      <c r="E457" s="454">
        <v>1.91</v>
      </c>
      <c r="F457" s="458">
        <v>92.1</v>
      </c>
      <c r="G457" s="454">
        <v>0</v>
      </c>
      <c r="H457" s="454">
        <v>14.77</v>
      </c>
      <c r="I457" s="456">
        <v>236.7</v>
      </c>
      <c r="J457" s="454">
        <v>94.56</v>
      </c>
      <c r="K457" s="456">
        <v>34.61</v>
      </c>
      <c r="L457" s="454">
        <v>16.8</v>
      </c>
      <c r="M457" s="454">
        <v>0</v>
      </c>
      <c r="N457" s="454">
        <v>100.45</v>
      </c>
      <c r="O457" s="454">
        <v>164.83</v>
      </c>
      <c r="P457" s="454">
        <v>89.35</v>
      </c>
      <c r="Q457" s="454">
        <v>15.78</v>
      </c>
      <c r="R457" s="454">
        <v>0.06</v>
      </c>
      <c r="S457" s="454">
        <v>0.2</v>
      </c>
      <c r="T457" s="454">
        <v>0.28999999999999998</v>
      </c>
      <c r="U457" s="454">
        <v>7.0000000000000007E-2</v>
      </c>
      <c r="V457" s="454">
        <v>0.86</v>
      </c>
      <c r="W457" s="457"/>
      <c r="X457" s="457"/>
      <c r="Y457" s="457"/>
      <c r="Z457" s="457"/>
      <c r="AA457" s="457"/>
      <c r="AB457" s="457"/>
      <c r="AC457" s="457"/>
      <c r="AD457" s="457"/>
      <c r="AE457" s="457"/>
      <c r="AF457" s="457"/>
      <c r="AG457" s="457"/>
      <c r="AH457" s="457"/>
      <c r="AI457" s="457"/>
      <c r="AJ457" s="457"/>
      <c r="AK457" s="457"/>
      <c r="AL457" s="457"/>
      <c r="AM457" s="457"/>
      <c r="AN457" s="457"/>
      <c r="AO457" s="457"/>
      <c r="AP457" s="457"/>
      <c r="AQ457" s="457"/>
      <c r="AR457" s="457"/>
      <c r="AS457" s="457"/>
      <c r="AT457" s="457"/>
      <c r="AU457" s="457"/>
      <c r="AV457" s="457"/>
      <c r="AW457" s="457"/>
      <c r="AX457" s="457"/>
      <c r="AY457" s="457"/>
      <c r="AZ457" s="457"/>
      <c r="BA457" s="457"/>
      <c r="BB457" s="457"/>
      <c r="BC457" s="457"/>
      <c r="BD457" s="457"/>
      <c r="BE457" s="457"/>
      <c r="BF457" s="457"/>
      <c r="BG457" s="457"/>
      <c r="BH457" s="457"/>
      <c r="BI457" s="457"/>
      <c r="BJ457" s="457"/>
      <c r="BK457" s="457"/>
      <c r="BL457" s="457"/>
      <c r="BM457" s="457"/>
      <c r="BN457" s="457"/>
      <c r="BO457" s="457"/>
      <c r="BP457" s="457"/>
      <c r="BQ457" s="457"/>
      <c r="BR457" s="457"/>
      <c r="BS457" s="457"/>
      <c r="BT457" s="457"/>
      <c r="BU457" s="457"/>
      <c r="BV457" s="457"/>
      <c r="BW457" s="457"/>
      <c r="BX457" s="457"/>
      <c r="BY457" s="457"/>
      <c r="BZ457" s="457"/>
      <c r="CA457" s="457"/>
      <c r="CB457" s="457"/>
      <c r="CC457" s="457"/>
      <c r="CD457" s="457"/>
      <c r="CE457" s="457"/>
      <c r="CF457" s="457"/>
      <c r="CG457" s="457"/>
      <c r="CH457" s="457"/>
      <c r="CI457" s="457"/>
      <c r="CJ457" s="457"/>
      <c r="CK457" s="457"/>
      <c r="CL457" s="457"/>
      <c r="CM457" s="457"/>
      <c r="CN457" s="457"/>
      <c r="CO457" s="457"/>
      <c r="CP457" s="457"/>
      <c r="CQ457" s="457"/>
      <c r="CR457" s="457"/>
      <c r="CS457" s="457"/>
      <c r="CT457" s="457"/>
      <c r="CU457" s="457"/>
      <c r="CV457" s="457"/>
      <c r="CW457" s="457"/>
      <c r="CX457" s="457"/>
      <c r="CY457" s="457"/>
      <c r="CZ457" s="457"/>
      <c r="DA457" s="457"/>
      <c r="DB457" s="457"/>
      <c r="DC457" s="457"/>
      <c r="DD457" s="457"/>
      <c r="DE457" s="457"/>
      <c r="DF457" s="457"/>
      <c r="DG457" s="457"/>
      <c r="DH457" s="457"/>
      <c r="DI457" s="457"/>
      <c r="DJ457" s="457"/>
      <c r="DK457" s="457"/>
      <c r="DL457" s="457"/>
      <c r="DM457" s="457"/>
      <c r="DN457" s="457"/>
      <c r="DO457" s="457"/>
      <c r="DP457" s="457"/>
      <c r="DQ457" s="457"/>
      <c r="DR457" s="457"/>
      <c r="DS457" s="457"/>
      <c r="DT457" s="457"/>
      <c r="DU457" s="457"/>
      <c r="DV457" s="457"/>
      <c r="DW457" s="457"/>
      <c r="DX457" s="457"/>
      <c r="DY457" s="457"/>
      <c r="DZ457" s="457"/>
      <c r="EA457" s="457"/>
      <c r="EB457" s="457"/>
      <c r="EC457" s="457"/>
      <c r="ED457" s="457"/>
      <c r="EE457" s="457"/>
      <c r="EF457" s="457"/>
      <c r="EG457" s="457"/>
      <c r="EH457" s="457"/>
      <c r="EI457" s="457"/>
      <c r="EJ457" s="457"/>
      <c r="EK457" s="457"/>
      <c r="EL457" s="457"/>
      <c r="EM457" s="457"/>
      <c r="EN457" s="457"/>
      <c r="EO457" s="457"/>
      <c r="EP457" s="457"/>
      <c r="EQ457" s="457"/>
      <c r="ER457" s="457"/>
      <c r="ES457" s="457"/>
      <c r="ET457" s="457"/>
      <c r="EU457" s="457"/>
      <c r="EV457" s="457"/>
      <c r="EW457" s="457"/>
      <c r="EX457" s="457"/>
      <c r="EY457" s="457"/>
      <c r="EZ457" s="457"/>
      <c r="FA457" s="457"/>
      <c r="FB457" s="457"/>
      <c r="FC457" s="457"/>
      <c r="FD457" s="457"/>
      <c r="FE457" s="457"/>
      <c r="FF457" s="457"/>
      <c r="FG457" s="457"/>
      <c r="FH457" s="457"/>
      <c r="FI457" s="457"/>
      <c r="FJ457" s="457"/>
      <c r="FK457" s="457"/>
      <c r="FL457" s="457"/>
      <c r="FM457" s="457"/>
      <c r="FN457" s="457"/>
      <c r="FO457" s="457"/>
      <c r="FP457" s="457"/>
      <c r="FQ457" s="457"/>
      <c r="FR457" s="457"/>
      <c r="FS457" s="457"/>
      <c r="FT457" s="457"/>
      <c r="FU457" s="457"/>
      <c r="FV457" s="457"/>
      <c r="FW457" s="457"/>
      <c r="FX457" s="457"/>
      <c r="FY457" s="457"/>
      <c r="FZ457" s="457"/>
      <c r="GA457" s="457"/>
      <c r="GB457" s="457"/>
      <c r="GC457" s="457"/>
      <c r="GD457" s="457"/>
      <c r="GE457" s="457"/>
      <c r="GF457" s="457"/>
      <c r="GG457" s="457"/>
      <c r="GH457" s="457"/>
      <c r="GI457" s="457"/>
      <c r="GJ457" s="457"/>
      <c r="GK457" s="457"/>
      <c r="GL457" s="457"/>
      <c r="GM457" s="457"/>
      <c r="GN457" s="457"/>
      <c r="GO457" s="457"/>
      <c r="GP457" s="457"/>
      <c r="GQ457" s="457"/>
      <c r="GR457" s="457"/>
      <c r="GS457" s="457"/>
      <c r="GT457" s="457"/>
      <c r="GU457" s="457"/>
      <c r="GV457" s="457"/>
      <c r="GW457" s="457"/>
      <c r="GX457" s="457"/>
      <c r="GY457" s="457"/>
      <c r="GZ457" s="457"/>
      <c r="HA457" s="457"/>
      <c r="HB457" s="457"/>
      <c r="HC457" s="457"/>
      <c r="HD457" s="457"/>
      <c r="HE457" s="457"/>
      <c r="HF457" s="457"/>
      <c r="HG457" s="457"/>
      <c r="HH457" s="457"/>
      <c r="HI457" s="457"/>
      <c r="HJ457" s="457"/>
      <c r="HK457" s="457"/>
      <c r="HL457" s="457"/>
      <c r="HM457" s="457"/>
      <c r="HN457" s="457"/>
      <c r="HO457" s="457"/>
      <c r="HP457" s="457"/>
      <c r="HQ457" s="457"/>
      <c r="HR457" s="457"/>
      <c r="HS457" s="457"/>
      <c r="HT457" s="457"/>
      <c r="HU457" s="457"/>
      <c r="HV457" s="457"/>
      <c r="HW457" s="457"/>
      <c r="HX457" s="457"/>
      <c r="HY457" s="457"/>
      <c r="HZ457" s="457"/>
      <c r="IA457" s="457"/>
      <c r="IB457" s="457"/>
      <c r="IC457" s="457"/>
      <c r="ID457" s="457"/>
      <c r="IE457" s="457"/>
      <c r="IF457" s="457"/>
      <c r="IG457" s="457"/>
      <c r="IH457" s="457"/>
      <c r="II457" s="457"/>
      <c r="IJ457" s="457"/>
      <c r="IK457" s="457"/>
      <c r="IL457" s="457"/>
      <c r="IM457" s="457"/>
      <c r="IN457" s="457"/>
      <c r="IO457" s="457"/>
      <c r="IP457" s="457"/>
      <c r="IQ457" s="457"/>
      <c r="IR457" s="457"/>
      <c r="IS457" s="457"/>
      <c r="IT457" s="457"/>
      <c r="IU457" s="457"/>
      <c r="IV457" s="457"/>
      <c r="IW457" s="457"/>
      <c r="IX457" s="457"/>
      <c r="IY457" s="457"/>
      <c r="IZ457" s="457"/>
      <c r="JA457" s="457"/>
      <c r="JB457" s="457"/>
      <c r="JC457" s="457"/>
      <c r="JD457" s="457"/>
      <c r="JE457" s="457"/>
      <c r="JF457" s="457"/>
      <c r="JG457" s="457"/>
      <c r="JH457" s="457"/>
      <c r="JI457" s="457"/>
      <c r="JJ457" s="457"/>
      <c r="JK457" s="457"/>
      <c r="JL457" s="457"/>
      <c r="JM457" s="457"/>
      <c r="JN457" s="457"/>
      <c r="JO457" s="457"/>
      <c r="JP457" s="457"/>
      <c r="JQ457" s="457"/>
      <c r="JR457" s="457"/>
      <c r="JS457" s="457"/>
      <c r="JT457" s="457"/>
      <c r="JU457" s="457"/>
      <c r="JV457" s="457"/>
      <c r="JW457" s="457"/>
      <c r="JX457" s="457"/>
      <c r="JY457" s="457"/>
      <c r="JZ457" s="457"/>
      <c r="KA457" s="457"/>
      <c r="KB457" s="457"/>
      <c r="KC457" s="457"/>
      <c r="KD457" s="457"/>
      <c r="KE457" s="457"/>
      <c r="KF457" s="457"/>
      <c r="KG457" s="457"/>
      <c r="KH457" s="457"/>
      <c r="KI457" s="457"/>
      <c r="KJ457" s="457"/>
      <c r="KK457" s="457"/>
      <c r="KL457" s="457"/>
      <c r="KM457" s="457"/>
      <c r="KN457" s="457"/>
      <c r="KO457" s="457"/>
      <c r="KP457" s="457"/>
      <c r="KQ457" s="457"/>
      <c r="KR457" s="457"/>
      <c r="KS457" s="457"/>
      <c r="KT457" s="457"/>
      <c r="KU457" s="457"/>
      <c r="KV457" s="457"/>
      <c r="KW457" s="457"/>
      <c r="KX457" s="457"/>
      <c r="KY457" s="457"/>
      <c r="KZ457" s="457"/>
      <c r="LA457" s="457"/>
      <c r="LB457" s="457"/>
      <c r="LC457" s="457"/>
      <c r="LD457" s="457"/>
      <c r="LE457" s="457"/>
      <c r="LF457" s="457"/>
      <c r="LG457" s="457"/>
      <c r="LH457" s="457"/>
      <c r="LI457" s="457"/>
      <c r="LJ457" s="457"/>
      <c r="LK457" s="457"/>
      <c r="LL457" s="457"/>
      <c r="LM457" s="457"/>
      <c r="LN457" s="457"/>
      <c r="LO457" s="457"/>
      <c r="LP457" s="457"/>
      <c r="LQ457" s="457"/>
      <c r="LR457" s="457"/>
      <c r="LS457" s="457"/>
      <c r="LT457" s="457"/>
      <c r="LU457" s="457"/>
      <c r="LV457" s="457"/>
      <c r="LW457" s="457"/>
      <c r="LX457" s="457"/>
      <c r="LY457" s="457"/>
      <c r="LZ457" s="457"/>
      <c r="MA457" s="457"/>
      <c r="MB457" s="457"/>
      <c r="MC457" s="457"/>
      <c r="MD457" s="457"/>
      <c r="ME457" s="457"/>
      <c r="MF457" s="457"/>
      <c r="MG457" s="457"/>
      <c r="MH457" s="457"/>
      <c r="MI457" s="457"/>
      <c r="MJ457" s="457"/>
      <c r="MK457" s="457"/>
      <c r="ML457" s="457"/>
      <c r="MM457" s="457"/>
      <c r="MN457" s="457"/>
      <c r="MO457" s="457"/>
      <c r="MP457" s="457"/>
      <c r="MQ457" s="457"/>
      <c r="MR457" s="457"/>
      <c r="MS457" s="457"/>
      <c r="MT457" s="457"/>
      <c r="MU457" s="457"/>
      <c r="MV457" s="457"/>
      <c r="MW457" s="457"/>
      <c r="MX457" s="457"/>
      <c r="MY457" s="457"/>
      <c r="MZ457" s="457"/>
      <c r="NA457" s="457"/>
      <c r="NB457" s="457"/>
      <c r="NC457" s="457"/>
      <c r="ND457" s="457"/>
      <c r="NE457" s="457"/>
      <c r="NF457" s="457"/>
      <c r="NG457" s="457"/>
      <c r="NH457" s="457"/>
      <c r="NI457" s="457"/>
      <c r="NJ457" s="457"/>
      <c r="NK457" s="457"/>
      <c r="NL457" s="457"/>
      <c r="NM457" s="457"/>
      <c r="NN457" s="457"/>
      <c r="NO457" s="457"/>
      <c r="NP457" s="457"/>
      <c r="NQ457" s="457"/>
      <c r="NR457" s="457"/>
      <c r="NS457" s="457"/>
      <c r="NT457" s="457"/>
      <c r="NU457" s="457"/>
      <c r="NV457" s="457"/>
      <c r="NW457" s="457"/>
      <c r="NX457" s="457"/>
      <c r="NY457" s="457"/>
      <c r="NZ457" s="457"/>
      <c r="OA457" s="457"/>
      <c r="OB457" s="457"/>
      <c r="OC457" s="457"/>
      <c r="OD457" s="457"/>
      <c r="OE457" s="457"/>
      <c r="OF457" s="457"/>
      <c r="OG457" s="457"/>
      <c r="OH457" s="457"/>
      <c r="OI457" s="457"/>
      <c r="OJ457" s="457"/>
      <c r="OK457" s="457"/>
      <c r="OL457" s="457"/>
      <c r="OM457" s="457"/>
      <c r="ON457" s="457"/>
      <c r="OO457" s="457"/>
      <c r="OP457" s="457"/>
      <c r="OQ457" s="457"/>
      <c r="OR457" s="457"/>
      <c r="OS457" s="457"/>
      <c r="OT457" s="457"/>
      <c r="OU457" s="457"/>
      <c r="OV457" s="457"/>
      <c r="OW457" s="457"/>
      <c r="OX457" s="457"/>
      <c r="OY457" s="457"/>
      <c r="OZ457" s="457"/>
      <c r="PA457" s="457"/>
      <c r="PB457" s="457"/>
      <c r="PC457" s="457"/>
      <c r="PD457" s="457"/>
      <c r="PE457" s="457"/>
      <c r="PF457" s="457"/>
      <c r="PG457" s="457"/>
      <c r="PH457" s="457"/>
      <c r="PI457" s="457"/>
      <c r="PJ457" s="457"/>
      <c r="PK457" s="457"/>
      <c r="PL457" s="457"/>
      <c r="PM457" s="457"/>
      <c r="PN457" s="457"/>
      <c r="PO457" s="457"/>
      <c r="PP457" s="457"/>
      <c r="PQ457" s="457"/>
      <c r="PR457" s="457"/>
      <c r="PS457" s="457"/>
      <c r="PT457" s="457"/>
      <c r="PU457" s="457"/>
      <c r="PV457" s="457"/>
      <c r="PW457" s="457"/>
      <c r="PX457" s="457"/>
      <c r="PY457" s="457"/>
      <c r="PZ457" s="457"/>
      <c r="QA457" s="457"/>
      <c r="QB457" s="457"/>
      <c r="QC457" s="457"/>
      <c r="QD457" s="457"/>
      <c r="QE457" s="457"/>
      <c r="QF457" s="457"/>
      <c r="QG457" s="457"/>
      <c r="QH457" s="457"/>
      <c r="QI457" s="457"/>
      <c r="QJ457" s="457"/>
      <c r="QK457" s="457"/>
      <c r="QL457" s="457"/>
      <c r="QM457" s="457"/>
      <c r="QN457" s="457"/>
      <c r="QO457" s="457"/>
      <c r="QP457" s="457"/>
      <c r="QQ457" s="457"/>
      <c r="QR457" s="457"/>
      <c r="QS457" s="457"/>
      <c r="QT457" s="457"/>
      <c r="QU457" s="457"/>
      <c r="QV457" s="457"/>
      <c r="QW457" s="457"/>
      <c r="QX457" s="457"/>
      <c r="QY457" s="457"/>
      <c r="QZ457" s="457"/>
      <c r="RA457" s="457"/>
      <c r="RB457" s="457"/>
      <c r="RC457" s="457"/>
      <c r="RD457" s="457"/>
      <c r="RE457" s="457"/>
      <c r="RF457" s="457"/>
      <c r="RG457" s="457"/>
      <c r="RH457" s="457"/>
      <c r="RI457" s="457"/>
      <c r="RJ457" s="457"/>
      <c r="RK457" s="457"/>
      <c r="RL457" s="457"/>
      <c r="RM457" s="457"/>
      <c r="RN457" s="457"/>
      <c r="RO457" s="457"/>
      <c r="RP457" s="457"/>
      <c r="RQ457" s="457"/>
      <c r="RR457" s="457"/>
      <c r="RS457" s="457"/>
      <c r="RT457" s="457"/>
      <c r="RU457" s="457"/>
      <c r="RV457" s="457"/>
      <c r="RW457" s="457"/>
      <c r="RX457" s="457"/>
      <c r="RY457" s="457"/>
      <c r="RZ457" s="457"/>
      <c r="SA457" s="457"/>
      <c r="SB457" s="457"/>
      <c r="SC457" s="457"/>
      <c r="SD457" s="457"/>
      <c r="SE457" s="457"/>
      <c r="SF457" s="457"/>
      <c r="SG457" s="457"/>
      <c r="SH457" s="457"/>
      <c r="SI457" s="457"/>
      <c r="SJ457" s="457"/>
      <c r="SK457" s="457"/>
      <c r="SL457" s="457"/>
      <c r="SM457" s="457"/>
      <c r="SN457" s="457"/>
      <c r="SO457" s="457"/>
      <c r="SP457" s="457"/>
      <c r="SQ457" s="457"/>
      <c r="SR457" s="457"/>
      <c r="SS457" s="457"/>
      <c r="ST457" s="457"/>
      <c r="SU457" s="457"/>
      <c r="SV457" s="457"/>
      <c r="SW457" s="457"/>
      <c r="SX457" s="457"/>
      <c r="SY457" s="457"/>
      <c r="SZ457" s="457"/>
      <c r="TA457" s="457"/>
      <c r="TB457" s="457"/>
      <c r="TC457" s="457"/>
      <c r="TD457" s="457"/>
      <c r="TE457" s="457"/>
      <c r="TF457" s="457"/>
      <c r="TG457" s="457"/>
      <c r="TH457" s="457"/>
      <c r="TI457" s="457"/>
      <c r="TJ457" s="457"/>
      <c r="TK457" s="457"/>
      <c r="TL457" s="457"/>
      <c r="TM457" s="457"/>
      <c r="TN457" s="457"/>
      <c r="TO457" s="457"/>
      <c r="TP457" s="457"/>
      <c r="TQ457" s="457"/>
      <c r="TR457" s="457"/>
      <c r="TS457" s="457"/>
      <c r="TT457" s="457"/>
      <c r="TU457" s="457"/>
      <c r="TV457" s="457"/>
      <c r="TW457" s="457"/>
      <c r="TX457" s="457"/>
      <c r="TY457" s="457"/>
      <c r="TZ457" s="457"/>
      <c r="UA457" s="457"/>
      <c r="UB457" s="457"/>
      <c r="UC457" s="457"/>
      <c r="UD457" s="457"/>
      <c r="UE457" s="457"/>
      <c r="UF457" s="457"/>
      <c r="UG457" s="457"/>
      <c r="UH457" s="457"/>
      <c r="UI457" s="457"/>
      <c r="UJ457" s="457"/>
      <c r="UK457" s="457"/>
      <c r="UL457" s="457"/>
      <c r="UM457" s="457"/>
      <c r="UN457" s="457"/>
      <c r="UO457" s="457"/>
      <c r="UP457" s="457"/>
      <c r="UQ457" s="457"/>
      <c r="UR457" s="457"/>
      <c r="US457" s="457"/>
      <c r="UT457" s="457"/>
      <c r="UU457" s="457"/>
      <c r="UV457" s="457"/>
      <c r="UW457" s="457"/>
      <c r="UX457" s="457"/>
      <c r="UY457" s="457"/>
      <c r="UZ457" s="457"/>
      <c r="VA457" s="457"/>
      <c r="VB457" s="457"/>
      <c r="VC457" s="457"/>
      <c r="VD457" s="457"/>
      <c r="VE457" s="457"/>
      <c r="VF457" s="457"/>
      <c r="VG457" s="457"/>
      <c r="VH457" s="457"/>
      <c r="VI457" s="457"/>
      <c r="VJ457" s="457"/>
      <c r="VK457" s="457"/>
      <c r="VL457" s="457"/>
      <c r="VM457" s="457"/>
      <c r="VN457" s="457"/>
      <c r="VO457" s="457"/>
      <c r="VP457" s="457"/>
      <c r="VQ457" s="457"/>
      <c r="VR457" s="457"/>
      <c r="VS457" s="457"/>
      <c r="VT457" s="457"/>
      <c r="VU457" s="457"/>
      <c r="VV457" s="457"/>
      <c r="VW457" s="457"/>
      <c r="VX457" s="457"/>
      <c r="VY457" s="457"/>
      <c r="VZ457" s="457"/>
      <c r="WA457" s="457"/>
      <c r="WB457" s="457"/>
      <c r="WC457" s="457"/>
      <c r="WD457" s="457"/>
      <c r="WE457" s="457"/>
      <c r="WF457" s="457"/>
      <c r="WG457" s="457"/>
      <c r="WH457" s="457"/>
      <c r="WI457" s="457"/>
      <c r="WJ457" s="457"/>
      <c r="WK457" s="457"/>
      <c r="WL457" s="457"/>
      <c r="WM457" s="457"/>
      <c r="WN457" s="457"/>
      <c r="WO457" s="457"/>
      <c r="WP457" s="457"/>
      <c r="WQ457" s="457"/>
      <c r="WR457" s="457"/>
      <c r="WS457" s="457"/>
      <c r="WT457" s="457"/>
      <c r="WU457" s="457"/>
      <c r="WV457" s="457"/>
      <c r="WW457" s="457"/>
      <c r="WX457" s="457"/>
      <c r="WY457" s="457"/>
      <c r="WZ457" s="457"/>
      <c r="XA457" s="457"/>
      <c r="XB457" s="457"/>
      <c r="XC457" s="457"/>
      <c r="XD457" s="457"/>
      <c r="XE457" s="457"/>
      <c r="XF457" s="457"/>
      <c r="XG457" s="457"/>
      <c r="XH457" s="457"/>
      <c r="XI457" s="457"/>
      <c r="XJ457" s="457"/>
      <c r="XK457" s="457"/>
      <c r="XL457" s="457"/>
      <c r="XM457" s="457"/>
      <c r="XN457" s="457"/>
      <c r="XO457" s="457"/>
      <c r="XP457" s="457"/>
      <c r="XQ457" s="457"/>
      <c r="XR457" s="457"/>
      <c r="XS457" s="457"/>
      <c r="XT457" s="457"/>
      <c r="XU457" s="457"/>
      <c r="XV457" s="457"/>
      <c r="XW457" s="457"/>
      <c r="XX457" s="457"/>
      <c r="XY457" s="457"/>
      <c r="XZ457" s="457"/>
      <c r="YA457" s="457"/>
      <c r="YB457" s="457"/>
      <c r="YC457" s="457"/>
      <c r="YD457" s="457"/>
      <c r="YE457" s="457"/>
      <c r="YF457" s="457"/>
      <c r="YG457" s="457"/>
      <c r="YH457" s="457"/>
      <c r="YI457" s="457"/>
      <c r="YJ457" s="457"/>
      <c r="YK457" s="457"/>
      <c r="YL457" s="457"/>
      <c r="YM457" s="457"/>
      <c r="YN457" s="457"/>
      <c r="YO457" s="457"/>
      <c r="YP457" s="457"/>
      <c r="YQ457" s="457"/>
      <c r="YR457" s="457"/>
      <c r="YS457" s="457"/>
      <c r="YT457" s="457"/>
      <c r="YU457" s="457"/>
      <c r="YV457" s="457"/>
      <c r="YW457" s="457"/>
      <c r="YX457" s="457"/>
      <c r="YY457" s="457"/>
      <c r="YZ457" s="457"/>
      <c r="ZA457" s="457"/>
      <c r="ZB457" s="457"/>
      <c r="ZC457" s="457"/>
      <c r="ZD457" s="457"/>
      <c r="ZE457" s="457"/>
      <c r="ZF457" s="457"/>
      <c r="ZG457" s="457"/>
      <c r="ZH457" s="457"/>
      <c r="ZI457" s="457"/>
      <c r="ZJ457" s="457"/>
      <c r="ZK457" s="457"/>
      <c r="ZL457" s="457"/>
      <c r="ZM457" s="457"/>
      <c r="ZN457" s="457"/>
      <c r="ZO457" s="457"/>
      <c r="ZP457" s="457"/>
      <c r="ZQ457" s="457"/>
      <c r="ZR457" s="457"/>
      <c r="ZS457" s="457"/>
      <c r="ZT457" s="457"/>
      <c r="ZU457" s="457"/>
      <c r="ZV457" s="457"/>
      <c r="ZW457" s="457"/>
      <c r="ZX457" s="457"/>
      <c r="ZY457" s="457"/>
      <c r="ZZ457" s="457"/>
      <c r="AAA457" s="457"/>
      <c r="AAB457" s="457"/>
      <c r="AAC457" s="457"/>
      <c r="AAD457" s="457"/>
      <c r="AAE457" s="457"/>
      <c r="AAF457" s="457"/>
      <c r="AAG457" s="457"/>
      <c r="AAH457" s="457"/>
      <c r="AAI457" s="457"/>
      <c r="AAJ457" s="457"/>
      <c r="AAK457" s="457"/>
      <c r="AAL457" s="457"/>
      <c r="AAM457" s="457"/>
      <c r="AAN457" s="457"/>
      <c r="AAO457" s="457"/>
      <c r="AAP457" s="457"/>
      <c r="AAQ457" s="457"/>
      <c r="AAR457" s="457"/>
      <c r="AAS457" s="457"/>
      <c r="AAT457" s="457"/>
      <c r="AAU457" s="457"/>
      <c r="AAV457" s="457"/>
      <c r="AAW457" s="457"/>
      <c r="AAX457" s="457"/>
      <c r="AAY457" s="457"/>
      <c r="AAZ457" s="457"/>
      <c r="ABA457" s="457"/>
      <c r="ABB457" s="457"/>
      <c r="ABC457" s="457"/>
      <c r="ABD457" s="457"/>
      <c r="ABE457" s="457"/>
      <c r="ABF457" s="457"/>
      <c r="ABG457" s="457"/>
      <c r="ABH457" s="457"/>
      <c r="ABI457" s="457"/>
      <c r="ABJ457" s="457"/>
      <c r="ABK457" s="457"/>
      <c r="ABL457" s="457"/>
      <c r="ABM457" s="457"/>
      <c r="ABN457" s="457"/>
      <c r="ABO457" s="457"/>
      <c r="ABP457" s="457"/>
      <c r="ABQ457" s="457"/>
      <c r="ABR457" s="457"/>
      <c r="ABS457" s="457"/>
      <c r="ABT457" s="457"/>
      <c r="ABU457" s="457"/>
      <c r="ABV457" s="457"/>
      <c r="ABW457" s="457"/>
      <c r="ABX457" s="457"/>
      <c r="ABY457" s="457"/>
      <c r="ABZ457" s="457"/>
      <c r="ACA457" s="457"/>
      <c r="ACB457" s="457"/>
      <c r="ACC457" s="457"/>
      <c r="ACD457" s="457"/>
      <c r="ACE457" s="457"/>
      <c r="ACF457" s="457"/>
      <c r="ACG457" s="457"/>
      <c r="ACH457" s="457"/>
      <c r="ACI457" s="457"/>
      <c r="ACJ457" s="457"/>
      <c r="ACK457" s="457"/>
      <c r="ACL457" s="457"/>
      <c r="ACM457" s="457"/>
      <c r="ACN457" s="457"/>
      <c r="ACO457" s="457"/>
      <c r="ACP457" s="457"/>
      <c r="ACQ457" s="457"/>
      <c r="ACR457" s="457"/>
      <c r="ACS457" s="457"/>
      <c r="ACT457" s="457"/>
      <c r="ACU457" s="457"/>
      <c r="ACV457" s="457"/>
    </row>
    <row r="458" spans="1:776" s="400" customFormat="1" x14ac:dyDescent="0.25">
      <c r="A458" s="470">
        <v>900177</v>
      </c>
      <c r="B458" s="237" t="s">
        <v>381</v>
      </c>
      <c r="C458" s="455"/>
      <c r="D458" s="454" t="s">
        <v>366</v>
      </c>
      <c r="E458" s="34">
        <v>3.07</v>
      </c>
      <c r="F458" s="458">
        <v>0.5</v>
      </c>
      <c r="G458" s="454">
        <v>0</v>
      </c>
      <c r="H458" s="454">
        <v>4.92</v>
      </c>
      <c r="I458" s="456">
        <v>750</v>
      </c>
      <c r="J458" s="454">
        <v>149.15</v>
      </c>
      <c r="K458" s="454">
        <v>6.1199999999999997E-2</v>
      </c>
      <c r="L458" s="454">
        <v>225.6</v>
      </c>
      <c r="M458" s="454">
        <v>0</v>
      </c>
      <c r="N458" s="454">
        <v>17.899999999999999</v>
      </c>
      <c r="O458" s="454">
        <v>503.56</v>
      </c>
      <c r="P458" s="454">
        <v>50.81</v>
      </c>
      <c r="Q458" s="454">
        <v>21.17</v>
      </c>
      <c r="R458" s="454">
        <v>9.9999999999999995E-7</v>
      </c>
      <c r="S458" s="454">
        <v>9.9999999999999995E-7</v>
      </c>
      <c r="T458" s="454">
        <v>9.9999999999999995E-7</v>
      </c>
      <c r="U458" s="454">
        <v>0.01</v>
      </c>
      <c r="V458" s="454"/>
      <c r="W458" s="457"/>
      <c r="X458" s="457"/>
      <c r="Y458" s="457"/>
      <c r="Z458" s="457"/>
      <c r="AA458" s="457"/>
      <c r="AB458" s="457"/>
      <c r="AC458" s="457"/>
      <c r="AD458" s="457"/>
      <c r="AE458" s="457"/>
      <c r="AF458" s="457"/>
      <c r="AG458" s="457"/>
      <c r="AH458" s="457"/>
      <c r="AI458" s="457"/>
      <c r="AJ458" s="457"/>
      <c r="AK458" s="457"/>
      <c r="AL458" s="457"/>
      <c r="AM458" s="457"/>
      <c r="AN458" s="457"/>
      <c r="AO458" s="457"/>
      <c r="AP458" s="457"/>
      <c r="AQ458" s="457"/>
      <c r="AR458" s="457"/>
      <c r="AS458" s="457"/>
      <c r="AT458" s="457"/>
      <c r="AU458" s="457"/>
      <c r="AV458" s="457"/>
      <c r="AW458" s="457"/>
      <c r="AX458" s="457"/>
      <c r="AY458" s="457"/>
      <c r="AZ458" s="457"/>
      <c r="BA458" s="457"/>
      <c r="BB458" s="457"/>
      <c r="BC458" s="457"/>
      <c r="BD458" s="457"/>
      <c r="BE458" s="457"/>
      <c r="BF458" s="457"/>
      <c r="BG458" s="457"/>
      <c r="BH458" s="457"/>
      <c r="BI458" s="457"/>
      <c r="BJ458" s="457"/>
      <c r="BK458" s="457"/>
      <c r="BL458" s="457"/>
      <c r="BM458" s="457"/>
      <c r="BN458" s="457"/>
      <c r="BO458" s="457"/>
      <c r="BP458" s="457"/>
      <c r="BQ458" s="457"/>
      <c r="BR458" s="457"/>
      <c r="BS458" s="457"/>
      <c r="BT458" s="457"/>
      <c r="BU458" s="457"/>
      <c r="BV458" s="457"/>
      <c r="BW458" s="457"/>
      <c r="BX458" s="457"/>
      <c r="BY458" s="457"/>
      <c r="BZ458" s="457"/>
      <c r="CA458" s="457"/>
      <c r="CB458" s="457"/>
      <c r="CC458" s="457"/>
      <c r="CD458" s="457"/>
      <c r="CE458" s="457"/>
      <c r="CF458" s="457"/>
      <c r="CG458" s="457"/>
      <c r="CH458" s="457"/>
      <c r="CI458" s="457"/>
      <c r="CJ458" s="457"/>
      <c r="CK458" s="457"/>
      <c r="CL458" s="457"/>
      <c r="CM458" s="457"/>
      <c r="CN458" s="457"/>
      <c r="CO458" s="457"/>
      <c r="CP458" s="457"/>
      <c r="CQ458" s="457"/>
      <c r="CR458" s="457"/>
      <c r="CS458" s="457"/>
      <c r="CT458" s="457"/>
      <c r="CU458" s="457"/>
      <c r="CV458" s="457"/>
      <c r="CW458" s="457"/>
      <c r="CX458" s="457"/>
      <c r="CY458" s="457"/>
      <c r="CZ458" s="457"/>
      <c r="DA458" s="457"/>
      <c r="DB458" s="457"/>
      <c r="DC458" s="457"/>
      <c r="DD458" s="457"/>
      <c r="DE458" s="457"/>
      <c r="DF458" s="457"/>
      <c r="DG458" s="457"/>
      <c r="DH458" s="457"/>
      <c r="DI458" s="457"/>
      <c r="DJ458" s="457"/>
      <c r="DK458" s="457"/>
      <c r="DL458" s="457"/>
      <c r="DM458" s="457"/>
      <c r="DN458" s="457"/>
      <c r="DO458" s="457"/>
      <c r="DP458" s="457"/>
      <c r="DQ458" s="457"/>
      <c r="DR458" s="457"/>
      <c r="DS458" s="457"/>
      <c r="DT458" s="457"/>
      <c r="DU458" s="457"/>
      <c r="DV458" s="457"/>
      <c r="DW458" s="457"/>
      <c r="DX458" s="457"/>
      <c r="DY458" s="457"/>
      <c r="DZ458" s="457"/>
      <c r="EA458" s="457"/>
      <c r="EB458" s="457"/>
      <c r="EC458" s="457"/>
      <c r="ED458" s="457"/>
      <c r="EE458" s="457"/>
      <c r="EF458" s="457"/>
      <c r="EG458" s="457"/>
      <c r="EH458" s="457"/>
      <c r="EI458" s="457"/>
      <c r="EJ458" s="457"/>
      <c r="EK458" s="457"/>
      <c r="EL458" s="457"/>
      <c r="EM458" s="457"/>
      <c r="EN458" s="457"/>
      <c r="EO458" s="457"/>
      <c r="EP458" s="457"/>
      <c r="EQ458" s="457"/>
      <c r="ER458" s="457"/>
      <c r="ES458" s="457"/>
      <c r="ET458" s="457"/>
      <c r="EU458" s="457"/>
      <c r="EV458" s="457"/>
      <c r="EW458" s="457"/>
      <c r="EX458" s="457"/>
      <c r="EY458" s="457"/>
      <c r="EZ458" s="457"/>
      <c r="FA458" s="457"/>
      <c r="FB458" s="457"/>
      <c r="FC458" s="457"/>
      <c r="FD458" s="457"/>
      <c r="FE458" s="457"/>
      <c r="FF458" s="457"/>
      <c r="FG458" s="457"/>
      <c r="FH458" s="457"/>
      <c r="FI458" s="457"/>
      <c r="FJ458" s="457"/>
      <c r="FK458" s="457"/>
      <c r="FL458" s="457"/>
      <c r="FM458" s="457"/>
      <c r="FN458" s="457"/>
      <c r="FO458" s="457"/>
      <c r="FP458" s="457"/>
      <c r="FQ458" s="457"/>
      <c r="FR458" s="457"/>
      <c r="FS458" s="457"/>
      <c r="FT458" s="457"/>
      <c r="FU458" s="457"/>
      <c r="FV458" s="457"/>
      <c r="FW458" s="457"/>
      <c r="FX458" s="457"/>
      <c r="FY458" s="457"/>
      <c r="FZ458" s="457"/>
      <c r="GA458" s="457"/>
      <c r="GB458" s="457"/>
      <c r="GC458" s="457"/>
      <c r="GD458" s="457"/>
      <c r="GE458" s="457"/>
      <c r="GF458" s="457"/>
      <c r="GG458" s="457"/>
      <c r="GH458" s="457"/>
      <c r="GI458" s="457"/>
      <c r="GJ458" s="457"/>
      <c r="GK458" s="457"/>
      <c r="GL458" s="457"/>
      <c r="GM458" s="457"/>
      <c r="GN458" s="457"/>
      <c r="GO458" s="457"/>
      <c r="GP458" s="457"/>
      <c r="GQ458" s="457"/>
      <c r="GR458" s="457"/>
      <c r="GS458" s="457"/>
      <c r="GT458" s="457"/>
      <c r="GU458" s="457"/>
      <c r="GV458" s="457"/>
      <c r="GW458" s="457"/>
      <c r="GX458" s="457"/>
      <c r="GY458" s="457"/>
      <c r="GZ458" s="457"/>
      <c r="HA458" s="457"/>
      <c r="HB458" s="457"/>
      <c r="HC458" s="457"/>
      <c r="HD458" s="457"/>
      <c r="HE458" s="457"/>
      <c r="HF458" s="457"/>
      <c r="HG458" s="457"/>
      <c r="HH458" s="457"/>
      <c r="HI458" s="457"/>
      <c r="HJ458" s="457"/>
      <c r="HK458" s="457"/>
      <c r="HL458" s="457"/>
      <c r="HM458" s="457"/>
      <c r="HN458" s="457"/>
      <c r="HO458" s="457"/>
      <c r="HP458" s="457"/>
      <c r="HQ458" s="457"/>
      <c r="HR458" s="457"/>
      <c r="HS458" s="457"/>
      <c r="HT458" s="457"/>
      <c r="HU458" s="457"/>
      <c r="HV458" s="457"/>
      <c r="HW458" s="457"/>
      <c r="HX458" s="457"/>
      <c r="HY458" s="457"/>
      <c r="HZ458" s="457"/>
      <c r="IA458" s="457"/>
      <c r="IB458" s="457"/>
      <c r="IC458" s="457"/>
      <c r="ID458" s="457"/>
      <c r="IE458" s="457"/>
      <c r="IF458" s="457"/>
      <c r="IG458" s="457"/>
      <c r="IH458" s="457"/>
      <c r="II458" s="457"/>
      <c r="IJ458" s="457"/>
      <c r="IK458" s="457"/>
      <c r="IL458" s="457"/>
      <c r="IM458" s="457"/>
      <c r="IN458" s="457"/>
      <c r="IO458" s="457"/>
      <c r="IP458" s="457"/>
      <c r="IQ458" s="457"/>
      <c r="IR458" s="457"/>
      <c r="IS458" s="457"/>
      <c r="IT458" s="457"/>
      <c r="IU458" s="457"/>
      <c r="IV458" s="457"/>
      <c r="IW458" s="457"/>
      <c r="IX458" s="457"/>
      <c r="IY458" s="457"/>
      <c r="IZ458" s="457"/>
      <c r="JA458" s="457"/>
      <c r="JB458" s="457"/>
      <c r="JC458" s="457"/>
      <c r="JD458" s="457"/>
      <c r="JE458" s="457"/>
      <c r="JF458" s="457"/>
      <c r="JG458" s="457"/>
      <c r="JH458" s="457"/>
      <c r="JI458" s="457"/>
      <c r="JJ458" s="457"/>
      <c r="JK458" s="457"/>
      <c r="JL458" s="457"/>
      <c r="JM458" s="457"/>
      <c r="JN458" s="457"/>
      <c r="JO458" s="457"/>
      <c r="JP458" s="457"/>
      <c r="JQ458" s="457"/>
      <c r="JR458" s="457"/>
      <c r="JS458" s="457"/>
      <c r="JT458" s="457"/>
      <c r="JU458" s="457"/>
      <c r="JV458" s="457"/>
      <c r="JW458" s="457"/>
      <c r="JX458" s="457"/>
      <c r="JY458" s="457"/>
      <c r="JZ458" s="457"/>
      <c r="KA458" s="457"/>
      <c r="KB458" s="457"/>
      <c r="KC458" s="457"/>
      <c r="KD458" s="457"/>
      <c r="KE458" s="457"/>
      <c r="KF458" s="457"/>
      <c r="KG458" s="457"/>
      <c r="KH458" s="457"/>
      <c r="KI458" s="457"/>
      <c r="KJ458" s="457"/>
      <c r="KK458" s="457"/>
      <c r="KL458" s="457"/>
      <c r="KM458" s="457"/>
      <c r="KN458" s="457"/>
      <c r="KO458" s="457"/>
      <c r="KP458" s="457"/>
      <c r="KQ458" s="457"/>
      <c r="KR458" s="457"/>
      <c r="KS458" s="457"/>
      <c r="KT458" s="457"/>
      <c r="KU458" s="457"/>
      <c r="KV458" s="457"/>
      <c r="KW458" s="457"/>
      <c r="KX458" s="457"/>
      <c r="KY458" s="457"/>
      <c r="KZ458" s="457"/>
      <c r="LA458" s="457"/>
      <c r="LB458" s="457"/>
      <c r="LC458" s="457"/>
      <c r="LD458" s="457"/>
      <c r="LE458" s="457"/>
      <c r="LF458" s="457"/>
      <c r="LG458" s="457"/>
      <c r="LH458" s="457"/>
      <c r="LI458" s="457"/>
      <c r="LJ458" s="457"/>
      <c r="LK458" s="457"/>
      <c r="LL458" s="457"/>
      <c r="LM458" s="457"/>
      <c r="LN458" s="457"/>
      <c r="LO458" s="457"/>
      <c r="LP458" s="457"/>
      <c r="LQ458" s="457"/>
      <c r="LR458" s="457"/>
      <c r="LS458" s="457"/>
      <c r="LT458" s="457"/>
      <c r="LU458" s="457"/>
      <c r="LV458" s="457"/>
      <c r="LW458" s="457"/>
      <c r="LX458" s="457"/>
      <c r="LY458" s="457"/>
      <c r="LZ458" s="457"/>
      <c r="MA458" s="457"/>
      <c r="MB458" s="457"/>
      <c r="MC458" s="457"/>
      <c r="MD458" s="457"/>
      <c r="ME458" s="457"/>
      <c r="MF458" s="457"/>
      <c r="MG458" s="457"/>
      <c r="MH458" s="457"/>
      <c r="MI458" s="457"/>
      <c r="MJ458" s="457"/>
      <c r="MK458" s="457"/>
      <c r="ML458" s="457"/>
      <c r="MM458" s="457"/>
      <c r="MN458" s="457"/>
      <c r="MO458" s="457"/>
      <c r="MP458" s="457"/>
      <c r="MQ458" s="457"/>
      <c r="MR458" s="457"/>
      <c r="MS458" s="457"/>
      <c r="MT458" s="457"/>
      <c r="MU458" s="457"/>
      <c r="MV458" s="457"/>
      <c r="MW458" s="457"/>
      <c r="MX458" s="457"/>
      <c r="MY458" s="457"/>
      <c r="MZ458" s="457"/>
      <c r="NA458" s="457"/>
      <c r="NB458" s="457"/>
      <c r="NC458" s="457"/>
      <c r="ND458" s="457"/>
      <c r="NE458" s="457"/>
      <c r="NF458" s="457"/>
      <c r="NG458" s="457"/>
      <c r="NH458" s="457"/>
      <c r="NI458" s="457"/>
      <c r="NJ458" s="457"/>
      <c r="NK458" s="457"/>
      <c r="NL458" s="457"/>
      <c r="NM458" s="457"/>
      <c r="NN458" s="457"/>
      <c r="NO458" s="457"/>
      <c r="NP458" s="457"/>
      <c r="NQ458" s="457"/>
      <c r="NR458" s="457"/>
      <c r="NS458" s="457"/>
      <c r="NT458" s="457"/>
      <c r="NU458" s="457"/>
      <c r="NV458" s="457"/>
      <c r="NW458" s="457"/>
      <c r="NX458" s="457"/>
      <c r="NY458" s="457"/>
      <c r="NZ458" s="457"/>
      <c r="OA458" s="457"/>
      <c r="OB458" s="457"/>
      <c r="OC458" s="457"/>
      <c r="OD458" s="457"/>
      <c r="OE458" s="457"/>
      <c r="OF458" s="457"/>
      <c r="OG458" s="457"/>
      <c r="OH458" s="457"/>
      <c r="OI458" s="457"/>
      <c r="OJ458" s="457"/>
      <c r="OK458" s="457"/>
      <c r="OL458" s="457"/>
      <c r="OM458" s="457"/>
      <c r="ON458" s="457"/>
      <c r="OO458" s="457"/>
      <c r="OP458" s="457"/>
      <c r="OQ458" s="457"/>
      <c r="OR458" s="457"/>
      <c r="OS458" s="457"/>
      <c r="OT458" s="457"/>
      <c r="OU458" s="457"/>
      <c r="OV458" s="457"/>
      <c r="OW458" s="457"/>
      <c r="OX458" s="457"/>
      <c r="OY458" s="457"/>
      <c r="OZ458" s="457"/>
      <c r="PA458" s="457"/>
      <c r="PB458" s="457"/>
      <c r="PC458" s="457"/>
      <c r="PD458" s="457"/>
      <c r="PE458" s="457"/>
      <c r="PF458" s="457"/>
      <c r="PG458" s="457"/>
      <c r="PH458" s="457"/>
      <c r="PI458" s="457"/>
      <c r="PJ458" s="457"/>
      <c r="PK458" s="457"/>
      <c r="PL458" s="457"/>
      <c r="PM458" s="457"/>
      <c r="PN458" s="457"/>
      <c r="PO458" s="457"/>
      <c r="PP458" s="457"/>
      <c r="PQ458" s="457"/>
      <c r="PR458" s="457"/>
      <c r="PS458" s="457"/>
      <c r="PT458" s="457"/>
      <c r="PU458" s="457"/>
      <c r="PV458" s="457"/>
      <c r="PW458" s="457"/>
      <c r="PX458" s="457"/>
      <c r="PY458" s="457"/>
      <c r="PZ458" s="457"/>
      <c r="QA458" s="457"/>
      <c r="QB458" s="457"/>
      <c r="QC458" s="457"/>
      <c r="QD458" s="457"/>
      <c r="QE458" s="457"/>
      <c r="QF458" s="457"/>
      <c r="QG458" s="457"/>
      <c r="QH458" s="457"/>
      <c r="QI458" s="457"/>
      <c r="QJ458" s="457"/>
      <c r="QK458" s="457"/>
      <c r="QL458" s="457"/>
      <c r="QM458" s="457"/>
      <c r="QN458" s="457"/>
      <c r="QO458" s="457"/>
      <c r="QP458" s="457"/>
      <c r="QQ458" s="457"/>
      <c r="QR458" s="457"/>
      <c r="QS458" s="457"/>
      <c r="QT458" s="457"/>
      <c r="QU458" s="457"/>
      <c r="QV458" s="457"/>
      <c r="QW458" s="457"/>
      <c r="QX458" s="457"/>
      <c r="QY458" s="457"/>
      <c r="QZ458" s="457"/>
      <c r="RA458" s="457"/>
      <c r="RB458" s="457"/>
      <c r="RC458" s="457"/>
      <c r="RD458" s="457"/>
      <c r="RE458" s="457"/>
      <c r="RF458" s="457"/>
      <c r="RG458" s="457"/>
      <c r="RH458" s="457"/>
      <c r="RI458" s="457"/>
      <c r="RJ458" s="457"/>
      <c r="RK458" s="457"/>
      <c r="RL458" s="457"/>
      <c r="RM458" s="457"/>
      <c r="RN458" s="457"/>
      <c r="RO458" s="457"/>
      <c r="RP458" s="457"/>
      <c r="RQ458" s="457"/>
      <c r="RR458" s="457"/>
      <c r="RS458" s="457"/>
      <c r="RT458" s="457"/>
      <c r="RU458" s="457"/>
      <c r="RV458" s="457"/>
      <c r="RW458" s="457"/>
      <c r="RX458" s="457"/>
      <c r="RY458" s="457"/>
      <c r="RZ458" s="457"/>
      <c r="SA458" s="457"/>
      <c r="SB458" s="457"/>
      <c r="SC458" s="457"/>
      <c r="SD458" s="457"/>
      <c r="SE458" s="457"/>
      <c r="SF458" s="457"/>
      <c r="SG458" s="457"/>
      <c r="SH458" s="457"/>
      <c r="SI458" s="457"/>
      <c r="SJ458" s="457"/>
      <c r="SK458" s="457"/>
      <c r="SL458" s="457"/>
      <c r="SM458" s="457"/>
      <c r="SN458" s="457"/>
      <c r="SO458" s="457"/>
      <c r="SP458" s="457"/>
      <c r="SQ458" s="457"/>
      <c r="SR458" s="457"/>
      <c r="SS458" s="457"/>
      <c r="ST458" s="457"/>
      <c r="SU458" s="457"/>
      <c r="SV458" s="457"/>
      <c r="SW458" s="457"/>
      <c r="SX458" s="457"/>
      <c r="SY458" s="457"/>
      <c r="SZ458" s="457"/>
      <c r="TA458" s="457"/>
      <c r="TB458" s="457"/>
      <c r="TC458" s="457"/>
      <c r="TD458" s="457"/>
      <c r="TE458" s="457"/>
      <c r="TF458" s="457"/>
      <c r="TG458" s="457"/>
      <c r="TH458" s="457"/>
      <c r="TI458" s="457"/>
      <c r="TJ458" s="457"/>
      <c r="TK458" s="457"/>
      <c r="TL458" s="457"/>
      <c r="TM458" s="457"/>
      <c r="TN458" s="457"/>
      <c r="TO458" s="457"/>
      <c r="TP458" s="457"/>
      <c r="TQ458" s="457"/>
      <c r="TR458" s="457"/>
      <c r="TS458" s="457"/>
      <c r="TT458" s="457"/>
      <c r="TU458" s="457"/>
      <c r="TV458" s="457"/>
      <c r="TW458" s="457"/>
      <c r="TX458" s="457"/>
      <c r="TY458" s="457"/>
      <c r="TZ458" s="457"/>
      <c r="UA458" s="457"/>
      <c r="UB458" s="457"/>
      <c r="UC458" s="457"/>
      <c r="UD458" s="457"/>
      <c r="UE458" s="457"/>
      <c r="UF458" s="457"/>
      <c r="UG458" s="457"/>
      <c r="UH458" s="457"/>
      <c r="UI458" s="457"/>
      <c r="UJ458" s="457"/>
      <c r="UK458" s="457"/>
      <c r="UL458" s="457"/>
      <c r="UM458" s="457"/>
      <c r="UN458" s="457"/>
      <c r="UO458" s="457"/>
      <c r="UP458" s="457"/>
      <c r="UQ458" s="457"/>
      <c r="UR458" s="457"/>
      <c r="US458" s="457"/>
      <c r="UT458" s="457"/>
      <c r="UU458" s="457"/>
      <c r="UV458" s="457"/>
      <c r="UW458" s="457"/>
      <c r="UX458" s="457"/>
      <c r="UY458" s="457"/>
      <c r="UZ458" s="457"/>
      <c r="VA458" s="457"/>
      <c r="VB458" s="457"/>
      <c r="VC458" s="457"/>
      <c r="VD458" s="457"/>
      <c r="VE458" s="457"/>
      <c r="VF458" s="457"/>
      <c r="VG458" s="457"/>
      <c r="VH458" s="457"/>
      <c r="VI458" s="457"/>
      <c r="VJ458" s="457"/>
      <c r="VK458" s="457"/>
      <c r="VL458" s="457"/>
      <c r="VM458" s="457"/>
      <c r="VN458" s="457"/>
      <c r="VO458" s="457"/>
      <c r="VP458" s="457"/>
      <c r="VQ458" s="457"/>
      <c r="VR458" s="457"/>
      <c r="VS458" s="457"/>
      <c r="VT458" s="457"/>
      <c r="VU458" s="457"/>
      <c r="VV458" s="457"/>
      <c r="VW458" s="457"/>
      <c r="VX458" s="457"/>
      <c r="VY458" s="457"/>
      <c r="VZ458" s="457"/>
      <c r="WA458" s="457"/>
      <c r="WB458" s="457"/>
      <c r="WC458" s="457"/>
      <c r="WD458" s="457"/>
      <c r="WE458" s="457"/>
      <c r="WF458" s="457"/>
      <c r="WG458" s="457"/>
      <c r="WH458" s="457"/>
      <c r="WI458" s="457"/>
      <c r="WJ458" s="457"/>
      <c r="WK458" s="457"/>
      <c r="WL458" s="457"/>
      <c r="WM458" s="457"/>
      <c r="WN458" s="457"/>
      <c r="WO458" s="457"/>
      <c r="WP458" s="457"/>
      <c r="WQ458" s="457"/>
      <c r="WR458" s="457"/>
      <c r="WS458" s="457"/>
      <c r="WT458" s="457"/>
      <c r="WU458" s="457"/>
      <c r="WV458" s="457"/>
      <c r="WW458" s="457"/>
      <c r="WX458" s="457"/>
      <c r="WY458" s="457"/>
      <c r="WZ458" s="457"/>
      <c r="XA458" s="457"/>
      <c r="XB458" s="457"/>
      <c r="XC458" s="457"/>
      <c r="XD458" s="457"/>
      <c r="XE458" s="457"/>
      <c r="XF458" s="457"/>
      <c r="XG458" s="457"/>
      <c r="XH458" s="457"/>
      <c r="XI458" s="457"/>
      <c r="XJ458" s="457"/>
      <c r="XK458" s="457"/>
      <c r="XL458" s="457"/>
      <c r="XM458" s="457"/>
      <c r="XN458" s="457"/>
      <c r="XO458" s="457"/>
      <c r="XP458" s="457"/>
      <c r="XQ458" s="457"/>
      <c r="XR458" s="457"/>
      <c r="XS458" s="457"/>
      <c r="XT458" s="457"/>
      <c r="XU458" s="457"/>
      <c r="XV458" s="457"/>
      <c r="XW458" s="457"/>
      <c r="XX458" s="457"/>
      <c r="XY458" s="457"/>
      <c r="XZ458" s="457"/>
      <c r="YA458" s="457"/>
      <c r="YB458" s="457"/>
      <c r="YC458" s="457"/>
      <c r="YD458" s="457"/>
      <c r="YE458" s="457"/>
      <c r="YF458" s="457"/>
      <c r="YG458" s="457"/>
      <c r="YH458" s="457"/>
      <c r="YI458" s="457"/>
      <c r="YJ458" s="457"/>
      <c r="YK458" s="457"/>
      <c r="YL458" s="457"/>
      <c r="YM458" s="457"/>
      <c r="YN458" s="457"/>
      <c r="YO458" s="457"/>
      <c r="YP458" s="457"/>
      <c r="YQ458" s="457"/>
      <c r="YR458" s="457"/>
      <c r="YS458" s="457"/>
      <c r="YT458" s="457"/>
      <c r="YU458" s="457"/>
      <c r="YV458" s="457"/>
      <c r="YW458" s="457"/>
      <c r="YX458" s="457"/>
      <c r="YY458" s="457"/>
      <c r="YZ458" s="457"/>
      <c r="ZA458" s="457"/>
      <c r="ZB458" s="457"/>
      <c r="ZC458" s="457"/>
      <c r="ZD458" s="457"/>
      <c r="ZE458" s="457"/>
      <c r="ZF458" s="457"/>
      <c r="ZG458" s="457"/>
      <c r="ZH458" s="457"/>
      <c r="ZI458" s="457"/>
      <c r="ZJ458" s="457"/>
      <c r="ZK458" s="457"/>
      <c r="ZL458" s="457"/>
      <c r="ZM458" s="457"/>
      <c r="ZN458" s="457"/>
      <c r="ZO458" s="457"/>
      <c r="ZP458" s="457"/>
      <c r="ZQ458" s="457"/>
      <c r="ZR458" s="457"/>
      <c r="ZS458" s="457"/>
      <c r="ZT458" s="457"/>
      <c r="ZU458" s="457"/>
      <c r="ZV458" s="457"/>
      <c r="ZW458" s="457"/>
      <c r="ZX458" s="457"/>
      <c r="ZY458" s="457"/>
      <c r="ZZ458" s="457"/>
      <c r="AAA458" s="457"/>
      <c r="AAB458" s="457"/>
      <c r="AAC458" s="457"/>
      <c r="AAD458" s="457"/>
      <c r="AAE458" s="457"/>
      <c r="AAF458" s="457"/>
      <c r="AAG458" s="457"/>
      <c r="AAH458" s="457"/>
      <c r="AAI458" s="457"/>
      <c r="AAJ458" s="457"/>
      <c r="AAK458" s="457"/>
      <c r="AAL458" s="457"/>
      <c r="AAM458" s="457"/>
      <c r="AAN458" s="457"/>
      <c r="AAO458" s="457"/>
      <c r="AAP458" s="457"/>
      <c r="AAQ458" s="457"/>
      <c r="AAR458" s="457"/>
      <c r="AAS458" s="457"/>
      <c r="AAT458" s="457"/>
      <c r="AAU458" s="457"/>
      <c r="AAV458" s="457"/>
      <c r="AAW458" s="457"/>
      <c r="AAX458" s="457"/>
      <c r="AAY458" s="457"/>
      <c r="AAZ458" s="457"/>
      <c r="ABA458" s="457"/>
      <c r="ABB458" s="457"/>
      <c r="ABC458" s="457"/>
      <c r="ABD458" s="457"/>
      <c r="ABE458" s="457"/>
      <c r="ABF458" s="457"/>
      <c r="ABG458" s="457"/>
      <c r="ABH458" s="457"/>
      <c r="ABI458" s="457"/>
      <c r="ABJ458" s="457"/>
      <c r="ABK458" s="457"/>
      <c r="ABL458" s="457"/>
      <c r="ABM458" s="457"/>
      <c r="ABN458" s="457"/>
      <c r="ABO458" s="457"/>
      <c r="ABP458" s="457"/>
      <c r="ABQ458" s="457"/>
      <c r="ABR458" s="457"/>
      <c r="ABS458" s="457"/>
      <c r="ABT458" s="457"/>
      <c r="ABU458" s="457"/>
      <c r="ABV458" s="457"/>
      <c r="ABW458" s="457"/>
      <c r="ABX458" s="457"/>
      <c r="ABY458" s="457"/>
      <c r="ABZ458" s="457"/>
      <c r="ACA458" s="457"/>
      <c r="ACB458" s="457"/>
      <c r="ACC458" s="457"/>
      <c r="ACD458" s="457"/>
      <c r="ACE458" s="457"/>
      <c r="ACF458" s="457"/>
      <c r="ACG458" s="457"/>
      <c r="ACH458" s="457"/>
      <c r="ACI458" s="457"/>
      <c r="ACJ458" s="457"/>
      <c r="ACK458" s="457"/>
      <c r="ACL458" s="457"/>
      <c r="ACM458" s="457"/>
      <c r="ACN458" s="457"/>
      <c r="ACO458" s="457"/>
      <c r="ACP458" s="457"/>
      <c r="ACQ458" s="457"/>
      <c r="ACR458" s="457"/>
      <c r="ACS458" s="457"/>
      <c r="ACT458" s="457"/>
      <c r="ACU458" s="457"/>
      <c r="ACV458" s="457"/>
    </row>
    <row r="459" spans="1:776" s="400" customFormat="1" x14ac:dyDescent="0.25">
      <c r="A459" s="470">
        <v>900178</v>
      </c>
      <c r="B459" s="237" t="s">
        <v>382</v>
      </c>
      <c r="C459" s="455"/>
      <c r="D459" s="454" t="s">
        <v>343</v>
      </c>
      <c r="E459" s="454">
        <v>0.93</v>
      </c>
      <c r="F459" s="458">
        <v>2.6</v>
      </c>
      <c r="G459" s="454">
        <v>0</v>
      </c>
      <c r="H459" s="454">
        <v>1.26</v>
      </c>
      <c r="I459" s="456">
        <v>232.98</v>
      </c>
      <c r="J459" s="454">
        <v>46.64</v>
      </c>
      <c r="K459" s="454">
        <v>9.1800000000000007E-2</v>
      </c>
      <c r="L459" s="454">
        <v>74.400000000000006</v>
      </c>
      <c r="M459" s="454">
        <v>0</v>
      </c>
      <c r="N459" s="454">
        <v>5.22</v>
      </c>
      <c r="O459" s="454">
        <v>154.68</v>
      </c>
      <c r="P459" s="454">
        <v>15.09</v>
      </c>
      <c r="Q459" s="454">
        <v>5.87</v>
      </c>
      <c r="R459" s="454">
        <v>9.9999999999999995E-7</v>
      </c>
      <c r="S459" s="454">
        <v>9.9999999999999995E-7</v>
      </c>
      <c r="T459" s="454">
        <v>9.9999999999999995E-7</v>
      </c>
      <c r="U459" s="454">
        <v>9.9999999999999995E-7</v>
      </c>
      <c r="V459" s="454"/>
      <c r="W459" s="457"/>
      <c r="X459" s="457"/>
      <c r="Y459" s="457"/>
      <c r="Z459" s="457"/>
      <c r="AA459" s="457"/>
      <c r="AB459" s="457"/>
      <c r="AC459" s="457"/>
      <c r="AD459" s="457"/>
      <c r="AE459" s="457"/>
      <c r="AF459" s="457"/>
      <c r="AG459" s="457"/>
      <c r="AH459" s="457"/>
      <c r="AI459" s="457"/>
      <c r="AJ459" s="457"/>
      <c r="AK459" s="457"/>
      <c r="AL459" s="457"/>
      <c r="AM459" s="457"/>
      <c r="AN459" s="457"/>
      <c r="AO459" s="457"/>
      <c r="AP459" s="457"/>
      <c r="AQ459" s="457"/>
      <c r="AR459" s="457"/>
      <c r="AS459" s="457"/>
      <c r="AT459" s="457"/>
      <c r="AU459" s="457"/>
      <c r="AV459" s="457"/>
      <c r="AW459" s="457"/>
      <c r="AX459" s="457"/>
      <c r="AY459" s="457"/>
      <c r="AZ459" s="457"/>
      <c r="BA459" s="457"/>
      <c r="BB459" s="457"/>
      <c r="BC459" s="457"/>
      <c r="BD459" s="457"/>
      <c r="BE459" s="457"/>
      <c r="BF459" s="457"/>
      <c r="BG459" s="457"/>
      <c r="BH459" s="457"/>
      <c r="BI459" s="457"/>
      <c r="BJ459" s="457"/>
      <c r="BK459" s="457"/>
      <c r="BL459" s="457"/>
      <c r="BM459" s="457"/>
      <c r="BN459" s="457"/>
      <c r="BO459" s="457"/>
      <c r="BP459" s="457"/>
      <c r="BQ459" s="457"/>
      <c r="BR459" s="457"/>
      <c r="BS459" s="457"/>
      <c r="BT459" s="457"/>
      <c r="BU459" s="457"/>
      <c r="BV459" s="457"/>
      <c r="BW459" s="457"/>
      <c r="BX459" s="457"/>
      <c r="BY459" s="457"/>
      <c r="BZ459" s="457"/>
      <c r="CA459" s="457"/>
      <c r="CB459" s="457"/>
      <c r="CC459" s="457"/>
      <c r="CD459" s="457"/>
      <c r="CE459" s="457"/>
      <c r="CF459" s="457"/>
      <c r="CG459" s="457"/>
      <c r="CH459" s="457"/>
      <c r="CI459" s="457"/>
      <c r="CJ459" s="457"/>
      <c r="CK459" s="457"/>
      <c r="CL459" s="457"/>
      <c r="CM459" s="457"/>
      <c r="CN459" s="457"/>
      <c r="CO459" s="457"/>
      <c r="CP459" s="457"/>
      <c r="CQ459" s="457"/>
      <c r="CR459" s="457"/>
      <c r="CS459" s="457"/>
      <c r="CT459" s="457"/>
      <c r="CU459" s="457"/>
      <c r="CV459" s="457"/>
      <c r="CW459" s="457"/>
      <c r="CX459" s="457"/>
      <c r="CY459" s="457"/>
      <c r="CZ459" s="457"/>
      <c r="DA459" s="457"/>
      <c r="DB459" s="457"/>
      <c r="DC459" s="457"/>
      <c r="DD459" s="457"/>
      <c r="DE459" s="457"/>
      <c r="DF459" s="457"/>
      <c r="DG459" s="457"/>
      <c r="DH459" s="457"/>
      <c r="DI459" s="457"/>
      <c r="DJ459" s="457"/>
      <c r="DK459" s="457"/>
      <c r="DL459" s="457"/>
      <c r="DM459" s="457"/>
      <c r="DN459" s="457"/>
      <c r="DO459" s="457"/>
      <c r="DP459" s="457"/>
      <c r="DQ459" s="457"/>
      <c r="DR459" s="457"/>
      <c r="DS459" s="457"/>
      <c r="DT459" s="457"/>
      <c r="DU459" s="457"/>
      <c r="DV459" s="457"/>
      <c r="DW459" s="457"/>
      <c r="DX459" s="457"/>
      <c r="DY459" s="457"/>
      <c r="DZ459" s="457"/>
      <c r="EA459" s="457"/>
      <c r="EB459" s="457"/>
      <c r="EC459" s="457"/>
      <c r="ED459" s="457"/>
      <c r="EE459" s="457"/>
      <c r="EF459" s="457"/>
      <c r="EG459" s="457"/>
      <c r="EH459" s="457"/>
      <c r="EI459" s="457"/>
      <c r="EJ459" s="457"/>
      <c r="EK459" s="457"/>
      <c r="EL459" s="457"/>
      <c r="EM459" s="457"/>
      <c r="EN459" s="457"/>
      <c r="EO459" s="457"/>
      <c r="EP459" s="457"/>
      <c r="EQ459" s="457"/>
      <c r="ER459" s="457"/>
      <c r="ES459" s="457"/>
      <c r="ET459" s="457"/>
      <c r="EU459" s="457"/>
      <c r="EV459" s="457"/>
      <c r="EW459" s="457"/>
      <c r="EX459" s="457"/>
      <c r="EY459" s="457"/>
      <c r="EZ459" s="457"/>
      <c r="FA459" s="457"/>
      <c r="FB459" s="457"/>
      <c r="FC459" s="457"/>
      <c r="FD459" s="457"/>
      <c r="FE459" s="457"/>
      <c r="FF459" s="457"/>
      <c r="FG459" s="457"/>
      <c r="FH459" s="457"/>
      <c r="FI459" s="457"/>
      <c r="FJ459" s="457"/>
      <c r="FK459" s="457"/>
      <c r="FL459" s="457"/>
      <c r="FM459" s="457"/>
      <c r="FN459" s="457"/>
      <c r="FO459" s="457"/>
      <c r="FP459" s="457"/>
      <c r="FQ459" s="457"/>
      <c r="FR459" s="457"/>
      <c r="FS459" s="457"/>
      <c r="FT459" s="457"/>
      <c r="FU459" s="457"/>
      <c r="FV459" s="457"/>
      <c r="FW459" s="457"/>
      <c r="FX459" s="457"/>
      <c r="FY459" s="457"/>
      <c r="FZ459" s="457"/>
      <c r="GA459" s="457"/>
      <c r="GB459" s="457"/>
      <c r="GC459" s="457"/>
      <c r="GD459" s="457"/>
      <c r="GE459" s="457"/>
      <c r="GF459" s="457"/>
      <c r="GG459" s="457"/>
      <c r="GH459" s="457"/>
      <c r="GI459" s="457"/>
      <c r="GJ459" s="457"/>
      <c r="GK459" s="457"/>
      <c r="GL459" s="457"/>
      <c r="GM459" s="457"/>
      <c r="GN459" s="457"/>
      <c r="GO459" s="457"/>
      <c r="GP459" s="457"/>
      <c r="GQ459" s="457"/>
      <c r="GR459" s="457"/>
      <c r="GS459" s="457"/>
      <c r="GT459" s="457"/>
      <c r="GU459" s="457"/>
      <c r="GV459" s="457"/>
      <c r="GW459" s="457"/>
      <c r="GX459" s="457"/>
      <c r="GY459" s="457"/>
      <c r="GZ459" s="457"/>
      <c r="HA459" s="457"/>
      <c r="HB459" s="457"/>
      <c r="HC459" s="457"/>
      <c r="HD459" s="457"/>
      <c r="HE459" s="457"/>
      <c r="HF459" s="457"/>
      <c r="HG459" s="457"/>
      <c r="HH459" s="457"/>
      <c r="HI459" s="457"/>
      <c r="HJ459" s="457"/>
      <c r="HK459" s="457"/>
      <c r="HL459" s="457"/>
      <c r="HM459" s="457"/>
      <c r="HN459" s="457"/>
      <c r="HO459" s="457"/>
      <c r="HP459" s="457"/>
      <c r="HQ459" s="457"/>
      <c r="HR459" s="457"/>
      <c r="HS459" s="457"/>
      <c r="HT459" s="457"/>
      <c r="HU459" s="457"/>
      <c r="HV459" s="457"/>
      <c r="HW459" s="457"/>
      <c r="HX459" s="457"/>
      <c r="HY459" s="457"/>
      <c r="HZ459" s="457"/>
      <c r="IA459" s="457"/>
      <c r="IB459" s="457"/>
      <c r="IC459" s="457"/>
      <c r="ID459" s="457"/>
      <c r="IE459" s="457"/>
      <c r="IF459" s="457"/>
      <c r="IG459" s="457"/>
      <c r="IH459" s="457"/>
      <c r="II459" s="457"/>
      <c r="IJ459" s="457"/>
      <c r="IK459" s="457"/>
      <c r="IL459" s="457"/>
      <c r="IM459" s="457"/>
      <c r="IN459" s="457"/>
      <c r="IO459" s="457"/>
      <c r="IP459" s="457"/>
      <c r="IQ459" s="457"/>
      <c r="IR459" s="457"/>
      <c r="IS459" s="457"/>
      <c r="IT459" s="457"/>
      <c r="IU459" s="457"/>
      <c r="IV459" s="457"/>
      <c r="IW459" s="457"/>
      <c r="IX459" s="457"/>
      <c r="IY459" s="457"/>
      <c r="IZ459" s="457"/>
      <c r="JA459" s="457"/>
      <c r="JB459" s="457"/>
      <c r="JC459" s="457"/>
      <c r="JD459" s="457"/>
      <c r="JE459" s="457"/>
      <c r="JF459" s="457"/>
      <c r="JG459" s="457"/>
      <c r="JH459" s="457"/>
      <c r="JI459" s="457"/>
      <c r="JJ459" s="457"/>
      <c r="JK459" s="457"/>
      <c r="JL459" s="457"/>
      <c r="JM459" s="457"/>
      <c r="JN459" s="457"/>
      <c r="JO459" s="457"/>
      <c r="JP459" s="457"/>
      <c r="JQ459" s="457"/>
      <c r="JR459" s="457"/>
      <c r="JS459" s="457"/>
      <c r="JT459" s="457"/>
      <c r="JU459" s="457"/>
      <c r="JV459" s="457"/>
      <c r="JW459" s="457"/>
      <c r="JX459" s="457"/>
      <c r="JY459" s="457"/>
      <c r="JZ459" s="457"/>
      <c r="KA459" s="457"/>
      <c r="KB459" s="457"/>
      <c r="KC459" s="457"/>
      <c r="KD459" s="457"/>
      <c r="KE459" s="457"/>
      <c r="KF459" s="457"/>
      <c r="KG459" s="457"/>
      <c r="KH459" s="457"/>
      <c r="KI459" s="457"/>
      <c r="KJ459" s="457"/>
      <c r="KK459" s="457"/>
      <c r="KL459" s="457"/>
      <c r="KM459" s="457"/>
      <c r="KN459" s="457"/>
      <c r="KO459" s="457"/>
      <c r="KP459" s="457"/>
      <c r="KQ459" s="457"/>
      <c r="KR459" s="457"/>
      <c r="KS459" s="457"/>
      <c r="KT459" s="457"/>
      <c r="KU459" s="457"/>
      <c r="KV459" s="457"/>
      <c r="KW459" s="457"/>
      <c r="KX459" s="457"/>
      <c r="KY459" s="457"/>
      <c r="KZ459" s="457"/>
      <c r="LA459" s="457"/>
      <c r="LB459" s="457"/>
      <c r="LC459" s="457"/>
      <c r="LD459" s="457"/>
      <c r="LE459" s="457"/>
      <c r="LF459" s="457"/>
      <c r="LG459" s="457"/>
      <c r="LH459" s="457"/>
      <c r="LI459" s="457"/>
      <c r="LJ459" s="457"/>
      <c r="LK459" s="457"/>
      <c r="LL459" s="457"/>
      <c r="LM459" s="457"/>
      <c r="LN459" s="457"/>
      <c r="LO459" s="457"/>
      <c r="LP459" s="457"/>
      <c r="LQ459" s="457"/>
      <c r="LR459" s="457"/>
      <c r="LS459" s="457"/>
      <c r="LT459" s="457"/>
      <c r="LU459" s="457"/>
      <c r="LV459" s="457"/>
      <c r="LW459" s="457"/>
      <c r="LX459" s="457"/>
      <c r="LY459" s="457"/>
      <c r="LZ459" s="457"/>
      <c r="MA459" s="457"/>
      <c r="MB459" s="457"/>
      <c r="MC459" s="457"/>
      <c r="MD459" s="457"/>
      <c r="ME459" s="457"/>
      <c r="MF459" s="457"/>
      <c r="MG459" s="457"/>
      <c r="MH459" s="457"/>
      <c r="MI459" s="457"/>
      <c r="MJ459" s="457"/>
      <c r="MK459" s="457"/>
      <c r="ML459" s="457"/>
      <c r="MM459" s="457"/>
      <c r="MN459" s="457"/>
      <c r="MO459" s="457"/>
      <c r="MP459" s="457"/>
      <c r="MQ459" s="457"/>
      <c r="MR459" s="457"/>
      <c r="MS459" s="457"/>
      <c r="MT459" s="457"/>
      <c r="MU459" s="457"/>
      <c r="MV459" s="457"/>
      <c r="MW459" s="457"/>
      <c r="MX459" s="457"/>
      <c r="MY459" s="457"/>
      <c r="MZ459" s="457"/>
      <c r="NA459" s="457"/>
      <c r="NB459" s="457"/>
      <c r="NC459" s="457"/>
      <c r="ND459" s="457"/>
      <c r="NE459" s="457"/>
      <c r="NF459" s="457"/>
      <c r="NG459" s="457"/>
      <c r="NH459" s="457"/>
      <c r="NI459" s="457"/>
      <c r="NJ459" s="457"/>
      <c r="NK459" s="457"/>
      <c r="NL459" s="457"/>
      <c r="NM459" s="457"/>
      <c r="NN459" s="457"/>
      <c r="NO459" s="457"/>
      <c r="NP459" s="457"/>
      <c r="NQ459" s="457"/>
      <c r="NR459" s="457"/>
      <c r="NS459" s="457"/>
      <c r="NT459" s="457"/>
      <c r="NU459" s="457"/>
      <c r="NV459" s="457"/>
      <c r="NW459" s="457"/>
      <c r="NX459" s="457"/>
      <c r="NY459" s="457"/>
      <c r="NZ459" s="457"/>
      <c r="OA459" s="457"/>
      <c r="OB459" s="457"/>
      <c r="OC459" s="457"/>
      <c r="OD459" s="457"/>
      <c r="OE459" s="457"/>
      <c r="OF459" s="457"/>
      <c r="OG459" s="457"/>
      <c r="OH459" s="457"/>
      <c r="OI459" s="457"/>
      <c r="OJ459" s="457"/>
      <c r="OK459" s="457"/>
      <c r="OL459" s="457"/>
      <c r="OM459" s="457"/>
      <c r="ON459" s="457"/>
      <c r="OO459" s="457"/>
      <c r="OP459" s="457"/>
      <c r="OQ459" s="457"/>
      <c r="OR459" s="457"/>
      <c r="OS459" s="457"/>
      <c r="OT459" s="457"/>
      <c r="OU459" s="457"/>
      <c r="OV459" s="457"/>
      <c r="OW459" s="457"/>
      <c r="OX459" s="457"/>
      <c r="OY459" s="457"/>
      <c r="OZ459" s="457"/>
      <c r="PA459" s="457"/>
      <c r="PB459" s="457"/>
      <c r="PC459" s="457"/>
      <c r="PD459" s="457"/>
      <c r="PE459" s="457"/>
      <c r="PF459" s="457"/>
      <c r="PG459" s="457"/>
      <c r="PH459" s="457"/>
      <c r="PI459" s="457"/>
      <c r="PJ459" s="457"/>
      <c r="PK459" s="457"/>
      <c r="PL459" s="457"/>
      <c r="PM459" s="457"/>
      <c r="PN459" s="457"/>
      <c r="PO459" s="457"/>
      <c r="PP459" s="457"/>
      <c r="PQ459" s="457"/>
      <c r="PR459" s="457"/>
      <c r="PS459" s="457"/>
      <c r="PT459" s="457"/>
      <c r="PU459" s="457"/>
      <c r="PV459" s="457"/>
      <c r="PW459" s="457"/>
      <c r="PX459" s="457"/>
      <c r="PY459" s="457"/>
      <c r="PZ459" s="457"/>
      <c r="QA459" s="457"/>
      <c r="QB459" s="457"/>
      <c r="QC459" s="457"/>
      <c r="QD459" s="457"/>
      <c r="QE459" s="457"/>
      <c r="QF459" s="457"/>
      <c r="QG459" s="457"/>
      <c r="QH459" s="457"/>
      <c r="QI459" s="457"/>
      <c r="QJ459" s="457"/>
      <c r="QK459" s="457"/>
      <c r="QL459" s="457"/>
      <c r="QM459" s="457"/>
      <c r="QN459" s="457"/>
      <c r="QO459" s="457"/>
      <c r="QP459" s="457"/>
      <c r="QQ459" s="457"/>
      <c r="QR459" s="457"/>
      <c r="QS459" s="457"/>
      <c r="QT459" s="457"/>
      <c r="QU459" s="457"/>
      <c r="QV459" s="457"/>
      <c r="QW459" s="457"/>
      <c r="QX459" s="457"/>
      <c r="QY459" s="457"/>
      <c r="QZ459" s="457"/>
      <c r="RA459" s="457"/>
      <c r="RB459" s="457"/>
      <c r="RC459" s="457"/>
      <c r="RD459" s="457"/>
      <c r="RE459" s="457"/>
      <c r="RF459" s="457"/>
      <c r="RG459" s="457"/>
      <c r="RH459" s="457"/>
      <c r="RI459" s="457"/>
      <c r="RJ459" s="457"/>
      <c r="RK459" s="457"/>
      <c r="RL459" s="457"/>
      <c r="RM459" s="457"/>
      <c r="RN459" s="457"/>
      <c r="RO459" s="457"/>
      <c r="RP459" s="457"/>
      <c r="RQ459" s="457"/>
      <c r="RR459" s="457"/>
      <c r="RS459" s="457"/>
      <c r="RT459" s="457"/>
      <c r="RU459" s="457"/>
      <c r="RV459" s="457"/>
      <c r="RW459" s="457"/>
      <c r="RX459" s="457"/>
      <c r="RY459" s="457"/>
      <c r="RZ459" s="457"/>
      <c r="SA459" s="457"/>
      <c r="SB459" s="457"/>
      <c r="SC459" s="457"/>
      <c r="SD459" s="457"/>
      <c r="SE459" s="457"/>
      <c r="SF459" s="457"/>
      <c r="SG459" s="457"/>
      <c r="SH459" s="457"/>
      <c r="SI459" s="457"/>
      <c r="SJ459" s="457"/>
      <c r="SK459" s="457"/>
      <c r="SL459" s="457"/>
      <c r="SM459" s="457"/>
      <c r="SN459" s="457"/>
      <c r="SO459" s="457"/>
      <c r="SP459" s="457"/>
      <c r="SQ459" s="457"/>
      <c r="SR459" s="457"/>
      <c r="SS459" s="457"/>
      <c r="ST459" s="457"/>
      <c r="SU459" s="457"/>
      <c r="SV459" s="457"/>
      <c r="SW459" s="457"/>
      <c r="SX459" s="457"/>
      <c r="SY459" s="457"/>
      <c r="SZ459" s="457"/>
      <c r="TA459" s="457"/>
      <c r="TB459" s="457"/>
      <c r="TC459" s="457"/>
      <c r="TD459" s="457"/>
      <c r="TE459" s="457"/>
      <c r="TF459" s="457"/>
      <c r="TG459" s="457"/>
      <c r="TH459" s="457"/>
      <c r="TI459" s="457"/>
      <c r="TJ459" s="457"/>
      <c r="TK459" s="457"/>
      <c r="TL459" s="457"/>
      <c r="TM459" s="457"/>
      <c r="TN459" s="457"/>
      <c r="TO459" s="457"/>
      <c r="TP459" s="457"/>
      <c r="TQ459" s="457"/>
      <c r="TR459" s="457"/>
      <c r="TS459" s="457"/>
      <c r="TT459" s="457"/>
      <c r="TU459" s="457"/>
      <c r="TV459" s="457"/>
      <c r="TW459" s="457"/>
      <c r="TX459" s="457"/>
      <c r="TY459" s="457"/>
      <c r="TZ459" s="457"/>
      <c r="UA459" s="457"/>
      <c r="UB459" s="457"/>
      <c r="UC459" s="457"/>
      <c r="UD459" s="457"/>
      <c r="UE459" s="457"/>
      <c r="UF459" s="457"/>
      <c r="UG459" s="457"/>
      <c r="UH459" s="457"/>
      <c r="UI459" s="457"/>
      <c r="UJ459" s="457"/>
      <c r="UK459" s="457"/>
      <c r="UL459" s="457"/>
      <c r="UM459" s="457"/>
      <c r="UN459" s="457"/>
      <c r="UO459" s="457"/>
      <c r="UP459" s="457"/>
      <c r="UQ459" s="457"/>
      <c r="UR459" s="457"/>
      <c r="US459" s="457"/>
      <c r="UT459" s="457"/>
      <c r="UU459" s="457"/>
      <c r="UV459" s="457"/>
      <c r="UW459" s="457"/>
      <c r="UX459" s="457"/>
      <c r="UY459" s="457"/>
      <c r="UZ459" s="457"/>
      <c r="VA459" s="457"/>
      <c r="VB459" s="457"/>
      <c r="VC459" s="457"/>
      <c r="VD459" s="457"/>
      <c r="VE459" s="457"/>
      <c r="VF459" s="457"/>
      <c r="VG459" s="457"/>
      <c r="VH459" s="457"/>
      <c r="VI459" s="457"/>
      <c r="VJ459" s="457"/>
      <c r="VK459" s="457"/>
      <c r="VL459" s="457"/>
      <c r="VM459" s="457"/>
      <c r="VN459" s="457"/>
      <c r="VO459" s="457"/>
      <c r="VP459" s="457"/>
      <c r="VQ459" s="457"/>
      <c r="VR459" s="457"/>
      <c r="VS459" s="457"/>
      <c r="VT459" s="457"/>
      <c r="VU459" s="457"/>
      <c r="VV459" s="457"/>
      <c r="VW459" s="457"/>
      <c r="VX459" s="457"/>
      <c r="VY459" s="457"/>
      <c r="VZ459" s="457"/>
      <c r="WA459" s="457"/>
      <c r="WB459" s="457"/>
      <c r="WC459" s="457"/>
      <c r="WD459" s="457"/>
      <c r="WE459" s="457"/>
      <c r="WF459" s="457"/>
      <c r="WG459" s="457"/>
      <c r="WH459" s="457"/>
      <c r="WI459" s="457"/>
      <c r="WJ459" s="457"/>
      <c r="WK459" s="457"/>
      <c r="WL459" s="457"/>
      <c r="WM459" s="457"/>
      <c r="WN459" s="457"/>
      <c r="WO459" s="457"/>
      <c r="WP459" s="457"/>
      <c r="WQ459" s="457"/>
      <c r="WR459" s="457"/>
      <c r="WS459" s="457"/>
      <c r="WT459" s="457"/>
      <c r="WU459" s="457"/>
      <c r="WV459" s="457"/>
      <c r="WW459" s="457"/>
      <c r="WX459" s="457"/>
      <c r="WY459" s="457"/>
      <c r="WZ459" s="457"/>
      <c r="XA459" s="457"/>
      <c r="XB459" s="457"/>
      <c r="XC459" s="457"/>
      <c r="XD459" s="457"/>
      <c r="XE459" s="457"/>
      <c r="XF459" s="457"/>
      <c r="XG459" s="457"/>
      <c r="XH459" s="457"/>
      <c r="XI459" s="457"/>
      <c r="XJ459" s="457"/>
      <c r="XK459" s="457"/>
      <c r="XL459" s="457"/>
      <c r="XM459" s="457"/>
      <c r="XN459" s="457"/>
      <c r="XO459" s="457"/>
      <c r="XP459" s="457"/>
      <c r="XQ459" s="457"/>
      <c r="XR459" s="457"/>
      <c r="XS459" s="457"/>
      <c r="XT459" s="457"/>
      <c r="XU459" s="457"/>
      <c r="XV459" s="457"/>
      <c r="XW459" s="457"/>
      <c r="XX459" s="457"/>
      <c r="XY459" s="457"/>
      <c r="XZ459" s="457"/>
      <c r="YA459" s="457"/>
      <c r="YB459" s="457"/>
      <c r="YC459" s="457"/>
      <c r="YD459" s="457"/>
      <c r="YE459" s="457"/>
      <c r="YF459" s="457"/>
      <c r="YG459" s="457"/>
      <c r="YH459" s="457"/>
      <c r="YI459" s="457"/>
      <c r="YJ459" s="457"/>
      <c r="YK459" s="457"/>
      <c r="YL459" s="457"/>
      <c r="YM459" s="457"/>
      <c r="YN459" s="457"/>
      <c r="YO459" s="457"/>
      <c r="YP459" s="457"/>
      <c r="YQ459" s="457"/>
      <c r="YR459" s="457"/>
      <c r="YS459" s="457"/>
      <c r="YT459" s="457"/>
      <c r="YU459" s="457"/>
      <c r="YV459" s="457"/>
      <c r="YW459" s="457"/>
      <c r="YX459" s="457"/>
      <c r="YY459" s="457"/>
      <c r="YZ459" s="457"/>
      <c r="ZA459" s="457"/>
      <c r="ZB459" s="457"/>
      <c r="ZC459" s="457"/>
      <c r="ZD459" s="457"/>
      <c r="ZE459" s="457"/>
      <c r="ZF459" s="457"/>
      <c r="ZG459" s="457"/>
      <c r="ZH459" s="457"/>
      <c r="ZI459" s="457"/>
      <c r="ZJ459" s="457"/>
      <c r="ZK459" s="457"/>
      <c r="ZL459" s="457"/>
      <c r="ZM459" s="457"/>
      <c r="ZN459" s="457"/>
      <c r="ZO459" s="457"/>
      <c r="ZP459" s="457"/>
      <c r="ZQ459" s="457"/>
      <c r="ZR459" s="457"/>
      <c r="ZS459" s="457"/>
      <c r="ZT459" s="457"/>
      <c r="ZU459" s="457"/>
      <c r="ZV459" s="457"/>
      <c r="ZW459" s="457"/>
      <c r="ZX459" s="457"/>
      <c r="ZY459" s="457"/>
      <c r="ZZ459" s="457"/>
      <c r="AAA459" s="457"/>
      <c r="AAB459" s="457"/>
      <c r="AAC459" s="457"/>
      <c r="AAD459" s="457"/>
      <c r="AAE459" s="457"/>
      <c r="AAF459" s="457"/>
      <c r="AAG459" s="457"/>
      <c r="AAH459" s="457"/>
      <c r="AAI459" s="457"/>
      <c r="AAJ459" s="457"/>
      <c r="AAK459" s="457"/>
      <c r="AAL459" s="457"/>
      <c r="AAM459" s="457"/>
      <c r="AAN459" s="457"/>
      <c r="AAO459" s="457"/>
      <c r="AAP459" s="457"/>
      <c r="AAQ459" s="457"/>
      <c r="AAR459" s="457"/>
      <c r="AAS459" s="457"/>
      <c r="AAT459" s="457"/>
      <c r="AAU459" s="457"/>
      <c r="AAV459" s="457"/>
      <c r="AAW459" s="457"/>
      <c r="AAX459" s="457"/>
      <c r="AAY459" s="457"/>
      <c r="AAZ459" s="457"/>
      <c r="ABA459" s="457"/>
      <c r="ABB459" s="457"/>
      <c r="ABC459" s="457"/>
      <c r="ABD459" s="457"/>
      <c r="ABE459" s="457"/>
      <c r="ABF459" s="457"/>
      <c r="ABG459" s="457"/>
      <c r="ABH459" s="457"/>
      <c r="ABI459" s="457"/>
      <c r="ABJ459" s="457"/>
      <c r="ABK459" s="457"/>
      <c r="ABL459" s="457"/>
      <c r="ABM459" s="457"/>
      <c r="ABN459" s="457"/>
      <c r="ABO459" s="457"/>
      <c r="ABP459" s="457"/>
      <c r="ABQ459" s="457"/>
      <c r="ABR459" s="457"/>
      <c r="ABS459" s="457"/>
      <c r="ABT459" s="457"/>
      <c r="ABU459" s="457"/>
      <c r="ABV459" s="457"/>
      <c r="ABW459" s="457"/>
      <c r="ABX459" s="457"/>
      <c r="ABY459" s="457"/>
      <c r="ABZ459" s="457"/>
      <c r="ACA459" s="457"/>
      <c r="ACB459" s="457"/>
      <c r="ACC459" s="457"/>
      <c r="ACD459" s="457"/>
      <c r="ACE459" s="457"/>
      <c r="ACF459" s="457"/>
      <c r="ACG459" s="457"/>
      <c r="ACH459" s="457"/>
      <c r="ACI459" s="457"/>
      <c r="ACJ459" s="457"/>
      <c r="ACK459" s="457"/>
      <c r="ACL459" s="457"/>
      <c r="ACM459" s="457"/>
      <c r="ACN459" s="457"/>
      <c r="ACO459" s="457"/>
      <c r="ACP459" s="457"/>
      <c r="ACQ459" s="457"/>
      <c r="ACR459" s="457"/>
      <c r="ACS459" s="457"/>
      <c r="ACT459" s="457"/>
      <c r="ACU459" s="457"/>
      <c r="ACV459" s="457"/>
    </row>
    <row r="460" spans="1:776" s="400" customFormat="1" x14ac:dyDescent="0.25">
      <c r="A460" s="470">
        <v>900179</v>
      </c>
      <c r="B460" s="237" t="s">
        <v>383</v>
      </c>
      <c r="C460" s="455"/>
      <c r="D460" s="454" t="s">
        <v>384</v>
      </c>
      <c r="E460" s="454">
        <v>0.97499999999999998</v>
      </c>
      <c r="F460" s="458">
        <v>52.4</v>
      </c>
      <c r="G460" s="454">
        <v>0</v>
      </c>
      <c r="H460" s="454">
        <v>0.63</v>
      </c>
      <c r="I460" s="456">
        <v>113.22</v>
      </c>
      <c r="J460" s="454">
        <v>47.03</v>
      </c>
      <c r="K460" s="454">
        <v>2.8458000000000001</v>
      </c>
      <c r="L460" s="454">
        <v>338.4</v>
      </c>
      <c r="M460" s="454">
        <v>0</v>
      </c>
      <c r="N460" s="454">
        <v>10.18</v>
      </c>
      <c r="O460" s="454">
        <v>27.1</v>
      </c>
      <c r="P460" s="454">
        <v>92.29</v>
      </c>
      <c r="Q460" s="454">
        <v>54.09</v>
      </c>
      <c r="R460" s="454">
        <v>0.03</v>
      </c>
      <c r="S460" s="454">
        <v>0.26</v>
      </c>
      <c r="T460" s="454">
        <v>9.9999999999999995E-7</v>
      </c>
      <c r="U460" s="454">
        <v>9.9999999999999995E-7</v>
      </c>
      <c r="V460" s="454">
        <v>1.0000000000000001E-5</v>
      </c>
      <c r="W460" s="457"/>
      <c r="X460" s="457"/>
      <c r="Y460" s="457"/>
      <c r="Z460" s="457"/>
      <c r="AA460" s="457"/>
      <c r="AB460" s="457"/>
      <c r="AC460" s="457"/>
      <c r="AD460" s="457"/>
      <c r="AE460" s="457"/>
      <c r="AF460" s="457"/>
      <c r="AG460" s="457"/>
      <c r="AH460" s="457"/>
      <c r="AI460" s="457"/>
      <c r="AJ460" s="457"/>
      <c r="AK460" s="457"/>
      <c r="AL460" s="457"/>
      <c r="AM460" s="457"/>
      <c r="AN460" s="457"/>
      <c r="AO460" s="457"/>
      <c r="AP460" s="457"/>
      <c r="AQ460" s="457"/>
      <c r="AR460" s="457"/>
      <c r="AS460" s="457"/>
      <c r="AT460" s="457"/>
      <c r="AU460" s="457"/>
      <c r="AV460" s="457"/>
      <c r="AW460" s="457"/>
      <c r="AX460" s="457"/>
      <c r="AY460" s="457"/>
      <c r="AZ460" s="457"/>
      <c r="BA460" s="457"/>
      <c r="BB460" s="457"/>
      <c r="BC460" s="457"/>
      <c r="BD460" s="457"/>
      <c r="BE460" s="457"/>
      <c r="BF460" s="457"/>
      <c r="BG460" s="457"/>
      <c r="BH460" s="457"/>
      <c r="BI460" s="457"/>
      <c r="BJ460" s="457"/>
      <c r="BK460" s="457"/>
      <c r="BL460" s="457"/>
      <c r="BM460" s="457"/>
      <c r="BN460" s="457"/>
      <c r="BO460" s="457"/>
      <c r="BP460" s="457"/>
      <c r="BQ460" s="457"/>
      <c r="BR460" s="457"/>
      <c r="BS460" s="457"/>
      <c r="BT460" s="457"/>
      <c r="BU460" s="457"/>
      <c r="BV460" s="457"/>
      <c r="BW460" s="457"/>
      <c r="BX460" s="457"/>
      <c r="BY460" s="457"/>
      <c r="BZ460" s="457"/>
      <c r="CA460" s="457"/>
      <c r="CB460" s="457"/>
      <c r="CC460" s="457"/>
      <c r="CD460" s="457"/>
      <c r="CE460" s="457"/>
      <c r="CF460" s="457"/>
      <c r="CG460" s="457"/>
      <c r="CH460" s="457"/>
      <c r="CI460" s="457"/>
      <c r="CJ460" s="457"/>
      <c r="CK460" s="457"/>
      <c r="CL460" s="457"/>
      <c r="CM460" s="457"/>
      <c r="CN460" s="457"/>
      <c r="CO460" s="457"/>
      <c r="CP460" s="457"/>
      <c r="CQ460" s="457"/>
      <c r="CR460" s="457"/>
      <c r="CS460" s="457"/>
      <c r="CT460" s="457"/>
      <c r="CU460" s="457"/>
      <c r="CV460" s="457"/>
      <c r="CW460" s="457"/>
      <c r="CX460" s="457"/>
      <c r="CY460" s="457"/>
      <c r="CZ460" s="457"/>
      <c r="DA460" s="457"/>
      <c r="DB460" s="457"/>
      <c r="DC460" s="457"/>
      <c r="DD460" s="457"/>
      <c r="DE460" s="457"/>
      <c r="DF460" s="457"/>
      <c r="DG460" s="457"/>
      <c r="DH460" s="457"/>
      <c r="DI460" s="457"/>
      <c r="DJ460" s="457"/>
      <c r="DK460" s="457"/>
      <c r="DL460" s="457"/>
      <c r="DM460" s="457"/>
      <c r="DN460" s="457"/>
      <c r="DO460" s="457"/>
      <c r="DP460" s="457"/>
      <c r="DQ460" s="457"/>
      <c r="DR460" s="457"/>
      <c r="DS460" s="457"/>
      <c r="DT460" s="457"/>
      <c r="DU460" s="457"/>
      <c r="DV460" s="457"/>
      <c r="DW460" s="457"/>
      <c r="DX460" s="457"/>
      <c r="DY460" s="457"/>
      <c r="DZ460" s="457"/>
      <c r="EA460" s="457"/>
      <c r="EB460" s="457"/>
      <c r="EC460" s="457"/>
      <c r="ED460" s="457"/>
      <c r="EE460" s="457"/>
      <c r="EF460" s="457"/>
      <c r="EG460" s="457"/>
      <c r="EH460" s="457"/>
      <c r="EI460" s="457"/>
      <c r="EJ460" s="457"/>
      <c r="EK460" s="457"/>
      <c r="EL460" s="457"/>
      <c r="EM460" s="457"/>
      <c r="EN460" s="457"/>
      <c r="EO460" s="457"/>
      <c r="EP460" s="457"/>
      <c r="EQ460" s="457"/>
      <c r="ER460" s="457"/>
      <c r="ES460" s="457"/>
      <c r="ET460" s="457"/>
      <c r="EU460" s="457"/>
      <c r="EV460" s="457"/>
      <c r="EW460" s="457"/>
      <c r="EX460" s="457"/>
      <c r="EY460" s="457"/>
      <c r="EZ460" s="457"/>
      <c r="FA460" s="457"/>
      <c r="FB460" s="457"/>
      <c r="FC460" s="457"/>
      <c r="FD460" s="457"/>
      <c r="FE460" s="457"/>
      <c r="FF460" s="457"/>
      <c r="FG460" s="457"/>
      <c r="FH460" s="457"/>
      <c r="FI460" s="457"/>
      <c r="FJ460" s="457"/>
      <c r="FK460" s="457"/>
      <c r="FL460" s="457"/>
      <c r="FM460" s="457"/>
      <c r="FN460" s="457"/>
      <c r="FO460" s="457"/>
      <c r="FP460" s="457"/>
      <c r="FQ460" s="457"/>
      <c r="FR460" s="457"/>
      <c r="FS460" s="457"/>
      <c r="FT460" s="457"/>
      <c r="FU460" s="457"/>
      <c r="FV460" s="457"/>
      <c r="FW460" s="457"/>
      <c r="FX460" s="457"/>
      <c r="FY460" s="457"/>
      <c r="FZ460" s="457"/>
      <c r="GA460" s="457"/>
      <c r="GB460" s="457"/>
      <c r="GC460" s="457"/>
      <c r="GD460" s="457"/>
      <c r="GE460" s="457"/>
      <c r="GF460" s="457"/>
      <c r="GG460" s="457"/>
      <c r="GH460" s="457"/>
      <c r="GI460" s="457"/>
      <c r="GJ460" s="457"/>
      <c r="GK460" s="457"/>
      <c r="GL460" s="457"/>
      <c r="GM460" s="457"/>
      <c r="GN460" s="457"/>
      <c r="GO460" s="457"/>
      <c r="GP460" s="457"/>
      <c r="GQ460" s="457"/>
      <c r="GR460" s="457"/>
      <c r="GS460" s="457"/>
      <c r="GT460" s="457"/>
      <c r="GU460" s="457"/>
      <c r="GV460" s="457"/>
      <c r="GW460" s="457"/>
      <c r="GX460" s="457"/>
      <c r="GY460" s="457"/>
      <c r="GZ460" s="457"/>
      <c r="HA460" s="457"/>
      <c r="HB460" s="457"/>
      <c r="HC460" s="457"/>
      <c r="HD460" s="457"/>
      <c r="HE460" s="457"/>
      <c r="HF460" s="457"/>
      <c r="HG460" s="457"/>
      <c r="HH460" s="457"/>
      <c r="HI460" s="457"/>
      <c r="HJ460" s="457"/>
      <c r="HK460" s="457"/>
      <c r="HL460" s="457"/>
      <c r="HM460" s="457"/>
      <c r="HN460" s="457"/>
      <c r="HO460" s="457"/>
      <c r="HP460" s="457"/>
      <c r="HQ460" s="457"/>
      <c r="HR460" s="457"/>
      <c r="HS460" s="457"/>
      <c r="HT460" s="457"/>
      <c r="HU460" s="457"/>
      <c r="HV460" s="457"/>
      <c r="HW460" s="457"/>
      <c r="HX460" s="457"/>
      <c r="HY460" s="457"/>
      <c r="HZ460" s="457"/>
      <c r="IA460" s="457"/>
      <c r="IB460" s="457"/>
      <c r="IC460" s="457"/>
      <c r="ID460" s="457"/>
      <c r="IE460" s="457"/>
      <c r="IF460" s="457"/>
      <c r="IG460" s="457"/>
      <c r="IH460" s="457"/>
      <c r="II460" s="457"/>
      <c r="IJ460" s="457"/>
      <c r="IK460" s="457"/>
      <c r="IL460" s="457"/>
      <c r="IM460" s="457"/>
      <c r="IN460" s="457"/>
      <c r="IO460" s="457"/>
      <c r="IP460" s="457"/>
      <c r="IQ460" s="457"/>
      <c r="IR460" s="457"/>
      <c r="IS460" s="457"/>
      <c r="IT460" s="457"/>
      <c r="IU460" s="457"/>
      <c r="IV460" s="457"/>
      <c r="IW460" s="457"/>
      <c r="IX460" s="457"/>
      <c r="IY460" s="457"/>
      <c r="IZ460" s="457"/>
      <c r="JA460" s="457"/>
      <c r="JB460" s="457"/>
      <c r="JC460" s="457"/>
      <c r="JD460" s="457"/>
      <c r="JE460" s="457"/>
      <c r="JF460" s="457"/>
      <c r="JG460" s="457"/>
      <c r="JH460" s="457"/>
      <c r="JI460" s="457"/>
      <c r="JJ460" s="457"/>
      <c r="JK460" s="457"/>
      <c r="JL460" s="457"/>
      <c r="JM460" s="457"/>
      <c r="JN460" s="457"/>
      <c r="JO460" s="457"/>
      <c r="JP460" s="457"/>
      <c r="JQ460" s="457"/>
      <c r="JR460" s="457"/>
      <c r="JS460" s="457"/>
      <c r="JT460" s="457"/>
      <c r="JU460" s="457"/>
      <c r="JV460" s="457"/>
      <c r="JW460" s="457"/>
      <c r="JX460" s="457"/>
      <c r="JY460" s="457"/>
      <c r="JZ460" s="457"/>
      <c r="KA460" s="457"/>
      <c r="KB460" s="457"/>
      <c r="KC460" s="457"/>
      <c r="KD460" s="457"/>
      <c r="KE460" s="457"/>
      <c r="KF460" s="457"/>
      <c r="KG460" s="457"/>
      <c r="KH460" s="457"/>
      <c r="KI460" s="457"/>
      <c r="KJ460" s="457"/>
      <c r="KK460" s="457"/>
      <c r="KL460" s="457"/>
      <c r="KM460" s="457"/>
      <c r="KN460" s="457"/>
      <c r="KO460" s="457"/>
      <c r="KP460" s="457"/>
      <c r="KQ460" s="457"/>
      <c r="KR460" s="457"/>
      <c r="KS460" s="457"/>
      <c r="KT460" s="457"/>
      <c r="KU460" s="457"/>
      <c r="KV460" s="457"/>
      <c r="KW460" s="457"/>
      <c r="KX460" s="457"/>
      <c r="KY460" s="457"/>
      <c r="KZ460" s="457"/>
      <c r="LA460" s="457"/>
      <c r="LB460" s="457"/>
      <c r="LC460" s="457"/>
      <c r="LD460" s="457"/>
      <c r="LE460" s="457"/>
      <c r="LF460" s="457"/>
      <c r="LG460" s="457"/>
      <c r="LH460" s="457"/>
      <c r="LI460" s="457"/>
      <c r="LJ460" s="457"/>
      <c r="LK460" s="457"/>
      <c r="LL460" s="457"/>
      <c r="LM460" s="457"/>
      <c r="LN460" s="457"/>
      <c r="LO460" s="457"/>
      <c r="LP460" s="457"/>
      <c r="LQ460" s="457"/>
      <c r="LR460" s="457"/>
      <c r="LS460" s="457"/>
      <c r="LT460" s="457"/>
      <c r="LU460" s="457"/>
      <c r="LV460" s="457"/>
      <c r="LW460" s="457"/>
      <c r="LX460" s="457"/>
      <c r="LY460" s="457"/>
      <c r="LZ460" s="457"/>
      <c r="MA460" s="457"/>
      <c r="MB460" s="457"/>
      <c r="MC460" s="457"/>
      <c r="MD460" s="457"/>
      <c r="ME460" s="457"/>
      <c r="MF460" s="457"/>
      <c r="MG460" s="457"/>
      <c r="MH460" s="457"/>
      <c r="MI460" s="457"/>
      <c r="MJ460" s="457"/>
      <c r="MK460" s="457"/>
      <c r="ML460" s="457"/>
      <c r="MM460" s="457"/>
      <c r="MN460" s="457"/>
      <c r="MO460" s="457"/>
      <c r="MP460" s="457"/>
      <c r="MQ460" s="457"/>
      <c r="MR460" s="457"/>
      <c r="MS460" s="457"/>
      <c r="MT460" s="457"/>
      <c r="MU460" s="457"/>
      <c r="MV460" s="457"/>
      <c r="MW460" s="457"/>
      <c r="MX460" s="457"/>
      <c r="MY460" s="457"/>
      <c r="MZ460" s="457"/>
      <c r="NA460" s="457"/>
      <c r="NB460" s="457"/>
      <c r="NC460" s="457"/>
      <c r="ND460" s="457"/>
      <c r="NE460" s="457"/>
      <c r="NF460" s="457"/>
      <c r="NG460" s="457"/>
      <c r="NH460" s="457"/>
      <c r="NI460" s="457"/>
      <c r="NJ460" s="457"/>
      <c r="NK460" s="457"/>
      <c r="NL460" s="457"/>
      <c r="NM460" s="457"/>
      <c r="NN460" s="457"/>
      <c r="NO460" s="457"/>
      <c r="NP460" s="457"/>
      <c r="NQ460" s="457"/>
      <c r="NR460" s="457"/>
      <c r="NS460" s="457"/>
      <c r="NT460" s="457"/>
      <c r="NU460" s="457"/>
      <c r="NV460" s="457"/>
      <c r="NW460" s="457"/>
      <c r="NX460" s="457"/>
      <c r="NY460" s="457"/>
      <c r="NZ460" s="457"/>
      <c r="OA460" s="457"/>
      <c r="OB460" s="457"/>
      <c r="OC460" s="457"/>
      <c r="OD460" s="457"/>
      <c r="OE460" s="457"/>
      <c r="OF460" s="457"/>
      <c r="OG460" s="457"/>
      <c r="OH460" s="457"/>
      <c r="OI460" s="457"/>
      <c r="OJ460" s="457"/>
      <c r="OK460" s="457"/>
      <c r="OL460" s="457"/>
      <c r="OM460" s="457"/>
      <c r="ON460" s="457"/>
      <c r="OO460" s="457"/>
      <c r="OP460" s="457"/>
      <c r="OQ460" s="457"/>
      <c r="OR460" s="457"/>
      <c r="OS460" s="457"/>
      <c r="OT460" s="457"/>
      <c r="OU460" s="457"/>
      <c r="OV460" s="457"/>
      <c r="OW460" s="457"/>
      <c r="OX460" s="457"/>
      <c r="OY460" s="457"/>
      <c r="OZ460" s="457"/>
      <c r="PA460" s="457"/>
      <c r="PB460" s="457"/>
      <c r="PC460" s="457"/>
      <c r="PD460" s="457"/>
      <c r="PE460" s="457"/>
      <c r="PF460" s="457"/>
      <c r="PG460" s="457"/>
      <c r="PH460" s="457"/>
      <c r="PI460" s="457"/>
      <c r="PJ460" s="457"/>
      <c r="PK460" s="457"/>
      <c r="PL460" s="457"/>
      <c r="PM460" s="457"/>
      <c r="PN460" s="457"/>
      <c r="PO460" s="457"/>
      <c r="PP460" s="457"/>
      <c r="PQ460" s="457"/>
      <c r="PR460" s="457"/>
      <c r="PS460" s="457"/>
      <c r="PT460" s="457"/>
      <c r="PU460" s="457"/>
      <c r="PV460" s="457"/>
      <c r="PW460" s="457"/>
      <c r="PX460" s="457"/>
      <c r="PY460" s="457"/>
      <c r="PZ460" s="457"/>
      <c r="QA460" s="457"/>
      <c r="QB460" s="457"/>
      <c r="QC460" s="457"/>
      <c r="QD460" s="457"/>
      <c r="QE460" s="457"/>
      <c r="QF460" s="457"/>
      <c r="QG460" s="457"/>
      <c r="QH460" s="457"/>
      <c r="QI460" s="457"/>
      <c r="QJ460" s="457"/>
      <c r="QK460" s="457"/>
      <c r="QL460" s="457"/>
      <c r="QM460" s="457"/>
      <c r="QN460" s="457"/>
      <c r="QO460" s="457"/>
      <c r="QP460" s="457"/>
      <c r="QQ460" s="457"/>
      <c r="QR460" s="457"/>
      <c r="QS460" s="457"/>
      <c r="QT460" s="457"/>
      <c r="QU460" s="457"/>
      <c r="QV460" s="457"/>
      <c r="QW460" s="457"/>
      <c r="QX460" s="457"/>
      <c r="QY460" s="457"/>
      <c r="QZ460" s="457"/>
      <c r="RA460" s="457"/>
      <c r="RB460" s="457"/>
      <c r="RC460" s="457"/>
      <c r="RD460" s="457"/>
      <c r="RE460" s="457"/>
      <c r="RF460" s="457"/>
      <c r="RG460" s="457"/>
      <c r="RH460" s="457"/>
      <c r="RI460" s="457"/>
      <c r="RJ460" s="457"/>
      <c r="RK460" s="457"/>
      <c r="RL460" s="457"/>
      <c r="RM460" s="457"/>
      <c r="RN460" s="457"/>
      <c r="RO460" s="457"/>
      <c r="RP460" s="457"/>
      <c r="RQ460" s="457"/>
      <c r="RR460" s="457"/>
      <c r="RS460" s="457"/>
      <c r="RT460" s="457"/>
      <c r="RU460" s="457"/>
      <c r="RV460" s="457"/>
      <c r="RW460" s="457"/>
      <c r="RX460" s="457"/>
      <c r="RY460" s="457"/>
      <c r="RZ460" s="457"/>
      <c r="SA460" s="457"/>
      <c r="SB460" s="457"/>
      <c r="SC460" s="457"/>
      <c r="SD460" s="457"/>
      <c r="SE460" s="457"/>
      <c r="SF460" s="457"/>
      <c r="SG460" s="457"/>
      <c r="SH460" s="457"/>
      <c r="SI460" s="457"/>
      <c r="SJ460" s="457"/>
      <c r="SK460" s="457"/>
      <c r="SL460" s="457"/>
      <c r="SM460" s="457"/>
      <c r="SN460" s="457"/>
      <c r="SO460" s="457"/>
      <c r="SP460" s="457"/>
      <c r="SQ460" s="457"/>
      <c r="SR460" s="457"/>
      <c r="SS460" s="457"/>
      <c r="ST460" s="457"/>
      <c r="SU460" s="457"/>
      <c r="SV460" s="457"/>
      <c r="SW460" s="457"/>
      <c r="SX460" s="457"/>
      <c r="SY460" s="457"/>
      <c r="SZ460" s="457"/>
      <c r="TA460" s="457"/>
      <c r="TB460" s="457"/>
      <c r="TC460" s="457"/>
      <c r="TD460" s="457"/>
      <c r="TE460" s="457"/>
      <c r="TF460" s="457"/>
      <c r="TG460" s="457"/>
      <c r="TH460" s="457"/>
      <c r="TI460" s="457"/>
      <c r="TJ460" s="457"/>
      <c r="TK460" s="457"/>
      <c r="TL460" s="457"/>
      <c r="TM460" s="457"/>
      <c r="TN460" s="457"/>
      <c r="TO460" s="457"/>
      <c r="TP460" s="457"/>
      <c r="TQ460" s="457"/>
      <c r="TR460" s="457"/>
      <c r="TS460" s="457"/>
      <c r="TT460" s="457"/>
      <c r="TU460" s="457"/>
      <c r="TV460" s="457"/>
      <c r="TW460" s="457"/>
      <c r="TX460" s="457"/>
      <c r="TY460" s="457"/>
      <c r="TZ460" s="457"/>
      <c r="UA460" s="457"/>
      <c r="UB460" s="457"/>
      <c r="UC460" s="457"/>
      <c r="UD460" s="457"/>
      <c r="UE460" s="457"/>
      <c r="UF460" s="457"/>
      <c r="UG460" s="457"/>
      <c r="UH460" s="457"/>
      <c r="UI460" s="457"/>
      <c r="UJ460" s="457"/>
      <c r="UK460" s="457"/>
      <c r="UL460" s="457"/>
      <c r="UM460" s="457"/>
      <c r="UN460" s="457"/>
      <c r="UO460" s="457"/>
      <c r="UP460" s="457"/>
      <c r="UQ460" s="457"/>
      <c r="UR460" s="457"/>
      <c r="US460" s="457"/>
      <c r="UT460" s="457"/>
      <c r="UU460" s="457"/>
      <c r="UV460" s="457"/>
      <c r="UW460" s="457"/>
      <c r="UX460" s="457"/>
      <c r="UY460" s="457"/>
      <c r="UZ460" s="457"/>
      <c r="VA460" s="457"/>
      <c r="VB460" s="457"/>
      <c r="VC460" s="457"/>
      <c r="VD460" s="457"/>
      <c r="VE460" s="457"/>
      <c r="VF460" s="457"/>
      <c r="VG460" s="457"/>
      <c r="VH460" s="457"/>
      <c r="VI460" s="457"/>
      <c r="VJ460" s="457"/>
      <c r="VK460" s="457"/>
      <c r="VL460" s="457"/>
      <c r="VM460" s="457"/>
      <c r="VN460" s="457"/>
      <c r="VO460" s="457"/>
      <c r="VP460" s="457"/>
      <c r="VQ460" s="457"/>
      <c r="VR460" s="457"/>
      <c r="VS460" s="457"/>
      <c r="VT460" s="457"/>
      <c r="VU460" s="457"/>
      <c r="VV460" s="457"/>
      <c r="VW460" s="457"/>
      <c r="VX460" s="457"/>
      <c r="VY460" s="457"/>
      <c r="VZ460" s="457"/>
      <c r="WA460" s="457"/>
      <c r="WB460" s="457"/>
      <c r="WC460" s="457"/>
      <c r="WD460" s="457"/>
      <c r="WE460" s="457"/>
      <c r="WF460" s="457"/>
      <c r="WG460" s="457"/>
      <c r="WH460" s="457"/>
      <c r="WI460" s="457"/>
      <c r="WJ460" s="457"/>
      <c r="WK460" s="457"/>
      <c r="WL460" s="457"/>
      <c r="WM460" s="457"/>
      <c r="WN460" s="457"/>
      <c r="WO460" s="457"/>
      <c r="WP460" s="457"/>
      <c r="WQ460" s="457"/>
      <c r="WR460" s="457"/>
      <c r="WS460" s="457"/>
      <c r="WT460" s="457"/>
      <c r="WU460" s="457"/>
      <c r="WV460" s="457"/>
      <c r="WW460" s="457"/>
      <c r="WX460" s="457"/>
      <c r="WY460" s="457"/>
      <c r="WZ460" s="457"/>
      <c r="XA460" s="457"/>
      <c r="XB460" s="457"/>
      <c r="XC460" s="457"/>
      <c r="XD460" s="457"/>
      <c r="XE460" s="457"/>
      <c r="XF460" s="457"/>
      <c r="XG460" s="457"/>
      <c r="XH460" s="457"/>
      <c r="XI460" s="457"/>
      <c r="XJ460" s="457"/>
      <c r="XK460" s="457"/>
      <c r="XL460" s="457"/>
      <c r="XM460" s="457"/>
      <c r="XN460" s="457"/>
      <c r="XO460" s="457"/>
      <c r="XP460" s="457"/>
      <c r="XQ460" s="457"/>
      <c r="XR460" s="457"/>
      <c r="XS460" s="457"/>
      <c r="XT460" s="457"/>
      <c r="XU460" s="457"/>
      <c r="XV460" s="457"/>
      <c r="XW460" s="457"/>
      <c r="XX460" s="457"/>
      <c r="XY460" s="457"/>
      <c r="XZ460" s="457"/>
      <c r="YA460" s="457"/>
      <c r="YB460" s="457"/>
      <c r="YC460" s="457"/>
      <c r="YD460" s="457"/>
      <c r="YE460" s="457"/>
      <c r="YF460" s="457"/>
      <c r="YG460" s="457"/>
      <c r="YH460" s="457"/>
      <c r="YI460" s="457"/>
      <c r="YJ460" s="457"/>
      <c r="YK460" s="457"/>
      <c r="YL460" s="457"/>
      <c r="YM460" s="457"/>
      <c r="YN460" s="457"/>
      <c r="YO460" s="457"/>
      <c r="YP460" s="457"/>
      <c r="YQ460" s="457"/>
      <c r="YR460" s="457"/>
      <c r="YS460" s="457"/>
      <c r="YT460" s="457"/>
      <c r="YU460" s="457"/>
      <c r="YV460" s="457"/>
      <c r="YW460" s="457"/>
      <c r="YX460" s="457"/>
      <c r="YY460" s="457"/>
      <c r="YZ460" s="457"/>
      <c r="ZA460" s="457"/>
      <c r="ZB460" s="457"/>
      <c r="ZC460" s="457"/>
      <c r="ZD460" s="457"/>
      <c r="ZE460" s="457"/>
      <c r="ZF460" s="457"/>
      <c r="ZG460" s="457"/>
      <c r="ZH460" s="457"/>
      <c r="ZI460" s="457"/>
      <c r="ZJ460" s="457"/>
      <c r="ZK460" s="457"/>
      <c r="ZL460" s="457"/>
      <c r="ZM460" s="457"/>
      <c r="ZN460" s="457"/>
      <c r="ZO460" s="457"/>
      <c r="ZP460" s="457"/>
      <c r="ZQ460" s="457"/>
      <c r="ZR460" s="457"/>
      <c r="ZS460" s="457"/>
      <c r="ZT460" s="457"/>
      <c r="ZU460" s="457"/>
      <c r="ZV460" s="457"/>
      <c r="ZW460" s="457"/>
      <c r="ZX460" s="457"/>
      <c r="ZY460" s="457"/>
      <c r="ZZ460" s="457"/>
      <c r="AAA460" s="457"/>
      <c r="AAB460" s="457"/>
      <c r="AAC460" s="457"/>
      <c r="AAD460" s="457"/>
      <c r="AAE460" s="457"/>
      <c r="AAF460" s="457"/>
      <c r="AAG460" s="457"/>
      <c r="AAH460" s="457"/>
      <c r="AAI460" s="457"/>
      <c r="AAJ460" s="457"/>
      <c r="AAK460" s="457"/>
      <c r="AAL460" s="457"/>
      <c r="AAM460" s="457"/>
      <c r="AAN460" s="457"/>
      <c r="AAO460" s="457"/>
      <c r="AAP460" s="457"/>
      <c r="AAQ460" s="457"/>
      <c r="AAR460" s="457"/>
      <c r="AAS460" s="457"/>
      <c r="AAT460" s="457"/>
      <c r="AAU460" s="457"/>
      <c r="AAV460" s="457"/>
      <c r="AAW460" s="457"/>
      <c r="AAX460" s="457"/>
      <c r="AAY460" s="457"/>
      <c r="AAZ460" s="457"/>
      <c r="ABA460" s="457"/>
      <c r="ABB460" s="457"/>
      <c r="ABC460" s="457"/>
      <c r="ABD460" s="457"/>
      <c r="ABE460" s="457"/>
      <c r="ABF460" s="457"/>
      <c r="ABG460" s="457"/>
      <c r="ABH460" s="457"/>
      <c r="ABI460" s="457"/>
      <c r="ABJ460" s="457"/>
      <c r="ABK460" s="457"/>
      <c r="ABL460" s="457"/>
      <c r="ABM460" s="457"/>
      <c r="ABN460" s="457"/>
      <c r="ABO460" s="457"/>
      <c r="ABP460" s="457"/>
      <c r="ABQ460" s="457"/>
      <c r="ABR460" s="457"/>
      <c r="ABS460" s="457"/>
      <c r="ABT460" s="457"/>
      <c r="ABU460" s="457"/>
      <c r="ABV460" s="457"/>
      <c r="ABW460" s="457"/>
      <c r="ABX460" s="457"/>
      <c r="ABY460" s="457"/>
      <c r="ABZ460" s="457"/>
      <c r="ACA460" s="457"/>
      <c r="ACB460" s="457"/>
      <c r="ACC460" s="457"/>
      <c r="ACD460" s="457"/>
      <c r="ACE460" s="457"/>
      <c r="ACF460" s="457"/>
      <c r="ACG460" s="457"/>
      <c r="ACH460" s="457"/>
      <c r="ACI460" s="457"/>
      <c r="ACJ460" s="457"/>
      <c r="ACK460" s="457"/>
      <c r="ACL460" s="457"/>
      <c r="ACM460" s="457"/>
      <c r="ACN460" s="457"/>
      <c r="ACO460" s="457"/>
      <c r="ACP460" s="457"/>
      <c r="ACQ460" s="457"/>
      <c r="ACR460" s="457"/>
      <c r="ACS460" s="457"/>
      <c r="ACT460" s="457"/>
      <c r="ACU460" s="457"/>
      <c r="ACV460" s="457"/>
    </row>
    <row r="461" spans="1:776" s="400" customFormat="1" x14ac:dyDescent="0.25">
      <c r="A461" s="470">
        <v>900180</v>
      </c>
      <c r="B461" s="237" t="s">
        <v>385</v>
      </c>
      <c r="C461" s="455"/>
      <c r="D461" s="454" t="s">
        <v>308</v>
      </c>
      <c r="E461" s="454">
        <v>4.21</v>
      </c>
      <c r="F461" s="458">
        <v>112.4</v>
      </c>
      <c r="G461" s="454">
        <v>0</v>
      </c>
      <c r="H461" s="454">
        <v>0.21</v>
      </c>
      <c r="I461" s="456">
        <v>1049.3</v>
      </c>
      <c r="J461" s="454">
        <v>231.45</v>
      </c>
      <c r="K461" s="454">
        <v>9.1800000000000007E-2</v>
      </c>
      <c r="L461" s="454">
        <v>340.8</v>
      </c>
      <c r="M461" s="454">
        <v>0</v>
      </c>
      <c r="N461" s="454">
        <v>1.34</v>
      </c>
      <c r="O461" s="454">
        <v>584.01</v>
      </c>
      <c r="P461" s="454">
        <v>106.05</v>
      </c>
      <c r="Q461" s="454">
        <v>119.7</v>
      </c>
      <c r="R461" s="454">
        <v>9.9999999999999995E-7</v>
      </c>
      <c r="S461" s="454">
        <v>9.9999999999999995E-7</v>
      </c>
      <c r="T461" s="454">
        <v>9.9999999999999995E-7</v>
      </c>
      <c r="U461" s="454">
        <v>0.08</v>
      </c>
      <c r="V461" s="454"/>
      <c r="W461" s="457"/>
      <c r="X461" s="457"/>
      <c r="Y461" s="457"/>
      <c r="Z461" s="457"/>
      <c r="AA461" s="457"/>
      <c r="AB461" s="457"/>
      <c r="AC461" s="457"/>
      <c r="AD461" s="457"/>
      <c r="AE461" s="457"/>
      <c r="AF461" s="457"/>
      <c r="AG461" s="457"/>
      <c r="AH461" s="457"/>
      <c r="AI461" s="457"/>
      <c r="AJ461" s="457"/>
      <c r="AK461" s="457"/>
      <c r="AL461" s="457"/>
      <c r="AM461" s="457"/>
      <c r="AN461" s="457"/>
      <c r="AO461" s="457"/>
      <c r="AP461" s="457"/>
      <c r="AQ461" s="457"/>
      <c r="AR461" s="457"/>
      <c r="AS461" s="457"/>
      <c r="AT461" s="457"/>
      <c r="AU461" s="457"/>
      <c r="AV461" s="457"/>
      <c r="AW461" s="457"/>
      <c r="AX461" s="457"/>
      <c r="AY461" s="457"/>
      <c r="AZ461" s="457"/>
      <c r="BA461" s="457"/>
      <c r="BB461" s="457"/>
      <c r="BC461" s="457"/>
      <c r="BD461" s="457"/>
      <c r="BE461" s="457"/>
      <c r="BF461" s="457"/>
      <c r="BG461" s="457"/>
      <c r="BH461" s="457"/>
      <c r="BI461" s="457"/>
      <c r="BJ461" s="457"/>
      <c r="BK461" s="457"/>
      <c r="BL461" s="457"/>
      <c r="BM461" s="457"/>
      <c r="BN461" s="457"/>
      <c r="BO461" s="457"/>
      <c r="BP461" s="457"/>
      <c r="BQ461" s="457"/>
      <c r="BR461" s="457"/>
      <c r="BS461" s="457"/>
      <c r="BT461" s="457"/>
      <c r="BU461" s="457"/>
      <c r="BV461" s="457"/>
      <c r="BW461" s="457"/>
      <c r="BX461" s="457"/>
      <c r="BY461" s="457"/>
      <c r="BZ461" s="457"/>
      <c r="CA461" s="457"/>
      <c r="CB461" s="457"/>
      <c r="CC461" s="457"/>
      <c r="CD461" s="457"/>
      <c r="CE461" s="457"/>
      <c r="CF461" s="457"/>
      <c r="CG461" s="457"/>
      <c r="CH461" s="457"/>
      <c r="CI461" s="457"/>
      <c r="CJ461" s="457"/>
      <c r="CK461" s="457"/>
      <c r="CL461" s="457"/>
      <c r="CM461" s="457"/>
      <c r="CN461" s="457"/>
      <c r="CO461" s="457"/>
      <c r="CP461" s="457"/>
      <c r="CQ461" s="457"/>
      <c r="CR461" s="457"/>
      <c r="CS461" s="457"/>
      <c r="CT461" s="457"/>
      <c r="CU461" s="457"/>
      <c r="CV461" s="457"/>
      <c r="CW461" s="457"/>
      <c r="CX461" s="457"/>
      <c r="CY461" s="457"/>
      <c r="CZ461" s="457"/>
      <c r="DA461" s="457"/>
      <c r="DB461" s="457"/>
      <c r="DC461" s="457"/>
      <c r="DD461" s="457"/>
      <c r="DE461" s="457"/>
      <c r="DF461" s="457"/>
      <c r="DG461" s="457"/>
      <c r="DH461" s="457"/>
      <c r="DI461" s="457"/>
      <c r="DJ461" s="457"/>
      <c r="DK461" s="457"/>
      <c r="DL461" s="457"/>
      <c r="DM461" s="457"/>
      <c r="DN461" s="457"/>
      <c r="DO461" s="457"/>
      <c r="DP461" s="457"/>
      <c r="DQ461" s="457"/>
      <c r="DR461" s="457"/>
      <c r="DS461" s="457"/>
      <c r="DT461" s="457"/>
      <c r="DU461" s="457"/>
      <c r="DV461" s="457"/>
      <c r="DW461" s="457"/>
      <c r="DX461" s="457"/>
      <c r="DY461" s="457"/>
      <c r="DZ461" s="457"/>
      <c r="EA461" s="457"/>
      <c r="EB461" s="457"/>
      <c r="EC461" s="457"/>
      <c r="ED461" s="457"/>
      <c r="EE461" s="457"/>
      <c r="EF461" s="457"/>
      <c r="EG461" s="457"/>
      <c r="EH461" s="457"/>
      <c r="EI461" s="457"/>
      <c r="EJ461" s="457"/>
      <c r="EK461" s="457"/>
      <c r="EL461" s="457"/>
      <c r="EM461" s="457"/>
      <c r="EN461" s="457"/>
      <c r="EO461" s="457"/>
      <c r="EP461" s="457"/>
      <c r="EQ461" s="457"/>
      <c r="ER461" s="457"/>
      <c r="ES461" s="457"/>
      <c r="ET461" s="457"/>
      <c r="EU461" s="457"/>
      <c r="EV461" s="457"/>
      <c r="EW461" s="457"/>
      <c r="EX461" s="457"/>
      <c r="EY461" s="457"/>
      <c r="EZ461" s="457"/>
      <c r="FA461" s="457"/>
      <c r="FB461" s="457"/>
      <c r="FC461" s="457"/>
      <c r="FD461" s="457"/>
      <c r="FE461" s="457"/>
      <c r="FF461" s="457"/>
      <c r="FG461" s="457"/>
      <c r="FH461" s="457"/>
      <c r="FI461" s="457"/>
      <c r="FJ461" s="457"/>
      <c r="FK461" s="457"/>
      <c r="FL461" s="457"/>
      <c r="FM461" s="457"/>
      <c r="FN461" s="457"/>
      <c r="FO461" s="457"/>
      <c r="FP461" s="457"/>
      <c r="FQ461" s="457"/>
      <c r="FR461" s="457"/>
      <c r="FS461" s="457"/>
      <c r="FT461" s="457"/>
      <c r="FU461" s="457"/>
      <c r="FV461" s="457"/>
      <c r="FW461" s="457"/>
      <c r="FX461" s="457"/>
      <c r="FY461" s="457"/>
      <c r="FZ461" s="457"/>
      <c r="GA461" s="457"/>
      <c r="GB461" s="457"/>
      <c r="GC461" s="457"/>
      <c r="GD461" s="457"/>
      <c r="GE461" s="457"/>
      <c r="GF461" s="457"/>
      <c r="GG461" s="457"/>
      <c r="GH461" s="457"/>
      <c r="GI461" s="457"/>
      <c r="GJ461" s="457"/>
      <c r="GK461" s="457"/>
      <c r="GL461" s="457"/>
      <c r="GM461" s="457"/>
      <c r="GN461" s="457"/>
      <c r="GO461" s="457"/>
      <c r="GP461" s="457"/>
      <c r="GQ461" s="457"/>
      <c r="GR461" s="457"/>
      <c r="GS461" s="457"/>
      <c r="GT461" s="457"/>
      <c r="GU461" s="457"/>
      <c r="GV461" s="457"/>
      <c r="GW461" s="457"/>
      <c r="GX461" s="457"/>
      <c r="GY461" s="457"/>
      <c r="GZ461" s="457"/>
      <c r="HA461" s="457"/>
      <c r="HB461" s="457"/>
      <c r="HC461" s="457"/>
      <c r="HD461" s="457"/>
      <c r="HE461" s="457"/>
      <c r="HF461" s="457"/>
      <c r="HG461" s="457"/>
      <c r="HH461" s="457"/>
      <c r="HI461" s="457"/>
      <c r="HJ461" s="457"/>
      <c r="HK461" s="457"/>
      <c r="HL461" s="457"/>
      <c r="HM461" s="457"/>
      <c r="HN461" s="457"/>
      <c r="HO461" s="457"/>
      <c r="HP461" s="457"/>
      <c r="HQ461" s="457"/>
      <c r="HR461" s="457"/>
      <c r="HS461" s="457"/>
      <c r="HT461" s="457"/>
      <c r="HU461" s="457"/>
      <c r="HV461" s="457"/>
      <c r="HW461" s="457"/>
      <c r="HX461" s="457"/>
      <c r="HY461" s="457"/>
      <c r="HZ461" s="457"/>
      <c r="IA461" s="457"/>
      <c r="IB461" s="457"/>
      <c r="IC461" s="457"/>
      <c r="ID461" s="457"/>
      <c r="IE461" s="457"/>
      <c r="IF461" s="457"/>
      <c r="IG461" s="457"/>
      <c r="IH461" s="457"/>
      <c r="II461" s="457"/>
      <c r="IJ461" s="457"/>
      <c r="IK461" s="457"/>
      <c r="IL461" s="457"/>
      <c r="IM461" s="457"/>
      <c r="IN461" s="457"/>
      <c r="IO461" s="457"/>
      <c r="IP461" s="457"/>
      <c r="IQ461" s="457"/>
      <c r="IR461" s="457"/>
      <c r="IS461" s="457"/>
      <c r="IT461" s="457"/>
      <c r="IU461" s="457"/>
      <c r="IV461" s="457"/>
      <c r="IW461" s="457"/>
      <c r="IX461" s="457"/>
      <c r="IY461" s="457"/>
      <c r="IZ461" s="457"/>
      <c r="JA461" s="457"/>
      <c r="JB461" s="457"/>
      <c r="JC461" s="457"/>
      <c r="JD461" s="457"/>
      <c r="JE461" s="457"/>
      <c r="JF461" s="457"/>
      <c r="JG461" s="457"/>
      <c r="JH461" s="457"/>
      <c r="JI461" s="457"/>
      <c r="JJ461" s="457"/>
      <c r="JK461" s="457"/>
      <c r="JL461" s="457"/>
      <c r="JM461" s="457"/>
      <c r="JN461" s="457"/>
      <c r="JO461" s="457"/>
      <c r="JP461" s="457"/>
      <c r="JQ461" s="457"/>
      <c r="JR461" s="457"/>
      <c r="JS461" s="457"/>
      <c r="JT461" s="457"/>
      <c r="JU461" s="457"/>
      <c r="JV461" s="457"/>
      <c r="JW461" s="457"/>
      <c r="JX461" s="457"/>
      <c r="JY461" s="457"/>
      <c r="JZ461" s="457"/>
      <c r="KA461" s="457"/>
      <c r="KB461" s="457"/>
      <c r="KC461" s="457"/>
      <c r="KD461" s="457"/>
      <c r="KE461" s="457"/>
      <c r="KF461" s="457"/>
      <c r="KG461" s="457"/>
      <c r="KH461" s="457"/>
      <c r="KI461" s="457"/>
      <c r="KJ461" s="457"/>
      <c r="KK461" s="457"/>
      <c r="KL461" s="457"/>
      <c r="KM461" s="457"/>
      <c r="KN461" s="457"/>
      <c r="KO461" s="457"/>
      <c r="KP461" s="457"/>
      <c r="KQ461" s="457"/>
      <c r="KR461" s="457"/>
      <c r="KS461" s="457"/>
      <c r="KT461" s="457"/>
      <c r="KU461" s="457"/>
      <c r="KV461" s="457"/>
      <c r="KW461" s="457"/>
      <c r="KX461" s="457"/>
      <c r="KY461" s="457"/>
      <c r="KZ461" s="457"/>
      <c r="LA461" s="457"/>
      <c r="LB461" s="457"/>
      <c r="LC461" s="457"/>
      <c r="LD461" s="457"/>
      <c r="LE461" s="457"/>
      <c r="LF461" s="457"/>
      <c r="LG461" s="457"/>
      <c r="LH461" s="457"/>
      <c r="LI461" s="457"/>
      <c r="LJ461" s="457"/>
      <c r="LK461" s="457"/>
      <c r="LL461" s="457"/>
      <c r="LM461" s="457"/>
      <c r="LN461" s="457"/>
      <c r="LO461" s="457"/>
      <c r="LP461" s="457"/>
      <c r="LQ461" s="457"/>
      <c r="LR461" s="457"/>
      <c r="LS461" s="457"/>
      <c r="LT461" s="457"/>
      <c r="LU461" s="457"/>
      <c r="LV461" s="457"/>
      <c r="LW461" s="457"/>
      <c r="LX461" s="457"/>
      <c r="LY461" s="457"/>
      <c r="LZ461" s="457"/>
      <c r="MA461" s="457"/>
      <c r="MB461" s="457"/>
      <c r="MC461" s="457"/>
      <c r="MD461" s="457"/>
      <c r="ME461" s="457"/>
      <c r="MF461" s="457"/>
      <c r="MG461" s="457"/>
      <c r="MH461" s="457"/>
      <c r="MI461" s="457"/>
      <c r="MJ461" s="457"/>
      <c r="MK461" s="457"/>
      <c r="ML461" s="457"/>
      <c r="MM461" s="457"/>
      <c r="MN461" s="457"/>
      <c r="MO461" s="457"/>
      <c r="MP461" s="457"/>
      <c r="MQ461" s="457"/>
      <c r="MR461" s="457"/>
      <c r="MS461" s="457"/>
      <c r="MT461" s="457"/>
      <c r="MU461" s="457"/>
      <c r="MV461" s="457"/>
      <c r="MW461" s="457"/>
      <c r="MX461" s="457"/>
      <c r="MY461" s="457"/>
      <c r="MZ461" s="457"/>
      <c r="NA461" s="457"/>
      <c r="NB461" s="457"/>
      <c r="NC461" s="457"/>
      <c r="ND461" s="457"/>
      <c r="NE461" s="457"/>
      <c r="NF461" s="457"/>
      <c r="NG461" s="457"/>
      <c r="NH461" s="457"/>
      <c r="NI461" s="457"/>
      <c r="NJ461" s="457"/>
      <c r="NK461" s="457"/>
      <c r="NL461" s="457"/>
      <c r="NM461" s="457"/>
      <c r="NN461" s="457"/>
      <c r="NO461" s="457"/>
      <c r="NP461" s="457"/>
      <c r="NQ461" s="457"/>
      <c r="NR461" s="457"/>
      <c r="NS461" s="457"/>
      <c r="NT461" s="457"/>
      <c r="NU461" s="457"/>
      <c r="NV461" s="457"/>
      <c r="NW461" s="457"/>
      <c r="NX461" s="457"/>
      <c r="NY461" s="457"/>
      <c r="NZ461" s="457"/>
      <c r="OA461" s="457"/>
      <c r="OB461" s="457"/>
      <c r="OC461" s="457"/>
      <c r="OD461" s="457"/>
      <c r="OE461" s="457"/>
      <c r="OF461" s="457"/>
      <c r="OG461" s="457"/>
      <c r="OH461" s="457"/>
      <c r="OI461" s="457"/>
      <c r="OJ461" s="457"/>
      <c r="OK461" s="457"/>
      <c r="OL461" s="457"/>
      <c r="OM461" s="457"/>
      <c r="ON461" s="457"/>
      <c r="OO461" s="457"/>
      <c r="OP461" s="457"/>
      <c r="OQ461" s="457"/>
      <c r="OR461" s="457"/>
      <c r="OS461" s="457"/>
      <c r="OT461" s="457"/>
      <c r="OU461" s="457"/>
      <c r="OV461" s="457"/>
      <c r="OW461" s="457"/>
      <c r="OX461" s="457"/>
      <c r="OY461" s="457"/>
      <c r="OZ461" s="457"/>
      <c r="PA461" s="457"/>
      <c r="PB461" s="457"/>
      <c r="PC461" s="457"/>
      <c r="PD461" s="457"/>
      <c r="PE461" s="457"/>
      <c r="PF461" s="457"/>
      <c r="PG461" s="457"/>
      <c r="PH461" s="457"/>
      <c r="PI461" s="457"/>
      <c r="PJ461" s="457"/>
      <c r="PK461" s="457"/>
      <c r="PL461" s="457"/>
      <c r="PM461" s="457"/>
      <c r="PN461" s="457"/>
      <c r="PO461" s="457"/>
      <c r="PP461" s="457"/>
      <c r="PQ461" s="457"/>
      <c r="PR461" s="457"/>
      <c r="PS461" s="457"/>
      <c r="PT461" s="457"/>
      <c r="PU461" s="457"/>
      <c r="PV461" s="457"/>
      <c r="PW461" s="457"/>
      <c r="PX461" s="457"/>
      <c r="PY461" s="457"/>
      <c r="PZ461" s="457"/>
      <c r="QA461" s="457"/>
      <c r="QB461" s="457"/>
      <c r="QC461" s="457"/>
      <c r="QD461" s="457"/>
      <c r="QE461" s="457"/>
      <c r="QF461" s="457"/>
      <c r="QG461" s="457"/>
      <c r="QH461" s="457"/>
      <c r="QI461" s="457"/>
      <c r="QJ461" s="457"/>
      <c r="QK461" s="457"/>
      <c r="QL461" s="457"/>
      <c r="QM461" s="457"/>
      <c r="QN461" s="457"/>
      <c r="QO461" s="457"/>
      <c r="QP461" s="457"/>
      <c r="QQ461" s="457"/>
      <c r="QR461" s="457"/>
      <c r="QS461" s="457"/>
      <c r="QT461" s="457"/>
      <c r="QU461" s="457"/>
      <c r="QV461" s="457"/>
      <c r="QW461" s="457"/>
      <c r="QX461" s="457"/>
      <c r="QY461" s="457"/>
      <c r="QZ461" s="457"/>
      <c r="RA461" s="457"/>
      <c r="RB461" s="457"/>
      <c r="RC461" s="457"/>
      <c r="RD461" s="457"/>
      <c r="RE461" s="457"/>
      <c r="RF461" s="457"/>
      <c r="RG461" s="457"/>
      <c r="RH461" s="457"/>
      <c r="RI461" s="457"/>
      <c r="RJ461" s="457"/>
      <c r="RK461" s="457"/>
      <c r="RL461" s="457"/>
      <c r="RM461" s="457"/>
      <c r="RN461" s="457"/>
      <c r="RO461" s="457"/>
      <c r="RP461" s="457"/>
      <c r="RQ461" s="457"/>
      <c r="RR461" s="457"/>
      <c r="RS461" s="457"/>
      <c r="RT461" s="457"/>
      <c r="RU461" s="457"/>
      <c r="RV461" s="457"/>
      <c r="RW461" s="457"/>
      <c r="RX461" s="457"/>
      <c r="RY461" s="457"/>
      <c r="RZ461" s="457"/>
      <c r="SA461" s="457"/>
      <c r="SB461" s="457"/>
      <c r="SC461" s="457"/>
      <c r="SD461" s="457"/>
      <c r="SE461" s="457"/>
      <c r="SF461" s="457"/>
      <c r="SG461" s="457"/>
      <c r="SH461" s="457"/>
      <c r="SI461" s="457"/>
      <c r="SJ461" s="457"/>
      <c r="SK461" s="457"/>
      <c r="SL461" s="457"/>
      <c r="SM461" s="457"/>
      <c r="SN461" s="457"/>
      <c r="SO461" s="457"/>
      <c r="SP461" s="457"/>
      <c r="SQ461" s="457"/>
      <c r="SR461" s="457"/>
      <c r="SS461" s="457"/>
      <c r="ST461" s="457"/>
      <c r="SU461" s="457"/>
      <c r="SV461" s="457"/>
      <c r="SW461" s="457"/>
      <c r="SX461" s="457"/>
      <c r="SY461" s="457"/>
      <c r="SZ461" s="457"/>
      <c r="TA461" s="457"/>
      <c r="TB461" s="457"/>
      <c r="TC461" s="457"/>
      <c r="TD461" s="457"/>
      <c r="TE461" s="457"/>
      <c r="TF461" s="457"/>
      <c r="TG461" s="457"/>
      <c r="TH461" s="457"/>
      <c r="TI461" s="457"/>
      <c r="TJ461" s="457"/>
      <c r="TK461" s="457"/>
      <c r="TL461" s="457"/>
      <c r="TM461" s="457"/>
      <c r="TN461" s="457"/>
      <c r="TO461" s="457"/>
      <c r="TP461" s="457"/>
      <c r="TQ461" s="457"/>
      <c r="TR461" s="457"/>
      <c r="TS461" s="457"/>
      <c r="TT461" s="457"/>
      <c r="TU461" s="457"/>
      <c r="TV461" s="457"/>
      <c r="TW461" s="457"/>
      <c r="TX461" s="457"/>
      <c r="TY461" s="457"/>
      <c r="TZ461" s="457"/>
      <c r="UA461" s="457"/>
      <c r="UB461" s="457"/>
      <c r="UC461" s="457"/>
      <c r="UD461" s="457"/>
      <c r="UE461" s="457"/>
      <c r="UF461" s="457"/>
      <c r="UG461" s="457"/>
      <c r="UH461" s="457"/>
      <c r="UI461" s="457"/>
      <c r="UJ461" s="457"/>
      <c r="UK461" s="457"/>
      <c r="UL461" s="457"/>
      <c r="UM461" s="457"/>
      <c r="UN461" s="457"/>
      <c r="UO461" s="457"/>
      <c r="UP461" s="457"/>
      <c r="UQ461" s="457"/>
      <c r="UR461" s="457"/>
      <c r="US461" s="457"/>
      <c r="UT461" s="457"/>
      <c r="UU461" s="457"/>
      <c r="UV461" s="457"/>
      <c r="UW461" s="457"/>
      <c r="UX461" s="457"/>
      <c r="UY461" s="457"/>
      <c r="UZ461" s="457"/>
      <c r="VA461" s="457"/>
      <c r="VB461" s="457"/>
      <c r="VC461" s="457"/>
      <c r="VD461" s="457"/>
      <c r="VE461" s="457"/>
      <c r="VF461" s="457"/>
      <c r="VG461" s="457"/>
      <c r="VH461" s="457"/>
      <c r="VI461" s="457"/>
      <c r="VJ461" s="457"/>
      <c r="VK461" s="457"/>
      <c r="VL461" s="457"/>
      <c r="VM461" s="457"/>
      <c r="VN461" s="457"/>
      <c r="VO461" s="457"/>
      <c r="VP461" s="457"/>
      <c r="VQ461" s="457"/>
      <c r="VR461" s="457"/>
      <c r="VS461" s="457"/>
      <c r="VT461" s="457"/>
      <c r="VU461" s="457"/>
      <c r="VV461" s="457"/>
      <c r="VW461" s="457"/>
      <c r="VX461" s="457"/>
      <c r="VY461" s="457"/>
      <c r="VZ461" s="457"/>
      <c r="WA461" s="457"/>
      <c r="WB461" s="457"/>
      <c r="WC461" s="457"/>
      <c r="WD461" s="457"/>
      <c r="WE461" s="457"/>
      <c r="WF461" s="457"/>
      <c r="WG461" s="457"/>
      <c r="WH461" s="457"/>
      <c r="WI461" s="457"/>
      <c r="WJ461" s="457"/>
      <c r="WK461" s="457"/>
      <c r="WL461" s="457"/>
      <c r="WM461" s="457"/>
      <c r="WN461" s="457"/>
      <c r="WO461" s="457"/>
      <c r="WP461" s="457"/>
      <c r="WQ461" s="457"/>
      <c r="WR461" s="457"/>
      <c r="WS461" s="457"/>
      <c r="WT461" s="457"/>
      <c r="WU461" s="457"/>
      <c r="WV461" s="457"/>
      <c r="WW461" s="457"/>
      <c r="WX461" s="457"/>
      <c r="WY461" s="457"/>
      <c r="WZ461" s="457"/>
      <c r="XA461" s="457"/>
      <c r="XB461" s="457"/>
      <c r="XC461" s="457"/>
      <c r="XD461" s="457"/>
      <c r="XE461" s="457"/>
      <c r="XF461" s="457"/>
      <c r="XG461" s="457"/>
      <c r="XH461" s="457"/>
      <c r="XI461" s="457"/>
      <c r="XJ461" s="457"/>
      <c r="XK461" s="457"/>
      <c r="XL461" s="457"/>
      <c r="XM461" s="457"/>
      <c r="XN461" s="457"/>
      <c r="XO461" s="457"/>
      <c r="XP461" s="457"/>
      <c r="XQ461" s="457"/>
      <c r="XR461" s="457"/>
      <c r="XS461" s="457"/>
      <c r="XT461" s="457"/>
      <c r="XU461" s="457"/>
      <c r="XV461" s="457"/>
      <c r="XW461" s="457"/>
      <c r="XX461" s="457"/>
      <c r="XY461" s="457"/>
      <c r="XZ461" s="457"/>
      <c r="YA461" s="457"/>
      <c r="YB461" s="457"/>
      <c r="YC461" s="457"/>
      <c r="YD461" s="457"/>
      <c r="YE461" s="457"/>
      <c r="YF461" s="457"/>
      <c r="YG461" s="457"/>
      <c r="YH461" s="457"/>
      <c r="YI461" s="457"/>
      <c r="YJ461" s="457"/>
      <c r="YK461" s="457"/>
      <c r="YL461" s="457"/>
      <c r="YM461" s="457"/>
      <c r="YN461" s="457"/>
      <c r="YO461" s="457"/>
      <c r="YP461" s="457"/>
      <c r="YQ461" s="457"/>
      <c r="YR461" s="457"/>
      <c r="YS461" s="457"/>
      <c r="YT461" s="457"/>
      <c r="YU461" s="457"/>
      <c r="YV461" s="457"/>
      <c r="YW461" s="457"/>
      <c r="YX461" s="457"/>
      <c r="YY461" s="457"/>
      <c r="YZ461" s="457"/>
      <c r="ZA461" s="457"/>
      <c r="ZB461" s="457"/>
      <c r="ZC461" s="457"/>
      <c r="ZD461" s="457"/>
      <c r="ZE461" s="457"/>
      <c r="ZF461" s="457"/>
      <c r="ZG461" s="457"/>
      <c r="ZH461" s="457"/>
      <c r="ZI461" s="457"/>
      <c r="ZJ461" s="457"/>
      <c r="ZK461" s="457"/>
      <c r="ZL461" s="457"/>
      <c r="ZM461" s="457"/>
      <c r="ZN461" s="457"/>
      <c r="ZO461" s="457"/>
      <c r="ZP461" s="457"/>
      <c r="ZQ461" s="457"/>
      <c r="ZR461" s="457"/>
      <c r="ZS461" s="457"/>
      <c r="ZT461" s="457"/>
      <c r="ZU461" s="457"/>
      <c r="ZV461" s="457"/>
      <c r="ZW461" s="457"/>
      <c r="ZX461" s="457"/>
      <c r="ZY461" s="457"/>
      <c r="ZZ461" s="457"/>
      <c r="AAA461" s="457"/>
      <c r="AAB461" s="457"/>
      <c r="AAC461" s="457"/>
      <c r="AAD461" s="457"/>
      <c r="AAE461" s="457"/>
      <c r="AAF461" s="457"/>
      <c r="AAG461" s="457"/>
      <c r="AAH461" s="457"/>
      <c r="AAI461" s="457"/>
      <c r="AAJ461" s="457"/>
      <c r="AAK461" s="457"/>
      <c r="AAL461" s="457"/>
      <c r="AAM461" s="457"/>
      <c r="AAN461" s="457"/>
      <c r="AAO461" s="457"/>
      <c r="AAP461" s="457"/>
      <c r="AAQ461" s="457"/>
      <c r="AAR461" s="457"/>
      <c r="AAS461" s="457"/>
      <c r="AAT461" s="457"/>
      <c r="AAU461" s="457"/>
      <c r="AAV461" s="457"/>
      <c r="AAW461" s="457"/>
      <c r="AAX461" s="457"/>
      <c r="AAY461" s="457"/>
      <c r="AAZ461" s="457"/>
      <c r="ABA461" s="457"/>
      <c r="ABB461" s="457"/>
      <c r="ABC461" s="457"/>
      <c r="ABD461" s="457"/>
      <c r="ABE461" s="457"/>
      <c r="ABF461" s="457"/>
      <c r="ABG461" s="457"/>
      <c r="ABH461" s="457"/>
      <c r="ABI461" s="457"/>
      <c r="ABJ461" s="457"/>
      <c r="ABK461" s="457"/>
      <c r="ABL461" s="457"/>
      <c r="ABM461" s="457"/>
      <c r="ABN461" s="457"/>
      <c r="ABO461" s="457"/>
      <c r="ABP461" s="457"/>
      <c r="ABQ461" s="457"/>
      <c r="ABR461" s="457"/>
      <c r="ABS461" s="457"/>
      <c r="ABT461" s="457"/>
      <c r="ABU461" s="457"/>
      <c r="ABV461" s="457"/>
      <c r="ABW461" s="457"/>
      <c r="ABX461" s="457"/>
      <c r="ABY461" s="457"/>
      <c r="ABZ461" s="457"/>
      <c r="ACA461" s="457"/>
      <c r="ACB461" s="457"/>
      <c r="ACC461" s="457"/>
      <c r="ACD461" s="457"/>
      <c r="ACE461" s="457"/>
      <c r="ACF461" s="457"/>
      <c r="ACG461" s="457"/>
      <c r="ACH461" s="457"/>
      <c r="ACI461" s="457"/>
      <c r="ACJ461" s="457"/>
      <c r="ACK461" s="457"/>
      <c r="ACL461" s="457"/>
      <c r="ACM461" s="457"/>
      <c r="ACN461" s="457"/>
      <c r="ACO461" s="457"/>
      <c r="ACP461" s="457"/>
      <c r="ACQ461" s="457"/>
      <c r="ACR461" s="457"/>
      <c r="ACS461" s="457"/>
      <c r="ACT461" s="457"/>
      <c r="ACU461" s="457"/>
      <c r="ACV461" s="457"/>
    </row>
    <row r="462" spans="1:776" s="400" customFormat="1" x14ac:dyDescent="0.25">
      <c r="A462" s="470">
        <v>900181</v>
      </c>
      <c r="B462" s="237" t="s">
        <v>386</v>
      </c>
      <c r="C462" s="455"/>
      <c r="D462" s="454" t="s">
        <v>325</v>
      </c>
      <c r="E462" s="454">
        <v>0.72599999999999998</v>
      </c>
      <c r="F462" s="458">
        <v>1.8</v>
      </c>
      <c r="G462" s="454">
        <v>0</v>
      </c>
      <c r="H462" s="454">
        <v>1.55</v>
      </c>
      <c r="I462" s="456">
        <v>180.58</v>
      </c>
      <c r="J462" s="454">
        <v>32.53</v>
      </c>
      <c r="K462" s="454">
        <v>6.1199999999999997E-2</v>
      </c>
      <c r="L462" s="454">
        <v>50.4</v>
      </c>
      <c r="M462" s="454">
        <v>0</v>
      </c>
      <c r="N462" s="454">
        <v>3.9</v>
      </c>
      <c r="O462" s="454">
        <v>121.98</v>
      </c>
      <c r="P462" s="454">
        <v>9.91</v>
      </c>
      <c r="Q462" s="454">
        <v>4.18</v>
      </c>
      <c r="R462" s="454">
        <v>9.9999999999999995E-7</v>
      </c>
      <c r="S462" s="454">
        <v>9.9999999999999995E-7</v>
      </c>
      <c r="T462" s="454">
        <v>9.9999999999999995E-7</v>
      </c>
      <c r="U462" s="454">
        <v>9.9999999999999995E-7</v>
      </c>
      <c r="V462" s="454"/>
      <c r="W462" s="457"/>
      <c r="X462" s="457"/>
      <c r="Y462" s="457"/>
      <c r="Z462" s="457"/>
      <c r="AA462" s="457"/>
      <c r="AB462" s="457"/>
      <c r="AC462" s="457"/>
      <c r="AD462" s="457"/>
      <c r="AE462" s="457"/>
      <c r="AF462" s="457"/>
      <c r="AG462" s="457"/>
      <c r="AH462" s="457"/>
      <c r="AI462" s="457"/>
      <c r="AJ462" s="457"/>
      <c r="AK462" s="457"/>
      <c r="AL462" s="457"/>
      <c r="AM462" s="457"/>
      <c r="AN462" s="457"/>
      <c r="AO462" s="457"/>
      <c r="AP462" s="457"/>
      <c r="AQ462" s="457"/>
      <c r="AR462" s="457"/>
      <c r="AS462" s="457"/>
      <c r="AT462" s="457"/>
      <c r="AU462" s="457"/>
      <c r="AV462" s="457"/>
      <c r="AW462" s="457"/>
      <c r="AX462" s="457"/>
      <c r="AY462" s="457"/>
      <c r="AZ462" s="457"/>
      <c r="BA462" s="457"/>
      <c r="BB462" s="457"/>
      <c r="BC462" s="457"/>
      <c r="BD462" s="457"/>
      <c r="BE462" s="457"/>
      <c r="BF462" s="457"/>
      <c r="BG462" s="457"/>
      <c r="BH462" s="457"/>
      <c r="BI462" s="457"/>
      <c r="BJ462" s="457"/>
      <c r="BK462" s="457"/>
      <c r="BL462" s="457"/>
      <c r="BM462" s="457"/>
      <c r="BN462" s="457"/>
      <c r="BO462" s="457"/>
      <c r="BP462" s="457"/>
      <c r="BQ462" s="457"/>
      <c r="BR462" s="457"/>
      <c r="BS462" s="457"/>
      <c r="BT462" s="457"/>
      <c r="BU462" s="457"/>
      <c r="BV462" s="457"/>
      <c r="BW462" s="457"/>
      <c r="BX462" s="457"/>
      <c r="BY462" s="457"/>
      <c r="BZ462" s="457"/>
      <c r="CA462" s="457"/>
      <c r="CB462" s="457"/>
      <c r="CC462" s="457"/>
      <c r="CD462" s="457"/>
      <c r="CE462" s="457"/>
      <c r="CF462" s="457"/>
      <c r="CG462" s="457"/>
      <c r="CH462" s="457"/>
      <c r="CI462" s="457"/>
      <c r="CJ462" s="457"/>
      <c r="CK462" s="457"/>
      <c r="CL462" s="457"/>
      <c r="CM462" s="457"/>
      <c r="CN462" s="457"/>
      <c r="CO462" s="457"/>
      <c r="CP462" s="457"/>
      <c r="CQ462" s="457"/>
      <c r="CR462" s="457"/>
      <c r="CS462" s="457"/>
      <c r="CT462" s="457"/>
      <c r="CU462" s="457"/>
      <c r="CV462" s="457"/>
      <c r="CW462" s="457"/>
      <c r="CX462" s="457"/>
      <c r="CY462" s="457"/>
      <c r="CZ462" s="457"/>
      <c r="DA462" s="457"/>
      <c r="DB462" s="457"/>
      <c r="DC462" s="457"/>
      <c r="DD462" s="457"/>
      <c r="DE462" s="457"/>
      <c r="DF462" s="457"/>
      <c r="DG462" s="457"/>
      <c r="DH462" s="457"/>
      <c r="DI462" s="457"/>
      <c r="DJ462" s="457"/>
      <c r="DK462" s="457"/>
      <c r="DL462" s="457"/>
      <c r="DM462" s="457"/>
      <c r="DN462" s="457"/>
      <c r="DO462" s="457"/>
      <c r="DP462" s="457"/>
      <c r="DQ462" s="457"/>
      <c r="DR462" s="457"/>
      <c r="DS462" s="457"/>
      <c r="DT462" s="457"/>
      <c r="DU462" s="457"/>
      <c r="DV462" s="457"/>
      <c r="DW462" s="457"/>
      <c r="DX462" s="457"/>
      <c r="DY462" s="457"/>
      <c r="DZ462" s="457"/>
      <c r="EA462" s="457"/>
      <c r="EB462" s="457"/>
      <c r="EC462" s="457"/>
      <c r="ED462" s="457"/>
      <c r="EE462" s="457"/>
      <c r="EF462" s="457"/>
      <c r="EG462" s="457"/>
      <c r="EH462" s="457"/>
      <c r="EI462" s="457"/>
      <c r="EJ462" s="457"/>
      <c r="EK462" s="457"/>
      <c r="EL462" s="457"/>
      <c r="EM462" s="457"/>
      <c r="EN462" s="457"/>
      <c r="EO462" s="457"/>
      <c r="EP462" s="457"/>
      <c r="EQ462" s="457"/>
      <c r="ER462" s="457"/>
      <c r="ES462" s="457"/>
      <c r="ET462" s="457"/>
      <c r="EU462" s="457"/>
      <c r="EV462" s="457"/>
      <c r="EW462" s="457"/>
      <c r="EX462" s="457"/>
      <c r="EY462" s="457"/>
      <c r="EZ462" s="457"/>
      <c r="FA462" s="457"/>
      <c r="FB462" s="457"/>
      <c r="FC462" s="457"/>
      <c r="FD462" s="457"/>
      <c r="FE462" s="457"/>
      <c r="FF462" s="457"/>
      <c r="FG462" s="457"/>
      <c r="FH462" s="457"/>
      <c r="FI462" s="457"/>
      <c r="FJ462" s="457"/>
      <c r="FK462" s="457"/>
      <c r="FL462" s="457"/>
      <c r="FM462" s="457"/>
      <c r="FN462" s="457"/>
      <c r="FO462" s="457"/>
      <c r="FP462" s="457"/>
      <c r="FQ462" s="457"/>
      <c r="FR462" s="457"/>
      <c r="FS462" s="457"/>
      <c r="FT462" s="457"/>
      <c r="FU462" s="457"/>
      <c r="FV462" s="457"/>
      <c r="FW462" s="457"/>
      <c r="FX462" s="457"/>
      <c r="FY462" s="457"/>
      <c r="FZ462" s="457"/>
      <c r="GA462" s="457"/>
      <c r="GB462" s="457"/>
      <c r="GC462" s="457"/>
      <c r="GD462" s="457"/>
      <c r="GE462" s="457"/>
      <c r="GF462" s="457"/>
      <c r="GG462" s="457"/>
      <c r="GH462" s="457"/>
      <c r="GI462" s="457"/>
      <c r="GJ462" s="457"/>
      <c r="GK462" s="457"/>
      <c r="GL462" s="457"/>
      <c r="GM462" s="457"/>
      <c r="GN462" s="457"/>
      <c r="GO462" s="457"/>
      <c r="GP462" s="457"/>
      <c r="GQ462" s="457"/>
      <c r="GR462" s="457"/>
      <c r="GS462" s="457"/>
      <c r="GT462" s="457"/>
      <c r="GU462" s="457"/>
      <c r="GV462" s="457"/>
      <c r="GW462" s="457"/>
      <c r="GX462" s="457"/>
      <c r="GY462" s="457"/>
      <c r="GZ462" s="457"/>
      <c r="HA462" s="457"/>
      <c r="HB462" s="457"/>
      <c r="HC462" s="457"/>
      <c r="HD462" s="457"/>
      <c r="HE462" s="457"/>
      <c r="HF462" s="457"/>
      <c r="HG462" s="457"/>
      <c r="HH462" s="457"/>
      <c r="HI462" s="457"/>
      <c r="HJ462" s="457"/>
      <c r="HK462" s="457"/>
      <c r="HL462" s="457"/>
      <c r="HM462" s="457"/>
      <c r="HN462" s="457"/>
      <c r="HO462" s="457"/>
      <c r="HP462" s="457"/>
      <c r="HQ462" s="457"/>
      <c r="HR462" s="457"/>
      <c r="HS462" s="457"/>
      <c r="HT462" s="457"/>
      <c r="HU462" s="457"/>
      <c r="HV462" s="457"/>
      <c r="HW462" s="457"/>
      <c r="HX462" s="457"/>
      <c r="HY462" s="457"/>
      <c r="HZ462" s="457"/>
      <c r="IA462" s="457"/>
      <c r="IB462" s="457"/>
      <c r="IC462" s="457"/>
      <c r="ID462" s="457"/>
      <c r="IE462" s="457"/>
      <c r="IF462" s="457"/>
      <c r="IG462" s="457"/>
      <c r="IH462" s="457"/>
      <c r="II462" s="457"/>
      <c r="IJ462" s="457"/>
      <c r="IK462" s="457"/>
      <c r="IL462" s="457"/>
      <c r="IM462" s="457"/>
      <c r="IN462" s="457"/>
      <c r="IO462" s="457"/>
      <c r="IP462" s="457"/>
      <c r="IQ462" s="457"/>
      <c r="IR462" s="457"/>
      <c r="IS462" s="457"/>
      <c r="IT462" s="457"/>
      <c r="IU462" s="457"/>
      <c r="IV462" s="457"/>
      <c r="IW462" s="457"/>
      <c r="IX462" s="457"/>
      <c r="IY462" s="457"/>
      <c r="IZ462" s="457"/>
      <c r="JA462" s="457"/>
      <c r="JB462" s="457"/>
      <c r="JC462" s="457"/>
      <c r="JD462" s="457"/>
      <c r="JE462" s="457"/>
      <c r="JF462" s="457"/>
      <c r="JG462" s="457"/>
      <c r="JH462" s="457"/>
      <c r="JI462" s="457"/>
      <c r="JJ462" s="457"/>
      <c r="JK462" s="457"/>
      <c r="JL462" s="457"/>
      <c r="JM462" s="457"/>
      <c r="JN462" s="457"/>
      <c r="JO462" s="457"/>
      <c r="JP462" s="457"/>
      <c r="JQ462" s="457"/>
      <c r="JR462" s="457"/>
      <c r="JS462" s="457"/>
      <c r="JT462" s="457"/>
      <c r="JU462" s="457"/>
      <c r="JV462" s="457"/>
      <c r="JW462" s="457"/>
      <c r="JX462" s="457"/>
      <c r="JY462" s="457"/>
      <c r="JZ462" s="457"/>
      <c r="KA462" s="457"/>
      <c r="KB462" s="457"/>
      <c r="KC462" s="457"/>
      <c r="KD462" s="457"/>
      <c r="KE462" s="457"/>
      <c r="KF462" s="457"/>
      <c r="KG462" s="457"/>
      <c r="KH462" s="457"/>
      <c r="KI462" s="457"/>
      <c r="KJ462" s="457"/>
      <c r="KK462" s="457"/>
      <c r="KL462" s="457"/>
      <c r="KM462" s="457"/>
      <c r="KN462" s="457"/>
      <c r="KO462" s="457"/>
      <c r="KP462" s="457"/>
      <c r="KQ462" s="457"/>
      <c r="KR462" s="457"/>
      <c r="KS462" s="457"/>
      <c r="KT462" s="457"/>
      <c r="KU462" s="457"/>
      <c r="KV462" s="457"/>
      <c r="KW462" s="457"/>
      <c r="KX462" s="457"/>
      <c r="KY462" s="457"/>
      <c r="KZ462" s="457"/>
      <c r="LA462" s="457"/>
      <c r="LB462" s="457"/>
      <c r="LC462" s="457"/>
      <c r="LD462" s="457"/>
      <c r="LE462" s="457"/>
      <c r="LF462" s="457"/>
      <c r="LG462" s="457"/>
      <c r="LH462" s="457"/>
      <c r="LI462" s="457"/>
      <c r="LJ462" s="457"/>
      <c r="LK462" s="457"/>
      <c r="LL462" s="457"/>
      <c r="LM462" s="457"/>
      <c r="LN462" s="457"/>
      <c r="LO462" s="457"/>
      <c r="LP462" s="457"/>
      <c r="LQ462" s="457"/>
      <c r="LR462" s="457"/>
      <c r="LS462" s="457"/>
      <c r="LT462" s="457"/>
      <c r="LU462" s="457"/>
      <c r="LV462" s="457"/>
      <c r="LW462" s="457"/>
      <c r="LX462" s="457"/>
      <c r="LY462" s="457"/>
      <c r="LZ462" s="457"/>
      <c r="MA462" s="457"/>
      <c r="MB462" s="457"/>
      <c r="MC462" s="457"/>
      <c r="MD462" s="457"/>
      <c r="ME462" s="457"/>
      <c r="MF462" s="457"/>
      <c r="MG462" s="457"/>
      <c r="MH462" s="457"/>
      <c r="MI462" s="457"/>
      <c r="MJ462" s="457"/>
      <c r="MK462" s="457"/>
      <c r="ML462" s="457"/>
      <c r="MM462" s="457"/>
      <c r="MN462" s="457"/>
      <c r="MO462" s="457"/>
      <c r="MP462" s="457"/>
      <c r="MQ462" s="457"/>
      <c r="MR462" s="457"/>
      <c r="MS462" s="457"/>
      <c r="MT462" s="457"/>
      <c r="MU462" s="457"/>
      <c r="MV462" s="457"/>
      <c r="MW462" s="457"/>
      <c r="MX462" s="457"/>
      <c r="MY462" s="457"/>
      <c r="MZ462" s="457"/>
      <c r="NA462" s="457"/>
      <c r="NB462" s="457"/>
      <c r="NC462" s="457"/>
      <c r="ND462" s="457"/>
      <c r="NE462" s="457"/>
      <c r="NF462" s="457"/>
      <c r="NG462" s="457"/>
      <c r="NH462" s="457"/>
      <c r="NI462" s="457"/>
      <c r="NJ462" s="457"/>
      <c r="NK462" s="457"/>
      <c r="NL462" s="457"/>
      <c r="NM462" s="457"/>
      <c r="NN462" s="457"/>
      <c r="NO462" s="457"/>
      <c r="NP462" s="457"/>
      <c r="NQ462" s="457"/>
      <c r="NR462" s="457"/>
      <c r="NS462" s="457"/>
      <c r="NT462" s="457"/>
      <c r="NU462" s="457"/>
      <c r="NV462" s="457"/>
      <c r="NW462" s="457"/>
      <c r="NX462" s="457"/>
      <c r="NY462" s="457"/>
      <c r="NZ462" s="457"/>
      <c r="OA462" s="457"/>
      <c r="OB462" s="457"/>
      <c r="OC462" s="457"/>
      <c r="OD462" s="457"/>
      <c r="OE462" s="457"/>
      <c r="OF462" s="457"/>
      <c r="OG462" s="457"/>
      <c r="OH462" s="457"/>
      <c r="OI462" s="457"/>
      <c r="OJ462" s="457"/>
      <c r="OK462" s="457"/>
      <c r="OL462" s="457"/>
      <c r="OM462" s="457"/>
      <c r="ON462" s="457"/>
      <c r="OO462" s="457"/>
      <c r="OP462" s="457"/>
      <c r="OQ462" s="457"/>
      <c r="OR462" s="457"/>
      <c r="OS462" s="457"/>
      <c r="OT462" s="457"/>
      <c r="OU462" s="457"/>
      <c r="OV462" s="457"/>
      <c r="OW462" s="457"/>
      <c r="OX462" s="457"/>
      <c r="OY462" s="457"/>
      <c r="OZ462" s="457"/>
      <c r="PA462" s="457"/>
      <c r="PB462" s="457"/>
      <c r="PC462" s="457"/>
      <c r="PD462" s="457"/>
      <c r="PE462" s="457"/>
      <c r="PF462" s="457"/>
      <c r="PG462" s="457"/>
      <c r="PH462" s="457"/>
      <c r="PI462" s="457"/>
      <c r="PJ462" s="457"/>
      <c r="PK462" s="457"/>
      <c r="PL462" s="457"/>
      <c r="PM462" s="457"/>
      <c r="PN462" s="457"/>
      <c r="PO462" s="457"/>
      <c r="PP462" s="457"/>
      <c r="PQ462" s="457"/>
      <c r="PR462" s="457"/>
      <c r="PS462" s="457"/>
      <c r="PT462" s="457"/>
      <c r="PU462" s="457"/>
      <c r="PV462" s="457"/>
      <c r="PW462" s="457"/>
      <c r="PX462" s="457"/>
      <c r="PY462" s="457"/>
      <c r="PZ462" s="457"/>
      <c r="QA462" s="457"/>
      <c r="QB462" s="457"/>
      <c r="QC462" s="457"/>
      <c r="QD462" s="457"/>
      <c r="QE462" s="457"/>
      <c r="QF462" s="457"/>
      <c r="QG462" s="457"/>
      <c r="QH462" s="457"/>
      <c r="QI462" s="457"/>
      <c r="QJ462" s="457"/>
      <c r="QK462" s="457"/>
      <c r="QL462" s="457"/>
      <c r="QM462" s="457"/>
      <c r="QN462" s="457"/>
      <c r="QO462" s="457"/>
      <c r="QP462" s="457"/>
      <c r="QQ462" s="457"/>
      <c r="QR462" s="457"/>
      <c r="QS462" s="457"/>
      <c r="QT462" s="457"/>
      <c r="QU462" s="457"/>
      <c r="QV462" s="457"/>
      <c r="QW462" s="457"/>
      <c r="QX462" s="457"/>
      <c r="QY462" s="457"/>
      <c r="QZ462" s="457"/>
      <c r="RA462" s="457"/>
      <c r="RB462" s="457"/>
      <c r="RC462" s="457"/>
      <c r="RD462" s="457"/>
      <c r="RE462" s="457"/>
      <c r="RF462" s="457"/>
      <c r="RG462" s="457"/>
      <c r="RH462" s="457"/>
      <c r="RI462" s="457"/>
      <c r="RJ462" s="457"/>
      <c r="RK462" s="457"/>
      <c r="RL462" s="457"/>
      <c r="RM462" s="457"/>
      <c r="RN462" s="457"/>
      <c r="RO462" s="457"/>
      <c r="RP462" s="457"/>
      <c r="RQ462" s="457"/>
      <c r="RR462" s="457"/>
      <c r="RS462" s="457"/>
      <c r="RT462" s="457"/>
      <c r="RU462" s="457"/>
      <c r="RV462" s="457"/>
      <c r="RW462" s="457"/>
      <c r="RX462" s="457"/>
      <c r="RY462" s="457"/>
      <c r="RZ462" s="457"/>
      <c r="SA462" s="457"/>
      <c r="SB462" s="457"/>
      <c r="SC462" s="457"/>
      <c r="SD462" s="457"/>
      <c r="SE462" s="457"/>
      <c r="SF462" s="457"/>
      <c r="SG462" s="457"/>
      <c r="SH462" s="457"/>
      <c r="SI462" s="457"/>
      <c r="SJ462" s="457"/>
      <c r="SK462" s="457"/>
      <c r="SL462" s="457"/>
      <c r="SM462" s="457"/>
      <c r="SN462" s="457"/>
      <c r="SO462" s="457"/>
      <c r="SP462" s="457"/>
      <c r="SQ462" s="457"/>
      <c r="SR462" s="457"/>
      <c r="SS462" s="457"/>
      <c r="ST462" s="457"/>
      <c r="SU462" s="457"/>
      <c r="SV462" s="457"/>
      <c r="SW462" s="457"/>
      <c r="SX462" s="457"/>
      <c r="SY462" s="457"/>
      <c r="SZ462" s="457"/>
      <c r="TA462" s="457"/>
      <c r="TB462" s="457"/>
      <c r="TC462" s="457"/>
      <c r="TD462" s="457"/>
      <c r="TE462" s="457"/>
      <c r="TF462" s="457"/>
      <c r="TG462" s="457"/>
      <c r="TH462" s="457"/>
      <c r="TI462" s="457"/>
      <c r="TJ462" s="457"/>
      <c r="TK462" s="457"/>
      <c r="TL462" s="457"/>
      <c r="TM462" s="457"/>
      <c r="TN462" s="457"/>
      <c r="TO462" s="457"/>
      <c r="TP462" s="457"/>
      <c r="TQ462" s="457"/>
      <c r="TR462" s="457"/>
      <c r="TS462" s="457"/>
      <c r="TT462" s="457"/>
      <c r="TU462" s="457"/>
      <c r="TV462" s="457"/>
      <c r="TW462" s="457"/>
      <c r="TX462" s="457"/>
      <c r="TY462" s="457"/>
      <c r="TZ462" s="457"/>
      <c r="UA462" s="457"/>
      <c r="UB462" s="457"/>
      <c r="UC462" s="457"/>
      <c r="UD462" s="457"/>
      <c r="UE462" s="457"/>
      <c r="UF462" s="457"/>
      <c r="UG462" s="457"/>
      <c r="UH462" s="457"/>
      <c r="UI462" s="457"/>
      <c r="UJ462" s="457"/>
      <c r="UK462" s="457"/>
      <c r="UL462" s="457"/>
      <c r="UM462" s="457"/>
      <c r="UN462" s="457"/>
      <c r="UO462" s="457"/>
      <c r="UP462" s="457"/>
      <c r="UQ462" s="457"/>
      <c r="UR462" s="457"/>
      <c r="US462" s="457"/>
      <c r="UT462" s="457"/>
      <c r="UU462" s="457"/>
      <c r="UV462" s="457"/>
      <c r="UW462" s="457"/>
      <c r="UX462" s="457"/>
      <c r="UY462" s="457"/>
      <c r="UZ462" s="457"/>
      <c r="VA462" s="457"/>
      <c r="VB462" s="457"/>
      <c r="VC462" s="457"/>
      <c r="VD462" s="457"/>
      <c r="VE462" s="457"/>
      <c r="VF462" s="457"/>
      <c r="VG462" s="457"/>
      <c r="VH462" s="457"/>
      <c r="VI462" s="457"/>
      <c r="VJ462" s="457"/>
      <c r="VK462" s="457"/>
      <c r="VL462" s="457"/>
      <c r="VM462" s="457"/>
      <c r="VN462" s="457"/>
      <c r="VO462" s="457"/>
      <c r="VP462" s="457"/>
      <c r="VQ462" s="457"/>
      <c r="VR462" s="457"/>
      <c r="VS462" s="457"/>
      <c r="VT462" s="457"/>
      <c r="VU462" s="457"/>
      <c r="VV462" s="457"/>
      <c r="VW462" s="457"/>
      <c r="VX462" s="457"/>
      <c r="VY462" s="457"/>
      <c r="VZ462" s="457"/>
      <c r="WA462" s="457"/>
      <c r="WB462" s="457"/>
      <c r="WC462" s="457"/>
      <c r="WD462" s="457"/>
      <c r="WE462" s="457"/>
      <c r="WF462" s="457"/>
      <c r="WG462" s="457"/>
      <c r="WH462" s="457"/>
      <c r="WI462" s="457"/>
      <c r="WJ462" s="457"/>
      <c r="WK462" s="457"/>
      <c r="WL462" s="457"/>
      <c r="WM462" s="457"/>
      <c r="WN462" s="457"/>
      <c r="WO462" s="457"/>
      <c r="WP462" s="457"/>
      <c r="WQ462" s="457"/>
      <c r="WR462" s="457"/>
      <c r="WS462" s="457"/>
      <c r="WT462" s="457"/>
      <c r="WU462" s="457"/>
      <c r="WV462" s="457"/>
      <c r="WW462" s="457"/>
      <c r="WX462" s="457"/>
      <c r="WY462" s="457"/>
      <c r="WZ462" s="457"/>
      <c r="XA462" s="457"/>
      <c r="XB462" s="457"/>
      <c r="XC462" s="457"/>
      <c r="XD462" s="457"/>
      <c r="XE462" s="457"/>
      <c r="XF462" s="457"/>
      <c r="XG462" s="457"/>
      <c r="XH462" s="457"/>
      <c r="XI462" s="457"/>
      <c r="XJ462" s="457"/>
      <c r="XK462" s="457"/>
      <c r="XL462" s="457"/>
      <c r="XM462" s="457"/>
      <c r="XN462" s="457"/>
      <c r="XO462" s="457"/>
      <c r="XP462" s="457"/>
      <c r="XQ462" s="457"/>
      <c r="XR462" s="457"/>
      <c r="XS462" s="457"/>
      <c r="XT462" s="457"/>
      <c r="XU462" s="457"/>
      <c r="XV462" s="457"/>
      <c r="XW462" s="457"/>
      <c r="XX462" s="457"/>
      <c r="XY462" s="457"/>
      <c r="XZ462" s="457"/>
      <c r="YA462" s="457"/>
      <c r="YB462" s="457"/>
      <c r="YC462" s="457"/>
      <c r="YD462" s="457"/>
      <c r="YE462" s="457"/>
      <c r="YF462" s="457"/>
      <c r="YG462" s="457"/>
      <c r="YH462" s="457"/>
      <c r="YI462" s="457"/>
      <c r="YJ462" s="457"/>
      <c r="YK462" s="457"/>
      <c r="YL462" s="457"/>
      <c r="YM462" s="457"/>
      <c r="YN462" s="457"/>
      <c r="YO462" s="457"/>
      <c r="YP462" s="457"/>
      <c r="YQ462" s="457"/>
      <c r="YR462" s="457"/>
      <c r="YS462" s="457"/>
      <c r="YT462" s="457"/>
      <c r="YU462" s="457"/>
      <c r="YV462" s="457"/>
      <c r="YW462" s="457"/>
      <c r="YX462" s="457"/>
      <c r="YY462" s="457"/>
      <c r="YZ462" s="457"/>
      <c r="ZA462" s="457"/>
      <c r="ZB462" s="457"/>
      <c r="ZC462" s="457"/>
      <c r="ZD462" s="457"/>
      <c r="ZE462" s="457"/>
      <c r="ZF462" s="457"/>
      <c r="ZG462" s="457"/>
      <c r="ZH462" s="457"/>
      <c r="ZI462" s="457"/>
      <c r="ZJ462" s="457"/>
      <c r="ZK462" s="457"/>
      <c r="ZL462" s="457"/>
      <c r="ZM462" s="457"/>
      <c r="ZN462" s="457"/>
      <c r="ZO462" s="457"/>
      <c r="ZP462" s="457"/>
      <c r="ZQ462" s="457"/>
      <c r="ZR462" s="457"/>
      <c r="ZS462" s="457"/>
      <c r="ZT462" s="457"/>
      <c r="ZU462" s="457"/>
      <c r="ZV462" s="457"/>
      <c r="ZW462" s="457"/>
      <c r="ZX462" s="457"/>
      <c r="ZY462" s="457"/>
      <c r="ZZ462" s="457"/>
      <c r="AAA462" s="457"/>
      <c r="AAB462" s="457"/>
      <c r="AAC462" s="457"/>
      <c r="AAD462" s="457"/>
      <c r="AAE462" s="457"/>
      <c r="AAF462" s="457"/>
      <c r="AAG462" s="457"/>
      <c r="AAH462" s="457"/>
      <c r="AAI462" s="457"/>
      <c r="AAJ462" s="457"/>
      <c r="AAK462" s="457"/>
      <c r="AAL462" s="457"/>
      <c r="AAM462" s="457"/>
      <c r="AAN462" s="457"/>
      <c r="AAO462" s="457"/>
      <c r="AAP462" s="457"/>
      <c r="AAQ462" s="457"/>
      <c r="AAR462" s="457"/>
      <c r="AAS462" s="457"/>
      <c r="AAT462" s="457"/>
      <c r="AAU462" s="457"/>
      <c r="AAV462" s="457"/>
      <c r="AAW462" s="457"/>
      <c r="AAX462" s="457"/>
      <c r="AAY462" s="457"/>
      <c r="AAZ462" s="457"/>
      <c r="ABA462" s="457"/>
      <c r="ABB462" s="457"/>
      <c r="ABC462" s="457"/>
      <c r="ABD462" s="457"/>
      <c r="ABE462" s="457"/>
      <c r="ABF462" s="457"/>
      <c r="ABG462" s="457"/>
      <c r="ABH462" s="457"/>
      <c r="ABI462" s="457"/>
      <c r="ABJ462" s="457"/>
      <c r="ABK462" s="457"/>
      <c r="ABL462" s="457"/>
      <c r="ABM462" s="457"/>
      <c r="ABN462" s="457"/>
      <c r="ABO462" s="457"/>
      <c r="ABP462" s="457"/>
      <c r="ABQ462" s="457"/>
      <c r="ABR462" s="457"/>
      <c r="ABS462" s="457"/>
      <c r="ABT462" s="457"/>
      <c r="ABU462" s="457"/>
      <c r="ABV462" s="457"/>
      <c r="ABW462" s="457"/>
      <c r="ABX462" s="457"/>
      <c r="ABY462" s="457"/>
      <c r="ABZ462" s="457"/>
      <c r="ACA462" s="457"/>
      <c r="ACB462" s="457"/>
      <c r="ACC462" s="457"/>
      <c r="ACD462" s="457"/>
      <c r="ACE462" s="457"/>
      <c r="ACF462" s="457"/>
      <c r="ACG462" s="457"/>
      <c r="ACH462" s="457"/>
      <c r="ACI462" s="457"/>
      <c r="ACJ462" s="457"/>
      <c r="ACK462" s="457"/>
      <c r="ACL462" s="457"/>
      <c r="ACM462" s="457"/>
      <c r="ACN462" s="457"/>
      <c r="ACO462" s="457"/>
      <c r="ACP462" s="457"/>
      <c r="ACQ462" s="457"/>
      <c r="ACR462" s="457"/>
      <c r="ACS462" s="457"/>
      <c r="ACT462" s="457"/>
      <c r="ACU462" s="457"/>
      <c r="ACV462" s="457"/>
    </row>
    <row r="463" spans="1:776" s="400" customFormat="1" x14ac:dyDescent="0.25">
      <c r="A463" s="576">
        <v>900171</v>
      </c>
      <c r="B463" s="404" t="str">
        <f t="shared" ref="B463:B478" si="12">"-"&amp;TEXT((F463/62+G463/46+I463/35.5+J463/48+K463/97+L463/61),"0,00")&amp;"/+"&amp;TEXT((N463/39+O463/23+P463/20+Q463/12+H463/14),"0,00")&amp;"  (EC  "&amp;E463*10&amp;")"</f>
        <v>-32,79/+30,92  (EC  26,6)</v>
      </c>
      <c r="C463" s="405"/>
      <c r="D463" s="397">
        <v>7.31</v>
      </c>
      <c r="E463" s="397">
        <v>2.66</v>
      </c>
      <c r="F463" s="406">
        <v>19.579999999999998</v>
      </c>
      <c r="G463" s="397">
        <v>0</v>
      </c>
      <c r="H463" s="397">
        <v>0.17</v>
      </c>
      <c r="I463" s="399">
        <v>418.5</v>
      </c>
      <c r="J463" s="397">
        <v>811.9</v>
      </c>
      <c r="K463" s="397">
        <v>0</v>
      </c>
      <c r="L463" s="397">
        <v>230</v>
      </c>
      <c r="M463" s="397">
        <v>0</v>
      </c>
      <c r="N463" s="397">
        <v>6.41</v>
      </c>
      <c r="O463" s="397">
        <v>165.09</v>
      </c>
      <c r="P463" s="397">
        <v>257.67</v>
      </c>
      <c r="Q463" s="397">
        <v>128.22</v>
      </c>
      <c r="R463" s="397">
        <v>0.18</v>
      </c>
      <c r="S463" s="397">
        <v>9.9999999999999995E-7</v>
      </c>
      <c r="T463" s="397">
        <v>0.03</v>
      </c>
      <c r="U463" s="397">
        <v>7.0000000000000007E-2</v>
      </c>
      <c r="V463" s="397">
        <v>1.0000000000000001E-5</v>
      </c>
    </row>
    <row r="464" spans="1:776" s="400" customFormat="1" x14ac:dyDescent="0.25">
      <c r="A464" s="576">
        <v>900172</v>
      </c>
      <c r="B464" s="404" t="str">
        <f t="shared" si="12"/>
        <v>-14,62/+14,16  (EC  13,1)</v>
      </c>
      <c r="C464" s="405"/>
      <c r="D464" s="397">
        <v>7.97</v>
      </c>
      <c r="E464" s="397">
        <v>1.31</v>
      </c>
      <c r="F464" s="406">
        <v>29.82</v>
      </c>
      <c r="G464" s="397">
        <v>0</v>
      </c>
      <c r="H464" s="397">
        <v>0.03</v>
      </c>
      <c r="I464" s="399">
        <v>214.7</v>
      </c>
      <c r="J464" s="397">
        <v>186.14999999999998</v>
      </c>
      <c r="K464" s="397">
        <v>0</v>
      </c>
      <c r="L464" s="397">
        <v>256.8</v>
      </c>
      <c r="M464" s="397">
        <v>0</v>
      </c>
      <c r="N464" s="397">
        <v>3.71</v>
      </c>
      <c r="O464" s="397">
        <v>86.5</v>
      </c>
      <c r="P464" s="397">
        <v>105.34</v>
      </c>
      <c r="Q464" s="397">
        <v>60.4</v>
      </c>
      <c r="R464" s="397">
        <v>9.9999999999999995E-7</v>
      </c>
      <c r="S464" s="397">
        <v>9.9999999999999995E-7</v>
      </c>
      <c r="T464" s="397">
        <v>9.9999999999999995E-7</v>
      </c>
      <c r="U464" s="397">
        <v>0.01</v>
      </c>
      <c r="V464" s="397"/>
    </row>
    <row r="465" spans="1:776" s="400" customFormat="1" x14ac:dyDescent="0.25">
      <c r="A465" s="576">
        <v>900173</v>
      </c>
      <c r="B465" s="404" t="str">
        <f t="shared" si="12"/>
        <v>-23,08/+21,28  (EC  23,1)</v>
      </c>
      <c r="C465" s="405"/>
      <c r="D465" s="397">
        <v>7.46</v>
      </c>
      <c r="E465" s="397">
        <v>2.31</v>
      </c>
      <c r="F465" s="406">
        <v>26.1</v>
      </c>
      <c r="G465" s="397">
        <v>0</v>
      </c>
      <c r="H465" s="397">
        <v>0.03</v>
      </c>
      <c r="I465" s="399">
        <v>550</v>
      </c>
      <c r="J465" s="397">
        <v>28.47</v>
      </c>
      <c r="K465" s="397">
        <v>3.0599999999999999E-2</v>
      </c>
      <c r="L465" s="397">
        <v>400.79999999999995</v>
      </c>
      <c r="M465" s="397">
        <v>0</v>
      </c>
      <c r="N465" s="397">
        <v>1.02</v>
      </c>
      <c r="O465" s="397">
        <v>308.37</v>
      </c>
      <c r="P465" s="397">
        <v>81.599999999999994</v>
      </c>
      <c r="Q465" s="397">
        <v>45.14</v>
      </c>
      <c r="R465" s="397">
        <v>9.9999999999999995E-7</v>
      </c>
      <c r="S465" s="397">
        <v>9.9999999999999995E-7</v>
      </c>
      <c r="T465" s="397">
        <v>9.9999999999999995E-7</v>
      </c>
      <c r="U465" s="397">
        <v>0.03</v>
      </c>
      <c r="V465" s="397"/>
    </row>
    <row r="466" spans="1:776" s="400" customFormat="1" x14ac:dyDescent="0.25">
      <c r="A466" s="576">
        <v>900174</v>
      </c>
      <c r="B466" s="404" t="str">
        <f t="shared" si="12"/>
        <v>-20,77/+19,43  (EC  20,2)</v>
      </c>
      <c r="C466" s="405"/>
      <c r="D466" s="397">
        <v>7.43</v>
      </c>
      <c r="E466" s="397">
        <v>2.02</v>
      </c>
      <c r="F466" s="406">
        <v>27.57</v>
      </c>
      <c r="G466" s="397">
        <v>0</v>
      </c>
      <c r="H466" s="397">
        <v>0.1</v>
      </c>
      <c r="I466" s="399">
        <v>468.9</v>
      </c>
      <c r="J466" s="397">
        <v>22.23</v>
      </c>
      <c r="K466" s="397">
        <v>0</v>
      </c>
      <c r="L466" s="397">
        <v>405.59999999999997</v>
      </c>
      <c r="M466" s="397">
        <v>0</v>
      </c>
      <c r="N466" s="397">
        <v>1.01</v>
      </c>
      <c r="O466" s="397">
        <v>268.62</v>
      </c>
      <c r="P466" s="397">
        <v>80.16</v>
      </c>
      <c r="Q466" s="397">
        <v>44.57</v>
      </c>
      <c r="R466" s="397">
        <v>9.9999999999999995E-7</v>
      </c>
      <c r="S466" s="397">
        <v>9.9999999999999995E-7</v>
      </c>
      <c r="T466" s="397">
        <v>9.9999999999999995E-7</v>
      </c>
      <c r="U466" s="397">
        <v>0.03</v>
      </c>
      <c r="V466" s="397"/>
    </row>
    <row r="467" spans="1:776" s="400" customFormat="1" x14ac:dyDescent="0.25">
      <c r="A467" s="576">
        <v>900175</v>
      </c>
      <c r="B467" s="404" t="str">
        <f t="shared" si="12"/>
        <v>-7,23/+7,69  (EC  6,8)</v>
      </c>
      <c r="C467" s="405"/>
      <c r="D467" s="397">
        <v>7.89</v>
      </c>
      <c r="E467" s="397">
        <v>0.68</v>
      </c>
      <c r="F467" s="406">
        <v>91.4</v>
      </c>
      <c r="G467" s="397">
        <v>0</v>
      </c>
      <c r="H467" s="397">
        <v>0</v>
      </c>
      <c r="I467" s="399">
        <v>37</v>
      </c>
      <c r="J467" s="397">
        <v>3.21</v>
      </c>
      <c r="K467" s="397">
        <v>0</v>
      </c>
      <c r="L467" s="397">
        <v>283.20000000000005</v>
      </c>
      <c r="M467" s="397">
        <v>0</v>
      </c>
      <c r="N467" s="397">
        <v>0.63</v>
      </c>
      <c r="O467" s="397">
        <v>7.75</v>
      </c>
      <c r="P467" s="397">
        <v>102.92</v>
      </c>
      <c r="Q467" s="397">
        <v>26.3</v>
      </c>
      <c r="R467" s="397">
        <v>0.08</v>
      </c>
      <c r="S467" s="397">
        <v>9.9999999999999995E-7</v>
      </c>
      <c r="T467" s="397">
        <v>9.9999999999999995E-7</v>
      </c>
      <c r="U467" s="397">
        <v>0.01</v>
      </c>
      <c r="V467" s="397"/>
    </row>
    <row r="468" spans="1:776" s="400" customFormat="1" x14ac:dyDescent="0.25">
      <c r="A468" s="576">
        <v>900176</v>
      </c>
      <c r="B468" s="404" t="str">
        <f t="shared" si="12"/>
        <v>-6,20/+6,41  (EC  5,1)</v>
      </c>
      <c r="C468" s="405"/>
      <c r="D468" s="397">
        <v>8.2200000000000006</v>
      </c>
      <c r="E468" s="397">
        <v>0.51</v>
      </c>
      <c r="F468" s="406">
        <v>27.22</v>
      </c>
      <c r="G468" s="397">
        <v>0</v>
      </c>
      <c r="H468" s="397">
        <v>0.04</v>
      </c>
      <c r="I468" s="399">
        <v>20.85</v>
      </c>
      <c r="J468" s="397">
        <v>2.79</v>
      </c>
      <c r="K468" s="397">
        <v>0</v>
      </c>
      <c r="L468" s="397">
        <v>312</v>
      </c>
      <c r="M468" s="397">
        <v>0</v>
      </c>
      <c r="N468" s="397">
        <v>0.73</v>
      </c>
      <c r="O468" s="397">
        <v>6.83</v>
      </c>
      <c r="P468" s="397">
        <v>60.99</v>
      </c>
      <c r="Q468" s="397">
        <v>36.53</v>
      </c>
      <c r="R468" s="397">
        <v>9.9999999999999995E-7</v>
      </c>
      <c r="S468" s="397">
        <v>9.9999999999999995E-7</v>
      </c>
      <c r="T468" s="397">
        <v>9.9999999999999995E-7</v>
      </c>
      <c r="U468" s="397">
        <v>0.15</v>
      </c>
      <c r="V468" s="397"/>
    </row>
    <row r="469" spans="1:776" s="400" customFormat="1" x14ac:dyDescent="0.25">
      <c r="A469" s="576">
        <v>900169</v>
      </c>
      <c r="B469" s="404" t="str">
        <f t="shared" si="12"/>
        <v>-29,93/+26,83  (EC  28,7)</v>
      </c>
      <c r="C469" s="405"/>
      <c r="D469" s="397">
        <v>7.27</v>
      </c>
      <c r="E469" s="397">
        <v>2.87</v>
      </c>
      <c r="F469" s="406">
        <v>60.93</v>
      </c>
      <c r="G469" s="397">
        <v>0</v>
      </c>
      <c r="H469" s="397">
        <v>0.05</v>
      </c>
      <c r="I469" s="399">
        <v>709.2</v>
      </c>
      <c r="J469" s="397">
        <v>103.9</v>
      </c>
      <c r="K469" s="397">
        <v>0</v>
      </c>
      <c r="L469" s="397">
        <v>415.19999999999993</v>
      </c>
      <c r="M469" s="397">
        <v>0</v>
      </c>
      <c r="N469" s="397">
        <v>1.4</v>
      </c>
      <c r="O469" s="397">
        <v>342.63</v>
      </c>
      <c r="P469" s="397">
        <v>165.82</v>
      </c>
      <c r="Q469" s="397">
        <v>43.27</v>
      </c>
      <c r="R469" s="397">
        <v>9.9999999999999995E-7</v>
      </c>
      <c r="S469" s="397">
        <v>9.9999999999999995E-7</v>
      </c>
      <c r="T469" s="397">
        <v>0.56999999999999995</v>
      </c>
      <c r="U469" s="397">
        <v>0.05</v>
      </c>
      <c r="V469" s="397"/>
    </row>
    <row r="470" spans="1:776" s="400" customFormat="1" x14ac:dyDescent="0.25">
      <c r="A470" s="576">
        <v>900170</v>
      </c>
      <c r="B470" s="404" t="str">
        <f t="shared" si="12"/>
        <v>-34,68/+31,79  (EC  33,7)</v>
      </c>
      <c r="C470" s="405"/>
      <c r="D470" s="397">
        <v>7.24</v>
      </c>
      <c r="E470" s="397">
        <v>3.37</v>
      </c>
      <c r="F470" s="406">
        <v>71.84</v>
      </c>
      <c r="G470" s="397">
        <v>0</v>
      </c>
      <c r="H470" s="397">
        <v>0.08</v>
      </c>
      <c r="I470" s="399">
        <v>751.9</v>
      </c>
      <c r="J470" s="397">
        <v>229.8</v>
      </c>
      <c r="K470" s="397">
        <v>3.0599999999999999E-2</v>
      </c>
      <c r="L470" s="397">
        <v>460.79999999999995</v>
      </c>
      <c r="M470" s="397">
        <v>0</v>
      </c>
      <c r="N470" s="397">
        <v>1.26</v>
      </c>
      <c r="O470" s="397">
        <v>428.09</v>
      </c>
      <c r="P470" s="397">
        <v>171.06</v>
      </c>
      <c r="Q470" s="397">
        <v>55.09</v>
      </c>
      <c r="R470" s="397">
        <v>0.35</v>
      </c>
      <c r="S470" s="397">
        <v>9.9999999999999995E-7</v>
      </c>
      <c r="T470" s="397">
        <v>0.13</v>
      </c>
      <c r="U470" s="397">
        <v>0.02</v>
      </c>
      <c r="V470" s="397"/>
    </row>
    <row r="471" spans="1:776" s="400" customFormat="1" x14ac:dyDescent="0.25">
      <c r="A471" s="576">
        <v>900186</v>
      </c>
      <c r="B471" s="237" t="str">
        <f t="shared" si="12"/>
        <v>-5,42/+5,91  (EC  5,91)</v>
      </c>
      <c r="C471" s="405"/>
      <c r="D471" s="397">
        <v>7.57</v>
      </c>
      <c r="E471" s="397">
        <v>0.59099999999999997</v>
      </c>
      <c r="F471" s="406">
        <v>87.6</v>
      </c>
      <c r="G471" s="397">
        <v>0</v>
      </c>
      <c r="H471" s="397">
        <v>0.64</v>
      </c>
      <c r="I471" s="399">
        <v>44.84</v>
      </c>
      <c r="J471" s="397">
        <v>33.47</v>
      </c>
      <c r="K471" s="397">
        <v>0</v>
      </c>
      <c r="L471" s="397">
        <v>124.80000000000001</v>
      </c>
      <c r="M471" s="397">
        <v>0</v>
      </c>
      <c r="N471" s="397">
        <v>0.18</v>
      </c>
      <c r="O471" s="397">
        <v>22.39</v>
      </c>
      <c r="P471" s="397">
        <v>92.74</v>
      </c>
      <c r="Q471" s="397">
        <v>2.98</v>
      </c>
      <c r="R471" s="397">
        <v>1.0000000000000001E-5</v>
      </c>
      <c r="S471" s="397">
        <v>1.0000000000000001E-5</v>
      </c>
      <c r="T471" s="397">
        <v>1.0000000000000001E-5</v>
      </c>
      <c r="U471" s="397">
        <v>1.0000000000000001E-5</v>
      </c>
      <c r="V471" s="397"/>
    </row>
    <row r="472" spans="1:776" s="400" customFormat="1" x14ac:dyDescent="0.25">
      <c r="A472" s="576">
        <v>900187</v>
      </c>
      <c r="B472" s="237" t="str">
        <f t="shared" si="12"/>
        <v>-4,78/+4,93  (EC  4,89)</v>
      </c>
      <c r="C472" s="405"/>
      <c r="D472" s="397">
        <v>7.64</v>
      </c>
      <c r="E472" s="397">
        <v>0.48899999999999999</v>
      </c>
      <c r="F472" s="406">
        <v>73.959999999999994</v>
      </c>
      <c r="G472" s="397">
        <v>0</v>
      </c>
      <c r="H472" s="397">
        <v>0.64</v>
      </c>
      <c r="I472" s="399">
        <v>43.84</v>
      </c>
      <c r="J472" s="397">
        <v>7.04</v>
      </c>
      <c r="K472" s="397">
        <v>0</v>
      </c>
      <c r="L472" s="397">
        <v>134.4</v>
      </c>
      <c r="M472" s="397">
        <v>0</v>
      </c>
      <c r="N472" s="397">
        <v>0.35</v>
      </c>
      <c r="O472" s="397">
        <v>15.93</v>
      </c>
      <c r="P472" s="397">
        <v>78.459999999999994</v>
      </c>
      <c r="Q472" s="397">
        <v>3.1</v>
      </c>
      <c r="R472" s="397">
        <v>1.0000000000000001E-5</v>
      </c>
      <c r="S472" s="397">
        <v>1.0000000000000001E-5</v>
      </c>
      <c r="T472" s="397">
        <v>1.0000000000000001E-5</v>
      </c>
      <c r="U472" s="397">
        <v>1.0000000000000001E-5</v>
      </c>
      <c r="V472" s="397"/>
    </row>
    <row r="473" spans="1:776" s="400" customFormat="1" x14ac:dyDescent="0.25">
      <c r="A473" s="576">
        <v>900188</v>
      </c>
      <c r="B473" s="237" t="str">
        <f t="shared" si="12"/>
        <v>-8,42/+9,11  (EC  9,76)</v>
      </c>
      <c r="C473" s="405"/>
      <c r="D473" s="397">
        <v>7.49</v>
      </c>
      <c r="E473" s="397">
        <v>0.97599999999999998</v>
      </c>
      <c r="F473" s="406">
        <v>88.52</v>
      </c>
      <c r="G473" s="397">
        <v>0</v>
      </c>
      <c r="H473" s="397">
        <v>0.54</v>
      </c>
      <c r="I473" s="399">
        <v>90.43</v>
      </c>
      <c r="J473" s="397">
        <v>83.2</v>
      </c>
      <c r="K473" s="397">
        <v>0</v>
      </c>
      <c r="L473" s="397">
        <v>165.60000000000002</v>
      </c>
      <c r="M473" s="397">
        <v>0</v>
      </c>
      <c r="N473" s="397">
        <v>0.3</v>
      </c>
      <c r="O473" s="397">
        <v>43.16</v>
      </c>
      <c r="P473" s="397">
        <v>134.72999999999999</v>
      </c>
      <c r="Q473" s="397">
        <v>5.41</v>
      </c>
      <c r="R473" s="397">
        <v>1.0000000000000001E-5</v>
      </c>
      <c r="S473" s="397">
        <v>1.0000000000000001E-5</v>
      </c>
      <c r="T473" s="397">
        <v>1.0000000000000001E-5</v>
      </c>
      <c r="U473" s="397">
        <v>1.0000000000000001E-5</v>
      </c>
      <c r="V473" s="397"/>
    </row>
    <row r="474" spans="1:776" s="400" customFormat="1" x14ac:dyDescent="0.25">
      <c r="A474" s="576">
        <v>900189</v>
      </c>
      <c r="B474" s="237" t="str">
        <f t="shared" si="12"/>
        <v>-15,47/+14,61  (EC  15,64)</v>
      </c>
      <c r="C474" s="405"/>
      <c r="D474" s="397">
        <v>7.86</v>
      </c>
      <c r="E474" s="397">
        <v>1.5640000000000001</v>
      </c>
      <c r="F474" s="406">
        <v>16.149999999999999</v>
      </c>
      <c r="G474" s="397">
        <v>0</v>
      </c>
      <c r="H474" s="397">
        <v>0.52</v>
      </c>
      <c r="I474" s="399">
        <v>289.19</v>
      </c>
      <c r="J474" s="397">
        <v>193.81</v>
      </c>
      <c r="K474" s="397">
        <v>0</v>
      </c>
      <c r="L474" s="397">
        <v>184.8</v>
      </c>
      <c r="M474" s="397">
        <v>0</v>
      </c>
      <c r="N474" s="397">
        <v>3.02</v>
      </c>
      <c r="O474" s="397">
        <v>163.21</v>
      </c>
      <c r="P474" s="397">
        <v>86.46</v>
      </c>
      <c r="Q474" s="397">
        <v>36.950000000000003</v>
      </c>
      <c r="R474" s="397">
        <v>1.0000000000000001E-5</v>
      </c>
      <c r="S474" s="397">
        <v>1.0000000000000001E-5</v>
      </c>
      <c r="T474" s="397">
        <v>1.0000000000000001E-5</v>
      </c>
      <c r="U474" s="397">
        <v>1.0000000000000001E-5</v>
      </c>
      <c r="V474" s="397"/>
    </row>
    <row r="475" spans="1:776" s="400" customFormat="1" x14ac:dyDescent="0.25">
      <c r="A475" s="576">
        <v>900190</v>
      </c>
      <c r="B475" s="237" t="str">
        <f t="shared" si="12"/>
        <v>-5,52/+5,53  (EC  5,21)</v>
      </c>
      <c r="C475" s="405"/>
      <c r="D475" s="397">
        <v>7.51</v>
      </c>
      <c r="E475" s="397">
        <v>0.52100000000000002</v>
      </c>
      <c r="F475" s="406">
        <v>76.349999999999994</v>
      </c>
      <c r="G475" s="397">
        <v>0</v>
      </c>
      <c r="H475" s="397">
        <v>0.44</v>
      </c>
      <c r="I475" s="399">
        <v>35.229999999999997</v>
      </c>
      <c r="J475" s="397">
        <v>42.99</v>
      </c>
      <c r="K475" s="397">
        <v>0</v>
      </c>
      <c r="L475" s="397">
        <v>146.4</v>
      </c>
      <c r="M475" s="397">
        <v>0</v>
      </c>
      <c r="N475" s="397">
        <v>2.72</v>
      </c>
      <c r="O475" s="397">
        <v>23.13</v>
      </c>
      <c r="P475" s="397">
        <v>82.44</v>
      </c>
      <c r="Q475" s="397">
        <v>3.66</v>
      </c>
      <c r="R475" s="397">
        <v>1.0000000000000001E-5</v>
      </c>
      <c r="S475" s="397">
        <v>1.0000000000000001E-5</v>
      </c>
      <c r="T475" s="397">
        <v>1.0000000000000001E-5</v>
      </c>
      <c r="U475" s="397">
        <v>0.2</v>
      </c>
      <c r="V475" s="397"/>
    </row>
    <row r="476" spans="1:776" s="400" customFormat="1" x14ac:dyDescent="0.25">
      <c r="A476" s="576">
        <v>900191</v>
      </c>
      <c r="B476" s="237" t="str">
        <f t="shared" si="12"/>
        <v>-37,22/+37,35  (EC  34)</v>
      </c>
      <c r="C476" s="405"/>
      <c r="D476" s="397">
        <v>7.91</v>
      </c>
      <c r="E476" s="397">
        <v>3.4</v>
      </c>
      <c r="F476" s="406">
        <v>68.8</v>
      </c>
      <c r="G476" s="397">
        <v>0</v>
      </c>
      <c r="H476" s="397">
        <v>0.44</v>
      </c>
      <c r="I476" s="399">
        <v>363.23</v>
      </c>
      <c r="J476" s="397">
        <v>1040</v>
      </c>
      <c r="K476" s="397">
        <v>0</v>
      </c>
      <c r="L476" s="397">
        <v>256.8</v>
      </c>
      <c r="M476" s="397">
        <v>0</v>
      </c>
      <c r="N476" s="397">
        <v>2.88</v>
      </c>
      <c r="O476" s="397">
        <v>157.36000000000001</v>
      </c>
      <c r="P476" s="397">
        <v>462.58</v>
      </c>
      <c r="Q476" s="397">
        <v>87.29</v>
      </c>
      <c r="R476" s="397">
        <v>1.0000000000000001E-5</v>
      </c>
      <c r="S476" s="397">
        <v>1.0000000000000001E-5</v>
      </c>
      <c r="T476" s="397">
        <v>1.0000000000000001E-5</v>
      </c>
      <c r="U476" s="397">
        <v>0.1</v>
      </c>
      <c r="V476" s="397"/>
    </row>
    <row r="477" spans="1:776" s="400" customFormat="1" x14ac:dyDescent="0.25">
      <c r="A477" s="576">
        <v>900192</v>
      </c>
      <c r="B477" s="237" t="str">
        <f t="shared" si="12"/>
        <v>-34,42/+33,44  (EC  31)</v>
      </c>
      <c r="C477" s="405"/>
      <c r="D477" s="397">
        <v>7.95</v>
      </c>
      <c r="E477" s="397">
        <v>3.1</v>
      </c>
      <c r="F477" s="406">
        <v>11.54</v>
      </c>
      <c r="G477" s="397">
        <v>0</v>
      </c>
      <c r="H477" s="397">
        <v>0.55000000000000004</v>
      </c>
      <c r="I477" s="399">
        <v>323.14</v>
      </c>
      <c r="J477" s="397">
        <v>1036.2</v>
      </c>
      <c r="K477" s="397">
        <v>0</v>
      </c>
      <c r="L477" s="397">
        <v>216</v>
      </c>
      <c r="M477" s="397">
        <v>0</v>
      </c>
      <c r="N477" s="397">
        <v>2.37</v>
      </c>
      <c r="O477" s="397">
        <v>166.98</v>
      </c>
      <c r="P477" s="397">
        <v>443.33</v>
      </c>
      <c r="Q477" s="397">
        <v>46.98</v>
      </c>
      <c r="R477" s="397">
        <v>0.24</v>
      </c>
      <c r="S477" s="397">
        <v>1.0000000000000001E-5</v>
      </c>
      <c r="T477" s="397">
        <v>1.0000000000000001E-5</v>
      </c>
      <c r="U477" s="397">
        <v>0.4</v>
      </c>
      <c r="V477" s="397"/>
    </row>
    <row r="478" spans="1:776" s="400" customFormat="1" x14ac:dyDescent="0.25">
      <c r="A478" s="576">
        <v>900193</v>
      </c>
      <c r="B478" s="237" t="str">
        <f t="shared" si="12"/>
        <v>-9,64/+8,39  (EC  8,1)</v>
      </c>
      <c r="C478" s="405"/>
      <c r="D478" s="397">
        <v>7.98</v>
      </c>
      <c r="E478" s="397">
        <v>0.81</v>
      </c>
      <c r="F478" s="406">
        <v>19.07</v>
      </c>
      <c r="G478" s="397">
        <v>0</v>
      </c>
      <c r="H478" s="397">
        <v>0.55000000000000004</v>
      </c>
      <c r="I478" s="399">
        <v>70.040000000000006</v>
      </c>
      <c r="J478" s="397">
        <v>81.400000000000006</v>
      </c>
      <c r="K478" s="397">
        <v>0</v>
      </c>
      <c r="L478" s="397">
        <v>345.6</v>
      </c>
      <c r="M478" s="397">
        <v>0</v>
      </c>
      <c r="N478" s="397">
        <v>1.28</v>
      </c>
      <c r="O478" s="397">
        <v>36.29</v>
      </c>
      <c r="P478" s="397">
        <v>75.77</v>
      </c>
      <c r="Q478" s="397">
        <v>35.380000000000003</v>
      </c>
      <c r="R478" s="397">
        <v>1.67</v>
      </c>
      <c r="S478" s="397">
        <v>1.0000000000000001E-5</v>
      </c>
      <c r="T478" s="397">
        <v>1.0000000000000001E-5</v>
      </c>
      <c r="U478" s="397">
        <v>0.5</v>
      </c>
      <c r="V478" s="397"/>
    </row>
    <row r="479" spans="1:776" s="400" customFormat="1" x14ac:dyDescent="0.25">
      <c r="A479" s="470">
        <v>900194</v>
      </c>
      <c r="B479" s="237" t="s">
        <v>387</v>
      </c>
      <c r="C479" s="455"/>
      <c r="D479" s="454" t="s">
        <v>242</v>
      </c>
      <c r="E479" s="454">
        <v>2.2799999999999998</v>
      </c>
      <c r="F479" s="458">
        <v>0.6</v>
      </c>
      <c r="G479" s="454">
        <v>0</v>
      </c>
      <c r="H479" s="468">
        <v>21.41</v>
      </c>
      <c r="I479" s="456">
        <v>246.35</v>
      </c>
      <c r="J479" s="454">
        <v>52.83</v>
      </c>
      <c r="K479" s="454">
        <v>37.179000000000002</v>
      </c>
      <c r="L479" s="454">
        <v>885.6</v>
      </c>
      <c r="M479" s="454">
        <v>0</v>
      </c>
      <c r="N479" s="454">
        <v>55.38</v>
      </c>
      <c r="O479" s="454">
        <v>201.36</v>
      </c>
      <c r="P479" s="454">
        <v>84.97</v>
      </c>
      <c r="Q479" s="454">
        <v>57.4</v>
      </c>
      <c r="R479" s="454">
        <v>0.01</v>
      </c>
      <c r="S479" s="397">
        <v>1.0000000000000001E-5</v>
      </c>
      <c r="T479" s="454">
        <v>0.05</v>
      </c>
      <c r="U479" s="454">
        <v>0.05</v>
      </c>
      <c r="V479" s="454"/>
      <c r="W479" s="457"/>
      <c r="X479" s="457"/>
      <c r="Y479" s="457"/>
      <c r="Z479" s="457"/>
      <c r="AA479" s="457"/>
      <c r="AB479" s="457"/>
      <c r="AC479" s="457"/>
      <c r="AD479" s="457"/>
      <c r="AE479" s="457"/>
      <c r="AF479" s="457"/>
      <c r="AG479" s="457"/>
      <c r="AH479" s="457"/>
      <c r="AI479" s="457"/>
      <c r="AJ479" s="457"/>
      <c r="AK479" s="457"/>
      <c r="AL479" s="457"/>
      <c r="AM479" s="457"/>
      <c r="AN479" s="457"/>
      <c r="AO479" s="457"/>
      <c r="AP479" s="457"/>
      <c r="AQ479" s="457"/>
      <c r="AR479" s="457"/>
      <c r="AS479" s="457"/>
      <c r="AT479" s="457"/>
      <c r="AU479" s="457"/>
      <c r="AV479" s="457"/>
      <c r="AW479" s="457"/>
      <c r="AX479" s="457"/>
      <c r="AY479" s="457"/>
      <c r="AZ479" s="457"/>
      <c r="BA479" s="457"/>
      <c r="BB479" s="457"/>
      <c r="BC479" s="457"/>
      <c r="BD479" s="457"/>
      <c r="BE479" s="457"/>
      <c r="BF479" s="457"/>
      <c r="BG479" s="457"/>
      <c r="BH479" s="457"/>
      <c r="BI479" s="457"/>
      <c r="BJ479" s="457"/>
      <c r="BK479" s="457"/>
      <c r="BL479" s="457"/>
      <c r="BM479" s="457"/>
      <c r="BN479" s="457"/>
      <c r="BO479" s="457"/>
      <c r="BP479" s="457"/>
      <c r="BQ479" s="457"/>
      <c r="BR479" s="457"/>
      <c r="BS479" s="457"/>
      <c r="BT479" s="457"/>
      <c r="BU479" s="457"/>
      <c r="BV479" s="457"/>
      <c r="BW479" s="457"/>
      <c r="BX479" s="457"/>
      <c r="BY479" s="457"/>
      <c r="BZ479" s="457"/>
      <c r="CA479" s="457"/>
      <c r="CB479" s="457"/>
      <c r="CC479" s="457"/>
      <c r="CD479" s="457"/>
      <c r="CE479" s="457"/>
      <c r="CF479" s="457"/>
      <c r="CG479" s="457"/>
      <c r="CH479" s="457"/>
      <c r="CI479" s="457"/>
      <c r="CJ479" s="457"/>
      <c r="CK479" s="457"/>
      <c r="CL479" s="457"/>
      <c r="CM479" s="457"/>
      <c r="CN479" s="457"/>
      <c r="CO479" s="457"/>
      <c r="CP479" s="457"/>
      <c r="CQ479" s="457"/>
      <c r="CR479" s="457"/>
      <c r="CS479" s="457"/>
      <c r="CT479" s="457"/>
      <c r="CU479" s="457"/>
      <c r="CV479" s="457"/>
      <c r="CW479" s="457"/>
      <c r="CX479" s="457"/>
      <c r="CY479" s="457"/>
      <c r="CZ479" s="457"/>
      <c r="DA479" s="457"/>
      <c r="DB479" s="457"/>
      <c r="DC479" s="457"/>
      <c r="DD479" s="457"/>
      <c r="DE479" s="457"/>
      <c r="DF479" s="457"/>
      <c r="DG479" s="457"/>
      <c r="DH479" s="457"/>
      <c r="DI479" s="457"/>
      <c r="DJ479" s="457"/>
      <c r="DK479" s="457"/>
      <c r="DL479" s="457"/>
      <c r="DM479" s="457"/>
      <c r="DN479" s="457"/>
      <c r="DO479" s="457"/>
      <c r="DP479" s="457"/>
      <c r="DQ479" s="457"/>
      <c r="DR479" s="457"/>
      <c r="DS479" s="457"/>
      <c r="DT479" s="457"/>
      <c r="DU479" s="457"/>
      <c r="DV479" s="457"/>
      <c r="DW479" s="457"/>
      <c r="DX479" s="457"/>
      <c r="DY479" s="457"/>
      <c r="DZ479" s="457"/>
      <c r="EA479" s="457"/>
      <c r="EB479" s="457"/>
      <c r="EC479" s="457"/>
      <c r="ED479" s="457"/>
      <c r="EE479" s="457"/>
      <c r="EF479" s="457"/>
      <c r="EG479" s="457"/>
      <c r="EH479" s="457"/>
      <c r="EI479" s="457"/>
      <c r="EJ479" s="457"/>
      <c r="EK479" s="457"/>
      <c r="EL479" s="457"/>
      <c r="EM479" s="457"/>
      <c r="EN479" s="457"/>
      <c r="EO479" s="457"/>
      <c r="EP479" s="457"/>
      <c r="EQ479" s="457"/>
      <c r="ER479" s="457"/>
      <c r="ES479" s="457"/>
      <c r="ET479" s="457"/>
      <c r="EU479" s="457"/>
      <c r="EV479" s="457"/>
      <c r="EW479" s="457"/>
      <c r="EX479" s="457"/>
      <c r="EY479" s="457"/>
      <c r="EZ479" s="457"/>
      <c r="FA479" s="457"/>
      <c r="FB479" s="457"/>
      <c r="FC479" s="457"/>
      <c r="FD479" s="457"/>
      <c r="FE479" s="457"/>
      <c r="FF479" s="457"/>
      <c r="FG479" s="457"/>
      <c r="FH479" s="457"/>
      <c r="FI479" s="457"/>
      <c r="FJ479" s="457"/>
      <c r="FK479" s="457"/>
      <c r="FL479" s="457"/>
      <c r="FM479" s="457"/>
      <c r="FN479" s="457"/>
      <c r="FO479" s="457"/>
      <c r="FP479" s="457"/>
      <c r="FQ479" s="457"/>
      <c r="FR479" s="457"/>
      <c r="FS479" s="457"/>
      <c r="FT479" s="457"/>
      <c r="FU479" s="457"/>
      <c r="FV479" s="457"/>
      <c r="FW479" s="457"/>
      <c r="FX479" s="457"/>
      <c r="FY479" s="457"/>
      <c r="FZ479" s="457"/>
      <c r="GA479" s="457"/>
      <c r="GB479" s="457"/>
      <c r="GC479" s="457"/>
      <c r="GD479" s="457"/>
      <c r="GE479" s="457"/>
      <c r="GF479" s="457"/>
      <c r="GG479" s="457"/>
      <c r="GH479" s="457"/>
      <c r="GI479" s="457"/>
      <c r="GJ479" s="457"/>
      <c r="GK479" s="457"/>
      <c r="GL479" s="457"/>
      <c r="GM479" s="457"/>
      <c r="GN479" s="457"/>
      <c r="GO479" s="457"/>
      <c r="GP479" s="457"/>
      <c r="GQ479" s="457"/>
      <c r="GR479" s="457"/>
      <c r="GS479" s="457"/>
      <c r="GT479" s="457"/>
      <c r="GU479" s="457"/>
      <c r="GV479" s="457"/>
      <c r="GW479" s="457"/>
      <c r="GX479" s="457"/>
      <c r="GY479" s="457"/>
      <c r="GZ479" s="457"/>
      <c r="HA479" s="457"/>
      <c r="HB479" s="457"/>
      <c r="HC479" s="457"/>
      <c r="HD479" s="457"/>
      <c r="HE479" s="457"/>
      <c r="HF479" s="457"/>
      <c r="HG479" s="457"/>
      <c r="HH479" s="457"/>
      <c r="HI479" s="457"/>
      <c r="HJ479" s="457"/>
      <c r="HK479" s="457"/>
      <c r="HL479" s="457"/>
      <c r="HM479" s="457"/>
      <c r="HN479" s="457"/>
      <c r="HO479" s="457"/>
      <c r="HP479" s="457"/>
      <c r="HQ479" s="457"/>
      <c r="HR479" s="457"/>
      <c r="HS479" s="457"/>
      <c r="HT479" s="457"/>
      <c r="HU479" s="457"/>
      <c r="HV479" s="457"/>
      <c r="HW479" s="457"/>
      <c r="HX479" s="457"/>
      <c r="HY479" s="457"/>
      <c r="HZ479" s="457"/>
      <c r="IA479" s="457"/>
      <c r="IB479" s="457"/>
      <c r="IC479" s="457"/>
      <c r="ID479" s="457"/>
      <c r="IE479" s="457"/>
      <c r="IF479" s="457"/>
      <c r="IG479" s="457"/>
      <c r="IH479" s="457"/>
      <c r="II479" s="457"/>
      <c r="IJ479" s="457"/>
      <c r="IK479" s="457"/>
      <c r="IL479" s="457"/>
      <c r="IM479" s="457"/>
      <c r="IN479" s="457"/>
      <c r="IO479" s="457"/>
      <c r="IP479" s="457"/>
      <c r="IQ479" s="457"/>
      <c r="IR479" s="457"/>
      <c r="IS479" s="457"/>
      <c r="IT479" s="457"/>
      <c r="IU479" s="457"/>
      <c r="IV479" s="457"/>
      <c r="IW479" s="457"/>
      <c r="IX479" s="457"/>
      <c r="IY479" s="457"/>
      <c r="IZ479" s="457"/>
      <c r="JA479" s="457"/>
      <c r="JB479" s="457"/>
      <c r="JC479" s="457"/>
      <c r="JD479" s="457"/>
      <c r="JE479" s="457"/>
      <c r="JF479" s="457"/>
      <c r="JG479" s="457"/>
      <c r="JH479" s="457"/>
      <c r="JI479" s="457"/>
      <c r="JJ479" s="457"/>
      <c r="JK479" s="457"/>
      <c r="JL479" s="457"/>
      <c r="JM479" s="457"/>
      <c r="JN479" s="457"/>
      <c r="JO479" s="457"/>
      <c r="JP479" s="457"/>
      <c r="JQ479" s="457"/>
      <c r="JR479" s="457"/>
      <c r="JS479" s="457"/>
      <c r="JT479" s="457"/>
      <c r="JU479" s="457"/>
      <c r="JV479" s="457"/>
      <c r="JW479" s="457"/>
      <c r="JX479" s="457"/>
      <c r="JY479" s="457"/>
      <c r="JZ479" s="457"/>
      <c r="KA479" s="457"/>
      <c r="KB479" s="457"/>
      <c r="KC479" s="457"/>
      <c r="KD479" s="457"/>
      <c r="KE479" s="457"/>
      <c r="KF479" s="457"/>
      <c r="KG479" s="457"/>
      <c r="KH479" s="457"/>
      <c r="KI479" s="457"/>
      <c r="KJ479" s="457"/>
      <c r="KK479" s="457"/>
      <c r="KL479" s="457"/>
      <c r="KM479" s="457"/>
      <c r="KN479" s="457"/>
      <c r="KO479" s="457"/>
      <c r="KP479" s="457"/>
      <c r="KQ479" s="457"/>
      <c r="KR479" s="457"/>
      <c r="KS479" s="457"/>
      <c r="KT479" s="457"/>
      <c r="KU479" s="457"/>
      <c r="KV479" s="457"/>
      <c r="KW479" s="457"/>
      <c r="KX479" s="457"/>
      <c r="KY479" s="457"/>
      <c r="KZ479" s="457"/>
      <c r="LA479" s="457"/>
      <c r="LB479" s="457"/>
      <c r="LC479" s="457"/>
      <c r="LD479" s="457"/>
      <c r="LE479" s="457"/>
      <c r="LF479" s="457"/>
      <c r="LG479" s="457"/>
      <c r="LH479" s="457"/>
      <c r="LI479" s="457"/>
      <c r="LJ479" s="457"/>
      <c r="LK479" s="457"/>
      <c r="LL479" s="457"/>
      <c r="LM479" s="457"/>
      <c r="LN479" s="457"/>
      <c r="LO479" s="457"/>
      <c r="LP479" s="457"/>
      <c r="LQ479" s="457"/>
      <c r="LR479" s="457"/>
      <c r="LS479" s="457"/>
      <c r="LT479" s="457"/>
      <c r="LU479" s="457"/>
      <c r="LV479" s="457"/>
      <c r="LW479" s="457"/>
      <c r="LX479" s="457"/>
      <c r="LY479" s="457"/>
      <c r="LZ479" s="457"/>
      <c r="MA479" s="457"/>
      <c r="MB479" s="457"/>
      <c r="MC479" s="457"/>
      <c r="MD479" s="457"/>
      <c r="ME479" s="457"/>
      <c r="MF479" s="457"/>
      <c r="MG479" s="457"/>
      <c r="MH479" s="457"/>
      <c r="MI479" s="457"/>
      <c r="MJ479" s="457"/>
      <c r="MK479" s="457"/>
      <c r="ML479" s="457"/>
      <c r="MM479" s="457"/>
      <c r="MN479" s="457"/>
      <c r="MO479" s="457"/>
      <c r="MP479" s="457"/>
      <c r="MQ479" s="457"/>
      <c r="MR479" s="457"/>
      <c r="MS479" s="457"/>
      <c r="MT479" s="457"/>
      <c r="MU479" s="457"/>
      <c r="MV479" s="457"/>
      <c r="MW479" s="457"/>
      <c r="MX479" s="457"/>
      <c r="MY479" s="457"/>
      <c r="MZ479" s="457"/>
      <c r="NA479" s="457"/>
      <c r="NB479" s="457"/>
      <c r="NC479" s="457"/>
      <c r="ND479" s="457"/>
      <c r="NE479" s="457"/>
      <c r="NF479" s="457"/>
      <c r="NG479" s="457"/>
      <c r="NH479" s="457"/>
      <c r="NI479" s="457"/>
      <c r="NJ479" s="457"/>
      <c r="NK479" s="457"/>
      <c r="NL479" s="457"/>
      <c r="NM479" s="457"/>
      <c r="NN479" s="457"/>
      <c r="NO479" s="457"/>
      <c r="NP479" s="457"/>
      <c r="NQ479" s="457"/>
      <c r="NR479" s="457"/>
      <c r="NS479" s="457"/>
      <c r="NT479" s="457"/>
      <c r="NU479" s="457"/>
      <c r="NV479" s="457"/>
      <c r="NW479" s="457"/>
      <c r="NX479" s="457"/>
      <c r="NY479" s="457"/>
      <c r="NZ479" s="457"/>
      <c r="OA479" s="457"/>
      <c r="OB479" s="457"/>
      <c r="OC479" s="457"/>
      <c r="OD479" s="457"/>
      <c r="OE479" s="457"/>
      <c r="OF479" s="457"/>
      <c r="OG479" s="457"/>
      <c r="OH479" s="457"/>
      <c r="OI479" s="457"/>
      <c r="OJ479" s="457"/>
      <c r="OK479" s="457"/>
      <c r="OL479" s="457"/>
      <c r="OM479" s="457"/>
      <c r="ON479" s="457"/>
      <c r="OO479" s="457"/>
      <c r="OP479" s="457"/>
      <c r="OQ479" s="457"/>
      <c r="OR479" s="457"/>
      <c r="OS479" s="457"/>
      <c r="OT479" s="457"/>
      <c r="OU479" s="457"/>
      <c r="OV479" s="457"/>
      <c r="OW479" s="457"/>
      <c r="OX479" s="457"/>
      <c r="OY479" s="457"/>
      <c r="OZ479" s="457"/>
      <c r="PA479" s="457"/>
      <c r="PB479" s="457"/>
      <c r="PC479" s="457"/>
      <c r="PD479" s="457"/>
      <c r="PE479" s="457"/>
      <c r="PF479" s="457"/>
      <c r="PG479" s="457"/>
      <c r="PH479" s="457"/>
      <c r="PI479" s="457"/>
      <c r="PJ479" s="457"/>
      <c r="PK479" s="457"/>
      <c r="PL479" s="457"/>
      <c r="PM479" s="457"/>
      <c r="PN479" s="457"/>
      <c r="PO479" s="457"/>
      <c r="PP479" s="457"/>
      <c r="PQ479" s="457"/>
      <c r="PR479" s="457"/>
      <c r="PS479" s="457"/>
      <c r="PT479" s="457"/>
      <c r="PU479" s="457"/>
      <c r="PV479" s="457"/>
      <c r="PW479" s="457"/>
      <c r="PX479" s="457"/>
      <c r="PY479" s="457"/>
      <c r="PZ479" s="457"/>
      <c r="QA479" s="457"/>
      <c r="QB479" s="457"/>
      <c r="QC479" s="457"/>
      <c r="QD479" s="457"/>
      <c r="QE479" s="457"/>
      <c r="QF479" s="457"/>
      <c r="QG479" s="457"/>
      <c r="QH479" s="457"/>
      <c r="QI479" s="457"/>
      <c r="QJ479" s="457"/>
      <c r="QK479" s="457"/>
      <c r="QL479" s="457"/>
      <c r="QM479" s="457"/>
      <c r="QN479" s="457"/>
      <c r="QO479" s="457"/>
      <c r="QP479" s="457"/>
      <c r="QQ479" s="457"/>
      <c r="QR479" s="457"/>
      <c r="QS479" s="457"/>
      <c r="QT479" s="457"/>
      <c r="QU479" s="457"/>
      <c r="QV479" s="457"/>
      <c r="QW479" s="457"/>
      <c r="QX479" s="457"/>
      <c r="QY479" s="457"/>
      <c r="QZ479" s="457"/>
      <c r="RA479" s="457"/>
      <c r="RB479" s="457"/>
      <c r="RC479" s="457"/>
      <c r="RD479" s="457"/>
      <c r="RE479" s="457"/>
      <c r="RF479" s="457"/>
      <c r="RG479" s="457"/>
      <c r="RH479" s="457"/>
      <c r="RI479" s="457"/>
      <c r="RJ479" s="457"/>
      <c r="RK479" s="457"/>
      <c r="RL479" s="457"/>
      <c r="RM479" s="457"/>
      <c r="RN479" s="457"/>
      <c r="RO479" s="457"/>
      <c r="RP479" s="457"/>
      <c r="RQ479" s="457"/>
      <c r="RR479" s="457"/>
      <c r="RS479" s="457"/>
      <c r="RT479" s="457"/>
      <c r="RU479" s="457"/>
      <c r="RV479" s="457"/>
      <c r="RW479" s="457"/>
      <c r="RX479" s="457"/>
      <c r="RY479" s="457"/>
      <c r="RZ479" s="457"/>
      <c r="SA479" s="457"/>
      <c r="SB479" s="457"/>
      <c r="SC479" s="457"/>
      <c r="SD479" s="457"/>
      <c r="SE479" s="457"/>
      <c r="SF479" s="457"/>
      <c r="SG479" s="457"/>
      <c r="SH479" s="457"/>
      <c r="SI479" s="457"/>
      <c r="SJ479" s="457"/>
      <c r="SK479" s="457"/>
      <c r="SL479" s="457"/>
      <c r="SM479" s="457"/>
      <c r="SN479" s="457"/>
      <c r="SO479" s="457"/>
      <c r="SP479" s="457"/>
      <c r="SQ479" s="457"/>
      <c r="SR479" s="457"/>
      <c r="SS479" s="457"/>
      <c r="ST479" s="457"/>
      <c r="SU479" s="457"/>
      <c r="SV479" s="457"/>
      <c r="SW479" s="457"/>
      <c r="SX479" s="457"/>
      <c r="SY479" s="457"/>
      <c r="SZ479" s="457"/>
      <c r="TA479" s="457"/>
      <c r="TB479" s="457"/>
      <c r="TC479" s="457"/>
      <c r="TD479" s="457"/>
      <c r="TE479" s="457"/>
      <c r="TF479" s="457"/>
      <c r="TG479" s="457"/>
      <c r="TH479" s="457"/>
      <c r="TI479" s="457"/>
      <c r="TJ479" s="457"/>
      <c r="TK479" s="457"/>
      <c r="TL479" s="457"/>
      <c r="TM479" s="457"/>
      <c r="TN479" s="457"/>
      <c r="TO479" s="457"/>
      <c r="TP479" s="457"/>
      <c r="TQ479" s="457"/>
      <c r="TR479" s="457"/>
      <c r="TS479" s="457"/>
      <c r="TT479" s="457"/>
      <c r="TU479" s="457"/>
      <c r="TV479" s="457"/>
      <c r="TW479" s="457"/>
      <c r="TX479" s="457"/>
      <c r="TY479" s="457"/>
      <c r="TZ479" s="457"/>
      <c r="UA479" s="457"/>
      <c r="UB479" s="457"/>
      <c r="UC479" s="457"/>
      <c r="UD479" s="457"/>
      <c r="UE479" s="457"/>
      <c r="UF479" s="457"/>
      <c r="UG479" s="457"/>
      <c r="UH479" s="457"/>
      <c r="UI479" s="457"/>
      <c r="UJ479" s="457"/>
      <c r="UK479" s="457"/>
      <c r="UL479" s="457"/>
      <c r="UM479" s="457"/>
      <c r="UN479" s="457"/>
      <c r="UO479" s="457"/>
      <c r="UP479" s="457"/>
      <c r="UQ479" s="457"/>
      <c r="UR479" s="457"/>
      <c r="US479" s="457"/>
      <c r="UT479" s="457"/>
      <c r="UU479" s="457"/>
      <c r="UV479" s="457"/>
      <c r="UW479" s="457"/>
      <c r="UX479" s="457"/>
      <c r="UY479" s="457"/>
      <c r="UZ479" s="457"/>
      <c r="VA479" s="457"/>
      <c r="VB479" s="457"/>
      <c r="VC479" s="457"/>
      <c r="VD479" s="457"/>
      <c r="VE479" s="457"/>
      <c r="VF479" s="457"/>
      <c r="VG479" s="457"/>
      <c r="VH479" s="457"/>
      <c r="VI479" s="457"/>
      <c r="VJ479" s="457"/>
      <c r="VK479" s="457"/>
      <c r="VL479" s="457"/>
      <c r="VM479" s="457"/>
      <c r="VN479" s="457"/>
      <c r="VO479" s="457"/>
      <c r="VP479" s="457"/>
      <c r="VQ479" s="457"/>
      <c r="VR479" s="457"/>
      <c r="VS479" s="457"/>
      <c r="VT479" s="457"/>
      <c r="VU479" s="457"/>
      <c r="VV479" s="457"/>
      <c r="VW479" s="457"/>
      <c r="VX479" s="457"/>
      <c r="VY479" s="457"/>
      <c r="VZ479" s="457"/>
      <c r="WA479" s="457"/>
      <c r="WB479" s="457"/>
      <c r="WC479" s="457"/>
      <c r="WD479" s="457"/>
      <c r="WE479" s="457"/>
      <c r="WF479" s="457"/>
      <c r="WG479" s="457"/>
      <c r="WH479" s="457"/>
      <c r="WI479" s="457"/>
      <c r="WJ479" s="457"/>
      <c r="WK479" s="457"/>
      <c r="WL479" s="457"/>
      <c r="WM479" s="457"/>
      <c r="WN479" s="457"/>
      <c r="WO479" s="457"/>
      <c r="WP479" s="457"/>
      <c r="WQ479" s="457"/>
      <c r="WR479" s="457"/>
      <c r="WS479" s="457"/>
      <c r="WT479" s="457"/>
      <c r="WU479" s="457"/>
      <c r="WV479" s="457"/>
      <c r="WW479" s="457"/>
      <c r="WX479" s="457"/>
      <c r="WY479" s="457"/>
      <c r="WZ479" s="457"/>
      <c r="XA479" s="457"/>
      <c r="XB479" s="457"/>
      <c r="XC479" s="457"/>
      <c r="XD479" s="457"/>
      <c r="XE479" s="457"/>
      <c r="XF479" s="457"/>
      <c r="XG479" s="457"/>
      <c r="XH479" s="457"/>
      <c r="XI479" s="457"/>
      <c r="XJ479" s="457"/>
      <c r="XK479" s="457"/>
      <c r="XL479" s="457"/>
      <c r="XM479" s="457"/>
      <c r="XN479" s="457"/>
      <c r="XO479" s="457"/>
      <c r="XP479" s="457"/>
      <c r="XQ479" s="457"/>
      <c r="XR479" s="457"/>
      <c r="XS479" s="457"/>
      <c r="XT479" s="457"/>
      <c r="XU479" s="457"/>
      <c r="XV479" s="457"/>
      <c r="XW479" s="457"/>
      <c r="XX479" s="457"/>
      <c r="XY479" s="457"/>
      <c r="XZ479" s="457"/>
      <c r="YA479" s="457"/>
      <c r="YB479" s="457"/>
      <c r="YC479" s="457"/>
      <c r="YD479" s="457"/>
      <c r="YE479" s="457"/>
      <c r="YF479" s="457"/>
      <c r="YG479" s="457"/>
      <c r="YH479" s="457"/>
      <c r="YI479" s="457"/>
      <c r="YJ479" s="457"/>
      <c r="YK479" s="457"/>
      <c r="YL479" s="457"/>
      <c r="YM479" s="457"/>
      <c r="YN479" s="457"/>
      <c r="YO479" s="457"/>
      <c r="YP479" s="457"/>
      <c r="YQ479" s="457"/>
      <c r="YR479" s="457"/>
      <c r="YS479" s="457"/>
      <c r="YT479" s="457"/>
      <c r="YU479" s="457"/>
      <c r="YV479" s="457"/>
      <c r="YW479" s="457"/>
      <c r="YX479" s="457"/>
      <c r="YY479" s="457"/>
      <c r="YZ479" s="457"/>
      <c r="ZA479" s="457"/>
      <c r="ZB479" s="457"/>
      <c r="ZC479" s="457"/>
      <c r="ZD479" s="457"/>
      <c r="ZE479" s="457"/>
      <c r="ZF479" s="457"/>
      <c r="ZG479" s="457"/>
      <c r="ZH479" s="457"/>
      <c r="ZI479" s="457"/>
      <c r="ZJ479" s="457"/>
      <c r="ZK479" s="457"/>
      <c r="ZL479" s="457"/>
      <c r="ZM479" s="457"/>
      <c r="ZN479" s="457"/>
      <c r="ZO479" s="457"/>
      <c r="ZP479" s="457"/>
      <c r="ZQ479" s="457"/>
      <c r="ZR479" s="457"/>
      <c r="ZS479" s="457"/>
      <c r="ZT479" s="457"/>
      <c r="ZU479" s="457"/>
      <c r="ZV479" s="457"/>
      <c r="ZW479" s="457"/>
      <c r="ZX479" s="457"/>
      <c r="ZY479" s="457"/>
      <c r="ZZ479" s="457"/>
      <c r="AAA479" s="457"/>
      <c r="AAB479" s="457"/>
      <c r="AAC479" s="457"/>
      <c r="AAD479" s="457"/>
      <c r="AAE479" s="457"/>
      <c r="AAF479" s="457"/>
      <c r="AAG479" s="457"/>
      <c r="AAH479" s="457"/>
      <c r="AAI479" s="457"/>
      <c r="AAJ479" s="457"/>
      <c r="AAK479" s="457"/>
      <c r="AAL479" s="457"/>
      <c r="AAM479" s="457"/>
      <c r="AAN479" s="457"/>
      <c r="AAO479" s="457"/>
      <c r="AAP479" s="457"/>
      <c r="AAQ479" s="457"/>
      <c r="AAR479" s="457"/>
      <c r="AAS479" s="457"/>
      <c r="AAT479" s="457"/>
      <c r="AAU479" s="457"/>
      <c r="AAV479" s="457"/>
      <c r="AAW479" s="457"/>
      <c r="AAX479" s="457"/>
      <c r="AAY479" s="457"/>
      <c r="AAZ479" s="457"/>
      <c r="ABA479" s="457"/>
      <c r="ABB479" s="457"/>
      <c r="ABC479" s="457"/>
      <c r="ABD479" s="457"/>
      <c r="ABE479" s="457"/>
      <c r="ABF479" s="457"/>
      <c r="ABG479" s="457"/>
      <c r="ABH479" s="457"/>
      <c r="ABI479" s="457"/>
      <c r="ABJ479" s="457"/>
      <c r="ABK479" s="457"/>
      <c r="ABL479" s="457"/>
      <c r="ABM479" s="457"/>
      <c r="ABN479" s="457"/>
      <c r="ABO479" s="457"/>
      <c r="ABP479" s="457"/>
      <c r="ABQ479" s="457"/>
      <c r="ABR479" s="457"/>
      <c r="ABS479" s="457"/>
      <c r="ABT479" s="457"/>
      <c r="ABU479" s="457"/>
      <c r="ABV479" s="457"/>
      <c r="ABW479" s="457"/>
      <c r="ABX479" s="457"/>
      <c r="ABY479" s="457"/>
      <c r="ABZ479" s="457"/>
      <c r="ACA479" s="457"/>
      <c r="ACB479" s="457"/>
      <c r="ACC479" s="457"/>
      <c r="ACD479" s="457"/>
      <c r="ACE479" s="457"/>
      <c r="ACF479" s="457"/>
      <c r="ACG479" s="457"/>
      <c r="ACH479" s="457"/>
      <c r="ACI479" s="457"/>
      <c r="ACJ479" s="457"/>
      <c r="ACK479" s="457"/>
      <c r="ACL479" s="457"/>
      <c r="ACM479" s="457"/>
      <c r="ACN479" s="457"/>
      <c r="ACO479" s="457"/>
      <c r="ACP479" s="457"/>
      <c r="ACQ479" s="457"/>
      <c r="ACR479" s="457"/>
      <c r="ACS479" s="457"/>
      <c r="ACT479" s="457"/>
      <c r="ACU479" s="457"/>
      <c r="ACV479" s="457"/>
    </row>
    <row r="480" spans="1:776" s="400" customFormat="1" x14ac:dyDescent="0.25">
      <c r="A480" s="470">
        <v>900195</v>
      </c>
      <c r="B480" s="237" t="s">
        <v>388</v>
      </c>
      <c r="C480" s="455"/>
      <c r="D480" s="454">
        <v>7</v>
      </c>
      <c r="E480" s="454">
        <v>1.1200000000000001</v>
      </c>
      <c r="F480" s="458">
        <v>51.1</v>
      </c>
      <c r="G480" s="454">
        <v>0</v>
      </c>
      <c r="H480" s="454">
        <v>7.0000000000000007E-2</v>
      </c>
      <c r="I480" s="456">
        <v>172.93</v>
      </c>
      <c r="J480" s="454">
        <v>31.78</v>
      </c>
      <c r="K480" s="397">
        <v>1.0000000000000001E-5</v>
      </c>
      <c r="L480" s="454">
        <v>360</v>
      </c>
      <c r="M480" s="454">
        <v>0</v>
      </c>
      <c r="N480" s="454">
        <v>5</v>
      </c>
      <c r="O480" s="454">
        <v>32.409999999999997</v>
      </c>
      <c r="P480" s="454">
        <v>106.79</v>
      </c>
      <c r="Q480" s="454">
        <v>62.46</v>
      </c>
      <c r="R480" s="397">
        <v>1.0000000000000001E-5</v>
      </c>
      <c r="S480" s="397">
        <v>1.0000000000000001E-5</v>
      </c>
      <c r="T480" s="397">
        <v>1.0000000000000001E-5</v>
      </c>
      <c r="U480" s="397">
        <v>1.0000000000000001E-5</v>
      </c>
      <c r="V480" s="454"/>
      <c r="W480" s="457"/>
      <c r="X480" s="457"/>
      <c r="Y480" s="457"/>
      <c r="Z480" s="457"/>
      <c r="AA480" s="457"/>
      <c r="AB480" s="457"/>
      <c r="AC480" s="457"/>
      <c r="AD480" s="457"/>
      <c r="AE480" s="457"/>
      <c r="AF480" s="457"/>
      <c r="AG480" s="457"/>
      <c r="AH480" s="457"/>
      <c r="AI480" s="457"/>
      <c r="AJ480" s="457"/>
      <c r="AK480" s="457"/>
      <c r="AL480" s="457"/>
      <c r="AM480" s="457"/>
      <c r="AN480" s="457"/>
      <c r="AO480" s="457"/>
      <c r="AP480" s="457"/>
      <c r="AQ480" s="457"/>
      <c r="AR480" s="457"/>
      <c r="AS480" s="457"/>
      <c r="AT480" s="457"/>
      <c r="AU480" s="457"/>
      <c r="AV480" s="457"/>
      <c r="AW480" s="457"/>
      <c r="AX480" s="457"/>
      <c r="AY480" s="457"/>
      <c r="AZ480" s="457"/>
      <c r="BA480" s="457"/>
      <c r="BB480" s="457"/>
      <c r="BC480" s="457"/>
      <c r="BD480" s="457"/>
      <c r="BE480" s="457"/>
      <c r="BF480" s="457"/>
      <c r="BG480" s="457"/>
      <c r="BH480" s="457"/>
      <c r="BI480" s="457"/>
      <c r="BJ480" s="457"/>
      <c r="BK480" s="457"/>
      <c r="BL480" s="457"/>
      <c r="BM480" s="457"/>
      <c r="BN480" s="457"/>
      <c r="BO480" s="457"/>
      <c r="BP480" s="457"/>
      <c r="BQ480" s="457"/>
      <c r="BR480" s="457"/>
      <c r="BS480" s="457"/>
      <c r="BT480" s="457"/>
      <c r="BU480" s="457"/>
      <c r="BV480" s="457"/>
      <c r="BW480" s="457"/>
      <c r="BX480" s="457"/>
      <c r="BY480" s="457"/>
      <c r="BZ480" s="457"/>
      <c r="CA480" s="457"/>
      <c r="CB480" s="457"/>
      <c r="CC480" s="457"/>
      <c r="CD480" s="457"/>
      <c r="CE480" s="457"/>
      <c r="CF480" s="457"/>
      <c r="CG480" s="457"/>
      <c r="CH480" s="457"/>
      <c r="CI480" s="457"/>
      <c r="CJ480" s="457"/>
      <c r="CK480" s="457"/>
      <c r="CL480" s="457"/>
      <c r="CM480" s="457"/>
      <c r="CN480" s="457"/>
      <c r="CO480" s="457"/>
      <c r="CP480" s="457"/>
      <c r="CQ480" s="457"/>
      <c r="CR480" s="457"/>
      <c r="CS480" s="457"/>
      <c r="CT480" s="457"/>
      <c r="CU480" s="457"/>
      <c r="CV480" s="457"/>
      <c r="CW480" s="457"/>
      <c r="CX480" s="457"/>
      <c r="CY480" s="457"/>
      <c r="CZ480" s="457"/>
      <c r="DA480" s="457"/>
      <c r="DB480" s="457"/>
      <c r="DC480" s="457"/>
      <c r="DD480" s="457"/>
      <c r="DE480" s="457"/>
      <c r="DF480" s="457"/>
      <c r="DG480" s="457"/>
      <c r="DH480" s="457"/>
      <c r="DI480" s="457"/>
      <c r="DJ480" s="457"/>
      <c r="DK480" s="457"/>
      <c r="DL480" s="457"/>
      <c r="DM480" s="457"/>
      <c r="DN480" s="457"/>
      <c r="DO480" s="457"/>
      <c r="DP480" s="457"/>
      <c r="DQ480" s="457"/>
      <c r="DR480" s="457"/>
      <c r="DS480" s="457"/>
      <c r="DT480" s="457"/>
      <c r="DU480" s="457"/>
      <c r="DV480" s="457"/>
      <c r="DW480" s="457"/>
      <c r="DX480" s="457"/>
      <c r="DY480" s="457"/>
      <c r="DZ480" s="457"/>
      <c r="EA480" s="457"/>
      <c r="EB480" s="457"/>
      <c r="EC480" s="457"/>
      <c r="ED480" s="457"/>
      <c r="EE480" s="457"/>
      <c r="EF480" s="457"/>
      <c r="EG480" s="457"/>
      <c r="EH480" s="457"/>
      <c r="EI480" s="457"/>
      <c r="EJ480" s="457"/>
      <c r="EK480" s="457"/>
      <c r="EL480" s="457"/>
      <c r="EM480" s="457"/>
      <c r="EN480" s="457"/>
      <c r="EO480" s="457"/>
      <c r="EP480" s="457"/>
      <c r="EQ480" s="457"/>
      <c r="ER480" s="457"/>
      <c r="ES480" s="457"/>
      <c r="ET480" s="457"/>
      <c r="EU480" s="457"/>
      <c r="EV480" s="457"/>
      <c r="EW480" s="457"/>
      <c r="EX480" s="457"/>
      <c r="EY480" s="457"/>
      <c r="EZ480" s="457"/>
      <c r="FA480" s="457"/>
      <c r="FB480" s="457"/>
      <c r="FC480" s="457"/>
      <c r="FD480" s="457"/>
      <c r="FE480" s="457"/>
      <c r="FF480" s="457"/>
      <c r="FG480" s="457"/>
      <c r="FH480" s="457"/>
      <c r="FI480" s="457"/>
      <c r="FJ480" s="457"/>
      <c r="FK480" s="457"/>
      <c r="FL480" s="457"/>
      <c r="FM480" s="457"/>
      <c r="FN480" s="457"/>
      <c r="FO480" s="457"/>
      <c r="FP480" s="457"/>
      <c r="FQ480" s="457"/>
      <c r="FR480" s="457"/>
      <c r="FS480" s="457"/>
      <c r="FT480" s="457"/>
      <c r="FU480" s="457"/>
      <c r="FV480" s="457"/>
      <c r="FW480" s="457"/>
      <c r="FX480" s="457"/>
      <c r="FY480" s="457"/>
      <c r="FZ480" s="457"/>
      <c r="GA480" s="457"/>
      <c r="GB480" s="457"/>
      <c r="GC480" s="457"/>
      <c r="GD480" s="457"/>
      <c r="GE480" s="457"/>
      <c r="GF480" s="457"/>
      <c r="GG480" s="457"/>
      <c r="GH480" s="457"/>
      <c r="GI480" s="457"/>
      <c r="GJ480" s="457"/>
      <c r="GK480" s="457"/>
      <c r="GL480" s="457"/>
      <c r="GM480" s="457"/>
      <c r="GN480" s="457"/>
      <c r="GO480" s="457"/>
      <c r="GP480" s="457"/>
      <c r="GQ480" s="457"/>
      <c r="GR480" s="457"/>
      <c r="GS480" s="457"/>
      <c r="GT480" s="457"/>
      <c r="GU480" s="457"/>
      <c r="GV480" s="457"/>
      <c r="GW480" s="457"/>
      <c r="GX480" s="457"/>
      <c r="GY480" s="457"/>
      <c r="GZ480" s="457"/>
      <c r="HA480" s="457"/>
      <c r="HB480" s="457"/>
      <c r="HC480" s="457"/>
      <c r="HD480" s="457"/>
      <c r="HE480" s="457"/>
      <c r="HF480" s="457"/>
      <c r="HG480" s="457"/>
      <c r="HH480" s="457"/>
      <c r="HI480" s="457"/>
      <c r="HJ480" s="457"/>
      <c r="HK480" s="457"/>
      <c r="HL480" s="457"/>
      <c r="HM480" s="457"/>
      <c r="HN480" s="457"/>
      <c r="HO480" s="457"/>
      <c r="HP480" s="457"/>
      <c r="HQ480" s="457"/>
      <c r="HR480" s="457"/>
      <c r="HS480" s="457"/>
      <c r="HT480" s="457"/>
      <c r="HU480" s="457"/>
      <c r="HV480" s="457"/>
      <c r="HW480" s="457"/>
      <c r="HX480" s="457"/>
      <c r="HY480" s="457"/>
      <c r="HZ480" s="457"/>
      <c r="IA480" s="457"/>
      <c r="IB480" s="457"/>
      <c r="IC480" s="457"/>
      <c r="ID480" s="457"/>
      <c r="IE480" s="457"/>
      <c r="IF480" s="457"/>
      <c r="IG480" s="457"/>
      <c r="IH480" s="457"/>
      <c r="II480" s="457"/>
      <c r="IJ480" s="457"/>
      <c r="IK480" s="457"/>
      <c r="IL480" s="457"/>
      <c r="IM480" s="457"/>
      <c r="IN480" s="457"/>
      <c r="IO480" s="457"/>
      <c r="IP480" s="457"/>
      <c r="IQ480" s="457"/>
      <c r="IR480" s="457"/>
      <c r="IS480" s="457"/>
      <c r="IT480" s="457"/>
      <c r="IU480" s="457"/>
      <c r="IV480" s="457"/>
      <c r="IW480" s="457"/>
      <c r="IX480" s="457"/>
      <c r="IY480" s="457"/>
      <c r="IZ480" s="457"/>
      <c r="JA480" s="457"/>
      <c r="JB480" s="457"/>
      <c r="JC480" s="457"/>
      <c r="JD480" s="457"/>
      <c r="JE480" s="457"/>
      <c r="JF480" s="457"/>
      <c r="JG480" s="457"/>
      <c r="JH480" s="457"/>
      <c r="JI480" s="457"/>
      <c r="JJ480" s="457"/>
      <c r="JK480" s="457"/>
      <c r="JL480" s="457"/>
      <c r="JM480" s="457"/>
      <c r="JN480" s="457"/>
      <c r="JO480" s="457"/>
      <c r="JP480" s="457"/>
      <c r="JQ480" s="457"/>
      <c r="JR480" s="457"/>
      <c r="JS480" s="457"/>
      <c r="JT480" s="457"/>
      <c r="JU480" s="457"/>
      <c r="JV480" s="457"/>
      <c r="JW480" s="457"/>
      <c r="JX480" s="457"/>
      <c r="JY480" s="457"/>
      <c r="JZ480" s="457"/>
      <c r="KA480" s="457"/>
      <c r="KB480" s="457"/>
      <c r="KC480" s="457"/>
      <c r="KD480" s="457"/>
      <c r="KE480" s="457"/>
      <c r="KF480" s="457"/>
      <c r="KG480" s="457"/>
      <c r="KH480" s="457"/>
      <c r="KI480" s="457"/>
      <c r="KJ480" s="457"/>
      <c r="KK480" s="457"/>
      <c r="KL480" s="457"/>
      <c r="KM480" s="457"/>
      <c r="KN480" s="457"/>
      <c r="KO480" s="457"/>
      <c r="KP480" s="457"/>
      <c r="KQ480" s="457"/>
      <c r="KR480" s="457"/>
      <c r="KS480" s="457"/>
      <c r="KT480" s="457"/>
      <c r="KU480" s="457"/>
      <c r="KV480" s="457"/>
      <c r="KW480" s="457"/>
      <c r="KX480" s="457"/>
      <c r="KY480" s="457"/>
      <c r="KZ480" s="457"/>
      <c r="LA480" s="457"/>
      <c r="LB480" s="457"/>
      <c r="LC480" s="457"/>
      <c r="LD480" s="457"/>
      <c r="LE480" s="457"/>
      <c r="LF480" s="457"/>
      <c r="LG480" s="457"/>
      <c r="LH480" s="457"/>
      <c r="LI480" s="457"/>
      <c r="LJ480" s="457"/>
      <c r="LK480" s="457"/>
      <c r="LL480" s="457"/>
      <c r="LM480" s="457"/>
      <c r="LN480" s="457"/>
      <c r="LO480" s="457"/>
      <c r="LP480" s="457"/>
      <c r="LQ480" s="457"/>
      <c r="LR480" s="457"/>
      <c r="LS480" s="457"/>
      <c r="LT480" s="457"/>
      <c r="LU480" s="457"/>
      <c r="LV480" s="457"/>
      <c r="LW480" s="457"/>
      <c r="LX480" s="457"/>
      <c r="LY480" s="457"/>
      <c r="LZ480" s="457"/>
      <c r="MA480" s="457"/>
      <c r="MB480" s="457"/>
      <c r="MC480" s="457"/>
      <c r="MD480" s="457"/>
      <c r="ME480" s="457"/>
      <c r="MF480" s="457"/>
      <c r="MG480" s="457"/>
      <c r="MH480" s="457"/>
      <c r="MI480" s="457"/>
      <c r="MJ480" s="457"/>
      <c r="MK480" s="457"/>
      <c r="ML480" s="457"/>
      <c r="MM480" s="457"/>
      <c r="MN480" s="457"/>
      <c r="MO480" s="457"/>
      <c r="MP480" s="457"/>
      <c r="MQ480" s="457"/>
      <c r="MR480" s="457"/>
      <c r="MS480" s="457"/>
      <c r="MT480" s="457"/>
      <c r="MU480" s="457"/>
      <c r="MV480" s="457"/>
      <c r="MW480" s="457"/>
      <c r="MX480" s="457"/>
      <c r="MY480" s="457"/>
      <c r="MZ480" s="457"/>
      <c r="NA480" s="457"/>
      <c r="NB480" s="457"/>
      <c r="NC480" s="457"/>
      <c r="ND480" s="457"/>
      <c r="NE480" s="457"/>
      <c r="NF480" s="457"/>
      <c r="NG480" s="457"/>
      <c r="NH480" s="457"/>
      <c r="NI480" s="457"/>
      <c r="NJ480" s="457"/>
      <c r="NK480" s="457"/>
      <c r="NL480" s="457"/>
      <c r="NM480" s="457"/>
      <c r="NN480" s="457"/>
      <c r="NO480" s="457"/>
      <c r="NP480" s="457"/>
      <c r="NQ480" s="457"/>
      <c r="NR480" s="457"/>
      <c r="NS480" s="457"/>
      <c r="NT480" s="457"/>
      <c r="NU480" s="457"/>
      <c r="NV480" s="457"/>
      <c r="NW480" s="457"/>
      <c r="NX480" s="457"/>
      <c r="NY480" s="457"/>
      <c r="NZ480" s="457"/>
      <c r="OA480" s="457"/>
      <c r="OB480" s="457"/>
      <c r="OC480" s="457"/>
      <c r="OD480" s="457"/>
      <c r="OE480" s="457"/>
      <c r="OF480" s="457"/>
      <c r="OG480" s="457"/>
      <c r="OH480" s="457"/>
      <c r="OI480" s="457"/>
      <c r="OJ480" s="457"/>
      <c r="OK480" s="457"/>
      <c r="OL480" s="457"/>
      <c r="OM480" s="457"/>
      <c r="ON480" s="457"/>
      <c r="OO480" s="457"/>
      <c r="OP480" s="457"/>
      <c r="OQ480" s="457"/>
      <c r="OR480" s="457"/>
      <c r="OS480" s="457"/>
      <c r="OT480" s="457"/>
      <c r="OU480" s="457"/>
      <c r="OV480" s="457"/>
      <c r="OW480" s="457"/>
      <c r="OX480" s="457"/>
      <c r="OY480" s="457"/>
      <c r="OZ480" s="457"/>
      <c r="PA480" s="457"/>
      <c r="PB480" s="457"/>
      <c r="PC480" s="457"/>
      <c r="PD480" s="457"/>
      <c r="PE480" s="457"/>
      <c r="PF480" s="457"/>
      <c r="PG480" s="457"/>
      <c r="PH480" s="457"/>
      <c r="PI480" s="457"/>
      <c r="PJ480" s="457"/>
      <c r="PK480" s="457"/>
      <c r="PL480" s="457"/>
      <c r="PM480" s="457"/>
      <c r="PN480" s="457"/>
      <c r="PO480" s="457"/>
      <c r="PP480" s="457"/>
      <c r="PQ480" s="457"/>
      <c r="PR480" s="457"/>
      <c r="PS480" s="457"/>
      <c r="PT480" s="457"/>
      <c r="PU480" s="457"/>
      <c r="PV480" s="457"/>
      <c r="PW480" s="457"/>
      <c r="PX480" s="457"/>
      <c r="PY480" s="457"/>
      <c r="PZ480" s="457"/>
      <c r="QA480" s="457"/>
      <c r="QB480" s="457"/>
      <c r="QC480" s="457"/>
      <c r="QD480" s="457"/>
      <c r="QE480" s="457"/>
      <c r="QF480" s="457"/>
      <c r="QG480" s="457"/>
      <c r="QH480" s="457"/>
      <c r="QI480" s="457"/>
      <c r="QJ480" s="457"/>
      <c r="QK480" s="457"/>
      <c r="QL480" s="457"/>
      <c r="QM480" s="457"/>
      <c r="QN480" s="457"/>
      <c r="QO480" s="457"/>
      <c r="QP480" s="457"/>
      <c r="QQ480" s="457"/>
      <c r="QR480" s="457"/>
      <c r="QS480" s="457"/>
      <c r="QT480" s="457"/>
      <c r="QU480" s="457"/>
      <c r="QV480" s="457"/>
      <c r="QW480" s="457"/>
      <c r="QX480" s="457"/>
      <c r="QY480" s="457"/>
      <c r="QZ480" s="457"/>
      <c r="RA480" s="457"/>
      <c r="RB480" s="457"/>
      <c r="RC480" s="457"/>
      <c r="RD480" s="457"/>
      <c r="RE480" s="457"/>
      <c r="RF480" s="457"/>
      <c r="RG480" s="457"/>
      <c r="RH480" s="457"/>
      <c r="RI480" s="457"/>
      <c r="RJ480" s="457"/>
      <c r="RK480" s="457"/>
      <c r="RL480" s="457"/>
      <c r="RM480" s="457"/>
      <c r="RN480" s="457"/>
      <c r="RO480" s="457"/>
      <c r="RP480" s="457"/>
      <c r="RQ480" s="457"/>
      <c r="RR480" s="457"/>
      <c r="RS480" s="457"/>
      <c r="RT480" s="457"/>
      <c r="RU480" s="457"/>
      <c r="RV480" s="457"/>
      <c r="RW480" s="457"/>
      <c r="RX480" s="457"/>
      <c r="RY480" s="457"/>
      <c r="RZ480" s="457"/>
      <c r="SA480" s="457"/>
      <c r="SB480" s="457"/>
      <c r="SC480" s="457"/>
      <c r="SD480" s="457"/>
      <c r="SE480" s="457"/>
      <c r="SF480" s="457"/>
      <c r="SG480" s="457"/>
      <c r="SH480" s="457"/>
      <c r="SI480" s="457"/>
      <c r="SJ480" s="457"/>
      <c r="SK480" s="457"/>
      <c r="SL480" s="457"/>
      <c r="SM480" s="457"/>
      <c r="SN480" s="457"/>
      <c r="SO480" s="457"/>
      <c r="SP480" s="457"/>
      <c r="SQ480" s="457"/>
      <c r="SR480" s="457"/>
      <c r="SS480" s="457"/>
      <c r="ST480" s="457"/>
      <c r="SU480" s="457"/>
      <c r="SV480" s="457"/>
      <c r="SW480" s="457"/>
      <c r="SX480" s="457"/>
      <c r="SY480" s="457"/>
      <c r="SZ480" s="457"/>
      <c r="TA480" s="457"/>
      <c r="TB480" s="457"/>
      <c r="TC480" s="457"/>
      <c r="TD480" s="457"/>
      <c r="TE480" s="457"/>
      <c r="TF480" s="457"/>
      <c r="TG480" s="457"/>
      <c r="TH480" s="457"/>
      <c r="TI480" s="457"/>
      <c r="TJ480" s="457"/>
      <c r="TK480" s="457"/>
      <c r="TL480" s="457"/>
      <c r="TM480" s="457"/>
      <c r="TN480" s="457"/>
      <c r="TO480" s="457"/>
      <c r="TP480" s="457"/>
      <c r="TQ480" s="457"/>
      <c r="TR480" s="457"/>
      <c r="TS480" s="457"/>
      <c r="TT480" s="457"/>
      <c r="TU480" s="457"/>
      <c r="TV480" s="457"/>
      <c r="TW480" s="457"/>
      <c r="TX480" s="457"/>
      <c r="TY480" s="457"/>
      <c r="TZ480" s="457"/>
      <c r="UA480" s="457"/>
      <c r="UB480" s="457"/>
      <c r="UC480" s="457"/>
      <c r="UD480" s="457"/>
      <c r="UE480" s="457"/>
      <c r="UF480" s="457"/>
      <c r="UG480" s="457"/>
      <c r="UH480" s="457"/>
      <c r="UI480" s="457"/>
      <c r="UJ480" s="457"/>
      <c r="UK480" s="457"/>
      <c r="UL480" s="457"/>
      <c r="UM480" s="457"/>
      <c r="UN480" s="457"/>
      <c r="UO480" s="457"/>
      <c r="UP480" s="457"/>
      <c r="UQ480" s="457"/>
      <c r="UR480" s="457"/>
      <c r="US480" s="457"/>
      <c r="UT480" s="457"/>
      <c r="UU480" s="457"/>
      <c r="UV480" s="457"/>
      <c r="UW480" s="457"/>
      <c r="UX480" s="457"/>
      <c r="UY480" s="457"/>
      <c r="UZ480" s="457"/>
      <c r="VA480" s="457"/>
      <c r="VB480" s="457"/>
      <c r="VC480" s="457"/>
      <c r="VD480" s="457"/>
      <c r="VE480" s="457"/>
      <c r="VF480" s="457"/>
      <c r="VG480" s="457"/>
      <c r="VH480" s="457"/>
      <c r="VI480" s="457"/>
      <c r="VJ480" s="457"/>
      <c r="VK480" s="457"/>
      <c r="VL480" s="457"/>
      <c r="VM480" s="457"/>
      <c r="VN480" s="457"/>
      <c r="VO480" s="457"/>
      <c r="VP480" s="457"/>
      <c r="VQ480" s="457"/>
      <c r="VR480" s="457"/>
      <c r="VS480" s="457"/>
      <c r="VT480" s="457"/>
      <c r="VU480" s="457"/>
      <c r="VV480" s="457"/>
      <c r="VW480" s="457"/>
      <c r="VX480" s="457"/>
      <c r="VY480" s="457"/>
      <c r="VZ480" s="457"/>
      <c r="WA480" s="457"/>
      <c r="WB480" s="457"/>
      <c r="WC480" s="457"/>
      <c r="WD480" s="457"/>
      <c r="WE480" s="457"/>
      <c r="WF480" s="457"/>
      <c r="WG480" s="457"/>
      <c r="WH480" s="457"/>
      <c r="WI480" s="457"/>
      <c r="WJ480" s="457"/>
      <c r="WK480" s="457"/>
      <c r="WL480" s="457"/>
      <c r="WM480" s="457"/>
      <c r="WN480" s="457"/>
      <c r="WO480" s="457"/>
      <c r="WP480" s="457"/>
      <c r="WQ480" s="457"/>
      <c r="WR480" s="457"/>
      <c r="WS480" s="457"/>
      <c r="WT480" s="457"/>
      <c r="WU480" s="457"/>
      <c r="WV480" s="457"/>
      <c r="WW480" s="457"/>
      <c r="WX480" s="457"/>
      <c r="WY480" s="457"/>
      <c r="WZ480" s="457"/>
      <c r="XA480" s="457"/>
      <c r="XB480" s="457"/>
      <c r="XC480" s="457"/>
      <c r="XD480" s="457"/>
      <c r="XE480" s="457"/>
      <c r="XF480" s="457"/>
      <c r="XG480" s="457"/>
      <c r="XH480" s="457"/>
      <c r="XI480" s="457"/>
      <c r="XJ480" s="457"/>
      <c r="XK480" s="457"/>
      <c r="XL480" s="457"/>
      <c r="XM480" s="457"/>
      <c r="XN480" s="457"/>
      <c r="XO480" s="457"/>
      <c r="XP480" s="457"/>
      <c r="XQ480" s="457"/>
      <c r="XR480" s="457"/>
      <c r="XS480" s="457"/>
      <c r="XT480" s="457"/>
      <c r="XU480" s="457"/>
      <c r="XV480" s="457"/>
      <c r="XW480" s="457"/>
      <c r="XX480" s="457"/>
      <c r="XY480" s="457"/>
      <c r="XZ480" s="457"/>
      <c r="YA480" s="457"/>
      <c r="YB480" s="457"/>
      <c r="YC480" s="457"/>
      <c r="YD480" s="457"/>
      <c r="YE480" s="457"/>
      <c r="YF480" s="457"/>
      <c r="YG480" s="457"/>
      <c r="YH480" s="457"/>
      <c r="YI480" s="457"/>
      <c r="YJ480" s="457"/>
      <c r="YK480" s="457"/>
      <c r="YL480" s="457"/>
      <c r="YM480" s="457"/>
      <c r="YN480" s="457"/>
      <c r="YO480" s="457"/>
      <c r="YP480" s="457"/>
      <c r="YQ480" s="457"/>
      <c r="YR480" s="457"/>
      <c r="YS480" s="457"/>
      <c r="YT480" s="457"/>
      <c r="YU480" s="457"/>
      <c r="YV480" s="457"/>
      <c r="YW480" s="457"/>
      <c r="YX480" s="457"/>
      <c r="YY480" s="457"/>
      <c r="YZ480" s="457"/>
      <c r="ZA480" s="457"/>
      <c r="ZB480" s="457"/>
      <c r="ZC480" s="457"/>
      <c r="ZD480" s="457"/>
      <c r="ZE480" s="457"/>
      <c r="ZF480" s="457"/>
      <c r="ZG480" s="457"/>
      <c r="ZH480" s="457"/>
      <c r="ZI480" s="457"/>
      <c r="ZJ480" s="457"/>
      <c r="ZK480" s="457"/>
      <c r="ZL480" s="457"/>
      <c r="ZM480" s="457"/>
      <c r="ZN480" s="457"/>
      <c r="ZO480" s="457"/>
      <c r="ZP480" s="457"/>
      <c r="ZQ480" s="457"/>
      <c r="ZR480" s="457"/>
      <c r="ZS480" s="457"/>
      <c r="ZT480" s="457"/>
      <c r="ZU480" s="457"/>
      <c r="ZV480" s="457"/>
      <c r="ZW480" s="457"/>
      <c r="ZX480" s="457"/>
      <c r="ZY480" s="457"/>
      <c r="ZZ480" s="457"/>
      <c r="AAA480" s="457"/>
      <c r="AAB480" s="457"/>
      <c r="AAC480" s="457"/>
      <c r="AAD480" s="457"/>
      <c r="AAE480" s="457"/>
      <c r="AAF480" s="457"/>
      <c r="AAG480" s="457"/>
      <c r="AAH480" s="457"/>
      <c r="AAI480" s="457"/>
      <c r="AAJ480" s="457"/>
      <c r="AAK480" s="457"/>
      <c r="AAL480" s="457"/>
      <c r="AAM480" s="457"/>
      <c r="AAN480" s="457"/>
      <c r="AAO480" s="457"/>
      <c r="AAP480" s="457"/>
      <c r="AAQ480" s="457"/>
      <c r="AAR480" s="457"/>
      <c r="AAS480" s="457"/>
      <c r="AAT480" s="457"/>
      <c r="AAU480" s="457"/>
      <c r="AAV480" s="457"/>
      <c r="AAW480" s="457"/>
      <c r="AAX480" s="457"/>
      <c r="AAY480" s="457"/>
      <c r="AAZ480" s="457"/>
      <c r="ABA480" s="457"/>
      <c r="ABB480" s="457"/>
      <c r="ABC480" s="457"/>
      <c r="ABD480" s="457"/>
      <c r="ABE480" s="457"/>
      <c r="ABF480" s="457"/>
      <c r="ABG480" s="457"/>
      <c r="ABH480" s="457"/>
      <c r="ABI480" s="457"/>
      <c r="ABJ480" s="457"/>
      <c r="ABK480" s="457"/>
      <c r="ABL480" s="457"/>
      <c r="ABM480" s="457"/>
      <c r="ABN480" s="457"/>
      <c r="ABO480" s="457"/>
      <c r="ABP480" s="457"/>
      <c r="ABQ480" s="457"/>
      <c r="ABR480" s="457"/>
      <c r="ABS480" s="457"/>
      <c r="ABT480" s="457"/>
      <c r="ABU480" s="457"/>
      <c r="ABV480" s="457"/>
      <c r="ABW480" s="457"/>
      <c r="ABX480" s="457"/>
      <c r="ABY480" s="457"/>
      <c r="ABZ480" s="457"/>
      <c r="ACA480" s="457"/>
      <c r="ACB480" s="457"/>
      <c r="ACC480" s="457"/>
      <c r="ACD480" s="457"/>
      <c r="ACE480" s="457"/>
      <c r="ACF480" s="457"/>
      <c r="ACG480" s="457"/>
      <c r="ACH480" s="457"/>
      <c r="ACI480" s="457"/>
      <c r="ACJ480" s="457"/>
      <c r="ACK480" s="457"/>
      <c r="ACL480" s="457"/>
      <c r="ACM480" s="457"/>
      <c r="ACN480" s="457"/>
      <c r="ACO480" s="457"/>
      <c r="ACP480" s="457"/>
      <c r="ACQ480" s="457"/>
      <c r="ACR480" s="457"/>
      <c r="ACS480" s="457"/>
      <c r="ACT480" s="457"/>
      <c r="ACU480" s="457"/>
      <c r="ACV480" s="457"/>
    </row>
    <row r="481" spans="1:776" s="400" customFormat="1" x14ac:dyDescent="0.25">
      <c r="A481" s="470">
        <v>900196</v>
      </c>
      <c r="B481" s="237" t="s">
        <v>389</v>
      </c>
      <c r="C481" s="455"/>
      <c r="D481" s="454" t="s">
        <v>151</v>
      </c>
      <c r="E481" s="458">
        <v>2</v>
      </c>
      <c r="F481" s="458">
        <v>2.4</v>
      </c>
      <c r="G481" s="454">
        <v>0</v>
      </c>
      <c r="H481" s="454">
        <v>0.09</v>
      </c>
      <c r="I481" s="456">
        <v>478.2</v>
      </c>
      <c r="J481" s="454">
        <v>94.47</v>
      </c>
      <c r="K481" s="397">
        <v>1.0000000000000001E-5</v>
      </c>
      <c r="L481" s="454">
        <v>228</v>
      </c>
      <c r="M481" s="454">
        <v>0</v>
      </c>
      <c r="N481" s="454">
        <v>1.52</v>
      </c>
      <c r="O481" s="454">
        <v>294.29000000000002</v>
      </c>
      <c r="P481" s="454">
        <v>48.37</v>
      </c>
      <c r="Q481" s="454">
        <v>40.39</v>
      </c>
      <c r="R481" s="397">
        <v>1.0000000000000001E-5</v>
      </c>
      <c r="S481" s="397">
        <v>1.0000000000000001E-5</v>
      </c>
      <c r="T481" s="397">
        <v>1.0000000000000001E-5</v>
      </c>
      <c r="U481" s="454">
        <v>0.09</v>
      </c>
      <c r="V481" s="454"/>
      <c r="W481" s="457"/>
      <c r="X481" s="457"/>
      <c r="Y481" s="457"/>
      <c r="Z481" s="457"/>
      <c r="AA481" s="457"/>
      <c r="AB481" s="457"/>
      <c r="AC481" s="457"/>
      <c r="AD481" s="457"/>
      <c r="AE481" s="457"/>
      <c r="AF481" s="457"/>
      <c r="AG481" s="457"/>
      <c r="AH481" s="457"/>
      <c r="AI481" s="457"/>
      <c r="AJ481" s="457"/>
      <c r="AK481" s="457"/>
      <c r="AL481" s="457"/>
      <c r="AM481" s="457"/>
      <c r="AN481" s="457"/>
      <c r="AO481" s="457"/>
      <c r="AP481" s="457"/>
      <c r="AQ481" s="457"/>
      <c r="AR481" s="457"/>
      <c r="AS481" s="457"/>
      <c r="AT481" s="457"/>
      <c r="AU481" s="457"/>
      <c r="AV481" s="457"/>
      <c r="AW481" s="457"/>
      <c r="AX481" s="457"/>
      <c r="AY481" s="457"/>
      <c r="AZ481" s="457"/>
      <c r="BA481" s="457"/>
      <c r="BB481" s="457"/>
      <c r="BC481" s="457"/>
      <c r="BD481" s="457"/>
      <c r="BE481" s="457"/>
      <c r="BF481" s="457"/>
      <c r="BG481" s="457"/>
      <c r="BH481" s="457"/>
      <c r="BI481" s="457"/>
      <c r="BJ481" s="457"/>
      <c r="BK481" s="457"/>
      <c r="BL481" s="457"/>
      <c r="BM481" s="457"/>
      <c r="BN481" s="457"/>
      <c r="BO481" s="457"/>
      <c r="BP481" s="457"/>
      <c r="BQ481" s="457"/>
      <c r="BR481" s="457"/>
      <c r="BS481" s="457"/>
      <c r="BT481" s="457"/>
      <c r="BU481" s="457"/>
      <c r="BV481" s="457"/>
      <c r="BW481" s="457"/>
      <c r="BX481" s="457"/>
      <c r="BY481" s="457"/>
      <c r="BZ481" s="457"/>
      <c r="CA481" s="457"/>
      <c r="CB481" s="457"/>
      <c r="CC481" s="457"/>
      <c r="CD481" s="457"/>
      <c r="CE481" s="457"/>
      <c r="CF481" s="457"/>
      <c r="CG481" s="457"/>
      <c r="CH481" s="457"/>
      <c r="CI481" s="457"/>
      <c r="CJ481" s="457"/>
      <c r="CK481" s="457"/>
      <c r="CL481" s="457"/>
      <c r="CM481" s="457"/>
      <c r="CN481" s="457"/>
      <c r="CO481" s="457"/>
      <c r="CP481" s="457"/>
      <c r="CQ481" s="457"/>
      <c r="CR481" s="457"/>
      <c r="CS481" s="457"/>
      <c r="CT481" s="457"/>
      <c r="CU481" s="457"/>
      <c r="CV481" s="457"/>
      <c r="CW481" s="457"/>
      <c r="CX481" s="457"/>
      <c r="CY481" s="457"/>
      <c r="CZ481" s="457"/>
      <c r="DA481" s="457"/>
      <c r="DB481" s="457"/>
      <c r="DC481" s="457"/>
      <c r="DD481" s="457"/>
      <c r="DE481" s="457"/>
      <c r="DF481" s="457"/>
      <c r="DG481" s="457"/>
      <c r="DH481" s="457"/>
      <c r="DI481" s="457"/>
      <c r="DJ481" s="457"/>
      <c r="DK481" s="457"/>
      <c r="DL481" s="457"/>
      <c r="DM481" s="457"/>
      <c r="DN481" s="457"/>
      <c r="DO481" s="457"/>
      <c r="DP481" s="457"/>
      <c r="DQ481" s="457"/>
      <c r="DR481" s="457"/>
      <c r="DS481" s="457"/>
      <c r="DT481" s="457"/>
      <c r="DU481" s="457"/>
      <c r="DV481" s="457"/>
      <c r="DW481" s="457"/>
      <c r="DX481" s="457"/>
      <c r="DY481" s="457"/>
      <c r="DZ481" s="457"/>
      <c r="EA481" s="457"/>
      <c r="EB481" s="457"/>
      <c r="EC481" s="457"/>
      <c r="ED481" s="457"/>
      <c r="EE481" s="457"/>
      <c r="EF481" s="457"/>
      <c r="EG481" s="457"/>
      <c r="EH481" s="457"/>
      <c r="EI481" s="457"/>
      <c r="EJ481" s="457"/>
      <c r="EK481" s="457"/>
      <c r="EL481" s="457"/>
      <c r="EM481" s="457"/>
      <c r="EN481" s="457"/>
      <c r="EO481" s="457"/>
      <c r="EP481" s="457"/>
      <c r="EQ481" s="457"/>
      <c r="ER481" s="457"/>
      <c r="ES481" s="457"/>
      <c r="ET481" s="457"/>
      <c r="EU481" s="457"/>
      <c r="EV481" s="457"/>
      <c r="EW481" s="457"/>
      <c r="EX481" s="457"/>
      <c r="EY481" s="457"/>
      <c r="EZ481" s="457"/>
      <c r="FA481" s="457"/>
      <c r="FB481" s="457"/>
      <c r="FC481" s="457"/>
      <c r="FD481" s="457"/>
      <c r="FE481" s="457"/>
      <c r="FF481" s="457"/>
      <c r="FG481" s="457"/>
      <c r="FH481" s="457"/>
      <c r="FI481" s="457"/>
      <c r="FJ481" s="457"/>
      <c r="FK481" s="457"/>
      <c r="FL481" s="457"/>
      <c r="FM481" s="457"/>
      <c r="FN481" s="457"/>
      <c r="FO481" s="457"/>
      <c r="FP481" s="457"/>
      <c r="FQ481" s="457"/>
      <c r="FR481" s="457"/>
      <c r="FS481" s="457"/>
      <c r="FT481" s="457"/>
      <c r="FU481" s="457"/>
      <c r="FV481" s="457"/>
      <c r="FW481" s="457"/>
      <c r="FX481" s="457"/>
      <c r="FY481" s="457"/>
      <c r="FZ481" s="457"/>
      <c r="GA481" s="457"/>
      <c r="GB481" s="457"/>
      <c r="GC481" s="457"/>
      <c r="GD481" s="457"/>
      <c r="GE481" s="457"/>
      <c r="GF481" s="457"/>
      <c r="GG481" s="457"/>
      <c r="GH481" s="457"/>
      <c r="GI481" s="457"/>
      <c r="GJ481" s="457"/>
      <c r="GK481" s="457"/>
      <c r="GL481" s="457"/>
      <c r="GM481" s="457"/>
      <c r="GN481" s="457"/>
      <c r="GO481" s="457"/>
      <c r="GP481" s="457"/>
      <c r="GQ481" s="457"/>
      <c r="GR481" s="457"/>
      <c r="GS481" s="457"/>
      <c r="GT481" s="457"/>
      <c r="GU481" s="457"/>
      <c r="GV481" s="457"/>
      <c r="GW481" s="457"/>
      <c r="GX481" s="457"/>
      <c r="GY481" s="457"/>
      <c r="GZ481" s="457"/>
      <c r="HA481" s="457"/>
      <c r="HB481" s="457"/>
      <c r="HC481" s="457"/>
      <c r="HD481" s="457"/>
      <c r="HE481" s="457"/>
      <c r="HF481" s="457"/>
      <c r="HG481" s="457"/>
      <c r="HH481" s="457"/>
      <c r="HI481" s="457"/>
      <c r="HJ481" s="457"/>
      <c r="HK481" s="457"/>
      <c r="HL481" s="457"/>
      <c r="HM481" s="457"/>
      <c r="HN481" s="457"/>
      <c r="HO481" s="457"/>
      <c r="HP481" s="457"/>
      <c r="HQ481" s="457"/>
      <c r="HR481" s="457"/>
      <c r="HS481" s="457"/>
      <c r="HT481" s="457"/>
      <c r="HU481" s="457"/>
      <c r="HV481" s="457"/>
      <c r="HW481" s="457"/>
      <c r="HX481" s="457"/>
      <c r="HY481" s="457"/>
      <c r="HZ481" s="457"/>
      <c r="IA481" s="457"/>
      <c r="IB481" s="457"/>
      <c r="IC481" s="457"/>
      <c r="ID481" s="457"/>
      <c r="IE481" s="457"/>
      <c r="IF481" s="457"/>
      <c r="IG481" s="457"/>
      <c r="IH481" s="457"/>
      <c r="II481" s="457"/>
      <c r="IJ481" s="457"/>
      <c r="IK481" s="457"/>
      <c r="IL481" s="457"/>
      <c r="IM481" s="457"/>
      <c r="IN481" s="457"/>
      <c r="IO481" s="457"/>
      <c r="IP481" s="457"/>
      <c r="IQ481" s="457"/>
      <c r="IR481" s="457"/>
      <c r="IS481" s="457"/>
      <c r="IT481" s="457"/>
      <c r="IU481" s="457"/>
      <c r="IV481" s="457"/>
      <c r="IW481" s="457"/>
      <c r="IX481" s="457"/>
      <c r="IY481" s="457"/>
      <c r="IZ481" s="457"/>
      <c r="JA481" s="457"/>
      <c r="JB481" s="457"/>
      <c r="JC481" s="457"/>
      <c r="JD481" s="457"/>
      <c r="JE481" s="457"/>
      <c r="JF481" s="457"/>
      <c r="JG481" s="457"/>
      <c r="JH481" s="457"/>
      <c r="JI481" s="457"/>
      <c r="JJ481" s="457"/>
      <c r="JK481" s="457"/>
      <c r="JL481" s="457"/>
      <c r="JM481" s="457"/>
      <c r="JN481" s="457"/>
      <c r="JO481" s="457"/>
      <c r="JP481" s="457"/>
      <c r="JQ481" s="457"/>
      <c r="JR481" s="457"/>
      <c r="JS481" s="457"/>
      <c r="JT481" s="457"/>
      <c r="JU481" s="457"/>
      <c r="JV481" s="457"/>
      <c r="JW481" s="457"/>
      <c r="JX481" s="457"/>
      <c r="JY481" s="457"/>
      <c r="JZ481" s="457"/>
      <c r="KA481" s="457"/>
      <c r="KB481" s="457"/>
      <c r="KC481" s="457"/>
      <c r="KD481" s="457"/>
      <c r="KE481" s="457"/>
      <c r="KF481" s="457"/>
      <c r="KG481" s="457"/>
      <c r="KH481" s="457"/>
      <c r="KI481" s="457"/>
      <c r="KJ481" s="457"/>
      <c r="KK481" s="457"/>
      <c r="KL481" s="457"/>
      <c r="KM481" s="457"/>
      <c r="KN481" s="457"/>
      <c r="KO481" s="457"/>
      <c r="KP481" s="457"/>
      <c r="KQ481" s="457"/>
      <c r="KR481" s="457"/>
      <c r="KS481" s="457"/>
      <c r="KT481" s="457"/>
      <c r="KU481" s="457"/>
      <c r="KV481" s="457"/>
      <c r="KW481" s="457"/>
      <c r="KX481" s="457"/>
      <c r="KY481" s="457"/>
      <c r="KZ481" s="457"/>
      <c r="LA481" s="457"/>
      <c r="LB481" s="457"/>
      <c r="LC481" s="457"/>
      <c r="LD481" s="457"/>
      <c r="LE481" s="457"/>
      <c r="LF481" s="457"/>
      <c r="LG481" s="457"/>
      <c r="LH481" s="457"/>
      <c r="LI481" s="457"/>
      <c r="LJ481" s="457"/>
      <c r="LK481" s="457"/>
      <c r="LL481" s="457"/>
      <c r="LM481" s="457"/>
      <c r="LN481" s="457"/>
      <c r="LO481" s="457"/>
      <c r="LP481" s="457"/>
      <c r="LQ481" s="457"/>
      <c r="LR481" s="457"/>
      <c r="LS481" s="457"/>
      <c r="LT481" s="457"/>
      <c r="LU481" s="457"/>
      <c r="LV481" s="457"/>
      <c r="LW481" s="457"/>
      <c r="LX481" s="457"/>
      <c r="LY481" s="457"/>
      <c r="LZ481" s="457"/>
      <c r="MA481" s="457"/>
      <c r="MB481" s="457"/>
      <c r="MC481" s="457"/>
      <c r="MD481" s="457"/>
      <c r="ME481" s="457"/>
      <c r="MF481" s="457"/>
      <c r="MG481" s="457"/>
      <c r="MH481" s="457"/>
      <c r="MI481" s="457"/>
      <c r="MJ481" s="457"/>
      <c r="MK481" s="457"/>
      <c r="ML481" s="457"/>
      <c r="MM481" s="457"/>
      <c r="MN481" s="457"/>
      <c r="MO481" s="457"/>
      <c r="MP481" s="457"/>
      <c r="MQ481" s="457"/>
      <c r="MR481" s="457"/>
      <c r="MS481" s="457"/>
      <c r="MT481" s="457"/>
      <c r="MU481" s="457"/>
      <c r="MV481" s="457"/>
      <c r="MW481" s="457"/>
      <c r="MX481" s="457"/>
      <c r="MY481" s="457"/>
      <c r="MZ481" s="457"/>
      <c r="NA481" s="457"/>
      <c r="NB481" s="457"/>
      <c r="NC481" s="457"/>
      <c r="ND481" s="457"/>
      <c r="NE481" s="457"/>
      <c r="NF481" s="457"/>
      <c r="NG481" s="457"/>
      <c r="NH481" s="457"/>
      <c r="NI481" s="457"/>
      <c r="NJ481" s="457"/>
      <c r="NK481" s="457"/>
      <c r="NL481" s="457"/>
      <c r="NM481" s="457"/>
      <c r="NN481" s="457"/>
      <c r="NO481" s="457"/>
      <c r="NP481" s="457"/>
      <c r="NQ481" s="457"/>
      <c r="NR481" s="457"/>
      <c r="NS481" s="457"/>
      <c r="NT481" s="457"/>
      <c r="NU481" s="457"/>
      <c r="NV481" s="457"/>
      <c r="NW481" s="457"/>
      <c r="NX481" s="457"/>
      <c r="NY481" s="457"/>
      <c r="NZ481" s="457"/>
      <c r="OA481" s="457"/>
      <c r="OB481" s="457"/>
      <c r="OC481" s="457"/>
      <c r="OD481" s="457"/>
      <c r="OE481" s="457"/>
      <c r="OF481" s="457"/>
      <c r="OG481" s="457"/>
      <c r="OH481" s="457"/>
      <c r="OI481" s="457"/>
      <c r="OJ481" s="457"/>
      <c r="OK481" s="457"/>
      <c r="OL481" s="457"/>
      <c r="OM481" s="457"/>
      <c r="ON481" s="457"/>
      <c r="OO481" s="457"/>
      <c r="OP481" s="457"/>
      <c r="OQ481" s="457"/>
      <c r="OR481" s="457"/>
      <c r="OS481" s="457"/>
      <c r="OT481" s="457"/>
      <c r="OU481" s="457"/>
      <c r="OV481" s="457"/>
      <c r="OW481" s="457"/>
      <c r="OX481" s="457"/>
      <c r="OY481" s="457"/>
      <c r="OZ481" s="457"/>
      <c r="PA481" s="457"/>
      <c r="PB481" s="457"/>
      <c r="PC481" s="457"/>
      <c r="PD481" s="457"/>
      <c r="PE481" s="457"/>
      <c r="PF481" s="457"/>
      <c r="PG481" s="457"/>
      <c r="PH481" s="457"/>
      <c r="PI481" s="457"/>
      <c r="PJ481" s="457"/>
      <c r="PK481" s="457"/>
      <c r="PL481" s="457"/>
      <c r="PM481" s="457"/>
      <c r="PN481" s="457"/>
      <c r="PO481" s="457"/>
      <c r="PP481" s="457"/>
      <c r="PQ481" s="457"/>
      <c r="PR481" s="457"/>
      <c r="PS481" s="457"/>
      <c r="PT481" s="457"/>
      <c r="PU481" s="457"/>
      <c r="PV481" s="457"/>
      <c r="PW481" s="457"/>
      <c r="PX481" s="457"/>
      <c r="PY481" s="457"/>
      <c r="PZ481" s="457"/>
      <c r="QA481" s="457"/>
      <c r="QB481" s="457"/>
      <c r="QC481" s="457"/>
      <c r="QD481" s="457"/>
      <c r="QE481" s="457"/>
      <c r="QF481" s="457"/>
      <c r="QG481" s="457"/>
      <c r="QH481" s="457"/>
      <c r="QI481" s="457"/>
      <c r="QJ481" s="457"/>
      <c r="QK481" s="457"/>
      <c r="QL481" s="457"/>
      <c r="QM481" s="457"/>
      <c r="QN481" s="457"/>
      <c r="QO481" s="457"/>
      <c r="QP481" s="457"/>
      <c r="QQ481" s="457"/>
      <c r="QR481" s="457"/>
      <c r="QS481" s="457"/>
      <c r="QT481" s="457"/>
      <c r="QU481" s="457"/>
      <c r="QV481" s="457"/>
      <c r="QW481" s="457"/>
      <c r="QX481" s="457"/>
      <c r="QY481" s="457"/>
      <c r="QZ481" s="457"/>
      <c r="RA481" s="457"/>
      <c r="RB481" s="457"/>
      <c r="RC481" s="457"/>
      <c r="RD481" s="457"/>
      <c r="RE481" s="457"/>
      <c r="RF481" s="457"/>
      <c r="RG481" s="457"/>
      <c r="RH481" s="457"/>
      <c r="RI481" s="457"/>
      <c r="RJ481" s="457"/>
      <c r="RK481" s="457"/>
      <c r="RL481" s="457"/>
      <c r="RM481" s="457"/>
      <c r="RN481" s="457"/>
      <c r="RO481" s="457"/>
      <c r="RP481" s="457"/>
      <c r="RQ481" s="457"/>
      <c r="RR481" s="457"/>
      <c r="RS481" s="457"/>
      <c r="RT481" s="457"/>
      <c r="RU481" s="457"/>
      <c r="RV481" s="457"/>
      <c r="RW481" s="457"/>
      <c r="RX481" s="457"/>
      <c r="RY481" s="457"/>
      <c r="RZ481" s="457"/>
      <c r="SA481" s="457"/>
      <c r="SB481" s="457"/>
      <c r="SC481" s="457"/>
      <c r="SD481" s="457"/>
      <c r="SE481" s="457"/>
      <c r="SF481" s="457"/>
      <c r="SG481" s="457"/>
      <c r="SH481" s="457"/>
      <c r="SI481" s="457"/>
      <c r="SJ481" s="457"/>
      <c r="SK481" s="457"/>
      <c r="SL481" s="457"/>
      <c r="SM481" s="457"/>
      <c r="SN481" s="457"/>
      <c r="SO481" s="457"/>
      <c r="SP481" s="457"/>
      <c r="SQ481" s="457"/>
      <c r="SR481" s="457"/>
      <c r="SS481" s="457"/>
      <c r="ST481" s="457"/>
      <c r="SU481" s="457"/>
      <c r="SV481" s="457"/>
      <c r="SW481" s="457"/>
      <c r="SX481" s="457"/>
      <c r="SY481" s="457"/>
      <c r="SZ481" s="457"/>
      <c r="TA481" s="457"/>
      <c r="TB481" s="457"/>
      <c r="TC481" s="457"/>
      <c r="TD481" s="457"/>
      <c r="TE481" s="457"/>
      <c r="TF481" s="457"/>
      <c r="TG481" s="457"/>
      <c r="TH481" s="457"/>
      <c r="TI481" s="457"/>
      <c r="TJ481" s="457"/>
      <c r="TK481" s="457"/>
      <c r="TL481" s="457"/>
      <c r="TM481" s="457"/>
      <c r="TN481" s="457"/>
      <c r="TO481" s="457"/>
      <c r="TP481" s="457"/>
      <c r="TQ481" s="457"/>
      <c r="TR481" s="457"/>
      <c r="TS481" s="457"/>
      <c r="TT481" s="457"/>
      <c r="TU481" s="457"/>
      <c r="TV481" s="457"/>
      <c r="TW481" s="457"/>
      <c r="TX481" s="457"/>
      <c r="TY481" s="457"/>
      <c r="TZ481" s="457"/>
      <c r="UA481" s="457"/>
      <c r="UB481" s="457"/>
      <c r="UC481" s="457"/>
      <c r="UD481" s="457"/>
      <c r="UE481" s="457"/>
      <c r="UF481" s="457"/>
      <c r="UG481" s="457"/>
      <c r="UH481" s="457"/>
      <c r="UI481" s="457"/>
      <c r="UJ481" s="457"/>
      <c r="UK481" s="457"/>
      <c r="UL481" s="457"/>
      <c r="UM481" s="457"/>
      <c r="UN481" s="457"/>
      <c r="UO481" s="457"/>
      <c r="UP481" s="457"/>
      <c r="UQ481" s="457"/>
      <c r="UR481" s="457"/>
      <c r="US481" s="457"/>
      <c r="UT481" s="457"/>
      <c r="UU481" s="457"/>
      <c r="UV481" s="457"/>
      <c r="UW481" s="457"/>
      <c r="UX481" s="457"/>
      <c r="UY481" s="457"/>
      <c r="UZ481" s="457"/>
      <c r="VA481" s="457"/>
      <c r="VB481" s="457"/>
      <c r="VC481" s="457"/>
      <c r="VD481" s="457"/>
      <c r="VE481" s="457"/>
      <c r="VF481" s="457"/>
      <c r="VG481" s="457"/>
      <c r="VH481" s="457"/>
      <c r="VI481" s="457"/>
      <c r="VJ481" s="457"/>
      <c r="VK481" s="457"/>
      <c r="VL481" s="457"/>
      <c r="VM481" s="457"/>
      <c r="VN481" s="457"/>
      <c r="VO481" s="457"/>
      <c r="VP481" s="457"/>
      <c r="VQ481" s="457"/>
      <c r="VR481" s="457"/>
      <c r="VS481" s="457"/>
      <c r="VT481" s="457"/>
      <c r="VU481" s="457"/>
      <c r="VV481" s="457"/>
      <c r="VW481" s="457"/>
      <c r="VX481" s="457"/>
      <c r="VY481" s="457"/>
      <c r="VZ481" s="457"/>
      <c r="WA481" s="457"/>
      <c r="WB481" s="457"/>
      <c r="WC481" s="457"/>
      <c r="WD481" s="457"/>
      <c r="WE481" s="457"/>
      <c r="WF481" s="457"/>
      <c r="WG481" s="457"/>
      <c r="WH481" s="457"/>
      <c r="WI481" s="457"/>
      <c r="WJ481" s="457"/>
      <c r="WK481" s="457"/>
      <c r="WL481" s="457"/>
      <c r="WM481" s="457"/>
      <c r="WN481" s="457"/>
      <c r="WO481" s="457"/>
      <c r="WP481" s="457"/>
      <c r="WQ481" s="457"/>
      <c r="WR481" s="457"/>
      <c r="WS481" s="457"/>
      <c r="WT481" s="457"/>
      <c r="WU481" s="457"/>
      <c r="WV481" s="457"/>
      <c r="WW481" s="457"/>
      <c r="WX481" s="457"/>
      <c r="WY481" s="457"/>
      <c r="WZ481" s="457"/>
      <c r="XA481" s="457"/>
      <c r="XB481" s="457"/>
      <c r="XC481" s="457"/>
      <c r="XD481" s="457"/>
      <c r="XE481" s="457"/>
      <c r="XF481" s="457"/>
      <c r="XG481" s="457"/>
      <c r="XH481" s="457"/>
      <c r="XI481" s="457"/>
      <c r="XJ481" s="457"/>
      <c r="XK481" s="457"/>
      <c r="XL481" s="457"/>
      <c r="XM481" s="457"/>
      <c r="XN481" s="457"/>
      <c r="XO481" s="457"/>
      <c r="XP481" s="457"/>
      <c r="XQ481" s="457"/>
      <c r="XR481" s="457"/>
      <c r="XS481" s="457"/>
      <c r="XT481" s="457"/>
      <c r="XU481" s="457"/>
      <c r="XV481" s="457"/>
      <c r="XW481" s="457"/>
      <c r="XX481" s="457"/>
      <c r="XY481" s="457"/>
      <c r="XZ481" s="457"/>
      <c r="YA481" s="457"/>
      <c r="YB481" s="457"/>
      <c r="YC481" s="457"/>
      <c r="YD481" s="457"/>
      <c r="YE481" s="457"/>
      <c r="YF481" s="457"/>
      <c r="YG481" s="457"/>
      <c r="YH481" s="457"/>
      <c r="YI481" s="457"/>
      <c r="YJ481" s="457"/>
      <c r="YK481" s="457"/>
      <c r="YL481" s="457"/>
      <c r="YM481" s="457"/>
      <c r="YN481" s="457"/>
      <c r="YO481" s="457"/>
      <c r="YP481" s="457"/>
      <c r="YQ481" s="457"/>
      <c r="YR481" s="457"/>
      <c r="YS481" s="457"/>
      <c r="YT481" s="457"/>
      <c r="YU481" s="457"/>
      <c r="YV481" s="457"/>
      <c r="YW481" s="457"/>
      <c r="YX481" s="457"/>
      <c r="YY481" s="457"/>
      <c r="YZ481" s="457"/>
      <c r="ZA481" s="457"/>
      <c r="ZB481" s="457"/>
      <c r="ZC481" s="457"/>
      <c r="ZD481" s="457"/>
      <c r="ZE481" s="457"/>
      <c r="ZF481" s="457"/>
      <c r="ZG481" s="457"/>
      <c r="ZH481" s="457"/>
      <c r="ZI481" s="457"/>
      <c r="ZJ481" s="457"/>
      <c r="ZK481" s="457"/>
      <c r="ZL481" s="457"/>
      <c r="ZM481" s="457"/>
      <c r="ZN481" s="457"/>
      <c r="ZO481" s="457"/>
      <c r="ZP481" s="457"/>
      <c r="ZQ481" s="457"/>
      <c r="ZR481" s="457"/>
      <c r="ZS481" s="457"/>
      <c r="ZT481" s="457"/>
      <c r="ZU481" s="457"/>
      <c r="ZV481" s="457"/>
      <c r="ZW481" s="457"/>
      <c r="ZX481" s="457"/>
      <c r="ZY481" s="457"/>
      <c r="ZZ481" s="457"/>
      <c r="AAA481" s="457"/>
      <c r="AAB481" s="457"/>
      <c r="AAC481" s="457"/>
      <c r="AAD481" s="457"/>
      <c r="AAE481" s="457"/>
      <c r="AAF481" s="457"/>
      <c r="AAG481" s="457"/>
      <c r="AAH481" s="457"/>
      <c r="AAI481" s="457"/>
      <c r="AAJ481" s="457"/>
      <c r="AAK481" s="457"/>
      <c r="AAL481" s="457"/>
      <c r="AAM481" s="457"/>
      <c r="AAN481" s="457"/>
      <c r="AAO481" s="457"/>
      <c r="AAP481" s="457"/>
      <c r="AAQ481" s="457"/>
      <c r="AAR481" s="457"/>
      <c r="AAS481" s="457"/>
      <c r="AAT481" s="457"/>
      <c r="AAU481" s="457"/>
      <c r="AAV481" s="457"/>
      <c r="AAW481" s="457"/>
      <c r="AAX481" s="457"/>
      <c r="AAY481" s="457"/>
      <c r="AAZ481" s="457"/>
      <c r="ABA481" s="457"/>
      <c r="ABB481" s="457"/>
      <c r="ABC481" s="457"/>
      <c r="ABD481" s="457"/>
      <c r="ABE481" s="457"/>
      <c r="ABF481" s="457"/>
      <c r="ABG481" s="457"/>
      <c r="ABH481" s="457"/>
      <c r="ABI481" s="457"/>
      <c r="ABJ481" s="457"/>
      <c r="ABK481" s="457"/>
      <c r="ABL481" s="457"/>
      <c r="ABM481" s="457"/>
      <c r="ABN481" s="457"/>
      <c r="ABO481" s="457"/>
      <c r="ABP481" s="457"/>
      <c r="ABQ481" s="457"/>
      <c r="ABR481" s="457"/>
      <c r="ABS481" s="457"/>
      <c r="ABT481" s="457"/>
      <c r="ABU481" s="457"/>
      <c r="ABV481" s="457"/>
      <c r="ABW481" s="457"/>
      <c r="ABX481" s="457"/>
      <c r="ABY481" s="457"/>
      <c r="ABZ481" s="457"/>
      <c r="ACA481" s="457"/>
      <c r="ACB481" s="457"/>
      <c r="ACC481" s="457"/>
      <c r="ACD481" s="457"/>
      <c r="ACE481" s="457"/>
      <c r="ACF481" s="457"/>
      <c r="ACG481" s="457"/>
      <c r="ACH481" s="457"/>
      <c r="ACI481" s="457"/>
      <c r="ACJ481" s="457"/>
      <c r="ACK481" s="457"/>
      <c r="ACL481" s="457"/>
      <c r="ACM481" s="457"/>
      <c r="ACN481" s="457"/>
      <c r="ACO481" s="457"/>
      <c r="ACP481" s="457"/>
      <c r="ACQ481" s="457"/>
      <c r="ACR481" s="457"/>
      <c r="ACS481" s="457"/>
      <c r="ACT481" s="457"/>
      <c r="ACU481" s="457"/>
      <c r="ACV481" s="457"/>
    </row>
    <row r="482" spans="1:776" s="400" customFormat="1" x14ac:dyDescent="0.25">
      <c r="A482" s="470">
        <v>900197</v>
      </c>
      <c r="B482" s="237" t="s">
        <v>390</v>
      </c>
      <c r="C482" s="455"/>
      <c r="D482" s="454" t="s">
        <v>391</v>
      </c>
      <c r="E482" s="454">
        <v>0.63</v>
      </c>
      <c r="F482" s="458">
        <v>85.3</v>
      </c>
      <c r="G482" s="454">
        <v>0</v>
      </c>
      <c r="H482" s="454">
        <v>0</v>
      </c>
      <c r="I482" s="456">
        <v>82.67</v>
      </c>
      <c r="J482" s="454">
        <v>48.82</v>
      </c>
      <c r="K482" s="397">
        <v>1.0000000000000001E-5</v>
      </c>
      <c r="L482" s="454">
        <v>79.2</v>
      </c>
      <c r="M482" s="454">
        <v>0</v>
      </c>
      <c r="N482" s="454">
        <v>0.22</v>
      </c>
      <c r="O482" s="454">
        <v>30.25</v>
      </c>
      <c r="P482" s="454">
        <v>90.5</v>
      </c>
      <c r="Q482" s="454">
        <v>3.98</v>
      </c>
      <c r="R482" s="397">
        <v>1.0000000000000001E-5</v>
      </c>
      <c r="S482" s="397">
        <v>1.0000000000000001E-5</v>
      </c>
      <c r="T482" s="397">
        <v>1.0000000000000001E-5</v>
      </c>
      <c r="U482" s="454">
        <v>0.01</v>
      </c>
      <c r="V482" s="454"/>
      <c r="W482" s="457"/>
      <c r="X482" s="457"/>
      <c r="Y482" s="457"/>
      <c r="Z482" s="457"/>
      <c r="AA482" s="457"/>
      <c r="AB482" s="457"/>
      <c r="AC482" s="457"/>
      <c r="AD482" s="457"/>
      <c r="AE482" s="457"/>
      <c r="AF482" s="457"/>
      <c r="AG482" s="457"/>
      <c r="AH482" s="457"/>
      <c r="AI482" s="457"/>
      <c r="AJ482" s="457"/>
      <c r="AK482" s="457"/>
      <c r="AL482" s="457"/>
      <c r="AM482" s="457"/>
      <c r="AN482" s="457"/>
      <c r="AO482" s="457"/>
      <c r="AP482" s="457"/>
      <c r="AQ482" s="457"/>
      <c r="AR482" s="457"/>
      <c r="AS482" s="457"/>
      <c r="AT482" s="457"/>
      <c r="AU482" s="457"/>
      <c r="AV482" s="457"/>
      <c r="AW482" s="457"/>
      <c r="AX482" s="457"/>
      <c r="AY482" s="457"/>
      <c r="AZ482" s="457"/>
      <c r="BA482" s="457"/>
      <c r="BB482" s="457"/>
      <c r="BC482" s="457"/>
      <c r="BD482" s="457"/>
      <c r="BE482" s="457"/>
      <c r="BF482" s="457"/>
      <c r="BG482" s="457"/>
      <c r="BH482" s="457"/>
      <c r="BI482" s="457"/>
      <c r="BJ482" s="457"/>
      <c r="BK482" s="457"/>
      <c r="BL482" s="457"/>
      <c r="BM482" s="457"/>
      <c r="BN482" s="457"/>
      <c r="BO482" s="457"/>
      <c r="BP482" s="457"/>
      <c r="BQ482" s="457"/>
      <c r="BR482" s="457"/>
      <c r="BS482" s="457"/>
      <c r="BT482" s="457"/>
      <c r="BU482" s="457"/>
      <c r="BV482" s="457"/>
      <c r="BW482" s="457"/>
      <c r="BX482" s="457"/>
      <c r="BY482" s="457"/>
      <c r="BZ482" s="457"/>
      <c r="CA482" s="457"/>
      <c r="CB482" s="457"/>
      <c r="CC482" s="457"/>
      <c r="CD482" s="457"/>
      <c r="CE482" s="457"/>
      <c r="CF482" s="457"/>
      <c r="CG482" s="457"/>
      <c r="CH482" s="457"/>
      <c r="CI482" s="457"/>
      <c r="CJ482" s="457"/>
      <c r="CK482" s="457"/>
      <c r="CL482" s="457"/>
      <c r="CM482" s="457"/>
      <c r="CN482" s="457"/>
      <c r="CO482" s="457"/>
      <c r="CP482" s="457"/>
      <c r="CQ482" s="457"/>
      <c r="CR482" s="457"/>
      <c r="CS482" s="457"/>
      <c r="CT482" s="457"/>
      <c r="CU482" s="457"/>
      <c r="CV482" s="457"/>
      <c r="CW482" s="457"/>
      <c r="CX482" s="457"/>
      <c r="CY482" s="457"/>
      <c r="CZ482" s="457"/>
      <c r="DA482" s="457"/>
      <c r="DB482" s="457"/>
      <c r="DC482" s="457"/>
      <c r="DD482" s="457"/>
      <c r="DE482" s="457"/>
      <c r="DF482" s="457"/>
      <c r="DG482" s="457"/>
      <c r="DH482" s="457"/>
      <c r="DI482" s="457"/>
      <c r="DJ482" s="457"/>
      <c r="DK482" s="457"/>
      <c r="DL482" s="457"/>
      <c r="DM482" s="457"/>
      <c r="DN482" s="457"/>
      <c r="DO482" s="457"/>
      <c r="DP482" s="457"/>
      <c r="DQ482" s="457"/>
      <c r="DR482" s="457"/>
      <c r="DS482" s="457"/>
      <c r="DT482" s="457"/>
      <c r="DU482" s="457"/>
      <c r="DV482" s="457"/>
      <c r="DW482" s="457"/>
      <c r="DX482" s="457"/>
      <c r="DY482" s="457"/>
      <c r="DZ482" s="457"/>
      <c r="EA482" s="457"/>
      <c r="EB482" s="457"/>
      <c r="EC482" s="457"/>
      <c r="ED482" s="457"/>
      <c r="EE482" s="457"/>
      <c r="EF482" s="457"/>
      <c r="EG482" s="457"/>
      <c r="EH482" s="457"/>
      <c r="EI482" s="457"/>
      <c r="EJ482" s="457"/>
      <c r="EK482" s="457"/>
      <c r="EL482" s="457"/>
      <c r="EM482" s="457"/>
      <c r="EN482" s="457"/>
      <c r="EO482" s="457"/>
      <c r="EP482" s="457"/>
      <c r="EQ482" s="457"/>
      <c r="ER482" s="457"/>
      <c r="ES482" s="457"/>
      <c r="ET482" s="457"/>
      <c r="EU482" s="457"/>
      <c r="EV482" s="457"/>
      <c r="EW482" s="457"/>
      <c r="EX482" s="457"/>
      <c r="EY482" s="457"/>
      <c r="EZ482" s="457"/>
      <c r="FA482" s="457"/>
      <c r="FB482" s="457"/>
      <c r="FC482" s="457"/>
      <c r="FD482" s="457"/>
      <c r="FE482" s="457"/>
      <c r="FF482" s="457"/>
      <c r="FG482" s="457"/>
      <c r="FH482" s="457"/>
      <c r="FI482" s="457"/>
      <c r="FJ482" s="457"/>
      <c r="FK482" s="457"/>
      <c r="FL482" s="457"/>
      <c r="FM482" s="457"/>
      <c r="FN482" s="457"/>
      <c r="FO482" s="457"/>
      <c r="FP482" s="457"/>
      <c r="FQ482" s="457"/>
      <c r="FR482" s="457"/>
      <c r="FS482" s="457"/>
      <c r="FT482" s="457"/>
      <c r="FU482" s="457"/>
      <c r="FV482" s="457"/>
      <c r="FW482" s="457"/>
      <c r="FX482" s="457"/>
      <c r="FY482" s="457"/>
      <c r="FZ482" s="457"/>
      <c r="GA482" s="457"/>
      <c r="GB482" s="457"/>
      <c r="GC482" s="457"/>
      <c r="GD482" s="457"/>
      <c r="GE482" s="457"/>
      <c r="GF482" s="457"/>
      <c r="GG482" s="457"/>
      <c r="GH482" s="457"/>
      <c r="GI482" s="457"/>
      <c r="GJ482" s="457"/>
      <c r="GK482" s="457"/>
      <c r="GL482" s="457"/>
      <c r="GM482" s="457"/>
      <c r="GN482" s="457"/>
      <c r="GO482" s="457"/>
      <c r="GP482" s="457"/>
      <c r="GQ482" s="457"/>
      <c r="GR482" s="457"/>
      <c r="GS482" s="457"/>
      <c r="GT482" s="457"/>
      <c r="GU482" s="457"/>
      <c r="GV482" s="457"/>
      <c r="GW482" s="457"/>
      <c r="GX482" s="457"/>
      <c r="GY482" s="457"/>
      <c r="GZ482" s="457"/>
      <c r="HA482" s="457"/>
      <c r="HB482" s="457"/>
      <c r="HC482" s="457"/>
      <c r="HD482" s="457"/>
      <c r="HE482" s="457"/>
      <c r="HF482" s="457"/>
      <c r="HG482" s="457"/>
      <c r="HH482" s="457"/>
      <c r="HI482" s="457"/>
      <c r="HJ482" s="457"/>
      <c r="HK482" s="457"/>
      <c r="HL482" s="457"/>
      <c r="HM482" s="457"/>
      <c r="HN482" s="457"/>
      <c r="HO482" s="457"/>
      <c r="HP482" s="457"/>
      <c r="HQ482" s="457"/>
      <c r="HR482" s="457"/>
      <c r="HS482" s="457"/>
      <c r="HT482" s="457"/>
      <c r="HU482" s="457"/>
      <c r="HV482" s="457"/>
      <c r="HW482" s="457"/>
      <c r="HX482" s="457"/>
      <c r="HY482" s="457"/>
      <c r="HZ482" s="457"/>
      <c r="IA482" s="457"/>
      <c r="IB482" s="457"/>
      <c r="IC482" s="457"/>
      <c r="ID482" s="457"/>
      <c r="IE482" s="457"/>
      <c r="IF482" s="457"/>
      <c r="IG482" s="457"/>
      <c r="IH482" s="457"/>
      <c r="II482" s="457"/>
      <c r="IJ482" s="457"/>
      <c r="IK482" s="457"/>
      <c r="IL482" s="457"/>
      <c r="IM482" s="457"/>
      <c r="IN482" s="457"/>
      <c r="IO482" s="457"/>
      <c r="IP482" s="457"/>
      <c r="IQ482" s="457"/>
      <c r="IR482" s="457"/>
      <c r="IS482" s="457"/>
      <c r="IT482" s="457"/>
      <c r="IU482" s="457"/>
      <c r="IV482" s="457"/>
      <c r="IW482" s="457"/>
      <c r="IX482" s="457"/>
      <c r="IY482" s="457"/>
      <c r="IZ482" s="457"/>
      <c r="JA482" s="457"/>
      <c r="JB482" s="457"/>
      <c r="JC482" s="457"/>
      <c r="JD482" s="457"/>
      <c r="JE482" s="457"/>
      <c r="JF482" s="457"/>
      <c r="JG482" s="457"/>
      <c r="JH482" s="457"/>
      <c r="JI482" s="457"/>
      <c r="JJ482" s="457"/>
      <c r="JK482" s="457"/>
      <c r="JL482" s="457"/>
      <c r="JM482" s="457"/>
      <c r="JN482" s="457"/>
      <c r="JO482" s="457"/>
      <c r="JP482" s="457"/>
      <c r="JQ482" s="457"/>
      <c r="JR482" s="457"/>
      <c r="JS482" s="457"/>
      <c r="JT482" s="457"/>
      <c r="JU482" s="457"/>
      <c r="JV482" s="457"/>
      <c r="JW482" s="457"/>
      <c r="JX482" s="457"/>
      <c r="JY482" s="457"/>
      <c r="JZ482" s="457"/>
      <c r="KA482" s="457"/>
      <c r="KB482" s="457"/>
      <c r="KC482" s="457"/>
      <c r="KD482" s="457"/>
      <c r="KE482" s="457"/>
      <c r="KF482" s="457"/>
      <c r="KG482" s="457"/>
      <c r="KH482" s="457"/>
      <c r="KI482" s="457"/>
      <c r="KJ482" s="457"/>
      <c r="KK482" s="457"/>
      <c r="KL482" s="457"/>
      <c r="KM482" s="457"/>
      <c r="KN482" s="457"/>
      <c r="KO482" s="457"/>
      <c r="KP482" s="457"/>
      <c r="KQ482" s="457"/>
      <c r="KR482" s="457"/>
      <c r="KS482" s="457"/>
      <c r="KT482" s="457"/>
      <c r="KU482" s="457"/>
      <c r="KV482" s="457"/>
      <c r="KW482" s="457"/>
      <c r="KX482" s="457"/>
      <c r="KY482" s="457"/>
      <c r="KZ482" s="457"/>
      <c r="LA482" s="457"/>
      <c r="LB482" s="457"/>
      <c r="LC482" s="457"/>
      <c r="LD482" s="457"/>
      <c r="LE482" s="457"/>
      <c r="LF482" s="457"/>
      <c r="LG482" s="457"/>
      <c r="LH482" s="457"/>
      <c r="LI482" s="457"/>
      <c r="LJ482" s="457"/>
      <c r="LK482" s="457"/>
      <c r="LL482" s="457"/>
      <c r="LM482" s="457"/>
      <c r="LN482" s="457"/>
      <c r="LO482" s="457"/>
      <c r="LP482" s="457"/>
      <c r="LQ482" s="457"/>
      <c r="LR482" s="457"/>
      <c r="LS482" s="457"/>
      <c r="LT482" s="457"/>
      <c r="LU482" s="457"/>
      <c r="LV482" s="457"/>
      <c r="LW482" s="457"/>
      <c r="LX482" s="457"/>
      <c r="LY482" s="457"/>
      <c r="LZ482" s="457"/>
      <c r="MA482" s="457"/>
      <c r="MB482" s="457"/>
      <c r="MC482" s="457"/>
      <c r="MD482" s="457"/>
      <c r="ME482" s="457"/>
      <c r="MF482" s="457"/>
      <c r="MG482" s="457"/>
      <c r="MH482" s="457"/>
      <c r="MI482" s="457"/>
      <c r="MJ482" s="457"/>
      <c r="MK482" s="457"/>
      <c r="ML482" s="457"/>
      <c r="MM482" s="457"/>
      <c r="MN482" s="457"/>
      <c r="MO482" s="457"/>
      <c r="MP482" s="457"/>
      <c r="MQ482" s="457"/>
      <c r="MR482" s="457"/>
      <c r="MS482" s="457"/>
      <c r="MT482" s="457"/>
      <c r="MU482" s="457"/>
      <c r="MV482" s="457"/>
      <c r="MW482" s="457"/>
      <c r="MX482" s="457"/>
      <c r="MY482" s="457"/>
      <c r="MZ482" s="457"/>
      <c r="NA482" s="457"/>
      <c r="NB482" s="457"/>
      <c r="NC482" s="457"/>
      <c r="ND482" s="457"/>
      <c r="NE482" s="457"/>
      <c r="NF482" s="457"/>
      <c r="NG482" s="457"/>
      <c r="NH482" s="457"/>
      <c r="NI482" s="457"/>
      <c r="NJ482" s="457"/>
      <c r="NK482" s="457"/>
      <c r="NL482" s="457"/>
      <c r="NM482" s="457"/>
      <c r="NN482" s="457"/>
      <c r="NO482" s="457"/>
      <c r="NP482" s="457"/>
      <c r="NQ482" s="457"/>
      <c r="NR482" s="457"/>
      <c r="NS482" s="457"/>
      <c r="NT482" s="457"/>
      <c r="NU482" s="457"/>
      <c r="NV482" s="457"/>
      <c r="NW482" s="457"/>
      <c r="NX482" s="457"/>
      <c r="NY482" s="457"/>
      <c r="NZ482" s="457"/>
      <c r="OA482" s="457"/>
      <c r="OB482" s="457"/>
      <c r="OC482" s="457"/>
      <c r="OD482" s="457"/>
      <c r="OE482" s="457"/>
      <c r="OF482" s="457"/>
      <c r="OG482" s="457"/>
      <c r="OH482" s="457"/>
      <c r="OI482" s="457"/>
      <c r="OJ482" s="457"/>
      <c r="OK482" s="457"/>
      <c r="OL482" s="457"/>
      <c r="OM482" s="457"/>
      <c r="ON482" s="457"/>
      <c r="OO482" s="457"/>
      <c r="OP482" s="457"/>
      <c r="OQ482" s="457"/>
      <c r="OR482" s="457"/>
      <c r="OS482" s="457"/>
      <c r="OT482" s="457"/>
      <c r="OU482" s="457"/>
      <c r="OV482" s="457"/>
      <c r="OW482" s="457"/>
      <c r="OX482" s="457"/>
      <c r="OY482" s="457"/>
      <c r="OZ482" s="457"/>
      <c r="PA482" s="457"/>
      <c r="PB482" s="457"/>
      <c r="PC482" s="457"/>
      <c r="PD482" s="457"/>
      <c r="PE482" s="457"/>
      <c r="PF482" s="457"/>
      <c r="PG482" s="457"/>
      <c r="PH482" s="457"/>
      <c r="PI482" s="457"/>
      <c r="PJ482" s="457"/>
      <c r="PK482" s="457"/>
      <c r="PL482" s="457"/>
      <c r="PM482" s="457"/>
      <c r="PN482" s="457"/>
      <c r="PO482" s="457"/>
      <c r="PP482" s="457"/>
      <c r="PQ482" s="457"/>
      <c r="PR482" s="457"/>
      <c r="PS482" s="457"/>
      <c r="PT482" s="457"/>
      <c r="PU482" s="457"/>
      <c r="PV482" s="457"/>
      <c r="PW482" s="457"/>
      <c r="PX482" s="457"/>
      <c r="PY482" s="457"/>
      <c r="PZ482" s="457"/>
      <c r="QA482" s="457"/>
      <c r="QB482" s="457"/>
      <c r="QC482" s="457"/>
      <c r="QD482" s="457"/>
      <c r="QE482" s="457"/>
      <c r="QF482" s="457"/>
      <c r="QG482" s="457"/>
      <c r="QH482" s="457"/>
      <c r="QI482" s="457"/>
      <c r="QJ482" s="457"/>
      <c r="QK482" s="457"/>
      <c r="QL482" s="457"/>
      <c r="QM482" s="457"/>
      <c r="QN482" s="457"/>
      <c r="QO482" s="457"/>
      <c r="QP482" s="457"/>
      <c r="QQ482" s="457"/>
      <c r="QR482" s="457"/>
      <c r="QS482" s="457"/>
      <c r="QT482" s="457"/>
      <c r="QU482" s="457"/>
      <c r="QV482" s="457"/>
      <c r="QW482" s="457"/>
      <c r="QX482" s="457"/>
      <c r="QY482" s="457"/>
      <c r="QZ482" s="457"/>
      <c r="RA482" s="457"/>
      <c r="RB482" s="457"/>
      <c r="RC482" s="457"/>
      <c r="RD482" s="457"/>
      <c r="RE482" s="457"/>
      <c r="RF482" s="457"/>
      <c r="RG482" s="457"/>
      <c r="RH482" s="457"/>
      <c r="RI482" s="457"/>
      <c r="RJ482" s="457"/>
      <c r="RK482" s="457"/>
      <c r="RL482" s="457"/>
      <c r="RM482" s="457"/>
      <c r="RN482" s="457"/>
      <c r="RO482" s="457"/>
      <c r="RP482" s="457"/>
      <c r="RQ482" s="457"/>
      <c r="RR482" s="457"/>
      <c r="RS482" s="457"/>
      <c r="RT482" s="457"/>
      <c r="RU482" s="457"/>
      <c r="RV482" s="457"/>
      <c r="RW482" s="457"/>
      <c r="RX482" s="457"/>
      <c r="RY482" s="457"/>
      <c r="RZ482" s="457"/>
      <c r="SA482" s="457"/>
      <c r="SB482" s="457"/>
      <c r="SC482" s="457"/>
      <c r="SD482" s="457"/>
      <c r="SE482" s="457"/>
      <c r="SF482" s="457"/>
      <c r="SG482" s="457"/>
      <c r="SH482" s="457"/>
      <c r="SI482" s="457"/>
      <c r="SJ482" s="457"/>
      <c r="SK482" s="457"/>
      <c r="SL482" s="457"/>
      <c r="SM482" s="457"/>
      <c r="SN482" s="457"/>
      <c r="SO482" s="457"/>
      <c r="SP482" s="457"/>
      <c r="SQ482" s="457"/>
      <c r="SR482" s="457"/>
      <c r="SS482" s="457"/>
      <c r="ST482" s="457"/>
      <c r="SU482" s="457"/>
      <c r="SV482" s="457"/>
      <c r="SW482" s="457"/>
      <c r="SX482" s="457"/>
      <c r="SY482" s="457"/>
      <c r="SZ482" s="457"/>
      <c r="TA482" s="457"/>
      <c r="TB482" s="457"/>
      <c r="TC482" s="457"/>
      <c r="TD482" s="457"/>
      <c r="TE482" s="457"/>
      <c r="TF482" s="457"/>
      <c r="TG482" s="457"/>
      <c r="TH482" s="457"/>
      <c r="TI482" s="457"/>
      <c r="TJ482" s="457"/>
      <c r="TK482" s="457"/>
      <c r="TL482" s="457"/>
      <c r="TM482" s="457"/>
      <c r="TN482" s="457"/>
      <c r="TO482" s="457"/>
      <c r="TP482" s="457"/>
      <c r="TQ482" s="457"/>
      <c r="TR482" s="457"/>
      <c r="TS482" s="457"/>
      <c r="TT482" s="457"/>
      <c r="TU482" s="457"/>
      <c r="TV482" s="457"/>
      <c r="TW482" s="457"/>
      <c r="TX482" s="457"/>
      <c r="TY482" s="457"/>
      <c r="TZ482" s="457"/>
      <c r="UA482" s="457"/>
      <c r="UB482" s="457"/>
      <c r="UC482" s="457"/>
      <c r="UD482" s="457"/>
      <c r="UE482" s="457"/>
      <c r="UF482" s="457"/>
      <c r="UG482" s="457"/>
      <c r="UH482" s="457"/>
      <c r="UI482" s="457"/>
      <c r="UJ482" s="457"/>
      <c r="UK482" s="457"/>
      <c r="UL482" s="457"/>
      <c r="UM482" s="457"/>
      <c r="UN482" s="457"/>
      <c r="UO482" s="457"/>
      <c r="UP482" s="457"/>
      <c r="UQ482" s="457"/>
      <c r="UR482" s="457"/>
      <c r="US482" s="457"/>
      <c r="UT482" s="457"/>
      <c r="UU482" s="457"/>
      <c r="UV482" s="457"/>
      <c r="UW482" s="457"/>
      <c r="UX482" s="457"/>
      <c r="UY482" s="457"/>
      <c r="UZ482" s="457"/>
      <c r="VA482" s="457"/>
      <c r="VB482" s="457"/>
      <c r="VC482" s="457"/>
      <c r="VD482" s="457"/>
      <c r="VE482" s="457"/>
      <c r="VF482" s="457"/>
      <c r="VG482" s="457"/>
      <c r="VH482" s="457"/>
      <c r="VI482" s="457"/>
      <c r="VJ482" s="457"/>
      <c r="VK482" s="457"/>
      <c r="VL482" s="457"/>
      <c r="VM482" s="457"/>
      <c r="VN482" s="457"/>
      <c r="VO482" s="457"/>
      <c r="VP482" s="457"/>
      <c r="VQ482" s="457"/>
      <c r="VR482" s="457"/>
      <c r="VS482" s="457"/>
      <c r="VT482" s="457"/>
      <c r="VU482" s="457"/>
      <c r="VV482" s="457"/>
      <c r="VW482" s="457"/>
      <c r="VX482" s="457"/>
      <c r="VY482" s="457"/>
      <c r="VZ482" s="457"/>
      <c r="WA482" s="457"/>
      <c r="WB482" s="457"/>
      <c r="WC482" s="457"/>
      <c r="WD482" s="457"/>
      <c r="WE482" s="457"/>
      <c r="WF482" s="457"/>
      <c r="WG482" s="457"/>
      <c r="WH482" s="457"/>
      <c r="WI482" s="457"/>
      <c r="WJ482" s="457"/>
      <c r="WK482" s="457"/>
      <c r="WL482" s="457"/>
      <c r="WM482" s="457"/>
      <c r="WN482" s="457"/>
      <c r="WO482" s="457"/>
      <c r="WP482" s="457"/>
      <c r="WQ482" s="457"/>
      <c r="WR482" s="457"/>
      <c r="WS482" s="457"/>
      <c r="WT482" s="457"/>
      <c r="WU482" s="457"/>
      <c r="WV482" s="457"/>
      <c r="WW482" s="457"/>
      <c r="WX482" s="457"/>
      <c r="WY482" s="457"/>
      <c r="WZ482" s="457"/>
      <c r="XA482" s="457"/>
      <c r="XB482" s="457"/>
      <c r="XC482" s="457"/>
      <c r="XD482" s="457"/>
      <c r="XE482" s="457"/>
      <c r="XF482" s="457"/>
      <c r="XG482" s="457"/>
      <c r="XH482" s="457"/>
      <c r="XI482" s="457"/>
      <c r="XJ482" s="457"/>
      <c r="XK482" s="457"/>
      <c r="XL482" s="457"/>
      <c r="XM482" s="457"/>
      <c r="XN482" s="457"/>
      <c r="XO482" s="457"/>
      <c r="XP482" s="457"/>
      <c r="XQ482" s="457"/>
      <c r="XR482" s="457"/>
      <c r="XS482" s="457"/>
      <c r="XT482" s="457"/>
      <c r="XU482" s="457"/>
      <c r="XV482" s="457"/>
      <c r="XW482" s="457"/>
      <c r="XX482" s="457"/>
      <c r="XY482" s="457"/>
      <c r="XZ482" s="457"/>
      <c r="YA482" s="457"/>
      <c r="YB482" s="457"/>
      <c r="YC482" s="457"/>
      <c r="YD482" s="457"/>
      <c r="YE482" s="457"/>
      <c r="YF482" s="457"/>
      <c r="YG482" s="457"/>
      <c r="YH482" s="457"/>
      <c r="YI482" s="457"/>
      <c r="YJ482" s="457"/>
      <c r="YK482" s="457"/>
      <c r="YL482" s="457"/>
      <c r="YM482" s="457"/>
      <c r="YN482" s="457"/>
      <c r="YO482" s="457"/>
      <c r="YP482" s="457"/>
      <c r="YQ482" s="457"/>
      <c r="YR482" s="457"/>
      <c r="YS482" s="457"/>
      <c r="YT482" s="457"/>
      <c r="YU482" s="457"/>
      <c r="YV482" s="457"/>
      <c r="YW482" s="457"/>
      <c r="YX482" s="457"/>
      <c r="YY482" s="457"/>
      <c r="YZ482" s="457"/>
      <c r="ZA482" s="457"/>
      <c r="ZB482" s="457"/>
      <c r="ZC482" s="457"/>
      <c r="ZD482" s="457"/>
      <c r="ZE482" s="457"/>
      <c r="ZF482" s="457"/>
      <c r="ZG482" s="457"/>
      <c r="ZH482" s="457"/>
      <c r="ZI482" s="457"/>
      <c r="ZJ482" s="457"/>
      <c r="ZK482" s="457"/>
      <c r="ZL482" s="457"/>
      <c r="ZM482" s="457"/>
      <c r="ZN482" s="457"/>
      <c r="ZO482" s="457"/>
      <c r="ZP482" s="457"/>
      <c r="ZQ482" s="457"/>
      <c r="ZR482" s="457"/>
      <c r="ZS482" s="457"/>
      <c r="ZT482" s="457"/>
      <c r="ZU482" s="457"/>
      <c r="ZV482" s="457"/>
      <c r="ZW482" s="457"/>
      <c r="ZX482" s="457"/>
      <c r="ZY482" s="457"/>
      <c r="ZZ482" s="457"/>
      <c r="AAA482" s="457"/>
      <c r="AAB482" s="457"/>
      <c r="AAC482" s="457"/>
      <c r="AAD482" s="457"/>
      <c r="AAE482" s="457"/>
      <c r="AAF482" s="457"/>
      <c r="AAG482" s="457"/>
      <c r="AAH482" s="457"/>
      <c r="AAI482" s="457"/>
      <c r="AAJ482" s="457"/>
      <c r="AAK482" s="457"/>
      <c r="AAL482" s="457"/>
      <c r="AAM482" s="457"/>
      <c r="AAN482" s="457"/>
      <c r="AAO482" s="457"/>
      <c r="AAP482" s="457"/>
      <c r="AAQ482" s="457"/>
      <c r="AAR482" s="457"/>
      <c r="AAS482" s="457"/>
      <c r="AAT482" s="457"/>
      <c r="AAU482" s="457"/>
      <c r="AAV482" s="457"/>
      <c r="AAW482" s="457"/>
      <c r="AAX482" s="457"/>
      <c r="AAY482" s="457"/>
      <c r="AAZ482" s="457"/>
      <c r="ABA482" s="457"/>
      <c r="ABB482" s="457"/>
      <c r="ABC482" s="457"/>
      <c r="ABD482" s="457"/>
      <c r="ABE482" s="457"/>
      <c r="ABF482" s="457"/>
      <c r="ABG482" s="457"/>
      <c r="ABH482" s="457"/>
      <c r="ABI482" s="457"/>
      <c r="ABJ482" s="457"/>
      <c r="ABK482" s="457"/>
      <c r="ABL482" s="457"/>
      <c r="ABM482" s="457"/>
      <c r="ABN482" s="457"/>
      <c r="ABO482" s="457"/>
      <c r="ABP482" s="457"/>
      <c r="ABQ482" s="457"/>
      <c r="ABR482" s="457"/>
      <c r="ABS482" s="457"/>
      <c r="ABT482" s="457"/>
      <c r="ABU482" s="457"/>
      <c r="ABV482" s="457"/>
      <c r="ABW482" s="457"/>
      <c r="ABX482" s="457"/>
      <c r="ABY482" s="457"/>
      <c r="ABZ482" s="457"/>
      <c r="ACA482" s="457"/>
      <c r="ACB482" s="457"/>
      <c r="ACC482" s="457"/>
      <c r="ACD482" s="457"/>
      <c r="ACE482" s="457"/>
      <c r="ACF482" s="457"/>
      <c r="ACG482" s="457"/>
      <c r="ACH482" s="457"/>
      <c r="ACI482" s="457"/>
      <c r="ACJ482" s="457"/>
      <c r="ACK482" s="457"/>
      <c r="ACL482" s="457"/>
      <c r="ACM482" s="457"/>
      <c r="ACN482" s="457"/>
      <c r="ACO482" s="457"/>
      <c r="ACP482" s="457"/>
      <c r="ACQ482" s="457"/>
      <c r="ACR482" s="457"/>
      <c r="ACS482" s="457"/>
      <c r="ACT482" s="457"/>
      <c r="ACU482" s="457"/>
      <c r="ACV482" s="457"/>
    </row>
    <row r="483" spans="1:776" s="400" customFormat="1" x14ac:dyDescent="0.25">
      <c r="A483" s="470">
        <v>900198</v>
      </c>
      <c r="B483" s="237" t="s">
        <v>392</v>
      </c>
      <c r="C483" s="455"/>
      <c r="D483" s="454" t="s">
        <v>393</v>
      </c>
      <c r="E483" s="454">
        <v>1.53</v>
      </c>
      <c r="F483" s="458">
        <v>35.700000000000003</v>
      </c>
      <c r="G483" s="454">
        <v>0</v>
      </c>
      <c r="H483" s="454">
        <v>0.1</v>
      </c>
      <c r="I483" s="456">
        <v>298.45</v>
      </c>
      <c r="J483" s="454">
        <v>88.58</v>
      </c>
      <c r="K483" s="397">
        <v>1.0000000000000001E-5</v>
      </c>
      <c r="L483" s="454">
        <v>300</v>
      </c>
      <c r="M483" s="454">
        <v>0</v>
      </c>
      <c r="N483" s="454">
        <v>2.72</v>
      </c>
      <c r="O483" s="454">
        <v>167.33</v>
      </c>
      <c r="P483" s="454">
        <v>78.3</v>
      </c>
      <c r="Q483" s="454">
        <v>46.63</v>
      </c>
      <c r="R483" s="397">
        <v>1.0000000000000001E-5</v>
      </c>
      <c r="S483" s="397">
        <v>1.0000000000000001E-5</v>
      </c>
      <c r="T483" s="397">
        <v>1.0000000000000001E-5</v>
      </c>
      <c r="U483" s="454">
        <v>0.01</v>
      </c>
      <c r="V483" s="454"/>
      <c r="W483" s="457"/>
      <c r="X483" s="457"/>
      <c r="Y483" s="457"/>
      <c r="Z483" s="457"/>
      <c r="AA483" s="457"/>
      <c r="AB483" s="457"/>
      <c r="AC483" s="457"/>
      <c r="AD483" s="457"/>
      <c r="AE483" s="457"/>
      <c r="AF483" s="457"/>
      <c r="AG483" s="457"/>
      <c r="AH483" s="457"/>
      <c r="AI483" s="457"/>
      <c r="AJ483" s="457"/>
      <c r="AK483" s="457"/>
      <c r="AL483" s="457"/>
      <c r="AM483" s="457"/>
      <c r="AN483" s="457"/>
      <c r="AO483" s="457"/>
      <c r="AP483" s="457"/>
      <c r="AQ483" s="457"/>
      <c r="AR483" s="457"/>
      <c r="AS483" s="457"/>
      <c r="AT483" s="457"/>
      <c r="AU483" s="457"/>
      <c r="AV483" s="457"/>
      <c r="AW483" s="457"/>
      <c r="AX483" s="457"/>
      <c r="AY483" s="457"/>
      <c r="AZ483" s="457"/>
      <c r="BA483" s="457"/>
      <c r="BB483" s="457"/>
      <c r="BC483" s="457"/>
      <c r="BD483" s="457"/>
      <c r="BE483" s="457"/>
      <c r="BF483" s="457"/>
      <c r="BG483" s="457"/>
      <c r="BH483" s="457"/>
      <c r="BI483" s="457"/>
      <c r="BJ483" s="457"/>
      <c r="BK483" s="457"/>
      <c r="BL483" s="457"/>
      <c r="BM483" s="457"/>
      <c r="BN483" s="457"/>
      <c r="BO483" s="457"/>
      <c r="BP483" s="457"/>
      <c r="BQ483" s="457"/>
      <c r="BR483" s="457"/>
      <c r="BS483" s="457"/>
      <c r="BT483" s="457"/>
      <c r="BU483" s="457"/>
      <c r="BV483" s="457"/>
      <c r="BW483" s="457"/>
      <c r="BX483" s="457"/>
      <c r="BY483" s="457"/>
      <c r="BZ483" s="457"/>
      <c r="CA483" s="457"/>
      <c r="CB483" s="457"/>
      <c r="CC483" s="457"/>
      <c r="CD483" s="457"/>
      <c r="CE483" s="457"/>
      <c r="CF483" s="457"/>
      <c r="CG483" s="457"/>
      <c r="CH483" s="457"/>
      <c r="CI483" s="457"/>
      <c r="CJ483" s="457"/>
      <c r="CK483" s="457"/>
      <c r="CL483" s="457"/>
      <c r="CM483" s="457"/>
      <c r="CN483" s="457"/>
      <c r="CO483" s="457"/>
      <c r="CP483" s="457"/>
      <c r="CQ483" s="457"/>
      <c r="CR483" s="457"/>
      <c r="CS483" s="457"/>
      <c r="CT483" s="457"/>
      <c r="CU483" s="457"/>
      <c r="CV483" s="457"/>
      <c r="CW483" s="457"/>
      <c r="CX483" s="457"/>
      <c r="CY483" s="457"/>
      <c r="CZ483" s="457"/>
      <c r="DA483" s="457"/>
      <c r="DB483" s="457"/>
      <c r="DC483" s="457"/>
      <c r="DD483" s="457"/>
      <c r="DE483" s="457"/>
      <c r="DF483" s="457"/>
      <c r="DG483" s="457"/>
      <c r="DH483" s="457"/>
      <c r="DI483" s="457"/>
      <c r="DJ483" s="457"/>
      <c r="DK483" s="457"/>
      <c r="DL483" s="457"/>
      <c r="DM483" s="457"/>
      <c r="DN483" s="457"/>
      <c r="DO483" s="457"/>
      <c r="DP483" s="457"/>
      <c r="DQ483" s="457"/>
      <c r="DR483" s="457"/>
      <c r="DS483" s="457"/>
      <c r="DT483" s="457"/>
      <c r="DU483" s="457"/>
      <c r="DV483" s="457"/>
      <c r="DW483" s="457"/>
      <c r="DX483" s="457"/>
      <c r="DY483" s="457"/>
      <c r="DZ483" s="457"/>
      <c r="EA483" s="457"/>
      <c r="EB483" s="457"/>
      <c r="EC483" s="457"/>
      <c r="ED483" s="457"/>
      <c r="EE483" s="457"/>
      <c r="EF483" s="457"/>
      <c r="EG483" s="457"/>
      <c r="EH483" s="457"/>
      <c r="EI483" s="457"/>
      <c r="EJ483" s="457"/>
      <c r="EK483" s="457"/>
      <c r="EL483" s="457"/>
      <c r="EM483" s="457"/>
      <c r="EN483" s="457"/>
      <c r="EO483" s="457"/>
      <c r="EP483" s="457"/>
      <c r="EQ483" s="457"/>
      <c r="ER483" s="457"/>
      <c r="ES483" s="457"/>
      <c r="ET483" s="457"/>
      <c r="EU483" s="457"/>
      <c r="EV483" s="457"/>
      <c r="EW483" s="457"/>
      <c r="EX483" s="457"/>
      <c r="EY483" s="457"/>
      <c r="EZ483" s="457"/>
      <c r="FA483" s="457"/>
      <c r="FB483" s="457"/>
      <c r="FC483" s="457"/>
      <c r="FD483" s="457"/>
      <c r="FE483" s="457"/>
      <c r="FF483" s="457"/>
      <c r="FG483" s="457"/>
      <c r="FH483" s="457"/>
      <c r="FI483" s="457"/>
      <c r="FJ483" s="457"/>
      <c r="FK483" s="457"/>
      <c r="FL483" s="457"/>
      <c r="FM483" s="457"/>
      <c r="FN483" s="457"/>
      <c r="FO483" s="457"/>
      <c r="FP483" s="457"/>
      <c r="FQ483" s="457"/>
      <c r="FR483" s="457"/>
      <c r="FS483" s="457"/>
      <c r="FT483" s="457"/>
      <c r="FU483" s="457"/>
      <c r="FV483" s="457"/>
      <c r="FW483" s="457"/>
      <c r="FX483" s="457"/>
      <c r="FY483" s="457"/>
      <c r="FZ483" s="457"/>
      <c r="GA483" s="457"/>
      <c r="GB483" s="457"/>
      <c r="GC483" s="457"/>
      <c r="GD483" s="457"/>
      <c r="GE483" s="457"/>
      <c r="GF483" s="457"/>
      <c r="GG483" s="457"/>
      <c r="GH483" s="457"/>
      <c r="GI483" s="457"/>
      <c r="GJ483" s="457"/>
      <c r="GK483" s="457"/>
      <c r="GL483" s="457"/>
      <c r="GM483" s="457"/>
      <c r="GN483" s="457"/>
      <c r="GO483" s="457"/>
      <c r="GP483" s="457"/>
      <c r="GQ483" s="457"/>
      <c r="GR483" s="457"/>
      <c r="GS483" s="457"/>
      <c r="GT483" s="457"/>
      <c r="GU483" s="457"/>
      <c r="GV483" s="457"/>
      <c r="GW483" s="457"/>
      <c r="GX483" s="457"/>
      <c r="GY483" s="457"/>
      <c r="GZ483" s="457"/>
      <c r="HA483" s="457"/>
      <c r="HB483" s="457"/>
      <c r="HC483" s="457"/>
      <c r="HD483" s="457"/>
      <c r="HE483" s="457"/>
      <c r="HF483" s="457"/>
      <c r="HG483" s="457"/>
      <c r="HH483" s="457"/>
      <c r="HI483" s="457"/>
      <c r="HJ483" s="457"/>
      <c r="HK483" s="457"/>
      <c r="HL483" s="457"/>
      <c r="HM483" s="457"/>
      <c r="HN483" s="457"/>
      <c r="HO483" s="457"/>
      <c r="HP483" s="457"/>
      <c r="HQ483" s="457"/>
      <c r="HR483" s="457"/>
      <c r="HS483" s="457"/>
      <c r="HT483" s="457"/>
      <c r="HU483" s="457"/>
      <c r="HV483" s="457"/>
      <c r="HW483" s="457"/>
      <c r="HX483" s="457"/>
      <c r="HY483" s="457"/>
      <c r="HZ483" s="457"/>
      <c r="IA483" s="457"/>
      <c r="IB483" s="457"/>
      <c r="IC483" s="457"/>
      <c r="ID483" s="457"/>
      <c r="IE483" s="457"/>
      <c r="IF483" s="457"/>
      <c r="IG483" s="457"/>
      <c r="IH483" s="457"/>
      <c r="II483" s="457"/>
      <c r="IJ483" s="457"/>
      <c r="IK483" s="457"/>
      <c r="IL483" s="457"/>
      <c r="IM483" s="457"/>
      <c r="IN483" s="457"/>
      <c r="IO483" s="457"/>
      <c r="IP483" s="457"/>
      <c r="IQ483" s="457"/>
      <c r="IR483" s="457"/>
      <c r="IS483" s="457"/>
      <c r="IT483" s="457"/>
      <c r="IU483" s="457"/>
      <c r="IV483" s="457"/>
      <c r="IW483" s="457"/>
      <c r="IX483" s="457"/>
      <c r="IY483" s="457"/>
      <c r="IZ483" s="457"/>
      <c r="JA483" s="457"/>
      <c r="JB483" s="457"/>
      <c r="JC483" s="457"/>
      <c r="JD483" s="457"/>
      <c r="JE483" s="457"/>
      <c r="JF483" s="457"/>
      <c r="JG483" s="457"/>
      <c r="JH483" s="457"/>
      <c r="JI483" s="457"/>
      <c r="JJ483" s="457"/>
      <c r="JK483" s="457"/>
      <c r="JL483" s="457"/>
      <c r="JM483" s="457"/>
      <c r="JN483" s="457"/>
      <c r="JO483" s="457"/>
      <c r="JP483" s="457"/>
      <c r="JQ483" s="457"/>
      <c r="JR483" s="457"/>
      <c r="JS483" s="457"/>
      <c r="JT483" s="457"/>
      <c r="JU483" s="457"/>
      <c r="JV483" s="457"/>
      <c r="JW483" s="457"/>
      <c r="JX483" s="457"/>
      <c r="JY483" s="457"/>
      <c r="JZ483" s="457"/>
      <c r="KA483" s="457"/>
      <c r="KB483" s="457"/>
      <c r="KC483" s="457"/>
      <c r="KD483" s="457"/>
      <c r="KE483" s="457"/>
      <c r="KF483" s="457"/>
      <c r="KG483" s="457"/>
      <c r="KH483" s="457"/>
      <c r="KI483" s="457"/>
      <c r="KJ483" s="457"/>
      <c r="KK483" s="457"/>
      <c r="KL483" s="457"/>
      <c r="KM483" s="457"/>
      <c r="KN483" s="457"/>
      <c r="KO483" s="457"/>
      <c r="KP483" s="457"/>
      <c r="KQ483" s="457"/>
      <c r="KR483" s="457"/>
      <c r="KS483" s="457"/>
      <c r="KT483" s="457"/>
      <c r="KU483" s="457"/>
      <c r="KV483" s="457"/>
      <c r="KW483" s="457"/>
      <c r="KX483" s="457"/>
      <c r="KY483" s="457"/>
      <c r="KZ483" s="457"/>
      <c r="LA483" s="457"/>
      <c r="LB483" s="457"/>
      <c r="LC483" s="457"/>
      <c r="LD483" s="457"/>
      <c r="LE483" s="457"/>
      <c r="LF483" s="457"/>
      <c r="LG483" s="457"/>
      <c r="LH483" s="457"/>
      <c r="LI483" s="457"/>
      <c r="LJ483" s="457"/>
      <c r="LK483" s="457"/>
      <c r="LL483" s="457"/>
      <c r="LM483" s="457"/>
      <c r="LN483" s="457"/>
      <c r="LO483" s="457"/>
      <c r="LP483" s="457"/>
      <c r="LQ483" s="457"/>
      <c r="LR483" s="457"/>
      <c r="LS483" s="457"/>
      <c r="LT483" s="457"/>
      <c r="LU483" s="457"/>
      <c r="LV483" s="457"/>
      <c r="LW483" s="457"/>
      <c r="LX483" s="457"/>
      <c r="LY483" s="457"/>
      <c r="LZ483" s="457"/>
      <c r="MA483" s="457"/>
      <c r="MB483" s="457"/>
      <c r="MC483" s="457"/>
      <c r="MD483" s="457"/>
      <c r="ME483" s="457"/>
      <c r="MF483" s="457"/>
      <c r="MG483" s="457"/>
      <c r="MH483" s="457"/>
      <c r="MI483" s="457"/>
      <c r="MJ483" s="457"/>
      <c r="MK483" s="457"/>
      <c r="ML483" s="457"/>
      <c r="MM483" s="457"/>
      <c r="MN483" s="457"/>
      <c r="MO483" s="457"/>
      <c r="MP483" s="457"/>
      <c r="MQ483" s="457"/>
      <c r="MR483" s="457"/>
      <c r="MS483" s="457"/>
      <c r="MT483" s="457"/>
      <c r="MU483" s="457"/>
      <c r="MV483" s="457"/>
      <c r="MW483" s="457"/>
      <c r="MX483" s="457"/>
      <c r="MY483" s="457"/>
      <c r="MZ483" s="457"/>
      <c r="NA483" s="457"/>
      <c r="NB483" s="457"/>
      <c r="NC483" s="457"/>
      <c r="ND483" s="457"/>
      <c r="NE483" s="457"/>
      <c r="NF483" s="457"/>
      <c r="NG483" s="457"/>
      <c r="NH483" s="457"/>
      <c r="NI483" s="457"/>
      <c r="NJ483" s="457"/>
      <c r="NK483" s="457"/>
      <c r="NL483" s="457"/>
      <c r="NM483" s="457"/>
      <c r="NN483" s="457"/>
      <c r="NO483" s="457"/>
      <c r="NP483" s="457"/>
      <c r="NQ483" s="457"/>
      <c r="NR483" s="457"/>
      <c r="NS483" s="457"/>
      <c r="NT483" s="457"/>
      <c r="NU483" s="457"/>
      <c r="NV483" s="457"/>
      <c r="NW483" s="457"/>
      <c r="NX483" s="457"/>
      <c r="NY483" s="457"/>
      <c r="NZ483" s="457"/>
      <c r="OA483" s="457"/>
      <c r="OB483" s="457"/>
      <c r="OC483" s="457"/>
      <c r="OD483" s="457"/>
      <c r="OE483" s="457"/>
      <c r="OF483" s="457"/>
      <c r="OG483" s="457"/>
      <c r="OH483" s="457"/>
      <c r="OI483" s="457"/>
      <c r="OJ483" s="457"/>
      <c r="OK483" s="457"/>
      <c r="OL483" s="457"/>
      <c r="OM483" s="457"/>
      <c r="ON483" s="457"/>
      <c r="OO483" s="457"/>
      <c r="OP483" s="457"/>
      <c r="OQ483" s="457"/>
      <c r="OR483" s="457"/>
      <c r="OS483" s="457"/>
      <c r="OT483" s="457"/>
      <c r="OU483" s="457"/>
      <c r="OV483" s="457"/>
      <c r="OW483" s="457"/>
      <c r="OX483" s="457"/>
      <c r="OY483" s="457"/>
      <c r="OZ483" s="457"/>
      <c r="PA483" s="457"/>
      <c r="PB483" s="457"/>
      <c r="PC483" s="457"/>
      <c r="PD483" s="457"/>
      <c r="PE483" s="457"/>
      <c r="PF483" s="457"/>
      <c r="PG483" s="457"/>
      <c r="PH483" s="457"/>
      <c r="PI483" s="457"/>
      <c r="PJ483" s="457"/>
      <c r="PK483" s="457"/>
      <c r="PL483" s="457"/>
      <c r="PM483" s="457"/>
      <c r="PN483" s="457"/>
      <c r="PO483" s="457"/>
      <c r="PP483" s="457"/>
      <c r="PQ483" s="457"/>
      <c r="PR483" s="457"/>
      <c r="PS483" s="457"/>
      <c r="PT483" s="457"/>
      <c r="PU483" s="457"/>
      <c r="PV483" s="457"/>
      <c r="PW483" s="457"/>
      <c r="PX483" s="457"/>
      <c r="PY483" s="457"/>
      <c r="PZ483" s="457"/>
      <c r="QA483" s="457"/>
      <c r="QB483" s="457"/>
      <c r="QC483" s="457"/>
      <c r="QD483" s="457"/>
      <c r="QE483" s="457"/>
      <c r="QF483" s="457"/>
      <c r="QG483" s="457"/>
      <c r="QH483" s="457"/>
      <c r="QI483" s="457"/>
      <c r="QJ483" s="457"/>
      <c r="QK483" s="457"/>
      <c r="QL483" s="457"/>
      <c r="QM483" s="457"/>
      <c r="QN483" s="457"/>
      <c r="QO483" s="457"/>
      <c r="QP483" s="457"/>
      <c r="QQ483" s="457"/>
      <c r="QR483" s="457"/>
      <c r="QS483" s="457"/>
      <c r="QT483" s="457"/>
      <c r="QU483" s="457"/>
      <c r="QV483" s="457"/>
      <c r="QW483" s="457"/>
      <c r="QX483" s="457"/>
      <c r="QY483" s="457"/>
      <c r="QZ483" s="457"/>
      <c r="RA483" s="457"/>
      <c r="RB483" s="457"/>
      <c r="RC483" s="457"/>
      <c r="RD483" s="457"/>
      <c r="RE483" s="457"/>
      <c r="RF483" s="457"/>
      <c r="RG483" s="457"/>
      <c r="RH483" s="457"/>
      <c r="RI483" s="457"/>
      <c r="RJ483" s="457"/>
      <c r="RK483" s="457"/>
      <c r="RL483" s="457"/>
      <c r="RM483" s="457"/>
      <c r="RN483" s="457"/>
      <c r="RO483" s="457"/>
      <c r="RP483" s="457"/>
      <c r="RQ483" s="457"/>
      <c r="RR483" s="457"/>
      <c r="RS483" s="457"/>
      <c r="RT483" s="457"/>
      <c r="RU483" s="457"/>
      <c r="RV483" s="457"/>
      <c r="RW483" s="457"/>
      <c r="RX483" s="457"/>
      <c r="RY483" s="457"/>
      <c r="RZ483" s="457"/>
      <c r="SA483" s="457"/>
      <c r="SB483" s="457"/>
      <c r="SC483" s="457"/>
      <c r="SD483" s="457"/>
      <c r="SE483" s="457"/>
      <c r="SF483" s="457"/>
      <c r="SG483" s="457"/>
      <c r="SH483" s="457"/>
      <c r="SI483" s="457"/>
      <c r="SJ483" s="457"/>
      <c r="SK483" s="457"/>
      <c r="SL483" s="457"/>
      <c r="SM483" s="457"/>
      <c r="SN483" s="457"/>
      <c r="SO483" s="457"/>
      <c r="SP483" s="457"/>
      <c r="SQ483" s="457"/>
      <c r="SR483" s="457"/>
      <c r="SS483" s="457"/>
      <c r="ST483" s="457"/>
      <c r="SU483" s="457"/>
      <c r="SV483" s="457"/>
      <c r="SW483" s="457"/>
      <c r="SX483" s="457"/>
      <c r="SY483" s="457"/>
      <c r="SZ483" s="457"/>
      <c r="TA483" s="457"/>
      <c r="TB483" s="457"/>
      <c r="TC483" s="457"/>
      <c r="TD483" s="457"/>
      <c r="TE483" s="457"/>
      <c r="TF483" s="457"/>
      <c r="TG483" s="457"/>
      <c r="TH483" s="457"/>
      <c r="TI483" s="457"/>
      <c r="TJ483" s="457"/>
      <c r="TK483" s="457"/>
      <c r="TL483" s="457"/>
      <c r="TM483" s="457"/>
      <c r="TN483" s="457"/>
      <c r="TO483" s="457"/>
      <c r="TP483" s="457"/>
      <c r="TQ483" s="457"/>
      <c r="TR483" s="457"/>
      <c r="TS483" s="457"/>
      <c r="TT483" s="457"/>
      <c r="TU483" s="457"/>
      <c r="TV483" s="457"/>
      <c r="TW483" s="457"/>
      <c r="TX483" s="457"/>
      <c r="TY483" s="457"/>
      <c r="TZ483" s="457"/>
      <c r="UA483" s="457"/>
      <c r="UB483" s="457"/>
      <c r="UC483" s="457"/>
      <c r="UD483" s="457"/>
      <c r="UE483" s="457"/>
      <c r="UF483" s="457"/>
      <c r="UG483" s="457"/>
      <c r="UH483" s="457"/>
      <c r="UI483" s="457"/>
      <c r="UJ483" s="457"/>
      <c r="UK483" s="457"/>
      <c r="UL483" s="457"/>
      <c r="UM483" s="457"/>
      <c r="UN483" s="457"/>
      <c r="UO483" s="457"/>
      <c r="UP483" s="457"/>
      <c r="UQ483" s="457"/>
      <c r="UR483" s="457"/>
      <c r="US483" s="457"/>
      <c r="UT483" s="457"/>
      <c r="UU483" s="457"/>
      <c r="UV483" s="457"/>
      <c r="UW483" s="457"/>
      <c r="UX483" s="457"/>
      <c r="UY483" s="457"/>
      <c r="UZ483" s="457"/>
      <c r="VA483" s="457"/>
      <c r="VB483" s="457"/>
      <c r="VC483" s="457"/>
      <c r="VD483" s="457"/>
      <c r="VE483" s="457"/>
      <c r="VF483" s="457"/>
      <c r="VG483" s="457"/>
      <c r="VH483" s="457"/>
      <c r="VI483" s="457"/>
      <c r="VJ483" s="457"/>
      <c r="VK483" s="457"/>
      <c r="VL483" s="457"/>
      <c r="VM483" s="457"/>
      <c r="VN483" s="457"/>
      <c r="VO483" s="457"/>
      <c r="VP483" s="457"/>
      <c r="VQ483" s="457"/>
      <c r="VR483" s="457"/>
      <c r="VS483" s="457"/>
      <c r="VT483" s="457"/>
      <c r="VU483" s="457"/>
      <c r="VV483" s="457"/>
      <c r="VW483" s="457"/>
      <c r="VX483" s="457"/>
      <c r="VY483" s="457"/>
      <c r="VZ483" s="457"/>
      <c r="WA483" s="457"/>
      <c r="WB483" s="457"/>
      <c r="WC483" s="457"/>
      <c r="WD483" s="457"/>
      <c r="WE483" s="457"/>
      <c r="WF483" s="457"/>
      <c r="WG483" s="457"/>
      <c r="WH483" s="457"/>
      <c r="WI483" s="457"/>
      <c r="WJ483" s="457"/>
      <c r="WK483" s="457"/>
      <c r="WL483" s="457"/>
      <c r="WM483" s="457"/>
      <c r="WN483" s="457"/>
      <c r="WO483" s="457"/>
      <c r="WP483" s="457"/>
      <c r="WQ483" s="457"/>
      <c r="WR483" s="457"/>
      <c r="WS483" s="457"/>
      <c r="WT483" s="457"/>
      <c r="WU483" s="457"/>
      <c r="WV483" s="457"/>
      <c r="WW483" s="457"/>
      <c r="WX483" s="457"/>
      <c r="WY483" s="457"/>
      <c r="WZ483" s="457"/>
      <c r="XA483" s="457"/>
      <c r="XB483" s="457"/>
      <c r="XC483" s="457"/>
      <c r="XD483" s="457"/>
      <c r="XE483" s="457"/>
      <c r="XF483" s="457"/>
      <c r="XG483" s="457"/>
      <c r="XH483" s="457"/>
      <c r="XI483" s="457"/>
      <c r="XJ483" s="457"/>
      <c r="XK483" s="457"/>
      <c r="XL483" s="457"/>
      <c r="XM483" s="457"/>
      <c r="XN483" s="457"/>
      <c r="XO483" s="457"/>
      <c r="XP483" s="457"/>
      <c r="XQ483" s="457"/>
      <c r="XR483" s="457"/>
      <c r="XS483" s="457"/>
      <c r="XT483" s="457"/>
      <c r="XU483" s="457"/>
      <c r="XV483" s="457"/>
      <c r="XW483" s="457"/>
      <c r="XX483" s="457"/>
      <c r="XY483" s="457"/>
      <c r="XZ483" s="457"/>
      <c r="YA483" s="457"/>
      <c r="YB483" s="457"/>
      <c r="YC483" s="457"/>
      <c r="YD483" s="457"/>
      <c r="YE483" s="457"/>
      <c r="YF483" s="457"/>
      <c r="YG483" s="457"/>
      <c r="YH483" s="457"/>
      <c r="YI483" s="457"/>
      <c r="YJ483" s="457"/>
      <c r="YK483" s="457"/>
      <c r="YL483" s="457"/>
      <c r="YM483" s="457"/>
      <c r="YN483" s="457"/>
      <c r="YO483" s="457"/>
      <c r="YP483" s="457"/>
      <c r="YQ483" s="457"/>
      <c r="YR483" s="457"/>
      <c r="YS483" s="457"/>
      <c r="YT483" s="457"/>
      <c r="YU483" s="457"/>
      <c r="YV483" s="457"/>
      <c r="YW483" s="457"/>
      <c r="YX483" s="457"/>
      <c r="YY483" s="457"/>
      <c r="YZ483" s="457"/>
      <c r="ZA483" s="457"/>
      <c r="ZB483" s="457"/>
      <c r="ZC483" s="457"/>
      <c r="ZD483" s="457"/>
      <c r="ZE483" s="457"/>
      <c r="ZF483" s="457"/>
      <c r="ZG483" s="457"/>
      <c r="ZH483" s="457"/>
      <c r="ZI483" s="457"/>
      <c r="ZJ483" s="457"/>
      <c r="ZK483" s="457"/>
      <c r="ZL483" s="457"/>
      <c r="ZM483" s="457"/>
      <c r="ZN483" s="457"/>
      <c r="ZO483" s="457"/>
      <c r="ZP483" s="457"/>
      <c r="ZQ483" s="457"/>
      <c r="ZR483" s="457"/>
      <c r="ZS483" s="457"/>
      <c r="ZT483" s="457"/>
      <c r="ZU483" s="457"/>
      <c r="ZV483" s="457"/>
      <c r="ZW483" s="457"/>
      <c r="ZX483" s="457"/>
      <c r="ZY483" s="457"/>
      <c r="ZZ483" s="457"/>
      <c r="AAA483" s="457"/>
      <c r="AAB483" s="457"/>
      <c r="AAC483" s="457"/>
      <c r="AAD483" s="457"/>
      <c r="AAE483" s="457"/>
      <c r="AAF483" s="457"/>
      <c r="AAG483" s="457"/>
      <c r="AAH483" s="457"/>
      <c r="AAI483" s="457"/>
      <c r="AAJ483" s="457"/>
      <c r="AAK483" s="457"/>
      <c r="AAL483" s="457"/>
      <c r="AAM483" s="457"/>
      <c r="AAN483" s="457"/>
      <c r="AAO483" s="457"/>
      <c r="AAP483" s="457"/>
      <c r="AAQ483" s="457"/>
      <c r="AAR483" s="457"/>
      <c r="AAS483" s="457"/>
      <c r="AAT483" s="457"/>
      <c r="AAU483" s="457"/>
      <c r="AAV483" s="457"/>
      <c r="AAW483" s="457"/>
      <c r="AAX483" s="457"/>
      <c r="AAY483" s="457"/>
      <c r="AAZ483" s="457"/>
      <c r="ABA483" s="457"/>
      <c r="ABB483" s="457"/>
      <c r="ABC483" s="457"/>
      <c r="ABD483" s="457"/>
      <c r="ABE483" s="457"/>
      <c r="ABF483" s="457"/>
      <c r="ABG483" s="457"/>
      <c r="ABH483" s="457"/>
      <c r="ABI483" s="457"/>
      <c r="ABJ483" s="457"/>
      <c r="ABK483" s="457"/>
      <c r="ABL483" s="457"/>
      <c r="ABM483" s="457"/>
      <c r="ABN483" s="457"/>
      <c r="ABO483" s="457"/>
      <c r="ABP483" s="457"/>
      <c r="ABQ483" s="457"/>
      <c r="ABR483" s="457"/>
      <c r="ABS483" s="457"/>
      <c r="ABT483" s="457"/>
      <c r="ABU483" s="457"/>
      <c r="ABV483" s="457"/>
      <c r="ABW483" s="457"/>
      <c r="ABX483" s="457"/>
      <c r="ABY483" s="457"/>
      <c r="ABZ483" s="457"/>
      <c r="ACA483" s="457"/>
      <c r="ACB483" s="457"/>
      <c r="ACC483" s="457"/>
      <c r="ACD483" s="457"/>
      <c r="ACE483" s="457"/>
      <c r="ACF483" s="457"/>
      <c r="ACG483" s="457"/>
      <c r="ACH483" s="457"/>
      <c r="ACI483" s="457"/>
      <c r="ACJ483" s="457"/>
      <c r="ACK483" s="457"/>
      <c r="ACL483" s="457"/>
      <c r="ACM483" s="457"/>
      <c r="ACN483" s="457"/>
      <c r="ACO483" s="457"/>
      <c r="ACP483" s="457"/>
      <c r="ACQ483" s="457"/>
      <c r="ACR483" s="457"/>
      <c r="ACS483" s="457"/>
      <c r="ACT483" s="457"/>
      <c r="ACU483" s="457"/>
      <c r="ACV483" s="457"/>
    </row>
    <row r="484" spans="1:776" s="400" customFormat="1" x14ac:dyDescent="0.25">
      <c r="A484" s="470">
        <v>900199</v>
      </c>
      <c r="B484" s="237" t="s">
        <v>394</v>
      </c>
      <c r="C484" s="455"/>
      <c r="D484" s="454" t="s">
        <v>395</v>
      </c>
      <c r="E484" s="454">
        <v>0.68</v>
      </c>
      <c r="F484" s="458">
        <v>5.3</v>
      </c>
      <c r="G484" s="454">
        <v>0</v>
      </c>
      <c r="H484" s="454">
        <v>0.03</v>
      </c>
      <c r="I484" s="456">
        <v>99.96</v>
      </c>
      <c r="J484" s="454">
        <v>79</v>
      </c>
      <c r="K484" s="397">
        <v>1.0000000000000001E-5</v>
      </c>
      <c r="L484" s="454">
        <v>132</v>
      </c>
      <c r="M484" s="454">
        <v>0</v>
      </c>
      <c r="N484" s="454">
        <v>3.6</v>
      </c>
      <c r="O484" s="454">
        <v>70.599999999999994</v>
      </c>
      <c r="P484" s="454">
        <v>46.19</v>
      </c>
      <c r="Q484" s="454">
        <v>18.95</v>
      </c>
      <c r="R484" s="454">
        <v>0.02</v>
      </c>
      <c r="S484" s="397">
        <v>1.0000000000000001E-5</v>
      </c>
      <c r="T484" s="397">
        <v>1.0000000000000001E-5</v>
      </c>
      <c r="U484" s="454">
        <v>0.01</v>
      </c>
      <c r="V484" s="454"/>
      <c r="W484" s="457"/>
      <c r="X484" s="457"/>
      <c r="Y484" s="457"/>
      <c r="Z484" s="457"/>
      <c r="AA484" s="457"/>
      <c r="AB484" s="457"/>
      <c r="AC484" s="457"/>
      <c r="AD484" s="457"/>
      <c r="AE484" s="457"/>
      <c r="AF484" s="457"/>
      <c r="AG484" s="457"/>
      <c r="AH484" s="457"/>
      <c r="AI484" s="457"/>
      <c r="AJ484" s="457"/>
      <c r="AK484" s="457"/>
      <c r="AL484" s="457"/>
      <c r="AM484" s="457"/>
      <c r="AN484" s="457"/>
      <c r="AO484" s="457"/>
      <c r="AP484" s="457"/>
      <c r="AQ484" s="457"/>
      <c r="AR484" s="457"/>
      <c r="AS484" s="457"/>
      <c r="AT484" s="457"/>
      <c r="AU484" s="457"/>
      <c r="AV484" s="457"/>
      <c r="AW484" s="457"/>
      <c r="AX484" s="457"/>
      <c r="AY484" s="457"/>
      <c r="AZ484" s="457"/>
      <c r="BA484" s="457"/>
      <c r="BB484" s="457"/>
      <c r="BC484" s="457"/>
      <c r="BD484" s="457"/>
      <c r="BE484" s="457"/>
      <c r="BF484" s="457"/>
      <c r="BG484" s="457"/>
      <c r="BH484" s="457"/>
      <c r="BI484" s="457"/>
      <c r="BJ484" s="457"/>
      <c r="BK484" s="457"/>
      <c r="BL484" s="457"/>
      <c r="BM484" s="457"/>
      <c r="BN484" s="457"/>
      <c r="BO484" s="457"/>
      <c r="BP484" s="457"/>
      <c r="BQ484" s="457"/>
      <c r="BR484" s="457"/>
      <c r="BS484" s="457"/>
      <c r="BT484" s="457"/>
      <c r="BU484" s="457"/>
      <c r="BV484" s="457"/>
      <c r="BW484" s="457"/>
      <c r="BX484" s="457"/>
      <c r="BY484" s="457"/>
      <c r="BZ484" s="457"/>
      <c r="CA484" s="457"/>
      <c r="CB484" s="457"/>
      <c r="CC484" s="457"/>
      <c r="CD484" s="457"/>
      <c r="CE484" s="457"/>
      <c r="CF484" s="457"/>
      <c r="CG484" s="457"/>
      <c r="CH484" s="457"/>
      <c r="CI484" s="457"/>
      <c r="CJ484" s="457"/>
      <c r="CK484" s="457"/>
      <c r="CL484" s="457"/>
      <c r="CM484" s="457"/>
      <c r="CN484" s="457"/>
      <c r="CO484" s="457"/>
      <c r="CP484" s="457"/>
      <c r="CQ484" s="457"/>
      <c r="CR484" s="457"/>
      <c r="CS484" s="457"/>
      <c r="CT484" s="457"/>
      <c r="CU484" s="457"/>
      <c r="CV484" s="457"/>
      <c r="CW484" s="457"/>
      <c r="CX484" s="457"/>
      <c r="CY484" s="457"/>
      <c r="CZ484" s="457"/>
      <c r="DA484" s="457"/>
      <c r="DB484" s="457"/>
      <c r="DC484" s="457"/>
      <c r="DD484" s="457"/>
      <c r="DE484" s="457"/>
      <c r="DF484" s="457"/>
      <c r="DG484" s="457"/>
      <c r="DH484" s="457"/>
      <c r="DI484" s="457"/>
      <c r="DJ484" s="457"/>
      <c r="DK484" s="457"/>
      <c r="DL484" s="457"/>
      <c r="DM484" s="457"/>
      <c r="DN484" s="457"/>
      <c r="DO484" s="457"/>
      <c r="DP484" s="457"/>
      <c r="DQ484" s="457"/>
      <c r="DR484" s="457"/>
      <c r="DS484" s="457"/>
      <c r="DT484" s="457"/>
      <c r="DU484" s="457"/>
      <c r="DV484" s="457"/>
      <c r="DW484" s="457"/>
      <c r="DX484" s="457"/>
      <c r="DY484" s="457"/>
      <c r="DZ484" s="457"/>
      <c r="EA484" s="457"/>
      <c r="EB484" s="457"/>
      <c r="EC484" s="457"/>
      <c r="ED484" s="457"/>
      <c r="EE484" s="457"/>
      <c r="EF484" s="457"/>
      <c r="EG484" s="457"/>
      <c r="EH484" s="457"/>
      <c r="EI484" s="457"/>
      <c r="EJ484" s="457"/>
      <c r="EK484" s="457"/>
      <c r="EL484" s="457"/>
      <c r="EM484" s="457"/>
      <c r="EN484" s="457"/>
      <c r="EO484" s="457"/>
      <c r="EP484" s="457"/>
      <c r="EQ484" s="457"/>
      <c r="ER484" s="457"/>
      <c r="ES484" s="457"/>
      <c r="ET484" s="457"/>
      <c r="EU484" s="457"/>
      <c r="EV484" s="457"/>
      <c r="EW484" s="457"/>
      <c r="EX484" s="457"/>
      <c r="EY484" s="457"/>
      <c r="EZ484" s="457"/>
      <c r="FA484" s="457"/>
      <c r="FB484" s="457"/>
      <c r="FC484" s="457"/>
      <c r="FD484" s="457"/>
      <c r="FE484" s="457"/>
      <c r="FF484" s="457"/>
      <c r="FG484" s="457"/>
      <c r="FH484" s="457"/>
      <c r="FI484" s="457"/>
      <c r="FJ484" s="457"/>
      <c r="FK484" s="457"/>
      <c r="FL484" s="457"/>
      <c r="FM484" s="457"/>
      <c r="FN484" s="457"/>
      <c r="FO484" s="457"/>
      <c r="FP484" s="457"/>
      <c r="FQ484" s="457"/>
      <c r="FR484" s="457"/>
      <c r="FS484" s="457"/>
      <c r="FT484" s="457"/>
      <c r="FU484" s="457"/>
      <c r="FV484" s="457"/>
      <c r="FW484" s="457"/>
      <c r="FX484" s="457"/>
      <c r="FY484" s="457"/>
      <c r="FZ484" s="457"/>
      <c r="GA484" s="457"/>
      <c r="GB484" s="457"/>
      <c r="GC484" s="457"/>
      <c r="GD484" s="457"/>
      <c r="GE484" s="457"/>
      <c r="GF484" s="457"/>
      <c r="GG484" s="457"/>
      <c r="GH484" s="457"/>
      <c r="GI484" s="457"/>
      <c r="GJ484" s="457"/>
      <c r="GK484" s="457"/>
      <c r="GL484" s="457"/>
      <c r="GM484" s="457"/>
      <c r="GN484" s="457"/>
      <c r="GO484" s="457"/>
      <c r="GP484" s="457"/>
      <c r="GQ484" s="457"/>
      <c r="GR484" s="457"/>
      <c r="GS484" s="457"/>
      <c r="GT484" s="457"/>
      <c r="GU484" s="457"/>
      <c r="GV484" s="457"/>
      <c r="GW484" s="457"/>
      <c r="GX484" s="457"/>
      <c r="GY484" s="457"/>
      <c r="GZ484" s="457"/>
      <c r="HA484" s="457"/>
      <c r="HB484" s="457"/>
      <c r="HC484" s="457"/>
      <c r="HD484" s="457"/>
      <c r="HE484" s="457"/>
      <c r="HF484" s="457"/>
      <c r="HG484" s="457"/>
      <c r="HH484" s="457"/>
      <c r="HI484" s="457"/>
      <c r="HJ484" s="457"/>
      <c r="HK484" s="457"/>
      <c r="HL484" s="457"/>
      <c r="HM484" s="457"/>
      <c r="HN484" s="457"/>
      <c r="HO484" s="457"/>
      <c r="HP484" s="457"/>
      <c r="HQ484" s="457"/>
      <c r="HR484" s="457"/>
      <c r="HS484" s="457"/>
      <c r="HT484" s="457"/>
      <c r="HU484" s="457"/>
      <c r="HV484" s="457"/>
      <c r="HW484" s="457"/>
      <c r="HX484" s="457"/>
      <c r="HY484" s="457"/>
      <c r="HZ484" s="457"/>
      <c r="IA484" s="457"/>
      <c r="IB484" s="457"/>
      <c r="IC484" s="457"/>
      <c r="ID484" s="457"/>
      <c r="IE484" s="457"/>
      <c r="IF484" s="457"/>
      <c r="IG484" s="457"/>
      <c r="IH484" s="457"/>
      <c r="II484" s="457"/>
      <c r="IJ484" s="457"/>
      <c r="IK484" s="457"/>
      <c r="IL484" s="457"/>
      <c r="IM484" s="457"/>
      <c r="IN484" s="457"/>
      <c r="IO484" s="457"/>
      <c r="IP484" s="457"/>
      <c r="IQ484" s="457"/>
      <c r="IR484" s="457"/>
      <c r="IS484" s="457"/>
      <c r="IT484" s="457"/>
      <c r="IU484" s="457"/>
      <c r="IV484" s="457"/>
      <c r="IW484" s="457"/>
      <c r="IX484" s="457"/>
      <c r="IY484" s="457"/>
      <c r="IZ484" s="457"/>
      <c r="JA484" s="457"/>
      <c r="JB484" s="457"/>
      <c r="JC484" s="457"/>
      <c r="JD484" s="457"/>
      <c r="JE484" s="457"/>
      <c r="JF484" s="457"/>
      <c r="JG484" s="457"/>
      <c r="JH484" s="457"/>
      <c r="JI484" s="457"/>
      <c r="JJ484" s="457"/>
      <c r="JK484" s="457"/>
      <c r="JL484" s="457"/>
      <c r="JM484" s="457"/>
      <c r="JN484" s="457"/>
      <c r="JO484" s="457"/>
      <c r="JP484" s="457"/>
      <c r="JQ484" s="457"/>
      <c r="JR484" s="457"/>
      <c r="JS484" s="457"/>
      <c r="JT484" s="457"/>
      <c r="JU484" s="457"/>
      <c r="JV484" s="457"/>
      <c r="JW484" s="457"/>
      <c r="JX484" s="457"/>
      <c r="JY484" s="457"/>
      <c r="JZ484" s="457"/>
      <c r="KA484" s="457"/>
      <c r="KB484" s="457"/>
      <c r="KC484" s="457"/>
      <c r="KD484" s="457"/>
      <c r="KE484" s="457"/>
      <c r="KF484" s="457"/>
      <c r="KG484" s="457"/>
      <c r="KH484" s="457"/>
      <c r="KI484" s="457"/>
      <c r="KJ484" s="457"/>
      <c r="KK484" s="457"/>
      <c r="KL484" s="457"/>
      <c r="KM484" s="457"/>
      <c r="KN484" s="457"/>
      <c r="KO484" s="457"/>
      <c r="KP484" s="457"/>
      <c r="KQ484" s="457"/>
      <c r="KR484" s="457"/>
      <c r="KS484" s="457"/>
      <c r="KT484" s="457"/>
      <c r="KU484" s="457"/>
      <c r="KV484" s="457"/>
      <c r="KW484" s="457"/>
      <c r="KX484" s="457"/>
      <c r="KY484" s="457"/>
      <c r="KZ484" s="457"/>
      <c r="LA484" s="457"/>
      <c r="LB484" s="457"/>
      <c r="LC484" s="457"/>
      <c r="LD484" s="457"/>
      <c r="LE484" s="457"/>
      <c r="LF484" s="457"/>
      <c r="LG484" s="457"/>
      <c r="LH484" s="457"/>
      <c r="LI484" s="457"/>
      <c r="LJ484" s="457"/>
      <c r="LK484" s="457"/>
      <c r="LL484" s="457"/>
      <c r="LM484" s="457"/>
      <c r="LN484" s="457"/>
      <c r="LO484" s="457"/>
      <c r="LP484" s="457"/>
      <c r="LQ484" s="457"/>
      <c r="LR484" s="457"/>
      <c r="LS484" s="457"/>
      <c r="LT484" s="457"/>
      <c r="LU484" s="457"/>
      <c r="LV484" s="457"/>
      <c r="LW484" s="457"/>
      <c r="LX484" s="457"/>
      <c r="LY484" s="457"/>
      <c r="LZ484" s="457"/>
      <c r="MA484" s="457"/>
      <c r="MB484" s="457"/>
      <c r="MC484" s="457"/>
      <c r="MD484" s="457"/>
      <c r="ME484" s="457"/>
      <c r="MF484" s="457"/>
      <c r="MG484" s="457"/>
      <c r="MH484" s="457"/>
      <c r="MI484" s="457"/>
      <c r="MJ484" s="457"/>
      <c r="MK484" s="457"/>
      <c r="ML484" s="457"/>
      <c r="MM484" s="457"/>
      <c r="MN484" s="457"/>
      <c r="MO484" s="457"/>
      <c r="MP484" s="457"/>
      <c r="MQ484" s="457"/>
      <c r="MR484" s="457"/>
      <c r="MS484" s="457"/>
      <c r="MT484" s="457"/>
      <c r="MU484" s="457"/>
      <c r="MV484" s="457"/>
      <c r="MW484" s="457"/>
      <c r="MX484" s="457"/>
      <c r="MY484" s="457"/>
      <c r="MZ484" s="457"/>
      <c r="NA484" s="457"/>
      <c r="NB484" s="457"/>
      <c r="NC484" s="457"/>
      <c r="ND484" s="457"/>
      <c r="NE484" s="457"/>
      <c r="NF484" s="457"/>
      <c r="NG484" s="457"/>
      <c r="NH484" s="457"/>
      <c r="NI484" s="457"/>
      <c r="NJ484" s="457"/>
      <c r="NK484" s="457"/>
      <c r="NL484" s="457"/>
      <c r="NM484" s="457"/>
      <c r="NN484" s="457"/>
      <c r="NO484" s="457"/>
      <c r="NP484" s="457"/>
      <c r="NQ484" s="457"/>
      <c r="NR484" s="457"/>
      <c r="NS484" s="457"/>
      <c r="NT484" s="457"/>
      <c r="NU484" s="457"/>
      <c r="NV484" s="457"/>
      <c r="NW484" s="457"/>
      <c r="NX484" s="457"/>
      <c r="NY484" s="457"/>
      <c r="NZ484" s="457"/>
      <c r="OA484" s="457"/>
      <c r="OB484" s="457"/>
      <c r="OC484" s="457"/>
      <c r="OD484" s="457"/>
      <c r="OE484" s="457"/>
      <c r="OF484" s="457"/>
      <c r="OG484" s="457"/>
      <c r="OH484" s="457"/>
      <c r="OI484" s="457"/>
      <c r="OJ484" s="457"/>
      <c r="OK484" s="457"/>
      <c r="OL484" s="457"/>
      <c r="OM484" s="457"/>
      <c r="ON484" s="457"/>
      <c r="OO484" s="457"/>
      <c r="OP484" s="457"/>
      <c r="OQ484" s="457"/>
      <c r="OR484" s="457"/>
      <c r="OS484" s="457"/>
      <c r="OT484" s="457"/>
      <c r="OU484" s="457"/>
      <c r="OV484" s="457"/>
      <c r="OW484" s="457"/>
      <c r="OX484" s="457"/>
      <c r="OY484" s="457"/>
      <c r="OZ484" s="457"/>
      <c r="PA484" s="457"/>
      <c r="PB484" s="457"/>
      <c r="PC484" s="457"/>
      <c r="PD484" s="457"/>
      <c r="PE484" s="457"/>
      <c r="PF484" s="457"/>
      <c r="PG484" s="457"/>
      <c r="PH484" s="457"/>
      <c r="PI484" s="457"/>
      <c r="PJ484" s="457"/>
      <c r="PK484" s="457"/>
      <c r="PL484" s="457"/>
      <c r="PM484" s="457"/>
      <c r="PN484" s="457"/>
      <c r="PO484" s="457"/>
      <c r="PP484" s="457"/>
      <c r="PQ484" s="457"/>
      <c r="PR484" s="457"/>
      <c r="PS484" s="457"/>
      <c r="PT484" s="457"/>
      <c r="PU484" s="457"/>
      <c r="PV484" s="457"/>
      <c r="PW484" s="457"/>
      <c r="PX484" s="457"/>
      <c r="PY484" s="457"/>
      <c r="PZ484" s="457"/>
      <c r="QA484" s="457"/>
      <c r="QB484" s="457"/>
      <c r="QC484" s="457"/>
      <c r="QD484" s="457"/>
      <c r="QE484" s="457"/>
      <c r="QF484" s="457"/>
      <c r="QG484" s="457"/>
      <c r="QH484" s="457"/>
      <c r="QI484" s="457"/>
      <c r="QJ484" s="457"/>
      <c r="QK484" s="457"/>
      <c r="QL484" s="457"/>
      <c r="QM484" s="457"/>
      <c r="QN484" s="457"/>
      <c r="QO484" s="457"/>
      <c r="QP484" s="457"/>
      <c r="QQ484" s="457"/>
      <c r="QR484" s="457"/>
      <c r="QS484" s="457"/>
      <c r="QT484" s="457"/>
      <c r="QU484" s="457"/>
      <c r="QV484" s="457"/>
      <c r="QW484" s="457"/>
      <c r="QX484" s="457"/>
      <c r="QY484" s="457"/>
      <c r="QZ484" s="457"/>
      <c r="RA484" s="457"/>
      <c r="RB484" s="457"/>
      <c r="RC484" s="457"/>
      <c r="RD484" s="457"/>
      <c r="RE484" s="457"/>
      <c r="RF484" s="457"/>
      <c r="RG484" s="457"/>
      <c r="RH484" s="457"/>
      <c r="RI484" s="457"/>
      <c r="RJ484" s="457"/>
      <c r="RK484" s="457"/>
      <c r="RL484" s="457"/>
      <c r="RM484" s="457"/>
      <c r="RN484" s="457"/>
      <c r="RO484" s="457"/>
      <c r="RP484" s="457"/>
      <c r="RQ484" s="457"/>
      <c r="RR484" s="457"/>
      <c r="RS484" s="457"/>
      <c r="RT484" s="457"/>
      <c r="RU484" s="457"/>
      <c r="RV484" s="457"/>
      <c r="RW484" s="457"/>
      <c r="RX484" s="457"/>
      <c r="RY484" s="457"/>
      <c r="RZ484" s="457"/>
      <c r="SA484" s="457"/>
      <c r="SB484" s="457"/>
      <c r="SC484" s="457"/>
      <c r="SD484" s="457"/>
      <c r="SE484" s="457"/>
      <c r="SF484" s="457"/>
      <c r="SG484" s="457"/>
      <c r="SH484" s="457"/>
      <c r="SI484" s="457"/>
      <c r="SJ484" s="457"/>
      <c r="SK484" s="457"/>
      <c r="SL484" s="457"/>
      <c r="SM484" s="457"/>
      <c r="SN484" s="457"/>
      <c r="SO484" s="457"/>
      <c r="SP484" s="457"/>
      <c r="SQ484" s="457"/>
      <c r="SR484" s="457"/>
      <c r="SS484" s="457"/>
      <c r="ST484" s="457"/>
      <c r="SU484" s="457"/>
      <c r="SV484" s="457"/>
      <c r="SW484" s="457"/>
      <c r="SX484" s="457"/>
      <c r="SY484" s="457"/>
      <c r="SZ484" s="457"/>
      <c r="TA484" s="457"/>
      <c r="TB484" s="457"/>
      <c r="TC484" s="457"/>
      <c r="TD484" s="457"/>
      <c r="TE484" s="457"/>
      <c r="TF484" s="457"/>
      <c r="TG484" s="457"/>
      <c r="TH484" s="457"/>
      <c r="TI484" s="457"/>
      <c r="TJ484" s="457"/>
      <c r="TK484" s="457"/>
      <c r="TL484" s="457"/>
      <c r="TM484" s="457"/>
      <c r="TN484" s="457"/>
      <c r="TO484" s="457"/>
      <c r="TP484" s="457"/>
      <c r="TQ484" s="457"/>
      <c r="TR484" s="457"/>
      <c r="TS484" s="457"/>
      <c r="TT484" s="457"/>
      <c r="TU484" s="457"/>
      <c r="TV484" s="457"/>
      <c r="TW484" s="457"/>
      <c r="TX484" s="457"/>
      <c r="TY484" s="457"/>
      <c r="TZ484" s="457"/>
      <c r="UA484" s="457"/>
      <c r="UB484" s="457"/>
      <c r="UC484" s="457"/>
      <c r="UD484" s="457"/>
      <c r="UE484" s="457"/>
      <c r="UF484" s="457"/>
      <c r="UG484" s="457"/>
      <c r="UH484" s="457"/>
      <c r="UI484" s="457"/>
      <c r="UJ484" s="457"/>
      <c r="UK484" s="457"/>
      <c r="UL484" s="457"/>
      <c r="UM484" s="457"/>
      <c r="UN484" s="457"/>
      <c r="UO484" s="457"/>
      <c r="UP484" s="457"/>
      <c r="UQ484" s="457"/>
      <c r="UR484" s="457"/>
      <c r="US484" s="457"/>
      <c r="UT484" s="457"/>
      <c r="UU484" s="457"/>
      <c r="UV484" s="457"/>
      <c r="UW484" s="457"/>
      <c r="UX484" s="457"/>
      <c r="UY484" s="457"/>
      <c r="UZ484" s="457"/>
      <c r="VA484" s="457"/>
      <c r="VB484" s="457"/>
      <c r="VC484" s="457"/>
      <c r="VD484" s="457"/>
      <c r="VE484" s="457"/>
      <c r="VF484" s="457"/>
      <c r="VG484" s="457"/>
      <c r="VH484" s="457"/>
      <c r="VI484" s="457"/>
      <c r="VJ484" s="457"/>
      <c r="VK484" s="457"/>
      <c r="VL484" s="457"/>
      <c r="VM484" s="457"/>
      <c r="VN484" s="457"/>
      <c r="VO484" s="457"/>
      <c r="VP484" s="457"/>
      <c r="VQ484" s="457"/>
      <c r="VR484" s="457"/>
      <c r="VS484" s="457"/>
      <c r="VT484" s="457"/>
      <c r="VU484" s="457"/>
      <c r="VV484" s="457"/>
      <c r="VW484" s="457"/>
      <c r="VX484" s="457"/>
      <c r="VY484" s="457"/>
      <c r="VZ484" s="457"/>
      <c r="WA484" s="457"/>
      <c r="WB484" s="457"/>
      <c r="WC484" s="457"/>
      <c r="WD484" s="457"/>
      <c r="WE484" s="457"/>
      <c r="WF484" s="457"/>
      <c r="WG484" s="457"/>
      <c r="WH484" s="457"/>
      <c r="WI484" s="457"/>
      <c r="WJ484" s="457"/>
      <c r="WK484" s="457"/>
      <c r="WL484" s="457"/>
      <c r="WM484" s="457"/>
      <c r="WN484" s="457"/>
      <c r="WO484" s="457"/>
      <c r="WP484" s="457"/>
      <c r="WQ484" s="457"/>
      <c r="WR484" s="457"/>
      <c r="WS484" s="457"/>
      <c r="WT484" s="457"/>
      <c r="WU484" s="457"/>
      <c r="WV484" s="457"/>
      <c r="WW484" s="457"/>
      <c r="WX484" s="457"/>
      <c r="WY484" s="457"/>
      <c r="WZ484" s="457"/>
      <c r="XA484" s="457"/>
      <c r="XB484" s="457"/>
      <c r="XC484" s="457"/>
      <c r="XD484" s="457"/>
      <c r="XE484" s="457"/>
      <c r="XF484" s="457"/>
      <c r="XG484" s="457"/>
      <c r="XH484" s="457"/>
      <c r="XI484" s="457"/>
      <c r="XJ484" s="457"/>
      <c r="XK484" s="457"/>
      <c r="XL484" s="457"/>
      <c r="XM484" s="457"/>
      <c r="XN484" s="457"/>
      <c r="XO484" s="457"/>
      <c r="XP484" s="457"/>
      <c r="XQ484" s="457"/>
      <c r="XR484" s="457"/>
      <c r="XS484" s="457"/>
      <c r="XT484" s="457"/>
      <c r="XU484" s="457"/>
      <c r="XV484" s="457"/>
      <c r="XW484" s="457"/>
      <c r="XX484" s="457"/>
      <c r="XY484" s="457"/>
      <c r="XZ484" s="457"/>
      <c r="YA484" s="457"/>
      <c r="YB484" s="457"/>
      <c r="YC484" s="457"/>
      <c r="YD484" s="457"/>
      <c r="YE484" s="457"/>
      <c r="YF484" s="457"/>
      <c r="YG484" s="457"/>
      <c r="YH484" s="457"/>
      <c r="YI484" s="457"/>
      <c r="YJ484" s="457"/>
      <c r="YK484" s="457"/>
      <c r="YL484" s="457"/>
      <c r="YM484" s="457"/>
      <c r="YN484" s="457"/>
      <c r="YO484" s="457"/>
      <c r="YP484" s="457"/>
      <c r="YQ484" s="457"/>
      <c r="YR484" s="457"/>
      <c r="YS484" s="457"/>
      <c r="YT484" s="457"/>
      <c r="YU484" s="457"/>
      <c r="YV484" s="457"/>
      <c r="YW484" s="457"/>
      <c r="YX484" s="457"/>
      <c r="YY484" s="457"/>
      <c r="YZ484" s="457"/>
      <c r="ZA484" s="457"/>
      <c r="ZB484" s="457"/>
      <c r="ZC484" s="457"/>
      <c r="ZD484" s="457"/>
      <c r="ZE484" s="457"/>
      <c r="ZF484" s="457"/>
      <c r="ZG484" s="457"/>
      <c r="ZH484" s="457"/>
      <c r="ZI484" s="457"/>
      <c r="ZJ484" s="457"/>
      <c r="ZK484" s="457"/>
      <c r="ZL484" s="457"/>
      <c r="ZM484" s="457"/>
      <c r="ZN484" s="457"/>
      <c r="ZO484" s="457"/>
      <c r="ZP484" s="457"/>
      <c r="ZQ484" s="457"/>
      <c r="ZR484" s="457"/>
      <c r="ZS484" s="457"/>
      <c r="ZT484" s="457"/>
      <c r="ZU484" s="457"/>
      <c r="ZV484" s="457"/>
      <c r="ZW484" s="457"/>
      <c r="ZX484" s="457"/>
      <c r="ZY484" s="457"/>
      <c r="ZZ484" s="457"/>
      <c r="AAA484" s="457"/>
      <c r="AAB484" s="457"/>
      <c r="AAC484" s="457"/>
      <c r="AAD484" s="457"/>
      <c r="AAE484" s="457"/>
      <c r="AAF484" s="457"/>
      <c r="AAG484" s="457"/>
      <c r="AAH484" s="457"/>
      <c r="AAI484" s="457"/>
      <c r="AAJ484" s="457"/>
      <c r="AAK484" s="457"/>
      <c r="AAL484" s="457"/>
      <c r="AAM484" s="457"/>
      <c r="AAN484" s="457"/>
      <c r="AAO484" s="457"/>
      <c r="AAP484" s="457"/>
      <c r="AAQ484" s="457"/>
      <c r="AAR484" s="457"/>
      <c r="AAS484" s="457"/>
      <c r="AAT484" s="457"/>
      <c r="AAU484" s="457"/>
      <c r="AAV484" s="457"/>
      <c r="AAW484" s="457"/>
      <c r="AAX484" s="457"/>
      <c r="AAY484" s="457"/>
      <c r="AAZ484" s="457"/>
      <c r="ABA484" s="457"/>
      <c r="ABB484" s="457"/>
      <c r="ABC484" s="457"/>
      <c r="ABD484" s="457"/>
      <c r="ABE484" s="457"/>
      <c r="ABF484" s="457"/>
      <c r="ABG484" s="457"/>
      <c r="ABH484" s="457"/>
      <c r="ABI484" s="457"/>
      <c r="ABJ484" s="457"/>
      <c r="ABK484" s="457"/>
      <c r="ABL484" s="457"/>
      <c r="ABM484" s="457"/>
      <c r="ABN484" s="457"/>
      <c r="ABO484" s="457"/>
      <c r="ABP484" s="457"/>
      <c r="ABQ484" s="457"/>
      <c r="ABR484" s="457"/>
      <c r="ABS484" s="457"/>
      <c r="ABT484" s="457"/>
      <c r="ABU484" s="457"/>
      <c r="ABV484" s="457"/>
      <c r="ABW484" s="457"/>
      <c r="ABX484" s="457"/>
      <c r="ABY484" s="457"/>
      <c r="ABZ484" s="457"/>
      <c r="ACA484" s="457"/>
      <c r="ACB484" s="457"/>
      <c r="ACC484" s="457"/>
      <c r="ACD484" s="457"/>
      <c r="ACE484" s="457"/>
      <c r="ACF484" s="457"/>
      <c r="ACG484" s="457"/>
      <c r="ACH484" s="457"/>
      <c r="ACI484" s="457"/>
      <c r="ACJ484" s="457"/>
      <c r="ACK484" s="457"/>
      <c r="ACL484" s="457"/>
      <c r="ACM484" s="457"/>
      <c r="ACN484" s="457"/>
      <c r="ACO484" s="457"/>
      <c r="ACP484" s="457"/>
      <c r="ACQ484" s="457"/>
      <c r="ACR484" s="457"/>
      <c r="ACS484" s="457"/>
      <c r="ACT484" s="457"/>
      <c r="ACU484" s="457"/>
      <c r="ACV484" s="457"/>
    </row>
    <row r="485" spans="1:776" s="400" customFormat="1" x14ac:dyDescent="0.25">
      <c r="A485" s="470">
        <v>900200</v>
      </c>
      <c r="B485" s="453" t="s">
        <v>401</v>
      </c>
      <c r="C485" s="455"/>
      <c r="D485" s="454" t="s">
        <v>204</v>
      </c>
      <c r="E485" s="454">
        <v>7.11</v>
      </c>
      <c r="F485" s="458">
        <v>8.1999999999999993</v>
      </c>
      <c r="G485" s="454">
        <v>0</v>
      </c>
      <c r="H485" s="454">
        <v>7.0000000000000007E-2</v>
      </c>
      <c r="I485" s="456">
        <v>1241.9000000000001</v>
      </c>
      <c r="J485" s="468">
        <v>1435.8</v>
      </c>
      <c r="K485" s="454">
        <v>6.1199999999999997E-2</v>
      </c>
      <c r="L485" s="454">
        <v>309.60000000000002</v>
      </c>
      <c r="M485" s="454">
        <v>0</v>
      </c>
      <c r="N485" s="454">
        <v>6.63</v>
      </c>
      <c r="O485" s="454">
        <v>646.01</v>
      </c>
      <c r="P485" s="454">
        <v>406.85</v>
      </c>
      <c r="Q485" s="454">
        <v>276.12</v>
      </c>
      <c r="R485" s="397">
        <v>1.0000000000000001E-5</v>
      </c>
      <c r="S485" s="397">
        <v>1.0000000000000001E-5</v>
      </c>
      <c r="T485" s="397">
        <v>1.0000000000000001E-5</v>
      </c>
      <c r="U485" s="397">
        <v>1.0000000000000001E-5</v>
      </c>
      <c r="V485" s="397">
        <v>1.0000000000000001E-5</v>
      </c>
      <c r="W485" s="457"/>
      <c r="X485" s="457"/>
      <c r="Y485" s="457"/>
      <c r="Z485" s="457"/>
      <c r="AA485" s="457"/>
      <c r="AB485" s="457"/>
      <c r="AC485" s="457"/>
      <c r="AD485" s="457"/>
      <c r="AE485" s="457"/>
      <c r="AF485" s="457"/>
      <c r="AG485" s="457"/>
      <c r="AH485" s="457"/>
      <c r="AI485" s="457"/>
      <c r="AJ485" s="457"/>
      <c r="AK485" s="457"/>
      <c r="AL485" s="457"/>
      <c r="AM485" s="457"/>
      <c r="AN485" s="457"/>
      <c r="AO485" s="457"/>
      <c r="AP485" s="457"/>
      <c r="AQ485" s="457"/>
      <c r="AR485" s="457"/>
      <c r="AS485" s="457"/>
      <c r="AT485" s="457"/>
      <c r="AU485" s="457"/>
      <c r="AV485" s="457"/>
      <c r="AW485" s="457"/>
      <c r="AX485" s="457"/>
      <c r="AY485" s="457"/>
      <c r="AZ485" s="457"/>
      <c r="BA485" s="457"/>
      <c r="BB485" s="457"/>
      <c r="BC485" s="457"/>
      <c r="BD485" s="457"/>
      <c r="BE485" s="457"/>
      <c r="BF485" s="457"/>
      <c r="BG485" s="457"/>
      <c r="BH485" s="457"/>
      <c r="BI485" s="457"/>
      <c r="BJ485" s="457"/>
      <c r="BK485" s="457"/>
      <c r="BL485" s="457"/>
      <c r="BM485" s="457"/>
      <c r="BN485" s="457"/>
      <c r="BO485" s="457"/>
      <c r="BP485" s="457"/>
      <c r="BQ485" s="457"/>
      <c r="BR485" s="457"/>
      <c r="BS485" s="457"/>
      <c r="BT485" s="457"/>
      <c r="BU485" s="457"/>
      <c r="BV485" s="457"/>
      <c r="BW485" s="457"/>
      <c r="BX485" s="457"/>
      <c r="BY485" s="457"/>
      <c r="BZ485" s="457"/>
      <c r="CA485" s="457"/>
      <c r="CB485" s="457"/>
      <c r="CC485" s="457"/>
      <c r="CD485" s="457"/>
      <c r="CE485" s="457"/>
      <c r="CF485" s="457"/>
      <c r="CG485" s="457"/>
      <c r="CH485" s="457"/>
      <c r="CI485" s="457"/>
      <c r="CJ485" s="457"/>
      <c r="CK485" s="457"/>
      <c r="CL485" s="457"/>
      <c r="CM485" s="457"/>
      <c r="CN485" s="457"/>
      <c r="CO485" s="457"/>
      <c r="CP485" s="457"/>
      <c r="CQ485" s="457"/>
      <c r="CR485" s="457"/>
      <c r="CS485" s="457"/>
      <c r="CT485" s="457"/>
      <c r="CU485" s="457"/>
      <c r="CV485" s="457"/>
      <c r="CW485" s="457"/>
      <c r="CX485" s="457"/>
      <c r="CY485" s="457"/>
      <c r="CZ485" s="457"/>
      <c r="DA485" s="457"/>
      <c r="DB485" s="457"/>
      <c r="DC485" s="457"/>
      <c r="DD485" s="457"/>
      <c r="DE485" s="457"/>
      <c r="DF485" s="457"/>
      <c r="DG485" s="457"/>
      <c r="DH485" s="457"/>
      <c r="DI485" s="457"/>
      <c r="DJ485" s="457"/>
      <c r="DK485" s="457"/>
      <c r="DL485" s="457"/>
      <c r="DM485" s="457"/>
      <c r="DN485" s="457"/>
      <c r="DO485" s="457"/>
      <c r="DP485" s="457"/>
      <c r="DQ485" s="457"/>
      <c r="DR485" s="457"/>
      <c r="DS485" s="457"/>
      <c r="DT485" s="457"/>
      <c r="DU485" s="457"/>
      <c r="DV485" s="457"/>
      <c r="DW485" s="457"/>
      <c r="DX485" s="457"/>
      <c r="DY485" s="457"/>
      <c r="DZ485" s="457"/>
      <c r="EA485" s="457"/>
      <c r="EB485" s="457"/>
      <c r="EC485" s="457"/>
      <c r="ED485" s="457"/>
      <c r="EE485" s="457"/>
      <c r="EF485" s="457"/>
      <c r="EG485" s="457"/>
      <c r="EH485" s="457"/>
      <c r="EI485" s="457"/>
      <c r="EJ485" s="457"/>
      <c r="EK485" s="457"/>
      <c r="EL485" s="457"/>
      <c r="EM485" s="457"/>
      <c r="EN485" s="457"/>
      <c r="EO485" s="457"/>
      <c r="EP485" s="457"/>
      <c r="EQ485" s="457"/>
      <c r="ER485" s="457"/>
      <c r="ES485" s="457"/>
      <c r="ET485" s="457"/>
      <c r="EU485" s="457"/>
      <c r="EV485" s="457"/>
      <c r="EW485" s="457"/>
      <c r="EX485" s="457"/>
      <c r="EY485" s="457"/>
      <c r="EZ485" s="457"/>
      <c r="FA485" s="457"/>
      <c r="FB485" s="457"/>
      <c r="FC485" s="457"/>
      <c r="FD485" s="457"/>
      <c r="FE485" s="457"/>
      <c r="FF485" s="457"/>
      <c r="FG485" s="457"/>
      <c r="FH485" s="457"/>
      <c r="FI485" s="457"/>
      <c r="FJ485" s="457"/>
      <c r="FK485" s="457"/>
      <c r="FL485" s="457"/>
      <c r="FM485" s="457"/>
      <c r="FN485" s="457"/>
      <c r="FO485" s="457"/>
      <c r="FP485" s="457"/>
      <c r="FQ485" s="457"/>
      <c r="FR485" s="457"/>
      <c r="FS485" s="457"/>
      <c r="FT485" s="457"/>
      <c r="FU485" s="457"/>
      <c r="FV485" s="457"/>
      <c r="FW485" s="457"/>
      <c r="FX485" s="457"/>
      <c r="FY485" s="457"/>
      <c r="FZ485" s="457"/>
      <c r="GA485" s="457"/>
      <c r="GB485" s="457"/>
      <c r="GC485" s="457"/>
      <c r="GD485" s="457"/>
      <c r="GE485" s="457"/>
      <c r="GF485" s="457"/>
      <c r="GG485" s="457"/>
      <c r="GH485" s="457"/>
      <c r="GI485" s="457"/>
      <c r="GJ485" s="457"/>
      <c r="GK485" s="457"/>
      <c r="GL485" s="457"/>
      <c r="GM485" s="457"/>
      <c r="GN485" s="457"/>
      <c r="GO485" s="457"/>
      <c r="GP485" s="457"/>
      <c r="GQ485" s="457"/>
      <c r="GR485" s="457"/>
      <c r="GS485" s="457"/>
      <c r="GT485" s="457"/>
      <c r="GU485" s="457"/>
      <c r="GV485" s="457"/>
      <c r="GW485" s="457"/>
      <c r="GX485" s="457"/>
      <c r="GY485" s="457"/>
      <c r="GZ485" s="457"/>
      <c r="HA485" s="457"/>
      <c r="HB485" s="457"/>
      <c r="HC485" s="457"/>
      <c r="HD485" s="457"/>
      <c r="HE485" s="457"/>
      <c r="HF485" s="457"/>
      <c r="HG485" s="457"/>
      <c r="HH485" s="457"/>
      <c r="HI485" s="457"/>
      <c r="HJ485" s="457"/>
      <c r="HK485" s="457"/>
      <c r="HL485" s="457"/>
      <c r="HM485" s="457"/>
      <c r="HN485" s="457"/>
      <c r="HO485" s="457"/>
      <c r="HP485" s="457"/>
      <c r="HQ485" s="457"/>
      <c r="HR485" s="457"/>
      <c r="HS485" s="457"/>
      <c r="HT485" s="457"/>
      <c r="HU485" s="457"/>
      <c r="HV485" s="457"/>
      <c r="HW485" s="457"/>
      <c r="HX485" s="457"/>
      <c r="HY485" s="457"/>
      <c r="HZ485" s="457"/>
      <c r="IA485" s="457"/>
      <c r="IB485" s="457"/>
      <c r="IC485" s="457"/>
      <c r="ID485" s="457"/>
      <c r="IE485" s="457"/>
      <c r="IF485" s="457"/>
      <c r="IG485" s="457"/>
      <c r="IH485" s="457"/>
      <c r="II485" s="457"/>
      <c r="IJ485" s="457"/>
      <c r="IK485" s="457"/>
      <c r="IL485" s="457"/>
      <c r="IM485" s="457"/>
      <c r="IN485" s="457"/>
      <c r="IO485" s="457"/>
      <c r="IP485" s="457"/>
      <c r="IQ485" s="457"/>
      <c r="IR485" s="457"/>
      <c r="IS485" s="457"/>
      <c r="IT485" s="457"/>
      <c r="IU485" s="457"/>
      <c r="IV485" s="457"/>
      <c r="IW485" s="457"/>
      <c r="IX485" s="457"/>
      <c r="IY485" s="457"/>
      <c r="IZ485" s="457"/>
      <c r="JA485" s="457"/>
      <c r="JB485" s="457"/>
      <c r="JC485" s="457"/>
      <c r="JD485" s="457"/>
      <c r="JE485" s="457"/>
      <c r="JF485" s="457"/>
      <c r="JG485" s="457"/>
      <c r="JH485" s="457"/>
      <c r="JI485" s="457"/>
      <c r="JJ485" s="457"/>
      <c r="JK485" s="457"/>
      <c r="JL485" s="457"/>
      <c r="JM485" s="457"/>
      <c r="JN485" s="457"/>
      <c r="JO485" s="457"/>
      <c r="JP485" s="457"/>
      <c r="JQ485" s="457"/>
      <c r="JR485" s="457"/>
      <c r="JS485" s="457"/>
      <c r="JT485" s="457"/>
      <c r="JU485" s="457"/>
      <c r="JV485" s="457"/>
      <c r="JW485" s="457"/>
      <c r="JX485" s="457"/>
      <c r="JY485" s="457"/>
      <c r="JZ485" s="457"/>
      <c r="KA485" s="457"/>
      <c r="KB485" s="457"/>
      <c r="KC485" s="457"/>
      <c r="KD485" s="457"/>
      <c r="KE485" s="457"/>
      <c r="KF485" s="457"/>
      <c r="KG485" s="457"/>
      <c r="KH485" s="457"/>
      <c r="KI485" s="457"/>
      <c r="KJ485" s="457"/>
      <c r="KK485" s="457"/>
      <c r="KL485" s="457"/>
      <c r="KM485" s="457"/>
      <c r="KN485" s="457"/>
      <c r="KO485" s="457"/>
      <c r="KP485" s="457"/>
      <c r="KQ485" s="457"/>
      <c r="KR485" s="457"/>
      <c r="KS485" s="457"/>
      <c r="KT485" s="457"/>
      <c r="KU485" s="457"/>
      <c r="KV485" s="457"/>
      <c r="KW485" s="457"/>
      <c r="KX485" s="457"/>
      <c r="KY485" s="457"/>
      <c r="KZ485" s="457"/>
      <c r="LA485" s="457"/>
      <c r="LB485" s="457"/>
      <c r="LC485" s="457"/>
      <c r="LD485" s="457"/>
      <c r="LE485" s="457"/>
      <c r="LF485" s="457"/>
      <c r="LG485" s="457"/>
      <c r="LH485" s="457"/>
      <c r="LI485" s="457"/>
      <c r="LJ485" s="457"/>
      <c r="LK485" s="457"/>
      <c r="LL485" s="457"/>
      <c r="LM485" s="457"/>
      <c r="LN485" s="457"/>
      <c r="LO485" s="457"/>
      <c r="LP485" s="457"/>
      <c r="LQ485" s="457"/>
      <c r="LR485" s="457"/>
      <c r="LS485" s="457"/>
      <c r="LT485" s="457"/>
      <c r="LU485" s="457"/>
      <c r="LV485" s="457"/>
      <c r="LW485" s="457"/>
      <c r="LX485" s="457"/>
      <c r="LY485" s="457"/>
      <c r="LZ485" s="457"/>
      <c r="MA485" s="457"/>
      <c r="MB485" s="457"/>
      <c r="MC485" s="457"/>
      <c r="MD485" s="457"/>
      <c r="ME485" s="457"/>
      <c r="MF485" s="457"/>
      <c r="MG485" s="457"/>
      <c r="MH485" s="457"/>
      <c r="MI485" s="457"/>
      <c r="MJ485" s="457"/>
      <c r="MK485" s="457"/>
      <c r="ML485" s="457"/>
      <c r="MM485" s="457"/>
      <c r="MN485" s="457"/>
      <c r="MO485" s="457"/>
      <c r="MP485" s="457"/>
      <c r="MQ485" s="457"/>
      <c r="MR485" s="457"/>
      <c r="MS485" s="457"/>
      <c r="MT485" s="457"/>
      <c r="MU485" s="457"/>
      <c r="MV485" s="457"/>
      <c r="MW485" s="457"/>
      <c r="MX485" s="457"/>
      <c r="MY485" s="457"/>
      <c r="MZ485" s="457"/>
      <c r="NA485" s="457"/>
      <c r="NB485" s="457"/>
      <c r="NC485" s="457"/>
      <c r="ND485" s="457"/>
      <c r="NE485" s="457"/>
      <c r="NF485" s="457"/>
      <c r="NG485" s="457"/>
      <c r="NH485" s="457"/>
      <c r="NI485" s="457"/>
      <c r="NJ485" s="457"/>
      <c r="NK485" s="457"/>
      <c r="NL485" s="457"/>
      <c r="NM485" s="457"/>
      <c r="NN485" s="457"/>
      <c r="NO485" s="457"/>
      <c r="NP485" s="457"/>
      <c r="NQ485" s="457"/>
      <c r="NR485" s="457"/>
      <c r="NS485" s="457"/>
      <c r="NT485" s="457"/>
      <c r="NU485" s="457"/>
      <c r="NV485" s="457"/>
      <c r="NW485" s="457"/>
      <c r="NX485" s="457"/>
      <c r="NY485" s="457"/>
      <c r="NZ485" s="457"/>
      <c r="OA485" s="457"/>
      <c r="OB485" s="457"/>
      <c r="OC485" s="457"/>
      <c r="OD485" s="457"/>
      <c r="OE485" s="457"/>
      <c r="OF485" s="457"/>
      <c r="OG485" s="457"/>
      <c r="OH485" s="457"/>
      <c r="OI485" s="457"/>
      <c r="OJ485" s="457"/>
      <c r="OK485" s="457"/>
      <c r="OL485" s="457"/>
      <c r="OM485" s="457"/>
      <c r="ON485" s="457"/>
      <c r="OO485" s="457"/>
      <c r="OP485" s="457"/>
      <c r="OQ485" s="457"/>
      <c r="OR485" s="457"/>
      <c r="OS485" s="457"/>
      <c r="OT485" s="457"/>
      <c r="OU485" s="457"/>
      <c r="OV485" s="457"/>
      <c r="OW485" s="457"/>
      <c r="OX485" s="457"/>
      <c r="OY485" s="457"/>
      <c r="OZ485" s="457"/>
      <c r="PA485" s="457"/>
      <c r="PB485" s="457"/>
      <c r="PC485" s="457"/>
      <c r="PD485" s="457"/>
      <c r="PE485" s="457"/>
      <c r="PF485" s="457"/>
      <c r="PG485" s="457"/>
      <c r="PH485" s="457"/>
      <c r="PI485" s="457"/>
      <c r="PJ485" s="457"/>
      <c r="PK485" s="457"/>
      <c r="PL485" s="457"/>
      <c r="PM485" s="457"/>
      <c r="PN485" s="457"/>
      <c r="PO485" s="457"/>
      <c r="PP485" s="457"/>
      <c r="PQ485" s="457"/>
      <c r="PR485" s="457"/>
      <c r="PS485" s="457"/>
      <c r="PT485" s="457"/>
      <c r="PU485" s="457"/>
      <c r="PV485" s="457"/>
      <c r="PW485" s="457"/>
      <c r="PX485" s="457"/>
      <c r="PY485" s="457"/>
      <c r="PZ485" s="457"/>
      <c r="QA485" s="457"/>
      <c r="QB485" s="457"/>
      <c r="QC485" s="457"/>
      <c r="QD485" s="457"/>
      <c r="QE485" s="457"/>
      <c r="QF485" s="457"/>
      <c r="QG485" s="457"/>
      <c r="QH485" s="457"/>
      <c r="QI485" s="457"/>
      <c r="QJ485" s="457"/>
      <c r="QK485" s="457"/>
      <c r="QL485" s="457"/>
      <c r="QM485" s="457"/>
      <c r="QN485" s="457"/>
      <c r="QO485" s="457"/>
      <c r="QP485" s="457"/>
      <c r="QQ485" s="457"/>
      <c r="QR485" s="457"/>
      <c r="QS485" s="457"/>
      <c r="QT485" s="457"/>
      <c r="QU485" s="457"/>
      <c r="QV485" s="457"/>
      <c r="QW485" s="457"/>
      <c r="QX485" s="457"/>
      <c r="QY485" s="457"/>
      <c r="QZ485" s="457"/>
      <c r="RA485" s="457"/>
      <c r="RB485" s="457"/>
      <c r="RC485" s="457"/>
      <c r="RD485" s="457"/>
      <c r="RE485" s="457"/>
      <c r="RF485" s="457"/>
      <c r="RG485" s="457"/>
      <c r="RH485" s="457"/>
      <c r="RI485" s="457"/>
      <c r="RJ485" s="457"/>
      <c r="RK485" s="457"/>
      <c r="RL485" s="457"/>
      <c r="RM485" s="457"/>
      <c r="RN485" s="457"/>
      <c r="RO485" s="457"/>
      <c r="RP485" s="457"/>
      <c r="RQ485" s="457"/>
      <c r="RR485" s="457"/>
      <c r="RS485" s="457"/>
      <c r="RT485" s="457"/>
      <c r="RU485" s="457"/>
      <c r="RV485" s="457"/>
      <c r="RW485" s="457"/>
      <c r="RX485" s="457"/>
      <c r="RY485" s="457"/>
      <c r="RZ485" s="457"/>
      <c r="SA485" s="457"/>
      <c r="SB485" s="457"/>
      <c r="SC485" s="457"/>
      <c r="SD485" s="457"/>
      <c r="SE485" s="457"/>
      <c r="SF485" s="457"/>
      <c r="SG485" s="457"/>
      <c r="SH485" s="457"/>
      <c r="SI485" s="457"/>
      <c r="SJ485" s="457"/>
      <c r="SK485" s="457"/>
      <c r="SL485" s="457"/>
      <c r="SM485" s="457"/>
      <c r="SN485" s="457"/>
      <c r="SO485" s="457"/>
      <c r="SP485" s="457"/>
      <c r="SQ485" s="457"/>
      <c r="SR485" s="457"/>
      <c r="SS485" s="457"/>
      <c r="ST485" s="457"/>
      <c r="SU485" s="457"/>
      <c r="SV485" s="457"/>
      <c r="SW485" s="457"/>
      <c r="SX485" s="457"/>
      <c r="SY485" s="457"/>
      <c r="SZ485" s="457"/>
      <c r="TA485" s="457"/>
      <c r="TB485" s="457"/>
      <c r="TC485" s="457"/>
      <c r="TD485" s="457"/>
      <c r="TE485" s="457"/>
      <c r="TF485" s="457"/>
      <c r="TG485" s="457"/>
      <c r="TH485" s="457"/>
      <c r="TI485" s="457"/>
      <c r="TJ485" s="457"/>
      <c r="TK485" s="457"/>
      <c r="TL485" s="457"/>
      <c r="TM485" s="457"/>
      <c r="TN485" s="457"/>
      <c r="TO485" s="457"/>
      <c r="TP485" s="457"/>
      <c r="TQ485" s="457"/>
      <c r="TR485" s="457"/>
      <c r="TS485" s="457"/>
      <c r="TT485" s="457"/>
      <c r="TU485" s="457"/>
      <c r="TV485" s="457"/>
      <c r="TW485" s="457"/>
      <c r="TX485" s="457"/>
      <c r="TY485" s="457"/>
      <c r="TZ485" s="457"/>
      <c r="UA485" s="457"/>
      <c r="UB485" s="457"/>
      <c r="UC485" s="457"/>
      <c r="UD485" s="457"/>
      <c r="UE485" s="457"/>
      <c r="UF485" s="457"/>
      <c r="UG485" s="457"/>
      <c r="UH485" s="457"/>
      <c r="UI485" s="457"/>
      <c r="UJ485" s="457"/>
      <c r="UK485" s="457"/>
      <c r="UL485" s="457"/>
      <c r="UM485" s="457"/>
      <c r="UN485" s="457"/>
      <c r="UO485" s="457"/>
      <c r="UP485" s="457"/>
      <c r="UQ485" s="457"/>
      <c r="UR485" s="457"/>
      <c r="US485" s="457"/>
      <c r="UT485" s="457"/>
      <c r="UU485" s="457"/>
      <c r="UV485" s="457"/>
      <c r="UW485" s="457"/>
      <c r="UX485" s="457"/>
      <c r="UY485" s="457"/>
      <c r="UZ485" s="457"/>
      <c r="VA485" s="457"/>
      <c r="VB485" s="457"/>
      <c r="VC485" s="457"/>
      <c r="VD485" s="457"/>
      <c r="VE485" s="457"/>
      <c r="VF485" s="457"/>
      <c r="VG485" s="457"/>
      <c r="VH485" s="457"/>
      <c r="VI485" s="457"/>
      <c r="VJ485" s="457"/>
      <c r="VK485" s="457"/>
      <c r="VL485" s="457"/>
      <c r="VM485" s="457"/>
      <c r="VN485" s="457"/>
      <c r="VO485" s="457"/>
      <c r="VP485" s="457"/>
      <c r="VQ485" s="457"/>
      <c r="VR485" s="457"/>
      <c r="VS485" s="457"/>
      <c r="VT485" s="457"/>
      <c r="VU485" s="457"/>
      <c r="VV485" s="457"/>
      <c r="VW485" s="457"/>
      <c r="VX485" s="457"/>
      <c r="VY485" s="457"/>
      <c r="VZ485" s="457"/>
      <c r="WA485" s="457"/>
      <c r="WB485" s="457"/>
      <c r="WC485" s="457"/>
      <c r="WD485" s="457"/>
      <c r="WE485" s="457"/>
      <c r="WF485" s="457"/>
      <c r="WG485" s="457"/>
      <c r="WH485" s="457"/>
      <c r="WI485" s="457"/>
      <c r="WJ485" s="457"/>
      <c r="WK485" s="457"/>
      <c r="WL485" s="457"/>
      <c r="WM485" s="457"/>
      <c r="WN485" s="457"/>
      <c r="WO485" s="457"/>
      <c r="WP485" s="457"/>
      <c r="WQ485" s="457"/>
      <c r="WR485" s="457"/>
      <c r="WS485" s="457"/>
      <c r="WT485" s="457"/>
      <c r="WU485" s="457"/>
      <c r="WV485" s="457"/>
      <c r="WW485" s="457"/>
      <c r="WX485" s="457"/>
      <c r="WY485" s="457"/>
      <c r="WZ485" s="457"/>
      <c r="XA485" s="457"/>
      <c r="XB485" s="457"/>
      <c r="XC485" s="457"/>
      <c r="XD485" s="457"/>
      <c r="XE485" s="457"/>
      <c r="XF485" s="457"/>
      <c r="XG485" s="457"/>
      <c r="XH485" s="457"/>
      <c r="XI485" s="457"/>
      <c r="XJ485" s="457"/>
      <c r="XK485" s="457"/>
      <c r="XL485" s="457"/>
      <c r="XM485" s="457"/>
      <c r="XN485" s="457"/>
      <c r="XO485" s="457"/>
      <c r="XP485" s="457"/>
      <c r="XQ485" s="457"/>
      <c r="XR485" s="457"/>
      <c r="XS485" s="457"/>
      <c r="XT485" s="457"/>
      <c r="XU485" s="457"/>
      <c r="XV485" s="457"/>
      <c r="XW485" s="457"/>
      <c r="XX485" s="457"/>
      <c r="XY485" s="457"/>
      <c r="XZ485" s="457"/>
      <c r="YA485" s="457"/>
      <c r="YB485" s="457"/>
      <c r="YC485" s="457"/>
      <c r="YD485" s="457"/>
      <c r="YE485" s="457"/>
      <c r="YF485" s="457"/>
      <c r="YG485" s="457"/>
      <c r="YH485" s="457"/>
      <c r="YI485" s="457"/>
      <c r="YJ485" s="457"/>
      <c r="YK485" s="457"/>
      <c r="YL485" s="457"/>
      <c r="YM485" s="457"/>
      <c r="YN485" s="457"/>
      <c r="YO485" s="457"/>
      <c r="YP485" s="457"/>
      <c r="YQ485" s="457"/>
      <c r="YR485" s="457"/>
      <c r="YS485" s="457"/>
      <c r="YT485" s="457"/>
      <c r="YU485" s="457"/>
      <c r="YV485" s="457"/>
      <c r="YW485" s="457"/>
      <c r="YX485" s="457"/>
      <c r="YY485" s="457"/>
      <c r="YZ485" s="457"/>
      <c r="ZA485" s="457"/>
      <c r="ZB485" s="457"/>
      <c r="ZC485" s="457"/>
      <c r="ZD485" s="457"/>
      <c r="ZE485" s="457"/>
      <c r="ZF485" s="457"/>
      <c r="ZG485" s="457"/>
      <c r="ZH485" s="457"/>
      <c r="ZI485" s="457"/>
      <c r="ZJ485" s="457"/>
      <c r="ZK485" s="457"/>
      <c r="ZL485" s="457"/>
      <c r="ZM485" s="457"/>
      <c r="ZN485" s="457"/>
      <c r="ZO485" s="457"/>
      <c r="ZP485" s="457"/>
      <c r="ZQ485" s="457"/>
      <c r="ZR485" s="457"/>
      <c r="ZS485" s="457"/>
      <c r="ZT485" s="457"/>
      <c r="ZU485" s="457"/>
      <c r="ZV485" s="457"/>
      <c r="ZW485" s="457"/>
      <c r="ZX485" s="457"/>
      <c r="ZY485" s="457"/>
      <c r="ZZ485" s="457"/>
      <c r="AAA485" s="457"/>
      <c r="AAB485" s="457"/>
      <c r="AAC485" s="457"/>
      <c r="AAD485" s="457"/>
      <c r="AAE485" s="457"/>
      <c r="AAF485" s="457"/>
      <c r="AAG485" s="457"/>
      <c r="AAH485" s="457"/>
      <c r="AAI485" s="457"/>
      <c r="AAJ485" s="457"/>
      <c r="AAK485" s="457"/>
      <c r="AAL485" s="457"/>
      <c r="AAM485" s="457"/>
      <c r="AAN485" s="457"/>
      <c r="AAO485" s="457"/>
      <c r="AAP485" s="457"/>
      <c r="AAQ485" s="457"/>
      <c r="AAR485" s="457"/>
      <c r="AAS485" s="457"/>
      <c r="AAT485" s="457"/>
      <c r="AAU485" s="457"/>
      <c r="AAV485" s="457"/>
      <c r="AAW485" s="457"/>
      <c r="AAX485" s="457"/>
      <c r="AAY485" s="457"/>
      <c r="AAZ485" s="457"/>
      <c r="ABA485" s="457"/>
      <c r="ABB485" s="457"/>
      <c r="ABC485" s="457"/>
      <c r="ABD485" s="457"/>
      <c r="ABE485" s="457"/>
      <c r="ABF485" s="457"/>
      <c r="ABG485" s="457"/>
      <c r="ABH485" s="457"/>
      <c r="ABI485" s="457"/>
      <c r="ABJ485" s="457"/>
      <c r="ABK485" s="457"/>
      <c r="ABL485" s="457"/>
      <c r="ABM485" s="457"/>
      <c r="ABN485" s="457"/>
      <c r="ABO485" s="457"/>
      <c r="ABP485" s="457"/>
      <c r="ABQ485" s="457"/>
      <c r="ABR485" s="457"/>
      <c r="ABS485" s="457"/>
      <c r="ABT485" s="457"/>
      <c r="ABU485" s="457"/>
      <c r="ABV485" s="457"/>
      <c r="ABW485" s="457"/>
      <c r="ABX485" s="457"/>
      <c r="ABY485" s="457"/>
      <c r="ABZ485" s="457"/>
      <c r="ACA485" s="457"/>
      <c r="ACB485" s="457"/>
      <c r="ACC485" s="457"/>
      <c r="ACD485" s="457"/>
      <c r="ACE485" s="457"/>
      <c r="ACF485" s="457"/>
      <c r="ACG485" s="457"/>
      <c r="ACH485" s="457"/>
      <c r="ACI485" s="457"/>
      <c r="ACJ485" s="457"/>
      <c r="ACK485" s="457"/>
      <c r="ACL485" s="457"/>
      <c r="ACM485" s="457"/>
      <c r="ACN485" s="457"/>
      <c r="ACO485" s="457"/>
      <c r="ACP485" s="457"/>
      <c r="ACQ485" s="457"/>
      <c r="ACR485" s="457"/>
      <c r="ACS485" s="457"/>
      <c r="ACT485" s="457"/>
      <c r="ACU485" s="457"/>
      <c r="ACV485" s="457"/>
    </row>
    <row r="486" spans="1:776" s="400" customFormat="1" x14ac:dyDescent="0.25">
      <c r="A486" s="470">
        <v>900201</v>
      </c>
      <c r="B486" s="453" t="s">
        <v>402</v>
      </c>
      <c r="C486" s="455"/>
      <c r="D486" s="454" t="s">
        <v>267</v>
      </c>
      <c r="E486" s="454">
        <v>1.06</v>
      </c>
      <c r="F486" s="458">
        <v>8.9</v>
      </c>
      <c r="G486" s="454">
        <v>0</v>
      </c>
      <c r="H486" s="454">
        <v>0.28000000000000003</v>
      </c>
      <c r="I486" s="456">
        <v>159</v>
      </c>
      <c r="J486" s="454">
        <v>95.33</v>
      </c>
      <c r="K486" s="454">
        <v>3.0599999999999999E-2</v>
      </c>
      <c r="L486" s="454">
        <v>283.2</v>
      </c>
      <c r="M486" s="454">
        <v>0</v>
      </c>
      <c r="N486" s="454">
        <v>1.35</v>
      </c>
      <c r="O486" s="454">
        <v>58.86</v>
      </c>
      <c r="P486" s="454">
        <v>108.49</v>
      </c>
      <c r="Q486" s="454">
        <v>43.96</v>
      </c>
      <c r="R486" s="454">
        <v>0.82</v>
      </c>
      <c r="S486" s="397">
        <v>1.0000000000000001E-5</v>
      </c>
      <c r="T486" s="397">
        <v>1.0000000000000001E-5</v>
      </c>
      <c r="U486" s="397">
        <v>1.0000000000000001E-5</v>
      </c>
      <c r="V486" s="397">
        <v>1.0000000000000001E-5</v>
      </c>
      <c r="W486" s="457"/>
      <c r="X486" s="457"/>
      <c r="Y486" s="457"/>
      <c r="Z486" s="457"/>
      <c r="AA486" s="457"/>
      <c r="AB486" s="457"/>
      <c r="AC486" s="457"/>
      <c r="AD486" s="457"/>
      <c r="AE486" s="457"/>
      <c r="AF486" s="457"/>
      <c r="AG486" s="457"/>
      <c r="AH486" s="457"/>
      <c r="AI486" s="457"/>
      <c r="AJ486" s="457"/>
      <c r="AK486" s="457"/>
      <c r="AL486" s="457"/>
      <c r="AM486" s="457"/>
      <c r="AN486" s="457"/>
      <c r="AO486" s="457"/>
      <c r="AP486" s="457"/>
      <c r="AQ486" s="457"/>
      <c r="AR486" s="457"/>
      <c r="AS486" s="457"/>
      <c r="AT486" s="457"/>
      <c r="AU486" s="457"/>
      <c r="AV486" s="457"/>
      <c r="AW486" s="457"/>
      <c r="AX486" s="457"/>
      <c r="AY486" s="457"/>
      <c r="AZ486" s="457"/>
      <c r="BA486" s="457"/>
      <c r="BB486" s="457"/>
      <c r="BC486" s="457"/>
      <c r="BD486" s="457"/>
      <c r="BE486" s="457"/>
      <c r="BF486" s="457"/>
      <c r="BG486" s="457"/>
      <c r="BH486" s="457"/>
      <c r="BI486" s="457"/>
      <c r="BJ486" s="457"/>
      <c r="BK486" s="457"/>
      <c r="BL486" s="457"/>
      <c r="BM486" s="457"/>
      <c r="BN486" s="457"/>
      <c r="BO486" s="457"/>
      <c r="BP486" s="457"/>
      <c r="BQ486" s="457"/>
      <c r="BR486" s="457"/>
      <c r="BS486" s="457"/>
      <c r="BT486" s="457"/>
      <c r="BU486" s="457"/>
      <c r="BV486" s="457"/>
      <c r="BW486" s="457"/>
      <c r="BX486" s="457"/>
      <c r="BY486" s="457"/>
      <c r="BZ486" s="457"/>
      <c r="CA486" s="457"/>
      <c r="CB486" s="457"/>
      <c r="CC486" s="457"/>
      <c r="CD486" s="457"/>
      <c r="CE486" s="457"/>
      <c r="CF486" s="457"/>
      <c r="CG486" s="457"/>
      <c r="CH486" s="457"/>
      <c r="CI486" s="457"/>
      <c r="CJ486" s="457"/>
      <c r="CK486" s="457"/>
      <c r="CL486" s="457"/>
      <c r="CM486" s="457"/>
      <c r="CN486" s="457"/>
      <c r="CO486" s="457"/>
      <c r="CP486" s="457"/>
      <c r="CQ486" s="457"/>
      <c r="CR486" s="457"/>
      <c r="CS486" s="457"/>
      <c r="CT486" s="457"/>
      <c r="CU486" s="457"/>
      <c r="CV486" s="457"/>
      <c r="CW486" s="457"/>
      <c r="CX486" s="457"/>
      <c r="CY486" s="457"/>
      <c r="CZ486" s="457"/>
      <c r="DA486" s="457"/>
      <c r="DB486" s="457"/>
      <c r="DC486" s="457"/>
      <c r="DD486" s="457"/>
      <c r="DE486" s="457"/>
      <c r="DF486" s="457"/>
      <c r="DG486" s="457"/>
      <c r="DH486" s="457"/>
      <c r="DI486" s="457"/>
      <c r="DJ486" s="457"/>
      <c r="DK486" s="457"/>
      <c r="DL486" s="457"/>
      <c r="DM486" s="457"/>
      <c r="DN486" s="457"/>
      <c r="DO486" s="457"/>
      <c r="DP486" s="457"/>
      <c r="DQ486" s="457"/>
      <c r="DR486" s="457"/>
      <c r="DS486" s="457"/>
      <c r="DT486" s="457"/>
      <c r="DU486" s="457"/>
      <c r="DV486" s="457"/>
      <c r="DW486" s="457"/>
      <c r="DX486" s="457"/>
      <c r="DY486" s="457"/>
      <c r="DZ486" s="457"/>
      <c r="EA486" s="457"/>
      <c r="EB486" s="457"/>
      <c r="EC486" s="457"/>
      <c r="ED486" s="457"/>
      <c r="EE486" s="457"/>
      <c r="EF486" s="457"/>
      <c r="EG486" s="457"/>
      <c r="EH486" s="457"/>
      <c r="EI486" s="457"/>
      <c r="EJ486" s="457"/>
      <c r="EK486" s="457"/>
      <c r="EL486" s="457"/>
      <c r="EM486" s="457"/>
      <c r="EN486" s="457"/>
      <c r="EO486" s="457"/>
      <c r="EP486" s="457"/>
      <c r="EQ486" s="457"/>
      <c r="ER486" s="457"/>
      <c r="ES486" s="457"/>
      <c r="ET486" s="457"/>
      <c r="EU486" s="457"/>
      <c r="EV486" s="457"/>
      <c r="EW486" s="457"/>
      <c r="EX486" s="457"/>
      <c r="EY486" s="457"/>
      <c r="EZ486" s="457"/>
      <c r="FA486" s="457"/>
      <c r="FB486" s="457"/>
      <c r="FC486" s="457"/>
      <c r="FD486" s="457"/>
      <c r="FE486" s="457"/>
      <c r="FF486" s="457"/>
      <c r="FG486" s="457"/>
      <c r="FH486" s="457"/>
      <c r="FI486" s="457"/>
      <c r="FJ486" s="457"/>
      <c r="FK486" s="457"/>
      <c r="FL486" s="457"/>
      <c r="FM486" s="457"/>
      <c r="FN486" s="457"/>
      <c r="FO486" s="457"/>
      <c r="FP486" s="457"/>
      <c r="FQ486" s="457"/>
      <c r="FR486" s="457"/>
      <c r="FS486" s="457"/>
      <c r="FT486" s="457"/>
      <c r="FU486" s="457"/>
      <c r="FV486" s="457"/>
      <c r="FW486" s="457"/>
      <c r="FX486" s="457"/>
      <c r="FY486" s="457"/>
      <c r="FZ486" s="457"/>
      <c r="GA486" s="457"/>
      <c r="GB486" s="457"/>
      <c r="GC486" s="457"/>
      <c r="GD486" s="457"/>
      <c r="GE486" s="457"/>
      <c r="GF486" s="457"/>
      <c r="GG486" s="457"/>
      <c r="GH486" s="457"/>
      <c r="GI486" s="457"/>
      <c r="GJ486" s="457"/>
      <c r="GK486" s="457"/>
      <c r="GL486" s="457"/>
      <c r="GM486" s="457"/>
      <c r="GN486" s="457"/>
      <c r="GO486" s="457"/>
      <c r="GP486" s="457"/>
      <c r="GQ486" s="457"/>
      <c r="GR486" s="457"/>
      <c r="GS486" s="457"/>
      <c r="GT486" s="457"/>
      <c r="GU486" s="457"/>
      <c r="GV486" s="457"/>
      <c r="GW486" s="457"/>
      <c r="GX486" s="457"/>
      <c r="GY486" s="457"/>
      <c r="GZ486" s="457"/>
      <c r="HA486" s="457"/>
      <c r="HB486" s="457"/>
      <c r="HC486" s="457"/>
      <c r="HD486" s="457"/>
      <c r="HE486" s="457"/>
      <c r="HF486" s="457"/>
      <c r="HG486" s="457"/>
      <c r="HH486" s="457"/>
      <c r="HI486" s="457"/>
      <c r="HJ486" s="457"/>
      <c r="HK486" s="457"/>
      <c r="HL486" s="457"/>
      <c r="HM486" s="457"/>
      <c r="HN486" s="457"/>
      <c r="HO486" s="457"/>
      <c r="HP486" s="457"/>
      <c r="HQ486" s="457"/>
      <c r="HR486" s="457"/>
      <c r="HS486" s="457"/>
      <c r="HT486" s="457"/>
      <c r="HU486" s="457"/>
      <c r="HV486" s="457"/>
      <c r="HW486" s="457"/>
      <c r="HX486" s="457"/>
      <c r="HY486" s="457"/>
      <c r="HZ486" s="457"/>
      <c r="IA486" s="457"/>
      <c r="IB486" s="457"/>
      <c r="IC486" s="457"/>
      <c r="ID486" s="457"/>
      <c r="IE486" s="457"/>
      <c r="IF486" s="457"/>
      <c r="IG486" s="457"/>
      <c r="IH486" s="457"/>
      <c r="II486" s="457"/>
      <c r="IJ486" s="457"/>
      <c r="IK486" s="457"/>
      <c r="IL486" s="457"/>
      <c r="IM486" s="457"/>
      <c r="IN486" s="457"/>
      <c r="IO486" s="457"/>
      <c r="IP486" s="457"/>
      <c r="IQ486" s="457"/>
      <c r="IR486" s="457"/>
      <c r="IS486" s="457"/>
      <c r="IT486" s="457"/>
      <c r="IU486" s="457"/>
      <c r="IV486" s="457"/>
      <c r="IW486" s="457"/>
      <c r="IX486" s="457"/>
      <c r="IY486" s="457"/>
      <c r="IZ486" s="457"/>
      <c r="JA486" s="457"/>
      <c r="JB486" s="457"/>
      <c r="JC486" s="457"/>
      <c r="JD486" s="457"/>
      <c r="JE486" s="457"/>
      <c r="JF486" s="457"/>
      <c r="JG486" s="457"/>
      <c r="JH486" s="457"/>
      <c r="JI486" s="457"/>
      <c r="JJ486" s="457"/>
      <c r="JK486" s="457"/>
      <c r="JL486" s="457"/>
      <c r="JM486" s="457"/>
      <c r="JN486" s="457"/>
      <c r="JO486" s="457"/>
      <c r="JP486" s="457"/>
      <c r="JQ486" s="457"/>
      <c r="JR486" s="457"/>
      <c r="JS486" s="457"/>
      <c r="JT486" s="457"/>
      <c r="JU486" s="457"/>
      <c r="JV486" s="457"/>
      <c r="JW486" s="457"/>
      <c r="JX486" s="457"/>
      <c r="JY486" s="457"/>
      <c r="JZ486" s="457"/>
      <c r="KA486" s="457"/>
      <c r="KB486" s="457"/>
      <c r="KC486" s="457"/>
      <c r="KD486" s="457"/>
      <c r="KE486" s="457"/>
      <c r="KF486" s="457"/>
      <c r="KG486" s="457"/>
      <c r="KH486" s="457"/>
      <c r="KI486" s="457"/>
      <c r="KJ486" s="457"/>
      <c r="KK486" s="457"/>
      <c r="KL486" s="457"/>
      <c r="KM486" s="457"/>
      <c r="KN486" s="457"/>
      <c r="KO486" s="457"/>
      <c r="KP486" s="457"/>
      <c r="KQ486" s="457"/>
      <c r="KR486" s="457"/>
      <c r="KS486" s="457"/>
      <c r="KT486" s="457"/>
      <c r="KU486" s="457"/>
      <c r="KV486" s="457"/>
      <c r="KW486" s="457"/>
      <c r="KX486" s="457"/>
      <c r="KY486" s="457"/>
      <c r="KZ486" s="457"/>
      <c r="LA486" s="457"/>
      <c r="LB486" s="457"/>
      <c r="LC486" s="457"/>
      <c r="LD486" s="457"/>
      <c r="LE486" s="457"/>
      <c r="LF486" s="457"/>
      <c r="LG486" s="457"/>
      <c r="LH486" s="457"/>
      <c r="LI486" s="457"/>
      <c r="LJ486" s="457"/>
      <c r="LK486" s="457"/>
      <c r="LL486" s="457"/>
      <c r="LM486" s="457"/>
      <c r="LN486" s="457"/>
      <c r="LO486" s="457"/>
      <c r="LP486" s="457"/>
      <c r="LQ486" s="457"/>
      <c r="LR486" s="457"/>
      <c r="LS486" s="457"/>
      <c r="LT486" s="457"/>
      <c r="LU486" s="457"/>
      <c r="LV486" s="457"/>
      <c r="LW486" s="457"/>
      <c r="LX486" s="457"/>
      <c r="LY486" s="457"/>
      <c r="LZ486" s="457"/>
      <c r="MA486" s="457"/>
      <c r="MB486" s="457"/>
      <c r="MC486" s="457"/>
      <c r="MD486" s="457"/>
      <c r="ME486" s="457"/>
      <c r="MF486" s="457"/>
      <c r="MG486" s="457"/>
      <c r="MH486" s="457"/>
      <c r="MI486" s="457"/>
      <c r="MJ486" s="457"/>
      <c r="MK486" s="457"/>
      <c r="ML486" s="457"/>
      <c r="MM486" s="457"/>
      <c r="MN486" s="457"/>
      <c r="MO486" s="457"/>
      <c r="MP486" s="457"/>
      <c r="MQ486" s="457"/>
      <c r="MR486" s="457"/>
      <c r="MS486" s="457"/>
      <c r="MT486" s="457"/>
      <c r="MU486" s="457"/>
      <c r="MV486" s="457"/>
      <c r="MW486" s="457"/>
      <c r="MX486" s="457"/>
      <c r="MY486" s="457"/>
      <c r="MZ486" s="457"/>
      <c r="NA486" s="457"/>
      <c r="NB486" s="457"/>
      <c r="NC486" s="457"/>
      <c r="ND486" s="457"/>
      <c r="NE486" s="457"/>
      <c r="NF486" s="457"/>
      <c r="NG486" s="457"/>
      <c r="NH486" s="457"/>
      <c r="NI486" s="457"/>
      <c r="NJ486" s="457"/>
      <c r="NK486" s="457"/>
      <c r="NL486" s="457"/>
      <c r="NM486" s="457"/>
      <c r="NN486" s="457"/>
      <c r="NO486" s="457"/>
      <c r="NP486" s="457"/>
      <c r="NQ486" s="457"/>
      <c r="NR486" s="457"/>
      <c r="NS486" s="457"/>
      <c r="NT486" s="457"/>
      <c r="NU486" s="457"/>
      <c r="NV486" s="457"/>
      <c r="NW486" s="457"/>
      <c r="NX486" s="457"/>
      <c r="NY486" s="457"/>
      <c r="NZ486" s="457"/>
      <c r="OA486" s="457"/>
      <c r="OB486" s="457"/>
      <c r="OC486" s="457"/>
      <c r="OD486" s="457"/>
      <c r="OE486" s="457"/>
      <c r="OF486" s="457"/>
      <c r="OG486" s="457"/>
      <c r="OH486" s="457"/>
      <c r="OI486" s="457"/>
      <c r="OJ486" s="457"/>
      <c r="OK486" s="457"/>
      <c r="OL486" s="457"/>
      <c r="OM486" s="457"/>
      <c r="ON486" s="457"/>
      <c r="OO486" s="457"/>
      <c r="OP486" s="457"/>
      <c r="OQ486" s="457"/>
      <c r="OR486" s="457"/>
      <c r="OS486" s="457"/>
      <c r="OT486" s="457"/>
      <c r="OU486" s="457"/>
      <c r="OV486" s="457"/>
      <c r="OW486" s="457"/>
      <c r="OX486" s="457"/>
      <c r="OY486" s="457"/>
      <c r="OZ486" s="457"/>
      <c r="PA486" s="457"/>
      <c r="PB486" s="457"/>
      <c r="PC486" s="457"/>
      <c r="PD486" s="457"/>
      <c r="PE486" s="457"/>
      <c r="PF486" s="457"/>
      <c r="PG486" s="457"/>
      <c r="PH486" s="457"/>
      <c r="PI486" s="457"/>
      <c r="PJ486" s="457"/>
      <c r="PK486" s="457"/>
      <c r="PL486" s="457"/>
      <c r="PM486" s="457"/>
      <c r="PN486" s="457"/>
      <c r="PO486" s="457"/>
      <c r="PP486" s="457"/>
      <c r="PQ486" s="457"/>
      <c r="PR486" s="457"/>
      <c r="PS486" s="457"/>
      <c r="PT486" s="457"/>
      <c r="PU486" s="457"/>
      <c r="PV486" s="457"/>
      <c r="PW486" s="457"/>
      <c r="PX486" s="457"/>
      <c r="PY486" s="457"/>
      <c r="PZ486" s="457"/>
      <c r="QA486" s="457"/>
      <c r="QB486" s="457"/>
      <c r="QC486" s="457"/>
      <c r="QD486" s="457"/>
      <c r="QE486" s="457"/>
      <c r="QF486" s="457"/>
      <c r="QG486" s="457"/>
      <c r="QH486" s="457"/>
      <c r="QI486" s="457"/>
      <c r="QJ486" s="457"/>
      <c r="QK486" s="457"/>
      <c r="QL486" s="457"/>
      <c r="QM486" s="457"/>
      <c r="QN486" s="457"/>
      <c r="QO486" s="457"/>
      <c r="QP486" s="457"/>
      <c r="QQ486" s="457"/>
      <c r="QR486" s="457"/>
      <c r="QS486" s="457"/>
      <c r="QT486" s="457"/>
      <c r="QU486" s="457"/>
      <c r="QV486" s="457"/>
      <c r="QW486" s="457"/>
      <c r="QX486" s="457"/>
      <c r="QY486" s="457"/>
      <c r="QZ486" s="457"/>
      <c r="RA486" s="457"/>
      <c r="RB486" s="457"/>
      <c r="RC486" s="457"/>
      <c r="RD486" s="457"/>
      <c r="RE486" s="457"/>
      <c r="RF486" s="457"/>
      <c r="RG486" s="457"/>
      <c r="RH486" s="457"/>
      <c r="RI486" s="457"/>
      <c r="RJ486" s="457"/>
      <c r="RK486" s="457"/>
      <c r="RL486" s="457"/>
      <c r="RM486" s="457"/>
      <c r="RN486" s="457"/>
      <c r="RO486" s="457"/>
      <c r="RP486" s="457"/>
      <c r="RQ486" s="457"/>
      <c r="RR486" s="457"/>
      <c r="RS486" s="457"/>
      <c r="RT486" s="457"/>
      <c r="RU486" s="457"/>
      <c r="RV486" s="457"/>
      <c r="RW486" s="457"/>
      <c r="RX486" s="457"/>
      <c r="RY486" s="457"/>
      <c r="RZ486" s="457"/>
      <c r="SA486" s="457"/>
      <c r="SB486" s="457"/>
      <c r="SC486" s="457"/>
      <c r="SD486" s="457"/>
      <c r="SE486" s="457"/>
      <c r="SF486" s="457"/>
      <c r="SG486" s="457"/>
      <c r="SH486" s="457"/>
      <c r="SI486" s="457"/>
      <c r="SJ486" s="457"/>
      <c r="SK486" s="457"/>
      <c r="SL486" s="457"/>
      <c r="SM486" s="457"/>
      <c r="SN486" s="457"/>
      <c r="SO486" s="457"/>
      <c r="SP486" s="457"/>
      <c r="SQ486" s="457"/>
      <c r="SR486" s="457"/>
      <c r="SS486" s="457"/>
      <c r="ST486" s="457"/>
      <c r="SU486" s="457"/>
      <c r="SV486" s="457"/>
      <c r="SW486" s="457"/>
      <c r="SX486" s="457"/>
      <c r="SY486" s="457"/>
      <c r="SZ486" s="457"/>
      <c r="TA486" s="457"/>
      <c r="TB486" s="457"/>
      <c r="TC486" s="457"/>
      <c r="TD486" s="457"/>
      <c r="TE486" s="457"/>
      <c r="TF486" s="457"/>
      <c r="TG486" s="457"/>
      <c r="TH486" s="457"/>
      <c r="TI486" s="457"/>
      <c r="TJ486" s="457"/>
      <c r="TK486" s="457"/>
      <c r="TL486" s="457"/>
      <c r="TM486" s="457"/>
      <c r="TN486" s="457"/>
      <c r="TO486" s="457"/>
      <c r="TP486" s="457"/>
      <c r="TQ486" s="457"/>
      <c r="TR486" s="457"/>
      <c r="TS486" s="457"/>
      <c r="TT486" s="457"/>
      <c r="TU486" s="457"/>
      <c r="TV486" s="457"/>
      <c r="TW486" s="457"/>
      <c r="TX486" s="457"/>
      <c r="TY486" s="457"/>
      <c r="TZ486" s="457"/>
      <c r="UA486" s="457"/>
      <c r="UB486" s="457"/>
      <c r="UC486" s="457"/>
      <c r="UD486" s="457"/>
      <c r="UE486" s="457"/>
      <c r="UF486" s="457"/>
      <c r="UG486" s="457"/>
      <c r="UH486" s="457"/>
      <c r="UI486" s="457"/>
      <c r="UJ486" s="457"/>
      <c r="UK486" s="457"/>
      <c r="UL486" s="457"/>
      <c r="UM486" s="457"/>
      <c r="UN486" s="457"/>
      <c r="UO486" s="457"/>
      <c r="UP486" s="457"/>
      <c r="UQ486" s="457"/>
      <c r="UR486" s="457"/>
      <c r="US486" s="457"/>
      <c r="UT486" s="457"/>
      <c r="UU486" s="457"/>
      <c r="UV486" s="457"/>
      <c r="UW486" s="457"/>
      <c r="UX486" s="457"/>
      <c r="UY486" s="457"/>
      <c r="UZ486" s="457"/>
      <c r="VA486" s="457"/>
      <c r="VB486" s="457"/>
      <c r="VC486" s="457"/>
      <c r="VD486" s="457"/>
      <c r="VE486" s="457"/>
      <c r="VF486" s="457"/>
      <c r="VG486" s="457"/>
      <c r="VH486" s="457"/>
      <c r="VI486" s="457"/>
      <c r="VJ486" s="457"/>
      <c r="VK486" s="457"/>
      <c r="VL486" s="457"/>
      <c r="VM486" s="457"/>
      <c r="VN486" s="457"/>
      <c r="VO486" s="457"/>
      <c r="VP486" s="457"/>
      <c r="VQ486" s="457"/>
      <c r="VR486" s="457"/>
      <c r="VS486" s="457"/>
      <c r="VT486" s="457"/>
      <c r="VU486" s="457"/>
      <c r="VV486" s="457"/>
      <c r="VW486" s="457"/>
      <c r="VX486" s="457"/>
      <c r="VY486" s="457"/>
      <c r="VZ486" s="457"/>
      <c r="WA486" s="457"/>
      <c r="WB486" s="457"/>
      <c r="WC486" s="457"/>
      <c r="WD486" s="457"/>
      <c r="WE486" s="457"/>
      <c r="WF486" s="457"/>
      <c r="WG486" s="457"/>
      <c r="WH486" s="457"/>
      <c r="WI486" s="457"/>
      <c r="WJ486" s="457"/>
      <c r="WK486" s="457"/>
      <c r="WL486" s="457"/>
      <c r="WM486" s="457"/>
      <c r="WN486" s="457"/>
      <c r="WO486" s="457"/>
      <c r="WP486" s="457"/>
      <c r="WQ486" s="457"/>
      <c r="WR486" s="457"/>
      <c r="WS486" s="457"/>
      <c r="WT486" s="457"/>
      <c r="WU486" s="457"/>
      <c r="WV486" s="457"/>
      <c r="WW486" s="457"/>
      <c r="WX486" s="457"/>
      <c r="WY486" s="457"/>
      <c r="WZ486" s="457"/>
      <c r="XA486" s="457"/>
      <c r="XB486" s="457"/>
      <c r="XC486" s="457"/>
      <c r="XD486" s="457"/>
      <c r="XE486" s="457"/>
      <c r="XF486" s="457"/>
      <c r="XG486" s="457"/>
      <c r="XH486" s="457"/>
      <c r="XI486" s="457"/>
      <c r="XJ486" s="457"/>
      <c r="XK486" s="457"/>
      <c r="XL486" s="457"/>
      <c r="XM486" s="457"/>
      <c r="XN486" s="457"/>
      <c r="XO486" s="457"/>
      <c r="XP486" s="457"/>
      <c r="XQ486" s="457"/>
      <c r="XR486" s="457"/>
      <c r="XS486" s="457"/>
      <c r="XT486" s="457"/>
      <c r="XU486" s="457"/>
      <c r="XV486" s="457"/>
      <c r="XW486" s="457"/>
      <c r="XX486" s="457"/>
      <c r="XY486" s="457"/>
      <c r="XZ486" s="457"/>
      <c r="YA486" s="457"/>
      <c r="YB486" s="457"/>
      <c r="YC486" s="457"/>
      <c r="YD486" s="457"/>
      <c r="YE486" s="457"/>
      <c r="YF486" s="457"/>
      <c r="YG486" s="457"/>
      <c r="YH486" s="457"/>
      <c r="YI486" s="457"/>
      <c r="YJ486" s="457"/>
      <c r="YK486" s="457"/>
      <c r="YL486" s="457"/>
      <c r="YM486" s="457"/>
      <c r="YN486" s="457"/>
      <c r="YO486" s="457"/>
      <c r="YP486" s="457"/>
      <c r="YQ486" s="457"/>
      <c r="YR486" s="457"/>
      <c r="YS486" s="457"/>
      <c r="YT486" s="457"/>
      <c r="YU486" s="457"/>
      <c r="YV486" s="457"/>
      <c r="YW486" s="457"/>
      <c r="YX486" s="457"/>
      <c r="YY486" s="457"/>
      <c r="YZ486" s="457"/>
      <c r="ZA486" s="457"/>
      <c r="ZB486" s="457"/>
      <c r="ZC486" s="457"/>
      <c r="ZD486" s="457"/>
      <c r="ZE486" s="457"/>
      <c r="ZF486" s="457"/>
      <c r="ZG486" s="457"/>
      <c r="ZH486" s="457"/>
      <c r="ZI486" s="457"/>
      <c r="ZJ486" s="457"/>
      <c r="ZK486" s="457"/>
      <c r="ZL486" s="457"/>
      <c r="ZM486" s="457"/>
      <c r="ZN486" s="457"/>
      <c r="ZO486" s="457"/>
      <c r="ZP486" s="457"/>
      <c r="ZQ486" s="457"/>
      <c r="ZR486" s="457"/>
      <c r="ZS486" s="457"/>
      <c r="ZT486" s="457"/>
      <c r="ZU486" s="457"/>
      <c r="ZV486" s="457"/>
      <c r="ZW486" s="457"/>
      <c r="ZX486" s="457"/>
      <c r="ZY486" s="457"/>
      <c r="ZZ486" s="457"/>
      <c r="AAA486" s="457"/>
      <c r="AAB486" s="457"/>
      <c r="AAC486" s="457"/>
      <c r="AAD486" s="457"/>
      <c r="AAE486" s="457"/>
      <c r="AAF486" s="457"/>
      <c r="AAG486" s="457"/>
      <c r="AAH486" s="457"/>
      <c r="AAI486" s="457"/>
      <c r="AAJ486" s="457"/>
      <c r="AAK486" s="457"/>
      <c r="AAL486" s="457"/>
      <c r="AAM486" s="457"/>
      <c r="AAN486" s="457"/>
      <c r="AAO486" s="457"/>
      <c r="AAP486" s="457"/>
      <c r="AAQ486" s="457"/>
      <c r="AAR486" s="457"/>
      <c r="AAS486" s="457"/>
      <c r="AAT486" s="457"/>
      <c r="AAU486" s="457"/>
      <c r="AAV486" s="457"/>
      <c r="AAW486" s="457"/>
      <c r="AAX486" s="457"/>
      <c r="AAY486" s="457"/>
      <c r="AAZ486" s="457"/>
      <c r="ABA486" s="457"/>
      <c r="ABB486" s="457"/>
      <c r="ABC486" s="457"/>
      <c r="ABD486" s="457"/>
      <c r="ABE486" s="457"/>
      <c r="ABF486" s="457"/>
      <c r="ABG486" s="457"/>
      <c r="ABH486" s="457"/>
      <c r="ABI486" s="457"/>
      <c r="ABJ486" s="457"/>
      <c r="ABK486" s="457"/>
      <c r="ABL486" s="457"/>
      <c r="ABM486" s="457"/>
      <c r="ABN486" s="457"/>
      <c r="ABO486" s="457"/>
      <c r="ABP486" s="457"/>
      <c r="ABQ486" s="457"/>
      <c r="ABR486" s="457"/>
      <c r="ABS486" s="457"/>
      <c r="ABT486" s="457"/>
      <c r="ABU486" s="457"/>
      <c r="ABV486" s="457"/>
      <c r="ABW486" s="457"/>
      <c r="ABX486" s="457"/>
      <c r="ABY486" s="457"/>
      <c r="ABZ486" s="457"/>
      <c r="ACA486" s="457"/>
      <c r="ACB486" s="457"/>
      <c r="ACC486" s="457"/>
      <c r="ACD486" s="457"/>
      <c r="ACE486" s="457"/>
      <c r="ACF486" s="457"/>
      <c r="ACG486" s="457"/>
      <c r="ACH486" s="457"/>
      <c r="ACI486" s="457"/>
      <c r="ACJ486" s="457"/>
      <c r="ACK486" s="457"/>
      <c r="ACL486" s="457"/>
      <c r="ACM486" s="457"/>
      <c r="ACN486" s="457"/>
      <c r="ACO486" s="457"/>
      <c r="ACP486" s="457"/>
      <c r="ACQ486" s="457"/>
      <c r="ACR486" s="457"/>
      <c r="ACS486" s="457"/>
      <c r="ACT486" s="457"/>
      <c r="ACU486" s="457"/>
      <c r="ACV486" s="457"/>
    </row>
    <row r="487" spans="1:776" s="400" customFormat="1" x14ac:dyDescent="0.25">
      <c r="A487" s="470">
        <v>900202</v>
      </c>
      <c r="B487" s="453" t="s">
        <v>403</v>
      </c>
      <c r="C487" s="455"/>
      <c r="D487" s="455" t="s">
        <v>404</v>
      </c>
      <c r="E487" s="455">
        <v>9.3000000000000007</v>
      </c>
      <c r="F487" s="454">
        <v>35.840000000000003</v>
      </c>
      <c r="G487" s="454">
        <v>0</v>
      </c>
      <c r="H487" s="454">
        <v>0.47</v>
      </c>
      <c r="I487" s="456">
        <v>2759.7</v>
      </c>
      <c r="J487" s="454">
        <v>482</v>
      </c>
      <c r="K487" s="454">
        <v>0.2142</v>
      </c>
      <c r="L487" s="454">
        <v>312</v>
      </c>
      <c r="M487" s="454">
        <v>0</v>
      </c>
      <c r="N487" s="454">
        <v>4.1500000000000004</v>
      </c>
      <c r="O487" s="454">
        <v>1370.68</v>
      </c>
      <c r="P487" s="454">
        <v>285.42</v>
      </c>
      <c r="Q487" s="454">
        <v>223.68</v>
      </c>
      <c r="R487" s="454">
        <v>0.06</v>
      </c>
      <c r="S487" s="397">
        <v>1.0000000000000001E-5</v>
      </c>
      <c r="T487" s="454">
        <v>0.04</v>
      </c>
      <c r="U487" s="397">
        <v>1.0000000000000001E-5</v>
      </c>
      <c r="V487" s="397">
        <v>1.0000000000000001E-5</v>
      </c>
      <c r="W487" s="457"/>
      <c r="X487" s="457"/>
      <c r="Y487" s="457"/>
      <c r="Z487" s="457"/>
      <c r="AA487" s="457"/>
      <c r="AB487" s="457"/>
      <c r="AC487" s="457"/>
      <c r="AD487" s="457"/>
      <c r="AE487" s="457"/>
      <c r="AF487" s="457"/>
      <c r="AG487" s="457"/>
      <c r="AH487" s="457"/>
      <c r="AI487" s="457"/>
      <c r="AJ487" s="457"/>
      <c r="AK487" s="457"/>
      <c r="AL487" s="457"/>
      <c r="AM487" s="457"/>
      <c r="AN487" s="457"/>
      <c r="AO487" s="457"/>
      <c r="AP487" s="457"/>
      <c r="AQ487" s="457"/>
      <c r="AR487" s="457"/>
      <c r="AS487" s="457"/>
      <c r="AT487" s="457"/>
      <c r="AU487" s="457"/>
      <c r="AV487" s="457"/>
      <c r="AW487" s="457"/>
      <c r="AX487" s="457"/>
      <c r="AY487" s="457"/>
      <c r="AZ487" s="457"/>
      <c r="BA487" s="457"/>
      <c r="BB487" s="457"/>
      <c r="BC487" s="457"/>
      <c r="BD487" s="457"/>
      <c r="BE487" s="457"/>
      <c r="BF487" s="457"/>
      <c r="BG487" s="457"/>
      <c r="BH487" s="457"/>
      <c r="BI487" s="457"/>
      <c r="BJ487" s="457"/>
      <c r="BK487" s="457"/>
      <c r="BL487" s="457"/>
      <c r="BM487" s="457"/>
      <c r="BN487" s="457"/>
      <c r="BO487" s="457"/>
      <c r="BP487" s="457"/>
      <c r="BQ487" s="457"/>
      <c r="BR487" s="457"/>
      <c r="BS487" s="457"/>
      <c r="BT487" s="457"/>
      <c r="BU487" s="457"/>
      <c r="BV487" s="457"/>
      <c r="BW487" s="457"/>
      <c r="BX487" s="457"/>
      <c r="BY487" s="457"/>
      <c r="BZ487" s="457"/>
      <c r="CA487" s="457"/>
      <c r="CB487" s="457"/>
      <c r="CC487" s="457"/>
      <c r="CD487" s="457"/>
      <c r="CE487" s="457"/>
      <c r="CF487" s="457"/>
      <c r="CG487" s="457"/>
      <c r="CH487" s="457"/>
      <c r="CI487" s="457"/>
      <c r="CJ487" s="457"/>
      <c r="CK487" s="457"/>
      <c r="CL487" s="457"/>
      <c r="CM487" s="457"/>
      <c r="CN487" s="457"/>
      <c r="CO487" s="457"/>
      <c r="CP487" s="457"/>
      <c r="CQ487" s="457"/>
      <c r="CR487" s="457"/>
      <c r="CS487" s="457"/>
      <c r="CT487" s="457"/>
      <c r="CU487" s="457"/>
      <c r="CV487" s="457"/>
      <c r="CW487" s="457"/>
      <c r="CX487" s="457"/>
      <c r="CY487" s="457"/>
      <c r="CZ487" s="457"/>
      <c r="DA487" s="457"/>
      <c r="DB487" s="457"/>
      <c r="DC487" s="457"/>
      <c r="DD487" s="457"/>
      <c r="DE487" s="457"/>
      <c r="DF487" s="457"/>
      <c r="DG487" s="457"/>
      <c r="DH487" s="457"/>
      <c r="DI487" s="457"/>
      <c r="DJ487" s="457"/>
      <c r="DK487" s="457"/>
      <c r="DL487" s="457"/>
      <c r="DM487" s="457"/>
      <c r="DN487" s="457"/>
      <c r="DO487" s="457"/>
      <c r="DP487" s="457"/>
      <c r="DQ487" s="457"/>
      <c r="DR487" s="457"/>
      <c r="DS487" s="457"/>
      <c r="DT487" s="457"/>
      <c r="DU487" s="457"/>
      <c r="DV487" s="457"/>
      <c r="DW487" s="457"/>
      <c r="DX487" s="457"/>
      <c r="DY487" s="457"/>
      <c r="DZ487" s="457"/>
      <c r="EA487" s="457"/>
      <c r="EB487" s="457"/>
      <c r="EC487" s="457"/>
      <c r="ED487" s="457"/>
      <c r="EE487" s="457"/>
      <c r="EF487" s="457"/>
      <c r="EG487" s="457"/>
      <c r="EH487" s="457"/>
      <c r="EI487" s="457"/>
      <c r="EJ487" s="457"/>
      <c r="EK487" s="457"/>
      <c r="EL487" s="457"/>
      <c r="EM487" s="457"/>
      <c r="EN487" s="457"/>
      <c r="EO487" s="457"/>
      <c r="EP487" s="457"/>
      <c r="EQ487" s="457"/>
      <c r="ER487" s="457"/>
      <c r="ES487" s="457"/>
      <c r="ET487" s="457"/>
      <c r="EU487" s="457"/>
      <c r="EV487" s="457"/>
      <c r="EW487" s="457"/>
      <c r="EX487" s="457"/>
      <c r="EY487" s="457"/>
      <c r="EZ487" s="457"/>
      <c r="FA487" s="457"/>
      <c r="FB487" s="457"/>
      <c r="FC487" s="457"/>
      <c r="FD487" s="457"/>
      <c r="FE487" s="457"/>
      <c r="FF487" s="457"/>
      <c r="FG487" s="457"/>
      <c r="FH487" s="457"/>
      <c r="FI487" s="457"/>
      <c r="FJ487" s="457"/>
      <c r="FK487" s="457"/>
      <c r="FL487" s="457"/>
      <c r="FM487" s="457"/>
      <c r="FN487" s="457"/>
      <c r="FO487" s="457"/>
      <c r="FP487" s="457"/>
      <c r="FQ487" s="457"/>
      <c r="FR487" s="457"/>
      <c r="FS487" s="457"/>
      <c r="FT487" s="457"/>
      <c r="FU487" s="457"/>
      <c r="FV487" s="457"/>
      <c r="FW487" s="457"/>
      <c r="FX487" s="457"/>
      <c r="FY487" s="457"/>
      <c r="FZ487" s="457"/>
      <c r="GA487" s="457"/>
      <c r="GB487" s="457"/>
      <c r="GC487" s="457"/>
      <c r="GD487" s="457"/>
      <c r="GE487" s="457"/>
      <c r="GF487" s="457"/>
      <c r="GG487" s="457"/>
      <c r="GH487" s="457"/>
      <c r="GI487" s="457"/>
      <c r="GJ487" s="457"/>
      <c r="GK487" s="457"/>
      <c r="GL487" s="457"/>
      <c r="GM487" s="457"/>
      <c r="GN487" s="457"/>
      <c r="GO487" s="457"/>
      <c r="GP487" s="457"/>
      <c r="GQ487" s="457"/>
      <c r="GR487" s="457"/>
      <c r="GS487" s="457"/>
      <c r="GT487" s="457"/>
      <c r="GU487" s="457"/>
      <c r="GV487" s="457"/>
      <c r="GW487" s="457"/>
      <c r="GX487" s="457"/>
      <c r="GY487" s="457"/>
      <c r="GZ487" s="457"/>
      <c r="HA487" s="457"/>
      <c r="HB487" s="457"/>
      <c r="HC487" s="457"/>
      <c r="HD487" s="457"/>
      <c r="HE487" s="457"/>
      <c r="HF487" s="457"/>
      <c r="HG487" s="457"/>
      <c r="HH487" s="457"/>
      <c r="HI487" s="457"/>
      <c r="HJ487" s="457"/>
      <c r="HK487" s="457"/>
      <c r="HL487" s="457"/>
      <c r="HM487" s="457"/>
      <c r="HN487" s="457"/>
      <c r="HO487" s="457"/>
      <c r="HP487" s="457"/>
      <c r="HQ487" s="457"/>
      <c r="HR487" s="457"/>
      <c r="HS487" s="457"/>
      <c r="HT487" s="457"/>
      <c r="HU487" s="457"/>
      <c r="HV487" s="457"/>
      <c r="HW487" s="457"/>
      <c r="HX487" s="457"/>
      <c r="HY487" s="457"/>
      <c r="HZ487" s="457"/>
      <c r="IA487" s="457"/>
      <c r="IB487" s="457"/>
      <c r="IC487" s="457"/>
      <c r="ID487" s="457"/>
      <c r="IE487" s="457"/>
      <c r="IF487" s="457"/>
      <c r="IG487" s="457"/>
      <c r="IH487" s="457"/>
      <c r="II487" s="457"/>
      <c r="IJ487" s="457"/>
      <c r="IK487" s="457"/>
      <c r="IL487" s="457"/>
      <c r="IM487" s="457"/>
      <c r="IN487" s="457"/>
      <c r="IO487" s="457"/>
      <c r="IP487" s="457"/>
      <c r="IQ487" s="457"/>
      <c r="IR487" s="457"/>
      <c r="IS487" s="457"/>
      <c r="IT487" s="457"/>
      <c r="IU487" s="457"/>
      <c r="IV487" s="457"/>
      <c r="IW487" s="457"/>
      <c r="IX487" s="457"/>
      <c r="IY487" s="457"/>
      <c r="IZ487" s="457"/>
      <c r="JA487" s="457"/>
      <c r="JB487" s="457"/>
      <c r="JC487" s="457"/>
      <c r="JD487" s="457"/>
      <c r="JE487" s="457"/>
      <c r="JF487" s="457"/>
      <c r="JG487" s="457"/>
      <c r="JH487" s="457"/>
      <c r="JI487" s="457"/>
      <c r="JJ487" s="457"/>
      <c r="JK487" s="457"/>
      <c r="JL487" s="457"/>
      <c r="JM487" s="457"/>
      <c r="JN487" s="457"/>
      <c r="JO487" s="457"/>
      <c r="JP487" s="457"/>
      <c r="JQ487" s="457"/>
      <c r="JR487" s="457"/>
      <c r="JS487" s="457"/>
      <c r="JT487" s="457"/>
      <c r="JU487" s="457"/>
      <c r="JV487" s="457"/>
      <c r="JW487" s="457"/>
      <c r="JX487" s="457"/>
      <c r="JY487" s="457"/>
      <c r="JZ487" s="457"/>
      <c r="KA487" s="457"/>
      <c r="KB487" s="457"/>
      <c r="KC487" s="457"/>
      <c r="KD487" s="457"/>
      <c r="KE487" s="457"/>
      <c r="KF487" s="457"/>
      <c r="KG487" s="457"/>
      <c r="KH487" s="457"/>
      <c r="KI487" s="457"/>
      <c r="KJ487" s="457"/>
      <c r="KK487" s="457"/>
      <c r="KL487" s="457"/>
      <c r="KM487" s="457"/>
      <c r="KN487" s="457"/>
      <c r="KO487" s="457"/>
      <c r="KP487" s="457"/>
      <c r="KQ487" s="457"/>
      <c r="KR487" s="457"/>
      <c r="KS487" s="457"/>
      <c r="KT487" s="457"/>
      <c r="KU487" s="457"/>
      <c r="KV487" s="457"/>
      <c r="KW487" s="457"/>
      <c r="KX487" s="457"/>
      <c r="KY487" s="457"/>
      <c r="KZ487" s="457"/>
      <c r="LA487" s="457"/>
      <c r="LB487" s="457"/>
      <c r="LC487" s="457"/>
      <c r="LD487" s="457"/>
      <c r="LE487" s="457"/>
      <c r="LF487" s="457"/>
      <c r="LG487" s="457"/>
      <c r="LH487" s="457"/>
      <c r="LI487" s="457"/>
      <c r="LJ487" s="457"/>
      <c r="LK487" s="457"/>
      <c r="LL487" s="457"/>
      <c r="LM487" s="457"/>
      <c r="LN487" s="457"/>
      <c r="LO487" s="457"/>
      <c r="LP487" s="457"/>
      <c r="LQ487" s="457"/>
      <c r="LR487" s="457"/>
      <c r="LS487" s="457"/>
      <c r="LT487" s="457"/>
      <c r="LU487" s="457"/>
      <c r="LV487" s="457"/>
      <c r="LW487" s="457"/>
      <c r="LX487" s="457"/>
      <c r="LY487" s="457"/>
      <c r="LZ487" s="457"/>
      <c r="MA487" s="457"/>
      <c r="MB487" s="457"/>
      <c r="MC487" s="457"/>
      <c r="MD487" s="457"/>
      <c r="ME487" s="457"/>
      <c r="MF487" s="457"/>
      <c r="MG487" s="457"/>
      <c r="MH487" s="457"/>
      <c r="MI487" s="457"/>
      <c r="MJ487" s="457"/>
      <c r="MK487" s="457"/>
      <c r="ML487" s="457"/>
      <c r="MM487" s="457"/>
      <c r="MN487" s="457"/>
      <c r="MO487" s="457"/>
      <c r="MP487" s="457"/>
      <c r="MQ487" s="457"/>
      <c r="MR487" s="457"/>
      <c r="MS487" s="457"/>
      <c r="MT487" s="457"/>
      <c r="MU487" s="457"/>
      <c r="MV487" s="457"/>
      <c r="MW487" s="457"/>
      <c r="MX487" s="457"/>
      <c r="MY487" s="457"/>
      <c r="MZ487" s="457"/>
      <c r="NA487" s="457"/>
      <c r="NB487" s="457"/>
      <c r="NC487" s="457"/>
      <c r="ND487" s="457"/>
      <c r="NE487" s="457"/>
      <c r="NF487" s="457"/>
      <c r="NG487" s="457"/>
      <c r="NH487" s="457"/>
      <c r="NI487" s="457"/>
      <c r="NJ487" s="457"/>
      <c r="NK487" s="457"/>
      <c r="NL487" s="457"/>
      <c r="NM487" s="457"/>
      <c r="NN487" s="457"/>
      <c r="NO487" s="457"/>
      <c r="NP487" s="457"/>
      <c r="NQ487" s="457"/>
      <c r="NR487" s="457"/>
      <c r="NS487" s="457"/>
      <c r="NT487" s="457"/>
      <c r="NU487" s="457"/>
      <c r="NV487" s="457"/>
      <c r="NW487" s="457"/>
      <c r="NX487" s="457"/>
      <c r="NY487" s="457"/>
      <c r="NZ487" s="457"/>
      <c r="OA487" s="457"/>
      <c r="OB487" s="457"/>
      <c r="OC487" s="457"/>
      <c r="OD487" s="457"/>
      <c r="OE487" s="457"/>
      <c r="OF487" s="457"/>
      <c r="OG487" s="457"/>
      <c r="OH487" s="457"/>
      <c r="OI487" s="457"/>
      <c r="OJ487" s="457"/>
      <c r="OK487" s="457"/>
      <c r="OL487" s="457"/>
      <c r="OM487" s="457"/>
      <c r="ON487" s="457"/>
      <c r="OO487" s="457"/>
      <c r="OP487" s="457"/>
      <c r="OQ487" s="457"/>
      <c r="OR487" s="457"/>
      <c r="OS487" s="457"/>
      <c r="OT487" s="457"/>
      <c r="OU487" s="457"/>
      <c r="OV487" s="457"/>
      <c r="OW487" s="457"/>
      <c r="OX487" s="457"/>
      <c r="OY487" s="457"/>
      <c r="OZ487" s="457"/>
      <c r="PA487" s="457"/>
      <c r="PB487" s="457"/>
      <c r="PC487" s="457"/>
      <c r="PD487" s="457"/>
      <c r="PE487" s="457"/>
      <c r="PF487" s="457"/>
      <c r="PG487" s="457"/>
      <c r="PH487" s="457"/>
      <c r="PI487" s="457"/>
      <c r="PJ487" s="457"/>
      <c r="PK487" s="457"/>
      <c r="PL487" s="457"/>
      <c r="PM487" s="457"/>
      <c r="PN487" s="457"/>
      <c r="PO487" s="457"/>
      <c r="PP487" s="457"/>
      <c r="PQ487" s="457"/>
      <c r="PR487" s="457"/>
      <c r="PS487" s="457"/>
      <c r="PT487" s="457"/>
      <c r="PU487" s="457"/>
      <c r="PV487" s="457"/>
      <c r="PW487" s="457"/>
      <c r="PX487" s="457"/>
      <c r="PY487" s="457"/>
      <c r="PZ487" s="457"/>
      <c r="QA487" s="457"/>
      <c r="QB487" s="457"/>
      <c r="QC487" s="457"/>
      <c r="QD487" s="457"/>
      <c r="QE487" s="457"/>
      <c r="QF487" s="457"/>
      <c r="QG487" s="457"/>
      <c r="QH487" s="457"/>
      <c r="QI487" s="457"/>
      <c r="QJ487" s="457"/>
      <c r="QK487" s="457"/>
      <c r="QL487" s="457"/>
      <c r="QM487" s="457"/>
      <c r="QN487" s="457"/>
      <c r="QO487" s="457"/>
      <c r="QP487" s="457"/>
      <c r="QQ487" s="457"/>
      <c r="QR487" s="457"/>
      <c r="QS487" s="457"/>
      <c r="QT487" s="457"/>
      <c r="QU487" s="457"/>
      <c r="QV487" s="457"/>
      <c r="QW487" s="457"/>
      <c r="QX487" s="457"/>
      <c r="QY487" s="457"/>
      <c r="QZ487" s="457"/>
      <c r="RA487" s="457"/>
      <c r="RB487" s="457"/>
      <c r="RC487" s="457"/>
      <c r="RD487" s="457"/>
      <c r="RE487" s="457"/>
      <c r="RF487" s="457"/>
      <c r="RG487" s="457"/>
      <c r="RH487" s="457"/>
      <c r="RI487" s="457"/>
      <c r="RJ487" s="457"/>
      <c r="RK487" s="457"/>
      <c r="RL487" s="457"/>
      <c r="RM487" s="457"/>
      <c r="RN487" s="457"/>
      <c r="RO487" s="457"/>
      <c r="RP487" s="457"/>
      <c r="RQ487" s="457"/>
      <c r="RR487" s="457"/>
      <c r="RS487" s="457"/>
      <c r="RT487" s="457"/>
      <c r="RU487" s="457"/>
      <c r="RV487" s="457"/>
      <c r="RW487" s="457"/>
      <c r="RX487" s="457"/>
      <c r="RY487" s="457"/>
      <c r="RZ487" s="457"/>
      <c r="SA487" s="457"/>
      <c r="SB487" s="457"/>
      <c r="SC487" s="457"/>
      <c r="SD487" s="457"/>
      <c r="SE487" s="457"/>
      <c r="SF487" s="457"/>
      <c r="SG487" s="457"/>
      <c r="SH487" s="457"/>
      <c r="SI487" s="457"/>
      <c r="SJ487" s="457"/>
      <c r="SK487" s="457"/>
      <c r="SL487" s="457"/>
      <c r="SM487" s="457"/>
      <c r="SN487" s="457"/>
      <c r="SO487" s="457"/>
      <c r="SP487" s="457"/>
      <c r="SQ487" s="457"/>
      <c r="SR487" s="457"/>
      <c r="SS487" s="457"/>
      <c r="ST487" s="457"/>
      <c r="SU487" s="457"/>
      <c r="SV487" s="457"/>
      <c r="SW487" s="457"/>
      <c r="SX487" s="457"/>
      <c r="SY487" s="457"/>
      <c r="SZ487" s="457"/>
      <c r="TA487" s="457"/>
      <c r="TB487" s="457"/>
      <c r="TC487" s="457"/>
      <c r="TD487" s="457"/>
      <c r="TE487" s="457"/>
      <c r="TF487" s="457"/>
      <c r="TG487" s="457"/>
      <c r="TH487" s="457"/>
      <c r="TI487" s="457"/>
      <c r="TJ487" s="457"/>
      <c r="TK487" s="457"/>
      <c r="TL487" s="457"/>
      <c r="TM487" s="457"/>
      <c r="TN487" s="457"/>
      <c r="TO487" s="457"/>
      <c r="TP487" s="457"/>
      <c r="TQ487" s="457"/>
      <c r="TR487" s="457"/>
      <c r="TS487" s="457"/>
      <c r="TT487" s="457"/>
      <c r="TU487" s="457"/>
      <c r="TV487" s="457"/>
      <c r="TW487" s="457"/>
      <c r="TX487" s="457"/>
      <c r="TY487" s="457"/>
      <c r="TZ487" s="457"/>
      <c r="UA487" s="457"/>
      <c r="UB487" s="457"/>
      <c r="UC487" s="457"/>
      <c r="UD487" s="457"/>
      <c r="UE487" s="457"/>
      <c r="UF487" s="457"/>
      <c r="UG487" s="457"/>
      <c r="UH487" s="457"/>
      <c r="UI487" s="457"/>
      <c r="UJ487" s="457"/>
      <c r="UK487" s="457"/>
      <c r="UL487" s="457"/>
      <c r="UM487" s="457"/>
      <c r="UN487" s="457"/>
      <c r="UO487" s="457"/>
      <c r="UP487" s="457"/>
      <c r="UQ487" s="457"/>
      <c r="UR487" s="457"/>
      <c r="US487" s="457"/>
      <c r="UT487" s="457"/>
      <c r="UU487" s="457"/>
      <c r="UV487" s="457"/>
      <c r="UW487" s="457"/>
      <c r="UX487" s="457"/>
      <c r="UY487" s="457"/>
      <c r="UZ487" s="457"/>
      <c r="VA487" s="457"/>
      <c r="VB487" s="457"/>
      <c r="VC487" s="457"/>
      <c r="VD487" s="457"/>
      <c r="VE487" s="457"/>
      <c r="VF487" s="457"/>
      <c r="VG487" s="457"/>
      <c r="VH487" s="457"/>
      <c r="VI487" s="457"/>
      <c r="VJ487" s="457"/>
      <c r="VK487" s="457"/>
      <c r="VL487" s="457"/>
      <c r="VM487" s="457"/>
      <c r="VN487" s="457"/>
      <c r="VO487" s="457"/>
      <c r="VP487" s="457"/>
      <c r="VQ487" s="457"/>
      <c r="VR487" s="457"/>
      <c r="VS487" s="457"/>
      <c r="VT487" s="457"/>
      <c r="VU487" s="457"/>
      <c r="VV487" s="457"/>
      <c r="VW487" s="457"/>
      <c r="VX487" s="457"/>
      <c r="VY487" s="457"/>
      <c r="VZ487" s="457"/>
      <c r="WA487" s="457"/>
      <c r="WB487" s="457"/>
      <c r="WC487" s="457"/>
      <c r="WD487" s="457"/>
      <c r="WE487" s="457"/>
      <c r="WF487" s="457"/>
      <c r="WG487" s="457"/>
      <c r="WH487" s="457"/>
      <c r="WI487" s="457"/>
      <c r="WJ487" s="457"/>
      <c r="WK487" s="457"/>
      <c r="WL487" s="457"/>
      <c r="WM487" s="457"/>
      <c r="WN487" s="457"/>
      <c r="WO487" s="457"/>
      <c r="WP487" s="457"/>
      <c r="WQ487" s="457"/>
      <c r="WR487" s="457"/>
      <c r="WS487" s="457"/>
      <c r="WT487" s="457"/>
      <c r="WU487" s="457"/>
      <c r="WV487" s="457"/>
      <c r="WW487" s="457"/>
      <c r="WX487" s="457"/>
      <c r="WY487" s="457"/>
      <c r="WZ487" s="457"/>
      <c r="XA487" s="457"/>
      <c r="XB487" s="457"/>
      <c r="XC487" s="457"/>
      <c r="XD487" s="457"/>
      <c r="XE487" s="457"/>
      <c r="XF487" s="457"/>
      <c r="XG487" s="457"/>
      <c r="XH487" s="457"/>
      <c r="XI487" s="457"/>
      <c r="XJ487" s="457"/>
      <c r="XK487" s="457"/>
      <c r="XL487" s="457"/>
      <c r="XM487" s="457"/>
      <c r="XN487" s="457"/>
      <c r="XO487" s="457"/>
      <c r="XP487" s="457"/>
      <c r="XQ487" s="457"/>
      <c r="XR487" s="457"/>
      <c r="XS487" s="457"/>
      <c r="XT487" s="457"/>
      <c r="XU487" s="457"/>
      <c r="XV487" s="457"/>
      <c r="XW487" s="457"/>
      <c r="XX487" s="457"/>
      <c r="XY487" s="457"/>
      <c r="XZ487" s="457"/>
      <c r="YA487" s="457"/>
      <c r="YB487" s="457"/>
      <c r="YC487" s="457"/>
      <c r="YD487" s="457"/>
      <c r="YE487" s="457"/>
      <c r="YF487" s="457"/>
      <c r="YG487" s="457"/>
      <c r="YH487" s="457"/>
      <c r="YI487" s="457"/>
      <c r="YJ487" s="457"/>
      <c r="YK487" s="457"/>
      <c r="YL487" s="457"/>
      <c r="YM487" s="457"/>
      <c r="YN487" s="457"/>
      <c r="YO487" s="457"/>
      <c r="YP487" s="457"/>
      <c r="YQ487" s="457"/>
      <c r="YR487" s="457"/>
      <c r="YS487" s="457"/>
      <c r="YT487" s="457"/>
      <c r="YU487" s="457"/>
      <c r="YV487" s="457"/>
      <c r="YW487" s="457"/>
      <c r="YX487" s="457"/>
      <c r="YY487" s="457"/>
      <c r="YZ487" s="457"/>
      <c r="ZA487" s="457"/>
      <c r="ZB487" s="457"/>
      <c r="ZC487" s="457"/>
      <c r="ZD487" s="457"/>
      <c r="ZE487" s="457"/>
      <c r="ZF487" s="457"/>
      <c r="ZG487" s="457"/>
      <c r="ZH487" s="457"/>
      <c r="ZI487" s="457"/>
      <c r="ZJ487" s="457"/>
      <c r="ZK487" s="457"/>
      <c r="ZL487" s="457"/>
      <c r="ZM487" s="457"/>
      <c r="ZN487" s="457"/>
      <c r="ZO487" s="457"/>
      <c r="ZP487" s="457"/>
      <c r="ZQ487" s="457"/>
      <c r="ZR487" s="457"/>
      <c r="ZS487" s="457"/>
      <c r="ZT487" s="457"/>
      <c r="ZU487" s="457"/>
      <c r="ZV487" s="457"/>
      <c r="ZW487" s="457"/>
      <c r="ZX487" s="457"/>
      <c r="ZY487" s="457"/>
      <c r="ZZ487" s="457"/>
      <c r="AAA487" s="457"/>
      <c r="AAB487" s="457"/>
      <c r="AAC487" s="457"/>
      <c r="AAD487" s="457"/>
      <c r="AAE487" s="457"/>
      <c r="AAF487" s="457"/>
      <c r="AAG487" s="457"/>
      <c r="AAH487" s="457"/>
      <c r="AAI487" s="457"/>
      <c r="AAJ487" s="457"/>
      <c r="AAK487" s="457"/>
      <c r="AAL487" s="457"/>
      <c r="AAM487" s="457"/>
      <c r="AAN487" s="457"/>
      <c r="AAO487" s="457"/>
      <c r="AAP487" s="457"/>
      <c r="AAQ487" s="457"/>
      <c r="AAR487" s="457"/>
      <c r="AAS487" s="457"/>
      <c r="AAT487" s="457"/>
      <c r="AAU487" s="457"/>
      <c r="AAV487" s="457"/>
      <c r="AAW487" s="457"/>
      <c r="AAX487" s="457"/>
      <c r="AAY487" s="457"/>
      <c r="AAZ487" s="457"/>
      <c r="ABA487" s="457"/>
      <c r="ABB487" s="457"/>
      <c r="ABC487" s="457"/>
      <c r="ABD487" s="457"/>
      <c r="ABE487" s="457"/>
      <c r="ABF487" s="457"/>
      <c r="ABG487" s="457"/>
      <c r="ABH487" s="457"/>
      <c r="ABI487" s="457"/>
      <c r="ABJ487" s="457"/>
      <c r="ABK487" s="457"/>
      <c r="ABL487" s="457"/>
      <c r="ABM487" s="457"/>
      <c r="ABN487" s="457"/>
      <c r="ABO487" s="457"/>
      <c r="ABP487" s="457"/>
      <c r="ABQ487" s="457"/>
      <c r="ABR487" s="457"/>
      <c r="ABS487" s="457"/>
      <c r="ABT487" s="457"/>
      <c r="ABU487" s="457"/>
      <c r="ABV487" s="457"/>
      <c r="ABW487" s="457"/>
      <c r="ABX487" s="457"/>
      <c r="ABY487" s="457"/>
      <c r="ABZ487" s="457"/>
      <c r="ACA487" s="457"/>
      <c r="ACB487" s="457"/>
      <c r="ACC487" s="457"/>
      <c r="ACD487" s="457"/>
      <c r="ACE487" s="457"/>
      <c r="ACF487" s="457"/>
      <c r="ACG487" s="457"/>
      <c r="ACH487" s="457"/>
      <c r="ACI487" s="457"/>
      <c r="ACJ487" s="457"/>
      <c r="ACK487" s="457"/>
      <c r="ACL487" s="457"/>
      <c r="ACM487" s="457"/>
      <c r="ACN487" s="457"/>
      <c r="ACO487" s="457"/>
      <c r="ACP487" s="457"/>
      <c r="ACQ487" s="457"/>
      <c r="ACR487" s="457"/>
      <c r="ACS487" s="457"/>
      <c r="ACT487" s="457"/>
      <c r="ACU487" s="457"/>
      <c r="ACV487" s="457"/>
    </row>
    <row r="488" spans="1:776" s="400" customFormat="1" x14ac:dyDescent="0.25">
      <c r="A488" s="470">
        <v>900203</v>
      </c>
      <c r="B488" s="453" t="s">
        <v>405</v>
      </c>
      <c r="C488" s="455"/>
      <c r="D488" s="454" t="s">
        <v>406</v>
      </c>
      <c r="E488" s="454">
        <v>0.77</v>
      </c>
      <c r="F488" s="454">
        <v>28.39</v>
      </c>
      <c r="G488" s="454">
        <v>0</v>
      </c>
      <c r="H488" s="454">
        <v>0.01</v>
      </c>
      <c r="I488" s="456">
        <v>74.27</v>
      </c>
      <c r="J488" s="454">
        <v>31.33</v>
      </c>
      <c r="K488" s="454">
        <v>0</v>
      </c>
      <c r="L488" s="454">
        <v>340.8</v>
      </c>
      <c r="M488" s="454">
        <v>0</v>
      </c>
      <c r="N488" s="454">
        <v>2.29</v>
      </c>
      <c r="O488" s="454">
        <v>31.91</v>
      </c>
      <c r="P488" s="454">
        <v>71.27</v>
      </c>
      <c r="Q488" s="454">
        <v>41.6</v>
      </c>
      <c r="R488" s="454">
        <v>0.01</v>
      </c>
      <c r="S488" s="397">
        <v>1.0000000000000001E-5</v>
      </c>
      <c r="T488" s="397">
        <v>1.0000000000000001E-5</v>
      </c>
      <c r="U488" s="454">
        <v>0.03</v>
      </c>
      <c r="V488" s="454"/>
      <c r="W488" s="457"/>
      <c r="X488" s="457"/>
      <c r="Y488" s="457"/>
      <c r="Z488" s="457"/>
      <c r="AA488" s="457"/>
      <c r="AB488" s="457"/>
      <c r="AC488" s="457"/>
      <c r="AD488" s="457"/>
      <c r="AE488" s="457"/>
      <c r="AF488" s="457"/>
      <c r="AG488" s="457"/>
      <c r="AH488" s="457"/>
      <c r="AI488" s="457"/>
      <c r="AJ488" s="457"/>
      <c r="AK488" s="457"/>
      <c r="AL488" s="457"/>
      <c r="AM488" s="457"/>
      <c r="AN488" s="457"/>
      <c r="AO488" s="457"/>
      <c r="AP488" s="457"/>
      <c r="AQ488" s="457"/>
      <c r="AR488" s="457"/>
      <c r="AS488" s="457"/>
      <c r="AT488" s="457"/>
      <c r="AU488" s="457"/>
      <c r="AV488" s="457"/>
      <c r="AW488" s="457"/>
      <c r="AX488" s="457"/>
      <c r="AY488" s="457"/>
      <c r="AZ488" s="457"/>
      <c r="BA488" s="457"/>
      <c r="BB488" s="457"/>
      <c r="BC488" s="457"/>
      <c r="BD488" s="457"/>
      <c r="BE488" s="457"/>
      <c r="BF488" s="457"/>
      <c r="BG488" s="457"/>
      <c r="BH488" s="457"/>
      <c r="BI488" s="457"/>
      <c r="BJ488" s="457"/>
      <c r="BK488" s="457"/>
      <c r="BL488" s="457"/>
      <c r="BM488" s="457"/>
      <c r="BN488" s="457"/>
      <c r="BO488" s="457"/>
      <c r="BP488" s="457"/>
      <c r="BQ488" s="457"/>
      <c r="BR488" s="457"/>
      <c r="BS488" s="457"/>
      <c r="BT488" s="457"/>
      <c r="BU488" s="457"/>
      <c r="BV488" s="457"/>
      <c r="BW488" s="457"/>
      <c r="BX488" s="457"/>
      <c r="BY488" s="457"/>
      <c r="BZ488" s="457"/>
      <c r="CA488" s="457"/>
      <c r="CB488" s="457"/>
      <c r="CC488" s="457"/>
      <c r="CD488" s="457"/>
      <c r="CE488" s="457"/>
      <c r="CF488" s="457"/>
      <c r="CG488" s="457"/>
      <c r="CH488" s="457"/>
      <c r="CI488" s="457"/>
      <c r="CJ488" s="457"/>
      <c r="CK488" s="457"/>
      <c r="CL488" s="457"/>
      <c r="CM488" s="457"/>
      <c r="CN488" s="457"/>
      <c r="CO488" s="457"/>
      <c r="CP488" s="457"/>
      <c r="CQ488" s="457"/>
      <c r="CR488" s="457"/>
      <c r="CS488" s="457"/>
      <c r="CT488" s="457"/>
      <c r="CU488" s="457"/>
      <c r="CV488" s="457"/>
      <c r="CW488" s="457"/>
      <c r="CX488" s="457"/>
      <c r="CY488" s="457"/>
      <c r="CZ488" s="457"/>
      <c r="DA488" s="457"/>
      <c r="DB488" s="457"/>
      <c r="DC488" s="457"/>
      <c r="DD488" s="457"/>
      <c r="DE488" s="457"/>
      <c r="DF488" s="457"/>
      <c r="DG488" s="457"/>
      <c r="DH488" s="457"/>
      <c r="DI488" s="457"/>
      <c r="DJ488" s="457"/>
      <c r="DK488" s="457"/>
      <c r="DL488" s="457"/>
      <c r="DM488" s="457"/>
      <c r="DN488" s="457"/>
      <c r="DO488" s="457"/>
      <c r="DP488" s="457"/>
      <c r="DQ488" s="457"/>
      <c r="DR488" s="457"/>
      <c r="DS488" s="457"/>
      <c r="DT488" s="457"/>
      <c r="DU488" s="457"/>
      <c r="DV488" s="457"/>
      <c r="DW488" s="457"/>
      <c r="DX488" s="457"/>
      <c r="DY488" s="457"/>
      <c r="DZ488" s="457"/>
      <c r="EA488" s="457"/>
      <c r="EB488" s="457"/>
      <c r="EC488" s="457"/>
      <c r="ED488" s="457"/>
      <c r="EE488" s="457"/>
      <c r="EF488" s="457"/>
      <c r="EG488" s="457"/>
      <c r="EH488" s="457"/>
      <c r="EI488" s="457"/>
      <c r="EJ488" s="457"/>
      <c r="EK488" s="457"/>
      <c r="EL488" s="457"/>
      <c r="EM488" s="457"/>
      <c r="EN488" s="457"/>
      <c r="EO488" s="457"/>
      <c r="EP488" s="457"/>
      <c r="EQ488" s="457"/>
      <c r="ER488" s="457"/>
      <c r="ES488" s="457"/>
      <c r="ET488" s="457"/>
      <c r="EU488" s="457"/>
      <c r="EV488" s="457"/>
      <c r="EW488" s="457"/>
      <c r="EX488" s="457"/>
      <c r="EY488" s="457"/>
      <c r="EZ488" s="457"/>
      <c r="FA488" s="457"/>
      <c r="FB488" s="457"/>
      <c r="FC488" s="457"/>
      <c r="FD488" s="457"/>
      <c r="FE488" s="457"/>
      <c r="FF488" s="457"/>
      <c r="FG488" s="457"/>
      <c r="FH488" s="457"/>
      <c r="FI488" s="457"/>
      <c r="FJ488" s="457"/>
      <c r="FK488" s="457"/>
      <c r="FL488" s="457"/>
      <c r="FM488" s="457"/>
      <c r="FN488" s="457"/>
      <c r="FO488" s="457"/>
      <c r="FP488" s="457"/>
      <c r="FQ488" s="457"/>
      <c r="FR488" s="457"/>
      <c r="FS488" s="457"/>
      <c r="FT488" s="457"/>
      <c r="FU488" s="457"/>
      <c r="FV488" s="457"/>
      <c r="FW488" s="457"/>
      <c r="FX488" s="457"/>
      <c r="FY488" s="457"/>
      <c r="FZ488" s="457"/>
      <c r="GA488" s="457"/>
      <c r="GB488" s="457"/>
      <c r="GC488" s="457"/>
      <c r="GD488" s="457"/>
      <c r="GE488" s="457"/>
      <c r="GF488" s="457"/>
      <c r="GG488" s="457"/>
      <c r="GH488" s="457"/>
      <c r="GI488" s="457"/>
      <c r="GJ488" s="457"/>
      <c r="GK488" s="457"/>
      <c r="GL488" s="457"/>
      <c r="GM488" s="457"/>
      <c r="GN488" s="457"/>
      <c r="GO488" s="457"/>
      <c r="GP488" s="457"/>
      <c r="GQ488" s="457"/>
      <c r="GR488" s="457"/>
      <c r="GS488" s="457"/>
      <c r="GT488" s="457"/>
      <c r="GU488" s="457"/>
      <c r="GV488" s="457"/>
      <c r="GW488" s="457"/>
      <c r="GX488" s="457"/>
      <c r="GY488" s="457"/>
      <c r="GZ488" s="457"/>
      <c r="HA488" s="457"/>
      <c r="HB488" s="457"/>
      <c r="HC488" s="457"/>
      <c r="HD488" s="457"/>
      <c r="HE488" s="457"/>
      <c r="HF488" s="457"/>
      <c r="HG488" s="457"/>
      <c r="HH488" s="457"/>
      <c r="HI488" s="457"/>
      <c r="HJ488" s="457"/>
      <c r="HK488" s="457"/>
      <c r="HL488" s="457"/>
      <c r="HM488" s="457"/>
      <c r="HN488" s="457"/>
      <c r="HO488" s="457"/>
      <c r="HP488" s="457"/>
      <c r="HQ488" s="457"/>
      <c r="HR488" s="457"/>
      <c r="HS488" s="457"/>
      <c r="HT488" s="457"/>
      <c r="HU488" s="457"/>
      <c r="HV488" s="457"/>
      <c r="HW488" s="457"/>
      <c r="HX488" s="457"/>
      <c r="HY488" s="457"/>
      <c r="HZ488" s="457"/>
      <c r="IA488" s="457"/>
      <c r="IB488" s="457"/>
      <c r="IC488" s="457"/>
      <c r="ID488" s="457"/>
      <c r="IE488" s="457"/>
      <c r="IF488" s="457"/>
      <c r="IG488" s="457"/>
      <c r="IH488" s="457"/>
      <c r="II488" s="457"/>
      <c r="IJ488" s="457"/>
      <c r="IK488" s="457"/>
      <c r="IL488" s="457"/>
      <c r="IM488" s="457"/>
      <c r="IN488" s="457"/>
      <c r="IO488" s="457"/>
      <c r="IP488" s="457"/>
      <c r="IQ488" s="457"/>
      <c r="IR488" s="457"/>
      <c r="IS488" s="457"/>
      <c r="IT488" s="457"/>
      <c r="IU488" s="457"/>
      <c r="IV488" s="457"/>
      <c r="IW488" s="457"/>
      <c r="IX488" s="457"/>
      <c r="IY488" s="457"/>
      <c r="IZ488" s="457"/>
      <c r="JA488" s="457"/>
      <c r="JB488" s="457"/>
      <c r="JC488" s="457"/>
      <c r="JD488" s="457"/>
      <c r="JE488" s="457"/>
      <c r="JF488" s="457"/>
      <c r="JG488" s="457"/>
      <c r="JH488" s="457"/>
      <c r="JI488" s="457"/>
      <c r="JJ488" s="457"/>
      <c r="JK488" s="457"/>
      <c r="JL488" s="457"/>
      <c r="JM488" s="457"/>
      <c r="JN488" s="457"/>
      <c r="JO488" s="457"/>
      <c r="JP488" s="457"/>
      <c r="JQ488" s="457"/>
      <c r="JR488" s="457"/>
      <c r="JS488" s="457"/>
      <c r="JT488" s="457"/>
      <c r="JU488" s="457"/>
      <c r="JV488" s="457"/>
      <c r="JW488" s="457"/>
      <c r="JX488" s="457"/>
      <c r="JY488" s="457"/>
      <c r="JZ488" s="457"/>
      <c r="KA488" s="457"/>
      <c r="KB488" s="457"/>
      <c r="KC488" s="457"/>
      <c r="KD488" s="457"/>
      <c r="KE488" s="457"/>
      <c r="KF488" s="457"/>
      <c r="KG488" s="457"/>
      <c r="KH488" s="457"/>
      <c r="KI488" s="457"/>
      <c r="KJ488" s="457"/>
      <c r="KK488" s="457"/>
      <c r="KL488" s="457"/>
      <c r="KM488" s="457"/>
      <c r="KN488" s="457"/>
      <c r="KO488" s="457"/>
      <c r="KP488" s="457"/>
      <c r="KQ488" s="457"/>
      <c r="KR488" s="457"/>
      <c r="KS488" s="457"/>
      <c r="KT488" s="457"/>
      <c r="KU488" s="457"/>
      <c r="KV488" s="457"/>
      <c r="KW488" s="457"/>
      <c r="KX488" s="457"/>
      <c r="KY488" s="457"/>
      <c r="KZ488" s="457"/>
      <c r="LA488" s="457"/>
      <c r="LB488" s="457"/>
      <c r="LC488" s="457"/>
      <c r="LD488" s="457"/>
      <c r="LE488" s="457"/>
      <c r="LF488" s="457"/>
      <c r="LG488" s="457"/>
      <c r="LH488" s="457"/>
      <c r="LI488" s="457"/>
      <c r="LJ488" s="457"/>
      <c r="LK488" s="457"/>
      <c r="LL488" s="457"/>
      <c r="LM488" s="457"/>
      <c r="LN488" s="457"/>
      <c r="LO488" s="457"/>
      <c r="LP488" s="457"/>
      <c r="LQ488" s="457"/>
      <c r="LR488" s="457"/>
      <c r="LS488" s="457"/>
      <c r="LT488" s="457"/>
      <c r="LU488" s="457"/>
      <c r="LV488" s="457"/>
      <c r="LW488" s="457"/>
      <c r="LX488" s="457"/>
      <c r="LY488" s="457"/>
      <c r="LZ488" s="457"/>
      <c r="MA488" s="457"/>
      <c r="MB488" s="457"/>
      <c r="MC488" s="457"/>
      <c r="MD488" s="457"/>
      <c r="ME488" s="457"/>
      <c r="MF488" s="457"/>
      <c r="MG488" s="457"/>
      <c r="MH488" s="457"/>
      <c r="MI488" s="457"/>
      <c r="MJ488" s="457"/>
      <c r="MK488" s="457"/>
      <c r="ML488" s="457"/>
      <c r="MM488" s="457"/>
      <c r="MN488" s="457"/>
      <c r="MO488" s="457"/>
      <c r="MP488" s="457"/>
      <c r="MQ488" s="457"/>
      <c r="MR488" s="457"/>
      <c r="MS488" s="457"/>
      <c r="MT488" s="457"/>
      <c r="MU488" s="457"/>
      <c r="MV488" s="457"/>
      <c r="MW488" s="457"/>
      <c r="MX488" s="457"/>
      <c r="MY488" s="457"/>
      <c r="MZ488" s="457"/>
      <c r="NA488" s="457"/>
      <c r="NB488" s="457"/>
      <c r="NC488" s="457"/>
      <c r="ND488" s="457"/>
      <c r="NE488" s="457"/>
      <c r="NF488" s="457"/>
      <c r="NG488" s="457"/>
      <c r="NH488" s="457"/>
      <c r="NI488" s="457"/>
      <c r="NJ488" s="457"/>
      <c r="NK488" s="457"/>
      <c r="NL488" s="457"/>
      <c r="NM488" s="457"/>
      <c r="NN488" s="457"/>
      <c r="NO488" s="457"/>
      <c r="NP488" s="457"/>
      <c r="NQ488" s="457"/>
      <c r="NR488" s="457"/>
      <c r="NS488" s="457"/>
      <c r="NT488" s="457"/>
      <c r="NU488" s="457"/>
      <c r="NV488" s="457"/>
      <c r="NW488" s="457"/>
      <c r="NX488" s="457"/>
      <c r="NY488" s="457"/>
      <c r="NZ488" s="457"/>
      <c r="OA488" s="457"/>
      <c r="OB488" s="457"/>
      <c r="OC488" s="457"/>
      <c r="OD488" s="457"/>
      <c r="OE488" s="457"/>
      <c r="OF488" s="457"/>
      <c r="OG488" s="457"/>
      <c r="OH488" s="457"/>
      <c r="OI488" s="457"/>
      <c r="OJ488" s="457"/>
      <c r="OK488" s="457"/>
      <c r="OL488" s="457"/>
      <c r="OM488" s="457"/>
      <c r="ON488" s="457"/>
      <c r="OO488" s="457"/>
      <c r="OP488" s="457"/>
      <c r="OQ488" s="457"/>
      <c r="OR488" s="457"/>
      <c r="OS488" s="457"/>
      <c r="OT488" s="457"/>
      <c r="OU488" s="457"/>
      <c r="OV488" s="457"/>
      <c r="OW488" s="457"/>
      <c r="OX488" s="457"/>
      <c r="OY488" s="457"/>
      <c r="OZ488" s="457"/>
      <c r="PA488" s="457"/>
      <c r="PB488" s="457"/>
      <c r="PC488" s="457"/>
      <c r="PD488" s="457"/>
      <c r="PE488" s="457"/>
      <c r="PF488" s="457"/>
      <c r="PG488" s="457"/>
      <c r="PH488" s="457"/>
      <c r="PI488" s="457"/>
      <c r="PJ488" s="457"/>
      <c r="PK488" s="457"/>
      <c r="PL488" s="457"/>
      <c r="PM488" s="457"/>
      <c r="PN488" s="457"/>
      <c r="PO488" s="457"/>
      <c r="PP488" s="457"/>
      <c r="PQ488" s="457"/>
      <c r="PR488" s="457"/>
      <c r="PS488" s="457"/>
      <c r="PT488" s="457"/>
      <c r="PU488" s="457"/>
      <c r="PV488" s="457"/>
      <c r="PW488" s="457"/>
      <c r="PX488" s="457"/>
      <c r="PY488" s="457"/>
      <c r="PZ488" s="457"/>
      <c r="QA488" s="457"/>
      <c r="QB488" s="457"/>
      <c r="QC488" s="457"/>
      <c r="QD488" s="457"/>
      <c r="QE488" s="457"/>
      <c r="QF488" s="457"/>
      <c r="QG488" s="457"/>
      <c r="QH488" s="457"/>
      <c r="QI488" s="457"/>
      <c r="QJ488" s="457"/>
      <c r="QK488" s="457"/>
      <c r="QL488" s="457"/>
      <c r="QM488" s="457"/>
      <c r="QN488" s="457"/>
      <c r="QO488" s="457"/>
      <c r="QP488" s="457"/>
      <c r="QQ488" s="457"/>
      <c r="QR488" s="457"/>
      <c r="QS488" s="457"/>
      <c r="QT488" s="457"/>
      <c r="QU488" s="457"/>
      <c r="QV488" s="457"/>
      <c r="QW488" s="457"/>
      <c r="QX488" s="457"/>
      <c r="QY488" s="457"/>
      <c r="QZ488" s="457"/>
      <c r="RA488" s="457"/>
      <c r="RB488" s="457"/>
      <c r="RC488" s="457"/>
      <c r="RD488" s="457"/>
      <c r="RE488" s="457"/>
      <c r="RF488" s="457"/>
      <c r="RG488" s="457"/>
      <c r="RH488" s="457"/>
      <c r="RI488" s="457"/>
      <c r="RJ488" s="457"/>
      <c r="RK488" s="457"/>
      <c r="RL488" s="457"/>
      <c r="RM488" s="457"/>
      <c r="RN488" s="457"/>
      <c r="RO488" s="457"/>
      <c r="RP488" s="457"/>
      <c r="RQ488" s="457"/>
      <c r="RR488" s="457"/>
      <c r="RS488" s="457"/>
      <c r="RT488" s="457"/>
      <c r="RU488" s="457"/>
      <c r="RV488" s="457"/>
      <c r="RW488" s="457"/>
      <c r="RX488" s="457"/>
      <c r="RY488" s="457"/>
      <c r="RZ488" s="457"/>
      <c r="SA488" s="457"/>
      <c r="SB488" s="457"/>
      <c r="SC488" s="457"/>
      <c r="SD488" s="457"/>
      <c r="SE488" s="457"/>
      <c r="SF488" s="457"/>
      <c r="SG488" s="457"/>
      <c r="SH488" s="457"/>
      <c r="SI488" s="457"/>
      <c r="SJ488" s="457"/>
      <c r="SK488" s="457"/>
      <c r="SL488" s="457"/>
      <c r="SM488" s="457"/>
      <c r="SN488" s="457"/>
      <c r="SO488" s="457"/>
      <c r="SP488" s="457"/>
      <c r="SQ488" s="457"/>
      <c r="SR488" s="457"/>
      <c r="SS488" s="457"/>
      <c r="ST488" s="457"/>
      <c r="SU488" s="457"/>
      <c r="SV488" s="457"/>
      <c r="SW488" s="457"/>
      <c r="SX488" s="457"/>
      <c r="SY488" s="457"/>
      <c r="SZ488" s="457"/>
      <c r="TA488" s="457"/>
      <c r="TB488" s="457"/>
      <c r="TC488" s="457"/>
      <c r="TD488" s="457"/>
      <c r="TE488" s="457"/>
      <c r="TF488" s="457"/>
      <c r="TG488" s="457"/>
      <c r="TH488" s="457"/>
      <c r="TI488" s="457"/>
      <c r="TJ488" s="457"/>
      <c r="TK488" s="457"/>
      <c r="TL488" s="457"/>
      <c r="TM488" s="457"/>
      <c r="TN488" s="457"/>
      <c r="TO488" s="457"/>
      <c r="TP488" s="457"/>
      <c r="TQ488" s="457"/>
      <c r="TR488" s="457"/>
      <c r="TS488" s="457"/>
      <c r="TT488" s="457"/>
      <c r="TU488" s="457"/>
      <c r="TV488" s="457"/>
      <c r="TW488" s="457"/>
      <c r="TX488" s="457"/>
      <c r="TY488" s="457"/>
      <c r="TZ488" s="457"/>
      <c r="UA488" s="457"/>
      <c r="UB488" s="457"/>
      <c r="UC488" s="457"/>
      <c r="UD488" s="457"/>
      <c r="UE488" s="457"/>
      <c r="UF488" s="457"/>
      <c r="UG488" s="457"/>
      <c r="UH488" s="457"/>
      <c r="UI488" s="457"/>
      <c r="UJ488" s="457"/>
      <c r="UK488" s="457"/>
      <c r="UL488" s="457"/>
      <c r="UM488" s="457"/>
      <c r="UN488" s="457"/>
      <c r="UO488" s="457"/>
      <c r="UP488" s="457"/>
      <c r="UQ488" s="457"/>
      <c r="UR488" s="457"/>
      <c r="US488" s="457"/>
      <c r="UT488" s="457"/>
      <c r="UU488" s="457"/>
      <c r="UV488" s="457"/>
      <c r="UW488" s="457"/>
      <c r="UX488" s="457"/>
      <c r="UY488" s="457"/>
      <c r="UZ488" s="457"/>
      <c r="VA488" s="457"/>
      <c r="VB488" s="457"/>
      <c r="VC488" s="457"/>
      <c r="VD488" s="457"/>
      <c r="VE488" s="457"/>
      <c r="VF488" s="457"/>
      <c r="VG488" s="457"/>
      <c r="VH488" s="457"/>
      <c r="VI488" s="457"/>
      <c r="VJ488" s="457"/>
      <c r="VK488" s="457"/>
      <c r="VL488" s="457"/>
      <c r="VM488" s="457"/>
      <c r="VN488" s="457"/>
      <c r="VO488" s="457"/>
      <c r="VP488" s="457"/>
      <c r="VQ488" s="457"/>
      <c r="VR488" s="457"/>
      <c r="VS488" s="457"/>
      <c r="VT488" s="457"/>
      <c r="VU488" s="457"/>
      <c r="VV488" s="457"/>
      <c r="VW488" s="457"/>
      <c r="VX488" s="457"/>
      <c r="VY488" s="457"/>
      <c r="VZ488" s="457"/>
      <c r="WA488" s="457"/>
      <c r="WB488" s="457"/>
      <c r="WC488" s="457"/>
      <c r="WD488" s="457"/>
      <c r="WE488" s="457"/>
      <c r="WF488" s="457"/>
      <c r="WG488" s="457"/>
      <c r="WH488" s="457"/>
      <c r="WI488" s="457"/>
      <c r="WJ488" s="457"/>
      <c r="WK488" s="457"/>
      <c r="WL488" s="457"/>
      <c r="WM488" s="457"/>
      <c r="WN488" s="457"/>
      <c r="WO488" s="457"/>
      <c r="WP488" s="457"/>
      <c r="WQ488" s="457"/>
      <c r="WR488" s="457"/>
      <c r="WS488" s="457"/>
      <c r="WT488" s="457"/>
      <c r="WU488" s="457"/>
      <c r="WV488" s="457"/>
      <c r="WW488" s="457"/>
      <c r="WX488" s="457"/>
      <c r="WY488" s="457"/>
      <c r="WZ488" s="457"/>
      <c r="XA488" s="457"/>
      <c r="XB488" s="457"/>
      <c r="XC488" s="457"/>
      <c r="XD488" s="457"/>
      <c r="XE488" s="457"/>
      <c r="XF488" s="457"/>
      <c r="XG488" s="457"/>
      <c r="XH488" s="457"/>
      <c r="XI488" s="457"/>
      <c r="XJ488" s="457"/>
      <c r="XK488" s="457"/>
      <c r="XL488" s="457"/>
      <c r="XM488" s="457"/>
      <c r="XN488" s="457"/>
      <c r="XO488" s="457"/>
      <c r="XP488" s="457"/>
      <c r="XQ488" s="457"/>
      <c r="XR488" s="457"/>
      <c r="XS488" s="457"/>
      <c r="XT488" s="457"/>
      <c r="XU488" s="457"/>
      <c r="XV488" s="457"/>
      <c r="XW488" s="457"/>
      <c r="XX488" s="457"/>
      <c r="XY488" s="457"/>
      <c r="XZ488" s="457"/>
      <c r="YA488" s="457"/>
      <c r="YB488" s="457"/>
      <c r="YC488" s="457"/>
      <c r="YD488" s="457"/>
      <c r="YE488" s="457"/>
      <c r="YF488" s="457"/>
      <c r="YG488" s="457"/>
      <c r="YH488" s="457"/>
      <c r="YI488" s="457"/>
      <c r="YJ488" s="457"/>
      <c r="YK488" s="457"/>
      <c r="YL488" s="457"/>
      <c r="YM488" s="457"/>
      <c r="YN488" s="457"/>
      <c r="YO488" s="457"/>
      <c r="YP488" s="457"/>
      <c r="YQ488" s="457"/>
      <c r="YR488" s="457"/>
      <c r="YS488" s="457"/>
      <c r="YT488" s="457"/>
      <c r="YU488" s="457"/>
      <c r="YV488" s="457"/>
      <c r="YW488" s="457"/>
      <c r="YX488" s="457"/>
      <c r="YY488" s="457"/>
      <c r="YZ488" s="457"/>
      <c r="ZA488" s="457"/>
      <c r="ZB488" s="457"/>
      <c r="ZC488" s="457"/>
      <c r="ZD488" s="457"/>
      <c r="ZE488" s="457"/>
      <c r="ZF488" s="457"/>
      <c r="ZG488" s="457"/>
      <c r="ZH488" s="457"/>
      <c r="ZI488" s="457"/>
      <c r="ZJ488" s="457"/>
      <c r="ZK488" s="457"/>
      <c r="ZL488" s="457"/>
      <c r="ZM488" s="457"/>
      <c r="ZN488" s="457"/>
      <c r="ZO488" s="457"/>
      <c r="ZP488" s="457"/>
      <c r="ZQ488" s="457"/>
      <c r="ZR488" s="457"/>
      <c r="ZS488" s="457"/>
      <c r="ZT488" s="457"/>
      <c r="ZU488" s="457"/>
      <c r="ZV488" s="457"/>
      <c r="ZW488" s="457"/>
      <c r="ZX488" s="457"/>
      <c r="ZY488" s="457"/>
      <c r="ZZ488" s="457"/>
      <c r="AAA488" s="457"/>
      <c r="AAB488" s="457"/>
      <c r="AAC488" s="457"/>
      <c r="AAD488" s="457"/>
      <c r="AAE488" s="457"/>
      <c r="AAF488" s="457"/>
      <c r="AAG488" s="457"/>
      <c r="AAH488" s="457"/>
      <c r="AAI488" s="457"/>
      <c r="AAJ488" s="457"/>
      <c r="AAK488" s="457"/>
      <c r="AAL488" s="457"/>
      <c r="AAM488" s="457"/>
      <c r="AAN488" s="457"/>
      <c r="AAO488" s="457"/>
      <c r="AAP488" s="457"/>
      <c r="AAQ488" s="457"/>
      <c r="AAR488" s="457"/>
      <c r="AAS488" s="457"/>
      <c r="AAT488" s="457"/>
      <c r="AAU488" s="457"/>
      <c r="AAV488" s="457"/>
      <c r="AAW488" s="457"/>
      <c r="AAX488" s="457"/>
      <c r="AAY488" s="457"/>
      <c r="AAZ488" s="457"/>
      <c r="ABA488" s="457"/>
      <c r="ABB488" s="457"/>
      <c r="ABC488" s="457"/>
      <c r="ABD488" s="457"/>
      <c r="ABE488" s="457"/>
      <c r="ABF488" s="457"/>
      <c r="ABG488" s="457"/>
      <c r="ABH488" s="457"/>
      <c r="ABI488" s="457"/>
      <c r="ABJ488" s="457"/>
      <c r="ABK488" s="457"/>
      <c r="ABL488" s="457"/>
      <c r="ABM488" s="457"/>
      <c r="ABN488" s="457"/>
      <c r="ABO488" s="457"/>
      <c r="ABP488" s="457"/>
      <c r="ABQ488" s="457"/>
      <c r="ABR488" s="457"/>
      <c r="ABS488" s="457"/>
      <c r="ABT488" s="457"/>
      <c r="ABU488" s="457"/>
      <c r="ABV488" s="457"/>
      <c r="ABW488" s="457"/>
      <c r="ABX488" s="457"/>
      <c r="ABY488" s="457"/>
      <c r="ABZ488" s="457"/>
      <c r="ACA488" s="457"/>
      <c r="ACB488" s="457"/>
      <c r="ACC488" s="457"/>
      <c r="ACD488" s="457"/>
      <c r="ACE488" s="457"/>
      <c r="ACF488" s="457"/>
      <c r="ACG488" s="457"/>
      <c r="ACH488" s="457"/>
      <c r="ACI488" s="457"/>
      <c r="ACJ488" s="457"/>
      <c r="ACK488" s="457"/>
      <c r="ACL488" s="457"/>
      <c r="ACM488" s="457"/>
      <c r="ACN488" s="457"/>
      <c r="ACO488" s="457"/>
      <c r="ACP488" s="457"/>
      <c r="ACQ488" s="457"/>
      <c r="ACR488" s="457"/>
      <c r="ACS488" s="457"/>
      <c r="ACT488" s="457"/>
      <c r="ACU488" s="457"/>
      <c r="ACV488" s="457"/>
    </row>
    <row r="489" spans="1:776" s="400" customFormat="1" x14ac:dyDescent="0.25">
      <c r="A489" s="470">
        <v>900204</v>
      </c>
      <c r="B489" s="453" t="s">
        <v>407</v>
      </c>
      <c r="C489" s="455"/>
      <c r="D489" s="454" t="s">
        <v>252</v>
      </c>
      <c r="E489" s="454">
        <v>1.48</v>
      </c>
      <c r="F489" s="458">
        <v>2.6</v>
      </c>
      <c r="G489" s="454">
        <v>0</v>
      </c>
      <c r="H489" s="454">
        <v>0.02</v>
      </c>
      <c r="I489" s="456">
        <v>313.33</v>
      </c>
      <c r="J489" s="454">
        <v>111.57</v>
      </c>
      <c r="K489" s="454">
        <v>0</v>
      </c>
      <c r="L489" s="454">
        <v>180</v>
      </c>
      <c r="M489" s="454">
        <v>0</v>
      </c>
      <c r="N489" s="454">
        <v>4.22</v>
      </c>
      <c r="O489" s="454">
        <v>165.96</v>
      </c>
      <c r="P489" s="454">
        <v>60.43</v>
      </c>
      <c r="Q489" s="454">
        <v>33.270000000000003</v>
      </c>
      <c r="R489" s="454">
        <v>0.05</v>
      </c>
      <c r="S489" s="397">
        <v>1.0000000000000001E-5</v>
      </c>
      <c r="T489" s="397">
        <v>1.0000000000000001E-5</v>
      </c>
      <c r="U489" s="454">
        <v>0.01</v>
      </c>
      <c r="V489" s="454"/>
      <c r="W489" s="457"/>
      <c r="X489" s="457"/>
      <c r="Y489" s="457"/>
      <c r="Z489" s="457"/>
      <c r="AA489" s="457"/>
      <c r="AB489" s="457"/>
      <c r="AC489" s="457"/>
      <c r="AD489" s="457"/>
      <c r="AE489" s="457"/>
      <c r="AF489" s="457"/>
      <c r="AG489" s="457"/>
      <c r="AH489" s="457"/>
      <c r="AI489" s="457"/>
      <c r="AJ489" s="457"/>
      <c r="AK489" s="457"/>
      <c r="AL489" s="457"/>
      <c r="AM489" s="457"/>
      <c r="AN489" s="457"/>
      <c r="AO489" s="457"/>
      <c r="AP489" s="457"/>
      <c r="AQ489" s="457"/>
      <c r="AR489" s="457"/>
      <c r="AS489" s="457"/>
      <c r="AT489" s="457"/>
      <c r="AU489" s="457"/>
      <c r="AV489" s="457"/>
      <c r="AW489" s="457"/>
      <c r="AX489" s="457"/>
      <c r="AY489" s="457"/>
      <c r="AZ489" s="457"/>
      <c r="BA489" s="457"/>
      <c r="BB489" s="457"/>
      <c r="BC489" s="457"/>
      <c r="BD489" s="457"/>
      <c r="BE489" s="457"/>
      <c r="BF489" s="457"/>
      <c r="BG489" s="457"/>
      <c r="BH489" s="457"/>
      <c r="BI489" s="457"/>
      <c r="BJ489" s="457"/>
      <c r="BK489" s="457"/>
      <c r="BL489" s="457"/>
      <c r="BM489" s="457"/>
      <c r="BN489" s="457"/>
      <c r="BO489" s="457"/>
      <c r="BP489" s="457"/>
      <c r="BQ489" s="457"/>
      <c r="BR489" s="457"/>
      <c r="BS489" s="457"/>
      <c r="BT489" s="457"/>
      <c r="BU489" s="457"/>
      <c r="BV489" s="457"/>
      <c r="BW489" s="457"/>
      <c r="BX489" s="457"/>
      <c r="BY489" s="457"/>
      <c r="BZ489" s="457"/>
      <c r="CA489" s="457"/>
      <c r="CB489" s="457"/>
      <c r="CC489" s="457"/>
      <c r="CD489" s="457"/>
      <c r="CE489" s="457"/>
      <c r="CF489" s="457"/>
      <c r="CG489" s="457"/>
      <c r="CH489" s="457"/>
      <c r="CI489" s="457"/>
      <c r="CJ489" s="457"/>
      <c r="CK489" s="457"/>
      <c r="CL489" s="457"/>
      <c r="CM489" s="457"/>
      <c r="CN489" s="457"/>
      <c r="CO489" s="457"/>
      <c r="CP489" s="457"/>
      <c r="CQ489" s="457"/>
      <c r="CR489" s="457"/>
      <c r="CS489" s="457"/>
      <c r="CT489" s="457"/>
      <c r="CU489" s="457"/>
      <c r="CV489" s="457"/>
      <c r="CW489" s="457"/>
      <c r="CX489" s="457"/>
      <c r="CY489" s="457"/>
      <c r="CZ489" s="457"/>
      <c r="DA489" s="457"/>
      <c r="DB489" s="457"/>
      <c r="DC489" s="457"/>
      <c r="DD489" s="457"/>
      <c r="DE489" s="457"/>
      <c r="DF489" s="457"/>
      <c r="DG489" s="457"/>
      <c r="DH489" s="457"/>
      <c r="DI489" s="457"/>
      <c r="DJ489" s="457"/>
      <c r="DK489" s="457"/>
      <c r="DL489" s="457"/>
      <c r="DM489" s="457"/>
      <c r="DN489" s="457"/>
      <c r="DO489" s="457"/>
      <c r="DP489" s="457"/>
      <c r="DQ489" s="457"/>
      <c r="DR489" s="457"/>
      <c r="DS489" s="457"/>
      <c r="DT489" s="457"/>
      <c r="DU489" s="457"/>
      <c r="DV489" s="457"/>
      <c r="DW489" s="457"/>
      <c r="DX489" s="457"/>
      <c r="DY489" s="457"/>
      <c r="DZ489" s="457"/>
      <c r="EA489" s="457"/>
      <c r="EB489" s="457"/>
      <c r="EC489" s="457"/>
      <c r="ED489" s="457"/>
      <c r="EE489" s="457"/>
      <c r="EF489" s="457"/>
      <c r="EG489" s="457"/>
      <c r="EH489" s="457"/>
      <c r="EI489" s="457"/>
      <c r="EJ489" s="457"/>
      <c r="EK489" s="457"/>
      <c r="EL489" s="457"/>
      <c r="EM489" s="457"/>
      <c r="EN489" s="457"/>
      <c r="EO489" s="457"/>
      <c r="EP489" s="457"/>
      <c r="EQ489" s="457"/>
      <c r="ER489" s="457"/>
      <c r="ES489" s="457"/>
      <c r="ET489" s="457"/>
      <c r="EU489" s="457"/>
      <c r="EV489" s="457"/>
      <c r="EW489" s="457"/>
      <c r="EX489" s="457"/>
      <c r="EY489" s="457"/>
      <c r="EZ489" s="457"/>
      <c r="FA489" s="457"/>
      <c r="FB489" s="457"/>
      <c r="FC489" s="457"/>
      <c r="FD489" s="457"/>
      <c r="FE489" s="457"/>
      <c r="FF489" s="457"/>
      <c r="FG489" s="457"/>
      <c r="FH489" s="457"/>
      <c r="FI489" s="457"/>
      <c r="FJ489" s="457"/>
      <c r="FK489" s="457"/>
      <c r="FL489" s="457"/>
      <c r="FM489" s="457"/>
      <c r="FN489" s="457"/>
      <c r="FO489" s="457"/>
      <c r="FP489" s="457"/>
      <c r="FQ489" s="457"/>
      <c r="FR489" s="457"/>
      <c r="FS489" s="457"/>
      <c r="FT489" s="457"/>
      <c r="FU489" s="457"/>
      <c r="FV489" s="457"/>
      <c r="FW489" s="457"/>
      <c r="FX489" s="457"/>
      <c r="FY489" s="457"/>
      <c r="FZ489" s="457"/>
      <c r="GA489" s="457"/>
      <c r="GB489" s="457"/>
      <c r="GC489" s="457"/>
      <c r="GD489" s="457"/>
      <c r="GE489" s="457"/>
      <c r="GF489" s="457"/>
      <c r="GG489" s="457"/>
      <c r="GH489" s="457"/>
      <c r="GI489" s="457"/>
      <c r="GJ489" s="457"/>
      <c r="GK489" s="457"/>
      <c r="GL489" s="457"/>
      <c r="GM489" s="457"/>
      <c r="GN489" s="457"/>
      <c r="GO489" s="457"/>
      <c r="GP489" s="457"/>
      <c r="GQ489" s="457"/>
      <c r="GR489" s="457"/>
      <c r="GS489" s="457"/>
      <c r="GT489" s="457"/>
      <c r="GU489" s="457"/>
      <c r="GV489" s="457"/>
      <c r="GW489" s="457"/>
      <c r="GX489" s="457"/>
      <c r="GY489" s="457"/>
      <c r="GZ489" s="457"/>
      <c r="HA489" s="457"/>
      <c r="HB489" s="457"/>
      <c r="HC489" s="457"/>
      <c r="HD489" s="457"/>
      <c r="HE489" s="457"/>
      <c r="HF489" s="457"/>
      <c r="HG489" s="457"/>
      <c r="HH489" s="457"/>
      <c r="HI489" s="457"/>
      <c r="HJ489" s="457"/>
      <c r="HK489" s="457"/>
      <c r="HL489" s="457"/>
      <c r="HM489" s="457"/>
      <c r="HN489" s="457"/>
      <c r="HO489" s="457"/>
      <c r="HP489" s="457"/>
      <c r="HQ489" s="457"/>
      <c r="HR489" s="457"/>
      <c r="HS489" s="457"/>
      <c r="HT489" s="457"/>
      <c r="HU489" s="457"/>
      <c r="HV489" s="457"/>
      <c r="HW489" s="457"/>
      <c r="HX489" s="457"/>
      <c r="HY489" s="457"/>
      <c r="HZ489" s="457"/>
      <c r="IA489" s="457"/>
      <c r="IB489" s="457"/>
      <c r="IC489" s="457"/>
      <c r="ID489" s="457"/>
      <c r="IE489" s="457"/>
      <c r="IF489" s="457"/>
      <c r="IG489" s="457"/>
      <c r="IH489" s="457"/>
      <c r="II489" s="457"/>
      <c r="IJ489" s="457"/>
      <c r="IK489" s="457"/>
      <c r="IL489" s="457"/>
      <c r="IM489" s="457"/>
      <c r="IN489" s="457"/>
      <c r="IO489" s="457"/>
      <c r="IP489" s="457"/>
      <c r="IQ489" s="457"/>
      <c r="IR489" s="457"/>
      <c r="IS489" s="457"/>
      <c r="IT489" s="457"/>
      <c r="IU489" s="457"/>
      <c r="IV489" s="457"/>
      <c r="IW489" s="457"/>
      <c r="IX489" s="457"/>
      <c r="IY489" s="457"/>
      <c r="IZ489" s="457"/>
      <c r="JA489" s="457"/>
      <c r="JB489" s="457"/>
      <c r="JC489" s="457"/>
      <c r="JD489" s="457"/>
      <c r="JE489" s="457"/>
      <c r="JF489" s="457"/>
      <c r="JG489" s="457"/>
      <c r="JH489" s="457"/>
      <c r="JI489" s="457"/>
      <c r="JJ489" s="457"/>
      <c r="JK489" s="457"/>
      <c r="JL489" s="457"/>
      <c r="JM489" s="457"/>
      <c r="JN489" s="457"/>
      <c r="JO489" s="457"/>
      <c r="JP489" s="457"/>
      <c r="JQ489" s="457"/>
      <c r="JR489" s="457"/>
      <c r="JS489" s="457"/>
      <c r="JT489" s="457"/>
      <c r="JU489" s="457"/>
      <c r="JV489" s="457"/>
      <c r="JW489" s="457"/>
      <c r="JX489" s="457"/>
      <c r="JY489" s="457"/>
      <c r="JZ489" s="457"/>
      <c r="KA489" s="457"/>
      <c r="KB489" s="457"/>
      <c r="KC489" s="457"/>
      <c r="KD489" s="457"/>
      <c r="KE489" s="457"/>
      <c r="KF489" s="457"/>
      <c r="KG489" s="457"/>
      <c r="KH489" s="457"/>
      <c r="KI489" s="457"/>
      <c r="KJ489" s="457"/>
      <c r="KK489" s="457"/>
      <c r="KL489" s="457"/>
      <c r="KM489" s="457"/>
      <c r="KN489" s="457"/>
      <c r="KO489" s="457"/>
      <c r="KP489" s="457"/>
      <c r="KQ489" s="457"/>
      <c r="KR489" s="457"/>
      <c r="KS489" s="457"/>
      <c r="KT489" s="457"/>
      <c r="KU489" s="457"/>
      <c r="KV489" s="457"/>
      <c r="KW489" s="457"/>
      <c r="KX489" s="457"/>
      <c r="KY489" s="457"/>
      <c r="KZ489" s="457"/>
      <c r="LA489" s="457"/>
      <c r="LB489" s="457"/>
      <c r="LC489" s="457"/>
      <c r="LD489" s="457"/>
      <c r="LE489" s="457"/>
      <c r="LF489" s="457"/>
      <c r="LG489" s="457"/>
      <c r="LH489" s="457"/>
      <c r="LI489" s="457"/>
      <c r="LJ489" s="457"/>
      <c r="LK489" s="457"/>
      <c r="LL489" s="457"/>
      <c r="LM489" s="457"/>
      <c r="LN489" s="457"/>
      <c r="LO489" s="457"/>
      <c r="LP489" s="457"/>
      <c r="LQ489" s="457"/>
      <c r="LR489" s="457"/>
      <c r="LS489" s="457"/>
      <c r="LT489" s="457"/>
      <c r="LU489" s="457"/>
      <c r="LV489" s="457"/>
      <c r="LW489" s="457"/>
      <c r="LX489" s="457"/>
      <c r="LY489" s="457"/>
      <c r="LZ489" s="457"/>
      <c r="MA489" s="457"/>
      <c r="MB489" s="457"/>
      <c r="MC489" s="457"/>
      <c r="MD489" s="457"/>
      <c r="ME489" s="457"/>
      <c r="MF489" s="457"/>
      <c r="MG489" s="457"/>
      <c r="MH489" s="457"/>
      <c r="MI489" s="457"/>
      <c r="MJ489" s="457"/>
      <c r="MK489" s="457"/>
      <c r="ML489" s="457"/>
      <c r="MM489" s="457"/>
      <c r="MN489" s="457"/>
      <c r="MO489" s="457"/>
      <c r="MP489" s="457"/>
      <c r="MQ489" s="457"/>
      <c r="MR489" s="457"/>
      <c r="MS489" s="457"/>
      <c r="MT489" s="457"/>
      <c r="MU489" s="457"/>
      <c r="MV489" s="457"/>
      <c r="MW489" s="457"/>
      <c r="MX489" s="457"/>
      <c r="MY489" s="457"/>
      <c r="MZ489" s="457"/>
      <c r="NA489" s="457"/>
      <c r="NB489" s="457"/>
      <c r="NC489" s="457"/>
      <c r="ND489" s="457"/>
      <c r="NE489" s="457"/>
      <c r="NF489" s="457"/>
      <c r="NG489" s="457"/>
      <c r="NH489" s="457"/>
      <c r="NI489" s="457"/>
      <c r="NJ489" s="457"/>
      <c r="NK489" s="457"/>
      <c r="NL489" s="457"/>
      <c r="NM489" s="457"/>
      <c r="NN489" s="457"/>
      <c r="NO489" s="457"/>
      <c r="NP489" s="457"/>
      <c r="NQ489" s="457"/>
      <c r="NR489" s="457"/>
      <c r="NS489" s="457"/>
      <c r="NT489" s="457"/>
      <c r="NU489" s="457"/>
      <c r="NV489" s="457"/>
      <c r="NW489" s="457"/>
      <c r="NX489" s="457"/>
      <c r="NY489" s="457"/>
      <c r="NZ489" s="457"/>
      <c r="OA489" s="457"/>
      <c r="OB489" s="457"/>
      <c r="OC489" s="457"/>
      <c r="OD489" s="457"/>
      <c r="OE489" s="457"/>
      <c r="OF489" s="457"/>
      <c r="OG489" s="457"/>
      <c r="OH489" s="457"/>
      <c r="OI489" s="457"/>
      <c r="OJ489" s="457"/>
      <c r="OK489" s="457"/>
      <c r="OL489" s="457"/>
      <c r="OM489" s="457"/>
      <c r="ON489" s="457"/>
      <c r="OO489" s="457"/>
      <c r="OP489" s="457"/>
      <c r="OQ489" s="457"/>
      <c r="OR489" s="457"/>
      <c r="OS489" s="457"/>
      <c r="OT489" s="457"/>
      <c r="OU489" s="457"/>
      <c r="OV489" s="457"/>
      <c r="OW489" s="457"/>
      <c r="OX489" s="457"/>
      <c r="OY489" s="457"/>
      <c r="OZ489" s="457"/>
      <c r="PA489" s="457"/>
      <c r="PB489" s="457"/>
      <c r="PC489" s="457"/>
      <c r="PD489" s="457"/>
      <c r="PE489" s="457"/>
      <c r="PF489" s="457"/>
      <c r="PG489" s="457"/>
      <c r="PH489" s="457"/>
      <c r="PI489" s="457"/>
      <c r="PJ489" s="457"/>
      <c r="PK489" s="457"/>
      <c r="PL489" s="457"/>
      <c r="PM489" s="457"/>
      <c r="PN489" s="457"/>
      <c r="PO489" s="457"/>
      <c r="PP489" s="457"/>
      <c r="PQ489" s="457"/>
      <c r="PR489" s="457"/>
      <c r="PS489" s="457"/>
      <c r="PT489" s="457"/>
      <c r="PU489" s="457"/>
      <c r="PV489" s="457"/>
      <c r="PW489" s="457"/>
      <c r="PX489" s="457"/>
      <c r="PY489" s="457"/>
      <c r="PZ489" s="457"/>
      <c r="QA489" s="457"/>
      <c r="QB489" s="457"/>
      <c r="QC489" s="457"/>
      <c r="QD489" s="457"/>
      <c r="QE489" s="457"/>
      <c r="QF489" s="457"/>
      <c r="QG489" s="457"/>
      <c r="QH489" s="457"/>
      <c r="QI489" s="457"/>
      <c r="QJ489" s="457"/>
      <c r="QK489" s="457"/>
      <c r="QL489" s="457"/>
      <c r="QM489" s="457"/>
      <c r="QN489" s="457"/>
      <c r="QO489" s="457"/>
      <c r="QP489" s="457"/>
      <c r="QQ489" s="457"/>
      <c r="QR489" s="457"/>
      <c r="QS489" s="457"/>
      <c r="QT489" s="457"/>
      <c r="QU489" s="457"/>
      <c r="QV489" s="457"/>
      <c r="QW489" s="457"/>
      <c r="QX489" s="457"/>
      <c r="QY489" s="457"/>
      <c r="QZ489" s="457"/>
      <c r="RA489" s="457"/>
      <c r="RB489" s="457"/>
      <c r="RC489" s="457"/>
      <c r="RD489" s="457"/>
      <c r="RE489" s="457"/>
      <c r="RF489" s="457"/>
      <c r="RG489" s="457"/>
      <c r="RH489" s="457"/>
      <c r="RI489" s="457"/>
      <c r="RJ489" s="457"/>
      <c r="RK489" s="457"/>
      <c r="RL489" s="457"/>
      <c r="RM489" s="457"/>
      <c r="RN489" s="457"/>
      <c r="RO489" s="457"/>
      <c r="RP489" s="457"/>
      <c r="RQ489" s="457"/>
      <c r="RR489" s="457"/>
      <c r="RS489" s="457"/>
      <c r="RT489" s="457"/>
      <c r="RU489" s="457"/>
      <c r="RV489" s="457"/>
      <c r="RW489" s="457"/>
      <c r="RX489" s="457"/>
      <c r="RY489" s="457"/>
      <c r="RZ489" s="457"/>
      <c r="SA489" s="457"/>
      <c r="SB489" s="457"/>
      <c r="SC489" s="457"/>
      <c r="SD489" s="457"/>
      <c r="SE489" s="457"/>
      <c r="SF489" s="457"/>
      <c r="SG489" s="457"/>
      <c r="SH489" s="457"/>
      <c r="SI489" s="457"/>
      <c r="SJ489" s="457"/>
      <c r="SK489" s="457"/>
      <c r="SL489" s="457"/>
      <c r="SM489" s="457"/>
      <c r="SN489" s="457"/>
      <c r="SO489" s="457"/>
      <c r="SP489" s="457"/>
      <c r="SQ489" s="457"/>
      <c r="SR489" s="457"/>
      <c r="SS489" s="457"/>
      <c r="ST489" s="457"/>
      <c r="SU489" s="457"/>
      <c r="SV489" s="457"/>
      <c r="SW489" s="457"/>
      <c r="SX489" s="457"/>
      <c r="SY489" s="457"/>
      <c r="SZ489" s="457"/>
      <c r="TA489" s="457"/>
      <c r="TB489" s="457"/>
      <c r="TC489" s="457"/>
      <c r="TD489" s="457"/>
      <c r="TE489" s="457"/>
      <c r="TF489" s="457"/>
      <c r="TG489" s="457"/>
      <c r="TH489" s="457"/>
      <c r="TI489" s="457"/>
      <c r="TJ489" s="457"/>
      <c r="TK489" s="457"/>
      <c r="TL489" s="457"/>
      <c r="TM489" s="457"/>
      <c r="TN489" s="457"/>
      <c r="TO489" s="457"/>
      <c r="TP489" s="457"/>
      <c r="TQ489" s="457"/>
      <c r="TR489" s="457"/>
      <c r="TS489" s="457"/>
      <c r="TT489" s="457"/>
      <c r="TU489" s="457"/>
      <c r="TV489" s="457"/>
      <c r="TW489" s="457"/>
      <c r="TX489" s="457"/>
      <c r="TY489" s="457"/>
      <c r="TZ489" s="457"/>
      <c r="UA489" s="457"/>
      <c r="UB489" s="457"/>
      <c r="UC489" s="457"/>
      <c r="UD489" s="457"/>
      <c r="UE489" s="457"/>
      <c r="UF489" s="457"/>
      <c r="UG489" s="457"/>
      <c r="UH489" s="457"/>
      <c r="UI489" s="457"/>
      <c r="UJ489" s="457"/>
      <c r="UK489" s="457"/>
      <c r="UL489" s="457"/>
      <c r="UM489" s="457"/>
      <c r="UN489" s="457"/>
      <c r="UO489" s="457"/>
      <c r="UP489" s="457"/>
      <c r="UQ489" s="457"/>
      <c r="UR489" s="457"/>
      <c r="US489" s="457"/>
      <c r="UT489" s="457"/>
      <c r="UU489" s="457"/>
      <c r="UV489" s="457"/>
      <c r="UW489" s="457"/>
      <c r="UX489" s="457"/>
      <c r="UY489" s="457"/>
      <c r="UZ489" s="457"/>
      <c r="VA489" s="457"/>
      <c r="VB489" s="457"/>
      <c r="VC489" s="457"/>
      <c r="VD489" s="457"/>
      <c r="VE489" s="457"/>
      <c r="VF489" s="457"/>
      <c r="VG489" s="457"/>
      <c r="VH489" s="457"/>
      <c r="VI489" s="457"/>
      <c r="VJ489" s="457"/>
      <c r="VK489" s="457"/>
      <c r="VL489" s="457"/>
      <c r="VM489" s="457"/>
      <c r="VN489" s="457"/>
      <c r="VO489" s="457"/>
      <c r="VP489" s="457"/>
      <c r="VQ489" s="457"/>
      <c r="VR489" s="457"/>
      <c r="VS489" s="457"/>
      <c r="VT489" s="457"/>
      <c r="VU489" s="457"/>
      <c r="VV489" s="457"/>
      <c r="VW489" s="457"/>
      <c r="VX489" s="457"/>
      <c r="VY489" s="457"/>
      <c r="VZ489" s="457"/>
      <c r="WA489" s="457"/>
      <c r="WB489" s="457"/>
      <c r="WC489" s="457"/>
      <c r="WD489" s="457"/>
      <c r="WE489" s="457"/>
      <c r="WF489" s="457"/>
      <c r="WG489" s="457"/>
      <c r="WH489" s="457"/>
      <c r="WI489" s="457"/>
      <c r="WJ489" s="457"/>
      <c r="WK489" s="457"/>
      <c r="WL489" s="457"/>
      <c r="WM489" s="457"/>
      <c r="WN489" s="457"/>
      <c r="WO489" s="457"/>
      <c r="WP489" s="457"/>
      <c r="WQ489" s="457"/>
      <c r="WR489" s="457"/>
      <c r="WS489" s="457"/>
      <c r="WT489" s="457"/>
      <c r="WU489" s="457"/>
      <c r="WV489" s="457"/>
      <c r="WW489" s="457"/>
      <c r="WX489" s="457"/>
      <c r="WY489" s="457"/>
      <c r="WZ489" s="457"/>
      <c r="XA489" s="457"/>
      <c r="XB489" s="457"/>
      <c r="XC489" s="457"/>
      <c r="XD489" s="457"/>
      <c r="XE489" s="457"/>
      <c r="XF489" s="457"/>
      <c r="XG489" s="457"/>
      <c r="XH489" s="457"/>
      <c r="XI489" s="457"/>
      <c r="XJ489" s="457"/>
      <c r="XK489" s="457"/>
      <c r="XL489" s="457"/>
      <c r="XM489" s="457"/>
      <c r="XN489" s="457"/>
      <c r="XO489" s="457"/>
      <c r="XP489" s="457"/>
      <c r="XQ489" s="457"/>
      <c r="XR489" s="457"/>
      <c r="XS489" s="457"/>
      <c r="XT489" s="457"/>
      <c r="XU489" s="457"/>
      <c r="XV489" s="457"/>
      <c r="XW489" s="457"/>
      <c r="XX489" s="457"/>
      <c r="XY489" s="457"/>
      <c r="XZ489" s="457"/>
      <c r="YA489" s="457"/>
      <c r="YB489" s="457"/>
      <c r="YC489" s="457"/>
      <c r="YD489" s="457"/>
      <c r="YE489" s="457"/>
      <c r="YF489" s="457"/>
      <c r="YG489" s="457"/>
      <c r="YH489" s="457"/>
      <c r="YI489" s="457"/>
      <c r="YJ489" s="457"/>
      <c r="YK489" s="457"/>
      <c r="YL489" s="457"/>
      <c r="YM489" s="457"/>
      <c r="YN489" s="457"/>
      <c r="YO489" s="457"/>
      <c r="YP489" s="457"/>
      <c r="YQ489" s="457"/>
      <c r="YR489" s="457"/>
      <c r="YS489" s="457"/>
      <c r="YT489" s="457"/>
      <c r="YU489" s="457"/>
      <c r="YV489" s="457"/>
      <c r="YW489" s="457"/>
      <c r="YX489" s="457"/>
      <c r="YY489" s="457"/>
      <c r="YZ489" s="457"/>
      <c r="ZA489" s="457"/>
      <c r="ZB489" s="457"/>
      <c r="ZC489" s="457"/>
      <c r="ZD489" s="457"/>
      <c r="ZE489" s="457"/>
      <c r="ZF489" s="457"/>
      <c r="ZG489" s="457"/>
      <c r="ZH489" s="457"/>
      <c r="ZI489" s="457"/>
      <c r="ZJ489" s="457"/>
      <c r="ZK489" s="457"/>
      <c r="ZL489" s="457"/>
      <c r="ZM489" s="457"/>
      <c r="ZN489" s="457"/>
      <c r="ZO489" s="457"/>
      <c r="ZP489" s="457"/>
      <c r="ZQ489" s="457"/>
      <c r="ZR489" s="457"/>
      <c r="ZS489" s="457"/>
      <c r="ZT489" s="457"/>
      <c r="ZU489" s="457"/>
      <c r="ZV489" s="457"/>
      <c r="ZW489" s="457"/>
      <c r="ZX489" s="457"/>
      <c r="ZY489" s="457"/>
      <c r="ZZ489" s="457"/>
      <c r="AAA489" s="457"/>
      <c r="AAB489" s="457"/>
      <c r="AAC489" s="457"/>
      <c r="AAD489" s="457"/>
      <c r="AAE489" s="457"/>
      <c r="AAF489" s="457"/>
      <c r="AAG489" s="457"/>
      <c r="AAH489" s="457"/>
      <c r="AAI489" s="457"/>
      <c r="AAJ489" s="457"/>
      <c r="AAK489" s="457"/>
      <c r="AAL489" s="457"/>
      <c r="AAM489" s="457"/>
      <c r="AAN489" s="457"/>
      <c r="AAO489" s="457"/>
      <c r="AAP489" s="457"/>
      <c r="AAQ489" s="457"/>
      <c r="AAR489" s="457"/>
      <c r="AAS489" s="457"/>
      <c r="AAT489" s="457"/>
      <c r="AAU489" s="457"/>
      <c r="AAV489" s="457"/>
      <c r="AAW489" s="457"/>
      <c r="AAX489" s="457"/>
      <c r="AAY489" s="457"/>
      <c r="AAZ489" s="457"/>
      <c r="ABA489" s="457"/>
      <c r="ABB489" s="457"/>
      <c r="ABC489" s="457"/>
      <c r="ABD489" s="457"/>
      <c r="ABE489" s="457"/>
      <c r="ABF489" s="457"/>
      <c r="ABG489" s="457"/>
      <c r="ABH489" s="457"/>
      <c r="ABI489" s="457"/>
      <c r="ABJ489" s="457"/>
      <c r="ABK489" s="457"/>
      <c r="ABL489" s="457"/>
      <c r="ABM489" s="457"/>
      <c r="ABN489" s="457"/>
      <c r="ABO489" s="457"/>
      <c r="ABP489" s="457"/>
      <c r="ABQ489" s="457"/>
      <c r="ABR489" s="457"/>
      <c r="ABS489" s="457"/>
      <c r="ABT489" s="457"/>
      <c r="ABU489" s="457"/>
      <c r="ABV489" s="457"/>
      <c r="ABW489" s="457"/>
      <c r="ABX489" s="457"/>
      <c r="ABY489" s="457"/>
      <c r="ABZ489" s="457"/>
      <c r="ACA489" s="457"/>
      <c r="ACB489" s="457"/>
      <c r="ACC489" s="457"/>
      <c r="ACD489" s="457"/>
      <c r="ACE489" s="457"/>
      <c r="ACF489" s="457"/>
      <c r="ACG489" s="457"/>
      <c r="ACH489" s="457"/>
      <c r="ACI489" s="457"/>
      <c r="ACJ489" s="457"/>
      <c r="ACK489" s="457"/>
      <c r="ACL489" s="457"/>
      <c r="ACM489" s="457"/>
      <c r="ACN489" s="457"/>
      <c r="ACO489" s="457"/>
      <c r="ACP489" s="457"/>
      <c r="ACQ489" s="457"/>
      <c r="ACR489" s="457"/>
      <c r="ACS489" s="457"/>
      <c r="ACT489" s="457"/>
      <c r="ACU489" s="457"/>
      <c r="ACV489" s="457"/>
    </row>
    <row r="490" spans="1:776" s="400" customFormat="1" x14ac:dyDescent="0.25">
      <c r="A490" s="470">
        <v>900205</v>
      </c>
      <c r="B490" s="453" t="s">
        <v>408</v>
      </c>
      <c r="C490" s="455"/>
      <c r="D490" s="454" t="s">
        <v>409</v>
      </c>
      <c r="E490" s="454">
        <v>1.53</v>
      </c>
      <c r="F490" s="458">
        <v>1.2</v>
      </c>
      <c r="G490" s="454">
        <v>0</v>
      </c>
      <c r="H490" s="454">
        <v>0.03</v>
      </c>
      <c r="I490" s="456">
        <v>328.64</v>
      </c>
      <c r="J490" s="454">
        <v>116.38</v>
      </c>
      <c r="K490" s="454">
        <v>3.0599999999999999E-2</v>
      </c>
      <c r="L490" s="454">
        <v>196.8</v>
      </c>
      <c r="M490" s="454">
        <v>0</v>
      </c>
      <c r="N490" s="454">
        <v>3.69</v>
      </c>
      <c r="O490" s="454">
        <v>179.2</v>
      </c>
      <c r="P490" s="454">
        <v>61.56</v>
      </c>
      <c r="Q490" s="454">
        <v>34.909999999999997</v>
      </c>
      <c r="R490" s="397">
        <v>1.0000000000000001E-5</v>
      </c>
      <c r="S490" s="397">
        <v>1.0000000000000001E-5</v>
      </c>
      <c r="T490" s="397">
        <v>1.0000000000000001E-5</v>
      </c>
      <c r="U490" s="397">
        <v>1.0000000000000001E-5</v>
      </c>
      <c r="V490" s="454"/>
      <c r="W490" s="457"/>
      <c r="X490" s="457"/>
      <c r="Y490" s="457"/>
      <c r="Z490" s="457"/>
      <c r="AA490" s="457"/>
      <c r="AB490" s="457"/>
      <c r="AC490" s="457"/>
      <c r="AD490" s="457"/>
      <c r="AE490" s="457"/>
      <c r="AF490" s="457"/>
      <c r="AG490" s="457"/>
      <c r="AH490" s="457"/>
      <c r="AI490" s="457"/>
      <c r="AJ490" s="457"/>
      <c r="AK490" s="457"/>
      <c r="AL490" s="457"/>
      <c r="AM490" s="457"/>
      <c r="AN490" s="457"/>
      <c r="AO490" s="457"/>
      <c r="AP490" s="457"/>
      <c r="AQ490" s="457"/>
      <c r="AR490" s="457"/>
      <c r="AS490" s="457"/>
      <c r="AT490" s="457"/>
      <c r="AU490" s="457"/>
      <c r="AV490" s="457"/>
      <c r="AW490" s="457"/>
      <c r="AX490" s="457"/>
      <c r="AY490" s="457"/>
      <c r="AZ490" s="457"/>
      <c r="BA490" s="457"/>
      <c r="BB490" s="457"/>
      <c r="BC490" s="457"/>
      <c r="BD490" s="457"/>
      <c r="BE490" s="457"/>
      <c r="BF490" s="457"/>
      <c r="BG490" s="457"/>
      <c r="BH490" s="457"/>
      <c r="BI490" s="457"/>
      <c r="BJ490" s="457"/>
      <c r="BK490" s="457"/>
      <c r="BL490" s="457"/>
      <c r="BM490" s="457"/>
      <c r="BN490" s="457"/>
      <c r="BO490" s="457"/>
      <c r="BP490" s="457"/>
      <c r="BQ490" s="457"/>
      <c r="BR490" s="457"/>
      <c r="BS490" s="457"/>
      <c r="BT490" s="457"/>
      <c r="BU490" s="457"/>
      <c r="BV490" s="457"/>
      <c r="BW490" s="457"/>
      <c r="BX490" s="457"/>
      <c r="BY490" s="457"/>
      <c r="BZ490" s="457"/>
      <c r="CA490" s="457"/>
      <c r="CB490" s="457"/>
      <c r="CC490" s="457"/>
      <c r="CD490" s="457"/>
      <c r="CE490" s="457"/>
      <c r="CF490" s="457"/>
      <c r="CG490" s="457"/>
      <c r="CH490" s="457"/>
      <c r="CI490" s="457"/>
      <c r="CJ490" s="457"/>
      <c r="CK490" s="457"/>
      <c r="CL490" s="457"/>
      <c r="CM490" s="457"/>
      <c r="CN490" s="457"/>
      <c r="CO490" s="457"/>
      <c r="CP490" s="457"/>
      <c r="CQ490" s="457"/>
      <c r="CR490" s="457"/>
      <c r="CS490" s="457"/>
      <c r="CT490" s="457"/>
      <c r="CU490" s="457"/>
      <c r="CV490" s="457"/>
      <c r="CW490" s="457"/>
      <c r="CX490" s="457"/>
      <c r="CY490" s="457"/>
      <c r="CZ490" s="457"/>
      <c r="DA490" s="457"/>
      <c r="DB490" s="457"/>
      <c r="DC490" s="457"/>
      <c r="DD490" s="457"/>
      <c r="DE490" s="457"/>
      <c r="DF490" s="457"/>
      <c r="DG490" s="457"/>
      <c r="DH490" s="457"/>
      <c r="DI490" s="457"/>
      <c r="DJ490" s="457"/>
      <c r="DK490" s="457"/>
      <c r="DL490" s="457"/>
      <c r="DM490" s="457"/>
      <c r="DN490" s="457"/>
      <c r="DO490" s="457"/>
      <c r="DP490" s="457"/>
      <c r="DQ490" s="457"/>
      <c r="DR490" s="457"/>
      <c r="DS490" s="457"/>
      <c r="DT490" s="457"/>
      <c r="DU490" s="457"/>
      <c r="DV490" s="457"/>
      <c r="DW490" s="457"/>
      <c r="DX490" s="457"/>
      <c r="DY490" s="457"/>
      <c r="DZ490" s="457"/>
      <c r="EA490" s="457"/>
      <c r="EB490" s="457"/>
      <c r="EC490" s="457"/>
      <c r="ED490" s="457"/>
      <c r="EE490" s="457"/>
      <c r="EF490" s="457"/>
      <c r="EG490" s="457"/>
      <c r="EH490" s="457"/>
      <c r="EI490" s="457"/>
      <c r="EJ490" s="457"/>
      <c r="EK490" s="457"/>
      <c r="EL490" s="457"/>
      <c r="EM490" s="457"/>
      <c r="EN490" s="457"/>
      <c r="EO490" s="457"/>
      <c r="EP490" s="457"/>
      <c r="EQ490" s="457"/>
      <c r="ER490" s="457"/>
      <c r="ES490" s="457"/>
      <c r="ET490" s="457"/>
      <c r="EU490" s="457"/>
      <c r="EV490" s="457"/>
      <c r="EW490" s="457"/>
      <c r="EX490" s="457"/>
      <c r="EY490" s="457"/>
      <c r="EZ490" s="457"/>
      <c r="FA490" s="457"/>
      <c r="FB490" s="457"/>
      <c r="FC490" s="457"/>
      <c r="FD490" s="457"/>
      <c r="FE490" s="457"/>
      <c r="FF490" s="457"/>
      <c r="FG490" s="457"/>
      <c r="FH490" s="457"/>
      <c r="FI490" s="457"/>
      <c r="FJ490" s="457"/>
      <c r="FK490" s="457"/>
      <c r="FL490" s="457"/>
      <c r="FM490" s="457"/>
      <c r="FN490" s="457"/>
      <c r="FO490" s="457"/>
      <c r="FP490" s="457"/>
      <c r="FQ490" s="457"/>
      <c r="FR490" s="457"/>
      <c r="FS490" s="457"/>
      <c r="FT490" s="457"/>
      <c r="FU490" s="457"/>
      <c r="FV490" s="457"/>
      <c r="FW490" s="457"/>
      <c r="FX490" s="457"/>
      <c r="FY490" s="457"/>
      <c r="FZ490" s="457"/>
      <c r="GA490" s="457"/>
      <c r="GB490" s="457"/>
      <c r="GC490" s="457"/>
      <c r="GD490" s="457"/>
      <c r="GE490" s="457"/>
      <c r="GF490" s="457"/>
      <c r="GG490" s="457"/>
      <c r="GH490" s="457"/>
      <c r="GI490" s="457"/>
      <c r="GJ490" s="457"/>
      <c r="GK490" s="457"/>
      <c r="GL490" s="457"/>
      <c r="GM490" s="457"/>
      <c r="GN490" s="457"/>
      <c r="GO490" s="457"/>
      <c r="GP490" s="457"/>
      <c r="GQ490" s="457"/>
      <c r="GR490" s="457"/>
      <c r="GS490" s="457"/>
      <c r="GT490" s="457"/>
      <c r="GU490" s="457"/>
      <c r="GV490" s="457"/>
      <c r="GW490" s="457"/>
      <c r="GX490" s="457"/>
      <c r="GY490" s="457"/>
      <c r="GZ490" s="457"/>
      <c r="HA490" s="457"/>
      <c r="HB490" s="457"/>
      <c r="HC490" s="457"/>
      <c r="HD490" s="457"/>
      <c r="HE490" s="457"/>
      <c r="HF490" s="457"/>
      <c r="HG490" s="457"/>
      <c r="HH490" s="457"/>
      <c r="HI490" s="457"/>
      <c r="HJ490" s="457"/>
      <c r="HK490" s="457"/>
      <c r="HL490" s="457"/>
      <c r="HM490" s="457"/>
      <c r="HN490" s="457"/>
      <c r="HO490" s="457"/>
      <c r="HP490" s="457"/>
      <c r="HQ490" s="457"/>
      <c r="HR490" s="457"/>
      <c r="HS490" s="457"/>
      <c r="HT490" s="457"/>
      <c r="HU490" s="457"/>
      <c r="HV490" s="457"/>
      <c r="HW490" s="457"/>
      <c r="HX490" s="457"/>
      <c r="HY490" s="457"/>
      <c r="HZ490" s="457"/>
      <c r="IA490" s="457"/>
      <c r="IB490" s="457"/>
      <c r="IC490" s="457"/>
      <c r="ID490" s="457"/>
      <c r="IE490" s="457"/>
      <c r="IF490" s="457"/>
      <c r="IG490" s="457"/>
      <c r="IH490" s="457"/>
      <c r="II490" s="457"/>
      <c r="IJ490" s="457"/>
      <c r="IK490" s="457"/>
      <c r="IL490" s="457"/>
      <c r="IM490" s="457"/>
      <c r="IN490" s="457"/>
      <c r="IO490" s="457"/>
      <c r="IP490" s="457"/>
      <c r="IQ490" s="457"/>
      <c r="IR490" s="457"/>
      <c r="IS490" s="457"/>
      <c r="IT490" s="457"/>
      <c r="IU490" s="457"/>
      <c r="IV490" s="457"/>
      <c r="IW490" s="457"/>
      <c r="IX490" s="457"/>
      <c r="IY490" s="457"/>
      <c r="IZ490" s="457"/>
      <c r="JA490" s="457"/>
      <c r="JB490" s="457"/>
      <c r="JC490" s="457"/>
      <c r="JD490" s="457"/>
      <c r="JE490" s="457"/>
      <c r="JF490" s="457"/>
      <c r="JG490" s="457"/>
      <c r="JH490" s="457"/>
      <c r="JI490" s="457"/>
      <c r="JJ490" s="457"/>
      <c r="JK490" s="457"/>
      <c r="JL490" s="457"/>
      <c r="JM490" s="457"/>
      <c r="JN490" s="457"/>
      <c r="JO490" s="457"/>
      <c r="JP490" s="457"/>
      <c r="JQ490" s="457"/>
      <c r="JR490" s="457"/>
      <c r="JS490" s="457"/>
      <c r="JT490" s="457"/>
      <c r="JU490" s="457"/>
      <c r="JV490" s="457"/>
      <c r="JW490" s="457"/>
      <c r="JX490" s="457"/>
      <c r="JY490" s="457"/>
      <c r="JZ490" s="457"/>
      <c r="KA490" s="457"/>
      <c r="KB490" s="457"/>
      <c r="KC490" s="457"/>
      <c r="KD490" s="457"/>
      <c r="KE490" s="457"/>
      <c r="KF490" s="457"/>
      <c r="KG490" s="457"/>
      <c r="KH490" s="457"/>
      <c r="KI490" s="457"/>
      <c r="KJ490" s="457"/>
      <c r="KK490" s="457"/>
      <c r="KL490" s="457"/>
      <c r="KM490" s="457"/>
      <c r="KN490" s="457"/>
      <c r="KO490" s="457"/>
      <c r="KP490" s="457"/>
      <c r="KQ490" s="457"/>
      <c r="KR490" s="457"/>
      <c r="KS490" s="457"/>
      <c r="KT490" s="457"/>
      <c r="KU490" s="457"/>
      <c r="KV490" s="457"/>
      <c r="KW490" s="457"/>
      <c r="KX490" s="457"/>
      <c r="KY490" s="457"/>
      <c r="KZ490" s="457"/>
      <c r="LA490" s="457"/>
      <c r="LB490" s="457"/>
      <c r="LC490" s="457"/>
      <c r="LD490" s="457"/>
      <c r="LE490" s="457"/>
      <c r="LF490" s="457"/>
      <c r="LG490" s="457"/>
      <c r="LH490" s="457"/>
      <c r="LI490" s="457"/>
      <c r="LJ490" s="457"/>
      <c r="LK490" s="457"/>
      <c r="LL490" s="457"/>
      <c r="LM490" s="457"/>
      <c r="LN490" s="457"/>
      <c r="LO490" s="457"/>
      <c r="LP490" s="457"/>
      <c r="LQ490" s="457"/>
      <c r="LR490" s="457"/>
      <c r="LS490" s="457"/>
      <c r="LT490" s="457"/>
      <c r="LU490" s="457"/>
      <c r="LV490" s="457"/>
      <c r="LW490" s="457"/>
      <c r="LX490" s="457"/>
      <c r="LY490" s="457"/>
      <c r="LZ490" s="457"/>
      <c r="MA490" s="457"/>
      <c r="MB490" s="457"/>
      <c r="MC490" s="457"/>
      <c r="MD490" s="457"/>
      <c r="ME490" s="457"/>
      <c r="MF490" s="457"/>
      <c r="MG490" s="457"/>
      <c r="MH490" s="457"/>
      <c r="MI490" s="457"/>
      <c r="MJ490" s="457"/>
      <c r="MK490" s="457"/>
      <c r="ML490" s="457"/>
      <c r="MM490" s="457"/>
      <c r="MN490" s="457"/>
      <c r="MO490" s="457"/>
      <c r="MP490" s="457"/>
      <c r="MQ490" s="457"/>
      <c r="MR490" s="457"/>
      <c r="MS490" s="457"/>
      <c r="MT490" s="457"/>
      <c r="MU490" s="457"/>
      <c r="MV490" s="457"/>
      <c r="MW490" s="457"/>
      <c r="MX490" s="457"/>
      <c r="MY490" s="457"/>
      <c r="MZ490" s="457"/>
      <c r="NA490" s="457"/>
      <c r="NB490" s="457"/>
      <c r="NC490" s="457"/>
      <c r="ND490" s="457"/>
      <c r="NE490" s="457"/>
      <c r="NF490" s="457"/>
      <c r="NG490" s="457"/>
      <c r="NH490" s="457"/>
      <c r="NI490" s="457"/>
      <c r="NJ490" s="457"/>
      <c r="NK490" s="457"/>
      <c r="NL490" s="457"/>
      <c r="NM490" s="457"/>
      <c r="NN490" s="457"/>
      <c r="NO490" s="457"/>
      <c r="NP490" s="457"/>
      <c r="NQ490" s="457"/>
      <c r="NR490" s="457"/>
      <c r="NS490" s="457"/>
      <c r="NT490" s="457"/>
      <c r="NU490" s="457"/>
      <c r="NV490" s="457"/>
      <c r="NW490" s="457"/>
      <c r="NX490" s="457"/>
      <c r="NY490" s="457"/>
      <c r="NZ490" s="457"/>
      <c r="OA490" s="457"/>
      <c r="OB490" s="457"/>
      <c r="OC490" s="457"/>
      <c r="OD490" s="457"/>
      <c r="OE490" s="457"/>
      <c r="OF490" s="457"/>
      <c r="OG490" s="457"/>
      <c r="OH490" s="457"/>
      <c r="OI490" s="457"/>
      <c r="OJ490" s="457"/>
      <c r="OK490" s="457"/>
      <c r="OL490" s="457"/>
      <c r="OM490" s="457"/>
      <c r="ON490" s="457"/>
      <c r="OO490" s="457"/>
      <c r="OP490" s="457"/>
      <c r="OQ490" s="457"/>
      <c r="OR490" s="457"/>
      <c r="OS490" s="457"/>
      <c r="OT490" s="457"/>
      <c r="OU490" s="457"/>
      <c r="OV490" s="457"/>
      <c r="OW490" s="457"/>
      <c r="OX490" s="457"/>
      <c r="OY490" s="457"/>
      <c r="OZ490" s="457"/>
      <c r="PA490" s="457"/>
      <c r="PB490" s="457"/>
      <c r="PC490" s="457"/>
      <c r="PD490" s="457"/>
      <c r="PE490" s="457"/>
      <c r="PF490" s="457"/>
      <c r="PG490" s="457"/>
      <c r="PH490" s="457"/>
      <c r="PI490" s="457"/>
      <c r="PJ490" s="457"/>
      <c r="PK490" s="457"/>
      <c r="PL490" s="457"/>
      <c r="PM490" s="457"/>
      <c r="PN490" s="457"/>
      <c r="PO490" s="457"/>
      <c r="PP490" s="457"/>
      <c r="PQ490" s="457"/>
      <c r="PR490" s="457"/>
      <c r="PS490" s="457"/>
      <c r="PT490" s="457"/>
      <c r="PU490" s="457"/>
      <c r="PV490" s="457"/>
      <c r="PW490" s="457"/>
      <c r="PX490" s="457"/>
      <c r="PY490" s="457"/>
      <c r="PZ490" s="457"/>
      <c r="QA490" s="457"/>
      <c r="QB490" s="457"/>
      <c r="QC490" s="457"/>
      <c r="QD490" s="457"/>
      <c r="QE490" s="457"/>
      <c r="QF490" s="457"/>
      <c r="QG490" s="457"/>
      <c r="QH490" s="457"/>
      <c r="QI490" s="457"/>
      <c r="QJ490" s="457"/>
      <c r="QK490" s="457"/>
      <c r="QL490" s="457"/>
      <c r="QM490" s="457"/>
      <c r="QN490" s="457"/>
      <c r="QO490" s="457"/>
      <c r="QP490" s="457"/>
      <c r="QQ490" s="457"/>
      <c r="QR490" s="457"/>
      <c r="QS490" s="457"/>
      <c r="QT490" s="457"/>
      <c r="QU490" s="457"/>
      <c r="QV490" s="457"/>
      <c r="QW490" s="457"/>
      <c r="QX490" s="457"/>
      <c r="QY490" s="457"/>
      <c r="QZ490" s="457"/>
      <c r="RA490" s="457"/>
      <c r="RB490" s="457"/>
      <c r="RC490" s="457"/>
      <c r="RD490" s="457"/>
      <c r="RE490" s="457"/>
      <c r="RF490" s="457"/>
      <c r="RG490" s="457"/>
      <c r="RH490" s="457"/>
      <c r="RI490" s="457"/>
      <c r="RJ490" s="457"/>
      <c r="RK490" s="457"/>
      <c r="RL490" s="457"/>
      <c r="RM490" s="457"/>
      <c r="RN490" s="457"/>
      <c r="RO490" s="457"/>
      <c r="RP490" s="457"/>
      <c r="RQ490" s="457"/>
      <c r="RR490" s="457"/>
      <c r="RS490" s="457"/>
      <c r="RT490" s="457"/>
      <c r="RU490" s="457"/>
      <c r="RV490" s="457"/>
      <c r="RW490" s="457"/>
      <c r="RX490" s="457"/>
      <c r="RY490" s="457"/>
      <c r="RZ490" s="457"/>
      <c r="SA490" s="457"/>
      <c r="SB490" s="457"/>
      <c r="SC490" s="457"/>
      <c r="SD490" s="457"/>
      <c r="SE490" s="457"/>
      <c r="SF490" s="457"/>
      <c r="SG490" s="457"/>
      <c r="SH490" s="457"/>
      <c r="SI490" s="457"/>
      <c r="SJ490" s="457"/>
      <c r="SK490" s="457"/>
      <c r="SL490" s="457"/>
      <c r="SM490" s="457"/>
      <c r="SN490" s="457"/>
      <c r="SO490" s="457"/>
      <c r="SP490" s="457"/>
      <c r="SQ490" s="457"/>
      <c r="SR490" s="457"/>
      <c r="SS490" s="457"/>
      <c r="ST490" s="457"/>
      <c r="SU490" s="457"/>
      <c r="SV490" s="457"/>
      <c r="SW490" s="457"/>
      <c r="SX490" s="457"/>
      <c r="SY490" s="457"/>
      <c r="SZ490" s="457"/>
      <c r="TA490" s="457"/>
      <c r="TB490" s="457"/>
      <c r="TC490" s="457"/>
      <c r="TD490" s="457"/>
      <c r="TE490" s="457"/>
      <c r="TF490" s="457"/>
      <c r="TG490" s="457"/>
      <c r="TH490" s="457"/>
      <c r="TI490" s="457"/>
      <c r="TJ490" s="457"/>
      <c r="TK490" s="457"/>
      <c r="TL490" s="457"/>
      <c r="TM490" s="457"/>
      <c r="TN490" s="457"/>
      <c r="TO490" s="457"/>
      <c r="TP490" s="457"/>
      <c r="TQ490" s="457"/>
      <c r="TR490" s="457"/>
      <c r="TS490" s="457"/>
      <c r="TT490" s="457"/>
      <c r="TU490" s="457"/>
      <c r="TV490" s="457"/>
      <c r="TW490" s="457"/>
      <c r="TX490" s="457"/>
      <c r="TY490" s="457"/>
      <c r="TZ490" s="457"/>
      <c r="UA490" s="457"/>
      <c r="UB490" s="457"/>
      <c r="UC490" s="457"/>
      <c r="UD490" s="457"/>
      <c r="UE490" s="457"/>
      <c r="UF490" s="457"/>
      <c r="UG490" s="457"/>
      <c r="UH490" s="457"/>
      <c r="UI490" s="457"/>
      <c r="UJ490" s="457"/>
      <c r="UK490" s="457"/>
      <c r="UL490" s="457"/>
      <c r="UM490" s="457"/>
      <c r="UN490" s="457"/>
      <c r="UO490" s="457"/>
      <c r="UP490" s="457"/>
      <c r="UQ490" s="457"/>
      <c r="UR490" s="457"/>
      <c r="US490" s="457"/>
      <c r="UT490" s="457"/>
      <c r="UU490" s="457"/>
      <c r="UV490" s="457"/>
      <c r="UW490" s="457"/>
      <c r="UX490" s="457"/>
      <c r="UY490" s="457"/>
      <c r="UZ490" s="457"/>
      <c r="VA490" s="457"/>
      <c r="VB490" s="457"/>
      <c r="VC490" s="457"/>
      <c r="VD490" s="457"/>
      <c r="VE490" s="457"/>
      <c r="VF490" s="457"/>
      <c r="VG490" s="457"/>
      <c r="VH490" s="457"/>
      <c r="VI490" s="457"/>
      <c r="VJ490" s="457"/>
      <c r="VK490" s="457"/>
      <c r="VL490" s="457"/>
      <c r="VM490" s="457"/>
      <c r="VN490" s="457"/>
      <c r="VO490" s="457"/>
      <c r="VP490" s="457"/>
      <c r="VQ490" s="457"/>
      <c r="VR490" s="457"/>
      <c r="VS490" s="457"/>
      <c r="VT490" s="457"/>
      <c r="VU490" s="457"/>
      <c r="VV490" s="457"/>
      <c r="VW490" s="457"/>
      <c r="VX490" s="457"/>
      <c r="VY490" s="457"/>
      <c r="VZ490" s="457"/>
      <c r="WA490" s="457"/>
      <c r="WB490" s="457"/>
      <c r="WC490" s="457"/>
      <c r="WD490" s="457"/>
      <c r="WE490" s="457"/>
      <c r="WF490" s="457"/>
      <c r="WG490" s="457"/>
      <c r="WH490" s="457"/>
      <c r="WI490" s="457"/>
      <c r="WJ490" s="457"/>
      <c r="WK490" s="457"/>
      <c r="WL490" s="457"/>
      <c r="WM490" s="457"/>
      <c r="WN490" s="457"/>
      <c r="WO490" s="457"/>
      <c r="WP490" s="457"/>
      <c r="WQ490" s="457"/>
      <c r="WR490" s="457"/>
      <c r="WS490" s="457"/>
      <c r="WT490" s="457"/>
      <c r="WU490" s="457"/>
      <c r="WV490" s="457"/>
      <c r="WW490" s="457"/>
      <c r="WX490" s="457"/>
      <c r="WY490" s="457"/>
      <c r="WZ490" s="457"/>
      <c r="XA490" s="457"/>
      <c r="XB490" s="457"/>
      <c r="XC490" s="457"/>
      <c r="XD490" s="457"/>
      <c r="XE490" s="457"/>
      <c r="XF490" s="457"/>
      <c r="XG490" s="457"/>
      <c r="XH490" s="457"/>
      <c r="XI490" s="457"/>
      <c r="XJ490" s="457"/>
      <c r="XK490" s="457"/>
      <c r="XL490" s="457"/>
      <c r="XM490" s="457"/>
      <c r="XN490" s="457"/>
      <c r="XO490" s="457"/>
      <c r="XP490" s="457"/>
      <c r="XQ490" s="457"/>
      <c r="XR490" s="457"/>
      <c r="XS490" s="457"/>
      <c r="XT490" s="457"/>
      <c r="XU490" s="457"/>
      <c r="XV490" s="457"/>
      <c r="XW490" s="457"/>
      <c r="XX490" s="457"/>
      <c r="XY490" s="457"/>
      <c r="XZ490" s="457"/>
      <c r="YA490" s="457"/>
      <c r="YB490" s="457"/>
      <c r="YC490" s="457"/>
      <c r="YD490" s="457"/>
      <c r="YE490" s="457"/>
      <c r="YF490" s="457"/>
      <c r="YG490" s="457"/>
      <c r="YH490" s="457"/>
      <c r="YI490" s="457"/>
      <c r="YJ490" s="457"/>
      <c r="YK490" s="457"/>
      <c r="YL490" s="457"/>
      <c r="YM490" s="457"/>
      <c r="YN490" s="457"/>
      <c r="YO490" s="457"/>
      <c r="YP490" s="457"/>
      <c r="YQ490" s="457"/>
      <c r="YR490" s="457"/>
      <c r="YS490" s="457"/>
      <c r="YT490" s="457"/>
      <c r="YU490" s="457"/>
      <c r="YV490" s="457"/>
      <c r="YW490" s="457"/>
      <c r="YX490" s="457"/>
      <c r="YY490" s="457"/>
      <c r="YZ490" s="457"/>
      <c r="ZA490" s="457"/>
      <c r="ZB490" s="457"/>
      <c r="ZC490" s="457"/>
      <c r="ZD490" s="457"/>
      <c r="ZE490" s="457"/>
      <c r="ZF490" s="457"/>
      <c r="ZG490" s="457"/>
      <c r="ZH490" s="457"/>
      <c r="ZI490" s="457"/>
      <c r="ZJ490" s="457"/>
      <c r="ZK490" s="457"/>
      <c r="ZL490" s="457"/>
      <c r="ZM490" s="457"/>
      <c r="ZN490" s="457"/>
      <c r="ZO490" s="457"/>
      <c r="ZP490" s="457"/>
      <c r="ZQ490" s="457"/>
      <c r="ZR490" s="457"/>
      <c r="ZS490" s="457"/>
      <c r="ZT490" s="457"/>
      <c r="ZU490" s="457"/>
      <c r="ZV490" s="457"/>
      <c r="ZW490" s="457"/>
      <c r="ZX490" s="457"/>
      <c r="ZY490" s="457"/>
      <c r="ZZ490" s="457"/>
      <c r="AAA490" s="457"/>
      <c r="AAB490" s="457"/>
      <c r="AAC490" s="457"/>
      <c r="AAD490" s="457"/>
      <c r="AAE490" s="457"/>
      <c r="AAF490" s="457"/>
      <c r="AAG490" s="457"/>
      <c r="AAH490" s="457"/>
      <c r="AAI490" s="457"/>
      <c r="AAJ490" s="457"/>
      <c r="AAK490" s="457"/>
      <c r="AAL490" s="457"/>
      <c r="AAM490" s="457"/>
      <c r="AAN490" s="457"/>
      <c r="AAO490" s="457"/>
      <c r="AAP490" s="457"/>
      <c r="AAQ490" s="457"/>
      <c r="AAR490" s="457"/>
      <c r="AAS490" s="457"/>
      <c r="AAT490" s="457"/>
      <c r="AAU490" s="457"/>
      <c r="AAV490" s="457"/>
      <c r="AAW490" s="457"/>
      <c r="AAX490" s="457"/>
      <c r="AAY490" s="457"/>
      <c r="AAZ490" s="457"/>
      <c r="ABA490" s="457"/>
      <c r="ABB490" s="457"/>
      <c r="ABC490" s="457"/>
      <c r="ABD490" s="457"/>
      <c r="ABE490" s="457"/>
      <c r="ABF490" s="457"/>
      <c r="ABG490" s="457"/>
      <c r="ABH490" s="457"/>
      <c r="ABI490" s="457"/>
      <c r="ABJ490" s="457"/>
      <c r="ABK490" s="457"/>
      <c r="ABL490" s="457"/>
      <c r="ABM490" s="457"/>
      <c r="ABN490" s="457"/>
      <c r="ABO490" s="457"/>
      <c r="ABP490" s="457"/>
      <c r="ABQ490" s="457"/>
      <c r="ABR490" s="457"/>
      <c r="ABS490" s="457"/>
      <c r="ABT490" s="457"/>
      <c r="ABU490" s="457"/>
      <c r="ABV490" s="457"/>
      <c r="ABW490" s="457"/>
      <c r="ABX490" s="457"/>
      <c r="ABY490" s="457"/>
      <c r="ABZ490" s="457"/>
      <c r="ACA490" s="457"/>
      <c r="ACB490" s="457"/>
      <c r="ACC490" s="457"/>
      <c r="ACD490" s="457"/>
      <c r="ACE490" s="457"/>
      <c r="ACF490" s="457"/>
      <c r="ACG490" s="457"/>
      <c r="ACH490" s="457"/>
      <c r="ACI490" s="457"/>
      <c r="ACJ490" s="457"/>
      <c r="ACK490" s="457"/>
      <c r="ACL490" s="457"/>
      <c r="ACM490" s="457"/>
      <c r="ACN490" s="457"/>
      <c r="ACO490" s="457"/>
      <c r="ACP490" s="457"/>
      <c r="ACQ490" s="457"/>
      <c r="ACR490" s="457"/>
      <c r="ACS490" s="457"/>
      <c r="ACT490" s="457"/>
      <c r="ACU490" s="457"/>
      <c r="ACV490" s="457"/>
    </row>
    <row r="491" spans="1:776" s="400" customFormat="1" x14ac:dyDescent="0.25">
      <c r="A491" s="470">
        <v>900206</v>
      </c>
      <c r="B491" s="453" t="s">
        <v>410</v>
      </c>
      <c r="C491" s="455"/>
      <c r="D491" s="454" t="s">
        <v>308</v>
      </c>
      <c r="E491" s="454">
        <v>0.77200000000000002</v>
      </c>
      <c r="F491" s="458">
        <v>79.400000000000006</v>
      </c>
      <c r="G491" s="454">
        <v>0</v>
      </c>
      <c r="H491" s="454">
        <v>0.03</v>
      </c>
      <c r="I491" s="456">
        <v>82.58</v>
      </c>
      <c r="J491" s="454">
        <v>14.03</v>
      </c>
      <c r="K491" s="454">
        <v>3.0599999999999999E-2</v>
      </c>
      <c r="L491" s="454">
        <v>297.60000000000002</v>
      </c>
      <c r="M491" s="454">
        <v>0</v>
      </c>
      <c r="N491" s="454">
        <v>0.79</v>
      </c>
      <c r="O491" s="454">
        <v>71.290000000000006</v>
      </c>
      <c r="P491" s="454">
        <v>62.41</v>
      </c>
      <c r="Q491" s="454">
        <v>23.67</v>
      </c>
      <c r="R491" s="397">
        <v>1.0000000000000001E-5</v>
      </c>
      <c r="S491" s="397">
        <v>1.0000000000000001E-5</v>
      </c>
      <c r="T491" s="397">
        <v>1.0000000000000001E-5</v>
      </c>
      <c r="U491" s="454">
        <v>0.02</v>
      </c>
      <c r="V491" s="454"/>
      <c r="W491" s="457"/>
      <c r="X491" s="457"/>
      <c r="Y491" s="457"/>
      <c r="Z491" s="457"/>
      <c r="AA491" s="457"/>
      <c r="AB491" s="457"/>
      <c r="AC491" s="457"/>
      <c r="AD491" s="457"/>
      <c r="AE491" s="457"/>
      <c r="AF491" s="457"/>
      <c r="AG491" s="457"/>
      <c r="AH491" s="457"/>
      <c r="AI491" s="457"/>
      <c r="AJ491" s="457"/>
      <c r="AK491" s="457"/>
      <c r="AL491" s="457"/>
      <c r="AM491" s="457"/>
      <c r="AN491" s="457"/>
      <c r="AO491" s="457"/>
      <c r="AP491" s="457"/>
      <c r="AQ491" s="457"/>
      <c r="AR491" s="457"/>
      <c r="AS491" s="457"/>
      <c r="AT491" s="457"/>
      <c r="AU491" s="457"/>
      <c r="AV491" s="457"/>
      <c r="AW491" s="457"/>
      <c r="AX491" s="457"/>
      <c r="AY491" s="457"/>
      <c r="AZ491" s="457"/>
      <c r="BA491" s="457"/>
      <c r="BB491" s="457"/>
      <c r="BC491" s="457"/>
      <c r="BD491" s="457"/>
      <c r="BE491" s="457"/>
      <c r="BF491" s="457"/>
      <c r="BG491" s="457"/>
      <c r="BH491" s="457"/>
      <c r="BI491" s="457"/>
      <c r="BJ491" s="457"/>
      <c r="BK491" s="457"/>
      <c r="BL491" s="457"/>
      <c r="BM491" s="457"/>
      <c r="BN491" s="457"/>
      <c r="BO491" s="457"/>
      <c r="BP491" s="457"/>
      <c r="BQ491" s="457"/>
      <c r="BR491" s="457"/>
      <c r="BS491" s="457"/>
      <c r="BT491" s="457"/>
      <c r="BU491" s="457"/>
      <c r="BV491" s="457"/>
      <c r="BW491" s="457"/>
      <c r="BX491" s="457"/>
      <c r="BY491" s="457"/>
      <c r="BZ491" s="457"/>
      <c r="CA491" s="457"/>
      <c r="CB491" s="457"/>
      <c r="CC491" s="457"/>
      <c r="CD491" s="457"/>
      <c r="CE491" s="457"/>
      <c r="CF491" s="457"/>
      <c r="CG491" s="457"/>
      <c r="CH491" s="457"/>
      <c r="CI491" s="457"/>
      <c r="CJ491" s="457"/>
      <c r="CK491" s="457"/>
      <c r="CL491" s="457"/>
      <c r="CM491" s="457"/>
      <c r="CN491" s="457"/>
      <c r="CO491" s="457"/>
      <c r="CP491" s="457"/>
      <c r="CQ491" s="457"/>
      <c r="CR491" s="457"/>
      <c r="CS491" s="457"/>
      <c r="CT491" s="457"/>
      <c r="CU491" s="457"/>
      <c r="CV491" s="457"/>
      <c r="CW491" s="457"/>
      <c r="CX491" s="457"/>
      <c r="CY491" s="457"/>
      <c r="CZ491" s="457"/>
      <c r="DA491" s="457"/>
      <c r="DB491" s="457"/>
      <c r="DC491" s="457"/>
      <c r="DD491" s="457"/>
      <c r="DE491" s="457"/>
      <c r="DF491" s="457"/>
      <c r="DG491" s="457"/>
      <c r="DH491" s="457"/>
      <c r="DI491" s="457"/>
      <c r="DJ491" s="457"/>
      <c r="DK491" s="457"/>
      <c r="DL491" s="457"/>
      <c r="DM491" s="457"/>
      <c r="DN491" s="457"/>
      <c r="DO491" s="457"/>
      <c r="DP491" s="457"/>
      <c r="DQ491" s="457"/>
      <c r="DR491" s="457"/>
      <c r="DS491" s="457"/>
      <c r="DT491" s="457"/>
      <c r="DU491" s="457"/>
      <c r="DV491" s="457"/>
      <c r="DW491" s="457"/>
      <c r="DX491" s="457"/>
      <c r="DY491" s="457"/>
      <c r="DZ491" s="457"/>
      <c r="EA491" s="457"/>
      <c r="EB491" s="457"/>
      <c r="EC491" s="457"/>
      <c r="ED491" s="457"/>
      <c r="EE491" s="457"/>
      <c r="EF491" s="457"/>
      <c r="EG491" s="457"/>
      <c r="EH491" s="457"/>
      <c r="EI491" s="457"/>
      <c r="EJ491" s="457"/>
      <c r="EK491" s="457"/>
      <c r="EL491" s="457"/>
      <c r="EM491" s="457"/>
      <c r="EN491" s="457"/>
      <c r="EO491" s="457"/>
      <c r="EP491" s="457"/>
      <c r="EQ491" s="457"/>
      <c r="ER491" s="457"/>
      <c r="ES491" s="457"/>
      <c r="ET491" s="457"/>
      <c r="EU491" s="457"/>
      <c r="EV491" s="457"/>
      <c r="EW491" s="457"/>
      <c r="EX491" s="457"/>
      <c r="EY491" s="457"/>
      <c r="EZ491" s="457"/>
      <c r="FA491" s="457"/>
      <c r="FB491" s="457"/>
      <c r="FC491" s="457"/>
      <c r="FD491" s="457"/>
      <c r="FE491" s="457"/>
      <c r="FF491" s="457"/>
      <c r="FG491" s="457"/>
      <c r="FH491" s="457"/>
      <c r="FI491" s="457"/>
      <c r="FJ491" s="457"/>
      <c r="FK491" s="457"/>
      <c r="FL491" s="457"/>
      <c r="FM491" s="457"/>
      <c r="FN491" s="457"/>
      <c r="FO491" s="457"/>
      <c r="FP491" s="457"/>
      <c r="FQ491" s="457"/>
      <c r="FR491" s="457"/>
      <c r="FS491" s="457"/>
      <c r="FT491" s="457"/>
      <c r="FU491" s="457"/>
      <c r="FV491" s="457"/>
      <c r="FW491" s="457"/>
      <c r="FX491" s="457"/>
      <c r="FY491" s="457"/>
      <c r="FZ491" s="457"/>
      <c r="GA491" s="457"/>
      <c r="GB491" s="457"/>
      <c r="GC491" s="457"/>
      <c r="GD491" s="457"/>
      <c r="GE491" s="457"/>
      <c r="GF491" s="457"/>
      <c r="GG491" s="457"/>
      <c r="GH491" s="457"/>
      <c r="GI491" s="457"/>
      <c r="GJ491" s="457"/>
      <c r="GK491" s="457"/>
      <c r="GL491" s="457"/>
      <c r="GM491" s="457"/>
      <c r="GN491" s="457"/>
      <c r="GO491" s="457"/>
      <c r="GP491" s="457"/>
      <c r="GQ491" s="457"/>
      <c r="GR491" s="457"/>
      <c r="GS491" s="457"/>
      <c r="GT491" s="457"/>
      <c r="GU491" s="457"/>
      <c r="GV491" s="457"/>
      <c r="GW491" s="457"/>
      <c r="GX491" s="457"/>
      <c r="GY491" s="457"/>
      <c r="GZ491" s="457"/>
      <c r="HA491" s="457"/>
      <c r="HB491" s="457"/>
      <c r="HC491" s="457"/>
      <c r="HD491" s="457"/>
      <c r="HE491" s="457"/>
      <c r="HF491" s="457"/>
      <c r="HG491" s="457"/>
      <c r="HH491" s="457"/>
      <c r="HI491" s="457"/>
      <c r="HJ491" s="457"/>
      <c r="HK491" s="457"/>
      <c r="HL491" s="457"/>
      <c r="HM491" s="457"/>
      <c r="HN491" s="457"/>
      <c r="HO491" s="457"/>
      <c r="HP491" s="457"/>
      <c r="HQ491" s="457"/>
      <c r="HR491" s="457"/>
      <c r="HS491" s="457"/>
      <c r="HT491" s="457"/>
      <c r="HU491" s="457"/>
      <c r="HV491" s="457"/>
      <c r="HW491" s="457"/>
      <c r="HX491" s="457"/>
      <c r="HY491" s="457"/>
      <c r="HZ491" s="457"/>
      <c r="IA491" s="457"/>
      <c r="IB491" s="457"/>
      <c r="IC491" s="457"/>
      <c r="ID491" s="457"/>
      <c r="IE491" s="457"/>
      <c r="IF491" s="457"/>
      <c r="IG491" s="457"/>
      <c r="IH491" s="457"/>
      <c r="II491" s="457"/>
      <c r="IJ491" s="457"/>
      <c r="IK491" s="457"/>
      <c r="IL491" s="457"/>
      <c r="IM491" s="457"/>
      <c r="IN491" s="457"/>
      <c r="IO491" s="457"/>
      <c r="IP491" s="457"/>
      <c r="IQ491" s="457"/>
      <c r="IR491" s="457"/>
      <c r="IS491" s="457"/>
      <c r="IT491" s="457"/>
      <c r="IU491" s="457"/>
      <c r="IV491" s="457"/>
      <c r="IW491" s="457"/>
      <c r="IX491" s="457"/>
      <c r="IY491" s="457"/>
      <c r="IZ491" s="457"/>
      <c r="JA491" s="457"/>
      <c r="JB491" s="457"/>
      <c r="JC491" s="457"/>
      <c r="JD491" s="457"/>
      <c r="JE491" s="457"/>
      <c r="JF491" s="457"/>
      <c r="JG491" s="457"/>
      <c r="JH491" s="457"/>
      <c r="JI491" s="457"/>
      <c r="JJ491" s="457"/>
      <c r="JK491" s="457"/>
      <c r="JL491" s="457"/>
      <c r="JM491" s="457"/>
      <c r="JN491" s="457"/>
      <c r="JO491" s="457"/>
      <c r="JP491" s="457"/>
      <c r="JQ491" s="457"/>
      <c r="JR491" s="457"/>
      <c r="JS491" s="457"/>
      <c r="JT491" s="457"/>
      <c r="JU491" s="457"/>
      <c r="JV491" s="457"/>
      <c r="JW491" s="457"/>
      <c r="JX491" s="457"/>
      <c r="JY491" s="457"/>
      <c r="JZ491" s="457"/>
      <c r="KA491" s="457"/>
      <c r="KB491" s="457"/>
      <c r="KC491" s="457"/>
      <c r="KD491" s="457"/>
      <c r="KE491" s="457"/>
      <c r="KF491" s="457"/>
      <c r="KG491" s="457"/>
      <c r="KH491" s="457"/>
      <c r="KI491" s="457"/>
      <c r="KJ491" s="457"/>
      <c r="KK491" s="457"/>
      <c r="KL491" s="457"/>
      <c r="KM491" s="457"/>
      <c r="KN491" s="457"/>
      <c r="KO491" s="457"/>
      <c r="KP491" s="457"/>
      <c r="KQ491" s="457"/>
      <c r="KR491" s="457"/>
      <c r="KS491" s="457"/>
      <c r="KT491" s="457"/>
      <c r="KU491" s="457"/>
      <c r="KV491" s="457"/>
      <c r="KW491" s="457"/>
      <c r="KX491" s="457"/>
      <c r="KY491" s="457"/>
      <c r="KZ491" s="457"/>
      <c r="LA491" s="457"/>
      <c r="LB491" s="457"/>
      <c r="LC491" s="457"/>
      <c r="LD491" s="457"/>
      <c r="LE491" s="457"/>
      <c r="LF491" s="457"/>
      <c r="LG491" s="457"/>
      <c r="LH491" s="457"/>
      <c r="LI491" s="457"/>
      <c r="LJ491" s="457"/>
      <c r="LK491" s="457"/>
      <c r="LL491" s="457"/>
      <c r="LM491" s="457"/>
      <c r="LN491" s="457"/>
      <c r="LO491" s="457"/>
      <c r="LP491" s="457"/>
      <c r="LQ491" s="457"/>
      <c r="LR491" s="457"/>
      <c r="LS491" s="457"/>
      <c r="LT491" s="457"/>
      <c r="LU491" s="457"/>
      <c r="LV491" s="457"/>
      <c r="LW491" s="457"/>
      <c r="LX491" s="457"/>
      <c r="LY491" s="457"/>
      <c r="LZ491" s="457"/>
      <c r="MA491" s="457"/>
      <c r="MB491" s="457"/>
      <c r="MC491" s="457"/>
      <c r="MD491" s="457"/>
      <c r="ME491" s="457"/>
      <c r="MF491" s="457"/>
      <c r="MG491" s="457"/>
      <c r="MH491" s="457"/>
      <c r="MI491" s="457"/>
      <c r="MJ491" s="457"/>
      <c r="MK491" s="457"/>
      <c r="ML491" s="457"/>
      <c r="MM491" s="457"/>
      <c r="MN491" s="457"/>
      <c r="MO491" s="457"/>
      <c r="MP491" s="457"/>
      <c r="MQ491" s="457"/>
      <c r="MR491" s="457"/>
      <c r="MS491" s="457"/>
      <c r="MT491" s="457"/>
      <c r="MU491" s="457"/>
      <c r="MV491" s="457"/>
      <c r="MW491" s="457"/>
      <c r="MX491" s="457"/>
      <c r="MY491" s="457"/>
      <c r="MZ491" s="457"/>
      <c r="NA491" s="457"/>
      <c r="NB491" s="457"/>
      <c r="NC491" s="457"/>
      <c r="ND491" s="457"/>
      <c r="NE491" s="457"/>
      <c r="NF491" s="457"/>
      <c r="NG491" s="457"/>
      <c r="NH491" s="457"/>
      <c r="NI491" s="457"/>
      <c r="NJ491" s="457"/>
      <c r="NK491" s="457"/>
      <c r="NL491" s="457"/>
      <c r="NM491" s="457"/>
      <c r="NN491" s="457"/>
      <c r="NO491" s="457"/>
      <c r="NP491" s="457"/>
      <c r="NQ491" s="457"/>
      <c r="NR491" s="457"/>
      <c r="NS491" s="457"/>
      <c r="NT491" s="457"/>
      <c r="NU491" s="457"/>
      <c r="NV491" s="457"/>
      <c r="NW491" s="457"/>
      <c r="NX491" s="457"/>
      <c r="NY491" s="457"/>
      <c r="NZ491" s="457"/>
      <c r="OA491" s="457"/>
      <c r="OB491" s="457"/>
      <c r="OC491" s="457"/>
      <c r="OD491" s="457"/>
      <c r="OE491" s="457"/>
      <c r="OF491" s="457"/>
      <c r="OG491" s="457"/>
      <c r="OH491" s="457"/>
      <c r="OI491" s="457"/>
      <c r="OJ491" s="457"/>
      <c r="OK491" s="457"/>
      <c r="OL491" s="457"/>
      <c r="OM491" s="457"/>
      <c r="ON491" s="457"/>
      <c r="OO491" s="457"/>
      <c r="OP491" s="457"/>
      <c r="OQ491" s="457"/>
      <c r="OR491" s="457"/>
      <c r="OS491" s="457"/>
      <c r="OT491" s="457"/>
      <c r="OU491" s="457"/>
      <c r="OV491" s="457"/>
      <c r="OW491" s="457"/>
      <c r="OX491" s="457"/>
      <c r="OY491" s="457"/>
      <c r="OZ491" s="457"/>
      <c r="PA491" s="457"/>
      <c r="PB491" s="457"/>
      <c r="PC491" s="457"/>
      <c r="PD491" s="457"/>
      <c r="PE491" s="457"/>
      <c r="PF491" s="457"/>
      <c r="PG491" s="457"/>
      <c r="PH491" s="457"/>
      <c r="PI491" s="457"/>
      <c r="PJ491" s="457"/>
      <c r="PK491" s="457"/>
      <c r="PL491" s="457"/>
      <c r="PM491" s="457"/>
      <c r="PN491" s="457"/>
      <c r="PO491" s="457"/>
      <c r="PP491" s="457"/>
      <c r="PQ491" s="457"/>
      <c r="PR491" s="457"/>
      <c r="PS491" s="457"/>
      <c r="PT491" s="457"/>
      <c r="PU491" s="457"/>
      <c r="PV491" s="457"/>
      <c r="PW491" s="457"/>
      <c r="PX491" s="457"/>
      <c r="PY491" s="457"/>
      <c r="PZ491" s="457"/>
      <c r="QA491" s="457"/>
      <c r="QB491" s="457"/>
      <c r="QC491" s="457"/>
      <c r="QD491" s="457"/>
      <c r="QE491" s="457"/>
      <c r="QF491" s="457"/>
      <c r="QG491" s="457"/>
      <c r="QH491" s="457"/>
      <c r="QI491" s="457"/>
      <c r="QJ491" s="457"/>
      <c r="QK491" s="457"/>
      <c r="QL491" s="457"/>
      <c r="QM491" s="457"/>
      <c r="QN491" s="457"/>
      <c r="QO491" s="457"/>
      <c r="QP491" s="457"/>
      <c r="QQ491" s="457"/>
      <c r="QR491" s="457"/>
      <c r="QS491" s="457"/>
      <c r="QT491" s="457"/>
      <c r="QU491" s="457"/>
      <c r="QV491" s="457"/>
      <c r="QW491" s="457"/>
      <c r="QX491" s="457"/>
      <c r="QY491" s="457"/>
      <c r="QZ491" s="457"/>
      <c r="RA491" s="457"/>
      <c r="RB491" s="457"/>
      <c r="RC491" s="457"/>
      <c r="RD491" s="457"/>
      <c r="RE491" s="457"/>
      <c r="RF491" s="457"/>
      <c r="RG491" s="457"/>
      <c r="RH491" s="457"/>
      <c r="RI491" s="457"/>
      <c r="RJ491" s="457"/>
      <c r="RK491" s="457"/>
      <c r="RL491" s="457"/>
      <c r="RM491" s="457"/>
      <c r="RN491" s="457"/>
      <c r="RO491" s="457"/>
      <c r="RP491" s="457"/>
      <c r="RQ491" s="457"/>
      <c r="RR491" s="457"/>
      <c r="RS491" s="457"/>
      <c r="RT491" s="457"/>
      <c r="RU491" s="457"/>
      <c r="RV491" s="457"/>
      <c r="RW491" s="457"/>
      <c r="RX491" s="457"/>
      <c r="RY491" s="457"/>
      <c r="RZ491" s="457"/>
      <c r="SA491" s="457"/>
      <c r="SB491" s="457"/>
      <c r="SC491" s="457"/>
      <c r="SD491" s="457"/>
      <c r="SE491" s="457"/>
      <c r="SF491" s="457"/>
      <c r="SG491" s="457"/>
      <c r="SH491" s="457"/>
      <c r="SI491" s="457"/>
      <c r="SJ491" s="457"/>
      <c r="SK491" s="457"/>
      <c r="SL491" s="457"/>
      <c r="SM491" s="457"/>
      <c r="SN491" s="457"/>
      <c r="SO491" s="457"/>
      <c r="SP491" s="457"/>
      <c r="SQ491" s="457"/>
      <c r="SR491" s="457"/>
      <c r="SS491" s="457"/>
      <c r="ST491" s="457"/>
      <c r="SU491" s="457"/>
      <c r="SV491" s="457"/>
      <c r="SW491" s="457"/>
      <c r="SX491" s="457"/>
      <c r="SY491" s="457"/>
      <c r="SZ491" s="457"/>
      <c r="TA491" s="457"/>
      <c r="TB491" s="457"/>
      <c r="TC491" s="457"/>
      <c r="TD491" s="457"/>
      <c r="TE491" s="457"/>
      <c r="TF491" s="457"/>
      <c r="TG491" s="457"/>
      <c r="TH491" s="457"/>
      <c r="TI491" s="457"/>
      <c r="TJ491" s="457"/>
      <c r="TK491" s="457"/>
      <c r="TL491" s="457"/>
      <c r="TM491" s="457"/>
      <c r="TN491" s="457"/>
      <c r="TO491" s="457"/>
      <c r="TP491" s="457"/>
      <c r="TQ491" s="457"/>
      <c r="TR491" s="457"/>
      <c r="TS491" s="457"/>
      <c r="TT491" s="457"/>
      <c r="TU491" s="457"/>
      <c r="TV491" s="457"/>
      <c r="TW491" s="457"/>
      <c r="TX491" s="457"/>
      <c r="TY491" s="457"/>
      <c r="TZ491" s="457"/>
      <c r="UA491" s="457"/>
      <c r="UB491" s="457"/>
      <c r="UC491" s="457"/>
      <c r="UD491" s="457"/>
      <c r="UE491" s="457"/>
      <c r="UF491" s="457"/>
      <c r="UG491" s="457"/>
      <c r="UH491" s="457"/>
      <c r="UI491" s="457"/>
      <c r="UJ491" s="457"/>
      <c r="UK491" s="457"/>
      <c r="UL491" s="457"/>
      <c r="UM491" s="457"/>
      <c r="UN491" s="457"/>
      <c r="UO491" s="457"/>
      <c r="UP491" s="457"/>
      <c r="UQ491" s="457"/>
      <c r="UR491" s="457"/>
      <c r="US491" s="457"/>
      <c r="UT491" s="457"/>
      <c r="UU491" s="457"/>
      <c r="UV491" s="457"/>
      <c r="UW491" s="457"/>
      <c r="UX491" s="457"/>
      <c r="UY491" s="457"/>
      <c r="UZ491" s="457"/>
      <c r="VA491" s="457"/>
      <c r="VB491" s="457"/>
      <c r="VC491" s="457"/>
      <c r="VD491" s="457"/>
      <c r="VE491" s="457"/>
      <c r="VF491" s="457"/>
      <c r="VG491" s="457"/>
      <c r="VH491" s="457"/>
      <c r="VI491" s="457"/>
      <c r="VJ491" s="457"/>
      <c r="VK491" s="457"/>
      <c r="VL491" s="457"/>
      <c r="VM491" s="457"/>
      <c r="VN491" s="457"/>
      <c r="VO491" s="457"/>
      <c r="VP491" s="457"/>
      <c r="VQ491" s="457"/>
      <c r="VR491" s="457"/>
      <c r="VS491" s="457"/>
      <c r="VT491" s="457"/>
      <c r="VU491" s="457"/>
      <c r="VV491" s="457"/>
      <c r="VW491" s="457"/>
      <c r="VX491" s="457"/>
      <c r="VY491" s="457"/>
      <c r="VZ491" s="457"/>
      <c r="WA491" s="457"/>
      <c r="WB491" s="457"/>
      <c r="WC491" s="457"/>
      <c r="WD491" s="457"/>
      <c r="WE491" s="457"/>
      <c r="WF491" s="457"/>
      <c r="WG491" s="457"/>
      <c r="WH491" s="457"/>
      <c r="WI491" s="457"/>
      <c r="WJ491" s="457"/>
      <c r="WK491" s="457"/>
      <c r="WL491" s="457"/>
      <c r="WM491" s="457"/>
      <c r="WN491" s="457"/>
      <c r="WO491" s="457"/>
      <c r="WP491" s="457"/>
      <c r="WQ491" s="457"/>
      <c r="WR491" s="457"/>
      <c r="WS491" s="457"/>
      <c r="WT491" s="457"/>
      <c r="WU491" s="457"/>
      <c r="WV491" s="457"/>
      <c r="WW491" s="457"/>
      <c r="WX491" s="457"/>
      <c r="WY491" s="457"/>
      <c r="WZ491" s="457"/>
      <c r="XA491" s="457"/>
      <c r="XB491" s="457"/>
      <c r="XC491" s="457"/>
      <c r="XD491" s="457"/>
      <c r="XE491" s="457"/>
      <c r="XF491" s="457"/>
      <c r="XG491" s="457"/>
      <c r="XH491" s="457"/>
      <c r="XI491" s="457"/>
      <c r="XJ491" s="457"/>
      <c r="XK491" s="457"/>
      <c r="XL491" s="457"/>
      <c r="XM491" s="457"/>
      <c r="XN491" s="457"/>
      <c r="XO491" s="457"/>
      <c r="XP491" s="457"/>
      <c r="XQ491" s="457"/>
      <c r="XR491" s="457"/>
      <c r="XS491" s="457"/>
      <c r="XT491" s="457"/>
      <c r="XU491" s="457"/>
      <c r="XV491" s="457"/>
      <c r="XW491" s="457"/>
      <c r="XX491" s="457"/>
      <c r="XY491" s="457"/>
      <c r="XZ491" s="457"/>
      <c r="YA491" s="457"/>
      <c r="YB491" s="457"/>
      <c r="YC491" s="457"/>
      <c r="YD491" s="457"/>
      <c r="YE491" s="457"/>
      <c r="YF491" s="457"/>
      <c r="YG491" s="457"/>
      <c r="YH491" s="457"/>
      <c r="YI491" s="457"/>
      <c r="YJ491" s="457"/>
      <c r="YK491" s="457"/>
      <c r="YL491" s="457"/>
      <c r="YM491" s="457"/>
      <c r="YN491" s="457"/>
      <c r="YO491" s="457"/>
      <c r="YP491" s="457"/>
      <c r="YQ491" s="457"/>
      <c r="YR491" s="457"/>
      <c r="YS491" s="457"/>
      <c r="YT491" s="457"/>
      <c r="YU491" s="457"/>
      <c r="YV491" s="457"/>
      <c r="YW491" s="457"/>
      <c r="YX491" s="457"/>
      <c r="YY491" s="457"/>
      <c r="YZ491" s="457"/>
      <c r="ZA491" s="457"/>
      <c r="ZB491" s="457"/>
      <c r="ZC491" s="457"/>
      <c r="ZD491" s="457"/>
      <c r="ZE491" s="457"/>
      <c r="ZF491" s="457"/>
      <c r="ZG491" s="457"/>
      <c r="ZH491" s="457"/>
      <c r="ZI491" s="457"/>
      <c r="ZJ491" s="457"/>
      <c r="ZK491" s="457"/>
      <c r="ZL491" s="457"/>
      <c r="ZM491" s="457"/>
      <c r="ZN491" s="457"/>
      <c r="ZO491" s="457"/>
      <c r="ZP491" s="457"/>
      <c r="ZQ491" s="457"/>
      <c r="ZR491" s="457"/>
      <c r="ZS491" s="457"/>
      <c r="ZT491" s="457"/>
      <c r="ZU491" s="457"/>
      <c r="ZV491" s="457"/>
      <c r="ZW491" s="457"/>
      <c r="ZX491" s="457"/>
      <c r="ZY491" s="457"/>
      <c r="ZZ491" s="457"/>
      <c r="AAA491" s="457"/>
      <c r="AAB491" s="457"/>
      <c r="AAC491" s="457"/>
      <c r="AAD491" s="457"/>
      <c r="AAE491" s="457"/>
      <c r="AAF491" s="457"/>
      <c r="AAG491" s="457"/>
      <c r="AAH491" s="457"/>
      <c r="AAI491" s="457"/>
      <c r="AAJ491" s="457"/>
      <c r="AAK491" s="457"/>
      <c r="AAL491" s="457"/>
      <c r="AAM491" s="457"/>
      <c r="AAN491" s="457"/>
      <c r="AAO491" s="457"/>
      <c r="AAP491" s="457"/>
      <c r="AAQ491" s="457"/>
      <c r="AAR491" s="457"/>
      <c r="AAS491" s="457"/>
      <c r="AAT491" s="457"/>
      <c r="AAU491" s="457"/>
      <c r="AAV491" s="457"/>
      <c r="AAW491" s="457"/>
      <c r="AAX491" s="457"/>
      <c r="AAY491" s="457"/>
      <c r="AAZ491" s="457"/>
      <c r="ABA491" s="457"/>
      <c r="ABB491" s="457"/>
      <c r="ABC491" s="457"/>
      <c r="ABD491" s="457"/>
      <c r="ABE491" s="457"/>
      <c r="ABF491" s="457"/>
      <c r="ABG491" s="457"/>
      <c r="ABH491" s="457"/>
      <c r="ABI491" s="457"/>
      <c r="ABJ491" s="457"/>
      <c r="ABK491" s="457"/>
      <c r="ABL491" s="457"/>
      <c r="ABM491" s="457"/>
      <c r="ABN491" s="457"/>
      <c r="ABO491" s="457"/>
      <c r="ABP491" s="457"/>
      <c r="ABQ491" s="457"/>
      <c r="ABR491" s="457"/>
      <c r="ABS491" s="457"/>
      <c r="ABT491" s="457"/>
      <c r="ABU491" s="457"/>
      <c r="ABV491" s="457"/>
      <c r="ABW491" s="457"/>
      <c r="ABX491" s="457"/>
      <c r="ABY491" s="457"/>
      <c r="ABZ491" s="457"/>
      <c r="ACA491" s="457"/>
      <c r="ACB491" s="457"/>
      <c r="ACC491" s="457"/>
      <c r="ACD491" s="457"/>
      <c r="ACE491" s="457"/>
      <c r="ACF491" s="457"/>
      <c r="ACG491" s="457"/>
      <c r="ACH491" s="457"/>
      <c r="ACI491" s="457"/>
      <c r="ACJ491" s="457"/>
      <c r="ACK491" s="457"/>
      <c r="ACL491" s="457"/>
      <c r="ACM491" s="457"/>
      <c r="ACN491" s="457"/>
      <c r="ACO491" s="457"/>
      <c r="ACP491" s="457"/>
      <c r="ACQ491" s="457"/>
      <c r="ACR491" s="457"/>
      <c r="ACS491" s="457"/>
      <c r="ACT491" s="457"/>
      <c r="ACU491" s="457"/>
      <c r="ACV491" s="457"/>
    </row>
    <row r="492" spans="1:776" s="400" customFormat="1" x14ac:dyDescent="0.25">
      <c r="A492" s="470">
        <v>900207</v>
      </c>
      <c r="B492" s="453" t="s">
        <v>411</v>
      </c>
      <c r="C492" s="455"/>
      <c r="D492" s="454" t="s">
        <v>412</v>
      </c>
      <c r="E492" s="454">
        <v>1.4</v>
      </c>
      <c r="F492" s="458">
        <v>0</v>
      </c>
      <c r="G492" s="454">
        <v>0</v>
      </c>
      <c r="H492" s="454">
        <v>0.08</v>
      </c>
      <c r="I492" s="456">
        <v>202.6</v>
      </c>
      <c r="J492" s="454">
        <v>54.59</v>
      </c>
      <c r="K492" s="454">
        <v>0</v>
      </c>
      <c r="L492" s="454">
        <v>535.20000000000005</v>
      </c>
      <c r="M492" s="454">
        <v>0</v>
      </c>
      <c r="N492" s="454">
        <v>8.0500000000000007</v>
      </c>
      <c r="O492" s="454">
        <v>136.97</v>
      </c>
      <c r="P492" s="454">
        <v>86.38</v>
      </c>
      <c r="Q492" s="454">
        <v>57.2</v>
      </c>
      <c r="R492" s="397">
        <v>1.0000000000000001E-5</v>
      </c>
      <c r="S492" s="397">
        <v>1.0000000000000001E-5</v>
      </c>
      <c r="T492" s="454">
        <v>0.22</v>
      </c>
      <c r="U492" s="454">
        <v>0.04</v>
      </c>
      <c r="V492" s="454"/>
      <c r="W492" s="457"/>
      <c r="X492" s="457"/>
      <c r="Y492" s="457"/>
      <c r="Z492" s="457"/>
      <c r="AA492" s="457"/>
      <c r="AB492" s="457"/>
      <c r="AC492" s="457"/>
      <c r="AD492" s="457"/>
      <c r="AE492" s="457"/>
      <c r="AF492" s="457"/>
      <c r="AG492" s="457"/>
      <c r="AH492" s="457"/>
      <c r="AI492" s="457"/>
      <c r="AJ492" s="457"/>
      <c r="AK492" s="457"/>
      <c r="AL492" s="457"/>
      <c r="AM492" s="457"/>
      <c r="AN492" s="457"/>
      <c r="AO492" s="457"/>
      <c r="AP492" s="457"/>
      <c r="AQ492" s="457"/>
      <c r="AR492" s="457"/>
      <c r="AS492" s="457"/>
      <c r="AT492" s="457"/>
      <c r="AU492" s="457"/>
      <c r="AV492" s="457"/>
      <c r="AW492" s="457"/>
      <c r="AX492" s="457"/>
      <c r="AY492" s="457"/>
      <c r="AZ492" s="457"/>
      <c r="BA492" s="457"/>
      <c r="BB492" s="457"/>
      <c r="BC492" s="457"/>
      <c r="BD492" s="457"/>
      <c r="BE492" s="457"/>
      <c r="BF492" s="457"/>
      <c r="BG492" s="457"/>
      <c r="BH492" s="457"/>
      <c r="BI492" s="457"/>
      <c r="BJ492" s="457"/>
      <c r="BK492" s="457"/>
      <c r="BL492" s="457"/>
      <c r="BM492" s="457"/>
      <c r="BN492" s="457"/>
      <c r="BO492" s="457"/>
      <c r="BP492" s="457"/>
      <c r="BQ492" s="457"/>
      <c r="BR492" s="457"/>
      <c r="BS492" s="457"/>
      <c r="BT492" s="457"/>
      <c r="BU492" s="457"/>
      <c r="BV492" s="457"/>
      <c r="BW492" s="457"/>
      <c r="BX492" s="457"/>
      <c r="BY492" s="457"/>
      <c r="BZ492" s="457"/>
      <c r="CA492" s="457"/>
      <c r="CB492" s="457"/>
      <c r="CC492" s="457"/>
      <c r="CD492" s="457"/>
      <c r="CE492" s="457"/>
      <c r="CF492" s="457"/>
      <c r="CG492" s="457"/>
      <c r="CH492" s="457"/>
      <c r="CI492" s="457"/>
      <c r="CJ492" s="457"/>
      <c r="CK492" s="457"/>
      <c r="CL492" s="457"/>
      <c r="CM492" s="457"/>
      <c r="CN492" s="457"/>
      <c r="CO492" s="457"/>
      <c r="CP492" s="457"/>
      <c r="CQ492" s="457"/>
      <c r="CR492" s="457"/>
      <c r="CS492" s="457"/>
      <c r="CT492" s="457"/>
      <c r="CU492" s="457"/>
      <c r="CV492" s="457"/>
      <c r="CW492" s="457"/>
      <c r="CX492" s="457"/>
      <c r="CY492" s="457"/>
      <c r="CZ492" s="457"/>
      <c r="DA492" s="457"/>
      <c r="DB492" s="457"/>
      <c r="DC492" s="457"/>
      <c r="DD492" s="457"/>
      <c r="DE492" s="457"/>
      <c r="DF492" s="457"/>
      <c r="DG492" s="457"/>
      <c r="DH492" s="457"/>
      <c r="DI492" s="457"/>
      <c r="DJ492" s="457"/>
      <c r="DK492" s="457"/>
      <c r="DL492" s="457"/>
      <c r="DM492" s="457"/>
      <c r="DN492" s="457"/>
      <c r="DO492" s="457"/>
      <c r="DP492" s="457"/>
      <c r="DQ492" s="457"/>
      <c r="DR492" s="457"/>
      <c r="DS492" s="457"/>
      <c r="DT492" s="457"/>
      <c r="DU492" s="457"/>
      <c r="DV492" s="457"/>
      <c r="DW492" s="457"/>
      <c r="DX492" s="457"/>
      <c r="DY492" s="457"/>
      <c r="DZ492" s="457"/>
      <c r="EA492" s="457"/>
      <c r="EB492" s="457"/>
      <c r="EC492" s="457"/>
      <c r="ED492" s="457"/>
      <c r="EE492" s="457"/>
      <c r="EF492" s="457"/>
      <c r="EG492" s="457"/>
      <c r="EH492" s="457"/>
      <c r="EI492" s="457"/>
      <c r="EJ492" s="457"/>
      <c r="EK492" s="457"/>
      <c r="EL492" s="457"/>
      <c r="EM492" s="457"/>
      <c r="EN492" s="457"/>
      <c r="EO492" s="457"/>
      <c r="EP492" s="457"/>
      <c r="EQ492" s="457"/>
      <c r="ER492" s="457"/>
      <c r="ES492" s="457"/>
      <c r="ET492" s="457"/>
      <c r="EU492" s="457"/>
      <c r="EV492" s="457"/>
      <c r="EW492" s="457"/>
      <c r="EX492" s="457"/>
      <c r="EY492" s="457"/>
      <c r="EZ492" s="457"/>
      <c r="FA492" s="457"/>
      <c r="FB492" s="457"/>
      <c r="FC492" s="457"/>
      <c r="FD492" s="457"/>
      <c r="FE492" s="457"/>
      <c r="FF492" s="457"/>
      <c r="FG492" s="457"/>
      <c r="FH492" s="457"/>
      <c r="FI492" s="457"/>
      <c r="FJ492" s="457"/>
      <c r="FK492" s="457"/>
      <c r="FL492" s="457"/>
      <c r="FM492" s="457"/>
      <c r="FN492" s="457"/>
      <c r="FO492" s="457"/>
      <c r="FP492" s="457"/>
      <c r="FQ492" s="457"/>
      <c r="FR492" s="457"/>
      <c r="FS492" s="457"/>
      <c r="FT492" s="457"/>
      <c r="FU492" s="457"/>
      <c r="FV492" s="457"/>
      <c r="FW492" s="457"/>
      <c r="FX492" s="457"/>
      <c r="FY492" s="457"/>
      <c r="FZ492" s="457"/>
      <c r="GA492" s="457"/>
      <c r="GB492" s="457"/>
      <c r="GC492" s="457"/>
      <c r="GD492" s="457"/>
      <c r="GE492" s="457"/>
      <c r="GF492" s="457"/>
      <c r="GG492" s="457"/>
      <c r="GH492" s="457"/>
      <c r="GI492" s="457"/>
      <c r="GJ492" s="457"/>
      <c r="GK492" s="457"/>
      <c r="GL492" s="457"/>
      <c r="GM492" s="457"/>
      <c r="GN492" s="457"/>
      <c r="GO492" s="457"/>
      <c r="GP492" s="457"/>
      <c r="GQ492" s="457"/>
      <c r="GR492" s="457"/>
      <c r="GS492" s="457"/>
      <c r="GT492" s="457"/>
      <c r="GU492" s="457"/>
      <c r="GV492" s="457"/>
      <c r="GW492" s="457"/>
      <c r="GX492" s="457"/>
      <c r="GY492" s="457"/>
      <c r="GZ492" s="457"/>
      <c r="HA492" s="457"/>
      <c r="HB492" s="457"/>
      <c r="HC492" s="457"/>
      <c r="HD492" s="457"/>
      <c r="HE492" s="457"/>
      <c r="HF492" s="457"/>
      <c r="HG492" s="457"/>
      <c r="HH492" s="457"/>
      <c r="HI492" s="457"/>
      <c r="HJ492" s="457"/>
      <c r="HK492" s="457"/>
      <c r="HL492" s="457"/>
      <c r="HM492" s="457"/>
      <c r="HN492" s="457"/>
      <c r="HO492" s="457"/>
      <c r="HP492" s="457"/>
      <c r="HQ492" s="457"/>
      <c r="HR492" s="457"/>
      <c r="HS492" s="457"/>
      <c r="HT492" s="457"/>
      <c r="HU492" s="457"/>
      <c r="HV492" s="457"/>
      <c r="HW492" s="457"/>
      <c r="HX492" s="457"/>
      <c r="HY492" s="457"/>
      <c r="HZ492" s="457"/>
      <c r="IA492" s="457"/>
      <c r="IB492" s="457"/>
      <c r="IC492" s="457"/>
      <c r="ID492" s="457"/>
      <c r="IE492" s="457"/>
      <c r="IF492" s="457"/>
      <c r="IG492" s="457"/>
      <c r="IH492" s="457"/>
      <c r="II492" s="457"/>
      <c r="IJ492" s="457"/>
      <c r="IK492" s="457"/>
      <c r="IL492" s="457"/>
      <c r="IM492" s="457"/>
      <c r="IN492" s="457"/>
      <c r="IO492" s="457"/>
      <c r="IP492" s="457"/>
      <c r="IQ492" s="457"/>
      <c r="IR492" s="457"/>
      <c r="IS492" s="457"/>
      <c r="IT492" s="457"/>
      <c r="IU492" s="457"/>
      <c r="IV492" s="457"/>
      <c r="IW492" s="457"/>
      <c r="IX492" s="457"/>
      <c r="IY492" s="457"/>
      <c r="IZ492" s="457"/>
      <c r="JA492" s="457"/>
      <c r="JB492" s="457"/>
      <c r="JC492" s="457"/>
      <c r="JD492" s="457"/>
      <c r="JE492" s="457"/>
      <c r="JF492" s="457"/>
      <c r="JG492" s="457"/>
      <c r="JH492" s="457"/>
      <c r="JI492" s="457"/>
      <c r="JJ492" s="457"/>
      <c r="JK492" s="457"/>
      <c r="JL492" s="457"/>
      <c r="JM492" s="457"/>
      <c r="JN492" s="457"/>
      <c r="JO492" s="457"/>
      <c r="JP492" s="457"/>
      <c r="JQ492" s="457"/>
      <c r="JR492" s="457"/>
      <c r="JS492" s="457"/>
      <c r="JT492" s="457"/>
      <c r="JU492" s="457"/>
      <c r="JV492" s="457"/>
      <c r="JW492" s="457"/>
      <c r="JX492" s="457"/>
      <c r="JY492" s="457"/>
      <c r="JZ492" s="457"/>
      <c r="KA492" s="457"/>
      <c r="KB492" s="457"/>
      <c r="KC492" s="457"/>
      <c r="KD492" s="457"/>
      <c r="KE492" s="457"/>
      <c r="KF492" s="457"/>
      <c r="KG492" s="457"/>
      <c r="KH492" s="457"/>
      <c r="KI492" s="457"/>
      <c r="KJ492" s="457"/>
      <c r="KK492" s="457"/>
      <c r="KL492" s="457"/>
      <c r="KM492" s="457"/>
      <c r="KN492" s="457"/>
      <c r="KO492" s="457"/>
      <c r="KP492" s="457"/>
      <c r="KQ492" s="457"/>
      <c r="KR492" s="457"/>
      <c r="KS492" s="457"/>
      <c r="KT492" s="457"/>
      <c r="KU492" s="457"/>
      <c r="KV492" s="457"/>
      <c r="KW492" s="457"/>
      <c r="KX492" s="457"/>
      <c r="KY492" s="457"/>
      <c r="KZ492" s="457"/>
      <c r="LA492" s="457"/>
      <c r="LB492" s="457"/>
      <c r="LC492" s="457"/>
      <c r="LD492" s="457"/>
      <c r="LE492" s="457"/>
      <c r="LF492" s="457"/>
      <c r="LG492" s="457"/>
      <c r="LH492" s="457"/>
      <c r="LI492" s="457"/>
      <c r="LJ492" s="457"/>
      <c r="LK492" s="457"/>
      <c r="LL492" s="457"/>
      <c r="LM492" s="457"/>
      <c r="LN492" s="457"/>
      <c r="LO492" s="457"/>
      <c r="LP492" s="457"/>
      <c r="LQ492" s="457"/>
      <c r="LR492" s="457"/>
      <c r="LS492" s="457"/>
      <c r="LT492" s="457"/>
      <c r="LU492" s="457"/>
      <c r="LV492" s="457"/>
      <c r="LW492" s="457"/>
      <c r="LX492" s="457"/>
      <c r="LY492" s="457"/>
      <c r="LZ492" s="457"/>
      <c r="MA492" s="457"/>
      <c r="MB492" s="457"/>
      <c r="MC492" s="457"/>
      <c r="MD492" s="457"/>
      <c r="ME492" s="457"/>
      <c r="MF492" s="457"/>
      <c r="MG492" s="457"/>
      <c r="MH492" s="457"/>
      <c r="MI492" s="457"/>
      <c r="MJ492" s="457"/>
      <c r="MK492" s="457"/>
      <c r="ML492" s="457"/>
      <c r="MM492" s="457"/>
      <c r="MN492" s="457"/>
      <c r="MO492" s="457"/>
      <c r="MP492" s="457"/>
      <c r="MQ492" s="457"/>
      <c r="MR492" s="457"/>
      <c r="MS492" s="457"/>
      <c r="MT492" s="457"/>
      <c r="MU492" s="457"/>
      <c r="MV492" s="457"/>
      <c r="MW492" s="457"/>
      <c r="MX492" s="457"/>
      <c r="MY492" s="457"/>
      <c r="MZ492" s="457"/>
      <c r="NA492" s="457"/>
      <c r="NB492" s="457"/>
      <c r="NC492" s="457"/>
      <c r="ND492" s="457"/>
      <c r="NE492" s="457"/>
      <c r="NF492" s="457"/>
      <c r="NG492" s="457"/>
      <c r="NH492" s="457"/>
      <c r="NI492" s="457"/>
      <c r="NJ492" s="457"/>
      <c r="NK492" s="457"/>
      <c r="NL492" s="457"/>
      <c r="NM492" s="457"/>
      <c r="NN492" s="457"/>
      <c r="NO492" s="457"/>
      <c r="NP492" s="457"/>
      <c r="NQ492" s="457"/>
      <c r="NR492" s="457"/>
      <c r="NS492" s="457"/>
      <c r="NT492" s="457"/>
      <c r="NU492" s="457"/>
      <c r="NV492" s="457"/>
      <c r="NW492" s="457"/>
      <c r="NX492" s="457"/>
      <c r="NY492" s="457"/>
      <c r="NZ492" s="457"/>
      <c r="OA492" s="457"/>
      <c r="OB492" s="457"/>
      <c r="OC492" s="457"/>
      <c r="OD492" s="457"/>
      <c r="OE492" s="457"/>
      <c r="OF492" s="457"/>
      <c r="OG492" s="457"/>
      <c r="OH492" s="457"/>
      <c r="OI492" s="457"/>
      <c r="OJ492" s="457"/>
      <c r="OK492" s="457"/>
      <c r="OL492" s="457"/>
      <c r="OM492" s="457"/>
      <c r="ON492" s="457"/>
      <c r="OO492" s="457"/>
      <c r="OP492" s="457"/>
      <c r="OQ492" s="457"/>
      <c r="OR492" s="457"/>
      <c r="OS492" s="457"/>
      <c r="OT492" s="457"/>
      <c r="OU492" s="457"/>
      <c r="OV492" s="457"/>
      <c r="OW492" s="457"/>
      <c r="OX492" s="457"/>
      <c r="OY492" s="457"/>
      <c r="OZ492" s="457"/>
      <c r="PA492" s="457"/>
      <c r="PB492" s="457"/>
      <c r="PC492" s="457"/>
      <c r="PD492" s="457"/>
      <c r="PE492" s="457"/>
      <c r="PF492" s="457"/>
      <c r="PG492" s="457"/>
      <c r="PH492" s="457"/>
      <c r="PI492" s="457"/>
      <c r="PJ492" s="457"/>
      <c r="PK492" s="457"/>
      <c r="PL492" s="457"/>
      <c r="PM492" s="457"/>
      <c r="PN492" s="457"/>
      <c r="PO492" s="457"/>
      <c r="PP492" s="457"/>
      <c r="PQ492" s="457"/>
      <c r="PR492" s="457"/>
      <c r="PS492" s="457"/>
      <c r="PT492" s="457"/>
      <c r="PU492" s="457"/>
      <c r="PV492" s="457"/>
      <c r="PW492" s="457"/>
      <c r="PX492" s="457"/>
      <c r="PY492" s="457"/>
      <c r="PZ492" s="457"/>
      <c r="QA492" s="457"/>
      <c r="QB492" s="457"/>
      <c r="QC492" s="457"/>
      <c r="QD492" s="457"/>
      <c r="QE492" s="457"/>
      <c r="QF492" s="457"/>
      <c r="QG492" s="457"/>
      <c r="QH492" s="457"/>
      <c r="QI492" s="457"/>
      <c r="QJ492" s="457"/>
      <c r="QK492" s="457"/>
      <c r="QL492" s="457"/>
      <c r="QM492" s="457"/>
      <c r="QN492" s="457"/>
      <c r="QO492" s="457"/>
      <c r="QP492" s="457"/>
      <c r="QQ492" s="457"/>
      <c r="QR492" s="457"/>
      <c r="QS492" s="457"/>
      <c r="QT492" s="457"/>
      <c r="QU492" s="457"/>
      <c r="QV492" s="457"/>
      <c r="QW492" s="457"/>
      <c r="QX492" s="457"/>
      <c r="QY492" s="457"/>
      <c r="QZ492" s="457"/>
      <c r="RA492" s="457"/>
      <c r="RB492" s="457"/>
      <c r="RC492" s="457"/>
      <c r="RD492" s="457"/>
      <c r="RE492" s="457"/>
      <c r="RF492" s="457"/>
      <c r="RG492" s="457"/>
      <c r="RH492" s="457"/>
      <c r="RI492" s="457"/>
      <c r="RJ492" s="457"/>
      <c r="RK492" s="457"/>
      <c r="RL492" s="457"/>
      <c r="RM492" s="457"/>
      <c r="RN492" s="457"/>
      <c r="RO492" s="457"/>
      <c r="RP492" s="457"/>
      <c r="RQ492" s="457"/>
      <c r="RR492" s="457"/>
      <c r="RS492" s="457"/>
      <c r="RT492" s="457"/>
      <c r="RU492" s="457"/>
      <c r="RV492" s="457"/>
      <c r="RW492" s="457"/>
      <c r="RX492" s="457"/>
      <c r="RY492" s="457"/>
      <c r="RZ492" s="457"/>
      <c r="SA492" s="457"/>
      <c r="SB492" s="457"/>
      <c r="SC492" s="457"/>
      <c r="SD492" s="457"/>
      <c r="SE492" s="457"/>
      <c r="SF492" s="457"/>
      <c r="SG492" s="457"/>
      <c r="SH492" s="457"/>
      <c r="SI492" s="457"/>
      <c r="SJ492" s="457"/>
      <c r="SK492" s="457"/>
      <c r="SL492" s="457"/>
      <c r="SM492" s="457"/>
      <c r="SN492" s="457"/>
      <c r="SO492" s="457"/>
      <c r="SP492" s="457"/>
      <c r="SQ492" s="457"/>
      <c r="SR492" s="457"/>
      <c r="SS492" s="457"/>
      <c r="ST492" s="457"/>
      <c r="SU492" s="457"/>
      <c r="SV492" s="457"/>
      <c r="SW492" s="457"/>
      <c r="SX492" s="457"/>
      <c r="SY492" s="457"/>
      <c r="SZ492" s="457"/>
      <c r="TA492" s="457"/>
      <c r="TB492" s="457"/>
      <c r="TC492" s="457"/>
      <c r="TD492" s="457"/>
      <c r="TE492" s="457"/>
      <c r="TF492" s="457"/>
      <c r="TG492" s="457"/>
      <c r="TH492" s="457"/>
      <c r="TI492" s="457"/>
      <c r="TJ492" s="457"/>
      <c r="TK492" s="457"/>
      <c r="TL492" s="457"/>
      <c r="TM492" s="457"/>
      <c r="TN492" s="457"/>
      <c r="TO492" s="457"/>
      <c r="TP492" s="457"/>
      <c r="TQ492" s="457"/>
      <c r="TR492" s="457"/>
      <c r="TS492" s="457"/>
      <c r="TT492" s="457"/>
      <c r="TU492" s="457"/>
      <c r="TV492" s="457"/>
      <c r="TW492" s="457"/>
      <c r="TX492" s="457"/>
      <c r="TY492" s="457"/>
      <c r="TZ492" s="457"/>
      <c r="UA492" s="457"/>
      <c r="UB492" s="457"/>
      <c r="UC492" s="457"/>
      <c r="UD492" s="457"/>
      <c r="UE492" s="457"/>
      <c r="UF492" s="457"/>
      <c r="UG492" s="457"/>
      <c r="UH492" s="457"/>
      <c r="UI492" s="457"/>
      <c r="UJ492" s="457"/>
      <c r="UK492" s="457"/>
      <c r="UL492" s="457"/>
      <c r="UM492" s="457"/>
      <c r="UN492" s="457"/>
      <c r="UO492" s="457"/>
      <c r="UP492" s="457"/>
      <c r="UQ492" s="457"/>
      <c r="UR492" s="457"/>
      <c r="US492" s="457"/>
      <c r="UT492" s="457"/>
      <c r="UU492" s="457"/>
      <c r="UV492" s="457"/>
      <c r="UW492" s="457"/>
      <c r="UX492" s="457"/>
      <c r="UY492" s="457"/>
      <c r="UZ492" s="457"/>
      <c r="VA492" s="457"/>
      <c r="VB492" s="457"/>
      <c r="VC492" s="457"/>
      <c r="VD492" s="457"/>
      <c r="VE492" s="457"/>
      <c r="VF492" s="457"/>
      <c r="VG492" s="457"/>
      <c r="VH492" s="457"/>
      <c r="VI492" s="457"/>
      <c r="VJ492" s="457"/>
      <c r="VK492" s="457"/>
      <c r="VL492" s="457"/>
      <c r="VM492" s="457"/>
      <c r="VN492" s="457"/>
      <c r="VO492" s="457"/>
      <c r="VP492" s="457"/>
      <c r="VQ492" s="457"/>
      <c r="VR492" s="457"/>
      <c r="VS492" s="457"/>
      <c r="VT492" s="457"/>
      <c r="VU492" s="457"/>
      <c r="VV492" s="457"/>
      <c r="VW492" s="457"/>
      <c r="VX492" s="457"/>
      <c r="VY492" s="457"/>
      <c r="VZ492" s="457"/>
      <c r="WA492" s="457"/>
      <c r="WB492" s="457"/>
      <c r="WC492" s="457"/>
      <c r="WD492" s="457"/>
      <c r="WE492" s="457"/>
      <c r="WF492" s="457"/>
      <c r="WG492" s="457"/>
      <c r="WH492" s="457"/>
      <c r="WI492" s="457"/>
      <c r="WJ492" s="457"/>
      <c r="WK492" s="457"/>
      <c r="WL492" s="457"/>
      <c r="WM492" s="457"/>
      <c r="WN492" s="457"/>
      <c r="WO492" s="457"/>
      <c r="WP492" s="457"/>
      <c r="WQ492" s="457"/>
      <c r="WR492" s="457"/>
      <c r="WS492" s="457"/>
      <c r="WT492" s="457"/>
      <c r="WU492" s="457"/>
      <c r="WV492" s="457"/>
      <c r="WW492" s="457"/>
      <c r="WX492" s="457"/>
      <c r="WY492" s="457"/>
      <c r="WZ492" s="457"/>
      <c r="XA492" s="457"/>
      <c r="XB492" s="457"/>
      <c r="XC492" s="457"/>
      <c r="XD492" s="457"/>
      <c r="XE492" s="457"/>
      <c r="XF492" s="457"/>
      <c r="XG492" s="457"/>
      <c r="XH492" s="457"/>
      <c r="XI492" s="457"/>
      <c r="XJ492" s="457"/>
      <c r="XK492" s="457"/>
      <c r="XL492" s="457"/>
      <c r="XM492" s="457"/>
      <c r="XN492" s="457"/>
      <c r="XO492" s="457"/>
      <c r="XP492" s="457"/>
      <c r="XQ492" s="457"/>
      <c r="XR492" s="457"/>
      <c r="XS492" s="457"/>
      <c r="XT492" s="457"/>
      <c r="XU492" s="457"/>
      <c r="XV492" s="457"/>
      <c r="XW492" s="457"/>
      <c r="XX492" s="457"/>
      <c r="XY492" s="457"/>
      <c r="XZ492" s="457"/>
      <c r="YA492" s="457"/>
      <c r="YB492" s="457"/>
      <c r="YC492" s="457"/>
      <c r="YD492" s="457"/>
      <c r="YE492" s="457"/>
      <c r="YF492" s="457"/>
      <c r="YG492" s="457"/>
      <c r="YH492" s="457"/>
      <c r="YI492" s="457"/>
      <c r="YJ492" s="457"/>
      <c r="YK492" s="457"/>
      <c r="YL492" s="457"/>
      <c r="YM492" s="457"/>
      <c r="YN492" s="457"/>
      <c r="YO492" s="457"/>
      <c r="YP492" s="457"/>
      <c r="YQ492" s="457"/>
      <c r="YR492" s="457"/>
      <c r="YS492" s="457"/>
      <c r="YT492" s="457"/>
      <c r="YU492" s="457"/>
      <c r="YV492" s="457"/>
      <c r="YW492" s="457"/>
      <c r="YX492" s="457"/>
      <c r="YY492" s="457"/>
      <c r="YZ492" s="457"/>
      <c r="ZA492" s="457"/>
      <c r="ZB492" s="457"/>
      <c r="ZC492" s="457"/>
      <c r="ZD492" s="457"/>
      <c r="ZE492" s="457"/>
      <c r="ZF492" s="457"/>
      <c r="ZG492" s="457"/>
      <c r="ZH492" s="457"/>
      <c r="ZI492" s="457"/>
      <c r="ZJ492" s="457"/>
      <c r="ZK492" s="457"/>
      <c r="ZL492" s="457"/>
      <c r="ZM492" s="457"/>
      <c r="ZN492" s="457"/>
      <c r="ZO492" s="457"/>
      <c r="ZP492" s="457"/>
      <c r="ZQ492" s="457"/>
      <c r="ZR492" s="457"/>
      <c r="ZS492" s="457"/>
      <c r="ZT492" s="457"/>
      <c r="ZU492" s="457"/>
      <c r="ZV492" s="457"/>
      <c r="ZW492" s="457"/>
      <c r="ZX492" s="457"/>
      <c r="ZY492" s="457"/>
      <c r="ZZ492" s="457"/>
      <c r="AAA492" s="457"/>
      <c r="AAB492" s="457"/>
      <c r="AAC492" s="457"/>
      <c r="AAD492" s="457"/>
      <c r="AAE492" s="457"/>
      <c r="AAF492" s="457"/>
      <c r="AAG492" s="457"/>
      <c r="AAH492" s="457"/>
      <c r="AAI492" s="457"/>
      <c r="AAJ492" s="457"/>
      <c r="AAK492" s="457"/>
      <c r="AAL492" s="457"/>
      <c r="AAM492" s="457"/>
      <c r="AAN492" s="457"/>
      <c r="AAO492" s="457"/>
      <c r="AAP492" s="457"/>
      <c r="AAQ492" s="457"/>
      <c r="AAR492" s="457"/>
      <c r="AAS492" s="457"/>
      <c r="AAT492" s="457"/>
      <c r="AAU492" s="457"/>
      <c r="AAV492" s="457"/>
      <c r="AAW492" s="457"/>
      <c r="AAX492" s="457"/>
      <c r="AAY492" s="457"/>
      <c r="AAZ492" s="457"/>
      <c r="ABA492" s="457"/>
      <c r="ABB492" s="457"/>
      <c r="ABC492" s="457"/>
      <c r="ABD492" s="457"/>
      <c r="ABE492" s="457"/>
      <c r="ABF492" s="457"/>
      <c r="ABG492" s="457"/>
      <c r="ABH492" s="457"/>
      <c r="ABI492" s="457"/>
      <c r="ABJ492" s="457"/>
      <c r="ABK492" s="457"/>
      <c r="ABL492" s="457"/>
      <c r="ABM492" s="457"/>
      <c r="ABN492" s="457"/>
      <c r="ABO492" s="457"/>
      <c r="ABP492" s="457"/>
      <c r="ABQ492" s="457"/>
      <c r="ABR492" s="457"/>
      <c r="ABS492" s="457"/>
      <c r="ABT492" s="457"/>
      <c r="ABU492" s="457"/>
      <c r="ABV492" s="457"/>
      <c r="ABW492" s="457"/>
      <c r="ABX492" s="457"/>
      <c r="ABY492" s="457"/>
      <c r="ABZ492" s="457"/>
      <c r="ACA492" s="457"/>
      <c r="ACB492" s="457"/>
      <c r="ACC492" s="457"/>
      <c r="ACD492" s="457"/>
      <c r="ACE492" s="457"/>
      <c r="ACF492" s="457"/>
      <c r="ACG492" s="457"/>
      <c r="ACH492" s="457"/>
      <c r="ACI492" s="457"/>
      <c r="ACJ492" s="457"/>
      <c r="ACK492" s="457"/>
      <c r="ACL492" s="457"/>
      <c r="ACM492" s="457"/>
      <c r="ACN492" s="457"/>
      <c r="ACO492" s="457"/>
      <c r="ACP492" s="457"/>
      <c r="ACQ492" s="457"/>
      <c r="ACR492" s="457"/>
      <c r="ACS492" s="457"/>
      <c r="ACT492" s="457"/>
      <c r="ACU492" s="457"/>
      <c r="ACV492" s="457"/>
    </row>
    <row r="493" spans="1:776" s="400" customFormat="1" x14ac:dyDescent="0.25">
      <c r="A493" s="470">
        <v>900208</v>
      </c>
      <c r="B493" s="453" t="s">
        <v>413</v>
      </c>
      <c r="C493" s="455"/>
      <c r="D493" s="454" t="s">
        <v>391</v>
      </c>
      <c r="E493" s="454">
        <v>4.8600000000000003</v>
      </c>
      <c r="F493" s="458">
        <v>2.9</v>
      </c>
      <c r="G493" s="454">
        <v>0</v>
      </c>
      <c r="H493" s="454">
        <v>0.4</v>
      </c>
      <c r="I493" s="456">
        <v>1178.5</v>
      </c>
      <c r="J493" s="454">
        <v>381.2</v>
      </c>
      <c r="K493" s="454">
        <v>0.2142</v>
      </c>
      <c r="L493" s="454">
        <v>516</v>
      </c>
      <c r="M493" s="454">
        <v>0</v>
      </c>
      <c r="N493" s="454">
        <v>7.3</v>
      </c>
      <c r="O493" s="454">
        <v>606.59</v>
      </c>
      <c r="P493" s="454">
        <v>217</v>
      </c>
      <c r="Q493" s="454">
        <v>134.07</v>
      </c>
      <c r="R493" s="397">
        <v>1.0000000000000001E-5</v>
      </c>
      <c r="S493" s="397">
        <v>1.0000000000000001E-5</v>
      </c>
      <c r="T493" s="454">
        <v>2.4</v>
      </c>
      <c r="U493" s="454">
        <v>0.5</v>
      </c>
      <c r="V493" s="454"/>
      <c r="W493" s="457"/>
      <c r="X493" s="457"/>
      <c r="Y493" s="457"/>
      <c r="Z493" s="457"/>
      <c r="AA493" s="457"/>
      <c r="AB493" s="457"/>
      <c r="AC493" s="457"/>
      <c r="AD493" s="457"/>
      <c r="AE493" s="457"/>
      <c r="AF493" s="457"/>
      <c r="AG493" s="457"/>
      <c r="AH493" s="457"/>
      <c r="AI493" s="457"/>
      <c r="AJ493" s="457"/>
      <c r="AK493" s="457"/>
      <c r="AL493" s="457"/>
      <c r="AM493" s="457"/>
      <c r="AN493" s="457"/>
      <c r="AO493" s="457"/>
      <c r="AP493" s="457"/>
      <c r="AQ493" s="457"/>
      <c r="AR493" s="457"/>
      <c r="AS493" s="457"/>
      <c r="AT493" s="457"/>
      <c r="AU493" s="457"/>
      <c r="AV493" s="457"/>
      <c r="AW493" s="457"/>
      <c r="AX493" s="457"/>
      <c r="AY493" s="457"/>
      <c r="AZ493" s="457"/>
      <c r="BA493" s="457"/>
      <c r="BB493" s="457"/>
      <c r="BC493" s="457"/>
      <c r="BD493" s="457"/>
      <c r="BE493" s="457"/>
      <c r="BF493" s="457"/>
      <c r="BG493" s="457"/>
      <c r="BH493" s="457"/>
      <c r="BI493" s="457"/>
      <c r="BJ493" s="457"/>
      <c r="BK493" s="457"/>
      <c r="BL493" s="457"/>
      <c r="BM493" s="457"/>
      <c r="BN493" s="457"/>
      <c r="BO493" s="457"/>
      <c r="BP493" s="457"/>
      <c r="BQ493" s="457"/>
      <c r="BR493" s="457"/>
      <c r="BS493" s="457"/>
      <c r="BT493" s="457"/>
      <c r="BU493" s="457"/>
      <c r="BV493" s="457"/>
      <c r="BW493" s="457"/>
      <c r="BX493" s="457"/>
      <c r="BY493" s="457"/>
      <c r="BZ493" s="457"/>
      <c r="CA493" s="457"/>
      <c r="CB493" s="457"/>
      <c r="CC493" s="457"/>
      <c r="CD493" s="457"/>
      <c r="CE493" s="457"/>
      <c r="CF493" s="457"/>
      <c r="CG493" s="457"/>
      <c r="CH493" s="457"/>
      <c r="CI493" s="457"/>
      <c r="CJ493" s="457"/>
      <c r="CK493" s="457"/>
      <c r="CL493" s="457"/>
      <c r="CM493" s="457"/>
      <c r="CN493" s="457"/>
      <c r="CO493" s="457"/>
      <c r="CP493" s="457"/>
      <c r="CQ493" s="457"/>
      <c r="CR493" s="457"/>
      <c r="CS493" s="457"/>
      <c r="CT493" s="457"/>
      <c r="CU493" s="457"/>
      <c r="CV493" s="457"/>
      <c r="CW493" s="457"/>
      <c r="CX493" s="457"/>
      <c r="CY493" s="457"/>
      <c r="CZ493" s="457"/>
      <c r="DA493" s="457"/>
      <c r="DB493" s="457"/>
      <c r="DC493" s="457"/>
      <c r="DD493" s="457"/>
      <c r="DE493" s="457"/>
      <c r="DF493" s="457"/>
      <c r="DG493" s="457"/>
      <c r="DH493" s="457"/>
      <c r="DI493" s="457"/>
      <c r="DJ493" s="457"/>
      <c r="DK493" s="457"/>
      <c r="DL493" s="457"/>
      <c r="DM493" s="457"/>
      <c r="DN493" s="457"/>
      <c r="DO493" s="457"/>
      <c r="DP493" s="457"/>
      <c r="DQ493" s="457"/>
      <c r="DR493" s="457"/>
      <c r="DS493" s="457"/>
      <c r="DT493" s="457"/>
      <c r="DU493" s="457"/>
      <c r="DV493" s="457"/>
      <c r="DW493" s="457"/>
      <c r="DX493" s="457"/>
      <c r="DY493" s="457"/>
      <c r="DZ493" s="457"/>
      <c r="EA493" s="457"/>
      <c r="EB493" s="457"/>
      <c r="EC493" s="457"/>
      <c r="ED493" s="457"/>
      <c r="EE493" s="457"/>
      <c r="EF493" s="457"/>
      <c r="EG493" s="457"/>
      <c r="EH493" s="457"/>
      <c r="EI493" s="457"/>
      <c r="EJ493" s="457"/>
      <c r="EK493" s="457"/>
      <c r="EL493" s="457"/>
      <c r="EM493" s="457"/>
      <c r="EN493" s="457"/>
      <c r="EO493" s="457"/>
      <c r="EP493" s="457"/>
      <c r="EQ493" s="457"/>
      <c r="ER493" s="457"/>
      <c r="ES493" s="457"/>
      <c r="ET493" s="457"/>
      <c r="EU493" s="457"/>
      <c r="EV493" s="457"/>
      <c r="EW493" s="457"/>
      <c r="EX493" s="457"/>
      <c r="EY493" s="457"/>
      <c r="EZ493" s="457"/>
      <c r="FA493" s="457"/>
      <c r="FB493" s="457"/>
      <c r="FC493" s="457"/>
      <c r="FD493" s="457"/>
      <c r="FE493" s="457"/>
      <c r="FF493" s="457"/>
      <c r="FG493" s="457"/>
      <c r="FH493" s="457"/>
      <c r="FI493" s="457"/>
      <c r="FJ493" s="457"/>
      <c r="FK493" s="457"/>
      <c r="FL493" s="457"/>
      <c r="FM493" s="457"/>
      <c r="FN493" s="457"/>
      <c r="FO493" s="457"/>
      <c r="FP493" s="457"/>
      <c r="FQ493" s="457"/>
      <c r="FR493" s="457"/>
      <c r="FS493" s="457"/>
      <c r="FT493" s="457"/>
      <c r="FU493" s="457"/>
      <c r="FV493" s="457"/>
      <c r="FW493" s="457"/>
      <c r="FX493" s="457"/>
      <c r="FY493" s="457"/>
      <c r="FZ493" s="457"/>
      <c r="GA493" s="457"/>
      <c r="GB493" s="457"/>
      <c r="GC493" s="457"/>
      <c r="GD493" s="457"/>
      <c r="GE493" s="457"/>
      <c r="GF493" s="457"/>
      <c r="GG493" s="457"/>
      <c r="GH493" s="457"/>
      <c r="GI493" s="457"/>
      <c r="GJ493" s="457"/>
      <c r="GK493" s="457"/>
      <c r="GL493" s="457"/>
      <c r="GM493" s="457"/>
      <c r="GN493" s="457"/>
      <c r="GO493" s="457"/>
      <c r="GP493" s="457"/>
      <c r="GQ493" s="457"/>
      <c r="GR493" s="457"/>
      <c r="GS493" s="457"/>
      <c r="GT493" s="457"/>
      <c r="GU493" s="457"/>
      <c r="GV493" s="457"/>
      <c r="GW493" s="457"/>
      <c r="GX493" s="457"/>
      <c r="GY493" s="457"/>
      <c r="GZ493" s="457"/>
      <c r="HA493" s="457"/>
      <c r="HB493" s="457"/>
      <c r="HC493" s="457"/>
      <c r="HD493" s="457"/>
      <c r="HE493" s="457"/>
      <c r="HF493" s="457"/>
      <c r="HG493" s="457"/>
      <c r="HH493" s="457"/>
      <c r="HI493" s="457"/>
      <c r="HJ493" s="457"/>
      <c r="HK493" s="457"/>
      <c r="HL493" s="457"/>
      <c r="HM493" s="457"/>
      <c r="HN493" s="457"/>
      <c r="HO493" s="457"/>
      <c r="HP493" s="457"/>
      <c r="HQ493" s="457"/>
      <c r="HR493" s="457"/>
      <c r="HS493" s="457"/>
      <c r="HT493" s="457"/>
      <c r="HU493" s="457"/>
      <c r="HV493" s="457"/>
      <c r="HW493" s="457"/>
      <c r="HX493" s="457"/>
      <c r="HY493" s="457"/>
      <c r="HZ493" s="457"/>
      <c r="IA493" s="457"/>
      <c r="IB493" s="457"/>
      <c r="IC493" s="457"/>
      <c r="ID493" s="457"/>
      <c r="IE493" s="457"/>
      <c r="IF493" s="457"/>
      <c r="IG493" s="457"/>
      <c r="IH493" s="457"/>
      <c r="II493" s="457"/>
      <c r="IJ493" s="457"/>
      <c r="IK493" s="457"/>
      <c r="IL493" s="457"/>
      <c r="IM493" s="457"/>
      <c r="IN493" s="457"/>
      <c r="IO493" s="457"/>
      <c r="IP493" s="457"/>
      <c r="IQ493" s="457"/>
      <c r="IR493" s="457"/>
      <c r="IS493" s="457"/>
      <c r="IT493" s="457"/>
      <c r="IU493" s="457"/>
      <c r="IV493" s="457"/>
      <c r="IW493" s="457"/>
      <c r="IX493" s="457"/>
      <c r="IY493" s="457"/>
      <c r="IZ493" s="457"/>
      <c r="JA493" s="457"/>
      <c r="JB493" s="457"/>
      <c r="JC493" s="457"/>
      <c r="JD493" s="457"/>
      <c r="JE493" s="457"/>
      <c r="JF493" s="457"/>
      <c r="JG493" s="457"/>
      <c r="JH493" s="457"/>
      <c r="JI493" s="457"/>
      <c r="JJ493" s="457"/>
      <c r="JK493" s="457"/>
      <c r="JL493" s="457"/>
      <c r="JM493" s="457"/>
      <c r="JN493" s="457"/>
      <c r="JO493" s="457"/>
      <c r="JP493" s="457"/>
      <c r="JQ493" s="457"/>
      <c r="JR493" s="457"/>
      <c r="JS493" s="457"/>
      <c r="JT493" s="457"/>
      <c r="JU493" s="457"/>
      <c r="JV493" s="457"/>
      <c r="JW493" s="457"/>
      <c r="JX493" s="457"/>
      <c r="JY493" s="457"/>
      <c r="JZ493" s="457"/>
      <c r="KA493" s="457"/>
      <c r="KB493" s="457"/>
      <c r="KC493" s="457"/>
      <c r="KD493" s="457"/>
      <c r="KE493" s="457"/>
      <c r="KF493" s="457"/>
      <c r="KG493" s="457"/>
      <c r="KH493" s="457"/>
      <c r="KI493" s="457"/>
      <c r="KJ493" s="457"/>
      <c r="KK493" s="457"/>
      <c r="KL493" s="457"/>
      <c r="KM493" s="457"/>
      <c r="KN493" s="457"/>
      <c r="KO493" s="457"/>
      <c r="KP493" s="457"/>
      <c r="KQ493" s="457"/>
      <c r="KR493" s="457"/>
      <c r="KS493" s="457"/>
      <c r="KT493" s="457"/>
      <c r="KU493" s="457"/>
      <c r="KV493" s="457"/>
      <c r="KW493" s="457"/>
      <c r="KX493" s="457"/>
      <c r="KY493" s="457"/>
      <c r="KZ493" s="457"/>
      <c r="LA493" s="457"/>
      <c r="LB493" s="457"/>
      <c r="LC493" s="457"/>
      <c r="LD493" s="457"/>
      <c r="LE493" s="457"/>
      <c r="LF493" s="457"/>
      <c r="LG493" s="457"/>
      <c r="LH493" s="457"/>
      <c r="LI493" s="457"/>
      <c r="LJ493" s="457"/>
      <c r="LK493" s="457"/>
      <c r="LL493" s="457"/>
      <c r="LM493" s="457"/>
      <c r="LN493" s="457"/>
      <c r="LO493" s="457"/>
      <c r="LP493" s="457"/>
      <c r="LQ493" s="457"/>
      <c r="LR493" s="457"/>
      <c r="LS493" s="457"/>
      <c r="LT493" s="457"/>
      <c r="LU493" s="457"/>
      <c r="LV493" s="457"/>
      <c r="LW493" s="457"/>
      <c r="LX493" s="457"/>
      <c r="LY493" s="457"/>
      <c r="LZ493" s="457"/>
      <c r="MA493" s="457"/>
      <c r="MB493" s="457"/>
      <c r="MC493" s="457"/>
      <c r="MD493" s="457"/>
      <c r="ME493" s="457"/>
      <c r="MF493" s="457"/>
      <c r="MG493" s="457"/>
      <c r="MH493" s="457"/>
      <c r="MI493" s="457"/>
      <c r="MJ493" s="457"/>
      <c r="MK493" s="457"/>
      <c r="ML493" s="457"/>
      <c r="MM493" s="457"/>
      <c r="MN493" s="457"/>
      <c r="MO493" s="457"/>
      <c r="MP493" s="457"/>
      <c r="MQ493" s="457"/>
      <c r="MR493" s="457"/>
      <c r="MS493" s="457"/>
      <c r="MT493" s="457"/>
      <c r="MU493" s="457"/>
      <c r="MV493" s="457"/>
      <c r="MW493" s="457"/>
      <c r="MX493" s="457"/>
      <c r="MY493" s="457"/>
      <c r="MZ493" s="457"/>
      <c r="NA493" s="457"/>
      <c r="NB493" s="457"/>
      <c r="NC493" s="457"/>
      <c r="ND493" s="457"/>
      <c r="NE493" s="457"/>
      <c r="NF493" s="457"/>
      <c r="NG493" s="457"/>
      <c r="NH493" s="457"/>
      <c r="NI493" s="457"/>
      <c r="NJ493" s="457"/>
      <c r="NK493" s="457"/>
      <c r="NL493" s="457"/>
      <c r="NM493" s="457"/>
      <c r="NN493" s="457"/>
      <c r="NO493" s="457"/>
      <c r="NP493" s="457"/>
      <c r="NQ493" s="457"/>
      <c r="NR493" s="457"/>
      <c r="NS493" s="457"/>
      <c r="NT493" s="457"/>
      <c r="NU493" s="457"/>
      <c r="NV493" s="457"/>
      <c r="NW493" s="457"/>
      <c r="NX493" s="457"/>
      <c r="NY493" s="457"/>
      <c r="NZ493" s="457"/>
      <c r="OA493" s="457"/>
      <c r="OB493" s="457"/>
      <c r="OC493" s="457"/>
      <c r="OD493" s="457"/>
      <c r="OE493" s="457"/>
      <c r="OF493" s="457"/>
      <c r="OG493" s="457"/>
      <c r="OH493" s="457"/>
      <c r="OI493" s="457"/>
      <c r="OJ493" s="457"/>
      <c r="OK493" s="457"/>
      <c r="OL493" s="457"/>
      <c r="OM493" s="457"/>
      <c r="ON493" s="457"/>
      <c r="OO493" s="457"/>
      <c r="OP493" s="457"/>
      <c r="OQ493" s="457"/>
      <c r="OR493" s="457"/>
      <c r="OS493" s="457"/>
      <c r="OT493" s="457"/>
      <c r="OU493" s="457"/>
      <c r="OV493" s="457"/>
      <c r="OW493" s="457"/>
      <c r="OX493" s="457"/>
      <c r="OY493" s="457"/>
      <c r="OZ493" s="457"/>
      <c r="PA493" s="457"/>
      <c r="PB493" s="457"/>
      <c r="PC493" s="457"/>
      <c r="PD493" s="457"/>
      <c r="PE493" s="457"/>
      <c r="PF493" s="457"/>
      <c r="PG493" s="457"/>
      <c r="PH493" s="457"/>
      <c r="PI493" s="457"/>
      <c r="PJ493" s="457"/>
      <c r="PK493" s="457"/>
      <c r="PL493" s="457"/>
      <c r="PM493" s="457"/>
      <c r="PN493" s="457"/>
      <c r="PO493" s="457"/>
      <c r="PP493" s="457"/>
      <c r="PQ493" s="457"/>
      <c r="PR493" s="457"/>
      <c r="PS493" s="457"/>
      <c r="PT493" s="457"/>
      <c r="PU493" s="457"/>
      <c r="PV493" s="457"/>
      <c r="PW493" s="457"/>
      <c r="PX493" s="457"/>
      <c r="PY493" s="457"/>
      <c r="PZ493" s="457"/>
      <c r="QA493" s="457"/>
      <c r="QB493" s="457"/>
      <c r="QC493" s="457"/>
      <c r="QD493" s="457"/>
      <c r="QE493" s="457"/>
      <c r="QF493" s="457"/>
      <c r="QG493" s="457"/>
      <c r="QH493" s="457"/>
      <c r="QI493" s="457"/>
      <c r="QJ493" s="457"/>
      <c r="QK493" s="457"/>
      <c r="QL493" s="457"/>
      <c r="QM493" s="457"/>
      <c r="QN493" s="457"/>
      <c r="QO493" s="457"/>
      <c r="QP493" s="457"/>
      <c r="QQ493" s="457"/>
      <c r="QR493" s="457"/>
      <c r="QS493" s="457"/>
      <c r="QT493" s="457"/>
      <c r="QU493" s="457"/>
      <c r="QV493" s="457"/>
      <c r="QW493" s="457"/>
      <c r="QX493" s="457"/>
      <c r="QY493" s="457"/>
      <c r="QZ493" s="457"/>
      <c r="RA493" s="457"/>
      <c r="RB493" s="457"/>
      <c r="RC493" s="457"/>
      <c r="RD493" s="457"/>
      <c r="RE493" s="457"/>
      <c r="RF493" s="457"/>
      <c r="RG493" s="457"/>
      <c r="RH493" s="457"/>
      <c r="RI493" s="457"/>
      <c r="RJ493" s="457"/>
      <c r="RK493" s="457"/>
      <c r="RL493" s="457"/>
      <c r="RM493" s="457"/>
      <c r="RN493" s="457"/>
      <c r="RO493" s="457"/>
      <c r="RP493" s="457"/>
      <c r="RQ493" s="457"/>
      <c r="RR493" s="457"/>
      <c r="RS493" s="457"/>
      <c r="RT493" s="457"/>
      <c r="RU493" s="457"/>
      <c r="RV493" s="457"/>
      <c r="RW493" s="457"/>
      <c r="RX493" s="457"/>
      <c r="RY493" s="457"/>
      <c r="RZ493" s="457"/>
      <c r="SA493" s="457"/>
      <c r="SB493" s="457"/>
      <c r="SC493" s="457"/>
      <c r="SD493" s="457"/>
      <c r="SE493" s="457"/>
      <c r="SF493" s="457"/>
      <c r="SG493" s="457"/>
      <c r="SH493" s="457"/>
      <c r="SI493" s="457"/>
      <c r="SJ493" s="457"/>
      <c r="SK493" s="457"/>
      <c r="SL493" s="457"/>
      <c r="SM493" s="457"/>
      <c r="SN493" s="457"/>
      <c r="SO493" s="457"/>
      <c r="SP493" s="457"/>
      <c r="SQ493" s="457"/>
      <c r="SR493" s="457"/>
      <c r="SS493" s="457"/>
      <c r="ST493" s="457"/>
      <c r="SU493" s="457"/>
      <c r="SV493" s="457"/>
      <c r="SW493" s="457"/>
      <c r="SX493" s="457"/>
      <c r="SY493" s="457"/>
      <c r="SZ493" s="457"/>
      <c r="TA493" s="457"/>
      <c r="TB493" s="457"/>
      <c r="TC493" s="457"/>
      <c r="TD493" s="457"/>
      <c r="TE493" s="457"/>
      <c r="TF493" s="457"/>
      <c r="TG493" s="457"/>
      <c r="TH493" s="457"/>
      <c r="TI493" s="457"/>
      <c r="TJ493" s="457"/>
      <c r="TK493" s="457"/>
      <c r="TL493" s="457"/>
      <c r="TM493" s="457"/>
      <c r="TN493" s="457"/>
      <c r="TO493" s="457"/>
      <c r="TP493" s="457"/>
      <c r="TQ493" s="457"/>
      <c r="TR493" s="457"/>
      <c r="TS493" s="457"/>
      <c r="TT493" s="457"/>
      <c r="TU493" s="457"/>
      <c r="TV493" s="457"/>
      <c r="TW493" s="457"/>
      <c r="TX493" s="457"/>
      <c r="TY493" s="457"/>
      <c r="TZ493" s="457"/>
      <c r="UA493" s="457"/>
      <c r="UB493" s="457"/>
      <c r="UC493" s="457"/>
      <c r="UD493" s="457"/>
      <c r="UE493" s="457"/>
      <c r="UF493" s="457"/>
      <c r="UG493" s="457"/>
      <c r="UH493" s="457"/>
      <c r="UI493" s="457"/>
      <c r="UJ493" s="457"/>
      <c r="UK493" s="457"/>
      <c r="UL493" s="457"/>
      <c r="UM493" s="457"/>
      <c r="UN493" s="457"/>
      <c r="UO493" s="457"/>
      <c r="UP493" s="457"/>
      <c r="UQ493" s="457"/>
      <c r="UR493" s="457"/>
      <c r="US493" s="457"/>
      <c r="UT493" s="457"/>
      <c r="UU493" s="457"/>
      <c r="UV493" s="457"/>
      <c r="UW493" s="457"/>
      <c r="UX493" s="457"/>
      <c r="UY493" s="457"/>
      <c r="UZ493" s="457"/>
      <c r="VA493" s="457"/>
      <c r="VB493" s="457"/>
      <c r="VC493" s="457"/>
      <c r="VD493" s="457"/>
      <c r="VE493" s="457"/>
      <c r="VF493" s="457"/>
      <c r="VG493" s="457"/>
      <c r="VH493" s="457"/>
      <c r="VI493" s="457"/>
      <c r="VJ493" s="457"/>
      <c r="VK493" s="457"/>
      <c r="VL493" s="457"/>
      <c r="VM493" s="457"/>
      <c r="VN493" s="457"/>
      <c r="VO493" s="457"/>
      <c r="VP493" s="457"/>
      <c r="VQ493" s="457"/>
      <c r="VR493" s="457"/>
      <c r="VS493" s="457"/>
      <c r="VT493" s="457"/>
      <c r="VU493" s="457"/>
      <c r="VV493" s="457"/>
      <c r="VW493" s="457"/>
      <c r="VX493" s="457"/>
      <c r="VY493" s="457"/>
      <c r="VZ493" s="457"/>
      <c r="WA493" s="457"/>
      <c r="WB493" s="457"/>
      <c r="WC493" s="457"/>
      <c r="WD493" s="457"/>
      <c r="WE493" s="457"/>
      <c r="WF493" s="457"/>
      <c r="WG493" s="457"/>
      <c r="WH493" s="457"/>
      <c r="WI493" s="457"/>
      <c r="WJ493" s="457"/>
      <c r="WK493" s="457"/>
      <c r="WL493" s="457"/>
      <c r="WM493" s="457"/>
      <c r="WN493" s="457"/>
      <c r="WO493" s="457"/>
      <c r="WP493" s="457"/>
      <c r="WQ493" s="457"/>
      <c r="WR493" s="457"/>
      <c r="WS493" s="457"/>
      <c r="WT493" s="457"/>
      <c r="WU493" s="457"/>
      <c r="WV493" s="457"/>
      <c r="WW493" s="457"/>
      <c r="WX493" s="457"/>
      <c r="WY493" s="457"/>
      <c r="WZ493" s="457"/>
      <c r="XA493" s="457"/>
      <c r="XB493" s="457"/>
      <c r="XC493" s="457"/>
      <c r="XD493" s="457"/>
      <c r="XE493" s="457"/>
      <c r="XF493" s="457"/>
      <c r="XG493" s="457"/>
      <c r="XH493" s="457"/>
      <c r="XI493" s="457"/>
      <c r="XJ493" s="457"/>
      <c r="XK493" s="457"/>
      <c r="XL493" s="457"/>
      <c r="XM493" s="457"/>
      <c r="XN493" s="457"/>
      <c r="XO493" s="457"/>
      <c r="XP493" s="457"/>
      <c r="XQ493" s="457"/>
      <c r="XR493" s="457"/>
      <c r="XS493" s="457"/>
      <c r="XT493" s="457"/>
      <c r="XU493" s="457"/>
      <c r="XV493" s="457"/>
      <c r="XW493" s="457"/>
      <c r="XX493" s="457"/>
      <c r="XY493" s="457"/>
      <c r="XZ493" s="457"/>
      <c r="YA493" s="457"/>
      <c r="YB493" s="457"/>
      <c r="YC493" s="457"/>
      <c r="YD493" s="457"/>
      <c r="YE493" s="457"/>
      <c r="YF493" s="457"/>
      <c r="YG493" s="457"/>
      <c r="YH493" s="457"/>
      <c r="YI493" s="457"/>
      <c r="YJ493" s="457"/>
      <c r="YK493" s="457"/>
      <c r="YL493" s="457"/>
      <c r="YM493" s="457"/>
      <c r="YN493" s="457"/>
      <c r="YO493" s="457"/>
      <c r="YP493" s="457"/>
      <c r="YQ493" s="457"/>
      <c r="YR493" s="457"/>
      <c r="YS493" s="457"/>
      <c r="YT493" s="457"/>
      <c r="YU493" s="457"/>
      <c r="YV493" s="457"/>
      <c r="YW493" s="457"/>
      <c r="YX493" s="457"/>
      <c r="YY493" s="457"/>
      <c r="YZ493" s="457"/>
      <c r="ZA493" s="457"/>
      <c r="ZB493" s="457"/>
      <c r="ZC493" s="457"/>
      <c r="ZD493" s="457"/>
      <c r="ZE493" s="457"/>
      <c r="ZF493" s="457"/>
      <c r="ZG493" s="457"/>
      <c r="ZH493" s="457"/>
      <c r="ZI493" s="457"/>
      <c r="ZJ493" s="457"/>
      <c r="ZK493" s="457"/>
      <c r="ZL493" s="457"/>
      <c r="ZM493" s="457"/>
      <c r="ZN493" s="457"/>
      <c r="ZO493" s="457"/>
      <c r="ZP493" s="457"/>
      <c r="ZQ493" s="457"/>
      <c r="ZR493" s="457"/>
      <c r="ZS493" s="457"/>
      <c r="ZT493" s="457"/>
      <c r="ZU493" s="457"/>
      <c r="ZV493" s="457"/>
      <c r="ZW493" s="457"/>
      <c r="ZX493" s="457"/>
      <c r="ZY493" s="457"/>
      <c r="ZZ493" s="457"/>
      <c r="AAA493" s="457"/>
      <c r="AAB493" s="457"/>
      <c r="AAC493" s="457"/>
      <c r="AAD493" s="457"/>
      <c r="AAE493" s="457"/>
      <c r="AAF493" s="457"/>
      <c r="AAG493" s="457"/>
      <c r="AAH493" s="457"/>
      <c r="AAI493" s="457"/>
      <c r="AAJ493" s="457"/>
      <c r="AAK493" s="457"/>
      <c r="AAL493" s="457"/>
      <c r="AAM493" s="457"/>
      <c r="AAN493" s="457"/>
      <c r="AAO493" s="457"/>
      <c r="AAP493" s="457"/>
      <c r="AAQ493" s="457"/>
      <c r="AAR493" s="457"/>
      <c r="AAS493" s="457"/>
      <c r="AAT493" s="457"/>
      <c r="AAU493" s="457"/>
      <c r="AAV493" s="457"/>
      <c r="AAW493" s="457"/>
      <c r="AAX493" s="457"/>
      <c r="AAY493" s="457"/>
      <c r="AAZ493" s="457"/>
      <c r="ABA493" s="457"/>
      <c r="ABB493" s="457"/>
      <c r="ABC493" s="457"/>
      <c r="ABD493" s="457"/>
      <c r="ABE493" s="457"/>
      <c r="ABF493" s="457"/>
      <c r="ABG493" s="457"/>
      <c r="ABH493" s="457"/>
      <c r="ABI493" s="457"/>
      <c r="ABJ493" s="457"/>
      <c r="ABK493" s="457"/>
      <c r="ABL493" s="457"/>
      <c r="ABM493" s="457"/>
      <c r="ABN493" s="457"/>
      <c r="ABO493" s="457"/>
      <c r="ABP493" s="457"/>
      <c r="ABQ493" s="457"/>
      <c r="ABR493" s="457"/>
      <c r="ABS493" s="457"/>
      <c r="ABT493" s="457"/>
      <c r="ABU493" s="457"/>
      <c r="ABV493" s="457"/>
      <c r="ABW493" s="457"/>
      <c r="ABX493" s="457"/>
      <c r="ABY493" s="457"/>
      <c r="ABZ493" s="457"/>
      <c r="ACA493" s="457"/>
      <c r="ACB493" s="457"/>
      <c r="ACC493" s="457"/>
      <c r="ACD493" s="457"/>
      <c r="ACE493" s="457"/>
      <c r="ACF493" s="457"/>
      <c r="ACG493" s="457"/>
      <c r="ACH493" s="457"/>
      <c r="ACI493" s="457"/>
      <c r="ACJ493" s="457"/>
      <c r="ACK493" s="457"/>
      <c r="ACL493" s="457"/>
      <c r="ACM493" s="457"/>
      <c r="ACN493" s="457"/>
      <c r="ACO493" s="457"/>
      <c r="ACP493" s="457"/>
      <c r="ACQ493" s="457"/>
      <c r="ACR493" s="457"/>
      <c r="ACS493" s="457"/>
      <c r="ACT493" s="457"/>
      <c r="ACU493" s="457"/>
      <c r="ACV493" s="457"/>
    </row>
    <row r="494" spans="1:776" s="400" customFormat="1" x14ac:dyDescent="0.25">
      <c r="A494" s="43">
        <v>900209</v>
      </c>
      <c r="B494" s="237" t="s">
        <v>414</v>
      </c>
      <c r="C494" s="236"/>
      <c r="D494" s="34" t="s">
        <v>415</v>
      </c>
      <c r="E494" s="34">
        <v>3.36</v>
      </c>
      <c r="F494" s="39">
        <v>98.2</v>
      </c>
      <c r="G494" s="34">
        <v>0</v>
      </c>
      <c r="H494" s="34">
        <v>0.06</v>
      </c>
      <c r="I494" s="41">
        <v>707.6</v>
      </c>
      <c r="J494" s="34">
        <v>368.3</v>
      </c>
      <c r="K494" s="34">
        <v>0.18360000000000001</v>
      </c>
      <c r="L494" s="34">
        <v>346.3</v>
      </c>
      <c r="M494" s="34">
        <v>0</v>
      </c>
      <c r="N494" s="34">
        <v>4.75</v>
      </c>
      <c r="O494" s="34">
        <v>329.49</v>
      </c>
      <c r="P494" s="34">
        <v>198.76</v>
      </c>
      <c r="Q494" s="34">
        <v>96.05</v>
      </c>
      <c r="R494" s="397">
        <v>1.0000000000000001E-5</v>
      </c>
      <c r="S494" s="397">
        <v>1.0000000000000001E-5</v>
      </c>
      <c r="T494" s="397">
        <v>1.0000000000000001E-5</v>
      </c>
      <c r="U494" s="397">
        <v>1.0000000000000001E-5</v>
      </c>
      <c r="V494" s="34"/>
      <c r="W494" s="403"/>
      <c r="X494" s="403"/>
      <c r="Y494" s="403"/>
      <c r="Z494" s="403"/>
      <c r="AA494" s="403"/>
      <c r="AB494" s="403"/>
      <c r="AC494" s="403"/>
      <c r="AD494" s="403"/>
      <c r="AE494" s="403"/>
      <c r="AF494" s="403"/>
      <c r="AG494" s="403"/>
      <c r="AH494" s="403"/>
      <c r="AI494" s="403"/>
      <c r="AJ494" s="403"/>
      <c r="AK494" s="403"/>
      <c r="AL494" s="403"/>
      <c r="AM494" s="403"/>
      <c r="AN494" s="403"/>
      <c r="AO494" s="403"/>
      <c r="AP494" s="403"/>
      <c r="AQ494" s="403"/>
      <c r="AR494" s="403"/>
      <c r="AS494" s="403"/>
      <c r="AT494" s="403"/>
      <c r="AU494" s="403"/>
      <c r="AV494" s="403"/>
      <c r="AW494" s="403"/>
      <c r="AX494" s="403"/>
      <c r="AY494" s="403"/>
      <c r="AZ494" s="403"/>
      <c r="BA494" s="403"/>
      <c r="BB494" s="403"/>
      <c r="BC494" s="403"/>
      <c r="BD494" s="403"/>
      <c r="BE494" s="403"/>
      <c r="BF494" s="403"/>
      <c r="BG494" s="403"/>
      <c r="BH494" s="403"/>
      <c r="BI494" s="403"/>
      <c r="BJ494" s="403"/>
      <c r="BK494" s="403"/>
      <c r="BL494" s="403"/>
      <c r="BM494" s="403"/>
      <c r="BN494" s="403"/>
      <c r="BO494" s="403"/>
      <c r="BP494" s="403"/>
      <c r="BQ494" s="403"/>
      <c r="BR494" s="403"/>
      <c r="BS494" s="403"/>
      <c r="BT494" s="403"/>
      <c r="BU494" s="403"/>
      <c r="BV494" s="403"/>
      <c r="BW494" s="403"/>
      <c r="BX494" s="403"/>
      <c r="BY494" s="403"/>
      <c r="BZ494" s="403"/>
      <c r="CA494" s="403"/>
      <c r="CB494" s="403"/>
      <c r="CC494" s="403"/>
      <c r="CD494" s="403"/>
      <c r="CE494" s="403"/>
      <c r="CF494" s="403"/>
      <c r="CG494" s="403"/>
      <c r="CH494" s="403"/>
      <c r="CI494" s="403"/>
      <c r="CJ494" s="403"/>
      <c r="CK494" s="403"/>
      <c r="CL494" s="403"/>
      <c r="CM494" s="403"/>
      <c r="CN494" s="403"/>
      <c r="CO494" s="403"/>
      <c r="CP494" s="403"/>
      <c r="CQ494" s="403"/>
      <c r="CR494" s="403"/>
      <c r="CS494" s="403"/>
      <c r="CT494" s="403"/>
      <c r="CU494" s="403"/>
      <c r="CV494" s="403"/>
      <c r="CW494" s="403"/>
      <c r="CX494" s="403"/>
      <c r="CY494" s="403"/>
      <c r="CZ494" s="403"/>
      <c r="DA494" s="403"/>
      <c r="DB494" s="403"/>
      <c r="DC494" s="403"/>
      <c r="DD494" s="403"/>
      <c r="DE494" s="403"/>
      <c r="DF494" s="403"/>
      <c r="DG494" s="403"/>
      <c r="DH494" s="403"/>
      <c r="DI494" s="403"/>
      <c r="DJ494" s="403"/>
      <c r="DK494" s="403"/>
      <c r="DL494" s="403"/>
      <c r="DM494" s="403"/>
      <c r="DN494" s="403"/>
      <c r="DO494" s="403"/>
      <c r="DP494" s="403"/>
      <c r="DQ494" s="403"/>
      <c r="DR494" s="403"/>
      <c r="DS494" s="403"/>
      <c r="DT494" s="403"/>
      <c r="DU494" s="403"/>
      <c r="DV494" s="403"/>
      <c r="DW494" s="403"/>
      <c r="DX494" s="403"/>
      <c r="DY494" s="403"/>
      <c r="DZ494" s="403"/>
      <c r="EA494" s="403"/>
      <c r="EB494" s="403"/>
      <c r="EC494" s="403"/>
      <c r="ED494" s="403"/>
      <c r="EE494" s="403"/>
      <c r="EF494" s="403"/>
      <c r="EG494" s="403"/>
      <c r="EH494" s="403"/>
      <c r="EI494" s="403"/>
      <c r="EJ494" s="403"/>
      <c r="EK494" s="403"/>
      <c r="EL494" s="403"/>
      <c r="EM494" s="403"/>
      <c r="EN494" s="403"/>
      <c r="EO494" s="403"/>
      <c r="EP494" s="403"/>
      <c r="EQ494" s="403"/>
      <c r="ER494" s="403"/>
      <c r="ES494" s="403"/>
      <c r="ET494" s="403"/>
      <c r="EU494" s="403"/>
      <c r="EV494" s="403"/>
      <c r="EW494" s="403"/>
      <c r="EX494" s="403"/>
      <c r="EY494" s="403"/>
      <c r="EZ494" s="403"/>
      <c r="FA494" s="403"/>
      <c r="FB494" s="403"/>
      <c r="FC494" s="403"/>
      <c r="FD494" s="403"/>
      <c r="FE494" s="403"/>
      <c r="FF494" s="403"/>
      <c r="FG494" s="403"/>
      <c r="FH494" s="403"/>
      <c r="FI494" s="403"/>
      <c r="FJ494" s="403"/>
      <c r="FK494" s="403"/>
      <c r="FL494" s="403"/>
      <c r="FM494" s="403"/>
      <c r="FN494" s="403"/>
      <c r="FO494" s="403"/>
      <c r="FP494" s="403"/>
      <c r="FQ494" s="403"/>
      <c r="FR494" s="403"/>
      <c r="FS494" s="403"/>
      <c r="FT494" s="403"/>
      <c r="FU494" s="403"/>
      <c r="FV494" s="403"/>
      <c r="FW494" s="403"/>
      <c r="FX494" s="403"/>
      <c r="FY494" s="403"/>
      <c r="FZ494" s="403"/>
      <c r="GA494" s="403"/>
      <c r="GB494" s="403"/>
      <c r="GC494" s="403"/>
      <c r="GD494" s="403"/>
      <c r="GE494" s="403"/>
      <c r="GF494" s="403"/>
      <c r="GG494" s="403"/>
      <c r="GH494" s="403"/>
      <c r="GI494" s="403"/>
      <c r="GJ494" s="403"/>
      <c r="GK494" s="403"/>
      <c r="GL494" s="403"/>
      <c r="GM494" s="403"/>
      <c r="GN494" s="403"/>
      <c r="GO494" s="403"/>
      <c r="GP494" s="403"/>
      <c r="GQ494" s="403"/>
      <c r="GR494" s="403"/>
      <c r="GS494" s="403"/>
      <c r="GT494" s="403"/>
      <c r="GU494" s="403"/>
      <c r="GV494" s="403"/>
      <c r="GW494" s="403"/>
      <c r="GX494" s="403"/>
      <c r="GY494" s="403"/>
      <c r="GZ494" s="403"/>
      <c r="HA494" s="403"/>
      <c r="HB494" s="403"/>
      <c r="HC494" s="403"/>
      <c r="HD494" s="403"/>
      <c r="HE494" s="403"/>
      <c r="HF494" s="403"/>
      <c r="HG494" s="403"/>
      <c r="HH494" s="403"/>
      <c r="HI494" s="403"/>
      <c r="HJ494" s="403"/>
      <c r="HK494" s="403"/>
      <c r="HL494" s="403"/>
      <c r="HM494" s="403"/>
      <c r="HN494" s="403"/>
      <c r="HO494" s="403"/>
      <c r="HP494" s="403"/>
      <c r="HQ494" s="403"/>
      <c r="HR494" s="403"/>
      <c r="HS494" s="403"/>
      <c r="HT494" s="403"/>
      <c r="HU494" s="403"/>
      <c r="HV494" s="403"/>
      <c r="HW494" s="403"/>
      <c r="HX494" s="403"/>
      <c r="HY494" s="403"/>
      <c r="HZ494" s="403"/>
      <c r="IA494" s="403"/>
      <c r="IB494" s="403"/>
      <c r="IC494" s="403"/>
      <c r="ID494" s="403"/>
      <c r="IE494" s="403"/>
      <c r="IF494" s="403"/>
      <c r="IG494" s="403"/>
      <c r="IH494" s="403"/>
      <c r="II494" s="403"/>
      <c r="IJ494" s="403"/>
      <c r="IK494" s="403"/>
      <c r="IL494" s="403"/>
      <c r="IM494" s="403"/>
      <c r="IN494" s="403"/>
      <c r="IO494" s="403"/>
      <c r="IP494" s="403"/>
      <c r="IQ494" s="403"/>
      <c r="IR494" s="403"/>
      <c r="IS494" s="403"/>
      <c r="IT494" s="403"/>
      <c r="IU494" s="403"/>
      <c r="IV494" s="403"/>
      <c r="IW494" s="403"/>
      <c r="IX494" s="403"/>
      <c r="IY494" s="403"/>
      <c r="IZ494" s="403"/>
      <c r="JA494" s="403"/>
      <c r="JB494" s="403"/>
      <c r="JC494" s="403"/>
      <c r="JD494" s="403"/>
      <c r="JE494" s="403"/>
      <c r="JF494" s="403"/>
      <c r="JG494" s="403"/>
      <c r="JH494" s="403"/>
      <c r="JI494" s="403"/>
      <c r="JJ494" s="403"/>
      <c r="JK494" s="403"/>
      <c r="JL494" s="403"/>
      <c r="JM494" s="403"/>
      <c r="JN494" s="403"/>
      <c r="JO494" s="403"/>
      <c r="JP494" s="403"/>
      <c r="JQ494" s="403"/>
      <c r="JR494" s="403"/>
      <c r="JS494" s="403"/>
      <c r="JT494" s="403"/>
      <c r="JU494" s="403"/>
      <c r="JV494" s="403"/>
      <c r="JW494" s="403"/>
      <c r="JX494" s="403"/>
      <c r="JY494" s="403"/>
      <c r="JZ494" s="403"/>
      <c r="KA494" s="403"/>
      <c r="KB494" s="403"/>
      <c r="KC494" s="403"/>
      <c r="KD494" s="403"/>
      <c r="KE494" s="403"/>
      <c r="KF494" s="403"/>
      <c r="KG494" s="403"/>
      <c r="KH494" s="403"/>
      <c r="KI494" s="403"/>
      <c r="KJ494" s="403"/>
      <c r="KK494" s="403"/>
      <c r="KL494" s="403"/>
      <c r="KM494" s="403"/>
      <c r="KN494" s="403"/>
      <c r="KO494" s="403"/>
      <c r="KP494" s="403"/>
      <c r="KQ494" s="403"/>
      <c r="KR494" s="403"/>
      <c r="KS494" s="403"/>
      <c r="KT494" s="403"/>
      <c r="KU494" s="403"/>
      <c r="KV494" s="403"/>
      <c r="KW494" s="403"/>
      <c r="KX494" s="403"/>
      <c r="KY494" s="403"/>
      <c r="KZ494" s="403"/>
      <c r="LA494" s="403"/>
      <c r="LB494" s="403"/>
      <c r="LC494" s="403"/>
      <c r="LD494" s="403"/>
      <c r="LE494" s="403"/>
      <c r="LF494" s="403"/>
      <c r="LG494" s="403"/>
      <c r="LH494" s="403"/>
      <c r="LI494" s="403"/>
      <c r="LJ494" s="403"/>
      <c r="LK494" s="403"/>
      <c r="LL494" s="403"/>
      <c r="LM494" s="403"/>
      <c r="LN494" s="403"/>
      <c r="LO494" s="403"/>
      <c r="LP494" s="403"/>
      <c r="LQ494" s="403"/>
      <c r="LR494" s="403"/>
      <c r="LS494" s="403"/>
      <c r="LT494" s="403"/>
      <c r="LU494" s="403"/>
      <c r="LV494" s="403"/>
      <c r="LW494" s="403"/>
      <c r="LX494" s="403"/>
      <c r="LY494" s="403"/>
      <c r="LZ494" s="403"/>
      <c r="MA494" s="403"/>
      <c r="MB494" s="403"/>
      <c r="MC494" s="403"/>
      <c r="MD494" s="403"/>
      <c r="ME494" s="403"/>
      <c r="MF494" s="403"/>
      <c r="MG494" s="403"/>
      <c r="MH494" s="403"/>
      <c r="MI494" s="403"/>
      <c r="MJ494" s="403"/>
      <c r="MK494" s="403"/>
      <c r="ML494" s="403"/>
      <c r="MM494" s="403"/>
      <c r="MN494" s="403"/>
      <c r="MO494" s="403"/>
      <c r="MP494" s="403"/>
      <c r="MQ494" s="403"/>
      <c r="MR494" s="403"/>
      <c r="MS494" s="403"/>
      <c r="MT494" s="403"/>
      <c r="MU494" s="403"/>
      <c r="MV494" s="403"/>
      <c r="MW494" s="403"/>
      <c r="MX494" s="403"/>
      <c r="MY494" s="403"/>
      <c r="MZ494" s="403"/>
      <c r="NA494" s="403"/>
      <c r="NB494" s="403"/>
      <c r="NC494" s="403"/>
      <c r="ND494" s="403"/>
      <c r="NE494" s="403"/>
      <c r="NF494" s="403"/>
      <c r="NG494" s="403"/>
      <c r="NH494" s="403"/>
      <c r="NI494" s="403"/>
      <c r="NJ494" s="403"/>
      <c r="NK494" s="403"/>
      <c r="NL494" s="403"/>
      <c r="NM494" s="403"/>
      <c r="NN494" s="403"/>
      <c r="NO494" s="403"/>
      <c r="NP494" s="403"/>
      <c r="NQ494" s="403"/>
      <c r="NR494" s="403"/>
      <c r="NS494" s="403"/>
      <c r="NT494" s="403"/>
      <c r="NU494" s="403"/>
      <c r="NV494" s="403"/>
      <c r="NW494" s="403"/>
      <c r="NX494" s="403"/>
      <c r="NY494" s="403"/>
      <c r="NZ494" s="403"/>
      <c r="OA494" s="403"/>
      <c r="OB494" s="403"/>
      <c r="OC494" s="403"/>
      <c r="OD494" s="403"/>
      <c r="OE494" s="403"/>
      <c r="OF494" s="403"/>
      <c r="OG494" s="403"/>
      <c r="OH494" s="403"/>
      <c r="OI494" s="403"/>
      <c r="OJ494" s="403"/>
      <c r="OK494" s="403"/>
      <c r="OL494" s="403"/>
      <c r="OM494" s="403"/>
      <c r="ON494" s="403"/>
      <c r="OO494" s="403"/>
      <c r="OP494" s="403"/>
      <c r="OQ494" s="403"/>
      <c r="OR494" s="403"/>
      <c r="OS494" s="403"/>
      <c r="OT494" s="403"/>
      <c r="OU494" s="403"/>
      <c r="OV494" s="403"/>
      <c r="OW494" s="403"/>
      <c r="OX494" s="403"/>
      <c r="OY494" s="403"/>
      <c r="OZ494" s="403"/>
      <c r="PA494" s="403"/>
      <c r="PB494" s="403"/>
      <c r="PC494" s="403"/>
      <c r="PD494" s="403"/>
      <c r="PE494" s="403"/>
      <c r="PF494" s="403"/>
      <c r="PG494" s="403"/>
      <c r="PH494" s="403"/>
      <c r="PI494" s="403"/>
      <c r="PJ494" s="403"/>
      <c r="PK494" s="403"/>
      <c r="PL494" s="403"/>
      <c r="PM494" s="403"/>
      <c r="PN494" s="403"/>
      <c r="PO494" s="403"/>
      <c r="PP494" s="403"/>
      <c r="PQ494" s="403"/>
      <c r="PR494" s="403"/>
      <c r="PS494" s="403"/>
      <c r="PT494" s="403"/>
      <c r="PU494" s="403"/>
      <c r="PV494" s="403"/>
      <c r="PW494" s="403"/>
      <c r="PX494" s="403"/>
      <c r="PY494" s="403"/>
      <c r="PZ494" s="403"/>
      <c r="QA494" s="403"/>
      <c r="QB494" s="403"/>
      <c r="QC494" s="403"/>
      <c r="QD494" s="403"/>
      <c r="QE494" s="403"/>
      <c r="QF494" s="403"/>
      <c r="QG494" s="403"/>
      <c r="QH494" s="403"/>
      <c r="QI494" s="403"/>
      <c r="QJ494" s="403"/>
      <c r="QK494" s="403"/>
      <c r="QL494" s="403"/>
      <c r="QM494" s="403"/>
      <c r="QN494" s="403"/>
      <c r="QO494" s="403"/>
      <c r="QP494" s="403"/>
      <c r="QQ494" s="403"/>
      <c r="QR494" s="403"/>
      <c r="QS494" s="403"/>
      <c r="QT494" s="403"/>
      <c r="QU494" s="403"/>
      <c r="QV494" s="403"/>
      <c r="QW494" s="403"/>
      <c r="QX494" s="403"/>
      <c r="QY494" s="403"/>
      <c r="QZ494" s="403"/>
      <c r="RA494" s="403"/>
      <c r="RB494" s="403"/>
      <c r="RC494" s="403"/>
      <c r="RD494" s="403"/>
      <c r="RE494" s="403"/>
      <c r="RF494" s="403"/>
      <c r="RG494" s="403"/>
      <c r="RH494" s="403"/>
      <c r="RI494" s="403"/>
      <c r="RJ494" s="403"/>
      <c r="RK494" s="403"/>
      <c r="RL494" s="403"/>
      <c r="RM494" s="403"/>
      <c r="RN494" s="403"/>
      <c r="RO494" s="403"/>
      <c r="RP494" s="403"/>
      <c r="RQ494" s="403"/>
      <c r="RR494" s="403"/>
      <c r="RS494" s="403"/>
      <c r="RT494" s="403"/>
      <c r="RU494" s="403"/>
      <c r="RV494" s="403"/>
      <c r="RW494" s="403"/>
      <c r="RX494" s="403"/>
      <c r="RY494" s="403"/>
      <c r="RZ494" s="403"/>
      <c r="SA494" s="403"/>
      <c r="SB494" s="403"/>
      <c r="SC494" s="403"/>
      <c r="SD494" s="403"/>
      <c r="SE494" s="403"/>
      <c r="SF494" s="403"/>
      <c r="SG494" s="403"/>
      <c r="SH494" s="403"/>
      <c r="SI494" s="403"/>
      <c r="SJ494" s="403"/>
      <c r="SK494" s="403"/>
      <c r="SL494" s="403"/>
      <c r="SM494" s="403"/>
      <c r="SN494" s="403"/>
      <c r="SO494" s="403"/>
      <c r="SP494" s="403"/>
      <c r="SQ494" s="403"/>
      <c r="SR494" s="403"/>
      <c r="SS494" s="403"/>
      <c r="ST494" s="403"/>
      <c r="SU494" s="403"/>
      <c r="SV494" s="403"/>
      <c r="SW494" s="403"/>
      <c r="SX494" s="403"/>
      <c r="SY494" s="403"/>
      <c r="SZ494" s="403"/>
      <c r="TA494" s="403"/>
      <c r="TB494" s="403"/>
      <c r="TC494" s="403"/>
      <c r="TD494" s="403"/>
      <c r="TE494" s="403"/>
      <c r="TF494" s="403"/>
      <c r="TG494" s="403"/>
      <c r="TH494" s="403"/>
      <c r="TI494" s="403"/>
      <c r="TJ494" s="403"/>
      <c r="TK494" s="403"/>
      <c r="TL494" s="403"/>
      <c r="TM494" s="403"/>
      <c r="TN494" s="403"/>
      <c r="TO494" s="403"/>
      <c r="TP494" s="403"/>
      <c r="TQ494" s="403"/>
      <c r="TR494" s="403"/>
      <c r="TS494" s="403"/>
      <c r="TT494" s="403"/>
      <c r="TU494" s="403"/>
      <c r="TV494" s="403"/>
      <c r="TW494" s="403"/>
      <c r="TX494" s="403"/>
      <c r="TY494" s="403"/>
      <c r="TZ494" s="403"/>
      <c r="UA494" s="403"/>
      <c r="UB494" s="403"/>
      <c r="UC494" s="403"/>
      <c r="UD494" s="403"/>
      <c r="UE494" s="403"/>
      <c r="UF494" s="403"/>
      <c r="UG494" s="403"/>
      <c r="UH494" s="403"/>
      <c r="UI494" s="403"/>
      <c r="UJ494" s="403"/>
      <c r="UK494" s="403"/>
      <c r="UL494" s="403"/>
      <c r="UM494" s="403"/>
      <c r="UN494" s="403"/>
      <c r="UO494" s="403"/>
      <c r="UP494" s="403"/>
      <c r="UQ494" s="403"/>
      <c r="UR494" s="403"/>
      <c r="US494" s="403"/>
      <c r="UT494" s="403"/>
      <c r="UU494" s="403"/>
      <c r="UV494" s="403"/>
      <c r="UW494" s="403"/>
      <c r="UX494" s="403"/>
      <c r="UY494" s="403"/>
      <c r="UZ494" s="403"/>
      <c r="VA494" s="403"/>
      <c r="VB494" s="403"/>
      <c r="VC494" s="403"/>
      <c r="VD494" s="403"/>
      <c r="VE494" s="403"/>
      <c r="VF494" s="403"/>
      <c r="VG494" s="403"/>
      <c r="VH494" s="403"/>
      <c r="VI494" s="403"/>
      <c r="VJ494" s="403"/>
      <c r="VK494" s="403"/>
      <c r="VL494" s="403"/>
      <c r="VM494" s="403"/>
      <c r="VN494" s="403"/>
      <c r="VO494" s="403"/>
      <c r="VP494" s="403"/>
      <c r="VQ494" s="403"/>
      <c r="VR494" s="403"/>
      <c r="VS494" s="403"/>
      <c r="VT494" s="403"/>
      <c r="VU494" s="403"/>
      <c r="VV494" s="403"/>
      <c r="VW494" s="403"/>
      <c r="VX494" s="403"/>
      <c r="VY494" s="403"/>
      <c r="VZ494" s="403"/>
      <c r="WA494" s="403"/>
      <c r="WB494" s="403"/>
      <c r="WC494" s="403"/>
      <c r="WD494" s="403"/>
      <c r="WE494" s="403"/>
      <c r="WF494" s="403"/>
      <c r="WG494" s="403"/>
      <c r="WH494" s="403"/>
      <c r="WI494" s="403"/>
      <c r="WJ494" s="403"/>
      <c r="WK494" s="403"/>
      <c r="WL494" s="403"/>
      <c r="WM494" s="403"/>
      <c r="WN494" s="403"/>
      <c r="WO494" s="403"/>
      <c r="WP494" s="403"/>
      <c r="WQ494" s="403"/>
      <c r="WR494" s="403"/>
      <c r="WS494" s="403"/>
      <c r="WT494" s="403"/>
      <c r="WU494" s="403"/>
      <c r="WV494" s="403"/>
      <c r="WW494" s="403"/>
      <c r="WX494" s="403"/>
      <c r="WY494" s="403"/>
      <c r="WZ494" s="403"/>
      <c r="XA494" s="403"/>
      <c r="XB494" s="403"/>
      <c r="XC494" s="403"/>
      <c r="XD494" s="403"/>
      <c r="XE494" s="403"/>
      <c r="XF494" s="403"/>
      <c r="XG494" s="403"/>
      <c r="XH494" s="403"/>
      <c r="XI494" s="403"/>
      <c r="XJ494" s="403"/>
      <c r="XK494" s="403"/>
      <c r="XL494" s="403"/>
      <c r="XM494" s="403"/>
      <c r="XN494" s="403"/>
      <c r="XO494" s="403"/>
      <c r="XP494" s="403"/>
      <c r="XQ494" s="403"/>
      <c r="XR494" s="403"/>
      <c r="XS494" s="403"/>
      <c r="XT494" s="403"/>
      <c r="XU494" s="403"/>
      <c r="XV494" s="403"/>
      <c r="XW494" s="403"/>
      <c r="XX494" s="403"/>
      <c r="XY494" s="403"/>
      <c r="XZ494" s="403"/>
      <c r="YA494" s="403"/>
      <c r="YB494" s="403"/>
      <c r="YC494" s="403"/>
      <c r="YD494" s="403"/>
      <c r="YE494" s="403"/>
      <c r="YF494" s="403"/>
      <c r="YG494" s="403"/>
      <c r="YH494" s="403"/>
      <c r="YI494" s="403"/>
      <c r="YJ494" s="403"/>
      <c r="YK494" s="403"/>
      <c r="YL494" s="403"/>
      <c r="YM494" s="403"/>
      <c r="YN494" s="403"/>
      <c r="YO494" s="403"/>
      <c r="YP494" s="403"/>
      <c r="YQ494" s="403"/>
      <c r="YR494" s="403"/>
      <c r="YS494" s="403"/>
      <c r="YT494" s="403"/>
      <c r="YU494" s="403"/>
      <c r="YV494" s="403"/>
      <c r="YW494" s="403"/>
      <c r="YX494" s="403"/>
      <c r="YY494" s="403"/>
      <c r="YZ494" s="403"/>
      <c r="ZA494" s="403"/>
      <c r="ZB494" s="403"/>
      <c r="ZC494" s="403"/>
      <c r="ZD494" s="403"/>
      <c r="ZE494" s="403"/>
      <c r="ZF494" s="403"/>
      <c r="ZG494" s="403"/>
      <c r="ZH494" s="403"/>
      <c r="ZI494" s="403"/>
      <c r="ZJ494" s="403"/>
      <c r="ZK494" s="403"/>
      <c r="ZL494" s="403"/>
      <c r="ZM494" s="403"/>
      <c r="ZN494" s="403"/>
      <c r="ZO494" s="403"/>
      <c r="ZP494" s="403"/>
      <c r="ZQ494" s="403"/>
      <c r="ZR494" s="403"/>
      <c r="ZS494" s="403"/>
      <c r="ZT494" s="403"/>
      <c r="ZU494" s="403"/>
      <c r="ZV494" s="403"/>
      <c r="ZW494" s="403"/>
      <c r="ZX494" s="403"/>
      <c r="ZY494" s="403"/>
      <c r="ZZ494" s="403"/>
      <c r="AAA494" s="403"/>
      <c r="AAB494" s="403"/>
      <c r="AAC494" s="403"/>
      <c r="AAD494" s="403"/>
      <c r="AAE494" s="403"/>
      <c r="AAF494" s="403"/>
      <c r="AAG494" s="403"/>
      <c r="AAH494" s="403"/>
      <c r="AAI494" s="403"/>
      <c r="AAJ494" s="403"/>
      <c r="AAK494" s="403"/>
      <c r="AAL494" s="403"/>
      <c r="AAM494" s="403"/>
      <c r="AAN494" s="403"/>
      <c r="AAO494" s="403"/>
      <c r="AAP494" s="403"/>
      <c r="AAQ494" s="403"/>
      <c r="AAR494" s="403"/>
      <c r="AAS494" s="403"/>
      <c r="AAT494" s="403"/>
      <c r="AAU494" s="403"/>
      <c r="AAV494" s="403"/>
      <c r="AAW494" s="403"/>
      <c r="AAX494" s="403"/>
      <c r="AAY494" s="403"/>
      <c r="AAZ494" s="403"/>
      <c r="ABA494" s="403"/>
      <c r="ABB494" s="403"/>
      <c r="ABC494" s="403"/>
      <c r="ABD494" s="403"/>
      <c r="ABE494" s="403"/>
      <c r="ABF494" s="403"/>
      <c r="ABG494" s="403"/>
      <c r="ABH494" s="403"/>
      <c r="ABI494" s="403"/>
      <c r="ABJ494" s="403"/>
      <c r="ABK494" s="403"/>
      <c r="ABL494" s="403"/>
      <c r="ABM494" s="403"/>
      <c r="ABN494" s="403"/>
      <c r="ABO494" s="403"/>
      <c r="ABP494" s="403"/>
      <c r="ABQ494" s="403"/>
      <c r="ABR494" s="403"/>
      <c r="ABS494" s="403"/>
      <c r="ABT494" s="403"/>
      <c r="ABU494" s="403"/>
      <c r="ABV494" s="403"/>
      <c r="ABW494" s="403"/>
      <c r="ABX494" s="403"/>
      <c r="ABY494" s="403"/>
      <c r="ABZ494" s="403"/>
      <c r="ACA494" s="403"/>
      <c r="ACB494" s="403"/>
      <c r="ACC494" s="403"/>
      <c r="ACD494" s="403"/>
      <c r="ACE494" s="403"/>
      <c r="ACF494" s="403"/>
      <c r="ACG494" s="403"/>
      <c r="ACH494" s="403"/>
      <c r="ACI494" s="403"/>
      <c r="ACJ494" s="403"/>
      <c r="ACK494" s="403"/>
      <c r="ACL494" s="403"/>
      <c r="ACM494" s="403"/>
      <c r="ACN494" s="403"/>
      <c r="ACO494" s="403"/>
      <c r="ACP494" s="403"/>
      <c r="ACQ494" s="403"/>
      <c r="ACR494" s="403"/>
      <c r="ACS494" s="403"/>
      <c r="ACT494" s="403"/>
      <c r="ACU494" s="403"/>
      <c r="ACV494" s="403"/>
    </row>
    <row r="495" spans="1:776" s="400" customFormat="1" x14ac:dyDescent="0.25">
      <c r="A495" s="470">
        <v>900210</v>
      </c>
      <c r="B495" s="453" t="s">
        <v>416</v>
      </c>
      <c r="C495" s="455"/>
      <c r="D495" s="454" t="s">
        <v>412</v>
      </c>
      <c r="E495" s="454">
        <v>5.01</v>
      </c>
      <c r="F495" s="458">
        <v>19.2</v>
      </c>
      <c r="G495" s="454">
        <v>0</v>
      </c>
      <c r="H495" s="454">
        <v>0.12</v>
      </c>
      <c r="I495" s="456">
        <v>808.3</v>
      </c>
      <c r="J495" s="454">
        <v>1252.5</v>
      </c>
      <c r="K495" s="454">
        <v>0.153</v>
      </c>
      <c r="L495" s="454">
        <v>223.2</v>
      </c>
      <c r="M495" s="454">
        <v>0</v>
      </c>
      <c r="N495" s="454">
        <v>6.73</v>
      </c>
      <c r="O495" s="454">
        <v>357.11</v>
      </c>
      <c r="P495" s="454">
        <v>550.70000000000005</v>
      </c>
      <c r="Q495" s="454">
        <v>138.93</v>
      </c>
      <c r="R495" s="397">
        <v>1.0000000000000001E-5</v>
      </c>
      <c r="S495" s="397">
        <v>1.0000000000000001E-5</v>
      </c>
      <c r="T495" s="397">
        <v>1.0000000000000001E-5</v>
      </c>
      <c r="U495" s="454">
        <v>0.05</v>
      </c>
      <c r="V495" s="454"/>
      <c r="W495" s="457"/>
      <c r="X495" s="457"/>
      <c r="Y495" s="457"/>
      <c r="Z495" s="457"/>
      <c r="AA495" s="457"/>
      <c r="AB495" s="457"/>
      <c r="AC495" s="457"/>
      <c r="AD495" s="457"/>
      <c r="AE495" s="457"/>
      <c r="AF495" s="457"/>
      <c r="AG495" s="457"/>
      <c r="AH495" s="457"/>
      <c r="AI495" s="457"/>
      <c r="AJ495" s="457"/>
      <c r="AK495" s="457"/>
      <c r="AL495" s="457"/>
      <c r="AM495" s="457"/>
      <c r="AN495" s="457"/>
      <c r="AO495" s="457"/>
      <c r="AP495" s="457"/>
      <c r="AQ495" s="457"/>
      <c r="AR495" s="457"/>
      <c r="AS495" s="457"/>
      <c r="AT495" s="457"/>
      <c r="AU495" s="457"/>
      <c r="AV495" s="457"/>
      <c r="AW495" s="457"/>
      <c r="AX495" s="457"/>
      <c r="AY495" s="457"/>
      <c r="AZ495" s="457"/>
      <c r="BA495" s="457"/>
      <c r="BB495" s="457"/>
      <c r="BC495" s="457"/>
      <c r="BD495" s="457"/>
      <c r="BE495" s="457"/>
      <c r="BF495" s="457"/>
      <c r="BG495" s="457"/>
      <c r="BH495" s="457"/>
      <c r="BI495" s="457"/>
      <c r="BJ495" s="457"/>
      <c r="BK495" s="457"/>
      <c r="BL495" s="457"/>
      <c r="BM495" s="457"/>
      <c r="BN495" s="457"/>
      <c r="BO495" s="457"/>
      <c r="BP495" s="457"/>
      <c r="BQ495" s="457"/>
      <c r="BR495" s="457"/>
      <c r="BS495" s="457"/>
      <c r="BT495" s="457"/>
      <c r="BU495" s="457"/>
      <c r="BV495" s="457"/>
      <c r="BW495" s="457"/>
      <c r="BX495" s="457"/>
      <c r="BY495" s="457"/>
      <c r="BZ495" s="457"/>
      <c r="CA495" s="457"/>
      <c r="CB495" s="457"/>
      <c r="CC495" s="457"/>
      <c r="CD495" s="457"/>
      <c r="CE495" s="457"/>
      <c r="CF495" s="457"/>
      <c r="CG495" s="457"/>
      <c r="CH495" s="457"/>
      <c r="CI495" s="457"/>
      <c r="CJ495" s="457"/>
      <c r="CK495" s="457"/>
      <c r="CL495" s="457"/>
      <c r="CM495" s="457"/>
      <c r="CN495" s="457"/>
      <c r="CO495" s="457"/>
      <c r="CP495" s="457"/>
      <c r="CQ495" s="457"/>
      <c r="CR495" s="457"/>
      <c r="CS495" s="457"/>
      <c r="CT495" s="457"/>
      <c r="CU495" s="457"/>
      <c r="CV495" s="457"/>
      <c r="CW495" s="457"/>
      <c r="CX495" s="457"/>
      <c r="CY495" s="457"/>
      <c r="CZ495" s="457"/>
      <c r="DA495" s="457"/>
      <c r="DB495" s="457"/>
      <c r="DC495" s="457"/>
      <c r="DD495" s="457"/>
      <c r="DE495" s="457"/>
      <c r="DF495" s="457"/>
      <c r="DG495" s="457"/>
      <c r="DH495" s="457"/>
      <c r="DI495" s="457"/>
      <c r="DJ495" s="457"/>
      <c r="DK495" s="457"/>
      <c r="DL495" s="457"/>
      <c r="DM495" s="457"/>
      <c r="DN495" s="457"/>
      <c r="DO495" s="457"/>
      <c r="DP495" s="457"/>
      <c r="DQ495" s="457"/>
      <c r="DR495" s="457"/>
      <c r="DS495" s="457"/>
      <c r="DT495" s="457"/>
      <c r="DU495" s="457"/>
      <c r="DV495" s="457"/>
      <c r="DW495" s="457"/>
      <c r="DX495" s="457"/>
      <c r="DY495" s="457"/>
      <c r="DZ495" s="457"/>
      <c r="EA495" s="457"/>
      <c r="EB495" s="457"/>
      <c r="EC495" s="457"/>
      <c r="ED495" s="457"/>
      <c r="EE495" s="457"/>
      <c r="EF495" s="457"/>
      <c r="EG495" s="457"/>
      <c r="EH495" s="457"/>
      <c r="EI495" s="457"/>
      <c r="EJ495" s="457"/>
      <c r="EK495" s="457"/>
      <c r="EL495" s="457"/>
      <c r="EM495" s="457"/>
      <c r="EN495" s="457"/>
      <c r="EO495" s="457"/>
      <c r="EP495" s="457"/>
      <c r="EQ495" s="457"/>
      <c r="ER495" s="457"/>
      <c r="ES495" s="457"/>
      <c r="ET495" s="457"/>
      <c r="EU495" s="457"/>
      <c r="EV495" s="457"/>
      <c r="EW495" s="457"/>
      <c r="EX495" s="457"/>
      <c r="EY495" s="457"/>
      <c r="EZ495" s="457"/>
      <c r="FA495" s="457"/>
      <c r="FB495" s="457"/>
      <c r="FC495" s="457"/>
      <c r="FD495" s="457"/>
      <c r="FE495" s="457"/>
      <c r="FF495" s="457"/>
      <c r="FG495" s="457"/>
      <c r="FH495" s="457"/>
      <c r="FI495" s="457"/>
      <c r="FJ495" s="457"/>
      <c r="FK495" s="457"/>
      <c r="FL495" s="457"/>
      <c r="FM495" s="457"/>
      <c r="FN495" s="457"/>
      <c r="FO495" s="457"/>
      <c r="FP495" s="457"/>
      <c r="FQ495" s="457"/>
      <c r="FR495" s="457"/>
      <c r="FS495" s="457"/>
      <c r="FT495" s="457"/>
      <c r="FU495" s="457"/>
      <c r="FV495" s="457"/>
      <c r="FW495" s="457"/>
      <c r="FX495" s="457"/>
      <c r="FY495" s="457"/>
      <c r="FZ495" s="457"/>
      <c r="GA495" s="457"/>
      <c r="GB495" s="457"/>
      <c r="GC495" s="457"/>
      <c r="GD495" s="457"/>
      <c r="GE495" s="457"/>
      <c r="GF495" s="457"/>
      <c r="GG495" s="457"/>
      <c r="GH495" s="457"/>
      <c r="GI495" s="457"/>
      <c r="GJ495" s="457"/>
      <c r="GK495" s="457"/>
      <c r="GL495" s="457"/>
      <c r="GM495" s="457"/>
      <c r="GN495" s="457"/>
      <c r="GO495" s="457"/>
      <c r="GP495" s="457"/>
      <c r="GQ495" s="457"/>
      <c r="GR495" s="457"/>
      <c r="GS495" s="457"/>
      <c r="GT495" s="457"/>
      <c r="GU495" s="457"/>
      <c r="GV495" s="457"/>
      <c r="GW495" s="457"/>
      <c r="GX495" s="457"/>
      <c r="GY495" s="457"/>
      <c r="GZ495" s="457"/>
      <c r="HA495" s="457"/>
      <c r="HB495" s="457"/>
      <c r="HC495" s="457"/>
      <c r="HD495" s="457"/>
      <c r="HE495" s="457"/>
      <c r="HF495" s="457"/>
      <c r="HG495" s="457"/>
      <c r="HH495" s="457"/>
      <c r="HI495" s="457"/>
      <c r="HJ495" s="457"/>
      <c r="HK495" s="457"/>
      <c r="HL495" s="457"/>
      <c r="HM495" s="457"/>
      <c r="HN495" s="457"/>
      <c r="HO495" s="457"/>
      <c r="HP495" s="457"/>
      <c r="HQ495" s="457"/>
      <c r="HR495" s="457"/>
      <c r="HS495" s="457"/>
      <c r="HT495" s="457"/>
      <c r="HU495" s="457"/>
      <c r="HV495" s="457"/>
      <c r="HW495" s="457"/>
      <c r="HX495" s="457"/>
      <c r="HY495" s="457"/>
      <c r="HZ495" s="457"/>
      <c r="IA495" s="457"/>
      <c r="IB495" s="457"/>
      <c r="IC495" s="457"/>
      <c r="ID495" s="457"/>
      <c r="IE495" s="457"/>
      <c r="IF495" s="457"/>
      <c r="IG495" s="457"/>
      <c r="IH495" s="457"/>
      <c r="II495" s="457"/>
      <c r="IJ495" s="457"/>
      <c r="IK495" s="457"/>
      <c r="IL495" s="457"/>
      <c r="IM495" s="457"/>
      <c r="IN495" s="457"/>
      <c r="IO495" s="457"/>
      <c r="IP495" s="457"/>
      <c r="IQ495" s="457"/>
      <c r="IR495" s="457"/>
      <c r="IS495" s="457"/>
      <c r="IT495" s="457"/>
      <c r="IU495" s="457"/>
      <c r="IV495" s="457"/>
      <c r="IW495" s="457"/>
      <c r="IX495" s="457"/>
      <c r="IY495" s="457"/>
      <c r="IZ495" s="457"/>
      <c r="JA495" s="457"/>
      <c r="JB495" s="457"/>
      <c r="JC495" s="457"/>
      <c r="JD495" s="457"/>
      <c r="JE495" s="457"/>
      <c r="JF495" s="457"/>
      <c r="JG495" s="457"/>
      <c r="JH495" s="457"/>
      <c r="JI495" s="457"/>
      <c r="JJ495" s="457"/>
      <c r="JK495" s="457"/>
      <c r="JL495" s="457"/>
      <c r="JM495" s="457"/>
      <c r="JN495" s="457"/>
      <c r="JO495" s="457"/>
      <c r="JP495" s="457"/>
      <c r="JQ495" s="457"/>
      <c r="JR495" s="457"/>
      <c r="JS495" s="457"/>
      <c r="JT495" s="457"/>
      <c r="JU495" s="457"/>
      <c r="JV495" s="457"/>
      <c r="JW495" s="457"/>
      <c r="JX495" s="457"/>
      <c r="JY495" s="457"/>
      <c r="JZ495" s="457"/>
      <c r="KA495" s="457"/>
      <c r="KB495" s="457"/>
      <c r="KC495" s="457"/>
      <c r="KD495" s="457"/>
      <c r="KE495" s="457"/>
      <c r="KF495" s="457"/>
      <c r="KG495" s="457"/>
      <c r="KH495" s="457"/>
      <c r="KI495" s="457"/>
      <c r="KJ495" s="457"/>
      <c r="KK495" s="457"/>
      <c r="KL495" s="457"/>
      <c r="KM495" s="457"/>
      <c r="KN495" s="457"/>
      <c r="KO495" s="457"/>
      <c r="KP495" s="457"/>
      <c r="KQ495" s="457"/>
      <c r="KR495" s="457"/>
      <c r="KS495" s="457"/>
      <c r="KT495" s="457"/>
      <c r="KU495" s="457"/>
      <c r="KV495" s="457"/>
      <c r="KW495" s="457"/>
      <c r="KX495" s="457"/>
      <c r="KY495" s="457"/>
      <c r="KZ495" s="457"/>
      <c r="LA495" s="457"/>
      <c r="LB495" s="457"/>
      <c r="LC495" s="457"/>
      <c r="LD495" s="457"/>
      <c r="LE495" s="457"/>
      <c r="LF495" s="457"/>
      <c r="LG495" s="457"/>
      <c r="LH495" s="457"/>
      <c r="LI495" s="457"/>
      <c r="LJ495" s="457"/>
      <c r="LK495" s="457"/>
      <c r="LL495" s="457"/>
      <c r="LM495" s="457"/>
      <c r="LN495" s="457"/>
      <c r="LO495" s="457"/>
      <c r="LP495" s="457"/>
      <c r="LQ495" s="457"/>
      <c r="LR495" s="457"/>
      <c r="LS495" s="457"/>
      <c r="LT495" s="457"/>
      <c r="LU495" s="457"/>
      <c r="LV495" s="457"/>
      <c r="LW495" s="457"/>
      <c r="LX495" s="457"/>
      <c r="LY495" s="457"/>
      <c r="LZ495" s="457"/>
      <c r="MA495" s="457"/>
      <c r="MB495" s="457"/>
      <c r="MC495" s="457"/>
      <c r="MD495" s="457"/>
      <c r="ME495" s="457"/>
      <c r="MF495" s="457"/>
      <c r="MG495" s="457"/>
      <c r="MH495" s="457"/>
      <c r="MI495" s="457"/>
      <c r="MJ495" s="457"/>
      <c r="MK495" s="457"/>
      <c r="ML495" s="457"/>
      <c r="MM495" s="457"/>
      <c r="MN495" s="457"/>
      <c r="MO495" s="457"/>
      <c r="MP495" s="457"/>
      <c r="MQ495" s="457"/>
      <c r="MR495" s="457"/>
      <c r="MS495" s="457"/>
      <c r="MT495" s="457"/>
      <c r="MU495" s="457"/>
      <c r="MV495" s="457"/>
      <c r="MW495" s="457"/>
      <c r="MX495" s="457"/>
      <c r="MY495" s="457"/>
      <c r="MZ495" s="457"/>
      <c r="NA495" s="457"/>
      <c r="NB495" s="457"/>
      <c r="NC495" s="457"/>
      <c r="ND495" s="457"/>
      <c r="NE495" s="457"/>
      <c r="NF495" s="457"/>
      <c r="NG495" s="457"/>
      <c r="NH495" s="457"/>
      <c r="NI495" s="457"/>
      <c r="NJ495" s="457"/>
      <c r="NK495" s="457"/>
      <c r="NL495" s="457"/>
      <c r="NM495" s="457"/>
      <c r="NN495" s="457"/>
      <c r="NO495" s="457"/>
      <c r="NP495" s="457"/>
      <c r="NQ495" s="457"/>
      <c r="NR495" s="457"/>
      <c r="NS495" s="457"/>
      <c r="NT495" s="457"/>
      <c r="NU495" s="457"/>
      <c r="NV495" s="457"/>
      <c r="NW495" s="457"/>
      <c r="NX495" s="457"/>
      <c r="NY495" s="457"/>
      <c r="NZ495" s="457"/>
      <c r="OA495" s="457"/>
      <c r="OB495" s="457"/>
      <c r="OC495" s="457"/>
      <c r="OD495" s="457"/>
      <c r="OE495" s="457"/>
      <c r="OF495" s="457"/>
      <c r="OG495" s="457"/>
      <c r="OH495" s="457"/>
      <c r="OI495" s="457"/>
      <c r="OJ495" s="457"/>
      <c r="OK495" s="457"/>
      <c r="OL495" s="457"/>
      <c r="OM495" s="457"/>
      <c r="ON495" s="457"/>
      <c r="OO495" s="457"/>
      <c r="OP495" s="457"/>
      <c r="OQ495" s="457"/>
      <c r="OR495" s="457"/>
      <c r="OS495" s="457"/>
      <c r="OT495" s="457"/>
      <c r="OU495" s="457"/>
      <c r="OV495" s="457"/>
      <c r="OW495" s="457"/>
      <c r="OX495" s="457"/>
      <c r="OY495" s="457"/>
      <c r="OZ495" s="457"/>
      <c r="PA495" s="457"/>
      <c r="PB495" s="457"/>
      <c r="PC495" s="457"/>
      <c r="PD495" s="457"/>
      <c r="PE495" s="457"/>
      <c r="PF495" s="457"/>
      <c r="PG495" s="457"/>
      <c r="PH495" s="457"/>
      <c r="PI495" s="457"/>
      <c r="PJ495" s="457"/>
      <c r="PK495" s="457"/>
      <c r="PL495" s="457"/>
      <c r="PM495" s="457"/>
      <c r="PN495" s="457"/>
      <c r="PO495" s="457"/>
      <c r="PP495" s="457"/>
      <c r="PQ495" s="457"/>
      <c r="PR495" s="457"/>
      <c r="PS495" s="457"/>
      <c r="PT495" s="457"/>
      <c r="PU495" s="457"/>
      <c r="PV495" s="457"/>
      <c r="PW495" s="457"/>
      <c r="PX495" s="457"/>
      <c r="PY495" s="457"/>
      <c r="PZ495" s="457"/>
      <c r="QA495" s="457"/>
      <c r="QB495" s="457"/>
      <c r="QC495" s="457"/>
      <c r="QD495" s="457"/>
      <c r="QE495" s="457"/>
      <c r="QF495" s="457"/>
      <c r="QG495" s="457"/>
      <c r="QH495" s="457"/>
      <c r="QI495" s="457"/>
      <c r="QJ495" s="457"/>
      <c r="QK495" s="457"/>
      <c r="QL495" s="457"/>
      <c r="QM495" s="457"/>
      <c r="QN495" s="457"/>
      <c r="QO495" s="457"/>
      <c r="QP495" s="457"/>
      <c r="QQ495" s="457"/>
      <c r="QR495" s="457"/>
      <c r="QS495" s="457"/>
      <c r="QT495" s="457"/>
      <c r="QU495" s="457"/>
      <c r="QV495" s="457"/>
      <c r="QW495" s="457"/>
      <c r="QX495" s="457"/>
      <c r="QY495" s="457"/>
      <c r="QZ495" s="457"/>
      <c r="RA495" s="457"/>
      <c r="RB495" s="457"/>
      <c r="RC495" s="457"/>
      <c r="RD495" s="457"/>
      <c r="RE495" s="457"/>
      <c r="RF495" s="457"/>
      <c r="RG495" s="457"/>
      <c r="RH495" s="457"/>
      <c r="RI495" s="457"/>
      <c r="RJ495" s="457"/>
      <c r="RK495" s="457"/>
      <c r="RL495" s="457"/>
      <c r="RM495" s="457"/>
      <c r="RN495" s="457"/>
      <c r="RO495" s="457"/>
      <c r="RP495" s="457"/>
      <c r="RQ495" s="457"/>
      <c r="RR495" s="457"/>
      <c r="RS495" s="457"/>
      <c r="RT495" s="457"/>
      <c r="RU495" s="457"/>
      <c r="RV495" s="457"/>
      <c r="RW495" s="457"/>
      <c r="RX495" s="457"/>
      <c r="RY495" s="457"/>
      <c r="RZ495" s="457"/>
      <c r="SA495" s="457"/>
      <c r="SB495" s="457"/>
      <c r="SC495" s="457"/>
      <c r="SD495" s="457"/>
      <c r="SE495" s="457"/>
      <c r="SF495" s="457"/>
      <c r="SG495" s="457"/>
      <c r="SH495" s="457"/>
      <c r="SI495" s="457"/>
      <c r="SJ495" s="457"/>
      <c r="SK495" s="457"/>
      <c r="SL495" s="457"/>
      <c r="SM495" s="457"/>
      <c r="SN495" s="457"/>
      <c r="SO495" s="457"/>
      <c r="SP495" s="457"/>
      <c r="SQ495" s="457"/>
      <c r="SR495" s="457"/>
      <c r="SS495" s="457"/>
      <c r="ST495" s="457"/>
      <c r="SU495" s="457"/>
      <c r="SV495" s="457"/>
      <c r="SW495" s="457"/>
      <c r="SX495" s="457"/>
      <c r="SY495" s="457"/>
      <c r="SZ495" s="457"/>
      <c r="TA495" s="457"/>
      <c r="TB495" s="457"/>
      <c r="TC495" s="457"/>
      <c r="TD495" s="457"/>
      <c r="TE495" s="457"/>
      <c r="TF495" s="457"/>
      <c r="TG495" s="457"/>
      <c r="TH495" s="457"/>
      <c r="TI495" s="457"/>
      <c r="TJ495" s="457"/>
      <c r="TK495" s="457"/>
      <c r="TL495" s="457"/>
      <c r="TM495" s="457"/>
      <c r="TN495" s="457"/>
      <c r="TO495" s="457"/>
      <c r="TP495" s="457"/>
      <c r="TQ495" s="457"/>
      <c r="TR495" s="457"/>
      <c r="TS495" s="457"/>
      <c r="TT495" s="457"/>
      <c r="TU495" s="457"/>
      <c r="TV495" s="457"/>
      <c r="TW495" s="457"/>
      <c r="TX495" s="457"/>
      <c r="TY495" s="457"/>
      <c r="TZ495" s="457"/>
      <c r="UA495" s="457"/>
      <c r="UB495" s="457"/>
      <c r="UC495" s="457"/>
      <c r="UD495" s="457"/>
      <c r="UE495" s="457"/>
      <c r="UF495" s="457"/>
      <c r="UG495" s="457"/>
      <c r="UH495" s="457"/>
      <c r="UI495" s="457"/>
      <c r="UJ495" s="457"/>
      <c r="UK495" s="457"/>
      <c r="UL495" s="457"/>
      <c r="UM495" s="457"/>
      <c r="UN495" s="457"/>
      <c r="UO495" s="457"/>
      <c r="UP495" s="457"/>
      <c r="UQ495" s="457"/>
      <c r="UR495" s="457"/>
      <c r="US495" s="457"/>
      <c r="UT495" s="457"/>
      <c r="UU495" s="457"/>
      <c r="UV495" s="457"/>
      <c r="UW495" s="457"/>
      <c r="UX495" s="457"/>
      <c r="UY495" s="457"/>
      <c r="UZ495" s="457"/>
      <c r="VA495" s="457"/>
      <c r="VB495" s="457"/>
      <c r="VC495" s="457"/>
      <c r="VD495" s="457"/>
      <c r="VE495" s="457"/>
      <c r="VF495" s="457"/>
      <c r="VG495" s="457"/>
      <c r="VH495" s="457"/>
      <c r="VI495" s="457"/>
      <c r="VJ495" s="457"/>
      <c r="VK495" s="457"/>
      <c r="VL495" s="457"/>
      <c r="VM495" s="457"/>
      <c r="VN495" s="457"/>
      <c r="VO495" s="457"/>
      <c r="VP495" s="457"/>
      <c r="VQ495" s="457"/>
      <c r="VR495" s="457"/>
      <c r="VS495" s="457"/>
      <c r="VT495" s="457"/>
      <c r="VU495" s="457"/>
      <c r="VV495" s="457"/>
      <c r="VW495" s="457"/>
      <c r="VX495" s="457"/>
      <c r="VY495" s="457"/>
      <c r="VZ495" s="457"/>
      <c r="WA495" s="457"/>
      <c r="WB495" s="457"/>
      <c r="WC495" s="457"/>
      <c r="WD495" s="457"/>
      <c r="WE495" s="457"/>
      <c r="WF495" s="457"/>
      <c r="WG495" s="457"/>
      <c r="WH495" s="457"/>
      <c r="WI495" s="457"/>
      <c r="WJ495" s="457"/>
      <c r="WK495" s="457"/>
      <c r="WL495" s="457"/>
      <c r="WM495" s="457"/>
      <c r="WN495" s="457"/>
      <c r="WO495" s="457"/>
      <c r="WP495" s="457"/>
      <c r="WQ495" s="457"/>
      <c r="WR495" s="457"/>
      <c r="WS495" s="457"/>
      <c r="WT495" s="457"/>
      <c r="WU495" s="457"/>
      <c r="WV495" s="457"/>
      <c r="WW495" s="457"/>
      <c r="WX495" s="457"/>
      <c r="WY495" s="457"/>
      <c r="WZ495" s="457"/>
      <c r="XA495" s="457"/>
      <c r="XB495" s="457"/>
      <c r="XC495" s="457"/>
      <c r="XD495" s="457"/>
      <c r="XE495" s="457"/>
      <c r="XF495" s="457"/>
      <c r="XG495" s="457"/>
      <c r="XH495" s="457"/>
      <c r="XI495" s="457"/>
      <c r="XJ495" s="457"/>
      <c r="XK495" s="457"/>
      <c r="XL495" s="457"/>
      <c r="XM495" s="457"/>
      <c r="XN495" s="457"/>
      <c r="XO495" s="457"/>
      <c r="XP495" s="457"/>
      <c r="XQ495" s="457"/>
      <c r="XR495" s="457"/>
      <c r="XS495" s="457"/>
      <c r="XT495" s="457"/>
      <c r="XU495" s="457"/>
      <c r="XV495" s="457"/>
      <c r="XW495" s="457"/>
      <c r="XX495" s="457"/>
      <c r="XY495" s="457"/>
      <c r="XZ495" s="457"/>
      <c r="YA495" s="457"/>
      <c r="YB495" s="457"/>
      <c r="YC495" s="457"/>
      <c r="YD495" s="457"/>
      <c r="YE495" s="457"/>
      <c r="YF495" s="457"/>
      <c r="YG495" s="457"/>
      <c r="YH495" s="457"/>
      <c r="YI495" s="457"/>
      <c r="YJ495" s="457"/>
      <c r="YK495" s="457"/>
      <c r="YL495" s="457"/>
      <c r="YM495" s="457"/>
      <c r="YN495" s="457"/>
      <c r="YO495" s="457"/>
      <c r="YP495" s="457"/>
      <c r="YQ495" s="457"/>
      <c r="YR495" s="457"/>
      <c r="YS495" s="457"/>
      <c r="YT495" s="457"/>
      <c r="YU495" s="457"/>
      <c r="YV495" s="457"/>
      <c r="YW495" s="457"/>
      <c r="YX495" s="457"/>
      <c r="YY495" s="457"/>
      <c r="YZ495" s="457"/>
      <c r="ZA495" s="457"/>
      <c r="ZB495" s="457"/>
      <c r="ZC495" s="457"/>
      <c r="ZD495" s="457"/>
      <c r="ZE495" s="457"/>
      <c r="ZF495" s="457"/>
      <c r="ZG495" s="457"/>
      <c r="ZH495" s="457"/>
      <c r="ZI495" s="457"/>
      <c r="ZJ495" s="457"/>
      <c r="ZK495" s="457"/>
      <c r="ZL495" s="457"/>
      <c r="ZM495" s="457"/>
      <c r="ZN495" s="457"/>
      <c r="ZO495" s="457"/>
      <c r="ZP495" s="457"/>
      <c r="ZQ495" s="457"/>
      <c r="ZR495" s="457"/>
      <c r="ZS495" s="457"/>
      <c r="ZT495" s="457"/>
      <c r="ZU495" s="457"/>
      <c r="ZV495" s="457"/>
      <c r="ZW495" s="457"/>
      <c r="ZX495" s="457"/>
      <c r="ZY495" s="457"/>
      <c r="ZZ495" s="457"/>
      <c r="AAA495" s="457"/>
      <c r="AAB495" s="457"/>
      <c r="AAC495" s="457"/>
      <c r="AAD495" s="457"/>
      <c r="AAE495" s="457"/>
      <c r="AAF495" s="457"/>
      <c r="AAG495" s="457"/>
      <c r="AAH495" s="457"/>
      <c r="AAI495" s="457"/>
      <c r="AAJ495" s="457"/>
      <c r="AAK495" s="457"/>
      <c r="AAL495" s="457"/>
      <c r="AAM495" s="457"/>
      <c r="AAN495" s="457"/>
      <c r="AAO495" s="457"/>
      <c r="AAP495" s="457"/>
      <c r="AAQ495" s="457"/>
      <c r="AAR495" s="457"/>
      <c r="AAS495" s="457"/>
      <c r="AAT495" s="457"/>
      <c r="AAU495" s="457"/>
      <c r="AAV495" s="457"/>
      <c r="AAW495" s="457"/>
      <c r="AAX495" s="457"/>
      <c r="AAY495" s="457"/>
      <c r="AAZ495" s="457"/>
      <c r="ABA495" s="457"/>
      <c r="ABB495" s="457"/>
      <c r="ABC495" s="457"/>
      <c r="ABD495" s="457"/>
      <c r="ABE495" s="457"/>
      <c r="ABF495" s="457"/>
      <c r="ABG495" s="457"/>
      <c r="ABH495" s="457"/>
      <c r="ABI495" s="457"/>
      <c r="ABJ495" s="457"/>
      <c r="ABK495" s="457"/>
      <c r="ABL495" s="457"/>
      <c r="ABM495" s="457"/>
      <c r="ABN495" s="457"/>
      <c r="ABO495" s="457"/>
      <c r="ABP495" s="457"/>
      <c r="ABQ495" s="457"/>
      <c r="ABR495" s="457"/>
      <c r="ABS495" s="457"/>
      <c r="ABT495" s="457"/>
      <c r="ABU495" s="457"/>
      <c r="ABV495" s="457"/>
      <c r="ABW495" s="457"/>
      <c r="ABX495" s="457"/>
      <c r="ABY495" s="457"/>
      <c r="ABZ495" s="457"/>
      <c r="ACA495" s="457"/>
      <c r="ACB495" s="457"/>
      <c r="ACC495" s="457"/>
      <c r="ACD495" s="457"/>
      <c r="ACE495" s="457"/>
      <c r="ACF495" s="457"/>
      <c r="ACG495" s="457"/>
      <c r="ACH495" s="457"/>
      <c r="ACI495" s="457"/>
      <c r="ACJ495" s="457"/>
      <c r="ACK495" s="457"/>
      <c r="ACL495" s="457"/>
      <c r="ACM495" s="457"/>
      <c r="ACN495" s="457"/>
      <c r="ACO495" s="457"/>
      <c r="ACP495" s="457"/>
      <c r="ACQ495" s="457"/>
      <c r="ACR495" s="457"/>
      <c r="ACS495" s="457"/>
      <c r="ACT495" s="457"/>
      <c r="ACU495" s="457"/>
      <c r="ACV495" s="457"/>
    </row>
    <row r="496" spans="1:776" s="400" customFormat="1" x14ac:dyDescent="0.25">
      <c r="A496" s="470">
        <v>900211</v>
      </c>
      <c r="B496" s="453" t="s">
        <v>417</v>
      </c>
      <c r="C496" s="455"/>
      <c r="D496" s="454" t="s">
        <v>418</v>
      </c>
      <c r="E496" s="454">
        <v>7.48</v>
      </c>
      <c r="F496" s="458">
        <v>21.4</v>
      </c>
      <c r="G496" s="454">
        <v>0</v>
      </c>
      <c r="H496" s="454">
        <v>0.08</v>
      </c>
      <c r="I496" s="456">
        <v>2091.8000000000002</v>
      </c>
      <c r="J496" s="454">
        <v>684.6</v>
      </c>
      <c r="K496" s="454">
        <v>0.18360000000000001</v>
      </c>
      <c r="L496" s="454">
        <v>352.4</v>
      </c>
      <c r="M496" s="454">
        <v>0</v>
      </c>
      <c r="N496" s="454">
        <v>36.46</v>
      </c>
      <c r="O496" s="454">
        <v>1021.84</v>
      </c>
      <c r="P496" s="454">
        <v>203.34</v>
      </c>
      <c r="Q496" s="454">
        <v>181.54</v>
      </c>
      <c r="R496" s="397">
        <v>1.0000000000000001E-5</v>
      </c>
      <c r="S496" s="397">
        <v>1.0000000000000001E-5</v>
      </c>
      <c r="T496" s="397">
        <v>1.0000000000000001E-5</v>
      </c>
      <c r="U496" s="454">
        <v>0.01</v>
      </c>
      <c r="V496" s="454"/>
      <c r="W496" s="457"/>
      <c r="X496" s="457"/>
      <c r="Y496" s="457"/>
      <c r="Z496" s="457"/>
      <c r="AA496" s="457"/>
      <c r="AB496" s="457"/>
      <c r="AC496" s="457"/>
      <c r="AD496" s="457"/>
      <c r="AE496" s="457"/>
      <c r="AF496" s="457"/>
      <c r="AG496" s="457"/>
      <c r="AH496" s="457"/>
      <c r="AI496" s="457"/>
      <c r="AJ496" s="457"/>
      <c r="AK496" s="457"/>
      <c r="AL496" s="457"/>
      <c r="AM496" s="457"/>
      <c r="AN496" s="457"/>
      <c r="AO496" s="457"/>
      <c r="AP496" s="457"/>
      <c r="AQ496" s="457"/>
      <c r="AR496" s="457"/>
      <c r="AS496" s="457"/>
      <c r="AT496" s="457"/>
      <c r="AU496" s="457"/>
      <c r="AV496" s="457"/>
      <c r="AW496" s="457"/>
      <c r="AX496" s="457"/>
      <c r="AY496" s="457"/>
      <c r="AZ496" s="457"/>
      <c r="BA496" s="457"/>
      <c r="BB496" s="457"/>
      <c r="BC496" s="457"/>
      <c r="BD496" s="457"/>
      <c r="BE496" s="457"/>
      <c r="BF496" s="457"/>
      <c r="BG496" s="457"/>
      <c r="BH496" s="457"/>
      <c r="BI496" s="457"/>
      <c r="BJ496" s="457"/>
      <c r="BK496" s="457"/>
      <c r="BL496" s="457"/>
      <c r="BM496" s="457"/>
      <c r="BN496" s="457"/>
      <c r="BO496" s="457"/>
      <c r="BP496" s="457"/>
      <c r="BQ496" s="457"/>
      <c r="BR496" s="457"/>
      <c r="BS496" s="457"/>
      <c r="BT496" s="457"/>
      <c r="BU496" s="457"/>
      <c r="BV496" s="457"/>
      <c r="BW496" s="457"/>
      <c r="BX496" s="457"/>
      <c r="BY496" s="457"/>
      <c r="BZ496" s="457"/>
      <c r="CA496" s="457"/>
      <c r="CB496" s="457"/>
      <c r="CC496" s="457"/>
      <c r="CD496" s="457"/>
      <c r="CE496" s="457"/>
      <c r="CF496" s="457"/>
      <c r="CG496" s="457"/>
      <c r="CH496" s="457"/>
      <c r="CI496" s="457"/>
      <c r="CJ496" s="457"/>
      <c r="CK496" s="457"/>
      <c r="CL496" s="457"/>
      <c r="CM496" s="457"/>
      <c r="CN496" s="457"/>
      <c r="CO496" s="457"/>
      <c r="CP496" s="457"/>
      <c r="CQ496" s="457"/>
      <c r="CR496" s="457"/>
      <c r="CS496" s="457"/>
      <c r="CT496" s="457"/>
      <c r="CU496" s="457"/>
      <c r="CV496" s="457"/>
      <c r="CW496" s="457"/>
      <c r="CX496" s="457"/>
      <c r="CY496" s="457"/>
      <c r="CZ496" s="457"/>
      <c r="DA496" s="457"/>
      <c r="DB496" s="457"/>
      <c r="DC496" s="457"/>
      <c r="DD496" s="457"/>
      <c r="DE496" s="457"/>
      <c r="DF496" s="457"/>
      <c r="DG496" s="457"/>
      <c r="DH496" s="457"/>
      <c r="DI496" s="457"/>
      <c r="DJ496" s="457"/>
      <c r="DK496" s="457"/>
      <c r="DL496" s="457"/>
      <c r="DM496" s="457"/>
      <c r="DN496" s="457"/>
      <c r="DO496" s="457"/>
      <c r="DP496" s="457"/>
      <c r="DQ496" s="457"/>
      <c r="DR496" s="457"/>
      <c r="DS496" s="457"/>
      <c r="DT496" s="457"/>
      <c r="DU496" s="457"/>
      <c r="DV496" s="457"/>
      <c r="DW496" s="457"/>
      <c r="DX496" s="457"/>
      <c r="DY496" s="457"/>
      <c r="DZ496" s="457"/>
      <c r="EA496" s="457"/>
      <c r="EB496" s="457"/>
      <c r="EC496" s="457"/>
      <c r="ED496" s="457"/>
      <c r="EE496" s="457"/>
      <c r="EF496" s="457"/>
      <c r="EG496" s="457"/>
      <c r="EH496" s="457"/>
      <c r="EI496" s="457"/>
      <c r="EJ496" s="457"/>
      <c r="EK496" s="457"/>
      <c r="EL496" s="457"/>
      <c r="EM496" s="457"/>
      <c r="EN496" s="457"/>
      <c r="EO496" s="457"/>
      <c r="EP496" s="457"/>
      <c r="EQ496" s="457"/>
      <c r="ER496" s="457"/>
      <c r="ES496" s="457"/>
      <c r="ET496" s="457"/>
      <c r="EU496" s="457"/>
      <c r="EV496" s="457"/>
      <c r="EW496" s="457"/>
      <c r="EX496" s="457"/>
      <c r="EY496" s="457"/>
      <c r="EZ496" s="457"/>
      <c r="FA496" s="457"/>
      <c r="FB496" s="457"/>
      <c r="FC496" s="457"/>
      <c r="FD496" s="457"/>
      <c r="FE496" s="457"/>
      <c r="FF496" s="457"/>
      <c r="FG496" s="457"/>
      <c r="FH496" s="457"/>
      <c r="FI496" s="457"/>
      <c r="FJ496" s="457"/>
      <c r="FK496" s="457"/>
      <c r="FL496" s="457"/>
      <c r="FM496" s="457"/>
      <c r="FN496" s="457"/>
      <c r="FO496" s="457"/>
      <c r="FP496" s="457"/>
      <c r="FQ496" s="457"/>
      <c r="FR496" s="457"/>
      <c r="FS496" s="457"/>
      <c r="FT496" s="457"/>
      <c r="FU496" s="457"/>
      <c r="FV496" s="457"/>
      <c r="FW496" s="457"/>
      <c r="FX496" s="457"/>
      <c r="FY496" s="457"/>
      <c r="FZ496" s="457"/>
      <c r="GA496" s="457"/>
      <c r="GB496" s="457"/>
      <c r="GC496" s="457"/>
      <c r="GD496" s="457"/>
      <c r="GE496" s="457"/>
      <c r="GF496" s="457"/>
      <c r="GG496" s="457"/>
      <c r="GH496" s="457"/>
      <c r="GI496" s="457"/>
      <c r="GJ496" s="457"/>
      <c r="GK496" s="457"/>
      <c r="GL496" s="457"/>
      <c r="GM496" s="457"/>
      <c r="GN496" s="457"/>
      <c r="GO496" s="457"/>
      <c r="GP496" s="457"/>
      <c r="GQ496" s="457"/>
      <c r="GR496" s="457"/>
      <c r="GS496" s="457"/>
      <c r="GT496" s="457"/>
      <c r="GU496" s="457"/>
      <c r="GV496" s="457"/>
      <c r="GW496" s="457"/>
      <c r="GX496" s="457"/>
      <c r="GY496" s="457"/>
      <c r="GZ496" s="457"/>
      <c r="HA496" s="457"/>
      <c r="HB496" s="457"/>
      <c r="HC496" s="457"/>
      <c r="HD496" s="457"/>
      <c r="HE496" s="457"/>
      <c r="HF496" s="457"/>
      <c r="HG496" s="457"/>
      <c r="HH496" s="457"/>
      <c r="HI496" s="457"/>
      <c r="HJ496" s="457"/>
      <c r="HK496" s="457"/>
      <c r="HL496" s="457"/>
      <c r="HM496" s="457"/>
      <c r="HN496" s="457"/>
      <c r="HO496" s="457"/>
      <c r="HP496" s="457"/>
      <c r="HQ496" s="457"/>
      <c r="HR496" s="457"/>
      <c r="HS496" s="457"/>
      <c r="HT496" s="457"/>
      <c r="HU496" s="457"/>
      <c r="HV496" s="457"/>
      <c r="HW496" s="457"/>
      <c r="HX496" s="457"/>
      <c r="HY496" s="457"/>
      <c r="HZ496" s="457"/>
      <c r="IA496" s="457"/>
      <c r="IB496" s="457"/>
      <c r="IC496" s="457"/>
      <c r="ID496" s="457"/>
      <c r="IE496" s="457"/>
      <c r="IF496" s="457"/>
      <c r="IG496" s="457"/>
      <c r="IH496" s="457"/>
      <c r="II496" s="457"/>
      <c r="IJ496" s="457"/>
      <c r="IK496" s="457"/>
      <c r="IL496" s="457"/>
      <c r="IM496" s="457"/>
      <c r="IN496" s="457"/>
      <c r="IO496" s="457"/>
      <c r="IP496" s="457"/>
      <c r="IQ496" s="457"/>
      <c r="IR496" s="457"/>
      <c r="IS496" s="457"/>
      <c r="IT496" s="457"/>
      <c r="IU496" s="457"/>
      <c r="IV496" s="457"/>
      <c r="IW496" s="457"/>
      <c r="IX496" s="457"/>
      <c r="IY496" s="457"/>
      <c r="IZ496" s="457"/>
      <c r="JA496" s="457"/>
      <c r="JB496" s="457"/>
      <c r="JC496" s="457"/>
      <c r="JD496" s="457"/>
      <c r="JE496" s="457"/>
      <c r="JF496" s="457"/>
      <c r="JG496" s="457"/>
      <c r="JH496" s="457"/>
      <c r="JI496" s="457"/>
      <c r="JJ496" s="457"/>
      <c r="JK496" s="457"/>
      <c r="JL496" s="457"/>
      <c r="JM496" s="457"/>
      <c r="JN496" s="457"/>
      <c r="JO496" s="457"/>
      <c r="JP496" s="457"/>
      <c r="JQ496" s="457"/>
      <c r="JR496" s="457"/>
      <c r="JS496" s="457"/>
      <c r="JT496" s="457"/>
      <c r="JU496" s="457"/>
      <c r="JV496" s="457"/>
      <c r="JW496" s="457"/>
      <c r="JX496" s="457"/>
      <c r="JY496" s="457"/>
      <c r="JZ496" s="457"/>
      <c r="KA496" s="457"/>
      <c r="KB496" s="457"/>
      <c r="KC496" s="457"/>
      <c r="KD496" s="457"/>
      <c r="KE496" s="457"/>
      <c r="KF496" s="457"/>
      <c r="KG496" s="457"/>
      <c r="KH496" s="457"/>
      <c r="KI496" s="457"/>
      <c r="KJ496" s="457"/>
      <c r="KK496" s="457"/>
      <c r="KL496" s="457"/>
      <c r="KM496" s="457"/>
      <c r="KN496" s="457"/>
      <c r="KO496" s="457"/>
      <c r="KP496" s="457"/>
      <c r="KQ496" s="457"/>
      <c r="KR496" s="457"/>
      <c r="KS496" s="457"/>
      <c r="KT496" s="457"/>
      <c r="KU496" s="457"/>
      <c r="KV496" s="457"/>
      <c r="KW496" s="457"/>
      <c r="KX496" s="457"/>
      <c r="KY496" s="457"/>
      <c r="KZ496" s="457"/>
      <c r="LA496" s="457"/>
      <c r="LB496" s="457"/>
      <c r="LC496" s="457"/>
      <c r="LD496" s="457"/>
      <c r="LE496" s="457"/>
      <c r="LF496" s="457"/>
      <c r="LG496" s="457"/>
      <c r="LH496" s="457"/>
      <c r="LI496" s="457"/>
      <c r="LJ496" s="457"/>
      <c r="LK496" s="457"/>
      <c r="LL496" s="457"/>
      <c r="LM496" s="457"/>
      <c r="LN496" s="457"/>
      <c r="LO496" s="457"/>
      <c r="LP496" s="457"/>
      <c r="LQ496" s="457"/>
      <c r="LR496" s="457"/>
      <c r="LS496" s="457"/>
      <c r="LT496" s="457"/>
      <c r="LU496" s="457"/>
      <c r="LV496" s="457"/>
      <c r="LW496" s="457"/>
      <c r="LX496" s="457"/>
      <c r="LY496" s="457"/>
      <c r="LZ496" s="457"/>
      <c r="MA496" s="457"/>
      <c r="MB496" s="457"/>
      <c r="MC496" s="457"/>
      <c r="MD496" s="457"/>
      <c r="ME496" s="457"/>
      <c r="MF496" s="457"/>
      <c r="MG496" s="457"/>
      <c r="MH496" s="457"/>
      <c r="MI496" s="457"/>
      <c r="MJ496" s="457"/>
      <c r="MK496" s="457"/>
      <c r="ML496" s="457"/>
      <c r="MM496" s="457"/>
      <c r="MN496" s="457"/>
      <c r="MO496" s="457"/>
      <c r="MP496" s="457"/>
      <c r="MQ496" s="457"/>
      <c r="MR496" s="457"/>
      <c r="MS496" s="457"/>
      <c r="MT496" s="457"/>
      <c r="MU496" s="457"/>
      <c r="MV496" s="457"/>
      <c r="MW496" s="457"/>
      <c r="MX496" s="457"/>
      <c r="MY496" s="457"/>
      <c r="MZ496" s="457"/>
      <c r="NA496" s="457"/>
      <c r="NB496" s="457"/>
      <c r="NC496" s="457"/>
      <c r="ND496" s="457"/>
      <c r="NE496" s="457"/>
      <c r="NF496" s="457"/>
      <c r="NG496" s="457"/>
      <c r="NH496" s="457"/>
      <c r="NI496" s="457"/>
      <c r="NJ496" s="457"/>
      <c r="NK496" s="457"/>
      <c r="NL496" s="457"/>
      <c r="NM496" s="457"/>
      <c r="NN496" s="457"/>
      <c r="NO496" s="457"/>
      <c r="NP496" s="457"/>
      <c r="NQ496" s="457"/>
      <c r="NR496" s="457"/>
      <c r="NS496" s="457"/>
      <c r="NT496" s="457"/>
      <c r="NU496" s="457"/>
      <c r="NV496" s="457"/>
      <c r="NW496" s="457"/>
      <c r="NX496" s="457"/>
      <c r="NY496" s="457"/>
      <c r="NZ496" s="457"/>
      <c r="OA496" s="457"/>
      <c r="OB496" s="457"/>
      <c r="OC496" s="457"/>
      <c r="OD496" s="457"/>
      <c r="OE496" s="457"/>
      <c r="OF496" s="457"/>
      <c r="OG496" s="457"/>
      <c r="OH496" s="457"/>
      <c r="OI496" s="457"/>
      <c r="OJ496" s="457"/>
      <c r="OK496" s="457"/>
      <c r="OL496" s="457"/>
      <c r="OM496" s="457"/>
      <c r="ON496" s="457"/>
      <c r="OO496" s="457"/>
      <c r="OP496" s="457"/>
      <c r="OQ496" s="457"/>
      <c r="OR496" s="457"/>
      <c r="OS496" s="457"/>
      <c r="OT496" s="457"/>
      <c r="OU496" s="457"/>
      <c r="OV496" s="457"/>
      <c r="OW496" s="457"/>
      <c r="OX496" s="457"/>
      <c r="OY496" s="457"/>
      <c r="OZ496" s="457"/>
      <c r="PA496" s="457"/>
      <c r="PB496" s="457"/>
      <c r="PC496" s="457"/>
      <c r="PD496" s="457"/>
      <c r="PE496" s="457"/>
      <c r="PF496" s="457"/>
      <c r="PG496" s="457"/>
      <c r="PH496" s="457"/>
      <c r="PI496" s="457"/>
      <c r="PJ496" s="457"/>
      <c r="PK496" s="457"/>
      <c r="PL496" s="457"/>
      <c r="PM496" s="457"/>
      <c r="PN496" s="457"/>
      <c r="PO496" s="457"/>
      <c r="PP496" s="457"/>
      <c r="PQ496" s="457"/>
      <c r="PR496" s="457"/>
      <c r="PS496" s="457"/>
      <c r="PT496" s="457"/>
      <c r="PU496" s="457"/>
      <c r="PV496" s="457"/>
      <c r="PW496" s="457"/>
      <c r="PX496" s="457"/>
      <c r="PY496" s="457"/>
      <c r="PZ496" s="457"/>
      <c r="QA496" s="457"/>
      <c r="QB496" s="457"/>
      <c r="QC496" s="457"/>
      <c r="QD496" s="457"/>
      <c r="QE496" s="457"/>
      <c r="QF496" s="457"/>
      <c r="QG496" s="457"/>
      <c r="QH496" s="457"/>
      <c r="QI496" s="457"/>
      <c r="QJ496" s="457"/>
      <c r="QK496" s="457"/>
      <c r="QL496" s="457"/>
      <c r="QM496" s="457"/>
      <c r="QN496" s="457"/>
      <c r="QO496" s="457"/>
      <c r="QP496" s="457"/>
      <c r="QQ496" s="457"/>
      <c r="QR496" s="457"/>
      <c r="QS496" s="457"/>
      <c r="QT496" s="457"/>
      <c r="QU496" s="457"/>
      <c r="QV496" s="457"/>
      <c r="QW496" s="457"/>
      <c r="QX496" s="457"/>
      <c r="QY496" s="457"/>
      <c r="QZ496" s="457"/>
      <c r="RA496" s="457"/>
      <c r="RB496" s="457"/>
      <c r="RC496" s="457"/>
      <c r="RD496" s="457"/>
      <c r="RE496" s="457"/>
      <c r="RF496" s="457"/>
      <c r="RG496" s="457"/>
      <c r="RH496" s="457"/>
      <c r="RI496" s="457"/>
      <c r="RJ496" s="457"/>
      <c r="RK496" s="457"/>
      <c r="RL496" s="457"/>
      <c r="RM496" s="457"/>
      <c r="RN496" s="457"/>
      <c r="RO496" s="457"/>
      <c r="RP496" s="457"/>
      <c r="RQ496" s="457"/>
      <c r="RR496" s="457"/>
      <c r="RS496" s="457"/>
      <c r="RT496" s="457"/>
      <c r="RU496" s="457"/>
      <c r="RV496" s="457"/>
      <c r="RW496" s="457"/>
      <c r="RX496" s="457"/>
      <c r="RY496" s="457"/>
      <c r="RZ496" s="457"/>
      <c r="SA496" s="457"/>
      <c r="SB496" s="457"/>
      <c r="SC496" s="457"/>
      <c r="SD496" s="457"/>
      <c r="SE496" s="457"/>
      <c r="SF496" s="457"/>
      <c r="SG496" s="457"/>
      <c r="SH496" s="457"/>
      <c r="SI496" s="457"/>
      <c r="SJ496" s="457"/>
      <c r="SK496" s="457"/>
      <c r="SL496" s="457"/>
      <c r="SM496" s="457"/>
      <c r="SN496" s="457"/>
      <c r="SO496" s="457"/>
      <c r="SP496" s="457"/>
      <c r="SQ496" s="457"/>
      <c r="SR496" s="457"/>
      <c r="SS496" s="457"/>
      <c r="ST496" s="457"/>
      <c r="SU496" s="457"/>
      <c r="SV496" s="457"/>
      <c r="SW496" s="457"/>
      <c r="SX496" s="457"/>
      <c r="SY496" s="457"/>
      <c r="SZ496" s="457"/>
      <c r="TA496" s="457"/>
      <c r="TB496" s="457"/>
      <c r="TC496" s="457"/>
      <c r="TD496" s="457"/>
      <c r="TE496" s="457"/>
      <c r="TF496" s="457"/>
      <c r="TG496" s="457"/>
      <c r="TH496" s="457"/>
      <c r="TI496" s="457"/>
      <c r="TJ496" s="457"/>
      <c r="TK496" s="457"/>
      <c r="TL496" s="457"/>
      <c r="TM496" s="457"/>
      <c r="TN496" s="457"/>
      <c r="TO496" s="457"/>
      <c r="TP496" s="457"/>
      <c r="TQ496" s="457"/>
      <c r="TR496" s="457"/>
      <c r="TS496" s="457"/>
      <c r="TT496" s="457"/>
      <c r="TU496" s="457"/>
      <c r="TV496" s="457"/>
      <c r="TW496" s="457"/>
      <c r="TX496" s="457"/>
      <c r="TY496" s="457"/>
      <c r="TZ496" s="457"/>
      <c r="UA496" s="457"/>
      <c r="UB496" s="457"/>
      <c r="UC496" s="457"/>
      <c r="UD496" s="457"/>
      <c r="UE496" s="457"/>
      <c r="UF496" s="457"/>
      <c r="UG496" s="457"/>
      <c r="UH496" s="457"/>
      <c r="UI496" s="457"/>
      <c r="UJ496" s="457"/>
      <c r="UK496" s="457"/>
      <c r="UL496" s="457"/>
      <c r="UM496" s="457"/>
      <c r="UN496" s="457"/>
      <c r="UO496" s="457"/>
      <c r="UP496" s="457"/>
      <c r="UQ496" s="457"/>
      <c r="UR496" s="457"/>
      <c r="US496" s="457"/>
      <c r="UT496" s="457"/>
      <c r="UU496" s="457"/>
      <c r="UV496" s="457"/>
      <c r="UW496" s="457"/>
      <c r="UX496" s="457"/>
      <c r="UY496" s="457"/>
      <c r="UZ496" s="457"/>
      <c r="VA496" s="457"/>
      <c r="VB496" s="457"/>
      <c r="VC496" s="457"/>
      <c r="VD496" s="457"/>
      <c r="VE496" s="457"/>
      <c r="VF496" s="457"/>
      <c r="VG496" s="457"/>
      <c r="VH496" s="457"/>
      <c r="VI496" s="457"/>
      <c r="VJ496" s="457"/>
      <c r="VK496" s="457"/>
      <c r="VL496" s="457"/>
      <c r="VM496" s="457"/>
      <c r="VN496" s="457"/>
      <c r="VO496" s="457"/>
      <c r="VP496" s="457"/>
      <c r="VQ496" s="457"/>
      <c r="VR496" s="457"/>
      <c r="VS496" s="457"/>
      <c r="VT496" s="457"/>
      <c r="VU496" s="457"/>
      <c r="VV496" s="457"/>
      <c r="VW496" s="457"/>
      <c r="VX496" s="457"/>
      <c r="VY496" s="457"/>
      <c r="VZ496" s="457"/>
      <c r="WA496" s="457"/>
      <c r="WB496" s="457"/>
      <c r="WC496" s="457"/>
      <c r="WD496" s="457"/>
      <c r="WE496" s="457"/>
      <c r="WF496" s="457"/>
      <c r="WG496" s="457"/>
      <c r="WH496" s="457"/>
      <c r="WI496" s="457"/>
      <c r="WJ496" s="457"/>
      <c r="WK496" s="457"/>
      <c r="WL496" s="457"/>
      <c r="WM496" s="457"/>
      <c r="WN496" s="457"/>
      <c r="WO496" s="457"/>
      <c r="WP496" s="457"/>
      <c r="WQ496" s="457"/>
      <c r="WR496" s="457"/>
      <c r="WS496" s="457"/>
      <c r="WT496" s="457"/>
      <c r="WU496" s="457"/>
      <c r="WV496" s="457"/>
      <c r="WW496" s="457"/>
      <c r="WX496" s="457"/>
      <c r="WY496" s="457"/>
      <c r="WZ496" s="457"/>
      <c r="XA496" s="457"/>
      <c r="XB496" s="457"/>
      <c r="XC496" s="457"/>
      <c r="XD496" s="457"/>
      <c r="XE496" s="457"/>
      <c r="XF496" s="457"/>
      <c r="XG496" s="457"/>
      <c r="XH496" s="457"/>
      <c r="XI496" s="457"/>
      <c r="XJ496" s="457"/>
      <c r="XK496" s="457"/>
      <c r="XL496" s="457"/>
      <c r="XM496" s="457"/>
      <c r="XN496" s="457"/>
      <c r="XO496" s="457"/>
      <c r="XP496" s="457"/>
      <c r="XQ496" s="457"/>
      <c r="XR496" s="457"/>
      <c r="XS496" s="457"/>
      <c r="XT496" s="457"/>
      <c r="XU496" s="457"/>
      <c r="XV496" s="457"/>
      <c r="XW496" s="457"/>
      <c r="XX496" s="457"/>
      <c r="XY496" s="457"/>
      <c r="XZ496" s="457"/>
      <c r="YA496" s="457"/>
      <c r="YB496" s="457"/>
      <c r="YC496" s="457"/>
      <c r="YD496" s="457"/>
      <c r="YE496" s="457"/>
      <c r="YF496" s="457"/>
      <c r="YG496" s="457"/>
      <c r="YH496" s="457"/>
      <c r="YI496" s="457"/>
      <c r="YJ496" s="457"/>
      <c r="YK496" s="457"/>
      <c r="YL496" s="457"/>
      <c r="YM496" s="457"/>
      <c r="YN496" s="457"/>
      <c r="YO496" s="457"/>
      <c r="YP496" s="457"/>
      <c r="YQ496" s="457"/>
      <c r="YR496" s="457"/>
      <c r="YS496" s="457"/>
      <c r="YT496" s="457"/>
      <c r="YU496" s="457"/>
      <c r="YV496" s="457"/>
      <c r="YW496" s="457"/>
      <c r="YX496" s="457"/>
      <c r="YY496" s="457"/>
      <c r="YZ496" s="457"/>
      <c r="ZA496" s="457"/>
      <c r="ZB496" s="457"/>
      <c r="ZC496" s="457"/>
      <c r="ZD496" s="457"/>
      <c r="ZE496" s="457"/>
      <c r="ZF496" s="457"/>
      <c r="ZG496" s="457"/>
      <c r="ZH496" s="457"/>
      <c r="ZI496" s="457"/>
      <c r="ZJ496" s="457"/>
      <c r="ZK496" s="457"/>
      <c r="ZL496" s="457"/>
      <c r="ZM496" s="457"/>
      <c r="ZN496" s="457"/>
      <c r="ZO496" s="457"/>
      <c r="ZP496" s="457"/>
      <c r="ZQ496" s="457"/>
      <c r="ZR496" s="457"/>
      <c r="ZS496" s="457"/>
      <c r="ZT496" s="457"/>
      <c r="ZU496" s="457"/>
      <c r="ZV496" s="457"/>
      <c r="ZW496" s="457"/>
      <c r="ZX496" s="457"/>
      <c r="ZY496" s="457"/>
      <c r="ZZ496" s="457"/>
      <c r="AAA496" s="457"/>
      <c r="AAB496" s="457"/>
      <c r="AAC496" s="457"/>
      <c r="AAD496" s="457"/>
      <c r="AAE496" s="457"/>
      <c r="AAF496" s="457"/>
      <c r="AAG496" s="457"/>
      <c r="AAH496" s="457"/>
      <c r="AAI496" s="457"/>
      <c r="AAJ496" s="457"/>
      <c r="AAK496" s="457"/>
      <c r="AAL496" s="457"/>
      <c r="AAM496" s="457"/>
      <c r="AAN496" s="457"/>
      <c r="AAO496" s="457"/>
      <c r="AAP496" s="457"/>
      <c r="AAQ496" s="457"/>
      <c r="AAR496" s="457"/>
      <c r="AAS496" s="457"/>
      <c r="AAT496" s="457"/>
      <c r="AAU496" s="457"/>
      <c r="AAV496" s="457"/>
      <c r="AAW496" s="457"/>
      <c r="AAX496" s="457"/>
      <c r="AAY496" s="457"/>
      <c r="AAZ496" s="457"/>
      <c r="ABA496" s="457"/>
      <c r="ABB496" s="457"/>
      <c r="ABC496" s="457"/>
      <c r="ABD496" s="457"/>
      <c r="ABE496" s="457"/>
      <c r="ABF496" s="457"/>
      <c r="ABG496" s="457"/>
      <c r="ABH496" s="457"/>
      <c r="ABI496" s="457"/>
      <c r="ABJ496" s="457"/>
      <c r="ABK496" s="457"/>
      <c r="ABL496" s="457"/>
      <c r="ABM496" s="457"/>
      <c r="ABN496" s="457"/>
      <c r="ABO496" s="457"/>
      <c r="ABP496" s="457"/>
      <c r="ABQ496" s="457"/>
      <c r="ABR496" s="457"/>
      <c r="ABS496" s="457"/>
      <c r="ABT496" s="457"/>
      <c r="ABU496" s="457"/>
      <c r="ABV496" s="457"/>
      <c r="ABW496" s="457"/>
      <c r="ABX496" s="457"/>
      <c r="ABY496" s="457"/>
      <c r="ABZ496" s="457"/>
      <c r="ACA496" s="457"/>
      <c r="ACB496" s="457"/>
      <c r="ACC496" s="457"/>
      <c r="ACD496" s="457"/>
      <c r="ACE496" s="457"/>
      <c r="ACF496" s="457"/>
      <c r="ACG496" s="457"/>
      <c r="ACH496" s="457"/>
      <c r="ACI496" s="457"/>
      <c r="ACJ496" s="457"/>
      <c r="ACK496" s="457"/>
      <c r="ACL496" s="457"/>
      <c r="ACM496" s="457"/>
      <c r="ACN496" s="457"/>
      <c r="ACO496" s="457"/>
      <c r="ACP496" s="457"/>
      <c r="ACQ496" s="457"/>
      <c r="ACR496" s="457"/>
      <c r="ACS496" s="457"/>
      <c r="ACT496" s="457"/>
      <c r="ACU496" s="457"/>
      <c r="ACV496" s="457"/>
    </row>
    <row r="497" spans="1:776" s="400" customFormat="1" x14ac:dyDescent="0.25">
      <c r="A497" s="43">
        <v>900212</v>
      </c>
      <c r="B497" s="237" t="s">
        <v>419</v>
      </c>
      <c r="C497" s="236"/>
      <c r="D497" s="34" t="s">
        <v>199</v>
      </c>
      <c r="E497" s="34">
        <v>4.05</v>
      </c>
      <c r="F497" s="39">
        <v>24.7</v>
      </c>
      <c r="G497" s="34">
        <v>0</v>
      </c>
      <c r="H497" s="34">
        <v>0.2</v>
      </c>
      <c r="I497" s="41">
        <v>1239</v>
      </c>
      <c r="J497" s="34">
        <v>199</v>
      </c>
      <c r="K497" s="34">
        <v>0.2142</v>
      </c>
      <c r="L497" s="34">
        <v>298</v>
      </c>
      <c r="M497" s="34">
        <v>0</v>
      </c>
      <c r="N497" s="34">
        <v>2.33</v>
      </c>
      <c r="O497" s="34">
        <v>296.32</v>
      </c>
      <c r="P497" s="34">
        <v>362.72</v>
      </c>
      <c r="Q497" s="34">
        <v>121.47</v>
      </c>
      <c r="R497" s="34">
        <v>0.01</v>
      </c>
      <c r="S497" s="397">
        <v>1.0000000000000001E-5</v>
      </c>
      <c r="T497" s="397">
        <v>1.0000000000000001E-5</v>
      </c>
      <c r="U497" s="397">
        <v>1.0000000000000001E-5</v>
      </c>
      <c r="V497" s="34"/>
      <c r="W497" s="403"/>
      <c r="X497" s="403"/>
      <c r="Y497" s="403"/>
      <c r="Z497" s="403"/>
      <c r="AA497" s="403"/>
      <c r="AB497" s="403"/>
      <c r="AC497" s="403"/>
      <c r="AD497" s="403"/>
      <c r="AE497" s="403"/>
      <c r="AF497" s="403"/>
      <c r="AG497" s="403"/>
      <c r="AH497" s="403"/>
      <c r="AI497" s="403"/>
      <c r="AJ497" s="403"/>
      <c r="AK497" s="403"/>
      <c r="AL497" s="403"/>
      <c r="AM497" s="403"/>
      <c r="AN497" s="403"/>
      <c r="AO497" s="403"/>
      <c r="AP497" s="403"/>
      <c r="AQ497" s="403"/>
      <c r="AR497" s="403"/>
      <c r="AS497" s="403"/>
      <c r="AT497" s="403"/>
      <c r="AU497" s="403"/>
      <c r="AV497" s="403"/>
      <c r="AW497" s="403"/>
      <c r="AX497" s="403"/>
      <c r="AY497" s="403"/>
      <c r="AZ497" s="403"/>
      <c r="BA497" s="403"/>
      <c r="BB497" s="403"/>
      <c r="BC497" s="403"/>
      <c r="BD497" s="403"/>
      <c r="BE497" s="403"/>
      <c r="BF497" s="403"/>
      <c r="BG497" s="403"/>
      <c r="BH497" s="403"/>
      <c r="BI497" s="403"/>
      <c r="BJ497" s="403"/>
      <c r="BK497" s="403"/>
      <c r="BL497" s="403"/>
      <c r="BM497" s="403"/>
      <c r="BN497" s="403"/>
      <c r="BO497" s="403"/>
      <c r="BP497" s="403"/>
      <c r="BQ497" s="403"/>
      <c r="BR497" s="403"/>
      <c r="BS497" s="403"/>
      <c r="BT497" s="403"/>
      <c r="BU497" s="403"/>
      <c r="BV497" s="403"/>
      <c r="BW497" s="403"/>
      <c r="BX497" s="403"/>
      <c r="BY497" s="403"/>
      <c r="BZ497" s="403"/>
      <c r="CA497" s="403"/>
      <c r="CB497" s="403"/>
      <c r="CC497" s="403"/>
      <c r="CD497" s="403"/>
      <c r="CE497" s="403"/>
      <c r="CF497" s="403"/>
      <c r="CG497" s="403"/>
      <c r="CH497" s="403"/>
      <c r="CI497" s="403"/>
      <c r="CJ497" s="403"/>
      <c r="CK497" s="403"/>
      <c r="CL497" s="403"/>
      <c r="CM497" s="403"/>
      <c r="CN497" s="403"/>
      <c r="CO497" s="403"/>
      <c r="CP497" s="403"/>
      <c r="CQ497" s="403"/>
      <c r="CR497" s="403"/>
      <c r="CS497" s="403"/>
      <c r="CT497" s="403"/>
      <c r="CU497" s="403"/>
      <c r="CV497" s="403"/>
      <c r="CW497" s="403"/>
      <c r="CX497" s="403"/>
      <c r="CY497" s="403"/>
      <c r="CZ497" s="403"/>
      <c r="DA497" s="403"/>
      <c r="DB497" s="403"/>
      <c r="DC497" s="403"/>
      <c r="DD497" s="403"/>
      <c r="DE497" s="403"/>
      <c r="DF497" s="403"/>
      <c r="DG497" s="403"/>
      <c r="DH497" s="403"/>
      <c r="DI497" s="403"/>
      <c r="DJ497" s="403"/>
      <c r="DK497" s="403"/>
      <c r="DL497" s="403"/>
      <c r="DM497" s="403"/>
      <c r="DN497" s="403"/>
      <c r="DO497" s="403"/>
      <c r="DP497" s="403"/>
      <c r="DQ497" s="403"/>
      <c r="DR497" s="403"/>
      <c r="DS497" s="403"/>
      <c r="DT497" s="403"/>
      <c r="DU497" s="403"/>
      <c r="DV497" s="403"/>
      <c r="DW497" s="403"/>
      <c r="DX497" s="403"/>
      <c r="DY497" s="403"/>
      <c r="DZ497" s="403"/>
      <c r="EA497" s="403"/>
      <c r="EB497" s="403"/>
      <c r="EC497" s="403"/>
      <c r="ED497" s="403"/>
      <c r="EE497" s="403"/>
      <c r="EF497" s="403"/>
      <c r="EG497" s="403"/>
      <c r="EH497" s="403"/>
      <c r="EI497" s="403"/>
      <c r="EJ497" s="403"/>
      <c r="EK497" s="403"/>
      <c r="EL497" s="403"/>
      <c r="EM497" s="403"/>
      <c r="EN497" s="403"/>
      <c r="EO497" s="403"/>
      <c r="EP497" s="403"/>
      <c r="EQ497" s="403"/>
      <c r="ER497" s="403"/>
      <c r="ES497" s="403"/>
      <c r="ET497" s="403"/>
      <c r="EU497" s="403"/>
      <c r="EV497" s="403"/>
      <c r="EW497" s="403"/>
      <c r="EX497" s="403"/>
      <c r="EY497" s="403"/>
      <c r="EZ497" s="403"/>
      <c r="FA497" s="403"/>
      <c r="FB497" s="403"/>
      <c r="FC497" s="403"/>
      <c r="FD497" s="403"/>
      <c r="FE497" s="403"/>
      <c r="FF497" s="403"/>
      <c r="FG497" s="403"/>
      <c r="FH497" s="403"/>
      <c r="FI497" s="403"/>
      <c r="FJ497" s="403"/>
      <c r="FK497" s="403"/>
      <c r="FL497" s="403"/>
      <c r="FM497" s="403"/>
      <c r="FN497" s="403"/>
      <c r="FO497" s="403"/>
      <c r="FP497" s="403"/>
      <c r="FQ497" s="403"/>
      <c r="FR497" s="403"/>
      <c r="FS497" s="403"/>
      <c r="FT497" s="403"/>
      <c r="FU497" s="403"/>
      <c r="FV497" s="403"/>
      <c r="FW497" s="403"/>
      <c r="FX497" s="403"/>
      <c r="FY497" s="403"/>
      <c r="FZ497" s="403"/>
      <c r="GA497" s="403"/>
      <c r="GB497" s="403"/>
      <c r="GC497" s="403"/>
      <c r="GD497" s="403"/>
      <c r="GE497" s="403"/>
      <c r="GF497" s="403"/>
      <c r="GG497" s="403"/>
      <c r="GH497" s="403"/>
      <c r="GI497" s="403"/>
      <c r="GJ497" s="403"/>
      <c r="GK497" s="403"/>
      <c r="GL497" s="403"/>
      <c r="GM497" s="403"/>
      <c r="GN497" s="403"/>
      <c r="GO497" s="403"/>
      <c r="GP497" s="403"/>
      <c r="GQ497" s="403"/>
      <c r="GR497" s="403"/>
      <c r="GS497" s="403"/>
      <c r="GT497" s="403"/>
      <c r="GU497" s="403"/>
      <c r="GV497" s="403"/>
      <c r="GW497" s="403"/>
      <c r="GX497" s="403"/>
      <c r="GY497" s="403"/>
      <c r="GZ497" s="403"/>
      <c r="HA497" s="403"/>
      <c r="HB497" s="403"/>
      <c r="HC497" s="403"/>
      <c r="HD497" s="403"/>
      <c r="HE497" s="403"/>
      <c r="HF497" s="403"/>
      <c r="HG497" s="403"/>
      <c r="HH497" s="403"/>
      <c r="HI497" s="403"/>
      <c r="HJ497" s="403"/>
      <c r="HK497" s="403"/>
      <c r="HL497" s="403"/>
      <c r="HM497" s="403"/>
      <c r="HN497" s="403"/>
      <c r="HO497" s="403"/>
      <c r="HP497" s="403"/>
      <c r="HQ497" s="403"/>
      <c r="HR497" s="403"/>
      <c r="HS497" s="403"/>
      <c r="HT497" s="403"/>
      <c r="HU497" s="403"/>
      <c r="HV497" s="403"/>
      <c r="HW497" s="403"/>
      <c r="HX497" s="403"/>
      <c r="HY497" s="403"/>
      <c r="HZ497" s="403"/>
      <c r="IA497" s="403"/>
      <c r="IB497" s="403"/>
      <c r="IC497" s="403"/>
      <c r="ID497" s="403"/>
      <c r="IE497" s="403"/>
      <c r="IF497" s="403"/>
      <c r="IG497" s="403"/>
      <c r="IH497" s="403"/>
      <c r="II497" s="403"/>
      <c r="IJ497" s="403"/>
      <c r="IK497" s="403"/>
      <c r="IL497" s="403"/>
      <c r="IM497" s="403"/>
      <c r="IN497" s="403"/>
      <c r="IO497" s="403"/>
      <c r="IP497" s="403"/>
      <c r="IQ497" s="403"/>
      <c r="IR497" s="403"/>
      <c r="IS497" s="403"/>
      <c r="IT497" s="403"/>
      <c r="IU497" s="403"/>
      <c r="IV497" s="403"/>
      <c r="IW497" s="403"/>
      <c r="IX497" s="403"/>
      <c r="IY497" s="403"/>
      <c r="IZ497" s="403"/>
      <c r="JA497" s="403"/>
      <c r="JB497" s="403"/>
      <c r="JC497" s="403"/>
      <c r="JD497" s="403"/>
      <c r="JE497" s="403"/>
      <c r="JF497" s="403"/>
      <c r="JG497" s="403"/>
      <c r="JH497" s="403"/>
      <c r="JI497" s="403"/>
      <c r="JJ497" s="403"/>
      <c r="JK497" s="403"/>
      <c r="JL497" s="403"/>
      <c r="JM497" s="403"/>
      <c r="JN497" s="403"/>
      <c r="JO497" s="403"/>
      <c r="JP497" s="403"/>
      <c r="JQ497" s="403"/>
      <c r="JR497" s="403"/>
      <c r="JS497" s="403"/>
      <c r="JT497" s="403"/>
      <c r="JU497" s="403"/>
      <c r="JV497" s="403"/>
      <c r="JW497" s="403"/>
      <c r="JX497" s="403"/>
      <c r="JY497" s="403"/>
      <c r="JZ497" s="403"/>
      <c r="KA497" s="403"/>
      <c r="KB497" s="403"/>
      <c r="KC497" s="403"/>
      <c r="KD497" s="403"/>
      <c r="KE497" s="403"/>
      <c r="KF497" s="403"/>
      <c r="KG497" s="403"/>
      <c r="KH497" s="403"/>
      <c r="KI497" s="403"/>
      <c r="KJ497" s="403"/>
      <c r="KK497" s="403"/>
      <c r="KL497" s="403"/>
      <c r="KM497" s="403"/>
      <c r="KN497" s="403"/>
      <c r="KO497" s="403"/>
      <c r="KP497" s="403"/>
      <c r="KQ497" s="403"/>
      <c r="KR497" s="403"/>
      <c r="KS497" s="403"/>
      <c r="KT497" s="403"/>
      <c r="KU497" s="403"/>
      <c r="KV497" s="403"/>
      <c r="KW497" s="403"/>
      <c r="KX497" s="403"/>
      <c r="KY497" s="403"/>
      <c r="KZ497" s="403"/>
      <c r="LA497" s="403"/>
      <c r="LB497" s="403"/>
      <c r="LC497" s="403"/>
      <c r="LD497" s="403"/>
      <c r="LE497" s="403"/>
      <c r="LF497" s="403"/>
      <c r="LG497" s="403"/>
      <c r="LH497" s="403"/>
      <c r="LI497" s="403"/>
      <c r="LJ497" s="403"/>
      <c r="LK497" s="403"/>
      <c r="LL497" s="403"/>
      <c r="LM497" s="403"/>
      <c r="LN497" s="403"/>
      <c r="LO497" s="403"/>
      <c r="LP497" s="403"/>
      <c r="LQ497" s="403"/>
      <c r="LR497" s="403"/>
      <c r="LS497" s="403"/>
      <c r="LT497" s="403"/>
      <c r="LU497" s="403"/>
      <c r="LV497" s="403"/>
      <c r="LW497" s="403"/>
      <c r="LX497" s="403"/>
      <c r="LY497" s="403"/>
      <c r="LZ497" s="403"/>
      <c r="MA497" s="403"/>
      <c r="MB497" s="403"/>
      <c r="MC497" s="403"/>
      <c r="MD497" s="403"/>
      <c r="ME497" s="403"/>
      <c r="MF497" s="403"/>
      <c r="MG497" s="403"/>
      <c r="MH497" s="403"/>
      <c r="MI497" s="403"/>
      <c r="MJ497" s="403"/>
      <c r="MK497" s="403"/>
      <c r="ML497" s="403"/>
      <c r="MM497" s="403"/>
      <c r="MN497" s="403"/>
      <c r="MO497" s="403"/>
      <c r="MP497" s="403"/>
      <c r="MQ497" s="403"/>
      <c r="MR497" s="403"/>
      <c r="MS497" s="403"/>
      <c r="MT497" s="403"/>
      <c r="MU497" s="403"/>
      <c r="MV497" s="403"/>
      <c r="MW497" s="403"/>
      <c r="MX497" s="403"/>
      <c r="MY497" s="403"/>
      <c r="MZ497" s="403"/>
      <c r="NA497" s="403"/>
      <c r="NB497" s="403"/>
      <c r="NC497" s="403"/>
      <c r="ND497" s="403"/>
      <c r="NE497" s="403"/>
      <c r="NF497" s="403"/>
      <c r="NG497" s="403"/>
      <c r="NH497" s="403"/>
      <c r="NI497" s="403"/>
      <c r="NJ497" s="403"/>
      <c r="NK497" s="403"/>
      <c r="NL497" s="403"/>
      <c r="NM497" s="403"/>
      <c r="NN497" s="403"/>
      <c r="NO497" s="403"/>
      <c r="NP497" s="403"/>
      <c r="NQ497" s="403"/>
      <c r="NR497" s="403"/>
      <c r="NS497" s="403"/>
      <c r="NT497" s="403"/>
      <c r="NU497" s="403"/>
      <c r="NV497" s="403"/>
      <c r="NW497" s="403"/>
      <c r="NX497" s="403"/>
      <c r="NY497" s="403"/>
      <c r="NZ497" s="403"/>
      <c r="OA497" s="403"/>
      <c r="OB497" s="403"/>
      <c r="OC497" s="403"/>
      <c r="OD497" s="403"/>
      <c r="OE497" s="403"/>
      <c r="OF497" s="403"/>
      <c r="OG497" s="403"/>
      <c r="OH497" s="403"/>
      <c r="OI497" s="403"/>
      <c r="OJ497" s="403"/>
      <c r="OK497" s="403"/>
      <c r="OL497" s="403"/>
      <c r="OM497" s="403"/>
      <c r="ON497" s="403"/>
      <c r="OO497" s="403"/>
      <c r="OP497" s="403"/>
      <c r="OQ497" s="403"/>
      <c r="OR497" s="403"/>
      <c r="OS497" s="403"/>
      <c r="OT497" s="403"/>
      <c r="OU497" s="403"/>
      <c r="OV497" s="403"/>
      <c r="OW497" s="403"/>
      <c r="OX497" s="403"/>
      <c r="OY497" s="403"/>
      <c r="OZ497" s="403"/>
      <c r="PA497" s="403"/>
      <c r="PB497" s="403"/>
      <c r="PC497" s="403"/>
      <c r="PD497" s="403"/>
      <c r="PE497" s="403"/>
      <c r="PF497" s="403"/>
      <c r="PG497" s="403"/>
      <c r="PH497" s="403"/>
      <c r="PI497" s="403"/>
      <c r="PJ497" s="403"/>
      <c r="PK497" s="403"/>
      <c r="PL497" s="403"/>
      <c r="PM497" s="403"/>
      <c r="PN497" s="403"/>
      <c r="PO497" s="403"/>
      <c r="PP497" s="403"/>
      <c r="PQ497" s="403"/>
      <c r="PR497" s="403"/>
      <c r="PS497" s="403"/>
      <c r="PT497" s="403"/>
      <c r="PU497" s="403"/>
      <c r="PV497" s="403"/>
      <c r="PW497" s="403"/>
      <c r="PX497" s="403"/>
      <c r="PY497" s="403"/>
      <c r="PZ497" s="403"/>
      <c r="QA497" s="403"/>
      <c r="QB497" s="403"/>
      <c r="QC497" s="403"/>
      <c r="QD497" s="403"/>
      <c r="QE497" s="403"/>
      <c r="QF497" s="403"/>
      <c r="QG497" s="403"/>
      <c r="QH497" s="403"/>
      <c r="QI497" s="403"/>
      <c r="QJ497" s="403"/>
      <c r="QK497" s="403"/>
      <c r="QL497" s="403"/>
      <c r="QM497" s="403"/>
      <c r="QN497" s="403"/>
      <c r="QO497" s="403"/>
      <c r="QP497" s="403"/>
      <c r="QQ497" s="403"/>
      <c r="QR497" s="403"/>
      <c r="QS497" s="403"/>
      <c r="QT497" s="403"/>
      <c r="QU497" s="403"/>
      <c r="QV497" s="403"/>
      <c r="QW497" s="403"/>
      <c r="QX497" s="403"/>
      <c r="QY497" s="403"/>
      <c r="QZ497" s="403"/>
      <c r="RA497" s="403"/>
      <c r="RB497" s="403"/>
      <c r="RC497" s="403"/>
      <c r="RD497" s="403"/>
      <c r="RE497" s="403"/>
      <c r="RF497" s="403"/>
      <c r="RG497" s="403"/>
      <c r="RH497" s="403"/>
      <c r="RI497" s="403"/>
      <c r="RJ497" s="403"/>
      <c r="RK497" s="403"/>
      <c r="RL497" s="403"/>
      <c r="RM497" s="403"/>
      <c r="RN497" s="403"/>
      <c r="RO497" s="403"/>
      <c r="RP497" s="403"/>
      <c r="RQ497" s="403"/>
      <c r="RR497" s="403"/>
      <c r="RS497" s="403"/>
      <c r="RT497" s="403"/>
      <c r="RU497" s="403"/>
      <c r="RV497" s="403"/>
      <c r="RW497" s="403"/>
      <c r="RX497" s="403"/>
      <c r="RY497" s="403"/>
      <c r="RZ497" s="403"/>
      <c r="SA497" s="403"/>
      <c r="SB497" s="403"/>
      <c r="SC497" s="403"/>
      <c r="SD497" s="403"/>
      <c r="SE497" s="403"/>
      <c r="SF497" s="403"/>
      <c r="SG497" s="403"/>
      <c r="SH497" s="403"/>
      <c r="SI497" s="403"/>
      <c r="SJ497" s="403"/>
      <c r="SK497" s="403"/>
      <c r="SL497" s="403"/>
      <c r="SM497" s="403"/>
      <c r="SN497" s="403"/>
      <c r="SO497" s="403"/>
      <c r="SP497" s="403"/>
      <c r="SQ497" s="403"/>
      <c r="SR497" s="403"/>
      <c r="SS497" s="403"/>
      <c r="ST497" s="403"/>
      <c r="SU497" s="403"/>
      <c r="SV497" s="403"/>
      <c r="SW497" s="403"/>
      <c r="SX497" s="403"/>
      <c r="SY497" s="403"/>
      <c r="SZ497" s="403"/>
      <c r="TA497" s="403"/>
      <c r="TB497" s="403"/>
      <c r="TC497" s="403"/>
      <c r="TD497" s="403"/>
      <c r="TE497" s="403"/>
      <c r="TF497" s="403"/>
      <c r="TG497" s="403"/>
      <c r="TH497" s="403"/>
      <c r="TI497" s="403"/>
      <c r="TJ497" s="403"/>
      <c r="TK497" s="403"/>
      <c r="TL497" s="403"/>
      <c r="TM497" s="403"/>
      <c r="TN497" s="403"/>
      <c r="TO497" s="403"/>
      <c r="TP497" s="403"/>
      <c r="TQ497" s="403"/>
      <c r="TR497" s="403"/>
      <c r="TS497" s="403"/>
      <c r="TT497" s="403"/>
      <c r="TU497" s="403"/>
      <c r="TV497" s="403"/>
      <c r="TW497" s="403"/>
      <c r="TX497" s="403"/>
      <c r="TY497" s="403"/>
      <c r="TZ497" s="403"/>
      <c r="UA497" s="403"/>
      <c r="UB497" s="403"/>
      <c r="UC497" s="403"/>
      <c r="UD497" s="403"/>
      <c r="UE497" s="403"/>
      <c r="UF497" s="403"/>
      <c r="UG497" s="403"/>
      <c r="UH497" s="403"/>
      <c r="UI497" s="403"/>
      <c r="UJ497" s="403"/>
      <c r="UK497" s="403"/>
      <c r="UL497" s="403"/>
      <c r="UM497" s="403"/>
      <c r="UN497" s="403"/>
      <c r="UO497" s="403"/>
      <c r="UP497" s="403"/>
      <c r="UQ497" s="403"/>
      <c r="UR497" s="403"/>
      <c r="US497" s="403"/>
      <c r="UT497" s="403"/>
      <c r="UU497" s="403"/>
      <c r="UV497" s="403"/>
      <c r="UW497" s="403"/>
      <c r="UX497" s="403"/>
      <c r="UY497" s="403"/>
      <c r="UZ497" s="403"/>
      <c r="VA497" s="403"/>
      <c r="VB497" s="403"/>
      <c r="VC497" s="403"/>
      <c r="VD497" s="403"/>
      <c r="VE497" s="403"/>
      <c r="VF497" s="403"/>
      <c r="VG497" s="403"/>
      <c r="VH497" s="403"/>
      <c r="VI497" s="403"/>
      <c r="VJ497" s="403"/>
      <c r="VK497" s="403"/>
      <c r="VL497" s="403"/>
      <c r="VM497" s="403"/>
      <c r="VN497" s="403"/>
      <c r="VO497" s="403"/>
      <c r="VP497" s="403"/>
      <c r="VQ497" s="403"/>
      <c r="VR497" s="403"/>
      <c r="VS497" s="403"/>
      <c r="VT497" s="403"/>
      <c r="VU497" s="403"/>
      <c r="VV497" s="403"/>
      <c r="VW497" s="403"/>
      <c r="VX497" s="403"/>
      <c r="VY497" s="403"/>
      <c r="VZ497" s="403"/>
      <c r="WA497" s="403"/>
      <c r="WB497" s="403"/>
      <c r="WC497" s="403"/>
      <c r="WD497" s="403"/>
      <c r="WE497" s="403"/>
      <c r="WF497" s="403"/>
      <c r="WG497" s="403"/>
      <c r="WH497" s="403"/>
      <c r="WI497" s="403"/>
      <c r="WJ497" s="403"/>
      <c r="WK497" s="403"/>
      <c r="WL497" s="403"/>
      <c r="WM497" s="403"/>
      <c r="WN497" s="403"/>
      <c r="WO497" s="403"/>
      <c r="WP497" s="403"/>
      <c r="WQ497" s="403"/>
      <c r="WR497" s="403"/>
      <c r="WS497" s="403"/>
      <c r="WT497" s="403"/>
      <c r="WU497" s="403"/>
      <c r="WV497" s="403"/>
      <c r="WW497" s="403"/>
      <c r="WX497" s="403"/>
      <c r="WY497" s="403"/>
      <c r="WZ497" s="403"/>
      <c r="XA497" s="403"/>
      <c r="XB497" s="403"/>
      <c r="XC497" s="403"/>
      <c r="XD497" s="403"/>
      <c r="XE497" s="403"/>
      <c r="XF497" s="403"/>
      <c r="XG497" s="403"/>
      <c r="XH497" s="403"/>
      <c r="XI497" s="403"/>
      <c r="XJ497" s="403"/>
      <c r="XK497" s="403"/>
      <c r="XL497" s="403"/>
      <c r="XM497" s="403"/>
      <c r="XN497" s="403"/>
      <c r="XO497" s="403"/>
      <c r="XP497" s="403"/>
      <c r="XQ497" s="403"/>
      <c r="XR497" s="403"/>
      <c r="XS497" s="403"/>
      <c r="XT497" s="403"/>
      <c r="XU497" s="403"/>
      <c r="XV497" s="403"/>
      <c r="XW497" s="403"/>
      <c r="XX497" s="403"/>
      <c r="XY497" s="403"/>
      <c r="XZ497" s="403"/>
      <c r="YA497" s="403"/>
      <c r="YB497" s="403"/>
      <c r="YC497" s="403"/>
      <c r="YD497" s="403"/>
      <c r="YE497" s="403"/>
      <c r="YF497" s="403"/>
      <c r="YG497" s="403"/>
      <c r="YH497" s="403"/>
      <c r="YI497" s="403"/>
      <c r="YJ497" s="403"/>
      <c r="YK497" s="403"/>
      <c r="YL497" s="403"/>
      <c r="YM497" s="403"/>
      <c r="YN497" s="403"/>
      <c r="YO497" s="403"/>
      <c r="YP497" s="403"/>
      <c r="YQ497" s="403"/>
      <c r="YR497" s="403"/>
      <c r="YS497" s="403"/>
      <c r="YT497" s="403"/>
      <c r="YU497" s="403"/>
      <c r="YV497" s="403"/>
      <c r="YW497" s="403"/>
      <c r="YX497" s="403"/>
      <c r="YY497" s="403"/>
      <c r="YZ497" s="403"/>
      <c r="ZA497" s="403"/>
      <c r="ZB497" s="403"/>
      <c r="ZC497" s="403"/>
      <c r="ZD497" s="403"/>
      <c r="ZE497" s="403"/>
      <c r="ZF497" s="403"/>
      <c r="ZG497" s="403"/>
      <c r="ZH497" s="403"/>
      <c r="ZI497" s="403"/>
      <c r="ZJ497" s="403"/>
      <c r="ZK497" s="403"/>
      <c r="ZL497" s="403"/>
      <c r="ZM497" s="403"/>
      <c r="ZN497" s="403"/>
      <c r="ZO497" s="403"/>
      <c r="ZP497" s="403"/>
      <c r="ZQ497" s="403"/>
      <c r="ZR497" s="403"/>
      <c r="ZS497" s="403"/>
      <c r="ZT497" s="403"/>
      <c r="ZU497" s="403"/>
      <c r="ZV497" s="403"/>
      <c r="ZW497" s="403"/>
      <c r="ZX497" s="403"/>
      <c r="ZY497" s="403"/>
      <c r="ZZ497" s="403"/>
      <c r="AAA497" s="403"/>
      <c r="AAB497" s="403"/>
      <c r="AAC497" s="403"/>
      <c r="AAD497" s="403"/>
      <c r="AAE497" s="403"/>
      <c r="AAF497" s="403"/>
      <c r="AAG497" s="403"/>
      <c r="AAH497" s="403"/>
      <c r="AAI497" s="403"/>
      <c r="AAJ497" s="403"/>
      <c r="AAK497" s="403"/>
      <c r="AAL497" s="403"/>
      <c r="AAM497" s="403"/>
      <c r="AAN497" s="403"/>
      <c r="AAO497" s="403"/>
      <c r="AAP497" s="403"/>
      <c r="AAQ497" s="403"/>
      <c r="AAR497" s="403"/>
      <c r="AAS497" s="403"/>
      <c r="AAT497" s="403"/>
      <c r="AAU497" s="403"/>
      <c r="AAV497" s="403"/>
      <c r="AAW497" s="403"/>
      <c r="AAX497" s="403"/>
      <c r="AAY497" s="403"/>
      <c r="AAZ497" s="403"/>
      <c r="ABA497" s="403"/>
      <c r="ABB497" s="403"/>
      <c r="ABC497" s="403"/>
      <c r="ABD497" s="403"/>
      <c r="ABE497" s="403"/>
      <c r="ABF497" s="403"/>
      <c r="ABG497" s="403"/>
      <c r="ABH497" s="403"/>
      <c r="ABI497" s="403"/>
      <c r="ABJ497" s="403"/>
      <c r="ABK497" s="403"/>
      <c r="ABL497" s="403"/>
      <c r="ABM497" s="403"/>
      <c r="ABN497" s="403"/>
      <c r="ABO497" s="403"/>
      <c r="ABP497" s="403"/>
      <c r="ABQ497" s="403"/>
      <c r="ABR497" s="403"/>
      <c r="ABS497" s="403"/>
      <c r="ABT497" s="403"/>
      <c r="ABU497" s="403"/>
      <c r="ABV497" s="403"/>
      <c r="ABW497" s="403"/>
      <c r="ABX497" s="403"/>
      <c r="ABY497" s="403"/>
      <c r="ABZ497" s="403"/>
      <c r="ACA497" s="403"/>
      <c r="ACB497" s="403"/>
      <c r="ACC497" s="403"/>
      <c r="ACD497" s="403"/>
      <c r="ACE497" s="403"/>
      <c r="ACF497" s="403"/>
      <c r="ACG497" s="403"/>
      <c r="ACH497" s="403"/>
      <c r="ACI497" s="403"/>
      <c r="ACJ497" s="403"/>
      <c r="ACK497" s="403"/>
      <c r="ACL497" s="403"/>
      <c r="ACM497" s="403"/>
      <c r="ACN497" s="403"/>
      <c r="ACO497" s="403"/>
      <c r="ACP497" s="403"/>
      <c r="ACQ497" s="403"/>
      <c r="ACR497" s="403"/>
      <c r="ACS497" s="403"/>
      <c r="ACT497" s="403"/>
      <c r="ACU497" s="403"/>
      <c r="ACV497" s="403"/>
    </row>
    <row r="498" spans="1:776" s="400" customFormat="1" x14ac:dyDescent="0.25">
      <c r="A498" s="470">
        <v>900213</v>
      </c>
      <c r="B498" s="453" t="s">
        <v>420</v>
      </c>
      <c r="C498" s="455"/>
      <c r="D498" s="454" t="s">
        <v>421</v>
      </c>
      <c r="E498" s="454">
        <v>1.05</v>
      </c>
      <c r="F498" s="458">
        <v>35.200000000000003</v>
      </c>
      <c r="G498" s="454">
        <v>0</v>
      </c>
      <c r="H498" s="454">
        <v>0.06</v>
      </c>
      <c r="I498" s="456">
        <v>105.75</v>
      </c>
      <c r="J498" s="454">
        <v>123.87</v>
      </c>
      <c r="K498" s="454">
        <v>0.27539999999999998</v>
      </c>
      <c r="L498" s="454">
        <v>376.8</v>
      </c>
      <c r="M498" s="454">
        <v>0</v>
      </c>
      <c r="N498" s="454">
        <v>9.92</v>
      </c>
      <c r="O498" s="454">
        <v>69.430000000000007</v>
      </c>
      <c r="P498" s="454">
        <v>151.24</v>
      </c>
      <c r="Q498" s="454">
        <v>19.489999999999998</v>
      </c>
      <c r="R498" s="397">
        <v>1.0000000000000001E-5</v>
      </c>
      <c r="S498" s="397">
        <v>1.0000000000000001E-5</v>
      </c>
      <c r="T498" s="397">
        <v>1.0000000000000001E-5</v>
      </c>
      <c r="U498" s="397">
        <v>1.0000000000000001E-5</v>
      </c>
      <c r="V498" s="454"/>
      <c r="W498" s="457"/>
      <c r="X498" s="457"/>
      <c r="Y498" s="457"/>
      <c r="Z498" s="457"/>
      <c r="AA498" s="457"/>
      <c r="AB498" s="457"/>
      <c r="AC498" s="457"/>
      <c r="AD498" s="457"/>
      <c r="AE498" s="457"/>
      <c r="AF498" s="457"/>
      <c r="AG498" s="457"/>
      <c r="AH498" s="457"/>
      <c r="AI498" s="457"/>
      <c r="AJ498" s="457"/>
      <c r="AK498" s="457"/>
      <c r="AL498" s="457"/>
      <c r="AM498" s="457"/>
      <c r="AN498" s="457"/>
      <c r="AO498" s="457"/>
      <c r="AP498" s="457"/>
      <c r="AQ498" s="457"/>
      <c r="AR498" s="457"/>
      <c r="AS498" s="457"/>
      <c r="AT498" s="457"/>
      <c r="AU498" s="457"/>
      <c r="AV498" s="457"/>
      <c r="AW498" s="457"/>
      <c r="AX498" s="457"/>
      <c r="AY498" s="457"/>
      <c r="AZ498" s="457"/>
      <c r="BA498" s="457"/>
      <c r="BB498" s="457"/>
      <c r="BC498" s="457"/>
      <c r="BD498" s="457"/>
      <c r="BE498" s="457"/>
      <c r="BF498" s="457"/>
      <c r="BG498" s="457"/>
      <c r="BH498" s="457"/>
      <c r="BI498" s="457"/>
      <c r="BJ498" s="457"/>
      <c r="BK498" s="457"/>
      <c r="BL498" s="457"/>
      <c r="BM498" s="457"/>
      <c r="BN498" s="457"/>
      <c r="BO498" s="457"/>
      <c r="BP498" s="457"/>
      <c r="BQ498" s="457"/>
      <c r="BR498" s="457"/>
      <c r="BS498" s="457"/>
      <c r="BT498" s="457"/>
      <c r="BU498" s="457"/>
      <c r="BV498" s="457"/>
      <c r="BW498" s="457"/>
      <c r="BX498" s="457"/>
      <c r="BY498" s="457"/>
      <c r="BZ498" s="457"/>
      <c r="CA498" s="457"/>
      <c r="CB498" s="457"/>
      <c r="CC498" s="457"/>
      <c r="CD498" s="457"/>
      <c r="CE498" s="457"/>
      <c r="CF498" s="457"/>
      <c r="CG498" s="457"/>
      <c r="CH498" s="457"/>
      <c r="CI498" s="457"/>
      <c r="CJ498" s="457"/>
      <c r="CK498" s="457"/>
      <c r="CL498" s="457"/>
      <c r="CM498" s="457"/>
      <c r="CN498" s="457"/>
      <c r="CO498" s="457"/>
      <c r="CP498" s="457"/>
      <c r="CQ498" s="457"/>
      <c r="CR498" s="457"/>
      <c r="CS498" s="457"/>
      <c r="CT498" s="457"/>
      <c r="CU498" s="457"/>
      <c r="CV498" s="457"/>
      <c r="CW498" s="457"/>
      <c r="CX498" s="457"/>
      <c r="CY498" s="457"/>
      <c r="CZ498" s="457"/>
      <c r="DA498" s="457"/>
      <c r="DB498" s="457"/>
      <c r="DC498" s="457"/>
      <c r="DD498" s="457"/>
      <c r="DE498" s="457"/>
      <c r="DF498" s="457"/>
      <c r="DG498" s="457"/>
      <c r="DH498" s="457"/>
      <c r="DI498" s="457"/>
      <c r="DJ498" s="457"/>
      <c r="DK498" s="457"/>
      <c r="DL498" s="457"/>
      <c r="DM498" s="457"/>
      <c r="DN498" s="457"/>
      <c r="DO498" s="457"/>
      <c r="DP498" s="457"/>
      <c r="DQ498" s="457"/>
      <c r="DR498" s="457"/>
      <c r="DS498" s="457"/>
      <c r="DT498" s="457"/>
      <c r="DU498" s="457"/>
      <c r="DV498" s="457"/>
      <c r="DW498" s="457"/>
      <c r="DX498" s="457"/>
      <c r="DY498" s="457"/>
      <c r="DZ498" s="457"/>
      <c r="EA498" s="457"/>
      <c r="EB498" s="457"/>
      <c r="EC498" s="457"/>
      <c r="ED498" s="457"/>
      <c r="EE498" s="457"/>
      <c r="EF498" s="457"/>
      <c r="EG498" s="457"/>
      <c r="EH498" s="457"/>
      <c r="EI498" s="457"/>
      <c r="EJ498" s="457"/>
      <c r="EK498" s="457"/>
      <c r="EL498" s="457"/>
      <c r="EM498" s="457"/>
      <c r="EN498" s="457"/>
      <c r="EO498" s="457"/>
      <c r="EP498" s="457"/>
      <c r="EQ498" s="457"/>
      <c r="ER498" s="457"/>
      <c r="ES498" s="457"/>
      <c r="ET498" s="457"/>
      <c r="EU498" s="457"/>
      <c r="EV498" s="457"/>
      <c r="EW498" s="457"/>
      <c r="EX498" s="457"/>
      <c r="EY498" s="457"/>
      <c r="EZ498" s="457"/>
      <c r="FA498" s="457"/>
      <c r="FB498" s="457"/>
      <c r="FC498" s="457"/>
      <c r="FD498" s="457"/>
      <c r="FE498" s="457"/>
      <c r="FF498" s="457"/>
      <c r="FG498" s="457"/>
      <c r="FH498" s="457"/>
      <c r="FI498" s="457"/>
      <c r="FJ498" s="457"/>
      <c r="FK498" s="457"/>
      <c r="FL498" s="457"/>
      <c r="FM498" s="457"/>
      <c r="FN498" s="457"/>
      <c r="FO498" s="457"/>
      <c r="FP498" s="457"/>
      <c r="FQ498" s="457"/>
      <c r="FR498" s="457"/>
      <c r="FS498" s="457"/>
      <c r="FT498" s="457"/>
      <c r="FU498" s="457"/>
      <c r="FV498" s="457"/>
      <c r="FW498" s="457"/>
      <c r="FX498" s="457"/>
      <c r="FY498" s="457"/>
      <c r="FZ498" s="457"/>
      <c r="GA498" s="457"/>
      <c r="GB498" s="457"/>
      <c r="GC498" s="457"/>
      <c r="GD498" s="457"/>
      <c r="GE498" s="457"/>
      <c r="GF498" s="457"/>
      <c r="GG498" s="457"/>
      <c r="GH498" s="457"/>
      <c r="GI498" s="457"/>
      <c r="GJ498" s="457"/>
      <c r="GK498" s="457"/>
      <c r="GL498" s="457"/>
      <c r="GM498" s="457"/>
      <c r="GN498" s="457"/>
      <c r="GO498" s="457"/>
      <c r="GP498" s="457"/>
      <c r="GQ498" s="457"/>
      <c r="GR498" s="457"/>
      <c r="GS498" s="457"/>
      <c r="GT498" s="457"/>
      <c r="GU498" s="457"/>
      <c r="GV498" s="457"/>
      <c r="GW498" s="457"/>
      <c r="GX498" s="457"/>
      <c r="GY498" s="457"/>
      <c r="GZ498" s="457"/>
      <c r="HA498" s="457"/>
      <c r="HB498" s="457"/>
      <c r="HC498" s="457"/>
      <c r="HD498" s="457"/>
      <c r="HE498" s="457"/>
      <c r="HF498" s="457"/>
      <c r="HG498" s="457"/>
      <c r="HH498" s="457"/>
      <c r="HI498" s="457"/>
      <c r="HJ498" s="457"/>
      <c r="HK498" s="457"/>
      <c r="HL498" s="457"/>
      <c r="HM498" s="457"/>
      <c r="HN498" s="457"/>
      <c r="HO498" s="457"/>
      <c r="HP498" s="457"/>
      <c r="HQ498" s="457"/>
      <c r="HR498" s="457"/>
      <c r="HS498" s="457"/>
      <c r="HT498" s="457"/>
      <c r="HU498" s="457"/>
      <c r="HV498" s="457"/>
      <c r="HW498" s="457"/>
      <c r="HX498" s="457"/>
      <c r="HY498" s="457"/>
      <c r="HZ498" s="457"/>
      <c r="IA498" s="457"/>
      <c r="IB498" s="457"/>
      <c r="IC498" s="457"/>
      <c r="ID498" s="457"/>
      <c r="IE498" s="457"/>
      <c r="IF498" s="457"/>
      <c r="IG498" s="457"/>
      <c r="IH498" s="457"/>
      <c r="II498" s="457"/>
      <c r="IJ498" s="457"/>
      <c r="IK498" s="457"/>
      <c r="IL498" s="457"/>
      <c r="IM498" s="457"/>
      <c r="IN498" s="457"/>
      <c r="IO498" s="457"/>
      <c r="IP498" s="457"/>
      <c r="IQ498" s="457"/>
      <c r="IR498" s="457"/>
      <c r="IS498" s="457"/>
      <c r="IT498" s="457"/>
      <c r="IU498" s="457"/>
      <c r="IV498" s="457"/>
      <c r="IW498" s="457"/>
      <c r="IX498" s="457"/>
      <c r="IY498" s="457"/>
      <c r="IZ498" s="457"/>
      <c r="JA498" s="457"/>
      <c r="JB498" s="457"/>
      <c r="JC498" s="457"/>
      <c r="JD498" s="457"/>
      <c r="JE498" s="457"/>
      <c r="JF498" s="457"/>
      <c r="JG498" s="457"/>
      <c r="JH498" s="457"/>
      <c r="JI498" s="457"/>
      <c r="JJ498" s="457"/>
      <c r="JK498" s="457"/>
      <c r="JL498" s="457"/>
      <c r="JM498" s="457"/>
      <c r="JN498" s="457"/>
      <c r="JO498" s="457"/>
      <c r="JP498" s="457"/>
      <c r="JQ498" s="457"/>
      <c r="JR498" s="457"/>
      <c r="JS498" s="457"/>
      <c r="JT498" s="457"/>
      <c r="JU498" s="457"/>
      <c r="JV498" s="457"/>
      <c r="JW498" s="457"/>
      <c r="JX498" s="457"/>
      <c r="JY498" s="457"/>
      <c r="JZ498" s="457"/>
      <c r="KA498" s="457"/>
      <c r="KB498" s="457"/>
      <c r="KC498" s="457"/>
      <c r="KD498" s="457"/>
      <c r="KE498" s="457"/>
      <c r="KF498" s="457"/>
      <c r="KG498" s="457"/>
      <c r="KH498" s="457"/>
      <c r="KI498" s="457"/>
      <c r="KJ498" s="457"/>
      <c r="KK498" s="457"/>
      <c r="KL498" s="457"/>
      <c r="KM498" s="457"/>
      <c r="KN498" s="457"/>
      <c r="KO498" s="457"/>
      <c r="KP498" s="457"/>
      <c r="KQ498" s="457"/>
      <c r="KR498" s="457"/>
      <c r="KS498" s="457"/>
      <c r="KT498" s="457"/>
      <c r="KU498" s="457"/>
      <c r="KV498" s="457"/>
      <c r="KW498" s="457"/>
      <c r="KX498" s="457"/>
      <c r="KY498" s="457"/>
      <c r="KZ498" s="457"/>
      <c r="LA498" s="457"/>
      <c r="LB498" s="457"/>
      <c r="LC498" s="457"/>
      <c r="LD498" s="457"/>
      <c r="LE498" s="457"/>
      <c r="LF498" s="457"/>
      <c r="LG498" s="457"/>
      <c r="LH498" s="457"/>
      <c r="LI498" s="457"/>
      <c r="LJ498" s="457"/>
      <c r="LK498" s="457"/>
      <c r="LL498" s="457"/>
      <c r="LM498" s="457"/>
      <c r="LN498" s="457"/>
      <c r="LO498" s="457"/>
      <c r="LP498" s="457"/>
      <c r="LQ498" s="457"/>
      <c r="LR498" s="457"/>
      <c r="LS498" s="457"/>
      <c r="LT498" s="457"/>
      <c r="LU498" s="457"/>
      <c r="LV498" s="457"/>
      <c r="LW498" s="457"/>
      <c r="LX498" s="457"/>
      <c r="LY498" s="457"/>
      <c r="LZ498" s="457"/>
      <c r="MA498" s="457"/>
      <c r="MB498" s="457"/>
      <c r="MC498" s="457"/>
      <c r="MD498" s="457"/>
      <c r="ME498" s="457"/>
      <c r="MF498" s="457"/>
      <c r="MG498" s="457"/>
      <c r="MH498" s="457"/>
      <c r="MI498" s="457"/>
      <c r="MJ498" s="457"/>
      <c r="MK498" s="457"/>
      <c r="ML498" s="457"/>
      <c r="MM498" s="457"/>
      <c r="MN498" s="457"/>
      <c r="MO498" s="457"/>
      <c r="MP498" s="457"/>
      <c r="MQ498" s="457"/>
      <c r="MR498" s="457"/>
      <c r="MS498" s="457"/>
      <c r="MT498" s="457"/>
      <c r="MU498" s="457"/>
      <c r="MV498" s="457"/>
      <c r="MW498" s="457"/>
      <c r="MX498" s="457"/>
      <c r="MY498" s="457"/>
      <c r="MZ498" s="457"/>
      <c r="NA498" s="457"/>
      <c r="NB498" s="457"/>
      <c r="NC498" s="457"/>
      <c r="ND498" s="457"/>
      <c r="NE498" s="457"/>
      <c r="NF498" s="457"/>
      <c r="NG498" s="457"/>
      <c r="NH498" s="457"/>
      <c r="NI498" s="457"/>
      <c r="NJ498" s="457"/>
      <c r="NK498" s="457"/>
      <c r="NL498" s="457"/>
      <c r="NM498" s="457"/>
      <c r="NN498" s="457"/>
      <c r="NO498" s="457"/>
      <c r="NP498" s="457"/>
      <c r="NQ498" s="457"/>
      <c r="NR498" s="457"/>
      <c r="NS498" s="457"/>
      <c r="NT498" s="457"/>
      <c r="NU498" s="457"/>
      <c r="NV498" s="457"/>
      <c r="NW498" s="457"/>
      <c r="NX498" s="457"/>
      <c r="NY498" s="457"/>
      <c r="NZ498" s="457"/>
      <c r="OA498" s="457"/>
      <c r="OB498" s="457"/>
      <c r="OC498" s="457"/>
      <c r="OD498" s="457"/>
      <c r="OE498" s="457"/>
      <c r="OF498" s="457"/>
      <c r="OG498" s="457"/>
      <c r="OH498" s="457"/>
      <c r="OI498" s="457"/>
      <c r="OJ498" s="457"/>
      <c r="OK498" s="457"/>
      <c r="OL498" s="457"/>
      <c r="OM498" s="457"/>
      <c r="ON498" s="457"/>
      <c r="OO498" s="457"/>
      <c r="OP498" s="457"/>
      <c r="OQ498" s="457"/>
      <c r="OR498" s="457"/>
      <c r="OS498" s="457"/>
      <c r="OT498" s="457"/>
      <c r="OU498" s="457"/>
      <c r="OV498" s="457"/>
      <c r="OW498" s="457"/>
      <c r="OX498" s="457"/>
      <c r="OY498" s="457"/>
      <c r="OZ498" s="457"/>
      <c r="PA498" s="457"/>
      <c r="PB498" s="457"/>
      <c r="PC498" s="457"/>
      <c r="PD498" s="457"/>
      <c r="PE498" s="457"/>
      <c r="PF498" s="457"/>
      <c r="PG498" s="457"/>
      <c r="PH498" s="457"/>
      <c r="PI498" s="457"/>
      <c r="PJ498" s="457"/>
      <c r="PK498" s="457"/>
      <c r="PL498" s="457"/>
      <c r="PM498" s="457"/>
      <c r="PN498" s="457"/>
      <c r="PO498" s="457"/>
      <c r="PP498" s="457"/>
      <c r="PQ498" s="457"/>
      <c r="PR498" s="457"/>
      <c r="PS498" s="457"/>
      <c r="PT498" s="457"/>
      <c r="PU498" s="457"/>
      <c r="PV498" s="457"/>
      <c r="PW498" s="457"/>
      <c r="PX498" s="457"/>
      <c r="PY498" s="457"/>
      <c r="PZ498" s="457"/>
      <c r="QA498" s="457"/>
      <c r="QB498" s="457"/>
      <c r="QC498" s="457"/>
      <c r="QD498" s="457"/>
      <c r="QE498" s="457"/>
      <c r="QF498" s="457"/>
      <c r="QG498" s="457"/>
      <c r="QH498" s="457"/>
      <c r="QI498" s="457"/>
      <c r="QJ498" s="457"/>
      <c r="QK498" s="457"/>
      <c r="QL498" s="457"/>
      <c r="QM498" s="457"/>
      <c r="QN498" s="457"/>
      <c r="QO498" s="457"/>
      <c r="QP498" s="457"/>
      <c r="QQ498" s="457"/>
      <c r="QR498" s="457"/>
      <c r="QS498" s="457"/>
      <c r="QT498" s="457"/>
      <c r="QU498" s="457"/>
      <c r="QV498" s="457"/>
      <c r="QW498" s="457"/>
      <c r="QX498" s="457"/>
      <c r="QY498" s="457"/>
      <c r="QZ498" s="457"/>
      <c r="RA498" s="457"/>
      <c r="RB498" s="457"/>
      <c r="RC498" s="457"/>
      <c r="RD498" s="457"/>
      <c r="RE498" s="457"/>
      <c r="RF498" s="457"/>
      <c r="RG498" s="457"/>
      <c r="RH498" s="457"/>
      <c r="RI498" s="457"/>
      <c r="RJ498" s="457"/>
      <c r="RK498" s="457"/>
      <c r="RL498" s="457"/>
      <c r="RM498" s="457"/>
      <c r="RN498" s="457"/>
      <c r="RO498" s="457"/>
      <c r="RP498" s="457"/>
      <c r="RQ498" s="457"/>
      <c r="RR498" s="457"/>
      <c r="RS498" s="457"/>
      <c r="RT498" s="457"/>
      <c r="RU498" s="457"/>
      <c r="RV498" s="457"/>
      <c r="RW498" s="457"/>
      <c r="RX498" s="457"/>
      <c r="RY498" s="457"/>
      <c r="RZ498" s="457"/>
      <c r="SA498" s="457"/>
      <c r="SB498" s="457"/>
      <c r="SC498" s="457"/>
      <c r="SD498" s="457"/>
      <c r="SE498" s="457"/>
      <c r="SF498" s="457"/>
      <c r="SG498" s="457"/>
      <c r="SH498" s="457"/>
      <c r="SI498" s="457"/>
      <c r="SJ498" s="457"/>
      <c r="SK498" s="457"/>
      <c r="SL498" s="457"/>
      <c r="SM498" s="457"/>
      <c r="SN498" s="457"/>
      <c r="SO498" s="457"/>
      <c r="SP498" s="457"/>
      <c r="SQ498" s="457"/>
      <c r="SR498" s="457"/>
      <c r="SS498" s="457"/>
      <c r="ST498" s="457"/>
      <c r="SU498" s="457"/>
      <c r="SV498" s="457"/>
      <c r="SW498" s="457"/>
      <c r="SX498" s="457"/>
      <c r="SY498" s="457"/>
      <c r="SZ498" s="457"/>
      <c r="TA498" s="457"/>
      <c r="TB498" s="457"/>
      <c r="TC498" s="457"/>
      <c r="TD498" s="457"/>
      <c r="TE498" s="457"/>
      <c r="TF498" s="457"/>
      <c r="TG498" s="457"/>
      <c r="TH498" s="457"/>
      <c r="TI498" s="457"/>
      <c r="TJ498" s="457"/>
      <c r="TK498" s="457"/>
      <c r="TL498" s="457"/>
      <c r="TM498" s="457"/>
      <c r="TN498" s="457"/>
      <c r="TO498" s="457"/>
      <c r="TP498" s="457"/>
      <c r="TQ498" s="457"/>
      <c r="TR498" s="457"/>
      <c r="TS498" s="457"/>
      <c r="TT498" s="457"/>
      <c r="TU498" s="457"/>
      <c r="TV498" s="457"/>
      <c r="TW498" s="457"/>
      <c r="TX498" s="457"/>
      <c r="TY498" s="457"/>
      <c r="TZ498" s="457"/>
      <c r="UA498" s="457"/>
      <c r="UB498" s="457"/>
      <c r="UC498" s="457"/>
      <c r="UD498" s="457"/>
      <c r="UE498" s="457"/>
      <c r="UF498" s="457"/>
      <c r="UG498" s="457"/>
      <c r="UH498" s="457"/>
      <c r="UI498" s="457"/>
      <c r="UJ498" s="457"/>
      <c r="UK498" s="457"/>
      <c r="UL498" s="457"/>
      <c r="UM498" s="457"/>
      <c r="UN498" s="457"/>
      <c r="UO498" s="457"/>
      <c r="UP498" s="457"/>
      <c r="UQ498" s="457"/>
      <c r="UR498" s="457"/>
      <c r="US498" s="457"/>
      <c r="UT498" s="457"/>
      <c r="UU498" s="457"/>
      <c r="UV498" s="457"/>
      <c r="UW498" s="457"/>
      <c r="UX498" s="457"/>
      <c r="UY498" s="457"/>
      <c r="UZ498" s="457"/>
      <c r="VA498" s="457"/>
      <c r="VB498" s="457"/>
      <c r="VC498" s="457"/>
      <c r="VD498" s="457"/>
      <c r="VE498" s="457"/>
      <c r="VF498" s="457"/>
      <c r="VG498" s="457"/>
      <c r="VH498" s="457"/>
      <c r="VI498" s="457"/>
      <c r="VJ498" s="457"/>
      <c r="VK498" s="457"/>
      <c r="VL498" s="457"/>
      <c r="VM498" s="457"/>
      <c r="VN498" s="457"/>
      <c r="VO498" s="457"/>
      <c r="VP498" s="457"/>
      <c r="VQ498" s="457"/>
      <c r="VR498" s="457"/>
      <c r="VS498" s="457"/>
      <c r="VT498" s="457"/>
      <c r="VU498" s="457"/>
      <c r="VV498" s="457"/>
      <c r="VW498" s="457"/>
      <c r="VX498" s="457"/>
      <c r="VY498" s="457"/>
      <c r="VZ498" s="457"/>
      <c r="WA498" s="457"/>
      <c r="WB498" s="457"/>
      <c r="WC498" s="457"/>
      <c r="WD498" s="457"/>
      <c r="WE498" s="457"/>
      <c r="WF498" s="457"/>
      <c r="WG498" s="457"/>
      <c r="WH498" s="457"/>
      <c r="WI498" s="457"/>
      <c r="WJ498" s="457"/>
      <c r="WK498" s="457"/>
      <c r="WL498" s="457"/>
      <c r="WM498" s="457"/>
      <c r="WN498" s="457"/>
      <c r="WO498" s="457"/>
      <c r="WP498" s="457"/>
      <c r="WQ498" s="457"/>
      <c r="WR498" s="457"/>
      <c r="WS498" s="457"/>
      <c r="WT498" s="457"/>
      <c r="WU498" s="457"/>
      <c r="WV498" s="457"/>
      <c r="WW498" s="457"/>
      <c r="WX498" s="457"/>
      <c r="WY498" s="457"/>
      <c r="WZ498" s="457"/>
      <c r="XA498" s="457"/>
      <c r="XB498" s="457"/>
      <c r="XC498" s="457"/>
      <c r="XD498" s="457"/>
      <c r="XE498" s="457"/>
      <c r="XF498" s="457"/>
      <c r="XG498" s="457"/>
      <c r="XH498" s="457"/>
      <c r="XI498" s="457"/>
      <c r="XJ498" s="457"/>
      <c r="XK498" s="457"/>
      <c r="XL498" s="457"/>
      <c r="XM498" s="457"/>
      <c r="XN498" s="457"/>
      <c r="XO498" s="457"/>
      <c r="XP498" s="457"/>
      <c r="XQ498" s="457"/>
      <c r="XR498" s="457"/>
      <c r="XS498" s="457"/>
      <c r="XT498" s="457"/>
      <c r="XU498" s="457"/>
      <c r="XV498" s="457"/>
      <c r="XW498" s="457"/>
      <c r="XX498" s="457"/>
      <c r="XY498" s="457"/>
      <c r="XZ498" s="457"/>
      <c r="YA498" s="457"/>
      <c r="YB498" s="457"/>
      <c r="YC498" s="457"/>
      <c r="YD498" s="457"/>
      <c r="YE498" s="457"/>
      <c r="YF498" s="457"/>
      <c r="YG498" s="457"/>
      <c r="YH498" s="457"/>
      <c r="YI498" s="457"/>
      <c r="YJ498" s="457"/>
      <c r="YK498" s="457"/>
      <c r="YL498" s="457"/>
      <c r="YM498" s="457"/>
      <c r="YN498" s="457"/>
      <c r="YO498" s="457"/>
      <c r="YP498" s="457"/>
      <c r="YQ498" s="457"/>
      <c r="YR498" s="457"/>
      <c r="YS498" s="457"/>
      <c r="YT498" s="457"/>
      <c r="YU498" s="457"/>
      <c r="YV498" s="457"/>
      <c r="YW498" s="457"/>
      <c r="YX498" s="457"/>
      <c r="YY498" s="457"/>
      <c r="YZ498" s="457"/>
      <c r="ZA498" s="457"/>
      <c r="ZB498" s="457"/>
      <c r="ZC498" s="457"/>
      <c r="ZD498" s="457"/>
      <c r="ZE498" s="457"/>
      <c r="ZF498" s="457"/>
      <c r="ZG498" s="457"/>
      <c r="ZH498" s="457"/>
      <c r="ZI498" s="457"/>
      <c r="ZJ498" s="457"/>
      <c r="ZK498" s="457"/>
      <c r="ZL498" s="457"/>
      <c r="ZM498" s="457"/>
      <c r="ZN498" s="457"/>
      <c r="ZO498" s="457"/>
      <c r="ZP498" s="457"/>
      <c r="ZQ498" s="457"/>
      <c r="ZR498" s="457"/>
      <c r="ZS498" s="457"/>
      <c r="ZT498" s="457"/>
      <c r="ZU498" s="457"/>
      <c r="ZV498" s="457"/>
      <c r="ZW498" s="457"/>
      <c r="ZX498" s="457"/>
      <c r="ZY498" s="457"/>
      <c r="ZZ498" s="457"/>
      <c r="AAA498" s="457"/>
      <c r="AAB498" s="457"/>
      <c r="AAC498" s="457"/>
      <c r="AAD498" s="457"/>
      <c r="AAE498" s="457"/>
      <c r="AAF498" s="457"/>
      <c r="AAG498" s="457"/>
      <c r="AAH498" s="457"/>
      <c r="AAI498" s="457"/>
      <c r="AAJ498" s="457"/>
      <c r="AAK498" s="457"/>
      <c r="AAL498" s="457"/>
      <c r="AAM498" s="457"/>
      <c r="AAN498" s="457"/>
      <c r="AAO498" s="457"/>
      <c r="AAP498" s="457"/>
      <c r="AAQ498" s="457"/>
      <c r="AAR498" s="457"/>
      <c r="AAS498" s="457"/>
      <c r="AAT498" s="457"/>
      <c r="AAU498" s="457"/>
      <c r="AAV498" s="457"/>
      <c r="AAW498" s="457"/>
      <c r="AAX498" s="457"/>
      <c r="AAY498" s="457"/>
      <c r="AAZ498" s="457"/>
      <c r="ABA498" s="457"/>
      <c r="ABB498" s="457"/>
      <c r="ABC498" s="457"/>
      <c r="ABD498" s="457"/>
      <c r="ABE498" s="457"/>
      <c r="ABF498" s="457"/>
      <c r="ABG498" s="457"/>
      <c r="ABH498" s="457"/>
      <c r="ABI498" s="457"/>
      <c r="ABJ498" s="457"/>
      <c r="ABK498" s="457"/>
      <c r="ABL498" s="457"/>
      <c r="ABM498" s="457"/>
      <c r="ABN498" s="457"/>
      <c r="ABO498" s="457"/>
      <c r="ABP498" s="457"/>
      <c r="ABQ498" s="457"/>
      <c r="ABR498" s="457"/>
      <c r="ABS498" s="457"/>
      <c r="ABT498" s="457"/>
      <c r="ABU498" s="457"/>
      <c r="ABV498" s="457"/>
      <c r="ABW498" s="457"/>
      <c r="ABX498" s="457"/>
      <c r="ABY498" s="457"/>
      <c r="ABZ498" s="457"/>
      <c r="ACA498" s="457"/>
      <c r="ACB498" s="457"/>
      <c r="ACC498" s="457"/>
      <c r="ACD498" s="457"/>
      <c r="ACE498" s="457"/>
      <c r="ACF498" s="457"/>
      <c r="ACG498" s="457"/>
      <c r="ACH498" s="457"/>
      <c r="ACI498" s="457"/>
      <c r="ACJ498" s="457"/>
      <c r="ACK498" s="457"/>
      <c r="ACL498" s="457"/>
      <c r="ACM498" s="457"/>
      <c r="ACN498" s="457"/>
      <c r="ACO498" s="457"/>
      <c r="ACP498" s="457"/>
      <c r="ACQ498" s="457"/>
      <c r="ACR498" s="457"/>
      <c r="ACS498" s="457"/>
      <c r="ACT498" s="457"/>
      <c r="ACU498" s="457"/>
      <c r="ACV498" s="457"/>
    </row>
    <row r="499" spans="1:776" s="400" customFormat="1" x14ac:dyDescent="0.25">
      <c r="A499" s="470">
        <v>900214</v>
      </c>
      <c r="B499" s="453" t="s">
        <v>422</v>
      </c>
      <c r="C499" s="455"/>
      <c r="D499" s="454" t="s">
        <v>151</v>
      </c>
      <c r="E499" s="454">
        <v>0.56000000000000005</v>
      </c>
      <c r="F499" s="458">
        <v>5.3</v>
      </c>
      <c r="G499" s="454">
        <v>0</v>
      </c>
      <c r="H499" s="454">
        <v>0.05</v>
      </c>
      <c r="I499" s="456">
        <v>59.39</v>
      </c>
      <c r="J499" s="454">
        <v>78.98</v>
      </c>
      <c r="K499" s="454">
        <v>0.2142</v>
      </c>
      <c r="L499" s="454">
        <v>151.19999999999999</v>
      </c>
      <c r="M499" s="454">
        <v>0</v>
      </c>
      <c r="N499" s="454">
        <v>15.9</v>
      </c>
      <c r="O499" s="454">
        <v>72.05</v>
      </c>
      <c r="P499" s="454">
        <v>29.66</v>
      </c>
      <c r="Q499" s="454">
        <v>7.94</v>
      </c>
      <c r="R499" s="454">
        <v>7.0000000000000007E-2</v>
      </c>
      <c r="S499" s="397">
        <v>1.0000000000000001E-5</v>
      </c>
      <c r="T499" s="454">
        <v>0.19</v>
      </c>
      <c r="U499" s="454">
        <v>1.74</v>
      </c>
      <c r="V499" s="454"/>
      <c r="W499" s="457"/>
      <c r="X499" s="457"/>
      <c r="Y499" s="457"/>
      <c r="Z499" s="457"/>
      <c r="AA499" s="457"/>
      <c r="AB499" s="457"/>
      <c r="AC499" s="457"/>
      <c r="AD499" s="457"/>
      <c r="AE499" s="457"/>
      <c r="AF499" s="457"/>
      <c r="AG499" s="457"/>
      <c r="AH499" s="457"/>
      <c r="AI499" s="457"/>
      <c r="AJ499" s="457"/>
      <c r="AK499" s="457"/>
      <c r="AL499" s="457"/>
      <c r="AM499" s="457"/>
      <c r="AN499" s="457"/>
      <c r="AO499" s="457"/>
      <c r="AP499" s="457"/>
      <c r="AQ499" s="457"/>
      <c r="AR499" s="457"/>
      <c r="AS499" s="457"/>
      <c r="AT499" s="457"/>
      <c r="AU499" s="457"/>
      <c r="AV499" s="457"/>
      <c r="AW499" s="457"/>
      <c r="AX499" s="457"/>
      <c r="AY499" s="457"/>
      <c r="AZ499" s="457"/>
      <c r="BA499" s="457"/>
      <c r="BB499" s="457"/>
      <c r="BC499" s="457"/>
      <c r="BD499" s="457"/>
      <c r="BE499" s="457"/>
      <c r="BF499" s="457"/>
      <c r="BG499" s="457"/>
      <c r="BH499" s="457"/>
      <c r="BI499" s="457"/>
      <c r="BJ499" s="457"/>
      <c r="BK499" s="457"/>
      <c r="BL499" s="457"/>
      <c r="BM499" s="457"/>
      <c r="BN499" s="457"/>
      <c r="BO499" s="457"/>
      <c r="BP499" s="457"/>
      <c r="BQ499" s="457"/>
      <c r="BR499" s="457"/>
      <c r="BS499" s="457"/>
      <c r="BT499" s="457"/>
      <c r="BU499" s="457"/>
      <c r="BV499" s="457"/>
      <c r="BW499" s="457"/>
      <c r="BX499" s="457"/>
      <c r="BY499" s="457"/>
      <c r="BZ499" s="457"/>
      <c r="CA499" s="457"/>
      <c r="CB499" s="457"/>
      <c r="CC499" s="457"/>
      <c r="CD499" s="457"/>
      <c r="CE499" s="457"/>
      <c r="CF499" s="457"/>
      <c r="CG499" s="457"/>
      <c r="CH499" s="457"/>
      <c r="CI499" s="457"/>
      <c r="CJ499" s="457"/>
      <c r="CK499" s="457"/>
      <c r="CL499" s="457"/>
      <c r="CM499" s="457"/>
      <c r="CN499" s="457"/>
      <c r="CO499" s="457"/>
      <c r="CP499" s="457"/>
      <c r="CQ499" s="457"/>
      <c r="CR499" s="457"/>
      <c r="CS499" s="457"/>
      <c r="CT499" s="457"/>
      <c r="CU499" s="457"/>
      <c r="CV499" s="457"/>
      <c r="CW499" s="457"/>
      <c r="CX499" s="457"/>
      <c r="CY499" s="457"/>
      <c r="CZ499" s="457"/>
      <c r="DA499" s="457"/>
      <c r="DB499" s="457"/>
      <c r="DC499" s="457"/>
      <c r="DD499" s="457"/>
      <c r="DE499" s="457"/>
      <c r="DF499" s="457"/>
      <c r="DG499" s="457"/>
      <c r="DH499" s="457"/>
      <c r="DI499" s="457"/>
      <c r="DJ499" s="457"/>
      <c r="DK499" s="457"/>
      <c r="DL499" s="457"/>
      <c r="DM499" s="457"/>
      <c r="DN499" s="457"/>
      <c r="DO499" s="457"/>
      <c r="DP499" s="457"/>
      <c r="DQ499" s="457"/>
      <c r="DR499" s="457"/>
      <c r="DS499" s="457"/>
      <c r="DT499" s="457"/>
      <c r="DU499" s="457"/>
      <c r="DV499" s="457"/>
      <c r="DW499" s="457"/>
      <c r="DX499" s="457"/>
      <c r="DY499" s="457"/>
      <c r="DZ499" s="457"/>
      <c r="EA499" s="457"/>
      <c r="EB499" s="457"/>
      <c r="EC499" s="457"/>
      <c r="ED499" s="457"/>
      <c r="EE499" s="457"/>
      <c r="EF499" s="457"/>
      <c r="EG499" s="457"/>
      <c r="EH499" s="457"/>
      <c r="EI499" s="457"/>
      <c r="EJ499" s="457"/>
      <c r="EK499" s="457"/>
      <c r="EL499" s="457"/>
      <c r="EM499" s="457"/>
      <c r="EN499" s="457"/>
      <c r="EO499" s="457"/>
      <c r="EP499" s="457"/>
      <c r="EQ499" s="457"/>
      <c r="ER499" s="457"/>
      <c r="ES499" s="457"/>
      <c r="ET499" s="457"/>
      <c r="EU499" s="457"/>
      <c r="EV499" s="457"/>
      <c r="EW499" s="457"/>
      <c r="EX499" s="457"/>
      <c r="EY499" s="457"/>
      <c r="EZ499" s="457"/>
      <c r="FA499" s="457"/>
      <c r="FB499" s="457"/>
      <c r="FC499" s="457"/>
      <c r="FD499" s="457"/>
      <c r="FE499" s="457"/>
      <c r="FF499" s="457"/>
      <c r="FG499" s="457"/>
      <c r="FH499" s="457"/>
      <c r="FI499" s="457"/>
      <c r="FJ499" s="457"/>
      <c r="FK499" s="457"/>
      <c r="FL499" s="457"/>
      <c r="FM499" s="457"/>
      <c r="FN499" s="457"/>
      <c r="FO499" s="457"/>
      <c r="FP499" s="457"/>
      <c r="FQ499" s="457"/>
      <c r="FR499" s="457"/>
      <c r="FS499" s="457"/>
      <c r="FT499" s="457"/>
      <c r="FU499" s="457"/>
      <c r="FV499" s="457"/>
      <c r="FW499" s="457"/>
      <c r="FX499" s="457"/>
      <c r="FY499" s="457"/>
      <c r="FZ499" s="457"/>
      <c r="GA499" s="457"/>
      <c r="GB499" s="457"/>
      <c r="GC499" s="457"/>
      <c r="GD499" s="457"/>
      <c r="GE499" s="457"/>
      <c r="GF499" s="457"/>
      <c r="GG499" s="457"/>
      <c r="GH499" s="457"/>
      <c r="GI499" s="457"/>
      <c r="GJ499" s="457"/>
      <c r="GK499" s="457"/>
      <c r="GL499" s="457"/>
      <c r="GM499" s="457"/>
      <c r="GN499" s="457"/>
      <c r="GO499" s="457"/>
      <c r="GP499" s="457"/>
      <c r="GQ499" s="457"/>
      <c r="GR499" s="457"/>
      <c r="GS499" s="457"/>
      <c r="GT499" s="457"/>
      <c r="GU499" s="457"/>
      <c r="GV499" s="457"/>
      <c r="GW499" s="457"/>
      <c r="GX499" s="457"/>
      <c r="GY499" s="457"/>
      <c r="GZ499" s="457"/>
      <c r="HA499" s="457"/>
      <c r="HB499" s="457"/>
      <c r="HC499" s="457"/>
      <c r="HD499" s="457"/>
      <c r="HE499" s="457"/>
      <c r="HF499" s="457"/>
      <c r="HG499" s="457"/>
      <c r="HH499" s="457"/>
      <c r="HI499" s="457"/>
      <c r="HJ499" s="457"/>
      <c r="HK499" s="457"/>
      <c r="HL499" s="457"/>
      <c r="HM499" s="457"/>
      <c r="HN499" s="457"/>
      <c r="HO499" s="457"/>
      <c r="HP499" s="457"/>
      <c r="HQ499" s="457"/>
      <c r="HR499" s="457"/>
      <c r="HS499" s="457"/>
      <c r="HT499" s="457"/>
      <c r="HU499" s="457"/>
      <c r="HV499" s="457"/>
      <c r="HW499" s="457"/>
      <c r="HX499" s="457"/>
      <c r="HY499" s="457"/>
      <c r="HZ499" s="457"/>
      <c r="IA499" s="457"/>
      <c r="IB499" s="457"/>
      <c r="IC499" s="457"/>
      <c r="ID499" s="457"/>
      <c r="IE499" s="457"/>
      <c r="IF499" s="457"/>
      <c r="IG499" s="457"/>
      <c r="IH499" s="457"/>
      <c r="II499" s="457"/>
      <c r="IJ499" s="457"/>
      <c r="IK499" s="457"/>
      <c r="IL499" s="457"/>
      <c r="IM499" s="457"/>
      <c r="IN499" s="457"/>
      <c r="IO499" s="457"/>
      <c r="IP499" s="457"/>
      <c r="IQ499" s="457"/>
      <c r="IR499" s="457"/>
      <c r="IS499" s="457"/>
      <c r="IT499" s="457"/>
      <c r="IU499" s="457"/>
      <c r="IV499" s="457"/>
      <c r="IW499" s="457"/>
      <c r="IX499" s="457"/>
      <c r="IY499" s="457"/>
      <c r="IZ499" s="457"/>
      <c r="JA499" s="457"/>
      <c r="JB499" s="457"/>
      <c r="JC499" s="457"/>
      <c r="JD499" s="457"/>
      <c r="JE499" s="457"/>
      <c r="JF499" s="457"/>
      <c r="JG499" s="457"/>
      <c r="JH499" s="457"/>
      <c r="JI499" s="457"/>
      <c r="JJ499" s="457"/>
      <c r="JK499" s="457"/>
      <c r="JL499" s="457"/>
      <c r="JM499" s="457"/>
      <c r="JN499" s="457"/>
      <c r="JO499" s="457"/>
      <c r="JP499" s="457"/>
      <c r="JQ499" s="457"/>
      <c r="JR499" s="457"/>
      <c r="JS499" s="457"/>
      <c r="JT499" s="457"/>
      <c r="JU499" s="457"/>
      <c r="JV499" s="457"/>
      <c r="JW499" s="457"/>
      <c r="JX499" s="457"/>
      <c r="JY499" s="457"/>
      <c r="JZ499" s="457"/>
      <c r="KA499" s="457"/>
      <c r="KB499" s="457"/>
      <c r="KC499" s="457"/>
      <c r="KD499" s="457"/>
      <c r="KE499" s="457"/>
      <c r="KF499" s="457"/>
      <c r="KG499" s="457"/>
      <c r="KH499" s="457"/>
      <c r="KI499" s="457"/>
      <c r="KJ499" s="457"/>
      <c r="KK499" s="457"/>
      <c r="KL499" s="457"/>
      <c r="KM499" s="457"/>
      <c r="KN499" s="457"/>
      <c r="KO499" s="457"/>
      <c r="KP499" s="457"/>
      <c r="KQ499" s="457"/>
      <c r="KR499" s="457"/>
      <c r="KS499" s="457"/>
      <c r="KT499" s="457"/>
      <c r="KU499" s="457"/>
      <c r="KV499" s="457"/>
      <c r="KW499" s="457"/>
      <c r="KX499" s="457"/>
      <c r="KY499" s="457"/>
      <c r="KZ499" s="457"/>
      <c r="LA499" s="457"/>
      <c r="LB499" s="457"/>
      <c r="LC499" s="457"/>
      <c r="LD499" s="457"/>
      <c r="LE499" s="457"/>
      <c r="LF499" s="457"/>
      <c r="LG499" s="457"/>
      <c r="LH499" s="457"/>
      <c r="LI499" s="457"/>
      <c r="LJ499" s="457"/>
      <c r="LK499" s="457"/>
      <c r="LL499" s="457"/>
      <c r="LM499" s="457"/>
      <c r="LN499" s="457"/>
      <c r="LO499" s="457"/>
      <c r="LP499" s="457"/>
      <c r="LQ499" s="457"/>
      <c r="LR499" s="457"/>
      <c r="LS499" s="457"/>
      <c r="LT499" s="457"/>
      <c r="LU499" s="457"/>
      <c r="LV499" s="457"/>
      <c r="LW499" s="457"/>
      <c r="LX499" s="457"/>
      <c r="LY499" s="457"/>
      <c r="LZ499" s="457"/>
      <c r="MA499" s="457"/>
      <c r="MB499" s="457"/>
      <c r="MC499" s="457"/>
      <c r="MD499" s="457"/>
      <c r="ME499" s="457"/>
      <c r="MF499" s="457"/>
      <c r="MG499" s="457"/>
      <c r="MH499" s="457"/>
      <c r="MI499" s="457"/>
      <c r="MJ499" s="457"/>
      <c r="MK499" s="457"/>
      <c r="ML499" s="457"/>
      <c r="MM499" s="457"/>
      <c r="MN499" s="457"/>
      <c r="MO499" s="457"/>
      <c r="MP499" s="457"/>
      <c r="MQ499" s="457"/>
      <c r="MR499" s="457"/>
      <c r="MS499" s="457"/>
      <c r="MT499" s="457"/>
      <c r="MU499" s="457"/>
      <c r="MV499" s="457"/>
      <c r="MW499" s="457"/>
      <c r="MX499" s="457"/>
      <c r="MY499" s="457"/>
      <c r="MZ499" s="457"/>
      <c r="NA499" s="457"/>
      <c r="NB499" s="457"/>
      <c r="NC499" s="457"/>
      <c r="ND499" s="457"/>
      <c r="NE499" s="457"/>
      <c r="NF499" s="457"/>
      <c r="NG499" s="457"/>
      <c r="NH499" s="457"/>
      <c r="NI499" s="457"/>
      <c r="NJ499" s="457"/>
      <c r="NK499" s="457"/>
      <c r="NL499" s="457"/>
      <c r="NM499" s="457"/>
      <c r="NN499" s="457"/>
      <c r="NO499" s="457"/>
      <c r="NP499" s="457"/>
      <c r="NQ499" s="457"/>
      <c r="NR499" s="457"/>
      <c r="NS499" s="457"/>
      <c r="NT499" s="457"/>
      <c r="NU499" s="457"/>
      <c r="NV499" s="457"/>
      <c r="NW499" s="457"/>
      <c r="NX499" s="457"/>
      <c r="NY499" s="457"/>
      <c r="NZ499" s="457"/>
      <c r="OA499" s="457"/>
      <c r="OB499" s="457"/>
      <c r="OC499" s="457"/>
      <c r="OD499" s="457"/>
      <c r="OE499" s="457"/>
      <c r="OF499" s="457"/>
      <c r="OG499" s="457"/>
      <c r="OH499" s="457"/>
      <c r="OI499" s="457"/>
      <c r="OJ499" s="457"/>
      <c r="OK499" s="457"/>
      <c r="OL499" s="457"/>
      <c r="OM499" s="457"/>
      <c r="ON499" s="457"/>
      <c r="OO499" s="457"/>
      <c r="OP499" s="457"/>
      <c r="OQ499" s="457"/>
      <c r="OR499" s="457"/>
      <c r="OS499" s="457"/>
      <c r="OT499" s="457"/>
      <c r="OU499" s="457"/>
      <c r="OV499" s="457"/>
      <c r="OW499" s="457"/>
      <c r="OX499" s="457"/>
      <c r="OY499" s="457"/>
      <c r="OZ499" s="457"/>
      <c r="PA499" s="457"/>
      <c r="PB499" s="457"/>
      <c r="PC499" s="457"/>
      <c r="PD499" s="457"/>
      <c r="PE499" s="457"/>
      <c r="PF499" s="457"/>
      <c r="PG499" s="457"/>
      <c r="PH499" s="457"/>
      <c r="PI499" s="457"/>
      <c r="PJ499" s="457"/>
      <c r="PK499" s="457"/>
      <c r="PL499" s="457"/>
      <c r="PM499" s="457"/>
      <c r="PN499" s="457"/>
      <c r="PO499" s="457"/>
      <c r="PP499" s="457"/>
      <c r="PQ499" s="457"/>
      <c r="PR499" s="457"/>
      <c r="PS499" s="457"/>
      <c r="PT499" s="457"/>
      <c r="PU499" s="457"/>
      <c r="PV499" s="457"/>
      <c r="PW499" s="457"/>
      <c r="PX499" s="457"/>
      <c r="PY499" s="457"/>
      <c r="PZ499" s="457"/>
      <c r="QA499" s="457"/>
      <c r="QB499" s="457"/>
      <c r="QC499" s="457"/>
      <c r="QD499" s="457"/>
      <c r="QE499" s="457"/>
      <c r="QF499" s="457"/>
      <c r="QG499" s="457"/>
      <c r="QH499" s="457"/>
      <c r="QI499" s="457"/>
      <c r="QJ499" s="457"/>
      <c r="QK499" s="457"/>
      <c r="QL499" s="457"/>
      <c r="QM499" s="457"/>
      <c r="QN499" s="457"/>
      <c r="QO499" s="457"/>
      <c r="QP499" s="457"/>
      <c r="QQ499" s="457"/>
      <c r="QR499" s="457"/>
      <c r="QS499" s="457"/>
      <c r="QT499" s="457"/>
      <c r="QU499" s="457"/>
      <c r="QV499" s="457"/>
      <c r="QW499" s="457"/>
      <c r="QX499" s="457"/>
      <c r="QY499" s="457"/>
      <c r="QZ499" s="457"/>
      <c r="RA499" s="457"/>
      <c r="RB499" s="457"/>
      <c r="RC499" s="457"/>
      <c r="RD499" s="457"/>
      <c r="RE499" s="457"/>
      <c r="RF499" s="457"/>
      <c r="RG499" s="457"/>
      <c r="RH499" s="457"/>
      <c r="RI499" s="457"/>
      <c r="RJ499" s="457"/>
      <c r="RK499" s="457"/>
      <c r="RL499" s="457"/>
      <c r="RM499" s="457"/>
      <c r="RN499" s="457"/>
      <c r="RO499" s="457"/>
      <c r="RP499" s="457"/>
      <c r="RQ499" s="457"/>
      <c r="RR499" s="457"/>
      <c r="RS499" s="457"/>
      <c r="RT499" s="457"/>
      <c r="RU499" s="457"/>
      <c r="RV499" s="457"/>
      <c r="RW499" s="457"/>
      <c r="RX499" s="457"/>
      <c r="RY499" s="457"/>
      <c r="RZ499" s="457"/>
      <c r="SA499" s="457"/>
      <c r="SB499" s="457"/>
      <c r="SC499" s="457"/>
      <c r="SD499" s="457"/>
      <c r="SE499" s="457"/>
      <c r="SF499" s="457"/>
      <c r="SG499" s="457"/>
      <c r="SH499" s="457"/>
      <c r="SI499" s="457"/>
      <c r="SJ499" s="457"/>
      <c r="SK499" s="457"/>
      <c r="SL499" s="457"/>
      <c r="SM499" s="457"/>
      <c r="SN499" s="457"/>
      <c r="SO499" s="457"/>
      <c r="SP499" s="457"/>
      <c r="SQ499" s="457"/>
      <c r="SR499" s="457"/>
      <c r="SS499" s="457"/>
      <c r="ST499" s="457"/>
      <c r="SU499" s="457"/>
      <c r="SV499" s="457"/>
      <c r="SW499" s="457"/>
      <c r="SX499" s="457"/>
      <c r="SY499" s="457"/>
      <c r="SZ499" s="457"/>
      <c r="TA499" s="457"/>
      <c r="TB499" s="457"/>
      <c r="TC499" s="457"/>
      <c r="TD499" s="457"/>
      <c r="TE499" s="457"/>
      <c r="TF499" s="457"/>
      <c r="TG499" s="457"/>
      <c r="TH499" s="457"/>
      <c r="TI499" s="457"/>
      <c r="TJ499" s="457"/>
      <c r="TK499" s="457"/>
      <c r="TL499" s="457"/>
      <c r="TM499" s="457"/>
      <c r="TN499" s="457"/>
      <c r="TO499" s="457"/>
      <c r="TP499" s="457"/>
      <c r="TQ499" s="457"/>
      <c r="TR499" s="457"/>
      <c r="TS499" s="457"/>
      <c r="TT499" s="457"/>
      <c r="TU499" s="457"/>
      <c r="TV499" s="457"/>
      <c r="TW499" s="457"/>
      <c r="TX499" s="457"/>
      <c r="TY499" s="457"/>
      <c r="TZ499" s="457"/>
      <c r="UA499" s="457"/>
      <c r="UB499" s="457"/>
      <c r="UC499" s="457"/>
      <c r="UD499" s="457"/>
      <c r="UE499" s="457"/>
      <c r="UF499" s="457"/>
      <c r="UG499" s="457"/>
      <c r="UH499" s="457"/>
      <c r="UI499" s="457"/>
      <c r="UJ499" s="457"/>
      <c r="UK499" s="457"/>
      <c r="UL499" s="457"/>
      <c r="UM499" s="457"/>
      <c r="UN499" s="457"/>
      <c r="UO499" s="457"/>
      <c r="UP499" s="457"/>
      <c r="UQ499" s="457"/>
      <c r="UR499" s="457"/>
      <c r="US499" s="457"/>
      <c r="UT499" s="457"/>
      <c r="UU499" s="457"/>
      <c r="UV499" s="457"/>
      <c r="UW499" s="457"/>
      <c r="UX499" s="457"/>
      <c r="UY499" s="457"/>
      <c r="UZ499" s="457"/>
      <c r="VA499" s="457"/>
      <c r="VB499" s="457"/>
      <c r="VC499" s="457"/>
      <c r="VD499" s="457"/>
      <c r="VE499" s="457"/>
      <c r="VF499" s="457"/>
      <c r="VG499" s="457"/>
      <c r="VH499" s="457"/>
      <c r="VI499" s="457"/>
      <c r="VJ499" s="457"/>
      <c r="VK499" s="457"/>
      <c r="VL499" s="457"/>
      <c r="VM499" s="457"/>
      <c r="VN499" s="457"/>
      <c r="VO499" s="457"/>
      <c r="VP499" s="457"/>
      <c r="VQ499" s="457"/>
      <c r="VR499" s="457"/>
      <c r="VS499" s="457"/>
      <c r="VT499" s="457"/>
      <c r="VU499" s="457"/>
      <c r="VV499" s="457"/>
      <c r="VW499" s="457"/>
      <c r="VX499" s="457"/>
      <c r="VY499" s="457"/>
      <c r="VZ499" s="457"/>
      <c r="WA499" s="457"/>
      <c r="WB499" s="457"/>
      <c r="WC499" s="457"/>
      <c r="WD499" s="457"/>
      <c r="WE499" s="457"/>
      <c r="WF499" s="457"/>
      <c r="WG499" s="457"/>
      <c r="WH499" s="457"/>
      <c r="WI499" s="457"/>
      <c r="WJ499" s="457"/>
      <c r="WK499" s="457"/>
      <c r="WL499" s="457"/>
      <c r="WM499" s="457"/>
      <c r="WN499" s="457"/>
      <c r="WO499" s="457"/>
      <c r="WP499" s="457"/>
      <c r="WQ499" s="457"/>
      <c r="WR499" s="457"/>
      <c r="WS499" s="457"/>
      <c r="WT499" s="457"/>
      <c r="WU499" s="457"/>
      <c r="WV499" s="457"/>
      <c r="WW499" s="457"/>
      <c r="WX499" s="457"/>
      <c r="WY499" s="457"/>
      <c r="WZ499" s="457"/>
      <c r="XA499" s="457"/>
      <c r="XB499" s="457"/>
      <c r="XC499" s="457"/>
      <c r="XD499" s="457"/>
      <c r="XE499" s="457"/>
      <c r="XF499" s="457"/>
      <c r="XG499" s="457"/>
      <c r="XH499" s="457"/>
      <c r="XI499" s="457"/>
      <c r="XJ499" s="457"/>
      <c r="XK499" s="457"/>
      <c r="XL499" s="457"/>
      <c r="XM499" s="457"/>
      <c r="XN499" s="457"/>
      <c r="XO499" s="457"/>
      <c r="XP499" s="457"/>
      <c r="XQ499" s="457"/>
      <c r="XR499" s="457"/>
      <c r="XS499" s="457"/>
      <c r="XT499" s="457"/>
      <c r="XU499" s="457"/>
      <c r="XV499" s="457"/>
      <c r="XW499" s="457"/>
      <c r="XX499" s="457"/>
      <c r="XY499" s="457"/>
      <c r="XZ499" s="457"/>
      <c r="YA499" s="457"/>
      <c r="YB499" s="457"/>
      <c r="YC499" s="457"/>
      <c r="YD499" s="457"/>
      <c r="YE499" s="457"/>
      <c r="YF499" s="457"/>
      <c r="YG499" s="457"/>
      <c r="YH499" s="457"/>
      <c r="YI499" s="457"/>
      <c r="YJ499" s="457"/>
      <c r="YK499" s="457"/>
      <c r="YL499" s="457"/>
      <c r="YM499" s="457"/>
      <c r="YN499" s="457"/>
      <c r="YO499" s="457"/>
      <c r="YP499" s="457"/>
      <c r="YQ499" s="457"/>
      <c r="YR499" s="457"/>
      <c r="YS499" s="457"/>
      <c r="YT499" s="457"/>
      <c r="YU499" s="457"/>
      <c r="YV499" s="457"/>
      <c r="YW499" s="457"/>
      <c r="YX499" s="457"/>
      <c r="YY499" s="457"/>
      <c r="YZ499" s="457"/>
      <c r="ZA499" s="457"/>
      <c r="ZB499" s="457"/>
      <c r="ZC499" s="457"/>
      <c r="ZD499" s="457"/>
      <c r="ZE499" s="457"/>
      <c r="ZF499" s="457"/>
      <c r="ZG499" s="457"/>
      <c r="ZH499" s="457"/>
      <c r="ZI499" s="457"/>
      <c r="ZJ499" s="457"/>
      <c r="ZK499" s="457"/>
      <c r="ZL499" s="457"/>
      <c r="ZM499" s="457"/>
      <c r="ZN499" s="457"/>
      <c r="ZO499" s="457"/>
      <c r="ZP499" s="457"/>
      <c r="ZQ499" s="457"/>
      <c r="ZR499" s="457"/>
      <c r="ZS499" s="457"/>
      <c r="ZT499" s="457"/>
      <c r="ZU499" s="457"/>
      <c r="ZV499" s="457"/>
      <c r="ZW499" s="457"/>
      <c r="ZX499" s="457"/>
      <c r="ZY499" s="457"/>
      <c r="ZZ499" s="457"/>
      <c r="AAA499" s="457"/>
      <c r="AAB499" s="457"/>
      <c r="AAC499" s="457"/>
      <c r="AAD499" s="457"/>
      <c r="AAE499" s="457"/>
      <c r="AAF499" s="457"/>
      <c r="AAG499" s="457"/>
      <c r="AAH499" s="457"/>
      <c r="AAI499" s="457"/>
      <c r="AAJ499" s="457"/>
      <c r="AAK499" s="457"/>
      <c r="AAL499" s="457"/>
      <c r="AAM499" s="457"/>
      <c r="AAN499" s="457"/>
      <c r="AAO499" s="457"/>
      <c r="AAP499" s="457"/>
      <c r="AAQ499" s="457"/>
      <c r="AAR499" s="457"/>
      <c r="AAS499" s="457"/>
      <c r="AAT499" s="457"/>
      <c r="AAU499" s="457"/>
      <c r="AAV499" s="457"/>
      <c r="AAW499" s="457"/>
      <c r="AAX499" s="457"/>
      <c r="AAY499" s="457"/>
      <c r="AAZ499" s="457"/>
      <c r="ABA499" s="457"/>
      <c r="ABB499" s="457"/>
      <c r="ABC499" s="457"/>
      <c r="ABD499" s="457"/>
      <c r="ABE499" s="457"/>
      <c r="ABF499" s="457"/>
      <c r="ABG499" s="457"/>
      <c r="ABH499" s="457"/>
      <c r="ABI499" s="457"/>
      <c r="ABJ499" s="457"/>
      <c r="ABK499" s="457"/>
      <c r="ABL499" s="457"/>
      <c r="ABM499" s="457"/>
      <c r="ABN499" s="457"/>
      <c r="ABO499" s="457"/>
      <c r="ABP499" s="457"/>
      <c r="ABQ499" s="457"/>
      <c r="ABR499" s="457"/>
      <c r="ABS499" s="457"/>
      <c r="ABT499" s="457"/>
      <c r="ABU499" s="457"/>
      <c r="ABV499" s="457"/>
      <c r="ABW499" s="457"/>
      <c r="ABX499" s="457"/>
      <c r="ABY499" s="457"/>
      <c r="ABZ499" s="457"/>
      <c r="ACA499" s="457"/>
      <c r="ACB499" s="457"/>
      <c r="ACC499" s="457"/>
      <c r="ACD499" s="457"/>
      <c r="ACE499" s="457"/>
      <c r="ACF499" s="457"/>
      <c r="ACG499" s="457"/>
      <c r="ACH499" s="457"/>
      <c r="ACI499" s="457"/>
      <c r="ACJ499" s="457"/>
      <c r="ACK499" s="457"/>
      <c r="ACL499" s="457"/>
      <c r="ACM499" s="457"/>
      <c r="ACN499" s="457"/>
      <c r="ACO499" s="457"/>
      <c r="ACP499" s="457"/>
      <c r="ACQ499" s="457"/>
      <c r="ACR499" s="457"/>
      <c r="ACS499" s="457"/>
      <c r="ACT499" s="457"/>
      <c r="ACU499" s="457"/>
      <c r="ACV499" s="457"/>
    </row>
    <row r="500" spans="1:776" s="400" customFormat="1" x14ac:dyDescent="0.25">
      <c r="A500" s="470">
        <v>900215</v>
      </c>
      <c r="B500" s="453" t="s">
        <v>423</v>
      </c>
      <c r="C500" s="455"/>
      <c r="D500" s="454" t="s">
        <v>424</v>
      </c>
      <c r="E500" s="454">
        <v>0.35</v>
      </c>
      <c r="F500" s="458">
        <v>4.5</v>
      </c>
      <c r="G500" s="454">
        <v>0</v>
      </c>
      <c r="H500" s="454">
        <v>0.08</v>
      </c>
      <c r="I500" s="456">
        <v>16.93</v>
      </c>
      <c r="J500" s="454">
        <v>32.21</v>
      </c>
      <c r="K500" s="454">
        <v>0.153</v>
      </c>
      <c r="L500" s="454">
        <v>172.8</v>
      </c>
      <c r="M500" s="454">
        <v>0</v>
      </c>
      <c r="N500" s="454">
        <v>3.6</v>
      </c>
      <c r="O500" s="454">
        <v>18.34</v>
      </c>
      <c r="P500" s="454">
        <v>36.01</v>
      </c>
      <c r="Q500" s="454">
        <v>17.579999999999998</v>
      </c>
      <c r="R500" s="397">
        <v>1.0000000000000001E-5</v>
      </c>
      <c r="S500" s="397">
        <v>1.0000000000000001E-5</v>
      </c>
      <c r="T500" s="397">
        <v>1.0000000000000001E-5</v>
      </c>
      <c r="U500" s="454">
        <v>0.04</v>
      </c>
      <c r="V500" s="454"/>
      <c r="W500" s="457"/>
      <c r="X500" s="457"/>
      <c r="Y500" s="457"/>
      <c r="Z500" s="457"/>
      <c r="AA500" s="457"/>
      <c r="AB500" s="457"/>
      <c r="AC500" s="457"/>
      <c r="AD500" s="457"/>
      <c r="AE500" s="457"/>
      <c r="AF500" s="457"/>
      <c r="AG500" s="457"/>
      <c r="AH500" s="457"/>
      <c r="AI500" s="457"/>
      <c r="AJ500" s="457"/>
      <c r="AK500" s="457"/>
      <c r="AL500" s="457"/>
      <c r="AM500" s="457"/>
      <c r="AN500" s="457"/>
      <c r="AO500" s="457"/>
      <c r="AP500" s="457"/>
      <c r="AQ500" s="457"/>
      <c r="AR500" s="457"/>
      <c r="AS500" s="457"/>
      <c r="AT500" s="457"/>
      <c r="AU500" s="457"/>
      <c r="AV500" s="457"/>
      <c r="AW500" s="457"/>
      <c r="AX500" s="457"/>
      <c r="AY500" s="457"/>
      <c r="AZ500" s="457"/>
      <c r="BA500" s="457"/>
      <c r="BB500" s="457"/>
      <c r="BC500" s="457"/>
      <c r="BD500" s="457"/>
      <c r="BE500" s="457"/>
      <c r="BF500" s="457"/>
      <c r="BG500" s="457"/>
      <c r="BH500" s="457"/>
      <c r="BI500" s="457"/>
      <c r="BJ500" s="457"/>
      <c r="BK500" s="457"/>
      <c r="BL500" s="457"/>
      <c r="BM500" s="457"/>
      <c r="BN500" s="457"/>
      <c r="BO500" s="457"/>
      <c r="BP500" s="457"/>
      <c r="BQ500" s="457"/>
      <c r="BR500" s="457"/>
      <c r="BS500" s="457"/>
      <c r="BT500" s="457"/>
      <c r="BU500" s="457"/>
      <c r="BV500" s="457"/>
      <c r="BW500" s="457"/>
      <c r="BX500" s="457"/>
      <c r="BY500" s="457"/>
      <c r="BZ500" s="457"/>
      <c r="CA500" s="457"/>
      <c r="CB500" s="457"/>
      <c r="CC500" s="457"/>
      <c r="CD500" s="457"/>
      <c r="CE500" s="457"/>
      <c r="CF500" s="457"/>
      <c r="CG500" s="457"/>
      <c r="CH500" s="457"/>
      <c r="CI500" s="457"/>
      <c r="CJ500" s="457"/>
      <c r="CK500" s="457"/>
      <c r="CL500" s="457"/>
      <c r="CM500" s="457"/>
      <c r="CN500" s="457"/>
      <c r="CO500" s="457"/>
      <c r="CP500" s="457"/>
      <c r="CQ500" s="457"/>
      <c r="CR500" s="457"/>
      <c r="CS500" s="457"/>
      <c r="CT500" s="457"/>
      <c r="CU500" s="457"/>
      <c r="CV500" s="457"/>
      <c r="CW500" s="457"/>
      <c r="CX500" s="457"/>
      <c r="CY500" s="457"/>
      <c r="CZ500" s="457"/>
      <c r="DA500" s="457"/>
      <c r="DB500" s="457"/>
      <c r="DC500" s="457"/>
      <c r="DD500" s="457"/>
      <c r="DE500" s="457"/>
      <c r="DF500" s="457"/>
      <c r="DG500" s="457"/>
      <c r="DH500" s="457"/>
      <c r="DI500" s="457"/>
      <c r="DJ500" s="457"/>
      <c r="DK500" s="457"/>
      <c r="DL500" s="457"/>
      <c r="DM500" s="457"/>
      <c r="DN500" s="457"/>
      <c r="DO500" s="457"/>
      <c r="DP500" s="457"/>
      <c r="DQ500" s="457"/>
      <c r="DR500" s="457"/>
      <c r="DS500" s="457"/>
      <c r="DT500" s="457"/>
      <c r="DU500" s="457"/>
      <c r="DV500" s="457"/>
      <c r="DW500" s="457"/>
      <c r="DX500" s="457"/>
      <c r="DY500" s="457"/>
      <c r="DZ500" s="457"/>
      <c r="EA500" s="457"/>
      <c r="EB500" s="457"/>
      <c r="EC500" s="457"/>
      <c r="ED500" s="457"/>
      <c r="EE500" s="457"/>
      <c r="EF500" s="457"/>
      <c r="EG500" s="457"/>
      <c r="EH500" s="457"/>
      <c r="EI500" s="457"/>
      <c r="EJ500" s="457"/>
      <c r="EK500" s="457"/>
      <c r="EL500" s="457"/>
      <c r="EM500" s="457"/>
      <c r="EN500" s="457"/>
      <c r="EO500" s="457"/>
      <c r="EP500" s="457"/>
      <c r="EQ500" s="457"/>
      <c r="ER500" s="457"/>
      <c r="ES500" s="457"/>
      <c r="ET500" s="457"/>
      <c r="EU500" s="457"/>
      <c r="EV500" s="457"/>
      <c r="EW500" s="457"/>
      <c r="EX500" s="457"/>
      <c r="EY500" s="457"/>
      <c r="EZ500" s="457"/>
      <c r="FA500" s="457"/>
      <c r="FB500" s="457"/>
      <c r="FC500" s="457"/>
      <c r="FD500" s="457"/>
      <c r="FE500" s="457"/>
      <c r="FF500" s="457"/>
      <c r="FG500" s="457"/>
      <c r="FH500" s="457"/>
      <c r="FI500" s="457"/>
      <c r="FJ500" s="457"/>
      <c r="FK500" s="457"/>
      <c r="FL500" s="457"/>
      <c r="FM500" s="457"/>
      <c r="FN500" s="457"/>
      <c r="FO500" s="457"/>
      <c r="FP500" s="457"/>
      <c r="FQ500" s="457"/>
      <c r="FR500" s="457"/>
      <c r="FS500" s="457"/>
      <c r="FT500" s="457"/>
      <c r="FU500" s="457"/>
      <c r="FV500" s="457"/>
      <c r="FW500" s="457"/>
      <c r="FX500" s="457"/>
      <c r="FY500" s="457"/>
      <c r="FZ500" s="457"/>
      <c r="GA500" s="457"/>
      <c r="GB500" s="457"/>
      <c r="GC500" s="457"/>
      <c r="GD500" s="457"/>
      <c r="GE500" s="457"/>
      <c r="GF500" s="457"/>
      <c r="GG500" s="457"/>
      <c r="GH500" s="457"/>
      <c r="GI500" s="457"/>
      <c r="GJ500" s="457"/>
      <c r="GK500" s="457"/>
      <c r="GL500" s="457"/>
      <c r="GM500" s="457"/>
      <c r="GN500" s="457"/>
      <c r="GO500" s="457"/>
      <c r="GP500" s="457"/>
      <c r="GQ500" s="457"/>
      <c r="GR500" s="457"/>
      <c r="GS500" s="457"/>
      <c r="GT500" s="457"/>
      <c r="GU500" s="457"/>
      <c r="GV500" s="457"/>
      <c r="GW500" s="457"/>
      <c r="GX500" s="457"/>
      <c r="GY500" s="457"/>
      <c r="GZ500" s="457"/>
      <c r="HA500" s="457"/>
      <c r="HB500" s="457"/>
      <c r="HC500" s="457"/>
      <c r="HD500" s="457"/>
      <c r="HE500" s="457"/>
      <c r="HF500" s="457"/>
      <c r="HG500" s="457"/>
      <c r="HH500" s="457"/>
      <c r="HI500" s="457"/>
      <c r="HJ500" s="457"/>
      <c r="HK500" s="457"/>
      <c r="HL500" s="457"/>
      <c r="HM500" s="457"/>
      <c r="HN500" s="457"/>
      <c r="HO500" s="457"/>
      <c r="HP500" s="457"/>
      <c r="HQ500" s="457"/>
      <c r="HR500" s="457"/>
      <c r="HS500" s="457"/>
      <c r="HT500" s="457"/>
      <c r="HU500" s="457"/>
      <c r="HV500" s="457"/>
      <c r="HW500" s="457"/>
      <c r="HX500" s="457"/>
      <c r="HY500" s="457"/>
      <c r="HZ500" s="457"/>
      <c r="IA500" s="457"/>
      <c r="IB500" s="457"/>
      <c r="IC500" s="457"/>
      <c r="ID500" s="457"/>
      <c r="IE500" s="457"/>
      <c r="IF500" s="457"/>
      <c r="IG500" s="457"/>
      <c r="IH500" s="457"/>
      <c r="II500" s="457"/>
      <c r="IJ500" s="457"/>
      <c r="IK500" s="457"/>
      <c r="IL500" s="457"/>
      <c r="IM500" s="457"/>
      <c r="IN500" s="457"/>
      <c r="IO500" s="457"/>
      <c r="IP500" s="457"/>
      <c r="IQ500" s="457"/>
      <c r="IR500" s="457"/>
      <c r="IS500" s="457"/>
      <c r="IT500" s="457"/>
      <c r="IU500" s="457"/>
      <c r="IV500" s="457"/>
      <c r="IW500" s="457"/>
      <c r="IX500" s="457"/>
      <c r="IY500" s="457"/>
      <c r="IZ500" s="457"/>
      <c r="JA500" s="457"/>
      <c r="JB500" s="457"/>
      <c r="JC500" s="457"/>
      <c r="JD500" s="457"/>
      <c r="JE500" s="457"/>
      <c r="JF500" s="457"/>
      <c r="JG500" s="457"/>
      <c r="JH500" s="457"/>
      <c r="JI500" s="457"/>
      <c r="JJ500" s="457"/>
      <c r="JK500" s="457"/>
      <c r="JL500" s="457"/>
      <c r="JM500" s="457"/>
      <c r="JN500" s="457"/>
      <c r="JO500" s="457"/>
      <c r="JP500" s="457"/>
      <c r="JQ500" s="457"/>
      <c r="JR500" s="457"/>
      <c r="JS500" s="457"/>
      <c r="JT500" s="457"/>
      <c r="JU500" s="457"/>
      <c r="JV500" s="457"/>
      <c r="JW500" s="457"/>
      <c r="JX500" s="457"/>
      <c r="JY500" s="457"/>
      <c r="JZ500" s="457"/>
      <c r="KA500" s="457"/>
      <c r="KB500" s="457"/>
      <c r="KC500" s="457"/>
      <c r="KD500" s="457"/>
      <c r="KE500" s="457"/>
      <c r="KF500" s="457"/>
      <c r="KG500" s="457"/>
      <c r="KH500" s="457"/>
      <c r="KI500" s="457"/>
      <c r="KJ500" s="457"/>
      <c r="KK500" s="457"/>
      <c r="KL500" s="457"/>
      <c r="KM500" s="457"/>
      <c r="KN500" s="457"/>
      <c r="KO500" s="457"/>
      <c r="KP500" s="457"/>
      <c r="KQ500" s="457"/>
      <c r="KR500" s="457"/>
      <c r="KS500" s="457"/>
      <c r="KT500" s="457"/>
      <c r="KU500" s="457"/>
      <c r="KV500" s="457"/>
      <c r="KW500" s="457"/>
      <c r="KX500" s="457"/>
      <c r="KY500" s="457"/>
      <c r="KZ500" s="457"/>
      <c r="LA500" s="457"/>
      <c r="LB500" s="457"/>
      <c r="LC500" s="457"/>
      <c r="LD500" s="457"/>
      <c r="LE500" s="457"/>
      <c r="LF500" s="457"/>
      <c r="LG500" s="457"/>
      <c r="LH500" s="457"/>
      <c r="LI500" s="457"/>
      <c r="LJ500" s="457"/>
      <c r="LK500" s="457"/>
      <c r="LL500" s="457"/>
      <c r="LM500" s="457"/>
      <c r="LN500" s="457"/>
      <c r="LO500" s="457"/>
      <c r="LP500" s="457"/>
      <c r="LQ500" s="457"/>
      <c r="LR500" s="457"/>
      <c r="LS500" s="457"/>
      <c r="LT500" s="457"/>
      <c r="LU500" s="457"/>
      <c r="LV500" s="457"/>
      <c r="LW500" s="457"/>
      <c r="LX500" s="457"/>
      <c r="LY500" s="457"/>
      <c r="LZ500" s="457"/>
      <c r="MA500" s="457"/>
      <c r="MB500" s="457"/>
      <c r="MC500" s="457"/>
      <c r="MD500" s="457"/>
      <c r="ME500" s="457"/>
      <c r="MF500" s="457"/>
      <c r="MG500" s="457"/>
      <c r="MH500" s="457"/>
      <c r="MI500" s="457"/>
      <c r="MJ500" s="457"/>
      <c r="MK500" s="457"/>
      <c r="ML500" s="457"/>
      <c r="MM500" s="457"/>
      <c r="MN500" s="457"/>
      <c r="MO500" s="457"/>
      <c r="MP500" s="457"/>
      <c r="MQ500" s="457"/>
      <c r="MR500" s="457"/>
      <c r="MS500" s="457"/>
      <c r="MT500" s="457"/>
      <c r="MU500" s="457"/>
      <c r="MV500" s="457"/>
      <c r="MW500" s="457"/>
      <c r="MX500" s="457"/>
      <c r="MY500" s="457"/>
      <c r="MZ500" s="457"/>
      <c r="NA500" s="457"/>
      <c r="NB500" s="457"/>
      <c r="NC500" s="457"/>
      <c r="ND500" s="457"/>
      <c r="NE500" s="457"/>
      <c r="NF500" s="457"/>
      <c r="NG500" s="457"/>
      <c r="NH500" s="457"/>
      <c r="NI500" s="457"/>
      <c r="NJ500" s="457"/>
      <c r="NK500" s="457"/>
      <c r="NL500" s="457"/>
      <c r="NM500" s="457"/>
      <c r="NN500" s="457"/>
      <c r="NO500" s="457"/>
      <c r="NP500" s="457"/>
      <c r="NQ500" s="457"/>
      <c r="NR500" s="457"/>
      <c r="NS500" s="457"/>
      <c r="NT500" s="457"/>
      <c r="NU500" s="457"/>
      <c r="NV500" s="457"/>
      <c r="NW500" s="457"/>
      <c r="NX500" s="457"/>
      <c r="NY500" s="457"/>
      <c r="NZ500" s="457"/>
      <c r="OA500" s="457"/>
      <c r="OB500" s="457"/>
      <c r="OC500" s="457"/>
      <c r="OD500" s="457"/>
      <c r="OE500" s="457"/>
      <c r="OF500" s="457"/>
      <c r="OG500" s="457"/>
      <c r="OH500" s="457"/>
      <c r="OI500" s="457"/>
      <c r="OJ500" s="457"/>
      <c r="OK500" s="457"/>
      <c r="OL500" s="457"/>
      <c r="OM500" s="457"/>
      <c r="ON500" s="457"/>
      <c r="OO500" s="457"/>
      <c r="OP500" s="457"/>
      <c r="OQ500" s="457"/>
      <c r="OR500" s="457"/>
      <c r="OS500" s="457"/>
      <c r="OT500" s="457"/>
      <c r="OU500" s="457"/>
      <c r="OV500" s="457"/>
      <c r="OW500" s="457"/>
      <c r="OX500" s="457"/>
      <c r="OY500" s="457"/>
      <c r="OZ500" s="457"/>
      <c r="PA500" s="457"/>
      <c r="PB500" s="457"/>
      <c r="PC500" s="457"/>
      <c r="PD500" s="457"/>
      <c r="PE500" s="457"/>
      <c r="PF500" s="457"/>
      <c r="PG500" s="457"/>
      <c r="PH500" s="457"/>
      <c r="PI500" s="457"/>
      <c r="PJ500" s="457"/>
      <c r="PK500" s="457"/>
      <c r="PL500" s="457"/>
      <c r="PM500" s="457"/>
      <c r="PN500" s="457"/>
      <c r="PO500" s="457"/>
      <c r="PP500" s="457"/>
      <c r="PQ500" s="457"/>
      <c r="PR500" s="457"/>
      <c r="PS500" s="457"/>
      <c r="PT500" s="457"/>
      <c r="PU500" s="457"/>
      <c r="PV500" s="457"/>
      <c r="PW500" s="457"/>
      <c r="PX500" s="457"/>
      <c r="PY500" s="457"/>
      <c r="PZ500" s="457"/>
      <c r="QA500" s="457"/>
      <c r="QB500" s="457"/>
      <c r="QC500" s="457"/>
      <c r="QD500" s="457"/>
      <c r="QE500" s="457"/>
      <c r="QF500" s="457"/>
      <c r="QG500" s="457"/>
      <c r="QH500" s="457"/>
      <c r="QI500" s="457"/>
      <c r="QJ500" s="457"/>
      <c r="QK500" s="457"/>
      <c r="QL500" s="457"/>
      <c r="QM500" s="457"/>
      <c r="QN500" s="457"/>
      <c r="QO500" s="457"/>
      <c r="QP500" s="457"/>
      <c r="QQ500" s="457"/>
      <c r="QR500" s="457"/>
      <c r="QS500" s="457"/>
      <c r="QT500" s="457"/>
      <c r="QU500" s="457"/>
      <c r="QV500" s="457"/>
      <c r="QW500" s="457"/>
      <c r="QX500" s="457"/>
      <c r="QY500" s="457"/>
      <c r="QZ500" s="457"/>
      <c r="RA500" s="457"/>
      <c r="RB500" s="457"/>
      <c r="RC500" s="457"/>
      <c r="RD500" s="457"/>
      <c r="RE500" s="457"/>
      <c r="RF500" s="457"/>
      <c r="RG500" s="457"/>
      <c r="RH500" s="457"/>
      <c r="RI500" s="457"/>
      <c r="RJ500" s="457"/>
      <c r="RK500" s="457"/>
      <c r="RL500" s="457"/>
      <c r="RM500" s="457"/>
      <c r="RN500" s="457"/>
      <c r="RO500" s="457"/>
      <c r="RP500" s="457"/>
      <c r="RQ500" s="457"/>
      <c r="RR500" s="457"/>
      <c r="RS500" s="457"/>
      <c r="RT500" s="457"/>
      <c r="RU500" s="457"/>
      <c r="RV500" s="457"/>
      <c r="RW500" s="457"/>
      <c r="RX500" s="457"/>
      <c r="RY500" s="457"/>
      <c r="RZ500" s="457"/>
      <c r="SA500" s="457"/>
      <c r="SB500" s="457"/>
      <c r="SC500" s="457"/>
      <c r="SD500" s="457"/>
      <c r="SE500" s="457"/>
      <c r="SF500" s="457"/>
      <c r="SG500" s="457"/>
      <c r="SH500" s="457"/>
      <c r="SI500" s="457"/>
      <c r="SJ500" s="457"/>
      <c r="SK500" s="457"/>
      <c r="SL500" s="457"/>
      <c r="SM500" s="457"/>
      <c r="SN500" s="457"/>
      <c r="SO500" s="457"/>
      <c r="SP500" s="457"/>
      <c r="SQ500" s="457"/>
      <c r="SR500" s="457"/>
      <c r="SS500" s="457"/>
      <c r="ST500" s="457"/>
      <c r="SU500" s="457"/>
      <c r="SV500" s="457"/>
      <c r="SW500" s="457"/>
      <c r="SX500" s="457"/>
      <c r="SY500" s="457"/>
      <c r="SZ500" s="457"/>
      <c r="TA500" s="457"/>
      <c r="TB500" s="457"/>
      <c r="TC500" s="457"/>
      <c r="TD500" s="457"/>
      <c r="TE500" s="457"/>
      <c r="TF500" s="457"/>
      <c r="TG500" s="457"/>
      <c r="TH500" s="457"/>
      <c r="TI500" s="457"/>
      <c r="TJ500" s="457"/>
      <c r="TK500" s="457"/>
      <c r="TL500" s="457"/>
      <c r="TM500" s="457"/>
      <c r="TN500" s="457"/>
      <c r="TO500" s="457"/>
      <c r="TP500" s="457"/>
      <c r="TQ500" s="457"/>
      <c r="TR500" s="457"/>
      <c r="TS500" s="457"/>
      <c r="TT500" s="457"/>
      <c r="TU500" s="457"/>
      <c r="TV500" s="457"/>
      <c r="TW500" s="457"/>
      <c r="TX500" s="457"/>
      <c r="TY500" s="457"/>
      <c r="TZ500" s="457"/>
      <c r="UA500" s="457"/>
      <c r="UB500" s="457"/>
      <c r="UC500" s="457"/>
      <c r="UD500" s="457"/>
      <c r="UE500" s="457"/>
      <c r="UF500" s="457"/>
      <c r="UG500" s="457"/>
      <c r="UH500" s="457"/>
      <c r="UI500" s="457"/>
      <c r="UJ500" s="457"/>
      <c r="UK500" s="457"/>
      <c r="UL500" s="457"/>
      <c r="UM500" s="457"/>
      <c r="UN500" s="457"/>
      <c r="UO500" s="457"/>
      <c r="UP500" s="457"/>
      <c r="UQ500" s="457"/>
      <c r="UR500" s="457"/>
      <c r="US500" s="457"/>
      <c r="UT500" s="457"/>
      <c r="UU500" s="457"/>
      <c r="UV500" s="457"/>
      <c r="UW500" s="457"/>
      <c r="UX500" s="457"/>
      <c r="UY500" s="457"/>
      <c r="UZ500" s="457"/>
      <c r="VA500" s="457"/>
      <c r="VB500" s="457"/>
      <c r="VC500" s="457"/>
      <c r="VD500" s="457"/>
      <c r="VE500" s="457"/>
      <c r="VF500" s="457"/>
      <c r="VG500" s="457"/>
      <c r="VH500" s="457"/>
      <c r="VI500" s="457"/>
      <c r="VJ500" s="457"/>
      <c r="VK500" s="457"/>
      <c r="VL500" s="457"/>
      <c r="VM500" s="457"/>
      <c r="VN500" s="457"/>
      <c r="VO500" s="457"/>
      <c r="VP500" s="457"/>
      <c r="VQ500" s="457"/>
      <c r="VR500" s="457"/>
      <c r="VS500" s="457"/>
      <c r="VT500" s="457"/>
      <c r="VU500" s="457"/>
      <c r="VV500" s="457"/>
      <c r="VW500" s="457"/>
      <c r="VX500" s="457"/>
      <c r="VY500" s="457"/>
      <c r="VZ500" s="457"/>
      <c r="WA500" s="457"/>
      <c r="WB500" s="457"/>
      <c r="WC500" s="457"/>
      <c r="WD500" s="457"/>
      <c r="WE500" s="457"/>
      <c r="WF500" s="457"/>
      <c r="WG500" s="457"/>
      <c r="WH500" s="457"/>
      <c r="WI500" s="457"/>
      <c r="WJ500" s="457"/>
      <c r="WK500" s="457"/>
      <c r="WL500" s="457"/>
      <c r="WM500" s="457"/>
      <c r="WN500" s="457"/>
      <c r="WO500" s="457"/>
      <c r="WP500" s="457"/>
      <c r="WQ500" s="457"/>
      <c r="WR500" s="457"/>
      <c r="WS500" s="457"/>
      <c r="WT500" s="457"/>
      <c r="WU500" s="457"/>
      <c r="WV500" s="457"/>
      <c r="WW500" s="457"/>
      <c r="WX500" s="457"/>
      <c r="WY500" s="457"/>
      <c r="WZ500" s="457"/>
      <c r="XA500" s="457"/>
      <c r="XB500" s="457"/>
      <c r="XC500" s="457"/>
      <c r="XD500" s="457"/>
      <c r="XE500" s="457"/>
      <c r="XF500" s="457"/>
      <c r="XG500" s="457"/>
      <c r="XH500" s="457"/>
      <c r="XI500" s="457"/>
      <c r="XJ500" s="457"/>
      <c r="XK500" s="457"/>
      <c r="XL500" s="457"/>
      <c r="XM500" s="457"/>
      <c r="XN500" s="457"/>
      <c r="XO500" s="457"/>
      <c r="XP500" s="457"/>
      <c r="XQ500" s="457"/>
      <c r="XR500" s="457"/>
      <c r="XS500" s="457"/>
      <c r="XT500" s="457"/>
      <c r="XU500" s="457"/>
      <c r="XV500" s="457"/>
      <c r="XW500" s="457"/>
      <c r="XX500" s="457"/>
      <c r="XY500" s="457"/>
      <c r="XZ500" s="457"/>
      <c r="YA500" s="457"/>
      <c r="YB500" s="457"/>
      <c r="YC500" s="457"/>
      <c r="YD500" s="457"/>
      <c r="YE500" s="457"/>
      <c r="YF500" s="457"/>
      <c r="YG500" s="457"/>
      <c r="YH500" s="457"/>
      <c r="YI500" s="457"/>
      <c r="YJ500" s="457"/>
      <c r="YK500" s="457"/>
      <c r="YL500" s="457"/>
      <c r="YM500" s="457"/>
      <c r="YN500" s="457"/>
      <c r="YO500" s="457"/>
      <c r="YP500" s="457"/>
      <c r="YQ500" s="457"/>
      <c r="YR500" s="457"/>
      <c r="YS500" s="457"/>
      <c r="YT500" s="457"/>
      <c r="YU500" s="457"/>
      <c r="YV500" s="457"/>
      <c r="YW500" s="457"/>
      <c r="YX500" s="457"/>
      <c r="YY500" s="457"/>
      <c r="YZ500" s="457"/>
      <c r="ZA500" s="457"/>
      <c r="ZB500" s="457"/>
      <c r="ZC500" s="457"/>
      <c r="ZD500" s="457"/>
      <c r="ZE500" s="457"/>
      <c r="ZF500" s="457"/>
      <c r="ZG500" s="457"/>
      <c r="ZH500" s="457"/>
      <c r="ZI500" s="457"/>
      <c r="ZJ500" s="457"/>
      <c r="ZK500" s="457"/>
      <c r="ZL500" s="457"/>
      <c r="ZM500" s="457"/>
      <c r="ZN500" s="457"/>
      <c r="ZO500" s="457"/>
      <c r="ZP500" s="457"/>
      <c r="ZQ500" s="457"/>
      <c r="ZR500" s="457"/>
      <c r="ZS500" s="457"/>
      <c r="ZT500" s="457"/>
      <c r="ZU500" s="457"/>
      <c r="ZV500" s="457"/>
      <c r="ZW500" s="457"/>
      <c r="ZX500" s="457"/>
      <c r="ZY500" s="457"/>
      <c r="ZZ500" s="457"/>
      <c r="AAA500" s="457"/>
      <c r="AAB500" s="457"/>
      <c r="AAC500" s="457"/>
      <c r="AAD500" s="457"/>
      <c r="AAE500" s="457"/>
      <c r="AAF500" s="457"/>
      <c r="AAG500" s="457"/>
      <c r="AAH500" s="457"/>
      <c r="AAI500" s="457"/>
      <c r="AAJ500" s="457"/>
      <c r="AAK500" s="457"/>
      <c r="AAL500" s="457"/>
      <c r="AAM500" s="457"/>
      <c r="AAN500" s="457"/>
      <c r="AAO500" s="457"/>
      <c r="AAP500" s="457"/>
      <c r="AAQ500" s="457"/>
      <c r="AAR500" s="457"/>
      <c r="AAS500" s="457"/>
      <c r="AAT500" s="457"/>
      <c r="AAU500" s="457"/>
      <c r="AAV500" s="457"/>
      <c r="AAW500" s="457"/>
      <c r="AAX500" s="457"/>
      <c r="AAY500" s="457"/>
      <c r="AAZ500" s="457"/>
      <c r="ABA500" s="457"/>
      <c r="ABB500" s="457"/>
      <c r="ABC500" s="457"/>
      <c r="ABD500" s="457"/>
      <c r="ABE500" s="457"/>
      <c r="ABF500" s="457"/>
      <c r="ABG500" s="457"/>
      <c r="ABH500" s="457"/>
      <c r="ABI500" s="457"/>
      <c r="ABJ500" s="457"/>
      <c r="ABK500" s="457"/>
      <c r="ABL500" s="457"/>
      <c r="ABM500" s="457"/>
      <c r="ABN500" s="457"/>
      <c r="ABO500" s="457"/>
      <c r="ABP500" s="457"/>
      <c r="ABQ500" s="457"/>
      <c r="ABR500" s="457"/>
      <c r="ABS500" s="457"/>
      <c r="ABT500" s="457"/>
      <c r="ABU500" s="457"/>
      <c r="ABV500" s="457"/>
      <c r="ABW500" s="457"/>
      <c r="ABX500" s="457"/>
      <c r="ABY500" s="457"/>
      <c r="ABZ500" s="457"/>
      <c r="ACA500" s="457"/>
      <c r="ACB500" s="457"/>
      <c r="ACC500" s="457"/>
      <c r="ACD500" s="457"/>
      <c r="ACE500" s="457"/>
      <c r="ACF500" s="457"/>
      <c r="ACG500" s="457"/>
      <c r="ACH500" s="457"/>
      <c r="ACI500" s="457"/>
      <c r="ACJ500" s="457"/>
      <c r="ACK500" s="457"/>
      <c r="ACL500" s="457"/>
      <c r="ACM500" s="457"/>
      <c r="ACN500" s="457"/>
      <c r="ACO500" s="457"/>
      <c r="ACP500" s="457"/>
      <c r="ACQ500" s="457"/>
      <c r="ACR500" s="457"/>
      <c r="ACS500" s="457"/>
      <c r="ACT500" s="457"/>
      <c r="ACU500" s="457"/>
      <c r="ACV500" s="457"/>
    </row>
    <row r="501" spans="1:776" s="400" customFormat="1" x14ac:dyDescent="0.25">
      <c r="A501" s="470">
        <v>900216</v>
      </c>
      <c r="B501" s="453" t="s">
        <v>425</v>
      </c>
      <c r="C501" s="455"/>
      <c r="D501" s="454" t="s">
        <v>235</v>
      </c>
      <c r="E501" s="454">
        <v>0.8</v>
      </c>
      <c r="F501" s="458">
        <v>13.5</v>
      </c>
      <c r="G501" s="454">
        <v>0</v>
      </c>
      <c r="H501" s="454">
        <v>0.05</v>
      </c>
      <c r="I501" s="456">
        <v>34.64</v>
      </c>
      <c r="J501" s="454">
        <v>107.22</v>
      </c>
      <c r="K501" s="454">
        <v>0.153</v>
      </c>
      <c r="L501" s="454">
        <v>400.8</v>
      </c>
      <c r="M501" s="454">
        <v>0</v>
      </c>
      <c r="N501" s="454">
        <v>1.89</v>
      </c>
      <c r="O501" s="454">
        <v>41.37</v>
      </c>
      <c r="P501" s="454">
        <v>71.22</v>
      </c>
      <c r="Q501" s="454">
        <v>50.85</v>
      </c>
      <c r="R501" s="454">
        <v>1.04</v>
      </c>
      <c r="S501" s="397">
        <v>1.0000000000000001E-5</v>
      </c>
      <c r="T501" s="397">
        <v>1.0000000000000001E-5</v>
      </c>
      <c r="U501" s="454">
        <v>0.04</v>
      </c>
      <c r="V501" s="454"/>
      <c r="W501" s="457"/>
      <c r="X501" s="457"/>
      <c r="Y501" s="457"/>
      <c r="Z501" s="457"/>
      <c r="AA501" s="457"/>
      <c r="AB501" s="457"/>
      <c r="AC501" s="457"/>
      <c r="AD501" s="457"/>
      <c r="AE501" s="457"/>
      <c r="AF501" s="457"/>
      <c r="AG501" s="457"/>
      <c r="AH501" s="457"/>
      <c r="AI501" s="457"/>
      <c r="AJ501" s="457"/>
      <c r="AK501" s="457"/>
      <c r="AL501" s="457"/>
      <c r="AM501" s="457"/>
      <c r="AN501" s="457"/>
      <c r="AO501" s="457"/>
      <c r="AP501" s="457"/>
      <c r="AQ501" s="457"/>
      <c r="AR501" s="457"/>
      <c r="AS501" s="457"/>
      <c r="AT501" s="457"/>
      <c r="AU501" s="457"/>
      <c r="AV501" s="457"/>
      <c r="AW501" s="457"/>
      <c r="AX501" s="457"/>
      <c r="AY501" s="457"/>
      <c r="AZ501" s="457"/>
      <c r="BA501" s="457"/>
      <c r="BB501" s="457"/>
      <c r="BC501" s="457"/>
      <c r="BD501" s="457"/>
      <c r="BE501" s="457"/>
      <c r="BF501" s="457"/>
      <c r="BG501" s="457"/>
      <c r="BH501" s="457"/>
      <c r="BI501" s="457"/>
      <c r="BJ501" s="457"/>
      <c r="BK501" s="457"/>
      <c r="BL501" s="457"/>
      <c r="BM501" s="457"/>
      <c r="BN501" s="457"/>
      <c r="BO501" s="457"/>
      <c r="BP501" s="457"/>
      <c r="BQ501" s="457"/>
      <c r="BR501" s="457"/>
      <c r="BS501" s="457"/>
      <c r="BT501" s="457"/>
      <c r="BU501" s="457"/>
      <c r="BV501" s="457"/>
      <c r="BW501" s="457"/>
      <c r="BX501" s="457"/>
      <c r="BY501" s="457"/>
      <c r="BZ501" s="457"/>
      <c r="CA501" s="457"/>
      <c r="CB501" s="457"/>
      <c r="CC501" s="457"/>
      <c r="CD501" s="457"/>
      <c r="CE501" s="457"/>
      <c r="CF501" s="457"/>
      <c r="CG501" s="457"/>
      <c r="CH501" s="457"/>
      <c r="CI501" s="457"/>
      <c r="CJ501" s="457"/>
      <c r="CK501" s="457"/>
      <c r="CL501" s="457"/>
      <c r="CM501" s="457"/>
      <c r="CN501" s="457"/>
      <c r="CO501" s="457"/>
      <c r="CP501" s="457"/>
      <c r="CQ501" s="457"/>
      <c r="CR501" s="457"/>
      <c r="CS501" s="457"/>
      <c r="CT501" s="457"/>
      <c r="CU501" s="457"/>
      <c r="CV501" s="457"/>
      <c r="CW501" s="457"/>
      <c r="CX501" s="457"/>
      <c r="CY501" s="457"/>
      <c r="CZ501" s="457"/>
      <c r="DA501" s="457"/>
      <c r="DB501" s="457"/>
      <c r="DC501" s="457"/>
      <c r="DD501" s="457"/>
      <c r="DE501" s="457"/>
      <c r="DF501" s="457"/>
      <c r="DG501" s="457"/>
      <c r="DH501" s="457"/>
      <c r="DI501" s="457"/>
      <c r="DJ501" s="457"/>
      <c r="DK501" s="457"/>
      <c r="DL501" s="457"/>
      <c r="DM501" s="457"/>
      <c r="DN501" s="457"/>
      <c r="DO501" s="457"/>
      <c r="DP501" s="457"/>
      <c r="DQ501" s="457"/>
      <c r="DR501" s="457"/>
      <c r="DS501" s="457"/>
      <c r="DT501" s="457"/>
      <c r="DU501" s="457"/>
      <c r="DV501" s="457"/>
      <c r="DW501" s="457"/>
      <c r="DX501" s="457"/>
      <c r="DY501" s="457"/>
      <c r="DZ501" s="457"/>
      <c r="EA501" s="457"/>
      <c r="EB501" s="457"/>
      <c r="EC501" s="457"/>
      <c r="ED501" s="457"/>
      <c r="EE501" s="457"/>
      <c r="EF501" s="457"/>
      <c r="EG501" s="457"/>
      <c r="EH501" s="457"/>
      <c r="EI501" s="457"/>
      <c r="EJ501" s="457"/>
      <c r="EK501" s="457"/>
      <c r="EL501" s="457"/>
      <c r="EM501" s="457"/>
      <c r="EN501" s="457"/>
      <c r="EO501" s="457"/>
      <c r="EP501" s="457"/>
      <c r="EQ501" s="457"/>
      <c r="ER501" s="457"/>
      <c r="ES501" s="457"/>
      <c r="ET501" s="457"/>
      <c r="EU501" s="457"/>
      <c r="EV501" s="457"/>
      <c r="EW501" s="457"/>
      <c r="EX501" s="457"/>
      <c r="EY501" s="457"/>
      <c r="EZ501" s="457"/>
      <c r="FA501" s="457"/>
      <c r="FB501" s="457"/>
      <c r="FC501" s="457"/>
      <c r="FD501" s="457"/>
      <c r="FE501" s="457"/>
      <c r="FF501" s="457"/>
      <c r="FG501" s="457"/>
      <c r="FH501" s="457"/>
      <c r="FI501" s="457"/>
      <c r="FJ501" s="457"/>
      <c r="FK501" s="457"/>
      <c r="FL501" s="457"/>
      <c r="FM501" s="457"/>
      <c r="FN501" s="457"/>
      <c r="FO501" s="457"/>
      <c r="FP501" s="457"/>
      <c r="FQ501" s="457"/>
      <c r="FR501" s="457"/>
      <c r="FS501" s="457"/>
      <c r="FT501" s="457"/>
      <c r="FU501" s="457"/>
      <c r="FV501" s="457"/>
      <c r="FW501" s="457"/>
      <c r="FX501" s="457"/>
      <c r="FY501" s="457"/>
      <c r="FZ501" s="457"/>
      <c r="GA501" s="457"/>
      <c r="GB501" s="457"/>
      <c r="GC501" s="457"/>
      <c r="GD501" s="457"/>
      <c r="GE501" s="457"/>
      <c r="GF501" s="457"/>
      <c r="GG501" s="457"/>
      <c r="GH501" s="457"/>
      <c r="GI501" s="457"/>
      <c r="GJ501" s="457"/>
      <c r="GK501" s="457"/>
      <c r="GL501" s="457"/>
      <c r="GM501" s="457"/>
      <c r="GN501" s="457"/>
      <c r="GO501" s="457"/>
      <c r="GP501" s="457"/>
      <c r="GQ501" s="457"/>
      <c r="GR501" s="457"/>
      <c r="GS501" s="457"/>
      <c r="GT501" s="457"/>
      <c r="GU501" s="457"/>
      <c r="GV501" s="457"/>
      <c r="GW501" s="457"/>
      <c r="GX501" s="457"/>
      <c r="GY501" s="457"/>
      <c r="GZ501" s="457"/>
      <c r="HA501" s="457"/>
      <c r="HB501" s="457"/>
      <c r="HC501" s="457"/>
      <c r="HD501" s="457"/>
      <c r="HE501" s="457"/>
      <c r="HF501" s="457"/>
      <c r="HG501" s="457"/>
      <c r="HH501" s="457"/>
      <c r="HI501" s="457"/>
      <c r="HJ501" s="457"/>
      <c r="HK501" s="457"/>
      <c r="HL501" s="457"/>
      <c r="HM501" s="457"/>
      <c r="HN501" s="457"/>
      <c r="HO501" s="457"/>
      <c r="HP501" s="457"/>
      <c r="HQ501" s="457"/>
      <c r="HR501" s="457"/>
      <c r="HS501" s="457"/>
      <c r="HT501" s="457"/>
      <c r="HU501" s="457"/>
      <c r="HV501" s="457"/>
      <c r="HW501" s="457"/>
      <c r="HX501" s="457"/>
      <c r="HY501" s="457"/>
      <c r="HZ501" s="457"/>
      <c r="IA501" s="457"/>
      <c r="IB501" s="457"/>
      <c r="IC501" s="457"/>
      <c r="ID501" s="457"/>
      <c r="IE501" s="457"/>
      <c r="IF501" s="457"/>
      <c r="IG501" s="457"/>
      <c r="IH501" s="457"/>
      <c r="II501" s="457"/>
      <c r="IJ501" s="457"/>
      <c r="IK501" s="457"/>
      <c r="IL501" s="457"/>
      <c r="IM501" s="457"/>
      <c r="IN501" s="457"/>
      <c r="IO501" s="457"/>
      <c r="IP501" s="457"/>
      <c r="IQ501" s="457"/>
      <c r="IR501" s="457"/>
      <c r="IS501" s="457"/>
      <c r="IT501" s="457"/>
      <c r="IU501" s="457"/>
      <c r="IV501" s="457"/>
      <c r="IW501" s="457"/>
      <c r="IX501" s="457"/>
      <c r="IY501" s="457"/>
      <c r="IZ501" s="457"/>
      <c r="JA501" s="457"/>
      <c r="JB501" s="457"/>
      <c r="JC501" s="457"/>
      <c r="JD501" s="457"/>
      <c r="JE501" s="457"/>
      <c r="JF501" s="457"/>
      <c r="JG501" s="457"/>
      <c r="JH501" s="457"/>
      <c r="JI501" s="457"/>
      <c r="JJ501" s="457"/>
      <c r="JK501" s="457"/>
      <c r="JL501" s="457"/>
      <c r="JM501" s="457"/>
      <c r="JN501" s="457"/>
      <c r="JO501" s="457"/>
      <c r="JP501" s="457"/>
      <c r="JQ501" s="457"/>
      <c r="JR501" s="457"/>
      <c r="JS501" s="457"/>
      <c r="JT501" s="457"/>
      <c r="JU501" s="457"/>
      <c r="JV501" s="457"/>
      <c r="JW501" s="457"/>
      <c r="JX501" s="457"/>
      <c r="JY501" s="457"/>
      <c r="JZ501" s="457"/>
      <c r="KA501" s="457"/>
      <c r="KB501" s="457"/>
      <c r="KC501" s="457"/>
      <c r="KD501" s="457"/>
      <c r="KE501" s="457"/>
      <c r="KF501" s="457"/>
      <c r="KG501" s="457"/>
      <c r="KH501" s="457"/>
      <c r="KI501" s="457"/>
      <c r="KJ501" s="457"/>
      <c r="KK501" s="457"/>
      <c r="KL501" s="457"/>
      <c r="KM501" s="457"/>
      <c r="KN501" s="457"/>
      <c r="KO501" s="457"/>
      <c r="KP501" s="457"/>
      <c r="KQ501" s="457"/>
      <c r="KR501" s="457"/>
      <c r="KS501" s="457"/>
      <c r="KT501" s="457"/>
      <c r="KU501" s="457"/>
      <c r="KV501" s="457"/>
      <c r="KW501" s="457"/>
      <c r="KX501" s="457"/>
      <c r="KY501" s="457"/>
      <c r="KZ501" s="457"/>
      <c r="LA501" s="457"/>
      <c r="LB501" s="457"/>
      <c r="LC501" s="457"/>
      <c r="LD501" s="457"/>
      <c r="LE501" s="457"/>
      <c r="LF501" s="457"/>
      <c r="LG501" s="457"/>
      <c r="LH501" s="457"/>
      <c r="LI501" s="457"/>
      <c r="LJ501" s="457"/>
      <c r="LK501" s="457"/>
      <c r="LL501" s="457"/>
      <c r="LM501" s="457"/>
      <c r="LN501" s="457"/>
      <c r="LO501" s="457"/>
      <c r="LP501" s="457"/>
      <c r="LQ501" s="457"/>
      <c r="LR501" s="457"/>
      <c r="LS501" s="457"/>
      <c r="LT501" s="457"/>
      <c r="LU501" s="457"/>
      <c r="LV501" s="457"/>
      <c r="LW501" s="457"/>
      <c r="LX501" s="457"/>
      <c r="LY501" s="457"/>
      <c r="LZ501" s="457"/>
      <c r="MA501" s="457"/>
      <c r="MB501" s="457"/>
      <c r="MC501" s="457"/>
      <c r="MD501" s="457"/>
      <c r="ME501" s="457"/>
      <c r="MF501" s="457"/>
      <c r="MG501" s="457"/>
      <c r="MH501" s="457"/>
      <c r="MI501" s="457"/>
      <c r="MJ501" s="457"/>
      <c r="MK501" s="457"/>
      <c r="ML501" s="457"/>
      <c r="MM501" s="457"/>
      <c r="MN501" s="457"/>
      <c r="MO501" s="457"/>
      <c r="MP501" s="457"/>
      <c r="MQ501" s="457"/>
      <c r="MR501" s="457"/>
      <c r="MS501" s="457"/>
      <c r="MT501" s="457"/>
      <c r="MU501" s="457"/>
      <c r="MV501" s="457"/>
      <c r="MW501" s="457"/>
      <c r="MX501" s="457"/>
      <c r="MY501" s="457"/>
      <c r="MZ501" s="457"/>
      <c r="NA501" s="457"/>
      <c r="NB501" s="457"/>
      <c r="NC501" s="457"/>
      <c r="ND501" s="457"/>
      <c r="NE501" s="457"/>
      <c r="NF501" s="457"/>
      <c r="NG501" s="457"/>
      <c r="NH501" s="457"/>
      <c r="NI501" s="457"/>
      <c r="NJ501" s="457"/>
      <c r="NK501" s="457"/>
      <c r="NL501" s="457"/>
      <c r="NM501" s="457"/>
      <c r="NN501" s="457"/>
      <c r="NO501" s="457"/>
      <c r="NP501" s="457"/>
      <c r="NQ501" s="457"/>
      <c r="NR501" s="457"/>
      <c r="NS501" s="457"/>
      <c r="NT501" s="457"/>
      <c r="NU501" s="457"/>
      <c r="NV501" s="457"/>
      <c r="NW501" s="457"/>
      <c r="NX501" s="457"/>
      <c r="NY501" s="457"/>
      <c r="NZ501" s="457"/>
      <c r="OA501" s="457"/>
      <c r="OB501" s="457"/>
      <c r="OC501" s="457"/>
      <c r="OD501" s="457"/>
      <c r="OE501" s="457"/>
      <c r="OF501" s="457"/>
      <c r="OG501" s="457"/>
      <c r="OH501" s="457"/>
      <c r="OI501" s="457"/>
      <c r="OJ501" s="457"/>
      <c r="OK501" s="457"/>
      <c r="OL501" s="457"/>
      <c r="OM501" s="457"/>
      <c r="ON501" s="457"/>
      <c r="OO501" s="457"/>
      <c r="OP501" s="457"/>
      <c r="OQ501" s="457"/>
      <c r="OR501" s="457"/>
      <c r="OS501" s="457"/>
      <c r="OT501" s="457"/>
      <c r="OU501" s="457"/>
      <c r="OV501" s="457"/>
      <c r="OW501" s="457"/>
      <c r="OX501" s="457"/>
      <c r="OY501" s="457"/>
      <c r="OZ501" s="457"/>
      <c r="PA501" s="457"/>
      <c r="PB501" s="457"/>
      <c r="PC501" s="457"/>
      <c r="PD501" s="457"/>
      <c r="PE501" s="457"/>
      <c r="PF501" s="457"/>
      <c r="PG501" s="457"/>
      <c r="PH501" s="457"/>
      <c r="PI501" s="457"/>
      <c r="PJ501" s="457"/>
      <c r="PK501" s="457"/>
      <c r="PL501" s="457"/>
      <c r="PM501" s="457"/>
      <c r="PN501" s="457"/>
      <c r="PO501" s="457"/>
      <c r="PP501" s="457"/>
      <c r="PQ501" s="457"/>
      <c r="PR501" s="457"/>
      <c r="PS501" s="457"/>
      <c r="PT501" s="457"/>
      <c r="PU501" s="457"/>
      <c r="PV501" s="457"/>
      <c r="PW501" s="457"/>
      <c r="PX501" s="457"/>
      <c r="PY501" s="457"/>
      <c r="PZ501" s="457"/>
      <c r="QA501" s="457"/>
      <c r="QB501" s="457"/>
      <c r="QC501" s="457"/>
      <c r="QD501" s="457"/>
      <c r="QE501" s="457"/>
      <c r="QF501" s="457"/>
      <c r="QG501" s="457"/>
      <c r="QH501" s="457"/>
      <c r="QI501" s="457"/>
      <c r="QJ501" s="457"/>
      <c r="QK501" s="457"/>
      <c r="QL501" s="457"/>
      <c r="QM501" s="457"/>
      <c r="QN501" s="457"/>
      <c r="QO501" s="457"/>
      <c r="QP501" s="457"/>
      <c r="QQ501" s="457"/>
      <c r="QR501" s="457"/>
      <c r="QS501" s="457"/>
      <c r="QT501" s="457"/>
      <c r="QU501" s="457"/>
      <c r="QV501" s="457"/>
      <c r="QW501" s="457"/>
      <c r="QX501" s="457"/>
      <c r="QY501" s="457"/>
      <c r="QZ501" s="457"/>
      <c r="RA501" s="457"/>
      <c r="RB501" s="457"/>
      <c r="RC501" s="457"/>
      <c r="RD501" s="457"/>
      <c r="RE501" s="457"/>
      <c r="RF501" s="457"/>
      <c r="RG501" s="457"/>
      <c r="RH501" s="457"/>
      <c r="RI501" s="457"/>
      <c r="RJ501" s="457"/>
      <c r="RK501" s="457"/>
      <c r="RL501" s="457"/>
      <c r="RM501" s="457"/>
      <c r="RN501" s="457"/>
      <c r="RO501" s="457"/>
      <c r="RP501" s="457"/>
      <c r="RQ501" s="457"/>
      <c r="RR501" s="457"/>
      <c r="RS501" s="457"/>
      <c r="RT501" s="457"/>
      <c r="RU501" s="457"/>
      <c r="RV501" s="457"/>
      <c r="RW501" s="457"/>
      <c r="RX501" s="457"/>
      <c r="RY501" s="457"/>
      <c r="RZ501" s="457"/>
      <c r="SA501" s="457"/>
      <c r="SB501" s="457"/>
      <c r="SC501" s="457"/>
      <c r="SD501" s="457"/>
      <c r="SE501" s="457"/>
      <c r="SF501" s="457"/>
      <c r="SG501" s="457"/>
      <c r="SH501" s="457"/>
      <c r="SI501" s="457"/>
      <c r="SJ501" s="457"/>
      <c r="SK501" s="457"/>
      <c r="SL501" s="457"/>
      <c r="SM501" s="457"/>
      <c r="SN501" s="457"/>
      <c r="SO501" s="457"/>
      <c r="SP501" s="457"/>
      <c r="SQ501" s="457"/>
      <c r="SR501" s="457"/>
      <c r="SS501" s="457"/>
      <c r="ST501" s="457"/>
      <c r="SU501" s="457"/>
      <c r="SV501" s="457"/>
      <c r="SW501" s="457"/>
      <c r="SX501" s="457"/>
      <c r="SY501" s="457"/>
      <c r="SZ501" s="457"/>
      <c r="TA501" s="457"/>
      <c r="TB501" s="457"/>
      <c r="TC501" s="457"/>
      <c r="TD501" s="457"/>
      <c r="TE501" s="457"/>
      <c r="TF501" s="457"/>
      <c r="TG501" s="457"/>
      <c r="TH501" s="457"/>
      <c r="TI501" s="457"/>
      <c r="TJ501" s="457"/>
      <c r="TK501" s="457"/>
      <c r="TL501" s="457"/>
      <c r="TM501" s="457"/>
      <c r="TN501" s="457"/>
      <c r="TO501" s="457"/>
      <c r="TP501" s="457"/>
      <c r="TQ501" s="457"/>
      <c r="TR501" s="457"/>
      <c r="TS501" s="457"/>
      <c r="TT501" s="457"/>
      <c r="TU501" s="457"/>
      <c r="TV501" s="457"/>
      <c r="TW501" s="457"/>
      <c r="TX501" s="457"/>
      <c r="TY501" s="457"/>
      <c r="TZ501" s="457"/>
      <c r="UA501" s="457"/>
      <c r="UB501" s="457"/>
      <c r="UC501" s="457"/>
      <c r="UD501" s="457"/>
      <c r="UE501" s="457"/>
      <c r="UF501" s="457"/>
      <c r="UG501" s="457"/>
      <c r="UH501" s="457"/>
      <c r="UI501" s="457"/>
      <c r="UJ501" s="457"/>
      <c r="UK501" s="457"/>
      <c r="UL501" s="457"/>
      <c r="UM501" s="457"/>
      <c r="UN501" s="457"/>
      <c r="UO501" s="457"/>
      <c r="UP501" s="457"/>
      <c r="UQ501" s="457"/>
      <c r="UR501" s="457"/>
      <c r="US501" s="457"/>
      <c r="UT501" s="457"/>
      <c r="UU501" s="457"/>
      <c r="UV501" s="457"/>
      <c r="UW501" s="457"/>
      <c r="UX501" s="457"/>
      <c r="UY501" s="457"/>
      <c r="UZ501" s="457"/>
      <c r="VA501" s="457"/>
      <c r="VB501" s="457"/>
      <c r="VC501" s="457"/>
      <c r="VD501" s="457"/>
      <c r="VE501" s="457"/>
      <c r="VF501" s="457"/>
      <c r="VG501" s="457"/>
      <c r="VH501" s="457"/>
      <c r="VI501" s="457"/>
      <c r="VJ501" s="457"/>
      <c r="VK501" s="457"/>
      <c r="VL501" s="457"/>
      <c r="VM501" s="457"/>
      <c r="VN501" s="457"/>
      <c r="VO501" s="457"/>
      <c r="VP501" s="457"/>
      <c r="VQ501" s="457"/>
      <c r="VR501" s="457"/>
      <c r="VS501" s="457"/>
      <c r="VT501" s="457"/>
      <c r="VU501" s="457"/>
      <c r="VV501" s="457"/>
      <c r="VW501" s="457"/>
      <c r="VX501" s="457"/>
      <c r="VY501" s="457"/>
      <c r="VZ501" s="457"/>
      <c r="WA501" s="457"/>
      <c r="WB501" s="457"/>
      <c r="WC501" s="457"/>
      <c r="WD501" s="457"/>
      <c r="WE501" s="457"/>
      <c r="WF501" s="457"/>
      <c r="WG501" s="457"/>
      <c r="WH501" s="457"/>
      <c r="WI501" s="457"/>
      <c r="WJ501" s="457"/>
      <c r="WK501" s="457"/>
      <c r="WL501" s="457"/>
      <c r="WM501" s="457"/>
      <c r="WN501" s="457"/>
      <c r="WO501" s="457"/>
      <c r="WP501" s="457"/>
      <c r="WQ501" s="457"/>
      <c r="WR501" s="457"/>
      <c r="WS501" s="457"/>
      <c r="WT501" s="457"/>
      <c r="WU501" s="457"/>
      <c r="WV501" s="457"/>
      <c r="WW501" s="457"/>
      <c r="WX501" s="457"/>
      <c r="WY501" s="457"/>
      <c r="WZ501" s="457"/>
      <c r="XA501" s="457"/>
      <c r="XB501" s="457"/>
      <c r="XC501" s="457"/>
      <c r="XD501" s="457"/>
      <c r="XE501" s="457"/>
      <c r="XF501" s="457"/>
      <c r="XG501" s="457"/>
      <c r="XH501" s="457"/>
      <c r="XI501" s="457"/>
      <c r="XJ501" s="457"/>
      <c r="XK501" s="457"/>
      <c r="XL501" s="457"/>
      <c r="XM501" s="457"/>
      <c r="XN501" s="457"/>
      <c r="XO501" s="457"/>
      <c r="XP501" s="457"/>
      <c r="XQ501" s="457"/>
      <c r="XR501" s="457"/>
      <c r="XS501" s="457"/>
      <c r="XT501" s="457"/>
      <c r="XU501" s="457"/>
      <c r="XV501" s="457"/>
      <c r="XW501" s="457"/>
      <c r="XX501" s="457"/>
      <c r="XY501" s="457"/>
      <c r="XZ501" s="457"/>
      <c r="YA501" s="457"/>
      <c r="YB501" s="457"/>
      <c r="YC501" s="457"/>
      <c r="YD501" s="457"/>
      <c r="YE501" s="457"/>
      <c r="YF501" s="457"/>
      <c r="YG501" s="457"/>
      <c r="YH501" s="457"/>
      <c r="YI501" s="457"/>
      <c r="YJ501" s="457"/>
      <c r="YK501" s="457"/>
      <c r="YL501" s="457"/>
      <c r="YM501" s="457"/>
      <c r="YN501" s="457"/>
      <c r="YO501" s="457"/>
      <c r="YP501" s="457"/>
      <c r="YQ501" s="457"/>
      <c r="YR501" s="457"/>
      <c r="YS501" s="457"/>
      <c r="YT501" s="457"/>
      <c r="YU501" s="457"/>
      <c r="YV501" s="457"/>
      <c r="YW501" s="457"/>
      <c r="YX501" s="457"/>
      <c r="YY501" s="457"/>
      <c r="YZ501" s="457"/>
      <c r="ZA501" s="457"/>
      <c r="ZB501" s="457"/>
      <c r="ZC501" s="457"/>
      <c r="ZD501" s="457"/>
      <c r="ZE501" s="457"/>
      <c r="ZF501" s="457"/>
      <c r="ZG501" s="457"/>
      <c r="ZH501" s="457"/>
      <c r="ZI501" s="457"/>
      <c r="ZJ501" s="457"/>
      <c r="ZK501" s="457"/>
      <c r="ZL501" s="457"/>
      <c r="ZM501" s="457"/>
      <c r="ZN501" s="457"/>
      <c r="ZO501" s="457"/>
      <c r="ZP501" s="457"/>
      <c r="ZQ501" s="457"/>
      <c r="ZR501" s="457"/>
      <c r="ZS501" s="457"/>
      <c r="ZT501" s="457"/>
      <c r="ZU501" s="457"/>
      <c r="ZV501" s="457"/>
      <c r="ZW501" s="457"/>
      <c r="ZX501" s="457"/>
      <c r="ZY501" s="457"/>
      <c r="ZZ501" s="457"/>
      <c r="AAA501" s="457"/>
      <c r="AAB501" s="457"/>
      <c r="AAC501" s="457"/>
      <c r="AAD501" s="457"/>
      <c r="AAE501" s="457"/>
      <c r="AAF501" s="457"/>
      <c r="AAG501" s="457"/>
      <c r="AAH501" s="457"/>
      <c r="AAI501" s="457"/>
      <c r="AAJ501" s="457"/>
      <c r="AAK501" s="457"/>
      <c r="AAL501" s="457"/>
      <c r="AAM501" s="457"/>
      <c r="AAN501" s="457"/>
      <c r="AAO501" s="457"/>
      <c r="AAP501" s="457"/>
      <c r="AAQ501" s="457"/>
      <c r="AAR501" s="457"/>
      <c r="AAS501" s="457"/>
      <c r="AAT501" s="457"/>
      <c r="AAU501" s="457"/>
      <c r="AAV501" s="457"/>
      <c r="AAW501" s="457"/>
      <c r="AAX501" s="457"/>
      <c r="AAY501" s="457"/>
      <c r="AAZ501" s="457"/>
      <c r="ABA501" s="457"/>
      <c r="ABB501" s="457"/>
      <c r="ABC501" s="457"/>
      <c r="ABD501" s="457"/>
      <c r="ABE501" s="457"/>
      <c r="ABF501" s="457"/>
      <c r="ABG501" s="457"/>
      <c r="ABH501" s="457"/>
      <c r="ABI501" s="457"/>
      <c r="ABJ501" s="457"/>
      <c r="ABK501" s="457"/>
      <c r="ABL501" s="457"/>
      <c r="ABM501" s="457"/>
      <c r="ABN501" s="457"/>
      <c r="ABO501" s="457"/>
      <c r="ABP501" s="457"/>
      <c r="ABQ501" s="457"/>
      <c r="ABR501" s="457"/>
      <c r="ABS501" s="457"/>
      <c r="ABT501" s="457"/>
      <c r="ABU501" s="457"/>
      <c r="ABV501" s="457"/>
      <c r="ABW501" s="457"/>
      <c r="ABX501" s="457"/>
      <c r="ABY501" s="457"/>
      <c r="ABZ501" s="457"/>
      <c r="ACA501" s="457"/>
      <c r="ACB501" s="457"/>
      <c r="ACC501" s="457"/>
      <c r="ACD501" s="457"/>
      <c r="ACE501" s="457"/>
      <c r="ACF501" s="457"/>
      <c r="ACG501" s="457"/>
      <c r="ACH501" s="457"/>
      <c r="ACI501" s="457"/>
      <c r="ACJ501" s="457"/>
      <c r="ACK501" s="457"/>
      <c r="ACL501" s="457"/>
      <c r="ACM501" s="457"/>
      <c r="ACN501" s="457"/>
      <c r="ACO501" s="457"/>
      <c r="ACP501" s="457"/>
      <c r="ACQ501" s="457"/>
      <c r="ACR501" s="457"/>
      <c r="ACS501" s="457"/>
      <c r="ACT501" s="457"/>
      <c r="ACU501" s="457"/>
      <c r="ACV501" s="457"/>
    </row>
    <row r="502" spans="1:776" s="400" customFormat="1" x14ac:dyDescent="0.25">
      <c r="A502" s="470">
        <v>900217</v>
      </c>
      <c r="B502" s="453" t="s">
        <v>426</v>
      </c>
      <c r="C502" s="455"/>
      <c r="D502" s="454" t="s">
        <v>215</v>
      </c>
      <c r="E502" s="454">
        <v>0.23</v>
      </c>
      <c r="F502" s="458">
        <v>4.5</v>
      </c>
      <c r="G502" s="454">
        <v>0</v>
      </c>
      <c r="H502" s="454">
        <v>0.04</v>
      </c>
      <c r="I502" s="456">
        <v>56.51</v>
      </c>
      <c r="J502" s="454">
        <v>15.28</v>
      </c>
      <c r="K502" s="454">
        <v>0.153</v>
      </c>
      <c r="L502" s="454">
        <v>19.2</v>
      </c>
      <c r="M502" s="454">
        <v>0</v>
      </c>
      <c r="N502" s="454">
        <v>1.48</v>
      </c>
      <c r="O502" s="454">
        <v>40.68</v>
      </c>
      <c r="P502" s="454">
        <v>3.65</v>
      </c>
      <c r="Q502" s="454">
        <v>1.31</v>
      </c>
      <c r="R502" s="454">
        <v>0.01</v>
      </c>
      <c r="S502" s="397">
        <v>1.0000000000000001E-5</v>
      </c>
      <c r="T502" s="397">
        <v>1.0000000000000001E-5</v>
      </c>
      <c r="U502" s="454">
        <v>0.01</v>
      </c>
      <c r="V502" s="454"/>
      <c r="W502" s="457"/>
      <c r="X502" s="457"/>
      <c r="Y502" s="457"/>
      <c r="Z502" s="457"/>
      <c r="AA502" s="457"/>
      <c r="AB502" s="457"/>
      <c r="AC502" s="457"/>
      <c r="AD502" s="457"/>
      <c r="AE502" s="457"/>
      <c r="AF502" s="457"/>
      <c r="AG502" s="457"/>
      <c r="AH502" s="457"/>
      <c r="AI502" s="457"/>
      <c r="AJ502" s="457"/>
      <c r="AK502" s="457"/>
      <c r="AL502" s="457"/>
      <c r="AM502" s="457"/>
      <c r="AN502" s="457"/>
      <c r="AO502" s="457"/>
      <c r="AP502" s="457"/>
      <c r="AQ502" s="457"/>
      <c r="AR502" s="457"/>
      <c r="AS502" s="457"/>
      <c r="AT502" s="457"/>
      <c r="AU502" s="457"/>
      <c r="AV502" s="457"/>
      <c r="AW502" s="457"/>
      <c r="AX502" s="457"/>
      <c r="AY502" s="457"/>
      <c r="AZ502" s="457"/>
      <c r="BA502" s="457"/>
      <c r="BB502" s="457"/>
      <c r="BC502" s="457"/>
      <c r="BD502" s="457"/>
      <c r="BE502" s="457"/>
      <c r="BF502" s="457"/>
      <c r="BG502" s="457"/>
      <c r="BH502" s="457"/>
      <c r="BI502" s="457"/>
      <c r="BJ502" s="457"/>
      <c r="BK502" s="457"/>
      <c r="BL502" s="457"/>
      <c r="BM502" s="457"/>
      <c r="BN502" s="457"/>
      <c r="BO502" s="457"/>
      <c r="BP502" s="457"/>
      <c r="BQ502" s="457"/>
      <c r="BR502" s="457"/>
      <c r="BS502" s="457"/>
      <c r="BT502" s="457"/>
      <c r="BU502" s="457"/>
      <c r="BV502" s="457"/>
      <c r="BW502" s="457"/>
      <c r="BX502" s="457"/>
      <c r="BY502" s="457"/>
      <c r="BZ502" s="457"/>
      <c r="CA502" s="457"/>
      <c r="CB502" s="457"/>
      <c r="CC502" s="457"/>
      <c r="CD502" s="457"/>
      <c r="CE502" s="457"/>
      <c r="CF502" s="457"/>
      <c r="CG502" s="457"/>
      <c r="CH502" s="457"/>
      <c r="CI502" s="457"/>
      <c r="CJ502" s="457"/>
      <c r="CK502" s="457"/>
      <c r="CL502" s="457"/>
      <c r="CM502" s="457"/>
      <c r="CN502" s="457"/>
      <c r="CO502" s="457"/>
      <c r="CP502" s="457"/>
      <c r="CQ502" s="457"/>
      <c r="CR502" s="457"/>
      <c r="CS502" s="457"/>
      <c r="CT502" s="457"/>
      <c r="CU502" s="457"/>
      <c r="CV502" s="457"/>
      <c r="CW502" s="457"/>
      <c r="CX502" s="457"/>
      <c r="CY502" s="457"/>
      <c r="CZ502" s="457"/>
      <c r="DA502" s="457"/>
      <c r="DB502" s="457"/>
      <c r="DC502" s="457"/>
      <c r="DD502" s="457"/>
      <c r="DE502" s="457"/>
      <c r="DF502" s="457"/>
      <c r="DG502" s="457"/>
      <c r="DH502" s="457"/>
      <c r="DI502" s="457"/>
      <c r="DJ502" s="457"/>
      <c r="DK502" s="457"/>
      <c r="DL502" s="457"/>
      <c r="DM502" s="457"/>
      <c r="DN502" s="457"/>
      <c r="DO502" s="457"/>
      <c r="DP502" s="457"/>
      <c r="DQ502" s="457"/>
      <c r="DR502" s="457"/>
      <c r="DS502" s="457"/>
      <c r="DT502" s="457"/>
      <c r="DU502" s="457"/>
      <c r="DV502" s="457"/>
      <c r="DW502" s="457"/>
      <c r="DX502" s="457"/>
      <c r="DY502" s="457"/>
      <c r="DZ502" s="457"/>
      <c r="EA502" s="457"/>
      <c r="EB502" s="457"/>
      <c r="EC502" s="457"/>
      <c r="ED502" s="457"/>
      <c r="EE502" s="457"/>
      <c r="EF502" s="457"/>
      <c r="EG502" s="457"/>
      <c r="EH502" s="457"/>
      <c r="EI502" s="457"/>
      <c r="EJ502" s="457"/>
      <c r="EK502" s="457"/>
      <c r="EL502" s="457"/>
      <c r="EM502" s="457"/>
      <c r="EN502" s="457"/>
      <c r="EO502" s="457"/>
      <c r="EP502" s="457"/>
      <c r="EQ502" s="457"/>
      <c r="ER502" s="457"/>
      <c r="ES502" s="457"/>
      <c r="ET502" s="457"/>
      <c r="EU502" s="457"/>
      <c r="EV502" s="457"/>
      <c r="EW502" s="457"/>
      <c r="EX502" s="457"/>
      <c r="EY502" s="457"/>
      <c r="EZ502" s="457"/>
      <c r="FA502" s="457"/>
      <c r="FB502" s="457"/>
      <c r="FC502" s="457"/>
      <c r="FD502" s="457"/>
      <c r="FE502" s="457"/>
      <c r="FF502" s="457"/>
      <c r="FG502" s="457"/>
      <c r="FH502" s="457"/>
      <c r="FI502" s="457"/>
      <c r="FJ502" s="457"/>
      <c r="FK502" s="457"/>
      <c r="FL502" s="457"/>
      <c r="FM502" s="457"/>
      <c r="FN502" s="457"/>
      <c r="FO502" s="457"/>
      <c r="FP502" s="457"/>
      <c r="FQ502" s="457"/>
      <c r="FR502" s="457"/>
      <c r="FS502" s="457"/>
      <c r="FT502" s="457"/>
      <c r="FU502" s="457"/>
      <c r="FV502" s="457"/>
      <c r="FW502" s="457"/>
      <c r="FX502" s="457"/>
      <c r="FY502" s="457"/>
      <c r="FZ502" s="457"/>
      <c r="GA502" s="457"/>
      <c r="GB502" s="457"/>
      <c r="GC502" s="457"/>
      <c r="GD502" s="457"/>
      <c r="GE502" s="457"/>
      <c r="GF502" s="457"/>
      <c r="GG502" s="457"/>
      <c r="GH502" s="457"/>
      <c r="GI502" s="457"/>
      <c r="GJ502" s="457"/>
      <c r="GK502" s="457"/>
      <c r="GL502" s="457"/>
      <c r="GM502" s="457"/>
      <c r="GN502" s="457"/>
      <c r="GO502" s="457"/>
      <c r="GP502" s="457"/>
      <c r="GQ502" s="457"/>
      <c r="GR502" s="457"/>
      <c r="GS502" s="457"/>
      <c r="GT502" s="457"/>
      <c r="GU502" s="457"/>
      <c r="GV502" s="457"/>
      <c r="GW502" s="457"/>
      <c r="GX502" s="457"/>
      <c r="GY502" s="457"/>
      <c r="GZ502" s="457"/>
      <c r="HA502" s="457"/>
      <c r="HB502" s="457"/>
      <c r="HC502" s="457"/>
      <c r="HD502" s="457"/>
      <c r="HE502" s="457"/>
      <c r="HF502" s="457"/>
      <c r="HG502" s="457"/>
      <c r="HH502" s="457"/>
      <c r="HI502" s="457"/>
      <c r="HJ502" s="457"/>
      <c r="HK502" s="457"/>
      <c r="HL502" s="457"/>
      <c r="HM502" s="457"/>
      <c r="HN502" s="457"/>
      <c r="HO502" s="457"/>
      <c r="HP502" s="457"/>
      <c r="HQ502" s="457"/>
      <c r="HR502" s="457"/>
      <c r="HS502" s="457"/>
      <c r="HT502" s="457"/>
      <c r="HU502" s="457"/>
      <c r="HV502" s="457"/>
      <c r="HW502" s="457"/>
      <c r="HX502" s="457"/>
      <c r="HY502" s="457"/>
      <c r="HZ502" s="457"/>
      <c r="IA502" s="457"/>
      <c r="IB502" s="457"/>
      <c r="IC502" s="457"/>
      <c r="ID502" s="457"/>
      <c r="IE502" s="457"/>
      <c r="IF502" s="457"/>
      <c r="IG502" s="457"/>
      <c r="IH502" s="457"/>
      <c r="II502" s="457"/>
      <c r="IJ502" s="457"/>
      <c r="IK502" s="457"/>
      <c r="IL502" s="457"/>
      <c r="IM502" s="457"/>
      <c r="IN502" s="457"/>
      <c r="IO502" s="457"/>
      <c r="IP502" s="457"/>
      <c r="IQ502" s="457"/>
      <c r="IR502" s="457"/>
      <c r="IS502" s="457"/>
      <c r="IT502" s="457"/>
      <c r="IU502" s="457"/>
      <c r="IV502" s="457"/>
      <c r="IW502" s="457"/>
      <c r="IX502" s="457"/>
      <c r="IY502" s="457"/>
      <c r="IZ502" s="457"/>
      <c r="JA502" s="457"/>
      <c r="JB502" s="457"/>
      <c r="JC502" s="457"/>
      <c r="JD502" s="457"/>
      <c r="JE502" s="457"/>
      <c r="JF502" s="457"/>
      <c r="JG502" s="457"/>
      <c r="JH502" s="457"/>
      <c r="JI502" s="457"/>
      <c r="JJ502" s="457"/>
      <c r="JK502" s="457"/>
      <c r="JL502" s="457"/>
      <c r="JM502" s="457"/>
      <c r="JN502" s="457"/>
      <c r="JO502" s="457"/>
      <c r="JP502" s="457"/>
      <c r="JQ502" s="457"/>
      <c r="JR502" s="457"/>
      <c r="JS502" s="457"/>
      <c r="JT502" s="457"/>
      <c r="JU502" s="457"/>
      <c r="JV502" s="457"/>
      <c r="JW502" s="457"/>
      <c r="JX502" s="457"/>
      <c r="JY502" s="457"/>
      <c r="JZ502" s="457"/>
      <c r="KA502" s="457"/>
      <c r="KB502" s="457"/>
      <c r="KC502" s="457"/>
      <c r="KD502" s="457"/>
      <c r="KE502" s="457"/>
      <c r="KF502" s="457"/>
      <c r="KG502" s="457"/>
      <c r="KH502" s="457"/>
      <c r="KI502" s="457"/>
      <c r="KJ502" s="457"/>
      <c r="KK502" s="457"/>
      <c r="KL502" s="457"/>
      <c r="KM502" s="457"/>
      <c r="KN502" s="457"/>
      <c r="KO502" s="457"/>
      <c r="KP502" s="457"/>
      <c r="KQ502" s="457"/>
      <c r="KR502" s="457"/>
      <c r="KS502" s="457"/>
      <c r="KT502" s="457"/>
      <c r="KU502" s="457"/>
      <c r="KV502" s="457"/>
      <c r="KW502" s="457"/>
      <c r="KX502" s="457"/>
      <c r="KY502" s="457"/>
      <c r="KZ502" s="457"/>
      <c r="LA502" s="457"/>
      <c r="LB502" s="457"/>
      <c r="LC502" s="457"/>
      <c r="LD502" s="457"/>
      <c r="LE502" s="457"/>
      <c r="LF502" s="457"/>
      <c r="LG502" s="457"/>
      <c r="LH502" s="457"/>
      <c r="LI502" s="457"/>
      <c r="LJ502" s="457"/>
      <c r="LK502" s="457"/>
      <c r="LL502" s="457"/>
      <c r="LM502" s="457"/>
      <c r="LN502" s="457"/>
      <c r="LO502" s="457"/>
      <c r="LP502" s="457"/>
      <c r="LQ502" s="457"/>
      <c r="LR502" s="457"/>
      <c r="LS502" s="457"/>
      <c r="LT502" s="457"/>
      <c r="LU502" s="457"/>
      <c r="LV502" s="457"/>
      <c r="LW502" s="457"/>
      <c r="LX502" s="457"/>
      <c r="LY502" s="457"/>
      <c r="LZ502" s="457"/>
      <c r="MA502" s="457"/>
      <c r="MB502" s="457"/>
      <c r="MC502" s="457"/>
      <c r="MD502" s="457"/>
      <c r="ME502" s="457"/>
      <c r="MF502" s="457"/>
      <c r="MG502" s="457"/>
      <c r="MH502" s="457"/>
      <c r="MI502" s="457"/>
      <c r="MJ502" s="457"/>
      <c r="MK502" s="457"/>
      <c r="ML502" s="457"/>
      <c r="MM502" s="457"/>
      <c r="MN502" s="457"/>
      <c r="MO502" s="457"/>
      <c r="MP502" s="457"/>
      <c r="MQ502" s="457"/>
      <c r="MR502" s="457"/>
      <c r="MS502" s="457"/>
      <c r="MT502" s="457"/>
      <c r="MU502" s="457"/>
      <c r="MV502" s="457"/>
      <c r="MW502" s="457"/>
      <c r="MX502" s="457"/>
      <c r="MY502" s="457"/>
      <c r="MZ502" s="457"/>
      <c r="NA502" s="457"/>
      <c r="NB502" s="457"/>
      <c r="NC502" s="457"/>
      <c r="ND502" s="457"/>
      <c r="NE502" s="457"/>
      <c r="NF502" s="457"/>
      <c r="NG502" s="457"/>
      <c r="NH502" s="457"/>
      <c r="NI502" s="457"/>
      <c r="NJ502" s="457"/>
      <c r="NK502" s="457"/>
      <c r="NL502" s="457"/>
      <c r="NM502" s="457"/>
      <c r="NN502" s="457"/>
      <c r="NO502" s="457"/>
      <c r="NP502" s="457"/>
      <c r="NQ502" s="457"/>
      <c r="NR502" s="457"/>
      <c r="NS502" s="457"/>
      <c r="NT502" s="457"/>
      <c r="NU502" s="457"/>
      <c r="NV502" s="457"/>
      <c r="NW502" s="457"/>
      <c r="NX502" s="457"/>
      <c r="NY502" s="457"/>
      <c r="NZ502" s="457"/>
      <c r="OA502" s="457"/>
      <c r="OB502" s="457"/>
      <c r="OC502" s="457"/>
      <c r="OD502" s="457"/>
      <c r="OE502" s="457"/>
      <c r="OF502" s="457"/>
      <c r="OG502" s="457"/>
      <c r="OH502" s="457"/>
      <c r="OI502" s="457"/>
      <c r="OJ502" s="457"/>
      <c r="OK502" s="457"/>
      <c r="OL502" s="457"/>
      <c r="OM502" s="457"/>
      <c r="ON502" s="457"/>
      <c r="OO502" s="457"/>
      <c r="OP502" s="457"/>
      <c r="OQ502" s="457"/>
      <c r="OR502" s="457"/>
      <c r="OS502" s="457"/>
      <c r="OT502" s="457"/>
      <c r="OU502" s="457"/>
      <c r="OV502" s="457"/>
      <c r="OW502" s="457"/>
      <c r="OX502" s="457"/>
      <c r="OY502" s="457"/>
      <c r="OZ502" s="457"/>
      <c r="PA502" s="457"/>
      <c r="PB502" s="457"/>
      <c r="PC502" s="457"/>
      <c r="PD502" s="457"/>
      <c r="PE502" s="457"/>
      <c r="PF502" s="457"/>
      <c r="PG502" s="457"/>
      <c r="PH502" s="457"/>
      <c r="PI502" s="457"/>
      <c r="PJ502" s="457"/>
      <c r="PK502" s="457"/>
      <c r="PL502" s="457"/>
      <c r="PM502" s="457"/>
      <c r="PN502" s="457"/>
      <c r="PO502" s="457"/>
      <c r="PP502" s="457"/>
      <c r="PQ502" s="457"/>
      <c r="PR502" s="457"/>
      <c r="PS502" s="457"/>
      <c r="PT502" s="457"/>
      <c r="PU502" s="457"/>
      <c r="PV502" s="457"/>
      <c r="PW502" s="457"/>
      <c r="PX502" s="457"/>
      <c r="PY502" s="457"/>
      <c r="PZ502" s="457"/>
      <c r="QA502" s="457"/>
      <c r="QB502" s="457"/>
      <c r="QC502" s="457"/>
      <c r="QD502" s="457"/>
      <c r="QE502" s="457"/>
      <c r="QF502" s="457"/>
      <c r="QG502" s="457"/>
      <c r="QH502" s="457"/>
      <c r="QI502" s="457"/>
      <c r="QJ502" s="457"/>
      <c r="QK502" s="457"/>
      <c r="QL502" s="457"/>
      <c r="QM502" s="457"/>
      <c r="QN502" s="457"/>
      <c r="QO502" s="457"/>
      <c r="QP502" s="457"/>
      <c r="QQ502" s="457"/>
      <c r="QR502" s="457"/>
      <c r="QS502" s="457"/>
      <c r="QT502" s="457"/>
      <c r="QU502" s="457"/>
      <c r="QV502" s="457"/>
      <c r="QW502" s="457"/>
      <c r="QX502" s="457"/>
      <c r="QY502" s="457"/>
      <c r="QZ502" s="457"/>
      <c r="RA502" s="457"/>
      <c r="RB502" s="457"/>
      <c r="RC502" s="457"/>
      <c r="RD502" s="457"/>
      <c r="RE502" s="457"/>
      <c r="RF502" s="457"/>
      <c r="RG502" s="457"/>
      <c r="RH502" s="457"/>
      <c r="RI502" s="457"/>
      <c r="RJ502" s="457"/>
      <c r="RK502" s="457"/>
      <c r="RL502" s="457"/>
      <c r="RM502" s="457"/>
      <c r="RN502" s="457"/>
      <c r="RO502" s="457"/>
      <c r="RP502" s="457"/>
      <c r="RQ502" s="457"/>
      <c r="RR502" s="457"/>
      <c r="RS502" s="457"/>
      <c r="RT502" s="457"/>
      <c r="RU502" s="457"/>
      <c r="RV502" s="457"/>
      <c r="RW502" s="457"/>
      <c r="RX502" s="457"/>
      <c r="RY502" s="457"/>
      <c r="RZ502" s="457"/>
      <c r="SA502" s="457"/>
      <c r="SB502" s="457"/>
      <c r="SC502" s="457"/>
      <c r="SD502" s="457"/>
      <c r="SE502" s="457"/>
      <c r="SF502" s="457"/>
      <c r="SG502" s="457"/>
      <c r="SH502" s="457"/>
      <c r="SI502" s="457"/>
      <c r="SJ502" s="457"/>
      <c r="SK502" s="457"/>
      <c r="SL502" s="457"/>
      <c r="SM502" s="457"/>
      <c r="SN502" s="457"/>
      <c r="SO502" s="457"/>
      <c r="SP502" s="457"/>
      <c r="SQ502" s="457"/>
      <c r="SR502" s="457"/>
      <c r="SS502" s="457"/>
      <c r="ST502" s="457"/>
      <c r="SU502" s="457"/>
      <c r="SV502" s="457"/>
      <c r="SW502" s="457"/>
      <c r="SX502" s="457"/>
      <c r="SY502" s="457"/>
      <c r="SZ502" s="457"/>
      <c r="TA502" s="457"/>
      <c r="TB502" s="457"/>
      <c r="TC502" s="457"/>
      <c r="TD502" s="457"/>
      <c r="TE502" s="457"/>
      <c r="TF502" s="457"/>
      <c r="TG502" s="457"/>
      <c r="TH502" s="457"/>
      <c r="TI502" s="457"/>
      <c r="TJ502" s="457"/>
      <c r="TK502" s="457"/>
      <c r="TL502" s="457"/>
      <c r="TM502" s="457"/>
      <c r="TN502" s="457"/>
      <c r="TO502" s="457"/>
      <c r="TP502" s="457"/>
      <c r="TQ502" s="457"/>
      <c r="TR502" s="457"/>
      <c r="TS502" s="457"/>
      <c r="TT502" s="457"/>
      <c r="TU502" s="457"/>
      <c r="TV502" s="457"/>
      <c r="TW502" s="457"/>
      <c r="TX502" s="457"/>
      <c r="TY502" s="457"/>
      <c r="TZ502" s="457"/>
      <c r="UA502" s="457"/>
      <c r="UB502" s="457"/>
      <c r="UC502" s="457"/>
      <c r="UD502" s="457"/>
      <c r="UE502" s="457"/>
      <c r="UF502" s="457"/>
      <c r="UG502" s="457"/>
      <c r="UH502" s="457"/>
      <c r="UI502" s="457"/>
      <c r="UJ502" s="457"/>
      <c r="UK502" s="457"/>
      <c r="UL502" s="457"/>
      <c r="UM502" s="457"/>
      <c r="UN502" s="457"/>
      <c r="UO502" s="457"/>
      <c r="UP502" s="457"/>
      <c r="UQ502" s="457"/>
      <c r="UR502" s="457"/>
      <c r="US502" s="457"/>
      <c r="UT502" s="457"/>
      <c r="UU502" s="457"/>
      <c r="UV502" s="457"/>
      <c r="UW502" s="457"/>
      <c r="UX502" s="457"/>
      <c r="UY502" s="457"/>
      <c r="UZ502" s="457"/>
      <c r="VA502" s="457"/>
      <c r="VB502" s="457"/>
      <c r="VC502" s="457"/>
      <c r="VD502" s="457"/>
      <c r="VE502" s="457"/>
      <c r="VF502" s="457"/>
      <c r="VG502" s="457"/>
      <c r="VH502" s="457"/>
      <c r="VI502" s="457"/>
      <c r="VJ502" s="457"/>
      <c r="VK502" s="457"/>
      <c r="VL502" s="457"/>
      <c r="VM502" s="457"/>
      <c r="VN502" s="457"/>
      <c r="VO502" s="457"/>
      <c r="VP502" s="457"/>
      <c r="VQ502" s="457"/>
      <c r="VR502" s="457"/>
      <c r="VS502" s="457"/>
      <c r="VT502" s="457"/>
      <c r="VU502" s="457"/>
      <c r="VV502" s="457"/>
      <c r="VW502" s="457"/>
      <c r="VX502" s="457"/>
      <c r="VY502" s="457"/>
      <c r="VZ502" s="457"/>
      <c r="WA502" s="457"/>
      <c r="WB502" s="457"/>
      <c r="WC502" s="457"/>
      <c r="WD502" s="457"/>
      <c r="WE502" s="457"/>
      <c r="WF502" s="457"/>
      <c r="WG502" s="457"/>
      <c r="WH502" s="457"/>
      <c r="WI502" s="457"/>
      <c r="WJ502" s="457"/>
      <c r="WK502" s="457"/>
      <c r="WL502" s="457"/>
      <c r="WM502" s="457"/>
      <c r="WN502" s="457"/>
      <c r="WO502" s="457"/>
      <c r="WP502" s="457"/>
      <c r="WQ502" s="457"/>
      <c r="WR502" s="457"/>
      <c r="WS502" s="457"/>
      <c r="WT502" s="457"/>
      <c r="WU502" s="457"/>
      <c r="WV502" s="457"/>
      <c r="WW502" s="457"/>
      <c r="WX502" s="457"/>
      <c r="WY502" s="457"/>
      <c r="WZ502" s="457"/>
      <c r="XA502" s="457"/>
      <c r="XB502" s="457"/>
      <c r="XC502" s="457"/>
      <c r="XD502" s="457"/>
      <c r="XE502" s="457"/>
      <c r="XF502" s="457"/>
      <c r="XG502" s="457"/>
      <c r="XH502" s="457"/>
      <c r="XI502" s="457"/>
      <c r="XJ502" s="457"/>
      <c r="XK502" s="457"/>
      <c r="XL502" s="457"/>
      <c r="XM502" s="457"/>
      <c r="XN502" s="457"/>
      <c r="XO502" s="457"/>
      <c r="XP502" s="457"/>
      <c r="XQ502" s="457"/>
      <c r="XR502" s="457"/>
      <c r="XS502" s="457"/>
      <c r="XT502" s="457"/>
      <c r="XU502" s="457"/>
      <c r="XV502" s="457"/>
      <c r="XW502" s="457"/>
      <c r="XX502" s="457"/>
      <c r="XY502" s="457"/>
      <c r="XZ502" s="457"/>
      <c r="YA502" s="457"/>
      <c r="YB502" s="457"/>
      <c r="YC502" s="457"/>
      <c r="YD502" s="457"/>
      <c r="YE502" s="457"/>
      <c r="YF502" s="457"/>
      <c r="YG502" s="457"/>
      <c r="YH502" s="457"/>
      <c r="YI502" s="457"/>
      <c r="YJ502" s="457"/>
      <c r="YK502" s="457"/>
      <c r="YL502" s="457"/>
      <c r="YM502" s="457"/>
      <c r="YN502" s="457"/>
      <c r="YO502" s="457"/>
      <c r="YP502" s="457"/>
      <c r="YQ502" s="457"/>
      <c r="YR502" s="457"/>
      <c r="YS502" s="457"/>
      <c r="YT502" s="457"/>
      <c r="YU502" s="457"/>
      <c r="YV502" s="457"/>
      <c r="YW502" s="457"/>
      <c r="YX502" s="457"/>
      <c r="YY502" s="457"/>
      <c r="YZ502" s="457"/>
      <c r="ZA502" s="457"/>
      <c r="ZB502" s="457"/>
      <c r="ZC502" s="457"/>
      <c r="ZD502" s="457"/>
      <c r="ZE502" s="457"/>
      <c r="ZF502" s="457"/>
      <c r="ZG502" s="457"/>
      <c r="ZH502" s="457"/>
      <c r="ZI502" s="457"/>
      <c r="ZJ502" s="457"/>
      <c r="ZK502" s="457"/>
      <c r="ZL502" s="457"/>
      <c r="ZM502" s="457"/>
      <c r="ZN502" s="457"/>
      <c r="ZO502" s="457"/>
      <c r="ZP502" s="457"/>
      <c r="ZQ502" s="457"/>
      <c r="ZR502" s="457"/>
      <c r="ZS502" s="457"/>
      <c r="ZT502" s="457"/>
      <c r="ZU502" s="457"/>
      <c r="ZV502" s="457"/>
      <c r="ZW502" s="457"/>
      <c r="ZX502" s="457"/>
      <c r="ZY502" s="457"/>
      <c r="ZZ502" s="457"/>
      <c r="AAA502" s="457"/>
      <c r="AAB502" s="457"/>
      <c r="AAC502" s="457"/>
      <c r="AAD502" s="457"/>
      <c r="AAE502" s="457"/>
      <c r="AAF502" s="457"/>
      <c r="AAG502" s="457"/>
      <c r="AAH502" s="457"/>
      <c r="AAI502" s="457"/>
      <c r="AAJ502" s="457"/>
      <c r="AAK502" s="457"/>
      <c r="AAL502" s="457"/>
      <c r="AAM502" s="457"/>
      <c r="AAN502" s="457"/>
      <c r="AAO502" s="457"/>
      <c r="AAP502" s="457"/>
      <c r="AAQ502" s="457"/>
      <c r="AAR502" s="457"/>
      <c r="AAS502" s="457"/>
      <c r="AAT502" s="457"/>
      <c r="AAU502" s="457"/>
      <c r="AAV502" s="457"/>
      <c r="AAW502" s="457"/>
      <c r="AAX502" s="457"/>
      <c r="AAY502" s="457"/>
      <c r="AAZ502" s="457"/>
      <c r="ABA502" s="457"/>
      <c r="ABB502" s="457"/>
      <c r="ABC502" s="457"/>
      <c r="ABD502" s="457"/>
      <c r="ABE502" s="457"/>
      <c r="ABF502" s="457"/>
      <c r="ABG502" s="457"/>
      <c r="ABH502" s="457"/>
      <c r="ABI502" s="457"/>
      <c r="ABJ502" s="457"/>
      <c r="ABK502" s="457"/>
      <c r="ABL502" s="457"/>
      <c r="ABM502" s="457"/>
      <c r="ABN502" s="457"/>
      <c r="ABO502" s="457"/>
      <c r="ABP502" s="457"/>
      <c r="ABQ502" s="457"/>
      <c r="ABR502" s="457"/>
      <c r="ABS502" s="457"/>
      <c r="ABT502" s="457"/>
      <c r="ABU502" s="457"/>
      <c r="ABV502" s="457"/>
      <c r="ABW502" s="457"/>
      <c r="ABX502" s="457"/>
      <c r="ABY502" s="457"/>
      <c r="ABZ502" s="457"/>
      <c r="ACA502" s="457"/>
      <c r="ACB502" s="457"/>
      <c r="ACC502" s="457"/>
      <c r="ACD502" s="457"/>
      <c r="ACE502" s="457"/>
      <c r="ACF502" s="457"/>
      <c r="ACG502" s="457"/>
      <c r="ACH502" s="457"/>
      <c r="ACI502" s="457"/>
      <c r="ACJ502" s="457"/>
      <c r="ACK502" s="457"/>
      <c r="ACL502" s="457"/>
      <c r="ACM502" s="457"/>
      <c r="ACN502" s="457"/>
      <c r="ACO502" s="457"/>
      <c r="ACP502" s="457"/>
      <c r="ACQ502" s="457"/>
      <c r="ACR502" s="457"/>
      <c r="ACS502" s="457"/>
      <c r="ACT502" s="457"/>
      <c r="ACU502" s="457"/>
      <c r="ACV502" s="457"/>
    </row>
    <row r="503" spans="1:776" s="400" customFormat="1" x14ac:dyDescent="0.25">
      <c r="A503" s="470">
        <v>900208</v>
      </c>
      <c r="B503" s="404" t="str">
        <f t="shared" ref="B503:B522" si="13">"-"&amp;TEXT((F503/62+G503/46+I503/35.5+J503/48+K503/97+L503/61),"0,00")&amp;"/+"&amp;TEXT((N503/39+O503/23+P503/20+Q503/12+H503/14),"0,00")&amp;"  (EC  "&amp;E503*10&amp;")"</f>
        <v>-49,65/+48,61  (EC  48,6)</v>
      </c>
      <c r="C503" s="455"/>
      <c r="D503" s="454">
        <v>7.45</v>
      </c>
      <c r="E503" s="454">
        <v>4.8600000000000003</v>
      </c>
      <c r="F503" s="458">
        <v>2.9</v>
      </c>
      <c r="G503" s="454">
        <v>0</v>
      </c>
      <c r="H503" s="454">
        <v>0.4</v>
      </c>
      <c r="I503" s="456">
        <v>1178.5</v>
      </c>
      <c r="J503" s="454">
        <v>381.2</v>
      </c>
      <c r="K503" s="454">
        <v>0.2142</v>
      </c>
      <c r="L503" s="454">
        <v>516</v>
      </c>
      <c r="M503" s="454">
        <v>0</v>
      </c>
      <c r="N503" s="454">
        <v>7.3</v>
      </c>
      <c r="O503" s="454">
        <v>606.59</v>
      </c>
      <c r="P503" s="454">
        <v>217</v>
      </c>
      <c r="Q503" s="454">
        <v>134.07</v>
      </c>
      <c r="R503" s="397">
        <v>1.0000000000000001E-5</v>
      </c>
      <c r="S503" s="397">
        <v>1.0000000000000001E-5</v>
      </c>
      <c r="T503" s="454">
        <v>2.4</v>
      </c>
      <c r="U503" s="454">
        <v>0.5</v>
      </c>
      <c r="V503" s="397">
        <v>1.0000000000000001E-5</v>
      </c>
      <c r="W503" s="457"/>
      <c r="X503" s="457"/>
      <c r="Y503" s="457"/>
      <c r="Z503" s="457"/>
      <c r="AA503" s="457"/>
      <c r="AB503" s="457"/>
      <c r="AC503" s="457"/>
      <c r="AD503" s="457"/>
      <c r="AE503" s="457"/>
      <c r="AF503" s="457"/>
      <c r="AG503" s="457"/>
      <c r="AH503" s="457"/>
      <c r="AI503" s="457"/>
      <c r="AJ503" s="457"/>
      <c r="AK503" s="457"/>
      <c r="AL503" s="457"/>
      <c r="AM503" s="457"/>
      <c r="AN503" s="457"/>
      <c r="AO503" s="457"/>
      <c r="AP503" s="457"/>
      <c r="AQ503" s="457"/>
      <c r="AR503" s="457"/>
      <c r="AS503" s="457"/>
      <c r="AT503" s="457"/>
      <c r="AU503" s="457"/>
      <c r="AV503" s="457"/>
      <c r="AW503" s="457"/>
      <c r="AX503" s="457"/>
      <c r="AY503" s="457"/>
      <c r="AZ503" s="457"/>
      <c r="BA503" s="457"/>
      <c r="BB503" s="457"/>
      <c r="BC503" s="457"/>
      <c r="BD503" s="457"/>
      <c r="BE503" s="457"/>
      <c r="BF503" s="457"/>
      <c r="BG503" s="457"/>
      <c r="BH503" s="457"/>
      <c r="BI503" s="457"/>
      <c r="BJ503" s="457"/>
      <c r="BK503" s="457"/>
      <c r="BL503" s="457"/>
      <c r="BM503" s="457"/>
      <c r="BN503" s="457"/>
      <c r="BO503" s="457"/>
      <c r="BP503" s="457"/>
      <c r="BQ503" s="457"/>
      <c r="BR503" s="457"/>
      <c r="BS503" s="457"/>
      <c r="BT503" s="457"/>
      <c r="BU503" s="457"/>
      <c r="BV503" s="457"/>
      <c r="BW503" s="457"/>
      <c r="BX503" s="457"/>
      <c r="BY503" s="457"/>
      <c r="BZ503" s="457"/>
      <c r="CA503" s="457"/>
      <c r="CB503" s="457"/>
      <c r="CC503" s="457"/>
      <c r="CD503" s="457"/>
      <c r="CE503" s="457"/>
      <c r="CF503" s="457"/>
      <c r="CG503" s="457"/>
      <c r="CH503" s="457"/>
      <c r="CI503" s="457"/>
      <c r="CJ503" s="457"/>
      <c r="CK503" s="457"/>
      <c r="CL503" s="457"/>
      <c r="CM503" s="457"/>
      <c r="CN503" s="457"/>
      <c r="CO503" s="457"/>
      <c r="CP503" s="457"/>
      <c r="CQ503" s="457"/>
      <c r="CR503" s="457"/>
      <c r="CS503" s="457"/>
      <c r="CT503" s="457"/>
      <c r="CU503" s="457"/>
      <c r="CV503" s="457"/>
      <c r="CW503" s="457"/>
      <c r="CX503" s="457"/>
      <c r="CY503" s="457"/>
      <c r="CZ503" s="457"/>
      <c r="DA503" s="457"/>
      <c r="DB503" s="457"/>
      <c r="DC503" s="457"/>
      <c r="DD503" s="457"/>
      <c r="DE503" s="457"/>
      <c r="DF503" s="457"/>
      <c r="DG503" s="457"/>
      <c r="DH503" s="457"/>
      <c r="DI503" s="457"/>
      <c r="DJ503" s="457"/>
      <c r="DK503" s="457"/>
      <c r="DL503" s="457"/>
      <c r="DM503" s="457"/>
      <c r="DN503" s="457"/>
      <c r="DO503" s="457"/>
      <c r="DP503" s="457"/>
      <c r="DQ503" s="457"/>
      <c r="DR503" s="457"/>
      <c r="DS503" s="457"/>
      <c r="DT503" s="457"/>
      <c r="DU503" s="457"/>
      <c r="DV503" s="457"/>
      <c r="DW503" s="457"/>
      <c r="DX503" s="457"/>
      <c r="DY503" s="457"/>
      <c r="DZ503" s="457"/>
      <c r="EA503" s="457"/>
      <c r="EB503" s="457"/>
      <c r="EC503" s="457"/>
      <c r="ED503" s="457"/>
      <c r="EE503" s="457"/>
      <c r="EF503" s="457"/>
      <c r="EG503" s="457"/>
      <c r="EH503" s="457"/>
      <c r="EI503" s="457"/>
      <c r="EJ503" s="457"/>
      <c r="EK503" s="457"/>
      <c r="EL503" s="457"/>
      <c r="EM503" s="457"/>
      <c r="EN503" s="457"/>
      <c r="EO503" s="457"/>
      <c r="EP503" s="457"/>
      <c r="EQ503" s="457"/>
      <c r="ER503" s="457"/>
      <c r="ES503" s="457"/>
      <c r="ET503" s="457"/>
      <c r="EU503" s="457"/>
      <c r="EV503" s="457"/>
      <c r="EW503" s="457"/>
      <c r="EX503" s="457"/>
      <c r="EY503" s="457"/>
      <c r="EZ503" s="457"/>
      <c r="FA503" s="457"/>
      <c r="FB503" s="457"/>
      <c r="FC503" s="457"/>
      <c r="FD503" s="457"/>
      <c r="FE503" s="457"/>
      <c r="FF503" s="457"/>
      <c r="FG503" s="457"/>
      <c r="FH503" s="457"/>
      <c r="FI503" s="457"/>
      <c r="FJ503" s="457"/>
      <c r="FK503" s="457"/>
      <c r="FL503" s="457"/>
      <c r="FM503" s="457"/>
      <c r="FN503" s="457"/>
      <c r="FO503" s="457"/>
      <c r="FP503" s="457"/>
      <c r="FQ503" s="457"/>
      <c r="FR503" s="457"/>
      <c r="FS503" s="457"/>
      <c r="FT503" s="457"/>
      <c r="FU503" s="457"/>
      <c r="FV503" s="457"/>
      <c r="FW503" s="457"/>
      <c r="FX503" s="457"/>
      <c r="FY503" s="457"/>
      <c r="FZ503" s="457"/>
      <c r="GA503" s="457"/>
      <c r="GB503" s="457"/>
      <c r="GC503" s="457"/>
      <c r="GD503" s="457"/>
      <c r="GE503" s="457"/>
      <c r="GF503" s="457"/>
      <c r="GG503" s="457"/>
      <c r="GH503" s="457"/>
      <c r="GI503" s="457"/>
      <c r="GJ503" s="457"/>
      <c r="GK503" s="457"/>
      <c r="GL503" s="457"/>
      <c r="GM503" s="457"/>
      <c r="GN503" s="457"/>
      <c r="GO503" s="457"/>
      <c r="GP503" s="457"/>
      <c r="GQ503" s="457"/>
      <c r="GR503" s="457"/>
      <c r="GS503" s="457"/>
      <c r="GT503" s="457"/>
      <c r="GU503" s="457"/>
      <c r="GV503" s="457"/>
      <c r="GW503" s="457"/>
      <c r="GX503" s="457"/>
      <c r="GY503" s="457"/>
      <c r="GZ503" s="457"/>
      <c r="HA503" s="457"/>
      <c r="HB503" s="457"/>
      <c r="HC503" s="457"/>
      <c r="HD503" s="457"/>
      <c r="HE503" s="457"/>
      <c r="HF503" s="457"/>
      <c r="HG503" s="457"/>
      <c r="HH503" s="457"/>
      <c r="HI503" s="457"/>
      <c r="HJ503" s="457"/>
      <c r="HK503" s="457"/>
      <c r="HL503" s="457"/>
      <c r="HM503" s="457"/>
      <c r="HN503" s="457"/>
      <c r="HO503" s="457"/>
      <c r="HP503" s="457"/>
      <c r="HQ503" s="457"/>
      <c r="HR503" s="457"/>
      <c r="HS503" s="457"/>
      <c r="HT503" s="457"/>
      <c r="HU503" s="457"/>
      <c r="HV503" s="457"/>
      <c r="HW503" s="457"/>
      <c r="HX503" s="457"/>
      <c r="HY503" s="457"/>
      <c r="HZ503" s="457"/>
      <c r="IA503" s="457"/>
      <c r="IB503" s="457"/>
      <c r="IC503" s="457"/>
      <c r="ID503" s="457"/>
      <c r="IE503" s="457"/>
      <c r="IF503" s="457"/>
      <c r="IG503" s="457"/>
      <c r="IH503" s="457"/>
      <c r="II503" s="457"/>
      <c r="IJ503" s="457"/>
      <c r="IK503" s="457"/>
      <c r="IL503" s="457"/>
      <c r="IM503" s="457"/>
      <c r="IN503" s="457"/>
      <c r="IO503" s="457"/>
      <c r="IP503" s="457"/>
      <c r="IQ503" s="457"/>
      <c r="IR503" s="457"/>
      <c r="IS503" s="457"/>
      <c r="IT503" s="457"/>
      <c r="IU503" s="457"/>
      <c r="IV503" s="457"/>
      <c r="IW503" s="457"/>
      <c r="IX503" s="457"/>
      <c r="IY503" s="457"/>
      <c r="IZ503" s="457"/>
      <c r="JA503" s="457"/>
      <c r="JB503" s="457"/>
      <c r="JC503" s="457"/>
      <c r="JD503" s="457"/>
      <c r="JE503" s="457"/>
      <c r="JF503" s="457"/>
      <c r="JG503" s="457"/>
      <c r="JH503" s="457"/>
      <c r="JI503" s="457"/>
      <c r="JJ503" s="457"/>
      <c r="JK503" s="457"/>
      <c r="JL503" s="457"/>
      <c r="JM503" s="457"/>
      <c r="JN503" s="457"/>
      <c r="JO503" s="457"/>
      <c r="JP503" s="457"/>
      <c r="JQ503" s="457"/>
      <c r="JR503" s="457"/>
      <c r="JS503" s="457"/>
      <c r="JT503" s="457"/>
      <c r="JU503" s="457"/>
      <c r="JV503" s="457"/>
      <c r="JW503" s="457"/>
      <c r="JX503" s="457"/>
      <c r="JY503" s="457"/>
      <c r="JZ503" s="457"/>
      <c r="KA503" s="457"/>
      <c r="KB503" s="457"/>
      <c r="KC503" s="457"/>
      <c r="KD503" s="457"/>
      <c r="KE503" s="457"/>
      <c r="KF503" s="457"/>
      <c r="KG503" s="457"/>
      <c r="KH503" s="457"/>
      <c r="KI503" s="457"/>
      <c r="KJ503" s="457"/>
      <c r="KK503" s="457"/>
      <c r="KL503" s="457"/>
      <c r="KM503" s="457"/>
      <c r="KN503" s="457"/>
      <c r="KO503" s="457"/>
      <c r="KP503" s="457"/>
      <c r="KQ503" s="457"/>
      <c r="KR503" s="457"/>
      <c r="KS503" s="457"/>
      <c r="KT503" s="457"/>
      <c r="KU503" s="457"/>
      <c r="KV503" s="457"/>
      <c r="KW503" s="457"/>
      <c r="KX503" s="457"/>
      <c r="KY503" s="457"/>
      <c r="KZ503" s="457"/>
      <c r="LA503" s="457"/>
      <c r="LB503" s="457"/>
      <c r="LC503" s="457"/>
      <c r="LD503" s="457"/>
      <c r="LE503" s="457"/>
      <c r="LF503" s="457"/>
      <c r="LG503" s="457"/>
      <c r="LH503" s="457"/>
      <c r="LI503" s="457"/>
      <c r="LJ503" s="457"/>
      <c r="LK503" s="457"/>
      <c r="LL503" s="457"/>
      <c r="LM503" s="457"/>
      <c r="LN503" s="457"/>
      <c r="LO503" s="457"/>
      <c r="LP503" s="457"/>
      <c r="LQ503" s="457"/>
      <c r="LR503" s="457"/>
      <c r="LS503" s="457"/>
      <c r="LT503" s="457"/>
      <c r="LU503" s="457"/>
      <c r="LV503" s="457"/>
      <c r="LW503" s="457"/>
      <c r="LX503" s="457"/>
      <c r="LY503" s="457"/>
      <c r="LZ503" s="457"/>
      <c r="MA503" s="457"/>
      <c r="MB503" s="457"/>
      <c r="MC503" s="457"/>
      <c r="MD503" s="457"/>
      <c r="ME503" s="457"/>
      <c r="MF503" s="457"/>
      <c r="MG503" s="457"/>
      <c r="MH503" s="457"/>
      <c r="MI503" s="457"/>
      <c r="MJ503" s="457"/>
      <c r="MK503" s="457"/>
      <c r="ML503" s="457"/>
      <c r="MM503" s="457"/>
      <c r="MN503" s="457"/>
      <c r="MO503" s="457"/>
      <c r="MP503" s="457"/>
      <c r="MQ503" s="457"/>
      <c r="MR503" s="457"/>
      <c r="MS503" s="457"/>
      <c r="MT503" s="457"/>
      <c r="MU503" s="457"/>
      <c r="MV503" s="457"/>
      <c r="MW503" s="457"/>
      <c r="MX503" s="457"/>
      <c r="MY503" s="457"/>
      <c r="MZ503" s="457"/>
      <c r="NA503" s="457"/>
      <c r="NB503" s="457"/>
      <c r="NC503" s="457"/>
      <c r="ND503" s="457"/>
      <c r="NE503" s="457"/>
      <c r="NF503" s="457"/>
      <c r="NG503" s="457"/>
      <c r="NH503" s="457"/>
      <c r="NI503" s="457"/>
      <c r="NJ503" s="457"/>
      <c r="NK503" s="457"/>
      <c r="NL503" s="457"/>
      <c r="NM503" s="457"/>
      <c r="NN503" s="457"/>
      <c r="NO503" s="457"/>
      <c r="NP503" s="457"/>
      <c r="NQ503" s="457"/>
      <c r="NR503" s="457"/>
      <c r="NS503" s="457"/>
      <c r="NT503" s="457"/>
      <c r="NU503" s="457"/>
      <c r="NV503" s="457"/>
      <c r="NW503" s="457"/>
      <c r="NX503" s="457"/>
      <c r="NY503" s="457"/>
      <c r="NZ503" s="457"/>
      <c r="OA503" s="457"/>
      <c r="OB503" s="457"/>
      <c r="OC503" s="457"/>
      <c r="OD503" s="457"/>
      <c r="OE503" s="457"/>
      <c r="OF503" s="457"/>
      <c r="OG503" s="457"/>
      <c r="OH503" s="457"/>
      <c r="OI503" s="457"/>
      <c r="OJ503" s="457"/>
      <c r="OK503" s="457"/>
      <c r="OL503" s="457"/>
      <c r="OM503" s="457"/>
      <c r="ON503" s="457"/>
      <c r="OO503" s="457"/>
      <c r="OP503" s="457"/>
      <c r="OQ503" s="457"/>
      <c r="OR503" s="457"/>
      <c r="OS503" s="457"/>
      <c r="OT503" s="457"/>
      <c r="OU503" s="457"/>
      <c r="OV503" s="457"/>
      <c r="OW503" s="457"/>
      <c r="OX503" s="457"/>
      <c r="OY503" s="457"/>
      <c r="OZ503" s="457"/>
      <c r="PA503" s="457"/>
      <c r="PB503" s="457"/>
      <c r="PC503" s="457"/>
      <c r="PD503" s="457"/>
      <c r="PE503" s="457"/>
      <c r="PF503" s="457"/>
      <c r="PG503" s="457"/>
      <c r="PH503" s="457"/>
      <c r="PI503" s="457"/>
      <c r="PJ503" s="457"/>
      <c r="PK503" s="457"/>
      <c r="PL503" s="457"/>
      <c r="PM503" s="457"/>
      <c r="PN503" s="457"/>
      <c r="PO503" s="457"/>
      <c r="PP503" s="457"/>
      <c r="PQ503" s="457"/>
      <c r="PR503" s="457"/>
      <c r="PS503" s="457"/>
      <c r="PT503" s="457"/>
      <c r="PU503" s="457"/>
      <c r="PV503" s="457"/>
      <c r="PW503" s="457"/>
      <c r="PX503" s="457"/>
      <c r="PY503" s="457"/>
      <c r="PZ503" s="457"/>
      <c r="QA503" s="457"/>
      <c r="QB503" s="457"/>
      <c r="QC503" s="457"/>
      <c r="QD503" s="457"/>
      <c r="QE503" s="457"/>
      <c r="QF503" s="457"/>
      <c r="QG503" s="457"/>
      <c r="QH503" s="457"/>
      <c r="QI503" s="457"/>
      <c r="QJ503" s="457"/>
      <c r="QK503" s="457"/>
      <c r="QL503" s="457"/>
      <c r="QM503" s="457"/>
      <c r="QN503" s="457"/>
      <c r="QO503" s="457"/>
      <c r="QP503" s="457"/>
      <c r="QQ503" s="457"/>
      <c r="QR503" s="457"/>
      <c r="QS503" s="457"/>
      <c r="QT503" s="457"/>
      <c r="QU503" s="457"/>
      <c r="QV503" s="457"/>
      <c r="QW503" s="457"/>
      <c r="QX503" s="457"/>
      <c r="QY503" s="457"/>
      <c r="QZ503" s="457"/>
      <c r="RA503" s="457"/>
      <c r="RB503" s="457"/>
      <c r="RC503" s="457"/>
      <c r="RD503" s="457"/>
      <c r="RE503" s="457"/>
      <c r="RF503" s="457"/>
      <c r="RG503" s="457"/>
      <c r="RH503" s="457"/>
      <c r="RI503" s="457"/>
      <c r="RJ503" s="457"/>
      <c r="RK503" s="457"/>
      <c r="RL503" s="457"/>
      <c r="RM503" s="457"/>
      <c r="RN503" s="457"/>
      <c r="RO503" s="457"/>
      <c r="RP503" s="457"/>
      <c r="RQ503" s="457"/>
      <c r="RR503" s="457"/>
      <c r="RS503" s="457"/>
      <c r="RT503" s="457"/>
      <c r="RU503" s="457"/>
      <c r="RV503" s="457"/>
      <c r="RW503" s="457"/>
      <c r="RX503" s="457"/>
      <c r="RY503" s="457"/>
      <c r="RZ503" s="457"/>
      <c r="SA503" s="457"/>
      <c r="SB503" s="457"/>
      <c r="SC503" s="457"/>
      <c r="SD503" s="457"/>
      <c r="SE503" s="457"/>
      <c r="SF503" s="457"/>
      <c r="SG503" s="457"/>
      <c r="SH503" s="457"/>
      <c r="SI503" s="457"/>
      <c r="SJ503" s="457"/>
      <c r="SK503" s="457"/>
      <c r="SL503" s="457"/>
      <c r="SM503" s="457"/>
      <c r="SN503" s="457"/>
      <c r="SO503" s="457"/>
      <c r="SP503" s="457"/>
      <c r="SQ503" s="457"/>
      <c r="SR503" s="457"/>
      <c r="SS503" s="457"/>
      <c r="ST503" s="457"/>
      <c r="SU503" s="457"/>
      <c r="SV503" s="457"/>
      <c r="SW503" s="457"/>
      <c r="SX503" s="457"/>
      <c r="SY503" s="457"/>
      <c r="SZ503" s="457"/>
      <c r="TA503" s="457"/>
      <c r="TB503" s="457"/>
      <c r="TC503" s="457"/>
      <c r="TD503" s="457"/>
      <c r="TE503" s="457"/>
      <c r="TF503" s="457"/>
      <c r="TG503" s="457"/>
      <c r="TH503" s="457"/>
      <c r="TI503" s="457"/>
      <c r="TJ503" s="457"/>
      <c r="TK503" s="457"/>
      <c r="TL503" s="457"/>
      <c r="TM503" s="457"/>
      <c r="TN503" s="457"/>
      <c r="TO503" s="457"/>
      <c r="TP503" s="457"/>
      <c r="TQ503" s="457"/>
      <c r="TR503" s="457"/>
      <c r="TS503" s="457"/>
      <c r="TT503" s="457"/>
      <c r="TU503" s="457"/>
      <c r="TV503" s="457"/>
      <c r="TW503" s="457"/>
      <c r="TX503" s="457"/>
      <c r="TY503" s="457"/>
      <c r="TZ503" s="457"/>
      <c r="UA503" s="457"/>
      <c r="UB503" s="457"/>
      <c r="UC503" s="457"/>
      <c r="UD503" s="457"/>
      <c r="UE503" s="457"/>
      <c r="UF503" s="457"/>
      <c r="UG503" s="457"/>
      <c r="UH503" s="457"/>
      <c r="UI503" s="457"/>
      <c r="UJ503" s="457"/>
      <c r="UK503" s="457"/>
      <c r="UL503" s="457"/>
      <c r="UM503" s="457"/>
      <c r="UN503" s="457"/>
      <c r="UO503" s="457"/>
      <c r="UP503" s="457"/>
      <c r="UQ503" s="457"/>
      <c r="UR503" s="457"/>
      <c r="US503" s="457"/>
      <c r="UT503" s="457"/>
      <c r="UU503" s="457"/>
      <c r="UV503" s="457"/>
      <c r="UW503" s="457"/>
      <c r="UX503" s="457"/>
      <c r="UY503" s="457"/>
      <c r="UZ503" s="457"/>
      <c r="VA503" s="457"/>
      <c r="VB503" s="457"/>
      <c r="VC503" s="457"/>
      <c r="VD503" s="457"/>
      <c r="VE503" s="457"/>
      <c r="VF503" s="457"/>
      <c r="VG503" s="457"/>
      <c r="VH503" s="457"/>
      <c r="VI503" s="457"/>
      <c r="VJ503" s="457"/>
      <c r="VK503" s="457"/>
      <c r="VL503" s="457"/>
      <c r="VM503" s="457"/>
      <c r="VN503" s="457"/>
      <c r="VO503" s="457"/>
      <c r="VP503" s="457"/>
      <c r="VQ503" s="457"/>
      <c r="VR503" s="457"/>
      <c r="VS503" s="457"/>
      <c r="VT503" s="457"/>
      <c r="VU503" s="457"/>
      <c r="VV503" s="457"/>
      <c r="VW503" s="457"/>
      <c r="VX503" s="457"/>
      <c r="VY503" s="457"/>
      <c r="VZ503" s="457"/>
      <c r="WA503" s="457"/>
      <c r="WB503" s="457"/>
      <c r="WC503" s="457"/>
      <c r="WD503" s="457"/>
      <c r="WE503" s="457"/>
      <c r="WF503" s="457"/>
      <c r="WG503" s="457"/>
      <c r="WH503" s="457"/>
      <c r="WI503" s="457"/>
      <c r="WJ503" s="457"/>
      <c r="WK503" s="457"/>
      <c r="WL503" s="457"/>
      <c r="WM503" s="457"/>
      <c r="WN503" s="457"/>
      <c r="WO503" s="457"/>
      <c r="WP503" s="457"/>
      <c r="WQ503" s="457"/>
      <c r="WR503" s="457"/>
      <c r="WS503" s="457"/>
      <c r="WT503" s="457"/>
      <c r="WU503" s="457"/>
      <c r="WV503" s="457"/>
      <c r="WW503" s="457"/>
      <c r="WX503" s="457"/>
      <c r="WY503" s="457"/>
      <c r="WZ503" s="457"/>
      <c r="XA503" s="457"/>
      <c r="XB503" s="457"/>
      <c r="XC503" s="457"/>
      <c r="XD503" s="457"/>
      <c r="XE503" s="457"/>
      <c r="XF503" s="457"/>
      <c r="XG503" s="457"/>
      <c r="XH503" s="457"/>
      <c r="XI503" s="457"/>
      <c r="XJ503" s="457"/>
      <c r="XK503" s="457"/>
      <c r="XL503" s="457"/>
      <c r="XM503" s="457"/>
      <c r="XN503" s="457"/>
      <c r="XO503" s="457"/>
      <c r="XP503" s="457"/>
      <c r="XQ503" s="457"/>
      <c r="XR503" s="457"/>
      <c r="XS503" s="457"/>
      <c r="XT503" s="457"/>
      <c r="XU503" s="457"/>
      <c r="XV503" s="457"/>
      <c r="XW503" s="457"/>
      <c r="XX503" s="457"/>
      <c r="XY503" s="457"/>
      <c r="XZ503" s="457"/>
      <c r="YA503" s="457"/>
      <c r="YB503" s="457"/>
      <c r="YC503" s="457"/>
      <c r="YD503" s="457"/>
      <c r="YE503" s="457"/>
      <c r="YF503" s="457"/>
      <c r="YG503" s="457"/>
      <c r="YH503" s="457"/>
      <c r="YI503" s="457"/>
      <c r="YJ503" s="457"/>
      <c r="YK503" s="457"/>
      <c r="YL503" s="457"/>
      <c r="YM503" s="457"/>
      <c r="YN503" s="457"/>
      <c r="YO503" s="457"/>
      <c r="YP503" s="457"/>
      <c r="YQ503" s="457"/>
      <c r="YR503" s="457"/>
      <c r="YS503" s="457"/>
      <c r="YT503" s="457"/>
      <c r="YU503" s="457"/>
      <c r="YV503" s="457"/>
      <c r="YW503" s="457"/>
      <c r="YX503" s="457"/>
      <c r="YY503" s="457"/>
      <c r="YZ503" s="457"/>
      <c r="ZA503" s="457"/>
      <c r="ZB503" s="457"/>
      <c r="ZC503" s="457"/>
      <c r="ZD503" s="457"/>
      <c r="ZE503" s="457"/>
      <c r="ZF503" s="457"/>
      <c r="ZG503" s="457"/>
      <c r="ZH503" s="457"/>
      <c r="ZI503" s="457"/>
      <c r="ZJ503" s="457"/>
      <c r="ZK503" s="457"/>
      <c r="ZL503" s="457"/>
      <c r="ZM503" s="457"/>
      <c r="ZN503" s="457"/>
      <c r="ZO503" s="457"/>
      <c r="ZP503" s="457"/>
      <c r="ZQ503" s="457"/>
      <c r="ZR503" s="457"/>
      <c r="ZS503" s="457"/>
      <c r="ZT503" s="457"/>
      <c r="ZU503" s="457"/>
      <c r="ZV503" s="457"/>
      <c r="ZW503" s="457"/>
      <c r="ZX503" s="457"/>
      <c r="ZY503" s="457"/>
      <c r="ZZ503" s="457"/>
      <c r="AAA503" s="457"/>
      <c r="AAB503" s="457"/>
      <c r="AAC503" s="457"/>
      <c r="AAD503" s="457"/>
      <c r="AAE503" s="457"/>
      <c r="AAF503" s="457"/>
      <c r="AAG503" s="457"/>
      <c r="AAH503" s="457"/>
      <c r="AAI503" s="457"/>
      <c r="AAJ503" s="457"/>
      <c r="AAK503" s="457"/>
      <c r="AAL503" s="457"/>
      <c r="AAM503" s="457"/>
      <c r="AAN503" s="457"/>
      <c r="AAO503" s="457"/>
      <c r="AAP503" s="457"/>
      <c r="AAQ503" s="457"/>
      <c r="AAR503" s="457"/>
      <c r="AAS503" s="457"/>
      <c r="AAT503" s="457"/>
      <c r="AAU503" s="457"/>
      <c r="AAV503" s="457"/>
      <c r="AAW503" s="457"/>
      <c r="AAX503" s="457"/>
      <c r="AAY503" s="457"/>
      <c r="AAZ503" s="457"/>
      <c r="ABA503" s="457"/>
      <c r="ABB503" s="457"/>
      <c r="ABC503" s="457"/>
      <c r="ABD503" s="457"/>
      <c r="ABE503" s="457"/>
      <c r="ABF503" s="457"/>
      <c r="ABG503" s="457"/>
      <c r="ABH503" s="457"/>
      <c r="ABI503" s="457"/>
      <c r="ABJ503" s="457"/>
      <c r="ABK503" s="457"/>
      <c r="ABL503" s="457"/>
      <c r="ABM503" s="457"/>
      <c r="ABN503" s="457"/>
      <c r="ABO503" s="457"/>
      <c r="ABP503" s="457"/>
      <c r="ABQ503" s="457"/>
      <c r="ABR503" s="457"/>
      <c r="ABS503" s="457"/>
      <c r="ABT503" s="457"/>
      <c r="ABU503" s="457"/>
      <c r="ABV503" s="457"/>
      <c r="ABW503" s="457"/>
      <c r="ABX503" s="457"/>
      <c r="ABY503" s="457"/>
      <c r="ABZ503" s="457"/>
      <c r="ACA503" s="457"/>
      <c r="ACB503" s="457"/>
      <c r="ACC503" s="457"/>
      <c r="ACD503" s="457"/>
      <c r="ACE503" s="457"/>
      <c r="ACF503" s="457"/>
      <c r="ACG503" s="457"/>
      <c r="ACH503" s="457"/>
      <c r="ACI503" s="457"/>
      <c r="ACJ503" s="457"/>
      <c r="ACK503" s="457"/>
      <c r="ACL503" s="457"/>
      <c r="ACM503" s="457"/>
      <c r="ACN503" s="457"/>
      <c r="ACO503" s="457"/>
      <c r="ACP503" s="457"/>
      <c r="ACQ503" s="457"/>
      <c r="ACR503" s="457"/>
      <c r="ACS503" s="457"/>
      <c r="ACT503" s="457"/>
      <c r="ACU503" s="457"/>
      <c r="ACV503" s="457"/>
    </row>
    <row r="504" spans="1:776" s="400" customFormat="1" x14ac:dyDescent="0.25">
      <c r="A504" s="43">
        <v>900209</v>
      </c>
      <c r="B504" s="404" t="str">
        <f t="shared" si="13"/>
        <v>-34,87/+33,70  (EC  33,6)</v>
      </c>
      <c r="C504" s="236"/>
      <c r="D504" s="43">
        <v>7.4</v>
      </c>
      <c r="E504" s="34">
        <v>3.36</v>
      </c>
      <c r="F504" s="39">
        <v>98.2</v>
      </c>
      <c r="G504" s="34">
        <v>0</v>
      </c>
      <c r="H504" s="34">
        <v>0.06</v>
      </c>
      <c r="I504" s="41">
        <v>707.6</v>
      </c>
      <c r="J504" s="34">
        <v>368.3</v>
      </c>
      <c r="K504" s="34">
        <v>0.18360000000000001</v>
      </c>
      <c r="L504" s="34">
        <v>346.3</v>
      </c>
      <c r="M504" s="34">
        <v>0</v>
      </c>
      <c r="N504" s="34">
        <v>4.75</v>
      </c>
      <c r="O504" s="34">
        <v>359.49</v>
      </c>
      <c r="P504" s="34">
        <v>198.76</v>
      </c>
      <c r="Q504" s="34">
        <v>96.05</v>
      </c>
      <c r="R504" s="397">
        <v>1.0000000000000001E-5</v>
      </c>
      <c r="S504" s="397">
        <v>1.0000000000000001E-5</v>
      </c>
      <c r="T504" s="397">
        <v>1.0000000000000001E-5</v>
      </c>
      <c r="U504" s="397">
        <v>1.0000000000000001E-5</v>
      </c>
      <c r="V504" s="397">
        <v>1.0000000000000001E-5</v>
      </c>
      <c r="W504" s="403"/>
      <c r="X504" s="403"/>
      <c r="Y504" s="403"/>
      <c r="Z504" s="403"/>
      <c r="AA504" s="403"/>
      <c r="AB504" s="403"/>
      <c r="AC504" s="403"/>
      <c r="AD504" s="403"/>
      <c r="AE504" s="403"/>
      <c r="AF504" s="403"/>
      <c r="AG504" s="403"/>
      <c r="AH504" s="403"/>
      <c r="AI504" s="403"/>
      <c r="AJ504" s="403"/>
      <c r="AK504" s="403"/>
      <c r="AL504" s="403"/>
      <c r="AM504" s="403"/>
      <c r="AN504" s="403"/>
      <c r="AO504" s="403"/>
      <c r="AP504" s="403"/>
      <c r="AQ504" s="403"/>
      <c r="AR504" s="403"/>
      <c r="AS504" s="403"/>
      <c r="AT504" s="403"/>
      <c r="AU504" s="403"/>
      <c r="AV504" s="403"/>
      <c r="AW504" s="403"/>
      <c r="AX504" s="403"/>
      <c r="AY504" s="403"/>
      <c r="AZ504" s="403"/>
      <c r="BA504" s="403"/>
      <c r="BB504" s="403"/>
      <c r="BC504" s="403"/>
      <c r="BD504" s="403"/>
      <c r="BE504" s="403"/>
      <c r="BF504" s="403"/>
      <c r="BG504" s="403"/>
      <c r="BH504" s="403"/>
      <c r="BI504" s="403"/>
      <c r="BJ504" s="403"/>
      <c r="BK504" s="403"/>
      <c r="BL504" s="403"/>
      <c r="BM504" s="403"/>
      <c r="BN504" s="403"/>
      <c r="BO504" s="403"/>
      <c r="BP504" s="403"/>
      <c r="BQ504" s="403"/>
      <c r="BR504" s="403"/>
      <c r="BS504" s="403"/>
      <c r="BT504" s="403"/>
      <c r="BU504" s="403"/>
      <c r="BV504" s="403"/>
      <c r="BW504" s="403"/>
      <c r="BX504" s="403"/>
      <c r="BY504" s="403"/>
      <c r="BZ504" s="403"/>
      <c r="CA504" s="403"/>
      <c r="CB504" s="403"/>
      <c r="CC504" s="403"/>
      <c r="CD504" s="403"/>
      <c r="CE504" s="403"/>
      <c r="CF504" s="403"/>
      <c r="CG504" s="403"/>
      <c r="CH504" s="403"/>
      <c r="CI504" s="403"/>
      <c r="CJ504" s="403"/>
      <c r="CK504" s="403"/>
      <c r="CL504" s="403"/>
      <c r="CM504" s="403"/>
      <c r="CN504" s="403"/>
      <c r="CO504" s="403"/>
      <c r="CP504" s="403"/>
      <c r="CQ504" s="403"/>
      <c r="CR504" s="403"/>
      <c r="CS504" s="403"/>
      <c r="CT504" s="403"/>
      <c r="CU504" s="403"/>
      <c r="CV504" s="403"/>
      <c r="CW504" s="403"/>
      <c r="CX504" s="403"/>
      <c r="CY504" s="403"/>
      <c r="CZ504" s="403"/>
      <c r="DA504" s="403"/>
      <c r="DB504" s="403"/>
      <c r="DC504" s="403"/>
      <c r="DD504" s="403"/>
      <c r="DE504" s="403"/>
      <c r="DF504" s="403"/>
      <c r="DG504" s="403"/>
      <c r="DH504" s="403"/>
      <c r="DI504" s="403"/>
      <c r="DJ504" s="403"/>
      <c r="DK504" s="403"/>
      <c r="DL504" s="403"/>
      <c r="DM504" s="403"/>
      <c r="DN504" s="403"/>
      <c r="DO504" s="403"/>
      <c r="DP504" s="403"/>
      <c r="DQ504" s="403"/>
      <c r="DR504" s="403"/>
      <c r="DS504" s="403"/>
      <c r="DT504" s="403"/>
      <c r="DU504" s="403"/>
      <c r="DV504" s="403"/>
      <c r="DW504" s="403"/>
      <c r="DX504" s="403"/>
      <c r="DY504" s="403"/>
      <c r="DZ504" s="403"/>
      <c r="EA504" s="403"/>
      <c r="EB504" s="403"/>
      <c r="EC504" s="403"/>
      <c r="ED504" s="403"/>
      <c r="EE504" s="403"/>
      <c r="EF504" s="403"/>
      <c r="EG504" s="403"/>
      <c r="EH504" s="403"/>
      <c r="EI504" s="403"/>
      <c r="EJ504" s="403"/>
      <c r="EK504" s="403"/>
      <c r="EL504" s="403"/>
      <c r="EM504" s="403"/>
      <c r="EN504" s="403"/>
      <c r="EO504" s="403"/>
      <c r="EP504" s="403"/>
      <c r="EQ504" s="403"/>
      <c r="ER504" s="403"/>
      <c r="ES504" s="403"/>
      <c r="ET504" s="403"/>
      <c r="EU504" s="403"/>
      <c r="EV504" s="403"/>
      <c r="EW504" s="403"/>
      <c r="EX504" s="403"/>
      <c r="EY504" s="403"/>
      <c r="EZ504" s="403"/>
      <c r="FA504" s="403"/>
      <c r="FB504" s="403"/>
      <c r="FC504" s="403"/>
      <c r="FD504" s="403"/>
      <c r="FE504" s="403"/>
      <c r="FF504" s="403"/>
      <c r="FG504" s="403"/>
      <c r="FH504" s="403"/>
      <c r="FI504" s="403"/>
      <c r="FJ504" s="403"/>
      <c r="FK504" s="403"/>
      <c r="FL504" s="403"/>
      <c r="FM504" s="403"/>
      <c r="FN504" s="403"/>
      <c r="FO504" s="403"/>
      <c r="FP504" s="403"/>
      <c r="FQ504" s="403"/>
      <c r="FR504" s="403"/>
      <c r="FS504" s="403"/>
      <c r="FT504" s="403"/>
      <c r="FU504" s="403"/>
      <c r="FV504" s="403"/>
      <c r="FW504" s="403"/>
      <c r="FX504" s="403"/>
      <c r="FY504" s="403"/>
      <c r="FZ504" s="403"/>
      <c r="GA504" s="403"/>
      <c r="GB504" s="403"/>
      <c r="GC504" s="403"/>
      <c r="GD504" s="403"/>
      <c r="GE504" s="403"/>
      <c r="GF504" s="403"/>
      <c r="GG504" s="403"/>
      <c r="GH504" s="403"/>
      <c r="GI504" s="403"/>
      <c r="GJ504" s="403"/>
      <c r="GK504" s="403"/>
      <c r="GL504" s="403"/>
      <c r="GM504" s="403"/>
      <c r="GN504" s="403"/>
      <c r="GO504" s="403"/>
      <c r="GP504" s="403"/>
      <c r="GQ504" s="403"/>
      <c r="GR504" s="403"/>
      <c r="GS504" s="403"/>
      <c r="GT504" s="403"/>
      <c r="GU504" s="403"/>
      <c r="GV504" s="403"/>
      <c r="GW504" s="403"/>
      <c r="GX504" s="403"/>
      <c r="GY504" s="403"/>
      <c r="GZ504" s="403"/>
      <c r="HA504" s="403"/>
      <c r="HB504" s="403"/>
      <c r="HC504" s="403"/>
      <c r="HD504" s="403"/>
      <c r="HE504" s="403"/>
      <c r="HF504" s="403"/>
      <c r="HG504" s="403"/>
      <c r="HH504" s="403"/>
      <c r="HI504" s="403"/>
      <c r="HJ504" s="403"/>
      <c r="HK504" s="403"/>
      <c r="HL504" s="403"/>
      <c r="HM504" s="403"/>
      <c r="HN504" s="403"/>
      <c r="HO504" s="403"/>
      <c r="HP504" s="403"/>
      <c r="HQ504" s="403"/>
      <c r="HR504" s="403"/>
      <c r="HS504" s="403"/>
      <c r="HT504" s="403"/>
      <c r="HU504" s="403"/>
      <c r="HV504" s="403"/>
      <c r="HW504" s="403"/>
      <c r="HX504" s="403"/>
      <c r="HY504" s="403"/>
      <c r="HZ504" s="403"/>
      <c r="IA504" s="403"/>
      <c r="IB504" s="403"/>
      <c r="IC504" s="403"/>
      <c r="ID504" s="403"/>
      <c r="IE504" s="403"/>
      <c r="IF504" s="403"/>
      <c r="IG504" s="403"/>
      <c r="IH504" s="403"/>
      <c r="II504" s="403"/>
      <c r="IJ504" s="403"/>
      <c r="IK504" s="403"/>
      <c r="IL504" s="403"/>
      <c r="IM504" s="403"/>
      <c r="IN504" s="403"/>
      <c r="IO504" s="403"/>
      <c r="IP504" s="403"/>
      <c r="IQ504" s="403"/>
      <c r="IR504" s="403"/>
      <c r="IS504" s="403"/>
      <c r="IT504" s="403"/>
      <c r="IU504" s="403"/>
      <c r="IV504" s="403"/>
      <c r="IW504" s="403"/>
      <c r="IX504" s="403"/>
      <c r="IY504" s="403"/>
      <c r="IZ504" s="403"/>
      <c r="JA504" s="403"/>
      <c r="JB504" s="403"/>
      <c r="JC504" s="403"/>
      <c r="JD504" s="403"/>
      <c r="JE504" s="403"/>
      <c r="JF504" s="403"/>
      <c r="JG504" s="403"/>
      <c r="JH504" s="403"/>
      <c r="JI504" s="403"/>
      <c r="JJ504" s="403"/>
      <c r="JK504" s="403"/>
      <c r="JL504" s="403"/>
      <c r="JM504" s="403"/>
      <c r="JN504" s="403"/>
      <c r="JO504" s="403"/>
      <c r="JP504" s="403"/>
      <c r="JQ504" s="403"/>
      <c r="JR504" s="403"/>
      <c r="JS504" s="403"/>
      <c r="JT504" s="403"/>
      <c r="JU504" s="403"/>
      <c r="JV504" s="403"/>
      <c r="JW504" s="403"/>
      <c r="JX504" s="403"/>
      <c r="JY504" s="403"/>
      <c r="JZ504" s="403"/>
      <c r="KA504" s="403"/>
      <c r="KB504" s="403"/>
      <c r="KC504" s="403"/>
      <c r="KD504" s="403"/>
      <c r="KE504" s="403"/>
      <c r="KF504" s="403"/>
      <c r="KG504" s="403"/>
      <c r="KH504" s="403"/>
      <c r="KI504" s="403"/>
      <c r="KJ504" s="403"/>
      <c r="KK504" s="403"/>
      <c r="KL504" s="403"/>
      <c r="KM504" s="403"/>
      <c r="KN504" s="403"/>
      <c r="KO504" s="403"/>
      <c r="KP504" s="403"/>
      <c r="KQ504" s="403"/>
      <c r="KR504" s="403"/>
      <c r="KS504" s="403"/>
      <c r="KT504" s="403"/>
      <c r="KU504" s="403"/>
      <c r="KV504" s="403"/>
      <c r="KW504" s="403"/>
      <c r="KX504" s="403"/>
      <c r="KY504" s="403"/>
      <c r="KZ504" s="403"/>
      <c r="LA504" s="403"/>
      <c r="LB504" s="403"/>
      <c r="LC504" s="403"/>
      <c r="LD504" s="403"/>
      <c r="LE504" s="403"/>
      <c r="LF504" s="403"/>
      <c r="LG504" s="403"/>
      <c r="LH504" s="403"/>
      <c r="LI504" s="403"/>
      <c r="LJ504" s="403"/>
      <c r="LK504" s="403"/>
      <c r="LL504" s="403"/>
      <c r="LM504" s="403"/>
      <c r="LN504" s="403"/>
      <c r="LO504" s="403"/>
      <c r="LP504" s="403"/>
      <c r="LQ504" s="403"/>
      <c r="LR504" s="403"/>
      <c r="LS504" s="403"/>
      <c r="LT504" s="403"/>
      <c r="LU504" s="403"/>
      <c r="LV504" s="403"/>
      <c r="LW504" s="403"/>
      <c r="LX504" s="403"/>
      <c r="LY504" s="403"/>
      <c r="LZ504" s="403"/>
      <c r="MA504" s="403"/>
      <c r="MB504" s="403"/>
      <c r="MC504" s="403"/>
      <c r="MD504" s="403"/>
      <c r="ME504" s="403"/>
      <c r="MF504" s="403"/>
      <c r="MG504" s="403"/>
      <c r="MH504" s="403"/>
      <c r="MI504" s="403"/>
      <c r="MJ504" s="403"/>
      <c r="MK504" s="403"/>
      <c r="ML504" s="403"/>
      <c r="MM504" s="403"/>
      <c r="MN504" s="403"/>
      <c r="MO504" s="403"/>
      <c r="MP504" s="403"/>
      <c r="MQ504" s="403"/>
      <c r="MR504" s="403"/>
      <c r="MS504" s="403"/>
      <c r="MT504" s="403"/>
      <c r="MU504" s="403"/>
      <c r="MV504" s="403"/>
      <c r="MW504" s="403"/>
      <c r="MX504" s="403"/>
      <c r="MY504" s="403"/>
      <c r="MZ504" s="403"/>
      <c r="NA504" s="403"/>
      <c r="NB504" s="403"/>
      <c r="NC504" s="403"/>
      <c r="ND504" s="403"/>
      <c r="NE504" s="403"/>
      <c r="NF504" s="403"/>
      <c r="NG504" s="403"/>
      <c r="NH504" s="403"/>
      <c r="NI504" s="403"/>
      <c r="NJ504" s="403"/>
      <c r="NK504" s="403"/>
      <c r="NL504" s="403"/>
      <c r="NM504" s="403"/>
      <c r="NN504" s="403"/>
      <c r="NO504" s="403"/>
      <c r="NP504" s="403"/>
      <c r="NQ504" s="403"/>
      <c r="NR504" s="403"/>
      <c r="NS504" s="403"/>
      <c r="NT504" s="403"/>
      <c r="NU504" s="403"/>
      <c r="NV504" s="403"/>
      <c r="NW504" s="403"/>
      <c r="NX504" s="403"/>
      <c r="NY504" s="403"/>
      <c r="NZ504" s="403"/>
      <c r="OA504" s="403"/>
      <c r="OB504" s="403"/>
      <c r="OC504" s="403"/>
      <c r="OD504" s="403"/>
      <c r="OE504" s="403"/>
      <c r="OF504" s="403"/>
      <c r="OG504" s="403"/>
      <c r="OH504" s="403"/>
      <c r="OI504" s="403"/>
      <c r="OJ504" s="403"/>
      <c r="OK504" s="403"/>
      <c r="OL504" s="403"/>
      <c r="OM504" s="403"/>
      <c r="ON504" s="403"/>
      <c r="OO504" s="403"/>
      <c r="OP504" s="403"/>
      <c r="OQ504" s="403"/>
      <c r="OR504" s="403"/>
      <c r="OS504" s="403"/>
      <c r="OT504" s="403"/>
      <c r="OU504" s="403"/>
      <c r="OV504" s="403"/>
      <c r="OW504" s="403"/>
      <c r="OX504" s="403"/>
      <c r="OY504" s="403"/>
      <c r="OZ504" s="403"/>
      <c r="PA504" s="403"/>
      <c r="PB504" s="403"/>
      <c r="PC504" s="403"/>
      <c r="PD504" s="403"/>
      <c r="PE504" s="403"/>
      <c r="PF504" s="403"/>
      <c r="PG504" s="403"/>
      <c r="PH504" s="403"/>
      <c r="PI504" s="403"/>
      <c r="PJ504" s="403"/>
      <c r="PK504" s="403"/>
      <c r="PL504" s="403"/>
      <c r="PM504" s="403"/>
      <c r="PN504" s="403"/>
      <c r="PO504" s="403"/>
      <c r="PP504" s="403"/>
      <c r="PQ504" s="403"/>
      <c r="PR504" s="403"/>
      <c r="PS504" s="403"/>
      <c r="PT504" s="403"/>
      <c r="PU504" s="403"/>
      <c r="PV504" s="403"/>
      <c r="PW504" s="403"/>
      <c r="PX504" s="403"/>
      <c r="PY504" s="403"/>
      <c r="PZ504" s="403"/>
      <c r="QA504" s="403"/>
      <c r="QB504" s="403"/>
      <c r="QC504" s="403"/>
      <c r="QD504" s="403"/>
      <c r="QE504" s="403"/>
      <c r="QF504" s="403"/>
      <c r="QG504" s="403"/>
      <c r="QH504" s="403"/>
      <c r="QI504" s="403"/>
      <c r="QJ504" s="403"/>
      <c r="QK504" s="403"/>
      <c r="QL504" s="403"/>
      <c r="QM504" s="403"/>
      <c r="QN504" s="403"/>
      <c r="QO504" s="403"/>
      <c r="QP504" s="403"/>
      <c r="QQ504" s="403"/>
      <c r="QR504" s="403"/>
      <c r="QS504" s="403"/>
      <c r="QT504" s="403"/>
      <c r="QU504" s="403"/>
      <c r="QV504" s="403"/>
      <c r="QW504" s="403"/>
      <c r="QX504" s="403"/>
      <c r="QY504" s="403"/>
      <c r="QZ504" s="403"/>
      <c r="RA504" s="403"/>
      <c r="RB504" s="403"/>
      <c r="RC504" s="403"/>
      <c r="RD504" s="403"/>
      <c r="RE504" s="403"/>
      <c r="RF504" s="403"/>
      <c r="RG504" s="403"/>
      <c r="RH504" s="403"/>
      <c r="RI504" s="403"/>
      <c r="RJ504" s="403"/>
      <c r="RK504" s="403"/>
      <c r="RL504" s="403"/>
      <c r="RM504" s="403"/>
      <c r="RN504" s="403"/>
      <c r="RO504" s="403"/>
      <c r="RP504" s="403"/>
      <c r="RQ504" s="403"/>
      <c r="RR504" s="403"/>
      <c r="RS504" s="403"/>
      <c r="RT504" s="403"/>
      <c r="RU504" s="403"/>
      <c r="RV504" s="403"/>
      <c r="RW504" s="403"/>
      <c r="RX504" s="403"/>
      <c r="RY504" s="403"/>
      <c r="RZ504" s="403"/>
      <c r="SA504" s="403"/>
      <c r="SB504" s="403"/>
      <c r="SC504" s="403"/>
      <c r="SD504" s="403"/>
      <c r="SE504" s="403"/>
      <c r="SF504" s="403"/>
      <c r="SG504" s="403"/>
      <c r="SH504" s="403"/>
      <c r="SI504" s="403"/>
      <c r="SJ504" s="403"/>
      <c r="SK504" s="403"/>
      <c r="SL504" s="403"/>
      <c r="SM504" s="403"/>
      <c r="SN504" s="403"/>
      <c r="SO504" s="403"/>
      <c r="SP504" s="403"/>
      <c r="SQ504" s="403"/>
      <c r="SR504" s="403"/>
      <c r="SS504" s="403"/>
      <c r="ST504" s="403"/>
      <c r="SU504" s="403"/>
      <c r="SV504" s="403"/>
      <c r="SW504" s="403"/>
      <c r="SX504" s="403"/>
      <c r="SY504" s="403"/>
      <c r="SZ504" s="403"/>
      <c r="TA504" s="403"/>
      <c r="TB504" s="403"/>
      <c r="TC504" s="403"/>
      <c r="TD504" s="403"/>
      <c r="TE504" s="403"/>
      <c r="TF504" s="403"/>
      <c r="TG504" s="403"/>
      <c r="TH504" s="403"/>
      <c r="TI504" s="403"/>
      <c r="TJ504" s="403"/>
      <c r="TK504" s="403"/>
      <c r="TL504" s="403"/>
      <c r="TM504" s="403"/>
      <c r="TN504" s="403"/>
      <c r="TO504" s="403"/>
      <c r="TP504" s="403"/>
      <c r="TQ504" s="403"/>
      <c r="TR504" s="403"/>
      <c r="TS504" s="403"/>
      <c r="TT504" s="403"/>
      <c r="TU504" s="403"/>
      <c r="TV504" s="403"/>
      <c r="TW504" s="403"/>
      <c r="TX504" s="403"/>
      <c r="TY504" s="403"/>
      <c r="TZ504" s="403"/>
      <c r="UA504" s="403"/>
      <c r="UB504" s="403"/>
      <c r="UC504" s="403"/>
      <c r="UD504" s="403"/>
      <c r="UE504" s="403"/>
      <c r="UF504" s="403"/>
      <c r="UG504" s="403"/>
      <c r="UH504" s="403"/>
      <c r="UI504" s="403"/>
      <c r="UJ504" s="403"/>
      <c r="UK504" s="403"/>
      <c r="UL504" s="403"/>
      <c r="UM504" s="403"/>
      <c r="UN504" s="403"/>
      <c r="UO504" s="403"/>
      <c r="UP504" s="403"/>
      <c r="UQ504" s="403"/>
      <c r="UR504" s="403"/>
      <c r="US504" s="403"/>
      <c r="UT504" s="403"/>
      <c r="UU504" s="403"/>
      <c r="UV504" s="403"/>
      <c r="UW504" s="403"/>
      <c r="UX504" s="403"/>
      <c r="UY504" s="403"/>
      <c r="UZ504" s="403"/>
      <c r="VA504" s="403"/>
      <c r="VB504" s="403"/>
      <c r="VC504" s="403"/>
      <c r="VD504" s="403"/>
      <c r="VE504" s="403"/>
      <c r="VF504" s="403"/>
      <c r="VG504" s="403"/>
      <c r="VH504" s="403"/>
      <c r="VI504" s="403"/>
      <c r="VJ504" s="403"/>
      <c r="VK504" s="403"/>
      <c r="VL504" s="403"/>
      <c r="VM504" s="403"/>
      <c r="VN504" s="403"/>
      <c r="VO504" s="403"/>
      <c r="VP504" s="403"/>
      <c r="VQ504" s="403"/>
      <c r="VR504" s="403"/>
      <c r="VS504" s="403"/>
      <c r="VT504" s="403"/>
      <c r="VU504" s="403"/>
      <c r="VV504" s="403"/>
      <c r="VW504" s="403"/>
      <c r="VX504" s="403"/>
      <c r="VY504" s="403"/>
      <c r="VZ504" s="403"/>
      <c r="WA504" s="403"/>
      <c r="WB504" s="403"/>
      <c r="WC504" s="403"/>
      <c r="WD504" s="403"/>
      <c r="WE504" s="403"/>
      <c r="WF504" s="403"/>
      <c r="WG504" s="403"/>
      <c r="WH504" s="403"/>
      <c r="WI504" s="403"/>
      <c r="WJ504" s="403"/>
      <c r="WK504" s="403"/>
      <c r="WL504" s="403"/>
      <c r="WM504" s="403"/>
      <c r="WN504" s="403"/>
      <c r="WO504" s="403"/>
      <c r="WP504" s="403"/>
      <c r="WQ504" s="403"/>
      <c r="WR504" s="403"/>
      <c r="WS504" s="403"/>
      <c r="WT504" s="403"/>
      <c r="WU504" s="403"/>
      <c r="WV504" s="403"/>
      <c r="WW504" s="403"/>
      <c r="WX504" s="403"/>
      <c r="WY504" s="403"/>
      <c r="WZ504" s="403"/>
      <c r="XA504" s="403"/>
      <c r="XB504" s="403"/>
      <c r="XC504" s="403"/>
      <c r="XD504" s="403"/>
      <c r="XE504" s="403"/>
      <c r="XF504" s="403"/>
      <c r="XG504" s="403"/>
      <c r="XH504" s="403"/>
      <c r="XI504" s="403"/>
      <c r="XJ504" s="403"/>
      <c r="XK504" s="403"/>
      <c r="XL504" s="403"/>
      <c r="XM504" s="403"/>
      <c r="XN504" s="403"/>
      <c r="XO504" s="403"/>
      <c r="XP504" s="403"/>
      <c r="XQ504" s="403"/>
      <c r="XR504" s="403"/>
      <c r="XS504" s="403"/>
      <c r="XT504" s="403"/>
      <c r="XU504" s="403"/>
      <c r="XV504" s="403"/>
      <c r="XW504" s="403"/>
      <c r="XX504" s="403"/>
      <c r="XY504" s="403"/>
      <c r="XZ504" s="403"/>
      <c r="YA504" s="403"/>
      <c r="YB504" s="403"/>
      <c r="YC504" s="403"/>
      <c r="YD504" s="403"/>
      <c r="YE504" s="403"/>
      <c r="YF504" s="403"/>
      <c r="YG504" s="403"/>
      <c r="YH504" s="403"/>
      <c r="YI504" s="403"/>
      <c r="YJ504" s="403"/>
      <c r="YK504" s="403"/>
      <c r="YL504" s="403"/>
      <c r="YM504" s="403"/>
      <c r="YN504" s="403"/>
      <c r="YO504" s="403"/>
      <c r="YP504" s="403"/>
      <c r="YQ504" s="403"/>
      <c r="YR504" s="403"/>
      <c r="YS504" s="403"/>
      <c r="YT504" s="403"/>
      <c r="YU504" s="403"/>
      <c r="YV504" s="403"/>
      <c r="YW504" s="403"/>
      <c r="YX504" s="403"/>
      <c r="YY504" s="403"/>
      <c r="YZ504" s="403"/>
      <c r="ZA504" s="403"/>
      <c r="ZB504" s="403"/>
      <c r="ZC504" s="403"/>
      <c r="ZD504" s="403"/>
      <c r="ZE504" s="403"/>
      <c r="ZF504" s="403"/>
      <c r="ZG504" s="403"/>
      <c r="ZH504" s="403"/>
      <c r="ZI504" s="403"/>
      <c r="ZJ504" s="403"/>
      <c r="ZK504" s="403"/>
      <c r="ZL504" s="403"/>
      <c r="ZM504" s="403"/>
      <c r="ZN504" s="403"/>
      <c r="ZO504" s="403"/>
      <c r="ZP504" s="403"/>
      <c r="ZQ504" s="403"/>
      <c r="ZR504" s="403"/>
      <c r="ZS504" s="403"/>
      <c r="ZT504" s="403"/>
      <c r="ZU504" s="403"/>
      <c r="ZV504" s="403"/>
      <c r="ZW504" s="403"/>
      <c r="ZX504" s="403"/>
      <c r="ZY504" s="403"/>
      <c r="ZZ504" s="403"/>
      <c r="AAA504" s="403"/>
      <c r="AAB504" s="403"/>
      <c r="AAC504" s="403"/>
      <c r="AAD504" s="403"/>
      <c r="AAE504" s="403"/>
      <c r="AAF504" s="403"/>
      <c r="AAG504" s="403"/>
      <c r="AAH504" s="403"/>
      <c r="AAI504" s="403"/>
      <c r="AAJ504" s="403"/>
      <c r="AAK504" s="403"/>
      <c r="AAL504" s="403"/>
      <c r="AAM504" s="403"/>
      <c r="AAN504" s="403"/>
      <c r="AAO504" s="403"/>
      <c r="AAP504" s="403"/>
      <c r="AAQ504" s="403"/>
      <c r="AAR504" s="403"/>
      <c r="AAS504" s="403"/>
      <c r="AAT504" s="403"/>
      <c r="AAU504" s="403"/>
      <c r="AAV504" s="403"/>
      <c r="AAW504" s="403"/>
      <c r="AAX504" s="403"/>
      <c r="AAY504" s="403"/>
      <c r="AAZ504" s="403"/>
      <c r="ABA504" s="403"/>
      <c r="ABB504" s="403"/>
      <c r="ABC504" s="403"/>
      <c r="ABD504" s="403"/>
      <c r="ABE504" s="403"/>
      <c r="ABF504" s="403"/>
      <c r="ABG504" s="403"/>
      <c r="ABH504" s="403"/>
      <c r="ABI504" s="403"/>
      <c r="ABJ504" s="403"/>
      <c r="ABK504" s="403"/>
      <c r="ABL504" s="403"/>
      <c r="ABM504" s="403"/>
      <c r="ABN504" s="403"/>
      <c r="ABO504" s="403"/>
      <c r="ABP504" s="403"/>
      <c r="ABQ504" s="403"/>
      <c r="ABR504" s="403"/>
      <c r="ABS504" s="403"/>
      <c r="ABT504" s="403"/>
      <c r="ABU504" s="403"/>
      <c r="ABV504" s="403"/>
      <c r="ABW504" s="403"/>
      <c r="ABX504" s="403"/>
      <c r="ABY504" s="403"/>
      <c r="ABZ504" s="403"/>
      <c r="ACA504" s="403"/>
      <c r="ACB504" s="403"/>
      <c r="ACC504" s="403"/>
      <c r="ACD504" s="403"/>
      <c r="ACE504" s="403"/>
      <c r="ACF504" s="403"/>
      <c r="ACG504" s="403"/>
      <c r="ACH504" s="403"/>
      <c r="ACI504" s="403"/>
      <c r="ACJ504" s="403"/>
      <c r="ACK504" s="403"/>
      <c r="ACL504" s="403"/>
      <c r="ACM504" s="403"/>
      <c r="ACN504" s="403"/>
      <c r="ACO504" s="403"/>
      <c r="ACP504" s="403"/>
      <c r="ACQ504" s="403"/>
      <c r="ACR504" s="403"/>
      <c r="ACS504" s="403"/>
      <c r="ACT504" s="403"/>
      <c r="ACU504" s="403"/>
      <c r="ACV504" s="403"/>
    </row>
    <row r="505" spans="1:776" s="400" customFormat="1" x14ac:dyDescent="0.25">
      <c r="A505" s="470">
        <v>900210</v>
      </c>
      <c r="B505" s="404" t="str">
        <f t="shared" si="13"/>
        <v>-50,75/+51,45  (EC  50,1)</v>
      </c>
      <c r="C505" s="455"/>
      <c r="D505" s="470">
        <v>7.14</v>
      </c>
      <c r="E505" s="454">
        <v>5.01</v>
      </c>
      <c r="F505" s="458">
        <v>19.2</v>
      </c>
      <c r="G505" s="454">
        <v>0</v>
      </c>
      <c r="H505" s="454">
        <v>0.12</v>
      </c>
      <c r="I505" s="456">
        <v>808.3</v>
      </c>
      <c r="J505" s="454">
        <v>1152.5</v>
      </c>
      <c r="K505" s="454">
        <v>0.153</v>
      </c>
      <c r="L505" s="454">
        <v>223.2</v>
      </c>
      <c r="M505" s="454">
        <v>0</v>
      </c>
      <c r="N505" s="454">
        <v>6.73</v>
      </c>
      <c r="O505" s="454">
        <v>337.11</v>
      </c>
      <c r="P505" s="454">
        <v>500.7</v>
      </c>
      <c r="Q505" s="454">
        <v>138.93</v>
      </c>
      <c r="R505" s="397">
        <v>1.0000000000000001E-5</v>
      </c>
      <c r="S505" s="397">
        <v>1.0000000000000001E-5</v>
      </c>
      <c r="T505" s="397">
        <v>1.0000000000000001E-5</v>
      </c>
      <c r="U505" s="454">
        <v>0.05</v>
      </c>
      <c r="V505" s="397">
        <v>1.0000000000000001E-5</v>
      </c>
      <c r="W505" s="457"/>
      <c r="X505" s="457"/>
      <c r="Y505" s="457"/>
      <c r="Z505" s="457"/>
      <c r="AA505" s="457"/>
      <c r="AB505" s="457"/>
      <c r="AC505" s="457"/>
      <c r="AD505" s="457"/>
      <c r="AE505" s="457"/>
      <c r="AF505" s="457"/>
      <c r="AG505" s="457"/>
      <c r="AH505" s="457"/>
      <c r="AI505" s="457"/>
      <c r="AJ505" s="457"/>
      <c r="AK505" s="457"/>
      <c r="AL505" s="457"/>
      <c r="AM505" s="457"/>
      <c r="AN505" s="457"/>
      <c r="AO505" s="457"/>
      <c r="AP505" s="457"/>
      <c r="AQ505" s="457"/>
      <c r="AR505" s="457"/>
      <c r="AS505" s="457"/>
      <c r="AT505" s="457"/>
      <c r="AU505" s="457"/>
      <c r="AV505" s="457"/>
      <c r="AW505" s="457"/>
      <c r="AX505" s="457"/>
      <c r="AY505" s="457"/>
      <c r="AZ505" s="457"/>
      <c r="BA505" s="457"/>
      <c r="BB505" s="457"/>
      <c r="BC505" s="457"/>
      <c r="BD505" s="457"/>
      <c r="BE505" s="457"/>
      <c r="BF505" s="457"/>
      <c r="BG505" s="457"/>
      <c r="BH505" s="457"/>
      <c r="BI505" s="457"/>
      <c r="BJ505" s="457"/>
      <c r="BK505" s="457"/>
      <c r="BL505" s="457"/>
      <c r="BM505" s="457"/>
      <c r="BN505" s="457"/>
      <c r="BO505" s="457"/>
      <c r="BP505" s="457"/>
      <c r="BQ505" s="457"/>
      <c r="BR505" s="457"/>
      <c r="BS505" s="457"/>
      <c r="BT505" s="457"/>
      <c r="BU505" s="457"/>
      <c r="BV505" s="457"/>
      <c r="BW505" s="457"/>
      <c r="BX505" s="457"/>
      <c r="BY505" s="457"/>
      <c r="BZ505" s="457"/>
      <c r="CA505" s="457"/>
      <c r="CB505" s="457"/>
      <c r="CC505" s="457"/>
      <c r="CD505" s="457"/>
      <c r="CE505" s="457"/>
      <c r="CF505" s="457"/>
      <c r="CG505" s="457"/>
      <c r="CH505" s="457"/>
      <c r="CI505" s="457"/>
      <c r="CJ505" s="457"/>
      <c r="CK505" s="457"/>
      <c r="CL505" s="457"/>
      <c r="CM505" s="457"/>
      <c r="CN505" s="457"/>
      <c r="CO505" s="457"/>
      <c r="CP505" s="457"/>
      <c r="CQ505" s="457"/>
      <c r="CR505" s="457"/>
      <c r="CS505" s="457"/>
      <c r="CT505" s="457"/>
      <c r="CU505" s="457"/>
      <c r="CV505" s="457"/>
      <c r="CW505" s="457"/>
      <c r="CX505" s="457"/>
      <c r="CY505" s="457"/>
      <c r="CZ505" s="457"/>
      <c r="DA505" s="457"/>
      <c r="DB505" s="457"/>
      <c r="DC505" s="457"/>
      <c r="DD505" s="457"/>
      <c r="DE505" s="457"/>
      <c r="DF505" s="457"/>
      <c r="DG505" s="457"/>
      <c r="DH505" s="457"/>
      <c r="DI505" s="457"/>
      <c r="DJ505" s="457"/>
      <c r="DK505" s="457"/>
      <c r="DL505" s="457"/>
      <c r="DM505" s="457"/>
      <c r="DN505" s="457"/>
      <c r="DO505" s="457"/>
      <c r="DP505" s="457"/>
      <c r="DQ505" s="457"/>
      <c r="DR505" s="457"/>
      <c r="DS505" s="457"/>
      <c r="DT505" s="457"/>
      <c r="DU505" s="457"/>
      <c r="DV505" s="457"/>
      <c r="DW505" s="457"/>
      <c r="DX505" s="457"/>
      <c r="DY505" s="457"/>
      <c r="DZ505" s="457"/>
      <c r="EA505" s="457"/>
      <c r="EB505" s="457"/>
      <c r="EC505" s="457"/>
      <c r="ED505" s="457"/>
      <c r="EE505" s="457"/>
      <c r="EF505" s="457"/>
      <c r="EG505" s="457"/>
      <c r="EH505" s="457"/>
      <c r="EI505" s="457"/>
      <c r="EJ505" s="457"/>
      <c r="EK505" s="457"/>
      <c r="EL505" s="457"/>
      <c r="EM505" s="457"/>
      <c r="EN505" s="457"/>
      <c r="EO505" s="457"/>
      <c r="EP505" s="457"/>
      <c r="EQ505" s="457"/>
      <c r="ER505" s="457"/>
      <c r="ES505" s="457"/>
      <c r="ET505" s="457"/>
      <c r="EU505" s="457"/>
      <c r="EV505" s="457"/>
      <c r="EW505" s="457"/>
      <c r="EX505" s="457"/>
      <c r="EY505" s="457"/>
      <c r="EZ505" s="457"/>
      <c r="FA505" s="457"/>
      <c r="FB505" s="457"/>
      <c r="FC505" s="457"/>
      <c r="FD505" s="457"/>
      <c r="FE505" s="457"/>
      <c r="FF505" s="457"/>
      <c r="FG505" s="457"/>
      <c r="FH505" s="457"/>
      <c r="FI505" s="457"/>
      <c r="FJ505" s="457"/>
      <c r="FK505" s="457"/>
      <c r="FL505" s="457"/>
      <c r="FM505" s="457"/>
      <c r="FN505" s="457"/>
      <c r="FO505" s="457"/>
      <c r="FP505" s="457"/>
      <c r="FQ505" s="457"/>
      <c r="FR505" s="457"/>
      <c r="FS505" s="457"/>
      <c r="FT505" s="457"/>
      <c r="FU505" s="457"/>
      <c r="FV505" s="457"/>
      <c r="FW505" s="457"/>
      <c r="FX505" s="457"/>
      <c r="FY505" s="457"/>
      <c r="FZ505" s="457"/>
      <c r="GA505" s="457"/>
      <c r="GB505" s="457"/>
      <c r="GC505" s="457"/>
      <c r="GD505" s="457"/>
      <c r="GE505" s="457"/>
      <c r="GF505" s="457"/>
      <c r="GG505" s="457"/>
      <c r="GH505" s="457"/>
      <c r="GI505" s="457"/>
      <c r="GJ505" s="457"/>
      <c r="GK505" s="457"/>
      <c r="GL505" s="457"/>
      <c r="GM505" s="457"/>
      <c r="GN505" s="457"/>
      <c r="GO505" s="457"/>
      <c r="GP505" s="457"/>
      <c r="GQ505" s="457"/>
      <c r="GR505" s="457"/>
      <c r="GS505" s="457"/>
      <c r="GT505" s="457"/>
      <c r="GU505" s="457"/>
      <c r="GV505" s="457"/>
      <c r="GW505" s="457"/>
      <c r="GX505" s="457"/>
      <c r="GY505" s="457"/>
      <c r="GZ505" s="457"/>
      <c r="HA505" s="457"/>
      <c r="HB505" s="457"/>
      <c r="HC505" s="457"/>
      <c r="HD505" s="457"/>
      <c r="HE505" s="457"/>
      <c r="HF505" s="457"/>
      <c r="HG505" s="457"/>
      <c r="HH505" s="457"/>
      <c r="HI505" s="457"/>
      <c r="HJ505" s="457"/>
      <c r="HK505" s="457"/>
      <c r="HL505" s="457"/>
      <c r="HM505" s="457"/>
      <c r="HN505" s="457"/>
      <c r="HO505" s="457"/>
      <c r="HP505" s="457"/>
      <c r="HQ505" s="457"/>
      <c r="HR505" s="457"/>
      <c r="HS505" s="457"/>
      <c r="HT505" s="457"/>
      <c r="HU505" s="457"/>
      <c r="HV505" s="457"/>
      <c r="HW505" s="457"/>
      <c r="HX505" s="457"/>
      <c r="HY505" s="457"/>
      <c r="HZ505" s="457"/>
      <c r="IA505" s="457"/>
      <c r="IB505" s="457"/>
      <c r="IC505" s="457"/>
      <c r="ID505" s="457"/>
      <c r="IE505" s="457"/>
      <c r="IF505" s="457"/>
      <c r="IG505" s="457"/>
      <c r="IH505" s="457"/>
      <c r="II505" s="457"/>
      <c r="IJ505" s="457"/>
      <c r="IK505" s="457"/>
      <c r="IL505" s="457"/>
      <c r="IM505" s="457"/>
      <c r="IN505" s="457"/>
      <c r="IO505" s="457"/>
      <c r="IP505" s="457"/>
      <c r="IQ505" s="457"/>
      <c r="IR505" s="457"/>
      <c r="IS505" s="457"/>
      <c r="IT505" s="457"/>
      <c r="IU505" s="457"/>
      <c r="IV505" s="457"/>
      <c r="IW505" s="457"/>
      <c r="IX505" s="457"/>
      <c r="IY505" s="457"/>
      <c r="IZ505" s="457"/>
      <c r="JA505" s="457"/>
      <c r="JB505" s="457"/>
      <c r="JC505" s="457"/>
      <c r="JD505" s="457"/>
      <c r="JE505" s="457"/>
      <c r="JF505" s="457"/>
      <c r="JG505" s="457"/>
      <c r="JH505" s="457"/>
      <c r="JI505" s="457"/>
      <c r="JJ505" s="457"/>
      <c r="JK505" s="457"/>
      <c r="JL505" s="457"/>
      <c r="JM505" s="457"/>
      <c r="JN505" s="457"/>
      <c r="JO505" s="457"/>
      <c r="JP505" s="457"/>
      <c r="JQ505" s="457"/>
      <c r="JR505" s="457"/>
      <c r="JS505" s="457"/>
      <c r="JT505" s="457"/>
      <c r="JU505" s="457"/>
      <c r="JV505" s="457"/>
      <c r="JW505" s="457"/>
      <c r="JX505" s="457"/>
      <c r="JY505" s="457"/>
      <c r="JZ505" s="457"/>
      <c r="KA505" s="457"/>
      <c r="KB505" s="457"/>
      <c r="KC505" s="457"/>
      <c r="KD505" s="457"/>
      <c r="KE505" s="457"/>
      <c r="KF505" s="457"/>
      <c r="KG505" s="457"/>
      <c r="KH505" s="457"/>
      <c r="KI505" s="457"/>
      <c r="KJ505" s="457"/>
      <c r="KK505" s="457"/>
      <c r="KL505" s="457"/>
      <c r="KM505" s="457"/>
      <c r="KN505" s="457"/>
      <c r="KO505" s="457"/>
      <c r="KP505" s="457"/>
      <c r="KQ505" s="457"/>
      <c r="KR505" s="457"/>
      <c r="KS505" s="457"/>
      <c r="KT505" s="457"/>
      <c r="KU505" s="457"/>
      <c r="KV505" s="457"/>
      <c r="KW505" s="457"/>
      <c r="KX505" s="457"/>
      <c r="KY505" s="457"/>
      <c r="KZ505" s="457"/>
      <c r="LA505" s="457"/>
      <c r="LB505" s="457"/>
      <c r="LC505" s="457"/>
      <c r="LD505" s="457"/>
      <c r="LE505" s="457"/>
      <c r="LF505" s="457"/>
      <c r="LG505" s="457"/>
      <c r="LH505" s="457"/>
      <c r="LI505" s="457"/>
      <c r="LJ505" s="457"/>
      <c r="LK505" s="457"/>
      <c r="LL505" s="457"/>
      <c r="LM505" s="457"/>
      <c r="LN505" s="457"/>
      <c r="LO505" s="457"/>
      <c r="LP505" s="457"/>
      <c r="LQ505" s="457"/>
      <c r="LR505" s="457"/>
      <c r="LS505" s="457"/>
      <c r="LT505" s="457"/>
      <c r="LU505" s="457"/>
      <c r="LV505" s="457"/>
      <c r="LW505" s="457"/>
      <c r="LX505" s="457"/>
      <c r="LY505" s="457"/>
      <c r="LZ505" s="457"/>
      <c r="MA505" s="457"/>
      <c r="MB505" s="457"/>
      <c r="MC505" s="457"/>
      <c r="MD505" s="457"/>
      <c r="ME505" s="457"/>
      <c r="MF505" s="457"/>
      <c r="MG505" s="457"/>
      <c r="MH505" s="457"/>
      <c r="MI505" s="457"/>
      <c r="MJ505" s="457"/>
      <c r="MK505" s="457"/>
      <c r="ML505" s="457"/>
      <c r="MM505" s="457"/>
      <c r="MN505" s="457"/>
      <c r="MO505" s="457"/>
      <c r="MP505" s="457"/>
      <c r="MQ505" s="457"/>
      <c r="MR505" s="457"/>
      <c r="MS505" s="457"/>
      <c r="MT505" s="457"/>
      <c r="MU505" s="457"/>
      <c r="MV505" s="457"/>
      <c r="MW505" s="457"/>
      <c r="MX505" s="457"/>
      <c r="MY505" s="457"/>
      <c r="MZ505" s="457"/>
      <c r="NA505" s="457"/>
      <c r="NB505" s="457"/>
      <c r="NC505" s="457"/>
      <c r="ND505" s="457"/>
      <c r="NE505" s="457"/>
      <c r="NF505" s="457"/>
      <c r="NG505" s="457"/>
      <c r="NH505" s="457"/>
      <c r="NI505" s="457"/>
      <c r="NJ505" s="457"/>
      <c r="NK505" s="457"/>
      <c r="NL505" s="457"/>
      <c r="NM505" s="457"/>
      <c r="NN505" s="457"/>
      <c r="NO505" s="457"/>
      <c r="NP505" s="457"/>
      <c r="NQ505" s="457"/>
      <c r="NR505" s="457"/>
      <c r="NS505" s="457"/>
      <c r="NT505" s="457"/>
      <c r="NU505" s="457"/>
      <c r="NV505" s="457"/>
      <c r="NW505" s="457"/>
      <c r="NX505" s="457"/>
      <c r="NY505" s="457"/>
      <c r="NZ505" s="457"/>
      <c r="OA505" s="457"/>
      <c r="OB505" s="457"/>
      <c r="OC505" s="457"/>
      <c r="OD505" s="457"/>
      <c r="OE505" s="457"/>
      <c r="OF505" s="457"/>
      <c r="OG505" s="457"/>
      <c r="OH505" s="457"/>
      <c r="OI505" s="457"/>
      <c r="OJ505" s="457"/>
      <c r="OK505" s="457"/>
      <c r="OL505" s="457"/>
      <c r="OM505" s="457"/>
      <c r="ON505" s="457"/>
      <c r="OO505" s="457"/>
      <c r="OP505" s="457"/>
      <c r="OQ505" s="457"/>
      <c r="OR505" s="457"/>
      <c r="OS505" s="457"/>
      <c r="OT505" s="457"/>
      <c r="OU505" s="457"/>
      <c r="OV505" s="457"/>
      <c r="OW505" s="457"/>
      <c r="OX505" s="457"/>
      <c r="OY505" s="457"/>
      <c r="OZ505" s="457"/>
      <c r="PA505" s="457"/>
      <c r="PB505" s="457"/>
      <c r="PC505" s="457"/>
      <c r="PD505" s="457"/>
      <c r="PE505" s="457"/>
      <c r="PF505" s="457"/>
      <c r="PG505" s="457"/>
      <c r="PH505" s="457"/>
      <c r="PI505" s="457"/>
      <c r="PJ505" s="457"/>
      <c r="PK505" s="457"/>
      <c r="PL505" s="457"/>
      <c r="PM505" s="457"/>
      <c r="PN505" s="457"/>
      <c r="PO505" s="457"/>
      <c r="PP505" s="457"/>
      <c r="PQ505" s="457"/>
      <c r="PR505" s="457"/>
      <c r="PS505" s="457"/>
      <c r="PT505" s="457"/>
      <c r="PU505" s="457"/>
      <c r="PV505" s="457"/>
      <c r="PW505" s="457"/>
      <c r="PX505" s="457"/>
      <c r="PY505" s="457"/>
      <c r="PZ505" s="457"/>
      <c r="QA505" s="457"/>
      <c r="QB505" s="457"/>
      <c r="QC505" s="457"/>
      <c r="QD505" s="457"/>
      <c r="QE505" s="457"/>
      <c r="QF505" s="457"/>
      <c r="QG505" s="457"/>
      <c r="QH505" s="457"/>
      <c r="QI505" s="457"/>
      <c r="QJ505" s="457"/>
      <c r="QK505" s="457"/>
      <c r="QL505" s="457"/>
      <c r="QM505" s="457"/>
      <c r="QN505" s="457"/>
      <c r="QO505" s="457"/>
      <c r="QP505" s="457"/>
      <c r="QQ505" s="457"/>
      <c r="QR505" s="457"/>
      <c r="QS505" s="457"/>
      <c r="QT505" s="457"/>
      <c r="QU505" s="457"/>
      <c r="QV505" s="457"/>
      <c r="QW505" s="457"/>
      <c r="QX505" s="457"/>
      <c r="QY505" s="457"/>
      <c r="QZ505" s="457"/>
      <c r="RA505" s="457"/>
      <c r="RB505" s="457"/>
      <c r="RC505" s="457"/>
      <c r="RD505" s="457"/>
      <c r="RE505" s="457"/>
      <c r="RF505" s="457"/>
      <c r="RG505" s="457"/>
      <c r="RH505" s="457"/>
      <c r="RI505" s="457"/>
      <c r="RJ505" s="457"/>
      <c r="RK505" s="457"/>
      <c r="RL505" s="457"/>
      <c r="RM505" s="457"/>
      <c r="RN505" s="457"/>
      <c r="RO505" s="457"/>
      <c r="RP505" s="457"/>
      <c r="RQ505" s="457"/>
      <c r="RR505" s="457"/>
      <c r="RS505" s="457"/>
      <c r="RT505" s="457"/>
      <c r="RU505" s="457"/>
      <c r="RV505" s="457"/>
      <c r="RW505" s="457"/>
      <c r="RX505" s="457"/>
      <c r="RY505" s="457"/>
      <c r="RZ505" s="457"/>
      <c r="SA505" s="457"/>
      <c r="SB505" s="457"/>
      <c r="SC505" s="457"/>
      <c r="SD505" s="457"/>
      <c r="SE505" s="457"/>
      <c r="SF505" s="457"/>
      <c r="SG505" s="457"/>
      <c r="SH505" s="457"/>
      <c r="SI505" s="457"/>
      <c r="SJ505" s="457"/>
      <c r="SK505" s="457"/>
      <c r="SL505" s="457"/>
      <c r="SM505" s="457"/>
      <c r="SN505" s="457"/>
      <c r="SO505" s="457"/>
      <c r="SP505" s="457"/>
      <c r="SQ505" s="457"/>
      <c r="SR505" s="457"/>
      <c r="SS505" s="457"/>
      <c r="ST505" s="457"/>
      <c r="SU505" s="457"/>
      <c r="SV505" s="457"/>
      <c r="SW505" s="457"/>
      <c r="SX505" s="457"/>
      <c r="SY505" s="457"/>
      <c r="SZ505" s="457"/>
      <c r="TA505" s="457"/>
      <c r="TB505" s="457"/>
      <c r="TC505" s="457"/>
      <c r="TD505" s="457"/>
      <c r="TE505" s="457"/>
      <c r="TF505" s="457"/>
      <c r="TG505" s="457"/>
      <c r="TH505" s="457"/>
      <c r="TI505" s="457"/>
      <c r="TJ505" s="457"/>
      <c r="TK505" s="457"/>
      <c r="TL505" s="457"/>
      <c r="TM505" s="457"/>
      <c r="TN505" s="457"/>
      <c r="TO505" s="457"/>
      <c r="TP505" s="457"/>
      <c r="TQ505" s="457"/>
      <c r="TR505" s="457"/>
      <c r="TS505" s="457"/>
      <c r="TT505" s="457"/>
      <c r="TU505" s="457"/>
      <c r="TV505" s="457"/>
      <c r="TW505" s="457"/>
      <c r="TX505" s="457"/>
      <c r="TY505" s="457"/>
      <c r="TZ505" s="457"/>
      <c r="UA505" s="457"/>
      <c r="UB505" s="457"/>
      <c r="UC505" s="457"/>
      <c r="UD505" s="457"/>
      <c r="UE505" s="457"/>
      <c r="UF505" s="457"/>
      <c r="UG505" s="457"/>
      <c r="UH505" s="457"/>
      <c r="UI505" s="457"/>
      <c r="UJ505" s="457"/>
      <c r="UK505" s="457"/>
      <c r="UL505" s="457"/>
      <c r="UM505" s="457"/>
      <c r="UN505" s="457"/>
      <c r="UO505" s="457"/>
      <c r="UP505" s="457"/>
      <c r="UQ505" s="457"/>
      <c r="UR505" s="457"/>
      <c r="US505" s="457"/>
      <c r="UT505" s="457"/>
      <c r="UU505" s="457"/>
      <c r="UV505" s="457"/>
      <c r="UW505" s="457"/>
      <c r="UX505" s="457"/>
      <c r="UY505" s="457"/>
      <c r="UZ505" s="457"/>
      <c r="VA505" s="457"/>
      <c r="VB505" s="457"/>
      <c r="VC505" s="457"/>
      <c r="VD505" s="457"/>
      <c r="VE505" s="457"/>
      <c r="VF505" s="457"/>
      <c r="VG505" s="457"/>
      <c r="VH505" s="457"/>
      <c r="VI505" s="457"/>
      <c r="VJ505" s="457"/>
      <c r="VK505" s="457"/>
      <c r="VL505" s="457"/>
      <c r="VM505" s="457"/>
      <c r="VN505" s="457"/>
      <c r="VO505" s="457"/>
      <c r="VP505" s="457"/>
      <c r="VQ505" s="457"/>
      <c r="VR505" s="457"/>
      <c r="VS505" s="457"/>
      <c r="VT505" s="457"/>
      <c r="VU505" s="457"/>
      <c r="VV505" s="457"/>
      <c r="VW505" s="457"/>
      <c r="VX505" s="457"/>
      <c r="VY505" s="457"/>
      <c r="VZ505" s="457"/>
      <c r="WA505" s="457"/>
      <c r="WB505" s="457"/>
      <c r="WC505" s="457"/>
      <c r="WD505" s="457"/>
      <c r="WE505" s="457"/>
      <c r="WF505" s="457"/>
      <c r="WG505" s="457"/>
      <c r="WH505" s="457"/>
      <c r="WI505" s="457"/>
      <c r="WJ505" s="457"/>
      <c r="WK505" s="457"/>
      <c r="WL505" s="457"/>
      <c r="WM505" s="457"/>
      <c r="WN505" s="457"/>
      <c r="WO505" s="457"/>
      <c r="WP505" s="457"/>
      <c r="WQ505" s="457"/>
      <c r="WR505" s="457"/>
      <c r="WS505" s="457"/>
      <c r="WT505" s="457"/>
      <c r="WU505" s="457"/>
      <c r="WV505" s="457"/>
      <c r="WW505" s="457"/>
      <c r="WX505" s="457"/>
      <c r="WY505" s="457"/>
      <c r="WZ505" s="457"/>
      <c r="XA505" s="457"/>
      <c r="XB505" s="457"/>
      <c r="XC505" s="457"/>
      <c r="XD505" s="457"/>
      <c r="XE505" s="457"/>
      <c r="XF505" s="457"/>
      <c r="XG505" s="457"/>
      <c r="XH505" s="457"/>
      <c r="XI505" s="457"/>
      <c r="XJ505" s="457"/>
      <c r="XK505" s="457"/>
      <c r="XL505" s="457"/>
      <c r="XM505" s="457"/>
      <c r="XN505" s="457"/>
      <c r="XO505" s="457"/>
      <c r="XP505" s="457"/>
      <c r="XQ505" s="457"/>
      <c r="XR505" s="457"/>
      <c r="XS505" s="457"/>
      <c r="XT505" s="457"/>
      <c r="XU505" s="457"/>
      <c r="XV505" s="457"/>
      <c r="XW505" s="457"/>
      <c r="XX505" s="457"/>
      <c r="XY505" s="457"/>
      <c r="XZ505" s="457"/>
      <c r="YA505" s="457"/>
      <c r="YB505" s="457"/>
      <c r="YC505" s="457"/>
      <c r="YD505" s="457"/>
      <c r="YE505" s="457"/>
      <c r="YF505" s="457"/>
      <c r="YG505" s="457"/>
      <c r="YH505" s="457"/>
      <c r="YI505" s="457"/>
      <c r="YJ505" s="457"/>
      <c r="YK505" s="457"/>
      <c r="YL505" s="457"/>
      <c r="YM505" s="457"/>
      <c r="YN505" s="457"/>
      <c r="YO505" s="457"/>
      <c r="YP505" s="457"/>
      <c r="YQ505" s="457"/>
      <c r="YR505" s="457"/>
      <c r="YS505" s="457"/>
      <c r="YT505" s="457"/>
      <c r="YU505" s="457"/>
      <c r="YV505" s="457"/>
      <c r="YW505" s="457"/>
      <c r="YX505" s="457"/>
      <c r="YY505" s="457"/>
      <c r="YZ505" s="457"/>
      <c r="ZA505" s="457"/>
      <c r="ZB505" s="457"/>
      <c r="ZC505" s="457"/>
      <c r="ZD505" s="457"/>
      <c r="ZE505" s="457"/>
      <c r="ZF505" s="457"/>
      <c r="ZG505" s="457"/>
      <c r="ZH505" s="457"/>
      <c r="ZI505" s="457"/>
      <c r="ZJ505" s="457"/>
      <c r="ZK505" s="457"/>
      <c r="ZL505" s="457"/>
      <c r="ZM505" s="457"/>
      <c r="ZN505" s="457"/>
      <c r="ZO505" s="457"/>
      <c r="ZP505" s="457"/>
      <c r="ZQ505" s="457"/>
      <c r="ZR505" s="457"/>
      <c r="ZS505" s="457"/>
      <c r="ZT505" s="457"/>
      <c r="ZU505" s="457"/>
      <c r="ZV505" s="457"/>
      <c r="ZW505" s="457"/>
      <c r="ZX505" s="457"/>
      <c r="ZY505" s="457"/>
      <c r="ZZ505" s="457"/>
      <c r="AAA505" s="457"/>
      <c r="AAB505" s="457"/>
      <c r="AAC505" s="457"/>
      <c r="AAD505" s="457"/>
      <c r="AAE505" s="457"/>
      <c r="AAF505" s="457"/>
      <c r="AAG505" s="457"/>
      <c r="AAH505" s="457"/>
      <c r="AAI505" s="457"/>
      <c r="AAJ505" s="457"/>
      <c r="AAK505" s="457"/>
      <c r="AAL505" s="457"/>
      <c r="AAM505" s="457"/>
      <c r="AAN505" s="457"/>
      <c r="AAO505" s="457"/>
      <c r="AAP505" s="457"/>
      <c r="AAQ505" s="457"/>
      <c r="AAR505" s="457"/>
      <c r="AAS505" s="457"/>
      <c r="AAT505" s="457"/>
      <c r="AAU505" s="457"/>
      <c r="AAV505" s="457"/>
      <c r="AAW505" s="457"/>
      <c r="AAX505" s="457"/>
      <c r="AAY505" s="457"/>
      <c r="AAZ505" s="457"/>
      <c r="ABA505" s="457"/>
      <c r="ABB505" s="457"/>
      <c r="ABC505" s="457"/>
      <c r="ABD505" s="457"/>
      <c r="ABE505" s="457"/>
      <c r="ABF505" s="457"/>
      <c r="ABG505" s="457"/>
      <c r="ABH505" s="457"/>
      <c r="ABI505" s="457"/>
      <c r="ABJ505" s="457"/>
      <c r="ABK505" s="457"/>
      <c r="ABL505" s="457"/>
      <c r="ABM505" s="457"/>
      <c r="ABN505" s="457"/>
      <c r="ABO505" s="457"/>
      <c r="ABP505" s="457"/>
      <c r="ABQ505" s="457"/>
      <c r="ABR505" s="457"/>
      <c r="ABS505" s="457"/>
      <c r="ABT505" s="457"/>
      <c r="ABU505" s="457"/>
      <c r="ABV505" s="457"/>
      <c r="ABW505" s="457"/>
      <c r="ABX505" s="457"/>
      <c r="ABY505" s="457"/>
      <c r="ABZ505" s="457"/>
      <c r="ACA505" s="457"/>
      <c r="ACB505" s="457"/>
      <c r="ACC505" s="457"/>
      <c r="ACD505" s="457"/>
      <c r="ACE505" s="457"/>
      <c r="ACF505" s="457"/>
      <c r="ACG505" s="457"/>
      <c r="ACH505" s="457"/>
      <c r="ACI505" s="457"/>
      <c r="ACJ505" s="457"/>
      <c r="ACK505" s="457"/>
      <c r="ACL505" s="457"/>
      <c r="ACM505" s="457"/>
      <c r="ACN505" s="457"/>
      <c r="ACO505" s="457"/>
      <c r="ACP505" s="457"/>
      <c r="ACQ505" s="457"/>
      <c r="ACR505" s="457"/>
      <c r="ACS505" s="457"/>
      <c r="ACT505" s="457"/>
      <c r="ACU505" s="457"/>
      <c r="ACV505" s="457"/>
    </row>
    <row r="506" spans="1:776" s="400" customFormat="1" x14ac:dyDescent="0.25">
      <c r="A506" s="470">
        <v>900211</v>
      </c>
      <c r="B506" s="404" t="str">
        <f t="shared" si="13"/>
        <v>-73,68/+73,71  (EC  74,8)</v>
      </c>
      <c r="C506" s="455"/>
      <c r="D506" s="470">
        <v>0.48</v>
      </c>
      <c r="E506" s="454">
        <v>7.48</v>
      </c>
      <c r="F506" s="458">
        <v>21.4</v>
      </c>
      <c r="G506" s="454">
        <v>0</v>
      </c>
      <c r="H506" s="454">
        <v>0.08</v>
      </c>
      <c r="I506" s="456">
        <v>1891.8</v>
      </c>
      <c r="J506" s="454">
        <v>684.6</v>
      </c>
      <c r="K506" s="454">
        <v>0.18360000000000001</v>
      </c>
      <c r="L506" s="454">
        <v>352.4</v>
      </c>
      <c r="M506" s="454">
        <v>0</v>
      </c>
      <c r="N506" s="454">
        <v>36.46</v>
      </c>
      <c r="O506" s="454">
        <v>1091.8399999999999</v>
      </c>
      <c r="P506" s="454">
        <v>203.34</v>
      </c>
      <c r="Q506" s="454">
        <v>181.54</v>
      </c>
      <c r="R506" s="397">
        <v>1.0000000000000001E-5</v>
      </c>
      <c r="S506" s="397">
        <v>1.0000000000000001E-5</v>
      </c>
      <c r="T506" s="397">
        <v>1.0000000000000001E-5</v>
      </c>
      <c r="U506" s="454">
        <v>0.01</v>
      </c>
      <c r="V506" s="397">
        <v>1.0000000000000001E-5</v>
      </c>
      <c r="W506" s="457"/>
      <c r="X506" s="457"/>
      <c r="Y506" s="457"/>
      <c r="Z506" s="457"/>
      <c r="AA506" s="457"/>
      <c r="AB506" s="457"/>
      <c r="AC506" s="457"/>
      <c r="AD506" s="457"/>
      <c r="AE506" s="457"/>
      <c r="AF506" s="457"/>
      <c r="AG506" s="457"/>
      <c r="AH506" s="457"/>
      <c r="AI506" s="457"/>
      <c r="AJ506" s="457"/>
      <c r="AK506" s="457"/>
      <c r="AL506" s="457"/>
      <c r="AM506" s="457"/>
      <c r="AN506" s="457"/>
      <c r="AO506" s="457"/>
      <c r="AP506" s="457"/>
      <c r="AQ506" s="457"/>
      <c r="AR506" s="457"/>
      <c r="AS506" s="457"/>
      <c r="AT506" s="457"/>
      <c r="AU506" s="457"/>
      <c r="AV506" s="457"/>
      <c r="AW506" s="457"/>
      <c r="AX506" s="457"/>
      <c r="AY506" s="457"/>
      <c r="AZ506" s="457"/>
      <c r="BA506" s="457"/>
      <c r="BB506" s="457"/>
      <c r="BC506" s="457"/>
      <c r="BD506" s="457"/>
      <c r="BE506" s="457"/>
      <c r="BF506" s="457"/>
      <c r="BG506" s="457"/>
      <c r="BH506" s="457"/>
      <c r="BI506" s="457"/>
      <c r="BJ506" s="457"/>
      <c r="BK506" s="457"/>
      <c r="BL506" s="457"/>
      <c r="BM506" s="457"/>
      <c r="BN506" s="457"/>
      <c r="BO506" s="457"/>
      <c r="BP506" s="457"/>
      <c r="BQ506" s="457"/>
      <c r="BR506" s="457"/>
      <c r="BS506" s="457"/>
      <c r="BT506" s="457"/>
      <c r="BU506" s="457"/>
      <c r="BV506" s="457"/>
      <c r="BW506" s="457"/>
      <c r="BX506" s="457"/>
      <c r="BY506" s="457"/>
      <c r="BZ506" s="457"/>
      <c r="CA506" s="457"/>
      <c r="CB506" s="457"/>
      <c r="CC506" s="457"/>
      <c r="CD506" s="457"/>
      <c r="CE506" s="457"/>
      <c r="CF506" s="457"/>
      <c r="CG506" s="457"/>
      <c r="CH506" s="457"/>
      <c r="CI506" s="457"/>
      <c r="CJ506" s="457"/>
      <c r="CK506" s="457"/>
      <c r="CL506" s="457"/>
      <c r="CM506" s="457"/>
      <c r="CN506" s="457"/>
      <c r="CO506" s="457"/>
      <c r="CP506" s="457"/>
      <c r="CQ506" s="457"/>
      <c r="CR506" s="457"/>
      <c r="CS506" s="457"/>
      <c r="CT506" s="457"/>
      <c r="CU506" s="457"/>
      <c r="CV506" s="457"/>
      <c r="CW506" s="457"/>
      <c r="CX506" s="457"/>
      <c r="CY506" s="457"/>
      <c r="CZ506" s="457"/>
      <c r="DA506" s="457"/>
      <c r="DB506" s="457"/>
      <c r="DC506" s="457"/>
      <c r="DD506" s="457"/>
      <c r="DE506" s="457"/>
      <c r="DF506" s="457"/>
      <c r="DG506" s="457"/>
      <c r="DH506" s="457"/>
      <c r="DI506" s="457"/>
      <c r="DJ506" s="457"/>
      <c r="DK506" s="457"/>
      <c r="DL506" s="457"/>
      <c r="DM506" s="457"/>
      <c r="DN506" s="457"/>
      <c r="DO506" s="457"/>
      <c r="DP506" s="457"/>
      <c r="DQ506" s="457"/>
      <c r="DR506" s="457"/>
      <c r="DS506" s="457"/>
      <c r="DT506" s="457"/>
      <c r="DU506" s="457"/>
      <c r="DV506" s="457"/>
      <c r="DW506" s="457"/>
      <c r="DX506" s="457"/>
      <c r="DY506" s="457"/>
      <c r="DZ506" s="457"/>
      <c r="EA506" s="457"/>
      <c r="EB506" s="457"/>
      <c r="EC506" s="457"/>
      <c r="ED506" s="457"/>
      <c r="EE506" s="457"/>
      <c r="EF506" s="457"/>
      <c r="EG506" s="457"/>
      <c r="EH506" s="457"/>
      <c r="EI506" s="457"/>
      <c r="EJ506" s="457"/>
      <c r="EK506" s="457"/>
      <c r="EL506" s="457"/>
      <c r="EM506" s="457"/>
      <c r="EN506" s="457"/>
      <c r="EO506" s="457"/>
      <c r="EP506" s="457"/>
      <c r="EQ506" s="457"/>
      <c r="ER506" s="457"/>
      <c r="ES506" s="457"/>
      <c r="ET506" s="457"/>
      <c r="EU506" s="457"/>
      <c r="EV506" s="457"/>
      <c r="EW506" s="457"/>
      <c r="EX506" s="457"/>
      <c r="EY506" s="457"/>
      <c r="EZ506" s="457"/>
      <c r="FA506" s="457"/>
      <c r="FB506" s="457"/>
      <c r="FC506" s="457"/>
      <c r="FD506" s="457"/>
      <c r="FE506" s="457"/>
      <c r="FF506" s="457"/>
      <c r="FG506" s="457"/>
      <c r="FH506" s="457"/>
      <c r="FI506" s="457"/>
      <c r="FJ506" s="457"/>
      <c r="FK506" s="457"/>
      <c r="FL506" s="457"/>
      <c r="FM506" s="457"/>
      <c r="FN506" s="457"/>
      <c r="FO506" s="457"/>
      <c r="FP506" s="457"/>
      <c r="FQ506" s="457"/>
      <c r="FR506" s="457"/>
      <c r="FS506" s="457"/>
      <c r="FT506" s="457"/>
      <c r="FU506" s="457"/>
      <c r="FV506" s="457"/>
      <c r="FW506" s="457"/>
      <c r="FX506" s="457"/>
      <c r="FY506" s="457"/>
      <c r="FZ506" s="457"/>
      <c r="GA506" s="457"/>
      <c r="GB506" s="457"/>
      <c r="GC506" s="457"/>
      <c r="GD506" s="457"/>
      <c r="GE506" s="457"/>
      <c r="GF506" s="457"/>
      <c r="GG506" s="457"/>
      <c r="GH506" s="457"/>
      <c r="GI506" s="457"/>
      <c r="GJ506" s="457"/>
      <c r="GK506" s="457"/>
      <c r="GL506" s="457"/>
      <c r="GM506" s="457"/>
      <c r="GN506" s="457"/>
      <c r="GO506" s="457"/>
      <c r="GP506" s="457"/>
      <c r="GQ506" s="457"/>
      <c r="GR506" s="457"/>
      <c r="GS506" s="457"/>
      <c r="GT506" s="457"/>
      <c r="GU506" s="457"/>
      <c r="GV506" s="457"/>
      <c r="GW506" s="457"/>
      <c r="GX506" s="457"/>
      <c r="GY506" s="457"/>
      <c r="GZ506" s="457"/>
      <c r="HA506" s="457"/>
      <c r="HB506" s="457"/>
      <c r="HC506" s="457"/>
      <c r="HD506" s="457"/>
      <c r="HE506" s="457"/>
      <c r="HF506" s="457"/>
      <c r="HG506" s="457"/>
      <c r="HH506" s="457"/>
      <c r="HI506" s="457"/>
      <c r="HJ506" s="457"/>
      <c r="HK506" s="457"/>
      <c r="HL506" s="457"/>
      <c r="HM506" s="457"/>
      <c r="HN506" s="457"/>
      <c r="HO506" s="457"/>
      <c r="HP506" s="457"/>
      <c r="HQ506" s="457"/>
      <c r="HR506" s="457"/>
      <c r="HS506" s="457"/>
      <c r="HT506" s="457"/>
      <c r="HU506" s="457"/>
      <c r="HV506" s="457"/>
      <c r="HW506" s="457"/>
      <c r="HX506" s="457"/>
      <c r="HY506" s="457"/>
      <c r="HZ506" s="457"/>
      <c r="IA506" s="457"/>
      <c r="IB506" s="457"/>
      <c r="IC506" s="457"/>
      <c r="ID506" s="457"/>
      <c r="IE506" s="457"/>
      <c r="IF506" s="457"/>
      <c r="IG506" s="457"/>
      <c r="IH506" s="457"/>
      <c r="II506" s="457"/>
      <c r="IJ506" s="457"/>
      <c r="IK506" s="457"/>
      <c r="IL506" s="457"/>
      <c r="IM506" s="457"/>
      <c r="IN506" s="457"/>
      <c r="IO506" s="457"/>
      <c r="IP506" s="457"/>
      <c r="IQ506" s="457"/>
      <c r="IR506" s="457"/>
      <c r="IS506" s="457"/>
      <c r="IT506" s="457"/>
      <c r="IU506" s="457"/>
      <c r="IV506" s="457"/>
      <c r="IW506" s="457"/>
      <c r="IX506" s="457"/>
      <c r="IY506" s="457"/>
      <c r="IZ506" s="457"/>
      <c r="JA506" s="457"/>
      <c r="JB506" s="457"/>
      <c r="JC506" s="457"/>
      <c r="JD506" s="457"/>
      <c r="JE506" s="457"/>
      <c r="JF506" s="457"/>
      <c r="JG506" s="457"/>
      <c r="JH506" s="457"/>
      <c r="JI506" s="457"/>
      <c r="JJ506" s="457"/>
      <c r="JK506" s="457"/>
      <c r="JL506" s="457"/>
      <c r="JM506" s="457"/>
      <c r="JN506" s="457"/>
      <c r="JO506" s="457"/>
      <c r="JP506" s="457"/>
      <c r="JQ506" s="457"/>
      <c r="JR506" s="457"/>
      <c r="JS506" s="457"/>
      <c r="JT506" s="457"/>
      <c r="JU506" s="457"/>
      <c r="JV506" s="457"/>
      <c r="JW506" s="457"/>
      <c r="JX506" s="457"/>
      <c r="JY506" s="457"/>
      <c r="JZ506" s="457"/>
      <c r="KA506" s="457"/>
      <c r="KB506" s="457"/>
      <c r="KC506" s="457"/>
      <c r="KD506" s="457"/>
      <c r="KE506" s="457"/>
      <c r="KF506" s="457"/>
      <c r="KG506" s="457"/>
      <c r="KH506" s="457"/>
      <c r="KI506" s="457"/>
      <c r="KJ506" s="457"/>
      <c r="KK506" s="457"/>
      <c r="KL506" s="457"/>
      <c r="KM506" s="457"/>
      <c r="KN506" s="457"/>
      <c r="KO506" s="457"/>
      <c r="KP506" s="457"/>
      <c r="KQ506" s="457"/>
      <c r="KR506" s="457"/>
      <c r="KS506" s="457"/>
      <c r="KT506" s="457"/>
      <c r="KU506" s="457"/>
      <c r="KV506" s="457"/>
      <c r="KW506" s="457"/>
      <c r="KX506" s="457"/>
      <c r="KY506" s="457"/>
      <c r="KZ506" s="457"/>
      <c r="LA506" s="457"/>
      <c r="LB506" s="457"/>
      <c r="LC506" s="457"/>
      <c r="LD506" s="457"/>
      <c r="LE506" s="457"/>
      <c r="LF506" s="457"/>
      <c r="LG506" s="457"/>
      <c r="LH506" s="457"/>
      <c r="LI506" s="457"/>
      <c r="LJ506" s="457"/>
      <c r="LK506" s="457"/>
      <c r="LL506" s="457"/>
      <c r="LM506" s="457"/>
      <c r="LN506" s="457"/>
      <c r="LO506" s="457"/>
      <c r="LP506" s="457"/>
      <c r="LQ506" s="457"/>
      <c r="LR506" s="457"/>
      <c r="LS506" s="457"/>
      <c r="LT506" s="457"/>
      <c r="LU506" s="457"/>
      <c r="LV506" s="457"/>
      <c r="LW506" s="457"/>
      <c r="LX506" s="457"/>
      <c r="LY506" s="457"/>
      <c r="LZ506" s="457"/>
      <c r="MA506" s="457"/>
      <c r="MB506" s="457"/>
      <c r="MC506" s="457"/>
      <c r="MD506" s="457"/>
      <c r="ME506" s="457"/>
      <c r="MF506" s="457"/>
      <c r="MG506" s="457"/>
      <c r="MH506" s="457"/>
      <c r="MI506" s="457"/>
      <c r="MJ506" s="457"/>
      <c r="MK506" s="457"/>
      <c r="ML506" s="457"/>
      <c r="MM506" s="457"/>
      <c r="MN506" s="457"/>
      <c r="MO506" s="457"/>
      <c r="MP506" s="457"/>
      <c r="MQ506" s="457"/>
      <c r="MR506" s="457"/>
      <c r="MS506" s="457"/>
      <c r="MT506" s="457"/>
      <c r="MU506" s="457"/>
      <c r="MV506" s="457"/>
      <c r="MW506" s="457"/>
      <c r="MX506" s="457"/>
      <c r="MY506" s="457"/>
      <c r="MZ506" s="457"/>
      <c r="NA506" s="457"/>
      <c r="NB506" s="457"/>
      <c r="NC506" s="457"/>
      <c r="ND506" s="457"/>
      <c r="NE506" s="457"/>
      <c r="NF506" s="457"/>
      <c r="NG506" s="457"/>
      <c r="NH506" s="457"/>
      <c r="NI506" s="457"/>
      <c r="NJ506" s="457"/>
      <c r="NK506" s="457"/>
      <c r="NL506" s="457"/>
      <c r="NM506" s="457"/>
      <c r="NN506" s="457"/>
      <c r="NO506" s="457"/>
      <c r="NP506" s="457"/>
      <c r="NQ506" s="457"/>
      <c r="NR506" s="457"/>
      <c r="NS506" s="457"/>
      <c r="NT506" s="457"/>
      <c r="NU506" s="457"/>
      <c r="NV506" s="457"/>
      <c r="NW506" s="457"/>
      <c r="NX506" s="457"/>
      <c r="NY506" s="457"/>
      <c r="NZ506" s="457"/>
      <c r="OA506" s="457"/>
      <c r="OB506" s="457"/>
      <c r="OC506" s="457"/>
      <c r="OD506" s="457"/>
      <c r="OE506" s="457"/>
      <c r="OF506" s="457"/>
      <c r="OG506" s="457"/>
      <c r="OH506" s="457"/>
      <c r="OI506" s="457"/>
      <c r="OJ506" s="457"/>
      <c r="OK506" s="457"/>
      <c r="OL506" s="457"/>
      <c r="OM506" s="457"/>
      <c r="ON506" s="457"/>
      <c r="OO506" s="457"/>
      <c r="OP506" s="457"/>
      <c r="OQ506" s="457"/>
      <c r="OR506" s="457"/>
      <c r="OS506" s="457"/>
      <c r="OT506" s="457"/>
      <c r="OU506" s="457"/>
      <c r="OV506" s="457"/>
      <c r="OW506" s="457"/>
      <c r="OX506" s="457"/>
      <c r="OY506" s="457"/>
      <c r="OZ506" s="457"/>
      <c r="PA506" s="457"/>
      <c r="PB506" s="457"/>
      <c r="PC506" s="457"/>
      <c r="PD506" s="457"/>
      <c r="PE506" s="457"/>
      <c r="PF506" s="457"/>
      <c r="PG506" s="457"/>
      <c r="PH506" s="457"/>
      <c r="PI506" s="457"/>
      <c r="PJ506" s="457"/>
      <c r="PK506" s="457"/>
      <c r="PL506" s="457"/>
      <c r="PM506" s="457"/>
      <c r="PN506" s="457"/>
      <c r="PO506" s="457"/>
      <c r="PP506" s="457"/>
      <c r="PQ506" s="457"/>
      <c r="PR506" s="457"/>
      <c r="PS506" s="457"/>
      <c r="PT506" s="457"/>
      <c r="PU506" s="457"/>
      <c r="PV506" s="457"/>
      <c r="PW506" s="457"/>
      <c r="PX506" s="457"/>
      <c r="PY506" s="457"/>
      <c r="PZ506" s="457"/>
      <c r="QA506" s="457"/>
      <c r="QB506" s="457"/>
      <c r="QC506" s="457"/>
      <c r="QD506" s="457"/>
      <c r="QE506" s="457"/>
      <c r="QF506" s="457"/>
      <c r="QG506" s="457"/>
      <c r="QH506" s="457"/>
      <c r="QI506" s="457"/>
      <c r="QJ506" s="457"/>
      <c r="QK506" s="457"/>
      <c r="QL506" s="457"/>
      <c r="QM506" s="457"/>
      <c r="QN506" s="457"/>
      <c r="QO506" s="457"/>
      <c r="QP506" s="457"/>
      <c r="QQ506" s="457"/>
      <c r="QR506" s="457"/>
      <c r="QS506" s="457"/>
      <c r="QT506" s="457"/>
      <c r="QU506" s="457"/>
      <c r="QV506" s="457"/>
      <c r="QW506" s="457"/>
      <c r="QX506" s="457"/>
      <c r="QY506" s="457"/>
      <c r="QZ506" s="457"/>
      <c r="RA506" s="457"/>
      <c r="RB506" s="457"/>
      <c r="RC506" s="457"/>
      <c r="RD506" s="457"/>
      <c r="RE506" s="457"/>
      <c r="RF506" s="457"/>
      <c r="RG506" s="457"/>
      <c r="RH506" s="457"/>
      <c r="RI506" s="457"/>
      <c r="RJ506" s="457"/>
      <c r="RK506" s="457"/>
      <c r="RL506" s="457"/>
      <c r="RM506" s="457"/>
      <c r="RN506" s="457"/>
      <c r="RO506" s="457"/>
      <c r="RP506" s="457"/>
      <c r="RQ506" s="457"/>
      <c r="RR506" s="457"/>
      <c r="RS506" s="457"/>
      <c r="RT506" s="457"/>
      <c r="RU506" s="457"/>
      <c r="RV506" s="457"/>
      <c r="RW506" s="457"/>
      <c r="RX506" s="457"/>
      <c r="RY506" s="457"/>
      <c r="RZ506" s="457"/>
      <c r="SA506" s="457"/>
      <c r="SB506" s="457"/>
      <c r="SC506" s="457"/>
      <c r="SD506" s="457"/>
      <c r="SE506" s="457"/>
      <c r="SF506" s="457"/>
      <c r="SG506" s="457"/>
      <c r="SH506" s="457"/>
      <c r="SI506" s="457"/>
      <c r="SJ506" s="457"/>
      <c r="SK506" s="457"/>
      <c r="SL506" s="457"/>
      <c r="SM506" s="457"/>
      <c r="SN506" s="457"/>
      <c r="SO506" s="457"/>
      <c r="SP506" s="457"/>
      <c r="SQ506" s="457"/>
      <c r="SR506" s="457"/>
      <c r="SS506" s="457"/>
      <c r="ST506" s="457"/>
      <c r="SU506" s="457"/>
      <c r="SV506" s="457"/>
      <c r="SW506" s="457"/>
      <c r="SX506" s="457"/>
      <c r="SY506" s="457"/>
      <c r="SZ506" s="457"/>
      <c r="TA506" s="457"/>
      <c r="TB506" s="457"/>
      <c r="TC506" s="457"/>
      <c r="TD506" s="457"/>
      <c r="TE506" s="457"/>
      <c r="TF506" s="457"/>
      <c r="TG506" s="457"/>
      <c r="TH506" s="457"/>
      <c r="TI506" s="457"/>
      <c r="TJ506" s="457"/>
      <c r="TK506" s="457"/>
      <c r="TL506" s="457"/>
      <c r="TM506" s="457"/>
      <c r="TN506" s="457"/>
      <c r="TO506" s="457"/>
      <c r="TP506" s="457"/>
      <c r="TQ506" s="457"/>
      <c r="TR506" s="457"/>
      <c r="TS506" s="457"/>
      <c r="TT506" s="457"/>
      <c r="TU506" s="457"/>
      <c r="TV506" s="457"/>
      <c r="TW506" s="457"/>
      <c r="TX506" s="457"/>
      <c r="TY506" s="457"/>
      <c r="TZ506" s="457"/>
      <c r="UA506" s="457"/>
      <c r="UB506" s="457"/>
      <c r="UC506" s="457"/>
      <c r="UD506" s="457"/>
      <c r="UE506" s="457"/>
      <c r="UF506" s="457"/>
      <c r="UG506" s="457"/>
      <c r="UH506" s="457"/>
      <c r="UI506" s="457"/>
      <c r="UJ506" s="457"/>
      <c r="UK506" s="457"/>
      <c r="UL506" s="457"/>
      <c r="UM506" s="457"/>
      <c r="UN506" s="457"/>
      <c r="UO506" s="457"/>
      <c r="UP506" s="457"/>
      <c r="UQ506" s="457"/>
      <c r="UR506" s="457"/>
      <c r="US506" s="457"/>
      <c r="UT506" s="457"/>
      <c r="UU506" s="457"/>
      <c r="UV506" s="457"/>
      <c r="UW506" s="457"/>
      <c r="UX506" s="457"/>
      <c r="UY506" s="457"/>
      <c r="UZ506" s="457"/>
      <c r="VA506" s="457"/>
      <c r="VB506" s="457"/>
      <c r="VC506" s="457"/>
      <c r="VD506" s="457"/>
      <c r="VE506" s="457"/>
      <c r="VF506" s="457"/>
      <c r="VG506" s="457"/>
      <c r="VH506" s="457"/>
      <c r="VI506" s="457"/>
      <c r="VJ506" s="457"/>
      <c r="VK506" s="457"/>
      <c r="VL506" s="457"/>
      <c r="VM506" s="457"/>
      <c r="VN506" s="457"/>
      <c r="VO506" s="457"/>
      <c r="VP506" s="457"/>
      <c r="VQ506" s="457"/>
      <c r="VR506" s="457"/>
      <c r="VS506" s="457"/>
      <c r="VT506" s="457"/>
      <c r="VU506" s="457"/>
      <c r="VV506" s="457"/>
      <c r="VW506" s="457"/>
      <c r="VX506" s="457"/>
      <c r="VY506" s="457"/>
      <c r="VZ506" s="457"/>
      <c r="WA506" s="457"/>
      <c r="WB506" s="457"/>
      <c r="WC506" s="457"/>
      <c r="WD506" s="457"/>
      <c r="WE506" s="457"/>
      <c r="WF506" s="457"/>
      <c r="WG506" s="457"/>
      <c r="WH506" s="457"/>
      <c r="WI506" s="457"/>
      <c r="WJ506" s="457"/>
      <c r="WK506" s="457"/>
      <c r="WL506" s="457"/>
      <c r="WM506" s="457"/>
      <c r="WN506" s="457"/>
      <c r="WO506" s="457"/>
      <c r="WP506" s="457"/>
      <c r="WQ506" s="457"/>
      <c r="WR506" s="457"/>
      <c r="WS506" s="457"/>
      <c r="WT506" s="457"/>
      <c r="WU506" s="457"/>
      <c r="WV506" s="457"/>
      <c r="WW506" s="457"/>
      <c r="WX506" s="457"/>
      <c r="WY506" s="457"/>
      <c r="WZ506" s="457"/>
      <c r="XA506" s="457"/>
      <c r="XB506" s="457"/>
      <c r="XC506" s="457"/>
      <c r="XD506" s="457"/>
      <c r="XE506" s="457"/>
      <c r="XF506" s="457"/>
      <c r="XG506" s="457"/>
      <c r="XH506" s="457"/>
      <c r="XI506" s="457"/>
      <c r="XJ506" s="457"/>
      <c r="XK506" s="457"/>
      <c r="XL506" s="457"/>
      <c r="XM506" s="457"/>
      <c r="XN506" s="457"/>
      <c r="XO506" s="457"/>
      <c r="XP506" s="457"/>
      <c r="XQ506" s="457"/>
      <c r="XR506" s="457"/>
      <c r="XS506" s="457"/>
      <c r="XT506" s="457"/>
      <c r="XU506" s="457"/>
      <c r="XV506" s="457"/>
      <c r="XW506" s="457"/>
      <c r="XX506" s="457"/>
      <c r="XY506" s="457"/>
      <c r="XZ506" s="457"/>
      <c r="YA506" s="457"/>
      <c r="YB506" s="457"/>
      <c r="YC506" s="457"/>
      <c r="YD506" s="457"/>
      <c r="YE506" s="457"/>
      <c r="YF506" s="457"/>
      <c r="YG506" s="457"/>
      <c r="YH506" s="457"/>
      <c r="YI506" s="457"/>
      <c r="YJ506" s="457"/>
      <c r="YK506" s="457"/>
      <c r="YL506" s="457"/>
      <c r="YM506" s="457"/>
      <c r="YN506" s="457"/>
      <c r="YO506" s="457"/>
      <c r="YP506" s="457"/>
      <c r="YQ506" s="457"/>
      <c r="YR506" s="457"/>
      <c r="YS506" s="457"/>
      <c r="YT506" s="457"/>
      <c r="YU506" s="457"/>
      <c r="YV506" s="457"/>
      <c r="YW506" s="457"/>
      <c r="YX506" s="457"/>
      <c r="YY506" s="457"/>
      <c r="YZ506" s="457"/>
      <c r="ZA506" s="457"/>
      <c r="ZB506" s="457"/>
      <c r="ZC506" s="457"/>
      <c r="ZD506" s="457"/>
      <c r="ZE506" s="457"/>
      <c r="ZF506" s="457"/>
      <c r="ZG506" s="457"/>
      <c r="ZH506" s="457"/>
      <c r="ZI506" s="457"/>
      <c r="ZJ506" s="457"/>
      <c r="ZK506" s="457"/>
      <c r="ZL506" s="457"/>
      <c r="ZM506" s="457"/>
      <c r="ZN506" s="457"/>
      <c r="ZO506" s="457"/>
      <c r="ZP506" s="457"/>
      <c r="ZQ506" s="457"/>
      <c r="ZR506" s="457"/>
      <c r="ZS506" s="457"/>
      <c r="ZT506" s="457"/>
      <c r="ZU506" s="457"/>
      <c r="ZV506" s="457"/>
      <c r="ZW506" s="457"/>
      <c r="ZX506" s="457"/>
      <c r="ZY506" s="457"/>
      <c r="ZZ506" s="457"/>
      <c r="AAA506" s="457"/>
      <c r="AAB506" s="457"/>
      <c r="AAC506" s="457"/>
      <c r="AAD506" s="457"/>
      <c r="AAE506" s="457"/>
      <c r="AAF506" s="457"/>
      <c r="AAG506" s="457"/>
      <c r="AAH506" s="457"/>
      <c r="AAI506" s="457"/>
      <c r="AAJ506" s="457"/>
      <c r="AAK506" s="457"/>
      <c r="AAL506" s="457"/>
      <c r="AAM506" s="457"/>
      <c r="AAN506" s="457"/>
      <c r="AAO506" s="457"/>
      <c r="AAP506" s="457"/>
      <c r="AAQ506" s="457"/>
      <c r="AAR506" s="457"/>
      <c r="AAS506" s="457"/>
      <c r="AAT506" s="457"/>
      <c r="AAU506" s="457"/>
      <c r="AAV506" s="457"/>
      <c r="AAW506" s="457"/>
      <c r="AAX506" s="457"/>
      <c r="AAY506" s="457"/>
      <c r="AAZ506" s="457"/>
      <c r="ABA506" s="457"/>
      <c r="ABB506" s="457"/>
      <c r="ABC506" s="457"/>
      <c r="ABD506" s="457"/>
      <c r="ABE506" s="457"/>
      <c r="ABF506" s="457"/>
      <c r="ABG506" s="457"/>
      <c r="ABH506" s="457"/>
      <c r="ABI506" s="457"/>
      <c r="ABJ506" s="457"/>
      <c r="ABK506" s="457"/>
      <c r="ABL506" s="457"/>
      <c r="ABM506" s="457"/>
      <c r="ABN506" s="457"/>
      <c r="ABO506" s="457"/>
      <c r="ABP506" s="457"/>
      <c r="ABQ506" s="457"/>
      <c r="ABR506" s="457"/>
      <c r="ABS506" s="457"/>
      <c r="ABT506" s="457"/>
      <c r="ABU506" s="457"/>
      <c r="ABV506" s="457"/>
      <c r="ABW506" s="457"/>
      <c r="ABX506" s="457"/>
      <c r="ABY506" s="457"/>
      <c r="ABZ506" s="457"/>
      <c r="ACA506" s="457"/>
      <c r="ACB506" s="457"/>
      <c r="ACC506" s="457"/>
      <c r="ACD506" s="457"/>
      <c r="ACE506" s="457"/>
      <c r="ACF506" s="457"/>
      <c r="ACG506" s="457"/>
      <c r="ACH506" s="457"/>
      <c r="ACI506" s="457"/>
      <c r="ACJ506" s="457"/>
      <c r="ACK506" s="457"/>
      <c r="ACL506" s="457"/>
      <c r="ACM506" s="457"/>
      <c r="ACN506" s="457"/>
      <c r="ACO506" s="457"/>
      <c r="ACP506" s="457"/>
      <c r="ACQ506" s="457"/>
      <c r="ACR506" s="457"/>
      <c r="ACS506" s="457"/>
      <c r="ACT506" s="457"/>
      <c r="ACU506" s="457"/>
      <c r="ACV506" s="457"/>
    </row>
    <row r="507" spans="1:776" s="400" customFormat="1" x14ac:dyDescent="0.25">
      <c r="A507" s="43">
        <v>900212</v>
      </c>
      <c r="B507" s="404" t="str">
        <f t="shared" si="13"/>
        <v>-41,52/+41,22  (EC  40,5)</v>
      </c>
      <c r="C507" s="236"/>
      <c r="D507" s="43">
        <v>8.01</v>
      </c>
      <c r="E507" s="34">
        <v>4.05</v>
      </c>
      <c r="F507" s="39">
        <v>24.7</v>
      </c>
      <c r="G507" s="34">
        <v>0</v>
      </c>
      <c r="H507" s="34">
        <v>0.2</v>
      </c>
      <c r="I507" s="41">
        <v>1139</v>
      </c>
      <c r="J507" s="34">
        <v>199</v>
      </c>
      <c r="K507" s="34">
        <v>0.2142</v>
      </c>
      <c r="L507" s="34">
        <v>298</v>
      </c>
      <c r="M507" s="34">
        <v>0</v>
      </c>
      <c r="N507" s="34">
        <v>2.33</v>
      </c>
      <c r="O507" s="34">
        <v>296.32</v>
      </c>
      <c r="P507" s="34">
        <v>362.72</v>
      </c>
      <c r="Q507" s="34">
        <v>121.47</v>
      </c>
      <c r="R507" s="34">
        <v>0.01</v>
      </c>
      <c r="S507" s="397">
        <v>1.0000000000000001E-5</v>
      </c>
      <c r="T507" s="397">
        <v>1.0000000000000001E-5</v>
      </c>
      <c r="U507" s="397">
        <v>1.0000000000000001E-5</v>
      </c>
      <c r="V507" s="397">
        <v>1.0000000000000001E-5</v>
      </c>
      <c r="W507" s="403"/>
      <c r="X507" s="403"/>
      <c r="Y507" s="403"/>
      <c r="Z507" s="403"/>
      <c r="AA507" s="403"/>
      <c r="AB507" s="403"/>
      <c r="AC507" s="403"/>
      <c r="AD507" s="403"/>
      <c r="AE507" s="403"/>
      <c r="AF507" s="403"/>
      <c r="AG507" s="403"/>
      <c r="AH507" s="403"/>
      <c r="AI507" s="403"/>
      <c r="AJ507" s="403"/>
      <c r="AK507" s="403"/>
      <c r="AL507" s="403"/>
      <c r="AM507" s="403"/>
      <c r="AN507" s="403"/>
      <c r="AO507" s="403"/>
      <c r="AP507" s="403"/>
      <c r="AQ507" s="403"/>
      <c r="AR507" s="403"/>
      <c r="AS507" s="403"/>
      <c r="AT507" s="403"/>
      <c r="AU507" s="403"/>
      <c r="AV507" s="403"/>
      <c r="AW507" s="403"/>
      <c r="AX507" s="403"/>
      <c r="AY507" s="403"/>
      <c r="AZ507" s="403"/>
      <c r="BA507" s="403"/>
      <c r="BB507" s="403"/>
      <c r="BC507" s="403"/>
      <c r="BD507" s="403"/>
      <c r="BE507" s="403"/>
      <c r="BF507" s="403"/>
      <c r="BG507" s="403"/>
      <c r="BH507" s="403"/>
      <c r="BI507" s="403"/>
      <c r="BJ507" s="403"/>
      <c r="BK507" s="403"/>
      <c r="BL507" s="403"/>
      <c r="BM507" s="403"/>
      <c r="BN507" s="403"/>
      <c r="BO507" s="403"/>
      <c r="BP507" s="403"/>
      <c r="BQ507" s="403"/>
      <c r="BR507" s="403"/>
      <c r="BS507" s="403"/>
      <c r="BT507" s="403"/>
      <c r="BU507" s="403"/>
      <c r="BV507" s="403"/>
      <c r="BW507" s="403"/>
      <c r="BX507" s="403"/>
      <c r="BY507" s="403"/>
      <c r="BZ507" s="403"/>
      <c r="CA507" s="403"/>
      <c r="CB507" s="403"/>
      <c r="CC507" s="403"/>
      <c r="CD507" s="403"/>
      <c r="CE507" s="403"/>
      <c r="CF507" s="403"/>
      <c r="CG507" s="403"/>
      <c r="CH507" s="403"/>
      <c r="CI507" s="403"/>
      <c r="CJ507" s="403"/>
      <c r="CK507" s="403"/>
      <c r="CL507" s="403"/>
      <c r="CM507" s="403"/>
      <c r="CN507" s="403"/>
      <c r="CO507" s="403"/>
      <c r="CP507" s="403"/>
      <c r="CQ507" s="403"/>
      <c r="CR507" s="403"/>
      <c r="CS507" s="403"/>
      <c r="CT507" s="403"/>
      <c r="CU507" s="403"/>
      <c r="CV507" s="403"/>
      <c r="CW507" s="403"/>
      <c r="CX507" s="403"/>
      <c r="CY507" s="403"/>
      <c r="CZ507" s="403"/>
      <c r="DA507" s="403"/>
      <c r="DB507" s="403"/>
      <c r="DC507" s="403"/>
      <c r="DD507" s="403"/>
      <c r="DE507" s="403"/>
      <c r="DF507" s="403"/>
      <c r="DG507" s="403"/>
      <c r="DH507" s="403"/>
      <c r="DI507" s="403"/>
      <c r="DJ507" s="403"/>
      <c r="DK507" s="403"/>
      <c r="DL507" s="403"/>
      <c r="DM507" s="403"/>
      <c r="DN507" s="403"/>
      <c r="DO507" s="403"/>
      <c r="DP507" s="403"/>
      <c r="DQ507" s="403"/>
      <c r="DR507" s="403"/>
      <c r="DS507" s="403"/>
      <c r="DT507" s="403"/>
      <c r="DU507" s="403"/>
      <c r="DV507" s="403"/>
      <c r="DW507" s="403"/>
      <c r="DX507" s="403"/>
      <c r="DY507" s="403"/>
      <c r="DZ507" s="403"/>
      <c r="EA507" s="403"/>
      <c r="EB507" s="403"/>
      <c r="EC507" s="403"/>
      <c r="ED507" s="403"/>
      <c r="EE507" s="403"/>
      <c r="EF507" s="403"/>
      <c r="EG507" s="403"/>
      <c r="EH507" s="403"/>
      <c r="EI507" s="403"/>
      <c r="EJ507" s="403"/>
      <c r="EK507" s="403"/>
      <c r="EL507" s="403"/>
      <c r="EM507" s="403"/>
      <c r="EN507" s="403"/>
      <c r="EO507" s="403"/>
      <c r="EP507" s="403"/>
      <c r="EQ507" s="403"/>
      <c r="ER507" s="403"/>
      <c r="ES507" s="403"/>
      <c r="ET507" s="403"/>
      <c r="EU507" s="403"/>
      <c r="EV507" s="403"/>
      <c r="EW507" s="403"/>
      <c r="EX507" s="403"/>
      <c r="EY507" s="403"/>
      <c r="EZ507" s="403"/>
      <c r="FA507" s="403"/>
      <c r="FB507" s="403"/>
      <c r="FC507" s="403"/>
      <c r="FD507" s="403"/>
      <c r="FE507" s="403"/>
      <c r="FF507" s="403"/>
      <c r="FG507" s="403"/>
      <c r="FH507" s="403"/>
      <c r="FI507" s="403"/>
      <c r="FJ507" s="403"/>
      <c r="FK507" s="403"/>
      <c r="FL507" s="403"/>
      <c r="FM507" s="403"/>
      <c r="FN507" s="403"/>
      <c r="FO507" s="403"/>
      <c r="FP507" s="403"/>
      <c r="FQ507" s="403"/>
      <c r="FR507" s="403"/>
      <c r="FS507" s="403"/>
      <c r="FT507" s="403"/>
      <c r="FU507" s="403"/>
      <c r="FV507" s="403"/>
      <c r="FW507" s="403"/>
      <c r="FX507" s="403"/>
      <c r="FY507" s="403"/>
      <c r="FZ507" s="403"/>
      <c r="GA507" s="403"/>
      <c r="GB507" s="403"/>
      <c r="GC507" s="403"/>
      <c r="GD507" s="403"/>
      <c r="GE507" s="403"/>
      <c r="GF507" s="403"/>
      <c r="GG507" s="403"/>
      <c r="GH507" s="403"/>
      <c r="GI507" s="403"/>
      <c r="GJ507" s="403"/>
      <c r="GK507" s="403"/>
      <c r="GL507" s="403"/>
      <c r="GM507" s="403"/>
      <c r="GN507" s="403"/>
      <c r="GO507" s="403"/>
      <c r="GP507" s="403"/>
      <c r="GQ507" s="403"/>
      <c r="GR507" s="403"/>
      <c r="GS507" s="403"/>
      <c r="GT507" s="403"/>
      <c r="GU507" s="403"/>
      <c r="GV507" s="403"/>
      <c r="GW507" s="403"/>
      <c r="GX507" s="403"/>
      <c r="GY507" s="403"/>
      <c r="GZ507" s="403"/>
      <c r="HA507" s="403"/>
      <c r="HB507" s="403"/>
      <c r="HC507" s="403"/>
      <c r="HD507" s="403"/>
      <c r="HE507" s="403"/>
      <c r="HF507" s="403"/>
      <c r="HG507" s="403"/>
      <c r="HH507" s="403"/>
      <c r="HI507" s="403"/>
      <c r="HJ507" s="403"/>
      <c r="HK507" s="403"/>
      <c r="HL507" s="403"/>
      <c r="HM507" s="403"/>
      <c r="HN507" s="403"/>
      <c r="HO507" s="403"/>
      <c r="HP507" s="403"/>
      <c r="HQ507" s="403"/>
      <c r="HR507" s="403"/>
      <c r="HS507" s="403"/>
      <c r="HT507" s="403"/>
      <c r="HU507" s="403"/>
      <c r="HV507" s="403"/>
      <c r="HW507" s="403"/>
      <c r="HX507" s="403"/>
      <c r="HY507" s="403"/>
      <c r="HZ507" s="403"/>
      <c r="IA507" s="403"/>
      <c r="IB507" s="403"/>
      <c r="IC507" s="403"/>
      <c r="ID507" s="403"/>
      <c r="IE507" s="403"/>
      <c r="IF507" s="403"/>
      <c r="IG507" s="403"/>
      <c r="IH507" s="403"/>
      <c r="II507" s="403"/>
      <c r="IJ507" s="403"/>
      <c r="IK507" s="403"/>
      <c r="IL507" s="403"/>
      <c r="IM507" s="403"/>
      <c r="IN507" s="403"/>
      <c r="IO507" s="403"/>
      <c r="IP507" s="403"/>
      <c r="IQ507" s="403"/>
      <c r="IR507" s="403"/>
      <c r="IS507" s="403"/>
      <c r="IT507" s="403"/>
      <c r="IU507" s="403"/>
      <c r="IV507" s="403"/>
      <c r="IW507" s="403"/>
      <c r="IX507" s="403"/>
      <c r="IY507" s="403"/>
      <c r="IZ507" s="403"/>
      <c r="JA507" s="403"/>
      <c r="JB507" s="403"/>
      <c r="JC507" s="403"/>
      <c r="JD507" s="403"/>
      <c r="JE507" s="403"/>
      <c r="JF507" s="403"/>
      <c r="JG507" s="403"/>
      <c r="JH507" s="403"/>
      <c r="JI507" s="403"/>
      <c r="JJ507" s="403"/>
      <c r="JK507" s="403"/>
      <c r="JL507" s="403"/>
      <c r="JM507" s="403"/>
      <c r="JN507" s="403"/>
      <c r="JO507" s="403"/>
      <c r="JP507" s="403"/>
      <c r="JQ507" s="403"/>
      <c r="JR507" s="403"/>
      <c r="JS507" s="403"/>
      <c r="JT507" s="403"/>
      <c r="JU507" s="403"/>
      <c r="JV507" s="403"/>
      <c r="JW507" s="403"/>
      <c r="JX507" s="403"/>
      <c r="JY507" s="403"/>
      <c r="JZ507" s="403"/>
      <c r="KA507" s="403"/>
      <c r="KB507" s="403"/>
      <c r="KC507" s="403"/>
      <c r="KD507" s="403"/>
      <c r="KE507" s="403"/>
      <c r="KF507" s="403"/>
      <c r="KG507" s="403"/>
      <c r="KH507" s="403"/>
      <c r="KI507" s="403"/>
      <c r="KJ507" s="403"/>
      <c r="KK507" s="403"/>
      <c r="KL507" s="403"/>
      <c r="KM507" s="403"/>
      <c r="KN507" s="403"/>
      <c r="KO507" s="403"/>
      <c r="KP507" s="403"/>
      <c r="KQ507" s="403"/>
      <c r="KR507" s="403"/>
      <c r="KS507" s="403"/>
      <c r="KT507" s="403"/>
      <c r="KU507" s="403"/>
      <c r="KV507" s="403"/>
      <c r="KW507" s="403"/>
      <c r="KX507" s="403"/>
      <c r="KY507" s="403"/>
      <c r="KZ507" s="403"/>
      <c r="LA507" s="403"/>
      <c r="LB507" s="403"/>
      <c r="LC507" s="403"/>
      <c r="LD507" s="403"/>
      <c r="LE507" s="403"/>
      <c r="LF507" s="403"/>
      <c r="LG507" s="403"/>
      <c r="LH507" s="403"/>
      <c r="LI507" s="403"/>
      <c r="LJ507" s="403"/>
      <c r="LK507" s="403"/>
      <c r="LL507" s="403"/>
      <c r="LM507" s="403"/>
      <c r="LN507" s="403"/>
      <c r="LO507" s="403"/>
      <c r="LP507" s="403"/>
      <c r="LQ507" s="403"/>
      <c r="LR507" s="403"/>
      <c r="LS507" s="403"/>
      <c r="LT507" s="403"/>
      <c r="LU507" s="403"/>
      <c r="LV507" s="403"/>
      <c r="LW507" s="403"/>
      <c r="LX507" s="403"/>
      <c r="LY507" s="403"/>
      <c r="LZ507" s="403"/>
      <c r="MA507" s="403"/>
      <c r="MB507" s="403"/>
      <c r="MC507" s="403"/>
      <c r="MD507" s="403"/>
      <c r="ME507" s="403"/>
      <c r="MF507" s="403"/>
      <c r="MG507" s="403"/>
      <c r="MH507" s="403"/>
      <c r="MI507" s="403"/>
      <c r="MJ507" s="403"/>
      <c r="MK507" s="403"/>
      <c r="ML507" s="403"/>
      <c r="MM507" s="403"/>
      <c r="MN507" s="403"/>
      <c r="MO507" s="403"/>
      <c r="MP507" s="403"/>
      <c r="MQ507" s="403"/>
      <c r="MR507" s="403"/>
      <c r="MS507" s="403"/>
      <c r="MT507" s="403"/>
      <c r="MU507" s="403"/>
      <c r="MV507" s="403"/>
      <c r="MW507" s="403"/>
      <c r="MX507" s="403"/>
      <c r="MY507" s="403"/>
      <c r="MZ507" s="403"/>
      <c r="NA507" s="403"/>
      <c r="NB507" s="403"/>
      <c r="NC507" s="403"/>
      <c r="ND507" s="403"/>
      <c r="NE507" s="403"/>
      <c r="NF507" s="403"/>
      <c r="NG507" s="403"/>
      <c r="NH507" s="403"/>
      <c r="NI507" s="403"/>
      <c r="NJ507" s="403"/>
      <c r="NK507" s="403"/>
      <c r="NL507" s="403"/>
      <c r="NM507" s="403"/>
      <c r="NN507" s="403"/>
      <c r="NO507" s="403"/>
      <c r="NP507" s="403"/>
      <c r="NQ507" s="403"/>
      <c r="NR507" s="403"/>
      <c r="NS507" s="403"/>
      <c r="NT507" s="403"/>
      <c r="NU507" s="403"/>
      <c r="NV507" s="403"/>
      <c r="NW507" s="403"/>
      <c r="NX507" s="403"/>
      <c r="NY507" s="403"/>
      <c r="NZ507" s="403"/>
      <c r="OA507" s="403"/>
      <c r="OB507" s="403"/>
      <c r="OC507" s="403"/>
      <c r="OD507" s="403"/>
      <c r="OE507" s="403"/>
      <c r="OF507" s="403"/>
      <c r="OG507" s="403"/>
      <c r="OH507" s="403"/>
      <c r="OI507" s="403"/>
      <c r="OJ507" s="403"/>
      <c r="OK507" s="403"/>
      <c r="OL507" s="403"/>
      <c r="OM507" s="403"/>
      <c r="ON507" s="403"/>
      <c r="OO507" s="403"/>
      <c r="OP507" s="403"/>
      <c r="OQ507" s="403"/>
      <c r="OR507" s="403"/>
      <c r="OS507" s="403"/>
      <c r="OT507" s="403"/>
      <c r="OU507" s="403"/>
      <c r="OV507" s="403"/>
      <c r="OW507" s="403"/>
      <c r="OX507" s="403"/>
      <c r="OY507" s="403"/>
      <c r="OZ507" s="403"/>
      <c r="PA507" s="403"/>
      <c r="PB507" s="403"/>
      <c r="PC507" s="403"/>
      <c r="PD507" s="403"/>
      <c r="PE507" s="403"/>
      <c r="PF507" s="403"/>
      <c r="PG507" s="403"/>
      <c r="PH507" s="403"/>
      <c r="PI507" s="403"/>
      <c r="PJ507" s="403"/>
      <c r="PK507" s="403"/>
      <c r="PL507" s="403"/>
      <c r="PM507" s="403"/>
      <c r="PN507" s="403"/>
      <c r="PO507" s="403"/>
      <c r="PP507" s="403"/>
      <c r="PQ507" s="403"/>
      <c r="PR507" s="403"/>
      <c r="PS507" s="403"/>
      <c r="PT507" s="403"/>
      <c r="PU507" s="403"/>
      <c r="PV507" s="403"/>
      <c r="PW507" s="403"/>
      <c r="PX507" s="403"/>
      <c r="PY507" s="403"/>
      <c r="PZ507" s="403"/>
      <c r="QA507" s="403"/>
      <c r="QB507" s="403"/>
      <c r="QC507" s="403"/>
      <c r="QD507" s="403"/>
      <c r="QE507" s="403"/>
      <c r="QF507" s="403"/>
      <c r="QG507" s="403"/>
      <c r="QH507" s="403"/>
      <c r="QI507" s="403"/>
      <c r="QJ507" s="403"/>
      <c r="QK507" s="403"/>
      <c r="QL507" s="403"/>
      <c r="QM507" s="403"/>
      <c r="QN507" s="403"/>
      <c r="QO507" s="403"/>
      <c r="QP507" s="403"/>
      <c r="QQ507" s="403"/>
      <c r="QR507" s="403"/>
      <c r="QS507" s="403"/>
      <c r="QT507" s="403"/>
      <c r="QU507" s="403"/>
      <c r="QV507" s="403"/>
      <c r="QW507" s="403"/>
      <c r="QX507" s="403"/>
      <c r="QY507" s="403"/>
      <c r="QZ507" s="403"/>
      <c r="RA507" s="403"/>
      <c r="RB507" s="403"/>
      <c r="RC507" s="403"/>
      <c r="RD507" s="403"/>
      <c r="RE507" s="403"/>
      <c r="RF507" s="403"/>
      <c r="RG507" s="403"/>
      <c r="RH507" s="403"/>
      <c r="RI507" s="403"/>
      <c r="RJ507" s="403"/>
      <c r="RK507" s="403"/>
      <c r="RL507" s="403"/>
      <c r="RM507" s="403"/>
      <c r="RN507" s="403"/>
      <c r="RO507" s="403"/>
      <c r="RP507" s="403"/>
      <c r="RQ507" s="403"/>
      <c r="RR507" s="403"/>
      <c r="RS507" s="403"/>
      <c r="RT507" s="403"/>
      <c r="RU507" s="403"/>
      <c r="RV507" s="403"/>
      <c r="RW507" s="403"/>
      <c r="RX507" s="403"/>
      <c r="RY507" s="403"/>
      <c r="RZ507" s="403"/>
      <c r="SA507" s="403"/>
      <c r="SB507" s="403"/>
      <c r="SC507" s="403"/>
      <c r="SD507" s="403"/>
      <c r="SE507" s="403"/>
      <c r="SF507" s="403"/>
      <c r="SG507" s="403"/>
      <c r="SH507" s="403"/>
      <c r="SI507" s="403"/>
      <c r="SJ507" s="403"/>
      <c r="SK507" s="403"/>
      <c r="SL507" s="403"/>
      <c r="SM507" s="403"/>
      <c r="SN507" s="403"/>
      <c r="SO507" s="403"/>
      <c r="SP507" s="403"/>
      <c r="SQ507" s="403"/>
      <c r="SR507" s="403"/>
      <c r="SS507" s="403"/>
      <c r="ST507" s="403"/>
      <c r="SU507" s="403"/>
      <c r="SV507" s="403"/>
      <c r="SW507" s="403"/>
      <c r="SX507" s="403"/>
      <c r="SY507" s="403"/>
      <c r="SZ507" s="403"/>
      <c r="TA507" s="403"/>
      <c r="TB507" s="403"/>
      <c r="TC507" s="403"/>
      <c r="TD507" s="403"/>
      <c r="TE507" s="403"/>
      <c r="TF507" s="403"/>
      <c r="TG507" s="403"/>
      <c r="TH507" s="403"/>
      <c r="TI507" s="403"/>
      <c r="TJ507" s="403"/>
      <c r="TK507" s="403"/>
      <c r="TL507" s="403"/>
      <c r="TM507" s="403"/>
      <c r="TN507" s="403"/>
      <c r="TO507" s="403"/>
      <c r="TP507" s="403"/>
      <c r="TQ507" s="403"/>
      <c r="TR507" s="403"/>
      <c r="TS507" s="403"/>
      <c r="TT507" s="403"/>
      <c r="TU507" s="403"/>
      <c r="TV507" s="403"/>
      <c r="TW507" s="403"/>
      <c r="TX507" s="403"/>
      <c r="TY507" s="403"/>
      <c r="TZ507" s="403"/>
      <c r="UA507" s="403"/>
      <c r="UB507" s="403"/>
      <c r="UC507" s="403"/>
      <c r="UD507" s="403"/>
      <c r="UE507" s="403"/>
      <c r="UF507" s="403"/>
      <c r="UG507" s="403"/>
      <c r="UH507" s="403"/>
      <c r="UI507" s="403"/>
      <c r="UJ507" s="403"/>
      <c r="UK507" s="403"/>
      <c r="UL507" s="403"/>
      <c r="UM507" s="403"/>
      <c r="UN507" s="403"/>
      <c r="UO507" s="403"/>
      <c r="UP507" s="403"/>
      <c r="UQ507" s="403"/>
      <c r="UR507" s="403"/>
      <c r="US507" s="403"/>
      <c r="UT507" s="403"/>
      <c r="UU507" s="403"/>
      <c r="UV507" s="403"/>
      <c r="UW507" s="403"/>
      <c r="UX507" s="403"/>
      <c r="UY507" s="403"/>
      <c r="UZ507" s="403"/>
      <c r="VA507" s="403"/>
      <c r="VB507" s="403"/>
      <c r="VC507" s="403"/>
      <c r="VD507" s="403"/>
      <c r="VE507" s="403"/>
      <c r="VF507" s="403"/>
      <c r="VG507" s="403"/>
      <c r="VH507" s="403"/>
      <c r="VI507" s="403"/>
      <c r="VJ507" s="403"/>
      <c r="VK507" s="403"/>
      <c r="VL507" s="403"/>
      <c r="VM507" s="403"/>
      <c r="VN507" s="403"/>
      <c r="VO507" s="403"/>
      <c r="VP507" s="403"/>
      <c r="VQ507" s="403"/>
      <c r="VR507" s="403"/>
      <c r="VS507" s="403"/>
      <c r="VT507" s="403"/>
      <c r="VU507" s="403"/>
      <c r="VV507" s="403"/>
      <c r="VW507" s="403"/>
      <c r="VX507" s="403"/>
      <c r="VY507" s="403"/>
      <c r="VZ507" s="403"/>
      <c r="WA507" s="403"/>
      <c r="WB507" s="403"/>
      <c r="WC507" s="403"/>
      <c r="WD507" s="403"/>
      <c r="WE507" s="403"/>
      <c r="WF507" s="403"/>
      <c r="WG507" s="403"/>
      <c r="WH507" s="403"/>
      <c r="WI507" s="403"/>
      <c r="WJ507" s="403"/>
      <c r="WK507" s="403"/>
      <c r="WL507" s="403"/>
      <c r="WM507" s="403"/>
      <c r="WN507" s="403"/>
      <c r="WO507" s="403"/>
      <c r="WP507" s="403"/>
      <c r="WQ507" s="403"/>
      <c r="WR507" s="403"/>
      <c r="WS507" s="403"/>
      <c r="WT507" s="403"/>
      <c r="WU507" s="403"/>
      <c r="WV507" s="403"/>
      <c r="WW507" s="403"/>
      <c r="WX507" s="403"/>
      <c r="WY507" s="403"/>
      <c r="WZ507" s="403"/>
      <c r="XA507" s="403"/>
      <c r="XB507" s="403"/>
      <c r="XC507" s="403"/>
      <c r="XD507" s="403"/>
      <c r="XE507" s="403"/>
      <c r="XF507" s="403"/>
      <c r="XG507" s="403"/>
      <c r="XH507" s="403"/>
      <c r="XI507" s="403"/>
      <c r="XJ507" s="403"/>
      <c r="XK507" s="403"/>
      <c r="XL507" s="403"/>
      <c r="XM507" s="403"/>
      <c r="XN507" s="403"/>
      <c r="XO507" s="403"/>
      <c r="XP507" s="403"/>
      <c r="XQ507" s="403"/>
      <c r="XR507" s="403"/>
      <c r="XS507" s="403"/>
      <c r="XT507" s="403"/>
      <c r="XU507" s="403"/>
      <c r="XV507" s="403"/>
      <c r="XW507" s="403"/>
      <c r="XX507" s="403"/>
      <c r="XY507" s="403"/>
      <c r="XZ507" s="403"/>
      <c r="YA507" s="403"/>
      <c r="YB507" s="403"/>
      <c r="YC507" s="403"/>
      <c r="YD507" s="403"/>
      <c r="YE507" s="403"/>
      <c r="YF507" s="403"/>
      <c r="YG507" s="403"/>
      <c r="YH507" s="403"/>
      <c r="YI507" s="403"/>
      <c r="YJ507" s="403"/>
      <c r="YK507" s="403"/>
      <c r="YL507" s="403"/>
      <c r="YM507" s="403"/>
      <c r="YN507" s="403"/>
      <c r="YO507" s="403"/>
      <c r="YP507" s="403"/>
      <c r="YQ507" s="403"/>
      <c r="YR507" s="403"/>
      <c r="YS507" s="403"/>
      <c r="YT507" s="403"/>
      <c r="YU507" s="403"/>
      <c r="YV507" s="403"/>
      <c r="YW507" s="403"/>
      <c r="YX507" s="403"/>
      <c r="YY507" s="403"/>
      <c r="YZ507" s="403"/>
      <c r="ZA507" s="403"/>
      <c r="ZB507" s="403"/>
      <c r="ZC507" s="403"/>
      <c r="ZD507" s="403"/>
      <c r="ZE507" s="403"/>
      <c r="ZF507" s="403"/>
      <c r="ZG507" s="403"/>
      <c r="ZH507" s="403"/>
      <c r="ZI507" s="403"/>
      <c r="ZJ507" s="403"/>
      <c r="ZK507" s="403"/>
      <c r="ZL507" s="403"/>
      <c r="ZM507" s="403"/>
      <c r="ZN507" s="403"/>
      <c r="ZO507" s="403"/>
      <c r="ZP507" s="403"/>
      <c r="ZQ507" s="403"/>
      <c r="ZR507" s="403"/>
      <c r="ZS507" s="403"/>
      <c r="ZT507" s="403"/>
      <c r="ZU507" s="403"/>
      <c r="ZV507" s="403"/>
      <c r="ZW507" s="403"/>
      <c r="ZX507" s="403"/>
      <c r="ZY507" s="403"/>
      <c r="ZZ507" s="403"/>
      <c r="AAA507" s="403"/>
      <c r="AAB507" s="403"/>
      <c r="AAC507" s="403"/>
      <c r="AAD507" s="403"/>
      <c r="AAE507" s="403"/>
      <c r="AAF507" s="403"/>
      <c r="AAG507" s="403"/>
      <c r="AAH507" s="403"/>
      <c r="AAI507" s="403"/>
      <c r="AAJ507" s="403"/>
      <c r="AAK507" s="403"/>
      <c r="AAL507" s="403"/>
      <c r="AAM507" s="403"/>
      <c r="AAN507" s="403"/>
      <c r="AAO507" s="403"/>
      <c r="AAP507" s="403"/>
      <c r="AAQ507" s="403"/>
      <c r="AAR507" s="403"/>
      <c r="AAS507" s="403"/>
      <c r="AAT507" s="403"/>
      <c r="AAU507" s="403"/>
      <c r="AAV507" s="403"/>
      <c r="AAW507" s="403"/>
      <c r="AAX507" s="403"/>
      <c r="AAY507" s="403"/>
      <c r="AAZ507" s="403"/>
      <c r="ABA507" s="403"/>
      <c r="ABB507" s="403"/>
      <c r="ABC507" s="403"/>
      <c r="ABD507" s="403"/>
      <c r="ABE507" s="403"/>
      <c r="ABF507" s="403"/>
      <c r="ABG507" s="403"/>
      <c r="ABH507" s="403"/>
      <c r="ABI507" s="403"/>
      <c r="ABJ507" s="403"/>
      <c r="ABK507" s="403"/>
      <c r="ABL507" s="403"/>
      <c r="ABM507" s="403"/>
      <c r="ABN507" s="403"/>
      <c r="ABO507" s="403"/>
      <c r="ABP507" s="403"/>
      <c r="ABQ507" s="403"/>
      <c r="ABR507" s="403"/>
      <c r="ABS507" s="403"/>
      <c r="ABT507" s="403"/>
      <c r="ABU507" s="403"/>
      <c r="ABV507" s="403"/>
      <c r="ABW507" s="403"/>
      <c r="ABX507" s="403"/>
      <c r="ABY507" s="403"/>
      <c r="ABZ507" s="403"/>
      <c r="ACA507" s="403"/>
      <c r="ACB507" s="403"/>
      <c r="ACC507" s="403"/>
      <c r="ACD507" s="403"/>
      <c r="ACE507" s="403"/>
      <c r="ACF507" s="403"/>
      <c r="ACG507" s="403"/>
      <c r="ACH507" s="403"/>
      <c r="ACI507" s="403"/>
      <c r="ACJ507" s="403"/>
      <c r="ACK507" s="403"/>
      <c r="ACL507" s="403"/>
      <c r="ACM507" s="403"/>
      <c r="ACN507" s="403"/>
      <c r="ACO507" s="403"/>
      <c r="ACP507" s="403"/>
      <c r="ACQ507" s="403"/>
      <c r="ACR507" s="403"/>
      <c r="ACS507" s="403"/>
      <c r="ACT507" s="403"/>
      <c r="ACU507" s="403"/>
      <c r="ACV507" s="403"/>
    </row>
    <row r="508" spans="1:776" s="400" customFormat="1" x14ac:dyDescent="0.25">
      <c r="A508" s="470">
        <v>900213</v>
      </c>
      <c r="B508" s="404" t="str">
        <f t="shared" si="13"/>
        <v>-11,16/+10,46  (EC  10,5)</v>
      </c>
      <c r="C508" s="455"/>
      <c r="D508" s="470">
        <v>7.71</v>
      </c>
      <c r="E508" s="454">
        <v>1.05</v>
      </c>
      <c r="F508" s="458">
        <v>35.200000000000003</v>
      </c>
      <c r="G508" s="454">
        <v>0</v>
      </c>
      <c r="H508" s="454">
        <v>0.06</v>
      </c>
      <c r="I508" s="456">
        <v>105.75</v>
      </c>
      <c r="J508" s="454">
        <v>123.87</v>
      </c>
      <c r="K508" s="454">
        <v>0.27539999999999998</v>
      </c>
      <c r="L508" s="454">
        <v>306.8</v>
      </c>
      <c r="M508" s="454">
        <v>0</v>
      </c>
      <c r="N508" s="454">
        <v>9.92</v>
      </c>
      <c r="O508" s="454">
        <v>69.430000000000007</v>
      </c>
      <c r="P508" s="454">
        <v>111.24</v>
      </c>
      <c r="Q508" s="454">
        <v>19.489999999999998</v>
      </c>
      <c r="R508" s="397">
        <v>1.0000000000000001E-5</v>
      </c>
      <c r="S508" s="397">
        <v>1.0000000000000001E-5</v>
      </c>
      <c r="T508" s="397">
        <v>1.0000000000000001E-5</v>
      </c>
      <c r="U508" s="397">
        <v>1.0000000000000001E-5</v>
      </c>
      <c r="V508" s="397">
        <v>1.0000000000000001E-5</v>
      </c>
      <c r="W508" s="457"/>
      <c r="X508" s="457"/>
      <c r="Y508" s="457"/>
      <c r="Z508" s="457"/>
      <c r="AA508" s="457"/>
      <c r="AB508" s="457"/>
      <c r="AC508" s="457"/>
      <c r="AD508" s="457"/>
      <c r="AE508" s="457"/>
      <c r="AF508" s="457"/>
      <c r="AG508" s="457"/>
      <c r="AH508" s="457"/>
      <c r="AI508" s="457"/>
      <c r="AJ508" s="457"/>
      <c r="AK508" s="457"/>
      <c r="AL508" s="457"/>
      <c r="AM508" s="457"/>
      <c r="AN508" s="457"/>
      <c r="AO508" s="457"/>
      <c r="AP508" s="457"/>
      <c r="AQ508" s="457"/>
      <c r="AR508" s="457"/>
      <c r="AS508" s="457"/>
      <c r="AT508" s="457"/>
      <c r="AU508" s="457"/>
      <c r="AV508" s="457"/>
      <c r="AW508" s="457"/>
      <c r="AX508" s="457"/>
      <c r="AY508" s="457"/>
      <c r="AZ508" s="457"/>
      <c r="BA508" s="457"/>
      <c r="BB508" s="457"/>
      <c r="BC508" s="457"/>
      <c r="BD508" s="457"/>
      <c r="BE508" s="457"/>
      <c r="BF508" s="457"/>
      <c r="BG508" s="457"/>
      <c r="BH508" s="457"/>
      <c r="BI508" s="457"/>
      <c r="BJ508" s="457"/>
      <c r="BK508" s="457"/>
      <c r="BL508" s="457"/>
      <c r="BM508" s="457"/>
      <c r="BN508" s="457"/>
      <c r="BO508" s="457"/>
      <c r="BP508" s="457"/>
      <c r="BQ508" s="457"/>
      <c r="BR508" s="457"/>
      <c r="BS508" s="457"/>
      <c r="BT508" s="457"/>
      <c r="BU508" s="457"/>
      <c r="BV508" s="457"/>
      <c r="BW508" s="457"/>
      <c r="BX508" s="457"/>
      <c r="BY508" s="457"/>
      <c r="BZ508" s="457"/>
      <c r="CA508" s="457"/>
      <c r="CB508" s="457"/>
      <c r="CC508" s="457"/>
      <c r="CD508" s="457"/>
      <c r="CE508" s="457"/>
      <c r="CF508" s="457"/>
      <c r="CG508" s="457"/>
      <c r="CH508" s="457"/>
      <c r="CI508" s="457"/>
      <c r="CJ508" s="457"/>
      <c r="CK508" s="457"/>
      <c r="CL508" s="457"/>
      <c r="CM508" s="457"/>
      <c r="CN508" s="457"/>
      <c r="CO508" s="457"/>
      <c r="CP508" s="457"/>
      <c r="CQ508" s="457"/>
      <c r="CR508" s="457"/>
      <c r="CS508" s="457"/>
      <c r="CT508" s="457"/>
      <c r="CU508" s="457"/>
      <c r="CV508" s="457"/>
      <c r="CW508" s="457"/>
      <c r="CX508" s="457"/>
      <c r="CY508" s="457"/>
      <c r="CZ508" s="457"/>
      <c r="DA508" s="457"/>
      <c r="DB508" s="457"/>
      <c r="DC508" s="457"/>
      <c r="DD508" s="457"/>
      <c r="DE508" s="457"/>
      <c r="DF508" s="457"/>
      <c r="DG508" s="457"/>
      <c r="DH508" s="457"/>
      <c r="DI508" s="457"/>
      <c r="DJ508" s="457"/>
      <c r="DK508" s="457"/>
      <c r="DL508" s="457"/>
      <c r="DM508" s="457"/>
      <c r="DN508" s="457"/>
      <c r="DO508" s="457"/>
      <c r="DP508" s="457"/>
      <c r="DQ508" s="457"/>
      <c r="DR508" s="457"/>
      <c r="DS508" s="457"/>
      <c r="DT508" s="457"/>
      <c r="DU508" s="457"/>
      <c r="DV508" s="457"/>
      <c r="DW508" s="457"/>
      <c r="DX508" s="457"/>
      <c r="DY508" s="457"/>
      <c r="DZ508" s="457"/>
      <c r="EA508" s="457"/>
      <c r="EB508" s="457"/>
      <c r="EC508" s="457"/>
      <c r="ED508" s="457"/>
      <c r="EE508" s="457"/>
      <c r="EF508" s="457"/>
      <c r="EG508" s="457"/>
      <c r="EH508" s="457"/>
      <c r="EI508" s="457"/>
      <c r="EJ508" s="457"/>
      <c r="EK508" s="457"/>
      <c r="EL508" s="457"/>
      <c r="EM508" s="457"/>
      <c r="EN508" s="457"/>
      <c r="EO508" s="457"/>
      <c r="EP508" s="457"/>
      <c r="EQ508" s="457"/>
      <c r="ER508" s="457"/>
      <c r="ES508" s="457"/>
      <c r="ET508" s="457"/>
      <c r="EU508" s="457"/>
      <c r="EV508" s="457"/>
      <c r="EW508" s="457"/>
      <c r="EX508" s="457"/>
      <c r="EY508" s="457"/>
      <c r="EZ508" s="457"/>
      <c r="FA508" s="457"/>
      <c r="FB508" s="457"/>
      <c r="FC508" s="457"/>
      <c r="FD508" s="457"/>
      <c r="FE508" s="457"/>
      <c r="FF508" s="457"/>
      <c r="FG508" s="457"/>
      <c r="FH508" s="457"/>
      <c r="FI508" s="457"/>
      <c r="FJ508" s="457"/>
      <c r="FK508" s="457"/>
      <c r="FL508" s="457"/>
      <c r="FM508" s="457"/>
      <c r="FN508" s="457"/>
      <c r="FO508" s="457"/>
      <c r="FP508" s="457"/>
      <c r="FQ508" s="457"/>
      <c r="FR508" s="457"/>
      <c r="FS508" s="457"/>
      <c r="FT508" s="457"/>
      <c r="FU508" s="457"/>
      <c r="FV508" s="457"/>
      <c r="FW508" s="457"/>
      <c r="FX508" s="457"/>
      <c r="FY508" s="457"/>
      <c r="FZ508" s="457"/>
      <c r="GA508" s="457"/>
      <c r="GB508" s="457"/>
      <c r="GC508" s="457"/>
      <c r="GD508" s="457"/>
      <c r="GE508" s="457"/>
      <c r="GF508" s="457"/>
      <c r="GG508" s="457"/>
      <c r="GH508" s="457"/>
      <c r="GI508" s="457"/>
      <c r="GJ508" s="457"/>
      <c r="GK508" s="457"/>
      <c r="GL508" s="457"/>
      <c r="GM508" s="457"/>
      <c r="GN508" s="457"/>
      <c r="GO508" s="457"/>
      <c r="GP508" s="457"/>
      <c r="GQ508" s="457"/>
      <c r="GR508" s="457"/>
      <c r="GS508" s="457"/>
      <c r="GT508" s="457"/>
      <c r="GU508" s="457"/>
      <c r="GV508" s="457"/>
      <c r="GW508" s="457"/>
      <c r="GX508" s="457"/>
      <c r="GY508" s="457"/>
      <c r="GZ508" s="457"/>
      <c r="HA508" s="457"/>
      <c r="HB508" s="457"/>
      <c r="HC508" s="457"/>
      <c r="HD508" s="457"/>
      <c r="HE508" s="457"/>
      <c r="HF508" s="457"/>
      <c r="HG508" s="457"/>
      <c r="HH508" s="457"/>
      <c r="HI508" s="457"/>
      <c r="HJ508" s="457"/>
      <c r="HK508" s="457"/>
      <c r="HL508" s="457"/>
      <c r="HM508" s="457"/>
      <c r="HN508" s="457"/>
      <c r="HO508" s="457"/>
      <c r="HP508" s="457"/>
      <c r="HQ508" s="457"/>
      <c r="HR508" s="457"/>
      <c r="HS508" s="457"/>
      <c r="HT508" s="457"/>
      <c r="HU508" s="457"/>
      <c r="HV508" s="457"/>
      <c r="HW508" s="457"/>
      <c r="HX508" s="457"/>
      <c r="HY508" s="457"/>
      <c r="HZ508" s="457"/>
      <c r="IA508" s="457"/>
      <c r="IB508" s="457"/>
      <c r="IC508" s="457"/>
      <c r="ID508" s="457"/>
      <c r="IE508" s="457"/>
      <c r="IF508" s="457"/>
      <c r="IG508" s="457"/>
      <c r="IH508" s="457"/>
      <c r="II508" s="457"/>
      <c r="IJ508" s="457"/>
      <c r="IK508" s="457"/>
      <c r="IL508" s="457"/>
      <c r="IM508" s="457"/>
      <c r="IN508" s="457"/>
      <c r="IO508" s="457"/>
      <c r="IP508" s="457"/>
      <c r="IQ508" s="457"/>
      <c r="IR508" s="457"/>
      <c r="IS508" s="457"/>
      <c r="IT508" s="457"/>
      <c r="IU508" s="457"/>
      <c r="IV508" s="457"/>
      <c r="IW508" s="457"/>
      <c r="IX508" s="457"/>
      <c r="IY508" s="457"/>
      <c r="IZ508" s="457"/>
      <c r="JA508" s="457"/>
      <c r="JB508" s="457"/>
      <c r="JC508" s="457"/>
      <c r="JD508" s="457"/>
      <c r="JE508" s="457"/>
      <c r="JF508" s="457"/>
      <c r="JG508" s="457"/>
      <c r="JH508" s="457"/>
      <c r="JI508" s="457"/>
      <c r="JJ508" s="457"/>
      <c r="JK508" s="457"/>
      <c r="JL508" s="457"/>
      <c r="JM508" s="457"/>
      <c r="JN508" s="457"/>
      <c r="JO508" s="457"/>
      <c r="JP508" s="457"/>
      <c r="JQ508" s="457"/>
      <c r="JR508" s="457"/>
      <c r="JS508" s="457"/>
      <c r="JT508" s="457"/>
      <c r="JU508" s="457"/>
      <c r="JV508" s="457"/>
      <c r="JW508" s="457"/>
      <c r="JX508" s="457"/>
      <c r="JY508" s="457"/>
      <c r="JZ508" s="457"/>
      <c r="KA508" s="457"/>
      <c r="KB508" s="457"/>
      <c r="KC508" s="457"/>
      <c r="KD508" s="457"/>
      <c r="KE508" s="457"/>
      <c r="KF508" s="457"/>
      <c r="KG508" s="457"/>
      <c r="KH508" s="457"/>
      <c r="KI508" s="457"/>
      <c r="KJ508" s="457"/>
      <c r="KK508" s="457"/>
      <c r="KL508" s="457"/>
      <c r="KM508" s="457"/>
      <c r="KN508" s="457"/>
      <c r="KO508" s="457"/>
      <c r="KP508" s="457"/>
      <c r="KQ508" s="457"/>
      <c r="KR508" s="457"/>
      <c r="KS508" s="457"/>
      <c r="KT508" s="457"/>
      <c r="KU508" s="457"/>
      <c r="KV508" s="457"/>
      <c r="KW508" s="457"/>
      <c r="KX508" s="457"/>
      <c r="KY508" s="457"/>
      <c r="KZ508" s="457"/>
      <c r="LA508" s="457"/>
      <c r="LB508" s="457"/>
      <c r="LC508" s="457"/>
      <c r="LD508" s="457"/>
      <c r="LE508" s="457"/>
      <c r="LF508" s="457"/>
      <c r="LG508" s="457"/>
      <c r="LH508" s="457"/>
      <c r="LI508" s="457"/>
      <c r="LJ508" s="457"/>
      <c r="LK508" s="457"/>
      <c r="LL508" s="457"/>
      <c r="LM508" s="457"/>
      <c r="LN508" s="457"/>
      <c r="LO508" s="457"/>
      <c r="LP508" s="457"/>
      <c r="LQ508" s="457"/>
      <c r="LR508" s="457"/>
      <c r="LS508" s="457"/>
      <c r="LT508" s="457"/>
      <c r="LU508" s="457"/>
      <c r="LV508" s="457"/>
      <c r="LW508" s="457"/>
      <c r="LX508" s="457"/>
      <c r="LY508" s="457"/>
      <c r="LZ508" s="457"/>
      <c r="MA508" s="457"/>
      <c r="MB508" s="457"/>
      <c r="MC508" s="457"/>
      <c r="MD508" s="457"/>
      <c r="ME508" s="457"/>
      <c r="MF508" s="457"/>
      <c r="MG508" s="457"/>
      <c r="MH508" s="457"/>
      <c r="MI508" s="457"/>
      <c r="MJ508" s="457"/>
      <c r="MK508" s="457"/>
      <c r="ML508" s="457"/>
      <c r="MM508" s="457"/>
      <c r="MN508" s="457"/>
      <c r="MO508" s="457"/>
      <c r="MP508" s="457"/>
      <c r="MQ508" s="457"/>
      <c r="MR508" s="457"/>
      <c r="MS508" s="457"/>
      <c r="MT508" s="457"/>
      <c r="MU508" s="457"/>
      <c r="MV508" s="457"/>
      <c r="MW508" s="457"/>
      <c r="MX508" s="457"/>
      <c r="MY508" s="457"/>
      <c r="MZ508" s="457"/>
      <c r="NA508" s="457"/>
      <c r="NB508" s="457"/>
      <c r="NC508" s="457"/>
      <c r="ND508" s="457"/>
      <c r="NE508" s="457"/>
      <c r="NF508" s="457"/>
      <c r="NG508" s="457"/>
      <c r="NH508" s="457"/>
      <c r="NI508" s="457"/>
      <c r="NJ508" s="457"/>
      <c r="NK508" s="457"/>
      <c r="NL508" s="457"/>
      <c r="NM508" s="457"/>
      <c r="NN508" s="457"/>
      <c r="NO508" s="457"/>
      <c r="NP508" s="457"/>
      <c r="NQ508" s="457"/>
      <c r="NR508" s="457"/>
      <c r="NS508" s="457"/>
      <c r="NT508" s="457"/>
      <c r="NU508" s="457"/>
      <c r="NV508" s="457"/>
      <c r="NW508" s="457"/>
      <c r="NX508" s="457"/>
      <c r="NY508" s="457"/>
      <c r="NZ508" s="457"/>
      <c r="OA508" s="457"/>
      <c r="OB508" s="457"/>
      <c r="OC508" s="457"/>
      <c r="OD508" s="457"/>
      <c r="OE508" s="457"/>
      <c r="OF508" s="457"/>
      <c r="OG508" s="457"/>
      <c r="OH508" s="457"/>
      <c r="OI508" s="457"/>
      <c r="OJ508" s="457"/>
      <c r="OK508" s="457"/>
      <c r="OL508" s="457"/>
      <c r="OM508" s="457"/>
      <c r="ON508" s="457"/>
      <c r="OO508" s="457"/>
      <c r="OP508" s="457"/>
      <c r="OQ508" s="457"/>
      <c r="OR508" s="457"/>
      <c r="OS508" s="457"/>
      <c r="OT508" s="457"/>
      <c r="OU508" s="457"/>
      <c r="OV508" s="457"/>
      <c r="OW508" s="457"/>
      <c r="OX508" s="457"/>
      <c r="OY508" s="457"/>
      <c r="OZ508" s="457"/>
      <c r="PA508" s="457"/>
      <c r="PB508" s="457"/>
      <c r="PC508" s="457"/>
      <c r="PD508" s="457"/>
      <c r="PE508" s="457"/>
      <c r="PF508" s="457"/>
      <c r="PG508" s="457"/>
      <c r="PH508" s="457"/>
      <c r="PI508" s="457"/>
      <c r="PJ508" s="457"/>
      <c r="PK508" s="457"/>
      <c r="PL508" s="457"/>
      <c r="PM508" s="457"/>
      <c r="PN508" s="457"/>
      <c r="PO508" s="457"/>
      <c r="PP508" s="457"/>
      <c r="PQ508" s="457"/>
      <c r="PR508" s="457"/>
      <c r="PS508" s="457"/>
      <c r="PT508" s="457"/>
      <c r="PU508" s="457"/>
      <c r="PV508" s="457"/>
      <c r="PW508" s="457"/>
      <c r="PX508" s="457"/>
      <c r="PY508" s="457"/>
      <c r="PZ508" s="457"/>
      <c r="QA508" s="457"/>
      <c r="QB508" s="457"/>
      <c r="QC508" s="457"/>
      <c r="QD508" s="457"/>
      <c r="QE508" s="457"/>
      <c r="QF508" s="457"/>
      <c r="QG508" s="457"/>
      <c r="QH508" s="457"/>
      <c r="QI508" s="457"/>
      <c r="QJ508" s="457"/>
      <c r="QK508" s="457"/>
      <c r="QL508" s="457"/>
      <c r="QM508" s="457"/>
      <c r="QN508" s="457"/>
      <c r="QO508" s="457"/>
      <c r="QP508" s="457"/>
      <c r="QQ508" s="457"/>
      <c r="QR508" s="457"/>
      <c r="QS508" s="457"/>
      <c r="QT508" s="457"/>
      <c r="QU508" s="457"/>
      <c r="QV508" s="457"/>
      <c r="QW508" s="457"/>
      <c r="QX508" s="457"/>
      <c r="QY508" s="457"/>
      <c r="QZ508" s="457"/>
      <c r="RA508" s="457"/>
      <c r="RB508" s="457"/>
      <c r="RC508" s="457"/>
      <c r="RD508" s="457"/>
      <c r="RE508" s="457"/>
      <c r="RF508" s="457"/>
      <c r="RG508" s="457"/>
      <c r="RH508" s="457"/>
      <c r="RI508" s="457"/>
      <c r="RJ508" s="457"/>
      <c r="RK508" s="457"/>
      <c r="RL508" s="457"/>
      <c r="RM508" s="457"/>
      <c r="RN508" s="457"/>
      <c r="RO508" s="457"/>
      <c r="RP508" s="457"/>
      <c r="RQ508" s="457"/>
      <c r="RR508" s="457"/>
      <c r="RS508" s="457"/>
      <c r="RT508" s="457"/>
      <c r="RU508" s="457"/>
      <c r="RV508" s="457"/>
      <c r="RW508" s="457"/>
      <c r="RX508" s="457"/>
      <c r="RY508" s="457"/>
      <c r="RZ508" s="457"/>
      <c r="SA508" s="457"/>
      <c r="SB508" s="457"/>
      <c r="SC508" s="457"/>
      <c r="SD508" s="457"/>
      <c r="SE508" s="457"/>
      <c r="SF508" s="457"/>
      <c r="SG508" s="457"/>
      <c r="SH508" s="457"/>
      <c r="SI508" s="457"/>
      <c r="SJ508" s="457"/>
      <c r="SK508" s="457"/>
      <c r="SL508" s="457"/>
      <c r="SM508" s="457"/>
      <c r="SN508" s="457"/>
      <c r="SO508" s="457"/>
      <c r="SP508" s="457"/>
      <c r="SQ508" s="457"/>
      <c r="SR508" s="457"/>
      <c r="SS508" s="457"/>
      <c r="ST508" s="457"/>
      <c r="SU508" s="457"/>
      <c r="SV508" s="457"/>
      <c r="SW508" s="457"/>
      <c r="SX508" s="457"/>
      <c r="SY508" s="457"/>
      <c r="SZ508" s="457"/>
      <c r="TA508" s="457"/>
      <c r="TB508" s="457"/>
      <c r="TC508" s="457"/>
      <c r="TD508" s="457"/>
      <c r="TE508" s="457"/>
      <c r="TF508" s="457"/>
      <c r="TG508" s="457"/>
      <c r="TH508" s="457"/>
      <c r="TI508" s="457"/>
      <c r="TJ508" s="457"/>
      <c r="TK508" s="457"/>
      <c r="TL508" s="457"/>
      <c r="TM508" s="457"/>
      <c r="TN508" s="457"/>
      <c r="TO508" s="457"/>
      <c r="TP508" s="457"/>
      <c r="TQ508" s="457"/>
      <c r="TR508" s="457"/>
      <c r="TS508" s="457"/>
      <c r="TT508" s="457"/>
      <c r="TU508" s="457"/>
      <c r="TV508" s="457"/>
      <c r="TW508" s="457"/>
      <c r="TX508" s="457"/>
      <c r="TY508" s="457"/>
      <c r="TZ508" s="457"/>
      <c r="UA508" s="457"/>
      <c r="UB508" s="457"/>
      <c r="UC508" s="457"/>
      <c r="UD508" s="457"/>
      <c r="UE508" s="457"/>
      <c r="UF508" s="457"/>
      <c r="UG508" s="457"/>
      <c r="UH508" s="457"/>
      <c r="UI508" s="457"/>
      <c r="UJ508" s="457"/>
      <c r="UK508" s="457"/>
      <c r="UL508" s="457"/>
      <c r="UM508" s="457"/>
      <c r="UN508" s="457"/>
      <c r="UO508" s="457"/>
      <c r="UP508" s="457"/>
      <c r="UQ508" s="457"/>
      <c r="UR508" s="457"/>
      <c r="US508" s="457"/>
      <c r="UT508" s="457"/>
      <c r="UU508" s="457"/>
      <c r="UV508" s="457"/>
      <c r="UW508" s="457"/>
      <c r="UX508" s="457"/>
      <c r="UY508" s="457"/>
      <c r="UZ508" s="457"/>
      <c r="VA508" s="457"/>
      <c r="VB508" s="457"/>
      <c r="VC508" s="457"/>
      <c r="VD508" s="457"/>
      <c r="VE508" s="457"/>
      <c r="VF508" s="457"/>
      <c r="VG508" s="457"/>
      <c r="VH508" s="457"/>
      <c r="VI508" s="457"/>
      <c r="VJ508" s="457"/>
      <c r="VK508" s="457"/>
      <c r="VL508" s="457"/>
      <c r="VM508" s="457"/>
      <c r="VN508" s="457"/>
      <c r="VO508" s="457"/>
      <c r="VP508" s="457"/>
      <c r="VQ508" s="457"/>
      <c r="VR508" s="457"/>
      <c r="VS508" s="457"/>
      <c r="VT508" s="457"/>
      <c r="VU508" s="457"/>
      <c r="VV508" s="457"/>
      <c r="VW508" s="457"/>
      <c r="VX508" s="457"/>
      <c r="VY508" s="457"/>
      <c r="VZ508" s="457"/>
      <c r="WA508" s="457"/>
      <c r="WB508" s="457"/>
      <c r="WC508" s="457"/>
      <c r="WD508" s="457"/>
      <c r="WE508" s="457"/>
      <c r="WF508" s="457"/>
      <c r="WG508" s="457"/>
      <c r="WH508" s="457"/>
      <c r="WI508" s="457"/>
      <c r="WJ508" s="457"/>
      <c r="WK508" s="457"/>
      <c r="WL508" s="457"/>
      <c r="WM508" s="457"/>
      <c r="WN508" s="457"/>
      <c r="WO508" s="457"/>
      <c r="WP508" s="457"/>
      <c r="WQ508" s="457"/>
      <c r="WR508" s="457"/>
      <c r="WS508" s="457"/>
      <c r="WT508" s="457"/>
      <c r="WU508" s="457"/>
      <c r="WV508" s="457"/>
      <c r="WW508" s="457"/>
      <c r="WX508" s="457"/>
      <c r="WY508" s="457"/>
      <c r="WZ508" s="457"/>
      <c r="XA508" s="457"/>
      <c r="XB508" s="457"/>
      <c r="XC508" s="457"/>
      <c r="XD508" s="457"/>
      <c r="XE508" s="457"/>
      <c r="XF508" s="457"/>
      <c r="XG508" s="457"/>
      <c r="XH508" s="457"/>
      <c r="XI508" s="457"/>
      <c r="XJ508" s="457"/>
      <c r="XK508" s="457"/>
      <c r="XL508" s="457"/>
      <c r="XM508" s="457"/>
      <c r="XN508" s="457"/>
      <c r="XO508" s="457"/>
      <c r="XP508" s="457"/>
      <c r="XQ508" s="457"/>
      <c r="XR508" s="457"/>
      <c r="XS508" s="457"/>
      <c r="XT508" s="457"/>
      <c r="XU508" s="457"/>
      <c r="XV508" s="457"/>
      <c r="XW508" s="457"/>
      <c r="XX508" s="457"/>
      <c r="XY508" s="457"/>
      <c r="XZ508" s="457"/>
      <c r="YA508" s="457"/>
      <c r="YB508" s="457"/>
      <c r="YC508" s="457"/>
      <c r="YD508" s="457"/>
      <c r="YE508" s="457"/>
      <c r="YF508" s="457"/>
      <c r="YG508" s="457"/>
      <c r="YH508" s="457"/>
      <c r="YI508" s="457"/>
      <c r="YJ508" s="457"/>
      <c r="YK508" s="457"/>
      <c r="YL508" s="457"/>
      <c r="YM508" s="457"/>
      <c r="YN508" s="457"/>
      <c r="YO508" s="457"/>
      <c r="YP508" s="457"/>
      <c r="YQ508" s="457"/>
      <c r="YR508" s="457"/>
      <c r="YS508" s="457"/>
      <c r="YT508" s="457"/>
      <c r="YU508" s="457"/>
      <c r="YV508" s="457"/>
      <c r="YW508" s="457"/>
      <c r="YX508" s="457"/>
      <c r="YY508" s="457"/>
      <c r="YZ508" s="457"/>
      <c r="ZA508" s="457"/>
      <c r="ZB508" s="457"/>
      <c r="ZC508" s="457"/>
      <c r="ZD508" s="457"/>
      <c r="ZE508" s="457"/>
      <c r="ZF508" s="457"/>
      <c r="ZG508" s="457"/>
      <c r="ZH508" s="457"/>
      <c r="ZI508" s="457"/>
      <c r="ZJ508" s="457"/>
      <c r="ZK508" s="457"/>
      <c r="ZL508" s="457"/>
      <c r="ZM508" s="457"/>
      <c r="ZN508" s="457"/>
      <c r="ZO508" s="457"/>
      <c r="ZP508" s="457"/>
      <c r="ZQ508" s="457"/>
      <c r="ZR508" s="457"/>
      <c r="ZS508" s="457"/>
      <c r="ZT508" s="457"/>
      <c r="ZU508" s="457"/>
      <c r="ZV508" s="457"/>
      <c r="ZW508" s="457"/>
      <c r="ZX508" s="457"/>
      <c r="ZY508" s="457"/>
      <c r="ZZ508" s="457"/>
      <c r="AAA508" s="457"/>
      <c r="AAB508" s="457"/>
      <c r="AAC508" s="457"/>
      <c r="AAD508" s="457"/>
      <c r="AAE508" s="457"/>
      <c r="AAF508" s="457"/>
      <c r="AAG508" s="457"/>
      <c r="AAH508" s="457"/>
      <c r="AAI508" s="457"/>
      <c r="AAJ508" s="457"/>
      <c r="AAK508" s="457"/>
      <c r="AAL508" s="457"/>
      <c r="AAM508" s="457"/>
      <c r="AAN508" s="457"/>
      <c r="AAO508" s="457"/>
      <c r="AAP508" s="457"/>
      <c r="AAQ508" s="457"/>
      <c r="AAR508" s="457"/>
      <c r="AAS508" s="457"/>
      <c r="AAT508" s="457"/>
      <c r="AAU508" s="457"/>
      <c r="AAV508" s="457"/>
      <c r="AAW508" s="457"/>
      <c r="AAX508" s="457"/>
      <c r="AAY508" s="457"/>
      <c r="AAZ508" s="457"/>
      <c r="ABA508" s="457"/>
      <c r="ABB508" s="457"/>
      <c r="ABC508" s="457"/>
      <c r="ABD508" s="457"/>
      <c r="ABE508" s="457"/>
      <c r="ABF508" s="457"/>
      <c r="ABG508" s="457"/>
      <c r="ABH508" s="457"/>
      <c r="ABI508" s="457"/>
      <c r="ABJ508" s="457"/>
      <c r="ABK508" s="457"/>
      <c r="ABL508" s="457"/>
      <c r="ABM508" s="457"/>
      <c r="ABN508" s="457"/>
      <c r="ABO508" s="457"/>
      <c r="ABP508" s="457"/>
      <c r="ABQ508" s="457"/>
      <c r="ABR508" s="457"/>
      <c r="ABS508" s="457"/>
      <c r="ABT508" s="457"/>
      <c r="ABU508" s="457"/>
      <c r="ABV508" s="457"/>
      <c r="ABW508" s="457"/>
      <c r="ABX508" s="457"/>
      <c r="ABY508" s="457"/>
      <c r="ABZ508" s="457"/>
      <c r="ACA508" s="457"/>
      <c r="ACB508" s="457"/>
      <c r="ACC508" s="457"/>
      <c r="ACD508" s="457"/>
      <c r="ACE508" s="457"/>
      <c r="ACF508" s="457"/>
      <c r="ACG508" s="457"/>
      <c r="ACH508" s="457"/>
      <c r="ACI508" s="457"/>
      <c r="ACJ508" s="457"/>
      <c r="ACK508" s="457"/>
      <c r="ACL508" s="457"/>
      <c r="ACM508" s="457"/>
      <c r="ACN508" s="457"/>
      <c r="ACO508" s="457"/>
      <c r="ACP508" s="457"/>
      <c r="ACQ508" s="457"/>
      <c r="ACR508" s="457"/>
      <c r="ACS508" s="457"/>
      <c r="ACT508" s="457"/>
      <c r="ACU508" s="457"/>
      <c r="ACV508" s="457"/>
    </row>
    <row r="509" spans="1:776" s="400" customFormat="1" x14ac:dyDescent="0.25">
      <c r="A509" s="470">
        <v>900214</v>
      </c>
      <c r="B509" s="404" t="str">
        <f t="shared" si="13"/>
        <v>-5,88/+5,69  (EC  5,6)</v>
      </c>
      <c r="C509" s="455"/>
      <c r="D509" s="470">
        <v>7.89</v>
      </c>
      <c r="E509" s="454">
        <v>0.56000000000000005</v>
      </c>
      <c r="F509" s="458">
        <v>5.3</v>
      </c>
      <c r="G509" s="454">
        <v>0</v>
      </c>
      <c r="H509" s="454">
        <v>0.05</v>
      </c>
      <c r="I509" s="456">
        <v>59.39</v>
      </c>
      <c r="J509" s="454">
        <v>78.98</v>
      </c>
      <c r="K509" s="454">
        <v>0.2142</v>
      </c>
      <c r="L509" s="454">
        <v>151.19999999999999</v>
      </c>
      <c r="M509" s="454">
        <v>0</v>
      </c>
      <c r="N509" s="454">
        <v>15.9</v>
      </c>
      <c r="O509" s="454">
        <v>72.05</v>
      </c>
      <c r="P509" s="454">
        <v>29.66</v>
      </c>
      <c r="Q509" s="454">
        <v>7.94</v>
      </c>
      <c r="R509" s="454">
        <v>7.0000000000000007E-2</v>
      </c>
      <c r="S509" s="397">
        <v>1.0000000000000001E-5</v>
      </c>
      <c r="T509" s="454">
        <v>0.19</v>
      </c>
      <c r="U509" s="454">
        <v>1.74</v>
      </c>
      <c r="V509" s="397">
        <v>1.0000000000000001E-5</v>
      </c>
      <c r="W509" s="457"/>
      <c r="X509" s="457"/>
      <c r="Y509" s="457"/>
      <c r="Z509" s="457"/>
      <c r="AA509" s="457"/>
      <c r="AB509" s="457"/>
      <c r="AC509" s="457"/>
      <c r="AD509" s="457"/>
      <c r="AE509" s="457"/>
      <c r="AF509" s="457"/>
      <c r="AG509" s="457"/>
      <c r="AH509" s="457"/>
      <c r="AI509" s="457"/>
      <c r="AJ509" s="457"/>
      <c r="AK509" s="457"/>
      <c r="AL509" s="457"/>
      <c r="AM509" s="457"/>
      <c r="AN509" s="457"/>
      <c r="AO509" s="457"/>
      <c r="AP509" s="457"/>
      <c r="AQ509" s="457"/>
      <c r="AR509" s="457"/>
      <c r="AS509" s="457"/>
      <c r="AT509" s="457"/>
      <c r="AU509" s="457"/>
      <c r="AV509" s="457"/>
      <c r="AW509" s="457"/>
      <c r="AX509" s="457"/>
      <c r="AY509" s="457"/>
      <c r="AZ509" s="457"/>
      <c r="BA509" s="457"/>
      <c r="BB509" s="457"/>
      <c r="BC509" s="457"/>
      <c r="BD509" s="457"/>
      <c r="BE509" s="457"/>
      <c r="BF509" s="457"/>
      <c r="BG509" s="457"/>
      <c r="BH509" s="457"/>
      <c r="BI509" s="457"/>
      <c r="BJ509" s="457"/>
      <c r="BK509" s="457"/>
      <c r="BL509" s="457"/>
      <c r="BM509" s="457"/>
      <c r="BN509" s="457"/>
      <c r="BO509" s="457"/>
      <c r="BP509" s="457"/>
      <c r="BQ509" s="457"/>
      <c r="BR509" s="457"/>
      <c r="BS509" s="457"/>
      <c r="BT509" s="457"/>
      <c r="BU509" s="457"/>
      <c r="BV509" s="457"/>
      <c r="BW509" s="457"/>
      <c r="BX509" s="457"/>
      <c r="BY509" s="457"/>
      <c r="BZ509" s="457"/>
      <c r="CA509" s="457"/>
      <c r="CB509" s="457"/>
      <c r="CC509" s="457"/>
      <c r="CD509" s="457"/>
      <c r="CE509" s="457"/>
      <c r="CF509" s="457"/>
      <c r="CG509" s="457"/>
      <c r="CH509" s="457"/>
      <c r="CI509" s="457"/>
      <c r="CJ509" s="457"/>
      <c r="CK509" s="457"/>
      <c r="CL509" s="457"/>
      <c r="CM509" s="457"/>
      <c r="CN509" s="457"/>
      <c r="CO509" s="457"/>
      <c r="CP509" s="457"/>
      <c r="CQ509" s="457"/>
      <c r="CR509" s="457"/>
      <c r="CS509" s="457"/>
      <c r="CT509" s="457"/>
      <c r="CU509" s="457"/>
      <c r="CV509" s="457"/>
      <c r="CW509" s="457"/>
      <c r="CX509" s="457"/>
      <c r="CY509" s="457"/>
      <c r="CZ509" s="457"/>
      <c r="DA509" s="457"/>
      <c r="DB509" s="457"/>
      <c r="DC509" s="457"/>
      <c r="DD509" s="457"/>
      <c r="DE509" s="457"/>
      <c r="DF509" s="457"/>
      <c r="DG509" s="457"/>
      <c r="DH509" s="457"/>
      <c r="DI509" s="457"/>
      <c r="DJ509" s="457"/>
      <c r="DK509" s="457"/>
      <c r="DL509" s="457"/>
      <c r="DM509" s="457"/>
      <c r="DN509" s="457"/>
      <c r="DO509" s="457"/>
      <c r="DP509" s="457"/>
      <c r="DQ509" s="457"/>
      <c r="DR509" s="457"/>
      <c r="DS509" s="457"/>
      <c r="DT509" s="457"/>
      <c r="DU509" s="457"/>
      <c r="DV509" s="457"/>
      <c r="DW509" s="457"/>
      <c r="DX509" s="457"/>
      <c r="DY509" s="457"/>
      <c r="DZ509" s="457"/>
      <c r="EA509" s="457"/>
      <c r="EB509" s="457"/>
      <c r="EC509" s="457"/>
      <c r="ED509" s="457"/>
      <c r="EE509" s="457"/>
      <c r="EF509" s="457"/>
      <c r="EG509" s="457"/>
      <c r="EH509" s="457"/>
      <c r="EI509" s="457"/>
      <c r="EJ509" s="457"/>
      <c r="EK509" s="457"/>
      <c r="EL509" s="457"/>
      <c r="EM509" s="457"/>
      <c r="EN509" s="457"/>
      <c r="EO509" s="457"/>
      <c r="EP509" s="457"/>
      <c r="EQ509" s="457"/>
      <c r="ER509" s="457"/>
      <c r="ES509" s="457"/>
      <c r="ET509" s="457"/>
      <c r="EU509" s="457"/>
      <c r="EV509" s="457"/>
      <c r="EW509" s="457"/>
      <c r="EX509" s="457"/>
      <c r="EY509" s="457"/>
      <c r="EZ509" s="457"/>
      <c r="FA509" s="457"/>
      <c r="FB509" s="457"/>
      <c r="FC509" s="457"/>
      <c r="FD509" s="457"/>
      <c r="FE509" s="457"/>
      <c r="FF509" s="457"/>
      <c r="FG509" s="457"/>
      <c r="FH509" s="457"/>
      <c r="FI509" s="457"/>
      <c r="FJ509" s="457"/>
      <c r="FK509" s="457"/>
      <c r="FL509" s="457"/>
      <c r="FM509" s="457"/>
      <c r="FN509" s="457"/>
      <c r="FO509" s="457"/>
      <c r="FP509" s="457"/>
      <c r="FQ509" s="457"/>
      <c r="FR509" s="457"/>
      <c r="FS509" s="457"/>
      <c r="FT509" s="457"/>
      <c r="FU509" s="457"/>
      <c r="FV509" s="457"/>
      <c r="FW509" s="457"/>
      <c r="FX509" s="457"/>
      <c r="FY509" s="457"/>
      <c r="FZ509" s="457"/>
      <c r="GA509" s="457"/>
      <c r="GB509" s="457"/>
      <c r="GC509" s="457"/>
      <c r="GD509" s="457"/>
      <c r="GE509" s="457"/>
      <c r="GF509" s="457"/>
      <c r="GG509" s="457"/>
      <c r="GH509" s="457"/>
      <c r="GI509" s="457"/>
      <c r="GJ509" s="457"/>
      <c r="GK509" s="457"/>
      <c r="GL509" s="457"/>
      <c r="GM509" s="457"/>
      <c r="GN509" s="457"/>
      <c r="GO509" s="457"/>
      <c r="GP509" s="457"/>
      <c r="GQ509" s="457"/>
      <c r="GR509" s="457"/>
      <c r="GS509" s="457"/>
      <c r="GT509" s="457"/>
      <c r="GU509" s="457"/>
      <c r="GV509" s="457"/>
      <c r="GW509" s="457"/>
      <c r="GX509" s="457"/>
      <c r="GY509" s="457"/>
      <c r="GZ509" s="457"/>
      <c r="HA509" s="457"/>
      <c r="HB509" s="457"/>
      <c r="HC509" s="457"/>
      <c r="HD509" s="457"/>
      <c r="HE509" s="457"/>
      <c r="HF509" s="457"/>
      <c r="HG509" s="457"/>
      <c r="HH509" s="457"/>
      <c r="HI509" s="457"/>
      <c r="HJ509" s="457"/>
      <c r="HK509" s="457"/>
      <c r="HL509" s="457"/>
      <c r="HM509" s="457"/>
      <c r="HN509" s="457"/>
      <c r="HO509" s="457"/>
      <c r="HP509" s="457"/>
      <c r="HQ509" s="457"/>
      <c r="HR509" s="457"/>
      <c r="HS509" s="457"/>
      <c r="HT509" s="457"/>
      <c r="HU509" s="457"/>
      <c r="HV509" s="457"/>
      <c r="HW509" s="457"/>
      <c r="HX509" s="457"/>
      <c r="HY509" s="457"/>
      <c r="HZ509" s="457"/>
      <c r="IA509" s="457"/>
      <c r="IB509" s="457"/>
      <c r="IC509" s="457"/>
      <c r="ID509" s="457"/>
      <c r="IE509" s="457"/>
      <c r="IF509" s="457"/>
      <c r="IG509" s="457"/>
      <c r="IH509" s="457"/>
      <c r="II509" s="457"/>
      <c r="IJ509" s="457"/>
      <c r="IK509" s="457"/>
      <c r="IL509" s="457"/>
      <c r="IM509" s="457"/>
      <c r="IN509" s="457"/>
      <c r="IO509" s="457"/>
      <c r="IP509" s="457"/>
      <c r="IQ509" s="457"/>
      <c r="IR509" s="457"/>
      <c r="IS509" s="457"/>
      <c r="IT509" s="457"/>
      <c r="IU509" s="457"/>
      <c r="IV509" s="457"/>
      <c r="IW509" s="457"/>
      <c r="IX509" s="457"/>
      <c r="IY509" s="457"/>
      <c r="IZ509" s="457"/>
      <c r="JA509" s="457"/>
      <c r="JB509" s="457"/>
      <c r="JC509" s="457"/>
      <c r="JD509" s="457"/>
      <c r="JE509" s="457"/>
      <c r="JF509" s="457"/>
      <c r="JG509" s="457"/>
      <c r="JH509" s="457"/>
      <c r="JI509" s="457"/>
      <c r="JJ509" s="457"/>
      <c r="JK509" s="457"/>
      <c r="JL509" s="457"/>
      <c r="JM509" s="457"/>
      <c r="JN509" s="457"/>
      <c r="JO509" s="457"/>
      <c r="JP509" s="457"/>
      <c r="JQ509" s="457"/>
      <c r="JR509" s="457"/>
      <c r="JS509" s="457"/>
      <c r="JT509" s="457"/>
      <c r="JU509" s="457"/>
      <c r="JV509" s="457"/>
      <c r="JW509" s="457"/>
      <c r="JX509" s="457"/>
      <c r="JY509" s="457"/>
      <c r="JZ509" s="457"/>
      <c r="KA509" s="457"/>
      <c r="KB509" s="457"/>
      <c r="KC509" s="457"/>
      <c r="KD509" s="457"/>
      <c r="KE509" s="457"/>
      <c r="KF509" s="457"/>
      <c r="KG509" s="457"/>
      <c r="KH509" s="457"/>
      <c r="KI509" s="457"/>
      <c r="KJ509" s="457"/>
      <c r="KK509" s="457"/>
      <c r="KL509" s="457"/>
      <c r="KM509" s="457"/>
      <c r="KN509" s="457"/>
      <c r="KO509" s="457"/>
      <c r="KP509" s="457"/>
      <c r="KQ509" s="457"/>
      <c r="KR509" s="457"/>
      <c r="KS509" s="457"/>
      <c r="KT509" s="457"/>
      <c r="KU509" s="457"/>
      <c r="KV509" s="457"/>
      <c r="KW509" s="457"/>
      <c r="KX509" s="457"/>
      <c r="KY509" s="457"/>
      <c r="KZ509" s="457"/>
      <c r="LA509" s="457"/>
      <c r="LB509" s="457"/>
      <c r="LC509" s="457"/>
      <c r="LD509" s="457"/>
      <c r="LE509" s="457"/>
      <c r="LF509" s="457"/>
      <c r="LG509" s="457"/>
      <c r="LH509" s="457"/>
      <c r="LI509" s="457"/>
      <c r="LJ509" s="457"/>
      <c r="LK509" s="457"/>
      <c r="LL509" s="457"/>
      <c r="LM509" s="457"/>
      <c r="LN509" s="457"/>
      <c r="LO509" s="457"/>
      <c r="LP509" s="457"/>
      <c r="LQ509" s="457"/>
      <c r="LR509" s="457"/>
      <c r="LS509" s="457"/>
      <c r="LT509" s="457"/>
      <c r="LU509" s="457"/>
      <c r="LV509" s="457"/>
      <c r="LW509" s="457"/>
      <c r="LX509" s="457"/>
      <c r="LY509" s="457"/>
      <c r="LZ509" s="457"/>
      <c r="MA509" s="457"/>
      <c r="MB509" s="457"/>
      <c r="MC509" s="457"/>
      <c r="MD509" s="457"/>
      <c r="ME509" s="457"/>
      <c r="MF509" s="457"/>
      <c r="MG509" s="457"/>
      <c r="MH509" s="457"/>
      <c r="MI509" s="457"/>
      <c r="MJ509" s="457"/>
      <c r="MK509" s="457"/>
      <c r="ML509" s="457"/>
      <c r="MM509" s="457"/>
      <c r="MN509" s="457"/>
      <c r="MO509" s="457"/>
      <c r="MP509" s="457"/>
      <c r="MQ509" s="457"/>
      <c r="MR509" s="457"/>
      <c r="MS509" s="457"/>
      <c r="MT509" s="457"/>
      <c r="MU509" s="457"/>
      <c r="MV509" s="457"/>
      <c r="MW509" s="457"/>
      <c r="MX509" s="457"/>
      <c r="MY509" s="457"/>
      <c r="MZ509" s="457"/>
      <c r="NA509" s="457"/>
      <c r="NB509" s="457"/>
      <c r="NC509" s="457"/>
      <c r="ND509" s="457"/>
      <c r="NE509" s="457"/>
      <c r="NF509" s="457"/>
      <c r="NG509" s="457"/>
      <c r="NH509" s="457"/>
      <c r="NI509" s="457"/>
      <c r="NJ509" s="457"/>
      <c r="NK509" s="457"/>
      <c r="NL509" s="457"/>
      <c r="NM509" s="457"/>
      <c r="NN509" s="457"/>
      <c r="NO509" s="457"/>
      <c r="NP509" s="457"/>
      <c r="NQ509" s="457"/>
      <c r="NR509" s="457"/>
      <c r="NS509" s="457"/>
      <c r="NT509" s="457"/>
      <c r="NU509" s="457"/>
      <c r="NV509" s="457"/>
      <c r="NW509" s="457"/>
      <c r="NX509" s="457"/>
      <c r="NY509" s="457"/>
      <c r="NZ509" s="457"/>
      <c r="OA509" s="457"/>
      <c r="OB509" s="457"/>
      <c r="OC509" s="457"/>
      <c r="OD509" s="457"/>
      <c r="OE509" s="457"/>
      <c r="OF509" s="457"/>
      <c r="OG509" s="457"/>
      <c r="OH509" s="457"/>
      <c r="OI509" s="457"/>
      <c r="OJ509" s="457"/>
      <c r="OK509" s="457"/>
      <c r="OL509" s="457"/>
      <c r="OM509" s="457"/>
      <c r="ON509" s="457"/>
      <c r="OO509" s="457"/>
      <c r="OP509" s="457"/>
      <c r="OQ509" s="457"/>
      <c r="OR509" s="457"/>
      <c r="OS509" s="457"/>
      <c r="OT509" s="457"/>
      <c r="OU509" s="457"/>
      <c r="OV509" s="457"/>
      <c r="OW509" s="457"/>
      <c r="OX509" s="457"/>
      <c r="OY509" s="457"/>
      <c r="OZ509" s="457"/>
      <c r="PA509" s="457"/>
      <c r="PB509" s="457"/>
      <c r="PC509" s="457"/>
      <c r="PD509" s="457"/>
      <c r="PE509" s="457"/>
      <c r="PF509" s="457"/>
      <c r="PG509" s="457"/>
      <c r="PH509" s="457"/>
      <c r="PI509" s="457"/>
      <c r="PJ509" s="457"/>
      <c r="PK509" s="457"/>
      <c r="PL509" s="457"/>
      <c r="PM509" s="457"/>
      <c r="PN509" s="457"/>
      <c r="PO509" s="457"/>
      <c r="PP509" s="457"/>
      <c r="PQ509" s="457"/>
      <c r="PR509" s="457"/>
      <c r="PS509" s="457"/>
      <c r="PT509" s="457"/>
      <c r="PU509" s="457"/>
      <c r="PV509" s="457"/>
      <c r="PW509" s="457"/>
      <c r="PX509" s="457"/>
      <c r="PY509" s="457"/>
      <c r="PZ509" s="457"/>
      <c r="QA509" s="457"/>
      <c r="QB509" s="457"/>
      <c r="QC509" s="457"/>
      <c r="QD509" s="457"/>
      <c r="QE509" s="457"/>
      <c r="QF509" s="457"/>
      <c r="QG509" s="457"/>
      <c r="QH509" s="457"/>
      <c r="QI509" s="457"/>
      <c r="QJ509" s="457"/>
      <c r="QK509" s="457"/>
      <c r="QL509" s="457"/>
      <c r="QM509" s="457"/>
      <c r="QN509" s="457"/>
      <c r="QO509" s="457"/>
      <c r="QP509" s="457"/>
      <c r="QQ509" s="457"/>
      <c r="QR509" s="457"/>
      <c r="QS509" s="457"/>
      <c r="QT509" s="457"/>
      <c r="QU509" s="457"/>
      <c r="QV509" s="457"/>
      <c r="QW509" s="457"/>
      <c r="QX509" s="457"/>
      <c r="QY509" s="457"/>
      <c r="QZ509" s="457"/>
      <c r="RA509" s="457"/>
      <c r="RB509" s="457"/>
      <c r="RC509" s="457"/>
      <c r="RD509" s="457"/>
      <c r="RE509" s="457"/>
      <c r="RF509" s="457"/>
      <c r="RG509" s="457"/>
      <c r="RH509" s="457"/>
      <c r="RI509" s="457"/>
      <c r="RJ509" s="457"/>
      <c r="RK509" s="457"/>
      <c r="RL509" s="457"/>
      <c r="RM509" s="457"/>
      <c r="RN509" s="457"/>
      <c r="RO509" s="457"/>
      <c r="RP509" s="457"/>
      <c r="RQ509" s="457"/>
      <c r="RR509" s="457"/>
      <c r="RS509" s="457"/>
      <c r="RT509" s="457"/>
      <c r="RU509" s="457"/>
      <c r="RV509" s="457"/>
      <c r="RW509" s="457"/>
      <c r="RX509" s="457"/>
      <c r="RY509" s="457"/>
      <c r="RZ509" s="457"/>
      <c r="SA509" s="457"/>
      <c r="SB509" s="457"/>
      <c r="SC509" s="457"/>
      <c r="SD509" s="457"/>
      <c r="SE509" s="457"/>
      <c r="SF509" s="457"/>
      <c r="SG509" s="457"/>
      <c r="SH509" s="457"/>
      <c r="SI509" s="457"/>
      <c r="SJ509" s="457"/>
      <c r="SK509" s="457"/>
      <c r="SL509" s="457"/>
      <c r="SM509" s="457"/>
      <c r="SN509" s="457"/>
      <c r="SO509" s="457"/>
      <c r="SP509" s="457"/>
      <c r="SQ509" s="457"/>
      <c r="SR509" s="457"/>
      <c r="SS509" s="457"/>
      <c r="ST509" s="457"/>
      <c r="SU509" s="457"/>
      <c r="SV509" s="457"/>
      <c r="SW509" s="457"/>
      <c r="SX509" s="457"/>
      <c r="SY509" s="457"/>
      <c r="SZ509" s="457"/>
      <c r="TA509" s="457"/>
      <c r="TB509" s="457"/>
      <c r="TC509" s="457"/>
      <c r="TD509" s="457"/>
      <c r="TE509" s="457"/>
      <c r="TF509" s="457"/>
      <c r="TG509" s="457"/>
      <c r="TH509" s="457"/>
      <c r="TI509" s="457"/>
      <c r="TJ509" s="457"/>
      <c r="TK509" s="457"/>
      <c r="TL509" s="457"/>
      <c r="TM509" s="457"/>
      <c r="TN509" s="457"/>
      <c r="TO509" s="457"/>
      <c r="TP509" s="457"/>
      <c r="TQ509" s="457"/>
      <c r="TR509" s="457"/>
      <c r="TS509" s="457"/>
      <c r="TT509" s="457"/>
      <c r="TU509" s="457"/>
      <c r="TV509" s="457"/>
      <c r="TW509" s="457"/>
      <c r="TX509" s="457"/>
      <c r="TY509" s="457"/>
      <c r="TZ509" s="457"/>
      <c r="UA509" s="457"/>
      <c r="UB509" s="457"/>
      <c r="UC509" s="457"/>
      <c r="UD509" s="457"/>
      <c r="UE509" s="457"/>
      <c r="UF509" s="457"/>
      <c r="UG509" s="457"/>
      <c r="UH509" s="457"/>
      <c r="UI509" s="457"/>
      <c r="UJ509" s="457"/>
      <c r="UK509" s="457"/>
      <c r="UL509" s="457"/>
      <c r="UM509" s="457"/>
      <c r="UN509" s="457"/>
      <c r="UO509" s="457"/>
      <c r="UP509" s="457"/>
      <c r="UQ509" s="457"/>
      <c r="UR509" s="457"/>
      <c r="US509" s="457"/>
      <c r="UT509" s="457"/>
      <c r="UU509" s="457"/>
      <c r="UV509" s="457"/>
      <c r="UW509" s="457"/>
      <c r="UX509" s="457"/>
      <c r="UY509" s="457"/>
      <c r="UZ509" s="457"/>
      <c r="VA509" s="457"/>
      <c r="VB509" s="457"/>
      <c r="VC509" s="457"/>
      <c r="VD509" s="457"/>
      <c r="VE509" s="457"/>
      <c r="VF509" s="457"/>
      <c r="VG509" s="457"/>
      <c r="VH509" s="457"/>
      <c r="VI509" s="457"/>
      <c r="VJ509" s="457"/>
      <c r="VK509" s="457"/>
      <c r="VL509" s="457"/>
      <c r="VM509" s="457"/>
      <c r="VN509" s="457"/>
      <c r="VO509" s="457"/>
      <c r="VP509" s="457"/>
      <c r="VQ509" s="457"/>
      <c r="VR509" s="457"/>
      <c r="VS509" s="457"/>
      <c r="VT509" s="457"/>
      <c r="VU509" s="457"/>
      <c r="VV509" s="457"/>
      <c r="VW509" s="457"/>
      <c r="VX509" s="457"/>
      <c r="VY509" s="457"/>
      <c r="VZ509" s="457"/>
      <c r="WA509" s="457"/>
      <c r="WB509" s="457"/>
      <c r="WC509" s="457"/>
      <c r="WD509" s="457"/>
      <c r="WE509" s="457"/>
      <c r="WF509" s="457"/>
      <c r="WG509" s="457"/>
      <c r="WH509" s="457"/>
      <c r="WI509" s="457"/>
      <c r="WJ509" s="457"/>
      <c r="WK509" s="457"/>
      <c r="WL509" s="457"/>
      <c r="WM509" s="457"/>
      <c r="WN509" s="457"/>
      <c r="WO509" s="457"/>
      <c r="WP509" s="457"/>
      <c r="WQ509" s="457"/>
      <c r="WR509" s="457"/>
      <c r="WS509" s="457"/>
      <c r="WT509" s="457"/>
      <c r="WU509" s="457"/>
      <c r="WV509" s="457"/>
      <c r="WW509" s="457"/>
      <c r="WX509" s="457"/>
      <c r="WY509" s="457"/>
      <c r="WZ509" s="457"/>
      <c r="XA509" s="457"/>
      <c r="XB509" s="457"/>
      <c r="XC509" s="457"/>
      <c r="XD509" s="457"/>
      <c r="XE509" s="457"/>
      <c r="XF509" s="457"/>
      <c r="XG509" s="457"/>
      <c r="XH509" s="457"/>
      <c r="XI509" s="457"/>
      <c r="XJ509" s="457"/>
      <c r="XK509" s="457"/>
      <c r="XL509" s="457"/>
      <c r="XM509" s="457"/>
      <c r="XN509" s="457"/>
      <c r="XO509" s="457"/>
      <c r="XP509" s="457"/>
      <c r="XQ509" s="457"/>
      <c r="XR509" s="457"/>
      <c r="XS509" s="457"/>
      <c r="XT509" s="457"/>
      <c r="XU509" s="457"/>
      <c r="XV509" s="457"/>
      <c r="XW509" s="457"/>
      <c r="XX509" s="457"/>
      <c r="XY509" s="457"/>
      <c r="XZ509" s="457"/>
      <c r="YA509" s="457"/>
      <c r="YB509" s="457"/>
      <c r="YC509" s="457"/>
      <c r="YD509" s="457"/>
      <c r="YE509" s="457"/>
      <c r="YF509" s="457"/>
      <c r="YG509" s="457"/>
      <c r="YH509" s="457"/>
      <c r="YI509" s="457"/>
      <c r="YJ509" s="457"/>
      <c r="YK509" s="457"/>
      <c r="YL509" s="457"/>
      <c r="YM509" s="457"/>
      <c r="YN509" s="457"/>
      <c r="YO509" s="457"/>
      <c r="YP509" s="457"/>
      <c r="YQ509" s="457"/>
      <c r="YR509" s="457"/>
      <c r="YS509" s="457"/>
      <c r="YT509" s="457"/>
      <c r="YU509" s="457"/>
      <c r="YV509" s="457"/>
      <c r="YW509" s="457"/>
      <c r="YX509" s="457"/>
      <c r="YY509" s="457"/>
      <c r="YZ509" s="457"/>
      <c r="ZA509" s="457"/>
      <c r="ZB509" s="457"/>
      <c r="ZC509" s="457"/>
      <c r="ZD509" s="457"/>
      <c r="ZE509" s="457"/>
      <c r="ZF509" s="457"/>
      <c r="ZG509" s="457"/>
      <c r="ZH509" s="457"/>
      <c r="ZI509" s="457"/>
      <c r="ZJ509" s="457"/>
      <c r="ZK509" s="457"/>
      <c r="ZL509" s="457"/>
      <c r="ZM509" s="457"/>
      <c r="ZN509" s="457"/>
      <c r="ZO509" s="457"/>
      <c r="ZP509" s="457"/>
      <c r="ZQ509" s="457"/>
      <c r="ZR509" s="457"/>
      <c r="ZS509" s="457"/>
      <c r="ZT509" s="457"/>
      <c r="ZU509" s="457"/>
      <c r="ZV509" s="457"/>
      <c r="ZW509" s="457"/>
      <c r="ZX509" s="457"/>
      <c r="ZY509" s="457"/>
      <c r="ZZ509" s="457"/>
      <c r="AAA509" s="457"/>
      <c r="AAB509" s="457"/>
      <c r="AAC509" s="457"/>
      <c r="AAD509" s="457"/>
      <c r="AAE509" s="457"/>
      <c r="AAF509" s="457"/>
      <c r="AAG509" s="457"/>
      <c r="AAH509" s="457"/>
      <c r="AAI509" s="457"/>
      <c r="AAJ509" s="457"/>
      <c r="AAK509" s="457"/>
      <c r="AAL509" s="457"/>
      <c r="AAM509" s="457"/>
      <c r="AAN509" s="457"/>
      <c r="AAO509" s="457"/>
      <c r="AAP509" s="457"/>
      <c r="AAQ509" s="457"/>
      <c r="AAR509" s="457"/>
      <c r="AAS509" s="457"/>
      <c r="AAT509" s="457"/>
      <c r="AAU509" s="457"/>
      <c r="AAV509" s="457"/>
      <c r="AAW509" s="457"/>
      <c r="AAX509" s="457"/>
      <c r="AAY509" s="457"/>
      <c r="AAZ509" s="457"/>
      <c r="ABA509" s="457"/>
      <c r="ABB509" s="457"/>
      <c r="ABC509" s="457"/>
      <c r="ABD509" s="457"/>
      <c r="ABE509" s="457"/>
      <c r="ABF509" s="457"/>
      <c r="ABG509" s="457"/>
      <c r="ABH509" s="457"/>
      <c r="ABI509" s="457"/>
      <c r="ABJ509" s="457"/>
      <c r="ABK509" s="457"/>
      <c r="ABL509" s="457"/>
      <c r="ABM509" s="457"/>
      <c r="ABN509" s="457"/>
      <c r="ABO509" s="457"/>
      <c r="ABP509" s="457"/>
      <c r="ABQ509" s="457"/>
      <c r="ABR509" s="457"/>
      <c r="ABS509" s="457"/>
      <c r="ABT509" s="457"/>
      <c r="ABU509" s="457"/>
      <c r="ABV509" s="457"/>
      <c r="ABW509" s="457"/>
      <c r="ABX509" s="457"/>
      <c r="ABY509" s="457"/>
      <c r="ABZ509" s="457"/>
      <c r="ACA509" s="457"/>
      <c r="ACB509" s="457"/>
      <c r="ACC509" s="457"/>
      <c r="ACD509" s="457"/>
      <c r="ACE509" s="457"/>
      <c r="ACF509" s="457"/>
      <c r="ACG509" s="457"/>
      <c r="ACH509" s="457"/>
      <c r="ACI509" s="457"/>
      <c r="ACJ509" s="457"/>
      <c r="ACK509" s="457"/>
      <c r="ACL509" s="457"/>
      <c r="ACM509" s="457"/>
      <c r="ACN509" s="457"/>
      <c r="ACO509" s="457"/>
      <c r="ACP509" s="457"/>
      <c r="ACQ509" s="457"/>
      <c r="ACR509" s="457"/>
      <c r="ACS509" s="457"/>
      <c r="ACT509" s="457"/>
      <c r="ACU509" s="457"/>
      <c r="ACV509" s="457"/>
    </row>
    <row r="510" spans="1:776" s="400" customFormat="1" x14ac:dyDescent="0.25">
      <c r="A510" s="470">
        <v>900215</v>
      </c>
      <c r="B510" s="404" t="str">
        <f>"-"&amp;TEXT((F510/62+G510/46+I510/35.5+J510/48+K510/97+L510/61),"0,00")&amp;"/+"&amp;TEXT((N510/39+O510/23+P510/20+Q510/12+H510/14),"0,00")&amp;"  (EC  "&amp;E510*10&amp;")"</f>
        <v>-4,05/+4,16  (EC  3,5)</v>
      </c>
      <c r="C510" s="455"/>
      <c r="D510" s="470">
        <v>7.73</v>
      </c>
      <c r="E510" s="454">
        <v>0.35</v>
      </c>
      <c r="F510" s="458">
        <v>4.5</v>
      </c>
      <c r="G510" s="454">
        <v>0</v>
      </c>
      <c r="H510" s="454">
        <v>0.08</v>
      </c>
      <c r="I510" s="456">
        <v>16.93</v>
      </c>
      <c r="J510" s="454">
        <v>32.21</v>
      </c>
      <c r="K510" s="454">
        <v>0.153</v>
      </c>
      <c r="L510" s="454">
        <v>172.8</v>
      </c>
      <c r="M510" s="454">
        <v>0</v>
      </c>
      <c r="N510" s="454">
        <v>3.6</v>
      </c>
      <c r="O510" s="454">
        <v>18.34</v>
      </c>
      <c r="P510" s="454">
        <v>36.01</v>
      </c>
      <c r="Q510" s="454">
        <v>17.579999999999998</v>
      </c>
      <c r="R510" s="397">
        <v>1.0000000000000001E-5</v>
      </c>
      <c r="S510" s="397">
        <v>1.0000000000000001E-5</v>
      </c>
      <c r="T510" s="397">
        <v>1.0000000000000001E-5</v>
      </c>
      <c r="U510" s="454">
        <v>0.04</v>
      </c>
      <c r="V510" s="397">
        <v>1.0000000000000001E-5</v>
      </c>
      <c r="W510" s="457"/>
      <c r="X510" s="457"/>
      <c r="Y510" s="457"/>
      <c r="Z510" s="457"/>
      <c r="AA510" s="457"/>
      <c r="AB510" s="457"/>
      <c r="AC510" s="457"/>
      <c r="AD510" s="457"/>
      <c r="AE510" s="457"/>
      <c r="AF510" s="457"/>
      <c r="AG510" s="457"/>
      <c r="AH510" s="457"/>
      <c r="AI510" s="457"/>
      <c r="AJ510" s="457"/>
      <c r="AK510" s="457"/>
      <c r="AL510" s="457"/>
      <c r="AM510" s="457"/>
      <c r="AN510" s="457"/>
      <c r="AO510" s="457"/>
      <c r="AP510" s="457"/>
      <c r="AQ510" s="457"/>
      <c r="AR510" s="457"/>
      <c r="AS510" s="457"/>
      <c r="AT510" s="457"/>
      <c r="AU510" s="457"/>
      <c r="AV510" s="457"/>
      <c r="AW510" s="457"/>
      <c r="AX510" s="457"/>
      <c r="AY510" s="457"/>
      <c r="AZ510" s="457"/>
      <c r="BA510" s="457"/>
      <c r="BB510" s="457"/>
      <c r="BC510" s="457"/>
      <c r="BD510" s="457"/>
      <c r="BE510" s="457"/>
      <c r="BF510" s="457"/>
      <c r="BG510" s="457"/>
      <c r="BH510" s="457"/>
      <c r="BI510" s="457"/>
      <c r="BJ510" s="457"/>
      <c r="BK510" s="457"/>
      <c r="BL510" s="457"/>
      <c r="BM510" s="457"/>
      <c r="BN510" s="457"/>
      <c r="BO510" s="457"/>
      <c r="BP510" s="457"/>
      <c r="BQ510" s="457"/>
      <c r="BR510" s="457"/>
      <c r="BS510" s="457"/>
      <c r="BT510" s="457"/>
      <c r="BU510" s="457"/>
      <c r="BV510" s="457"/>
      <c r="BW510" s="457"/>
      <c r="BX510" s="457"/>
      <c r="BY510" s="457"/>
      <c r="BZ510" s="457"/>
      <c r="CA510" s="457"/>
      <c r="CB510" s="457"/>
      <c r="CC510" s="457"/>
      <c r="CD510" s="457"/>
      <c r="CE510" s="457"/>
      <c r="CF510" s="457"/>
      <c r="CG510" s="457"/>
      <c r="CH510" s="457"/>
      <c r="CI510" s="457"/>
      <c r="CJ510" s="457"/>
      <c r="CK510" s="457"/>
      <c r="CL510" s="457"/>
      <c r="CM510" s="457"/>
      <c r="CN510" s="457"/>
      <c r="CO510" s="457"/>
      <c r="CP510" s="457"/>
      <c r="CQ510" s="457"/>
      <c r="CR510" s="457"/>
      <c r="CS510" s="457"/>
      <c r="CT510" s="457"/>
      <c r="CU510" s="457"/>
      <c r="CV510" s="457"/>
      <c r="CW510" s="457"/>
      <c r="CX510" s="457"/>
      <c r="CY510" s="457"/>
      <c r="CZ510" s="457"/>
      <c r="DA510" s="457"/>
      <c r="DB510" s="457"/>
      <c r="DC510" s="457"/>
      <c r="DD510" s="457"/>
      <c r="DE510" s="457"/>
      <c r="DF510" s="457"/>
      <c r="DG510" s="457"/>
      <c r="DH510" s="457"/>
      <c r="DI510" s="457"/>
      <c r="DJ510" s="457"/>
      <c r="DK510" s="457"/>
      <c r="DL510" s="457"/>
      <c r="DM510" s="457"/>
      <c r="DN510" s="457"/>
      <c r="DO510" s="457"/>
      <c r="DP510" s="457"/>
      <c r="DQ510" s="457"/>
      <c r="DR510" s="457"/>
      <c r="DS510" s="457"/>
      <c r="DT510" s="457"/>
      <c r="DU510" s="457"/>
      <c r="DV510" s="457"/>
      <c r="DW510" s="457"/>
      <c r="DX510" s="457"/>
      <c r="DY510" s="457"/>
      <c r="DZ510" s="457"/>
      <c r="EA510" s="457"/>
      <c r="EB510" s="457"/>
      <c r="EC510" s="457"/>
      <c r="ED510" s="457"/>
      <c r="EE510" s="457"/>
      <c r="EF510" s="457"/>
      <c r="EG510" s="457"/>
      <c r="EH510" s="457"/>
      <c r="EI510" s="457"/>
      <c r="EJ510" s="457"/>
      <c r="EK510" s="457"/>
      <c r="EL510" s="457"/>
      <c r="EM510" s="457"/>
      <c r="EN510" s="457"/>
      <c r="EO510" s="457"/>
      <c r="EP510" s="457"/>
      <c r="EQ510" s="457"/>
      <c r="ER510" s="457"/>
      <c r="ES510" s="457"/>
      <c r="ET510" s="457"/>
      <c r="EU510" s="457"/>
      <c r="EV510" s="457"/>
      <c r="EW510" s="457"/>
      <c r="EX510" s="457"/>
      <c r="EY510" s="457"/>
      <c r="EZ510" s="457"/>
      <c r="FA510" s="457"/>
      <c r="FB510" s="457"/>
      <c r="FC510" s="457"/>
      <c r="FD510" s="457"/>
      <c r="FE510" s="457"/>
      <c r="FF510" s="457"/>
      <c r="FG510" s="457"/>
      <c r="FH510" s="457"/>
      <c r="FI510" s="457"/>
      <c r="FJ510" s="457"/>
      <c r="FK510" s="457"/>
      <c r="FL510" s="457"/>
      <c r="FM510" s="457"/>
      <c r="FN510" s="457"/>
      <c r="FO510" s="457"/>
      <c r="FP510" s="457"/>
      <c r="FQ510" s="457"/>
      <c r="FR510" s="457"/>
      <c r="FS510" s="457"/>
      <c r="FT510" s="457"/>
      <c r="FU510" s="457"/>
      <c r="FV510" s="457"/>
      <c r="FW510" s="457"/>
      <c r="FX510" s="457"/>
      <c r="FY510" s="457"/>
      <c r="FZ510" s="457"/>
      <c r="GA510" s="457"/>
      <c r="GB510" s="457"/>
      <c r="GC510" s="457"/>
      <c r="GD510" s="457"/>
      <c r="GE510" s="457"/>
      <c r="GF510" s="457"/>
      <c r="GG510" s="457"/>
      <c r="GH510" s="457"/>
      <c r="GI510" s="457"/>
      <c r="GJ510" s="457"/>
      <c r="GK510" s="457"/>
      <c r="GL510" s="457"/>
      <c r="GM510" s="457"/>
      <c r="GN510" s="457"/>
      <c r="GO510" s="457"/>
      <c r="GP510" s="457"/>
      <c r="GQ510" s="457"/>
      <c r="GR510" s="457"/>
      <c r="GS510" s="457"/>
      <c r="GT510" s="457"/>
      <c r="GU510" s="457"/>
      <c r="GV510" s="457"/>
      <c r="GW510" s="457"/>
      <c r="GX510" s="457"/>
      <c r="GY510" s="457"/>
      <c r="GZ510" s="457"/>
      <c r="HA510" s="457"/>
      <c r="HB510" s="457"/>
      <c r="HC510" s="457"/>
      <c r="HD510" s="457"/>
      <c r="HE510" s="457"/>
      <c r="HF510" s="457"/>
      <c r="HG510" s="457"/>
      <c r="HH510" s="457"/>
      <c r="HI510" s="457"/>
      <c r="HJ510" s="457"/>
      <c r="HK510" s="457"/>
      <c r="HL510" s="457"/>
      <c r="HM510" s="457"/>
      <c r="HN510" s="457"/>
      <c r="HO510" s="457"/>
      <c r="HP510" s="457"/>
      <c r="HQ510" s="457"/>
      <c r="HR510" s="457"/>
      <c r="HS510" s="457"/>
      <c r="HT510" s="457"/>
      <c r="HU510" s="457"/>
      <c r="HV510" s="457"/>
      <c r="HW510" s="457"/>
      <c r="HX510" s="457"/>
      <c r="HY510" s="457"/>
      <c r="HZ510" s="457"/>
      <c r="IA510" s="457"/>
      <c r="IB510" s="457"/>
      <c r="IC510" s="457"/>
      <c r="ID510" s="457"/>
      <c r="IE510" s="457"/>
      <c r="IF510" s="457"/>
      <c r="IG510" s="457"/>
      <c r="IH510" s="457"/>
      <c r="II510" s="457"/>
      <c r="IJ510" s="457"/>
      <c r="IK510" s="457"/>
      <c r="IL510" s="457"/>
      <c r="IM510" s="457"/>
      <c r="IN510" s="457"/>
      <c r="IO510" s="457"/>
      <c r="IP510" s="457"/>
      <c r="IQ510" s="457"/>
      <c r="IR510" s="457"/>
      <c r="IS510" s="457"/>
      <c r="IT510" s="457"/>
      <c r="IU510" s="457"/>
      <c r="IV510" s="457"/>
      <c r="IW510" s="457"/>
      <c r="IX510" s="457"/>
      <c r="IY510" s="457"/>
      <c r="IZ510" s="457"/>
      <c r="JA510" s="457"/>
      <c r="JB510" s="457"/>
      <c r="JC510" s="457"/>
      <c r="JD510" s="457"/>
      <c r="JE510" s="457"/>
      <c r="JF510" s="457"/>
      <c r="JG510" s="457"/>
      <c r="JH510" s="457"/>
      <c r="JI510" s="457"/>
      <c r="JJ510" s="457"/>
      <c r="JK510" s="457"/>
      <c r="JL510" s="457"/>
      <c r="JM510" s="457"/>
      <c r="JN510" s="457"/>
      <c r="JO510" s="457"/>
      <c r="JP510" s="457"/>
      <c r="JQ510" s="457"/>
      <c r="JR510" s="457"/>
      <c r="JS510" s="457"/>
      <c r="JT510" s="457"/>
      <c r="JU510" s="457"/>
      <c r="JV510" s="457"/>
      <c r="JW510" s="457"/>
      <c r="JX510" s="457"/>
      <c r="JY510" s="457"/>
      <c r="JZ510" s="457"/>
      <c r="KA510" s="457"/>
      <c r="KB510" s="457"/>
      <c r="KC510" s="457"/>
      <c r="KD510" s="457"/>
      <c r="KE510" s="457"/>
      <c r="KF510" s="457"/>
      <c r="KG510" s="457"/>
      <c r="KH510" s="457"/>
      <c r="KI510" s="457"/>
      <c r="KJ510" s="457"/>
      <c r="KK510" s="457"/>
      <c r="KL510" s="457"/>
      <c r="KM510" s="457"/>
      <c r="KN510" s="457"/>
      <c r="KO510" s="457"/>
      <c r="KP510" s="457"/>
      <c r="KQ510" s="457"/>
      <c r="KR510" s="457"/>
      <c r="KS510" s="457"/>
      <c r="KT510" s="457"/>
      <c r="KU510" s="457"/>
      <c r="KV510" s="457"/>
      <c r="KW510" s="457"/>
      <c r="KX510" s="457"/>
      <c r="KY510" s="457"/>
      <c r="KZ510" s="457"/>
      <c r="LA510" s="457"/>
      <c r="LB510" s="457"/>
      <c r="LC510" s="457"/>
      <c r="LD510" s="457"/>
      <c r="LE510" s="457"/>
      <c r="LF510" s="457"/>
      <c r="LG510" s="457"/>
      <c r="LH510" s="457"/>
      <c r="LI510" s="457"/>
      <c r="LJ510" s="457"/>
      <c r="LK510" s="457"/>
      <c r="LL510" s="457"/>
      <c r="LM510" s="457"/>
      <c r="LN510" s="457"/>
      <c r="LO510" s="457"/>
      <c r="LP510" s="457"/>
      <c r="LQ510" s="457"/>
      <c r="LR510" s="457"/>
      <c r="LS510" s="457"/>
      <c r="LT510" s="457"/>
      <c r="LU510" s="457"/>
      <c r="LV510" s="457"/>
      <c r="LW510" s="457"/>
      <c r="LX510" s="457"/>
      <c r="LY510" s="457"/>
      <c r="LZ510" s="457"/>
      <c r="MA510" s="457"/>
      <c r="MB510" s="457"/>
      <c r="MC510" s="457"/>
      <c r="MD510" s="457"/>
      <c r="ME510" s="457"/>
      <c r="MF510" s="457"/>
      <c r="MG510" s="457"/>
      <c r="MH510" s="457"/>
      <c r="MI510" s="457"/>
      <c r="MJ510" s="457"/>
      <c r="MK510" s="457"/>
      <c r="ML510" s="457"/>
      <c r="MM510" s="457"/>
      <c r="MN510" s="457"/>
      <c r="MO510" s="457"/>
      <c r="MP510" s="457"/>
      <c r="MQ510" s="457"/>
      <c r="MR510" s="457"/>
      <c r="MS510" s="457"/>
      <c r="MT510" s="457"/>
      <c r="MU510" s="457"/>
      <c r="MV510" s="457"/>
      <c r="MW510" s="457"/>
      <c r="MX510" s="457"/>
      <c r="MY510" s="457"/>
      <c r="MZ510" s="457"/>
      <c r="NA510" s="457"/>
      <c r="NB510" s="457"/>
      <c r="NC510" s="457"/>
      <c r="ND510" s="457"/>
      <c r="NE510" s="457"/>
      <c r="NF510" s="457"/>
      <c r="NG510" s="457"/>
      <c r="NH510" s="457"/>
      <c r="NI510" s="457"/>
      <c r="NJ510" s="457"/>
      <c r="NK510" s="457"/>
      <c r="NL510" s="457"/>
      <c r="NM510" s="457"/>
      <c r="NN510" s="457"/>
      <c r="NO510" s="457"/>
      <c r="NP510" s="457"/>
      <c r="NQ510" s="457"/>
      <c r="NR510" s="457"/>
      <c r="NS510" s="457"/>
      <c r="NT510" s="457"/>
      <c r="NU510" s="457"/>
      <c r="NV510" s="457"/>
      <c r="NW510" s="457"/>
      <c r="NX510" s="457"/>
      <c r="NY510" s="457"/>
      <c r="NZ510" s="457"/>
      <c r="OA510" s="457"/>
      <c r="OB510" s="457"/>
      <c r="OC510" s="457"/>
      <c r="OD510" s="457"/>
      <c r="OE510" s="457"/>
      <c r="OF510" s="457"/>
      <c r="OG510" s="457"/>
      <c r="OH510" s="457"/>
      <c r="OI510" s="457"/>
      <c r="OJ510" s="457"/>
      <c r="OK510" s="457"/>
      <c r="OL510" s="457"/>
      <c r="OM510" s="457"/>
      <c r="ON510" s="457"/>
      <c r="OO510" s="457"/>
      <c r="OP510" s="457"/>
      <c r="OQ510" s="457"/>
      <c r="OR510" s="457"/>
      <c r="OS510" s="457"/>
      <c r="OT510" s="457"/>
      <c r="OU510" s="457"/>
      <c r="OV510" s="457"/>
      <c r="OW510" s="457"/>
      <c r="OX510" s="457"/>
      <c r="OY510" s="457"/>
      <c r="OZ510" s="457"/>
      <c r="PA510" s="457"/>
      <c r="PB510" s="457"/>
      <c r="PC510" s="457"/>
      <c r="PD510" s="457"/>
      <c r="PE510" s="457"/>
      <c r="PF510" s="457"/>
      <c r="PG510" s="457"/>
      <c r="PH510" s="457"/>
      <c r="PI510" s="457"/>
      <c r="PJ510" s="457"/>
      <c r="PK510" s="457"/>
      <c r="PL510" s="457"/>
      <c r="PM510" s="457"/>
      <c r="PN510" s="457"/>
      <c r="PO510" s="457"/>
      <c r="PP510" s="457"/>
      <c r="PQ510" s="457"/>
      <c r="PR510" s="457"/>
      <c r="PS510" s="457"/>
      <c r="PT510" s="457"/>
      <c r="PU510" s="457"/>
      <c r="PV510" s="457"/>
      <c r="PW510" s="457"/>
      <c r="PX510" s="457"/>
      <c r="PY510" s="457"/>
      <c r="PZ510" s="457"/>
      <c r="QA510" s="457"/>
      <c r="QB510" s="457"/>
      <c r="QC510" s="457"/>
      <c r="QD510" s="457"/>
      <c r="QE510" s="457"/>
      <c r="QF510" s="457"/>
      <c r="QG510" s="457"/>
      <c r="QH510" s="457"/>
      <c r="QI510" s="457"/>
      <c r="QJ510" s="457"/>
      <c r="QK510" s="457"/>
      <c r="QL510" s="457"/>
      <c r="QM510" s="457"/>
      <c r="QN510" s="457"/>
      <c r="QO510" s="457"/>
      <c r="QP510" s="457"/>
      <c r="QQ510" s="457"/>
      <c r="QR510" s="457"/>
      <c r="QS510" s="457"/>
      <c r="QT510" s="457"/>
      <c r="QU510" s="457"/>
      <c r="QV510" s="457"/>
      <c r="QW510" s="457"/>
      <c r="QX510" s="457"/>
      <c r="QY510" s="457"/>
      <c r="QZ510" s="457"/>
      <c r="RA510" s="457"/>
      <c r="RB510" s="457"/>
      <c r="RC510" s="457"/>
      <c r="RD510" s="457"/>
      <c r="RE510" s="457"/>
      <c r="RF510" s="457"/>
      <c r="RG510" s="457"/>
      <c r="RH510" s="457"/>
      <c r="RI510" s="457"/>
      <c r="RJ510" s="457"/>
      <c r="RK510" s="457"/>
      <c r="RL510" s="457"/>
      <c r="RM510" s="457"/>
      <c r="RN510" s="457"/>
      <c r="RO510" s="457"/>
      <c r="RP510" s="457"/>
      <c r="RQ510" s="457"/>
      <c r="RR510" s="457"/>
      <c r="RS510" s="457"/>
      <c r="RT510" s="457"/>
      <c r="RU510" s="457"/>
      <c r="RV510" s="457"/>
      <c r="RW510" s="457"/>
      <c r="RX510" s="457"/>
      <c r="RY510" s="457"/>
      <c r="RZ510" s="457"/>
      <c r="SA510" s="457"/>
      <c r="SB510" s="457"/>
      <c r="SC510" s="457"/>
      <c r="SD510" s="457"/>
      <c r="SE510" s="457"/>
      <c r="SF510" s="457"/>
      <c r="SG510" s="457"/>
      <c r="SH510" s="457"/>
      <c r="SI510" s="457"/>
      <c r="SJ510" s="457"/>
      <c r="SK510" s="457"/>
      <c r="SL510" s="457"/>
      <c r="SM510" s="457"/>
      <c r="SN510" s="457"/>
      <c r="SO510" s="457"/>
      <c r="SP510" s="457"/>
      <c r="SQ510" s="457"/>
      <c r="SR510" s="457"/>
      <c r="SS510" s="457"/>
      <c r="ST510" s="457"/>
      <c r="SU510" s="457"/>
      <c r="SV510" s="457"/>
      <c r="SW510" s="457"/>
      <c r="SX510" s="457"/>
      <c r="SY510" s="457"/>
      <c r="SZ510" s="457"/>
      <c r="TA510" s="457"/>
      <c r="TB510" s="457"/>
      <c r="TC510" s="457"/>
      <c r="TD510" s="457"/>
      <c r="TE510" s="457"/>
      <c r="TF510" s="457"/>
      <c r="TG510" s="457"/>
      <c r="TH510" s="457"/>
      <c r="TI510" s="457"/>
      <c r="TJ510" s="457"/>
      <c r="TK510" s="457"/>
      <c r="TL510" s="457"/>
      <c r="TM510" s="457"/>
      <c r="TN510" s="457"/>
      <c r="TO510" s="457"/>
      <c r="TP510" s="457"/>
      <c r="TQ510" s="457"/>
      <c r="TR510" s="457"/>
      <c r="TS510" s="457"/>
      <c r="TT510" s="457"/>
      <c r="TU510" s="457"/>
      <c r="TV510" s="457"/>
      <c r="TW510" s="457"/>
      <c r="TX510" s="457"/>
      <c r="TY510" s="457"/>
      <c r="TZ510" s="457"/>
      <c r="UA510" s="457"/>
      <c r="UB510" s="457"/>
      <c r="UC510" s="457"/>
      <c r="UD510" s="457"/>
      <c r="UE510" s="457"/>
      <c r="UF510" s="457"/>
      <c r="UG510" s="457"/>
      <c r="UH510" s="457"/>
      <c r="UI510" s="457"/>
      <c r="UJ510" s="457"/>
      <c r="UK510" s="457"/>
      <c r="UL510" s="457"/>
      <c r="UM510" s="457"/>
      <c r="UN510" s="457"/>
      <c r="UO510" s="457"/>
      <c r="UP510" s="457"/>
      <c r="UQ510" s="457"/>
      <c r="UR510" s="457"/>
      <c r="US510" s="457"/>
      <c r="UT510" s="457"/>
      <c r="UU510" s="457"/>
      <c r="UV510" s="457"/>
      <c r="UW510" s="457"/>
      <c r="UX510" s="457"/>
      <c r="UY510" s="457"/>
      <c r="UZ510" s="457"/>
      <c r="VA510" s="457"/>
      <c r="VB510" s="457"/>
      <c r="VC510" s="457"/>
      <c r="VD510" s="457"/>
      <c r="VE510" s="457"/>
      <c r="VF510" s="457"/>
      <c r="VG510" s="457"/>
      <c r="VH510" s="457"/>
      <c r="VI510" s="457"/>
      <c r="VJ510" s="457"/>
      <c r="VK510" s="457"/>
      <c r="VL510" s="457"/>
      <c r="VM510" s="457"/>
      <c r="VN510" s="457"/>
      <c r="VO510" s="457"/>
      <c r="VP510" s="457"/>
      <c r="VQ510" s="457"/>
      <c r="VR510" s="457"/>
      <c r="VS510" s="457"/>
      <c r="VT510" s="457"/>
      <c r="VU510" s="457"/>
      <c r="VV510" s="457"/>
      <c r="VW510" s="457"/>
      <c r="VX510" s="457"/>
      <c r="VY510" s="457"/>
      <c r="VZ510" s="457"/>
      <c r="WA510" s="457"/>
      <c r="WB510" s="457"/>
      <c r="WC510" s="457"/>
      <c r="WD510" s="457"/>
      <c r="WE510" s="457"/>
      <c r="WF510" s="457"/>
      <c r="WG510" s="457"/>
      <c r="WH510" s="457"/>
      <c r="WI510" s="457"/>
      <c r="WJ510" s="457"/>
      <c r="WK510" s="457"/>
      <c r="WL510" s="457"/>
      <c r="WM510" s="457"/>
      <c r="WN510" s="457"/>
      <c r="WO510" s="457"/>
      <c r="WP510" s="457"/>
      <c r="WQ510" s="457"/>
      <c r="WR510" s="457"/>
      <c r="WS510" s="457"/>
      <c r="WT510" s="457"/>
      <c r="WU510" s="457"/>
      <c r="WV510" s="457"/>
      <c r="WW510" s="457"/>
      <c r="WX510" s="457"/>
      <c r="WY510" s="457"/>
      <c r="WZ510" s="457"/>
      <c r="XA510" s="457"/>
      <c r="XB510" s="457"/>
      <c r="XC510" s="457"/>
      <c r="XD510" s="457"/>
      <c r="XE510" s="457"/>
      <c r="XF510" s="457"/>
      <c r="XG510" s="457"/>
      <c r="XH510" s="457"/>
      <c r="XI510" s="457"/>
      <c r="XJ510" s="457"/>
      <c r="XK510" s="457"/>
      <c r="XL510" s="457"/>
      <c r="XM510" s="457"/>
      <c r="XN510" s="457"/>
      <c r="XO510" s="457"/>
      <c r="XP510" s="457"/>
      <c r="XQ510" s="457"/>
      <c r="XR510" s="457"/>
      <c r="XS510" s="457"/>
      <c r="XT510" s="457"/>
      <c r="XU510" s="457"/>
      <c r="XV510" s="457"/>
      <c r="XW510" s="457"/>
      <c r="XX510" s="457"/>
      <c r="XY510" s="457"/>
      <c r="XZ510" s="457"/>
      <c r="YA510" s="457"/>
      <c r="YB510" s="457"/>
      <c r="YC510" s="457"/>
      <c r="YD510" s="457"/>
      <c r="YE510" s="457"/>
      <c r="YF510" s="457"/>
      <c r="YG510" s="457"/>
      <c r="YH510" s="457"/>
      <c r="YI510" s="457"/>
      <c r="YJ510" s="457"/>
      <c r="YK510" s="457"/>
      <c r="YL510" s="457"/>
      <c r="YM510" s="457"/>
      <c r="YN510" s="457"/>
      <c r="YO510" s="457"/>
      <c r="YP510" s="457"/>
      <c r="YQ510" s="457"/>
      <c r="YR510" s="457"/>
      <c r="YS510" s="457"/>
      <c r="YT510" s="457"/>
      <c r="YU510" s="457"/>
      <c r="YV510" s="457"/>
      <c r="YW510" s="457"/>
      <c r="YX510" s="457"/>
      <c r="YY510" s="457"/>
      <c r="YZ510" s="457"/>
      <c r="ZA510" s="457"/>
      <c r="ZB510" s="457"/>
      <c r="ZC510" s="457"/>
      <c r="ZD510" s="457"/>
      <c r="ZE510" s="457"/>
      <c r="ZF510" s="457"/>
      <c r="ZG510" s="457"/>
      <c r="ZH510" s="457"/>
      <c r="ZI510" s="457"/>
      <c r="ZJ510" s="457"/>
      <c r="ZK510" s="457"/>
      <c r="ZL510" s="457"/>
      <c r="ZM510" s="457"/>
      <c r="ZN510" s="457"/>
      <c r="ZO510" s="457"/>
      <c r="ZP510" s="457"/>
      <c r="ZQ510" s="457"/>
      <c r="ZR510" s="457"/>
      <c r="ZS510" s="457"/>
      <c r="ZT510" s="457"/>
      <c r="ZU510" s="457"/>
      <c r="ZV510" s="457"/>
      <c r="ZW510" s="457"/>
      <c r="ZX510" s="457"/>
      <c r="ZY510" s="457"/>
      <c r="ZZ510" s="457"/>
      <c r="AAA510" s="457"/>
      <c r="AAB510" s="457"/>
      <c r="AAC510" s="457"/>
      <c r="AAD510" s="457"/>
      <c r="AAE510" s="457"/>
      <c r="AAF510" s="457"/>
      <c r="AAG510" s="457"/>
      <c r="AAH510" s="457"/>
      <c r="AAI510" s="457"/>
      <c r="AAJ510" s="457"/>
      <c r="AAK510" s="457"/>
      <c r="AAL510" s="457"/>
      <c r="AAM510" s="457"/>
      <c r="AAN510" s="457"/>
      <c r="AAO510" s="457"/>
      <c r="AAP510" s="457"/>
      <c r="AAQ510" s="457"/>
      <c r="AAR510" s="457"/>
      <c r="AAS510" s="457"/>
      <c r="AAT510" s="457"/>
      <c r="AAU510" s="457"/>
      <c r="AAV510" s="457"/>
      <c r="AAW510" s="457"/>
      <c r="AAX510" s="457"/>
      <c r="AAY510" s="457"/>
      <c r="AAZ510" s="457"/>
      <c r="ABA510" s="457"/>
      <c r="ABB510" s="457"/>
      <c r="ABC510" s="457"/>
      <c r="ABD510" s="457"/>
      <c r="ABE510" s="457"/>
      <c r="ABF510" s="457"/>
      <c r="ABG510" s="457"/>
      <c r="ABH510" s="457"/>
      <c r="ABI510" s="457"/>
      <c r="ABJ510" s="457"/>
      <c r="ABK510" s="457"/>
      <c r="ABL510" s="457"/>
      <c r="ABM510" s="457"/>
      <c r="ABN510" s="457"/>
      <c r="ABO510" s="457"/>
      <c r="ABP510" s="457"/>
      <c r="ABQ510" s="457"/>
      <c r="ABR510" s="457"/>
      <c r="ABS510" s="457"/>
      <c r="ABT510" s="457"/>
      <c r="ABU510" s="457"/>
      <c r="ABV510" s="457"/>
      <c r="ABW510" s="457"/>
      <c r="ABX510" s="457"/>
      <c r="ABY510" s="457"/>
      <c r="ABZ510" s="457"/>
      <c r="ACA510" s="457"/>
      <c r="ACB510" s="457"/>
      <c r="ACC510" s="457"/>
      <c r="ACD510" s="457"/>
      <c r="ACE510" s="457"/>
      <c r="ACF510" s="457"/>
      <c r="ACG510" s="457"/>
      <c r="ACH510" s="457"/>
      <c r="ACI510" s="457"/>
      <c r="ACJ510" s="457"/>
      <c r="ACK510" s="457"/>
      <c r="ACL510" s="457"/>
      <c r="ACM510" s="457"/>
      <c r="ACN510" s="457"/>
      <c r="ACO510" s="457"/>
      <c r="ACP510" s="457"/>
      <c r="ACQ510" s="457"/>
      <c r="ACR510" s="457"/>
      <c r="ACS510" s="457"/>
      <c r="ACT510" s="457"/>
      <c r="ACU510" s="457"/>
      <c r="ACV510" s="457"/>
    </row>
    <row r="511" spans="1:776" s="400" customFormat="1" x14ac:dyDescent="0.25">
      <c r="A511" s="470">
        <v>900216</v>
      </c>
      <c r="B511" s="404" t="str">
        <f t="shared" si="13"/>
        <v>-9,37/+9,65  (EC  8)</v>
      </c>
      <c r="C511" s="455"/>
      <c r="D511" s="470">
        <v>7.5</v>
      </c>
      <c r="E511" s="454">
        <v>0.8</v>
      </c>
      <c r="F511" s="458">
        <v>13.5</v>
      </c>
      <c r="G511" s="454">
        <v>0</v>
      </c>
      <c r="H511" s="454">
        <v>0.05</v>
      </c>
      <c r="I511" s="456">
        <v>34.64</v>
      </c>
      <c r="J511" s="454">
        <v>77.22</v>
      </c>
      <c r="K511" s="454">
        <v>0.153</v>
      </c>
      <c r="L511" s="454">
        <v>400.8</v>
      </c>
      <c r="M511" s="454">
        <v>0</v>
      </c>
      <c r="N511" s="454">
        <v>1.89</v>
      </c>
      <c r="O511" s="454">
        <v>41.37</v>
      </c>
      <c r="P511" s="454">
        <v>71.22</v>
      </c>
      <c r="Q511" s="454">
        <v>50.85</v>
      </c>
      <c r="R511" s="454">
        <v>1.04</v>
      </c>
      <c r="S511" s="397">
        <v>1.0000000000000001E-5</v>
      </c>
      <c r="T511" s="397">
        <v>1.0000000000000001E-5</v>
      </c>
      <c r="U511" s="454">
        <v>0.04</v>
      </c>
      <c r="V511" s="397">
        <v>1.0000000000000001E-5</v>
      </c>
      <c r="W511" s="457"/>
      <c r="X511" s="457"/>
      <c r="Y511" s="457"/>
      <c r="Z511" s="457"/>
      <c r="AA511" s="457"/>
      <c r="AB511" s="457"/>
      <c r="AC511" s="457"/>
      <c r="AD511" s="457"/>
      <c r="AE511" s="457"/>
      <c r="AF511" s="457"/>
      <c r="AG511" s="457"/>
      <c r="AH511" s="457"/>
      <c r="AI511" s="457"/>
      <c r="AJ511" s="457"/>
      <c r="AK511" s="457"/>
      <c r="AL511" s="457"/>
      <c r="AM511" s="457"/>
      <c r="AN511" s="457"/>
      <c r="AO511" s="457"/>
      <c r="AP511" s="457"/>
      <c r="AQ511" s="457"/>
      <c r="AR511" s="457"/>
      <c r="AS511" s="457"/>
      <c r="AT511" s="457"/>
      <c r="AU511" s="457"/>
      <c r="AV511" s="457"/>
      <c r="AW511" s="457"/>
      <c r="AX511" s="457"/>
      <c r="AY511" s="457"/>
      <c r="AZ511" s="457"/>
      <c r="BA511" s="457"/>
      <c r="BB511" s="457"/>
      <c r="BC511" s="457"/>
      <c r="BD511" s="457"/>
      <c r="BE511" s="457"/>
      <c r="BF511" s="457"/>
      <c r="BG511" s="457"/>
      <c r="BH511" s="457"/>
      <c r="BI511" s="457"/>
      <c r="BJ511" s="457"/>
      <c r="BK511" s="457"/>
      <c r="BL511" s="457"/>
      <c r="BM511" s="457"/>
      <c r="BN511" s="457"/>
      <c r="BO511" s="457"/>
      <c r="BP511" s="457"/>
      <c r="BQ511" s="457"/>
      <c r="BR511" s="457"/>
      <c r="BS511" s="457"/>
      <c r="BT511" s="457"/>
      <c r="BU511" s="457"/>
      <c r="BV511" s="457"/>
      <c r="BW511" s="457"/>
      <c r="BX511" s="457"/>
      <c r="BY511" s="457"/>
      <c r="BZ511" s="457"/>
      <c r="CA511" s="457"/>
      <c r="CB511" s="457"/>
      <c r="CC511" s="457"/>
      <c r="CD511" s="457"/>
      <c r="CE511" s="457"/>
      <c r="CF511" s="457"/>
      <c r="CG511" s="457"/>
      <c r="CH511" s="457"/>
      <c r="CI511" s="457"/>
      <c r="CJ511" s="457"/>
      <c r="CK511" s="457"/>
      <c r="CL511" s="457"/>
      <c r="CM511" s="457"/>
      <c r="CN511" s="457"/>
      <c r="CO511" s="457"/>
      <c r="CP511" s="457"/>
      <c r="CQ511" s="457"/>
      <c r="CR511" s="457"/>
      <c r="CS511" s="457"/>
      <c r="CT511" s="457"/>
      <c r="CU511" s="457"/>
      <c r="CV511" s="457"/>
      <c r="CW511" s="457"/>
      <c r="CX511" s="457"/>
      <c r="CY511" s="457"/>
      <c r="CZ511" s="457"/>
      <c r="DA511" s="457"/>
      <c r="DB511" s="457"/>
      <c r="DC511" s="457"/>
      <c r="DD511" s="457"/>
      <c r="DE511" s="457"/>
      <c r="DF511" s="457"/>
      <c r="DG511" s="457"/>
      <c r="DH511" s="457"/>
      <c r="DI511" s="457"/>
      <c r="DJ511" s="457"/>
      <c r="DK511" s="457"/>
      <c r="DL511" s="457"/>
      <c r="DM511" s="457"/>
      <c r="DN511" s="457"/>
      <c r="DO511" s="457"/>
      <c r="DP511" s="457"/>
      <c r="DQ511" s="457"/>
      <c r="DR511" s="457"/>
      <c r="DS511" s="457"/>
      <c r="DT511" s="457"/>
      <c r="DU511" s="457"/>
      <c r="DV511" s="457"/>
      <c r="DW511" s="457"/>
      <c r="DX511" s="457"/>
      <c r="DY511" s="457"/>
      <c r="DZ511" s="457"/>
      <c r="EA511" s="457"/>
      <c r="EB511" s="457"/>
      <c r="EC511" s="457"/>
      <c r="ED511" s="457"/>
      <c r="EE511" s="457"/>
      <c r="EF511" s="457"/>
      <c r="EG511" s="457"/>
      <c r="EH511" s="457"/>
      <c r="EI511" s="457"/>
      <c r="EJ511" s="457"/>
      <c r="EK511" s="457"/>
      <c r="EL511" s="457"/>
      <c r="EM511" s="457"/>
      <c r="EN511" s="457"/>
      <c r="EO511" s="457"/>
      <c r="EP511" s="457"/>
      <c r="EQ511" s="457"/>
      <c r="ER511" s="457"/>
      <c r="ES511" s="457"/>
      <c r="ET511" s="457"/>
      <c r="EU511" s="457"/>
      <c r="EV511" s="457"/>
      <c r="EW511" s="457"/>
      <c r="EX511" s="457"/>
      <c r="EY511" s="457"/>
      <c r="EZ511" s="457"/>
      <c r="FA511" s="457"/>
      <c r="FB511" s="457"/>
      <c r="FC511" s="457"/>
      <c r="FD511" s="457"/>
      <c r="FE511" s="457"/>
      <c r="FF511" s="457"/>
      <c r="FG511" s="457"/>
      <c r="FH511" s="457"/>
      <c r="FI511" s="457"/>
      <c r="FJ511" s="457"/>
      <c r="FK511" s="457"/>
      <c r="FL511" s="457"/>
      <c r="FM511" s="457"/>
      <c r="FN511" s="457"/>
      <c r="FO511" s="457"/>
      <c r="FP511" s="457"/>
      <c r="FQ511" s="457"/>
      <c r="FR511" s="457"/>
      <c r="FS511" s="457"/>
      <c r="FT511" s="457"/>
      <c r="FU511" s="457"/>
      <c r="FV511" s="457"/>
      <c r="FW511" s="457"/>
      <c r="FX511" s="457"/>
      <c r="FY511" s="457"/>
      <c r="FZ511" s="457"/>
      <c r="GA511" s="457"/>
      <c r="GB511" s="457"/>
      <c r="GC511" s="457"/>
      <c r="GD511" s="457"/>
      <c r="GE511" s="457"/>
      <c r="GF511" s="457"/>
      <c r="GG511" s="457"/>
      <c r="GH511" s="457"/>
      <c r="GI511" s="457"/>
      <c r="GJ511" s="457"/>
      <c r="GK511" s="457"/>
      <c r="GL511" s="457"/>
      <c r="GM511" s="457"/>
      <c r="GN511" s="457"/>
      <c r="GO511" s="457"/>
      <c r="GP511" s="457"/>
      <c r="GQ511" s="457"/>
      <c r="GR511" s="457"/>
      <c r="GS511" s="457"/>
      <c r="GT511" s="457"/>
      <c r="GU511" s="457"/>
      <c r="GV511" s="457"/>
      <c r="GW511" s="457"/>
      <c r="GX511" s="457"/>
      <c r="GY511" s="457"/>
      <c r="GZ511" s="457"/>
      <c r="HA511" s="457"/>
      <c r="HB511" s="457"/>
      <c r="HC511" s="457"/>
      <c r="HD511" s="457"/>
      <c r="HE511" s="457"/>
      <c r="HF511" s="457"/>
      <c r="HG511" s="457"/>
      <c r="HH511" s="457"/>
      <c r="HI511" s="457"/>
      <c r="HJ511" s="457"/>
      <c r="HK511" s="457"/>
      <c r="HL511" s="457"/>
      <c r="HM511" s="457"/>
      <c r="HN511" s="457"/>
      <c r="HO511" s="457"/>
      <c r="HP511" s="457"/>
      <c r="HQ511" s="457"/>
      <c r="HR511" s="457"/>
      <c r="HS511" s="457"/>
      <c r="HT511" s="457"/>
      <c r="HU511" s="457"/>
      <c r="HV511" s="457"/>
      <c r="HW511" s="457"/>
      <c r="HX511" s="457"/>
      <c r="HY511" s="457"/>
      <c r="HZ511" s="457"/>
      <c r="IA511" s="457"/>
      <c r="IB511" s="457"/>
      <c r="IC511" s="457"/>
      <c r="ID511" s="457"/>
      <c r="IE511" s="457"/>
      <c r="IF511" s="457"/>
      <c r="IG511" s="457"/>
      <c r="IH511" s="457"/>
      <c r="II511" s="457"/>
      <c r="IJ511" s="457"/>
      <c r="IK511" s="457"/>
      <c r="IL511" s="457"/>
      <c r="IM511" s="457"/>
      <c r="IN511" s="457"/>
      <c r="IO511" s="457"/>
      <c r="IP511" s="457"/>
      <c r="IQ511" s="457"/>
      <c r="IR511" s="457"/>
      <c r="IS511" s="457"/>
      <c r="IT511" s="457"/>
      <c r="IU511" s="457"/>
      <c r="IV511" s="457"/>
      <c r="IW511" s="457"/>
      <c r="IX511" s="457"/>
      <c r="IY511" s="457"/>
      <c r="IZ511" s="457"/>
      <c r="JA511" s="457"/>
      <c r="JB511" s="457"/>
      <c r="JC511" s="457"/>
      <c r="JD511" s="457"/>
      <c r="JE511" s="457"/>
      <c r="JF511" s="457"/>
      <c r="JG511" s="457"/>
      <c r="JH511" s="457"/>
      <c r="JI511" s="457"/>
      <c r="JJ511" s="457"/>
      <c r="JK511" s="457"/>
      <c r="JL511" s="457"/>
      <c r="JM511" s="457"/>
      <c r="JN511" s="457"/>
      <c r="JO511" s="457"/>
      <c r="JP511" s="457"/>
      <c r="JQ511" s="457"/>
      <c r="JR511" s="457"/>
      <c r="JS511" s="457"/>
      <c r="JT511" s="457"/>
      <c r="JU511" s="457"/>
      <c r="JV511" s="457"/>
      <c r="JW511" s="457"/>
      <c r="JX511" s="457"/>
      <c r="JY511" s="457"/>
      <c r="JZ511" s="457"/>
      <c r="KA511" s="457"/>
      <c r="KB511" s="457"/>
      <c r="KC511" s="457"/>
      <c r="KD511" s="457"/>
      <c r="KE511" s="457"/>
      <c r="KF511" s="457"/>
      <c r="KG511" s="457"/>
      <c r="KH511" s="457"/>
      <c r="KI511" s="457"/>
      <c r="KJ511" s="457"/>
      <c r="KK511" s="457"/>
      <c r="KL511" s="457"/>
      <c r="KM511" s="457"/>
      <c r="KN511" s="457"/>
      <c r="KO511" s="457"/>
      <c r="KP511" s="457"/>
      <c r="KQ511" s="457"/>
      <c r="KR511" s="457"/>
      <c r="KS511" s="457"/>
      <c r="KT511" s="457"/>
      <c r="KU511" s="457"/>
      <c r="KV511" s="457"/>
      <c r="KW511" s="457"/>
      <c r="KX511" s="457"/>
      <c r="KY511" s="457"/>
      <c r="KZ511" s="457"/>
      <c r="LA511" s="457"/>
      <c r="LB511" s="457"/>
      <c r="LC511" s="457"/>
      <c r="LD511" s="457"/>
      <c r="LE511" s="457"/>
      <c r="LF511" s="457"/>
      <c r="LG511" s="457"/>
      <c r="LH511" s="457"/>
      <c r="LI511" s="457"/>
      <c r="LJ511" s="457"/>
      <c r="LK511" s="457"/>
      <c r="LL511" s="457"/>
      <c r="LM511" s="457"/>
      <c r="LN511" s="457"/>
      <c r="LO511" s="457"/>
      <c r="LP511" s="457"/>
      <c r="LQ511" s="457"/>
      <c r="LR511" s="457"/>
      <c r="LS511" s="457"/>
      <c r="LT511" s="457"/>
      <c r="LU511" s="457"/>
      <c r="LV511" s="457"/>
      <c r="LW511" s="457"/>
      <c r="LX511" s="457"/>
      <c r="LY511" s="457"/>
      <c r="LZ511" s="457"/>
      <c r="MA511" s="457"/>
      <c r="MB511" s="457"/>
      <c r="MC511" s="457"/>
      <c r="MD511" s="457"/>
      <c r="ME511" s="457"/>
      <c r="MF511" s="457"/>
      <c r="MG511" s="457"/>
      <c r="MH511" s="457"/>
      <c r="MI511" s="457"/>
      <c r="MJ511" s="457"/>
      <c r="MK511" s="457"/>
      <c r="ML511" s="457"/>
      <c r="MM511" s="457"/>
      <c r="MN511" s="457"/>
      <c r="MO511" s="457"/>
      <c r="MP511" s="457"/>
      <c r="MQ511" s="457"/>
      <c r="MR511" s="457"/>
      <c r="MS511" s="457"/>
      <c r="MT511" s="457"/>
      <c r="MU511" s="457"/>
      <c r="MV511" s="457"/>
      <c r="MW511" s="457"/>
      <c r="MX511" s="457"/>
      <c r="MY511" s="457"/>
      <c r="MZ511" s="457"/>
      <c r="NA511" s="457"/>
      <c r="NB511" s="457"/>
      <c r="NC511" s="457"/>
      <c r="ND511" s="457"/>
      <c r="NE511" s="457"/>
      <c r="NF511" s="457"/>
      <c r="NG511" s="457"/>
      <c r="NH511" s="457"/>
      <c r="NI511" s="457"/>
      <c r="NJ511" s="457"/>
      <c r="NK511" s="457"/>
      <c r="NL511" s="457"/>
      <c r="NM511" s="457"/>
      <c r="NN511" s="457"/>
      <c r="NO511" s="457"/>
      <c r="NP511" s="457"/>
      <c r="NQ511" s="457"/>
      <c r="NR511" s="457"/>
      <c r="NS511" s="457"/>
      <c r="NT511" s="457"/>
      <c r="NU511" s="457"/>
      <c r="NV511" s="457"/>
      <c r="NW511" s="457"/>
      <c r="NX511" s="457"/>
      <c r="NY511" s="457"/>
      <c r="NZ511" s="457"/>
      <c r="OA511" s="457"/>
      <c r="OB511" s="457"/>
      <c r="OC511" s="457"/>
      <c r="OD511" s="457"/>
      <c r="OE511" s="457"/>
      <c r="OF511" s="457"/>
      <c r="OG511" s="457"/>
      <c r="OH511" s="457"/>
      <c r="OI511" s="457"/>
      <c r="OJ511" s="457"/>
      <c r="OK511" s="457"/>
      <c r="OL511" s="457"/>
      <c r="OM511" s="457"/>
      <c r="ON511" s="457"/>
      <c r="OO511" s="457"/>
      <c r="OP511" s="457"/>
      <c r="OQ511" s="457"/>
      <c r="OR511" s="457"/>
      <c r="OS511" s="457"/>
      <c r="OT511" s="457"/>
      <c r="OU511" s="457"/>
      <c r="OV511" s="457"/>
      <c r="OW511" s="457"/>
      <c r="OX511" s="457"/>
      <c r="OY511" s="457"/>
      <c r="OZ511" s="457"/>
      <c r="PA511" s="457"/>
      <c r="PB511" s="457"/>
      <c r="PC511" s="457"/>
      <c r="PD511" s="457"/>
      <c r="PE511" s="457"/>
      <c r="PF511" s="457"/>
      <c r="PG511" s="457"/>
      <c r="PH511" s="457"/>
      <c r="PI511" s="457"/>
      <c r="PJ511" s="457"/>
      <c r="PK511" s="457"/>
      <c r="PL511" s="457"/>
      <c r="PM511" s="457"/>
      <c r="PN511" s="457"/>
      <c r="PO511" s="457"/>
      <c r="PP511" s="457"/>
      <c r="PQ511" s="457"/>
      <c r="PR511" s="457"/>
      <c r="PS511" s="457"/>
      <c r="PT511" s="457"/>
      <c r="PU511" s="457"/>
      <c r="PV511" s="457"/>
      <c r="PW511" s="457"/>
      <c r="PX511" s="457"/>
      <c r="PY511" s="457"/>
      <c r="PZ511" s="457"/>
      <c r="QA511" s="457"/>
      <c r="QB511" s="457"/>
      <c r="QC511" s="457"/>
      <c r="QD511" s="457"/>
      <c r="QE511" s="457"/>
      <c r="QF511" s="457"/>
      <c r="QG511" s="457"/>
      <c r="QH511" s="457"/>
      <c r="QI511" s="457"/>
      <c r="QJ511" s="457"/>
      <c r="QK511" s="457"/>
      <c r="QL511" s="457"/>
      <c r="QM511" s="457"/>
      <c r="QN511" s="457"/>
      <c r="QO511" s="457"/>
      <c r="QP511" s="457"/>
      <c r="QQ511" s="457"/>
      <c r="QR511" s="457"/>
      <c r="QS511" s="457"/>
      <c r="QT511" s="457"/>
      <c r="QU511" s="457"/>
      <c r="QV511" s="457"/>
      <c r="QW511" s="457"/>
      <c r="QX511" s="457"/>
      <c r="QY511" s="457"/>
      <c r="QZ511" s="457"/>
      <c r="RA511" s="457"/>
      <c r="RB511" s="457"/>
      <c r="RC511" s="457"/>
      <c r="RD511" s="457"/>
      <c r="RE511" s="457"/>
      <c r="RF511" s="457"/>
      <c r="RG511" s="457"/>
      <c r="RH511" s="457"/>
      <c r="RI511" s="457"/>
      <c r="RJ511" s="457"/>
      <c r="RK511" s="457"/>
      <c r="RL511" s="457"/>
      <c r="RM511" s="457"/>
      <c r="RN511" s="457"/>
      <c r="RO511" s="457"/>
      <c r="RP511" s="457"/>
      <c r="RQ511" s="457"/>
      <c r="RR511" s="457"/>
      <c r="RS511" s="457"/>
      <c r="RT511" s="457"/>
      <c r="RU511" s="457"/>
      <c r="RV511" s="457"/>
      <c r="RW511" s="457"/>
      <c r="RX511" s="457"/>
      <c r="RY511" s="457"/>
      <c r="RZ511" s="457"/>
      <c r="SA511" s="457"/>
      <c r="SB511" s="457"/>
      <c r="SC511" s="457"/>
      <c r="SD511" s="457"/>
      <c r="SE511" s="457"/>
      <c r="SF511" s="457"/>
      <c r="SG511" s="457"/>
      <c r="SH511" s="457"/>
      <c r="SI511" s="457"/>
      <c r="SJ511" s="457"/>
      <c r="SK511" s="457"/>
      <c r="SL511" s="457"/>
      <c r="SM511" s="457"/>
      <c r="SN511" s="457"/>
      <c r="SO511" s="457"/>
      <c r="SP511" s="457"/>
      <c r="SQ511" s="457"/>
      <c r="SR511" s="457"/>
      <c r="SS511" s="457"/>
      <c r="ST511" s="457"/>
      <c r="SU511" s="457"/>
      <c r="SV511" s="457"/>
      <c r="SW511" s="457"/>
      <c r="SX511" s="457"/>
      <c r="SY511" s="457"/>
      <c r="SZ511" s="457"/>
      <c r="TA511" s="457"/>
      <c r="TB511" s="457"/>
      <c r="TC511" s="457"/>
      <c r="TD511" s="457"/>
      <c r="TE511" s="457"/>
      <c r="TF511" s="457"/>
      <c r="TG511" s="457"/>
      <c r="TH511" s="457"/>
      <c r="TI511" s="457"/>
      <c r="TJ511" s="457"/>
      <c r="TK511" s="457"/>
      <c r="TL511" s="457"/>
      <c r="TM511" s="457"/>
      <c r="TN511" s="457"/>
      <c r="TO511" s="457"/>
      <c r="TP511" s="457"/>
      <c r="TQ511" s="457"/>
      <c r="TR511" s="457"/>
      <c r="TS511" s="457"/>
      <c r="TT511" s="457"/>
      <c r="TU511" s="457"/>
      <c r="TV511" s="457"/>
      <c r="TW511" s="457"/>
      <c r="TX511" s="457"/>
      <c r="TY511" s="457"/>
      <c r="TZ511" s="457"/>
      <c r="UA511" s="457"/>
      <c r="UB511" s="457"/>
      <c r="UC511" s="457"/>
      <c r="UD511" s="457"/>
      <c r="UE511" s="457"/>
      <c r="UF511" s="457"/>
      <c r="UG511" s="457"/>
      <c r="UH511" s="457"/>
      <c r="UI511" s="457"/>
      <c r="UJ511" s="457"/>
      <c r="UK511" s="457"/>
      <c r="UL511" s="457"/>
      <c r="UM511" s="457"/>
      <c r="UN511" s="457"/>
      <c r="UO511" s="457"/>
      <c r="UP511" s="457"/>
      <c r="UQ511" s="457"/>
      <c r="UR511" s="457"/>
      <c r="US511" s="457"/>
      <c r="UT511" s="457"/>
      <c r="UU511" s="457"/>
      <c r="UV511" s="457"/>
      <c r="UW511" s="457"/>
      <c r="UX511" s="457"/>
      <c r="UY511" s="457"/>
      <c r="UZ511" s="457"/>
      <c r="VA511" s="457"/>
      <c r="VB511" s="457"/>
      <c r="VC511" s="457"/>
      <c r="VD511" s="457"/>
      <c r="VE511" s="457"/>
      <c r="VF511" s="457"/>
      <c r="VG511" s="457"/>
      <c r="VH511" s="457"/>
      <c r="VI511" s="457"/>
      <c r="VJ511" s="457"/>
      <c r="VK511" s="457"/>
      <c r="VL511" s="457"/>
      <c r="VM511" s="457"/>
      <c r="VN511" s="457"/>
      <c r="VO511" s="457"/>
      <c r="VP511" s="457"/>
      <c r="VQ511" s="457"/>
      <c r="VR511" s="457"/>
      <c r="VS511" s="457"/>
      <c r="VT511" s="457"/>
      <c r="VU511" s="457"/>
      <c r="VV511" s="457"/>
      <c r="VW511" s="457"/>
      <c r="VX511" s="457"/>
      <c r="VY511" s="457"/>
      <c r="VZ511" s="457"/>
      <c r="WA511" s="457"/>
      <c r="WB511" s="457"/>
      <c r="WC511" s="457"/>
      <c r="WD511" s="457"/>
      <c r="WE511" s="457"/>
      <c r="WF511" s="457"/>
      <c r="WG511" s="457"/>
      <c r="WH511" s="457"/>
      <c r="WI511" s="457"/>
      <c r="WJ511" s="457"/>
      <c r="WK511" s="457"/>
      <c r="WL511" s="457"/>
      <c r="WM511" s="457"/>
      <c r="WN511" s="457"/>
      <c r="WO511" s="457"/>
      <c r="WP511" s="457"/>
      <c r="WQ511" s="457"/>
      <c r="WR511" s="457"/>
      <c r="WS511" s="457"/>
      <c r="WT511" s="457"/>
      <c r="WU511" s="457"/>
      <c r="WV511" s="457"/>
      <c r="WW511" s="457"/>
      <c r="WX511" s="457"/>
      <c r="WY511" s="457"/>
      <c r="WZ511" s="457"/>
      <c r="XA511" s="457"/>
      <c r="XB511" s="457"/>
      <c r="XC511" s="457"/>
      <c r="XD511" s="457"/>
      <c r="XE511" s="457"/>
      <c r="XF511" s="457"/>
      <c r="XG511" s="457"/>
      <c r="XH511" s="457"/>
      <c r="XI511" s="457"/>
      <c r="XJ511" s="457"/>
      <c r="XK511" s="457"/>
      <c r="XL511" s="457"/>
      <c r="XM511" s="457"/>
      <c r="XN511" s="457"/>
      <c r="XO511" s="457"/>
      <c r="XP511" s="457"/>
      <c r="XQ511" s="457"/>
      <c r="XR511" s="457"/>
      <c r="XS511" s="457"/>
      <c r="XT511" s="457"/>
      <c r="XU511" s="457"/>
      <c r="XV511" s="457"/>
      <c r="XW511" s="457"/>
      <c r="XX511" s="457"/>
      <c r="XY511" s="457"/>
      <c r="XZ511" s="457"/>
      <c r="YA511" s="457"/>
      <c r="YB511" s="457"/>
      <c r="YC511" s="457"/>
      <c r="YD511" s="457"/>
      <c r="YE511" s="457"/>
      <c r="YF511" s="457"/>
      <c r="YG511" s="457"/>
      <c r="YH511" s="457"/>
      <c r="YI511" s="457"/>
      <c r="YJ511" s="457"/>
      <c r="YK511" s="457"/>
      <c r="YL511" s="457"/>
      <c r="YM511" s="457"/>
      <c r="YN511" s="457"/>
      <c r="YO511" s="457"/>
      <c r="YP511" s="457"/>
      <c r="YQ511" s="457"/>
      <c r="YR511" s="457"/>
      <c r="YS511" s="457"/>
      <c r="YT511" s="457"/>
      <c r="YU511" s="457"/>
      <c r="YV511" s="457"/>
      <c r="YW511" s="457"/>
      <c r="YX511" s="457"/>
      <c r="YY511" s="457"/>
      <c r="YZ511" s="457"/>
      <c r="ZA511" s="457"/>
      <c r="ZB511" s="457"/>
      <c r="ZC511" s="457"/>
      <c r="ZD511" s="457"/>
      <c r="ZE511" s="457"/>
      <c r="ZF511" s="457"/>
      <c r="ZG511" s="457"/>
      <c r="ZH511" s="457"/>
      <c r="ZI511" s="457"/>
      <c r="ZJ511" s="457"/>
      <c r="ZK511" s="457"/>
      <c r="ZL511" s="457"/>
      <c r="ZM511" s="457"/>
      <c r="ZN511" s="457"/>
      <c r="ZO511" s="457"/>
      <c r="ZP511" s="457"/>
      <c r="ZQ511" s="457"/>
      <c r="ZR511" s="457"/>
      <c r="ZS511" s="457"/>
      <c r="ZT511" s="457"/>
      <c r="ZU511" s="457"/>
      <c r="ZV511" s="457"/>
      <c r="ZW511" s="457"/>
      <c r="ZX511" s="457"/>
      <c r="ZY511" s="457"/>
      <c r="ZZ511" s="457"/>
      <c r="AAA511" s="457"/>
      <c r="AAB511" s="457"/>
      <c r="AAC511" s="457"/>
      <c r="AAD511" s="457"/>
      <c r="AAE511" s="457"/>
      <c r="AAF511" s="457"/>
      <c r="AAG511" s="457"/>
      <c r="AAH511" s="457"/>
      <c r="AAI511" s="457"/>
      <c r="AAJ511" s="457"/>
      <c r="AAK511" s="457"/>
      <c r="AAL511" s="457"/>
      <c r="AAM511" s="457"/>
      <c r="AAN511" s="457"/>
      <c r="AAO511" s="457"/>
      <c r="AAP511" s="457"/>
      <c r="AAQ511" s="457"/>
      <c r="AAR511" s="457"/>
      <c r="AAS511" s="457"/>
      <c r="AAT511" s="457"/>
      <c r="AAU511" s="457"/>
      <c r="AAV511" s="457"/>
      <c r="AAW511" s="457"/>
      <c r="AAX511" s="457"/>
      <c r="AAY511" s="457"/>
      <c r="AAZ511" s="457"/>
      <c r="ABA511" s="457"/>
      <c r="ABB511" s="457"/>
      <c r="ABC511" s="457"/>
      <c r="ABD511" s="457"/>
      <c r="ABE511" s="457"/>
      <c r="ABF511" s="457"/>
      <c r="ABG511" s="457"/>
      <c r="ABH511" s="457"/>
      <c r="ABI511" s="457"/>
      <c r="ABJ511" s="457"/>
      <c r="ABK511" s="457"/>
      <c r="ABL511" s="457"/>
      <c r="ABM511" s="457"/>
      <c r="ABN511" s="457"/>
      <c r="ABO511" s="457"/>
      <c r="ABP511" s="457"/>
      <c r="ABQ511" s="457"/>
      <c r="ABR511" s="457"/>
      <c r="ABS511" s="457"/>
      <c r="ABT511" s="457"/>
      <c r="ABU511" s="457"/>
      <c r="ABV511" s="457"/>
      <c r="ABW511" s="457"/>
      <c r="ABX511" s="457"/>
      <c r="ABY511" s="457"/>
      <c r="ABZ511" s="457"/>
      <c r="ACA511" s="457"/>
      <c r="ACB511" s="457"/>
      <c r="ACC511" s="457"/>
      <c r="ACD511" s="457"/>
      <c r="ACE511" s="457"/>
      <c r="ACF511" s="457"/>
      <c r="ACG511" s="457"/>
      <c r="ACH511" s="457"/>
      <c r="ACI511" s="457"/>
      <c r="ACJ511" s="457"/>
      <c r="ACK511" s="457"/>
      <c r="ACL511" s="457"/>
      <c r="ACM511" s="457"/>
      <c r="ACN511" s="457"/>
      <c r="ACO511" s="457"/>
      <c r="ACP511" s="457"/>
      <c r="ACQ511" s="457"/>
      <c r="ACR511" s="457"/>
      <c r="ACS511" s="457"/>
      <c r="ACT511" s="457"/>
      <c r="ACU511" s="457"/>
      <c r="ACV511" s="457"/>
    </row>
    <row r="512" spans="1:776" s="400" customFormat="1" x14ac:dyDescent="0.25">
      <c r="A512" s="470">
        <v>900217</v>
      </c>
      <c r="B512" s="404" t="str">
        <f t="shared" si="13"/>
        <v>-2,30/+2,10  (EC  2,3)</v>
      </c>
      <c r="C512" s="455"/>
      <c r="D512" s="470">
        <v>7.38</v>
      </c>
      <c r="E512" s="454">
        <v>0.23</v>
      </c>
      <c r="F512" s="458">
        <v>4.5</v>
      </c>
      <c r="G512" s="454">
        <v>0</v>
      </c>
      <c r="H512" s="454">
        <v>0.04</v>
      </c>
      <c r="I512" s="456">
        <v>56.51</v>
      </c>
      <c r="J512" s="454">
        <v>15.28</v>
      </c>
      <c r="K512" s="454">
        <v>0.153</v>
      </c>
      <c r="L512" s="454">
        <v>19.2</v>
      </c>
      <c r="M512" s="454">
        <v>0</v>
      </c>
      <c r="N512" s="454">
        <v>1.48</v>
      </c>
      <c r="O512" s="454">
        <v>40.68</v>
      </c>
      <c r="P512" s="454">
        <v>3.65</v>
      </c>
      <c r="Q512" s="454">
        <v>1.31</v>
      </c>
      <c r="R512" s="454">
        <v>0.01</v>
      </c>
      <c r="S512" s="397">
        <v>1.0000000000000001E-5</v>
      </c>
      <c r="T512" s="397">
        <v>1.0000000000000001E-5</v>
      </c>
      <c r="U512" s="454">
        <v>0.01</v>
      </c>
      <c r="V512" s="397">
        <v>1.0000000000000001E-5</v>
      </c>
      <c r="W512" s="457"/>
      <c r="X512" s="457"/>
      <c r="Y512" s="457"/>
      <c r="Z512" s="457"/>
      <c r="AA512" s="457"/>
      <c r="AB512" s="457"/>
      <c r="AC512" s="457"/>
      <c r="AD512" s="457"/>
      <c r="AE512" s="457"/>
      <c r="AF512" s="457"/>
      <c r="AG512" s="457"/>
      <c r="AH512" s="457"/>
      <c r="AI512" s="457"/>
      <c r="AJ512" s="457"/>
      <c r="AK512" s="457"/>
      <c r="AL512" s="457"/>
      <c r="AM512" s="457"/>
      <c r="AN512" s="457"/>
      <c r="AO512" s="457"/>
      <c r="AP512" s="457"/>
      <c r="AQ512" s="457"/>
      <c r="AR512" s="457"/>
      <c r="AS512" s="457"/>
      <c r="AT512" s="457"/>
      <c r="AU512" s="457"/>
      <c r="AV512" s="457"/>
      <c r="AW512" s="457"/>
      <c r="AX512" s="457"/>
      <c r="AY512" s="457"/>
      <c r="AZ512" s="457"/>
      <c r="BA512" s="457"/>
      <c r="BB512" s="457"/>
      <c r="BC512" s="457"/>
      <c r="BD512" s="457"/>
      <c r="BE512" s="457"/>
      <c r="BF512" s="457"/>
      <c r="BG512" s="457"/>
      <c r="BH512" s="457"/>
      <c r="BI512" s="457"/>
      <c r="BJ512" s="457"/>
      <c r="BK512" s="457"/>
      <c r="BL512" s="457"/>
      <c r="BM512" s="457"/>
      <c r="BN512" s="457"/>
      <c r="BO512" s="457"/>
      <c r="BP512" s="457"/>
      <c r="BQ512" s="457"/>
      <c r="BR512" s="457"/>
      <c r="BS512" s="457"/>
      <c r="BT512" s="457"/>
      <c r="BU512" s="457"/>
      <c r="BV512" s="457"/>
      <c r="BW512" s="457"/>
      <c r="BX512" s="457"/>
      <c r="BY512" s="457"/>
      <c r="BZ512" s="457"/>
      <c r="CA512" s="457"/>
      <c r="CB512" s="457"/>
      <c r="CC512" s="457"/>
      <c r="CD512" s="457"/>
      <c r="CE512" s="457"/>
      <c r="CF512" s="457"/>
      <c r="CG512" s="457"/>
      <c r="CH512" s="457"/>
      <c r="CI512" s="457"/>
      <c r="CJ512" s="457"/>
      <c r="CK512" s="457"/>
      <c r="CL512" s="457"/>
      <c r="CM512" s="457"/>
      <c r="CN512" s="457"/>
      <c r="CO512" s="457"/>
      <c r="CP512" s="457"/>
      <c r="CQ512" s="457"/>
      <c r="CR512" s="457"/>
      <c r="CS512" s="457"/>
      <c r="CT512" s="457"/>
      <c r="CU512" s="457"/>
      <c r="CV512" s="457"/>
      <c r="CW512" s="457"/>
      <c r="CX512" s="457"/>
      <c r="CY512" s="457"/>
      <c r="CZ512" s="457"/>
      <c r="DA512" s="457"/>
      <c r="DB512" s="457"/>
      <c r="DC512" s="457"/>
      <c r="DD512" s="457"/>
      <c r="DE512" s="457"/>
      <c r="DF512" s="457"/>
      <c r="DG512" s="457"/>
      <c r="DH512" s="457"/>
      <c r="DI512" s="457"/>
      <c r="DJ512" s="457"/>
      <c r="DK512" s="457"/>
      <c r="DL512" s="457"/>
      <c r="DM512" s="457"/>
      <c r="DN512" s="457"/>
      <c r="DO512" s="457"/>
      <c r="DP512" s="457"/>
      <c r="DQ512" s="457"/>
      <c r="DR512" s="457"/>
      <c r="DS512" s="457"/>
      <c r="DT512" s="457"/>
      <c r="DU512" s="457"/>
      <c r="DV512" s="457"/>
      <c r="DW512" s="457"/>
      <c r="DX512" s="457"/>
      <c r="DY512" s="457"/>
      <c r="DZ512" s="457"/>
      <c r="EA512" s="457"/>
      <c r="EB512" s="457"/>
      <c r="EC512" s="457"/>
      <c r="ED512" s="457"/>
      <c r="EE512" s="457"/>
      <c r="EF512" s="457"/>
      <c r="EG512" s="457"/>
      <c r="EH512" s="457"/>
      <c r="EI512" s="457"/>
      <c r="EJ512" s="457"/>
      <c r="EK512" s="457"/>
      <c r="EL512" s="457"/>
      <c r="EM512" s="457"/>
      <c r="EN512" s="457"/>
      <c r="EO512" s="457"/>
      <c r="EP512" s="457"/>
      <c r="EQ512" s="457"/>
      <c r="ER512" s="457"/>
      <c r="ES512" s="457"/>
      <c r="ET512" s="457"/>
      <c r="EU512" s="457"/>
      <c r="EV512" s="457"/>
      <c r="EW512" s="457"/>
      <c r="EX512" s="457"/>
      <c r="EY512" s="457"/>
      <c r="EZ512" s="457"/>
      <c r="FA512" s="457"/>
      <c r="FB512" s="457"/>
      <c r="FC512" s="457"/>
      <c r="FD512" s="457"/>
      <c r="FE512" s="457"/>
      <c r="FF512" s="457"/>
      <c r="FG512" s="457"/>
      <c r="FH512" s="457"/>
      <c r="FI512" s="457"/>
      <c r="FJ512" s="457"/>
      <c r="FK512" s="457"/>
      <c r="FL512" s="457"/>
      <c r="FM512" s="457"/>
      <c r="FN512" s="457"/>
      <c r="FO512" s="457"/>
      <c r="FP512" s="457"/>
      <c r="FQ512" s="457"/>
      <c r="FR512" s="457"/>
      <c r="FS512" s="457"/>
      <c r="FT512" s="457"/>
      <c r="FU512" s="457"/>
      <c r="FV512" s="457"/>
      <c r="FW512" s="457"/>
      <c r="FX512" s="457"/>
      <c r="FY512" s="457"/>
      <c r="FZ512" s="457"/>
      <c r="GA512" s="457"/>
      <c r="GB512" s="457"/>
      <c r="GC512" s="457"/>
      <c r="GD512" s="457"/>
      <c r="GE512" s="457"/>
      <c r="GF512" s="457"/>
      <c r="GG512" s="457"/>
      <c r="GH512" s="457"/>
      <c r="GI512" s="457"/>
      <c r="GJ512" s="457"/>
      <c r="GK512" s="457"/>
      <c r="GL512" s="457"/>
      <c r="GM512" s="457"/>
      <c r="GN512" s="457"/>
      <c r="GO512" s="457"/>
      <c r="GP512" s="457"/>
      <c r="GQ512" s="457"/>
      <c r="GR512" s="457"/>
      <c r="GS512" s="457"/>
      <c r="GT512" s="457"/>
      <c r="GU512" s="457"/>
      <c r="GV512" s="457"/>
      <c r="GW512" s="457"/>
      <c r="GX512" s="457"/>
      <c r="GY512" s="457"/>
      <c r="GZ512" s="457"/>
      <c r="HA512" s="457"/>
      <c r="HB512" s="457"/>
      <c r="HC512" s="457"/>
      <c r="HD512" s="457"/>
      <c r="HE512" s="457"/>
      <c r="HF512" s="457"/>
      <c r="HG512" s="457"/>
      <c r="HH512" s="457"/>
      <c r="HI512" s="457"/>
      <c r="HJ512" s="457"/>
      <c r="HK512" s="457"/>
      <c r="HL512" s="457"/>
      <c r="HM512" s="457"/>
      <c r="HN512" s="457"/>
      <c r="HO512" s="457"/>
      <c r="HP512" s="457"/>
      <c r="HQ512" s="457"/>
      <c r="HR512" s="457"/>
      <c r="HS512" s="457"/>
      <c r="HT512" s="457"/>
      <c r="HU512" s="457"/>
      <c r="HV512" s="457"/>
      <c r="HW512" s="457"/>
      <c r="HX512" s="457"/>
      <c r="HY512" s="457"/>
      <c r="HZ512" s="457"/>
      <c r="IA512" s="457"/>
      <c r="IB512" s="457"/>
      <c r="IC512" s="457"/>
      <c r="ID512" s="457"/>
      <c r="IE512" s="457"/>
      <c r="IF512" s="457"/>
      <c r="IG512" s="457"/>
      <c r="IH512" s="457"/>
      <c r="II512" s="457"/>
      <c r="IJ512" s="457"/>
      <c r="IK512" s="457"/>
      <c r="IL512" s="457"/>
      <c r="IM512" s="457"/>
      <c r="IN512" s="457"/>
      <c r="IO512" s="457"/>
      <c r="IP512" s="457"/>
      <c r="IQ512" s="457"/>
      <c r="IR512" s="457"/>
      <c r="IS512" s="457"/>
      <c r="IT512" s="457"/>
      <c r="IU512" s="457"/>
      <c r="IV512" s="457"/>
      <c r="IW512" s="457"/>
      <c r="IX512" s="457"/>
      <c r="IY512" s="457"/>
      <c r="IZ512" s="457"/>
      <c r="JA512" s="457"/>
      <c r="JB512" s="457"/>
      <c r="JC512" s="457"/>
      <c r="JD512" s="457"/>
      <c r="JE512" s="457"/>
      <c r="JF512" s="457"/>
      <c r="JG512" s="457"/>
      <c r="JH512" s="457"/>
      <c r="JI512" s="457"/>
      <c r="JJ512" s="457"/>
      <c r="JK512" s="457"/>
      <c r="JL512" s="457"/>
      <c r="JM512" s="457"/>
      <c r="JN512" s="457"/>
      <c r="JO512" s="457"/>
      <c r="JP512" s="457"/>
      <c r="JQ512" s="457"/>
      <c r="JR512" s="457"/>
      <c r="JS512" s="457"/>
      <c r="JT512" s="457"/>
      <c r="JU512" s="457"/>
      <c r="JV512" s="457"/>
      <c r="JW512" s="457"/>
      <c r="JX512" s="457"/>
      <c r="JY512" s="457"/>
      <c r="JZ512" s="457"/>
      <c r="KA512" s="457"/>
      <c r="KB512" s="457"/>
      <c r="KC512" s="457"/>
      <c r="KD512" s="457"/>
      <c r="KE512" s="457"/>
      <c r="KF512" s="457"/>
      <c r="KG512" s="457"/>
      <c r="KH512" s="457"/>
      <c r="KI512" s="457"/>
      <c r="KJ512" s="457"/>
      <c r="KK512" s="457"/>
      <c r="KL512" s="457"/>
      <c r="KM512" s="457"/>
      <c r="KN512" s="457"/>
      <c r="KO512" s="457"/>
      <c r="KP512" s="457"/>
      <c r="KQ512" s="457"/>
      <c r="KR512" s="457"/>
      <c r="KS512" s="457"/>
      <c r="KT512" s="457"/>
      <c r="KU512" s="457"/>
      <c r="KV512" s="457"/>
      <c r="KW512" s="457"/>
      <c r="KX512" s="457"/>
      <c r="KY512" s="457"/>
      <c r="KZ512" s="457"/>
      <c r="LA512" s="457"/>
      <c r="LB512" s="457"/>
      <c r="LC512" s="457"/>
      <c r="LD512" s="457"/>
      <c r="LE512" s="457"/>
      <c r="LF512" s="457"/>
      <c r="LG512" s="457"/>
      <c r="LH512" s="457"/>
      <c r="LI512" s="457"/>
      <c r="LJ512" s="457"/>
      <c r="LK512" s="457"/>
      <c r="LL512" s="457"/>
      <c r="LM512" s="457"/>
      <c r="LN512" s="457"/>
      <c r="LO512" s="457"/>
      <c r="LP512" s="457"/>
      <c r="LQ512" s="457"/>
      <c r="LR512" s="457"/>
      <c r="LS512" s="457"/>
      <c r="LT512" s="457"/>
      <c r="LU512" s="457"/>
      <c r="LV512" s="457"/>
      <c r="LW512" s="457"/>
      <c r="LX512" s="457"/>
      <c r="LY512" s="457"/>
      <c r="LZ512" s="457"/>
      <c r="MA512" s="457"/>
      <c r="MB512" s="457"/>
      <c r="MC512" s="457"/>
      <c r="MD512" s="457"/>
      <c r="ME512" s="457"/>
      <c r="MF512" s="457"/>
      <c r="MG512" s="457"/>
      <c r="MH512" s="457"/>
      <c r="MI512" s="457"/>
      <c r="MJ512" s="457"/>
      <c r="MK512" s="457"/>
      <c r="ML512" s="457"/>
      <c r="MM512" s="457"/>
      <c r="MN512" s="457"/>
      <c r="MO512" s="457"/>
      <c r="MP512" s="457"/>
      <c r="MQ512" s="457"/>
      <c r="MR512" s="457"/>
      <c r="MS512" s="457"/>
      <c r="MT512" s="457"/>
      <c r="MU512" s="457"/>
      <c r="MV512" s="457"/>
      <c r="MW512" s="457"/>
      <c r="MX512" s="457"/>
      <c r="MY512" s="457"/>
      <c r="MZ512" s="457"/>
      <c r="NA512" s="457"/>
      <c r="NB512" s="457"/>
      <c r="NC512" s="457"/>
      <c r="ND512" s="457"/>
      <c r="NE512" s="457"/>
      <c r="NF512" s="457"/>
      <c r="NG512" s="457"/>
      <c r="NH512" s="457"/>
      <c r="NI512" s="457"/>
      <c r="NJ512" s="457"/>
      <c r="NK512" s="457"/>
      <c r="NL512" s="457"/>
      <c r="NM512" s="457"/>
      <c r="NN512" s="457"/>
      <c r="NO512" s="457"/>
      <c r="NP512" s="457"/>
      <c r="NQ512" s="457"/>
      <c r="NR512" s="457"/>
      <c r="NS512" s="457"/>
      <c r="NT512" s="457"/>
      <c r="NU512" s="457"/>
      <c r="NV512" s="457"/>
      <c r="NW512" s="457"/>
      <c r="NX512" s="457"/>
      <c r="NY512" s="457"/>
      <c r="NZ512" s="457"/>
      <c r="OA512" s="457"/>
      <c r="OB512" s="457"/>
      <c r="OC512" s="457"/>
      <c r="OD512" s="457"/>
      <c r="OE512" s="457"/>
      <c r="OF512" s="457"/>
      <c r="OG512" s="457"/>
      <c r="OH512" s="457"/>
      <c r="OI512" s="457"/>
      <c r="OJ512" s="457"/>
      <c r="OK512" s="457"/>
      <c r="OL512" s="457"/>
      <c r="OM512" s="457"/>
      <c r="ON512" s="457"/>
      <c r="OO512" s="457"/>
      <c r="OP512" s="457"/>
      <c r="OQ512" s="457"/>
      <c r="OR512" s="457"/>
      <c r="OS512" s="457"/>
      <c r="OT512" s="457"/>
      <c r="OU512" s="457"/>
      <c r="OV512" s="457"/>
      <c r="OW512" s="457"/>
      <c r="OX512" s="457"/>
      <c r="OY512" s="457"/>
      <c r="OZ512" s="457"/>
      <c r="PA512" s="457"/>
      <c r="PB512" s="457"/>
      <c r="PC512" s="457"/>
      <c r="PD512" s="457"/>
      <c r="PE512" s="457"/>
      <c r="PF512" s="457"/>
      <c r="PG512" s="457"/>
      <c r="PH512" s="457"/>
      <c r="PI512" s="457"/>
      <c r="PJ512" s="457"/>
      <c r="PK512" s="457"/>
      <c r="PL512" s="457"/>
      <c r="PM512" s="457"/>
      <c r="PN512" s="457"/>
      <c r="PO512" s="457"/>
      <c r="PP512" s="457"/>
      <c r="PQ512" s="457"/>
      <c r="PR512" s="457"/>
      <c r="PS512" s="457"/>
      <c r="PT512" s="457"/>
      <c r="PU512" s="457"/>
      <c r="PV512" s="457"/>
      <c r="PW512" s="457"/>
      <c r="PX512" s="457"/>
      <c r="PY512" s="457"/>
      <c r="PZ512" s="457"/>
      <c r="QA512" s="457"/>
      <c r="QB512" s="457"/>
      <c r="QC512" s="457"/>
      <c r="QD512" s="457"/>
      <c r="QE512" s="457"/>
      <c r="QF512" s="457"/>
      <c r="QG512" s="457"/>
      <c r="QH512" s="457"/>
      <c r="QI512" s="457"/>
      <c r="QJ512" s="457"/>
      <c r="QK512" s="457"/>
      <c r="QL512" s="457"/>
      <c r="QM512" s="457"/>
      <c r="QN512" s="457"/>
      <c r="QO512" s="457"/>
      <c r="QP512" s="457"/>
      <c r="QQ512" s="457"/>
      <c r="QR512" s="457"/>
      <c r="QS512" s="457"/>
      <c r="QT512" s="457"/>
      <c r="QU512" s="457"/>
      <c r="QV512" s="457"/>
      <c r="QW512" s="457"/>
      <c r="QX512" s="457"/>
      <c r="QY512" s="457"/>
      <c r="QZ512" s="457"/>
      <c r="RA512" s="457"/>
      <c r="RB512" s="457"/>
      <c r="RC512" s="457"/>
      <c r="RD512" s="457"/>
      <c r="RE512" s="457"/>
      <c r="RF512" s="457"/>
      <c r="RG512" s="457"/>
      <c r="RH512" s="457"/>
      <c r="RI512" s="457"/>
      <c r="RJ512" s="457"/>
      <c r="RK512" s="457"/>
      <c r="RL512" s="457"/>
      <c r="RM512" s="457"/>
      <c r="RN512" s="457"/>
      <c r="RO512" s="457"/>
      <c r="RP512" s="457"/>
      <c r="RQ512" s="457"/>
      <c r="RR512" s="457"/>
      <c r="RS512" s="457"/>
      <c r="RT512" s="457"/>
      <c r="RU512" s="457"/>
      <c r="RV512" s="457"/>
      <c r="RW512" s="457"/>
      <c r="RX512" s="457"/>
      <c r="RY512" s="457"/>
      <c r="RZ512" s="457"/>
      <c r="SA512" s="457"/>
      <c r="SB512" s="457"/>
      <c r="SC512" s="457"/>
      <c r="SD512" s="457"/>
      <c r="SE512" s="457"/>
      <c r="SF512" s="457"/>
      <c r="SG512" s="457"/>
      <c r="SH512" s="457"/>
      <c r="SI512" s="457"/>
      <c r="SJ512" s="457"/>
      <c r="SK512" s="457"/>
      <c r="SL512" s="457"/>
      <c r="SM512" s="457"/>
      <c r="SN512" s="457"/>
      <c r="SO512" s="457"/>
      <c r="SP512" s="457"/>
      <c r="SQ512" s="457"/>
      <c r="SR512" s="457"/>
      <c r="SS512" s="457"/>
      <c r="ST512" s="457"/>
      <c r="SU512" s="457"/>
      <c r="SV512" s="457"/>
      <c r="SW512" s="457"/>
      <c r="SX512" s="457"/>
      <c r="SY512" s="457"/>
      <c r="SZ512" s="457"/>
      <c r="TA512" s="457"/>
      <c r="TB512" s="457"/>
      <c r="TC512" s="457"/>
      <c r="TD512" s="457"/>
      <c r="TE512" s="457"/>
      <c r="TF512" s="457"/>
      <c r="TG512" s="457"/>
      <c r="TH512" s="457"/>
      <c r="TI512" s="457"/>
      <c r="TJ512" s="457"/>
      <c r="TK512" s="457"/>
      <c r="TL512" s="457"/>
      <c r="TM512" s="457"/>
      <c r="TN512" s="457"/>
      <c r="TO512" s="457"/>
      <c r="TP512" s="457"/>
      <c r="TQ512" s="457"/>
      <c r="TR512" s="457"/>
      <c r="TS512" s="457"/>
      <c r="TT512" s="457"/>
      <c r="TU512" s="457"/>
      <c r="TV512" s="457"/>
      <c r="TW512" s="457"/>
      <c r="TX512" s="457"/>
      <c r="TY512" s="457"/>
      <c r="TZ512" s="457"/>
      <c r="UA512" s="457"/>
      <c r="UB512" s="457"/>
      <c r="UC512" s="457"/>
      <c r="UD512" s="457"/>
      <c r="UE512" s="457"/>
      <c r="UF512" s="457"/>
      <c r="UG512" s="457"/>
      <c r="UH512" s="457"/>
      <c r="UI512" s="457"/>
      <c r="UJ512" s="457"/>
      <c r="UK512" s="457"/>
      <c r="UL512" s="457"/>
      <c r="UM512" s="457"/>
      <c r="UN512" s="457"/>
      <c r="UO512" s="457"/>
      <c r="UP512" s="457"/>
      <c r="UQ512" s="457"/>
      <c r="UR512" s="457"/>
      <c r="US512" s="457"/>
      <c r="UT512" s="457"/>
      <c r="UU512" s="457"/>
      <c r="UV512" s="457"/>
      <c r="UW512" s="457"/>
      <c r="UX512" s="457"/>
      <c r="UY512" s="457"/>
      <c r="UZ512" s="457"/>
      <c r="VA512" s="457"/>
      <c r="VB512" s="457"/>
      <c r="VC512" s="457"/>
      <c r="VD512" s="457"/>
      <c r="VE512" s="457"/>
      <c r="VF512" s="457"/>
      <c r="VG512" s="457"/>
      <c r="VH512" s="457"/>
      <c r="VI512" s="457"/>
      <c r="VJ512" s="457"/>
      <c r="VK512" s="457"/>
      <c r="VL512" s="457"/>
      <c r="VM512" s="457"/>
      <c r="VN512" s="457"/>
      <c r="VO512" s="457"/>
      <c r="VP512" s="457"/>
      <c r="VQ512" s="457"/>
      <c r="VR512" s="457"/>
      <c r="VS512" s="457"/>
      <c r="VT512" s="457"/>
      <c r="VU512" s="457"/>
      <c r="VV512" s="457"/>
      <c r="VW512" s="457"/>
      <c r="VX512" s="457"/>
      <c r="VY512" s="457"/>
      <c r="VZ512" s="457"/>
      <c r="WA512" s="457"/>
      <c r="WB512" s="457"/>
      <c r="WC512" s="457"/>
      <c r="WD512" s="457"/>
      <c r="WE512" s="457"/>
      <c r="WF512" s="457"/>
      <c r="WG512" s="457"/>
      <c r="WH512" s="457"/>
      <c r="WI512" s="457"/>
      <c r="WJ512" s="457"/>
      <c r="WK512" s="457"/>
      <c r="WL512" s="457"/>
      <c r="WM512" s="457"/>
      <c r="WN512" s="457"/>
      <c r="WO512" s="457"/>
      <c r="WP512" s="457"/>
      <c r="WQ512" s="457"/>
      <c r="WR512" s="457"/>
      <c r="WS512" s="457"/>
      <c r="WT512" s="457"/>
      <c r="WU512" s="457"/>
      <c r="WV512" s="457"/>
      <c r="WW512" s="457"/>
      <c r="WX512" s="457"/>
      <c r="WY512" s="457"/>
      <c r="WZ512" s="457"/>
      <c r="XA512" s="457"/>
      <c r="XB512" s="457"/>
      <c r="XC512" s="457"/>
      <c r="XD512" s="457"/>
      <c r="XE512" s="457"/>
      <c r="XF512" s="457"/>
      <c r="XG512" s="457"/>
      <c r="XH512" s="457"/>
      <c r="XI512" s="457"/>
      <c r="XJ512" s="457"/>
      <c r="XK512" s="457"/>
      <c r="XL512" s="457"/>
      <c r="XM512" s="457"/>
      <c r="XN512" s="457"/>
      <c r="XO512" s="457"/>
      <c r="XP512" s="457"/>
      <c r="XQ512" s="457"/>
      <c r="XR512" s="457"/>
      <c r="XS512" s="457"/>
      <c r="XT512" s="457"/>
      <c r="XU512" s="457"/>
      <c r="XV512" s="457"/>
      <c r="XW512" s="457"/>
      <c r="XX512" s="457"/>
      <c r="XY512" s="457"/>
      <c r="XZ512" s="457"/>
      <c r="YA512" s="457"/>
      <c r="YB512" s="457"/>
      <c r="YC512" s="457"/>
      <c r="YD512" s="457"/>
      <c r="YE512" s="457"/>
      <c r="YF512" s="457"/>
      <c r="YG512" s="457"/>
      <c r="YH512" s="457"/>
      <c r="YI512" s="457"/>
      <c r="YJ512" s="457"/>
      <c r="YK512" s="457"/>
      <c r="YL512" s="457"/>
      <c r="YM512" s="457"/>
      <c r="YN512" s="457"/>
      <c r="YO512" s="457"/>
      <c r="YP512" s="457"/>
      <c r="YQ512" s="457"/>
      <c r="YR512" s="457"/>
      <c r="YS512" s="457"/>
      <c r="YT512" s="457"/>
      <c r="YU512" s="457"/>
      <c r="YV512" s="457"/>
      <c r="YW512" s="457"/>
      <c r="YX512" s="457"/>
      <c r="YY512" s="457"/>
      <c r="YZ512" s="457"/>
      <c r="ZA512" s="457"/>
      <c r="ZB512" s="457"/>
      <c r="ZC512" s="457"/>
      <c r="ZD512" s="457"/>
      <c r="ZE512" s="457"/>
      <c r="ZF512" s="457"/>
      <c r="ZG512" s="457"/>
      <c r="ZH512" s="457"/>
      <c r="ZI512" s="457"/>
      <c r="ZJ512" s="457"/>
      <c r="ZK512" s="457"/>
      <c r="ZL512" s="457"/>
      <c r="ZM512" s="457"/>
      <c r="ZN512" s="457"/>
      <c r="ZO512" s="457"/>
      <c r="ZP512" s="457"/>
      <c r="ZQ512" s="457"/>
      <c r="ZR512" s="457"/>
      <c r="ZS512" s="457"/>
      <c r="ZT512" s="457"/>
      <c r="ZU512" s="457"/>
      <c r="ZV512" s="457"/>
      <c r="ZW512" s="457"/>
      <c r="ZX512" s="457"/>
      <c r="ZY512" s="457"/>
      <c r="ZZ512" s="457"/>
      <c r="AAA512" s="457"/>
      <c r="AAB512" s="457"/>
      <c r="AAC512" s="457"/>
      <c r="AAD512" s="457"/>
      <c r="AAE512" s="457"/>
      <c r="AAF512" s="457"/>
      <c r="AAG512" s="457"/>
      <c r="AAH512" s="457"/>
      <c r="AAI512" s="457"/>
      <c r="AAJ512" s="457"/>
      <c r="AAK512" s="457"/>
      <c r="AAL512" s="457"/>
      <c r="AAM512" s="457"/>
      <c r="AAN512" s="457"/>
      <c r="AAO512" s="457"/>
      <c r="AAP512" s="457"/>
      <c r="AAQ512" s="457"/>
      <c r="AAR512" s="457"/>
      <c r="AAS512" s="457"/>
      <c r="AAT512" s="457"/>
      <c r="AAU512" s="457"/>
      <c r="AAV512" s="457"/>
      <c r="AAW512" s="457"/>
      <c r="AAX512" s="457"/>
      <c r="AAY512" s="457"/>
      <c r="AAZ512" s="457"/>
      <c r="ABA512" s="457"/>
      <c r="ABB512" s="457"/>
      <c r="ABC512" s="457"/>
      <c r="ABD512" s="457"/>
      <c r="ABE512" s="457"/>
      <c r="ABF512" s="457"/>
      <c r="ABG512" s="457"/>
      <c r="ABH512" s="457"/>
      <c r="ABI512" s="457"/>
      <c r="ABJ512" s="457"/>
      <c r="ABK512" s="457"/>
      <c r="ABL512" s="457"/>
      <c r="ABM512" s="457"/>
      <c r="ABN512" s="457"/>
      <c r="ABO512" s="457"/>
      <c r="ABP512" s="457"/>
      <c r="ABQ512" s="457"/>
      <c r="ABR512" s="457"/>
      <c r="ABS512" s="457"/>
      <c r="ABT512" s="457"/>
      <c r="ABU512" s="457"/>
      <c r="ABV512" s="457"/>
      <c r="ABW512" s="457"/>
      <c r="ABX512" s="457"/>
      <c r="ABY512" s="457"/>
      <c r="ABZ512" s="457"/>
      <c r="ACA512" s="457"/>
      <c r="ACB512" s="457"/>
      <c r="ACC512" s="457"/>
      <c r="ACD512" s="457"/>
      <c r="ACE512" s="457"/>
      <c r="ACF512" s="457"/>
      <c r="ACG512" s="457"/>
      <c r="ACH512" s="457"/>
      <c r="ACI512" s="457"/>
      <c r="ACJ512" s="457"/>
      <c r="ACK512" s="457"/>
      <c r="ACL512" s="457"/>
      <c r="ACM512" s="457"/>
      <c r="ACN512" s="457"/>
      <c r="ACO512" s="457"/>
      <c r="ACP512" s="457"/>
      <c r="ACQ512" s="457"/>
      <c r="ACR512" s="457"/>
      <c r="ACS512" s="457"/>
      <c r="ACT512" s="457"/>
      <c r="ACU512" s="457"/>
      <c r="ACV512" s="457"/>
    </row>
    <row r="513" spans="1:776" s="400" customFormat="1" x14ac:dyDescent="0.25">
      <c r="A513" s="470">
        <v>901016</v>
      </c>
      <c r="B513" s="404" t="str">
        <f t="shared" si="13"/>
        <v>-7,20/+6,24  (EC  7,01)</v>
      </c>
      <c r="C513" s="455"/>
      <c r="D513" s="470">
        <v>5.74</v>
      </c>
      <c r="E513" s="454">
        <v>0.70099999999999996</v>
      </c>
      <c r="F513" s="458">
        <v>25</v>
      </c>
      <c r="G513" s="454">
        <v>0</v>
      </c>
      <c r="H513" s="454">
        <v>2.0099999999999998</v>
      </c>
      <c r="I513" s="456">
        <v>101.99</v>
      </c>
      <c r="J513" s="454">
        <v>168.3</v>
      </c>
      <c r="K513" s="454">
        <v>21.389399999999998</v>
      </c>
      <c r="L513" s="454">
        <v>12</v>
      </c>
      <c r="M513" s="454">
        <v>0</v>
      </c>
      <c r="N513" s="454">
        <v>15.27</v>
      </c>
      <c r="O513" s="454">
        <v>66.3</v>
      </c>
      <c r="P513" s="454">
        <v>35.21</v>
      </c>
      <c r="Q513" s="454">
        <v>12.71</v>
      </c>
      <c r="R513" s="454">
        <v>0.75</v>
      </c>
      <c r="S513" s="454">
        <v>0.01</v>
      </c>
      <c r="T513" s="454">
        <v>0.14000000000000001</v>
      </c>
      <c r="U513" s="454">
        <v>0.21</v>
      </c>
      <c r="V513" s="454">
        <v>0.97</v>
      </c>
      <c r="W513" s="457"/>
      <c r="X513" s="457"/>
      <c r="Y513" s="457"/>
      <c r="Z513" s="457"/>
      <c r="AA513" s="457"/>
      <c r="AB513" s="457"/>
      <c r="AC513" s="457"/>
      <c r="AD513" s="457"/>
      <c r="AE513" s="457"/>
      <c r="AF513" s="457"/>
      <c r="AG513" s="457"/>
      <c r="AH513" s="457"/>
      <c r="AI513" s="457"/>
      <c r="AJ513" s="457"/>
      <c r="AK513" s="457"/>
      <c r="AL513" s="457"/>
      <c r="AM513" s="457"/>
      <c r="AN513" s="457"/>
      <c r="AO513" s="457"/>
      <c r="AP513" s="457"/>
      <c r="AQ513" s="457"/>
      <c r="AR513" s="457"/>
      <c r="AS513" s="457"/>
      <c r="AT513" s="457"/>
      <c r="AU513" s="457"/>
      <c r="AV513" s="457"/>
      <c r="AW513" s="457"/>
      <c r="AX513" s="457"/>
      <c r="AY513" s="457"/>
      <c r="AZ513" s="457"/>
      <c r="BA513" s="457"/>
      <c r="BB513" s="457"/>
      <c r="BC513" s="457"/>
      <c r="BD513" s="457"/>
      <c r="BE513" s="457"/>
      <c r="BF513" s="457"/>
      <c r="BG513" s="457"/>
      <c r="BH513" s="457"/>
      <c r="BI513" s="457"/>
      <c r="BJ513" s="457"/>
      <c r="BK513" s="457"/>
      <c r="BL513" s="457"/>
      <c r="BM513" s="457"/>
      <c r="BN513" s="457"/>
      <c r="BO513" s="457"/>
      <c r="BP513" s="457"/>
      <c r="BQ513" s="457"/>
      <c r="BR513" s="457"/>
      <c r="BS513" s="457"/>
      <c r="BT513" s="457"/>
      <c r="BU513" s="457"/>
      <c r="BV513" s="457"/>
      <c r="BW513" s="457"/>
      <c r="BX513" s="457"/>
      <c r="BY513" s="457"/>
      <c r="BZ513" s="457"/>
      <c r="CA513" s="457"/>
      <c r="CB513" s="457"/>
      <c r="CC513" s="457"/>
      <c r="CD513" s="457"/>
      <c r="CE513" s="457"/>
      <c r="CF513" s="457"/>
      <c r="CG513" s="457"/>
      <c r="CH513" s="457"/>
      <c r="CI513" s="457"/>
      <c r="CJ513" s="457"/>
      <c r="CK513" s="457"/>
      <c r="CL513" s="457"/>
      <c r="CM513" s="457"/>
      <c r="CN513" s="457"/>
      <c r="CO513" s="457"/>
      <c r="CP513" s="457"/>
      <c r="CQ513" s="457"/>
      <c r="CR513" s="457"/>
      <c r="CS513" s="457"/>
      <c r="CT513" s="457"/>
      <c r="CU513" s="457"/>
      <c r="CV513" s="457"/>
      <c r="CW513" s="457"/>
      <c r="CX513" s="457"/>
      <c r="CY513" s="457"/>
      <c r="CZ513" s="457"/>
      <c r="DA513" s="457"/>
      <c r="DB513" s="457"/>
      <c r="DC513" s="457"/>
      <c r="DD513" s="457"/>
      <c r="DE513" s="457"/>
      <c r="DF513" s="457"/>
      <c r="DG513" s="457"/>
      <c r="DH513" s="457"/>
      <c r="DI513" s="457"/>
      <c r="DJ513" s="457"/>
      <c r="DK513" s="457"/>
      <c r="DL513" s="457"/>
      <c r="DM513" s="457"/>
      <c r="DN513" s="457"/>
      <c r="DO513" s="457"/>
      <c r="DP513" s="457"/>
      <c r="DQ513" s="457"/>
      <c r="DR513" s="457"/>
      <c r="DS513" s="457"/>
      <c r="DT513" s="457"/>
      <c r="DU513" s="457"/>
      <c r="DV513" s="457"/>
      <c r="DW513" s="457"/>
      <c r="DX513" s="457"/>
      <c r="DY513" s="457"/>
      <c r="DZ513" s="457"/>
      <c r="EA513" s="457"/>
      <c r="EB513" s="457"/>
      <c r="EC513" s="457"/>
      <c r="ED513" s="457"/>
      <c r="EE513" s="457"/>
      <c r="EF513" s="457"/>
      <c r="EG513" s="457"/>
      <c r="EH513" s="457"/>
      <c r="EI513" s="457"/>
      <c r="EJ513" s="457"/>
      <c r="EK513" s="457"/>
      <c r="EL513" s="457"/>
      <c r="EM513" s="457"/>
      <c r="EN513" s="457"/>
      <c r="EO513" s="457"/>
      <c r="EP513" s="457"/>
      <c r="EQ513" s="457"/>
      <c r="ER513" s="457"/>
      <c r="ES513" s="457"/>
      <c r="ET513" s="457"/>
      <c r="EU513" s="457"/>
      <c r="EV513" s="457"/>
      <c r="EW513" s="457"/>
      <c r="EX513" s="457"/>
      <c r="EY513" s="457"/>
      <c r="EZ513" s="457"/>
      <c r="FA513" s="457"/>
      <c r="FB513" s="457"/>
      <c r="FC513" s="457"/>
      <c r="FD513" s="457"/>
      <c r="FE513" s="457"/>
      <c r="FF513" s="457"/>
      <c r="FG513" s="457"/>
      <c r="FH513" s="457"/>
      <c r="FI513" s="457"/>
      <c r="FJ513" s="457"/>
      <c r="FK513" s="457"/>
      <c r="FL513" s="457"/>
      <c r="FM513" s="457"/>
      <c r="FN513" s="457"/>
      <c r="FO513" s="457"/>
      <c r="FP513" s="457"/>
      <c r="FQ513" s="457"/>
      <c r="FR513" s="457"/>
      <c r="FS513" s="457"/>
      <c r="FT513" s="457"/>
      <c r="FU513" s="457"/>
      <c r="FV513" s="457"/>
      <c r="FW513" s="457"/>
      <c r="FX513" s="457"/>
      <c r="FY513" s="457"/>
      <c r="FZ513" s="457"/>
      <c r="GA513" s="457"/>
      <c r="GB513" s="457"/>
      <c r="GC513" s="457"/>
      <c r="GD513" s="457"/>
      <c r="GE513" s="457"/>
      <c r="GF513" s="457"/>
      <c r="GG513" s="457"/>
      <c r="GH513" s="457"/>
      <c r="GI513" s="457"/>
      <c r="GJ513" s="457"/>
      <c r="GK513" s="457"/>
      <c r="GL513" s="457"/>
      <c r="GM513" s="457"/>
      <c r="GN513" s="457"/>
      <c r="GO513" s="457"/>
      <c r="GP513" s="457"/>
      <c r="GQ513" s="457"/>
      <c r="GR513" s="457"/>
      <c r="GS513" s="457"/>
      <c r="GT513" s="457"/>
      <c r="GU513" s="457"/>
      <c r="GV513" s="457"/>
      <c r="GW513" s="457"/>
      <c r="GX513" s="457"/>
      <c r="GY513" s="457"/>
      <c r="GZ513" s="457"/>
      <c r="HA513" s="457"/>
      <c r="HB513" s="457"/>
      <c r="HC513" s="457"/>
      <c r="HD513" s="457"/>
      <c r="HE513" s="457"/>
      <c r="HF513" s="457"/>
      <c r="HG513" s="457"/>
      <c r="HH513" s="457"/>
      <c r="HI513" s="457"/>
      <c r="HJ513" s="457"/>
      <c r="HK513" s="457"/>
      <c r="HL513" s="457"/>
      <c r="HM513" s="457"/>
      <c r="HN513" s="457"/>
      <c r="HO513" s="457"/>
      <c r="HP513" s="457"/>
      <c r="HQ513" s="457"/>
      <c r="HR513" s="457"/>
      <c r="HS513" s="457"/>
      <c r="HT513" s="457"/>
      <c r="HU513" s="457"/>
      <c r="HV513" s="457"/>
      <c r="HW513" s="457"/>
      <c r="HX513" s="457"/>
      <c r="HY513" s="457"/>
      <c r="HZ513" s="457"/>
      <c r="IA513" s="457"/>
      <c r="IB513" s="457"/>
      <c r="IC513" s="457"/>
      <c r="ID513" s="457"/>
      <c r="IE513" s="457"/>
      <c r="IF513" s="457"/>
      <c r="IG513" s="457"/>
      <c r="IH513" s="457"/>
      <c r="II513" s="457"/>
      <c r="IJ513" s="457"/>
      <c r="IK513" s="457"/>
      <c r="IL513" s="457"/>
      <c r="IM513" s="457"/>
      <c r="IN513" s="457"/>
      <c r="IO513" s="457"/>
      <c r="IP513" s="457"/>
      <c r="IQ513" s="457"/>
      <c r="IR513" s="457"/>
      <c r="IS513" s="457"/>
      <c r="IT513" s="457"/>
      <c r="IU513" s="457"/>
      <c r="IV513" s="457"/>
      <c r="IW513" s="457"/>
      <c r="IX513" s="457"/>
      <c r="IY513" s="457"/>
      <c r="IZ513" s="457"/>
      <c r="JA513" s="457"/>
      <c r="JB513" s="457"/>
      <c r="JC513" s="457"/>
      <c r="JD513" s="457"/>
      <c r="JE513" s="457"/>
      <c r="JF513" s="457"/>
      <c r="JG513" s="457"/>
      <c r="JH513" s="457"/>
      <c r="JI513" s="457"/>
      <c r="JJ513" s="457"/>
      <c r="JK513" s="457"/>
      <c r="JL513" s="457"/>
      <c r="JM513" s="457"/>
      <c r="JN513" s="457"/>
      <c r="JO513" s="457"/>
      <c r="JP513" s="457"/>
      <c r="JQ513" s="457"/>
      <c r="JR513" s="457"/>
      <c r="JS513" s="457"/>
      <c r="JT513" s="457"/>
      <c r="JU513" s="457"/>
      <c r="JV513" s="457"/>
      <c r="JW513" s="457"/>
      <c r="JX513" s="457"/>
      <c r="JY513" s="457"/>
      <c r="JZ513" s="457"/>
      <c r="KA513" s="457"/>
      <c r="KB513" s="457"/>
      <c r="KC513" s="457"/>
      <c r="KD513" s="457"/>
      <c r="KE513" s="457"/>
      <c r="KF513" s="457"/>
      <c r="KG513" s="457"/>
      <c r="KH513" s="457"/>
      <c r="KI513" s="457"/>
      <c r="KJ513" s="457"/>
      <c r="KK513" s="457"/>
      <c r="KL513" s="457"/>
      <c r="KM513" s="457"/>
      <c r="KN513" s="457"/>
      <c r="KO513" s="457"/>
      <c r="KP513" s="457"/>
      <c r="KQ513" s="457"/>
      <c r="KR513" s="457"/>
      <c r="KS513" s="457"/>
      <c r="KT513" s="457"/>
      <c r="KU513" s="457"/>
      <c r="KV513" s="457"/>
      <c r="KW513" s="457"/>
      <c r="KX513" s="457"/>
      <c r="KY513" s="457"/>
      <c r="KZ513" s="457"/>
      <c r="LA513" s="457"/>
      <c r="LB513" s="457"/>
      <c r="LC513" s="457"/>
      <c r="LD513" s="457"/>
      <c r="LE513" s="457"/>
      <c r="LF513" s="457"/>
      <c r="LG513" s="457"/>
      <c r="LH513" s="457"/>
      <c r="LI513" s="457"/>
      <c r="LJ513" s="457"/>
      <c r="LK513" s="457"/>
      <c r="LL513" s="457"/>
      <c r="LM513" s="457"/>
      <c r="LN513" s="457"/>
      <c r="LO513" s="457"/>
      <c r="LP513" s="457"/>
      <c r="LQ513" s="457"/>
      <c r="LR513" s="457"/>
      <c r="LS513" s="457"/>
      <c r="LT513" s="457"/>
      <c r="LU513" s="457"/>
      <c r="LV513" s="457"/>
      <c r="LW513" s="457"/>
      <c r="LX513" s="457"/>
      <c r="LY513" s="457"/>
      <c r="LZ513" s="457"/>
      <c r="MA513" s="457"/>
      <c r="MB513" s="457"/>
      <c r="MC513" s="457"/>
      <c r="MD513" s="457"/>
      <c r="ME513" s="457"/>
      <c r="MF513" s="457"/>
      <c r="MG513" s="457"/>
      <c r="MH513" s="457"/>
      <c r="MI513" s="457"/>
      <c r="MJ513" s="457"/>
      <c r="MK513" s="457"/>
      <c r="ML513" s="457"/>
      <c r="MM513" s="457"/>
      <c r="MN513" s="457"/>
      <c r="MO513" s="457"/>
      <c r="MP513" s="457"/>
      <c r="MQ513" s="457"/>
      <c r="MR513" s="457"/>
      <c r="MS513" s="457"/>
      <c r="MT513" s="457"/>
      <c r="MU513" s="457"/>
      <c r="MV513" s="457"/>
      <c r="MW513" s="457"/>
      <c r="MX513" s="457"/>
      <c r="MY513" s="457"/>
      <c r="MZ513" s="457"/>
      <c r="NA513" s="457"/>
      <c r="NB513" s="457"/>
      <c r="NC513" s="457"/>
      <c r="ND513" s="457"/>
      <c r="NE513" s="457"/>
      <c r="NF513" s="457"/>
      <c r="NG513" s="457"/>
      <c r="NH513" s="457"/>
      <c r="NI513" s="457"/>
      <c r="NJ513" s="457"/>
      <c r="NK513" s="457"/>
      <c r="NL513" s="457"/>
      <c r="NM513" s="457"/>
      <c r="NN513" s="457"/>
      <c r="NO513" s="457"/>
      <c r="NP513" s="457"/>
      <c r="NQ513" s="457"/>
      <c r="NR513" s="457"/>
      <c r="NS513" s="457"/>
      <c r="NT513" s="457"/>
      <c r="NU513" s="457"/>
      <c r="NV513" s="457"/>
      <c r="NW513" s="457"/>
      <c r="NX513" s="457"/>
      <c r="NY513" s="457"/>
      <c r="NZ513" s="457"/>
      <c r="OA513" s="457"/>
      <c r="OB513" s="457"/>
      <c r="OC513" s="457"/>
      <c r="OD513" s="457"/>
      <c r="OE513" s="457"/>
      <c r="OF513" s="457"/>
      <c r="OG513" s="457"/>
      <c r="OH513" s="457"/>
      <c r="OI513" s="457"/>
      <c r="OJ513" s="457"/>
      <c r="OK513" s="457"/>
      <c r="OL513" s="457"/>
      <c r="OM513" s="457"/>
      <c r="ON513" s="457"/>
      <c r="OO513" s="457"/>
      <c r="OP513" s="457"/>
      <c r="OQ513" s="457"/>
      <c r="OR513" s="457"/>
      <c r="OS513" s="457"/>
      <c r="OT513" s="457"/>
      <c r="OU513" s="457"/>
      <c r="OV513" s="457"/>
      <c r="OW513" s="457"/>
      <c r="OX513" s="457"/>
      <c r="OY513" s="457"/>
      <c r="OZ513" s="457"/>
      <c r="PA513" s="457"/>
      <c r="PB513" s="457"/>
      <c r="PC513" s="457"/>
      <c r="PD513" s="457"/>
      <c r="PE513" s="457"/>
      <c r="PF513" s="457"/>
      <c r="PG513" s="457"/>
      <c r="PH513" s="457"/>
      <c r="PI513" s="457"/>
      <c r="PJ513" s="457"/>
      <c r="PK513" s="457"/>
      <c r="PL513" s="457"/>
      <c r="PM513" s="457"/>
      <c r="PN513" s="457"/>
      <c r="PO513" s="457"/>
      <c r="PP513" s="457"/>
      <c r="PQ513" s="457"/>
      <c r="PR513" s="457"/>
      <c r="PS513" s="457"/>
      <c r="PT513" s="457"/>
      <c r="PU513" s="457"/>
      <c r="PV513" s="457"/>
      <c r="PW513" s="457"/>
      <c r="PX513" s="457"/>
      <c r="PY513" s="457"/>
      <c r="PZ513" s="457"/>
      <c r="QA513" s="457"/>
      <c r="QB513" s="457"/>
      <c r="QC513" s="457"/>
      <c r="QD513" s="457"/>
      <c r="QE513" s="457"/>
      <c r="QF513" s="457"/>
      <c r="QG513" s="457"/>
      <c r="QH513" s="457"/>
      <c r="QI513" s="457"/>
      <c r="QJ513" s="457"/>
      <c r="QK513" s="457"/>
      <c r="QL513" s="457"/>
      <c r="QM513" s="457"/>
      <c r="QN513" s="457"/>
      <c r="QO513" s="457"/>
      <c r="QP513" s="457"/>
      <c r="QQ513" s="457"/>
      <c r="QR513" s="457"/>
      <c r="QS513" s="457"/>
      <c r="QT513" s="457"/>
      <c r="QU513" s="457"/>
      <c r="QV513" s="457"/>
      <c r="QW513" s="457"/>
      <c r="QX513" s="457"/>
      <c r="QY513" s="457"/>
      <c r="QZ513" s="457"/>
      <c r="RA513" s="457"/>
      <c r="RB513" s="457"/>
      <c r="RC513" s="457"/>
      <c r="RD513" s="457"/>
      <c r="RE513" s="457"/>
      <c r="RF513" s="457"/>
      <c r="RG513" s="457"/>
      <c r="RH513" s="457"/>
      <c r="RI513" s="457"/>
      <c r="RJ513" s="457"/>
      <c r="RK513" s="457"/>
      <c r="RL513" s="457"/>
      <c r="RM513" s="457"/>
      <c r="RN513" s="457"/>
      <c r="RO513" s="457"/>
      <c r="RP513" s="457"/>
      <c r="RQ513" s="457"/>
      <c r="RR513" s="457"/>
      <c r="RS513" s="457"/>
      <c r="RT513" s="457"/>
      <c r="RU513" s="457"/>
      <c r="RV513" s="457"/>
      <c r="RW513" s="457"/>
      <c r="RX513" s="457"/>
      <c r="RY513" s="457"/>
      <c r="RZ513" s="457"/>
      <c r="SA513" s="457"/>
      <c r="SB513" s="457"/>
      <c r="SC513" s="457"/>
      <c r="SD513" s="457"/>
      <c r="SE513" s="457"/>
      <c r="SF513" s="457"/>
      <c r="SG513" s="457"/>
      <c r="SH513" s="457"/>
      <c r="SI513" s="457"/>
      <c r="SJ513" s="457"/>
      <c r="SK513" s="457"/>
      <c r="SL513" s="457"/>
      <c r="SM513" s="457"/>
      <c r="SN513" s="457"/>
      <c r="SO513" s="457"/>
      <c r="SP513" s="457"/>
      <c r="SQ513" s="457"/>
      <c r="SR513" s="457"/>
      <c r="SS513" s="457"/>
      <c r="ST513" s="457"/>
      <c r="SU513" s="457"/>
      <c r="SV513" s="457"/>
      <c r="SW513" s="457"/>
      <c r="SX513" s="457"/>
      <c r="SY513" s="457"/>
      <c r="SZ513" s="457"/>
      <c r="TA513" s="457"/>
      <c r="TB513" s="457"/>
      <c r="TC513" s="457"/>
      <c r="TD513" s="457"/>
      <c r="TE513" s="457"/>
      <c r="TF513" s="457"/>
      <c r="TG513" s="457"/>
      <c r="TH513" s="457"/>
      <c r="TI513" s="457"/>
      <c r="TJ513" s="457"/>
      <c r="TK513" s="457"/>
      <c r="TL513" s="457"/>
      <c r="TM513" s="457"/>
      <c r="TN513" s="457"/>
      <c r="TO513" s="457"/>
      <c r="TP513" s="457"/>
      <c r="TQ513" s="457"/>
      <c r="TR513" s="457"/>
      <c r="TS513" s="457"/>
      <c r="TT513" s="457"/>
      <c r="TU513" s="457"/>
      <c r="TV513" s="457"/>
      <c r="TW513" s="457"/>
      <c r="TX513" s="457"/>
      <c r="TY513" s="457"/>
      <c r="TZ513" s="457"/>
      <c r="UA513" s="457"/>
      <c r="UB513" s="457"/>
      <c r="UC513" s="457"/>
      <c r="UD513" s="457"/>
      <c r="UE513" s="457"/>
      <c r="UF513" s="457"/>
      <c r="UG513" s="457"/>
      <c r="UH513" s="457"/>
      <c r="UI513" s="457"/>
      <c r="UJ513" s="457"/>
      <c r="UK513" s="457"/>
      <c r="UL513" s="457"/>
      <c r="UM513" s="457"/>
      <c r="UN513" s="457"/>
      <c r="UO513" s="457"/>
      <c r="UP513" s="457"/>
      <c r="UQ513" s="457"/>
      <c r="UR513" s="457"/>
      <c r="US513" s="457"/>
      <c r="UT513" s="457"/>
      <c r="UU513" s="457"/>
      <c r="UV513" s="457"/>
      <c r="UW513" s="457"/>
      <c r="UX513" s="457"/>
      <c r="UY513" s="457"/>
      <c r="UZ513" s="457"/>
      <c r="VA513" s="457"/>
      <c r="VB513" s="457"/>
      <c r="VC513" s="457"/>
      <c r="VD513" s="457"/>
      <c r="VE513" s="457"/>
      <c r="VF513" s="457"/>
      <c r="VG513" s="457"/>
      <c r="VH513" s="457"/>
      <c r="VI513" s="457"/>
      <c r="VJ513" s="457"/>
      <c r="VK513" s="457"/>
      <c r="VL513" s="457"/>
      <c r="VM513" s="457"/>
      <c r="VN513" s="457"/>
      <c r="VO513" s="457"/>
      <c r="VP513" s="457"/>
      <c r="VQ513" s="457"/>
      <c r="VR513" s="457"/>
      <c r="VS513" s="457"/>
      <c r="VT513" s="457"/>
      <c r="VU513" s="457"/>
      <c r="VV513" s="457"/>
      <c r="VW513" s="457"/>
      <c r="VX513" s="457"/>
      <c r="VY513" s="457"/>
      <c r="VZ513" s="457"/>
      <c r="WA513" s="457"/>
      <c r="WB513" s="457"/>
      <c r="WC513" s="457"/>
      <c r="WD513" s="457"/>
      <c r="WE513" s="457"/>
      <c r="WF513" s="457"/>
      <c r="WG513" s="457"/>
      <c r="WH513" s="457"/>
      <c r="WI513" s="457"/>
      <c r="WJ513" s="457"/>
      <c r="WK513" s="457"/>
      <c r="WL513" s="457"/>
      <c r="WM513" s="457"/>
      <c r="WN513" s="457"/>
      <c r="WO513" s="457"/>
      <c r="WP513" s="457"/>
      <c r="WQ513" s="457"/>
      <c r="WR513" s="457"/>
      <c r="WS513" s="457"/>
      <c r="WT513" s="457"/>
      <c r="WU513" s="457"/>
      <c r="WV513" s="457"/>
      <c r="WW513" s="457"/>
      <c r="WX513" s="457"/>
      <c r="WY513" s="457"/>
      <c r="WZ513" s="457"/>
      <c r="XA513" s="457"/>
      <c r="XB513" s="457"/>
      <c r="XC513" s="457"/>
      <c r="XD513" s="457"/>
      <c r="XE513" s="457"/>
      <c r="XF513" s="457"/>
      <c r="XG513" s="457"/>
      <c r="XH513" s="457"/>
      <c r="XI513" s="457"/>
      <c r="XJ513" s="457"/>
      <c r="XK513" s="457"/>
      <c r="XL513" s="457"/>
      <c r="XM513" s="457"/>
      <c r="XN513" s="457"/>
      <c r="XO513" s="457"/>
      <c r="XP513" s="457"/>
      <c r="XQ513" s="457"/>
      <c r="XR513" s="457"/>
      <c r="XS513" s="457"/>
      <c r="XT513" s="457"/>
      <c r="XU513" s="457"/>
      <c r="XV513" s="457"/>
      <c r="XW513" s="457"/>
      <c r="XX513" s="457"/>
      <c r="XY513" s="457"/>
      <c r="XZ513" s="457"/>
      <c r="YA513" s="457"/>
      <c r="YB513" s="457"/>
      <c r="YC513" s="457"/>
      <c r="YD513" s="457"/>
      <c r="YE513" s="457"/>
      <c r="YF513" s="457"/>
      <c r="YG513" s="457"/>
      <c r="YH513" s="457"/>
      <c r="YI513" s="457"/>
      <c r="YJ513" s="457"/>
      <c r="YK513" s="457"/>
      <c r="YL513" s="457"/>
      <c r="YM513" s="457"/>
      <c r="YN513" s="457"/>
      <c r="YO513" s="457"/>
      <c r="YP513" s="457"/>
      <c r="YQ513" s="457"/>
      <c r="YR513" s="457"/>
      <c r="YS513" s="457"/>
      <c r="YT513" s="457"/>
      <c r="YU513" s="457"/>
      <c r="YV513" s="457"/>
      <c r="YW513" s="457"/>
      <c r="YX513" s="457"/>
      <c r="YY513" s="457"/>
      <c r="YZ513" s="457"/>
      <c r="ZA513" s="457"/>
      <c r="ZB513" s="457"/>
      <c r="ZC513" s="457"/>
      <c r="ZD513" s="457"/>
      <c r="ZE513" s="457"/>
      <c r="ZF513" s="457"/>
      <c r="ZG513" s="457"/>
      <c r="ZH513" s="457"/>
      <c r="ZI513" s="457"/>
      <c r="ZJ513" s="457"/>
      <c r="ZK513" s="457"/>
      <c r="ZL513" s="457"/>
      <c r="ZM513" s="457"/>
      <c r="ZN513" s="457"/>
      <c r="ZO513" s="457"/>
      <c r="ZP513" s="457"/>
      <c r="ZQ513" s="457"/>
      <c r="ZR513" s="457"/>
      <c r="ZS513" s="457"/>
      <c r="ZT513" s="457"/>
      <c r="ZU513" s="457"/>
      <c r="ZV513" s="457"/>
      <c r="ZW513" s="457"/>
      <c r="ZX513" s="457"/>
      <c r="ZY513" s="457"/>
      <c r="ZZ513" s="457"/>
      <c r="AAA513" s="457"/>
      <c r="AAB513" s="457"/>
      <c r="AAC513" s="457"/>
      <c r="AAD513" s="457"/>
      <c r="AAE513" s="457"/>
      <c r="AAF513" s="457"/>
      <c r="AAG513" s="457"/>
      <c r="AAH513" s="457"/>
      <c r="AAI513" s="457"/>
      <c r="AAJ513" s="457"/>
      <c r="AAK513" s="457"/>
      <c r="AAL513" s="457"/>
      <c r="AAM513" s="457"/>
      <c r="AAN513" s="457"/>
      <c r="AAO513" s="457"/>
      <c r="AAP513" s="457"/>
      <c r="AAQ513" s="457"/>
      <c r="AAR513" s="457"/>
      <c r="AAS513" s="457"/>
      <c r="AAT513" s="457"/>
      <c r="AAU513" s="457"/>
      <c r="AAV513" s="457"/>
      <c r="AAW513" s="457"/>
      <c r="AAX513" s="457"/>
      <c r="AAY513" s="457"/>
      <c r="AAZ513" s="457"/>
      <c r="ABA513" s="457"/>
      <c r="ABB513" s="457"/>
      <c r="ABC513" s="457"/>
      <c r="ABD513" s="457"/>
      <c r="ABE513" s="457"/>
      <c r="ABF513" s="457"/>
      <c r="ABG513" s="457"/>
      <c r="ABH513" s="457"/>
      <c r="ABI513" s="457"/>
      <c r="ABJ513" s="457"/>
      <c r="ABK513" s="457"/>
      <c r="ABL513" s="457"/>
      <c r="ABM513" s="457"/>
      <c r="ABN513" s="457"/>
      <c r="ABO513" s="457"/>
      <c r="ABP513" s="457"/>
      <c r="ABQ513" s="457"/>
      <c r="ABR513" s="457"/>
      <c r="ABS513" s="457"/>
      <c r="ABT513" s="457"/>
      <c r="ABU513" s="457"/>
      <c r="ABV513" s="457"/>
      <c r="ABW513" s="457"/>
      <c r="ABX513" s="457"/>
      <c r="ABY513" s="457"/>
      <c r="ABZ513" s="457"/>
      <c r="ACA513" s="457"/>
      <c r="ACB513" s="457"/>
      <c r="ACC513" s="457"/>
      <c r="ACD513" s="457"/>
      <c r="ACE513" s="457"/>
      <c r="ACF513" s="457"/>
      <c r="ACG513" s="457"/>
      <c r="ACH513" s="457"/>
      <c r="ACI513" s="457"/>
      <c r="ACJ513" s="457"/>
      <c r="ACK513" s="457"/>
      <c r="ACL513" s="457"/>
      <c r="ACM513" s="457"/>
      <c r="ACN513" s="457"/>
      <c r="ACO513" s="457"/>
      <c r="ACP513" s="457"/>
      <c r="ACQ513" s="457"/>
      <c r="ACR513" s="457"/>
      <c r="ACS513" s="457"/>
      <c r="ACT513" s="457"/>
      <c r="ACU513" s="457"/>
      <c r="ACV513" s="457"/>
    </row>
    <row r="514" spans="1:776" s="400" customFormat="1" x14ac:dyDescent="0.25">
      <c r="A514" s="470">
        <v>901017</v>
      </c>
      <c r="B514" s="404" t="str">
        <f t="shared" si="13"/>
        <v>-4,35/+4,68  (EC  4,67)</v>
      </c>
      <c r="C514" s="455"/>
      <c r="D514" s="470">
        <v>5.51</v>
      </c>
      <c r="E514" s="454">
        <v>0.46700000000000003</v>
      </c>
      <c r="F514" s="458">
        <v>22.2</v>
      </c>
      <c r="G514" s="454">
        <v>0</v>
      </c>
      <c r="H514" s="454">
        <v>13.71</v>
      </c>
      <c r="I514" s="456">
        <v>63.46</v>
      </c>
      <c r="J514" s="454">
        <v>88.83</v>
      </c>
      <c r="K514" s="454">
        <v>19.277999999999999</v>
      </c>
      <c r="L514" s="454">
        <v>9.6</v>
      </c>
      <c r="M514" s="454">
        <v>0</v>
      </c>
      <c r="N514" s="454">
        <v>11.33</v>
      </c>
      <c r="O514" s="454">
        <v>58.1</v>
      </c>
      <c r="P514" s="454">
        <v>8.23</v>
      </c>
      <c r="Q514" s="454">
        <v>5.62</v>
      </c>
      <c r="R514" s="454">
        <v>0.08</v>
      </c>
      <c r="S514" s="454">
        <v>0.03</v>
      </c>
      <c r="T514" s="454">
        <v>0.21</v>
      </c>
      <c r="U514" s="454">
        <v>0.43</v>
      </c>
      <c r="V514" s="454">
        <v>0.66</v>
      </c>
      <c r="W514" s="457"/>
      <c r="X514" s="457"/>
      <c r="Y514" s="457"/>
      <c r="Z514" s="457"/>
      <c r="AA514" s="457"/>
      <c r="AB514" s="457"/>
      <c r="AC514" s="457"/>
      <c r="AD514" s="457"/>
      <c r="AE514" s="457"/>
      <c r="AF514" s="457"/>
      <c r="AG514" s="457"/>
      <c r="AH514" s="457"/>
      <c r="AI514" s="457"/>
      <c r="AJ514" s="457"/>
      <c r="AK514" s="457"/>
      <c r="AL514" s="457"/>
      <c r="AM514" s="457"/>
      <c r="AN514" s="457"/>
      <c r="AO514" s="457"/>
      <c r="AP514" s="457"/>
      <c r="AQ514" s="457"/>
      <c r="AR514" s="457"/>
      <c r="AS514" s="457"/>
      <c r="AT514" s="457"/>
      <c r="AU514" s="457"/>
      <c r="AV514" s="457"/>
      <c r="AW514" s="457"/>
      <c r="AX514" s="457"/>
      <c r="AY514" s="457"/>
      <c r="AZ514" s="457"/>
      <c r="BA514" s="457"/>
      <c r="BB514" s="457"/>
      <c r="BC514" s="457"/>
      <c r="BD514" s="457"/>
      <c r="BE514" s="457"/>
      <c r="BF514" s="457"/>
      <c r="BG514" s="457"/>
      <c r="BH514" s="457"/>
      <c r="BI514" s="457"/>
      <c r="BJ514" s="457"/>
      <c r="BK514" s="457"/>
      <c r="BL514" s="457"/>
      <c r="BM514" s="457"/>
      <c r="BN514" s="457"/>
      <c r="BO514" s="457"/>
      <c r="BP514" s="457"/>
      <c r="BQ514" s="457"/>
      <c r="BR514" s="457"/>
      <c r="BS514" s="457"/>
      <c r="BT514" s="457"/>
      <c r="BU514" s="457"/>
      <c r="BV514" s="457"/>
      <c r="BW514" s="457"/>
      <c r="BX514" s="457"/>
      <c r="BY514" s="457"/>
      <c r="BZ514" s="457"/>
      <c r="CA514" s="457"/>
      <c r="CB514" s="457"/>
      <c r="CC514" s="457"/>
      <c r="CD514" s="457"/>
      <c r="CE514" s="457"/>
      <c r="CF514" s="457"/>
      <c r="CG514" s="457"/>
      <c r="CH514" s="457"/>
      <c r="CI514" s="457"/>
      <c r="CJ514" s="457"/>
      <c r="CK514" s="457"/>
      <c r="CL514" s="457"/>
      <c r="CM514" s="457"/>
      <c r="CN514" s="457"/>
      <c r="CO514" s="457"/>
      <c r="CP514" s="457"/>
      <c r="CQ514" s="457"/>
      <c r="CR514" s="457"/>
      <c r="CS514" s="457"/>
      <c r="CT514" s="457"/>
      <c r="CU514" s="457"/>
      <c r="CV514" s="457"/>
      <c r="CW514" s="457"/>
      <c r="CX514" s="457"/>
      <c r="CY514" s="457"/>
      <c r="CZ514" s="457"/>
      <c r="DA514" s="457"/>
      <c r="DB514" s="457"/>
      <c r="DC514" s="457"/>
      <c r="DD514" s="457"/>
      <c r="DE514" s="457"/>
      <c r="DF514" s="457"/>
      <c r="DG514" s="457"/>
      <c r="DH514" s="457"/>
      <c r="DI514" s="457"/>
      <c r="DJ514" s="457"/>
      <c r="DK514" s="457"/>
      <c r="DL514" s="457"/>
      <c r="DM514" s="457"/>
      <c r="DN514" s="457"/>
      <c r="DO514" s="457"/>
      <c r="DP514" s="457"/>
      <c r="DQ514" s="457"/>
      <c r="DR514" s="457"/>
      <c r="DS514" s="457"/>
      <c r="DT514" s="457"/>
      <c r="DU514" s="457"/>
      <c r="DV514" s="457"/>
      <c r="DW514" s="457"/>
      <c r="DX514" s="457"/>
      <c r="DY514" s="457"/>
      <c r="DZ514" s="457"/>
      <c r="EA514" s="457"/>
      <c r="EB514" s="457"/>
      <c r="EC514" s="457"/>
      <c r="ED514" s="457"/>
      <c r="EE514" s="457"/>
      <c r="EF514" s="457"/>
      <c r="EG514" s="457"/>
      <c r="EH514" s="457"/>
      <c r="EI514" s="457"/>
      <c r="EJ514" s="457"/>
      <c r="EK514" s="457"/>
      <c r="EL514" s="457"/>
      <c r="EM514" s="457"/>
      <c r="EN514" s="457"/>
      <c r="EO514" s="457"/>
      <c r="EP514" s="457"/>
      <c r="EQ514" s="457"/>
      <c r="ER514" s="457"/>
      <c r="ES514" s="457"/>
      <c r="ET514" s="457"/>
      <c r="EU514" s="457"/>
      <c r="EV514" s="457"/>
      <c r="EW514" s="457"/>
      <c r="EX514" s="457"/>
      <c r="EY514" s="457"/>
      <c r="EZ514" s="457"/>
      <c r="FA514" s="457"/>
      <c r="FB514" s="457"/>
      <c r="FC514" s="457"/>
      <c r="FD514" s="457"/>
      <c r="FE514" s="457"/>
      <c r="FF514" s="457"/>
      <c r="FG514" s="457"/>
      <c r="FH514" s="457"/>
      <c r="FI514" s="457"/>
      <c r="FJ514" s="457"/>
      <c r="FK514" s="457"/>
      <c r="FL514" s="457"/>
      <c r="FM514" s="457"/>
      <c r="FN514" s="457"/>
      <c r="FO514" s="457"/>
      <c r="FP514" s="457"/>
      <c r="FQ514" s="457"/>
      <c r="FR514" s="457"/>
      <c r="FS514" s="457"/>
      <c r="FT514" s="457"/>
      <c r="FU514" s="457"/>
      <c r="FV514" s="457"/>
      <c r="FW514" s="457"/>
      <c r="FX514" s="457"/>
      <c r="FY514" s="457"/>
      <c r="FZ514" s="457"/>
      <c r="GA514" s="457"/>
      <c r="GB514" s="457"/>
      <c r="GC514" s="457"/>
      <c r="GD514" s="457"/>
      <c r="GE514" s="457"/>
      <c r="GF514" s="457"/>
      <c r="GG514" s="457"/>
      <c r="GH514" s="457"/>
      <c r="GI514" s="457"/>
      <c r="GJ514" s="457"/>
      <c r="GK514" s="457"/>
      <c r="GL514" s="457"/>
      <c r="GM514" s="457"/>
      <c r="GN514" s="457"/>
      <c r="GO514" s="457"/>
      <c r="GP514" s="457"/>
      <c r="GQ514" s="457"/>
      <c r="GR514" s="457"/>
      <c r="GS514" s="457"/>
      <c r="GT514" s="457"/>
      <c r="GU514" s="457"/>
      <c r="GV514" s="457"/>
      <c r="GW514" s="457"/>
      <c r="GX514" s="457"/>
      <c r="GY514" s="457"/>
      <c r="GZ514" s="457"/>
      <c r="HA514" s="457"/>
      <c r="HB514" s="457"/>
      <c r="HC514" s="457"/>
      <c r="HD514" s="457"/>
      <c r="HE514" s="457"/>
      <c r="HF514" s="457"/>
      <c r="HG514" s="457"/>
      <c r="HH514" s="457"/>
      <c r="HI514" s="457"/>
      <c r="HJ514" s="457"/>
      <c r="HK514" s="457"/>
      <c r="HL514" s="457"/>
      <c r="HM514" s="457"/>
      <c r="HN514" s="457"/>
      <c r="HO514" s="457"/>
      <c r="HP514" s="457"/>
      <c r="HQ514" s="457"/>
      <c r="HR514" s="457"/>
      <c r="HS514" s="457"/>
      <c r="HT514" s="457"/>
      <c r="HU514" s="457"/>
      <c r="HV514" s="457"/>
      <c r="HW514" s="457"/>
      <c r="HX514" s="457"/>
      <c r="HY514" s="457"/>
      <c r="HZ514" s="457"/>
      <c r="IA514" s="457"/>
      <c r="IB514" s="457"/>
      <c r="IC514" s="457"/>
      <c r="ID514" s="457"/>
      <c r="IE514" s="457"/>
      <c r="IF514" s="457"/>
      <c r="IG514" s="457"/>
      <c r="IH514" s="457"/>
      <c r="II514" s="457"/>
      <c r="IJ514" s="457"/>
      <c r="IK514" s="457"/>
      <c r="IL514" s="457"/>
      <c r="IM514" s="457"/>
      <c r="IN514" s="457"/>
      <c r="IO514" s="457"/>
      <c r="IP514" s="457"/>
      <c r="IQ514" s="457"/>
      <c r="IR514" s="457"/>
      <c r="IS514" s="457"/>
      <c r="IT514" s="457"/>
      <c r="IU514" s="457"/>
      <c r="IV514" s="457"/>
      <c r="IW514" s="457"/>
      <c r="IX514" s="457"/>
      <c r="IY514" s="457"/>
      <c r="IZ514" s="457"/>
      <c r="JA514" s="457"/>
      <c r="JB514" s="457"/>
      <c r="JC514" s="457"/>
      <c r="JD514" s="457"/>
      <c r="JE514" s="457"/>
      <c r="JF514" s="457"/>
      <c r="JG514" s="457"/>
      <c r="JH514" s="457"/>
      <c r="JI514" s="457"/>
      <c r="JJ514" s="457"/>
      <c r="JK514" s="457"/>
      <c r="JL514" s="457"/>
      <c r="JM514" s="457"/>
      <c r="JN514" s="457"/>
      <c r="JO514" s="457"/>
      <c r="JP514" s="457"/>
      <c r="JQ514" s="457"/>
      <c r="JR514" s="457"/>
      <c r="JS514" s="457"/>
      <c r="JT514" s="457"/>
      <c r="JU514" s="457"/>
      <c r="JV514" s="457"/>
      <c r="JW514" s="457"/>
      <c r="JX514" s="457"/>
      <c r="JY514" s="457"/>
      <c r="JZ514" s="457"/>
      <c r="KA514" s="457"/>
      <c r="KB514" s="457"/>
      <c r="KC514" s="457"/>
      <c r="KD514" s="457"/>
      <c r="KE514" s="457"/>
      <c r="KF514" s="457"/>
      <c r="KG514" s="457"/>
      <c r="KH514" s="457"/>
      <c r="KI514" s="457"/>
      <c r="KJ514" s="457"/>
      <c r="KK514" s="457"/>
      <c r="KL514" s="457"/>
      <c r="KM514" s="457"/>
      <c r="KN514" s="457"/>
      <c r="KO514" s="457"/>
      <c r="KP514" s="457"/>
      <c r="KQ514" s="457"/>
      <c r="KR514" s="457"/>
      <c r="KS514" s="457"/>
      <c r="KT514" s="457"/>
      <c r="KU514" s="457"/>
      <c r="KV514" s="457"/>
      <c r="KW514" s="457"/>
      <c r="KX514" s="457"/>
      <c r="KY514" s="457"/>
      <c r="KZ514" s="457"/>
      <c r="LA514" s="457"/>
      <c r="LB514" s="457"/>
      <c r="LC514" s="457"/>
      <c r="LD514" s="457"/>
      <c r="LE514" s="457"/>
      <c r="LF514" s="457"/>
      <c r="LG514" s="457"/>
      <c r="LH514" s="457"/>
      <c r="LI514" s="457"/>
      <c r="LJ514" s="457"/>
      <c r="LK514" s="457"/>
      <c r="LL514" s="457"/>
      <c r="LM514" s="457"/>
      <c r="LN514" s="457"/>
      <c r="LO514" s="457"/>
      <c r="LP514" s="457"/>
      <c r="LQ514" s="457"/>
      <c r="LR514" s="457"/>
      <c r="LS514" s="457"/>
      <c r="LT514" s="457"/>
      <c r="LU514" s="457"/>
      <c r="LV514" s="457"/>
      <c r="LW514" s="457"/>
      <c r="LX514" s="457"/>
      <c r="LY514" s="457"/>
      <c r="LZ514" s="457"/>
      <c r="MA514" s="457"/>
      <c r="MB514" s="457"/>
      <c r="MC514" s="457"/>
      <c r="MD514" s="457"/>
      <c r="ME514" s="457"/>
      <c r="MF514" s="457"/>
      <c r="MG514" s="457"/>
      <c r="MH514" s="457"/>
      <c r="MI514" s="457"/>
      <c r="MJ514" s="457"/>
      <c r="MK514" s="457"/>
      <c r="ML514" s="457"/>
      <c r="MM514" s="457"/>
      <c r="MN514" s="457"/>
      <c r="MO514" s="457"/>
      <c r="MP514" s="457"/>
      <c r="MQ514" s="457"/>
      <c r="MR514" s="457"/>
      <c r="MS514" s="457"/>
      <c r="MT514" s="457"/>
      <c r="MU514" s="457"/>
      <c r="MV514" s="457"/>
      <c r="MW514" s="457"/>
      <c r="MX514" s="457"/>
      <c r="MY514" s="457"/>
      <c r="MZ514" s="457"/>
      <c r="NA514" s="457"/>
      <c r="NB514" s="457"/>
      <c r="NC514" s="457"/>
      <c r="ND514" s="457"/>
      <c r="NE514" s="457"/>
      <c r="NF514" s="457"/>
      <c r="NG514" s="457"/>
      <c r="NH514" s="457"/>
      <c r="NI514" s="457"/>
      <c r="NJ514" s="457"/>
      <c r="NK514" s="457"/>
      <c r="NL514" s="457"/>
      <c r="NM514" s="457"/>
      <c r="NN514" s="457"/>
      <c r="NO514" s="457"/>
      <c r="NP514" s="457"/>
      <c r="NQ514" s="457"/>
      <c r="NR514" s="457"/>
      <c r="NS514" s="457"/>
      <c r="NT514" s="457"/>
      <c r="NU514" s="457"/>
      <c r="NV514" s="457"/>
      <c r="NW514" s="457"/>
      <c r="NX514" s="457"/>
      <c r="NY514" s="457"/>
      <c r="NZ514" s="457"/>
      <c r="OA514" s="457"/>
      <c r="OB514" s="457"/>
      <c r="OC514" s="457"/>
      <c r="OD514" s="457"/>
      <c r="OE514" s="457"/>
      <c r="OF514" s="457"/>
      <c r="OG514" s="457"/>
      <c r="OH514" s="457"/>
      <c r="OI514" s="457"/>
      <c r="OJ514" s="457"/>
      <c r="OK514" s="457"/>
      <c r="OL514" s="457"/>
      <c r="OM514" s="457"/>
      <c r="ON514" s="457"/>
      <c r="OO514" s="457"/>
      <c r="OP514" s="457"/>
      <c r="OQ514" s="457"/>
      <c r="OR514" s="457"/>
      <c r="OS514" s="457"/>
      <c r="OT514" s="457"/>
      <c r="OU514" s="457"/>
      <c r="OV514" s="457"/>
      <c r="OW514" s="457"/>
      <c r="OX514" s="457"/>
      <c r="OY514" s="457"/>
      <c r="OZ514" s="457"/>
      <c r="PA514" s="457"/>
      <c r="PB514" s="457"/>
      <c r="PC514" s="457"/>
      <c r="PD514" s="457"/>
      <c r="PE514" s="457"/>
      <c r="PF514" s="457"/>
      <c r="PG514" s="457"/>
      <c r="PH514" s="457"/>
      <c r="PI514" s="457"/>
      <c r="PJ514" s="457"/>
      <c r="PK514" s="457"/>
      <c r="PL514" s="457"/>
      <c r="PM514" s="457"/>
      <c r="PN514" s="457"/>
      <c r="PO514" s="457"/>
      <c r="PP514" s="457"/>
      <c r="PQ514" s="457"/>
      <c r="PR514" s="457"/>
      <c r="PS514" s="457"/>
      <c r="PT514" s="457"/>
      <c r="PU514" s="457"/>
      <c r="PV514" s="457"/>
      <c r="PW514" s="457"/>
      <c r="PX514" s="457"/>
      <c r="PY514" s="457"/>
      <c r="PZ514" s="457"/>
      <c r="QA514" s="457"/>
      <c r="QB514" s="457"/>
      <c r="QC514" s="457"/>
      <c r="QD514" s="457"/>
      <c r="QE514" s="457"/>
      <c r="QF514" s="457"/>
      <c r="QG514" s="457"/>
      <c r="QH514" s="457"/>
      <c r="QI514" s="457"/>
      <c r="QJ514" s="457"/>
      <c r="QK514" s="457"/>
      <c r="QL514" s="457"/>
      <c r="QM514" s="457"/>
      <c r="QN514" s="457"/>
      <c r="QO514" s="457"/>
      <c r="QP514" s="457"/>
      <c r="QQ514" s="457"/>
      <c r="QR514" s="457"/>
      <c r="QS514" s="457"/>
      <c r="QT514" s="457"/>
      <c r="QU514" s="457"/>
      <c r="QV514" s="457"/>
      <c r="QW514" s="457"/>
      <c r="QX514" s="457"/>
      <c r="QY514" s="457"/>
      <c r="QZ514" s="457"/>
      <c r="RA514" s="457"/>
      <c r="RB514" s="457"/>
      <c r="RC514" s="457"/>
      <c r="RD514" s="457"/>
      <c r="RE514" s="457"/>
      <c r="RF514" s="457"/>
      <c r="RG514" s="457"/>
      <c r="RH514" s="457"/>
      <c r="RI514" s="457"/>
      <c r="RJ514" s="457"/>
      <c r="RK514" s="457"/>
      <c r="RL514" s="457"/>
      <c r="RM514" s="457"/>
      <c r="RN514" s="457"/>
      <c r="RO514" s="457"/>
      <c r="RP514" s="457"/>
      <c r="RQ514" s="457"/>
      <c r="RR514" s="457"/>
      <c r="RS514" s="457"/>
      <c r="RT514" s="457"/>
      <c r="RU514" s="457"/>
      <c r="RV514" s="457"/>
      <c r="RW514" s="457"/>
      <c r="RX514" s="457"/>
      <c r="RY514" s="457"/>
      <c r="RZ514" s="457"/>
      <c r="SA514" s="457"/>
      <c r="SB514" s="457"/>
      <c r="SC514" s="457"/>
      <c r="SD514" s="457"/>
      <c r="SE514" s="457"/>
      <c r="SF514" s="457"/>
      <c r="SG514" s="457"/>
      <c r="SH514" s="457"/>
      <c r="SI514" s="457"/>
      <c r="SJ514" s="457"/>
      <c r="SK514" s="457"/>
      <c r="SL514" s="457"/>
      <c r="SM514" s="457"/>
      <c r="SN514" s="457"/>
      <c r="SO514" s="457"/>
      <c r="SP514" s="457"/>
      <c r="SQ514" s="457"/>
      <c r="SR514" s="457"/>
      <c r="SS514" s="457"/>
      <c r="ST514" s="457"/>
      <c r="SU514" s="457"/>
      <c r="SV514" s="457"/>
      <c r="SW514" s="457"/>
      <c r="SX514" s="457"/>
      <c r="SY514" s="457"/>
      <c r="SZ514" s="457"/>
      <c r="TA514" s="457"/>
      <c r="TB514" s="457"/>
      <c r="TC514" s="457"/>
      <c r="TD514" s="457"/>
      <c r="TE514" s="457"/>
      <c r="TF514" s="457"/>
      <c r="TG514" s="457"/>
      <c r="TH514" s="457"/>
      <c r="TI514" s="457"/>
      <c r="TJ514" s="457"/>
      <c r="TK514" s="457"/>
      <c r="TL514" s="457"/>
      <c r="TM514" s="457"/>
      <c r="TN514" s="457"/>
      <c r="TO514" s="457"/>
      <c r="TP514" s="457"/>
      <c r="TQ514" s="457"/>
      <c r="TR514" s="457"/>
      <c r="TS514" s="457"/>
      <c r="TT514" s="457"/>
      <c r="TU514" s="457"/>
      <c r="TV514" s="457"/>
      <c r="TW514" s="457"/>
      <c r="TX514" s="457"/>
      <c r="TY514" s="457"/>
      <c r="TZ514" s="457"/>
      <c r="UA514" s="457"/>
      <c r="UB514" s="457"/>
      <c r="UC514" s="457"/>
      <c r="UD514" s="457"/>
      <c r="UE514" s="457"/>
      <c r="UF514" s="457"/>
      <c r="UG514" s="457"/>
      <c r="UH514" s="457"/>
      <c r="UI514" s="457"/>
      <c r="UJ514" s="457"/>
      <c r="UK514" s="457"/>
      <c r="UL514" s="457"/>
      <c r="UM514" s="457"/>
      <c r="UN514" s="457"/>
      <c r="UO514" s="457"/>
      <c r="UP514" s="457"/>
      <c r="UQ514" s="457"/>
      <c r="UR514" s="457"/>
      <c r="US514" s="457"/>
      <c r="UT514" s="457"/>
      <c r="UU514" s="457"/>
      <c r="UV514" s="457"/>
      <c r="UW514" s="457"/>
      <c r="UX514" s="457"/>
      <c r="UY514" s="457"/>
      <c r="UZ514" s="457"/>
      <c r="VA514" s="457"/>
      <c r="VB514" s="457"/>
      <c r="VC514" s="457"/>
      <c r="VD514" s="457"/>
      <c r="VE514" s="457"/>
      <c r="VF514" s="457"/>
      <c r="VG514" s="457"/>
      <c r="VH514" s="457"/>
      <c r="VI514" s="457"/>
      <c r="VJ514" s="457"/>
      <c r="VK514" s="457"/>
      <c r="VL514" s="457"/>
      <c r="VM514" s="457"/>
      <c r="VN514" s="457"/>
      <c r="VO514" s="457"/>
      <c r="VP514" s="457"/>
      <c r="VQ514" s="457"/>
      <c r="VR514" s="457"/>
      <c r="VS514" s="457"/>
      <c r="VT514" s="457"/>
      <c r="VU514" s="457"/>
      <c r="VV514" s="457"/>
      <c r="VW514" s="457"/>
      <c r="VX514" s="457"/>
      <c r="VY514" s="457"/>
      <c r="VZ514" s="457"/>
      <c r="WA514" s="457"/>
      <c r="WB514" s="457"/>
      <c r="WC514" s="457"/>
      <c r="WD514" s="457"/>
      <c r="WE514" s="457"/>
      <c r="WF514" s="457"/>
      <c r="WG514" s="457"/>
      <c r="WH514" s="457"/>
      <c r="WI514" s="457"/>
      <c r="WJ514" s="457"/>
      <c r="WK514" s="457"/>
      <c r="WL514" s="457"/>
      <c r="WM514" s="457"/>
      <c r="WN514" s="457"/>
      <c r="WO514" s="457"/>
      <c r="WP514" s="457"/>
      <c r="WQ514" s="457"/>
      <c r="WR514" s="457"/>
      <c r="WS514" s="457"/>
      <c r="WT514" s="457"/>
      <c r="WU514" s="457"/>
      <c r="WV514" s="457"/>
      <c r="WW514" s="457"/>
      <c r="WX514" s="457"/>
      <c r="WY514" s="457"/>
      <c r="WZ514" s="457"/>
      <c r="XA514" s="457"/>
      <c r="XB514" s="457"/>
      <c r="XC514" s="457"/>
      <c r="XD514" s="457"/>
      <c r="XE514" s="457"/>
      <c r="XF514" s="457"/>
      <c r="XG514" s="457"/>
      <c r="XH514" s="457"/>
      <c r="XI514" s="457"/>
      <c r="XJ514" s="457"/>
      <c r="XK514" s="457"/>
      <c r="XL514" s="457"/>
      <c r="XM514" s="457"/>
      <c r="XN514" s="457"/>
      <c r="XO514" s="457"/>
      <c r="XP514" s="457"/>
      <c r="XQ514" s="457"/>
      <c r="XR514" s="457"/>
      <c r="XS514" s="457"/>
      <c r="XT514" s="457"/>
      <c r="XU514" s="457"/>
      <c r="XV514" s="457"/>
      <c r="XW514" s="457"/>
      <c r="XX514" s="457"/>
      <c r="XY514" s="457"/>
      <c r="XZ514" s="457"/>
      <c r="YA514" s="457"/>
      <c r="YB514" s="457"/>
      <c r="YC514" s="457"/>
      <c r="YD514" s="457"/>
      <c r="YE514" s="457"/>
      <c r="YF514" s="457"/>
      <c r="YG514" s="457"/>
      <c r="YH514" s="457"/>
      <c r="YI514" s="457"/>
      <c r="YJ514" s="457"/>
      <c r="YK514" s="457"/>
      <c r="YL514" s="457"/>
      <c r="YM514" s="457"/>
      <c r="YN514" s="457"/>
      <c r="YO514" s="457"/>
      <c r="YP514" s="457"/>
      <c r="YQ514" s="457"/>
      <c r="YR514" s="457"/>
      <c r="YS514" s="457"/>
      <c r="YT514" s="457"/>
      <c r="YU514" s="457"/>
      <c r="YV514" s="457"/>
      <c r="YW514" s="457"/>
      <c r="YX514" s="457"/>
      <c r="YY514" s="457"/>
      <c r="YZ514" s="457"/>
      <c r="ZA514" s="457"/>
      <c r="ZB514" s="457"/>
      <c r="ZC514" s="457"/>
      <c r="ZD514" s="457"/>
      <c r="ZE514" s="457"/>
      <c r="ZF514" s="457"/>
      <c r="ZG514" s="457"/>
      <c r="ZH514" s="457"/>
      <c r="ZI514" s="457"/>
      <c r="ZJ514" s="457"/>
      <c r="ZK514" s="457"/>
      <c r="ZL514" s="457"/>
      <c r="ZM514" s="457"/>
      <c r="ZN514" s="457"/>
      <c r="ZO514" s="457"/>
      <c r="ZP514" s="457"/>
      <c r="ZQ514" s="457"/>
      <c r="ZR514" s="457"/>
      <c r="ZS514" s="457"/>
      <c r="ZT514" s="457"/>
      <c r="ZU514" s="457"/>
      <c r="ZV514" s="457"/>
      <c r="ZW514" s="457"/>
      <c r="ZX514" s="457"/>
      <c r="ZY514" s="457"/>
      <c r="ZZ514" s="457"/>
      <c r="AAA514" s="457"/>
      <c r="AAB514" s="457"/>
      <c r="AAC514" s="457"/>
      <c r="AAD514" s="457"/>
      <c r="AAE514" s="457"/>
      <c r="AAF514" s="457"/>
      <c r="AAG514" s="457"/>
      <c r="AAH514" s="457"/>
      <c r="AAI514" s="457"/>
      <c r="AAJ514" s="457"/>
      <c r="AAK514" s="457"/>
      <c r="AAL514" s="457"/>
      <c r="AAM514" s="457"/>
      <c r="AAN514" s="457"/>
      <c r="AAO514" s="457"/>
      <c r="AAP514" s="457"/>
      <c r="AAQ514" s="457"/>
      <c r="AAR514" s="457"/>
      <c r="AAS514" s="457"/>
      <c r="AAT514" s="457"/>
      <c r="AAU514" s="457"/>
      <c r="AAV514" s="457"/>
      <c r="AAW514" s="457"/>
      <c r="AAX514" s="457"/>
      <c r="AAY514" s="457"/>
      <c r="AAZ514" s="457"/>
      <c r="ABA514" s="457"/>
      <c r="ABB514" s="457"/>
      <c r="ABC514" s="457"/>
      <c r="ABD514" s="457"/>
      <c r="ABE514" s="457"/>
      <c r="ABF514" s="457"/>
      <c r="ABG514" s="457"/>
      <c r="ABH514" s="457"/>
      <c r="ABI514" s="457"/>
      <c r="ABJ514" s="457"/>
      <c r="ABK514" s="457"/>
      <c r="ABL514" s="457"/>
      <c r="ABM514" s="457"/>
      <c r="ABN514" s="457"/>
      <c r="ABO514" s="457"/>
      <c r="ABP514" s="457"/>
      <c r="ABQ514" s="457"/>
      <c r="ABR514" s="457"/>
      <c r="ABS514" s="457"/>
      <c r="ABT514" s="457"/>
      <c r="ABU514" s="457"/>
      <c r="ABV514" s="457"/>
      <c r="ABW514" s="457"/>
      <c r="ABX514" s="457"/>
      <c r="ABY514" s="457"/>
      <c r="ABZ514" s="457"/>
      <c r="ACA514" s="457"/>
      <c r="ACB514" s="457"/>
      <c r="ACC514" s="457"/>
      <c r="ACD514" s="457"/>
      <c r="ACE514" s="457"/>
      <c r="ACF514" s="457"/>
      <c r="ACG514" s="457"/>
      <c r="ACH514" s="457"/>
      <c r="ACI514" s="457"/>
      <c r="ACJ514" s="457"/>
      <c r="ACK514" s="457"/>
      <c r="ACL514" s="457"/>
      <c r="ACM514" s="457"/>
      <c r="ACN514" s="457"/>
      <c r="ACO514" s="457"/>
      <c r="ACP514" s="457"/>
      <c r="ACQ514" s="457"/>
      <c r="ACR514" s="457"/>
      <c r="ACS514" s="457"/>
      <c r="ACT514" s="457"/>
      <c r="ACU514" s="457"/>
      <c r="ACV514" s="457"/>
    </row>
    <row r="515" spans="1:776" s="350" customFormat="1" x14ac:dyDescent="0.25">
      <c r="A515" s="472">
        <v>900218</v>
      </c>
      <c r="B515" s="462" t="str">
        <f t="shared" si="13"/>
        <v>-6,89/+6,51  (EC  6)</v>
      </c>
      <c r="C515" s="471"/>
      <c r="D515" s="472">
        <v>7.53</v>
      </c>
      <c r="E515" s="257">
        <v>0.6</v>
      </c>
      <c r="F515" s="473">
        <v>86.86</v>
      </c>
      <c r="G515" s="257">
        <v>0</v>
      </c>
      <c r="H515" s="257">
        <v>0.11</v>
      </c>
      <c r="I515" s="476">
        <v>29.31</v>
      </c>
      <c r="J515" s="257">
        <v>14</v>
      </c>
      <c r="K515" s="474">
        <v>3.1E-2</v>
      </c>
      <c r="L515" s="475">
        <v>266.39999999999998</v>
      </c>
      <c r="M515" s="257">
        <v>0</v>
      </c>
      <c r="N515" s="257">
        <v>0.48</v>
      </c>
      <c r="O515" s="257">
        <v>19.510000000000002</v>
      </c>
      <c r="P515" s="257">
        <v>86.78</v>
      </c>
      <c r="Q515" s="257">
        <v>15.68</v>
      </c>
      <c r="R515" s="397">
        <v>1.0000000000000001E-5</v>
      </c>
      <c r="S515" s="397">
        <v>1.0000000000000001E-5</v>
      </c>
      <c r="T515" s="397">
        <v>1.0000000000000001E-5</v>
      </c>
      <c r="U515" s="397">
        <v>1.0000000000000001E-5</v>
      </c>
      <c r="V515" s="257"/>
    </row>
    <row r="516" spans="1:776" s="350" customFormat="1" x14ac:dyDescent="0.25">
      <c r="A516" s="472">
        <v>900219</v>
      </c>
      <c r="B516" s="462" t="str">
        <f t="shared" si="13"/>
        <v>-22,84/+20,98  (EC  22,8)</v>
      </c>
      <c r="C516" s="471"/>
      <c r="D516" s="472">
        <v>8.1</v>
      </c>
      <c r="E516" s="257">
        <v>2.2799999999999998</v>
      </c>
      <c r="F516" s="473">
        <v>7.64</v>
      </c>
      <c r="G516" s="257">
        <v>0</v>
      </c>
      <c r="H516" s="257">
        <v>20.74</v>
      </c>
      <c r="I516" s="476">
        <v>256.8</v>
      </c>
      <c r="J516" s="257">
        <v>111.03</v>
      </c>
      <c r="K516" s="476">
        <v>21.7</v>
      </c>
      <c r="L516" s="475">
        <v>789.6</v>
      </c>
      <c r="M516" s="257">
        <v>0</v>
      </c>
      <c r="N516" s="257">
        <v>55.73</v>
      </c>
      <c r="O516" s="257">
        <v>214.14</v>
      </c>
      <c r="P516" s="257">
        <v>81.48</v>
      </c>
      <c r="Q516" s="257">
        <v>56.23</v>
      </c>
      <c r="R516" s="397">
        <v>1.0000000000000001E-5</v>
      </c>
      <c r="S516" s="397">
        <v>1.0000000000000001E-5</v>
      </c>
      <c r="T516" s="257">
        <v>0.01</v>
      </c>
      <c r="U516" s="257">
        <v>0.01</v>
      </c>
      <c r="V516" s="257"/>
    </row>
    <row r="517" spans="1:776" s="350" customFormat="1" x14ac:dyDescent="0.25">
      <c r="A517" s="472">
        <v>900220</v>
      </c>
      <c r="B517" s="462" t="str">
        <f t="shared" si="13"/>
        <v>-2,74/+2,36  (EC  2,33)</v>
      </c>
      <c r="C517" s="471"/>
      <c r="D517" s="472">
        <v>7.63</v>
      </c>
      <c r="E517" s="257">
        <v>0.23300000000000001</v>
      </c>
      <c r="F517" s="473">
        <v>13.88</v>
      </c>
      <c r="G517" s="257">
        <v>0</v>
      </c>
      <c r="H517" s="257">
        <v>0.76</v>
      </c>
      <c r="I517" s="476">
        <v>22.22</v>
      </c>
      <c r="J517" s="257">
        <v>22.81</v>
      </c>
      <c r="K517" s="474">
        <v>3.9470000000000001</v>
      </c>
      <c r="L517" s="257">
        <v>84</v>
      </c>
      <c r="M517" s="257">
        <v>0</v>
      </c>
      <c r="N517" s="257">
        <v>3.02</v>
      </c>
      <c r="O517" s="257">
        <v>13.67</v>
      </c>
      <c r="P517" s="257">
        <v>15.14</v>
      </c>
      <c r="Q517" s="257">
        <v>10.47</v>
      </c>
      <c r="R517" s="397">
        <v>1.0000000000000001E-5</v>
      </c>
      <c r="S517" s="397">
        <v>1.0000000000000001E-5</v>
      </c>
      <c r="T517" s="257">
        <v>0.02</v>
      </c>
      <c r="U517" s="257">
        <v>0.04</v>
      </c>
      <c r="V517" s="397">
        <v>1.0000000000000001E-5</v>
      </c>
    </row>
    <row r="518" spans="1:776" s="350" customFormat="1" x14ac:dyDescent="0.25">
      <c r="A518" s="472">
        <v>901018</v>
      </c>
      <c r="B518" s="462" t="str">
        <f t="shared" si="13"/>
        <v>-4,86/+4,31  (EC  4,48)</v>
      </c>
      <c r="C518" s="471"/>
      <c r="D518" s="472">
        <v>6.18</v>
      </c>
      <c r="E518" s="257">
        <v>0.44800000000000001</v>
      </c>
      <c r="F518" s="473">
        <v>33</v>
      </c>
      <c r="G518" s="257">
        <v>0</v>
      </c>
      <c r="H518" s="257">
        <v>16.350000000000001</v>
      </c>
      <c r="I518" s="476">
        <v>24.01</v>
      </c>
      <c r="J518" s="257">
        <v>109.71</v>
      </c>
      <c r="K518" s="476">
        <v>113.1</v>
      </c>
      <c r="L518" s="257">
        <v>12</v>
      </c>
      <c r="M518" s="257">
        <v>0</v>
      </c>
      <c r="N518" s="257">
        <v>20.71</v>
      </c>
      <c r="O518" s="257">
        <v>14.74</v>
      </c>
      <c r="P518" s="257">
        <v>15.72</v>
      </c>
      <c r="Q518" s="257">
        <v>14.2</v>
      </c>
      <c r="R518" s="257">
        <v>0.08</v>
      </c>
      <c r="S518" s="397">
        <v>1.0000000000000001E-5</v>
      </c>
      <c r="T518" s="257">
        <v>0.23</v>
      </c>
      <c r="U518" s="257">
        <v>0.3</v>
      </c>
      <c r="V518" s="257">
        <v>0.13</v>
      </c>
    </row>
    <row r="519" spans="1:776" s="350" customFormat="1" x14ac:dyDescent="0.25">
      <c r="A519" s="472">
        <v>901019</v>
      </c>
      <c r="B519" s="462" t="str">
        <f t="shared" si="13"/>
        <v>-5,62/+5,17  (EC  5,34)</v>
      </c>
      <c r="C519" s="471"/>
      <c r="D519" s="472">
        <v>4.91</v>
      </c>
      <c r="E519" s="257">
        <v>0.53400000000000003</v>
      </c>
      <c r="F519" s="473">
        <v>64.599999999999994</v>
      </c>
      <c r="G519" s="257">
        <v>0</v>
      </c>
      <c r="H519" s="257">
        <v>13.63</v>
      </c>
      <c r="I519" s="476">
        <v>26.23</v>
      </c>
      <c r="J519" s="257">
        <v>122.79</v>
      </c>
      <c r="K519" s="476">
        <v>116.74</v>
      </c>
      <c r="L519" s="257">
        <v>4.8</v>
      </c>
      <c r="M519" s="257">
        <v>0</v>
      </c>
      <c r="N519" s="257">
        <v>19.71</v>
      </c>
      <c r="O519" s="257">
        <v>19.170000000000002</v>
      </c>
      <c r="P519" s="257">
        <v>32.909999999999997</v>
      </c>
      <c r="Q519" s="257">
        <v>14.59</v>
      </c>
      <c r="R519" s="257">
        <v>0.02</v>
      </c>
      <c r="S519" s="397">
        <v>1.0000000000000001E-5</v>
      </c>
      <c r="T519" s="257">
        <v>0.14000000000000001</v>
      </c>
      <c r="U519" s="257">
        <v>0.12</v>
      </c>
      <c r="V519" s="257">
        <v>0.14000000000000001</v>
      </c>
    </row>
    <row r="520" spans="1:776" s="350" customFormat="1" x14ac:dyDescent="0.25">
      <c r="A520" s="472">
        <v>900221</v>
      </c>
      <c r="B520" s="462" t="str">
        <f t="shared" si="13"/>
        <v>-8,74/+8,81  (EC  8,6)</v>
      </c>
      <c r="C520" s="471"/>
      <c r="D520" s="477">
        <v>7.73</v>
      </c>
      <c r="E520" s="257">
        <v>0.86</v>
      </c>
      <c r="F520" s="472">
        <v>2.02</v>
      </c>
      <c r="G520" s="257">
        <v>0</v>
      </c>
      <c r="H520" s="257">
        <v>0.13</v>
      </c>
      <c r="I520" s="476">
        <v>119.22</v>
      </c>
      <c r="J520" s="257">
        <v>15.15</v>
      </c>
      <c r="K520" s="474">
        <v>0</v>
      </c>
      <c r="L520" s="257">
        <v>307.2</v>
      </c>
      <c r="M520" s="257">
        <v>0</v>
      </c>
      <c r="N520" s="257">
        <v>1.07</v>
      </c>
      <c r="O520" s="257">
        <v>81.48</v>
      </c>
      <c r="P520" s="257">
        <v>78.290000000000006</v>
      </c>
      <c r="Q520" s="257">
        <v>15.85</v>
      </c>
      <c r="R520" s="397">
        <v>1.0000000000000001E-5</v>
      </c>
      <c r="S520" s="397">
        <v>1.0000000000000001E-5</v>
      </c>
      <c r="T520" s="257">
        <v>0.04</v>
      </c>
      <c r="U520" s="257">
        <v>0.04</v>
      </c>
      <c r="V520" s="257"/>
    </row>
    <row r="521" spans="1:776" s="350" customFormat="1" x14ac:dyDescent="0.25">
      <c r="A521" s="472">
        <v>900222</v>
      </c>
      <c r="B521" s="462" t="str">
        <f t="shared" si="13"/>
        <v>-8,25/+7,82  (EC  8,12)</v>
      </c>
      <c r="C521" s="471"/>
      <c r="D521" s="477">
        <v>7.5</v>
      </c>
      <c r="E521" s="257">
        <v>0.81200000000000006</v>
      </c>
      <c r="F521" s="472">
        <v>89.02</v>
      </c>
      <c r="G521" s="257">
        <v>0</v>
      </c>
      <c r="H521" s="257">
        <v>0.14000000000000001</v>
      </c>
      <c r="I521" s="476">
        <v>78.760000000000005</v>
      </c>
      <c r="J521" s="257">
        <v>82.48</v>
      </c>
      <c r="K521" s="474">
        <v>0.122</v>
      </c>
      <c r="L521" s="257">
        <v>175.2</v>
      </c>
      <c r="M521" s="257">
        <v>0</v>
      </c>
      <c r="N521" s="257">
        <v>1.64</v>
      </c>
      <c r="O521" s="257">
        <v>44.81</v>
      </c>
      <c r="P521" s="257">
        <v>104.9</v>
      </c>
      <c r="Q521" s="257">
        <v>6.86</v>
      </c>
      <c r="R521" s="397">
        <v>1.0000000000000001E-5</v>
      </c>
      <c r="S521" s="397">
        <v>1.0000000000000001E-5</v>
      </c>
      <c r="T521" s="397">
        <v>1.0000000000000001E-5</v>
      </c>
      <c r="U521" s="257">
        <v>0.02</v>
      </c>
      <c r="V521" s="257"/>
    </row>
    <row r="522" spans="1:776" s="350" customFormat="1" x14ac:dyDescent="0.25">
      <c r="A522" s="472">
        <v>900223</v>
      </c>
      <c r="B522" s="462" t="str">
        <f t="shared" si="13"/>
        <v>-16,75/+15,55  (EC  16,9)</v>
      </c>
      <c r="C522" s="471"/>
      <c r="D522" s="477">
        <v>7.38</v>
      </c>
      <c r="E522" s="257">
        <v>1.69</v>
      </c>
      <c r="F522" s="472">
        <v>2.85</v>
      </c>
      <c r="G522" s="257">
        <v>0</v>
      </c>
      <c r="H522" s="257">
        <v>0.1</v>
      </c>
      <c r="I522" s="476">
        <v>427.18</v>
      </c>
      <c r="J522" s="257">
        <v>20.36</v>
      </c>
      <c r="K522" s="474">
        <v>3.1E-2</v>
      </c>
      <c r="L522" s="257">
        <v>259.2</v>
      </c>
      <c r="M522" s="257">
        <v>0</v>
      </c>
      <c r="N522" s="257">
        <v>1.1200000000000001</v>
      </c>
      <c r="O522" s="257">
        <v>149.97999999999999</v>
      </c>
      <c r="P522" s="257">
        <v>124.71</v>
      </c>
      <c r="Q522" s="257">
        <v>33.119999999999997</v>
      </c>
      <c r="R522" s="397">
        <v>1.0000000000000001E-5</v>
      </c>
      <c r="S522" s="397">
        <v>1.0000000000000001E-5</v>
      </c>
      <c r="T522" s="257">
        <v>0.04</v>
      </c>
      <c r="U522" s="257">
        <v>0.06</v>
      </c>
      <c r="V522" s="257"/>
    </row>
    <row r="523" spans="1:776" s="5" customFormat="1" x14ac:dyDescent="0.25">
      <c r="A523" s="472">
        <v>900224</v>
      </c>
      <c r="B523" s="462" t="str">
        <f>"-"&amp;TEXT((F523/62+G523/46+I523/35.5+J523/48+K523/97+L523/61),"0,00")&amp;"/+"&amp;TEXT((N523/39+O523/23+P523/20+Q523/12+H523/14),"0,00")&amp;"  (EC  "&amp;E523*10&amp;")"</f>
        <v>-5,92/+5,90  (EC  5,2)</v>
      </c>
      <c r="C523" s="478"/>
      <c r="D523" s="479" t="s">
        <v>406</v>
      </c>
      <c r="E523" s="480">
        <v>0.52</v>
      </c>
      <c r="F523" s="479">
        <v>10</v>
      </c>
      <c r="G523" s="397">
        <v>1.0000000000000001E-5</v>
      </c>
      <c r="H523" s="479">
        <v>0.11</v>
      </c>
      <c r="I523" s="334">
        <v>37</v>
      </c>
      <c r="J523" s="479">
        <v>11</v>
      </c>
      <c r="K523" s="479">
        <v>0</v>
      </c>
      <c r="L523" s="479">
        <v>274</v>
      </c>
      <c r="M523" s="397">
        <v>1.0000000000000001E-5</v>
      </c>
      <c r="N523" s="479">
        <v>2</v>
      </c>
      <c r="O523" s="479">
        <v>39</v>
      </c>
      <c r="P523" s="479">
        <v>73</v>
      </c>
      <c r="Q523" s="479">
        <v>6</v>
      </c>
      <c r="R523" s="397">
        <v>1.0000000000000001E-5</v>
      </c>
      <c r="S523" s="397">
        <v>1.0000000000000001E-5</v>
      </c>
      <c r="T523" s="397">
        <v>1.0000000000000001E-5</v>
      </c>
      <c r="U523" s="397">
        <v>1.0000000000000001E-5</v>
      </c>
      <c r="V523" s="478">
        <v>1E-3</v>
      </c>
      <c r="W523" s="481"/>
      <c r="X523" s="481"/>
      <c r="Y523" s="481"/>
      <c r="Z523" s="481"/>
      <c r="AA523" s="481"/>
      <c r="AB523" s="481"/>
      <c r="AC523" s="481"/>
      <c r="AD523" s="481"/>
      <c r="AE523" s="481"/>
      <c r="AF523" s="481"/>
      <c r="AG523" s="481"/>
      <c r="AH523" s="481"/>
      <c r="AI523" s="481"/>
      <c r="AJ523" s="481"/>
      <c r="AK523" s="481"/>
      <c r="AL523" s="481"/>
      <c r="AM523" s="481"/>
      <c r="AN523" s="481"/>
      <c r="AO523" s="481"/>
      <c r="AP523" s="481"/>
      <c r="AQ523" s="481"/>
      <c r="AR523" s="481"/>
      <c r="AS523" s="481"/>
      <c r="AT523" s="481"/>
      <c r="AU523" s="481"/>
      <c r="AV523" s="481"/>
      <c r="AW523" s="481"/>
      <c r="AX523" s="481"/>
      <c r="AY523" s="481"/>
      <c r="AZ523" s="481"/>
      <c r="BA523" s="481"/>
      <c r="BB523" s="481"/>
      <c r="BC523" s="481"/>
      <c r="BD523" s="481"/>
      <c r="BE523" s="481"/>
      <c r="BF523" s="481"/>
      <c r="BG523" s="481"/>
      <c r="BH523" s="481"/>
      <c r="BI523" s="481"/>
      <c r="BJ523" s="481"/>
      <c r="BK523" s="481"/>
      <c r="BL523" s="481"/>
      <c r="BM523" s="481"/>
      <c r="BN523" s="481"/>
      <c r="BO523" s="481"/>
      <c r="BP523" s="481"/>
      <c r="BQ523" s="481"/>
      <c r="BR523" s="481"/>
      <c r="BS523" s="481"/>
      <c r="BT523" s="481"/>
      <c r="BU523" s="481"/>
      <c r="BV523" s="481"/>
      <c r="BW523" s="481"/>
      <c r="BX523" s="481"/>
      <c r="BY523" s="481"/>
      <c r="BZ523" s="481"/>
      <c r="CA523" s="481"/>
      <c r="CB523" s="481"/>
      <c r="CC523" s="481"/>
      <c r="CD523" s="481"/>
      <c r="CE523" s="481"/>
      <c r="CF523" s="481"/>
      <c r="CG523" s="481"/>
      <c r="CH523" s="481"/>
      <c r="CI523" s="481"/>
      <c r="CJ523" s="481"/>
      <c r="CK523" s="481"/>
      <c r="CL523" s="481"/>
      <c r="CM523" s="481"/>
      <c r="CN523" s="481"/>
      <c r="CO523" s="481"/>
      <c r="CP523" s="481"/>
      <c r="CQ523" s="481"/>
      <c r="CR523" s="481"/>
      <c r="CS523" s="481"/>
      <c r="CT523" s="481"/>
      <c r="CU523" s="481"/>
      <c r="CV523" s="481"/>
      <c r="CW523" s="481"/>
      <c r="CX523" s="481"/>
      <c r="CY523" s="481"/>
      <c r="CZ523" s="481"/>
      <c r="DA523" s="481"/>
      <c r="DB523" s="481"/>
      <c r="DC523" s="481"/>
      <c r="DD523" s="481"/>
      <c r="DE523" s="481"/>
      <c r="DF523" s="481"/>
      <c r="DG523" s="481"/>
      <c r="DH523" s="481"/>
      <c r="DI523" s="481"/>
      <c r="DJ523" s="481"/>
      <c r="DK523" s="481"/>
      <c r="DL523" s="481"/>
      <c r="DM523" s="481"/>
      <c r="DN523" s="481"/>
      <c r="DO523" s="481"/>
      <c r="DP523" s="481"/>
      <c r="DQ523" s="481"/>
      <c r="DR523" s="481"/>
      <c r="DS523" s="481"/>
      <c r="DT523" s="481"/>
      <c r="DU523" s="481"/>
      <c r="DV523" s="481"/>
      <c r="DW523" s="481"/>
      <c r="DX523" s="481"/>
      <c r="DY523" s="481"/>
      <c r="DZ523" s="481"/>
      <c r="EA523" s="481"/>
      <c r="EB523" s="481"/>
      <c r="EC523" s="481"/>
      <c r="ED523" s="481"/>
      <c r="EE523" s="481"/>
      <c r="EF523" s="481"/>
      <c r="EG523" s="481"/>
      <c r="EH523" s="481"/>
      <c r="EI523" s="481"/>
      <c r="EJ523" s="481"/>
      <c r="EK523" s="481"/>
      <c r="EL523" s="481"/>
      <c r="EM523" s="481"/>
      <c r="EN523" s="481"/>
      <c r="EO523" s="481"/>
      <c r="EP523" s="481"/>
      <c r="EQ523" s="481"/>
      <c r="ER523" s="481"/>
      <c r="ES523" s="481"/>
      <c r="ET523" s="481"/>
      <c r="EU523" s="481"/>
      <c r="EV523" s="481"/>
      <c r="EW523" s="481"/>
      <c r="EX523" s="481"/>
      <c r="EY523" s="481"/>
      <c r="EZ523" s="481"/>
      <c r="FA523" s="481"/>
      <c r="FB523" s="481"/>
      <c r="FC523" s="481"/>
      <c r="FD523" s="481"/>
      <c r="FE523" s="481"/>
      <c r="FF523" s="481"/>
      <c r="FG523" s="481"/>
      <c r="FH523" s="481"/>
      <c r="FI523" s="481"/>
      <c r="FJ523" s="481"/>
      <c r="FK523" s="481"/>
      <c r="FL523" s="481"/>
      <c r="FM523" s="481"/>
      <c r="FN523" s="481"/>
      <c r="FO523" s="481"/>
      <c r="FP523" s="481"/>
      <c r="FQ523" s="481"/>
      <c r="FR523" s="481"/>
      <c r="FS523" s="481"/>
      <c r="FT523" s="481"/>
      <c r="FU523" s="481"/>
      <c r="FV523" s="481"/>
      <c r="FW523" s="481"/>
      <c r="FX523" s="481"/>
      <c r="FY523" s="481"/>
      <c r="FZ523" s="481"/>
      <c r="GA523" s="481"/>
      <c r="GB523" s="481"/>
      <c r="GC523" s="481"/>
      <c r="GD523" s="481"/>
      <c r="GE523" s="481"/>
      <c r="GF523" s="481"/>
      <c r="GG523" s="481"/>
      <c r="GH523" s="481"/>
      <c r="GI523" s="481"/>
      <c r="GJ523" s="481"/>
      <c r="GK523" s="481"/>
      <c r="GL523" s="481"/>
      <c r="GM523" s="481"/>
      <c r="GN523" s="481"/>
      <c r="GO523" s="481"/>
      <c r="GP523" s="481"/>
      <c r="GQ523" s="481"/>
      <c r="GR523" s="481"/>
      <c r="GS523" s="481"/>
      <c r="GT523" s="481"/>
      <c r="GU523" s="481"/>
      <c r="GV523" s="481"/>
      <c r="GW523" s="481"/>
      <c r="GX523" s="481"/>
      <c r="GY523" s="481"/>
      <c r="GZ523" s="481"/>
      <c r="HA523" s="481"/>
      <c r="HB523" s="481"/>
      <c r="HC523" s="481"/>
      <c r="HD523" s="481"/>
      <c r="HE523" s="481"/>
      <c r="HF523" s="481"/>
      <c r="HG523" s="481"/>
      <c r="HH523" s="481"/>
      <c r="HI523" s="481"/>
      <c r="HJ523" s="481"/>
      <c r="HK523" s="481"/>
      <c r="HL523" s="481"/>
      <c r="HM523" s="481"/>
      <c r="HN523" s="481"/>
      <c r="HO523" s="481"/>
      <c r="HP523" s="481"/>
      <c r="HQ523" s="481"/>
      <c r="HR523" s="481"/>
      <c r="HS523" s="481"/>
      <c r="HT523" s="481"/>
      <c r="HU523" s="481"/>
      <c r="HV523" s="481"/>
      <c r="HW523" s="481"/>
      <c r="HX523" s="481"/>
      <c r="HY523" s="481"/>
      <c r="HZ523" s="481"/>
      <c r="IA523" s="481"/>
      <c r="IB523" s="481"/>
      <c r="IC523" s="481"/>
      <c r="ID523" s="481"/>
      <c r="IE523" s="481"/>
      <c r="IF523" s="481"/>
      <c r="IG523" s="481"/>
      <c r="IH523" s="481"/>
      <c r="II523" s="481"/>
      <c r="IJ523" s="481"/>
      <c r="IK523" s="481"/>
      <c r="IL523" s="481"/>
      <c r="IM523" s="481"/>
      <c r="IN523" s="481"/>
      <c r="IO523" s="481"/>
      <c r="IP523" s="481"/>
      <c r="IQ523" s="481"/>
      <c r="IR523" s="481"/>
      <c r="IS523" s="481"/>
      <c r="IT523" s="481"/>
      <c r="IU523" s="481"/>
      <c r="IV523" s="481"/>
      <c r="IW523" s="481"/>
      <c r="IX523" s="481"/>
      <c r="IY523" s="481"/>
      <c r="IZ523" s="481"/>
      <c r="JA523" s="481"/>
      <c r="JB523" s="481"/>
      <c r="JC523" s="481"/>
      <c r="JD523" s="481"/>
      <c r="JE523" s="481"/>
      <c r="JF523" s="481"/>
      <c r="JG523" s="481"/>
      <c r="JH523" s="481"/>
      <c r="JI523" s="481"/>
      <c r="JJ523" s="481"/>
      <c r="JK523" s="481"/>
      <c r="JL523" s="481"/>
      <c r="JM523" s="481"/>
      <c r="JN523" s="481"/>
      <c r="JO523" s="481"/>
      <c r="JP523" s="481"/>
      <c r="JQ523" s="481"/>
      <c r="JR523" s="481"/>
      <c r="JS523" s="481"/>
      <c r="JT523" s="481"/>
      <c r="JU523" s="481"/>
      <c r="JV523" s="481"/>
      <c r="JW523" s="481"/>
      <c r="JX523" s="481"/>
      <c r="JY523" s="481"/>
      <c r="JZ523" s="481"/>
      <c r="KA523" s="481"/>
      <c r="KB523" s="481"/>
      <c r="KC523" s="481"/>
      <c r="KD523" s="481"/>
      <c r="KE523" s="481"/>
      <c r="KF523" s="481"/>
      <c r="KG523" s="481"/>
      <c r="KH523" s="481"/>
      <c r="KI523" s="481"/>
      <c r="KJ523" s="481"/>
      <c r="KK523" s="481"/>
      <c r="KL523" s="481"/>
      <c r="KM523" s="481"/>
      <c r="KN523" s="481"/>
      <c r="KO523" s="481"/>
      <c r="KP523" s="481"/>
      <c r="KQ523" s="481"/>
      <c r="KR523" s="481"/>
      <c r="KS523" s="481"/>
      <c r="KT523" s="481"/>
      <c r="KU523" s="481"/>
      <c r="KV523" s="481"/>
      <c r="KW523" s="481"/>
      <c r="KX523" s="481"/>
      <c r="KY523" s="481"/>
      <c r="KZ523" s="481"/>
      <c r="LA523" s="481"/>
      <c r="LB523" s="481"/>
      <c r="LC523" s="481"/>
      <c r="LD523" s="481"/>
      <c r="LE523" s="481"/>
      <c r="LF523" s="481"/>
      <c r="LG523" s="481"/>
      <c r="LH523" s="481"/>
      <c r="LI523" s="481"/>
      <c r="LJ523" s="481"/>
      <c r="LK523" s="481"/>
      <c r="LL523" s="481"/>
      <c r="LM523" s="481"/>
      <c r="LN523" s="481"/>
      <c r="LO523" s="481"/>
      <c r="LP523" s="481"/>
      <c r="LQ523" s="481"/>
      <c r="LR523" s="481"/>
      <c r="LS523" s="481"/>
      <c r="LT523" s="481"/>
      <c r="LU523" s="481"/>
      <c r="LV523" s="481"/>
      <c r="LW523" s="481"/>
      <c r="LX523" s="481"/>
      <c r="LY523" s="481"/>
      <c r="LZ523" s="481"/>
      <c r="MA523" s="481"/>
      <c r="MB523" s="481"/>
      <c r="MC523" s="481"/>
      <c r="MD523" s="481"/>
      <c r="ME523" s="481"/>
      <c r="MF523" s="481"/>
      <c r="MG523" s="481"/>
      <c r="MH523" s="481"/>
      <c r="MI523" s="481"/>
      <c r="MJ523" s="481"/>
      <c r="MK523" s="481"/>
      <c r="ML523" s="481"/>
      <c r="MM523" s="481"/>
      <c r="MN523" s="481"/>
      <c r="MO523" s="481"/>
      <c r="MP523" s="481"/>
      <c r="MQ523" s="481"/>
      <c r="MR523" s="481"/>
      <c r="MS523" s="481"/>
      <c r="MT523" s="481"/>
      <c r="MU523" s="481"/>
      <c r="MV523" s="481"/>
      <c r="MW523" s="481"/>
      <c r="MX523" s="481"/>
      <c r="MY523" s="481"/>
      <c r="MZ523" s="481"/>
      <c r="NA523" s="481"/>
      <c r="NB523" s="481"/>
      <c r="NC523" s="481"/>
      <c r="ND523" s="481"/>
      <c r="NE523" s="481"/>
      <c r="NF523" s="481"/>
      <c r="NG523" s="481"/>
      <c r="NH523" s="481"/>
      <c r="NI523" s="481"/>
      <c r="NJ523" s="481"/>
      <c r="NK523" s="481"/>
      <c r="NL523" s="481"/>
      <c r="NM523" s="481"/>
      <c r="NN523" s="481"/>
      <c r="NO523" s="481"/>
      <c r="NP523" s="481"/>
      <c r="NQ523" s="481"/>
      <c r="NR523" s="481"/>
      <c r="NS523" s="481"/>
      <c r="NT523" s="481"/>
      <c r="NU523" s="481"/>
      <c r="NV523" s="481"/>
      <c r="NW523" s="481"/>
      <c r="NX523" s="481"/>
      <c r="NY523" s="481"/>
      <c r="NZ523" s="481"/>
      <c r="OA523" s="481"/>
      <c r="OB523" s="481"/>
      <c r="OC523" s="481"/>
      <c r="OD523" s="481"/>
      <c r="OE523" s="481"/>
      <c r="OF523" s="481"/>
      <c r="OG523" s="481"/>
      <c r="OH523" s="481"/>
      <c r="OI523" s="481"/>
      <c r="OJ523" s="481"/>
      <c r="OK523" s="481"/>
      <c r="OL523" s="481"/>
      <c r="OM523" s="481"/>
      <c r="ON523" s="481"/>
      <c r="OO523" s="481"/>
      <c r="OP523" s="481"/>
      <c r="OQ523" s="481"/>
      <c r="OR523" s="481"/>
      <c r="OS523" s="481"/>
      <c r="OT523" s="481"/>
      <c r="OU523" s="481"/>
      <c r="OV523" s="481"/>
      <c r="OW523" s="481"/>
      <c r="OX523" s="481"/>
      <c r="OY523" s="481"/>
      <c r="OZ523" s="481"/>
      <c r="PA523" s="481"/>
      <c r="PB523" s="481"/>
      <c r="PC523" s="481"/>
      <c r="PD523" s="481"/>
      <c r="PE523" s="481"/>
      <c r="PF523" s="481"/>
      <c r="PG523" s="481"/>
      <c r="PH523" s="481"/>
      <c r="PI523" s="481"/>
      <c r="PJ523" s="481"/>
      <c r="PK523" s="481"/>
      <c r="PL523" s="481"/>
      <c r="PM523" s="481"/>
      <c r="PN523" s="481"/>
      <c r="PO523" s="481"/>
      <c r="PP523" s="481"/>
      <c r="PQ523" s="481"/>
      <c r="PR523" s="481"/>
      <c r="PS523" s="481"/>
      <c r="PT523" s="481"/>
      <c r="PU523" s="481"/>
      <c r="PV523" s="481"/>
      <c r="PW523" s="481"/>
      <c r="PX523" s="481"/>
      <c r="PY523" s="481"/>
      <c r="PZ523" s="481"/>
      <c r="QA523" s="481"/>
      <c r="QB523" s="481"/>
      <c r="QC523" s="481"/>
      <c r="QD523" s="481"/>
      <c r="QE523" s="481"/>
      <c r="QF523" s="481"/>
      <c r="QG523" s="481"/>
      <c r="QH523" s="481"/>
      <c r="QI523" s="481"/>
      <c r="QJ523" s="481"/>
      <c r="QK523" s="481"/>
      <c r="QL523" s="481"/>
      <c r="QM523" s="481"/>
      <c r="QN523" s="481"/>
      <c r="QO523" s="481"/>
      <c r="QP523" s="481"/>
      <c r="QQ523" s="481"/>
      <c r="QR523" s="481"/>
      <c r="QS523" s="481"/>
      <c r="QT523" s="481"/>
      <c r="QU523" s="481"/>
      <c r="QV523" s="481"/>
      <c r="QW523" s="481"/>
      <c r="QX523" s="481"/>
      <c r="QY523" s="481"/>
      <c r="QZ523" s="481"/>
      <c r="RA523" s="481"/>
      <c r="RB523" s="481"/>
      <c r="RC523" s="481"/>
      <c r="RD523" s="481"/>
      <c r="RE523" s="481"/>
      <c r="RF523" s="481"/>
      <c r="RG523" s="481"/>
      <c r="RH523" s="481"/>
      <c r="RI523" s="481"/>
      <c r="RJ523" s="481"/>
      <c r="RK523" s="481"/>
      <c r="RL523" s="481"/>
      <c r="RM523" s="481"/>
      <c r="RN523" s="481"/>
      <c r="RO523" s="481"/>
      <c r="RP523" s="481"/>
      <c r="RQ523" s="481"/>
      <c r="RR523" s="481"/>
      <c r="RS523" s="481"/>
      <c r="RT523" s="481"/>
      <c r="RU523" s="481"/>
      <c r="RV523" s="481"/>
      <c r="RW523" s="481"/>
      <c r="RX523" s="481"/>
      <c r="RY523" s="481"/>
      <c r="RZ523" s="481"/>
      <c r="SA523" s="481"/>
      <c r="SB523" s="481"/>
      <c r="SC523" s="481"/>
      <c r="SD523" s="481"/>
      <c r="SE523" s="481"/>
      <c r="SF523" s="481"/>
      <c r="SG523" s="481"/>
      <c r="SH523" s="481"/>
      <c r="SI523" s="481"/>
      <c r="SJ523" s="481"/>
      <c r="SK523" s="481"/>
      <c r="SL523" s="481"/>
      <c r="SM523" s="481"/>
      <c r="SN523" s="481"/>
      <c r="SO523" s="481"/>
      <c r="SP523" s="481"/>
      <c r="SQ523" s="481"/>
      <c r="SR523" s="481"/>
      <c r="SS523" s="481"/>
      <c r="ST523" s="481"/>
      <c r="SU523" s="481"/>
      <c r="SV523" s="481"/>
      <c r="SW523" s="481"/>
      <c r="SX523" s="481"/>
      <c r="SY523" s="481"/>
      <c r="SZ523" s="481"/>
      <c r="TA523" s="481"/>
      <c r="TB523" s="481"/>
      <c r="TC523" s="481"/>
      <c r="TD523" s="481"/>
      <c r="TE523" s="481"/>
      <c r="TF523" s="481"/>
      <c r="TG523" s="481"/>
      <c r="TH523" s="481"/>
      <c r="TI523" s="481"/>
      <c r="TJ523" s="481"/>
      <c r="TK523" s="481"/>
      <c r="TL523" s="481"/>
      <c r="TM523" s="481"/>
      <c r="TN523" s="481"/>
      <c r="TO523" s="481"/>
      <c r="TP523" s="481"/>
      <c r="TQ523" s="481"/>
      <c r="TR523" s="481"/>
      <c r="TS523" s="481"/>
      <c r="TT523" s="481"/>
      <c r="TU523" s="481"/>
      <c r="TV523" s="481"/>
      <c r="TW523" s="481"/>
      <c r="TX523" s="481"/>
      <c r="TY523" s="481"/>
      <c r="TZ523" s="481"/>
      <c r="UA523" s="481"/>
      <c r="UB523" s="481"/>
      <c r="UC523" s="481"/>
      <c r="UD523" s="481"/>
      <c r="UE523" s="481"/>
      <c r="UF523" s="481"/>
      <c r="UG523" s="481"/>
      <c r="UH523" s="481"/>
      <c r="UI523" s="481"/>
      <c r="UJ523" s="481"/>
      <c r="UK523" s="481"/>
      <c r="UL523" s="481"/>
      <c r="UM523" s="481"/>
      <c r="UN523" s="481"/>
      <c r="UO523" s="481"/>
      <c r="UP523" s="481"/>
      <c r="UQ523" s="481"/>
      <c r="UR523" s="481"/>
      <c r="US523" s="481"/>
      <c r="UT523" s="481"/>
      <c r="UU523" s="481"/>
      <c r="UV523" s="481"/>
      <c r="UW523" s="481"/>
      <c r="UX523" s="481"/>
      <c r="UY523" s="481"/>
      <c r="UZ523" s="481"/>
      <c r="VA523" s="481"/>
      <c r="VB523" s="481"/>
      <c r="VC523" s="481"/>
      <c r="VD523" s="481"/>
      <c r="VE523" s="481"/>
      <c r="VF523" s="481"/>
      <c r="VG523" s="481"/>
      <c r="VH523" s="481"/>
      <c r="VI523" s="481"/>
      <c r="VJ523" s="481"/>
      <c r="VK523" s="481"/>
      <c r="VL523" s="481"/>
      <c r="VM523" s="481"/>
      <c r="VN523" s="481"/>
      <c r="VO523" s="481"/>
      <c r="VP523" s="481"/>
      <c r="VQ523" s="481"/>
      <c r="VR523" s="481"/>
      <c r="VS523" s="481"/>
      <c r="VT523" s="481"/>
      <c r="VU523" s="481"/>
      <c r="VV523" s="481"/>
      <c r="VW523" s="481"/>
      <c r="VX523" s="481"/>
      <c r="VY523" s="481"/>
      <c r="VZ523" s="481"/>
      <c r="WA523" s="481"/>
      <c r="WB523" s="481"/>
      <c r="WC523" s="481"/>
      <c r="WD523" s="481"/>
      <c r="WE523" s="481"/>
      <c r="WF523" s="481"/>
      <c r="WG523" s="481"/>
      <c r="WH523" s="481"/>
      <c r="WI523" s="481"/>
      <c r="WJ523" s="481"/>
      <c r="WK523" s="481"/>
      <c r="WL523" s="481"/>
      <c r="WM523" s="481"/>
      <c r="WN523" s="481"/>
      <c r="WO523" s="481"/>
      <c r="WP523" s="481"/>
      <c r="WQ523" s="481"/>
      <c r="WR523" s="481"/>
      <c r="WS523" s="481"/>
      <c r="WT523" s="481"/>
      <c r="WU523" s="481"/>
      <c r="WV523" s="481"/>
      <c r="WW523" s="481"/>
      <c r="WX523" s="481"/>
      <c r="WY523" s="481"/>
      <c r="WZ523" s="481"/>
      <c r="XA523" s="481"/>
      <c r="XB523" s="481"/>
      <c r="XC523" s="481"/>
      <c r="XD523" s="481"/>
      <c r="XE523" s="481"/>
      <c r="XF523" s="481"/>
      <c r="XG523" s="481"/>
      <c r="XH523" s="481"/>
      <c r="XI523" s="481"/>
      <c r="XJ523" s="481"/>
      <c r="XK523" s="481"/>
      <c r="XL523" s="481"/>
      <c r="XM523" s="481"/>
      <c r="XN523" s="481"/>
      <c r="XO523" s="481"/>
      <c r="XP523" s="481"/>
      <c r="XQ523" s="481"/>
      <c r="XR523" s="481"/>
      <c r="XS523" s="481"/>
      <c r="XT523" s="481"/>
      <c r="XU523" s="481"/>
      <c r="XV523" s="481"/>
      <c r="XW523" s="481"/>
      <c r="XX523" s="481"/>
      <c r="XY523" s="481"/>
      <c r="XZ523" s="481"/>
      <c r="YA523" s="481"/>
      <c r="YB523" s="481"/>
      <c r="YC523" s="481"/>
      <c r="YD523" s="481"/>
      <c r="YE523" s="481"/>
      <c r="YF523" s="481"/>
      <c r="YG523" s="481"/>
      <c r="YH523" s="481"/>
      <c r="YI523" s="481"/>
      <c r="YJ523" s="481"/>
      <c r="YK523" s="481"/>
      <c r="YL523" s="481"/>
      <c r="YM523" s="481"/>
      <c r="YN523" s="481"/>
      <c r="YO523" s="481"/>
      <c r="YP523" s="481"/>
      <c r="YQ523" s="481"/>
      <c r="YR523" s="481"/>
      <c r="YS523" s="481"/>
      <c r="YT523" s="481"/>
      <c r="YU523" s="481"/>
      <c r="YV523" s="481"/>
      <c r="YW523" s="481"/>
      <c r="YX523" s="481"/>
      <c r="YY523" s="481"/>
      <c r="YZ523" s="481"/>
      <c r="ZA523" s="481"/>
      <c r="ZB523" s="481"/>
      <c r="ZC523" s="481"/>
      <c r="ZD523" s="481"/>
      <c r="ZE523" s="481"/>
      <c r="ZF523" s="481"/>
      <c r="ZG523" s="481"/>
      <c r="ZH523" s="481"/>
      <c r="ZI523" s="481"/>
      <c r="ZJ523" s="481"/>
      <c r="ZK523" s="481"/>
      <c r="ZL523" s="481"/>
      <c r="ZM523" s="481"/>
      <c r="ZN523" s="481"/>
      <c r="ZO523" s="481"/>
      <c r="ZP523" s="481"/>
      <c r="ZQ523" s="481"/>
      <c r="ZR523" s="481"/>
      <c r="ZS523" s="481"/>
      <c r="ZT523" s="481"/>
      <c r="ZU523" s="481"/>
      <c r="ZV523" s="481"/>
      <c r="ZW523" s="481"/>
      <c r="ZX523" s="481"/>
      <c r="ZY523" s="481"/>
      <c r="ZZ523" s="481"/>
      <c r="AAA523" s="481"/>
      <c r="AAB523" s="481"/>
      <c r="AAC523" s="481"/>
      <c r="AAD523" s="481"/>
      <c r="AAE523" s="481"/>
      <c r="AAF523" s="481"/>
      <c r="AAG523" s="481"/>
      <c r="AAH523" s="481"/>
      <c r="AAI523" s="481"/>
      <c r="AAJ523" s="481"/>
      <c r="AAK523" s="481"/>
      <c r="AAL523" s="481"/>
      <c r="AAM523" s="481"/>
      <c r="AAN523" s="481"/>
      <c r="AAO523" s="481"/>
      <c r="AAP523" s="481"/>
      <c r="AAQ523" s="481"/>
      <c r="AAR523" s="481"/>
      <c r="AAS523" s="481"/>
      <c r="AAT523" s="481"/>
      <c r="AAU523" s="481"/>
      <c r="AAV523" s="481"/>
      <c r="AAW523" s="481"/>
      <c r="AAX523" s="481"/>
      <c r="AAY523" s="481"/>
      <c r="AAZ523" s="481"/>
      <c r="ABA523" s="481"/>
      <c r="ABB523" s="481"/>
      <c r="ABC523" s="481"/>
      <c r="ABD523" s="481"/>
      <c r="ABE523" s="481"/>
      <c r="ABF523" s="481"/>
      <c r="ABG523" s="481"/>
      <c r="ABH523" s="481"/>
      <c r="ABI523" s="481"/>
      <c r="ABJ523" s="481"/>
      <c r="ABK523" s="481"/>
      <c r="ABL523" s="481"/>
      <c r="ABM523" s="481"/>
      <c r="ABN523" s="481"/>
      <c r="ABO523" s="481"/>
      <c r="ABP523" s="481"/>
      <c r="ABQ523" s="481"/>
      <c r="ABR523" s="481"/>
      <c r="ABS523" s="481"/>
      <c r="ABT523" s="481"/>
      <c r="ABU523" s="481"/>
      <c r="ABV523" s="481"/>
      <c r="ABW523" s="481"/>
      <c r="ABX523" s="481"/>
      <c r="ABY523" s="481"/>
      <c r="ABZ523" s="481"/>
      <c r="ACA523" s="481"/>
      <c r="ACB523" s="481"/>
      <c r="ACC523" s="481"/>
      <c r="ACD523" s="481"/>
      <c r="ACE523" s="481"/>
      <c r="ACF523" s="481"/>
      <c r="ACG523" s="481"/>
      <c r="ACH523" s="481"/>
      <c r="ACI523" s="481"/>
      <c r="ACJ523" s="481"/>
      <c r="ACK523" s="481"/>
      <c r="ACL523" s="481"/>
      <c r="ACM523" s="481"/>
      <c r="ACN523" s="481"/>
      <c r="ACO523" s="481"/>
      <c r="ACP523" s="481"/>
      <c r="ACQ523" s="481"/>
      <c r="ACR523" s="481"/>
      <c r="ACS523" s="481"/>
      <c r="ACT523" s="481"/>
      <c r="ACU523" s="481"/>
      <c r="ACV523" s="481"/>
    </row>
    <row r="524" spans="1:776" s="5" customFormat="1" x14ac:dyDescent="0.25">
      <c r="A524" s="472">
        <v>900225</v>
      </c>
      <c r="B524" s="462" t="str">
        <f>"-"&amp;TEXT((F524/62+G524/46+I524/35.5+J524/48+K524/97+L524/61),"0,00")&amp;"/+"&amp;TEXT((N524/39+O524/23+P524/20+Q524/12+H524/14),"0,00")&amp;"  (EC  "&amp;E524*10&amp;")"</f>
        <v>-13,33/+12,72  (EC  11,93)</v>
      </c>
      <c r="C524" s="478"/>
      <c r="D524" s="259" t="s">
        <v>197</v>
      </c>
      <c r="E524" s="480">
        <v>1.1930000000000001</v>
      </c>
      <c r="F524" s="334">
        <v>4.3899999999999997</v>
      </c>
      <c r="G524" s="397">
        <v>1.0000000000000001E-5</v>
      </c>
      <c r="H524" s="259">
        <v>0.06</v>
      </c>
      <c r="I524" s="334">
        <v>108.99</v>
      </c>
      <c r="J524" s="259">
        <v>118.82</v>
      </c>
      <c r="K524" s="259">
        <v>0.12239999999999999</v>
      </c>
      <c r="L524" s="259">
        <v>470.4</v>
      </c>
      <c r="M524" s="397">
        <v>1.0000000000000001E-5</v>
      </c>
      <c r="N524" s="259">
        <v>4.1100000000000003</v>
      </c>
      <c r="O524" s="259">
        <v>88.62</v>
      </c>
      <c r="P524" s="259">
        <v>91.22</v>
      </c>
      <c r="Q524" s="259">
        <v>50.31</v>
      </c>
      <c r="R524" s="259">
        <v>0.02</v>
      </c>
      <c r="S524" s="397">
        <v>1.0000000000000001E-5</v>
      </c>
      <c r="T524" s="259">
        <v>0.01</v>
      </c>
      <c r="U524" s="259">
        <v>0.12</v>
      </c>
      <c r="V524" s="397">
        <v>1.0000000000000001E-5</v>
      </c>
      <c r="W524" s="251"/>
      <c r="X524" s="251"/>
      <c r="Y524" s="251"/>
      <c r="Z524" s="251"/>
      <c r="AA524" s="251"/>
      <c r="AB524" s="251"/>
      <c r="AC524" s="251"/>
      <c r="AD524" s="251"/>
      <c r="AE524" s="251"/>
      <c r="AF524" s="251"/>
      <c r="AG524" s="251"/>
      <c r="AH524" s="251"/>
      <c r="AI524" s="251"/>
      <c r="AJ524" s="251"/>
      <c r="AK524" s="251"/>
      <c r="AL524" s="251"/>
      <c r="AM524" s="251"/>
      <c r="AN524" s="251"/>
      <c r="AO524" s="251"/>
      <c r="AP524" s="251"/>
      <c r="AQ524" s="251"/>
      <c r="AR524" s="251"/>
      <c r="AS524" s="251"/>
      <c r="AT524" s="251"/>
      <c r="AU524" s="251"/>
      <c r="AV524" s="251"/>
      <c r="AW524" s="251"/>
      <c r="AX524" s="251"/>
      <c r="AY524" s="251"/>
      <c r="AZ524" s="251"/>
      <c r="BA524" s="251"/>
      <c r="BB524" s="251"/>
      <c r="BC524" s="251"/>
      <c r="BD524" s="251"/>
      <c r="BE524" s="251"/>
      <c r="BF524" s="251"/>
      <c r="BG524" s="251"/>
      <c r="BH524" s="251"/>
      <c r="BI524" s="251"/>
      <c r="BJ524" s="251"/>
      <c r="BK524" s="251"/>
      <c r="BL524" s="251"/>
      <c r="BM524" s="251"/>
      <c r="BN524" s="251"/>
      <c r="BO524" s="251"/>
      <c r="BP524" s="251"/>
      <c r="BQ524" s="251"/>
      <c r="BR524" s="251"/>
      <c r="BS524" s="251"/>
      <c r="BT524" s="251"/>
      <c r="BU524" s="251"/>
      <c r="BV524" s="251"/>
      <c r="BW524" s="251"/>
      <c r="BX524" s="251"/>
      <c r="BY524" s="251"/>
      <c r="BZ524" s="251"/>
      <c r="CA524" s="251"/>
      <c r="CB524" s="251"/>
      <c r="CC524" s="251"/>
      <c r="CD524" s="251"/>
      <c r="CE524" s="251"/>
      <c r="CF524" s="251"/>
      <c r="CG524" s="251"/>
      <c r="CH524" s="251"/>
      <c r="CI524" s="251"/>
      <c r="CJ524" s="251"/>
      <c r="CK524" s="251"/>
      <c r="CL524" s="251"/>
      <c r="CM524" s="251"/>
      <c r="CN524" s="251"/>
      <c r="CO524" s="251"/>
      <c r="CP524" s="251"/>
      <c r="CQ524" s="251"/>
      <c r="CR524" s="251"/>
      <c r="CS524" s="251"/>
      <c r="CT524" s="251"/>
      <c r="CU524" s="251"/>
      <c r="CV524" s="251"/>
      <c r="CW524" s="251"/>
      <c r="CX524" s="251"/>
      <c r="CY524" s="251"/>
      <c r="CZ524" s="251"/>
      <c r="DA524" s="251"/>
      <c r="DB524" s="251"/>
      <c r="DC524" s="251"/>
      <c r="DD524" s="251"/>
      <c r="DE524" s="251"/>
      <c r="DF524" s="251"/>
      <c r="DG524" s="251"/>
      <c r="DH524" s="251"/>
      <c r="DI524" s="251"/>
      <c r="DJ524" s="251"/>
      <c r="DK524" s="251"/>
      <c r="DL524" s="251"/>
      <c r="DM524" s="251"/>
      <c r="DN524" s="251"/>
      <c r="DO524" s="251"/>
      <c r="DP524" s="251"/>
      <c r="DQ524" s="251"/>
      <c r="DR524" s="251"/>
      <c r="DS524" s="251"/>
      <c r="DT524" s="251"/>
      <c r="DU524" s="251"/>
      <c r="DV524" s="251"/>
      <c r="DW524" s="251"/>
      <c r="DX524" s="251"/>
      <c r="DY524" s="251"/>
      <c r="DZ524" s="251"/>
      <c r="EA524" s="251"/>
      <c r="EB524" s="251"/>
      <c r="EC524" s="251"/>
      <c r="ED524" s="251"/>
      <c r="EE524" s="251"/>
      <c r="EF524" s="251"/>
      <c r="EG524" s="251"/>
      <c r="EH524" s="251"/>
      <c r="EI524" s="251"/>
      <c r="EJ524" s="251"/>
      <c r="EK524" s="251"/>
      <c r="EL524" s="251"/>
      <c r="EM524" s="251"/>
      <c r="EN524" s="251"/>
      <c r="EO524" s="251"/>
      <c r="EP524" s="251"/>
      <c r="EQ524" s="251"/>
      <c r="ER524" s="251"/>
      <c r="ES524" s="251"/>
      <c r="ET524" s="251"/>
      <c r="EU524" s="251"/>
      <c r="EV524" s="251"/>
      <c r="EW524" s="251"/>
      <c r="EX524" s="251"/>
      <c r="EY524" s="251"/>
      <c r="EZ524" s="251"/>
      <c r="FA524" s="251"/>
      <c r="FB524" s="251"/>
      <c r="FC524" s="251"/>
      <c r="FD524" s="251"/>
      <c r="FE524" s="251"/>
      <c r="FF524" s="251"/>
      <c r="FG524" s="251"/>
      <c r="FH524" s="251"/>
      <c r="FI524" s="251"/>
      <c r="FJ524" s="251"/>
      <c r="FK524" s="251"/>
      <c r="FL524" s="251"/>
      <c r="FM524" s="251"/>
      <c r="FN524" s="251"/>
      <c r="FO524" s="251"/>
      <c r="FP524" s="251"/>
      <c r="FQ524" s="251"/>
      <c r="FR524" s="251"/>
      <c r="FS524" s="251"/>
      <c r="FT524" s="251"/>
      <c r="FU524" s="251"/>
      <c r="FV524" s="251"/>
      <c r="FW524" s="251"/>
      <c r="FX524" s="251"/>
      <c r="FY524" s="251"/>
      <c r="FZ524" s="251"/>
      <c r="GA524" s="251"/>
      <c r="GB524" s="251"/>
      <c r="GC524" s="251"/>
      <c r="GD524" s="251"/>
      <c r="GE524" s="251"/>
      <c r="GF524" s="251"/>
      <c r="GG524" s="251"/>
      <c r="GH524" s="251"/>
      <c r="GI524" s="251"/>
      <c r="GJ524" s="251"/>
      <c r="GK524" s="251"/>
      <c r="GL524" s="251"/>
      <c r="GM524" s="251"/>
      <c r="GN524" s="251"/>
      <c r="GO524" s="251"/>
      <c r="GP524" s="251"/>
      <c r="GQ524" s="251"/>
      <c r="GR524" s="251"/>
      <c r="GS524" s="251"/>
      <c r="GT524" s="251"/>
      <c r="GU524" s="251"/>
      <c r="GV524" s="251"/>
      <c r="GW524" s="251"/>
      <c r="GX524" s="251"/>
      <c r="GY524" s="251"/>
      <c r="GZ524" s="251"/>
      <c r="HA524" s="251"/>
      <c r="HB524" s="251"/>
      <c r="HC524" s="251"/>
      <c r="HD524" s="251"/>
      <c r="HE524" s="251"/>
      <c r="HF524" s="251"/>
      <c r="HG524" s="251"/>
      <c r="HH524" s="251"/>
      <c r="HI524" s="251"/>
      <c r="HJ524" s="251"/>
      <c r="HK524" s="251"/>
      <c r="HL524" s="251"/>
      <c r="HM524" s="251"/>
      <c r="HN524" s="251"/>
      <c r="HO524" s="251"/>
      <c r="HP524" s="251"/>
      <c r="HQ524" s="251"/>
      <c r="HR524" s="251"/>
      <c r="HS524" s="251"/>
      <c r="HT524" s="251"/>
      <c r="HU524" s="251"/>
      <c r="HV524" s="251"/>
      <c r="HW524" s="251"/>
      <c r="HX524" s="251"/>
      <c r="HY524" s="251"/>
      <c r="HZ524" s="251"/>
      <c r="IA524" s="251"/>
      <c r="IB524" s="251"/>
      <c r="IC524" s="251"/>
      <c r="ID524" s="251"/>
      <c r="IE524" s="251"/>
      <c r="IF524" s="251"/>
      <c r="IG524" s="251"/>
      <c r="IH524" s="251"/>
      <c r="II524" s="251"/>
      <c r="IJ524" s="251"/>
      <c r="IK524" s="251"/>
      <c r="IL524" s="251"/>
      <c r="IM524" s="251"/>
      <c r="IN524" s="251"/>
      <c r="IO524" s="251"/>
      <c r="IP524" s="251"/>
      <c r="IQ524" s="251"/>
      <c r="IR524" s="251"/>
      <c r="IS524" s="251"/>
      <c r="IT524" s="251"/>
      <c r="IU524" s="251"/>
      <c r="IV524" s="251"/>
      <c r="IW524" s="251"/>
      <c r="IX524" s="251"/>
      <c r="IY524" s="251"/>
      <c r="IZ524" s="251"/>
      <c r="JA524" s="251"/>
      <c r="JB524" s="251"/>
      <c r="JC524" s="251"/>
      <c r="JD524" s="251"/>
      <c r="JE524" s="251"/>
      <c r="JF524" s="251"/>
      <c r="JG524" s="251"/>
      <c r="JH524" s="251"/>
      <c r="JI524" s="251"/>
      <c r="JJ524" s="251"/>
      <c r="JK524" s="251"/>
      <c r="JL524" s="251"/>
      <c r="JM524" s="251"/>
      <c r="JN524" s="251"/>
      <c r="JO524" s="251"/>
      <c r="JP524" s="251"/>
      <c r="JQ524" s="251"/>
      <c r="JR524" s="251"/>
      <c r="JS524" s="251"/>
      <c r="JT524" s="251"/>
      <c r="JU524" s="251"/>
      <c r="JV524" s="251"/>
      <c r="JW524" s="251"/>
      <c r="JX524" s="251"/>
      <c r="JY524" s="251"/>
      <c r="JZ524" s="251"/>
      <c r="KA524" s="251"/>
      <c r="KB524" s="251"/>
      <c r="KC524" s="251"/>
      <c r="KD524" s="251"/>
      <c r="KE524" s="251"/>
      <c r="KF524" s="251"/>
      <c r="KG524" s="251"/>
      <c r="KH524" s="251"/>
      <c r="KI524" s="251"/>
      <c r="KJ524" s="251"/>
      <c r="KK524" s="251"/>
      <c r="KL524" s="251"/>
      <c r="KM524" s="251"/>
      <c r="KN524" s="251"/>
      <c r="KO524" s="251"/>
      <c r="KP524" s="251"/>
      <c r="KQ524" s="251"/>
      <c r="KR524" s="251"/>
      <c r="KS524" s="251"/>
      <c r="KT524" s="251"/>
      <c r="KU524" s="251"/>
      <c r="KV524" s="251"/>
      <c r="KW524" s="251"/>
      <c r="KX524" s="251"/>
      <c r="KY524" s="251"/>
      <c r="KZ524" s="251"/>
      <c r="LA524" s="251"/>
      <c r="LB524" s="251"/>
      <c r="LC524" s="251"/>
      <c r="LD524" s="251"/>
      <c r="LE524" s="251"/>
      <c r="LF524" s="251"/>
      <c r="LG524" s="251"/>
      <c r="LH524" s="251"/>
      <c r="LI524" s="251"/>
      <c r="LJ524" s="251"/>
      <c r="LK524" s="251"/>
      <c r="LL524" s="251"/>
      <c r="LM524" s="251"/>
      <c r="LN524" s="251"/>
      <c r="LO524" s="251"/>
      <c r="LP524" s="251"/>
      <c r="LQ524" s="251"/>
      <c r="LR524" s="251"/>
      <c r="LS524" s="251"/>
      <c r="LT524" s="251"/>
      <c r="LU524" s="251"/>
      <c r="LV524" s="251"/>
      <c r="LW524" s="251"/>
      <c r="LX524" s="251"/>
      <c r="LY524" s="251"/>
      <c r="LZ524" s="251"/>
      <c r="MA524" s="251"/>
      <c r="MB524" s="251"/>
      <c r="MC524" s="251"/>
      <c r="MD524" s="251"/>
      <c r="ME524" s="251"/>
      <c r="MF524" s="251"/>
      <c r="MG524" s="251"/>
      <c r="MH524" s="251"/>
      <c r="MI524" s="251"/>
      <c r="MJ524" s="251"/>
      <c r="MK524" s="251"/>
      <c r="ML524" s="251"/>
      <c r="MM524" s="251"/>
      <c r="MN524" s="251"/>
      <c r="MO524" s="251"/>
      <c r="MP524" s="251"/>
      <c r="MQ524" s="251"/>
      <c r="MR524" s="251"/>
      <c r="MS524" s="251"/>
      <c r="MT524" s="251"/>
      <c r="MU524" s="251"/>
      <c r="MV524" s="251"/>
      <c r="MW524" s="251"/>
      <c r="MX524" s="251"/>
      <c r="MY524" s="251"/>
      <c r="MZ524" s="251"/>
      <c r="NA524" s="251"/>
      <c r="NB524" s="251"/>
      <c r="NC524" s="251"/>
      <c r="ND524" s="251"/>
      <c r="NE524" s="251"/>
      <c r="NF524" s="251"/>
      <c r="NG524" s="251"/>
      <c r="NH524" s="251"/>
      <c r="NI524" s="251"/>
      <c r="NJ524" s="251"/>
      <c r="NK524" s="251"/>
      <c r="NL524" s="251"/>
      <c r="NM524" s="251"/>
      <c r="NN524" s="251"/>
      <c r="NO524" s="251"/>
      <c r="NP524" s="251"/>
      <c r="NQ524" s="251"/>
      <c r="NR524" s="251"/>
      <c r="NS524" s="251"/>
      <c r="NT524" s="251"/>
      <c r="NU524" s="251"/>
      <c r="NV524" s="251"/>
      <c r="NW524" s="251"/>
      <c r="NX524" s="251"/>
      <c r="NY524" s="251"/>
      <c r="NZ524" s="251"/>
      <c r="OA524" s="251"/>
      <c r="OB524" s="251"/>
      <c r="OC524" s="251"/>
      <c r="OD524" s="251"/>
      <c r="OE524" s="251"/>
      <c r="OF524" s="251"/>
      <c r="OG524" s="251"/>
      <c r="OH524" s="251"/>
      <c r="OI524" s="251"/>
      <c r="OJ524" s="251"/>
      <c r="OK524" s="251"/>
      <c r="OL524" s="251"/>
      <c r="OM524" s="251"/>
      <c r="ON524" s="251"/>
      <c r="OO524" s="251"/>
      <c r="OP524" s="251"/>
      <c r="OQ524" s="251"/>
      <c r="OR524" s="251"/>
      <c r="OS524" s="251"/>
      <c r="OT524" s="251"/>
      <c r="OU524" s="251"/>
      <c r="OV524" s="251"/>
      <c r="OW524" s="251"/>
      <c r="OX524" s="251"/>
      <c r="OY524" s="251"/>
      <c r="OZ524" s="251"/>
      <c r="PA524" s="251"/>
      <c r="PB524" s="251"/>
      <c r="PC524" s="251"/>
      <c r="PD524" s="251"/>
      <c r="PE524" s="251"/>
      <c r="PF524" s="251"/>
      <c r="PG524" s="251"/>
      <c r="PH524" s="251"/>
      <c r="PI524" s="251"/>
      <c r="PJ524" s="251"/>
      <c r="PK524" s="251"/>
      <c r="PL524" s="251"/>
      <c r="PM524" s="251"/>
      <c r="PN524" s="251"/>
      <c r="PO524" s="251"/>
      <c r="PP524" s="251"/>
      <c r="PQ524" s="251"/>
      <c r="PR524" s="251"/>
      <c r="PS524" s="251"/>
      <c r="PT524" s="251"/>
      <c r="PU524" s="251"/>
      <c r="PV524" s="251"/>
      <c r="PW524" s="251"/>
      <c r="PX524" s="251"/>
      <c r="PY524" s="251"/>
      <c r="PZ524" s="251"/>
      <c r="QA524" s="251"/>
      <c r="QB524" s="251"/>
      <c r="QC524" s="251"/>
      <c r="QD524" s="251"/>
      <c r="QE524" s="251"/>
      <c r="QF524" s="251"/>
      <c r="QG524" s="251"/>
      <c r="QH524" s="251"/>
      <c r="QI524" s="251"/>
      <c r="QJ524" s="251"/>
      <c r="QK524" s="251"/>
      <c r="QL524" s="251"/>
      <c r="QM524" s="251"/>
      <c r="QN524" s="251"/>
      <c r="QO524" s="251"/>
      <c r="QP524" s="251"/>
      <c r="QQ524" s="251"/>
      <c r="QR524" s="251"/>
      <c r="QS524" s="251"/>
      <c r="QT524" s="251"/>
      <c r="QU524" s="251"/>
      <c r="QV524" s="251"/>
      <c r="QW524" s="251"/>
      <c r="QX524" s="251"/>
      <c r="QY524" s="251"/>
      <c r="QZ524" s="251"/>
      <c r="RA524" s="251"/>
      <c r="RB524" s="251"/>
      <c r="RC524" s="251"/>
      <c r="RD524" s="251"/>
      <c r="RE524" s="251"/>
      <c r="RF524" s="251"/>
      <c r="RG524" s="251"/>
      <c r="RH524" s="251"/>
      <c r="RI524" s="251"/>
      <c r="RJ524" s="251"/>
      <c r="RK524" s="251"/>
      <c r="RL524" s="251"/>
      <c r="RM524" s="251"/>
      <c r="RN524" s="251"/>
      <c r="RO524" s="251"/>
      <c r="RP524" s="251"/>
      <c r="RQ524" s="251"/>
      <c r="RR524" s="251"/>
      <c r="RS524" s="251"/>
      <c r="RT524" s="251"/>
      <c r="RU524" s="251"/>
      <c r="RV524" s="251"/>
      <c r="RW524" s="251"/>
      <c r="RX524" s="251"/>
      <c r="RY524" s="251"/>
      <c r="RZ524" s="251"/>
      <c r="SA524" s="251"/>
      <c r="SB524" s="251"/>
      <c r="SC524" s="251"/>
      <c r="SD524" s="251"/>
      <c r="SE524" s="251"/>
      <c r="SF524" s="251"/>
      <c r="SG524" s="251"/>
      <c r="SH524" s="251"/>
      <c r="SI524" s="251"/>
      <c r="SJ524" s="251"/>
      <c r="SK524" s="251"/>
      <c r="SL524" s="251"/>
      <c r="SM524" s="251"/>
      <c r="SN524" s="251"/>
      <c r="SO524" s="251"/>
      <c r="SP524" s="251"/>
      <c r="SQ524" s="251"/>
      <c r="SR524" s="251"/>
      <c r="SS524" s="251"/>
      <c r="ST524" s="251"/>
      <c r="SU524" s="251"/>
      <c r="SV524" s="251"/>
      <c r="SW524" s="251"/>
      <c r="SX524" s="251"/>
      <c r="SY524" s="251"/>
      <c r="SZ524" s="251"/>
      <c r="TA524" s="251"/>
      <c r="TB524" s="251"/>
      <c r="TC524" s="251"/>
      <c r="TD524" s="251"/>
      <c r="TE524" s="251"/>
      <c r="TF524" s="251"/>
      <c r="TG524" s="251"/>
      <c r="TH524" s="251"/>
      <c r="TI524" s="251"/>
      <c r="TJ524" s="251"/>
      <c r="TK524" s="251"/>
      <c r="TL524" s="251"/>
      <c r="TM524" s="251"/>
      <c r="TN524" s="251"/>
      <c r="TO524" s="251"/>
      <c r="TP524" s="251"/>
      <c r="TQ524" s="251"/>
      <c r="TR524" s="251"/>
      <c r="TS524" s="251"/>
      <c r="TT524" s="251"/>
      <c r="TU524" s="251"/>
      <c r="TV524" s="251"/>
      <c r="TW524" s="251"/>
      <c r="TX524" s="251"/>
      <c r="TY524" s="251"/>
      <c r="TZ524" s="251"/>
      <c r="UA524" s="251"/>
      <c r="UB524" s="251"/>
      <c r="UC524" s="251"/>
      <c r="UD524" s="251"/>
      <c r="UE524" s="251"/>
      <c r="UF524" s="251"/>
      <c r="UG524" s="251"/>
      <c r="UH524" s="251"/>
      <c r="UI524" s="251"/>
      <c r="UJ524" s="251"/>
      <c r="UK524" s="251"/>
      <c r="UL524" s="251"/>
      <c r="UM524" s="251"/>
      <c r="UN524" s="251"/>
      <c r="UO524" s="251"/>
      <c r="UP524" s="251"/>
      <c r="UQ524" s="251"/>
      <c r="UR524" s="251"/>
      <c r="US524" s="251"/>
      <c r="UT524" s="251"/>
      <c r="UU524" s="251"/>
      <c r="UV524" s="251"/>
      <c r="UW524" s="251"/>
      <c r="UX524" s="251"/>
      <c r="UY524" s="251"/>
      <c r="UZ524" s="251"/>
      <c r="VA524" s="251"/>
      <c r="VB524" s="251"/>
      <c r="VC524" s="251"/>
      <c r="VD524" s="251"/>
      <c r="VE524" s="251"/>
      <c r="VF524" s="251"/>
      <c r="VG524" s="251"/>
      <c r="VH524" s="251"/>
      <c r="VI524" s="251"/>
      <c r="VJ524" s="251"/>
      <c r="VK524" s="251"/>
      <c r="VL524" s="251"/>
      <c r="VM524" s="251"/>
      <c r="VN524" s="251"/>
      <c r="VO524" s="251"/>
      <c r="VP524" s="251"/>
      <c r="VQ524" s="251"/>
      <c r="VR524" s="251"/>
      <c r="VS524" s="251"/>
      <c r="VT524" s="251"/>
      <c r="VU524" s="251"/>
      <c r="VV524" s="251"/>
      <c r="VW524" s="251"/>
      <c r="VX524" s="251"/>
      <c r="VY524" s="251"/>
      <c r="VZ524" s="251"/>
      <c r="WA524" s="251"/>
      <c r="WB524" s="251"/>
      <c r="WC524" s="251"/>
      <c r="WD524" s="251"/>
      <c r="WE524" s="251"/>
      <c r="WF524" s="251"/>
      <c r="WG524" s="251"/>
      <c r="WH524" s="251"/>
      <c r="WI524" s="251"/>
      <c r="WJ524" s="251"/>
      <c r="WK524" s="251"/>
      <c r="WL524" s="251"/>
      <c r="WM524" s="251"/>
      <c r="WN524" s="251"/>
      <c r="WO524" s="251"/>
      <c r="WP524" s="251"/>
      <c r="WQ524" s="251"/>
      <c r="WR524" s="251"/>
      <c r="WS524" s="251"/>
      <c r="WT524" s="251"/>
      <c r="WU524" s="251"/>
      <c r="WV524" s="251"/>
      <c r="WW524" s="251"/>
      <c r="WX524" s="251"/>
      <c r="WY524" s="251"/>
      <c r="WZ524" s="251"/>
      <c r="XA524" s="251"/>
      <c r="XB524" s="251"/>
      <c r="XC524" s="251"/>
      <c r="XD524" s="251"/>
      <c r="XE524" s="251"/>
      <c r="XF524" s="251"/>
      <c r="XG524" s="251"/>
      <c r="XH524" s="251"/>
      <c r="XI524" s="251"/>
      <c r="XJ524" s="251"/>
      <c r="XK524" s="251"/>
      <c r="XL524" s="251"/>
      <c r="XM524" s="251"/>
      <c r="XN524" s="251"/>
      <c r="XO524" s="251"/>
      <c r="XP524" s="251"/>
      <c r="XQ524" s="251"/>
      <c r="XR524" s="251"/>
      <c r="XS524" s="251"/>
      <c r="XT524" s="251"/>
      <c r="XU524" s="251"/>
      <c r="XV524" s="251"/>
      <c r="XW524" s="251"/>
      <c r="XX524" s="251"/>
      <c r="XY524" s="251"/>
      <c r="XZ524" s="251"/>
      <c r="YA524" s="251"/>
      <c r="YB524" s="251"/>
      <c r="YC524" s="251"/>
      <c r="YD524" s="251"/>
      <c r="YE524" s="251"/>
      <c r="YF524" s="251"/>
      <c r="YG524" s="251"/>
      <c r="YH524" s="251"/>
      <c r="YI524" s="251"/>
      <c r="YJ524" s="251"/>
      <c r="YK524" s="251"/>
      <c r="YL524" s="251"/>
      <c r="YM524" s="251"/>
      <c r="YN524" s="251"/>
      <c r="YO524" s="251"/>
      <c r="YP524" s="251"/>
      <c r="YQ524" s="251"/>
      <c r="YR524" s="251"/>
      <c r="YS524" s="251"/>
      <c r="YT524" s="251"/>
      <c r="YU524" s="251"/>
      <c r="YV524" s="251"/>
      <c r="YW524" s="251"/>
      <c r="YX524" s="251"/>
      <c r="YY524" s="251"/>
      <c r="YZ524" s="251"/>
      <c r="ZA524" s="251"/>
      <c r="ZB524" s="251"/>
      <c r="ZC524" s="251"/>
      <c r="ZD524" s="251"/>
      <c r="ZE524" s="251"/>
      <c r="ZF524" s="251"/>
      <c r="ZG524" s="251"/>
      <c r="ZH524" s="251"/>
      <c r="ZI524" s="251"/>
      <c r="ZJ524" s="251"/>
      <c r="ZK524" s="251"/>
      <c r="ZL524" s="251"/>
      <c r="ZM524" s="251"/>
      <c r="ZN524" s="251"/>
      <c r="ZO524" s="251"/>
      <c r="ZP524" s="251"/>
      <c r="ZQ524" s="251"/>
      <c r="ZR524" s="251"/>
      <c r="ZS524" s="251"/>
      <c r="ZT524" s="251"/>
      <c r="ZU524" s="251"/>
      <c r="ZV524" s="251"/>
      <c r="ZW524" s="251"/>
      <c r="ZX524" s="251"/>
      <c r="ZY524" s="251"/>
      <c r="ZZ524" s="251"/>
      <c r="AAA524" s="251"/>
      <c r="AAB524" s="251"/>
      <c r="AAC524" s="251"/>
      <c r="AAD524" s="251"/>
      <c r="AAE524" s="251"/>
      <c r="AAF524" s="251"/>
      <c r="AAG524" s="251"/>
      <c r="AAH524" s="251"/>
      <c r="AAI524" s="251"/>
      <c r="AAJ524" s="251"/>
      <c r="AAK524" s="251"/>
      <c r="AAL524" s="251"/>
      <c r="AAM524" s="251"/>
      <c r="AAN524" s="251"/>
      <c r="AAO524" s="251"/>
      <c r="AAP524" s="251"/>
      <c r="AAQ524" s="251"/>
      <c r="AAR524" s="251"/>
      <c r="AAS524" s="251"/>
      <c r="AAT524" s="251"/>
      <c r="AAU524" s="251"/>
      <c r="AAV524" s="251"/>
      <c r="AAW524" s="251"/>
      <c r="AAX524" s="251"/>
      <c r="AAY524" s="251"/>
      <c r="AAZ524" s="251"/>
      <c r="ABA524" s="251"/>
      <c r="ABB524" s="251"/>
      <c r="ABC524" s="251"/>
      <c r="ABD524" s="251"/>
      <c r="ABE524" s="251"/>
      <c r="ABF524" s="251"/>
      <c r="ABG524" s="251"/>
      <c r="ABH524" s="251"/>
      <c r="ABI524" s="251"/>
      <c r="ABJ524" s="251"/>
      <c r="ABK524" s="251"/>
      <c r="ABL524" s="251"/>
      <c r="ABM524" s="251"/>
      <c r="ABN524" s="251"/>
      <c r="ABO524" s="251"/>
      <c r="ABP524" s="251"/>
      <c r="ABQ524" s="251"/>
      <c r="ABR524" s="251"/>
      <c r="ABS524" s="251"/>
      <c r="ABT524" s="251"/>
      <c r="ABU524" s="251"/>
      <c r="ABV524" s="251"/>
      <c r="ABW524" s="251"/>
      <c r="ABX524" s="251"/>
      <c r="ABY524" s="251"/>
      <c r="ABZ524" s="251"/>
      <c r="ACA524" s="251"/>
      <c r="ACB524" s="251"/>
      <c r="ACC524" s="251"/>
      <c r="ACD524" s="251"/>
      <c r="ACE524" s="251"/>
      <c r="ACF524" s="251"/>
      <c r="ACG524" s="251"/>
      <c r="ACH524" s="251"/>
      <c r="ACI524" s="251"/>
      <c r="ACJ524" s="251"/>
      <c r="ACK524" s="251"/>
      <c r="ACL524" s="251"/>
      <c r="ACM524" s="251"/>
      <c r="ACN524" s="251"/>
      <c r="ACO524" s="251"/>
      <c r="ACP524" s="251"/>
      <c r="ACQ524" s="251"/>
      <c r="ACR524" s="251"/>
      <c r="ACS524" s="251"/>
      <c r="ACT524" s="251"/>
      <c r="ACU524" s="251"/>
      <c r="ACV524" s="251"/>
    </row>
    <row r="525" spans="1:776" s="5" customFormat="1" x14ac:dyDescent="0.25">
      <c r="A525" s="472">
        <v>900226</v>
      </c>
      <c r="B525" s="462" t="str">
        <f>"-"&amp;TEXT((F525/62+G525/46+I525/35.5+J525/48+K525/97+L525/61),"0,00")&amp;"/+"&amp;TEXT((N525/39+O525/23+P525/20+Q525/12+H525/14),"0,00")&amp;"  (EC  "&amp;E525*10&amp;")"</f>
        <v>-7,22/+7,16  (EC  6,45)</v>
      </c>
      <c r="C525" s="478"/>
      <c r="D525" s="259" t="s">
        <v>220</v>
      </c>
      <c r="E525" s="480">
        <v>0.64500000000000002</v>
      </c>
      <c r="F525" s="482">
        <v>17</v>
      </c>
      <c r="G525" s="397">
        <v>1.0000000000000001E-5</v>
      </c>
      <c r="H525" s="259">
        <v>0.03</v>
      </c>
      <c r="I525" s="334">
        <v>43.1</v>
      </c>
      <c r="J525" s="259">
        <v>29.35</v>
      </c>
      <c r="K525" s="259">
        <v>6.1199999999999997E-2</v>
      </c>
      <c r="L525" s="259">
        <v>312</v>
      </c>
      <c r="M525" s="397">
        <v>1.0000000000000001E-5</v>
      </c>
      <c r="N525" s="259">
        <v>2.56</v>
      </c>
      <c r="O525" s="259">
        <v>37.22</v>
      </c>
      <c r="P525" s="259">
        <v>45.98</v>
      </c>
      <c r="Q525" s="259">
        <v>38.119999999999997</v>
      </c>
      <c r="R525" s="259">
        <v>0.03</v>
      </c>
      <c r="S525" s="397">
        <v>1.0000000000000001E-5</v>
      </c>
      <c r="T525" s="397">
        <v>1.0000000000000001E-5</v>
      </c>
      <c r="U525" s="397">
        <v>1.0000000000000001E-5</v>
      </c>
      <c r="V525" s="397">
        <v>1.0000000000000001E-5</v>
      </c>
      <c r="W525" s="251"/>
      <c r="X525" s="251"/>
      <c r="Y525" s="251"/>
      <c r="Z525" s="251"/>
      <c r="AA525" s="251"/>
      <c r="AB525" s="251"/>
      <c r="AC525" s="251"/>
      <c r="AD525" s="251"/>
      <c r="AE525" s="251"/>
      <c r="AF525" s="251"/>
      <c r="AG525" s="251"/>
      <c r="AH525" s="251"/>
      <c r="AI525" s="251"/>
      <c r="AJ525" s="251"/>
      <c r="AK525" s="251"/>
      <c r="AL525" s="251"/>
      <c r="AM525" s="251"/>
      <c r="AN525" s="251"/>
      <c r="AO525" s="251"/>
      <c r="AP525" s="251"/>
      <c r="AQ525" s="251"/>
      <c r="AR525" s="251"/>
      <c r="AS525" s="251"/>
      <c r="AT525" s="251"/>
      <c r="AU525" s="251"/>
      <c r="AV525" s="251"/>
      <c r="AW525" s="251"/>
      <c r="AX525" s="251"/>
      <c r="AY525" s="251"/>
      <c r="AZ525" s="251"/>
      <c r="BA525" s="251"/>
      <c r="BB525" s="251"/>
      <c r="BC525" s="251"/>
      <c r="BD525" s="251"/>
      <c r="BE525" s="251"/>
      <c r="BF525" s="251"/>
      <c r="BG525" s="251"/>
      <c r="BH525" s="251"/>
      <c r="BI525" s="251"/>
      <c r="BJ525" s="251"/>
      <c r="BK525" s="251"/>
      <c r="BL525" s="251"/>
      <c r="BM525" s="251"/>
      <c r="BN525" s="251"/>
      <c r="BO525" s="251"/>
      <c r="BP525" s="251"/>
      <c r="BQ525" s="251"/>
      <c r="BR525" s="251"/>
      <c r="BS525" s="251"/>
      <c r="BT525" s="251"/>
      <c r="BU525" s="251"/>
      <c r="BV525" s="251"/>
      <c r="BW525" s="251"/>
      <c r="BX525" s="251"/>
      <c r="BY525" s="251"/>
      <c r="BZ525" s="251"/>
      <c r="CA525" s="251"/>
      <c r="CB525" s="251"/>
      <c r="CC525" s="251"/>
      <c r="CD525" s="251"/>
      <c r="CE525" s="251"/>
      <c r="CF525" s="251"/>
      <c r="CG525" s="251"/>
      <c r="CH525" s="251"/>
      <c r="CI525" s="251"/>
      <c r="CJ525" s="251"/>
      <c r="CK525" s="251"/>
      <c r="CL525" s="251"/>
      <c r="CM525" s="251"/>
      <c r="CN525" s="251"/>
      <c r="CO525" s="251"/>
      <c r="CP525" s="251"/>
      <c r="CQ525" s="251"/>
      <c r="CR525" s="251"/>
      <c r="CS525" s="251"/>
      <c r="CT525" s="251"/>
      <c r="CU525" s="251"/>
      <c r="CV525" s="251"/>
      <c r="CW525" s="251"/>
      <c r="CX525" s="251"/>
      <c r="CY525" s="251"/>
      <c r="CZ525" s="251"/>
      <c r="DA525" s="251"/>
      <c r="DB525" s="251"/>
      <c r="DC525" s="251"/>
      <c r="DD525" s="251"/>
      <c r="DE525" s="251"/>
      <c r="DF525" s="251"/>
      <c r="DG525" s="251"/>
      <c r="DH525" s="251"/>
      <c r="DI525" s="251"/>
      <c r="DJ525" s="251"/>
      <c r="DK525" s="251"/>
      <c r="DL525" s="251"/>
      <c r="DM525" s="251"/>
      <c r="DN525" s="251"/>
      <c r="DO525" s="251"/>
      <c r="DP525" s="251"/>
      <c r="DQ525" s="251"/>
      <c r="DR525" s="251"/>
      <c r="DS525" s="251"/>
      <c r="DT525" s="251"/>
      <c r="DU525" s="251"/>
      <c r="DV525" s="251"/>
      <c r="DW525" s="251"/>
      <c r="DX525" s="251"/>
      <c r="DY525" s="251"/>
      <c r="DZ525" s="251"/>
      <c r="EA525" s="251"/>
      <c r="EB525" s="251"/>
      <c r="EC525" s="251"/>
      <c r="ED525" s="251"/>
      <c r="EE525" s="251"/>
      <c r="EF525" s="251"/>
      <c r="EG525" s="251"/>
      <c r="EH525" s="251"/>
      <c r="EI525" s="251"/>
      <c r="EJ525" s="251"/>
      <c r="EK525" s="251"/>
      <c r="EL525" s="251"/>
      <c r="EM525" s="251"/>
      <c r="EN525" s="251"/>
      <c r="EO525" s="251"/>
      <c r="EP525" s="251"/>
      <c r="EQ525" s="251"/>
      <c r="ER525" s="251"/>
      <c r="ES525" s="251"/>
      <c r="ET525" s="251"/>
      <c r="EU525" s="251"/>
      <c r="EV525" s="251"/>
      <c r="EW525" s="251"/>
      <c r="EX525" s="251"/>
      <c r="EY525" s="251"/>
      <c r="EZ525" s="251"/>
      <c r="FA525" s="251"/>
      <c r="FB525" s="251"/>
      <c r="FC525" s="251"/>
      <c r="FD525" s="251"/>
      <c r="FE525" s="251"/>
      <c r="FF525" s="251"/>
      <c r="FG525" s="251"/>
      <c r="FH525" s="251"/>
      <c r="FI525" s="251"/>
      <c r="FJ525" s="251"/>
      <c r="FK525" s="251"/>
      <c r="FL525" s="251"/>
      <c r="FM525" s="251"/>
      <c r="FN525" s="251"/>
      <c r="FO525" s="251"/>
      <c r="FP525" s="251"/>
      <c r="FQ525" s="251"/>
      <c r="FR525" s="251"/>
      <c r="FS525" s="251"/>
      <c r="FT525" s="251"/>
      <c r="FU525" s="251"/>
      <c r="FV525" s="251"/>
      <c r="FW525" s="251"/>
      <c r="FX525" s="251"/>
      <c r="FY525" s="251"/>
      <c r="FZ525" s="251"/>
      <c r="GA525" s="251"/>
      <c r="GB525" s="251"/>
      <c r="GC525" s="251"/>
      <c r="GD525" s="251"/>
      <c r="GE525" s="251"/>
      <c r="GF525" s="251"/>
      <c r="GG525" s="251"/>
      <c r="GH525" s="251"/>
      <c r="GI525" s="251"/>
      <c r="GJ525" s="251"/>
      <c r="GK525" s="251"/>
      <c r="GL525" s="251"/>
      <c r="GM525" s="251"/>
      <c r="GN525" s="251"/>
      <c r="GO525" s="251"/>
      <c r="GP525" s="251"/>
      <c r="GQ525" s="251"/>
      <c r="GR525" s="251"/>
      <c r="GS525" s="251"/>
      <c r="GT525" s="251"/>
      <c r="GU525" s="251"/>
      <c r="GV525" s="251"/>
      <c r="GW525" s="251"/>
      <c r="GX525" s="251"/>
      <c r="GY525" s="251"/>
      <c r="GZ525" s="251"/>
      <c r="HA525" s="251"/>
      <c r="HB525" s="251"/>
      <c r="HC525" s="251"/>
      <c r="HD525" s="251"/>
      <c r="HE525" s="251"/>
      <c r="HF525" s="251"/>
      <c r="HG525" s="251"/>
      <c r="HH525" s="251"/>
      <c r="HI525" s="251"/>
      <c r="HJ525" s="251"/>
      <c r="HK525" s="251"/>
      <c r="HL525" s="251"/>
      <c r="HM525" s="251"/>
      <c r="HN525" s="251"/>
      <c r="HO525" s="251"/>
      <c r="HP525" s="251"/>
      <c r="HQ525" s="251"/>
      <c r="HR525" s="251"/>
      <c r="HS525" s="251"/>
      <c r="HT525" s="251"/>
      <c r="HU525" s="251"/>
      <c r="HV525" s="251"/>
      <c r="HW525" s="251"/>
      <c r="HX525" s="251"/>
      <c r="HY525" s="251"/>
      <c r="HZ525" s="251"/>
      <c r="IA525" s="251"/>
      <c r="IB525" s="251"/>
      <c r="IC525" s="251"/>
      <c r="ID525" s="251"/>
      <c r="IE525" s="251"/>
      <c r="IF525" s="251"/>
      <c r="IG525" s="251"/>
      <c r="IH525" s="251"/>
      <c r="II525" s="251"/>
      <c r="IJ525" s="251"/>
      <c r="IK525" s="251"/>
      <c r="IL525" s="251"/>
      <c r="IM525" s="251"/>
      <c r="IN525" s="251"/>
      <c r="IO525" s="251"/>
      <c r="IP525" s="251"/>
      <c r="IQ525" s="251"/>
      <c r="IR525" s="251"/>
      <c r="IS525" s="251"/>
      <c r="IT525" s="251"/>
      <c r="IU525" s="251"/>
      <c r="IV525" s="251"/>
      <c r="IW525" s="251"/>
      <c r="IX525" s="251"/>
      <c r="IY525" s="251"/>
      <c r="IZ525" s="251"/>
      <c r="JA525" s="251"/>
      <c r="JB525" s="251"/>
      <c r="JC525" s="251"/>
      <c r="JD525" s="251"/>
      <c r="JE525" s="251"/>
      <c r="JF525" s="251"/>
      <c r="JG525" s="251"/>
      <c r="JH525" s="251"/>
      <c r="JI525" s="251"/>
      <c r="JJ525" s="251"/>
      <c r="JK525" s="251"/>
      <c r="JL525" s="251"/>
      <c r="JM525" s="251"/>
      <c r="JN525" s="251"/>
      <c r="JO525" s="251"/>
      <c r="JP525" s="251"/>
      <c r="JQ525" s="251"/>
      <c r="JR525" s="251"/>
      <c r="JS525" s="251"/>
      <c r="JT525" s="251"/>
      <c r="JU525" s="251"/>
      <c r="JV525" s="251"/>
      <c r="JW525" s="251"/>
      <c r="JX525" s="251"/>
      <c r="JY525" s="251"/>
      <c r="JZ525" s="251"/>
      <c r="KA525" s="251"/>
      <c r="KB525" s="251"/>
      <c r="KC525" s="251"/>
      <c r="KD525" s="251"/>
      <c r="KE525" s="251"/>
      <c r="KF525" s="251"/>
      <c r="KG525" s="251"/>
      <c r="KH525" s="251"/>
      <c r="KI525" s="251"/>
      <c r="KJ525" s="251"/>
      <c r="KK525" s="251"/>
      <c r="KL525" s="251"/>
      <c r="KM525" s="251"/>
      <c r="KN525" s="251"/>
      <c r="KO525" s="251"/>
      <c r="KP525" s="251"/>
      <c r="KQ525" s="251"/>
      <c r="KR525" s="251"/>
      <c r="KS525" s="251"/>
      <c r="KT525" s="251"/>
      <c r="KU525" s="251"/>
      <c r="KV525" s="251"/>
      <c r="KW525" s="251"/>
      <c r="KX525" s="251"/>
      <c r="KY525" s="251"/>
      <c r="KZ525" s="251"/>
      <c r="LA525" s="251"/>
      <c r="LB525" s="251"/>
      <c r="LC525" s="251"/>
      <c r="LD525" s="251"/>
      <c r="LE525" s="251"/>
      <c r="LF525" s="251"/>
      <c r="LG525" s="251"/>
      <c r="LH525" s="251"/>
      <c r="LI525" s="251"/>
      <c r="LJ525" s="251"/>
      <c r="LK525" s="251"/>
      <c r="LL525" s="251"/>
      <c r="LM525" s="251"/>
      <c r="LN525" s="251"/>
      <c r="LO525" s="251"/>
      <c r="LP525" s="251"/>
      <c r="LQ525" s="251"/>
      <c r="LR525" s="251"/>
      <c r="LS525" s="251"/>
      <c r="LT525" s="251"/>
      <c r="LU525" s="251"/>
      <c r="LV525" s="251"/>
      <c r="LW525" s="251"/>
      <c r="LX525" s="251"/>
      <c r="LY525" s="251"/>
      <c r="LZ525" s="251"/>
      <c r="MA525" s="251"/>
      <c r="MB525" s="251"/>
      <c r="MC525" s="251"/>
      <c r="MD525" s="251"/>
      <c r="ME525" s="251"/>
      <c r="MF525" s="251"/>
      <c r="MG525" s="251"/>
      <c r="MH525" s="251"/>
      <c r="MI525" s="251"/>
      <c r="MJ525" s="251"/>
      <c r="MK525" s="251"/>
      <c r="ML525" s="251"/>
      <c r="MM525" s="251"/>
      <c r="MN525" s="251"/>
      <c r="MO525" s="251"/>
      <c r="MP525" s="251"/>
      <c r="MQ525" s="251"/>
      <c r="MR525" s="251"/>
      <c r="MS525" s="251"/>
      <c r="MT525" s="251"/>
      <c r="MU525" s="251"/>
      <c r="MV525" s="251"/>
      <c r="MW525" s="251"/>
      <c r="MX525" s="251"/>
      <c r="MY525" s="251"/>
      <c r="MZ525" s="251"/>
      <c r="NA525" s="251"/>
      <c r="NB525" s="251"/>
      <c r="NC525" s="251"/>
      <c r="ND525" s="251"/>
      <c r="NE525" s="251"/>
      <c r="NF525" s="251"/>
      <c r="NG525" s="251"/>
      <c r="NH525" s="251"/>
      <c r="NI525" s="251"/>
      <c r="NJ525" s="251"/>
      <c r="NK525" s="251"/>
      <c r="NL525" s="251"/>
      <c r="NM525" s="251"/>
      <c r="NN525" s="251"/>
      <c r="NO525" s="251"/>
      <c r="NP525" s="251"/>
      <c r="NQ525" s="251"/>
      <c r="NR525" s="251"/>
      <c r="NS525" s="251"/>
      <c r="NT525" s="251"/>
      <c r="NU525" s="251"/>
      <c r="NV525" s="251"/>
      <c r="NW525" s="251"/>
      <c r="NX525" s="251"/>
      <c r="NY525" s="251"/>
      <c r="NZ525" s="251"/>
      <c r="OA525" s="251"/>
      <c r="OB525" s="251"/>
      <c r="OC525" s="251"/>
      <c r="OD525" s="251"/>
      <c r="OE525" s="251"/>
      <c r="OF525" s="251"/>
      <c r="OG525" s="251"/>
      <c r="OH525" s="251"/>
      <c r="OI525" s="251"/>
      <c r="OJ525" s="251"/>
      <c r="OK525" s="251"/>
      <c r="OL525" s="251"/>
      <c r="OM525" s="251"/>
      <c r="ON525" s="251"/>
      <c r="OO525" s="251"/>
      <c r="OP525" s="251"/>
      <c r="OQ525" s="251"/>
      <c r="OR525" s="251"/>
      <c r="OS525" s="251"/>
      <c r="OT525" s="251"/>
      <c r="OU525" s="251"/>
      <c r="OV525" s="251"/>
      <c r="OW525" s="251"/>
      <c r="OX525" s="251"/>
      <c r="OY525" s="251"/>
      <c r="OZ525" s="251"/>
      <c r="PA525" s="251"/>
      <c r="PB525" s="251"/>
      <c r="PC525" s="251"/>
      <c r="PD525" s="251"/>
      <c r="PE525" s="251"/>
      <c r="PF525" s="251"/>
      <c r="PG525" s="251"/>
      <c r="PH525" s="251"/>
      <c r="PI525" s="251"/>
      <c r="PJ525" s="251"/>
      <c r="PK525" s="251"/>
      <c r="PL525" s="251"/>
      <c r="PM525" s="251"/>
      <c r="PN525" s="251"/>
      <c r="PO525" s="251"/>
      <c r="PP525" s="251"/>
      <c r="PQ525" s="251"/>
      <c r="PR525" s="251"/>
      <c r="PS525" s="251"/>
      <c r="PT525" s="251"/>
      <c r="PU525" s="251"/>
      <c r="PV525" s="251"/>
      <c r="PW525" s="251"/>
      <c r="PX525" s="251"/>
      <c r="PY525" s="251"/>
      <c r="PZ525" s="251"/>
      <c r="QA525" s="251"/>
      <c r="QB525" s="251"/>
      <c r="QC525" s="251"/>
      <c r="QD525" s="251"/>
      <c r="QE525" s="251"/>
      <c r="QF525" s="251"/>
      <c r="QG525" s="251"/>
      <c r="QH525" s="251"/>
      <c r="QI525" s="251"/>
      <c r="QJ525" s="251"/>
      <c r="QK525" s="251"/>
      <c r="QL525" s="251"/>
      <c r="QM525" s="251"/>
      <c r="QN525" s="251"/>
      <c r="QO525" s="251"/>
      <c r="QP525" s="251"/>
      <c r="QQ525" s="251"/>
      <c r="QR525" s="251"/>
      <c r="QS525" s="251"/>
      <c r="QT525" s="251"/>
      <c r="QU525" s="251"/>
      <c r="QV525" s="251"/>
      <c r="QW525" s="251"/>
      <c r="QX525" s="251"/>
      <c r="QY525" s="251"/>
      <c r="QZ525" s="251"/>
      <c r="RA525" s="251"/>
      <c r="RB525" s="251"/>
      <c r="RC525" s="251"/>
      <c r="RD525" s="251"/>
      <c r="RE525" s="251"/>
      <c r="RF525" s="251"/>
      <c r="RG525" s="251"/>
      <c r="RH525" s="251"/>
      <c r="RI525" s="251"/>
      <c r="RJ525" s="251"/>
      <c r="RK525" s="251"/>
      <c r="RL525" s="251"/>
      <c r="RM525" s="251"/>
      <c r="RN525" s="251"/>
      <c r="RO525" s="251"/>
      <c r="RP525" s="251"/>
      <c r="RQ525" s="251"/>
      <c r="RR525" s="251"/>
      <c r="RS525" s="251"/>
      <c r="RT525" s="251"/>
      <c r="RU525" s="251"/>
      <c r="RV525" s="251"/>
      <c r="RW525" s="251"/>
      <c r="RX525" s="251"/>
      <c r="RY525" s="251"/>
      <c r="RZ525" s="251"/>
      <c r="SA525" s="251"/>
      <c r="SB525" s="251"/>
      <c r="SC525" s="251"/>
      <c r="SD525" s="251"/>
      <c r="SE525" s="251"/>
      <c r="SF525" s="251"/>
      <c r="SG525" s="251"/>
      <c r="SH525" s="251"/>
      <c r="SI525" s="251"/>
      <c r="SJ525" s="251"/>
      <c r="SK525" s="251"/>
      <c r="SL525" s="251"/>
      <c r="SM525" s="251"/>
      <c r="SN525" s="251"/>
      <c r="SO525" s="251"/>
      <c r="SP525" s="251"/>
      <c r="SQ525" s="251"/>
      <c r="SR525" s="251"/>
      <c r="SS525" s="251"/>
      <c r="ST525" s="251"/>
      <c r="SU525" s="251"/>
      <c r="SV525" s="251"/>
      <c r="SW525" s="251"/>
      <c r="SX525" s="251"/>
      <c r="SY525" s="251"/>
      <c r="SZ525" s="251"/>
      <c r="TA525" s="251"/>
      <c r="TB525" s="251"/>
      <c r="TC525" s="251"/>
      <c r="TD525" s="251"/>
      <c r="TE525" s="251"/>
      <c r="TF525" s="251"/>
      <c r="TG525" s="251"/>
      <c r="TH525" s="251"/>
      <c r="TI525" s="251"/>
      <c r="TJ525" s="251"/>
      <c r="TK525" s="251"/>
      <c r="TL525" s="251"/>
      <c r="TM525" s="251"/>
      <c r="TN525" s="251"/>
      <c r="TO525" s="251"/>
      <c r="TP525" s="251"/>
      <c r="TQ525" s="251"/>
      <c r="TR525" s="251"/>
      <c r="TS525" s="251"/>
      <c r="TT525" s="251"/>
      <c r="TU525" s="251"/>
      <c r="TV525" s="251"/>
      <c r="TW525" s="251"/>
      <c r="TX525" s="251"/>
      <c r="TY525" s="251"/>
      <c r="TZ525" s="251"/>
      <c r="UA525" s="251"/>
      <c r="UB525" s="251"/>
      <c r="UC525" s="251"/>
      <c r="UD525" s="251"/>
      <c r="UE525" s="251"/>
      <c r="UF525" s="251"/>
      <c r="UG525" s="251"/>
      <c r="UH525" s="251"/>
      <c r="UI525" s="251"/>
      <c r="UJ525" s="251"/>
      <c r="UK525" s="251"/>
      <c r="UL525" s="251"/>
      <c r="UM525" s="251"/>
      <c r="UN525" s="251"/>
      <c r="UO525" s="251"/>
      <c r="UP525" s="251"/>
      <c r="UQ525" s="251"/>
      <c r="UR525" s="251"/>
      <c r="US525" s="251"/>
      <c r="UT525" s="251"/>
      <c r="UU525" s="251"/>
      <c r="UV525" s="251"/>
      <c r="UW525" s="251"/>
      <c r="UX525" s="251"/>
      <c r="UY525" s="251"/>
      <c r="UZ525" s="251"/>
      <c r="VA525" s="251"/>
      <c r="VB525" s="251"/>
      <c r="VC525" s="251"/>
      <c r="VD525" s="251"/>
      <c r="VE525" s="251"/>
      <c r="VF525" s="251"/>
      <c r="VG525" s="251"/>
      <c r="VH525" s="251"/>
      <c r="VI525" s="251"/>
      <c r="VJ525" s="251"/>
      <c r="VK525" s="251"/>
      <c r="VL525" s="251"/>
      <c r="VM525" s="251"/>
      <c r="VN525" s="251"/>
      <c r="VO525" s="251"/>
      <c r="VP525" s="251"/>
      <c r="VQ525" s="251"/>
      <c r="VR525" s="251"/>
      <c r="VS525" s="251"/>
      <c r="VT525" s="251"/>
      <c r="VU525" s="251"/>
      <c r="VV525" s="251"/>
      <c r="VW525" s="251"/>
      <c r="VX525" s="251"/>
      <c r="VY525" s="251"/>
      <c r="VZ525" s="251"/>
      <c r="WA525" s="251"/>
      <c r="WB525" s="251"/>
      <c r="WC525" s="251"/>
      <c r="WD525" s="251"/>
      <c r="WE525" s="251"/>
      <c r="WF525" s="251"/>
      <c r="WG525" s="251"/>
      <c r="WH525" s="251"/>
      <c r="WI525" s="251"/>
      <c r="WJ525" s="251"/>
      <c r="WK525" s="251"/>
      <c r="WL525" s="251"/>
      <c r="WM525" s="251"/>
      <c r="WN525" s="251"/>
      <c r="WO525" s="251"/>
      <c r="WP525" s="251"/>
      <c r="WQ525" s="251"/>
      <c r="WR525" s="251"/>
      <c r="WS525" s="251"/>
      <c r="WT525" s="251"/>
      <c r="WU525" s="251"/>
      <c r="WV525" s="251"/>
      <c r="WW525" s="251"/>
      <c r="WX525" s="251"/>
      <c r="WY525" s="251"/>
      <c r="WZ525" s="251"/>
      <c r="XA525" s="251"/>
      <c r="XB525" s="251"/>
      <c r="XC525" s="251"/>
      <c r="XD525" s="251"/>
      <c r="XE525" s="251"/>
      <c r="XF525" s="251"/>
      <c r="XG525" s="251"/>
      <c r="XH525" s="251"/>
      <c r="XI525" s="251"/>
      <c r="XJ525" s="251"/>
      <c r="XK525" s="251"/>
      <c r="XL525" s="251"/>
      <c r="XM525" s="251"/>
      <c r="XN525" s="251"/>
      <c r="XO525" s="251"/>
      <c r="XP525" s="251"/>
      <c r="XQ525" s="251"/>
      <c r="XR525" s="251"/>
      <c r="XS525" s="251"/>
      <c r="XT525" s="251"/>
      <c r="XU525" s="251"/>
      <c r="XV525" s="251"/>
      <c r="XW525" s="251"/>
      <c r="XX525" s="251"/>
      <c r="XY525" s="251"/>
      <c r="XZ525" s="251"/>
      <c r="YA525" s="251"/>
      <c r="YB525" s="251"/>
      <c r="YC525" s="251"/>
      <c r="YD525" s="251"/>
      <c r="YE525" s="251"/>
      <c r="YF525" s="251"/>
      <c r="YG525" s="251"/>
      <c r="YH525" s="251"/>
      <c r="YI525" s="251"/>
      <c r="YJ525" s="251"/>
      <c r="YK525" s="251"/>
      <c r="YL525" s="251"/>
      <c r="YM525" s="251"/>
      <c r="YN525" s="251"/>
      <c r="YO525" s="251"/>
      <c r="YP525" s="251"/>
      <c r="YQ525" s="251"/>
      <c r="YR525" s="251"/>
      <c r="YS525" s="251"/>
      <c r="YT525" s="251"/>
      <c r="YU525" s="251"/>
      <c r="YV525" s="251"/>
      <c r="YW525" s="251"/>
      <c r="YX525" s="251"/>
      <c r="YY525" s="251"/>
      <c r="YZ525" s="251"/>
      <c r="ZA525" s="251"/>
      <c r="ZB525" s="251"/>
      <c r="ZC525" s="251"/>
      <c r="ZD525" s="251"/>
      <c r="ZE525" s="251"/>
      <c r="ZF525" s="251"/>
      <c r="ZG525" s="251"/>
      <c r="ZH525" s="251"/>
      <c r="ZI525" s="251"/>
      <c r="ZJ525" s="251"/>
      <c r="ZK525" s="251"/>
      <c r="ZL525" s="251"/>
      <c r="ZM525" s="251"/>
      <c r="ZN525" s="251"/>
      <c r="ZO525" s="251"/>
      <c r="ZP525" s="251"/>
      <c r="ZQ525" s="251"/>
      <c r="ZR525" s="251"/>
      <c r="ZS525" s="251"/>
      <c r="ZT525" s="251"/>
      <c r="ZU525" s="251"/>
      <c r="ZV525" s="251"/>
      <c r="ZW525" s="251"/>
      <c r="ZX525" s="251"/>
      <c r="ZY525" s="251"/>
      <c r="ZZ525" s="251"/>
      <c r="AAA525" s="251"/>
      <c r="AAB525" s="251"/>
      <c r="AAC525" s="251"/>
      <c r="AAD525" s="251"/>
      <c r="AAE525" s="251"/>
      <c r="AAF525" s="251"/>
      <c r="AAG525" s="251"/>
      <c r="AAH525" s="251"/>
      <c r="AAI525" s="251"/>
      <c r="AAJ525" s="251"/>
      <c r="AAK525" s="251"/>
      <c r="AAL525" s="251"/>
      <c r="AAM525" s="251"/>
      <c r="AAN525" s="251"/>
      <c r="AAO525" s="251"/>
      <c r="AAP525" s="251"/>
      <c r="AAQ525" s="251"/>
      <c r="AAR525" s="251"/>
      <c r="AAS525" s="251"/>
      <c r="AAT525" s="251"/>
      <c r="AAU525" s="251"/>
      <c r="AAV525" s="251"/>
      <c r="AAW525" s="251"/>
      <c r="AAX525" s="251"/>
      <c r="AAY525" s="251"/>
      <c r="AAZ525" s="251"/>
      <c r="ABA525" s="251"/>
      <c r="ABB525" s="251"/>
      <c r="ABC525" s="251"/>
      <c r="ABD525" s="251"/>
      <c r="ABE525" s="251"/>
      <c r="ABF525" s="251"/>
      <c r="ABG525" s="251"/>
      <c r="ABH525" s="251"/>
      <c r="ABI525" s="251"/>
      <c r="ABJ525" s="251"/>
      <c r="ABK525" s="251"/>
      <c r="ABL525" s="251"/>
      <c r="ABM525" s="251"/>
      <c r="ABN525" s="251"/>
      <c r="ABO525" s="251"/>
      <c r="ABP525" s="251"/>
      <c r="ABQ525" s="251"/>
      <c r="ABR525" s="251"/>
      <c r="ABS525" s="251"/>
      <c r="ABT525" s="251"/>
      <c r="ABU525" s="251"/>
      <c r="ABV525" s="251"/>
      <c r="ABW525" s="251"/>
      <c r="ABX525" s="251"/>
      <c r="ABY525" s="251"/>
      <c r="ABZ525" s="251"/>
      <c r="ACA525" s="251"/>
      <c r="ACB525" s="251"/>
      <c r="ACC525" s="251"/>
      <c r="ACD525" s="251"/>
      <c r="ACE525" s="251"/>
      <c r="ACF525" s="251"/>
      <c r="ACG525" s="251"/>
      <c r="ACH525" s="251"/>
      <c r="ACI525" s="251"/>
      <c r="ACJ525" s="251"/>
      <c r="ACK525" s="251"/>
      <c r="ACL525" s="251"/>
      <c r="ACM525" s="251"/>
      <c r="ACN525" s="251"/>
      <c r="ACO525" s="251"/>
      <c r="ACP525" s="251"/>
      <c r="ACQ525" s="251"/>
      <c r="ACR525" s="251"/>
      <c r="ACS525" s="251"/>
      <c r="ACT525" s="251"/>
      <c r="ACU525" s="251"/>
      <c r="ACV525" s="251"/>
    </row>
    <row r="526" spans="1:776" s="5" customFormat="1" x14ac:dyDescent="0.25">
      <c r="A526" s="472">
        <v>900227</v>
      </c>
      <c r="B526" s="462" t="str">
        <f>"-"&amp;TEXT((F526/62+G526/46+I526/35.5+J526/48+K526/97+L526/61),"0,00")&amp;"/+"&amp;TEXT((N526/39+O526/23+P526/20+Q526/12+H526/14),"0,00")&amp;"  (EC  "&amp;E526*10&amp;")"</f>
        <v>-18,86/+17,66  (EC  16)</v>
      </c>
      <c r="C526" s="478"/>
      <c r="D526" s="259" t="s">
        <v>427</v>
      </c>
      <c r="E526" s="480">
        <v>1.6</v>
      </c>
      <c r="F526" s="482">
        <v>13.8</v>
      </c>
      <c r="G526" s="397">
        <v>1.0000000000000001E-5</v>
      </c>
      <c r="H526" s="259">
        <v>0.04</v>
      </c>
      <c r="I526" s="334">
        <v>129.1</v>
      </c>
      <c r="J526" s="259">
        <v>64.599999999999994</v>
      </c>
      <c r="K526" s="397">
        <v>1.0000000000000001E-5</v>
      </c>
      <c r="L526" s="259">
        <v>832.8</v>
      </c>
      <c r="M526" s="397">
        <v>1.0000000000000001E-5</v>
      </c>
      <c r="N526" s="259">
        <v>4.46</v>
      </c>
      <c r="O526" s="259">
        <v>124.62</v>
      </c>
      <c r="P526" s="259">
        <v>99.64</v>
      </c>
      <c r="Q526" s="259">
        <v>85.75</v>
      </c>
      <c r="R526" s="259">
        <v>0.33</v>
      </c>
      <c r="S526" s="397">
        <v>1.0000000000000001E-5</v>
      </c>
      <c r="T526" s="259">
        <v>0.11</v>
      </c>
      <c r="U526" s="259">
        <v>0.01</v>
      </c>
      <c r="V526" s="397">
        <v>1.0000000000000001E-5</v>
      </c>
      <c r="W526" s="251"/>
      <c r="X526" s="251"/>
      <c r="Y526" s="251"/>
      <c r="Z526" s="251"/>
      <c r="AA526" s="251"/>
      <c r="AB526" s="251"/>
      <c r="AC526" s="251"/>
      <c r="AD526" s="251"/>
      <c r="AE526" s="251"/>
      <c r="AF526" s="251"/>
      <c r="AG526" s="251"/>
      <c r="AH526" s="251"/>
      <c r="AI526" s="251"/>
      <c r="AJ526" s="251"/>
      <c r="AK526" s="251"/>
      <c r="AL526" s="251"/>
      <c r="AM526" s="251"/>
      <c r="AN526" s="251"/>
      <c r="AO526" s="251"/>
      <c r="AP526" s="251"/>
      <c r="AQ526" s="251"/>
      <c r="AR526" s="251"/>
      <c r="AS526" s="251"/>
      <c r="AT526" s="251"/>
      <c r="AU526" s="251"/>
      <c r="AV526" s="251"/>
      <c r="AW526" s="251"/>
      <c r="AX526" s="251"/>
      <c r="AY526" s="251"/>
      <c r="AZ526" s="251"/>
      <c r="BA526" s="251"/>
      <c r="BB526" s="251"/>
      <c r="BC526" s="251"/>
      <c r="BD526" s="251"/>
      <c r="BE526" s="251"/>
      <c r="BF526" s="251"/>
      <c r="BG526" s="251"/>
      <c r="BH526" s="251"/>
      <c r="BI526" s="251"/>
      <c r="BJ526" s="251"/>
      <c r="BK526" s="251"/>
      <c r="BL526" s="251"/>
      <c r="BM526" s="251"/>
      <c r="BN526" s="251"/>
      <c r="BO526" s="251"/>
      <c r="BP526" s="251"/>
      <c r="BQ526" s="251"/>
      <c r="BR526" s="251"/>
      <c r="BS526" s="251"/>
      <c r="BT526" s="251"/>
      <c r="BU526" s="251"/>
      <c r="BV526" s="251"/>
      <c r="BW526" s="251"/>
      <c r="BX526" s="251"/>
      <c r="BY526" s="251"/>
      <c r="BZ526" s="251"/>
      <c r="CA526" s="251"/>
      <c r="CB526" s="251"/>
      <c r="CC526" s="251"/>
      <c r="CD526" s="251"/>
      <c r="CE526" s="251"/>
      <c r="CF526" s="251"/>
      <c r="CG526" s="251"/>
      <c r="CH526" s="251"/>
      <c r="CI526" s="251"/>
      <c r="CJ526" s="251"/>
      <c r="CK526" s="251"/>
      <c r="CL526" s="251"/>
      <c r="CM526" s="251"/>
      <c r="CN526" s="251"/>
      <c r="CO526" s="251"/>
      <c r="CP526" s="251"/>
      <c r="CQ526" s="251"/>
      <c r="CR526" s="251"/>
      <c r="CS526" s="251"/>
      <c r="CT526" s="251"/>
      <c r="CU526" s="251"/>
      <c r="CV526" s="251"/>
      <c r="CW526" s="251"/>
      <c r="CX526" s="251"/>
      <c r="CY526" s="251"/>
      <c r="CZ526" s="251"/>
      <c r="DA526" s="251"/>
      <c r="DB526" s="251"/>
      <c r="DC526" s="251"/>
      <c r="DD526" s="251"/>
      <c r="DE526" s="251"/>
      <c r="DF526" s="251"/>
      <c r="DG526" s="251"/>
      <c r="DH526" s="251"/>
      <c r="DI526" s="251"/>
      <c r="DJ526" s="251"/>
      <c r="DK526" s="251"/>
      <c r="DL526" s="251"/>
      <c r="DM526" s="251"/>
      <c r="DN526" s="251"/>
      <c r="DO526" s="251"/>
      <c r="DP526" s="251"/>
      <c r="DQ526" s="251"/>
      <c r="DR526" s="251"/>
      <c r="DS526" s="251"/>
      <c r="DT526" s="251"/>
      <c r="DU526" s="251"/>
      <c r="DV526" s="251"/>
      <c r="DW526" s="251"/>
      <c r="DX526" s="251"/>
      <c r="DY526" s="251"/>
      <c r="DZ526" s="251"/>
      <c r="EA526" s="251"/>
      <c r="EB526" s="251"/>
      <c r="EC526" s="251"/>
      <c r="ED526" s="251"/>
      <c r="EE526" s="251"/>
      <c r="EF526" s="251"/>
      <c r="EG526" s="251"/>
      <c r="EH526" s="251"/>
      <c r="EI526" s="251"/>
      <c r="EJ526" s="251"/>
      <c r="EK526" s="251"/>
      <c r="EL526" s="251"/>
      <c r="EM526" s="251"/>
      <c r="EN526" s="251"/>
      <c r="EO526" s="251"/>
      <c r="EP526" s="251"/>
      <c r="EQ526" s="251"/>
      <c r="ER526" s="251"/>
      <c r="ES526" s="251"/>
      <c r="ET526" s="251"/>
      <c r="EU526" s="251"/>
      <c r="EV526" s="251"/>
      <c r="EW526" s="251"/>
      <c r="EX526" s="251"/>
      <c r="EY526" s="251"/>
      <c r="EZ526" s="251"/>
      <c r="FA526" s="251"/>
      <c r="FB526" s="251"/>
      <c r="FC526" s="251"/>
      <c r="FD526" s="251"/>
      <c r="FE526" s="251"/>
      <c r="FF526" s="251"/>
      <c r="FG526" s="251"/>
      <c r="FH526" s="251"/>
      <c r="FI526" s="251"/>
      <c r="FJ526" s="251"/>
      <c r="FK526" s="251"/>
      <c r="FL526" s="251"/>
      <c r="FM526" s="251"/>
      <c r="FN526" s="251"/>
      <c r="FO526" s="251"/>
      <c r="FP526" s="251"/>
      <c r="FQ526" s="251"/>
      <c r="FR526" s="251"/>
      <c r="FS526" s="251"/>
      <c r="FT526" s="251"/>
      <c r="FU526" s="251"/>
      <c r="FV526" s="251"/>
      <c r="FW526" s="251"/>
      <c r="FX526" s="251"/>
      <c r="FY526" s="251"/>
      <c r="FZ526" s="251"/>
      <c r="GA526" s="251"/>
      <c r="GB526" s="251"/>
      <c r="GC526" s="251"/>
      <c r="GD526" s="251"/>
      <c r="GE526" s="251"/>
      <c r="GF526" s="251"/>
      <c r="GG526" s="251"/>
      <c r="GH526" s="251"/>
      <c r="GI526" s="251"/>
      <c r="GJ526" s="251"/>
      <c r="GK526" s="251"/>
      <c r="GL526" s="251"/>
      <c r="GM526" s="251"/>
      <c r="GN526" s="251"/>
      <c r="GO526" s="251"/>
      <c r="GP526" s="251"/>
      <c r="GQ526" s="251"/>
      <c r="GR526" s="251"/>
      <c r="GS526" s="251"/>
      <c r="GT526" s="251"/>
      <c r="GU526" s="251"/>
      <c r="GV526" s="251"/>
      <c r="GW526" s="251"/>
      <c r="GX526" s="251"/>
      <c r="GY526" s="251"/>
      <c r="GZ526" s="251"/>
      <c r="HA526" s="251"/>
      <c r="HB526" s="251"/>
      <c r="HC526" s="251"/>
      <c r="HD526" s="251"/>
      <c r="HE526" s="251"/>
      <c r="HF526" s="251"/>
      <c r="HG526" s="251"/>
      <c r="HH526" s="251"/>
      <c r="HI526" s="251"/>
      <c r="HJ526" s="251"/>
      <c r="HK526" s="251"/>
      <c r="HL526" s="251"/>
      <c r="HM526" s="251"/>
      <c r="HN526" s="251"/>
      <c r="HO526" s="251"/>
      <c r="HP526" s="251"/>
      <c r="HQ526" s="251"/>
      <c r="HR526" s="251"/>
      <c r="HS526" s="251"/>
      <c r="HT526" s="251"/>
      <c r="HU526" s="251"/>
      <c r="HV526" s="251"/>
      <c r="HW526" s="251"/>
      <c r="HX526" s="251"/>
      <c r="HY526" s="251"/>
      <c r="HZ526" s="251"/>
      <c r="IA526" s="251"/>
      <c r="IB526" s="251"/>
      <c r="IC526" s="251"/>
      <c r="ID526" s="251"/>
      <c r="IE526" s="251"/>
      <c r="IF526" s="251"/>
      <c r="IG526" s="251"/>
      <c r="IH526" s="251"/>
      <c r="II526" s="251"/>
      <c r="IJ526" s="251"/>
      <c r="IK526" s="251"/>
      <c r="IL526" s="251"/>
      <c r="IM526" s="251"/>
      <c r="IN526" s="251"/>
      <c r="IO526" s="251"/>
      <c r="IP526" s="251"/>
      <c r="IQ526" s="251"/>
      <c r="IR526" s="251"/>
      <c r="IS526" s="251"/>
      <c r="IT526" s="251"/>
      <c r="IU526" s="251"/>
      <c r="IV526" s="251"/>
      <c r="IW526" s="251"/>
      <c r="IX526" s="251"/>
      <c r="IY526" s="251"/>
      <c r="IZ526" s="251"/>
      <c r="JA526" s="251"/>
      <c r="JB526" s="251"/>
      <c r="JC526" s="251"/>
      <c r="JD526" s="251"/>
      <c r="JE526" s="251"/>
      <c r="JF526" s="251"/>
      <c r="JG526" s="251"/>
      <c r="JH526" s="251"/>
      <c r="JI526" s="251"/>
      <c r="JJ526" s="251"/>
      <c r="JK526" s="251"/>
      <c r="JL526" s="251"/>
      <c r="JM526" s="251"/>
      <c r="JN526" s="251"/>
      <c r="JO526" s="251"/>
      <c r="JP526" s="251"/>
      <c r="JQ526" s="251"/>
      <c r="JR526" s="251"/>
      <c r="JS526" s="251"/>
      <c r="JT526" s="251"/>
      <c r="JU526" s="251"/>
      <c r="JV526" s="251"/>
      <c r="JW526" s="251"/>
      <c r="JX526" s="251"/>
      <c r="JY526" s="251"/>
      <c r="JZ526" s="251"/>
      <c r="KA526" s="251"/>
      <c r="KB526" s="251"/>
      <c r="KC526" s="251"/>
      <c r="KD526" s="251"/>
      <c r="KE526" s="251"/>
      <c r="KF526" s="251"/>
      <c r="KG526" s="251"/>
      <c r="KH526" s="251"/>
      <c r="KI526" s="251"/>
      <c r="KJ526" s="251"/>
      <c r="KK526" s="251"/>
      <c r="KL526" s="251"/>
      <c r="KM526" s="251"/>
      <c r="KN526" s="251"/>
      <c r="KO526" s="251"/>
      <c r="KP526" s="251"/>
      <c r="KQ526" s="251"/>
      <c r="KR526" s="251"/>
      <c r="KS526" s="251"/>
      <c r="KT526" s="251"/>
      <c r="KU526" s="251"/>
      <c r="KV526" s="251"/>
      <c r="KW526" s="251"/>
      <c r="KX526" s="251"/>
      <c r="KY526" s="251"/>
      <c r="KZ526" s="251"/>
      <c r="LA526" s="251"/>
      <c r="LB526" s="251"/>
      <c r="LC526" s="251"/>
      <c r="LD526" s="251"/>
      <c r="LE526" s="251"/>
      <c r="LF526" s="251"/>
      <c r="LG526" s="251"/>
      <c r="LH526" s="251"/>
      <c r="LI526" s="251"/>
      <c r="LJ526" s="251"/>
      <c r="LK526" s="251"/>
      <c r="LL526" s="251"/>
      <c r="LM526" s="251"/>
      <c r="LN526" s="251"/>
      <c r="LO526" s="251"/>
      <c r="LP526" s="251"/>
      <c r="LQ526" s="251"/>
      <c r="LR526" s="251"/>
      <c r="LS526" s="251"/>
      <c r="LT526" s="251"/>
      <c r="LU526" s="251"/>
      <c r="LV526" s="251"/>
      <c r="LW526" s="251"/>
      <c r="LX526" s="251"/>
      <c r="LY526" s="251"/>
      <c r="LZ526" s="251"/>
      <c r="MA526" s="251"/>
      <c r="MB526" s="251"/>
      <c r="MC526" s="251"/>
      <c r="MD526" s="251"/>
      <c r="ME526" s="251"/>
      <c r="MF526" s="251"/>
      <c r="MG526" s="251"/>
      <c r="MH526" s="251"/>
      <c r="MI526" s="251"/>
      <c r="MJ526" s="251"/>
      <c r="MK526" s="251"/>
      <c r="ML526" s="251"/>
      <c r="MM526" s="251"/>
      <c r="MN526" s="251"/>
      <c r="MO526" s="251"/>
      <c r="MP526" s="251"/>
      <c r="MQ526" s="251"/>
      <c r="MR526" s="251"/>
      <c r="MS526" s="251"/>
      <c r="MT526" s="251"/>
      <c r="MU526" s="251"/>
      <c r="MV526" s="251"/>
      <c r="MW526" s="251"/>
      <c r="MX526" s="251"/>
      <c r="MY526" s="251"/>
      <c r="MZ526" s="251"/>
      <c r="NA526" s="251"/>
      <c r="NB526" s="251"/>
      <c r="NC526" s="251"/>
      <c r="ND526" s="251"/>
      <c r="NE526" s="251"/>
      <c r="NF526" s="251"/>
      <c r="NG526" s="251"/>
      <c r="NH526" s="251"/>
      <c r="NI526" s="251"/>
      <c r="NJ526" s="251"/>
      <c r="NK526" s="251"/>
      <c r="NL526" s="251"/>
      <c r="NM526" s="251"/>
      <c r="NN526" s="251"/>
      <c r="NO526" s="251"/>
      <c r="NP526" s="251"/>
      <c r="NQ526" s="251"/>
      <c r="NR526" s="251"/>
      <c r="NS526" s="251"/>
      <c r="NT526" s="251"/>
      <c r="NU526" s="251"/>
      <c r="NV526" s="251"/>
      <c r="NW526" s="251"/>
      <c r="NX526" s="251"/>
      <c r="NY526" s="251"/>
      <c r="NZ526" s="251"/>
      <c r="OA526" s="251"/>
      <c r="OB526" s="251"/>
      <c r="OC526" s="251"/>
      <c r="OD526" s="251"/>
      <c r="OE526" s="251"/>
      <c r="OF526" s="251"/>
      <c r="OG526" s="251"/>
      <c r="OH526" s="251"/>
      <c r="OI526" s="251"/>
      <c r="OJ526" s="251"/>
      <c r="OK526" s="251"/>
      <c r="OL526" s="251"/>
      <c r="OM526" s="251"/>
      <c r="ON526" s="251"/>
      <c r="OO526" s="251"/>
      <c r="OP526" s="251"/>
      <c r="OQ526" s="251"/>
      <c r="OR526" s="251"/>
      <c r="OS526" s="251"/>
      <c r="OT526" s="251"/>
      <c r="OU526" s="251"/>
      <c r="OV526" s="251"/>
      <c r="OW526" s="251"/>
      <c r="OX526" s="251"/>
      <c r="OY526" s="251"/>
      <c r="OZ526" s="251"/>
      <c r="PA526" s="251"/>
      <c r="PB526" s="251"/>
      <c r="PC526" s="251"/>
      <c r="PD526" s="251"/>
      <c r="PE526" s="251"/>
      <c r="PF526" s="251"/>
      <c r="PG526" s="251"/>
      <c r="PH526" s="251"/>
      <c r="PI526" s="251"/>
      <c r="PJ526" s="251"/>
      <c r="PK526" s="251"/>
      <c r="PL526" s="251"/>
      <c r="PM526" s="251"/>
      <c r="PN526" s="251"/>
      <c r="PO526" s="251"/>
      <c r="PP526" s="251"/>
      <c r="PQ526" s="251"/>
      <c r="PR526" s="251"/>
      <c r="PS526" s="251"/>
      <c r="PT526" s="251"/>
      <c r="PU526" s="251"/>
      <c r="PV526" s="251"/>
      <c r="PW526" s="251"/>
      <c r="PX526" s="251"/>
      <c r="PY526" s="251"/>
      <c r="PZ526" s="251"/>
      <c r="QA526" s="251"/>
      <c r="QB526" s="251"/>
      <c r="QC526" s="251"/>
      <c r="QD526" s="251"/>
      <c r="QE526" s="251"/>
      <c r="QF526" s="251"/>
      <c r="QG526" s="251"/>
      <c r="QH526" s="251"/>
      <c r="QI526" s="251"/>
      <c r="QJ526" s="251"/>
      <c r="QK526" s="251"/>
      <c r="QL526" s="251"/>
      <c r="QM526" s="251"/>
      <c r="QN526" s="251"/>
      <c r="QO526" s="251"/>
      <c r="QP526" s="251"/>
      <c r="QQ526" s="251"/>
      <c r="QR526" s="251"/>
      <c r="QS526" s="251"/>
      <c r="QT526" s="251"/>
      <c r="QU526" s="251"/>
      <c r="QV526" s="251"/>
      <c r="QW526" s="251"/>
      <c r="QX526" s="251"/>
      <c r="QY526" s="251"/>
      <c r="QZ526" s="251"/>
      <c r="RA526" s="251"/>
      <c r="RB526" s="251"/>
      <c r="RC526" s="251"/>
      <c r="RD526" s="251"/>
      <c r="RE526" s="251"/>
      <c r="RF526" s="251"/>
      <c r="RG526" s="251"/>
      <c r="RH526" s="251"/>
      <c r="RI526" s="251"/>
      <c r="RJ526" s="251"/>
      <c r="RK526" s="251"/>
      <c r="RL526" s="251"/>
      <c r="RM526" s="251"/>
      <c r="RN526" s="251"/>
      <c r="RO526" s="251"/>
      <c r="RP526" s="251"/>
      <c r="RQ526" s="251"/>
      <c r="RR526" s="251"/>
      <c r="RS526" s="251"/>
      <c r="RT526" s="251"/>
      <c r="RU526" s="251"/>
      <c r="RV526" s="251"/>
      <c r="RW526" s="251"/>
      <c r="RX526" s="251"/>
      <c r="RY526" s="251"/>
      <c r="RZ526" s="251"/>
      <c r="SA526" s="251"/>
      <c r="SB526" s="251"/>
      <c r="SC526" s="251"/>
      <c r="SD526" s="251"/>
      <c r="SE526" s="251"/>
      <c r="SF526" s="251"/>
      <c r="SG526" s="251"/>
      <c r="SH526" s="251"/>
      <c r="SI526" s="251"/>
      <c r="SJ526" s="251"/>
      <c r="SK526" s="251"/>
      <c r="SL526" s="251"/>
      <c r="SM526" s="251"/>
      <c r="SN526" s="251"/>
      <c r="SO526" s="251"/>
      <c r="SP526" s="251"/>
      <c r="SQ526" s="251"/>
      <c r="SR526" s="251"/>
      <c r="SS526" s="251"/>
      <c r="ST526" s="251"/>
      <c r="SU526" s="251"/>
      <c r="SV526" s="251"/>
      <c r="SW526" s="251"/>
      <c r="SX526" s="251"/>
      <c r="SY526" s="251"/>
      <c r="SZ526" s="251"/>
      <c r="TA526" s="251"/>
      <c r="TB526" s="251"/>
      <c r="TC526" s="251"/>
      <c r="TD526" s="251"/>
      <c r="TE526" s="251"/>
      <c r="TF526" s="251"/>
      <c r="TG526" s="251"/>
      <c r="TH526" s="251"/>
      <c r="TI526" s="251"/>
      <c r="TJ526" s="251"/>
      <c r="TK526" s="251"/>
      <c r="TL526" s="251"/>
      <c r="TM526" s="251"/>
      <c r="TN526" s="251"/>
      <c r="TO526" s="251"/>
      <c r="TP526" s="251"/>
      <c r="TQ526" s="251"/>
      <c r="TR526" s="251"/>
      <c r="TS526" s="251"/>
      <c r="TT526" s="251"/>
      <c r="TU526" s="251"/>
      <c r="TV526" s="251"/>
      <c r="TW526" s="251"/>
      <c r="TX526" s="251"/>
      <c r="TY526" s="251"/>
      <c r="TZ526" s="251"/>
      <c r="UA526" s="251"/>
      <c r="UB526" s="251"/>
      <c r="UC526" s="251"/>
      <c r="UD526" s="251"/>
      <c r="UE526" s="251"/>
      <c r="UF526" s="251"/>
      <c r="UG526" s="251"/>
      <c r="UH526" s="251"/>
      <c r="UI526" s="251"/>
      <c r="UJ526" s="251"/>
      <c r="UK526" s="251"/>
      <c r="UL526" s="251"/>
      <c r="UM526" s="251"/>
      <c r="UN526" s="251"/>
      <c r="UO526" s="251"/>
      <c r="UP526" s="251"/>
      <c r="UQ526" s="251"/>
      <c r="UR526" s="251"/>
      <c r="US526" s="251"/>
      <c r="UT526" s="251"/>
      <c r="UU526" s="251"/>
      <c r="UV526" s="251"/>
      <c r="UW526" s="251"/>
      <c r="UX526" s="251"/>
      <c r="UY526" s="251"/>
      <c r="UZ526" s="251"/>
      <c r="VA526" s="251"/>
      <c r="VB526" s="251"/>
      <c r="VC526" s="251"/>
      <c r="VD526" s="251"/>
      <c r="VE526" s="251"/>
      <c r="VF526" s="251"/>
      <c r="VG526" s="251"/>
      <c r="VH526" s="251"/>
      <c r="VI526" s="251"/>
      <c r="VJ526" s="251"/>
      <c r="VK526" s="251"/>
      <c r="VL526" s="251"/>
      <c r="VM526" s="251"/>
      <c r="VN526" s="251"/>
      <c r="VO526" s="251"/>
      <c r="VP526" s="251"/>
      <c r="VQ526" s="251"/>
      <c r="VR526" s="251"/>
      <c r="VS526" s="251"/>
      <c r="VT526" s="251"/>
      <c r="VU526" s="251"/>
      <c r="VV526" s="251"/>
      <c r="VW526" s="251"/>
      <c r="VX526" s="251"/>
      <c r="VY526" s="251"/>
      <c r="VZ526" s="251"/>
      <c r="WA526" s="251"/>
      <c r="WB526" s="251"/>
      <c r="WC526" s="251"/>
      <c r="WD526" s="251"/>
      <c r="WE526" s="251"/>
      <c r="WF526" s="251"/>
      <c r="WG526" s="251"/>
      <c r="WH526" s="251"/>
      <c r="WI526" s="251"/>
      <c r="WJ526" s="251"/>
      <c r="WK526" s="251"/>
      <c r="WL526" s="251"/>
      <c r="WM526" s="251"/>
      <c r="WN526" s="251"/>
      <c r="WO526" s="251"/>
      <c r="WP526" s="251"/>
      <c r="WQ526" s="251"/>
      <c r="WR526" s="251"/>
      <c r="WS526" s="251"/>
      <c r="WT526" s="251"/>
      <c r="WU526" s="251"/>
      <c r="WV526" s="251"/>
      <c r="WW526" s="251"/>
      <c r="WX526" s="251"/>
      <c r="WY526" s="251"/>
      <c r="WZ526" s="251"/>
      <c r="XA526" s="251"/>
      <c r="XB526" s="251"/>
      <c r="XC526" s="251"/>
      <c r="XD526" s="251"/>
      <c r="XE526" s="251"/>
      <c r="XF526" s="251"/>
      <c r="XG526" s="251"/>
      <c r="XH526" s="251"/>
      <c r="XI526" s="251"/>
      <c r="XJ526" s="251"/>
      <c r="XK526" s="251"/>
      <c r="XL526" s="251"/>
      <c r="XM526" s="251"/>
      <c r="XN526" s="251"/>
      <c r="XO526" s="251"/>
      <c r="XP526" s="251"/>
      <c r="XQ526" s="251"/>
      <c r="XR526" s="251"/>
      <c r="XS526" s="251"/>
      <c r="XT526" s="251"/>
      <c r="XU526" s="251"/>
      <c r="XV526" s="251"/>
      <c r="XW526" s="251"/>
      <c r="XX526" s="251"/>
      <c r="XY526" s="251"/>
      <c r="XZ526" s="251"/>
      <c r="YA526" s="251"/>
      <c r="YB526" s="251"/>
      <c r="YC526" s="251"/>
      <c r="YD526" s="251"/>
      <c r="YE526" s="251"/>
      <c r="YF526" s="251"/>
      <c r="YG526" s="251"/>
      <c r="YH526" s="251"/>
      <c r="YI526" s="251"/>
      <c r="YJ526" s="251"/>
      <c r="YK526" s="251"/>
      <c r="YL526" s="251"/>
      <c r="YM526" s="251"/>
      <c r="YN526" s="251"/>
      <c r="YO526" s="251"/>
      <c r="YP526" s="251"/>
      <c r="YQ526" s="251"/>
      <c r="YR526" s="251"/>
      <c r="YS526" s="251"/>
      <c r="YT526" s="251"/>
      <c r="YU526" s="251"/>
      <c r="YV526" s="251"/>
      <c r="YW526" s="251"/>
      <c r="YX526" s="251"/>
      <c r="YY526" s="251"/>
      <c r="YZ526" s="251"/>
      <c r="ZA526" s="251"/>
      <c r="ZB526" s="251"/>
      <c r="ZC526" s="251"/>
      <c r="ZD526" s="251"/>
      <c r="ZE526" s="251"/>
      <c r="ZF526" s="251"/>
      <c r="ZG526" s="251"/>
      <c r="ZH526" s="251"/>
      <c r="ZI526" s="251"/>
      <c r="ZJ526" s="251"/>
      <c r="ZK526" s="251"/>
      <c r="ZL526" s="251"/>
      <c r="ZM526" s="251"/>
      <c r="ZN526" s="251"/>
      <c r="ZO526" s="251"/>
      <c r="ZP526" s="251"/>
      <c r="ZQ526" s="251"/>
      <c r="ZR526" s="251"/>
      <c r="ZS526" s="251"/>
      <c r="ZT526" s="251"/>
      <c r="ZU526" s="251"/>
      <c r="ZV526" s="251"/>
      <c r="ZW526" s="251"/>
      <c r="ZX526" s="251"/>
      <c r="ZY526" s="251"/>
      <c r="ZZ526" s="251"/>
      <c r="AAA526" s="251"/>
      <c r="AAB526" s="251"/>
      <c r="AAC526" s="251"/>
      <c r="AAD526" s="251"/>
      <c r="AAE526" s="251"/>
      <c r="AAF526" s="251"/>
      <c r="AAG526" s="251"/>
      <c r="AAH526" s="251"/>
      <c r="AAI526" s="251"/>
      <c r="AAJ526" s="251"/>
      <c r="AAK526" s="251"/>
      <c r="AAL526" s="251"/>
      <c r="AAM526" s="251"/>
      <c r="AAN526" s="251"/>
      <c r="AAO526" s="251"/>
      <c r="AAP526" s="251"/>
      <c r="AAQ526" s="251"/>
      <c r="AAR526" s="251"/>
      <c r="AAS526" s="251"/>
      <c r="AAT526" s="251"/>
      <c r="AAU526" s="251"/>
      <c r="AAV526" s="251"/>
      <c r="AAW526" s="251"/>
      <c r="AAX526" s="251"/>
      <c r="AAY526" s="251"/>
      <c r="AAZ526" s="251"/>
      <c r="ABA526" s="251"/>
      <c r="ABB526" s="251"/>
      <c r="ABC526" s="251"/>
      <c r="ABD526" s="251"/>
      <c r="ABE526" s="251"/>
      <c r="ABF526" s="251"/>
      <c r="ABG526" s="251"/>
      <c r="ABH526" s="251"/>
      <c r="ABI526" s="251"/>
      <c r="ABJ526" s="251"/>
      <c r="ABK526" s="251"/>
      <c r="ABL526" s="251"/>
      <c r="ABM526" s="251"/>
      <c r="ABN526" s="251"/>
      <c r="ABO526" s="251"/>
      <c r="ABP526" s="251"/>
      <c r="ABQ526" s="251"/>
      <c r="ABR526" s="251"/>
      <c r="ABS526" s="251"/>
      <c r="ABT526" s="251"/>
      <c r="ABU526" s="251"/>
      <c r="ABV526" s="251"/>
      <c r="ABW526" s="251"/>
      <c r="ABX526" s="251"/>
      <c r="ABY526" s="251"/>
      <c r="ABZ526" s="251"/>
      <c r="ACA526" s="251"/>
      <c r="ACB526" s="251"/>
      <c r="ACC526" s="251"/>
      <c r="ACD526" s="251"/>
      <c r="ACE526" s="251"/>
      <c r="ACF526" s="251"/>
      <c r="ACG526" s="251"/>
      <c r="ACH526" s="251"/>
      <c r="ACI526" s="251"/>
      <c r="ACJ526" s="251"/>
      <c r="ACK526" s="251"/>
      <c r="ACL526" s="251"/>
      <c r="ACM526" s="251"/>
      <c r="ACN526" s="251"/>
      <c r="ACO526" s="251"/>
      <c r="ACP526" s="251"/>
      <c r="ACQ526" s="251"/>
      <c r="ACR526" s="251"/>
      <c r="ACS526" s="251"/>
      <c r="ACT526" s="251"/>
      <c r="ACU526" s="251"/>
      <c r="ACV526" s="251"/>
    </row>
    <row r="527" spans="1:776" s="5" customFormat="1" x14ac:dyDescent="0.25">
      <c r="A527" s="580">
        <v>900228</v>
      </c>
      <c r="B527" s="483" t="str">
        <f t="shared" ref="B527:B542" si="14">"-"&amp;TEXT((F527/62+G527/46+I527/35.5+J527/48+K527/97+L527/61),"0,00")&amp;"/+"&amp;TEXT((N527/39+O527/23+P527/20+Q527/12+H528/14),"0,00")&amp;"  (EC  "&amp;E527*10&amp;")"</f>
        <v>-16,00/+15,56  (EC  16,59)</v>
      </c>
      <c r="C527" s="484"/>
      <c r="D527" s="25">
        <v>7.83</v>
      </c>
      <c r="E527" s="25">
        <v>1.659</v>
      </c>
      <c r="F527" s="485">
        <v>62.84</v>
      </c>
      <c r="G527" s="25">
        <v>0</v>
      </c>
      <c r="H527" s="25">
        <v>0.12</v>
      </c>
      <c r="I527" s="832">
        <v>354.05</v>
      </c>
      <c r="J527" s="25">
        <v>93.33</v>
      </c>
      <c r="K527" s="397">
        <v>1.0000000000000001E-5</v>
      </c>
      <c r="L527" s="25">
        <v>187.20000000000002</v>
      </c>
      <c r="M527" s="25">
        <v>0</v>
      </c>
      <c r="N527" s="25">
        <v>5.97</v>
      </c>
      <c r="O527" s="25">
        <v>167.57</v>
      </c>
      <c r="P527" s="25">
        <v>58.31</v>
      </c>
      <c r="Q527" s="25">
        <v>62.33</v>
      </c>
      <c r="R527" s="397">
        <v>1.0000000000000001E-5</v>
      </c>
      <c r="S527" s="397">
        <v>1.0000000000000001E-5</v>
      </c>
      <c r="T527" s="397">
        <v>1.0000000000000001E-5</v>
      </c>
      <c r="U527" s="397">
        <v>1.0000000000000001E-5</v>
      </c>
      <c r="V527" s="397">
        <v>1.0000000000000001E-5</v>
      </c>
    </row>
    <row r="528" spans="1:776" s="5" customFormat="1" x14ac:dyDescent="0.25">
      <c r="A528" s="580">
        <v>900229</v>
      </c>
      <c r="B528" s="483" t="str">
        <f t="shared" si="14"/>
        <v>-36,58/+37,56  (EC  37,6)</v>
      </c>
      <c r="C528" s="484"/>
      <c r="D528" s="25">
        <v>7.59</v>
      </c>
      <c r="E528" s="25">
        <v>3.76</v>
      </c>
      <c r="F528" s="485">
        <v>91.29</v>
      </c>
      <c r="G528" s="25">
        <v>0</v>
      </c>
      <c r="H528" s="25">
        <v>0.17</v>
      </c>
      <c r="I528" s="832">
        <v>902.25</v>
      </c>
      <c r="J528" s="25">
        <v>136</v>
      </c>
      <c r="K528" s="397">
        <v>1.0000000000000001E-5</v>
      </c>
      <c r="L528" s="25">
        <v>418.2</v>
      </c>
      <c r="M528" s="25">
        <v>0</v>
      </c>
      <c r="N528" s="25">
        <v>1.23</v>
      </c>
      <c r="O528" s="25">
        <v>568.47</v>
      </c>
      <c r="P528" s="25">
        <v>88.22</v>
      </c>
      <c r="Q528" s="25">
        <v>100.65</v>
      </c>
      <c r="R528" s="397">
        <v>1.0000000000000001E-5</v>
      </c>
      <c r="S528" s="397">
        <v>1.0000000000000001E-5</v>
      </c>
      <c r="T528" s="397">
        <v>1.0000000000000001E-5</v>
      </c>
      <c r="U528" s="397">
        <v>1.0000000000000001E-5</v>
      </c>
      <c r="V528" s="397">
        <v>1.0000000000000001E-5</v>
      </c>
    </row>
    <row r="529" spans="1:776" s="5" customFormat="1" x14ac:dyDescent="0.25">
      <c r="A529" s="580">
        <v>900230</v>
      </c>
      <c r="B529" s="483" t="str">
        <f t="shared" si="14"/>
        <v>-8,26/+8,14  (EC  7,23)</v>
      </c>
      <c r="C529" s="484"/>
      <c r="D529" s="25">
        <v>7.6</v>
      </c>
      <c r="E529" s="25">
        <v>0.72299999999999998</v>
      </c>
      <c r="F529" s="485">
        <v>67.41</v>
      </c>
      <c r="G529" s="25">
        <v>0</v>
      </c>
      <c r="H529" s="25">
        <v>0.15</v>
      </c>
      <c r="I529" s="832">
        <v>23</v>
      </c>
      <c r="J529" s="25">
        <v>18.350000000000001</v>
      </c>
      <c r="K529" s="25">
        <v>3.0599999999999999E-2</v>
      </c>
      <c r="L529" s="25">
        <v>374.4</v>
      </c>
      <c r="M529" s="25">
        <v>0</v>
      </c>
      <c r="N529" s="25">
        <v>0.38</v>
      </c>
      <c r="O529" s="25">
        <v>8.39</v>
      </c>
      <c r="P529" s="25">
        <v>89.24</v>
      </c>
      <c r="Q529" s="25">
        <v>38.96</v>
      </c>
      <c r="R529" s="397">
        <v>1.0000000000000001E-5</v>
      </c>
      <c r="S529" s="397">
        <v>1.0000000000000001E-5</v>
      </c>
      <c r="T529" s="397">
        <v>1.0000000000000001E-5</v>
      </c>
      <c r="U529" s="397">
        <v>1.0000000000000001E-5</v>
      </c>
      <c r="V529" s="397">
        <v>1.0000000000000001E-5</v>
      </c>
    </row>
    <row r="530" spans="1:776" s="5" customFormat="1" x14ac:dyDescent="0.25">
      <c r="A530" s="580">
        <v>900231</v>
      </c>
      <c r="B530" s="483" t="str">
        <f t="shared" si="14"/>
        <v>-6,65/+6,56  (EC  5,81)</v>
      </c>
      <c r="C530" s="484"/>
      <c r="D530" s="25">
        <v>7.55</v>
      </c>
      <c r="E530" s="25">
        <v>0.58099999999999996</v>
      </c>
      <c r="F530" s="485">
        <v>21.33</v>
      </c>
      <c r="G530" s="25">
        <v>0</v>
      </c>
      <c r="H530" s="25">
        <v>0.84</v>
      </c>
      <c r="I530" s="832">
        <v>19.559999999999999</v>
      </c>
      <c r="J530" s="25">
        <v>13.74</v>
      </c>
      <c r="K530" s="397">
        <v>1.0000000000000001E-5</v>
      </c>
      <c r="L530" s="25">
        <v>333.6</v>
      </c>
      <c r="M530" s="25">
        <v>0</v>
      </c>
      <c r="N530" s="25">
        <v>0.81</v>
      </c>
      <c r="O530" s="25">
        <v>11.14</v>
      </c>
      <c r="P530" s="25">
        <v>61.2</v>
      </c>
      <c r="Q530" s="25">
        <v>35.81</v>
      </c>
      <c r="R530" s="25">
        <v>1.62</v>
      </c>
      <c r="S530" s="397">
        <v>1.0000000000000001E-5</v>
      </c>
      <c r="T530" s="397">
        <v>1.0000000000000001E-5</v>
      </c>
      <c r="U530" s="397">
        <v>1.0000000000000001E-5</v>
      </c>
      <c r="V530" s="397">
        <v>1.0000000000000001E-5</v>
      </c>
    </row>
    <row r="531" spans="1:776" s="5" customFormat="1" x14ac:dyDescent="0.25">
      <c r="A531" s="580">
        <v>900232</v>
      </c>
      <c r="B531" s="483" t="str">
        <f t="shared" si="14"/>
        <v>-32,00/+31,08  (EC  32,9)</v>
      </c>
      <c r="C531" s="484"/>
      <c r="D531" s="25">
        <v>7.19</v>
      </c>
      <c r="E531" s="25">
        <v>3.29</v>
      </c>
      <c r="F531" s="485">
        <v>9.14</v>
      </c>
      <c r="G531" s="25">
        <v>0</v>
      </c>
      <c r="H531" s="25">
        <v>0.15</v>
      </c>
      <c r="I531" s="832">
        <v>762.7</v>
      </c>
      <c r="J531" s="25">
        <v>285.7</v>
      </c>
      <c r="K531" s="25">
        <v>0.48959999999999998</v>
      </c>
      <c r="L531" s="25">
        <v>268.8</v>
      </c>
      <c r="M531" s="25">
        <v>0</v>
      </c>
      <c r="N531" s="25">
        <v>6.24</v>
      </c>
      <c r="O531" s="25">
        <v>358.63</v>
      </c>
      <c r="P531" s="25">
        <v>167.65</v>
      </c>
      <c r="Q531" s="25">
        <v>83.27</v>
      </c>
      <c r="R531" s="397">
        <v>1.0000000000000001E-5</v>
      </c>
      <c r="S531" s="397">
        <v>1.0000000000000001E-5</v>
      </c>
      <c r="T531" s="397">
        <v>1.0000000000000001E-5</v>
      </c>
      <c r="U531" s="397">
        <v>1.0000000000000001E-5</v>
      </c>
      <c r="V531" s="397">
        <v>1.0000000000000001E-5</v>
      </c>
    </row>
    <row r="532" spans="1:776" s="5" customFormat="1" x14ac:dyDescent="0.25">
      <c r="A532" s="580">
        <v>900233</v>
      </c>
      <c r="B532" s="483" t="str">
        <f t="shared" si="14"/>
        <v>-21,07/+19,88  (EC  21,8)</v>
      </c>
      <c r="C532" s="484"/>
      <c r="D532" s="25">
        <v>7.41</v>
      </c>
      <c r="E532" s="25">
        <v>2.1800000000000002</v>
      </c>
      <c r="F532" s="485">
        <v>17.690000000000001</v>
      </c>
      <c r="G532" s="25">
        <v>0</v>
      </c>
      <c r="H532" s="25">
        <v>0.13</v>
      </c>
      <c r="I532" s="832">
        <v>463.35</v>
      </c>
      <c r="J532" s="25">
        <v>155.80000000000001</v>
      </c>
      <c r="K532" s="397">
        <v>1.0000000000000001E-5</v>
      </c>
      <c r="L532" s="25">
        <v>273.60000000000002</v>
      </c>
      <c r="M532" s="25">
        <v>0</v>
      </c>
      <c r="N532" s="25">
        <v>4.5999999999999996</v>
      </c>
      <c r="O532" s="25">
        <v>213.5</v>
      </c>
      <c r="P532" s="25">
        <v>108.08</v>
      </c>
      <c r="Q532" s="25">
        <v>60.8</v>
      </c>
      <c r="R532" s="397">
        <v>1.0000000000000001E-5</v>
      </c>
      <c r="S532" s="397">
        <v>1.0000000000000001E-5</v>
      </c>
      <c r="T532" s="397">
        <v>1.0000000000000001E-5</v>
      </c>
      <c r="U532" s="397">
        <v>1.0000000000000001E-5</v>
      </c>
      <c r="V532" s="397">
        <v>1.0000000000000001E-5</v>
      </c>
    </row>
    <row r="533" spans="1:776" s="5" customFormat="1" x14ac:dyDescent="0.25">
      <c r="A533" s="580">
        <v>900234</v>
      </c>
      <c r="B533" s="483" t="str">
        <f t="shared" si="14"/>
        <v>-6,05/+6,06  (EC  6)</v>
      </c>
      <c r="C533" s="484"/>
      <c r="D533" s="25">
        <v>7.82</v>
      </c>
      <c r="E533" s="25">
        <v>0.6</v>
      </c>
      <c r="F533" s="485">
        <v>13.06</v>
      </c>
      <c r="G533" s="25">
        <v>0</v>
      </c>
      <c r="H533" s="25">
        <v>0.14000000000000001</v>
      </c>
      <c r="I533" s="832">
        <v>86.48</v>
      </c>
      <c r="J533" s="25">
        <v>14.15</v>
      </c>
      <c r="K533" s="397">
        <v>1.0000000000000001E-5</v>
      </c>
      <c r="L533" s="25">
        <v>189.60000000000002</v>
      </c>
      <c r="M533" s="25">
        <v>0</v>
      </c>
      <c r="N533" s="25">
        <v>1.1299999999999999</v>
      </c>
      <c r="O533" s="25">
        <v>43.56</v>
      </c>
      <c r="P533" s="25">
        <v>65.02</v>
      </c>
      <c r="Q533" s="25">
        <v>10.41</v>
      </c>
      <c r="R533" s="397">
        <v>1.0000000000000001E-5</v>
      </c>
      <c r="S533" s="397">
        <v>1.0000000000000001E-5</v>
      </c>
      <c r="T533" s="397">
        <v>1.0000000000000001E-5</v>
      </c>
      <c r="U533" s="25">
        <v>0.02</v>
      </c>
      <c r="V533" s="397">
        <v>1.0000000000000001E-5</v>
      </c>
    </row>
    <row r="534" spans="1:776" s="445" customFormat="1" x14ac:dyDescent="0.25">
      <c r="A534" s="581">
        <v>900235</v>
      </c>
      <c r="B534" s="483" t="str">
        <f t="shared" si="14"/>
        <v>-23,35/+23,02  (EC  21,2)</v>
      </c>
      <c r="C534" s="441"/>
      <c r="D534" s="442" t="s">
        <v>172</v>
      </c>
      <c r="E534" s="442">
        <v>2.12</v>
      </c>
      <c r="F534" s="443">
        <v>38.5</v>
      </c>
      <c r="G534" s="442">
        <v>0</v>
      </c>
      <c r="H534" s="442">
        <v>0.24</v>
      </c>
      <c r="I534" s="836">
        <v>282.75</v>
      </c>
      <c r="J534" s="442">
        <v>481.95</v>
      </c>
      <c r="K534" s="442">
        <v>6.1199999999999997E-2</v>
      </c>
      <c r="L534" s="442">
        <v>288</v>
      </c>
      <c r="M534" s="442">
        <v>0</v>
      </c>
      <c r="N534" s="442">
        <v>4.42</v>
      </c>
      <c r="O534" s="442">
        <v>99.23</v>
      </c>
      <c r="P534" s="442">
        <v>216.58</v>
      </c>
      <c r="Q534" s="442">
        <v>92.68</v>
      </c>
      <c r="R534" s="442">
        <v>0.2</v>
      </c>
      <c r="S534" s="397">
        <v>1.0000000000000001E-5</v>
      </c>
      <c r="T534" s="442">
        <v>0.01</v>
      </c>
      <c r="U534" s="442">
        <v>0.01</v>
      </c>
      <c r="V534" s="397">
        <v>1.0000000000000001E-5</v>
      </c>
      <c r="W534" s="251"/>
      <c r="X534" s="251"/>
      <c r="Y534" s="251"/>
      <c r="Z534" s="251"/>
      <c r="AA534" s="251"/>
      <c r="AB534" s="251"/>
      <c r="AC534" s="251"/>
      <c r="AD534" s="251"/>
      <c r="AE534" s="251"/>
      <c r="AF534" s="251"/>
      <c r="AG534" s="251"/>
      <c r="AH534" s="251"/>
      <c r="AI534" s="251"/>
      <c r="AJ534" s="251"/>
      <c r="AK534" s="251"/>
      <c r="AL534" s="251"/>
      <c r="AM534" s="251"/>
      <c r="AN534" s="251"/>
      <c r="AO534" s="251"/>
      <c r="AP534" s="251"/>
      <c r="AQ534" s="251"/>
      <c r="AR534" s="251"/>
      <c r="AS534" s="251"/>
      <c r="AT534" s="251"/>
      <c r="AU534" s="251"/>
      <c r="AV534" s="251"/>
      <c r="AW534" s="251"/>
      <c r="AX534" s="251"/>
      <c r="AY534" s="251"/>
      <c r="AZ534" s="251"/>
      <c r="BA534" s="251"/>
      <c r="BB534" s="251"/>
      <c r="BC534" s="251"/>
      <c r="BD534" s="251"/>
      <c r="BE534" s="251"/>
      <c r="BF534" s="251"/>
      <c r="BG534" s="251"/>
      <c r="BH534" s="251"/>
      <c r="BI534" s="251"/>
      <c r="BJ534" s="251"/>
      <c r="BK534" s="251"/>
      <c r="BL534" s="251"/>
      <c r="BM534" s="251"/>
      <c r="BN534" s="251"/>
      <c r="BO534" s="251"/>
      <c r="BP534" s="251"/>
      <c r="BQ534" s="251"/>
      <c r="BR534" s="251"/>
      <c r="BS534" s="251"/>
      <c r="BT534" s="251"/>
      <c r="BU534" s="251"/>
      <c r="BV534" s="251"/>
      <c r="BW534" s="251"/>
      <c r="BX534" s="251"/>
      <c r="BY534" s="251"/>
      <c r="BZ534" s="251"/>
      <c r="CA534" s="251"/>
      <c r="CB534" s="251"/>
      <c r="CC534" s="251"/>
      <c r="CD534" s="251"/>
      <c r="CE534" s="251"/>
      <c r="CF534" s="251"/>
      <c r="CG534" s="251"/>
      <c r="CH534" s="251"/>
      <c r="CI534" s="251"/>
      <c r="CJ534" s="251"/>
      <c r="CK534" s="251"/>
      <c r="CL534" s="251"/>
      <c r="CM534" s="251"/>
      <c r="CN534" s="251"/>
      <c r="CO534" s="251"/>
      <c r="CP534" s="251"/>
      <c r="CQ534" s="251"/>
      <c r="CR534" s="251"/>
      <c r="CS534" s="251"/>
      <c r="CT534" s="251"/>
      <c r="CU534" s="251"/>
      <c r="CV534" s="251"/>
      <c r="CW534" s="251"/>
      <c r="CX534" s="251"/>
      <c r="CY534" s="251"/>
      <c r="CZ534" s="251"/>
      <c r="DA534" s="251"/>
      <c r="DB534" s="251"/>
      <c r="DC534" s="251"/>
      <c r="DD534" s="251"/>
      <c r="DE534" s="251"/>
      <c r="DF534" s="251"/>
      <c r="DG534" s="251"/>
      <c r="DH534" s="251"/>
      <c r="DI534" s="251"/>
      <c r="DJ534" s="251"/>
      <c r="DK534" s="251"/>
      <c r="DL534" s="251"/>
      <c r="DM534" s="251"/>
      <c r="DN534" s="251"/>
      <c r="DO534" s="251"/>
      <c r="DP534" s="251"/>
      <c r="DQ534" s="251"/>
      <c r="DR534" s="251"/>
      <c r="DS534" s="251"/>
      <c r="DT534" s="251"/>
      <c r="DU534" s="251"/>
      <c r="DV534" s="251"/>
      <c r="DW534" s="251"/>
      <c r="DX534" s="251"/>
      <c r="DY534" s="251"/>
      <c r="DZ534" s="251"/>
      <c r="EA534" s="251"/>
      <c r="EB534" s="251"/>
      <c r="EC534" s="251"/>
      <c r="ED534" s="251"/>
      <c r="EE534" s="251"/>
      <c r="EF534" s="251"/>
      <c r="EG534" s="251"/>
      <c r="EH534" s="251"/>
      <c r="EI534" s="251"/>
      <c r="EJ534" s="251"/>
      <c r="EK534" s="251"/>
      <c r="EL534" s="251"/>
      <c r="EM534" s="251"/>
      <c r="EN534" s="251"/>
      <c r="EO534" s="251"/>
      <c r="EP534" s="251"/>
      <c r="EQ534" s="251"/>
      <c r="ER534" s="251"/>
      <c r="ES534" s="251"/>
      <c r="ET534" s="251"/>
      <c r="EU534" s="251"/>
      <c r="EV534" s="251"/>
      <c r="EW534" s="251"/>
      <c r="EX534" s="251"/>
      <c r="EY534" s="251"/>
      <c r="EZ534" s="251"/>
      <c r="FA534" s="251"/>
      <c r="FB534" s="251"/>
      <c r="FC534" s="251"/>
      <c r="FD534" s="251"/>
      <c r="FE534" s="251"/>
      <c r="FF534" s="251"/>
      <c r="FG534" s="251"/>
      <c r="FH534" s="251"/>
      <c r="FI534" s="251"/>
      <c r="FJ534" s="251"/>
      <c r="FK534" s="251"/>
      <c r="FL534" s="251"/>
      <c r="FM534" s="251"/>
      <c r="FN534" s="251"/>
      <c r="FO534" s="251"/>
      <c r="FP534" s="251"/>
      <c r="FQ534" s="251"/>
      <c r="FR534" s="251"/>
      <c r="FS534" s="251"/>
      <c r="FT534" s="251"/>
      <c r="FU534" s="251"/>
      <c r="FV534" s="251"/>
      <c r="FW534" s="251"/>
      <c r="FX534" s="251"/>
      <c r="FY534" s="251"/>
      <c r="FZ534" s="251"/>
      <c r="GA534" s="251"/>
      <c r="GB534" s="251"/>
      <c r="GC534" s="251"/>
      <c r="GD534" s="251"/>
      <c r="GE534" s="251"/>
      <c r="GF534" s="251"/>
      <c r="GG534" s="251"/>
      <c r="GH534" s="251"/>
      <c r="GI534" s="251"/>
      <c r="GJ534" s="251"/>
      <c r="GK534" s="251"/>
      <c r="GL534" s="251"/>
      <c r="GM534" s="251"/>
      <c r="GN534" s="251"/>
      <c r="GO534" s="251"/>
      <c r="GP534" s="251"/>
      <c r="GQ534" s="251"/>
      <c r="GR534" s="251"/>
      <c r="GS534" s="251"/>
      <c r="GT534" s="251"/>
      <c r="GU534" s="251"/>
      <c r="GV534" s="251"/>
      <c r="GW534" s="251"/>
      <c r="GX534" s="251"/>
      <c r="GY534" s="251"/>
      <c r="GZ534" s="251"/>
      <c r="HA534" s="251"/>
      <c r="HB534" s="251"/>
      <c r="HC534" s="251"/>
      <c r="HD534" s="251"/>
      <c r="HE534" s="251"/>
      <c r="HF534" s="251"/>
      <c r="HG534" s="251"/>
      <c r="HH534" s="251"/>
      <c r="HI534" s="251"/>
      <c r="HJ534" s="251"/>
      <c r="HK534" s="251"/>
      <c r="HL534" s="251"/>
      <c r="HM534" s="251"/>
      <c r="HN534" s="251"/>
      <c r="HO534" s="251"/>
      <c r="HP534" s="251"/>
      <c r="HQ534" s="251"/>
      <c r="HR534" s="251"/>
      <c r="HS534" s="251"/>
      <c r="HT534" s="251"/>
      <c r="HU534" s="251"/>
      <c r="HV534" s="251"/>
      <c r="HW534" s="251"/>
      <c r="HX534" s="251"/>
      <c r="HY534" s="251"/>
      <c r="HZ534" s="251"/>
      <c r="IA534" s="251"/>
      <c r="IB534" s="251"/>
      <c r="IC534" s="251"/>
      <c r="ID534" s="251"/>
      <c r="IE534" s="251"/>
      <c r="IF534" s="251"/>
      <c r="IG534" s="251"/>
      <c r="IH534" s="251"/>
      <c r="II534" s="251"/>
      <c r="IJ534" s="251"/>
      <c r="IK534" s="251"/>
      <c r="IL534" s="251"/>
      <c r="IM534" s="251"/>
      <c r="IN534" s="251"/>
      <c r="IO534" s="251"/>
      <c r="IP534" s="251"/>
      <c r="IQ534" s="251"/>
      <c r="IR534" s="251"/>
      <c r="IS534" s="251"/>
      <c r="IT534" s="251"/>
      <c r="IU534" s="251"/>
      <c r="IV534" s="251"/>
      <c r="IW534" s="251"/>
      <c r="IX534" s="251"/>
      <c r="IY534" s="251"/>
      <c r="IZ534" s="251"/>
      <c r="JA534" s="251"/>
      <c r="JB534" s="251"/>
      <c r="JC534" s="251"/>
      <c r="JD534" s="251"/>
      <c r="JE534" s="251"/>
      <c r="JF534" s="251"/>
      <c r="JG534" s="251"/>
      <c r="JH534" s="251"/>
      <c r="JI534" s="251"/>
      <c r="JJ534" s="251"/>
      <c r="JK534" s="251"/>
      <c r="JL534" s="251"/>
      <c r="JM534" s="251"/>
      <c r="JN534" s="251"/>
      <c r="JO534" s="251"/>
      <c r="JP534" s="251"/>
      <c r="JQ534" s="251"/>
      <c r="JR534" s="251"/>
      <c r="JS534" s="251"/>
      <c r="JT534" s="251"/>
      <c r="JU534" s="251"/>
      <c r="JV534" s="251"/>
      <c r="JW534" s="251"/>
      <c r="JX534" s="251"/>
      <c r="JY534" s="251"/>
      <c r="JZ534" s="251"/>
      <c r="KA534" s="251"/>
      <c r="KB534" s="251"/>
      <c r="KC534" s="251"/>
      <c r="KD534" s="251"/>
      <c r="KE534" s="251"/>
      <c r="KF534" s="251"/>
      <c r="KG534" s="251"/>
      <c r="KH534" s="251"/>
      <c r="KI534" s="251"/>
      <c r="KJ534" s="251"/>
      <c r="KK534" s="251"/>
      <c r="KL534" s="251"/>
      <c r="KM534" s="251"/>
      <c r="KN534" s="251"/>
      <c r="KO534" s="251"/>
      <c r="KP534" s="251"/>
      <c r="KQ534" s="251"/>
      <c r="KR534" s="251"/>
      <c r="KS534" s="251"/>
      <c r="KT534" s="251"/>
      <c r="KU534" s="251"/>
      <c r="KV534" s="251"/>
      <c r="KW534" s="251"/>
      <c r="KX534" s="251"/>
      <c r="KY534" s="251"/>
      <c r="KZ534" s="251"/>
      <c r="LA534" s="251"/>
      <c r="LB534" s="251"/>
      <c r="LC534" s="251"/>
      <c r="LD534" s="251"/>
      <c r="LE534" s="251"/>
      <c r="LF534" s="251"/>
      <c r="LG534" s="251"/>
      <c r="LH534" s="251"/>
      <c r="LI534" s="251"/>
      <c r="LJ534" s="251"/>
      <c r="LK534" s="251"/>
      <c r="LL534" s="444"/>
      <c r="LM534" s="444"/>
      <c r="LN534" s="444"/>
      <c r="LO534" s="444"/>
      <c r="LP534" s="444"/>
      <c r="LQ534" s="444"/>
      <c r="LR534" s="444"/>
      <c r="LS534" s="444"/>
      <c r="LT534" s="444"/>
      <c r="LU534" s="444"/>
      <c r="LV534" s="444"/>
      <c r="LW534" s="444"/>
      <c r="LX534" s="444"/>
      <c r="LY534" s="444"/>
      <c r="LZ534" s="444"/>
      <c r="MA534" s="444"/>
      <c r="MB534" s="444"/>
      <c r="MC534" s="444"/>
      <c r="MD534" s="444"/>
      <c r="ME534" s="444"/>
      <c r="MF534" s="444"/>
      <c r="MG534" s="444"/>
      <c r="MH534" s="444"/>
      <c r="MI534" s="444"/>
      <c r="MJ534" s="444"/>
      <c r="MK534" s="444"/>
      <c r="ML534" s="444"/>
      <c r="MM534" s="444"/>
      <c r="MN534" s="444"/>
      <c r="MO534" s="444"/>
      <c r="MP534" s="444"/>
      <c r="MQ534" s="444"/>
      <c r="MR534" s="444"/>
      <c r="MS534" s="444"/>
      <c r="MT534" s="444"/>
      <c r="MU534" s="444"/>
      <c r="MV534" s="444"/>
      <c r="MW534" s="444"/>
      <c r="MX534" s="444"/>
      <c r="MY534" s="444"/>
      <c r="MZ534" s="444"/>
      <c r="NA534" s="444"/>
      <c r="NB534" s="444"/>
      <c r="NC534" s="444"/>
      <c r="ND534" s="444"/>
      <c r="NE534" s="444"/>
      <c r="NF534" s="444"/>
      <c r="NG534" s="444"/>
      <c r="NH534" s="444"/>
      <c r="NI534" s="444"/>
      <c r="NJ534" s="444"/>
      <c r="NK534" s="444"/>
      <c r="NL534" s="444"/>
      <c r="NM534" s="444"/>
      <c r="NN534" s="444"/>
      <c r="NO534" s="444"/>
      <c r="NP534" s="444"/>
      <c r="NQ534" s="444"/>
      <c r="NR534" s="444"/>
      <c r="NS534" s="444"/>
      <c r="NT534" s="444"/>
      <c r="NU534" s="444"/>
      <c r="NV534" s="444"/>
      <c r="NW534" s="444"/>
      <c r="NX534" s="444"/>
      <c r="NY534" s="444"/>
      <c r="NZ534" s="444"/>
      <c r="OA534" s="444"/>
      <c r="OB534" s="444"/>
      <c r="OC534" s="444"/>
      <c r="OD534" s="444"/>
      <c r="OE534" s="444"/>
      <c r="OF534" s="444"/>
      <c r="OG534" s="444"/>
      <c r="OH534" s="444"/>
      <c r="OI534" s="444"/>
      <c r="OJ534" s="444"/>
      <c r="OK534" s="444"/>
      <c r="OL534" s="444"/>
      <c r="OM534" s="444"/>
      <c r="ON534" s="444"/>
      <c r="OO534" s="444"/>
      <c r="OP534" s="444"/>
      <c r="OQ534" s="444"/>
      <c r="OR534" s="444"/>
      <c r="OS534" s="444"/>
      <c r="OT534" s="444"/>
      <c r="OU534" s="444"/>
      <c r="OV534" s="444"/>
      <c r="OW534" s="444"/>
      <c r="OX534" s="444"/>
      <c r="OY534" s="444"/>
      <c r="OZ534" s="444"/>
      <c r="PA534" s="444"/>
      <c r="PB534" s="444"/>
      <c r="PC534" s="444"/>
      <c r="PD534" s="444"/>
      <c r="PE534" s="444"/>
      <c r="PF534" s="444"/>
      <c r="PG534" s="444"/>
      <c r="PH534" s="444"/>
      <c r="PI534" s="444"/>
      <c r="PJ534" s="444"/>
      <c r="PK534" s="444"/>
      <c r="PL534" s="444"/>
      <c r="PM534" s="444"/>
      <c r="PN534" s="444"/>
      <c r="PO534" s="444"/>
      <c r="PP534" s="444"/>
      <c r="PQ534" s="444"/>
      <c r="PR534" s="444"/>
      <c r="PS534" s="444"/>
      <c r="PT534" s="444"/>
      <c r="PU534" s="444"/>
      <c r="PV534" s="444"/>
      <c r="PW534" s="444"/>
      <c r="PX534" s="444"/>
      <c r="PY534" s="444"/>
      <c r="PZ534" s="444"/>
      <c r="QA534" s="444"/>
      <c r="QB534" s="444"/>
      <c r="QC534" s="444"/>
      <c r="QD534" s="444"/>
      <c r="QE534" s="444"/>
      <c r="QF534" s="444"/>
      <c r="QG534" s="444"/>
      <c r="QH534" s="444"/>
      <c r="QI534" s="444"/>
      <c r="QJ534" s="444"/>
      <c r="QK534" s="444"/>
      <c r="QL534" s="444"/>
      <c r="QM534" s="444"/>
      <c r="QN534" s="444"/>
      <c r="QO534" s="444"/>
      <c r="QP534" s="444"/>
      <c r="QQ534" s="444"/>
      <c r="QR534" s="444"/>
      <c r="QS534" s="444"/>
      <c r="QT534" s="444"/>
      <c r="QU534" s="444"/>
      <c r="QV534" s="444"/>
      <c r="QW534" s="444"/>
      <c r="QX534" s="444"/>
      <c r="QY534" s="444"/>
      <c r="QZ534" s="444"/>
      <c r="RA534" s="444"/>
      <c r="RB534" s="444"/>
      <c r="RC534" s="444"/>
      <c r="RD534" s="444"/>
      <c r="RE534" s="444"/>
      <c r="RF534" s="444"/>
      <c r="RG534" s="444"/>
      <c r="RH534" s="444"/>
      <c r="RI534" s="444"/>
      <c r="RJ534" s="444"/>
      <c r="RK534" s="444"/>
      <c r="RL534" s="444"/>
      <c r="RM534" s="444"/>
      <c r="RN534" s="444"/>
      <c r="RO534" s="444"/>
      <c r="RP534" s="444"/>
      <c r="RQ534" s="444"/>
      <c r="RR534" s="444"/>
      <c r="RS534" s="444"/>
      <c r="RT534" s="444"/>
      <c r="RU534" s="444"/>
      <c r="RV534" s="444"/>
      <c r="RW534" s="444"/>
      <c r="RX534" s="444"/>
      <c r="RY534" s="444"/>
      <c r="RZ534" s="444"/>
      <c r="SA534" s="444"/>
      <c r="SB534" s="444"/>
      <c r="SC534" s="444"/>
      <c r="SD534" s="444"/>
      <c r="SE534" s="444"/>
      <c r="SF534" s="444"/>
      <c r="SG534" s="444"/>
      <c r="SH534" s="444"/>
      <c r="SI534" s="444"/>
      <c r="SJ534" s="444"/>
      <c r="SK534" s="444"/>
      <c r="SL534" s="444"/>
      <c r="SM534" s="444"/>
      <c r="SN534" s="444"/>
      <c r="SO534" s="444"/>
      <c r="SP534" s="444"/>
      <c r="SQ534" s="444"/>
      <c r="SR534" s="444"/>
      <c r="SS534" s="444"/>
      <c r="ST534" s="444"/>
      <c r="SU534" s="444"/>
      <c r="SV534" s="444"/>
      <c r="SW534" s="444"/>
      <c r="SX534" s="444"/>
      <c r="SY534" s="444"/>
      <c r="SZ534" s="444"/>
      <c r="TA534" s="444"/>
      <c r="TB534" s="444"/>
      <c r="TC534" s="444"/>
      <c r="TD534" s="444"/>
      <c r="TE534" s="444"/>
      <c r="TF534" s="444"/>
      <c r="TG534" s="444"/>
      <c r="TH534" s="444"/>
      <c r="TI534" s="444"/>
      <c r="TJ534" s="444"/>
      <c r="TK534" s="444"/>
      <c r="TL534" s="444"/>
      <c r="TM534" s="444"/>
      <c r="TN534" s="444"/>
      <c r="TO534" s="444"/>
      <c r="TP534" s="444"/>
      <c r="TQ534" s="444"/>
      <c r="TR534" s="444"/>
      <c r="TS534" s="444"/>
      <c r="TT534" s="444"/>
      <c r="TU534" s="444"/>
      <c r="TV534" s="444"/>
      <c r="TW534" s="444"/>
      <c r="TX534" s="444"/>
      <c r="TY534" s="444"/>
      <c r="TZ534" s="444"/>
      <c r="UA534" s="444"/>
      <c r="UB534" s="444"/>
      <c r="UC534" s="444"/>
      <c r="UD534" s="444"/>
      <c r="UE534" s="444"/>
      <c r="UF534" s="444"/>
      <c r="UG534" s="444"/>
      <c r="UH534" s="444"/>
      <c r="UI534" s="444"/>
      <c r="UJ534" s="444"/>
      <c r="UK534" s="444"/>
      <c r="UL534" s="444"/>
      <c r="UM534" s="444"/>
      <c r="UN534" s="444"/>
      <c r="UO534" s="444"/>
      <c r="UP534" s="444"/>
      <c r="UQ534" s="444"/>
      <c r="UR534" s="444"/>
      <c r="US534" s="444"/>
      <c r="UT534" s="444"/>
      <c r="UU534" s="444"/>
      <c r="UV534" s="444"/>
      <c r="UW534" s="444"/>
      <c r="UX534" s="444"/>
      <c r="UY534" s="444"/>
      <c r="UZ534" s="444"/>
      <c r="VA534" s="444"/>
      <c r="VB534" s="444"/>
      <c r="VC534" s="444"/>
      <c r="VD534" s="444"/>
      <c r="VE534" s="444"/>
      <c r="VF534" s="444"/>
      <c r="VG534" s="444"/>
      <c r="VH534" s="444"/>
      <c r="VI534" s="444"/>
      <c r="VJ534" s="444"/>
      <c r="VK534" s="444"/>
      <c r="VL534" s="444"/>
      <c r="VM534" s="444"/>
      <c r="VN534" s="444"/>
      <c r="VO534" s="444"/>
      <c r="VP534" s="444"/>
      <c r="VQ534" s="444"/>
      <c r="VR534" s="444"/>
      <c r="VS534" s="444"/>
      <c r="VT534" s="444"/>
      <c r="VU534" s="444"/>
      <c r="VV534" s="444"/>
      <c r="VW534" s="444"/>
      <c r="VX534" s="444"/>
      <c r="VY534" s="444"/>
      <c r="VZ534" s="444"/>
      <c r="WA534" s="444"/>
      <c r="WB534" s="444"/>
      <c r="WC534" s="444"/>
      <c r="WD534" s="444"/>
      <c r="WE534" s="444"/>
      <c r="WF534" s="444"/>
      <c r="WG534" s="444"/>
      <c r="WH534" s="444"/>
      <c r="WI534" s="444"/>
      <c r="WJ534" s="444"/>
      <c r="WK534" s="444"/>
      <c r="WL534" s="444"/>
      <c r="WM534" s="444"/>
      <c r="WN534" s="444"/>
      <c r="WO534" s="444"/>
      <c r="WP534" s="444"/>
      <c r="WQ534" s="444"/>
      <c r="WR534" s="444"/>
      <c r="WS534" s="444"/>
      <c r="WT534" s="444"/>
      <c r="WU534" s="444"/>
      <c r="WV534" s="444"/>
      <c r="WW534" s="444"/>
      <c r="WX534" s="444"/>
      <c r="WY534" s="444"/>
      <c r="WZ534" s="444"/>
      <c r="XA534" s="444"/>
      <c r="XB534" s="444"/>
      <c r="XC534" s="444"/>
      <c r="XD534" s="444"/>
      <c r="XE534" s="444"/>
      <c r="XF534" s="444"/>
      <c r="XG534" s="444"/>
      <c r="XH534" s="444"/>
      <c r="XI534" s="444"/>
      <c r="XJ534" s="444"/>
      <c r="XK534" s="444"/>
      <c r="XL534" s="444"/>
      <c r="XM534" s="444"/>
      <c r="XN534" s="444"/>
      <c r="XO534" s="444"/>
      <c r="XP534" s="444"/>
      <c r="XQ534" s="444"/>
      <c r="XR534" s="444"/>
      <c r="XS534" s="444"/>
      <c r="XT534" s="444"/>
      <c r="XU534" s="444"/>
      <c r="XV534" s="444"/>
      <c r="XW534" s="444"/>
      <c r="XX534" s="444"/>
      <c r="XY534" s="444"/>
      <c r="XZ534" s="444"/>
      <c r="YA534" s="444"/>
      <c r="YB534" s="444"/>
      <c r="YC534" s="444"/>
      <c r="YD534" s="444"/>
      <c r="YE534" s="444"/>
      <c r="YF534" s="444"/>
      <c r="YG534" s="444"/>
      <c r="YH534" s="444"/>
      <c r="YI534" s="444"/>
      <c r="YJ534" s="444"/>
      <c r="YK534" s="444"/>
      <c r="YL534" s="444"/>
      <c r="YM534" s="444"/>
      <c r="YN534" s="444"/>
      <c r="YO534" s="444"/>
      <c r="YP534" s="444"/>
      <c r="YQ534" s="444"/>
      <c r="YR534" s="444"/>
      <c r="YS534" s="444"/>
      <c r="YT534" s="444"/>
      <c r="YU534" s="444"/>
      <c r="YV534" s="444"/>
      <c r="YW534" s="444"/>
      <c r="YX534" s="444"/>
      <c r="YY534" s="444"/>
      <c r="YZ534" s="444"/>
      <c r="ZA534" s="444"/>
      <c r="ZB534" s="444"/>
      <c r="ZC534" s="444"/>
      <c r="ZD534" s="444"/>
      <c r="ZE534" s="444"/>
      <c r="ZF534" s="444"/>
      <c r="ZG534" s="444"/>
      <c r="ZH534" s="444"/>
      <c r="ZI534" s="444"/>
      <c r="ZJ534" s="444"/>
      <c r="ZK534" s="444"/>
      <c r="ZL534" s="444"/>
      <c r="ZM534" s="444"/>
      <c r="ZN534" s="444"/>
      <c r="ZO534" s="444"/>
      <c r="ZP534" s="444"/>
      <c r="ZQ534" s="444"/>
      <c r="ZR534" s="444"/>
      <c r="ZS534" s="444"/>
      <c r="ZT534" s="444"/>
      <c r="ZU534" s="444"/>
      <c r="ZV534" s="444"/>
      <c r="ZW534" s="444"/>
      <c r="ZX534" s="444"/>
      <c r="ZY534" s="444"/>
      <c r="ZZ534" s="444"/>
      <c r="AAA534" s="444"/>
      <c r="AAB534" s="444"/>
      <c r="AAC534" s="444"/>
      <c r="AAD534" s="444"/>
      <c r="AAE534" s="444"/>
      <c r="AAF534" s="444"/>
      <c r="AAG534" s="444"/>
      <c r="AAH534" s="444"/>
      <c r="AAI534" s="444"/>
      <c r="AAJ534" s="444"/>
      <c r="AAK534" s="444"/>
      <c r="AAL534" s="444"/>
      <c r="AAM534" s="444"/>
      <c r="AAN534" s="444"/>
      <c r="AAO534" s="444"/>
      <c r="AAP534" s="444"/>
      <c r="AAQ534" s="444"/>
      <c r="AAR534" s="444"/>
      <c r="AAS534" s="444"/>
      <c r="AAT534" s="444"/>
      <c r="AAU534" s="444"/>
      <c r="AAV534" s="444"/>
      <c r="AAW534" s="444"/>
      <c r="AAX534" s="444"/>
      <c r="AAY534" s="444"/>
      <c r="AAZ534" s="444"/>
      <c r="ABA534" s="444"/>
      <c r="ABB534" s="444"/>
      <c r="ABC534" s="444"/>
      <c r="ABD534" s="444"/>
      <c r="ABE534" s="444"/>
      <c r="ABF534" s="444"/>
      <c r="ABG534" s="444"/>
      <c r="ABH534" s="444"/>
      <c r="ABI534" s="444"/>
      <c r="ABJ534" s="444"/>
      <c r="ABK534" s="444"/>
      <c r="ABL534" s="444"/>
      <c r="ABM534" s="444"/>
      <c r="ABN534" s="444"/>
      <c r="ABO534" s="444"/>
      <c r="ABP534" s="444"/>
      <c r="ABQ534" s="444"/>
      <c r="ABR534" s="444"/>
      <c r="ABS534" s="444"/>
      <c r="ABT534" s="444"/>
      <c r="ABU534" s="444"/>
      <c r="ABV534" s="444"/>
      <c r="ABW534" s="444"/>
      <c r="ABX534" s="444"/>
      <c r="ABY534" s="444"/>
      <c r="ABZ534" s="444"/>
      <c r="ACA534" s="444"/>
      <c r="ACB534" s="444"/>
      <c r="ACC534" s="444"/>
      <c r="ACD534" s="444"/>
      <c r="ACE534" s="444"/>
      <c r="ACF534" s="444"/>
      <c r="ACG534" s="444"/>
      <c r="ACH534" s="444"/>
      <c r="ACI534" s="444"/>
      <c r="ACJ534" s="444"/>
      <c r="ACK534" s="444"/>
      <c r="ACL534" s="444"/>
      <c r="ACM534" s="444"/>
      <c r="ACN534" s="444"/>
      <c r="ACO534" s="444"/>
      <c r="ACP534" s="444"/>
      <c r="ACQ534" s="444"/>
      <c r="ACR534" s="444"/>
      <c r="ACS534" s="444"/>
      <c r="ACT534" s="444"/>
      <c r="ACU534" s="444"/>
      <c r="ACV534" s="444"/>
    </row>
    <row r="535" spans="1:776" s="445" customFormat="1" x14ac:dyDescent="0.25">
      <c r="A535" s="581">
        <v>900236</v>
      </c>
      <c r="B535" s="483" t="str">
        <f t="shared" si="14"/>
        <v>-20,91/+20,31  (EC  19,68)</v>
      </c>
      <c r="C535" s="441"/>
      <c r="D535" s="442" t="s">
        <v>429</v>
      </c>
      <c r="E535" s="442">
        <v>1.968</v>
      </c>
      <c r="F535" s="443">
        <v>16.100000000000001</v>
      </c>
      <c r="G535" s="442">
        <v>0</v>
      </c>
      <c r="H535" s="442">
        <v>0.6</v>
      </c>
      <c r="I535" s="836">
        <v>323.8</v>
      </c>
      <c r="J535" s="442">
        <v>147.26</v>
      </c>
      <c r="K535" s="442">
        <v>9.1800000000000007E-2</v>
      </c>
      <c r="L535" s="442">
        <v>516</v>
      </c>
      <c r="M535" s="442">
        <v>0</v>
      </c>
      <c r="N535" s="442">
        <v>1.86</v>
      </c>
      <c r="O535" s="442">
        <v>185.91</v>
      </c>
      <c r="P535" s="442">
        <v>63.87</v>
      </c>
      <c r="Q535" s="442">
        <v>107.67</v>
      </c>
      <c r="R535" s="442">
        <v>0.01</v>
      </c>
      <c r="S535" s="397">
        <v>1.0000000000000001E-5</v>
      </c>
      <c r="T535" s="397">
        <v>1.0000000000000001E-5</v>
      </c>
      <c r="U535" s="397">
        <v>1.0000000000000001E-5</v>
      </c>
      <c r="V535" s="397">
        <v>1.0000000000000001E-5</v>
      </c>
      <c r="W535" s="251"/>
      <c r="X535" s="251"/>
      <c r="Y535" s="251"/>
      <c r="Z535" s="251"/>
      <c r="AA535" s="251"/>
      <c r="AB535" s="251"/>
      <c r="AC535" s="251"/>
      <c r="AD535" s="251"/>
      <c r="AE535" s="251"/>
      <c r="AF535" s="251"/>
      <c r="AG535" s="251"/>
      <c r="AH535" s="251"/>
      <c r="AI535" s="251"/>
      <c r="AJ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1"/>
      <c r="AZ535" s="251"/>
      <c r="BA535" s="251"/>
      <c r="BB535" s="251"/>
      <c r="BC535" s="251"/>
      <c r="BD535" s="251"/>
      <c r="BE535" s="251"/>
      <c r="BF535" s="251"/>
      <c r="BG535" s="251"/>
      <c r="BH535" s="251"/>
      <c r="BI535" s="251"/>
      <c r="BJ535" s="251"/>
      <c r="BK535" s="251"/>
      <c r="BL535" s="251"/>
      <c r="BM535" s="251"/>
      <c r="BN535" s="251"/>
      <c r="BO535" s="251"/>
      <c r="BP535" s="251"/>
      <c r="BQ535" s="251"/>
      <c r="BR535" s="251"/>
      <c r="BS535" s="251"/>
      <c r="BT535" s="251"/>
      <c r="BU535" s="251"/>
      <c r="BV535" s="251"/>
      <c r="BW535" s="251"/>
      <c r="BX535" s="251"/>
      <c r="BY535" s="251"/>
      <c r="BZ535" s="251"/>
      <c r="CA535" s="251"/>
      <c r="CB535" s="251"/>
      <c r="CC535" s="251"/>
      <c r="CD535" s="251"/>
      <c r="CE535" s="251"/>
      <c r="CF535" s="251"/>
      <c r="CG535" s="251"/>
      <c r="CH535" s="251"/>
      <c r="CI535" s="251"/>
      <c r="CJ535" s="251"/>
      <c r="CK535" s="251"/>
      <c r="CL535" s="251"/>
      <c r="CM535" s="251"/>
      <c r="CN535" s="251"/>
      <c r="CO535" s="251"/>
      <c r="CP535" s="251"/>
      <c r="CQ535" s="251"/>
      <c r="CR535" s="251"/>
      <c r="CS535" s="251"/>
      <c r="CT535" s="251"/>
      <c r="CU535" s="251"/>
      <c r="CV535" s="251"/>
      <c r="CW535" s="251"/>
      <c r="CX535" s="251"/>
      <c r="CY535" s="251"/>
      <c r="CZ535" s="251"/>
      <c r="DA535" s="251"/>
      <c r="DB535" s="251"/>
      <c r="DC535" s="251"/>
      <c r="DD535" s="251"/>
      <c r="DE535" s="251"/>
      <c r="DF535" s="251"/>
      <c r="DG535" s="251"/>
      <c r="DH535" s="251"/>
      <c r="DI535" s="251"/>
      <c r="DJ535" s="251"/>
      <c r="DK535" s="251"/>
      <c r="DL535" s="251"/>
      <c r="DM535" s="251"/>
      <c r="DN535" s="251"/>
      <c r="DO535" s="251"/>
      <c r="DP535" s="251"/>
      <c r="DQ535" s="251"/>
      <c r="DR535" s="251"/>
      <c r="DS535" s="251"/>
      <c r="DT535" s="251"/>
      <c r="DU535" s="251"/>
      <c r="DV535" s="251"/>
      <c r="DW535" s="251"/>
      <c r="DX535" s="251"/>
      <c r="DY535" s="251"/>
      <c r="DZ535" s="251"/>
      <c r="EA535" s="251"/>
      <c r="EB535" s="251"/>
      <c r="EC535" s="251"/>
      <c r="ED535" s="251"/>
      <c r="EE535" s="251"/>
      <c r="EF535" s="251"/>
      <c r="EG535" s="251"/>
      <c r="EH535" s="251"/>
      <c r="EI535" s="251"/>
      <c r="EJ535" s="251"/>
      <c r="EK535" s="251"/>
      <c r="EL535" s="251"/>
      <c r="EM535" s="251"/>
      <c r="EN535" s="251"/>
      <c r="EO535" s="251"/>
      <c r="EP535" s="251"/>
      <c r="EQ535" s="251"/>
      <c r="ER535" s="251"/>
      <c r="ES535" s="251"/>
      <c r="ET535" s="251"/>
      <c r="EU535" s="251"/>
      <c r="EV535" s="251"/>
      <c r="EW535" s="251"/>
      <c r="EX535" s="251"/>
      <c r="EY535" s="251"/>
      <c r="EZ535" s="251"/>
      <c r="FA535" s="251"/>
      <c r="FB535" s="251"/>
      <c r="FC535" s="251"/>
      <c r="FD535" s="251"/>
      <c r="FE535" s="251"/>
      <c r="FF535" s="251"/>
      <c r="FG535" s="251"/>
      <c r="FH535" s="251"/>
      <c r="FI535" s="251"/>
      <c r="FJ535" s="251"/>
      <c r="FK535" s="251"/>
      <c r="FL535" s="251"/>
      <c r="FM535" s="251"/>
      <c r="FN535" s="251"/>
      <c r="FO535" s="251"/>
      <c r="FP535" s="251"/>
      <c r="FQ535" s="251"/>
      <c r="FR535" s="251"/>
      <c r="FS535" s="251"/>
      <c r="FT535" s="251"/>
      <c r="FU535" s="251"/>
      <c r="FV535" s="251"/>
      <c r="FW535" s="251"/>
      <c r="FX535" s="251"/>
      <c r="FY535" s="251"/>
      <c r="FZ535" s="251"/>
      <c r="GA535" s="251"/>
      <c r="GB535" s="251"/>
      <c r="GC535" s="251"/>
      <c r="GD535" s="251"/>
      <c r="GE535" s="251"/>
      <c r="GF535" s="251"/>
      <c r="GG535" s="251"/>
      <c r="GH535" s="251"/>
      <c r="GI535" s="251"/>
      <c r="GJ535" s="251"/>
      <c r="GK535" s="251"/>
      <c r="GL535" s="251"/>
      <c r="GM535" s="251"/>
      <c r="GN535" s="251"/>
      <c r="GO535" s="251"/>
      <c r="GP535" s="251"/>
      <c r="GQ535" s="251"/>
      <c r="GR535" s="251"/>
      <c r="GS535" s="251"/>
      <c r="GT535" s="251"/>
      <c r="GU535" s="251"/>
      <c r="GV535" s="251"/>
      <c r="GW535" s="251"/>
      <c r="GX535" s="251"/>
      <c r="GY535" s="251"/>
      <c r="GZ535" s="251"/>
      <c r="HA535" s="251"/>
      <c r="HB535" s="251"/>
      <c r="HC535" s="251"/>
      <c r="HD535" s="251"/>
      <c r="HE535" s="251"/>
      <c r="HF535" s="251"/>
      <c r="HG535" s="251"/>
      <c r="HH535" s="251"/>
      <c r="HI535" s="251"/>
      <c r="HJ535" s="251"/>
      <c r="HK535" s="251"/>
      <c r="HL535" s="251"/>
      <c r="HM535" s="251"/>
      <c r="HN535" s="251"/>
      <c r="HO535" s="251"/>
      <c r="HP535" s="251"/>
      <c r="HQ535" s="251"/>
      <c r="HR535" s="251"/>
      <c r="HS535" s="251"/>
      <c r="HT535" s="251"/>
      <c r="HU535" s="251"/>
      <c r="HV535" s="251"/>
      <c r="HW535" s="251"/>
      <c r="HX535" s="251"/>
      <c r="HY535" s="251"/>
      <c r="HZ535" s="251"/>
      <c r="IA535" s="251"/>
      <c r="IB535" s="251"/>
      <c r="IC535" s="251"/>
      <c r="ID535" s="251"/>
      <c r="IE535" s="251"/>
      <c r="IF535" s="251"/>
      <c r="IG535" s="251"/>
      <c r="IH535" s="251"/>
      <c r="II535" s="251"/>
      <c r="IJ535" s="251"/>
      <c r="IK535" s="251"/>
      <c r="IL535" s="251"/>
      <c r="IM535" s="251"/>
      <c r="IN535" s="251"/>
      <c r="IO535" s="251"/>
      <c r="IP535" s="251"/>
      <c r="IQ535" s="251"/>
      <c r="IR535" s="251"/>
      <c r="IS535" s="251"/>
      <c r="IT535" s="251"/>
      <c r="IU535" s="251"/>
      <c r="IV535" s="251"/>
      <c r="IW535" s="251"/>
      <c r="IX535" s="251"/>
      <c r="IY535" s="251"/>
      <c r="IZ535" s="251"/>
      <c r="JA535" s="251"/>
      <c r="JB535" s="251"/>
      <c r="JC535" s="251"/>
      <c r="JD535" s="251"/>
      <c r="JE535" s="251"/>
      <c r="JF535" s="251"/>
      <c r="JG535" s="251"/>
      <c r="JH535" s="251"/>
      <c r="JI535" s="251"/>
      <c r="JJ535" s="251"/>
      <c r="JK535" s="251"/>
      <c r="JL535" s="251"/>
      <c r="JM535" s="251"/>
      <c r="JN535" s="251"/>
      <c r="JO535" s="251"/>
      <c r="JP535" s="251"/>
      <c r="JQ535" s="251"/>
      <c r="JR535" s="251"/>
      <c r="JS535" s="251"/>
      <c r="JT535" s="251"/>
      <c r="JU535" s="251"/>
      <c r="JV535" s="251"/>
      <c r="JW535" s="251"/>
      <c r="JX535" s="251"/>
      <c r="JY535" s="251"/>
      <c r="JZ535" s="251"/>
      <c r="KA535" s="251"/>
      <c r="KB535" s="251"/>
      <c r="KC535" s="251"/>
      <c r="KD535" s="251"/>
      <c r="KE535" s="251"/>
      <c r="KF535" s="251"/>
      <c r="KG535" s="251"/>
      <c r="KH535" s="251"/>
      <c r="KI535" s="251"/>
      <c r="KJ535" s="251"/>
      <c r="KK535" s="251"/>
      <c r="KL535" s="251"/>
      <c r="KM535" s="251"/>
      <c r="KN535" s="251"/>
      <c r="KO535" s="251"/>
      <c r="KP535" s="251"/>
      <c r="KQ535" s="251"/>
      <c r="KR535" s="251"/>
      <c r="KS535" s="251"/>
      <c r="KT535" s="251"/>
      <c r="KU535" s="251"/>
      <c r="KV535" s="251"/>
      <c r="KW535" s="251"/>
      <c r="KX535" s="251"/>
      <c r="KY535" s="251"/>
      <c r="KZ535" s="251"/>
      <c r="LA535" s="251"/>
      <c r="LB535" s="251"/>
      <c r="LC535" s="251"/>
      <c r="LD535" s="251"/>
      <c r="LE535" s="251"/>
      <c r="LF535" s="251"/>
      <c r="LG535" s="251"/>
      <c r="LH535" s="251"/>
      <c r="LI535" s="251"/>
      <c r="LJ535" s="251"/>
      <c r="LK535" s="251"/>
      <c r="LL535" s="444"/>
      <c r="LM535" s="444"/>
      <c r="LN535" s="444"/>
      <c r="LO535" s="444"/>
      <c r="LP535" s="444"/>
      <c r="LQ535" s="444"/>
      <c r="LR535" s="444"/>
      <c r="LS535" s="444"/>
      <c r="LT535" s="444"/>
      <c r="LU535" s="444"/>
      <c r="LV535" s="444"/>
      <c r="LW535" s="444"/>
      <c r="LX535" s="444"/>
      <c r="LY535" s="444"/>
      <c r="LZ535" s="444"/>
      <c r="MA535" s="444"/>
      <c r="MB535" s="444"/>
      <c r="MC535" s="444"/>
      <c r="MD535" s="444"/>
      <c r="ME535" s="444"/>
      <c r="MF535" s="444"/>
      <c r="MG535" s="444"/>
      <c r="MH535" s="444"/>
      <c r="MI535" s="444"/>
      <c r="MJ535" s="444"/>
      <c r="MK535" s="444"/>
      <c r="ML535" s="444"/>
      <c r="MM535" s="444"/>
      <c r="MN535" s="444"/>
      <c r="MO535" s="444"/>
      <c r="MP535" s="444"/>
      <c r="MQ535" s="444"/>
      <c r="MR535" s="444"/>
      <c r="MS535" s="444"/>
      <c r="MT535" s="444"/>
      <c r="MU535" s="444"/>
      <c r="MV535" s="444"/>
      <c r="MW535" s="444"/>
      <c r="MX535" s="444"/>
      <c r="MY535" s="444"/>
      <c r="MZ535" s="444"/>
      <c r="NA535" s="444"/>
      <c r="NB535" s="444"/>
      <c r="NC535" s="444"/>
      <c r="ND535" s="444"/>
      <c r="NE535" s="444"/>
      <c r="NF535" s="444"/>
      <c r="NG535" s="444"/>
      <c r="NH535" s="444"/>
      <c r="NI535" s="444"/>
      <c r="NJ535" s="444"/>
      <c r="NK535" s="444"/>
      <c r="NL535" s="444"/>
      <c r="NM535" s="444"/>
      <c r="NN535" s="444"/>
      <c r="NO535" s="444"/>
      <c r="NP535" s="444"/>
      <c r="NQ535" s="444"/>
      <c r="NR535" s="444"/>
      <c r="NS535" s="444"/>
      <c r="NT535" s="444"/>
      <c r="NU535" s="444"/>
      <c r="NV535" s="444"/>
      <c r="NW535" s="444"/>
      <c r="NX535" s="444"/>
      <c r="NY535" s="444"/>
      <c r="NZ535" s="444"/>
      <c r="OA535" s="444"/>
      <c r="OB535" s="444"/>
      <c r="OC535" s="444"/>
      <c r="OD535" s="444"/>
      <c r="OE535" s="444"/>
      <c r="OF535" s="444"/>
      <c r="OG535" s="444"/>
      <c r="OH535" s="444"/>
      <c r="OI535" s="444"/>
      <c r="OJ535" s="444"/>
      <c r="OK535" s="444"/>
      <c r="OL535" s="444"/>
      <c r="OM535" s="444"/>
      <c r="ON535" s="444"/>
      <c r="OO535" s="444"/>
      <c r="OP535" s="444"/>
      <c r="OQ535" s="444"/>
      <c r="OR535" s="444"/>
      <c r="OS535" s="444"/>
      <c r="OT535" s="444"/>
      <c r="OU535" s="444"/>
      <c r="OV535" s="444"/>
      <c r="OW535" s="444"/>
      <c r="OX535" s="444"/>
      <c r="OY535" s="444"/>
      <c r="OZ535" s="444"/>
      <c r="PA535" s="444"/>
      <c r="PB535" s="444"/>
      <c r="PC535" s="444"/>
      <c r="PD535" s="444"/>
      <c r="PE535" s="444"/>
      <c r="PF535" s="444"/>
      <c r="PG535" s="444"/>
      <c r="PH535" s="444"/>
      <c r="PI535" s="444"/>
      <c r="PJ535" s="444"/>
      <c r="PK535" s="444"/>
      <c r="PL535" s="444"/>
      <c r="PM535" s="444"/>
      <c r="PN535" s="444"/>
      <c r="PO535" s="444"/>
      <c r="PP535" s="444"/>
      <c r="PQ535" s="444"/>
      <c r="PR535" s="444"/>
      <c r="PS535" s="444"/>
      <c r="PT535" s="444"/>
      <c r="PU535" s="444"/>
      <c r="PV535" s="444"/>
      <c r="PW535" s="444"/>
      <c r="PX535" s="444"/>
      <c r="PY535" s="444"/>
      <c r="PZ535" s="444"/>
      <c r="QA535" s="444"/>
      <c r="QB535" s="444"/>
      <c r="QC535" s="444"/>
      <c r="QD535" s="444"/>
      <c r="QE535" s="444"/>
      <c r="QF535" s="444"/>
      <c r="QG535" s="444"/>
      <c r="QH535" s="444"/>
      <c r="QI535" s="444"/>
      <c r="QJ535" s="444"/>
      <c r="QK535" s="444"/>
      <c r="QL535" s="444"/>
      <c r="QM535" s="444"/>
      <c r="QN535" s="444"/>
      <c r="QO535" s="444"/>
      <c r="QP535" s="444"/>
      <c r="QQ535" s="444"/>
      <c r="QR535" s="444"/>
      <c r="QS535" s="444"/>
      <c r="QT535" s="444"/>
      <c r="QU535" s="444"/>
      <c r="QV535" s="444"/>
      <c r="QW535" s="444"/>
      <c r="QX535" s="444"/>
      <c r="QY535" s="444"/>
      <c r="QZ535" s="444"/>
      <c r="RA535" s="444"/>
      <c r="RB535" s="444"/>
      <c r="RC535" s="444"/>
      <c r="RD535" s="444"/>
      <c r="RE535" s="444"/>
      <c r="RF535" s="444"/>
      <c r="RG535" s="444"/>
      <c r="RH535" s="444"/>
      <c r="RI535" s="444"/>
      <c r="RJ535" s="444"/>
      <c r="RK535" s="444"/>
      <c r="RL535" s="444"/>
      <c r="RM535" s="444"/>
      <c r="RN535" s="444"/>
      <c r="RO535" s="444"/>
      <c r="RP535" s="444"/>
      <c r="RQ535" s="444"/>
      <c r="RR535" s="444"/>
      <c r="RS535" s="444"/>
      <c r="RT535" s="444"/>
      <c r="RU535" s="444"/>
      <c r="RV535" s="444"/>
      <c r="RW535" s="444"/>
      <c r="RX535" s="444"/>
      <c r="RY535" s="444"/>
      <c r="RZ535" s="444"/>
      <c r="SA535" s="444"/>
      <c r="SB535" s="444"/>
      <c r="SC535" s="444"/>
      <c r="SD535" s="444"/>
      <c r="SE535" s="444"/>
      <c r="SF535" s="444"/>
      <c r="SG535" s="444"/>
      <c r="SH535" s="444"/>
      <c r="SI535" s="444"/>
      <c r="SJ535" s="444"/>
      <c r="SK535" s="444"/>
      <c r="SL535" s="444"/>
      <c r="SM535" s="444"/>
      <c r="SN535" s="444"/>
      <c r="SO535" s="444"/>
      <c r="SP535" s="444"/>
      <c r="SQ535" s="444"/>
      <c r="SR535" s="444"/>
      <c r="SS535" s="444"/>
      <c r="ST535" s="444"/>
      <c r="SU535" s="444"/>
      <c r="SV535" s="444"/>
      <c r="SW535" s="444"/>
      <c r="SX535" s="444"/>
      <c r="SY535" s="444"/>
      <c r="SZ535" s="444"/>
      <c r="TA535" s="444"/>
      <c r="TB535" s="444"/>
      <c r="TC535" s="444"/>
      <c r="TD535" s="444"/>
      <c r="TE535" s="444"/>
      <c r="TF535" s="444"/>
      <c r="TG535" s="444"/>
      <c r="TH535" s="444"/>
      <c r="TI535" s="444"/>
      <c r="TJ535" s="444"/>
      <c r="TK535" s="444"/>
      <c r="TL535" s="444"/>
      <c r="TM535" s="444"/>
      <c r="TN535" s="444"/>
      <c r="TO535" s="444"/>
      <c r="TP535" s="444"/>
      <c r="TQ535" s="444"/>
      <c r="TR535" s="444"/>
      <c r="TS535" s="444"/>
      <c r="TT535" s="444"/>
      <c r="TU535" s="444"/>
      <c r="TV535" s="444"/>
      <c r="TW535" s="444"/>
      <c r="TX535" s="444"/>
      <c r="TY535" s="444"/>
      <c r="TZ535" s="444"/>
      <c r="UA535" s="444"/>
      <c r="UB535" s="444"/>
      <c r="UC535" s="444"/>
      <c r="UD535" s="444"/>
      <c r="UE535" s="444"/>
      <c r="UF535" s="444"/>
      <c r="UG535" s="444"/>
      <c r="UH535" s="444"/>
      <c r="UI535" s="444"/>
      <c r="UJ535" s="444"/>
      <c r="UK535" s="444"/>
      <c r="UL535" s="444"/>
      <c r="UM535" s="444"/>
      <c r="UN535" s="444"/>
      <c r="UO535" s="444"/>
      <c r="UP535" s="444"/>
      <c r="UQ535" s="444"/>
      <c r="UR535" s="444"/>
      <c r="US535" s="444"/>
      <c r="UT535" s="444"/>
      <c r="UU535" s="444"/>
      <c r="UV535" s="444"/>
      <c r="UW535" s="444"/>
      <c r="UX535" s="444"/>
      <c r="UY535" s="444"/>
      <c r="UZ535" s="444"/>
      <c r="VA535" s="444"/>
      <c r="VB535" s="444"/>
      <c r="VC535" s="444"/>
      <c r="VD535" s="444"/>
      <c r="VE535" s="444"/>
      <c r="VF535" s="444"/>
      <c r="VG535" s="444"/>
      <c r="VH535" s="444"/>
      <c r="VI535" s="444"/>
      <c r="VJ535" s="444"/>
      <c r="VK535" s="444"/>
      <c r="VL535" s="444"/>
      <c r="VM535" s="444"/>
      <c r="VN535" s="444"/>
      <c r="VO535" s="444"/>
      <c r="VP535" s="444"/>
      <c r="VQ535" s="444"/>
      <c r="VR535" s="444"/>
      <c r="VS535" s="444"/>
      <c r="VT535" s="444"/>
      <c r="VU535" s="444"/>
      <c r="VV535" s="444"/>
      <c r="VW535" s="444"/>
      <c r="VX535" s="444"/>
      <c r="VY535" s="444"/>
      <c r="VZ535" s="444"/>
      <c r="WA535" s="444"/>
      <c r="WB535" s="444"/>
      <c r="WC535" s="444"/>
      <c r="WD535" s="444"/>
      <c r="WE535" s="444"/>
      <c r="WF535" s="444"/>
      <c r="WG535" s="444"/>
      <c r="WH535" s="444"/>
      <c r="WI535" s="444"/>
      <c r="WJ535" s="444"/>
      <c r="WK535" s="444"/>
      <c r="WL535" s="444"/>
      <c r="WM535" s="444"/>
      <c r="WN535" s="444"/>
      <c r="WO535" s="444"/>
      <c r="WP535" s="444"/>
      <c r="WQ535" s="444"/>
      <c r="WR535" s="444"/>
      <c r="WS535" s="444"/>
      <c r="WT535" s="444"/>
      <c r="WU535" s="444"/>
      <c r="WV535" s="444"/>
      <c r="WW535" s="444"/>
      <c r="WX535" s="444"/>
      <c r="WY535" s="444"/>
      <c r="WZ535" s="444"/>
      <c r="XA535" s="444"/>
      <c r="XB535" s="444"/>
      <c r="XC535" s="444"/>
      <c r="XD535" s="444"/>
      <c r="XE535" s="444"/>
      <c r="XF535" s="444"/>
      <c r="XG535" s="444"/>
      <c r="XH535" s="444"/>
      <c r="XI535" s="444"/>
      <c r="XJ535" s="444"/>
      <c r="XK535" s="444"/>
      <c r="XL535" s="444"/>
      <c r="XM535" s="444"/>
      <c r="XN535" s="444"/>
      <c r="XO535" s="444"/>
      <c r="XP535" s="444"/>
      <c r="XQ535" s="444"/>
      <c r="XR535" s="444"/>
      <c r="XS535" s="444"/>
      <c r="XT535" s="444"/>
      <c r="XU535" s="444"/>
      <c r="XV535" s="444"/>
      <c r="XW535" s="444"/>
      <c r="XX535" s="444"/>
      <c r="XY535" s="444"/>
      <c r="XZ535" s="444"/>
      <c r="YA535" s="444"/>
      <c r="YB535" s="444"/>
      <c r="YC535" s="444"/>
      <c r="YD535" s="444"/>
      <c r="YE535" s="444"/>
      <c r="YF535" s="444"/>
      <c r="YG535" s="444"/>
      <c r="YH535" s="444"/>
      <c r="YI535" s="444"/>
      <c r="YJ535" s="444"/>
      <c r="YK535" s="444"/>
      <c r="YL535" s="444"/>
      <c r="YM535" s="444"/>
      <c r="YN535" s="444"/>
      <c r="YO535" s="444"/>
      <c r="YP535" s="444"/>
      <c r="YQ535" s="444"/>
      <c r="YR535" s="444"/>
      <c r="YS535" s="444"/>
      <c r="YT535" s="444"/>
      <c r="YU535" s="444"/>
      <c r="YV535" s="444"/>
      <c r="YW535" s="444"/>
      <c r="YX535" s="444"/>
      <c r="YY535" s="444"/>
      <c r="YZ535" s="444"/>
      <c r="ZA535" s="444"/>
      <c r="ZB535" s="444"/>
      <c r="ZC535" s="444"/>
      <c r="ZD535" s="444"/>
      <c r="ZE535" s="444"/>
      <c r="ZF535" s="444"/>
      <c r="ZG535" s="444"/>
      <c r="ZH535" s="444"/>
      <c r="ZI535" s="444"/>
      <c r="ZJ535" s="444"/>
      <c r="ZK535" s="444"/>
      <c r="ZL535" s="444"/>
      <c r="ZM535" s="444"/>
      <c r="ZN535" s="444"/>
      <c r="ZO535" s="444"/>
      <c r="ZP535" s="444"/>
      <c r="ZQ535" s="444"/>
      <c r="ZR535" s="444"/>
      <c r="ZS535" s="444"/>
      <c r="ZT535" s="444"/>
      <c r="ZU535" s="444"/>
      <c r="ZV535" s="444"/>
      <c r="ZW535" s="444"/>
      <c r="ZX535" s="444"/>
      <c r="ZY535" s="444"/>
      <c r="ZZ535" s="444"/>
      <c r="AAA535" s="444"/>
      <c r="AAB535" s="444"/>
      <c r="AAC535" s="444"/>
      <c r="AAD535" s="444"/>
      <c r="AAE535" s="444"/>
      <c r="AAF535" s="444"/>
      <c r="AAG535" s="444"/>
      <c r="AAH535" s="444"/>
      <c r="AAI535" s="444"/>
      <c r="AAJ535" s="444"/>
      <c r="AAK535" s="444"/>
      <c r="AAL535" s="444"/>
      <c r="AAM535" s="444"/>
      <c r="AAN535" s="444"/>
      <c r="AAO535" s="444"/>
      <c r="AAP535" s="444"/>
      <c r="AAQ535" s="444"/>
      <c r="AAR535" s="444"/>
      <c r="AAS535" s="444"/>
      <c r="AAT535" s="444"/>
      <c r="AAU535" s="444"/>
      <c r="AAV535" s="444"/>
      <c r="AAW535" s="444"/>
      <c r="AAX535" s="444"/>
      <c r="AAY535" s="444"/>
      <c r="AAZ535" s="444"/>
      <c r="ABA535" s="444"/>
      <c r="ABB535" s="444"/>
      <c r="ABC535" s="444"/>
      <c r="ABD535" s="444"/>
      <c r="ABE535" s="444"/>
      <c r="ABF535" s="444"/>
      <c r="ABG535" s="444"/>
      <c r="ABH535" s="444"/>
      <c r="ABI535" s="444"/>
      <c r="ABJ535" s="444"/>
      <c r="ABK535" s="444"/>
      <c r="ABL535" s="444"/>
      <c r="ABM535" s="444"/>
      <c r="ABN535" s="444"/>
      <c r="ABO535" s="444"/>
      <c r="ABP535" s="444"/>
      <c r="ABQ535" s="444"/>
      <c r="ABR535" s="444"/>
      <c r="ABS535" s="444"/>
      <c r="ABT535" s="444"/>
      <c r="ABU535" s="444"/>
      <c r="ABV535" s="444"/>
      <c r="ABW535" s="444"/>
      <c r="ABX535" s="444"/>
      <c r="ABY535" s="444"/>
      <c r="ABZ535" s="444"/>
      <c r="ACA535" s="444"/>
      <c r="ACB535" s="444"/>
      <c r="ACC535" s="444"/>
      <c r="ACD535" s="444"/>
      <c r="ACE535" s="444"/>
      <c r="ACF535" s="444"/>
      <c r="ACG535" s="444"/>
      <c r="ACH535" s="444"/>
      <c r="ACI535" s="444"/>
      <c r="ACJ535" s="444"/>
      <c r="ACK535" s="444"/>
      <c r="ACL535" s="444"/>
      <c r="ACM535" s="444"/>
      <c r="ACN535" s="444"/>
      <c r="ACO535" s="444"/>
      <c r="ACP535" s="444"/>
      <c r="ACQ535" s="444"/>
      <c r="ACR535" s="444"/>
      <c r="ACS535" s="444"/>
      <c r="ACT535" s="444"/>
      <c r="ACU535" s="444"/>
      <c r="ACV535" s="444"/>
    </row>
    <row r="536" spans="1:776" s="445" customFormat="1" x14ac:dyDescent="0.25">
      <c r="A536" s="581">
        <v>900237</v>
      </c>
      <c r="B536" s="483" t="str">
        <f t="shared" si="14"/>
        <v>-4,28/+3,93  (EC  4,3)</v>
      </c>
      <c r="C536" s="441"/>
      <c r="D536" s="442" t="s">
        <v>430</v>
      </c>
      <c r="E536" s="442">
        <v>0.43</v>
      </c>
      <c r="F536" s="443">
        <v>1.8</v>
      </c>
      <c r="G536" s="442">
        <v>0</v>
      </c>
      <c r="H536" s="442">
        <v>0.21</v>
      </c>
      <c r="I536" s="836">
        <v>78.05</v>
      </c>
      <c r="J536" s="442">
        <v>11.41</v>
      </c>
      <c r="K536" s="442">
        <v>9.1800000000000007E-2</v>
      </c>
      <c r="L536" s="442">
        <v>110.4</v>
      </c>
      <c r="M536" s="442">
        <v>0</v>
      </c>
      <c r="N536" s="442">
        <v>1.37</v>
      </c>
      <c r="O536" s="442">
        <v>45.62</v>
      </c>
      <c r="P536" s="442">
        <v>23.13</v>
      </c>
      <c r="Q536" s="442">
        <v>8.73</v>
      </c>
      <c r="R536" s="397">
        <v>1.0000000000000001E-5</v>
      </c>
      <c r="S536" s="397">
        <v>1.0000000000000001E-5</v>
      </c>
      <c r="T536" s="442">
        <v>0.01</v>
      </c>
      <c r="U536" s="442">
        <v>0.02</v>
      </c>
      <c r="V536" s="397">
        <v>1.0000000000000001E-5</v>
      </c>
      <c r="W536" s="251"/>
      <c r="X536" s="251"/>
      <c r="Y536" s="251"/>
      <c r="Z536" s="251"/>
      <c r="AA536" s="251"/>
      <c r="AB536" s="251"/>
      <c r="AC536" s="251"/>
      <c r="AD536" s="251"/>
      <c r="AE536" s="251"/>
      <c r="AF536" s="251"/>
      <c r="AG536" s="251"/>
      <c r="AH536" s="251"/>
      <c r="AI536" s="251"/>
      <c r="AJ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1"/>
      <c r="AZ536" s="251"/>
      <c r="BA536" s="251"/>
      <c r="BB536" s="251"/>
      <c r="BC536" s="251"/>
      <c r="BD536" s="251"/>
      <c r="BE536" s="251"/>
      <c r="BF536" s="251"/>
      <c r="BG536" s="251"/>
      <c r="BH536" s="251"/>
      <c r="BI536" s="251"/>
      <c r="BJ536" s="251"/>
      <c r="BK536" s="251"/>
      <c r="BL536" s="251"/>
      <c r="BM536" s="251"/>
      <c r="BN536" s="251"/>
      <c r="BO536" s="251"/>
      <c r="BP536" s="251"/>
      <c r="BQ536" s="251"/>
      <c r="BR536" s="251"/>
      <c r="BS536" s="251"/>
      <c r="BT536" s="251"/>
      <c r="BU536" s="251"/>
      <c r="BV536" s="251"/>
      <c r="BW536" s="251"/>
      <c r="BX536" s="251"/>
      <c r="BY536" s="251"/>
      <c r="BZ536" s="251"/>
      <c r="CA536" s="251"/>
      <c r="CB536" s="251"/>
      <c r="CC536" s="251"/>
      <c r="CD536" s="251"/>
      <c r="CE536" s="251"/>
      <c r="CF536" s="251"/>
      <c r="CG536" s="251"/>
      <c r="CH536" s="251"/>
      <c r="CI536" s="251"/>
      <c r="CJ536" s="251"/>
      <c r="CK536" s="251"/>
      <c r="CL536" s="251"/>
      <c r="CM536" s="251"/>
      <c r="CN536" s="251"/>
      <c r="CO536" s="251"/>
      <c r="CP536" s="251"/>
      <c r="CQ536" s="251"/>
      <c r="CR536" s="251"/>
      <c r="CS536" s="251"/>
      <c r="CT536" s="251"/>
      <c r="CU536" s="251"/>
      <c r="CV536" s="251"/>
      <c r="CW536" s="251"/>
      <c r="CX536" s="251"/>
      <c r="CY536" s="251"/>
      <c r="CZ536" s="251"/>
      <c r="DA536" s="251"/>
      <c r="DB536" s="251"/>
      <c r="DC536" s="251"/>
      <c r="DD536" s="251"/>
      <c r="DE536" s="251"/>
      <c r="DF536" s="251"/>
      <c r="DG536" s="251"/>
      <c r="DH536" s="251"/>
      <c r="DI536" s="251"/>
      <c r="DJ536" s="251"/>
      <c r="DK536" s="251"/>
      <c r="DL536" s="251"/>
      <c r="DM536" s="251"/>
      <c r="DN536" s="251"/>
      <c r="DO536" s="251"/>
      <c r="DP536" s="251"/>
      <c r="DQ536" s="251"/>
      <c r="DR536" s="251"/>
      <c r="DS536" s="251"/>
      <c r="DT536" s="251"/>
      <c r="DU536" s="251"/>
      <c r="DV536" s="251"/>
      <c r="DW536" s="251"/>
      <c r="DX536" s="251"/>
      <c r="DY536" s="251"/>
      <c r="DZ536" s="251"/>
      <c r="EA536" s="251"/>
      <c r="EB536" s="251"/>
      <c r="EC536" s="251"/>
      <c r="ED536" s="251"/>
      <c r="EE536" s="251"/>
      <c r="EF536" s="251"/>
      <c r="EG536" s="251"/>
      <c r="EH536" s="251"/>
      <c r="EI536" s="251"/>
      <c r="EJ536" s="251"/>
      <c r="EK536" s="251"/>
      <c r="EL536" s="251"/>
      <c r="EM536" s="251"/>
      <c r="EN536" s="251"/>
      <c r="EO536" s="251"/>
      <c r="EP536" s="251"/>
      <c r="EQ536" s="251"/>
      <c r="ER536" s="251"/>
      <c r="ES536" s="251"/>
      <c r="ET536" s="251"/>
      <c r="EU536" s="251"/>
      <c r="EV536" s="251"/>
      <c r="EW536" s="251"/>
      <c r="EX536" s="251"/>
      <c r="EY536" s="251"/>
      <c r="EZ536" s="251"/>
      <c r="FA536" s="251"/>
      <c r="FB536" s="251"/>
      <c r="FC536" s="251"/>
      <c r="FD536" s="251"/>
      <c r="FE536" s="251"/>
      <c r="FF536" s="251"/>
      <c r="FG536" s="251"/>
      <c r="FH536" s="251"/>
      <c r="FI536" s="251"/>
      <c r="FJ536" s="251"/>
      <c r="FK536" s="251"/>
      <c r="FL536" s="251"/>
      <c r="FM536" s="251"/>
      <c r="FN536" s="251"/>
      <c r="FO536" s="251"/>
      <c r="FP536" s="251"/>
      <c r="FQ536" s="251"/>
      <c r="FR536" s="251"/>
      <c r="FS536" s="251"/>
      <c r="FT536" s="251"/>
      <c r="FU536" s="251"/>
      <c r="FV536" s="251"/>
      <c r="FW536" s="251"/>
      <c r="FX536" s="251"/>
      <c r="FY536" s="251"/>
      <c r="FZ536" s="251"/>
      <c r="GA536" s="251"/>
      <c r="GB536" s="251"/>
      <c r="GC536" s="251"/>
      <c r="GD536" s="251"/>
      <c r="GE536" s="251"/>
      <c r="GF536" s="251"/>
      <c r="GG536" s="251"/>
      <c r="GH536" s="251"/>
      <c r="GI536" s="251"/>
      <c r="GJ536" s="251"/>
      <c r="GK536" s="251"/>
      <c r="GL536" s="251"/>
      <c r="GM536" s="251"/>
      <c r="GN536" s="251"/>
      <c r="GO536" s="251"/>
      <c r="GP536" s="251"/>
      <c r="GQ536" s="251"/>
      <c r="GR536" s="251"/>
      <c r="GS536" s="251"/>
      <c r="GT536" s="251"/>
      <c r="GU536" s="251"/>
      <c r="GV536" s="251"/>
      <c r="GW536" s="251"/>
      <c r="GX536" s="251"/>
      <c r="GY536" s="251"/>
      <c r="GZ536" s="251"/>
      <c r="HA536" s="251"/>
      <c r="HB536" s="251"/>
      <c r="HC536" s="251"/>
      <c r="HD536" s="251"/>
      <c r="HE536" s="251"/>
      <c r="HF536" s="251"/>
      <c r="HG536" s="251"/>
      <c r="HH536" s="251"/>
      <c r="HI536" s="251"/>
      <c r="HJ536" s="251"/>
      <c r="HK536" s="251"/>
      <c r="HL536" s="251"/>
      <c r="HM536" s="251"/>
      <c r="HN536" s="251"/>
      <c r="HO536" s="251"/>
      <c r="HP536" s="251"/>
      <c r="HQ536" s="251"/>
      <c r="HR536" s="251"/>
      <c r="HS536" s="251"/>
      <c r="HT536" s="251"/>
      <c r="HU536" s="251"/>
      <c r="HV536" s="251"/>
      <c r="HW536" s="251"/>
      <c r="HX536" s="251"/>
      <c r="HY536" s="251"/>
      <c r="HZ536" s="251"/>
      <c r="IA536" s="251"/>
      <c r="IB536" s="251"/>
      <c r="IC536" s="251"/>
      <c r="ID536" s="251"/>
      <c r="IE536" s="251"/>
      <c r="IF536" s="251"/>
      <c r="IG536" s="251"/>
      <c r="IH536" s="251"/>
      <c r="II536" s="251"/>
      <c r="IJ536" s="251"/>
      <c r="IK536" s="251"/>
      <c r="IL536" s="251"/>
      <c r="IM536" s="251"/>
      <c r="IN536" s="251"/>
      <c r="IO536" s="251"/>
      <c r="IP536" s="251"/>
      <c r="IQ536" s="251"/>
      <c r="IR536" s="251"/>
      <c r="IS536" s="251"/>
      <c r="IT536" s="251"/>
      <c r="IU536" s="251"/>
      <c r="IV536" s="251"/>
      <c r="IW536" s="251"/>
      <c r="IX536" s="251"/>
      <c r="IY536" s="251"/>
      <c r="IZ536" s="251"/>
      <c r="JA536" s="251"/>
      <c r="JB536" s="251"/>
      <c r="JC536" s="251"/>
      <c r="JD536" s="251"/>
      <c r="JE536" s="251"/>
      <c r="JF536" s="251"/>
      <c r="JG536" s="251"/>
      <c r="JH536" s="251"/>
      <c r="JI536" s="251"/>
      <c r="JJ536" s="251"/>
      <c r="JK536" s="251"/>
      <c r="JL536" s="251"/>
      <c r="JM536" s="251"/>
      <c r="JN536" s="251"/>
      <c r="JO536" s="251"/>
      <c r="JP536" s="251"/>
      <c r="JQ536" s="251"/>
      <c r="JR536" s="251"/>
      <c r="JS536" s="251"/>
      <c r="JT536" s="251"/>
      <c r="JU536" s="251"/>
      <c r="JV536" s="251"/>
      <c r="JW536" s="251"/>
      <c r="JX536" s="251"/>
      <c r="JY536" s="251"/>
      <c r="JZ536" s="251"/>
      <c r="KA536" s="251"/>
      <c r="KB536" s="251"/>
      <c r="KC536" s="251"/>
      <c r="KD536" s="251"/>
      <c r="KE536" s="251"/>
      <c r="KF536" s="251"/>
      <c r="KG536" s="251"/>
      <c r="KH536" s="251"/>
      <c r="KI536" s="251"/>
      <c r="KJ536" s="251"/>
      <c r="KK536" s="251"/>
      <c r="KL536" s="251"/>
      <c r="KM536" s="251"/>
      <c r="KN536" s="251"/>
      <c r="KO536" s="251"/>
      <c r="KP536" s="251"/>
      <c r="KQ536" s="251"/>
      <c r="KR536" s="251"/>
      <c r="KS536" s="251"/>
      <c r="KT536" s="251"/>
      <c r="KU536" s="251"/>
      <c r="KV536" s="251"/>
      <c r="KW536" s="251"/>
      <c r="KX536" s="251"/>
      <c r="KY536" s="251"/>
      <c r="KZ536" s="251"/>
      <c r="LA536" s="251"/>
      <c r="LB536" s="251"/>
      <c r="LC536" s="251"/>
      <c r="LD536" s="251"/>
      <c r="LE536" s="251"/>
      <c r="LF536" s="251"/>
      <c r="LG536" s="251"/>
      <c r="LH536" s="251"/>
      <c r="LI536" s="251"/>
      <c r="LJ536" s="251"/>
      <c r="LK536" s="251"/>
      <c r="LL536" s="444"/>
      <c r="LM536" s="444"/>
      <c r="LN536" s="444"/>
      <c r="LO536" s="444"/>
      <c r="LP536" s="444"/>
      <c r="LQ536" s="444"/>
      <c r="LR536" s="444"/>
      <c r="LS536" s="444"/>
      <c r="LT536" s="444"/>
      <c r="LU536" s="444"/>
      <c r="LV536" s="444"/>
      <c r="LW536" s="444"/>
      <c r="LX536" s="444"/>
      <c r="LY536" s="444"/>
      <c r="LZ536" s="444"/>
      <c r="MA536" s="444"/>
      <c r="MB536" s="444"/>
      <c r="MC536" s="444"/>
      <c r="MD536" s="444"/>
      <c r="ME536" s="444"/>
      <c r="MF536" s="444"/>
      <c r="MG536" s="444"/>
      <c r="MH536" s="444"/>
      <c r="MI536" s="444"/>
      <c r="MJ536" s="444"/>
      <c r="MK536" s="444"/>
      <c r="ML536" s="444"/>
      <c r="MM536" s="444"/>
      <c r="MN536" s="444"/>
      <c r="MO536" s="444"/>
      <c r="MP536" s="444"/>
      <c r="MQ536" s="444"/>
      <c r="MR536" s="444"/>
      <c r="MS536" s="444"/>
      <c r="MT536" s="444"/>
      <c r="MU536" s="444"/>
      <c r="MV536" s="444"/>
      <c r="MW536" s="444"/>
      <c r="MX536" s="444"/>
      <c r="MY536" s="444"/>
      <c r="MZ536" s="444"/>
      <c r="NA536" s="444"/>
      <c r="NB536" s="444"/>
      <c r="NC536" s="444"/>
      <c r="ND536" s="444"/>
      <c r="NE536" s="444"/>
      <c r="NF536" s="444"/>
      <c r="NG536" s="444"/>
      <c r="NH536" s="444"/>
      <c r="NI536" s="444"/>
      <c r="NJ536" s="444"/>
      <c r="NK536" s="444"/>
      <c r="NL536" s="444"/>
      <c r="NM536" s="444"/>
      <c r="NN536" s="444"/>
      <c r="NO536" s="444"/>
      <c r="NP536" s="444"/>
      <c r="NQ536" s="444"/>
      <c r="NR536" s="444"/>
      <c r="NS536" s="444"/>
      <c r="NT536" s="444"/>
      <c r="NU536" s="444"/>
      <c r="NV536" s="444"/>
      <c r="NW536" s="444"/>
      <c r="NX536" s="444"/>
      <c r="NY536" s="444"/>
      <c r="NZ536" s="444"/>
      <c r="OA536" s="444"/>
      <c r="OB536" s="444"/>
      <c r="OC536" s="444"/>
      <c r="OD536" s="444"/>
      <c r="OE536" s="444"/>
      <c r="OF536" s="444"/>
      <c r="OG536" s="444"/>
      <c r="OH536" s="444"/>
      <c r="OI536" s="444"/>
      <c r="OJ536" s="444"/>
      <c r="OK536" s="444"/>
      <c r="OL536" s="444"/>
      <c r="OM536" s="444"/>
      <c r="ON536" s="444"/>
      <c r="OO536" s="444"/>
      <c r="OP536" s="444"/>
      <c r="OQ536" s="444"/>
      <c r="OR536" s="444"/>
      <c r="OS536" s="444"/>
      <c r="OT536" s="444"/>
      <c r="OU536" s="444"/>
      <c r="OV536" s="444"/>
      <c r="OW536" s="444"/>
      <c r="OX536" s="444"/>
      <c r="OY536" s="444"/>
      <c r="OZ536" s="444"/>
      <c r="PA536" s="444"/>
      <c r="PB536" s="444"/>
      <c r="PC536" s="444"/>
      <c r="PD536" s="444"/>
      <c r="PE536" s="444"/>
      <c r="PF536" s="444"/>
      <c r="PG536" s="444"/>
      <c r="PH536" s="444"/>
      <c r="PI536" s="444"/>
      <c r="PJ536" s="444"/>
      <c r="PK536" s="444"/>
      <c r="PL536" s="444"/>
      <c r="PM536" s="444"/>
      <c r="PN536" s="444"/>
      <c r="PO536" s="444"/>
      <c r="PP536" s="444"/>
      <c r="PQ536" s="444"/>
      <c r="PR536" s="444"/>
      <c r="PS536" s="444"/>
      <c r="PT536" s="444"/>
      <c r="PU536" s="444"/>
      <c r="PV536" s="444"/>
      <c r="PW536" s="444"/>
      <c r="PX536" s="444"/>
      <c r="PY536" s="444"/>
      <c r="PZ536" s="444"/>
      <c r="QA536" s="444"/>
      <c r="QB536" s="444"/>
      <c r="QC536" s="444"/>
      <c r="QD536" s="444"/>
      <c r="QE536" s="444"/>
      <c r="QF536" s="444"/>
      <c r="QG536" s="444"/>
      <c r="QH536" s="444"/>
      <c r="QI536" s="444"/>
      <c r="QJ536" s="444"/>
      <c r="QK536" s="444"/>
      <c r="QL536" s="444"/>
      <c r="QM536" s="444"/>
      <c r="QN536" s="444"/>
      <c r="QO536" s="444"/>
      <c r="QP536" s="444"/>
      <c r="QQ536" s="444"/>
      <c r="QR536" s="444"/>
      <c r="QS536" s="444"/>
      <c r="QT536" s="444"/>
      <c r="QU536" s="444"/>
      <c r="QV536" s="444"/>
      <c r="QW536" s="444"/>
      <c r="QX536" s="444"/>
      <c r="QY536" s="444"/>
      <c r="QZ536" s="444"/>
      <c r="RA536" s="444"/>
      <c r="RB536" s="444"/>
      <c r="RC536" s="444"/>
      <c r="RD536" s="444"/>
      <c r="RE536" s="444"/>
      <c r="RF536" s="444"/>
      <c r="RG536" s="444"/>
      <c r="RH536" s="444"/>
      <c r="RI536" s="444"/>
      <c r="RJ536" s="444"/>
      <c r="RK536" s="444"/>
      <c r="RL536" s="444"/>
      <c r="RM536" s="444"/>
      <c r="RN536" s="444"/>
      <c r="RO536" s="444"/>
      <c r="RP536" s="444"/>
      <c r="RQ536" s="444"/>
      <c r="RR536" s="444"/>
      <c r="RS536" s="444"/>
      <c r="RT536" s="444"/>
      <c r="RU536" s="444"/>
      <c r="RV536" s="444"/>
      <c r="RW536" s="444"/>
      <c r="RX536" s="444"/>
      <c r="RY536" s="444"/>
      <c r="RZ536" s="444"/>
      <c r="SA536" s="444"/>
      <c r="SB536" s="444"/>
      <c r="SC536" s="444"/>
      <c r="SD536" s="444"/>
      <c r="SE536" s="444"/>
      <c r="SF536" s="444"/>
      <c r="SG536" s="444"/>
      <c r="SH536" s="444"/>
      <c r="SI536" s="444"/>
      <c r="SJ536" s="444"/>
      <c r="SK536" s="444"/>
      <c r="SL536" s="444"/>
      <c r="SM536" s="444"/>
      <c r="SN536" s="444"/>
      <c r="SO536" s="444"/>
      <c r="SP536" s="444"/>
      <c r="SQ536" s="444"/>
      <c r="SR536" s="444"/>
      <c r="SS536" s="444"/>
      <c r="ST536" s="444"/>
      <c r="SU536" s="444"/>
      <c r="SV536" s="444"/>
      <c r="SW536" s="444"/>
      <c r="SX536" s="444"/>
      <c r="SY536" s="444"/>
      <c r="SZ536" s="444"/>
      <c r="TA536" s="444"/>
      <c r="TB536" s="444"/>
      <c r="TC536" s="444"/>
      <c r="TD536" s="444"/>
      <c r="TE536" s="444"/>
      <c r="TF536" s="444"/>
      <c r="TG536" s="444"/>
      <c r="TH536" s="444"/>
      <c r="TI536" s="444"/>
      <c r="TJ536" s="444"/>
      <c r="TK536" s="444"/>
      <c r="TL536" s="444"/>
      <c r="TM536" s="444"/>
      <c r="TN536" s="444"/>
      <c r="TO536" s="444"/>
      <c r="TP536" s="444"/>
      <c r="TQ536" s="444"/>
      <c r="TR536" s="444"/>
      <c r="TS536" s="444"/>
      <c r="TT536" s="444"/>
      <c r="TU536" s="444"/>
      <c r="TV536" s="444"/>
      <c r="TW536" s="444"/>
      <c r="TX536" s="444"/>
      <c r="TY536" s="444"/>
      <c r="TZ536" s="444"/>
      <c r="UA536" s="444"/>
      <c r="UB536" s="444"/>
      <c r="UC536" s="444"/>
      <c r="UD536" s="444"/>
      <c r="UE536" s="444"/>
      <c r="UF536" s="444"/>
      <c r="UG536" s="444"/>
      <c r="UH536" s="444"/>
      <c r="UI536" s="444"/>
      <c r="UJ536" s="444"/>
      <c r="UK536" s="444"/>
      <c r="UL536" s="444"/>
      <c r="UM536" s="444"/>
      <c r="UN536" s="444"/>
      <c r="UO536" s="444"/>
      <c r="UP536" s="444"/>
      <c r="UQ536" s="444"/>
      <c r="UR536" s="444"/>
      <c r="US536" s="444"/>
      <c r="UT536" s="444"/>
      <c r="UU536" s="444"/>
      <c r="UV536" s="444"/>
      <c r="UW536" s="444"/>
      <c r="UX536" s="444"/>
      <c r="UY536" s="444"/>
      <c r="UZ536" s="444"/>
      <c r="VA536" s="444"/>
      <c r="VB536" s="444"/>
      <c r="VC536" s="444"/>
      <c r="VD536" s="444"/>
      <c r="VE536" s="444"/>
      <c r="VF536" s="444"/>
      <c r="VG536" s="444"/>
      <c r="VH536" s="444"/>
      <c r="VI536" s="444"/>
      <c r="VJ536" s="444"/>
      <c r="VK536" s="444"/>
      <c r="VL536" s="444"/>
      <c r="VM536" s="444"/>
      <c r="VN536" s="444"/>
      <c r="VO536" s="444"/>
      <c r="VP536" s="444"/>
      <c r="VQ536" s="444"/>
      <c r="VR536" s="444"/>
      <c r="VS536" s="444"/>
      <c r="VT536" s="444"/>
      <c r="VU536" s="444"/>
      <c r="VV536" s="444"/>
      <c r="VW536" s="444"/>
      <c r="VX536" s="444"/>
      <c r="VY536" s="444"/>
      <c r="VZ536" s="444"/>
      <c r="WA536" s="444"/>
      <c r="WB536" s="444"/>
      <c r="WC536" s="444"/>
      <c r="WD536" s="444"/>
      <c r="WE536" s="444"/>
      <c r="WF536" s="444"/>
      <c r="WG536" s="444"/>
      <c r="WH536" s="444"/>
      <c r="WI536" s="444"/>
      <c r="WJ536" s="444"/>
      <c r="WK536" s="444"/>
      <c r="WL536" s="444"/>
      <c r="WM536" s="444"/>
      <c r="WN536" s="444"/>
      <c r="WO536" s="444"/>
      <c r="WP536" s="444"/>
      <c r="WQ536" s="444"/>
      <c r="WR536" s="444"/>
      <c r="WS536" s="444"/>
      <c r="WT536" s="444"/>
      <c r="WU536" s="444"/>
      <c r="WV536" s="444"/>
      <c r="WW536" s="444"/>
      <c r="WX536" s="444"/>
      <c r="WY536" s="444"/>
      <c r="WZ536" s="444"/>
      <c r="XA536" s="444"/>
      <c r="XB536" s="444"/>
      <c r="XC536" s="444"/>
      <c r="XD536" s="444"/>
      <c r="XE536" s="444"/>
      <c r="XF536" s="444"/>
      <c r="XG536" s="444"/>
      <c r="XH536" s="444"/>
      <c r="XI536" s="444"/>
      <c r="XJ536" s="444"/>
      <c r="XK536" s="444"/>
      <c r="XL536" s="444"/>
      <c r="XM536" s="444"/>
      <c r="XN536" s="444"/>
      <c r="XO536" s="444"/>
      <c r="XP536" s="444"/>
      <c r="XQ536" s="444"/>
      <c r="XR536" s="444"/>
      <c r="XS536" s="444"/>
      <c r="XT536" s="444"/>
      <c r="XU536" s="444"/>
      <c r="XV536" s="444"/>
      <c r="XW536" s="444"/>
      <c r="XX536" s="444"/>
      <c r="XY536" s="444"/>
      <c r="XZ536" s="444"/>
      <c r="YA536" s="444"/>
      <c r="YB536" s="444"/>
      <c r="YC536" s="444"/>
      <c r="YD536" s="444"/>
      <c r="YE536" s="444"/>
      <c r="YF536" s="444"/>
      <c r="YG536" s="444"/>
      <c r="YH536" s="444"/>
      <c r="YI536" s="444"/>
      <c r="YJ536" s="444"/>
      <c r="YK536" s="444"/>
      <c r="YL536" s="444"/>
      <c r="YM536" s="444"/>
      <c r="YN536" s="444"/>
      <c r="YO536" s="444"/>
      <c r="YP536" s="444"/>
      <c r="YQ536" s="444"/>
      <c r="YR536" s="444"/>
      <c r="YS536" s="444"/>
      <c r="YT536" s="444"/>
      <c r="YU536" s="444"/>
      <c r="YV536" s="444"/>
      <c r="YW536" s="444"/>
      <c r="YX536" s="444"/>
      <c r="YY536" s="444"/>
      <c r="YZ536" s="444"/>
      <c r="ZA536" s="444"/>
      <c r="ZB536" s="444"/>
      <c r="ZC536" s="444"/>
      <c r="ZD536" s="444"/>
      <c r="ZE536" s="444"/>
      <c r="ZF536" s="444"/>
      <c r="ZG536" s="444"/>
      <c r="ZH536" s="444"/>
      <c r="ZI536" s="444"/>
      <c r="ZJ536" s="444"/>
      <c r="ZK536" s="444"/>
      <c r="ZL536" s="444"/>
      <c r="ZM536" s="444"/>
      <c r="ZN536" s="444"/>
      <c r="ZO536" s="444"/>
      <c r="ZP536" s="444"/>
      <c r="ZQ536" s="444"/>
      <c r="ZR536" s="444"/>
      <c r="ZS536" s="444"/>
      <c r="ZT536" s="444"/>
      <c r="ZU536" s="444"/>
      <c r="ZV536" s="444"/>
      <c r="ZW536" s="444"/>
      <c r="ZX536" s="444"/>
      <c r="ZY536" s="444"/>
      <c r="ZZ536" s="444"/>
      <c r="AAA536" s="444"/>
      <c r="AAB536" s="444"/>
      <c r="AAC536" s="444"/>
      <c r="AAD536" s="444"/>
      <c r="AAE536" s="444"/>
      <c r="AAF536" s="444"/>
      <c r="AAG536" s="444"/>
      <c r="AAH536" s="444"/>
      <c r="AAI536" s="444"/>
      <c r="AAJ536" s="444"/>
      <c r="AAK536" s="444"/>
      <c r="AAL536" s="444"/>
      <c r="AAM536" s="444"/>
      <c r="AAN536" s="444"/>
      <c r="AAO536" s="444"/>
      <c r="AAP536" s="444"/>
      <c r="AAQ536" s="444"/>
      <c r="AAR536" s="444"/>
      <c r="AAS536" s="444"/>
      <c r="AAT536" s="444"/>
      <c r="AAU536" s="444"/>
      <c r="AAV536" s="444"/>
      <c r="AAW536" s="444"/>
      <c r="AAX536" s="444"/>
      <c r="AAY536" s="444"/>
      <c r="AAZ536" s="444"/>
      <c r="ABA536" s="444"/>
      <c r="ABB536" s="444"/>
      <c r="ABC536" s="444"/>
      <c r="ABD536" s="444"/>
      <c r="ABE536" s="444"/>
      <c r="ABF536" s="444"/>
      <c r="ABG536" s="444"/>
      <c r="ABH536" s="444"/>
      <c r="ABI536" s="444"/>
      <c r="ABJ536" s="444"/>
      <c r="ABK536" s="444"/>
      <c r="ABL536" s="444"/>
      <c r="ABM536" s="444"/>
      <c r="ABN536" s="444"/>
      <c r="ABO536" s="444"/>
      <c r="ABP536" s="444"/>
      <c r="ABQ536" s="444"/>
      <c r="ABR536" s="444"/>
      <c r="ABS536" s="444"/>
      <c r="ABT536" s="444"/>
      <c r="ABU536" s="444"/>
      <c r="ABV536" s="444"/>
      <c r="ABW536" s="444"/>
      <c r="ABX536" s="444"/>
      <c r="ABY536" s="444"/>
      <c r="ABZ536" s="444"/>
      <c r="ACA536" s="444"/>
      <c r="ACB536" s="444"/>
      <c r="ACC536" s="444"/>
      <c r="ACD536" s="444"/>
      <c r="ACE536" s="444"/>
      <c r="ACF536" s="444"/>
      <c r="ACG536" s="444"/>
      <c r="ACH536" s="444"/>
      <c r="ACI536" s="444"/>
      <c r="ACJ536" s="444"/>
      <c r="ACK536" s="444"/>
      <c r="ACL536" s="444"/>
      <c r="ACM536" s="444"/>
      <c r="ACN536" s="444"/>
      <c r="ACO536" s="444"/>
      <c r="ACP536" s="444"/>
      <c r="ACQ536" s="444"/>
      <c r="ACR536" s="444"/>
      <c r="ACS536" s="444"/>
      <c r="ACT536" s="444"/>
      <c r="ACU536" s="444"/>
      <c r="ACV536" s="444"/>
    </row>
    <row r="537" spans="1:776" s="445" customFormat="1" x14ac:dyDescent="0.25">
      <c r="A537" s="581">
        <v>900238</v>
      </c>
      <c r="B537" s="483" t="str">
        <f t="shared" si="14"/>
        <v>-25,20/+26,68  (EC  27)</v>
      </c>
      <c r="C537" s="441"/>
      <c r="D537" s="442" t="s">
        <v>431</v>
      </c>
      <c r="E537" s="442">
        <v>2.7</v>
      </c>
      <c r="F537" s="443">
        <v>1E-3</v>
      </c>
      <c r="G537" s="442">
        <v>0</v>
      </c>
      <c r="H537" s="442">
        <v>0.33</v>
      </c>
      <c r="I537" s="836">
        <v>608.20000000000005</v>
      </c>
      <c r="J537" s="442">
        <v>77.349999999999994</v>
      </c>
      <c r="K537" s="442">
        <v>6.1199999999999997E-2</v>
      </c>
      <c r="L537" s="442">
        <v>393.6</v>
      </c>
      <c r="M537" s="442">
        <v>0</v>
      </c>
      <c r="N537" s="442">
        <v>1.57</v>
      </c>
      <c r="O537" s="442">
        <v>429.7</v>
      </c>
      <c r="P537" s="442">
        <v>76.19</v>
      </c>
      <c r="Q537" s="442">
        <v>35.76</v>
      </c>
      <c r="R537" s="397">
        <v>1.0000000000000001E-5</v>
      </c>
      <c r="S537" s="397">
        <v>1.0000000000000001E-5</v>
      </c>
      <c r="T537" s="442">
        <v>0.17</v>
      </c>
      <c r="U537" s="442">
        <v>0.41</v>
      </c>
      <c r="V537" s="397">
        <v>1.0000000000000001E-5</v>
      </c>
      <c r="W537" s="251"/>
      <c r="X537" s="251"/>
      <c r="Y537" s="251"/>
      <c r="Z537" s="251"/>
      <c r="AA537" s="251"/>
      <c r="AB537" s="251"/>
      <c r="AC537" s="251"/>
      <c r="AD537" s="251"/>
      <c r="AE537" s="251"/>
      <c r="AF537" s="251"/>
      <c r="AG537" s="251"/>
      <c r="AH537" s="251"/>
      <c r="AI537" s="251"/>
      <c r="AJ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1"/>
      <c r="AZ537" s="251"/>
      <c r="BA537" s="251"/>
      <c r="BB537" s="251"/>
      <c r="BC537" s="251"/>
      <c r="BD537" s="251"/>
      <c r="BE537" s="251"/>
      <c r="BF537" s="251"/>
      <c r="BG537" s="251"/>
      <c r="BH537" s="251"/>
      <c r="BI537" s="251"/>
      <c r="BJ537" s="251"/>
      <c r="BK537" s="251"/>
      <c r="BL537" s="251"/>
      <c r="BM537" s="251"/>
      <c r="BN537" s="251"/>
      <c r="BO537" s="251"/>
      <c r="BP537" s="251"/>
      <c r="BQ537" s="251"/>
      <c r="BR537" s="251"/>
      <c r="BS537" s="251"/>
      <c r="BT537" s="251"/>
      <c r="BU537" s="251"/>
      <c r="BV537" s="251"/>
      <c r="BW537" s="251"/>
      <c r="BX537" s="251"/>
      <c r="BY537" s="251"/>
      <c r="BZ537" s="251"/>
      <c r="CA537" s="251"/>
      <c r="CB537" s="251"/>
      <c r="CC537" s="251"/>
      <c r="CD537" s="251"/>
      <c r="CE537" s="251"/>
      <c r="CF537" s="251"/>
      <c r="CG537" s="251"/>
      <c r="CH537" s="251"/>
      <c r="CI537" s="251"/>
      <c r="CJ537" s="251"/>
      <c r="CK537" s="251"/>
      <c r="CL537" s="251"/>
      <c r="CM537" s="251"/>
      <c r="CN537" s="251"/>
      <c r="CO537" s="251"/>
      <c r="CP537" s="251"/>
      <c r="CQ537" s="251"/>
      <c r="CR537" s="251"/>
      <c r="CS537" s="251"/>
      <c r="CT537" s="251"/>
      <c r="CU537" s="251"/>
      <c r="CV537" s="251"/>
      <c r="CW537" s="251"/>
      <c r="CX537" s="251"/>
      <c r="CY537" s="251"/>
      <c r="CZ537" s="251"/>
      <c r="DA537" s="251"/>
      <c r="DB537" s="251"/>
      <c r="DC537" s="251"/>
      <c r="DD537" s="251"/>
      <c r="DE537" s="251"/>
      <c r="DF537" s="251"/>
      <c r="DG537" s="251"/>
      <c r="DH537" s="251"/>
      <c r="DI537" s="251"/>
      <c r="DJ537" s="251"/>
      <c r="DK537" s="251"/>
      <c r="DL537" s="251"/>
      <c r="DM537" s="251"/>
      <c r="DN537" s="251"/>
      <c r="DO537" s="251"/>
      <c r="DP537" s="251"/>
      <c r="DQ537" s="251"/>
      <c r="DR537" s="251"/>
      <c r="DS537" s="251"/>
      <c r="DT537" s="251"/>
      <c r="DU537" s="251"/>
      <c r="DV537" s="251"/>
      <c r="DW537" s="251"/>
      <c r="DX537" s="251"/>
      <c r="DY537" s="251"/>
      <c r="DZ537" s="251"/>
      <c r="EA537" s="251"/>
      <c r="EB537" s="251"/>
      <c r="EC537" s="251"/>
      <c r="ED537" s="251"/>
      <c r="EE537" s="251"/>
      <c r="EF537" s="251"/>
      <c r="EG537" s="251"/>
      <c r="EH537" s="251"/>
      <c r="EI537" s="251"/>
      <c r="EJ537" s="251"/>
      <c r="EK537" s="251"/>
      <c r="EL537" s="251"/>
      <c r="EM537" s="251"/>
      <c r="EN537" s="251"/>
      <c r="EO537" s="251"/>
      <c r="EP537" s="251"/>
      <c r="EQ537" s="251"/>
      <c r="ER537" s="251"/>
      <c r="ES537" s="251"/>
      <c r="ET537" s="251"/>
      <c r="EU537" s="251"/>
      <c r="EV537" s="251"/>
      <c r="EW537" s="251"/>
      <c r="EX537" s="251"/>
      <c r="EY537" s="251"/>
      <c r="EZ537" s="251"/>
      <c r="FA537" s="251"/>
      <c r="FB537" s="251"/>
      <c r="FC537" s="251"/>
      <c r="FD537" s="251"/>
      <c r="FE537" s="251"/>
      <c r="FF537" s="251"/>
      <c r="FG537" s="251"/>
      <c r="FH537" s="251"/>
      <c r="FI537" s="251"/>
      <c r="FJ537" s="251"/>
      <c r="FK537" s="251"/>
      <c r="FL537" s="251"/>
      <c r="FM537" s="251"/>
      <c r="FN537" s="251"/>
      <c r="FO537" s="251"/>
      <c r="FP537" s="251"/>
      <c r="FQ537" s="251"/>
      <c r="FR537" s="251"/>
      <c r="FS537" s="251"/>
      <c r="FT537" s="251"/>
      <c r="FU537" s="251"/>
      <c r="FV537" s="251"/>
      <c r="FW537" s="251"/>
      <c r="FX537" s="251"/>
      <c r="FY537" s="251"/>
      <c r="FZ537" s="251"/>
      <c r="GA537" s="251"/>
      <c r="GB537" s="251"/>
      <c r="GC537" s="251"/>
      <c r="GD537" s="251"/>
      <c r="GE537" s="251"/>
      <c r="GF537" s="251"/>
      <c r="GG537" s="251"/>
      <c r="GH537" s="251"/>
      <c r="GI537" s="251"/>
      <c r="GJ537" s="251"/>
      <c r="GK537" s="251"/>
      <c r="GL537" s="251"/>
      <c r="GM537" s="251"/>
      <c r="GN537" s="251"/>
      <c r="GO537" s="251"/>
      <c r="GP537" s="251"/>
      <c r="GQ537" s="251"/>
      <c r="GR537" s="251"/>
      <c r="GS537" s="251"/>
      <c r="GT537" s="251"/>
      <c r="GU537" s="251"/>
      <c r="GV537" s="251"/>
      <c r="GW537" s="251"/>
      <c r="GX537" s="251"/>
      <c r="GY537" s="251"/>
      <c r="GZ537" s="251"/>
      <c r="HA537" s="251"/>
      <c r="HB537" s="251"/>
      <c r="HC537" s="251"/>
      <c r="HD537" s="251"/>
      <c r="HE537" s="251"/>
      <c r="HF537" s="251"/>
      <c r="HG537" s="251"/>
      <c r="HH537" s="251"/>
      <c r="HI537" s="251"/>
      <c r="HJ537" s="251"/>
      <c r="HK537" s="251"/>
      <c r="HL537" s="251"/>
      <c r="HM537" s="251"/>
      <c r="HN537" s="251"/>
      <c r="HO537" s="251"/>
      <c r="HP537" s="251"/>
      <c r="HQ537" s="251"/>
      <c r="HR537" s="251"/>
      <c r="HS537" s="251"/>
      <c r="HT537" s="251"/>
      <c r="HU537" s="251"/>
      <c r="HV537" s="251"/>
      <c r="HW537" s="251"/>
      <c r="HX537" s="251"/>
      <c r="HY537" s="251"/>
      <c r="HZ537" s="251"/>
      <c r="IA537" s="251"/>
      <c r="IB537" s="251"/>
      <c r="IC537" s="251"/>
      <c r="ID537" s="251"/>
      <c r="IE537" s="251"/>
      <c r="IF537" s="251"/>
      <c r="IG537" s="251"/>
      <c r="IH537" s="251"/>
      <c r="II537" s="251"/>
      <c r="IJ537" s="251"/>
      <c r="IK537" s="251"/>
      <c r="IL537" s="251"/>
      <c r="IM537" s="251"/>
      <c r="IN537" s="251"/>
      <c r="IO537" s="251"/>
      <c r="IP537" s="251"/>
      <c r="IQ537" s="251"/>
      <c r="IR537" s="251"/>
      <c r="IS537" s="251"/>
      <c r="IT537" s="251"/>
      <c r="IU537" s="251"/>
      <c r="IV537" s="251"/>
      <c r="IW537" s="251"/>
      <c r="IX537" s="251"/>
      <c r="IY537" s="251"/>
      <c r="IZ537" s="251"/>
      <c r="JA537" s="251"/>
      <c r="JB537" s="251"/>
      <c r="JC537" s="251"/>
      <c r="JD537" s="251"/>
      <c r="JE537" s="251"/>
      <c r="JF537" s="251"/>
      <c r="JG537" s="251"/>
      <c r="JH537" s="251"/>
      <c r="JI537" s="251"/>
      <c r="JJ537" s="251"/>
      <c r="JK537" s="251"/>
      <c r="JL537" s="251"/>
      <c r="JM537" s="251"/>
      <c r="JN537" s="251"/>
      <c r="JO537" s="251"/>
      <c r="JP537" s="251"/>
      <c r="JQ537" s="251"/>
      <c r="JR537" s="251"/>
      <c r="JS537" s="251"/>
      <c r="JT537" s="251"/>
      <c r="JU537" s="251"/>
      <c r="JV537" s="251"/>
      <c r="JW537" s="251"/>
      <c r="JX537" s="251"/>
      <c r="JY537" s="251"/>
      <c r="JZ537" s="251"/>
      <c r="KA537" s="251"/>
      <c r="KB537" s="251"/>
      <c r="KC537" s="251"/>
      <c r="KD537" s="251"/>
      <c r="KE537" s="251"/>
      <c r="KF537" s="251"/>
      <c r="KG537" s="251"/>
      <c r="KH537" s="251"/>
      <c r="KI537" s="251"/>
      <c r="KJ537" s="251"/>
      <c r="KK537" s="251"/>
      <c r="KL537" s="251"/>
      <c r="KM537" s="251"/>
      <c r="KN537" s="251"/>
      <c r="KO537" s="251"/>
      <c r="KP537" s="251"/>
      <c r="KQ537" s="251"/>
      <c r="KR537" s="251"/>
      <c r="KS537" s="251"/>
      <c r="KT537" s="251"/>
      <c r="KU537" s="251"/>
      <c r="KV537" s="251"/>
      <c r="KW537" s="251"/>
      <c r="KX537" s="251"/>
      <c r="KY537" s="251"/>
      <c r="KZ537" s="251"/>
      <c r="LA537" s="251"/>
      <c r="LB537" s="251"/>
      <c r="LC537" s="251"/>
      <c r="LD537" s="251"/>
      <c r="LE537" s="251"/>
      <c r="LF537" s="251"/>
      <c r="LG537" s="251"/>
      <c r="LH537" s="251"/>
      <c r="LI537" s="251"/>
      <c r="LJ537" s="251"/>
      <c r="LK537" s="251"/>
      <c r="LL537" s="444"/>
      <c r="LM537" s="444"/>
      <c r="LN537" s="444"/>
      <c r="LO537" s="444"/>
      <c r="LP537" s="444"/>
      <c r="LQ537" s="444"/>
      <c r="LR537" s="444"/>
      <c r="LS537" s="444"/>
      <c r="LT537" s="444"/>
      <c r="LU537" s="444"/>
      <c r="LV537" s="444"/>
      <c r="LW537" s="444"/>
      <c r="LX537" s="444"/>
      <c r="LY537" s="444"/>
      <c r="LZ537" s="444"/>
      <c r="MA537" s="444"/>
      <c r="MB537" s="444"/>
      <c r="MC537" s="444"/>
      <c r="MD537" s="444"/>
      <c r="ME537" s="444"/>
      <c r="MF537" s="444"/>
      <c r="MG537" s="444"/>
      <c r="MH537" s="444"/>
      <c r="MI537" s="444"/>
      <c r="MJ537" s="444"/>
      <c r="MK537" s="444"/>
      <c r="ML537" s="444"/>
      <c r="MM537" s="444"/>
      <c r="MN537" s="444"/>
      <c r="MO537" s="444"/>
      <c r="MP537" s="444"/>
      <c r="MQ537" s="444"/>
      <c r="MR537" s="444"/>
      <c r="MS537" s="444"/>
      <c r="MT537" s="444"/>
      <c r="MU537" s="444"/>
      <c r="MV537" s="444"/>
      <c r="MW537" s="444"/>
      <c r="MX537" s="444"/>
      <c r="MY537" s="444"/>
      <c r="MZ537" s="444"/>
      <c r="NA537" s="444"/>
      <c r="NB537" s="444"/>
      <c r="NC537" s="444"/>
      <c r="ND537" s="444"/>
      <c r="NE537" s="444"/>
      <c r="NF537" s="444"/>
      <c r="NG537" s="444"/>
      <c r="NH537" s="444"/>
      <c r="NI537" s="444"/>
      <c r="NJ537" s="444"/>
      <c r="NK537" s="444"/>
      <c r="NL537" s="444"/>
      <c r="NM537" s="444"/>
      <c r="NN537" s="444"/>
      <c r="NO537" s="444"/>
      <c r="NP537" s="444"/>
      <c r="NQ537" s="444"/>
      <c r="NR537" s="444"/>
      <c r="NS537" s="444"/>
      <c r="NT537" s="444"/>
      <c r="NU537" s="444"/>
      <c r="NV537" s="444"/>
      <c r="NW537" s="444"/>
      <c r="NX537" s="444"/>
      <c r="NY537" s="444"/>
      <c r="NZ537" s="444"/>
      <c r="OA537" s="444"/>
      <c r="OB537" s="444"/>
      <c r="OC537" s="444"/>
      <c r="OD537" s="444"/>
      <c r="OE537" s="444"/>
      <c r="OF537" s="444"/>
      <c r="OG537" s="444"/>
      <c r="OH537" s="444"/>
      <c r="OI537" s="444"/>
      <c r="OJ537" s="444"/>
      <c r="OK537" s="444"/>
      <c r="OL537" s="444"/>
      <c r="OM537" s="444"/>
      <c r="ON537" s="444"/>
      <c r="OO537" s="444"/>
      <c r="OP537" s="444"/>
      <c r="OQ537" s="444"/>
      <c r="OR537" s="444"/>
      <c r="OS537" s="444"/>
      <c r="OT537" s="444"/>
      <c r="OU537" s="444"/>
      <c r="OV537" s="444"/>
      <c r="OW537" s="444"/>
      <c r="OX537" s="444"/>
      <c r="OY537" s="444"/>
      <c r="OZ537" s="444"/>
      <c r="PA537" s="444"/>
      <c r="PB537" s="444"/>
      <c r="PC537" s="444"/>
      <c r="PD537" s="444"/>
      <c r="PE537" s="444"/>
      <c r="PF537" s="444"/>
      <c r="PG537" s="444"/>
      <c r="PH537" s="444"/>
      <c r="PI537" s="444"/>
      <c r="PJ537" s="444"/>
      <c r="PK537" s="444"/>
      <c r="PL537" s="444"/>
      <c r="PM537" s="444"/>
      <c r="PN537" s="444"/>
      <c r="PO537" s="444"/>
      <c r="PP537" s="444"/>
      <c r="PQ537" s="444"/>
      <c r="PR537" s="444"/>
      <c r="PS537" s="444"/>
      <c r="PT537" s="444"/>
      <c r="PU537" s="444"/>
      <c r="PV537" s="444"/>
      <c r="PW537" s="444"/>
      <c r="PX537" s="444"/>
      <c r="PY537" s="444"/>
      <c r="PZ537" s="444"/>
      <c r="QA537" s="444"/>
      <c r="QB537" s="444"/>
      <c r="QC537" s="444"/>
      <c r="QD537" s="444"/>
      <c r="QE537" s="444"/>
      <c r="QF537" s="444"/>
      <c r="QG537" s="444"/>
      <c r="QH537" s="444"/>
      <c r="QI537" s="444"/>
      <c r="QJ537" s="444"/>
      <c r="QK537" s="444"/>
      <c r="QL537" s="444"/>
      <c r="QM537" s="444"/>
      <c r="QN537" s="444"/>
      <c r="QO537" s="444"/>
      <c r="QP537" s="444"/>
      <c r="QQ537" s="444"/>
      <c r="QR537" s="444"/>
      <c r="QS537" s="444"/>
      <c r="QT537" s="444"/>
      <c r="QU537" s="444"/>
      <c r="QV537" s="444"/>
      <c r="QW537" s="444"/>
      <c r="QX537" s="444"/>
      <c r="QY537" s="444"/>
      <c r="QZ537" s="444"/>
      <c r="RA537" s="444"/>
      <c r="RB537" s="444"/>
      <c r="RC537" s="444"/>
      <c r="RD537" s="444"/>
      <c r="RE537" s="444"/>
      <c r="RF537" s="444"/>
      <c r="RG537" s="444"/>
      <c r="RH537" s="444"/>
      <c r="RI537" s="444"/>
      <c r="RJ537" s="444"/>
      <c r="RK537" s="444"/>
      <c r="RL537" s="444"/>
      <c r="RM537" s="444"/>
      <c r="RN537" s="444"/>
      <c r="RO537" s="444"/>
      <c r="RP537" s="444"/>
      <c r="RQ537" s="444"/>
      <c r="RR537" s="444"/>
      <c r="RS537" s="444"/>
      <c r="RT537" s="444"/>
      <c r="RU537" s="444"/>
      <c r="RV537" s="444"/>
      <c r="RW537" s="444"/>
      <c r="RX537" s="444"/>
      <c r="RY537" s="444"/>
      <c r="RZ537" s="444"/>
      <c r="SA537" s="444"/>
      <c r="SB537" s="444"/>
      <c r="SC537" s="444"/>
      <c r="SD537" s="444"/>
      <c r="SE537" s="444"/>
      <c r="SF537" s="444"/>
      <c r="SG537" s="444"/>
      <c r="SH537" s="444"/>
      <c r="SI537" s="444"/>
      <c r="SJ537" s="444"/>
      <c r="SK537" s="444"/>
      <c r="SL537" s="444"/>
      <c r="SM537" s="444"/>
      <c r="SN537" s="444"/>
      <c r="SO537" s="444"/>
      <c r="SP537" s="444"/>
      <c r="SQ537" s="444"/>
      <c r="SR537" s="444"/>
      <c r="SS537" s="444"/>
      <c r="ST537" s="444"/>
      <c r="SU537" s="444"/>
      <c r="SV537" s="444"/>
      <c r="SW537" s="444"/>
      <c r="SX537" s="444"/>
      <c r="SY537" s="444"/>
      <c r="SZ537" s="444"/>
      <c r="TA537" s="444"/>
      <c r="TB537" s="444"/>
      <c r="TC537" s="444"/>
      <c r="TD537" s="444"/>
      <c r="TE537" s="444"/>
      <c r="TF537" s="444"/>
      <c r="TG537" s="444"/>
      <c r="TH537" s="444"/>
      <c r="TI537" s="444"/>
      <c r="TJ537" s="444"/>
      <c r="TK537" s="444"/>
      <c r="TL537" s="444"/>
      <c r="TM537" s="444"/>
      <c r="TN537" s="444"/>
      <c r="TO537" s="444"/>
      <c r="TP537" s="444"/>
      <c r="TQ537" s="444"/>
      <c r="TR537" s="444"/>
      <c r="TS537" s="444"/>
      <c r="TT537" s="444"/>
      <c r="TU537" s="444"/>
      <c r="TV537" s="444"/>
      <c r="TW537" s="444"/>
      <c r="TX537" s="444"/>
      <c r="TY537" s="444"/>
      <c r="TZ537" s="444"/>
      <c r="UA537" s="444"/>
      <c r="UB537" s="444"/>
      <c r="UC537" s="444"/>
      <c r="UD537" s="444"/>
      <c r="UE537" s="444"/>
      <c r="UF537" s="444"/>
      <c r="UG537" s="444"/>
      <c r="UH537" s="444"/>
      <c r="UI537" s="444"/>
      <c r="UJ537" s="444"/>
      <c r="UK537" s="444"/>
      <c r="UL537" s="444"/>
      <c r="UM537" s="444"/>
      <c r="UN537" s="444"/>
      <c r="UO537" s="444"/>
      <c r="UP537" s="444"/>
      <c r="UQ537" s="444"/>
      <c r="UR537" s="444"/>
      <c r="US537" s="444"/>
      <c r="UT537" s="444"/>
      <c r="UU537" s="444"/>
      <c r="UV537" s="444"/>
      <c r="UW537" s="444"/>
      <c r="UX537" s="444"/>
      <c r="UY537" s="444"/>
      <c r="UZ537" s="444"/>
      <c r="VA537" s="444"/>
      <c r="VB537" s="444"/>
      <c r="VC537" s="444"/>
      <c r="VD537" s="444"/>
      <c r="VE537" s="444"/>
      <c r="VF537" s="444"/>
      <c r="VG537" s="444"/>
      <c r="VH537" s="444"/>
      <c r="VI537" s="444"/>
      <c r="VJ537" s="444"/>
      <c r="VK537" s="444"/>
      <c r="VL537" s="444"/>
      <c r="VM537" s="444"/>
      <c r="VN537" s="444"/>
      <c r="VO537" s="444"/>
      <c r="VP537" s="444"/>
      <c r="VQ537" s="444"/>
      <c r="VR537" s="444"/>
      <c r="VS537" s="444"/>
      <c r="VT537" s="444"/>
      <c r="VU537" s="444"/>
      <c r="VV537" s="444"/>
      <c r="VW537" s="444"/>
      <c r="VX537" s="444"/>
      <c r="VY537" s="444"/>
      <c r="VZ537" s="444"/>
      <c r="WA537" s="444"/>
      <c r="WB537" s="444"/>
      <c r="WC537" s="444"/>
      <c r="WD537" s="444"/>
      <c r="WE537" s="444"/>
      <c r="WF537" s="444"/>
      <c r="WG537" s="444"/>
      <c r="WH537" s="444"/>
      <c r="WI537" s="444"/>
      <c r="WJ537" s="444"/>
      <c r="WK537" s="444"/>
      <c r="WL537" s="444"/>
      <c r="WM537" s="444"/>
      <c r="WN537" s="444"/>
      <c r="WO537" s="444"/>
      <c r="WP537" s="444"/>
      <c r="WQ537" s="444"/>
      <c r="WR537" s="444"/>
      <c r="WS537" s="444"/>
      <c r="WT537" s="444"/>
      <c r="WU537" s="444"/>
      <c r="WV537" s="444"/>
      <c r="WW537" s="444"/>
      <c r="WX537" s="444"/>
      <c r="WY537" s="444"/>
      <c r="WZ537" s="444"/>
      <c r="XA537" s="444"/>
      <c r="XB537" s="444"/>
      <c r="XC537" s="444"/>
      <c r="XD537" s="444"/>
      <c r="XE537" s="444"/>
      <c r="XF537" s="444"/>
      <c r="XG537" s="444"/>
      <c r="XH537" s="444"/>
      <c r="XI537" s="444"/>
      <c r="XJ537" s="444"/>
      <c r="XK537" s="444"/>
      <c r="XL537" s="444"/>
      <c r="XM537" s="444"/>
      <c r="XN537" s="444"/>
      <c r="XO537" s="444"/>
      <c r="XP537" s="444"/>
      <c r="XQ537" s="444"/>
      <c r="XR537" s="444"/>
      <c r="XS537" s="444"/>
      <c r="XT537" s="444"/>
      <c r="XU537" s="444"/>
      <c r="XV537" s="444"/>
      <c r="XW537" s="444"/>
      <c r="XX537" s="444"/>
      <c r="XY537" s="444"/>
      <c r="XZ537" s="444"/>
      <c r="YA537" s="444"/>
      <c r="YB537" s="444"/>
      <c r="YC537" s="444"/>
      <c r="YD537" s="444"/>
      <c r="YE537" s="444"/>
      <c r="YF537" s="444"/>
      <c r="YG537" s="444"/>
      <c r="YH537" s="444"/>
      <c r="YI537" s="444"/>
      <c r="YJ537" s="444"/>
      <c r="YK537" s="444"/>
      <c r="YL537" s="444"/>
      <c r="YM537" s="444"/>
      <c r="YN537" s="444"/>
      <c r="YO537" s="444"/>
      <c r="YP537" s="444"/>
      <c r="YQ537" s="444"/>
      <c r="YR537" s="444"/>
      <c r="YS537" s="444"/>
      <c r="YT537" s="444"/>
      <c r="YU537" s="444"/>
      <c r="YV537" s="444"/>
      <c r="YW537" s="444"/>
      <c r="YX537" s="444"/>
      <c r="YY537" s="444"/>
      <c r="YZ537" s="444"/>
      <c r="ZA537" s="444"/>
      <c r="ZB537" s="444"/>
      <c r="ZC537" s="444"/>
      <c r="ZD537" s="444"/>
      <c r="ZE537" s="444"/>
      <c r="ZF537" s="444"/>
      <c r="ZG537" s="444"/>
      <c r="ZH537" s="444"/>
      <c r="ZI537" s="444"/>
      <c r="ZJ537" s="444"/>
      <c r="ZK537" s="444"/>
      <c r="ZL537" s="444"/>
      <c r="ZM537" s="444"/>
      <c r="ZN537" s="444"/>
      <c r="ZO537" s="444"/>
      <c r="ZP537" s="444"/>
      <c r="ZQ537" s="444"/>
      <c r="ZR537" s="444"/>
      <c r="ZS537" s="444"/>
      <c r="ZT537" s="444"/>
      <c r="ZU537" s="444"/>
      <c r="ZV537" s="444"/>
      <c r="ZW537" s="444"/>
      <c r="ZX537" s="444"/>
      <c r="ZY537" s="444"/>
      <c r="ZZ537" s="444"/>
      <c r="AAA537" s="444"/>
      <c r="AAB537" s="444"/>
      <c r="AAC537" s="444"/>
      <c r="AAD537" s="444"/>
      <c r="AAE537" s="444"/>
      <c r="AAF537" s="444"/>
      <c r="AAG537" s="444"/>
      <c r="AAH537" s="444"/>
      <c r="AAI537" s="444"/>
      <c r="AAJ537" s="444"/>
      <c r="AAK537" s="444"/>
      <c r="AAL537" s="444"/>
      <c r="AAM537" s="444"/>
      <c r="AAN537" s="444"/>
      <c r="AAO537" s="444"/>
      <c r="AAP537" s="444"/>
      <c r="AAQ537" s="444"/>
      <c r="AAR537" s="444"/>
      <c r="AAS537" s="444"/>
      <c r="AAT537" s="444"/>
      <c r="AAU537" s="444"/>
      <c r="AAV537" s="444"/>
      <c r="AAW537" s="444"/>
      <c r="AAX537" s="444"/>
      <c r="AAY537" s="444"/>
      <c r="AAZ537" s="444"/>
      <c r="ABA537" s="444"/>
      <c r="ABB537" s="444"/>
      <c r="ABC537" s="444"/>
      <c r="ABD537" s="444"/>
      <c r="ABE537" s="444"/>
      <c r="ABF537" s="444"/>
      <c r="ABG537" s="444"/>
      <c r="ABH537" s="444"/>
      <c r="ABI537" s="444"/>
      <c r="ABJ537" s="444"/>
      <c r="ABK537" s="444"/>
      <c r="ABL537" s="444"/>
      <c r="ABM537" s="444"/>
      <c r="ABN537" s="444"/>
      <c r="ABO537" s="444"/>
      <c r="ABP537" s="444"/>
      <c r="ABQ537" s="444"/>
      <c r="ABR537" s="444"/>
      <c r="ABS537" s="444"/>
      <c r="ABT537" s="444"/>
      <c r="ABU537" s="444"/>
      <c r="ABV537" s="444"/>
      <c r="ABW537" s="444"/>
      <c r="ABX537" s="444"/>
      <c r="ABY537" s="444"/>
      <c r="ABZ537" s="444"/>
      <c r="ACA537" s="444"/>
      <c r="ACB537" s="444"/>
      <c r="ACC537" s="444"/>
      <c r="ACD537" s="444"/>
      <c r="ACE537" s="444"/>
      <c r="ACF537" s="444"/>
      <c r="ACG537" s="444"/>
      <c r="ACH537" s="444"/>
      <c r="ACI537" s="444"/>
      <c r="ACJ537" s="444"/>
      <c r="ACK537" s="444"/>
      <c r="ACL537" s="444"/>
      <c r="ACM537" s="444"/>
      <c r="ACN537" s="444"/>
      <c r="ACO537" s="444"/>
      <c r="ACP537" s="444"/>
      <c r="ACQ537" s="444"/>
      <c r="ACR537" s="444"/>
      <c r="ACS537" s="444"/>
      <c r="ACT537" s="444"/>
      <c r="ACU537" s="444"/>
      <c r="ACV537" s="444"/>
    </row>
    <row r="538" spans="1:776" x14ac:dyDescent="0.25">
      <c r="A538" s="582">
        <v>901018</v>
      </c>
      <c r="B538" s="483" t="str">
        <f t="shared" si="14"/>
        <v>-4,86/+4,11  (EC  4,48)</v>
      </c>
      <c r="C538" s="507"/>
      <c r="D538" s="508" t="s">
        <v>432</v>
      </c>
      <c r="E538" s="508">
        <v>0.44800000000000001</v>
      </c>
      <c r="F538" s="509">
        <v>33</v>
      </c>
      <c r="G538" s="508">
        <v>0</v>
      </c>
      <c r="H538" s="508">
        <v>16.350000000000001</v>
      </c>
      <c r="I538" s="510">
        <v>24.01</v>
      </c>
      <c r="J538" s="508">
        <v>109.71</v>
      </c>
      <c r="K538" s="510">
        <v>113.1</v>
      </c>
      <c r="L538" s="508">
        <v>12</v>
      </c>
      <c r="M538" s="508">
        <v>0</v>
      </c>
      <c r="N538" s="508">
        <v>20.71</v>
      </c>
      <c r="O538" s="508">
        <v>14.74</v>
      </c>
      <c r="P538" s="508">
        <v>15.72</v>
      </c>
      <c r="Q538" s="508">
        <v>14.2</v>
      </c>
      <c r="R538" s="508">
        <v>0.08</v>
      </c>
      <c r="S538" s="397">
        <v>1.0000000000000001E-5</v>
      </c>
      <c r="T538" s="508">
        <v>0.23</v>
      </c>
      <c r="U538" s="508">
        <v>0.3</v>
      </c>
      <c r="V538" s="508">
        <v>0.13</v>
      </c>
      <c r="W538" s="251"/>
      <c r="X538" s="251"/>
      <c r="Y538" s="251"/>
      <c r="Z538" s="251"/>
      <c r="AA538" s="251"/>
      <c r="AB538" s="251"/>
      <c r="AC538" s="251"/>
      <c r="AD538" s="251"/>
      <c r="AE538" s="251"/>
      <c r="AF538" s="251"/>
      <c r="AG538" s="251"/>
      <c r="AH538" s="251"/>
      <c r="AI538" s="251"/>
      <c r="AJ538" s="251"/>
      <c r="AK538" s="251"/>
      <c r="AL538" s="251"/>
      <c r="AM538" s="251"/>
      <c r="AN538" s="251"/>
      <c r="AO538" s="251"/>
      <c r="AP538" s="251"/>
      <c r="AQ538" s="251"/>
      <c r="AR538" s="251"/>
      <c r="AS538" s="251"/>
      <c r="AT538" s="251"/>
      <c r="AU538" s="251"/>
      <c r="AV538" s="251"/>
      <c r="AW538" s="251"/>
      <c r="AX538" s="251"/>
      <c r="AY538" s="251"/>
      <c r="AZ538" s="251"/>
      <c r="BA538" s="251"/>
      <c r="BB538" s="251"/>
      <c r="BC538" s="251"/>
      <c r="BD538" s="251"/>
      <c r="BE538" s="251"/>
      <c r="BF538" s="251"/>
      <c r="BG538" s="251"/>
      <c r="BH538" s="251"/>
      <c r="BI538" s="251"/>
      <c r="BJ538" s="251"/>
      <c r="BK538" s="251"/>
      <c r="BL538" s="251"/>
      <c r="BM538" s="251"/>
      <c r="BN538" s="251"/>
      <c r="BO538" s="251"/>
      <c r="BP538" s="251"/>
      <c r="BQ538" s="251"/>
      <c r="BR538" s="251"/>
      <c r="BS538" s="251"/>
      <c r="BT538" s="251"/>
      <c r="BU538" s="251"/>
      <c r="BV538" s="251"/>
      <c r="BW538" s="251"/>
      <c r="BX538" s="251"/>
      <c r="BY538" s="251"/>
      <c r="BZ538" s="251"/>
      <c r="CA538" s="251"/>
      <c r="CB538" s="251"/>
      <c r="CC538" s="251"/>
      <c r="CD538" s="251"/>
      <c r="CE538" s="251"/>
      <c r="CF538" s="251"/>
      <c r="CG538" s="251"/>
      <c r="CH538" s="251"/>
      <c r="CI538" s="251"/>
      <c r="CJ538" s="251"/>
      <c r="CK538" s="251"/>
      <c r="CL538" s="251"/>
      <c r="CM538" s="251"/>
      <c r="CN538" s="251"/>
      <c r="CO538" s="251"/>
      <c r="CP538" s="251"/>
      <c r="CQ538" s="251"/>
      <c r="CR538" s="251"/>
      <c r="CS538" s="251"/>
      <c r="CT538" s="251"/>
      <c r="CU538" s="251"/>
      <c r="CV538" s="251"/>
      <c r="CW538" s="251"/>
      <c r="CX538" s="251"/>
      <c r="CY538" s="251"/>
      <c r="CZ538" s="251"/>
      <c r="DA538" s="251"/>
      <c r="DB538" s="251"/>
      <c r="DC538" s="251"/>
      <c r="DD538" s="251"/>
      <c r="DE538" s="251"/>
      <c r="DF538" s="251"/>
      <c r="DG538" s="251"/>
      <c r="DH538" s="251"/>
      <c r="DI538" s="251"/>
      <c r="DJ538" s="251"/>
      <c r="DK538" s="251"/>
      <c r="DL538" s="251"/>
      <c r="DM538" s="251"/>
      <c r="DN538" s="251"/>
      <c r="DO538" s="251"/>
      <c r="DP538" s="251"/>
      <c r="DQ538" s="251"/>
      <c r="DR538" s="251"/>
      <c r="DS538" s="251"/>
      <c r="DT538" s="251"/>
      <c r="DU538" s="251"/>
      <c r="DV538" s="251"/>
      <c r="DW538" s="251"/>
      <c r="DX538" s="251"/>
      <c r="DY538" s="251"/>
      <c r="DZ538" s="251"/>
      <c r="EA538" s="251"/>
      <c r="EB538" s="251"/>
      <c r="EC538" s="251"/>
      <c r="ED538" s="251"/>
      <c r="EE538" s="251"/>
      <c r="EF538" s="251"/>
      <c r="EG538" s="251"/>
      <c r="EH538" s="251"/>
      <c r="EI538" s="251"/>
      <c r="EJ538" s="251"/>
      <c r="EK538" s="251"/>
      <c r="EL538" s="251"/>
      <c r="EM538" s="251"/>
      <c r="EN538" s="251"/>
      <c r="EO538" s="251"/>
      <c r="EP538" s="251"/>
      <c r="EQ538" s="251"/>
      <c r="ER538" s="251"/>
      <c r="ES538" s="251"/>
      <c r="ET538" s="251"/>
      <c r="EU538" s="251"/>
      <c r="EV538" s="251"/>
      <c r="EW538" s="251"/>
      <c r="EX538" s="251"/>
      <c r="EY538" s="251"/>
      <c r="EZ538" s="251"/>
      <c r="FA538" s="251"/>
      <c r="FB538" s="251"/>
      <c r="FC538" s="251"/>
      <c r="FD538" s="251"/>
      <c r="FE538" s="251"/>
      <c r="FF538" s="251"/>
      <c r="FG538" s="251"/>
      <c r="FH538" s="251"/>
      <c r="FI538" s="251"/>
      <c r="FJ538" s="251"/>
      <c r="FK538" s="251"/>
      <c r="FL538" s="251"/>
      <c r="FM538" s="251"/>
      <c r="FN538" s="251"/>
      <c r="FO538" s="251"/>
      <c r="FP538" s="251"/>
      <c r="FQ538" s="251"/>
      <c r="FR538" s="251"/>
      <c r="FS538" s="251"/>
      <c r="FT538" s="251"/>
      <c r="FU538" s="251"/>
      <c r="FV538" s="251"/>
      <c r="FW538" s="251"/>
      <c r="FX538" s="251"/>
      <c r="FY538" s="251"/>
      <c r="FZ538" s="251"/>
      <c r="GA538" s="251"/>
      <c r="GB538" s="251"/>
      <c r="GC538" s="251"/>
      <c r="GD538" s="251"/>
      <c r="GE538" s="251"/>
      <c r="GF538" s="251"/>
      <c r="GG538" s="251"/>
      <c r="GH538" s="251"/>
      <c r="GI538" s="251"/>
      <c r="GJ538" s="251"/>
      <c r="GK538" s="251"/>
      <c r="GL538" s="251"/>
      <c r="GM538" s="251"/>
      <c r="GN538" s="251"/>
      <c r="GO538" s="251"/>
      <c r="GP538" s="251"/>
      <c r="GQ538" s="251"/>
      <c r="GR538" s="251"/>
      <c r="GS538" s="251"/>
      <c r="GT538" s="251"/>
      <c r="GU538" s="251"/>
      <c r="GV538" s="251"/>
      <c r="GW538" s="251"/>
      <c r="GX538" s="251"/>
      <c r="GY538" s="251"/>
      <c r="GZ538" s="251"/>
      <c r="HA538" s="251"/>
      <c r="HB538" s="251"/>
      <c r="HC538" s="251"/>
      <c r="HD538" s="251"/>
      <c r="HE538" s="251"/>
      <c r="HF538" s="251"/>
      <c r="HG538" s="251"/>
      <c r="HH538" s="251"/>
      <c r="HI538" s="251"/>
      <c r="HJ538" s="251"/>
      <c r="HK538" s="251"/>
      <c r="HL538" s="251"/>
      <c r="HM538" s="251"/>
      <c r="HN538" s="251"/>
      <c r="HO538" s="251"/>
      <c r="HP538" s="251"/>
      <c r="HQ538" s="251"/>
      <c r="HR538" s="251"/>
      <c r="HS538" s="251"/>
      <c r="HT538" s="251"/>
      <c r="HU538" s="251"/>
      <c r="HV538" s="251"/>
      <c r="HW538" s="251"/>
      <c r="HX538" s="251"/>
      <c r="HY538" s="251"/>
      <c r="HZ538" s="251"/>
      <c r="IA538" s="251"/>
      <c r="IB538" s="251"/>
      <c r="IC538" s="251"/>
      <c r="ID538" s="251"/>
      <c r="IE538" s="251"/>
      <c r="IF538" s="251"/>
      <c r="IG538" s="251"/>
      <c r="IH538" s="251"/>
      <c r="II538" s="251"/>
      <c r="IJ538" s="251"/>
      <c r="IK538" s="251"/>
      <c r="IL538" s="251"/>
      <c r="IM538" s="251"/>
      <c r="IN538" s="251"/>
      <c r="IO538" s="251"/>
      <c r="IP538" s="251"/>
      <c r="IQ538" s="251"/>
      <c r="IR538" s="251"/>
      <c r="IS538" s="251"/>
      <c r="IT538" s="251"/>
      <c r="IU538" s="251"/>
      <c r="IV538" s="251"/>
      <c r="IW538" s="251"/>
      <c r="IX538" s="251"/>
      <c r="IY538" s="251"/>
      <c r="IZ538" s="251"/>
      <c r="JA538" s="251"/>
      <c r="JB538" s="251"/>
      <c r="JC538" s="251"/>
      <c r="JD538" s="251"/>
      <c r="JE538" s="251"/>
      <c r="JF538" s="251"/>
      <c r="JG538" s="251"/>
      <c r="JH538" s="251"/>
      <c r="JI538" s="251"/>
      <c r="JJ538" s="251"/>
      <c r="JK538" s="251"/>
      <c r="JL538" s="251"/>
      <c r="JM538" s="251"/>
      <c r="JN538" s="251"/>
      <c r="JO538" s="251"/>
      <c r="JP538" s="251"/>
      <c r="JQ538" s="251"/>
      <c r="JR538" s="251"/>
      <c r="JS538" s="251"/>
      <c r="JT538" s="251"/>
      <c r="JU538" s="251"/>
      <c r="JV538" s="251"/>
      <c r="JW538" s="251"/>
      <c r="JX538" s="251"/>
      <c r="JY538" s="251"/>
      <c r="JZ538" s="251"/>
      <c r="KA538" s="251"/>
      <c r="KB538" s="251"/>
      <c r="KC538" s="251"/>
      <c r="KD538" s="251"/>
      <c r="KE538" s="251"/>
      <c r="KF538" s="251"/>
      <c r="KG538" s="251"/>
      <c r="KH538" s="251"/>
      <c r="KI538" s="251"/>
      <c r="KJ538" s="251"/>
      <c r="KK538" s="251"/>
      <c r="KL538" s="251"/>
      <c r="KM538" s="251"/>
      <c r="KN538" s="251"/>
      <c r="KO538" s="251"/>
      <c r="KP538" s="251"/>
      <c r="KQ538" s="251"/>
      <c r="KR538" s="251"/>
      <c r="KS538" s="251"/>
      <c r="KT538" s="251"/>
      <c r="KU538" s="251"/>
      <c r="KV538" s="251"/>
      <c r="KW538" s="251"/>
      <c r="KX538" s="251"/>
      <c r="KY538" s="251"/>
      <c r="KZ538" s="251"/>
      <c r="LA538" s="251"/>
      <c r="LB538" s="251"/>
      <c r="LC538" s="251"/>
      <c r="LD538" s="251"/>
      <c r="LE538" s="251"/>
      <c r="LF538" s="251"/>
      <c r="LG538" s="251"/>
      <c r="LH538" s="251"/>
      <c r="LI538" s="251"/>
      <c r="LJ538" s="251"/>
      <c r="LK538" s="251"/>
      <c r="LL538" s="511"/>
      <c r="LM538" s="511"/>
      <c r="LN538" s="511"/>
      <c r="LO538" s="511"/>
      <c r="LP538" s="511"/>
      <c r="LQ538" s="511"/>
      <c r="LR538" s="511"/>
      <c r="LS538" s="511"/>
      <c r="LT538" s="511"/>
      <c r="LU538" s="511"/>
      <c r="LV538" s="511"/>
      <c r="LW538" s="511"/>
      <c r="LX538" s="511"/>
      <c r="LY538" s="511"/>
      <c r="LZ538" s="511"/>
      <c r="MA538" s="511"/>
      <c r="MB538" s="511"/>
      <c r="MC538" s="511"/>
      <c r="MD538" s="511"/>
      <c r="ME538" s="511"/>
      <c r="MF538" s="511"/>
      <c r="MG538" s="511"/>
      <c r="MH538" s="511"/>
      <c r="MI538" s="511"/>
      <c r="MJ538" s="511"/>
      <c r="MK538" s="511"/>
      <c r="ML538" s="511"/>
      <c r="MM538" s="511"/>
      <c r="MN538" s="511"/>
      <c r="MO538" s="511"/>
      <c r="MP538" s="511"/>
      <c r="MQ538" s="511"/>
      <c r="MR538" s="511"/>
      <c r="MS538" s="511"/>
      <c r="MT538" s="511"/>
      <c r="MU538" s="511"/>
      <c r="MV538" s="511"/>
      <c r="MW538" s="511"/>
      <c r="MX538" s="511"/>
      <c r="MY538" s="511"/>
      <c r="MZ538" s="511"/>
      <c r="NA538" s="511"/>
      <c r="NB538" s="511"/>
      <c r="NC538" s="511"/>
      <c r="ND538" s="511"/>
      <c r="NE538" s="511"/>
      <c r="NF538" s="511"/>
      <c r="NG538" s="511"/>
      <c r="NH538" s="511"/>
      <c r="NI538" s="511"/>
      <c r="NJ538" s="511"/>
      <c r="NK538" s="511"/>
      <c r="NL538" s="511"/>
      <c r="NM538" s="511"/>
      <c r="NN538" s="511"/>
      <c r="NO538" s="511"/>
      <c r="NP538" s="511"/>
      <c r="NQ538" s="511"/>
      <c r="NR538" s="511"/>
      <c r="NS538" s="511"/>
      <c r="NT538" s="511"/>
      <c r="NU538" s="511"/>
      <c r="NV538" s="511"/>
      <c r="NW538" s="511"/>
      <c r="NX538" s="511"/>
      <c r="NY538" s="511"/>
      <c r="NZ538" s="511"/>
      <c r="OA538" s="511"/>
      <c r="OB538" s="511"/>
      <c r="OC538" s="511"/>
      <c r="OD538" s="511"/>
      <c r="OE538" s="511"/>
      <c r="OF538" s="511"/>
      <c r="OG538" s="511"/>
      <c r="OH538" s="511"/>
      <c r="OI538" s="511"/>
      <c r="OJ538" s="511"/>
      <c r="OK538" s="511"/>
      <c r="OL538" s="511"/>
      <c r="OM538" s="511"/>
      <c r="ON538" s="511"/>
      <c r="OO538" s="511"/>
      <c r="OP538" s="511"/>
      <c r="OQ538" s="511"/>
      <c r="OR538" s="511"/>
      <c r="OS538" s="511"/>
      <c r="OT538" s="511"/>
      <c r="OU538" s="511"/>
      <c r="OV538" s="511"/>
      <c r="OW538" s="511"/>
      <c r="OX538" s="511"/>
      <c r="OY538" s="511"/>
      <c r="OZ538" s="511"/>
      <c r="PA538" s="511"/>
      <c r="PB538" s="511"/>
      <c r="PC538" s="511"/>
      <c r="PD538" s="511"/>
      <c r="PE538" s="511"/>
      <c r="PF538" s="511"/>
      <c r="PG538" s="511"/>
      <c r="PH538" s="511"/>
      <c r="PI538" s="511"/>
      <c r="PJ538" s="511"/>
      <c r="PK538" s="511"/>
      <c r="PL538" s="511"/>
      <c r="PM538" s="511"/>
      <c r="PN538" s="511"/>
      <c r="PO538" s="511"/>
      <c r="PP538" s="511"/>
      <c r="PQ538" s="511"/>
      <c r="PR538" s="511"/>
      <c r="PS538" s="511"/>
      <c r="PT538" s="511"/>
      <c r="PU538" s="511"/>
      <c r="PV538" s="511"/>
      <c r="PW538" s="511"/>
      <c r="PX538" s="511"/>
      <c r="PY538" s="511"/>
      <c r="PZ538" s="511"/>
      <c r="QA538" s="511"/>
      <c r="QB538" s="511"/>
      <c r="QC538" s="511"/>
      <c r="QD538" s="511"/>
      <c r="QE538" s="511"/>
      <c r="QF538" s="511"/>
      <c r="QG538" s="511"/>
      <c r="QH538" s="511"/>
      <c r="QI538" s="511"/>
      <c r="QJ538" s="511"/>
      <c r="QK538" s="511"/>
      <c r="QL538" s="511"/>
      <c r="QM538" s="511"/>
      <c r="QN538" s="511"/>
      <c r="QO538" s="511"/>
      <c r="QP538" s="511"/>
      <c r="QQ538" s="511"/>
      <c r="QR538" s="511"/>
      <c r="QS538" s="511"/>
      <c r="QT538" s="511"/>
      <c r="QU538" s="511"/>
      <c r="QV538" s="511"/>
      <c r="QW538" s="511"/>
      <c r="QX538" s="511"/>
      <c r="QY538" s="511"/>
      <c r="QZ538" s="511"/>
      <c r="RA538" s="511"/>
      <c r="RB538" s="511"/>
      <c r="RC538" s="511"/>
      <c r="RD538" s="511"/>
      <c r="RE538" s="511"/>
      <c r="RF538" s="511"/>
      <c r="RG538" s="511"/>
      <c r="RH538" s="511"/>
      <c r="RI538" s="511"/>
      <c r="RJ538" s="511"/>
      <c r="RK538" s="511"/>
      <c r="RL538" s="511"/>
      <c r="RM538" s="511"/>
      <c r="RN538" s="511"/>
      <c r="RO538" s="511"/>
      <c r="RP538" s="511"/>
      <c r="RQ538" s="511"/>
      <c r="RR538" s="511"/>
      <c r="RS538" s="511"/>
      <c r="RT538" s="511"/>
      <c r="RU538" s="511"/>
      <c r="RV538" s="511"/>
      <c r="RW538" s="511"/>
      <c r="RX538" s="511"/>
      <c r="RY538" s="511"/>
      <c r="RZ538" s="511"/>
      <c r="SA538" s="511"/>
      <c r="SB538" s="511"/>
      <c r="SC538" s="511"/>
      <c r="SD538" s="511"/>
      <c r="SE538" s="511"/>
      <c r="SF538" s="511"/>
      <c r="SG538" s="511"/>
      <c r="SH538" s="511"/>
      <c r="SI538" s="511"/>
      <c r="SJ538" s="511"/>
      <c r="SK538" s="511"/>
      <c r="SL538" s="511"/>
      <c r="SM538" s="511"/>
      <c r="SN538" s="511"/>
      <c r="SO538" s="511"/>
      <c r="SP538" s="511"/>
      <c r="SQ538" s="511"/>
      <c r="SR538" s="511"/>
      <c r="SS538" s="511"/>
      <c r="ST538" s="511"/>
      <c r="SU538" s="511"/>
      <c r="SV538" s="511"/>
      <c r="SW538" s="511"/>
      <c r="SX538" s="511"/>
      <c r="SY538" s="511"/>
      <c r="SZ538" s="511"/>
      <c r="TA538" s="511"/>
      <c r="TB538" s="511"/>
      <c r="TC538" s="511"/>
      <c r="TD538" s="511"/>
      <c r="TE538" s="511"/>
      <c r="TF538" s="511"/>
      <c r="TG538" s="511"/>
      <c r="TH538" s="511"/>
      <c r="TI538" s="511"/>
      <c r="TJ538" s="511"/>
      <c r="TK538" s="511"/>
      <c r="TL538" s="511"/>
      <c r="TM538" s="511"/>
      <c r="TN538" s="511"/>
      <c r="TO538" s="511"/>
      <c r="TP538" s="511"/>
      <c r="TQ538" s="511"/>
      <c r="TR538" s="511"/>
      <c r="TS538" s="511"/>
      <c r="TT538" s="511"/>
      <c r="TU538" s="511"/>
      <c r="TV538" s="511"/>
      <c r="TW538" s="511"/>
      <c r="TX538" s="511"/>
      <c r="TY538" s="511"/>
      <c r="TZ538" s="511"/>
      <c r="UA538" s="511"/>
      <c r="UB538" s="511"/>
      <c r="UC538" s="511"/>
      <c r="UD538" s="511"/>
      <c r="UE538" s="511"/>
      <c r="UF538" s="511"/>
      <c r="UG538" s="511"/>
      <c r="UH538" s="511"/>
      <c r="UI538" s="511"/>
      <c r="UJ538" s="511"/>
      <c r="UK538" s="511"/>
      <c r="UL538" s="511"/>
      <c r="UM538" s="511"/>
      <c r="UN538" s="511"/>
      <c r="UO538" s="511"/>
      <c r="UP538" s="511"/>
      <c r="UQ538" s="511"/>
      <c r="UR538" s="511"/>
      <c r="US538" s="511"/>
      <c r="UT538" s="511"/>
      <c r="UU538" s="511"/>
      <c r="UV538" s="511"/>
      <c r="UW538" s="511"/>
      <c r="UX538" s="511"/>
      <c r="UY538" s="511"/>
      <c r="UZ538" s="511"/>
      <c r="VA538" s="511"/>
      <c r="VB538" s="511"/>
      <c r="VC538" s="511"/>
      <c r="VD538" s="511"/>
      <c r="VE538" s="511"/>
      <c r="VF538" s="511"/>
      <c r="VG538" s="511"/>
      <c r="VH538" s="511"/>
      <c r="VI538" s="511"/>
      <c r="VJ538" s="511"/>
      <c r="VK538" s="511"/>
      <c r="VL538" s="511"/>
      <c r="VM538" s="511"/>
      <c r="VN538" s="511"/>
      <c r="VO538" s="511"/>
      <c r="VP538" s="511"/>
      <c r="VQ538" s="511"/>
      <c r="VR538" s="511"/>
      <c r="VS538" s="511"/>
      <c r="VT538" s="511"/>
      <c r="VU538" s="511"/>
      <c r="VV538" s="511"/>
      <c r="VW538" s="511"/>
      <c r="VX538" s="511"/>
      <c r="VY538" s="511"/>
      <c r="VZ538" s="511"/>
      <c r="WA538" s="511"/>
      <c r="WB538" s="511"/>
      <c r="WC538" s="511"/>
      <c r="WD538" s="511"/>
      <c r="WE538" s="511"/>
      <c r="WF538" s="511"/>
      <c r="WG538" s="511"/>
      <c r="WH538" s="511"/>
      <c r="WI538" s="511"/>
      <c r="WJ538" s="511"/>
      <c r="WK538" s="511"/>
      <c r="WL538" s="511"/>
      <c r="WM538" s="511"/>
      <c r="WN538" s="511"/>
      <c r="WO538" s="511"/>
      <c r="WP538" s="511"/>
      <c r="WQ538" s="511"/>
      <c r="WR538" s="511"/>
      <c r="WS538" s="511"/>
      <c r="WT538" s="511"/>
      <c r="WU538" s="511"/>
      <c r="WV538" s="511"/>
      <c r="WW538" s="511"/>
      <c r="WX538" s="511"/>
      <c r="WY538" s="511"/>
      <c r="WZ538" s="511"/>
      <c r="XA538" s="511"/>
      <c r="XB538" s="511"/>
      <c r="XC538" s="511"/>
      <c r="XD538" s="511"/>
      <c r="XE538" s="511"/>
      <c r="XF538" s="511"/>
      <c r="XG538" s="511"/>
      <c r="XH538" s="511"/>
      <c r="XI538" s="511"/>
      <c r="XJ538" s="511"/>
      <c r="XK538" s="511"/>
      <c r="XL538" s="511"/>
      <c r="XM538" s="511"/>
      <c r="XN538" s="511"/>
      <c r="XO538" s="511"/>
      <c r="XP538" s="511"/>
      <c r="XQ538" s="511"/>
      <c r="XR538" s="511"/>
      <c r="XS538" s="511"/>
      <c r="XT538" s="511"/>
      <c r="XU538" s="511"/>
      <c r="XV538" s="511"/>
      <c r="XW538" s="511"/>
      <c r="XX538" s="511"/>
      <c r="XY538" s="511"/>
      <c r="XZ538" s="511"/>
      <c r="YA538" s="511"/>
      <c r="YB538" s="511"/>
      <c r="YC538" s="511"/>
      <c r="YD538" s="511"/>
      <c r="YE538" s="511"/>
      <c r="YF538" s="511"/>
      <c r="YG538" s="511"/>
      <c r="YH538" s="511"/>
      <c r="YI538" s="511"/>
      <c r="YJ538" s="511"/>
      <c r="YK538" s="511"/>
      <c r="YL538" s="511"/>
      <c r="YM538" s="511"/>
      <c r="YN538" s="511"/>
      <c r="YO538" s="511"/>
      <c r="YP538" s="511"/>
      <c r="YQ538" s="511"/>
      <c r="YR538" s="511"/>
      <c r="YS538" s="511"/>
      <c r="YT538" s="511"/>
      <c r="YU538" s="511"/>
      <c r="YV538" s="511"/>
      <c r="YW538" s="511"/>
      <c r="YX538" s="511"/>
      <c r="YY538" s="511"/>
      <c r="YZ538" s="511"/>
      <c r="ZA538" s="511"/>
      <c r="ZB538" s="511"/>
      <c r="ZC538" s="511"/>
      <c r="ZD538" s="511"/>
      <c r="ZE538" s="511"/>
      <c r="ZF538" s="511"/>
      <c r="ZG538" s="511"/>
      <c r="ZH538" s="511"/>
      <c r="ZI538" s="511"/>
      <c r="ZJ538" s="511"/>
      <c r="ZK538" s="511"/>
      <c r="ZL538" s="511"/>
      <c r="ZM538" s="511"/>
      <c r="ZN538" s="511"/>
      <c r="ZO538" s="511"/>
      <c r="ZP538" s="511"/>
      <c r="ZQ538" s="511"/>
      <c r="ZR538" s="511"/>
      <c r="ZS538" s="511"/>
      <c r="ZT538" s="511"/>
      <c r="ZU538" s="511"/>
      <c r="ZV538" s="511"/>
      <c r="ZW538" s="511"/>
      <c r="ZX538" s="511"/>
      <c r="ZY538" s="511"/>
      <c r="ZZ538" s="511"/>
      <c r="AAA538" s="511"/>
      <c r="AAB538" s="511"/>
      <c r="AAC538" s="511"/>
      <c r="AAD538" s="511"/>
      <c r="AAE538" s="511"/>
      <c r="AAF538" s="511"/>
      <c r="AAG538" s="511"/>
      <c r="AAH538" s="511"/>
      <c r="AAI538" s="511"/>
      <c r="AAJ538" s="511"/>
      <c r="AAK538" s="511"/>
      <c r="AAL538" s="511"/>
      <c r="AAM538" s="511"/>
      <c r="AAN538" s="511"/>
      <c r="AAO538" s="511"/>
      <c r="AAP538" s="511"/>
      <c r="AAQ538" s="511"/>
      <c r="AAR538" s="511"/>
      <c r="AAS538" s="511"/>
      <c r="AAT538" s="511"/>
      <c r="AAU538" s="511"/>
      <c r="AAV538" s="511"/>
      <c r="AAW538" s="511"/>
      <c r="AAX538" s="511"/>
      <c r="AAY538" s="511"/>
      <c r="AAZ538" s="511"/>
      <c r="ABA538" s="511"/>
      <c r="ABB538" s="511"/>
      <c r="ABC538" s="511"/>
      <c r="ABD538" s="511"/>
      <c r="ABE538" s="511"/>
      <c r="ABF538" s="511"/>
      <c r="ABG538" s="511"/>
      <c r="ABH538" s="511"/>
      <c r="ABI538" s="511"/>
      <c r="ABJ538" s="511"/>
      <c r="ABK538" s="511"/>
      <c r="ABL538" s="511"/>
      <c r="ABM538" s="511"/>
      <c r="ABN538" s="511"/>
      <c r="ABO538" s="511"/>
      <c r="ABP538" s="511"/>
      <c r="ABQ538" s="511"/>
      <c r="ABR538" s="511"/>
      <c r="ABS538" s="511"/>
      <c r="ABT538" s="511"/>
      <c r="ABU538" s="511"/>
      <c r="ABV538" s="511"/>
      <c r="ABW538" s="511"/>
      <c r="ABX538" s="511"/>
      <c r="ABY538" s="511"/>
      <c r="ABZ538" s="511"/>
      <c r="ACA538" s="511"/>
      <c r="ACB538" s="511"/>
      <c r="ACC538" s="511"/>
      <c r="ACD538" s="511"/>
      <c r="ACE538" s="511"/>
      <c r="ACF538" s="511"/>
      <c r="ACG538" s="511"/>
      <c r="ACH538" s="511"/>
      <c r="ACI538" s="511"/>
      <c r="ACJ538" s="511"/>
      <c r="ACK538" s="511"/>
      <c r="ACL538" s="511"/>
      <c r="ACM538" s="511"/>
      <c r="ACN538" s="511"/>
      <c r="ACO538" s="511"/>
      <c r="ACP538" s="511"/>
      <c r="ACQ538" s="511"/>
      <c r="ACR538" s="511"/>
      <c r="ACS538" s="511"/>
      <c r="ACT538" s="511"/>
      <c r="ACU538" s="511"/>
      <c r="ACV538" s="511"/>
    </row>
    <row r="539" spans="1:776" x14ac:dyDescent="0.25">
      <c r="A539" s="582">
        <v>901019</v>
      </c>
      <c r="B539" s="483" t="str">
        <f t="shared" si="14"/>
        <v>-5,62/+4,22  (EC  5,34)</v>
      </c>
      <c r="C539" s="507"/>
      <c r="D539" s="508" t="s">
        <v>433</v>
      </c>
      <c r="E539" s="508">
        <v>0.53400000000000003</v>
      </c>
      <c r="F539" s="509">
        <v>64.599999999999994</v>
      </c>
      <c r="G539" s="508">
        <v>0</v>
      </c>
      <c r="H539" s="508">
        <v>13.63</v>
      </c>
      <c r="I539" s="510">
        <v>26.23</v>
      </c>
      <c r="J539" s="508">
        <v>122.79</v>
      </c>
      <c r="K539" s="510">
        <v>116.74</v>
      </c>
      <c r="L539" s="508">
        <v>4.8</v>
      </c>
      <c r="M539" s="508">
        <v>0</v>
      </c>
      <c r="N539" s="508">
        <v>19.71</v>
      </c>
      <c r="O539" s="508">
        <v>19.170000000000002</v>
      </c>
      <c r="P539" s="508">
        <v>32.909999999999997</v>
      </c>
      <c r="Q539" s="508">
        <v>14.59</v>
      </c>
      <c r="R539" s="508">
        <v>0.02</v>
      </c>
      <c r="S539" s="397">
        <v>1.0000000000000001E-5</v>
      </c>
      <c r="T539" s="508">
        <v>0.14000000000000001</v>
      </c>
      <c r="U539" s="508">
        <v>0.12</v>
      </c>
      <c r="V539" s="508">
        <v>0.14000000000000001</v>
      </c>
      <c r="W539" s="251"/>
      <c r="X539" s="251"/>
      <c r="Y539" s="251"/>
      <c r="Z539" s="251"/>
      <c r="AA539" s="251"/>
      <c r="AB539" s="251"/>
      <c r="AC539" s="251"/>
      <c r="AD539" s="251"/>
      <c r="AE539" s="251"/>
      <c r="AF539" s="251"/>
      <c r="AG539" s="251"/>
      <c r="AH539" s="251"/>
      <c r="AI539" s="251"/>
      <c r="AJ539" s="251"/>
      <c r="AK539" s="251"/>
      <c r="AL539" s="251"/>
      <c r="AM539" s="251"/>
      <c r="AN539" s="251"/>
      <c r="AO539" s="251"/>
      <c r="AP539" s="251"/>
      <c r="AQ539" s="251"/>
      <c r="AR539" s="251"/>
      <c r="AS539" s="251"/>
      <c r="AT539" s="251"/>
      <c r="AU539" s="251"/>
      <c r="AV539" s="251"/>
      <c r="AW539" s="251"/>
      <c r="AX539" s="251"/>
      <c r="AY539" s="251"/>
      <c r="AZ539" s="251"/>
      <c r="BA539" s="251"/>
      <c r="BB539" s="251"/>
      <c r="BC539" s="251"/>
      <c r="BD539" s="251"/>
      <c r="BE539" s="251"/>
      <c r="BF539" s="251"/>
      <c r="BG539" s="251"/>
      <c r="BH539" s="251"/>
      <c r="BI539" s="251"/>
      <c r="BJ539" s="251"/>
      <c r="BK539" s="251"/>
      <c r="BL539" s="251"/>
      <c r="BM539" s="251"/>
      <c r="BN539" s="251"/>
      <c r="BO539" s="251"/>
      <c r="BP539" s="251"/>
      <c r="BQ539" s="251"/>
      <c r="BR539" s="251"/>
      <c r="BS539" s="251"/>
      <c r="BT539" s="251"/>
      <c r="BU539" s="251"/>
      <c r="BV539" s="251"/>
      <c r="BW539" s="251"/>
      <c r="BX539" s="251"/>
      <c r="BY539" s="251"/>
      <c r="BZ539" s="251"/>
      <c r="CA539" s="251"/>
      <c r="CB539" s="251"/>
      <c r="CC539" s="251"/>
      <c r="CD539" s="251"/>
      <c r="CE539" s="251"/>
      <c r="CF539" s="251"/>
      <c r="CG539" s="251"/>
      <c r="CH539" s="251"/>
      <c r="CI539" s="251"/>
      <c r="CJ539" s="251"/>
      <c r="CK539" s="251"/>
      <c r="CL539" s="251"/>
      <c r="CM539" s="251"/>
      <c r="CN539" s="251"/>
      <c r="CO539" s="251"/>
      <c r="CP539" s="251"/>
      <c r="CQ539" s="251"/>
      <c r="CR539" s="251"/>
      <c r="CS539" s="251"/>
      <c r="CT539" s="251"/>
      <c r="CU539" s="251"/>
      <c r="CV539" s="251"/>
      <c r="CW539" s="251"/>
      <c r="CX539" s="251"/>
      <c r="CY539" s="251"/>
      <c r="CZ539" s="251"/>
      <c r="DA539" s="251"/>
      <c r="DB539" s="251"/>
      <c r="DC539" s="251"/>
      <c r="DD539" s="251"/>
      <c r="DE539" s="251"/>
      <c r="DF539" s="251"/>
      <c r="DG539" s="251"/>
      <c r="DH539" s="251"/>
      <c r="DI539" s="251"/>
      <c r="DJ539" s="251"/>
      <c r="DK539" s="251"/>
      <c r="DL539" s="251"/>
      <c r="DM539" s="251"/>
      <c r="DN539" s="251"/>
      <c r="DO539" s="251"/>
      <c r="DP539" s="251"/>
      <c r="DQ539" s="251"/>
      <c r="DR539" s="251"/>
      <c r="DS539" s="251"/>
      <c r="DT539" s="251"/>
      <c r="DU539" s="251"/>
      <c r="DV539" s="251"/>
      <c r="DW539" s="251"/>
      <c r="DX539" s="251"/>
      <c r="DY539" s="251"/>
      <c r="DZ539" s="251"/>
      <c r="EA539" s="251"/>
      <c r="EB539" s="251"/>
      <c r="EC539" s="251"/>
      <c r="ED539" s="251"/>
      <c r="EE539" s="251"/>
      <c r="EF539" s="251"/>
      <c r="EG539" s="251"/>
      <c r="EH539" s="251"/>
      <c r="EI539" s="251"/>
      <c r="EJ539" s="251"/>
      <c r="EK539" s="251"/>
      <c r="EL539" s="251"/>
      <c r="EM539" s="251"/>
      <c r="EN539" s="251"/>
      <c r="EO539" s="251"/>
      <c r="EP539" s="251"/>
      <c r="EQ539" s="251"/>
      <c r="ER539" s="251"/>
      <c r="ES539" s="251"/>
      <c r="ET539" s="251"/>
      <c r="EU539" s="251"/>
      <c r="EV539" s="251"/>
      <c r="EW539" s="251"/>
      <c r="EX539" s="251"/>
      <c r="EY539" s="251"/>
      <c r="EZ539" s="251"/>
      <c r="FA539" s="251"/>
      <c r="FB539" s="251"/>
      <c r="FC539" s="251"/>
      <c r="FD539" s="251"/>
      <c r="FE539" s="251"/>
      <c r="FF539" s="251"/>
      <c r="FG539" s="251"/>
      <c r="FH539" s="251"/>
      <c r="FI539" s="251"/>
      <c r="FJ539" s="251"/>
      <c r="FK539" s="251"/>
      <c r="FL539" s="251"/>
      <c r="FM539" s="251"/>
      <c r="FN539" s="251"/>
      <c r="FO539" s="251"/>
      <c r="FP539" s="251"/>
      <c r="FQ539" s="251"/>
      <c r="FR539" s="251"/>
      <c r="FS539" s="251"/>
      <c r="FT539" s="251"/>
      <c r="FU539" s="251"/>
      <c r="FV539" s="251"/>
      <c r="FW539" s="251"/>
      <c r="FX539" s="251"/>
      <c r="FY539" s="251"/>
      <c r="FZ539" s="251"/>
      <c r="GA539" s="251"/>
      <c r="GB539" s="251"/>
      <c r="GC539" s="251"/>
      <c r="GD539" s="251"/>
      <c r="GE539" s="251"/>
      <c r="GF539" s="251"/>
      <c r="GG539" s="251"/>
      <c r="GH539" s="251"/>
      <c r="GI539" s="251"/>
      <c r="GJ539" s="251"/>
      <c r="GK539" s="251"/>
      <c r="GL539" s="251"/>
      <c r="GM539" s="251"/>
      <c r="GN539" s="251"/>
      <c r="GO539" s="251"/>
      <c r="GP539" s="251"/>
      <c r="GQ539" s="251"/>
      <c r="GR539" s="251"/>
      <c r="GS539" s="251"/>
      <c r="GT539" s="251"/>
      <c r="GU539" s="251"/>
      <c r="GV539" s="251"/>
      <c r="GW539" s="251"/>
      <c r="GX539" s="251"/>
      <c r="GY539" s="251"/>
      <c r="GZ539" s="251"/>
      <c r="HA539" s="251"/>
      <c r="HB539" s="251"/>
      <c r="HC539" s="251"/>
      <c r="HD539" s="251"/>
      <c r="HE539" s="251"/>
      <c r="HF539" s="251"/>
      <c r="HG539" s="251"/>
      <c r="HH539" s="251"/>
      <c r="HI539" s="251"/>
      <c r="HJ539" s="251"/>
      <c r="HK539" s="251"/>
      <c r="HL539" s="251"/>
      <c r="HM539" s="251"/>
      <c r="HN539" s="251"/>
      <c r="HO539" s="251"/>
      <c r="HP539" s="251"/>
      <c r="HQ539" s="251"/>
      <c r="HR539" s="251"/>
      <c r="HS539" s="251"/>
      <c r="HT539" s="251"/>
      <c r="HU539" s="251"/>
      <c r="HV539" s="251"/>
      <c r="HW539" s="251"/>
      <c r="HX539" s="251"/>
      <c r="HY539" s="251"/>
      <c r="HZ539" s="251"/>
      <c r="IA539" s="251"/>
      <c r="IB539" s="251"/>
      <c r="IC539" s="251"/>
      <c r="ID539" s="251"/>
      <c r="IE539" s="251"/>
      <c r="IF539" s="251"/>
      <c r="IG539" s="251"/>
      <c r="IH539" s="251"/>
      <c r="II539" s="251"/>
      <c r="IJ539" s="251"/>
      <c r="IK539" s="251"/>
      <c r="IL539" s="251"/>
      <c r="IM539" s="251"/>
      <c r="IN539" s="251"/>
      <c r="IO539" s="251"/>
      <c r="IP539" s="251"/>
      <c r="IQ539" s="251"/>
      <c r="IR539" s="251"/>
      <c r="IS539" s="251"/>
      <c r="IT539" s="251"/>
      <c r="IU539" s="251"/>
      <c r="IV539" s="251"/>
      <c r="IW539" s="251"/>
      <c r="IX539" s="251"/>
      <c r="IY539" s="251"/>
      <c r="IZ539" s="251"/>
      <c r="JA539" s="251"/>
      <c r="JB539" s="251"/>
      <c r="JC539" s="251"/>
      <c r="JD539" s="251"/>
      <c r="JE539" s="251"/>
      <c r="JF539" s="251"/>
      <c r="JG539" s="251"/>
      <c r="JH539" s="251"/>
      <c r="JI539" s="251"/>
      <c r="JJ539" s="251"/>
      <c r="JK539" s="251"/>
      <c r="JL539" s="251"/>
      <c r="JM539" s="251"/>
      <c r="JN539" s="251"/>
      <c r="JO539" s="251"/>
      <c r="JP539" s="251"/>
      <c r="JQ539" s="251"/>
      <c r="JR539" s="251"/>
      <c r="JS539" s="251"/>
      <c r="JT539" s="251"/>
      <c r="JU539" s="251"/>
      <c r="JV539" s="251"/>
      <c r="JW539" s="251"/>
      <c r="JX539" s="251"/>
      <c r="JY539" s="251"/>
      <c r="JZ539" s="251"/>
      <c r="KA539" s="251"/>
      <c r="KB539" s="251"/>
      <c r="KC539" s="251"/>
      <c r="KD539" s="251"/>
      <c r="KE539" s="251"/>
      <c r="KF539" s="251"/>
      <c r="KG539" s="251"/>
      <c r="KH539" s="251"/>
      <c r="KI539" s="251"/>
      <c r="KJ539" s="251"/>
      <c r="KK539" s="251"/>
      <c r="KL539" s="251"/>
      <c r="KM539" s="251"/>
      <c r="KN539" s="251"/>
      <c r="KO539" s="251"/>
      <c r="KP539" s="251"/>
      <c r="KQ539" s="251"/>
      <c r="KR539" s="251"/>
      <c r="KS539" s="251"/>
      <c r="KT539" s="251"/>
      <c r="KU539" s="251"/>
      <c r="KV539" s="251"/>
      <c r="KW539" s="251"/>
      <c r="KX539" s="251"/>
      <c r="KY539" s="251"/>
      <c r="KZ539" s="251"/>
      <c r="LA539" s="251"/>
      <c r="LB539" s="251"/>
      <c r="LC539" s="251"/>
      <c r="LD539" s="251"/>
      <c r="LE539" s="251"/>
      <c r="LF539" s="251"/>
      <c r="LG539" s="251"/>
      <c r="LH539" s="251"/>
      <c r="LI539" s="251"/>
      <c r="LJ539" s="251"/>
      <c r="LK539" s="251"/>
      <c r="LL539" s="511"/>
      <c r="LM539" s="511"/>
      <c r="LN539" s="511"/>
      <c r="LO539" s="511"/>
      <c r="LP539" s="511"/>
      <c r="LQ539" s="511"/>
      <c r="LR539" s="511"/>
      <c r="LS539" s="511"/>
      <c r="LT539" s="511"/>
      <c r="LU539" s="511"/>
      <c r="LV539" s="511"/>
      <c r="LW539" s="511"/>
      <c r="LX539" s="511"/>
      <c r="LY539" s="511"/>
      <c r="LZ539" s="511"/>
      <c r="MA539" s="511"/>
      <c r="MB539" s="511"/>
      <c r="MC539" s="511"/>
      <c r="MD539" s="511"/>
      <c r="ME539" s="511"/>
      <c r="MF539" s="511"/>
      <c r="MG539" s="511"/>
      <c r="MH539" s="511"/>
      <c r="MI539" s="511"/>
      <c r="MJ539" s="511"/>
      <c r="MK539" s="511"/>
      <c r="ML539" s="511"/>
      <c r="MM539" s="511"/>
      <c r="MN539" s="511"/>
      <c r="MO539" s="511"/>
      <c r="MP539" s="511"/>
      <c r="MQ539" s="511"/>
      <c r="MR539" s="511"/>
      <c r="MS539" s="511"/>
      <c r="MT539" s="511"/>
      <c r="MU539" s="511"/>
      <c r="MV539" s="511"/>
      <c r="MW539" s="511"/>
      <c r="MX539" s="511"/>
      <c r="MY539" s="511"/>
      <c r="MZ539" s="511"/>
      <c r="NA539" s="511"/>
      <c r="NB539" s="511"/>
      <c r="NC539" s="511"/>
      <c r="ND539" s="511"/>
      <c r="NE539" s="511"/>
      <c r="NF539" s="511"/>
      <c r="NG539" s="511"/>
      <c r="NH539" s="511"/>
      <c r="NI539" s="511"/>
      <c r="NJ539" s="511"/>
      <c r="NK539" s="511"/>
      <c r="NL539" s="511"/>
      <c r="NM539" s="511"/>
      <c r="NN539" s="511"/>
      <c r="NO539" s="511"/>
      <c r="NP539" s="511"/>
      <c r="NQ539" s="511"/>
      <c r="NR539" s="511"/>
      <c r="NS539" s="511"/>
      <c r="NT539" s="511"/>
      <c r="NU539" s="511"/>
      <c r="NV539" s="511"/>
      <c r="NW539" s="511"/>
      <c r="NX539" s="511"/>
      <c r="NY539" s="511"/>
      <c r="NZ539" s="511"/>
      <c r="OA539" s="511"/>
      <c r="OB539" s="511"/>
      <c r="OC539" s="511"/>
      <c r="OD539" s="511"/>
      <c r="OE539" s="511"/>
      <c r="OF539" s="511"/>
      <c r="OG539" s="511"/>
      <c r="OH539" s="511"/>
      <c r="OI539" s="511"/>
      <c r="OJ539" s="511"/>
      <c r="OK539" s="511"/>
      <c r="OL539" s="511"/>
      <c r="OM539" s="511"/>
      <c r="ON539" s="511"/>
      <c r="OO539" s="511"/>
      <c r="OP539" s="511"/>
      <c r="OQ539" s="511"/>
      <c r="OR539" s="511"/>
      <c r="OS539" s="511"/>
      <c r="OT539" s="511"/>
      <c r="OU539" s="511"/>
      <c r="OV539" s="511"/>
      <c r="OW539" s="511"/>
      <c r="OX539" s="511"/>
      <c r="OY539" s="511"/>
      <c r="OZ539" s="511"/>
      <c r="PA539" s="511"/>
      <c r="PB539" s="511"/>
      <c r="PC539" s="511"/>
      <c r="PD539" s="511"/>
      <c r="PE539" s="511"/>
      <c r="PF539" s="511"/>
      <c r="PG539" s="511"/>
      <c r="PH539" s="511"/>
      <c r="PI539" s="511"/>
      <c r="PJ539" s="511"/>
      <c r="PK539" s="511"/>
      <c r="PL539" s="511"/>
      <c r="PM539" s="511"/>
      <c r="PN539" s="511"/>
      <c r="PO539" s="511"/>
      <c r="PP539" s="511"/>
      <c r="PQ539" s="511"/>
      <c r="PR539" s="511"/>
      <c r="PS539" s="511"/>
      <c r="PT539" s="511"/>
      <c r="PU539" s="511"/>
      <c r="PV539" s="511"/>
      <c r="PW539" s="511"/>
      <c r="PX539" s="511"/>
      <c r="PY539" s="511"/>
      <c r="PZ539" s="511"/>
      <c r="QA539" s="511"/>
      <c r="QB539" s="511"/>
      <c r="QC539" s="511"/>
      <c r="QD539" s="511"/>
      <c r="QE539" s="511"/>
      <c r="QF539" s="511"/>
      <c r="QG539" s="511"/>
      <c r="QH539" s="511"/>
      <c r="QI539" s="511"/>
      <c r="QJ539" s="511"/>
      <c r="QK539" s="511"/>
      <c r="QL539" s="511"/>
      <c r="QM539" s="511"/>
      <c r="QN539" s="511"/>
      <c r="QO539" s="511"/>
      <c r="QP539" s="511"/>
      <c r="QQ539" s="511"/>
      <c r="QR539" s="511"/>
      <c r="QS539" s="511"/>
      <c r="QT539" s="511"/>
      <c r="QU539" s="511"/>
      <c r="QV539" s="511"/>
      <c r="QW539" s="511"/>
      <c r="QX539" s="511"/>
      <c r="QY539" s="511"/>
      <c r="QZ539" s="511"/>
      <c r="RA539" s="511"/>
      <c r="RB539" s="511"/>
      <c r="RC539" s="511"/>
      <c r="RD539" s="511"/>
      <c r="RE539" s="511"/>
      <c r="RF539" s="511"/>
      <c r="RG539" s="511"/>
      <c r="RH539" s="511"/>
      <c r="RI539" s="511"/>
      <c r="RJ539" s="511"/>
      <c r="RK539" s="511"/>
      <c r="RL539" s="511"/>
      <c r="RM539" s="511"/>
      <c r="RN539" s="511"/>
      <c r="RO539" s="511"/>
      <c r="RP539" s="511"/>
      <c r="RQ539" s="511"/>
      <c r="RR539" s="511"/>
      <c r="RS539" s="511"/>
      <c r="RT539" s="511"/>
      <c r="RU539" s="511"/>
      <c r="RV539" s="511"/>
      <c r="RW539" s="511"/>
      <c r="RX539" s="511"/>
      <c r="RY539" s="511"/>
      <c r="RZ539" s="511"/>
      <c r="SA539" s="511"/>
      <c r="SB539" s="511"/>
      <c r="SC539" s="511"/>
      <c r="SD539" s="511"/>
      <c r="SE539" s="511"/>
      <c r="SF539" s="511"/>
      <c r="SG539" s="511"/>
      <c r="SH539" s="511"/>
      <c r="SI539" s="511"/>
      <c r="SJ539" s="511"/>
      <c r="SK539" s="511"/>
      <c r="SL539" s="511"/>
      <c r="SM539" s="511"/>
      <c r="SN539" s="511"/>
      <c r="SO539" s="511"/>
      <c r="SP539" s="511"/>
      <c r="SQ539" s="511"/>
      <c r="SR539" s="511"/>
      <c r="SS539" s="511"/>
      <c r="ST539" s="511"/>
      <c r="SU539" s="511"/>
      <c r="SV539" s="511"/>
      <c r="SW539" s="511"/>
      <c r="SX539" s="511"/>
      <c r="SY539" s="511"/>
      <c r="SZ539" s="511"/>
      <c r="TA539" s="511"/>
      <c r="TB539" s="511"/>
      <c r="TC539" s="511"/>
      <c r="TD539" s="511"/>
      <c r="TE539" s="511"/>
      <c r="TF539" s="511"/>
      <c r="TG539" s="511"/>
      <c r="TH539" s="511"/>
      <c r="TI539" s="511"/>
      <c r="TJ539" s="511"/>
      <c r="TK539" s="511"/>
      <c r="TL539" s="511"/>
      <c r="TM539" s="511"/>
      <c r="TN539" s="511"/>
      <c r="TO539" s="511"/>
      <c r="TP539" s="511"/>
      <c r="TQ539" s="511"/>
      <c r="TR539" s="511"/>
      <c r="TS539" s="511"/>
      <c r="TT539" s="511"/>
      <c r="TU539" s="511"/>
      <c r="TV539" s="511"/>
      <c r="TW539" s="511"/>
      <c r="TX539" s="511"/>
      <c r="TY539" s="511"/>
      <c r="TZ539" s="511"/>
      <c r="UA539" s="511"/>
      <c r="UB539" s="511"/>
      <c r="UC539" s="511"/>
      <c r="UD539" s="511"/>
      <c r="UE539" s="511"/>
      <c r="UF539" s="511"/>
      <c r="UG539" s="511"/>
      <c r="UH539" s="511"/>
      <c r="UI539" s="511"/>
      <c r="UJ539" s="511"/>
      <c r="UK539" s="511"/>
      <c r="UL539" s="511"/>
      <c r="UM539" s="511"/>
      <c r="UN539" s="511"/>
      <c r="UO539" s="511"/>
      <c r="UP539" s="511"/>
      <c r="UQ539" s="511"/>
      <c r="UR539" s="511"/>
      <c r="US539" s="511"/>
      <c r="UT539" s="511"/>
      <c r="UU539" s="511"/>
      <c r="UV539" s="511"/>
      <c r="UW539" s="511"/>
      <c r="UX539" s="511"/>
      <c r="UY539" s="511"/>
      <c r="UZ539" s="511"/>
      <c r="VA539" s="511"/>
      <c r="VB539" s="511"/>
      <c r="VC539" s="511"/>
      <c r="VD539" s="511"/>
      <c r="VE539" s="511"/>
      <c r="VF539" s="511"/>
      <c r="VG539" s="511"/>
      <c r="VH539" s="511"/>
      <c r="VI539" s="511"/>
      <c r="VJ539" s="511"/>
      <c r="VK539" s="511"/>
      <c r="VL539" s="511"/>
      <c r="VM539" s="511"/>
      <c r="VN539" s="511"/>
      <c r="VO539" s="511"/>
      <c r="VP539" s="511"/>
      <c r="VQ539" s="511"/>
      <c r="VR539" s="511"/>
      <c r="VS539" s="511"/>
      <c r="VT539" s="511"/>
      <c r="VU539" s="511"/>
      <c r="VV539" s="511"/>
      <c r="VW539" s="511"/>
      <c r="VX539" s="511"/>
      <c r="VY539" s="511"/>
      <c r="VZ539" s="511"/>
      <c r="WA539" s="511"/>
      <c r="WB539" s="511"/>
      <c r="WC539" s="511"/>
      <c r="WD539" s="511"/>
      <c r="WE539" s="511"/>
      <c r="WF539" s="511"/>
      <c r="WG539" s="511"/>
      <c r="WH539" s="511"/>
      <c r="WI539" s="511"/>
      <c r="WJ539" s="511"/>
      <c r="WK539" s="511"/>
      <c r="WL539" s="511"/>
      <c r="WM539" s="511"/>
      <c r="WN539" s="511"/>
      <c r="WO539" s="511"/>
      <c r="WP539" s="511"/>
      <c r="WQ539" s="511"/>
      <c r="WR539" s="511"/>
      <c r="WS539" s="511"/>
      <c r="WT539" s="511"/>
      <c r="WU539" s="511"/>
      <c r="WV539" s="511"/>
      <c r="WW539" s="511"/>
      <c r="WX539" s="511"/>
      <c r="WY539" s="511"/>
      <c r="WZ539" s="511"/>
      <c r="XA539" s="511"/>
      <c r="XB539" s="511"/>
      <c r="XC539" s="511"/>
      <c r="XD539" s="511"/>
      <c r="XE539" s="511"/>
      <c r="XF539" s="511"/>
      <c r="XG539" s="511"/>
      <c r="XH539" s="511"/>
      <c r="XI539" s="511"/>
      <c r="XJ539" s="511"/>
      <c r="XK539" s="511"/>
      <c r="XL539" s="511"/>
      <c r="XM539" s="511"/>
      <c r="XN539" s="511"/>
      <c r="XO539" s="511"/>
      <c r="XP539" s="511"/>
      <c r="XQ539" s="511"/>
      <c r="XR539" s="511"/>
      <c r="XS539" s="511"/>
      <c r="XT539" s="511"/>
      <c r="XU539" s="511"/>
      <c r="XV539" s="511"/>
      <c r="XW539" s="511"/>
      <c r="XX539" s="511"/>
      <c r="XY539" s="511"/>
      <c r="XZ539" s="511"/>
      <c r="YA539" s="511"/>
      <c r="YB539" s="511"/>
      <c r="YC539" s="511"/>
      <c r="YD539" s="511"/>
      <c r="YE539" s="511"/>
      <c r="YF539" s="511"/>
      <c r="YG539" s="511"/>
      <c r="YH539" s="511"/>
      <c r="YI539" s="511"/>
      <c r="YJ539" s="511"/>
      <c r="YK539" s="511"/>
      <c r="YL539" s="511"/>
      <c r="YM539" s="511"/>
      <c r="YN539" s="511"/>
      <c r="YO539" s="511"/>
      <c r="YP539" s="511"/>
      <c r="YQ539" s="511"/>
      <c r="YR539" s="511"/>
      <c r="YS539" s="511"/>
      <c r="YT539" s="511"/>
      <c r="YU539" s="511"/>
      <c r="YV539" s="511"/>
      <c r="YW539" s="511"/>
      <c r="YX539" s="511"/>
      <c r="YY539" s="511"/>
      <c r="YZ539" s="511"/>
      <c r="ZA539" s="511"/>
      <c r="ZB539" s="511"/>
      <c r="ZC539" s="511"/>
      <c r="ZD539" s="511"/>
      <c r="ZE539" s="511"/>
      <c r="ZF539" s="511"/>
      <c r="ZG539" s="511"/>
      <c r="ZH539" s="511"/>
      <c r="ZI539" s="511"/>
      <c r="ZJ539" s="511"/>
      <c r="ZK539" s="511"/>
      <c r="ZL539" s="511"/>
      <c r="ZM539" s="511"/>
      <c r="ZN539" s="511"/>
      <c r="ZO539" s="511"/>
      <c r="ZP539" s="511"/>
      <c r="ZQ539" s="511"/>
      <c r="ZR539" s="511"/>
      <c r="ZS539" s="511"/>
      <c r="ZT539" s="511"/>
      <c r="ZU539" s="511"/>
      <c r="ZV539" s="511"/>
      <c r="ZW539" s="511"/>
      <c r="ZX539" s="511"/>
      <c r="ZY539" s="511"/>
      <c r="ZZ539" s="511"/>
      <c r="AAA539" s="511"/>
      <c r="AAB539" s="511"/>
      <c r="AAC539" s="511"/>
      <c r="AAD539" s="511"/>
      <c r="AAE539" s="511"/>
      <c r="AAF539" s="511"/>
      <c r="AAG539" s="511"/>
      <c r="AAH539" s="511"/>
      <c r="AAI539" s="511"/>
      <c r="AAJ539" s="511"/>
      <c r="AAK539" s="511"/>
      <c r="AAL539" s="511"/>
      <c r="AAM539" s="511"/>
      <c r="AAN539" s="511"/>
      <c r="AAO539" s="511"/>
      <c r="AAP539" s="511"/>
      <c r="AAQ539" s="511"/>
      <c r="AAR539" s="511"/>
      <c r="AAS539" s="511"/>
      <c r="AAT539" s="511"/>
      <c r="AAU539" s="511"/>
      <c r="AAV539" s="511"/>
      <c r="AAW539" s="511"/>
      <c r="AAX539" s="511"/>
      <c r="AAY539" s="511"/>
      <c r="AAZ539" s="511"/>
      <c r="ABA539" s="511"/>
      <c r="ABB539" s="511"/>
      <c r="ABC539" s="511"/>
      <c r="ABD539" s="511"/>
      <c r="ABE539" s="511"/>
      <c r="ABF539" s="511"/>
      <c r="ABG539" s="511"/>
      <c r="ABH539" s="511"/>
      <c r="ABI539" s="511"/>
      <c r="ABJ539" s="511"/>
      <c r="ABK539" s="511"/>
      <c r="ABL539" s="511"/>
      <c r="ABM539" s="511"/>
      <c r="ABN539" s="511"/>
      <c r="ABO539" s="511"/>
      <c r="ABP539" s="511"/>
      <c r="ABQ539" s="511"/>
      <c r="ABR539" s="511"/>
      <c r="ABS539" s="511"/>
      <c r="ABT539" s="511"/>
      <c r="ABU539" s="511"/>
      <c r="ABV539" s="511"/>
      <c r="ABW539" s="511"/>
      <c r="ABX539" s="511"/>
      <c r="ABY539" s="511"/>
      <c r="ABZ539" s="511"/>
      <c r="ACA539" s="511"/>
      <c r="ACB539" s="511"/>
      <c r="ACC539" s="511"/>
      <c r="ACD539" s="511"/>
      <c r="ACE539" s="511"/>
      <c r="ACF539" s="511"/>
      <c r="ACG539" s="511"/>
      <c r="ACH539" s="511"/>
      <c r="ACI539" s="511"/>
      <c r="ACJ539" s="511"/>
      <c r="ACK539" s="511"/>
      <c r="ACL539" s="511"/>
      <c r="ACM539" s="511"/>
      <c r="ACN539" s="511"/>
      <c r="ACO539" s="511"/>
      <c r="ACP539" s="511"/>
      <c r="ACQ539" s="511"/>
      <c r="ACR539" s="511"/>
      <c r="ACS539" s="511"/>
      <c r="ACT539" s="511"/>
      <c r="ACU539" s="511"/>
      <c r="ACV539" s="511"/>
    </row>
    <row r="540" spans="1:776" x14ac:dyDescent="0.25">
      <c r="A540" s="583">
        <v>900239</v>
      </c>
      <c r="B540" s="483" t="str">
        <f t="shared" si="14"/>
        <v>-223,90/+229,53  (EC  229,3)</v>
      </c>
      <c r="C540" s="513"/>
      <c r="D540" s="305" t="s">
        <v>434</v>
      </c>
      <c r="E540" s="305">
        <v>22.93</v>
      </c>
      <c r="F540" s="306">
        <v>80.099999999999994</v>
      </c>
      <c r="G540" s="305">
        <v>0</v>
      </c>
      <c r="H540" s="305">
        <v>0.32</v>
      </c>
      <c r="I540" s="307">
        <v>6764</v>
      </c>
      <c r="J540" s="305">
        <v>1326</v>
      </c>
      <c r="K540" s="305">
        <v>0</v>
      </c>
      <c r="L540" s="305">
        <v>271.2</v>
      </c>
      <c r="M540" s="305">
        <v>0</v>
      </c>
      <c r="N540" s="305">
        <v>10.61</v>
      </c>
      <c r="O540" s="305">
        <v>4134.66</v>
      </c>
      <c r="P540" s="305">
        <v>302.89</v>
      </c>
      <c r="Q540" s="305">
        <v>411.99</v>
      </c>
      <c r="R540" s="305">
        <v>0.02</v>
      </c>
      <c r="S540" s="397">
        <v>1.0000000000000001E-5</v>
      </c>
      <c r="T540" s="397">
        <v>1.0000000000000001E-5</v>
      </c>
      <c r="U540" s="305">
        <v>0.01</v>
      </c>
      <c r="V540" s="397">
        <v>1.0000000000000001E-5</v>
      </c>
      <c r="W540" s="251"/>
      <c r="X540" s="251"/>
      <c r="Y540" s="251"/>
      <c r="Z540" s="251"/>
      <c r="AA540" s="251"/>
      <c r="AB540" s="251"/>
      <c r="AC540" s="251"/>
      <c r="AD540" s="251"/>
      <c r="AE540" s="251"/>
      <c r="AF540" s="251"/>
      <c r="AG540" s="251"/>
      <c r="AH540" s="251"/>
      <c r="AI540" s="251"/>
      <c r="AJ540" s="251"/>
      <c r="AK540" s="251"/>
      <c r="AL540" s="251"/>
      <c r="AM540" s="251"/>
      <c r="AN540" s="251"/>
      <c r="AO540" s="251"/>
      <c r="AP540" s="251"/>
      <c r="AQ540" s="251"/>
      <c r="AR540" s="251"/>
      <c r="AS540" s="251"/>
      <c r="AT540" s="251"/>
      <c r="AU540" s="251"/>
      <c r="AV540" s="251"/>
      <c r="AW540" s="251"/>
      <c r="AX540" s="251"/>
      <c r="AY540" s="251"/>
      <c r="AZ540" s="251"/>
      <c r="BA540" s="251"/>
      <c r="BB540" s="251"/>
      <c r="BC540" s="251"/>
      <c r="BD540" s="251"/>
      <c r="BE540" s="251"/>
      <c r="BF540" s="251"/>
      <c r="BG540" s="251"/>
      <c r="BH540" s="251"/>
      <c r="BI540" s="251"/>
      <c r="BJ540" s="251"/>
      <c r="BK540" s="251"/>
      <c r="BL540" s="251"/>
      <c r="BM540" s="251"/>
      <c r="BN540" s="251"/>
      <c r="BO540" s="251"/>
      <c r="BP540" s="251"/>
      <c r="BQ540" s="251"/>
      <c r="BR540" s="251"/>
      <c r="BS540" s="251"/>
      <c r="BT540" s="251"/>
      <c r="BU540" s="251"/>
      <c r="BV540" s="251"/>
      <c r="BW540" s="251"/>
      <c r="BX540" s="251"/>
      <c r="BY540" s="251"/>
      <c r="BZ540" s="251"/>
      <c r="CA540" s="251"/>
      <c r="CB540" s="251"/>
      <c r="CC540" s="251"/>
      <c r="CD540" s="251"/>
      <c r="CE540" s="251"/>
      <c r="CF540" s="251"/>
      <c r="CG540" s="251"/>
      <c r="CH540" s="251"/>
      <c r="CI540" s="251"/>
      <c r="CJ540" s="251"/>
      <c r="CK540" s="251"/>
      <c r="CL540" s="251"/>
      <c r="CM540" s="251"/>
      <c r="CN540" s="251"/>
      <c r="CO540" s="251"/>
      <c r="CP540" s="251"/>
      <c r="CQ540" s="251"/>
      <c r="CR540" s="251"/>
      <c r="CS540" s="251"/>
      <c r="CT540" s="251"/>
      <c r="CU540" s="251"/>
      <c r="CV540" s="251"/>
      <c r="CW540" s="251"/>
      <c r="CX540" s="251"/>
      <c r="CY540" s="251"/>
      <c r="CZ540" s="251"/>
      <c r="DA540" s="251"/>
      <c r="DB540" s="251"/>
      <c r="DC540" s="251"/>
      <c r="DD540" s="251"/>
      <c r="DE540" s="251"/>
      <c r="DF540" s="251"/>
      <c r="DG540" s="251"/>
      <c r="DH540" s="251"/>
      <c r="DI540" s="251"/>
      <c r="DJ540" s="251"/>
      <c r="DK540" s="251"/>
      <c r="DL540" s="251"/>
      <c r="DM540" s="251"/>
      <c r="DN540" s="251"/>
      <c r="DO540" s="251"/>
      <c r="DP540" s="251"/>
      <c r="DQ540" s="251"/>
      <c r="DR540" s="251"/>
      <c r="DS540" s="251"/>
      <c r="DT540" s="251"/>
      <c r="DU540" s="251"/>
      <c r="DV540" s="251"/>
      <c r="DW540" s="251"/>
      <c r="DX540" s="251"/>
      <c r="DY540" s="251"/>
      <c r="DZ540" s="251"/>
      <c r="EA540" s="251"/>
      <c r="EB540" s="251"/>
      <c r="EC540" s="251"/>
      <c r="ED540" s="251"/>
      <c r="EE540" s="251"/>
      <c r="EF540" s="251"/>
      <c r="EG540" s="251"/>
      <c r="EH540" s="251"/>
      <c r="EI540" s="251"/>
      <c r="EJ540" s="251"/>
      <c r="EK540" s="251"/>
      <c r="EL540" s="251"/>
      <c r="EM540" s="251"/>
      <c r="EN540" s="251"/>
      <c r="EO540" s="251"/>
      <c r="EP540" s="251"/>
      <c r="EQ540" s="251"/>
      <c r="ER540" s="251"/>
      <c r="ES540" s="251"/>
      <c r="ET540" s="251"/>
      <c r="EU540" s="251"/>
      <c r="EV540" s="251"/>
      <c r="EW540" s="251"/>
      <c r="EX540" s="251"/>
      <c r="EY540" s="251"/>
      <c r="EZ540" s="251"/>
      <c r="FA540" s="251"/>
      <c r="FB540" s="251"/>
      <c r="FC540" s="251"/>
      <c r="FD540" s="251"/>
      <c r="FE540" s="251"/>
      <c r="FF540" s="251"/>
      <c r="FG540" s="251"/>
      <c r="FH540" s="251"/>
      <c r="FI540" s="251"/>
      <c r="FJ540" s="251"/>
      <c r="FK540" s="251"/>
      <c r="FL540" s="251"/>
      <c r="FM540" s="251"/>
      <c r="FN540" s="251"/>
      <c r="FO540" s="251"/>
      <c r="FP540" s="251"/>
      <c r="FQ540" s="251"/>
      <c r="FR540" s="251"/>
      <c r="FS540" s="251"/>
      <c r="FT540" s="251"/>
      <c r="FU540" s="251"/>
      <c r="FV540" s="251"/>
      <c r="FW540" s="251"/>
      <c r="FX540" s="251"/>
      <c r="FY540" s="251"/>
      <c r="FZ540" s="251"/>
      <c r="GA540" s="251"/>
      <c r="GB540" s="251"/>
      <c r="GC540" s="251"/>
      <c r="GD540" s="251"/>
      <c r="GE540" s="251"/>
      <c r="GF540" s="251"/>
      <c r="GG540" s="251"/>
      <c r="GH540" s="251"/>
      <c r="GI540" s="251"/>
      <c r="GJ540" s="251"/>
      <c r="GK540" s="251"/>
      <c r="GL540" s="251"/>
      <c r="GM540" s="251"/>
      <c r="GN540" s="251"/>
      <c r="GO540" s="251"/>
      <c r="GP540" s="251"/>
      <c r="GQ540" s="251"/>
      <c r="GR540" s="251"/>
      <c r="GS540" s="251"/>
      <c r="GT540" s="251"/>
      <c r="GU540" s="251"/>
      <c r="GV540" s="251"/>
      <c r="GW540" s="251"/>
      <c r="GX540" s="251"/>
      <c r="GY540" s="251"/>
      <c r="GZ540" s="251"/>
      <c r="HA540" s="251"/>
      <c r="HB540" s="251"/>
      <c r="HC540" s="251"/>
      <c r="HD540" s="251"/>
      <c r="HE540" s="251"/>
      <c r="HF540" s="251"/>
      <c r="HG540" s="251"/>
      <c r="HH540" s="251"/>
      <c r="HI540" s="251"/>
      <c r="HJ540" s="251"/>
      <c r="HK540" s="251"/>
      <c r="HL540" s="251"/>
      <c r="HM540" s="251"/>
      <c r="HN540" s="251"/>
      <c r="HO540" s="251"/>
      <c r="HP540" s="251"/>
      <c r="HQ540" s="251"/>
      <c r="HR540" s="251"/>
      <c r="HS540" s="251"/>
      <c r="HT540" s="251"/>
      <c r="HU540" s="251"/>
      <c r="HV540" s="251"/>
      <c r="HW540" s="251"/>
      <c r="HX540" s="251"/>
      <c r="HY540" s="251"/>
      <c r="HZ540" s="251"/>
      <c r="IA540" s="251"/>
      <c r="IB540" s="251"/>
      <c r="IC540" s="251"/>
      <c r="ID540" s="251"/>
      <c r="IE540" s="251"/>
      <c r="IF540" s="251"/>
      <c r="IG540" s="251"/>
      <c r="IH540" s="251"/>
      <c r="II540" s="251"/>
      <c r="IJ540" s="251"/>
      <c r="IK540" s="251"/>
      <c r="IL540" s="251"/>
      <c r="IM540" s="251"/>
      <c r="IN540" s="251"/>
      <c r="IO540" s="251"/>
      <c r="IP540" s="251"/>
      <c r="IQ540" s="251"/>
      <c r="IR540" s="251"/>
      <c r="IS540" s="251"/>
      <c r="IT540" s="251"/>
      <c r="IU540" s="251"/>
      <c r="IV540" s="251"/>
      <c r="IW540" s="251"/>
      <c r="IX540" s="251"/>
      <c r="IY540" s="251"/>
      <c r="IZ540" s="251"/>
      <c r="JA540" s="251"/>
      <c r="JB540" s="251"/>
      <c r="JC540" s="251"/>
      <c r="JD540" s="251"/>
      <c r="JE540" s="251"/>
      <c r="JF540" s="251"/>
      <c r="JG540" s="251"/>
      <c r="JH540" s="251"/>
      <c r="JI540" s="251"/>
      <c r="JJ540" s="251"/>
      <c r="JK540" s="251"/>
      <c r="JL540" s="251"/>
      <c r="JM540" s="251"/>
      <c r="JN540" s="251"/>
      <c r="JO540" s="251"/>
      <c r="JP540" s="251"/>
      <c r="JQ540" s="251"/>
      <c r="JR540" s="251"/>
      <c r="JS540" s="251"/>
      <c r="JT540" s="251"/>
      <c r="JU540" s="251"/>
      <c r="JV540" s="251"/>
      <c r="JW540" s="251"/>
      <c r="JX540" s="251"/>
      <c r="JY540" s="251"/>
      <c r="JZ540" s="251"/>
      <c r="KA540" s="251"/>
      <c r="KB540" s="251"/>
      <c r="KC540" s="251"/>
      <c r="KD540" s="251"/>
      <c r="KE540" s="251"/>
      <c r="KF540" s="251"/>
      <c r="KG540" s="251"/>
      <c r="KH540" s="251"/>
      <c r="KI540" s="251"/>
      <c r="KJ540" s="251"/>
      <c r="KK540" s="251"/>
      <c r="KL540" s="251"/>
      <c r="KM540" s="251"/>
      <c r="KN540" s="251"/>
      <c r="KO540" s="251"/>
      <c r="KP540" s="251"/>
      <c r="KQ540" s="251"/>
      <c r="KR540" s="251"/>
      <c r="KS540" s="251"/>
      <c r="KT540" s="251"/>
      <c r="KU540" s="251"/>
      <c r="KV540" s="251"/>
      <c r="KW540" s="251"/>
      <c r="KX540" s="251"/>
      <c r="KY540" s="251"/>
      <c r="KZ540" s="251"/>
      <c r="LA540" s="251"/>
      <c r="LB540" s="251"/>
      <c r="LC540" s="251"/>
      <c r="LD540" s="251"/>
      <c r="LE540" s="251"/>
      <c r="LF540" s="251"/>
      <c r="LG540" s="251"/>
      <c r="LH540" s="251"/>
      <c r="LI540" s="251"/>
      <c r="LJ540" s="251"/>
      <c r="LK540" s="251"/>
      <c r="LL540" s="308"/>
      <c r="LM540" s="308"/>
      <c r="LN540" s="308"/>
      <c r="LO540" s="308"/>
      <c r="LP540" s="308"/>
      <c r="LQ540" s="308"/>
      <c r="LR540" s="308"/>
      <c r="LS540" s="308"/>
      <c r="LT540" s="308"/>
      <c r="LU540" s="308"/>
      <c r="LV540" s="308"/>
      <c r="LW540" s="308"/>
      <c r="LX540" s="308"/>
      <c r="LY540" s="308"/>
      <c r="LZ540" s="308"/>
      <c r="MA540" s="308"/>
      <c r="MB540" s="308"/>
      <c r="MC540" s="308"/>
      <c r="MD540" s="308"/>
      <c r="ME540" s="308"/>
      <c r="MF540" s="308"/>
      <c r="MG540" s="308"/>
      <c r="MH540" s="308"/>
      <c r="MI540" s="308"/>
      <c r="MJ540" s="308"/>
      <c r="MK540" s="308"/>
      <c r="ML540" s="308"/>
      <c r="MM540" s="308"/>
      <c r="MN540" s="308"/>
      <c r="MO540" s="308"/>
      <c r="MP540" s="308"/>
      <c r="MQ540" s="308"/>
      <c r="MR540" s="308"/>
      <c r="MS540" s="308"/>
      <c r="MT540" s="308"/>
      <c r="MU540" s="308"/>
      <c r="MV540" s="308"/>
      <c r="MW540" s="308"/>
      <c r="MX540" s="308"/>
      <c r="MY540" s="308"/>
      <c r="MZ540" s="308"/>
      <c r="NA540" s="308"/>
      <c r="NB540" s="308"/>
      <c r="NC540" s="308"/>
      <c r="ND540" s="308"/>
      <c r="NE540" s="308"/>
      <c r="NF540" s="308"/>
      <c r="NG540" s="308"/>
      <c r="NH540" s="308"/>
      <c r="NI540" s="308"/>
      <c r="NJ540" s="308"/>
      <c r="NK540" s="308"/>
      <c r="NL540" s="308"/>
      <c r="NM540" s="308"/>
      <c r="NN540" s="308"/>
      <c r="NO540" s="308"/>
      <c r="NP540" s="308"/>
      <c r="NQ540" s="308"/>
      <c r="NR540" s="308"/>
      <c r="NS540" s="308"/>
      <c r="NT540" s="308"/>
      <c r="NU540" s="308"/>
      <c r="NV540" s="308"/>
      <c r="NW540" s="308"/>
      <c r="NX540" s="308"/>
      <c r="NY540" s="308"/>
      <c r="NZ540" s="308"/>
      <c r="OA540" s="308"/>
      <c r="OB540" s="308"/>
      <c r="OC540" s="308"/>
      <c r="OD540" s="308"/>
      <c r="OE540" s="308"/>
      <c r="OF540" s="308"/>
      <c r="OG540" s="308"/>
      <c r="OH540" s="308"/>
      <c r="OI540" s="308"/>
      <c r="OJ540" s="308"/>
      <c r="OK540" s="308"/>
      <c r="OL540" s="308"/>
      <c r="OM540" s="308"/>
      <c r="ON540" s="308"/>
      <c r="OO540" s="308"/>
      <c r="OP540" s="308"/>
      <c r="OQ540" s="308"/>
      <c r="OR540" s="308"/>
      <c r="OS540" s="308"/>
      <c r="OT540" s="308"/>
      <c r="OU540" s="308"/>
      <c r="OV540" s="308"/>
      <c r="OW540" s="308"/>
      <c r="OX540" s="308"/>
      <c r="OY540" s="308"/>
      <c r="OZ540" s="308"/>
      <c r="PA540" s="308"/>
      <c r="PB540" s="308"/>
      <c r="PC540" s="308"/>
      <c r="PD540" s="308"/>
      <c r="PE540" s="308"/>
      <c r="PF540" s="308"/>
      <c r="PG540" s="308"/>
      <c r="PH540" s="308"/>
      <c r="PI540" s="308"/>
      <c r="PJ540" s="308"/>
      <c r="PK540" s="308"/>
      <c r="PL540" s="308"/>
      <c r="PM540" s="308"/>
      <c r="PN540" s="308"/>
      <c r="PO540" s="308"/>
      <c r="PP540" s="308"/>
      <c r="PQ540" s="308"/>
      <c r="PR540" s="308"/>
      <c r="PS540" s="308"/>
      <c r="PT540" s="308"/>
      <c r="PU540" s="308"/>
      <c r="PV540" s="308"/>
      <c r="PW540" s="308"/>
      <c r="PX540" s="308"/>
      <c r="PY540" s="308"/>
      <c r="PZ540" s="308"/>
      <c r="QA540" s="308"/>
      <c r="QB540" s="308"/>
      <c r="QC540" s="308"/>
      <c r="QD540" s="308"/>
      <c r="QE540" s="308"/>
      <c r="QF540" s="308"/>
      <c r="QG540" s="308"/>
      <c r="QH540" s="308"/>
      <c r="QI540" s="308"/>
      <c r="QJ540" s="308"/>
      <c r="QK540" s="308"/>
      <c r="QL540" s="308"/>
      <c r="QM540" s="308"/>
      <c r="QN540" s="308"/>
      <c r="QO540" s="308"/>
      <c r="QP540" s="308"/>
      <c r="QQ540" s="308"/>
      <c r="QR540" s="308"/>
      <c r="QS540" s="308"/>
      <c r="QT540" s="308"/>
      <c r="QU540" s="308"/>
      <c r="QV540" s="308"/>
      <c r="QW540" s="308"/>
      <c r="QX540" s="308"/>
      <c r="QY540" s="308"/>
      <c r="QZ540" s="308"/>
      <c r="RA540" s="308"/>
      <c r="RB540" s="308"/>
      <c r="RC540" s="308"/>
      <c r="RD540" s="308"/>
      <c r="RE540" s="308"/>
      <c r="RF540" s="308"/>
      <c r="RG540" s="308"/>
      <c r="RH540" s="308"/>
      <c r="RI540" s="308"/>
      <c r="RJ540" s="308"/>
      <c r="RK540" s="308"/>
      <c r="RL540" s="308"/>
      <c r="RM540" s="308"/>
      <c r="RN540" s="308"/>
      <c r="RO540" s="308"/>
      <c r="RP540" s="308"/>
      <c r="RQ540" s="308"/>
      <c r="RR540" s="308"/>
      <c r="RS540" s="308"/>
      <c r="RT540" s="308"/>
      <c r="RU540" s="308"/>
      <c r="RV540" s="308"/>
      <c r="RW540" s="308"/>
      <c r="RX540" s="308"/>
      <c r="RY540" s="308"/>
      <c r="RZ540" s="308"/>
      <c r="SA540" s="308"/>
      <c r="SB540" s="308"/>
      <c r="SC540" s="308"/>
      <c r="SD540" s="308"/>
      <c r="SE540" s="308"/>
      <c r="SF540" s="308"/>
      <c r="SG540" s="308"/>
      <c r="SH540" s="308"/>
      <c r="SI540" s="308"/>
      <c r="SJ540" s="308"/>
      <c r="SK540" s="308"/>
      <c r="SL540" s="308"/>
      <c r="SM540" s="308"/>
      <c r="SN540" s="308"/>
      <c r="SO540" s="308"/>
      <c r="SP540" s="308"/>
      <c r="SQ540" s="308"/>
      <c r="SR540" s="308"/>
      <c r="SS540" s="308"/>
      <c r="ST540" s="308"/>
      <c r="SU540" s="308"/>
      <c r="SV540" s="308"/>
      <c r="SW540" s="308"/>
      <c r="SX540" s="308"/>
      <c r="SY540" s="308"/>
      <c r="SZ540" s="308"/>
      <c r="TA540" s="308"/>
      <c r="TB540" s="308"/>
      <c r="TC540" s="308"/>
      <c r="TD540" s="308"/>
      <c r="TE540" s="308"/>
      <c r="TF540" s="308"/>
      <c r="TG540" s="308"/>
      <c r="TH540" s="308"/>
      <c r="TI540" s="308"/>
      <c r="TJ540" s="308"/>
      <c r="TK540" s="308"/>
      <c r="TL540" s="308"/>
      <c r="TM540" s="308"/>
      <c r="TN540" s="308"/>
      <c r="TO540" s="308"/>
      <c r="TP540" s="308"/>
      <c r="TQ540" s="308"/>
      <c r="TR540" s="308"/>
      <c r="TS540" s="308"/>
      <c r="TT540" s="308"/>
      <c r="TU540" s="308"/>
      <c r="TV540" s="308"/>
      <c r="TW540" s="308"/>
      <c r="TX540" s="308"/>
      <c r="TY540" s="308"/>
      <c r="TZ540" s="308"/>
      <c r="UA540" s="308"/>
      <c r="UB540" s="308"/>
      <c r="UC540" s="308"/>
      <c r="UD540" s="308"/>
      <c r="UE540" s="308"/>
      <c r="UF540" s="308"/>
      <c r="UG540" s="308"/>
      <c r="UH540" s="308"/>
      <c r="UI540" s="308"/>
      <c r="UJ540" s="308"/>
      <c r="UK540" s="308"/>
      <c r="UL540" s="308"/>
      <c r="UM540" s="308"/>
      <c r="UN540" s="308"/>
      <c r="UO540" s="308"/>
      <c r="UP540" s="308"/>
      <c r="UQ540" s="308"/>
      <c r="UR540" s="308"/>
      <c r="US540" s="308"/>
      <c r="UT540" s="308"/>
      <c r="UU540" s="308"/>
      <c r="UV540" s="308"/>
      <c r="UW540" s="308"/>
      <c r="UX540" s="308"/>
      <c r="UY540" s="308"/>
      <c r="UZ540" s="308"/>
      <c r="VA540" s="308"/>
      <c r="VB540" s="308"/>
      <c r="VC540" s="308"/>
      <c r="VD540" s="308"/>
      <c r="VE540" s="308"/>
      <c r="VF540" s="308"/>
      <c r="VG540" s="308"/>
      <c r="VH540" s="308"/>
      <c r="VI540" s="308"/>
      <c r="VJ540" s="308"/>
      <c r="VK540" s="308"/>
      <c r="VL540" s="308"/>
      <c r="VM540" s="308"/>
      <c r="VN540" s="308"/>
      <c r="VO540" s="308"/>
      <c r="VP540" s="308"/>
      <c r="VQ540" s="308"/>
      <c r="VR540" s="308"/>
      <c r="VS540" s="308"/>
      <c r="VT540" s="308"/>
      <c r="VU540" s="308"/>
      <c r="VV540" s="308"/>
      <c r="VW540" s="308"/>
      <c r="VX540" s="308"/>
      <c r="VY540" s="308"/>
      <c r="VZ540" s="308"/>
      <c r="WA540" s="308"/>
      <c r="WB540" s="308"/>
      <c r="WC540" s="308"/>
      <c r="WD540" s="308"/>
      <c r="WE540" s="308"/>
      <c r="WF540" s="308"/>
      <c r="WG540" s="308"/>
      <c r="WH540" s="308"/>
      <c r="WI540" s="308"/>
      <c r="WJ540" s="308"/>
      <c r="WK540" s="308"/>
      <c r="WL540" s="308"/>
      <c r="WM540" s="308"/>
      <c r="WN540" s="308"/>
      <c r="WO540" s="308"/>
      <c r="WP540" s="308"/>
      <c r="WQ540" s="308"/>
      <c r="WR540" s="308"/>
      <c r="WS540" s="308"/>
      <c r="WT540" s="308"/>
      <c r="WU540" s="308"/>
      <c r="WV540" s="308"/>
      <c r="WW540" s="308"/>
      <c r="WX540" s="308"/>
      <c r="WY540" s="308"/>
      <c r="WZ540" s="308"/>
      <c r="XA540" s="308"/>
      <c r="XB540" s="308"/>
      <c r="XC540" s="308"/>
      <c r="XD540" s="308"/>
      <c r="XE540" s="308"/>
      <c r="XF540" s="308"/>
      <c r="XG540" s="308"/>
      <c r="XH540" s="308"/>
      <c r="XI540" s="308"/>
      <c r="XJ540" s="308"/>
      <c r="XK540" s="308"/>
      <c r="XL540" s="308"/>
      <c r="XM540" s="308"/>
      <c r="XN540" s="308"/>
      <c r="XO540" s="308"/>
      <c r="XP540" s="308"/>
      <c r="XQ540" s="308"/>
      <c r="XR540" s="308"/>
      <c r="XS540" s="308"/>
      <c r="XT540" s="308"/>
      <c r="XU540" s="308"/>
      <c r="XV540" s="308"/>
      <c r="XW540" s="308"/>
      <c r="XX540" s="308"/>
      <c r="XY540" s="308"/>
      <c r="XZ540" s="308"/>
      <c r="YA540" s="308"/>
      <c r="YB540" s="308"/>
      <c r="YC540" s="308"/>
      <c r="YD540" s="308"/>
      <c r="YE540" s="308"/>
      <c r="YF540" s="308"/>
      <c r="YG540" s="308"/>
      <c r="YH540" s="308"/>
      <c r="YI540" s="308"/>
      <c r="YJ540" s="308"/>
      <c r="YK540" s="308"/>
      <c r="YL540" s="308"/>
      <c r="YM540" s="308"/>
      <c r="YN540" s="308"/>
      <c r="YO540" s="308"/>
      <c r="YP540" s="308"/>
      <c r="YQ540" s="308"/>
      <c r="YR540" s="308"/>
      <c r="YS540" s="308"/>
      <c r="YT540" s="308"/>
      <c r="YU540" s="308"/>
      <c r="YV540" s="308"/>
      <c r="YW540" s="308"/>
      <c r="YX540" s="308"/>
      <c r="YY540" s="308"/>
      <c r="YZ540" s="308"/>
      <c r="ZA540" s="308"/>
      <c r="ZB540" s="308"/>
      <c r="ZC540" s="308"/>
      <c r="ZD540" s="308"/>
      <c r="ZE540" s="308"/>
      <c r="ZF540" s="308"/>
      <c r="ZG540" s="308"/>
      <c r="ZH540" s="308"/>
      <c r="ZI540" s="308"/>
      <c r="ZJ540" s="308"/>
      <c r="ZK540" s="308"/>
      <c r="ZL540" s="308"/>
      <c r="ZM540" s="308"/>
      <c r="ZN540" s="308"/>
      <c r="ZO540" s="308"/>
      <c r="ZP540" s="308"/>
      <c r="ZQ540" s="308"/>
      <c r="ZR540" s="308"/>
      <c r="ZS540" s="308"/>
      <c r="ZT540" s="308"/>
      <c r="ZU540" s="308"/>
      <c r="ZV540" s="308"/>
      <c r="ZW540" s="308"/>
      <c r="ZX540" s="308"/>
      <c r="ZY540" s="308"/>
      <c r="ZZ540" s="308"/>
      <c r="AAA540" s="308"/>
      <c r="AAB540" s="308"/>
      <c r="AAC540" s="308"/>
      <c r="AAD540" s="308"/>
      <c r="AAE540" s="308"/>
      <c r="AAF540" s="308"/>
      <c r="AAG540" s="308"/>
      <c r="AAH540" s="308"/>
      <c r="AAI540" s="308"/>
      <c r="AAJ540" s="308"/>
      <c r="AAK540" s="308"/>
      <c r="AAL540" s="308"/>
      <c r="AAM540" s="308"/>
      <c r="AAN540" s="308"/>
      <c r="AAO540" s="308"/>
      <c r="AAP540" s="308"/>
      <c r="AAQ540" s="308"/>
      <c r="AAR540" s="308"/>
      <c r="AAS540" s="308"/>
      <c r="AAT540" s="308"/>
      <c r="AAU540" s="308"/>
      <c r="AAV540" s="308"/>
      <c r="AAW540" s="308"/>
      <c r="AAX540" s="308"/>
      <c r="AAY540" s="308"/>
      <c r="AAZ540" s="308"/>
      <c r="ABA540" s="308"/>
      <c r="ABB540" s="308"/>
      <c r="ABC540" s="308"/>
      <c r="ABD540" s="308"/>
      <c r="ABE540" s="308"/>
      <c r="ABF540" s="308"/>
      <c r="ABG540" s="308"/>
      <c r="ABH540" s="308"/>
      <c r="ABI540" s="308"/>
      <c r="ABJ540" s="308"/>
      <c r="ABK540" s="308"/>
      <c r="ABL540" s="308"/>
      <c r="ABM540" s="308"/>
      <c r="ABN540" s="308"/>
      <c r="ABO540" s="308"/>
      <c r="ABP540" s="308"/>
      <c r="ABQ540" s="308"/>
      <c r="ABR540" s="308"/>
      <c r="ABS540" s="308"/>
      <c r="ABT540" s="308"/>
      <c r="ABU540" s="308"/>
      <c r="ABV540" s="308"/>
      <c r="ABW540" s="308"/>
      <c r="ABX540" s="308"/>
      <c r="ABY540" s="308"/>
      <c r="ABZ540" s="308"/>
      <c r="ACA540" s="308"/>
      <c r="ACB540" s="308"/>
      <c r="ACC540" s="308"/>
      <c r="ACD540" s="308"/>
      <c r="ACE540" s="308"/>
      <c r="ACF540" s="308"/>
      <c r="ACG540" s="308"/>
      <c r="ACH540" s="308"/>
      <c r="ACI540" s="308"/>
      <c r="ACJ540" s="308"/>
      <c r="ACK540" s="308"/>
      <c r="ACL540" s="308"/>
      <c r="ACM540" s="308"/>
      <c r="ACN540" s="308"/>
      <c r="ACO540" s="308"/>
      <c r="ACP540" s="308"/>
      <c r="ACQ540" s="308"/>
      <c r="ACR540" s="308"/>
      <c r="ACS540" s="308"/>
      <c r="ACT540" s="308"/>
      <c r="ACU540" s="308"/>
      <c r="ACV540" s="308"/>
    </row>
    <row r="541" spans="1:776" x14ac:dyDescent="0.25">
      <c r="A541" s="583">
        <v>900240</v>
      </c>
      <c r="B541" s="483" t="str">
        <f t="shared" si="14"/>
        <v>-8,73/+10,82  (EC  10,7)</v>
      </c>
      <c r="C541" s="513"/>
      <c r="D541" s="305" t="s">
        <v>435</v>
      </c>
      <c r="E541" s="305">
        <v>1.07</v>
      </c>
      <c r="F541" s="306">
        <v>3.4</v>
      </c>
      <c r="G541" s="305">
        <v>0</v>
      </c>
      <c r="H541" s="305">
        <v>0.18</v>
      </c>
      <c r="I541" s="307">
        <v>72.69</v>
      </c>
      <c r="J541" s="305">
        <v>135</v>
      </c>
      <c r="K541" s="305">
        <v>0</v>
      </c>
      <c r="L541" s="305">
        <v>232.8</v>
      </c>
      <c r="M541" s="305">
        <v>0</v>
      </c>
      <c r="N541" s="305">
        <v>3.39</v>
      </c>
      <c r="O541" s="305">
        <v>162.94999999999999</v>
      </c>
      <c r="P541" s="305">
        <v>25.31</v>
      </c>
      <c r="Q541" s="305">
        <v>28.45</v>
      </c>
      <c r="R541" s="305">
        <v>0.05</v>
      </c>
      <c r="S541" s="397">
        <v>1.0000000000000001E-5</v>
      </c>
      <c r="T541" s="305">
        <v>0.03</v>
      </c>
      <c r="U541" s="305">
        <v>0.54</v>
      </c>
      <c r="V541" s="397">
        <v>1.0000000000000001E-5</v>
      </c>
      <c r="W541" s="251"/>
      <c r="X541" s="251"/>
      <c r="Y541" s="251"/>
      <c r="Z541" s="251"/>
      <c r="AA541" s="251"/>
      <c r="AB541" s="251"/>
      <c r="AC541" s="251"/>
      <c r="AD541" s="251"/>
      <c r="AE541" s="251"/>
      <c r="AF541" s="251"/>
      <c r="AG541" s="251"/>
      <c r="AH541" s="251"/>
      <c r="AI541" s="251"/>
      <c r="AJ541" s="251"/>
      <c r="AK541" s="251"/>
      <c r="AL541" s="251"/>
      <c r="AM541" s="251"/>
      <c r="AN541" s="251"/>
      <c r="AO541" s="251"/>
      <c r="AP541" s="251"/>
      <c r="AQ541" s="251"/>
      <c r="AR541" s="251"/>
      <c r="AS541" s="251"/>
      <c r="AT541" s="251"/>
      <c r="AU541" s="251"/>
      <c r="AV541" s="251"/>
      <c r="AW541" s="251"/>
      <c r="AX541" s="251"/>
      <c r="AY541" s="251"/>
      <c r="AZ541" s="251"/>
      <c r="BA541" s="251"/>
      <c r="BB541" s="251"/>
      <c r="BC541" s="251"/>
      <c r="BD541" s="251"/>
      <c r="BE541" s="251"/>
      <c r="BF541" s="251"/>
      <c r="BG541" s="251"/>
      <c r="BH541" s="251"/>
      <c r="BI541" s="251"/>
      <c r="BJ541" s="251"/>
      <c r="BK541" s="251"/>
      <c r="BL541" s="251"/>
      <c r="BM541" s="251"/>
      <c r="BN541" s="251"/>
      <c r="BO541" s="251"/>
      <c r="BP541" s="251"/>
      <c r="BQ541" s="251"/>
      <c r="BR541" s="251"/>
      <c r="BS541" s="251"/>
      <c r="BT541" s="251"/>
      <c r="BU541" s="251"/>
      <c r="BV541" s="251"/>
      <c r="BW541" s="251"/>
      <c r="BX541" s="251"/>
      <c r="BY541" s="251"/>
      <c r="BZ541" s="251"/>
      <c r="CA541" s="251"/>
      <c r="CB541" s="251"/>
      <c r="CC541" s="251"/>
      <c r="CD541" s="251"/>
      <c r="CE541" s="251"/>
      <c r="CF541" s="251"/>
      <c r="CG541" s="251"/>
      <c r="CH541" s="251"/>
      <c r="CI541" s="251"/>
      <c r="CJ541" s="251"/>
      <c r="CK541" s="251"/>
      <c r="CL541" s="251"/>
      <c r="CM541" s="251"/>
      <c r="CN541" s="251"/>
      <c r="CO541" s="251"/>
      <c r="CP541" s="251"/>
      <c r="CQ541" s="251"/>
      <c r="CR541" s="251"/>
      <c r="CS541" s="251"/>
      <c r="CT541" s="251"/>
      <c r="CU541" s="251"/>
      <c r="CV541" s="251"/>
      <c r="CW541" s="251"/>
      <c r="CX541" s="251"/>
      <c r="CY541" s="251"/>
      <c r="CZ541" s="251"/>
      <c r="DA541" s="251"/>
      <c r="DB541" s="251"/>
      <c r="DC541" s="251"/>
      <c r="DD541" s="251"/>
      <c r="DE541" s="251"/>
      <c r="DF541" s="251"/>
      <c r="DG541" s="251"/>
      <c r="DH541" s="251"/>
      <c r="DI541" s="251"/>
      <c r="DJ541" s="251"/>
      <c r="DK541" s="251"/>
      <c r="DL541" s="251"/>
      <c r="DM541" s="251"/>
      <c r="DN541" s="251"/>
      <c r="DO541" s="251"/>
      <c r="DP541" s="251"/>
      <c r="DQ541" s="251"/>
      <c r="DR541" s="251"/>
      <c r="DS541" s="251"/>
      <c r="DT541" s="251"/>
      <c r="DU541" s="251"/>
      <c r="DV541" s="251"/>
      <c r="DW541" s="251"/>
      <c r="DX541" s="251"/>
      <c r="DY541" s="251"/>
      <c r="DZ541" s="251"/>
      <c r="EA541" s="251"/>
      <c r="EB541" s="251"/>
      <c r="EC541" s="251"/>
      <c r="ED541" s="251"/>
      <c r="EE541" s="251"/>
      <c r="EF541" s="251"/>
      <c r="EG541" s="251"/>
      <c r="EH541" s="251"/>
      <c r="EI541" s="251"/>
      <c r="EJ541" s="251"/>
      <c r="EK541" s="251"/>
      <c r="EL541" s="251"/>
      <c r="EM541" s="251"/>
      <c r="EN541" s="251"/>
      <c r="EO541" s="251"/>
      <c r="EP541" s="251"/>
      <c r="EQ541" s="251"/>
      <c r="ER541" s="251"/>
      <c r="ES541" s="251"/>
      <c r="ET541" s="251"/>
      <c r="EU541" s="251"/>
      <c r="EV541" s="251"/>
      <c r="EW541" s="251"/>
      <c r="EX541" s="251"/>
      <c r="EY541" s="251"/>
      <c r="EZ541" s="251"/>
      <c r="FA541" s="251"/>
      <c r="FB541" s="251"/>
      <c r="FC541" s="251"/>
      <c r="FD541" s="251"/>
      <c r="FE541" s="251"/>
      <c r="FF541" s="251"/>
      <c r="FG541" s="251"/>
      <c r="FH541" s="251"/>
      <c r="FI541" s="251"/>
      <c r="FJ541" s="251"/>
      <c r="FK541" s="251"/>
      <c r="FL541" s="251"/>
      <c r="FM541" s="251"/>
      <c r="FN541" s="251"/>
      <c r="FO541" s="251"/>
      <c r="FP541" s="251"/>
      <c r="FQ541" s="251"/>
      <c r="FR541" s="251"/>
      <c r="FS541" s="251"/>
      <c r="FT541" s="251"/>
      <c r="FU541" s="251"/>
      <c r="FV541" s="251"/>
      <c r="FW541" s="251"/>
      <c r="FX541" s="251"/>
      <c r="FY541" s="251"/>
      <c r="FZ541" s="251"/>
      <c r="GA541" s="251"/>
      <c r="GB541" s="251"/>
      <c r="GC541" s="251"/>
      <c r="GD541" s="251"/>
      <c r="GE541" s="251"/>
      <c r="GF541" s="251"/>
      <c r="GG541" s="251"/>
      <c r="GH541" s="251"/>
      <c r="GI541" s="251"/>
      <c r="GJ541" s="251"/>
      <c r="GK541" s="251"/>
      <c r="GL541" s="251"/>
      <c r="GM541" s="251"/>
      <c r="GN541" s="251"/>
      <c r="GO541" s="251"/>
      <c r="GP541" s="251"/>
      <c r="GQ541" s="251"/>
      <c r="GR541" s="251"/>
      <c r="GS541" s="251"/>
      <c r="GT541" s="251"/>
      <c r="GU541" s="251"/>
      <c r="GV541" s="251"/>
      <c r="GW541" s="251"/>
      <c r="GX541" s="251"/>
      <c r="GY541" s="251"/>
      <c r="GZ541" s="251"/>
      <c r="HA541" s="251"/>
      <c r="HB541" s="251"/>
      <c r="HC541" s="251"/>
      <c r="HD541" s="251"/>
      <c r="HE541" s="251"/>
      <c r="HF541" s="251"/>
      <c r="HG541" s="251"/>
      <c r="HH541" s="251"/>
      <c r="HI541" s="251"/>
      <c r="HJ541" s="251"/>
      <c r="HK541" s="251"/>
      <c r="HL541" s="251"/>
      <c r="HM541" s="251"/>
      <c r="HN541" s="251"/>
      <c r="HO541" s="251"/>
      <c r="HP541" s="251"/>
      <c r="HQ541" s="251"/>
      <c r="HR541" s="251"/>
      <c r="HS541" s="251"/>
      <c r="HT541" s="251"/>
      <c r="HU541" s="251"/>
      <c r="HV541" s="251"/>
      <c r="HW541" s="251"/>
      <c r="HX541" s="251"/>
      <c r="HY541" s="251"/>
      <c r="HZ541" s="251"/>
      <c r="IA541" s="251"/>
      <c r="IB541" s="251"/>
      <c r="IC541" s="251"/>
      <c r="ID541" s="251"/>
      <c r="IE541" s="251"/>
      <c r="IF541" s="251"/>
      <c r="IG541" s="251"/>
      <c r="IH541" s="251"/>
      <c r="II541" s="251"/>
      <c r="IJ541" s="251"/>
      <c r="IK541" s="251"/>
      <c r="IL541" s="251"/>
      <c r="IM541" s="251"/>
      <c r="IN541" s="251"/>
      <c r="IO541" s="251"/>
      <c r="IP541" s="251"/>
      <c r="IQ541" s="251"/>
      <c r="IR541" s="251"/>
      <c r="IS541" s="251"/>
      <c r="IT541" s="251"/>
      <c r="IU541" s="251"/>
      <c r="IV541" s="251"/>
      <c r="IW541" s="251"/>
      <c r="IX541" s="251"/>
      <c r="IY541" s="251"/>
      <c r="IZ541" s="251"/>
      <c r="JA541" s="251"/>
      <c r="JB541" s="251"/>
      <c r="JC541" s="251"/>
      <c r="JD541" s="251"/>
      <c r="JE541" s="251"/>
      <c r="JF541" s="251"/>
      <c r="JG541" s="251"/>
      <c r="JH541" s="251"/>
      <c r="JI541" s="251"/>
      <c r="JJ541" s="251"/>
      <c r="JK541" s="251"/>
      <c r="JL541" s="251"/>
      <c r="JM541" s="251"/>
      <c r="JN541" s="251"/>
      <c r="JO541" s="251"/>
      <c r="JP541" s="251"/>
      <c r="JQ541" s="251"/>
      <c r="JR541" s="251"/>
      <c r="JS541" s="251"/>
      <c r="JT541" s="251"/>
      <c r="JU541" s="251"/>
      <c r="JV541" s="251"/>
      <c r="JW541" s="251"/>
      <c r="JX541" s="251"/>
      <c r="JY541" s="251"/>
      <c r="JZ541" s="251"/>
      <c r="KA541" s="251"/>
      <c r="KB541" s="251"/>
      <c r="KC541" s="251"/>
      <c r="KD541" s="251"/>
      <c r="KE541" s="251"/>
      <c r="KF541" s="251"/>
      <c r="KG541" s="251"/>
      <c r="KH541" s="251"/>
      <c r="KI541" s="251"/>
      <c r="KJ541" s="251"/>
      <c r="KK541" s="251"/>
      <c r="KL541" s="251"/>
      <c r="KM541" s="251"/>
      <c r="KN541" s="251"/>
      <c r="KO541" s="251"/>
      <c r="KP541" s="251"/>
      <c r="KQ541" s="251"/>
      <c r="KR541" s="251"/>
      <c r="KS541" s="251"/>
      <c r="KT541" s="251"/>
      <c r="KU541" s="251"/>
      <c r="KV541" s="251"/>
      <c r="KW541" s="251"/>
      <c r="KX541" s="251"/>
      <c r="KY541" s="251"/>
      <c r="KZ541" s="251"/>
      <c r="LA541" s="251"/>
      <c r="LB541" s="251"/>
      <c r="LC541" s="251"/>
      <c r="LD541" s="251"/>
      <c r="LE541" s="251"/>
      <c r="LF541" s="251"/>
      <c r="LG541" s="251"/>
      <c r="LH541" s="251"/>
      <c r="LI541" s="251"/>
      <c r="LJ541" s="251"/>
      <c r="LK541" s="251"/>
      <c r="LL541" s="308"/>
      <c r="LM541" s="308"/>
      <c r="LN541" s="308"/>
      <c r="LO541" s="308"/>
      <c r="LP541" s="308"/>
      <c r="LQ541" s="308"/>
      <c r="LR541" s="308"/>
      <c r="LS541" s="308"/>
      <c r="LT541" s="308"/>
      <c r="LU541" s="308"/>
      <c r="LV541" s="308"/>
      <c r="LW541" s="308"/>
      <c r="LX541" s="308"/>
      <c r="LY541" s="308"/>
      <c r="LZ541" s="308"/>
      <c r="MA541" s="308"/>
      <c r="MB541" s="308"/>
      <c r="MC541" s="308"/>
      <c r="MD541" s="308"/>
      <c r="ME541" s="308"/>
      <c r="MF541" s="308"/>
      <c r="MG541" s="308"/>
      <c r="MH541" s="308"/>
      <c r="MI541" s="308"/>
      <c r="MJ541" s="308"/>
      <c r="MK541" s="308"/>
      <c r="ML541" s="308"/>
      <c r="MM541" s="308"/>
      <c r="MN541" s="308"/>
      <c r="MO541" s="308"/>
      <c r="MP541" s="308"/>
      <c r="MQ541" s="308"/>
      <c r="MR541" s="308"/>
      <c r="MS541" s="308"/>
      <c r="MT541" s="308"/>
      <c r="MU541" s="308"/>
      <c r="MV541" s="308"/>
      <c r="MW541" s="308"/>
      <c r="MX541" s="308"/>
      <c r="MY541" s="308"/>
      <c r="MZ541" s="308"/>
      <c r="NA541" s="308"/>
      <c r="NB541" s="308"/>
      <c r="NC541" s="308"/>
      <c r="ND541" s="308"/>
      <c r="NE541" s="308"/>
      <c r="NF541" s="308"/>
      <c r="NG541" s="308"/>
      <c r="NH541" s="308"/>
      <c r="NI541" s="308"/>
      <c r="NJ541" s="308"/>
      <c r="NK541" s="308"/>
      <c r="NL541" s="308"/>
      <c r="NM541" s="308"/>
      <c r="NN541" s="308"/>
      <c r="NO541" s="308"/>
      <c r="NP541" s="308"/>
      <c r="NQ541" s="308"/>
      <c r="NR541" s="308"/>
      <c r="NS541" s="308"/>
      <c r="NT541" s="308"/>
      <c r="NU541" s="308"/>
      <c r="NV541" s="308"/>
      <c r="NW541" s="308"/>
      <c r="NX541" s="308"/>
      <c r="NY541" s="308"/>
      <c r="NZ541" s="308"/>
      <c r="OA541" s="308"/>
      <c r="OB541" s="308"/>
      <c r="OC541" s="308"/>
      <c r="OD541" s="308"/>
      <c r="OE541" s="308"/>
      <c r="OF541" s="308"/>
      <c r="OG541" s="308"/>
      <c r="OH541" s="308"/>
      <c r="OI541" s="308"/>
      <c r="OJ541" s="308"/>
      <c r="OK541" s="308"/>
      <c r="OL541" s="308"/>
      <c r="OM541" s="308"/>
      <c r="ON541" s="308"/>
      <c r="OO541" s="308"/>
      <c r="OP541" s="308"/>
      <c r="OQ541" s="308"/>
      <c r="OR541" s="308"/>
      <c r="OS541" s="308"/>
      <c r="OT541" s="308"/>
      <c r="OU541" s="308"/>
      <c r="OV541" s="308"/>
      <c r="OW541" s="308"/>
      <c r="OX541" s="308"/>
      <c r="OY541" s="308"/>
      <c r="OZ541" s="308"/>
      <c r="PA541" s="308"/>
      <c r="PB541" s="308"/>
      <c r="PC541" s="308"/>
      <c r="PD541" s="308"/>
      <c r="PE541" s="308"/>
      <c r="PF541" s="308"/>
      <c r="PG541" s="308"/>
      <c r="PH541" s="308"/>
      <c r="PI541" s="308"/>
      <c r="PJ541" s="308"/>
      <c r="PK541" s="308"/>
      <c r="PL541" s="308"/>
      <c r="PM541" s="308"/>
      <c r="PN541" s="308"/>
      <c r="PO541" s="308"/>
      <c r="PP541" s="308"/>
      <c r="PQ541" s="308"/>
      <c r="PR541" s="308"/>
      <c r="PS541" s="308"/>
      <c r="PT541" s="308"/>
      <c r="PU541" s="308"/>
      <c r="PV541" s="308"/>
      <c r="PW541" s="308"/>
      <c r="PX541" s="308"/>
      <c r="PY541" s="308"/>
      <c r="PZ541" s="308"/>
      <c r="QA541" s="308"/>
      <c r="QB541" s="308"/>
      <c r="QC541" s="308"/>
      <c r="QD541" s="308"/>
      <c r="QE541" s="308"/>
      <c r="QF541" s="308"/>
      <c r="QG541" s="308"/>
      <c r="QH541" s="308"/>
      <c r="QI541" s="308"/>
      <c r="QJ541" s="308"/>
      <c r="QK541" s="308"/>
      <c r="QL541" s="308"/>
      <c r="QM541" s="308"/>
      <c r="QN541" s="308"/>
      <c r="QO541" s="308"/>
      <c r="QP541" s="308"/>
      <c r="QQ541" s="308"/>
      <c r="QR541" s="308"/>
      <c r="QS541" s="308"/>
      <c r="QT541" s="308"/>
      <c r="QU541" s="308"/>
      <c r="QV541" s="308"/>
      <c r="QW541" s="308"/>
      <c r="QX541" s="308"/>
      <c r="QY541" s="308"/>
      <c r="QZ541" s="308"/>
      <c r="RA541" s="308"/>
      <c r="RB541" s="308"/>
      <c r="RC541" s="308"/>
      <c r="RD541" s="308"/>
      <c r="RE541" s="308"/>
      <c r="RF541" s="308"/>
      <c r="RG541" s="308"/>
      <c r="RH541" s="308"/>
      <c r="RI541" s="308"/>
      <c r="RJ541" s="308"/>
      <c r="RK541" s="308"/>
      <c r="RL541" s="308"/>
      <c r="RM541" s="308"/>
      <c r="RN541" s="308"/>
      <c r="RO541" s="308"/>
      <c r="RP541" s="308"/>
      <c r="RQ541" s="308"/>
      <c r="RR541" s="308"/>
      <c r="RS541" s="308"/>
      <c r="RT541" s="308"/>
      <c r="RU541" s="308"/>
      <c r="RV541" s="308"/>
      <c r="RW541" s="308"/>
      <c r="RX541" s="308"/>
      <c r="RY541" s="308"/>
      <c r="RZ541" s="308"/>
      <c r="SA541" s="308"/>
      <c r="SB541" s="308"/>
      <c r="SC541" s="308"/>
      <c r="SD541" s="308"/>
      <c r="SE541" s="308"/>
      <c r="SF541" s="308"/>
      <c r="SG541" s="308"/>
      <c r="SH541" s="308"/>
      <c r="SI541" s="308"/>
      <c r="SJ541" s="308"/>
      <c r="SK541" s="308"/>
      <c r="SL541" s="308"/>
      <c r="SM541" s="308"/>
      <c r="SN541" s="308"/>
      <c r="SO541" s="308"/>
      <c r="SP541" s="308"/>
      <c r="SQ541" s="308"/>
      <c r="SR541" s="308"/>
      <c r="SS541" s="308"/>
      <c r="ST541" s="308"/>
      <c r="SU541" s="308"/>
      <c r="SV541" s="308"/>
      <c r="SW541" s="308"/>
      <c r="SX541" s="308"/>
      <c r="SY541" s="308"/>
      <c r="SZ541" s="308"/>
      <c r="TA541" s="308"/>
      <c r="TB541" s="308"/>
      <c r="TC541" s="308"/>
      <c r="TD541" s="308"/>
      <c r="TE541" s="308"/>
      <c r="TF541" s="308"/>
      <c r="TG541" s="308"/>
      <c r="TH541" s="308"/>
      <c r="TI541" s="308"/>
      <c r="TJ541" s="308"/>
      <c r="TK541" s="308"/>
      <c r="TL541" s="308"/>
      <c r="TM541" s="308"/>
      <c r="TN541" s="308"/>
      <c r="TO541" s="308"/>
      <c r="TP541" s="308"/>
      <c r="TQ541" s="308"/>
      <c r="TR541" s="308"/>
      <c r="TS541" s="308"/>
      <c r="TT541" s="308"/>
      <c r="TU541" s="308"/>
      <c r="TV541" s="308"/>
      <c r="TW541" s="308"/>
      <c r="TX541" s="308"/>
      <c r="TY541" s="308"/>
      <c r="TZ541" s="308"/>
      <c r="UA541" s="308"/>
      <c r="UB541" s="308"/>
      <c r="UC541" s="308"/>
      <c r="UD541" s="308"/>
      <c r="UE541" s="308"/>
      <c r="UF541" s="308"/>
      <c r="UG541" s="308"/>
      <c r="UH541" s="308"/>
      <c r="UI541" s="308"/>
      <c r="UJ541" s="308"/>
      <c r="UK541" s="308"/>
      <c r="UL541" s="308"/>
      <c r="UM541" s="308"/>
      <c r="UN541" s="308"/>
      <c r="UO541" s="308"/>
      <c r="UP541" s="308"/>
      <c r="UQ541" s="308"/>
      <c r="UR541" s="308"/>
      <c r="US541" s="308"/>
      <c r="UT541" s="308"/>
      <c r="UU541" s="308"/>
      <c r="UV541" s="308"/>
      <c r="UW541" s="308"/>
      <c r="UX541" s="308"/>
      <c r="UY541" s="308"/>
      <c r="UZ541" s="308"/>
      <c r="VA541" s="308"/>
      <c r="VB541" s="308"/>
      <c r="VC541" s="308"/>
      <c r="VD541" s="308"/>
      <c r="VE541" s="308"/>
      <c r="VF541" s="308"/>
      <c r="VG541" s="308"/>
      <c r="VH541" s="308"/>
      <c r="VI541" s="308"/>
      <c r="VJ541" s="308"/>
      <c r="VK541" s="308"/>
      <c r="VL541" s="308"/>
      <c r="VM541" s="308"/>
      <c r="VN541" s="308"/>
      <c r="VO541" s="308"/>
      <c r="VP541" s="308"/>
      <c r="VQ541" s="308"/>
      <c r="VR541" s="308"/>
      <c r="VS541" s="308"/>
      <c r="VT541" s="308"/>
      <c r="VU541" s="308"/>
      <c r="VV541" s="308"/>
      <c r="VW541" s="308"/>
      <c r="VX541" s="308"/>
      <c r="VY541" s="308"/>
      <c r="VZ541" s="308"/>
      <c r="WA541" s="308"/>
      <c r="WB541" s="308"/>
      <c r="WC541" s="308"/>
      <c r="WD541" s="308"/>
      <c r="WE541" s="308"/>
      <c r="WF541" s="308"/>
      <c r="WG541" s="308"/>
      <c r="WH541" s="308"/>
      <c r="WI541" s="308"/>
      <c r="WJ541" s="308"/>
      <c r="WK541" s="308"/>
      <c r="WL541" s="308"/>
      <c r="WM541" s="308"/>
      <c r="WN541" s="308"/>
      <c r="WO541" s="308"/>
      <c r="WP541" s="308"/>
      <c r="WQ541" s="308"/>
      <c r="WR541" s="308"/>
      <c r="WS541" s="308"/>
      <c r="WT541" s="308"/>
      <c r="WU541" s="308"/>
      <c r="WV541" s="308"/>
      <c r="WW541" s="308"/>
      <c r="WX541" s="308"/>
      <c r="WY541" s="308"/>
      <c r="WZ541" s="308"/>
      <c r="XA541" s="308"/>
      <c r="XB541" s="308"/>
      <c r="XC541" s="308"/>
      <c r="XD541" s="308"/>
      <c r="XE541" s="308"/>
      <c r="XF541" s="308"/>
      <c r="XG541" s="308"/>
      <c r="XH541" s="308"/>
      <c r="XI541" s="308"/>
      <c r="XJ541" s="308"/>
      <c r="XK541" s="308"/>
      <c r="XL541" s="308"/>
      <c r="XM541" s="308"/>
      <c r="XN541" s="308"/>
      <c r="XO541" s="308"/>
      <c r="XP541" s="308"/>
      <c r="XQ541" s="308"/>
      <c r="XR541" s="308"/>
      <c r="XS541" s="308"/>
      <c r="XT541" s="308"/>
      <c r="XU541" s="308"/>
      <c r="XV541" s="308"/>
      <c r="XW541" s="308"/>
      <c r="XX541" s="308"/>
      <c r="XY541" s="308"/>
      <c r="XZ541" s="308"/>
      <c r="YA541" s="308"/>
      <c r="YB541" s="308"/>
      <c r="YC541" s="308"/>
      <c r="YD541" s="308"/>
      <c r="YE541" s="308"/>
      <c r="YF541" s="308"/>
      <c r="YG541" s="308"/>
      <c r="YH541" s="308"/>
      <c r="YI541" s="308"/>
      <c r="YJ541" s="308"/>
      <c r="YK541" s="308"/>
      <c r="YL541" s="308"/>
      <c r="YM541" s="308"/>
      <c r="YN541" s="308"/>
      <c r="YO541" s="308"/>
      <c r="YP541" s="308"/>
      <c r="YQ541" s="308"/>
      <c r="YR541" s="308"/>
      <c r="YS541" s="308"/>
      <c r="YT541" s="308"/>
      <c r="YU541" s="308"/>
      <c r="YV541" s="308"/>
      <c r="YW541" s="308"/>
      <c r="YX541" s="308"/>
      <c r="YY541" s="308"/>
      <c r="YZ541" s="308"/>
      <c r="ZA541" s="308"/>
      <c r="ZB541" s="308"/>
      <c r="ZC541" s="308"/>
      <c r="ZD541" s="308"/>
      <c r="ZE541" s="308"/>
      <c r="ZF541" s="308"/>
      <c r="ZG541" s="308"/>
      <c r="ZH541" s="308"/>
      <c r="ZI541" s="308"/>
      <c r="ZJ541" s="308"/>
      <c r="ZK541" s="308"/>
      <c r="ZL541" s="308"/>
      <c r="ZM541" s="308"/>
      <c r="ZN541" s="308"/>
      <c r="ZO541" s="308"/>
      <c r="ZP541" s="308"/>
      <c r="ZQ541" s="308"/>
      <c r="ZR541" s="308"/>
      <c r="ZS541" s="308"/>
      <c r="ZT541" s="308"/>
      <c r="ZU541" s="308"/>
      <c r="ZV541" s="308"/>
      <c r="ZW541" s="308"/>
      <c r="ZX541" s="308"/>
      <c r="ZY541" s="308"/>
      <c r="ZZ541" s="308"/>
      <c r="AAA541" s="308"/>
      <c r="AAB541" s="308"/>
      <c r="AAC541" s="308"/>
      <c r="AAD541" s="308"/>
      <c r="AAE541" s="308"/>
      <c r="AAF541" s="308"/>
      <c r="AAG541" s="308"/>
      <c r="AAH541" s="308"/>
      <c r="AAI541" s="308"/>
      <c r="AAJ541" s="308"/>
      <c r="AAK541" s="308"/>
      <c r="AAL541" s="308"/>
      <c r="AAM541" s="308"/>
      <c r="AAN541" s="308"/>
      <c r="AAO541" s="308"/>
      <c r="AAP541" s="308"/>
      <c r="AAQ541" s="308"/>
      <c r="AAR541" s="308"/>
      <c r="AAS541" s="308"/>
      <c r="AAT541" s="308"/>
      <c r="AAU541" s="308"/>
      <c r="AAV541" s="308"/>
      <c r="AAW541" s="308"/>
      <c r="AAX541" s="308"/>
      <c r="AAY541" s="308"/>
      <c r="AAZ541" s="308"/>
      <c r="ABA541" s="308"/>
      <c r="ABB541" s="308"/>
      <c r="ABC541" s="308"/>
      <c r="ABD541" s="308"/>
      <c r="ABE541" s="308"/>
      <c r="ABF541" s="308"/>
      <c r="ABG541" s="308"/>
      <c r="ABH541" s="308"/>
      <c r="ABI541" s="308"/>
      <c r="ABJ541" s="308"/>
      <c r="ABK541" s="308"/>
      <c r="ABL541" s="308"/>
      <c r="ABM541" s="308"/>
      <c r="ABN541" s="308"/>
      <c r="ABO541" s="308"/>
      <c r="ABP541" s="308"/>
      <c r="ABQ541" s="308"/>
      <c r="ABR541" s="308"/>
      <c r="ABS541" s="308"/>
      <c r="ABT541" s="308"/>
      <c r="ABU541" s="308"/>
      <c r="ABV541" s="308"/>
      <c r="ABW541" s="308"/>
      <c r="ABX541" s="308"/>
      <c r="ABY541" s="308"/>
      <c r="ABZ541" s="308"/>
      <c r="ACA541" s="308"/>
      <c r="ACB541" s="308"/>
      <c r="ACC541" s="308"/>
      <c r="ACD541" s="308"/>
      <c r="ACE541" s="308"/>
      <c r="ACF541" s="308"/>
      <c r="ACG541" s="308"/>
      <c r="ACH541" s="308"/>
      <c r="ACI541" s="308"/>
      <c r="ACJ541" s="308"/>
      <c r="ACK541" s="308"/>
      <c r="ACL541" s="308"/>
      <c r="ACM541" s="308"/>
      <c r="ACN541" s="308"/>
      <c r="ACO541" s="308"/>
      <c r="ACP541" s="308"/>
      <c r="ACQ541" s="308"/>
      <c r="ACR541" s="308"/>
      <c r="ACS541" s="308"/>
      <c r="ACT541" s="308"/>
      <c r="ACU541" s="308"/>
      <c r="ACV541" s="308"/>
    </row>
    <row r="542" spans="1:776" x14ac:dyDescent="0.25">
      <c r="A542" s="583">
        <v>900241</v>
      </c>
      <c r="B542" s="483" t="str">
        <f t="shared" si="14"/>
        <v>-10,11/+11,38  (EC  11,6)</v>
      </c>
      <c r="C542" s="513"/>
      <c r="D542" s="305" t="s">
        <v>436</v>
      </c>
      <c r="E542" s="305">
        <v>1.1599999999999999</v>
      </c>
      <c r="F542" s="306">
        <v>1.4</v>
      </c>
      <c r="G542" s="305">
        <v>0</v>
      </c>
      <c r="H542" s="305">
        <v>0.17</v>
      </c>
      <c r="I542" s="307">
        <v>98.64</v>
      </c>
      <c r="J542" s="305">
        <v>137.53</v>
      </c>
      <c r="K542" s="305">
        <v>0</v>
      </c>
      <c r="L542" s="305">
        <v>271.2</v>
      </c>
      <c r="M542" s="305">
        <v>0</v>
      </c>
      <c r="N542" s="305">
        <v>3.49</v>
      </c>
      <c r="O542" s="305">
        <v>162.94999999999999</v>
      </c>
      <c r="P542" s="305">
        <v>32.24</v>
      </c>
      <c r="Q542" s="305">
        <v>31.08</v>
      </c>
      <c r="R542" s="305">
        <v>0.02</v>
      </c>
      <c r="S542" s="397">
        <v>1.0000000000000001E-5</v>
      </c>
      <c r="T542" s="397">
        <v>1.0000000000000001E-5</v>
      </c>
      <c r="U542" s="305">
        <v>0.02</v>
      </c>
      <c r="V542" s="397">
        <v>1.0000000000000001E-5</v>
      </c>
      <c r="W542" s="251"/>
      <c r="X542" s="251"/>
      <c r="Y542" s="251"/>
      <c r="Z542" s="251"/>
      <c r="AA542" s="251"/>
      <c r="AB542" s="251"/>
      <c r="AC542" s="251"/>
      <c r="AD542" s="251"/>
      <c r="AE542" s="251"/>
      <c r="AF542" s="251"/>
      <c r="AG542" s="251"/>
      <c r="AH542" s="251"/>
      <c r="AI542" s="251"/>
      <c r="AJ542" s="251"/>
      <c r="AK542" s="251"/>
      <c r="AL542" s="251"/>
      <c r="AM542" s="251"/>
      <c r="AN542" s="251"/>
      <c r="AO542" s="251"/>
      <c r="AP542" s="251"/>
      <c r="AQ542" s="251"/>
      <c r="AR542" s="251"/>
      <c r="AS542" s="251"/>
      <c r="AT542" s="251"/>
      <c r="AU542" s="251"/>
      <c r="AV542" s="251"/>
      <c r="AW542" s="251"/>
      <c r="AX542" s="251"/>
      <c r="AY542" s="251"/>
      <c r="AZ542" s="251"/>
      <c r="BA542" s="251"/>
      <c r="BB542" s="251"/>
      <c r="BC542" s="251"/>
      <c r="BD542" s="251"/>
      <c r="BE542" s="251"/>
      <c r="BF542" s="251"/>
      <c r="BG542" s="251"/>
      <c r="BH542" s="251"/>
      <c r="BI542" s="251"/>
      <c r="BJ542" s="251"/>
      <c r="BK542" s="251"/>
      <c r="BL542" s="251"/>
      <c r="BM542" s="251"/>
      <c r="BN542" s="251"/>
      <c r="BO542" s="251"/>
      <c r="BP542" s="251"/>
      <c r="BQ542" s="251"/>
      <c r="BR542" s="251"/>
      <c r="BS542" s="251"/>
      <c r="BT542" s="251"/>
      <c r="BU542" s="251"/>
      <c r="BV542" s="251"/>
      <c r="BW542" s="251"/>
      <c r="BX542" s="251"/>
      <c r="BY542" s="251"/>
      <c r="BZ542" s="251"/>
      <c r="CA542" s="251"/>
      <c r="CB542" s="251"/>
      <c r="CC542" s="251"/>
      <c r="CD542" s="251"/>
      <c r="CE542" s="251"/>
      <c r="CF542" s="251"/>
      <c r="CG542" s="251"/>
      <c r="CH542" s="251"/>
      <c r="CI542" s="251"/>
      <c r="CJ542" s="251"/>
      <c r="CK542" s="251"/>
      <c r="CL542" s="251"/>
      <c r="CM542" s="251"/>
      <c r="CN542" s="251"/>
      <c r="CO542" s="251"/>
      <c r="CP542" s="251"/>
      <c r="CQ542" s="251"/>
      <c r="CR542" s="251"/>
      <c r="CS542" s="251"/>
      <c r="CT542" s="251"/>
      <c r="CU542" s="251"/>
      <c r="CV542" s="251"/>
      <c r="CW542" s="251"/>
      <c r="CX542" s="251"/>
      <c r="CY542" s="251"/>
      <c r="CZ542" s="251"/>
      <c r="DA542" s="251"/>
      <c r="DB542" s="251"/>
      <c r="DC542" s="251"/>
      <c r="DD542" s="251"/>
      <c r="DE542" s="251"/>
      <c r="DF542" s="251"/>
      <c r="DG542" s="251"/>
      <c r="DH542" s="251"/>
      <c r="DI542" s="251"/>
      <c r="DJ542" s="251"/>
      <c r="DK542" s="251"/>
      <c r="DL542" s="251"/>
      <c r="DM542" s="251"/>
      <c r="DN542" s="251"/>
      <c r="DO542" s="251"/>
      <c r="DP542" s="251"/>
      <c r="DQ542" s="251"/>
      <c r="DR542" s="251"/>
      <c r="DS542" s="251"/>
      <c r="DT542" s="251"/>
      <c r="DU542" s="251"/>
      <c r="DV542" s="251"/>
      <c r="DW542" s="251"/>
      <c r="DX542" s="251"/>
      <c r="DY542" s="251"/>
      <c r="DZ542" s="251"/>
      <c r="EA542" s="251"/>
      <c r="EB542" s="251"/>
      <c r="EC542" s="251"/>
      <c r="ED542" s="251"/>
      <c r="EE542" s="251"/>
      <c r="EF542" s="251"/>
      <c r="EG542" s="251"/>
      <c r="EH542" s="251"/>
      <c r="EI542" s="251"/>
      <c r="EJ542" s="251"/>
      <c r="EK542" s="251"/>
      <c r="EL542" s="251"/>
      <c r="EM542" s="251"/>
      <c r="EN542" s="251"/>
      <c r="EO542" s="251"/>
      <c r="EP542" s="251"/>
      <c r="EQ542" s="251"/>
      <c r="ER542" s="251"/>
      <c r="ES542" s="251"/>
      <c r="ET542" s="251"/>
      <c r="EU542" s="251"/>
      <c r="EV542" s="251"/>
      <c r="EW542" s="251"/>
      <c r="EX542" s="251"/>
      <c r="EY542" s="251"/>
      <c r="EZ542" s="251"/>
      <c r="FA542" s="251"/>
      <c r="FB542" s="251"/>
      <c r="FC542" s="251"/>
      <c r="FD542" s="251"/>
      <c r="FE542" s="251"/>
      <c r="FF542" s="251"/>
      <c r="FG542" s="251"/>
      <c r="FH542" s="251"/>
      <c r="FI542" s="251"/>
      <c r="FJ542" s="251"/>
      <c r="FK542" s="251"/>
      <c r="FL542" s="251"/>
      <c r="FM542" s="251"/>
      <c r="FN542" s="251"/>
      <c r="FO542" s="251"/>
      <c r="FP542" s="251"/>
      <c r="FQ542" s="251"/>
      <c r="FR542" s="251"/>
      <c r="FS542" s="251"/>
      <c r="FT542" s="251"/>
      <c r="FU542" s="251"/>
      <c r="FV542" s="251"/>
      <c r="FW542" s="251"/>
      <c r="FX542" s="251"/>
      <c r="FY542" s="251"/>
      <c r="FZ542" s="251"/>
      <c r="GA542" s="251"/>
      <c r="GB542" s="251"/>
      <c r="GC542" s="251"/>
      <c r="GD542" s="251"/>
      <c r="GE542" s="251"/>
      <c r="GF542" s="251"/>
      <c r="GG542" s="251"/>
      <c r="GH542" s="251"/>
      <c r="GI542" s="251"/>
      <c r="GJ542" s="251"/>
      <c r="GK542" s="251"/>
      <c r="GL542" s="251"/>
      <c r="GM542" s="251"/>
      <c r="GN542" s="251"/>
      <c r="GO542" s="251"/>
      <c r="GP542" s="251"/>
      <c r="GQ542" s="251"/>
      <c r="GR542" s="251"/>
      <c r="GS542" s="251"/>
      <c r="GT542" s="251"/>
      <c r="GU542" s="251"/>
      <c r="GV542" s="251"/>
      <c r="GW542" s="251"/>
      <c r="GX542" s="251"/>
      <c r="GY542" s="251"/>
      <c r="GZ542" s="251"/>
      <c r="HA542" s="251"/>
      <c r="HB542" s="251"/>
      <c r="HC542" s="251"/>
      <c r="HD542" s="251"/>
      <c r="HE542" s="251"/>
      <c r="HF542" s="251"/>
      <c r="HG542" s="251"/>
      <c r="HH542" s="251"/>
      <c r="HI542" s="251"/>
      <c r="HJ542" s="251"/>
      <c r="HK542" s="251"/>
      <c r="HL542" s="251"/>
      <c r="HM542" s="251"/>
      <c r="HN542" s="251"/>
      <c r="HO542" s="251"/>
      <c r="HP542" s="251"/>
      <c r="HQ542" s="251"/>
      <c r="HR542" s="251"/>
      <c r="HS542" s="251"/>
      <c r="HT542" s="251"/>
      <c r="HU542" s="251"/>
      <c r="HV542" s="251"/>
      <c r="HW542" s="251"/>
      <c r="HX542" s="251"/>
      <c r="HY542" s="251"/>
      <c r="HZ542" s="251"/>
      <c r="IA542" s="251"/>
      <c r="IB542" s="251"/>
      <c r="IC542" s="251"/>
      <c r="ID542" s="251"/>
      <c r="IE542" s="251"/>
      <c r="IF542" s="251"/>
      <c r="IG542" s="251"/>
      <c r="IH542" s="251"/>
      <c r="II542" s="251"/>
      <c r="IJ542" s="251"/>
      <c r="IK542" s="251"/>
      <c r="IL542" s="251"/>
      <c r="IM542" s="251"/>
      <c r="IN542" s="251"/>
      <c r="IO542" s="251"/>
      <c r="IP542" s="251"/>
      <c r="IQ542" s="251"/>
      <c r="IR542" s="251"/>
      <c r="IS542" s="251"/>
      <c r="IT542" s="251"/>
      <c r="IU542" s="251"/>
      <c r="IV542" s="251"/>
      <c r="IW542" s="251"/>
      <c r="IX542" s="251"/>
      <c r="IY542" s="251"/>
      <c r="IZ542" s="251"/>
      <c r="JA542" s="251"/>
      <c r="JB542" s="251"/>
      <c r="JC542" s="251"/>
      <c r="JD542" s="251"/>
      <c r="JE542" s="251"/>
      <c r="JF542" s="251"/>
      <c r="JG542" s="251"/>
      <c r="JH542" s="251"/>
      <c r="JI542" s="251"/>
      <c r="JJ542" s="251"/>
      <c r="JK542" s="251"/>
      <c r="JL542" s="251"/>
      <c r="JM542" s="251"/>
      <c r="JN542" s="251"/>
      <c r="JO542" s="251"/>
      <c r="JP542" s="251"/>
      <c r="JQ542" s="251"/>
      <c r="JR542" s="251"/>
      <c r="JS542" s="251"/>
      <c r="JT542" s="251"/>
      <c r="JU542" s="251"/>
      <c r="JV542" s="251"/>
      <c r="JW542" s="251"/>
      <c r="JX542" s="251"/>
      <c r="JY542" s="251"/>
      <c r="JZ542" s="251"/>
      <c r="KA542" s="251"/>
      <c r="KB542" s="251"/>
      <c r="KC542" s="251"/>
      <c r="KD542" s="251"/>
      <c r="KE542" s="251"/>
      <c r="KF542" s="251"/>
      <c r="KG542" s="251"/>
      <c r="KH542" s="251"/>
      <c r="KI542" s="251"/>
      <c r="KJ542" s="251"/>
      <c r="KK542" s="251"/>
      <c r="KL542" s="251"/>
      <c r="KM542" s="251"/>
      <c r="KN542" s="251"/>
      <c r="KO542" s="251"/>
      <c r="KP542" s="251"/>
      <c r="KQ542" s="251"/>
      <c r="KR542" s="251"/>
      <c r="KS542" s="251"/>
      <c r="KT542" s="251"/>
      <c r="KU542" s="251"/>
      <c r="KV542" s="251"/>
      <c r="KW542" s="251"/>
      <c r="KX542" s="251"/>
      <c r="KY542" s="251"/>
      <c r="KZ542" s="251"/>
      <c r="LA542" s="251"/>
      <c r="LB542" s="251"/>
      <c r="LC542" s="251"/>
      <c r="LD542" s="251"/>
      <c r="LE542" s="251"/>
      <c r="LF542" s="251"/>
      <c r="LG542" s="251"/>
      <c r="LH542" s="251"/>
      <c r="LI542" s="251"/>
      <c r="LJ542" s="251"/>
      <c r="LK542" s="251"/>
      <c r="LL542" s="308"/>
      <c r="LM542" s="308"/>
      <c r="LN542" s="308"/>
      <c r="LO542" s="308"/>
      <c r="LP542" s="308"/>
      <c r="LQ542" s="308"/>
      <c r="LR542" s="308"/>
      <c r="LS542" s="308"/>
      <c r="LT542" s="308"/>
      <c r="LU542" s="308"/>
      <c r="LV542" s="308"/>
      <c r="LW542" s="308"/>
      <c r="LX542" s="308"/>
      <c r="LY542" s="308"/>
      <c r="LZ542" s="308"/>
      <c r="MA542" s="308"/>
      <c r="MB542" s="308"/>
      <c r="MC542" s="308"/>
      <c r="MD542" s="308"/>
      <c r="ME542" s="308"/>
      <c r="MF542" s="308"/>
      <c r="MG542" s="308"/>
      <c r="MH542" s="308"/>
      <c r="MI542" s="308"/>
      <c r="MJ542" s="308"/>
      <c r="MK542" s="308"/>
      <c r="ML542" s="308"/>
      <c r="MM542" s="308"/>
      <c r="MN542" s="308"/>
      <c r="MO542" s="308"/>
      <c r="MP542" s="308"/>
      <c r="MQ542" s="308"/>
      <c r="MR542" s="308"/>
      <c r="MS542" s="308"/>
      <c r="MT542" s="308"/>
      <c r="MU542" s="308"/>
      <c r="MV542" s="308"/>
      <c r="MW542" s="308"/>
      <c r="MX542" s="308"/>
      <c r="MY542" s="308"/>
      <c r="MZ542" s="308"/>
      <c r="NA542" s="308"/>
      <c r="NB542" s="308"/>
      <c r="NC542" s="308"/>
      <c r="ND542" s="308"/>
      <c r="NE542" s="308"/>
      <c r="NF542" s="308"/>
      <c r="NG542" s="308"/>
      <c r="NH542" s="308"/>
      <c r="NI542" s="308"/>
      <c r="NJ542" s="308"/>
      <c r="NK542" s="308"/>
      <c r="NL542" s="308"/>
      <c r="NM542" s="308"/>
      <c r="NN542" s="308"/>
      <c r="NO542" s="308"/>
      <c r="NP542" s="308"/>
      <c r="NQ542" s="308"/>
      <c r="NR542" s="308"/>
      <c r="NS542" s="308"/>
      <c r="NT542" s="308"/>
      <c r="NU542" s="308"/>
      <c r="NV542" s="308"/>
      <c r="NW542" s="308"/>
      <c r="NX542" s="308"/>
      <c r="NY542" s="308"/>
      <c r="NZ542" s="308"/>
      <c r="OA542" s="308"/>
      <c r="OB542" s="308"/>
      <c r="OC542" s="308"/>
      <c r="OD542" s="308"/>
      <c r="OE542" s="308"/>
      <c r="OF542" s="308"/>
      <c r="OG542" s="308"/>
      <c r="OH542" s="308"/>
      <c r="OI542" s="308"/>
      <c r="OJ542" s="308"/>
      <c r="OK542" s="308"/>
      <c r="OL542" s="308"/>
      <c r="OM542" s="308"/>
      <c r="ON542" s="308"/>
      <c r="OO542" s="308"/>
      <c r="OP542" s="308"/>
      <c r="OQ542" s="308"/>
      <c r="OR542" s="308"/>
      <c r="OS542" s="308"/>
      <c r="OT542" s="308"/>
      <c r="OU542" s="308"/>
      <c r="OV542" s="308"/>
      <c r="OW542" s="308"/>
      <c r="OX542" s="308"/>
      <c r="OY542" s="308"/>
      <c r="OZ542" s="308"/>
      <c r="PA542" s="308"/>
      <c r="PB542" s="308"/>
      <c r="PC542" s="308"/>
      <c r="PD542" s="308"/>
      <c r="PE542" s="308"/>
      <c r="PF542" s="308"/>
      <c r="PG542" s="308"/>
      <c r="PH542" s="308"/>
      <c r="PI542" s="308"/>
      <c r="PJ542" s="308"/>
      <c r="PK542" s="308"/>
      <c r="PL542" s="308"/>
      <c r="PM542" s="308"/>
      <c r="PN542" s="308"/>
      <c r="PO542" s="308"/>
      <c r="PP542" s="308"/>
      <c r="PQ542" s="308"/>
      <c r="PR542" s="308"/>
      <c r="PS542" s="308"/>
      <c r="PT542" s="308"/>
      <c r="PU542" s="308"/>
      <c r="PV542" s="308"/>
      <c r="PW542" s="308"/>
      <c r="PX542" s="308"/>
      <c r="PY542" s="308"/>
      <c r="PZ542" s="308"/>
      <c r="QA542" s="308"/>
      <c r="QB542" s="308"/>
      <c r="QC542" s="308"/>
      <c r="QD542" s="308"/>
      <c r="QE542" s="308"/>
      <c r="QF542" s="308"/>
      <c r="QG542" s="308"/>
      <c r="QH542" s="308"/>
      <c r="QI542" s="308"/>
      <c r="QJ542" s="308"/>
      <c r="QK542" s="308"/>
      <c r="QL542" s="308"/>
      <c r="QM542" s="308"/>
      <c r="QN542" s="308"/>
      <c r="QO542" s="308"/>
      <c r="QP542" s="308"/>
      <c r="QQ542" s="308"/>
      <c r="QR542" s="308"/>
      <c r="QS542" s="308"/>
      <c r="QT542" s="308"/>
      <c r="QU542" s="308"/>
      <c r="QV542" s="308"/>
      <c r="QW542" s="308"/>
      <c r="QX542" s="308"/>
      <c r="QY542" s="308"/>
      <c r="QZ542" s="308"/>
      <c r="RA542" s="308"/>
      <c r="RB542" s="308"/>
      <c r="RC542" s="308"/>
      <c r="RD542" s="308"/>
      <c r="RE542" s="308"/>
      <c r="RF542" s="308"/>
      <c r="RG542" s="308"/>
      <c r="RH542" s="308"/>
      <c r="RI542" s="308"/>
      <c r="RJ542" s="308"/>
      <c r="RK542" s="308"/>
      <c r="RL542" s="308"/>
      <c r="RM542" s="308"/>
      <c r="RN542" s="308"/>
      <c r="RO542" s="308"/>
      <c r="RP542" s="308"/>
      <c r="RQ542" s="308"/>
      <c r="RR542" s="308"/>
      <c r="RS542" s="308"/>
      <c r="RT542" s="308"/>
      <c r="RU542" s="308"/>
      <c r="RV542" s="308"/>
      <c r="RW542" s="308"/>
      <c r="RX542" s="308"/>
      <c r="RY542" s="308"/>
      <c r="RZ542" s="308"/>
      <c r="SA542" s="308"/>
      <c r="SB542" s="308"/>
      <c r="SC542" s="308"/>
      <c r="SD542" s="308"/>
      <c r="SE542" s="308"/>
      <c r="SF542" s="308"/>
      <c r="SG542" s="308"/>
      <c r="SH542" s="308"/>
      <c r="SI542" s="308"/>
      <c r="SJ542" s="308"/>
      <c r="SK542" s="308"/>
      <c r="SL542" s="308"/>
      <c r="SM542" s="308"/>
      <c r="SN542" s="308"/>
      <c r="SO542" s="308"/>
      <c r="SP542" s="308"/>
      <c r="SQ542" s="308"/>
      <c r="SR542" s="308"/>
      <c r="SS542" s="308"/>
      <c r="ST542" s="308"/>
      <c r="SU542" s="308"/>
      <c r="SV542" s="308"/>
      <c r="SW542" s="308"/>
      <c r="SX542" s="308"/>
      <c r="SY542" s="308"/>
      <c r="SZ542" s="308"/>
      <c r="TA542" s="308"/>
      <c r="TB542" s="308"/>
      <c r="TC542" s="308"/>
      <c r="TD542" s="308"/>
      <c r="TE542" s="308"/>
      <c r="TF542" s="308"/>
      <c r="TG542" s="308"/>
      <c r="TH542" s="308"/>
      <c r="TI542" s="308"/>
      <c r="TJ542" s="308"/>
      <c r="TK542" s="308"/>
      <c r="TL542" s="308"/>
      <c r="TM542" s="308"/>
      <c r="TN542" s="308"/>
      <c r="TO542" s="308"/>
      <c r="TP542" s="308"/>
      <c r="TQ542" s="308"/>
      <c r="TR542" s="308"/>
      <c r="TS542" s="308"/>
      <c r="TT542" s="308"/>
      <c r="TU542" s="308"/>
      <c r="TV542" s="308"/>
      <c r="TW542" s="308"/>
      <c r="TX542" s="308"/>
      <c r="TY542" s="308"/>
      <c r="TZ542" s="308"/>
      <c r="UA542" s="308"/>
      <c r="UB542" s="308"/>
      <c r="UC542" s="308"/>
      <c r="UD542" s="308"/>
      <c r="UE542" s="308"/>
      <c r="UF542" s="308"/>
      <c r="UG542" s="308"/>
      <c r="UH542" s="308"/>
      <c r="UI542" s="308"/>
      <c r="UJ542" s="308"/>
      <c r="UK542" s="308"/>
      <c r="UL542" s="308"/>
      <c r="UM542" s="308"/>
      <c r="UN542" s="308"/>
      <c r="UO542" s="308"/>
      <c r="UP542" s="308"/>
      <c r="UQ542" s="308"/>
      <c r="UR542" s="308"/>
      <c r="US542" s="308"/>
      <c r="UT542" s="308"/>
      <c r="UU542" s="308"/>
      <c r="UV542" s="308"/>
      <c r="UW542" s="308"/>
      <c r="UX542" s="308"/>
      <c r="UY542" s="308"/>
      <c r="UZ542" s="308"/>
      <c r="VA542" s="308"/>
      <c r="VB542" s="308"/>
      <c r="VC542" s="308"/>
      <c r="VD542" s="308"/>
      <c r="VE542" s="308"/>
      <c r="VF542" s="308"/>
      <c r="VG542" s="308"/>
      <c r="VH542" s="308"/>
      <c r="VI542" s="308"/>
      <c r="VJ542" s="308"/>
      <c r="VK542" s="308"/>
      <c r="VL542" s="308"/>
      <c r="VM542" s="308"/>
      <c r="VN542" s="308"/>
      <c r="VO542" s="308"/>
      <c r="VP542" s="308"/>
      <c r="VQ542" s="308"/>
      <c r="VR542" s="308"/>
      <c r="VS542" s="308"/>
      <c r="VT542" s="308"/>
      <c r="VU542" s="308"/>
      <c r="VV542" s="308"/>
      <c r="VW542" s="308"/>
      <c r="VX542" s="308"/>
      <c r="VY542" s="308"/>
      <c r="VZ542" s="308"/>
      <c r="WA542" s="308"/>
      <c r="WB542" s="308"/>
      <c r="WC542" s="308"/>
      <c r="WD542" s="308"/>
      <c r="WE542" s="308"/>
      <c r="WF542" s="308"/>
      <c r="WG542" s="308"/>
      <c r="WH542" s="308"/>
      <c r="WI542" s="308"/>
      <c r="WJ542" s="308"/>
      <c r="WK542" s="308"/>
      <c r="WL542" s="308"/>
      <c r="WM542" s="308"/>
      <c r="WN542" s="308"/>
      <c r="WO542" s="308"/>
      <c r="WP542" s="308"/>
      <c r="WQ542" s="308"/>
      <c r="WR542" s="308"/>
      <c r="WS542" s="308"/>
      <c r="WT542" s="308"/>
      <c r="WU542" s="308"/>
      <c r="WV542" s="308"/>
      <c r="WW542" s="308"/>
      <c r="WX542" s="308"/>
      <c r="WY542" s="308"/>
      <c r="WZ542" s="308"/>
      <c r="XA542" s="308"/>
      <c r="XB542" s="308"/>
      <c r="XC542" s="308"/>
      <c r="XD542" s="308"/>
      <c r="XE542" s="308"/>
      <c r="XF542" s="308"/>
      <c r="XG542" s="308"/>
      <c r="XH542" s="308"/>
      <c r="XI542" s="308"/>
      <c r="XJ542" s="308"/>
      <c r="XK542" s="308"/>
      <c r="XL542" s="308"/>
      <c r="XM542" s="308"/>
      <c r="XN542" s="308"/>
      <c r="XO542" s="308"/>
      <c r="XP542" s="308"/>
      <c r="XQ542" s="308"/>
      <c r="XR542" s="308"/>
      <c r="XS542" s="308"/>
      <c r="XT542" s="308"/>
      <c r="XU542" s="308"/>
      <c r="XV542" s="308"/>
      <c r="XW542" s="308"/>
      <c r="XX542" s="308"/>
      <c r="XY542" s="308"/>
      <c r="XZ542" s="308"/>
      <c r="YA542" s="308"/>
      <c r="YB542" s="308"/>
      <c r="YC542" s="308"/>
      <c r="YD542" s="308"/>
      <c r="YE542" s="308"/>
      <c r="YF542" s="308"/>
      <c r="YG542" s="308"/>
      <c r="YH542" s="308"/>
      <c r="YI542" s="308"/>
      <c r="YJ542" s="308"/>
      <c r="YK542" s="308"/>
      <c r="YL542" s="308"/>
      <c r="YM542" s="308"/>
      <c r="YN542" s="308"/>
      <c r="YO542" s="308"/>
      <c r="YP542" s="308"/>
      <c r="YQ542" s="308"/>
      <c r="YR542" s="308"/>
      <c r="YS542" s="308"/>
      <c r="YT542" s="308"/>
      <c r="YU542" s="308"/>
      <c r="YV542" s="308"/>
      <c r="YW542" s="308"/>
      <c r="YX542" s="308"/>
      <c r="YY542" s="308"/>
      <c r="YZ542" s="308"/>
      <c r="ZA542" s="308"/>
      <c r="ZB542" s="308"/>
      <c r="ZC542" s="308"/>
      <c r="ZD542" s="308"/>
      <c r="ZE542" s="308"/>
      <c r="ZF542" s="308"/>
      <c r="ZG542" s="308"/>
      <c r="ZH542" s="308"/>
      <c r="ZI542" s="308"/>
      <c r="ZJ542" s="308"/>
      <c r="ZK542" s="308"/>
      <c r="ZL542" s="308"/>
      <c r="ZM542" s="308"/>
      <c r="ZN542" s="308"/>
      <c r="ZO542" s="308"/>
      <c r="ZP542" s="308"/>
      <c r="ZQ542" s="308"/>
      <c r="ZR542" s="308"/>
      <c r="ZS542" s="308"/>
      <c r="ZT542" s="308"/>
      <c r="ZU542" s="308"/>
      <c r="ZV542" s="308"/>
      <c r="ZW542" s="308"/>
      <c r="ZX542" s="308"/>
      <c r="ZY542" s="308"/>
      <c r="ZZ542" s="308"/>
      <c r="AAA542" s="308"/>
      <c r="AAB542" s="308"/>
      <c r="AAC542" s="308"/>
      <c r="AAD542" s="308"/>
      <c r="AAE542" s="308"/>
      <c r="AAF542" s="308"/>
      <c r="AAG542" s="308"/>
      <c r="AAH542" s="308"/>
      <c r="AAI542" s="308"/>
      <c r="AAJ542" s="308"/>
      <c r="AAK542" s="308"/>
      <c r="AAL542" s="308"/>
      <c r="AAM542" s="308"/>
      <c r="AAN542" s="308"/>
      <c r="AAO542" s="308"/>
      <c r="AAP542" s="308"/>
      <c r="AAQ542" s="308"/>
      <c r="AAR542" s="308"/>
      <c r="AAS542" s="308"/>
      <c r="AAT542" s="308"/>
      <c r="AAU542" s="308"/>
      <c r="AAV542" s="308"/>
      <c r="AAW542" s="308"/>
      <c r="AAX542" s="308"/>
      <c r="AAY542" s="308"/>
      <c r="AAZ542" s="308"/>
      <c r="ABA542" s="308"/>
      <c r="ABB542" s="308"/>
      <c r="ABC542" s="308"/>
      <c r="ABD542" s="308"/>
      <c r="ABE542" s="308"/>
      <c r="ABF542" s="308"/>
      <c r="ABG542" s="308"/>
      <c r="ABH542" s="308"/>
      <c r="ABI542" s="308"/>
      <c r="ABJ542" s="308"/>
      <c r="ABK542" s="308"/>
      <c r="ABL542" s="308"/>
      <c r="ABM542" s="308"/>
      <c r="ABN542" s="308"/>
      <c r="ABO542" s="308"/>
      <c r="ABP542" s="308"/>
      <c r="ABQ542" s="308"/>
      <c r="ABR542" s="308"/>
      <c r="ABS542" s="308"/>
      <c r="ABT542" s="308"/>
      <c r="ABU542" s="308"/>
      <c r="ABV542" s="308"/>
      <c r="ABW542" s="308"/>
      <c r="ABX542" s="308"/>
      <c r="ABY542" s="308"/>
      <c r="ABZ542" s="308"/>
      <c r="ACA542" s="308"/>
      <c r="ACB542" s="308"/>
      <c r="ACC542" s="308"/>
      <c r="ACD542" s="308"/>
      <c r="ACE542" s="308"/>
      <c r="ACF542" s="308"/>
      <c r="ACG542" s="308"/>
      <c r="ACH542" s="308"/>
      <c r="ACI542" s="308"/>
      <c r="ACJ542" s="308"/>
      <c r="ACK542" s="308"/>
      <c r="ACL542" s="308"/>
      <c r="ACM542" s="308"/>
      <c r="ACN542" s="308"/>
      <c r="ACO542" s="308"/>
      <c r="ACP542" s="308"/>
      <c r="ACQ542" s="308"/>
      <c r="ACR542" s="308"/>
      <c r="ACS542" s="308"/>
      <c r="ACT542" s="308"/>
      <c r="ACU542" s="308"/>
      <c r="ACV542" s="308"/>
    </row>
    <row r="543" spans="1:776" x14ac:dyDescent="0.25">
      <c r="A543" s="583">
        <v>900242</v>
      </c>
      <c r="B543" s="512" t="s">
        <v>437</v>
      </c>
      <c r="C543" s="513"/>
      <c r="D543" s="305" t="s">
        <v>261</v>
      </c>
      <c r="E543" s="305">
        <v>1.1200000000000001</v>
      </c>
      <c r="F543" s="306">
        <v>11.3</v>
      </c>
      <c r="G543" s="305">
        <v>0</v>
      </c>
      <c r="H543" s="305">
        <v>0.03</v>
      </c>
      <c r="I543" s="307">
        <v>179.06</v>
      </c>
      <c r="J543" s="305">
        <v>72.27</v>
      </c>
      <c r="K543" s="305">
        <v>9.1800000000000007E-2</v>
      </c>
      <c r="L543" s="305">
        <v>312</v>
      </c>
      <c r="M543" s="305">
        <v>0</v>
      </c>
      <c r="N543" s="305">
        <v>1.46</v>
      </c>
      <c r="O543" s="305">
        <v>91.02</v>
      </c>
      <c r="P543" s="305">
        <v>80.8</v>
      </c>
      <c r="Q543" s="305">
        <v>47.57</v>
      </c>
      <c r="R543" s="397">
        <v>1.0000000000000001E-5</v>
      </c>
      <c r="S543" s="397">
        <v>1.0000000000000001E-5</v>
      </c>
      <c r="T543" s="397">
        <v>1.0000000000000001E-5</v>
      </c>
      <c r="U543" s="305">
        <v>0.03</v>
      </c>
      <c r="V543" s="397">
        <v>1.0000000000000001E-5</v>
      </c>
      <c r="W543" s="251"/>
      <c r="X543" s="251"/>
      <c r="Y543" s="251"/>
      <c r="Z543" s="251"/>
      <c r="AA543" s="251"/>
      <c r="AB543" s="251"/>
      <c r="AC543" s="251"/>
      <c r="AD543" s="251"/>
      <c r="AE543" s="251"/>
      <c r="AF543" s="251"/>
      <c r="AG543" s="251"/>
      <c r="AH543" s="251"/>
      <c r="AI543" s="251"/>
      <c r="AJ543" s="251"/>
      <c r="AK543" s="251"/>
      <c r="AL543" s="251"/>
      <c r="AM543" s="251"/>
      <c r="AN543" s="251"/>
      <c r="AO543" s="251"/>
      <c r="AP543" s="251"/>
      <c r="AQ543" s="251"/>
      <c r="AR543" s="251"/>
      <c r="AS543" s="251"/>
      <c r="AT543" s="251"/>
      <c r="AU543" s="251"/>
      <c r="AV543" s="251"/>
      <c r="AW543" s="251"/>
      <c r="AX543" s="251"/>
      <c r="AY543" s="251"/>
      <c r="AZ543" s="251"/>
      <c r="BA543" s="251"/>
      <c r="BB543" s="251"/>
      <c r="BC543" s="251"/>
      <c r="BD543" s="251"/>
      <c r="BE543" s="251"/>
      <c r="BF543" s="251"/>
      <c r="BG543" s="251"/>
      <c r="BH543" s="251"/>
      <c r="BI543" s="251"/>
      <c r="BJ543" s="251"/>
      <c r="BK543" s="251"/>
      <c r="BL543" s="251"/>
      <c r="BM543" s="251"/>
      <c r="BN543" s="251"/>
      <c r="BO543" s="251"/>
      <c r="BP543" s="251"/>
      <c r="BQ543" s="251"/>
      <c r="BR543" s="251"/>
      <c r="BS543" s="251"/>
      <c r="BT543" s="251"/>
      <c r="BU543" s="251"/>
      <c r="BV543" s="251"/>
      <c r="BW543" s="251"/>
      <c r="BX543" s="251"/>
      <c r="BY543" s="251"/>
      <c r="BZ543" s="251"/>
      <c r="CA543" s="251"/>
      <c r="CB543" s="251"/>
      <c r="CC543" s="251"/>
      <c r="CD543" s="251"/>
      <c r="CE543" s="251"/>
      <c r="CF543" s="251"/>
      <c r="CG543" s="251"/>
      <c r="CH543" s="251"/>
      <c r="CI543" s="251"/>
      <c r="CJ543" s="251"/>
      <c r="CK543" s="251"/>
      <c r="CL543" s="251"/>
      <c r="CM543" s="251"/>
      <c r="CN543" s="251"/>
      <c r="CO543" s="251"/>
      <c r="CP543" s="251"/>
      <c r="CQ543" s="251"/>
      <c r="CR543" s="251"/>
      <c r="CS543" s="251"/>
      <c r="CT543" s="251"/>
      <c r="CU543" s="251"/>
      <c r="CV543" s="251"/>
      <c r="CW543" s="251"/>
      <c r="CX543" s="251"/>
      <c r="CY543" s="251"/>
      <c r="CZ543" s="251"/>
      <c r="DA543" s="251"/>
      <c r="DB543" s="251"/>
      <c r="DC543" s="251"/>
      <c r="DD543" s="251"/>
      <c r="DE543" s="251"/>
      <c r="DF543" s="251"/>
      <c r="DG543" s="251"/>
      <c r="DH543" s="251"/>
      <c r="DI543" s="251"/>
      <c r="DJ543" s="251"/>
      <c r="DK543" s="251"/>
      <c r="DL543" s="251"/>
      <c r="DM543" s="251"/>
      <c r="DN543" s="251"/>
      <c r="DO543" s="251"/>
      <c r="DP543" s="251"/>
      <c r="DQ543" s="251"/>
      <c r="DR543" s="251"/>
      <c r="DS543" s="251"/>
      <c r="DT543" s="251"/>
      <c r="DU543" s="251"/>
      <c r="DV543" s="251"/>
      <c r="DW543" s="251"/>
      <c r="DX543" s="251"/>
      <c r="DY543" s="251"/>
      <c r="DZ543" s="251"/>
      <c r="EA543" s="251"/>
      <c r="EB543" s="251"/>
      <c r="EC543" s="251"/>
      <c r="ED543" s="251"/>
      <c r="EE543" s="251"/>
      <c r="EF543" s="251"/>
      <c r="EG543" s="251"/>
      <c r="EH543" s="251"/>
      <c r="EI543" s="251"/>
      <c r="EJ543" s="251"/>
      <c r="EK543" s="251"/>
      <c r="EL543" s="251"/>
      <c r="EM543" s="251"/>
      <c r="EN543" s="251"/>
      <c r="EO543" s="251"/>
      <c r="EP543" s="251"/>
      <c r="EQ543" s="251"/>
      <c r="ER543" s="251"/>
      <c r="ES543" s="251"/>
      <c r="ET543" s="251"/>
      <c r="EU543" s="251"/>
      <c r="EV543" s="251"/>
      <c r="EW543" s="251"/>
      <c r="EX543" s="251"/>
      <c r="EY543" s="251"/>
      <c r="EZ543" s="251"/>
      <c r="FA543" s="251"/>
      <c r="FB543" s="251"/>
      <c r="FC543" s="251"/>
      <c r="FD543" s="251"/>
      <c r="FE543" s="251"/>
      <c r="FF543" s="251"/>
      <c r="FG543" s="251"/>
      <c r="FH543" s="251"/>
      <c r="FI543" s="251"/>
      <c r="FJ543" s="251"/>
      <c r="FK543" s="251"/>
      <c r="FL543" s="251"/>
      <c r="FM543" s="251"/>
      <c r="FN543" s="251"/>
      <c r="FO543" s="251"/>
      <c r="FP543" s="251"/>
      <c r="FQ543" s="251"/>
      <c r="FR543" s="251"/>
      <c r="FS543" s="251"/>
      <c r="FT543" s="251"/>
      <c r="FU543" s="251"/>
      <c r="FV543" s="251"/>
      <c r="FW543" s="251"/>
      <c r="FX543" s="251"/>
      <c r="FY543" s="251"/>
      <c r="FZ543" s="251"/>
      <c r="GA543" s="251"/>
      <c r="GB543" s="251"/>
      <c r="GC543" s="251"/>
      <c r="GD543" s="251"/>
      <c r="GE543" s="251"/>
      <c r="GF543" s="251"/>
      <c r="GG543" s="251"/>
      <c r="GH543" s="251"/>
      <c r="GI543" s="251"/>
      <c r="GJ543" s="251"/>
      <c r="GK543" s="251"/>
      <c r="GL543" s="251"/>
      <c r="GM543" s="251"/>
      <c r="GN543" s="251"/>
      <c r="GO543" s="251"/>
      <c r="GP543" s="251"/>
      <c r="GQ543" s="251"/>
      <c r="GR543" s="251"/>
      <c r="GS543" s="251"/>
      <c r="GT543" s="251"/>
      <c r="GU543" s="251"/>
      <c r="GV543" s="251"/>
      <c r="GW543" s="251"/>
      <c r="GX543" s="251"/>
      <c r="GY543" s="251"/>
      <c r="GZ543" s="251"/>
      <c r="HA543" s="251"/>
      <c r="HB543" s="251"/>
      <c r="HC543" s="251"/>
      <c r="HD543" s="251"/>
      <c r="HE543" s="251"/>
      <c r="HF543" s="251"/>
      <c r="HG543" s="251"/>
      <c r="HH543" s="251"/>
      <c r="HI543" s="251"/>
      <c r="HJ543" s="251"/>
      <c r="HK543" s="251"/>
      <c r="HL543" s="251"/>
      <c r="HM543" s="251"/>
      <c r="HN543" s="251"/>
      <c r="HO543" s="251"/>
      <c r="HP543" s="251"/>
      <c r="HQ543" s="251"/>
      <c r="HR543" s="251"/>
      <c r="HS543" s="251"/>
      <c r="HT543" s="251"/>
      <c r="HU543" s="251"/>
      <c r="HV543" s="251"/>
      <c r="HW543" s="251"/>
      <c r="HX543" s="251"/>
      <c r="HY543" s="251"/>
      <c r="HZ543" s="251"/>
      <c r="IA543" s="251"/>
      <c r="IB543" s="251"/>
      <c r="IC543" s="251"/>
      <c r="ID543" s="251"/>
      <c r="IE543" s="251"/>
      <c r="IF543" s="251"/>
      <c r="IG543" s="251"/>
      <c r="IH543" s="251"/>
      <c r="II543" s="251"/>
      <c r="IJ543" s="251"/>
      <c r="IK543" s="251"/>
      <c r="IL543" s="251"/>
      <c r="IM543" s="251"/>
      <c r="IN543" s="251"/>
      <c r="IO543" s="251"/>
      <c r="IP543" s="251"/>
      <c r="IQ543" s="251"/>
      <c r="IR543" s="251"/>
      <c r="IS543" s="251"/>
      <c r="IT543" s="251"/>
      <c r="IU543" s="251"/>
      <c r="IV543" s="251"/>
      <c r="IW543" s="251"/>
      <c r="IX543" s="251"/>
      <c r="IY543" s="251"/>
      <c r="IZ543" s="251"/>
      <c r="JA543" s="251"/>
      <c r="JB543" s="251"/>
      <c r="JC543" s="251"/>
      <c r="JD543" s="251"/>
      <c r="JE543" s="251"/>
      <c r="JF543" s="251"/>
      <c r="JG543" s="251"/>
      <c r="JH543" s="251"/>
      <c r="JI543" s="251"/>
      <c r="JJ543" s="251"/>
      <c r="JK543" s="251"/>
      <c r="JL543" s="251"/>
      <c r="JM543" s="251"/>
      <c r="JN543" s="251"/>
      <c r="JO543" s="251"/>
      <c r="JP543" s="251"/>
      <c r="JQ543" s="251"/>
      <c r="JR543" s="251"/>
      <c r="JS543" s="251"/>
      <c r="JT543" s="251"/>
      <c r="JU543" s="251"/>
      <c r="JV543" s="251"/>
      <c r="JW543" s="251"/>
      <c r="JX543" s="251"/>
      <c r="JY543" s="251"/>
      <c r="JZ543" s="251"/>
      <c r="KA543" s="251"/>
      <c r="KB543" s="251"/>
      <c r="KC543" s="251"/>
      <c r="KD543" s="251"/>
      <c r="KE543" s="251"/>
      <c r="KF543" s="251"/>
      <c r="KG543" s="251"/>
      <c r="KH543" s="251"/>
      <c r="KI543" s="251"/>
      <c r="KJ543" s="251"/>
      <c r="KK543" s="251"/>
      <c r="KL543" s="251"/>
      <c r="KM543" s="251"/>
      <c r="KN543" s="251"/>
      <c r="KO543" s="251"/>
      <c r="KP543" s="251"/>
      <c r="KQ543" s="251"/>
      <c r="KR543" s="251"/>
      <c r="KS543" s="251"/>
      <c r="KT543" s="251"/>
      <c r="KU543" s="251"/>
      <c r="KV543" s="251"/>
      <c r="KW543" s="251"/>
      <c r="KX543" s="251"/>
      <c r="KY543" s="251"/>
      <c r="KZ543" s="251"/>
      <c r="LA543" s="251"/>
      <c r="LB543" s="251"/>
      <c r="LC543" s="251"/>
      <c r="LD543" s="251"/>
      <c r="LE543" s="251"/>
      <c r="LF543" s="251"/>
      <c r="LG543" s="251"/>
      <c r="LH543" s="251"/>
      <c r="LI543" s="251"/>
      <c r="LJ543" s="251"/>
      <c r="LK543" s="251"/>
      <c r="LL543" s="308"/>
      <c r="LM543" s="308"/>
      <c r="LN543" s="308"/>
      <c r="LO543" s="308"/>
      <c r="LP543" s="308"/>
      <c r="LQ543" s="308"/>
      <c r="LR543" s="308"/>
      <c r="LS543" s="308"/>
      <c r="LT543" s="308"/>
      <c r="LU543" s="308"/>
      <c r="LV543" s="308"/>
      <c r="LW543" s="308"/>
      <c r="LX543" s="308"/>
      <c r="LY543" s="308"/>
      <c r="LZ543" s="308"/>
      <c r="MA543" s="308"/>
      <c r="MB543" s="308"/>
      <c r="MC543" s="308"/>
      <c r="MD543" s="308"/>
      <c r="ME543" s="308"/>
      <c r="MF543" s="308"/>
      <c r="MG543" s="308"/>
      <c r="MH543" s="308"/>
      <c r="MI543" s="308"/>
      <c r="MJ543" s="308"/>
      <c r="MK543" s="308"/>
      <c r="ML543" s="308"/>
      <c r="MM543" s="308"/>
      <c r="MN543" s="308"/>
      <c r="MO543" s="308"/>
      <c r="MP543" s="308"/>
      <c r="MQ543" s="308"/>
      <c r="MR543" s="308"/>
      <c r="MS543" s="308"/>
      <c r="MT543" s="308"/>
      <c r="MU543" s="308"/>
      <c r="MV543" s="308"/>
      <c r="MW543" s="308"/>
      <c r="MX543" s="308"/>
      <c r="MY543" s="308"/>
      <c r="MZ543" s="308"/>
      <c r="NA543" s="308"/>
      <c r="NB543" s="308"/>
      <c r="NC543" s="308"/>
      <c r="ND543" s="308"/>
      <c r="NE543" s="308"/>
      <c r="NF543" s="308"/>
      <c r="NG543" s="308"/>
      <c r="NH543" s="308"/>
      <c r="NI543" s="308"/>
      <c r="NJ543" s="308"/>
      <c r="NK543" s="308"/>
      <c r="NL543" s="308"/>
      <c r="NM543" s="308"/>
      <c r="NN543" s="308"/>
      <c r="NO543" s="308"/>
      <c r="NP543" s="308"/>
      <c r="NQ543" s="308"/>
      <c r="NR543" s="308"/>
      <c r="NS543" s="308"/>
      <c r="NT543" s="308"/>
      <c r="NU543" s="308"/>
      <c r="NV543" s="308"/>
      <c r="NW543" s="308"/>
      <c r="NX543" s="308"/>
      <c r="NY543" s="308"/>
      <c r="NZ543" s="308"/>
      <c r="OA543" s="308"/>
      <c r="OB543" s="308"/>
      <c r="OC543" s="308"/>
      <c r="OD543" s="308"/>
      <c r="OE543" s="308"/>
      <c r="OF543" s="308"/>
      <c r="OG543" s="308"/>
      <c r="OH543" s="308"/>
      <c r="OI543" s="308"/>
      <c r="OJ543" s="308"/>
      <c r="OK543" s="308"/>
      <c r="OL543" s="308"/>
      <c r="OM543" s="308"/>
      <c r="ON543" s="308"/>
      <c r="OO543" s="308"/>
      <c r="OP543" s="308"/>
      <c r="OQ543" s="308"/>
      <c r="OR543" s="308"/>
      <c r="OS543" s="308"/>
      <c r="OT543" s="308"/>
      <c r="OU543" s="308"/>
      <c r="OV543" s="308"/>
      <c r="OW543" s="308"/>
      <c r="OX543" s="308"/>
      <c r="OY543" s="308"/>
      <c r="OZ543" s="308"/>
      <c r="PA543" s="308"/>
      <c r="PB543" s="308"/>
      <c r="PC543" s="308"/>
      <c r="PD543" s="308"/>
      <c r="PE543" s="308"/>
      <c r="PF543" s="308"/>
      <c r="PG543" s="308"/>
      <c r="PH543" s="308"/>
      <c r="PI543" s="308"/>
      <c r="PJ543" s="308"/>
      <c r="PK543" s="308"/>
      <c r="PL543" s="308"/>
      <c r="PM543" s="308"/>
      <c r="PN543" s="308"/>
      <c r="PO543" s="308"/>
      <c r="PP543" s="308"/>
      <c r="PQ543" s="308"/>
      <c r="PR543" s="308"/>
      <c r="PS543" s="308"/>
      <c r="PT543" s="308"/>
      <c r="PU543" s="308"/>
      <c r="PV543" s="308"/>
      <c r="PW543" s="308"/>
      <c r="PX543" s="308"/>
      <c r="PY543" s="308"/>
      <c r="PZ543" s="308"/>
      <c r="QA543" s="308"/>
      <c r="QB543" s="308"/>
      <c r="QC543" s="308"/>
      <c r="QD543" s="308"/>
      <c r="QE543" s="308"/>
      <c r="QF543" s="308"/>
      <c r="QG543" s="308"/>
      <c r="QH543" s="308"/>
      <c r="QI543" s="308"/>
      <c r="QJ543" s="308"/>
      <c r="QK543" s="308"/>
      <c r="QL543" s="308"/>
      <c r="QM543" s="308"/>
      <c r="QN543" s="308"/>
      <c r="QO543" s="308"/>
      <c r="QP543" s="308"/>
      <c r="QQ543" s="308"/>
      <c r="QR543" s="308"/>
      <c r="QS543" s="308"/>
      <c r="QT543" s="308"/>
      <c r="QU543" s="308"/>
      <c r="QV543" s="308"/>
      <c r="QW543" s="308"/>
      <c r="QX543" s="308"/>
      <c r="QY543" s="308"/>
      <c r="QZ543" s="308"/>
      <c r="RA543" s="308"/>
      <c r="RB543" s="308"/>
      <c r="RC543" s="308"/>
      <c r="RD543" s="308"/>
      <c r="RE543" s="308"/>
      <c r="RF543" s="308"/>
      <c r="RG543" s="308"/>
      <c r="RH543" s="308"/>
      <c r="RI543" s="308"/>
      <c r="RJ543" s="308"/>
      <c r="RK543" s="308"/>
      <c r="RL543" s="308"/>
      <c r="RM543" s="308"/>
      <c r="RN543" s="308"/>
      <c r="RO543" s="308"/>
      <c r="RP543" s="308"/>
      <c r="RQ543" s="308"/>
      <c r="RR543" s="308"/>
      <c r="RS543" s="308"/>
      <c r="RT543" s="308"/>
      <c r="RU543" s="308"/>
      <c r="RV543" s="308"/>
      <c r="RW543" s="308"/>
      <c r="RX543" s="308"/>
      <c r="RY543" s="308"/>
      <c r="RZ543" s="308"/>
      <c r="SA543" s="308"/>
      <c r="SB543" s="308"/>
      <c r="SC543" s="308"/>
      <c r="SD543" s="308"/>
      <c r="SE543" s="308"/>
      <c r="SF543" s="308"/>
      <c r="SG543" s="308"/>
      <c r="SH543" s="308"/>
      <c r="SI543" s="308"/>
      <c r="SJ543" s="308"/>
      <c r="SK543" s="308"/>
      <c r="SL543" s="308"/>
      <c r="SM543" s="308"/>
      <c r="SN543" s="308"/>
      <c r="SO543" s="308"/>
      <c r="SP543" s="308"/>
      <c r="SQ543" s="308"/>
      <c r="SR543" s="308"/>
      <c r="SS543" s="308"/>
      <c r="ST543" s="308"/>
      <c r="SU543" s="308"/>
      <c r="SV543" s="308"/>
      <c r="SW543" s="308"/>
      <c r="SX543" s="308"/>
      <c r="SY543" s="308"/>
      <c r="SZ543" s="308"/>
      <c r="TA543" s="308"/>
      <c r="TB543" s="308"/>
      <c r="TC543" s="308"/>
      <c r="TD543" s="308"/>
      <c r="TE543" s="308"/>
      <c r="TF543" s="308"/>
      <c r="TG543" s="308"/>
      <c r="TH543" s="308"/>
      <c r="TI543" s="308"/>
      <c r="TJ543" s="308"/>
      <c r="TK543" s="308"/>
      <c r="TL543" s="308"/>
      <c r="TM543" s="308"/>
      <c r="TN543" s="308"/>
      <c r="TO543" s="308"/>
      <c r="TP543" s="308"/>
      <c r="TQ543" s="308"/>
      <c r="TR543" s="308"/>
      <c r="TS543" s="308"/>
      <c r="TT543" s="308"/>
      <c r="TU543" s="308"/>
      <c r="TV543" s="308"/>
      <c r="TW543" s="308"/>
      <c r="TX543" s="308"/>
      <c r="TY543" s="308"/>
      <c r="TZ543" s="308"/>
      <c r="UA543" s="308"/>
      <c r="UB543" s="308"/>
      <c r="UC543" s="308"/>
      <c r="UD543" s="308"/>
      <c r="UE543" s="308"/>
      <c r="UF543" s="308"/>
      <c r="UG543" s="308"/>
      <c r="UH543" s="308"/>
      <c r="UI543" s="308"/>
      <c r="UJ543" s="308"/>
      <c r="UK543" s="308"/>
      <c r="UL543" s="308"/>
      <c r="UM543" s="308"/>
      <c r="UN543" s="308"/>
      <c r="UO543" s="308"/>
      <c r="UP543" s="308"/>
      <c r="UQ543" s="308"/>
      <c r="UR543" s="308"/>
      <c r="US543" s="308"/>
      <c r="UT543" s="308"/>
      <c r="UU543" s="308"/>
      <c r="UV543" s="308"/>
      <c r="UW543" s="308"/>
      <c r="UX543" s="308"/>
      <c r="UY543" s="308"/>
      <c r="UZ543" s="308"/>
      <c r="VA543" s="308"/>
      <c r="VB543" s="308"/>
      <c r="VC543" s="308"/>
      <c r="VD543" s="308"/>
      <c r="VE543" s="308"/>
      <c r="VF543" s="308"/>
      <c r="VG543" s="308"/>
      <c r="VH543" s="308"/>
      <c r="VI543" s="308"/>
      <c r="VJ543" s="308"/>
      <c r="VK543" s="308"/>
      <c r="VL543" s="308"/>
      <c r="VM543" s="308"/>
      <c r="VN543" s="308"/>
      <c r="VO543" s="308"/>
      <c r="VP543" s="308"/>
      <c r="VQ543" s="308"/>
      <c r="VR543" s="308"/>
      <c r="VS543" s="308"/>
      <c r="VT543" s="308"/>
      <c r="VU543" s="308"/>
      <c r="VV543" s="308"/>
      <c r="VW543" s="308"/>
      <c r="VX543" s="308"/>
      <c r="VY543" s="308"/>
      <c r="VZ543" s="308"/>
      <c r="WA543" s="308"/>
      <c r="WB543" s="308"/>
      <c r="WC543" s="308"/>
      <c r="WD543" s="308"/>
      <c r="WE543" s="308"/>
      <c r="WF543" s="308"/>
      <c r="WG543" s="308"/>
      <c r="WH543" s="308"/>
      <c r="WI543" s="308"/>
      <c r="WJ543" s="308"/>
      <c r="WK543" s="308"/>
      <c r="WL543" s="308"/>
      <c r="WM543" s="308"/>
      <c r="WN543" s="308"/>
      <c r="WO543" s="308"/>
      <c r="WP543" s="308"/>
      <c r="WQ543" s="308"/>
      <c r="WR543" s="308"/>
      <c r="WS543" s="308"/>
      <c r="WT543" s="308"/>
      <c r="WU543" s="308"/>
      <c r="WV543" s="308"/>
      <c r="WW543" s="308"/>
      <c r="WX543" s="308"/>
      <c r="WY543" s="308"/>
      <c r="WZ543" s="308"/>
      <c r="XA543" s="308"/>
      <c r="XB543" s="308"/>
      <c r="XC543" s="308"/>
      <c r="XD543" s="308"/>
      <c r="XE543" s="308"/>
      <c r="XF543" s="308"/>
      <c r="XG543" s="308"/>
      <c r="XH543" s="308"/>
      <c r="XI543" s="308"/>
      <c r="XJ543" s="308"/>
      <c r="XK543" s="308"/>
      <c r="XL543" s="308"/>
      <c r="XM543" s="308"/>
      <c r="XN543" s="308"/>
      <c r="XO543" s="308"/>
      <c r="XP543" s="308"/>
      <c r="XQ543" s="308"/>
      <c r="XR543" s="308"/>
      <c r="XS543" s="308"/>
      <c r="XT543" s="308"/>
      <c r="XU543" s="308"/>
      <c r="XV543" s="308"/>
      <c r="XW543" s="308"/>
      <c r="XX543" s="308"/>
      <c r="XY543" s="308"/>
      <c r="XZ543" s="308"/>
      <c r="YA543" s="308"/>
      <c r="YB543" s="308"/>
      <c r="YC543" s="308"/>
      <c r="YD543" s="308"/>
      <c r="YE543" s="308"/>
      <c r="YF543" s="308"/>
      <c r="YG543" s="308"/>
      <c r="YH543" s="308"/>
      <c r="YI543" s="308"/>
      <c r="YJ543" s="308"/>
      <c r="YK543" s="308"/>
      <c r="YL543" s="308"/>
      <c r="YM543" s="308"/>
      <c r="YN543" s="308"/>
      <c r="YO543" s="308"/>
      <c r="YP543" s="308"/>
      <c r="YQ543" s="308"/>
      <c r="YR543" s="308"/>
      <c r="YS543" s="308"/>
      <c r="YT543" s="308"/>
      <c r="YU543" s="308"/>
      <c r="YV543" s="308"/>
      <c r="YW543" s="308"/>
      <c r="YX543" s="308"/>
      <c r="YY543" s="308"/>
      <c r="YZ543" s="308"/>
      <c r="ZA543" s="308"/>
      <c r="ZB543" s="308"/>
      <c r="ZC543" s="308"/>
      <c r="ZD543" s="308"/>
      <c r="ZE543" s="308"/>
      <c r="ZF543" s="308"/>
      <c r="ZG543" s="308"/>
      <c r="ZH543" s="308"/>
      <c r="ZI543" s="308"/>
      <c r="ZJ543" s="308"/>
      <c r="ZK543" s="308"/>
      <c r="ZL543" s="308"/>
      <c r="ZM543" s="308"/>
      <c r="ZN543" s="308"/>
      <c r="ZO543" s="308"/>
      <c r="ZP543" s="308"/>
      <c r="ZQ543" s="308"/>
      <c r="ZR543" s="308"/>
      <c r="ZS543" s="308"/>
      <c r="ZT543" s="308"/>
      <c r="ZU543" s="308"/>
      <c r="ZV543" s="308"/>
      <c r="ZW543" s="308"/>
      <c r="ZX543" s="308"/>
      <c r="ZY543" s="308"/>
      <c r="ZZ543" s="308"/>
      <c r="AAA543" s="308"/>
      <c r="AAB543" s="308"/>
      <c r="AAC543" s="308"/>
      <c r="AAD543" s="308"/>
      <c r="AAE543" s="308"/>
      <c r="AAF543" s="308"/>
      <c r="AAG543" s="308"/>
      <c r="AAH543" s="308"/>
      <c r="AAI543" s="308"/>
      <c r="AAJ543" s="308"/>
      <c r="AAK543" s="308"/>
      <c r="AAL543" s="308"/>
      <c r="AAM543" s="308"/>
      <c r="AAN543" s="308"/>
      <c r="AAO543" s="308"/>
      <c r="AAP543" s="308"/>
      <c r="AAQ543" s="308"/>
      <c r="AAR543" s="308"/>
      <c r="AAS543" s="308"/>
      <c r="AAT543" s="308"/>
      <c r="AAU543" s="308"/>
      <c r="AAV543" s="308"/>
      <c r="AAW543" s="308"/>
      <c r="AAX543" s="308"/>
      <c r="AAY543" s="308"/>
      <c r="AAZ543" s="308"/>
      <c r="ABA543" s="308"/>
      <c r="ABB543" s="308"/>
      <c r="ABC543" s="308"/>
      <c r="ABD543" s="308"/>
      <c r="ABE543" s="308"/>
      <c r="ABF543" s="308"/>
      <c r="ABG543" s="308"/>
      <c r="ABH543" s="308"/>
      <c r="ABI543" s="308"/>
      <c r="ABJ543" s="308"/>
      <c r="ABK543" s="308"/>
      <c r="ABL543" s="308"/>
      <c r="ABM543" s="308"/>
      <c r="ABN543" s="308"/>
      <c r="ABO543" s="308"/>
      <c r="ABP543" s="308"/>
      <c r="ABQ543" s="308"/>
      <c r="ABR543" s="308"/>
      <c r="ABS543" s="308"/>
      <c r="ABT543" s="308"/>
      <c r="ABU543" s="308"/>
      <c r="ABV543" s="308"/>
      <c r="ABW543" s="308"/>
      <c r="ABX543" s="308"/>
      <c r="ABY543" s="308"/>
      <c r="ABZ543" s="308"/>
      <c r="ACA543" s="308"/>
      <c r="ACB543" s="308"/>
      <c r="ACC543" s="308"/>
      <c r="ACD543" s="308"/>
      <c r="ACE543" s="308"/>
      <c r="ACF543" s="308"/>
      <c r="ACG543" s="308"/>
      <c r="ACH543" s="308"/>
      <c r="ACI543" s="308"/>
      <c r="ACJ543" s="308"/>
      <c r="ACK543" s="308"/>
      <c r="ACL543" s="308"/>
      <c r="ACM543" s="308"/>
      <c r="ACN543" s="308"/>
      <c r="ACO543" s="308"/>
      <c r="ACP543" s="308"/>
      <c r="ACQ543" s="308"/>
      <c r="ACR543" s="308"/>
      <c r="ACS543" s="308"/>
      <c r="ACT543" s="308"/>
      <c r="ACU543" s="308"/>
      <c r="ACV543" s="308"/>
    </row>
    <row r="544" spans="1:776" x14ac:dyDescent="0.25">
      <c r="A544" s="583">
        <v>900243</v>
      </c>
      <c r="B544" s="512" t="s">
        <v>438</v>
      </c>
      <c r="C544" s="513"/>
      <c r="D544" s="305" t="s">
        <v>412</v>
      </c>
      <c r="E544" s="305">
        <v>5.24</v>
      </c>
      <c r="F544" s="306">
        <v>0.3</v>
      </c>
      <c r="G544" s="305">
        <v>0</v>
      </c>
      <c r="H544" s="305">
        <v>0.03</v>
      </c>
      <c r="I544" s="307">
        <v>1540.5</v>
      </c>
      <c r="J544" s="305">
        <v>94.25</v>
      </c>
      <c r="K544" s="305">
        <v>9.1800000000000007E-2</v>
      </c>
      <c r="L544" s="305">
        <v>472.8</v>
      </c>
      <c r="M544" s="305">
        <v>0</v>
      </c>
      <c r="N544" s="305">
        <v>9.86</v>
      </c>
      <c r="O544" s="305">
        <v>1116.29</v>
      </c>
      <c r="P544" s="305">
        <v>104.08</v>
      </c>
      <c r="Q544" s="305">
        <v>55.89</v>
      </c>
      <c r="R544" s="305">
        <v>0.4</v>
      </c>
      <c r="S544" s="397">
        <v>1.0000000000000001E-5</v>
      </c>
      <c r="T544" s="397">
        <v>1.0000000000000001E-5</v>
      </c>
      <c r="U544" s="305">
        <v>0.01</v>
      </c>
      <c r="V544" s="397">
        <v>1.0000000000000001E-5</v>
      </c>
      <c r="W544" s="251"/>
      <c r="X544" s="251"/>
      <c r="Y544" s="251"/>
      <c r="Z544" s="251"/>
      <c r="AA544" s="251"/>
      <c r="AB544" s="251"/>
      <c r="AC544" s="251"/>
      <c r="AD544" s="251"/>
      <c r="AE544" s="251"/>
      <c r="AF544" s="251"/>
      <c r="AG544" s="251"/>
      <c r="AH544" s="251"/>
      <c r="AI544" s="251"/>
      <c r="AJ544" s="251"/>
      <c r="AK544" s="251"/>
      <c r="AL544" s="251"/>
      <c r="AM544" s="251"/>
      <c r="AN544" s="251"/>
      <c r="AO544" s="251"/>
      <c r="AP544" s="251"/>
      <c r="AQ544" s="251"/>
      <c r="AR544" s="251"/>
      <c r="AS544" s="251"/>
      <c r="AT544" s="251"/>
      <c r="AU544" s="251"/>
      <c r="AV544" s="251"/>
      <c r="AW544" s="251"/>
      <c r="AX544" s="251"/>
      <c r="AY544" s="251"/>
      <c r="AZ544" s="251"/>
      <c r="BA544" s="251"/>
      <c r="BB544" s="251"/>
      <c r="BC544" s="251"/>
      <c r="BD544" s="251"/>
      <c r="BE544" s="251"/>
      <c r="BF544" s="251"/>
      <c r="BG544" s="251"/>
      <c r="BH544" s="251"/>
      <c r="BI544" s="251"/>
      <c r="BJ544" s="251"/>
      <c r="BK544" s="251"/>
      <c r="BL544" s="251"/>
      <c r="BM544" s="251"/>
      <c r="BN544" s="251"/>
      <c r="BO544" s="251"/>
      <c r="BP544" s="251"/>
      <c r="BQ544" s="251"/>
      <c r="BR544" s="251"/>
      <c r="BS544" s="251"/>
      <c r="BT544" s="251"/>
      <c r="BU544" s="251"/>
      <c r="BV544" s="251"/>
      <c r="BW544" s="251"/>
      <c r="BX544" s="251"/>
      <c r="BY544" s="251"/>
      <c r="BZ544" s="251"/>
      <c r="CA544" s="251"/>
      <c r="CB544" s="251"/>
      <c r="CC544" s="251"/>
      <c r="CD544" s="251"/>
      <c r="CE544" s="251"/>
      <c r="CF544" s="251"/>
      <c r="CG544" s="251"/>
      <c r="CH544" s="251"/>
      <c r="CI544" s="251"/>
      <c r="CJ544" s="251"/>
      <c r="CK544" s="251"/>
      <c r="CL544" s="251"/>
      <c r="CM544" s="251"/>
      <c r="CN544" s="251"/>
      <c r="CO544" s="251"/>
      <c r="CP544" s="251"/>
      <c r="CQ544" s="251"/>
      <c r="CR544" s="251"/>
      <c r="CS544" s="251"/>
      <c r="CT544" s="251"/>
      <c r="CU544" s="251"/>
      <c r="CV544" s="251"/>
      <c r="CW544" s="251"/>
      <c r="CX544" s="251"/>
      <c r="CY544" s="251"/>
      <c r="CZ544" s="251"/>
      <c r="DA544" s="251"/>
      <c r="DB544" s="251"/>
      <c r="DC544" s="251"/>
      <c r="DD544" s="251"/>
      <c r="DE544" s="251"/>
      <c r="DF544" s="251"/>
      <c r="DG544" s="251"/>
      <c r="DH544" s="251"/>
      <c r="DI544" s="251"/>
      <c r="DJ544" s="251"/>
      <c r="DK544" s="251"/>
      <c r="DL544" s="251"/>
      <c r="DM544" s="251"/>
      <c r="DN544" s="251"/>
      <c r="DO544" s="251"/>
      <c r="DP544" s="251"/>
      <c r="DQ544" s="251"/>
      <c r="DR544" s="251"/>
      <c r="DS544" s="251"/>
      <c r="DT544" s="251"/>
      <c r="DU544" s="251"/>
      <c r="DV544" s="251"/>
      <c r="DW544" s="251"/>
      <c r="DX544" s="251"/>
      <c r="DY544" s="251"/>
      <c r="DZ544" s="251"/>
      <c r="EA544" s="251"/>
      <c r="EB544" s="251"/>
      <c r="EC544" s="251"/>
      <c r="ED544" s="251"/>
      <c r="EE544" s="251"/>
      <c r="EF544" s="251"/>
      <c r="EG544" s="251"/>
      <c r="EH544" s="251"/>
      <c r="EI544" s="251"/>
      <c r="EJ544" s="251"/>
      <c r="EK544" s="251"/>
      <c r="EL544" s="251"/>
      <c r="EM544" s="251"/>
      <c r="EN544" s="251"/>
      <c r="EO544" s="251"/>
      <c r="EP544" s="251"/>
      <c r="EQ544" s="251"/>
      <c r="ER544" s="251"/>
      <c r="ES544" s="251"/>
      <c r="ET544" s="251"/>
      <c r="EU544" s="251"/>
      <c r="EV544" s="251"/>
      <c r="EW544" s="251"/>
      <c r="EX544" s="251"/>
      <c r="EY544" s="251"/>
      <c r="EZ544" s="251"/>
      <c r="FA544" s="251"/>
      <c r="FB544" s="251"/>
      <c r="FC544" s="251"/>
      <c r="FD544" s="251"/>
      <c r="FE544" s="251"/>
      <c r="FF544" s="251"/>
      <c r="FG544" s="251"/>
      <c r="FH544" s="251"/>
      <c r="FI544" s="251"/>
      <c r="FJ544" s="251"/>
      <c r="FK544" s="251"/>
      <c r="FL544" s="251"/>
      <c r="FM544" s="251"/>
      <c r="FN544" s="251"/>
      <c r="FO544" s="251"/>
      <c r="FP544" s="251"/>
      <c r="FQ544" s="251"/>
      <c r="FR544" s="251"/>
      <c r="FS544" s="251"/>
      <c r="FT544" s="251"/>
      <c r="FU544" s="251"/>
      <c r="FV544" s="251"/>
      <c r="FW544" s="251"/>
      <c r="FX544" s="251"/>
      <c r="FY544" s="251"/>
      <c r="FZ544" s="251"/>
      <c r="GA544" s="251"/>
      <c r="GB544" s="251"/>
      <c r="GC544" s="251"/>
      <c r="GD544" s="251"/>
      <c r="GE544" s="251"/>
      <c r="GF544" s="251"/>
      <c r="GG544" s="251"/>
      <c r="GH544" s="251"/>
      <c r="GI544" s="251"/>
      <c r="GJ544" s="251"/>
      <c r="GK544" s="251"/>
      <c r="GL544" s="251"/>
      <c r="GM544" s="251"/>
      <c r="GN544" s="251"/>
      <c r="GO544" s="251"/>
      <c r="GP544" s="251"/>
      <c r="GQ544" s="251"/>
      <c r="GR544" s="251"/>
      <c r="GS544" s="251"/>
      <c r="GT544" s="251"/>
      <c r="GU544" s="251"/>
      <c r="GV544" s="251"/>
      <c r="GW544" s="251"/>
      <c r="GX544" s="251"/>
      <c r="GY544" s="251"/>
      <c r="GZ544" s="251"/>
      <c r="HA544" s="251"/>
      <c r="HB544" s="251"/>
      <c r="HC544" s="251"/>
      <c r="HD544" s="251"/>
      <c r="HE544" s="251"/>
      <c r="HF544" s="251"/>
      <c r="HG544" s="251"/>
      <c r="HH544" s="251"/>
      <c r="HI544" s="251"/>
      <c r="HJ544" s="251"/>
      <c r="HK544" s="251"/>
      <c r="HL544" s="251"/>
      <c r="HM544" s="251"/>
      <c r="HN544" s="251"/>
      <c r="HO544" s="251"/>
      <c r="HP544" s="251"/>
      <c r="HQ544" s="251"/>
      <c r="HR544" s="251"/>
      <c r="HS544" s="251"/>
      <c r="HT544" s="251"/>
      <c r="HU544" s="251"/>
      <c r="HV544" s="251"/>
      <c r="HW544" s="251"/>
      <c r="HX544" s="251"/>
      <c r="HY544" s="251"/>
      <c r="HZ544" s="251"/>
      <c r="IA544" s="251"/>
      <c r="IB544" s="251"/>
      <c r="IC544" s="251"/>
      <c r="ID544" s="251"/>
      <c r="IE544" s="251"/>
      <c r="IF544" s="251"/>
      <c r="IG544" s="251"/>
      <c r="IH544" s="251"/>
      <c r="II544" s="251"/>
      <c r="IJ544" s="251"/>
      <c r="IK544" s="251"/>
      <c r="IL544" s="251"/>
      <c r="IM544" s="251"/>
      <c r="IN544" s="251"/>
      <c r="IO544" s="251"/>
      <c r="IP544" s="251"/>
      <c r="IQ544" s="251"/>
      <c r="IR544" s="251"/>
      <c r="IS544" s="251"/>
      <c r="IT544" s="251"/>
      <c r="IU544" s="251"/>
      <c r="IV544" s="251"/>
      <c r="IW544" s="251"/>
      <c r="IX544" s="251"/>
      <c r="IY544" s="251"/>
      <c r="IZ544" s="251"/>
      <c r="JA544" s="251"/>
      <c r="JB544" s="251"/>
      <c r="JC544" s="251"/>
      <c r="JD544" s="251"/>
      <c r="JE544" s="251"/>
      <c r="JF544" s="251"/>
      <c r="JG544" s="251"/>
      <c r="JH544" s="251"/>
      <c r="JI544" s="251"/>
      <c r="JJ544" s="251"/>
      <c r="JK544" s="251"/>
      <c r="JL544" s="251"/>
      <c r="JM544" s="251"/>
      <c r="JN544" s="251"/>
      <c r="JO544" s="251"/>
      <c r="JP544" s="251"/>
      <c r="JQ544" s="251"/>
      <c r="JR544" s="251"/>
      <c r="JS544" s="251"/>
      <c r="JT544" s="251"/>
      <c r="JU544" s="251"/>
      <c r="JV544" s="251"/>
      <c r="JW544" s="251"/>
      <c r="JX544" s="251"/>
      <c r="JY544" s="251"/>
      <c r="JZ544" s="251"/>
      <c r="KA544" s="251"/>
      <c r="KB544" s="251"/>
      <c r="KC544" s="251"/>
      <c r="KD544" s="251"/>
      <c r="KE544" s="251"/>
      <c r="KF544" s="251"/>
      <c r="KG544" s="251"/>
      <c r="KH544" s="251"/>
      <c r="KI544" s="251"/>
      <c r="KJ544" s="251"/>
      <c r="KK544" s="251"/>
      <c r="KL544" s="251"/>
      <c r="KM544" s="251"/>
      <c r="KN544" s="251"/>
      <c r="KO544" s="251"/>
      <c r="KP544" s="251"/>
      <c r="KQ544" s="251"/>
      <c r="KR544" s="251"/>
      <c r="KS544" s="251"/>
      <c r="KT544" s="251"/>
      <c r="KU544" s="251"/>
      <c r="KV544" s="251"/>
      <c r="KW544" s="251"/>
      <c r="KX544" s="251"/>
      <c r="KY544" s="251"/>
      <c r="KZ544" s="251"/>
      <c r="LA544" s="251"/>
      <c r="LB544" s="251"/>
      <c r="LC544" s="251"/>
      <c r="LD544" s="251"/>
      <c r="LE544" s="251"/>
      <c r="LF544" s="251"/>
      <c r="LG544" s="251"/>
      <c r="LH544" s="251"/>
      <c r="LI544" s="251"/>
      <c r="LJ544" s="251"/>
      <c r="LK544" s="251"/>
      <c r="LL544" s="308"/>
      <c r="LM544" s="308"/>
      <c r="LN544" s="308"/>
      <c r="LO544" s="308"/>
      <c r="LP544" s="308"/>
      <c r="LQ544" s="308"/>
      <c r="LR544" s="308"/>
      <c r="LS544" s="308"/>
      <c r="LT544" s="308"/>
      <c r="LU544" s="308"/>
      <c r="LV544" s="308"/>
      <c r="LW544" s="308"/>
      <c r="LX544" s="308"/>
      <c r="LY544" s="308"/>
      <c r="LZ544" s="308"/>
      <c r="MA544" s="308"/>
      <c r="MB544" s="308"/>
      <c r="MC544" s="308"/>
      <c r="MD544" s="308"/>
      <c r="ME544" s="308"/>
      <c r="MF544" s="308"/>
      <c r="MG544" s="308"/>
      <c r="MH544" s="308"/>
      <c r="MI544" s="308"/>
      <c r="MJ544" s="308"/>
      <c r="MK544" s="308"/>
      <c r="ML544" s="308"/>
      <c r="MM544" s="308"/>
      <c r="MN544" s="308"/>
      <c r="MO544" s="308"/>
      <c r="MP544" s="308"/>
      <c r="MQ544" s="308"/>
      <c r="MR544" s="308"/>
      <c r="MS544" s="308"/>
      <c r="MT544" s="308"/>
      <c r="MU544" s="308"/>
      <c r="MV544" s="308"/>
      <c r="MW544" s="308"/>
      <c r="MX544" s="308"/>
      <c r="MY544" s="308"/>
      <c r="MZ544" s="308"/>
      <c r="NA544" s="308"/>
      <c r="NB544" s="308"/>
      <c r="NC544" s="308"/>
      <c r="ND544" s="308"/>
      <c r="NE544" s="308"/>
      <c r="NF544" s="308"/>
      <c r="NG544" s="308"/>
      <c r="NH544" s="308"/>
      <c r="NI544" s="308"/>
      <c r="NJ544" s="308"/>
      <c r="NK544" s="308"/>
      <c r="NL544" s="308"/>
      <c r="NM544" s="308"/>
      <c r="NN544" s="308"/>
      <c r="NO544" s="308"/>
      <c r="NP544" s="308"/>
      <c r="NQ544" s="308"/>
      <c r="NR544" s="308"/>
      <c r="NS544" s="308"/>
      <c r="NT544" s="308"/>
      <c r="NU544" s="308"/>
      <c r="NV544" s="308"/>
      <c r="NW544" s="308"/>
      <c r="NX544" s="308"/>
      <c r="NY544" s="308"/>
      <c r="NZ544" s="308"/>
      <c r="OA544" s="308"/>
      <c r="OB544" s="308"/>
      <c r="OC544" s="308"/>
      <c r="OD544" s="308"/>
      <c r="OE544" s="308"/>
      <c r="OF544" s="308"/>
      <c r="OG544" s="308"/>
      <c r="OH544" s="308"/>
      <c r="OI544" s="308"/>
      <c r="OJ544" s="308"/>
      <c r="OK544" s="308"/>
      <c r="OL544" s="308"/>
      <c r="OM544" s="308"/>
      <c r="ON544" s="308"/>
      <c r="OO544" s="308"/>
      <c r="OP544" s="308"/>
      <c r="OQ544" s="308"/>
      <c r="OR544" s="308"/>
      <c r="OS544" s="308"/>
      <c r="OT544" s="308"/>
      <c r="OU544" s="308"/>
      <c r="OV544" s="308"/>
      <c r="OW544" s="308"/>
      <c r="OX544" s="308"/>
      <c r="OY544" s="308"/>
      <c r="OZ544" s="308"/>
      <c r="PA544" s="308"/>
      <c r="PB544" s="308"/>
      <c r="PC544" s="308"/>
      <c r="PD544" s="308"/>
      <c r="PE544" s="308"/>
      <c r="PF544" s="308"/>
      <c r="PG544" s="308"/>
      <c r="PH544" s="308"/>
      <c r="PI544" s="308"/>
      <c r="PJ544" s="308"/>
      <c r="PK544" s="308"/>
      <c r="PL544" s="308"/>
      <c r="PM544" s="308"/>
      <c r="PN544" s="308"/>
      <c r="PO544" s="308"/>
      <c r="PP544" s="308"/>
      <c r="PQ544" s="308"/>
      <c r="PR544" s="308"/>
      <c r="PS544" s="308"/>
      <c r="PT544" s="308"/>
      <c r="PU544" s="308"/>
      <c r="PV544" s="308"/>
      <c r="PW544" s="308"/>
      <c r="PX544" s="308"/>
      <c r="PY544" s="308"/>
      <c r="PZ544" s="308"/>
      <c r="QA544" s="308"/>
      <c r="QB544" s="308"/>
      <c r="QC544" s="308"/>
      <c r="QD544" s="308"/>
      <c r="QE544" s="308"/>
      <c r="QF544" s="308"/>
      <c r="QG544" s="308"/>
      <c r="QH544" s="308"/>
      <c r="QI544" s="308"/>
      <c r="QJ544" s="308"/>
      <c r="QK544" s="308"/>
      <c r="QL544" s="308"/>
      <c r="QM544" s="308"/>
      <c r="QN544" s="308"/>
      <c r="QO544" s="308"/>
      <c r="QP544" s="308"/>
      <c r="QQ544" s="308"/>
      <c r="QR544" s="308"/>
      <c r="QS544" s="308"/>
      <c r="QT544" s="308"/>
      <c r="QU544" s="308"/>
      <c r="QV544" s="308"/>
      <c r="QW544" s="308"/>
      <c r="QX544" s="308"/>
      <c r="QY544" s="308"/>
      <c r="QZ544" s="308"/>
      <c r="RA544" s="308"/>
      <c r="RB544" s="308"/>
      <c r="RC544" s="308"/>
      <c r="RD544" s="308"/>
      <c r="RE544" s="308"/>
      <c r="RF544" s="308"/>
      <c r="RG544" s="308"/>
      <c r="RH544" s="308"/>
      <c r="RI544" s="308"/>
      <c r="RJ544" s="308"/>
      <c r="RK544" s="308"/>
      <c r="RL544" s="308"/>
      <c r="RM544" s="308"/>
      <c r="RN544" s="308"/>
      <c r="RO544" s="308"/>
      <c r="RP544" s="308"/>
      <c r="RQ544" s="308"/>
      <c r="RR544" s="308"/>
      <c r="RS544" s="308"/>
      <c r="RT544" s="308"/>
      <c r="RU544" s="308"/>
      <c r="RV544" s="308"/>
      <c r="RW544" s="308"/>
      <c r="RX544" s="308"/>
      <c r="RY544" s="308"/>
      <c r="RZ544" s="308"/>
      <c r="SA544" s="308"/>
      <c r="SB544" s="308"/>
      <c r="SC544" s="308"/>
      <c r="SD544" s="308"/>
      <c r="SE544" s="308"/>
      <c r="SF544" s="308"/>
      <c r="SG544" s="308"/>
      <c r="SH544" s="308"/>
      <c r="SI544" s="308"/>
      <c r="SJ544" s="308"/>
      <c r="SK544" s="308"/>
      <c r="SL544" s="308"/>
      <c r="SM544" s="308"/>
      <c r="SN544" s="308"/>
      <c r="SO544" s="308"/>
      <c r="SP544" s="308"/>
      <c r="SQ544" s="308"/>
      <c r="SR544" s="308"/>
      <c r="SS544" s="308"/>
      <c r="ST544" s="308"/>
      <c r="SU544" s="308"/>
      <c r="SV544" s="308"/>
      <c r="SW544" s="308"/>
      <c r="SX544" s="308"/>
      <c r="SY544" s="308"/>
      <c r="SZ544" s="308"/>
      <c r="TA544" s="308"/>
      <c r="TB544" s="308"/>
      <c r="TC544" s="308"/>
      <c r="TD544" s="308"/>
      <c r="TE544" s="308"/>
      <c r="TF544" s="308"/>
      <c r="TG544" s="308"/>
      <c r="TH544" s="308"/>
      <c r="TI544" s="308"/>
      <c r="TJ544" s="308"/>
      <c r="TK544" s="308"/>
      <c r="TL544" s="308"/>
      <c r="TM544" s="308"/>
      <c r="TN544" s="308"/>
      <c r="TO544" s="308"/>
      <c r="TP544" s="308"/>
      <c r="TQ544" s="308"/>
      <c r="TR544" s="308"/>
      <c r="TS544" s="308"/>
      <c r="TT544" s="308"/>
      <c r="TU544" s="308"/>
      <c r="TV544" s="308"/>
      <c r="TW544" s="308"/>
      <c r="TX544" s="308"/>
      <c r="TY544" s="308"/>
      <c r="TZ544" s="308"/>
      <c r="UA544" s="308"/>
      <c r="UB544" s="308"/>
      <c r="UC544" s="308"/>
      <c r="UD544" s="308"/>
      <c r="UE544" s="308"/>
      <c r="UF544" s="308"/>
      <c r="UG544" s="308"/>
      <c r="UH544" s="308"/>
      <c r="UI544" s="308"/>
      <c r="UJ544" s="308"/>
      <c r="UK544" s="308"/>
      <c r="UL544" s="308"/>
      <c r="UM544" s="308"/>
      <c r="UN544" s="308"/>
      <c r="UO544" s="308"/>
      <c r="UP544" s="308"/>
      <c r="UQ544" s="308"/>
      <c r="UR544" s="308"/>
      <c r="US544" s="308"/>
      <c r="UT544" s="308"/>
      <c r="UU544" s="308"/>
      <c r="UV544" s="308"/>
      <c r="UW544" s="308"/>
      <c r="UX544" s="308"/>
      <c r="UY544" s="308"/>
      <c r="UZ544" s="308"/>
      <c r="VA544" s="308"/>
      <c r="VB544" s="308"/>
      <c r="VC544" s="308"/>
      <c r="VD544" s="308"/>
      <c r="VE544" s="308"/>
      <c r="VF544" s="308"/>
      <c r="VG544" s="308"/>
      <c r="VH544" s="308"/>
      <c r="VI544" s="308"/>
      <c r="VJ544" s="308"/>
      <c r="VK544" s="308"/>
      <c r="VL544" s="308"/>
      <c r="VM544" s="308"/>
      <c r="VN544" s="308"/>
      <c r="VO544" s="308"/>
      <c r="VP544" s="308"/>
      <c r="VQ544" s="308"/>
      <c r="VR544" s="308"/>
      <c r="VS544" s="308"/>
      <c r="VT544" s="308"/>
      <c r="VU544" s="308"/>
      <c r="VV544" s="308"/>
      <c r="VW544" s="308"/>
      <c r="VX544" s="308"/>
      <c r="VY544" s="308"/>
      <c r="VZ544" s="308"/>
      <c r="WA544" s="308"/>
      <c r="WB544" s="308"/>
      <c r="WC544" s="308"/>
      <c r="WD544" s="308"/>
      <c r="WE544" s="308"/>
      <c r="WF544" s="308"/>
      <c r="WG544" s="308"/>
      <c r="WH544" s="308"/>
      <c r="WI544" s="308"/>
      <c r="WJ544" s="308"/>
      <c r="WK544" s="308"/>
      <c r="WL544" s="308"/>
      <c r="WM544" s="308"/>
      <c r="WN544" s="308"/>
      <c r="WO544" s="308"/>
      <c r="WP544" s="308"/>
      <c r="WQ544" s="308"/>
      <c r="WR544" s="308"/>
      <c r="WS544" s="308"/>
      <c r="WT544" s="308"/>
      <c r="WU544" s="308"/>
      <c r="WV544" s="308"/>
      <c r="WW544" s="308"/>
      <c r="WX544" s="308"/>
      <c r="WY544" s="308"/>
      <c r="WZ544" s="308"/>
      <c r="XA544" s="308"/>
      <c r="XB544" s="308"/>
      <c r="XC544" s="308"/>
      <c r="XD544" s="308"/>
      <c r="XE544" s="308"/>
      <c r="XF544" s="308"/>
      <c r="XG544" s="308"/>
      <c r="XH544" s="308"/>
      <c r="XI544" s="308"/>
      <c r="XJ544" s="308"/>
      <c r="XK544" s="308"/>
      <c r="XL544" s="308"/>
      <c r="XM544" s="308"/>
      <c r="XN544" s="308"/>
      <c r="XO544" s="308"/>
      <c r="XP544" s="308"/>
      <c r="XQ544" s="308"/>
      <c r="XR544" s="308"/>
      <c r="XS544" s="308"/>
      <c r="XT544" s="308"/>
      <c r="XU544" s="308"/>
      <c r="XV544" s="308"/>
      <c r="XW544" s="308"/>
      <c r="XX544" s="308"/>
      <c r="XY544" s="308"/>
      <c r="XZ544" s="308"/>
      <c r="YA544" s="308"/>
      <c r="YB544" s="308"/>
      <c r="YC544" s="308"/>
      <c r="YD544" s="308"/>
      <c r="YE544" s="308"/>
      <c r="YF544" s="308"/>
      <c r="YG544" s="308"/>
      <c r="YH544" s="308"/>
      <c r="YI544" s="308"/>
      <c r="YJ544" s="308"/>
      <c r="YK544" s="308"/>
      <c r="YL544" s="308"/>
      <c r="YM544" s="308"/>
      <c r="YN544" s="308"/>
      <c r="YO544" s="308"/>
      <c r="YP544" s="308"/>
      <c r="YQ544" s="308"/>
      <c r="YR544" s="308"/>
      <c r="YS544" s="308"/>
      <c r="YT544" s="308"/>
      <c r="YU544" s="308"/>
      <c r="YV544" s="308"/>
      <c r="YW544" s="308"/>
      <c r="YX544" s="308"/>
      <c r="YY544" s="308"/>
      <c r="YZ544" s="308"/>
      <c r="ZA544" s="308"/>
      <c r="ZB544" s="308"/>
      <c r="ZC544" s="308"/>
      <c r="ZD544" s="308"/>
      <c r="ZE544" s="308"/>
      <c r="ZF544" s="308"/>
      <c r="ZG544" s="308"/>
      <c r="ZH544" s="308"/>
      <c r="ZI544" s="308"/>
      <c r="ZJ544" s="308"/>
      <c r="ZK544" s="308"/>
      <c r="ZL544" s="308"/>
      <c r="ZM544" s="308"/>
      <c r="ZN544" s="308"/>
      <c r="ZO544" s="308"/>
      <c r="ZP544" s="308"/>
      <c r="ZQ544" s="308"/>
      <c r="ZR544" s="308"/>
      <c r="ZS544" s="308"/>
      <c r="ZT544" s="308"/>
      <c r="ZU544" s="308"/>
      <c r="ZV544" s="308"/>
      <c r="ZW544" s="308"/>
      <c r="ZX544" s="308"/>
      <c r="ZY544" s="308"/>
      <c r="ZZ544" s="308"/>
      <c r="AAA544" s="308"/>
      <c r="AAB544" s="308"/>
      <c r="AAC544" s="308"/>
      <c r="AAD544" s="308"/>
      <c r="AAE544" s="308"/>
      <c r="AAF544" s="308"/>
      <c r="AAG544" s="308"/>
      <c r="AAH544" s="308"/>
      <c r="AAI544" s="308"/>
      <c r="AAJ544" s="308"/>
      <c r="AAK544" s="308"/>
      <c r="AAL544" s="308"/>
      <c r="AAM544" s="308"/>
      <c r="AAN544" s="308"/>
      <c r="AAO544" s="308"/>
      <c r="AAP544" s="308"/>
      <c r="AAQ544" s="308"/>
      <c r="AAR544" s="308"/>
      <c r="AAS544" s="308"/>
      <c r="AAT544" s="308"/>
      <c r="AAU544" s="308"/>
      <c r="AAV544" s="308"/>
      <c r="AAW544" s="308"/>
      <c r="AAX544" s="308"/>
      <c r="AAY544" s="308"/>
      <c r="AAZ544" s="308"/>
      <c r="ABA544" s="308"/>
      <c r="ABB544" s="308"/>
      <c r="ABC544" s="308"/>
      <c r="ABD544" s="308"/>
      <c r="ABE544" s="308"/>
      <c r="ABF544" s="308"/>
      <c r="ABG544" s="308"/>
      <c r="ABH544" s="308"/>
      <c r="ABI544" s="308"/>
      <c r="ABJ544" s="308"/>
      <c r="ABK544" s="308"/>
      <c r="ABL544" s="308"/>
      <c r="ABM544" s="308"/>
      <c r="ABN544" s="308"/>
      <c r="ABO544" s="308"/>
      <c r="ABP544" s="308"/>
      <c r="ABQ544" s="308"/>
      <c r="ABR544" s="308"/>
      <c r="ABS544" s="308"/>
      <c r="ABT544" s="308"/>
      <c r="ABU544" s="308"/>
      <c r="ABV544" s="308"/>
      <c r="ABW544" s="308"/>
      <c r="ABX544" s="308"/>
      <c r="ABY544" s="308"/>
      <c r="ABZ544" s="308"/>
      <c r="ACA544" s="308"/>
      <c r="ACB544" s="308"/>
      <c r="ACC544" s="308"/>
      <c r="ACD544" s="308"/>
      <c r="ACE544" s="308"/>
      <c r="ACF544" s="308"/>
      <c r="ACG544" s="308"/>
      <c r="ACH544" s="308"/>
      <c r="ACI544" s="308"/>
      <c r="ACJ544" s="308"/>
      <c r="ACK544" s="308"/>
      <c r="ACL544" s="308"/>
      <c r="ACM544" s="308"/>
      <c r="ACN544" s="308"/>
      <c r="ACO544" s="308"/>
      <c r="ACP544" s="308"/>
      <c r="ACQ544" s="308"/>
      <c r="ACR544" s="308"/>
      <c r="ACS544" s="308"/>
      <c r="ACT544" s="308"/>
      <c r="ACU544" s="308"/>
      <c r="ACV544" s="308"/>
    </row>
    <row r="545" spans="1:776" x14ac:dyDescent="0.25">
      <c r="A545" s="583">
        <v>900244</v>
      </c>
      <c r="B545" s="512" t="s">
        <v>439</v>
      </c>
      <c r="C545" s="513"/>
      <c r="D545" s="305" t="s">
        <v>440</v>
      </c>
      <c r="E545" s="305">
        <v>0.154</v>
      </c>
      <c r="F545" s="306">
        <v>1.2</v>
      </c>
      <c r="G545" s="305">
        <v>0</v>
      </c>
      <c r="H545" s="305">
        <v>0.04</v>
      </c>
      <c r="I545" s="307">
        <v>4.0199999999999996</v>
      </c>
      <c r="J545" s="305">
        <v>11.69</v>
      </c>
      <c r="K545" s="305">
        <v>9.1800000000000007E-2</v>
      </c>
      <c r="L545" s="305">
        <v>96</v>
      </c>
      <c r="M545" s="305">
        <v>0</v>
      </c>
      <c r="N545" s="305">
        <v>1.58</v>
      </c>
      <c r="O545" s="305">
        <v>10.35</v>
      </c>
      <c r="P545" s="305">
        <v>19.600000000000001</v>
      </c>
      <c r="Q545" s="305">
        <v>4.5999999999999996</v>
      </c>
      <c r="R545" s="305">
        <v>0.01</v>
      </c>
      <c r="S545" s="397">
        <v>1.0000000000000001E-5</v>
      </c>
      <c r="T545" s="305">
        <v>0.02</v>
      </c>
      <c r="U545" s="305">
        <v>0.99</v>
      </c>
      <c r="V545" s="397">
        <v>1.0000000000000001E-5</v>
      </c>
      <c r="W545" s="251"/>
      <c r="X545" s="251"/>
      <c r="Y545" s="251"/>
      <c r="Z545" s="251"/>
      <c r="AA545" s="251"/>
      <c r="AB545" s="251"/>
      <c r="AC545" s="251"/>
      <c r="AD545" s="251"/>
      <c r="AE545" s="251"/>
      <c r="AF545" s="251"/>
      <c r="AG545" s="251"/>
      <c r="AH545" s="251"/>
      <c r="AI545" s="251"/>
      <c r="AJ545" s="251"/>
      <c r="AK545" s="251"/>
      <c r="AL545" s="251"/>
      <c r="AM545" s="251"/>
      <c r="AN545" s="251"/>
      <c r="AO545" s="251"/>
      <c r="AP545" s="251"/>
      <c r="AQ545" s="251"/>
      <c r="AR545" s="251"/>
      <c r="AS545" s="251"/>
      <c r="AT545" s="251"/>
      <c r="AU545" s="251"/>
      <c r="AV545" s="251"/>
      <c r="AW545" s="251"/>
      <c r="AX545" s="251"/>
      <c r="AY545" s="251"/>
      <c r="AZ545" s="251"/>
      <c r="BA545" s="251"/>
      <c r="BB545" s="251"/>
      <c r="BC545" s="251"/>
      <c r="BD545" s="251"/>
      <c r="BE545" s="251"/>
      <c r="BF545" s="251"/>
      <c r="BG545" s="251"/>
      <c r="BH545" s="251"/>
      <c r="BI545" s="251"/>
      <c r="BJ545" s="251"/>
      <c r="BK545" s="251"/>
      <c r="BL545" s="251"/>
      <c r="BM545" s="251"/>
      <c r="BN545" s="251"/>
      <c r="BO545" s="251"/>
      <c r="BP545" s="251"/>
      <c r="BQ545" s="251"/>
      <c r="BR545" s="251"/>
      <c r="BS545" s="251"/>
      <c r="BT545" s="251"/>
      <c r="BU545" s="251"/>
      <c r="BV545" s="251"/>
      <c r="BW545" s="251"/>
      <c r="BX545" s="251"/>
      <c r="BY545" s="251"/>
      <c r="BZ545" s="251"/>
      <c r="CA545" s="251"/>
      <c r="CB545" s="251"/>
      <c r="CC545" s="251"/>
      <c r="CD545" s="251"/>
      <c r="CE545" s="251"/>
      <c r="CF545" s="251"/>
      <c r="CG545" s="251"/>
      <c r="CH545" s="251"/>
      <c r="CI545" s="251"/>
      <c r="CJ545" s="251"/>
      <c r="CK545" s="251"/>
      <c r="CL545" s="251"/>
      <c r="CM545" s="251"/>
      <c r="CN545" s="251"/>
      <c r="CO545" s="251"/>
      <c r="CP545" s="251"/>
      <c r="CQ545" s="251"/>
      <c r="CR545" s="251"/>
      <c r="CS545" s="251"/>
      <c r="CT545" s="251"/>
      <c r="CU545" s="251"/>
      <c r="CV545" s="251"/>
      <c r="CW545" s="251"/>
      <c r="CX545" s="251"/>
      <c r="CY545" s="251"/>
      <c r="CZ545" s="251"/>
      <c r="DA545" s="251"/>
      <c r="DB545" s="251"/>
      <c r="DC545" s="251"/>
      <c r="DD545" s="251"/>
      <c r="DE545" s="251"/>
      <c r="DF545" s="251"/>
      <c r="DG545" s="251"/>
      <c r="DH545" s="251"/>
      <c r="DI545" s="251"/>
      <c r="DJ545" s="251"/>
      <c r="DK545" s="251"/>
      <c r="DL545" s="251"/>
      <c r="DM545" s="251"/>
      <c r="DN545" s="251"/>
      <c r="DO545" s="251"/>
      <c r="DP545" s="251"/>
      <c r="DQ545" s="251"/>
      <c r="DR545" s="251"/>
      <c r="DS545" s="251"/>
      <c r="DT545" s="251"/>
      <c r="DU545" s="251"/>
      <c r="DV545" s="251"/>
      <c r="DW545" s="251"/>
      <c r="DX545" s="251"/>
      <c r="DY545" s="251"/>
      <c r="DZ545" s="251"/>
      <c r="EA545" s="251"/>
      <c r="EB545" s="251"/>
      <c r="EC545" s="251"/>
      <c r="ED545" s="251"/>
      <c r="EE545" s="251"/>
      <c r="EF545" s="251"/>
      <c r="EG545" s="251"/>
      <c r="EH545" s="251"/>
      <c r="EI545" s="251"/>
      <c r="EJ545" s="251"/>
      <c r="EK545" s="251"/>
      <c r="EL545" s="251"/>
      <c r="EM545" s="251"/>
      <c r="EN545" s="251"/>
      <c r="EO545" s="251"/>
      <c r="EP545" s="251"/>
      <c r="EQ545" s="251"/>
      <c r="ER545" s="251"/>
      <c r="ES545" s="251"/>
      <c r="ET545" s="251"/>
      <c r="EU545" s="251"/>
      <c r="EV545" s="251"/>
      <c r="EW545" s="251"/>
      <c r="EX545" s="251"/>
      <c r="EY545" s="251"/>
      <c r="EZ545" s="251"/>
      <c r="FA545" s="251"/>
      <c r="FB545" s="251"/>
      <c r="FC545" s="251"/>
      <c r="FD545" s="251"/>
      <c r="FE545" s="251"/>
      <c r="FF545" s="251"/>
      <c r="FG545" s="251"/>
      <c r="FH545" s="251"/>
      <c r="FI545" s="251"/>
      <c r="FJ545" s="251"/>
      <c r="FK545" s="251"/>
      <c r="FL545" s="251"/>
      <c r="FM545" s="251"/>
      <c r="FN545" s="251"/>
      <c r="FO545" s="251"/>
      <c r="FP545" s="251"/>
      <c r="FQ545" s="251"/>
      <c r="FR545" s="251"/>
      <c r="FS545" s="251"/>
      <c r="FT545" s="251"/>
      <c r="FU545" s="251"/>
      <c r="FV545" s="251"/>
      <c r="FW545" s="251"/>
      <c r="FX545" s="251"/>
      <c r="FY545" s="251"/>
      <c r="FZ545" s="251"/>
      <c r="GA545" s="251"/>
      <c r="GB545" s="251"/>
      <c r="GC545" s="251"/>
      <c r="GD545" s="251"/>
      <c r="GE545" s="251"/>
      <c r="GF545" s="251"/>
      <c r="GG545" s="251"/>
      <c r="GH545" s="251"/>
      <c r="GI545" s="251"/>
      <c r="GJ545" s="251"/>
      <c r="GK545" s="251"/>
      <c r="GL545" s="251"/>
      <c r="GM545" s="251"/>
      <c r="GN545" s="251"/>
      <c r="GO545" s="251"/>
      <c r="GP545" s="251"/>
      <c r="GQ545" s="251"/>
      <c r="GR545" s="251"/>
      <c r="GS545" s="251"/>
      <c r="GT545" s="251"/>
      <c r="GU545" s="251"/>
      <c r="GV545" s="251"/>
      <c r="GW545" s="251"/>
      <c r="GX545" s="251"/>
      <c r="GY545" s="251"/>
      <c r="GZ545" s="251"/>
      <c r="HA545" s="251"/>
      <c r="HB545" s="251"/>
      <c r="HC545" s="251"/>
      <c r="HD545" s="251"/>
      <c r="HE545" s="251"/>
      <c r="HF545" s="251"/>
      <c r="HG545" s="251"/>
      <c r="HH545" s="251"/>
      <c r="HI545" s="251"/>
      <c r="HJ545" s="251"/>
      <c r="HK545" s="251"/>
      <c r="HL545" s="251"/>
      <c r="HM545" s="251"/>
      <c r="HN545" s="251"/>
      <c r="HO545" s="251"/>
      <c r="HP545" s="251"/>
      <c r="HQ545" s="251"/>
      <c r="HR545" s="251"/>
      <c r="HS545" s="251"/>
      <c r="HT545" s="251"/>
      <c r="HU545" s="251"/>
      <c r="HV545" s="251"/>
      <c r="HW545" s="251"/>
      <c r="HX545" s="251"/>
      <c r="HY545" s="251"/>
      <c r="HZ545" s="251"/>
      <c r="IA545" s="251"/>
      <c r="IB545" s="251"/>
      <c r="IC545" s="251"/>
      <c r="ID545" s="251"/>
      <c r="IE545" s="251"/>
      <c r="IF545" s="251"/>
      <c r="IG545" s="251"/>
      <c r="IH545" s="251"/>
      <c r="II545" s="251"/>
      <c r="IJ545" s="251"/>
      <c r="IK545" s="251"/>
      <c r="IL545" s="251"/>
      <c r="IM545" s="251"/>
      <c r="IN545" s="251"/>
      <c r="IO545" s="251"/>
      <c r="IP545" s="251"/>
      <c r="IQ545" s="251"/>
      <c r="IR545" s="251"/>
      <c r="IS545" s="251"/>
      <c r="IT545" s="251"/>
      <c r="IU545" s="251"/>
      <c r="IV545" s="251"/>
      <c r="IW545" s="251"/>
      <c r="IX545" s="251"/>
      <c r="IY545" s="251"/>
      <c r="IZ545" s="251"/>
      <c r="JA545" s="251"/>
      <c r="JB545" s="251"/>
      <c r="JC545" s="251"/>
      <c r="JD545" s="251"/>
      <c r="JE545" s="251"/>
      <c r="JF545" s="251"/>
      <c r="JG545" s="251"/>
      <c r="JH545" s="251"/>
      <c r="JI545" s="251"/>
      <c r="JJ545" s="251"/>
      <c r="JK545" s="251"/>
      <c r="JL545" s="251"/>
      <c r="JM545" s="251"/>
      <c r="JN545" s="251"/>
      <c r="JO545" s="251"/>
      <c r="JP545" s="251"/>
      <c r="JQ545" s="251"/>
      <c r="JR545" s="251"/>
      <c r="JS545" s="251"/>
      <c r="JT545" s="251"/>
      <c r="JU545" s="251"/>
      <c r="JV545" s="251"/>
      <c r="JW545" s="251"/>
      <c r="JX545" s="251"/>
      <c r="JY545" s="251"/>
      <c r="JZ545" s="251"/>
      <c r="KA545" s="251"/>
      <c r="KB545" s="251"/>
      <c r="KC545" s="251"/>
      <c r="KD545" s="251"/>
      <c r="KE545" s="251"/>
      <c r="KF545" s="251"/>
      <c r="KG545" s="251"/>
      <c r="KH545" s="251"/>
      <c r="KI545" s="251"/>
      <c r="KJ545" s="251"/>
      <c r="KK545" s="251"/>
      <c r="KL545" s="251"/>
      <c r="KM545" s="251"/>
      <c r="KN545" s="251"/>
      <c r="KO545" s="251"/>
      <c r="KP545" s="251"/>
      <c r="KQ545" s="251"/>
      <c r="KR545" s="251"/>
      <c r="KS545" s="251"/>
      <c r="KT545" s="251"/>
      <c r="KU545" s="251"/>
      <c r="KV545" s="251"/>
      <c r="KW545" s="251"/>
      <c r="KX545" s="251"/>
      <c r="KY545" s="251"/>
      <c r="KZ545" s="251"/>
      <c r="LA545" s="251"/>
      <c r="LB545" s="251"/>
      <c r="LC545" s="251"/>
      <c r="LD545" s="251"/>
      <c r="LE545" s="251"/>
      <c r="LF545" s="251"/>
      <c r="LG545" s="251"/>
      <c r="LH545" s="251"/>
      <c r="LI545" s="251"/>
      <c r="LJ545" s="251"/>
      <c r="LK545" s="251"/>
      <c r="LL545" s="308"/>
      <c r="LM545" s="308"/>
      <c r="LN545" s="308"/>
      <c r="LO545" s="308"/>
      <c r="LP545" s="308"/>
      <c r="LQ545" s="308"/>
      <c r="LR545" s="308"/>
      <c r="LS545" s="308"/>
      <c r="LT545" s="308"/>
      <c r="LU545" s="308"/>
      <c r="LV545" s="308"/>
      <c r="LW545" s="308"/>
      <c r="LX545" s="308"/>
      <c r="LY545" s="308"/>
      <c r="LZ545" s="308"/>
      <c r="MA545" s="308"/>
      <c r="MB545" s="308"/>
      <c r="MC545" s="308"/>
      <c r="MD545" s="308"/>
      <c r="ME545" s="308"/>
      <c r="MF545" s="308"/>
      <c r="MG545" s="308"/>
      <c r="MH545" s="308"/>
      <c r="MI545" s="308"/>
      <c r="MJ545" s="308"/>
      <c r="MK545" s="308"/>
      <c r="ML545" s="308"/>
      <c r="MM545" s="308"/>
      <c r="MN545" s="308"/>
      <c r="MO545" s="308"/>
      <c r="MP545" s="308"/>
      <c r="MQ545" s="308"/>
      <c r="MR545" s="308"/>
      <c r="MS545" s="308"/>
      <c r="MT545" s="308"/>
      <c r="MU545" s="308"/>
      <c r="MV545" s="308"/>
      <c r="MW545" s="308"/>
      <c r="MX545" s="308"/>
      <c r="MY545" s="308"/>
      <c r="MZ545" s="308"/>
      <c r="NA545" s="308"/>
      <c r="NB545" s="308"/>
      <c r="NC545" s="308"/>
      <c r="ND545" s="308"/>
      <c r="NE545" s="308"/>
      <c r="NF545" s="308"/>
      <c r="NG545" s="308"/>
      <c r="NH545" s="308"/>
      <c r="NI545" s="308"/>
      <c r="NJ545" s="308"/>
      <c r="NK545" s="308"/>
      <c r="NL545" s="308"/>
      <c r="NM545" s="308"/>
      <c r="NN545" s="308"/>
      <c r="NO545" s="308"/>
      <c r="NP545" s="308"/>
      <c r="NQ545" s="308"/>
      <c r="NR545" s="308"/>
      <c r="NS545" s="308"/>
      <c r="NT545" s="308"/>
      <c r="NU545" s="308"/>
      <c r="NV545" s="308"/>
      <c r="NW545" s="308"/>
      <c r="NX545" s="308"/>
      <c r="NY545" s="308"/>
      <c r="NZ545" s="308"/>
      <c r="OA545" s="308"/>
      <c r="OB545" s="308"/>
      <c r="OC545" s="308"/>
      <c r="OD545" s="308"/>
      <c r="OE545" s="308"/>
      <c r="OF545" s="308"/>
      <c r="OG545" s="308"/>
      <c r="OH545" s="308"/>
      <c r="OI545" s="308"/>
      <c r="OJ545" s="308"/>
      <c r="OK545" s="308"/>
      <c r="OL545" s="308"/>
      <c r="OM545" s="308"/>
      <c r="ON545" s="308"/>
      <c r="OO545" s="308"/>
      <c r="OP545" s="308"/>
      <c r="OQ545" s="308"/>
      <c r="OR545" s="308"/>
      <c r="OS545" s="308"/>
      <c r="OT545" s="308"/>
      <c r="OU545" s="308"/>
      <c r="OV545" s="308"/>
      <c r="OW545" s="308"/>
      <c r="OX545" s="308"/>
      <c r="OY545" s="308"/>
      <c r="OZ545" s="308"/>
      <c r="PA545" s="308"/>
      <c r="PB545" s="308"/>
      <c r="PC545" s="308"/>
      <c r="PD545" s="308"/>
      <c r="PE545" s="308"/>
      <c r="PF545" s="308"/>
      <c r="PG545" s="308"/>
      <c r="PH545" s="308"/>
      <c r="PI545" s="308"/>
      <c r="PJ545" s="308"/>
      <c r="PK545" s="308"/>
      <c r="PL545" s="308"/>
      <c r="PM545" s="308"/>
      <c r="PN545" s="308"/>
      <c r="PO545" s="308"/>
      <c r="PP545" s="308"/>
      <c r="PQ545" s="308"/>
      <c r="PR545" s="308"/>
      <c r="PS545" s="308"/>
      <c r="PT545" s="308"/>
      <c r="PU545" s="308"/>
      <c r="PV545" s="308"/>
      <c r="PW545" s="308"/>
      <c r="PX545" s="308"/>
      <c r="PY545" s="308"/>
      <c r="PZ545" s="308"/>
      <c r="QA545" s="308"/>
      <c r="QB545" s="308"/>
      <c r="QC545" s="308"/>
      <c r="QD545" s="308"/>
      <c r="QE545" s="308"/>
      <c r="QF545" s="308"/>
      <c r="QG545" s="308"/>
      <c r="QH545" s="308"/>
      <c r="QI545" s="308"/>
      <c r="QJ545" s="308"/>
      <c r="QK545" s="308"/>
      <c r="QL545" s="308"/>
      <c r="QM545" s="308"/>
      <c r="QN545" s="308"/>
      <c r="QO545" s="308"/>
      <c r="QP545" s="308"/>
      <c r="QQ545" s="308"/>
      <c r="QR545" s="308"/>
      <c r="QS545" s="308"/>
      <c r="QT545" s="308"/>
      <c r="QU545" s="308"/>
      <c r="QV545" s="308"/>
      <c r="QW545" s="308"/>
      <c r="QX545" s="308"/>
      <c r="QY545" s="308"/>
      <c r="QZ545" s="308"/>
      <c r="RA545" s="308"/>
      <c r="RB545" s="308"/>
      <c r="RC545" s="308"/>
      <c r="RD545" s="308"/>
      <c r="RE545" s="308"/>
      <c r="RF545" s="308"/>
      <c r="RG545" s="308"/>
      <c r="RH545" s="308"/>
      <c r="RI545" s="308"/>
      <c r="RJ545" s="308"/>
      <c r="RK545" s="308"/>
      <c r="RL545" s="308"/>
      <c r="RM545" s="308"/>
      <c r="RN545" s="308"/>
      <c r="RO545" s="308"/>
      <c r="RP545" s="308"/>
      <c r="RQ545" s="308"/>
      <c r="RR545" s="308"/>
      <c r="RS545" s="308"/>
      <c r="RT545" s="308"/>
      <c r="RU545" s="308"/>
      <c r="RV545" s="308"/>
      <c r="RW545" s="308"/>
      <c r="RX545" s="308"/>
      <c r="RY545" s="308"/>
      <c r="RZ545" s="308"/>
      <c r="SA545" s="308"/>
      <c r="SB545" s="308"/>
      <c r="SC545" s="308"/>
      <c r="SD545" s="308"/>
      <c r="SE545" s="308"/>
      <c r="SF545" s="308"/>
      <c r="SG545" s="308"/>
      <c r="SH545" s="308"/>
      <c r="SI545" s="308"/>
      <c r="SJ545" s="308"/>
      <c r="SK545" s="308"/>
      <c r="SL545" s="308"/>
      <c r="SM545" s="308"/>
      <c r="SN545" s="308"/>
      <c r="SO545" s="308"/>
      <c r="SP545" s="308"/>
      <c r="SQ545" s="308"/>
      <c r="SR545" s="308"/>
      <c r="SS545" s="308"/>
      <c r="ST545" s="308"/>
      <c r="SU545" s="308"/>
      <c r="SV545" s="308"/>
      <c r="SW545" s="308"/>
      <c r="SX545" s="308"/>
      <c r="SY545" s="308"/>
      <c r="SZ545" s="308"/>
      <c r="TA545" s="308"/>
      <c r="TB545" s="308"/>
      <c r="TC545" s="308"/>
      <c r="TD545" s="308"/>
      <c r="TE545" s="308"/>
      <c r="TF545" s="308"/>
      <c r="TG545" s="308"/>
      <c r="TH545" s="308"/>
      <c r="TI545" s="308"/>
      <c r="TJ545" s="308"/>
      <c r="TK545" s="308"/>
      <c r="TL545" s="308"/>
      <c r="TM545" s="308"/>
      <c r="TN545" s="308"/>
      <c r="TO545" s="308"/>
      <c r="TP545" s="308"/>
      <c r="TQ545" s="308"/>
      <c r="TR545" s="308"/>
      <c r="TS545" s="308"/>
      <c r="TT545" s="308"/>
      <c r="TU545" s="308"/>
      <c r="TV545" s="308"/>
      <c r="TW545" s="308"/>
      <c r="TX545" s="308"/>
      <c r="TY545" s="308"/>
      <c r="TZ545" s="308"/>
      <c r="UA545" s="308"/>
      <c r="UB545" s="308"/>
      <c r="UC545" s="308"/>
      <c r="UD545" s="308"/>
      <c r="UE545" s="308"/>
      <c r="UF545" s="308"/>
      <c r="UG545" s="308"/>
      <c r="UH545" s="308"/>
      <c r="UI545" s="308"/>
      <c r="UJ545" s="308"/>
      <c r="UK545" s="308"/>
      <c r="UL545" s="308"/>
      <c r="UM545" s="308"/>
      <c r="UN545" s="308"/>
      <c r="UO545" s="308"/>
      <c r="UP545" s="308"/>
      <c r="UQ545" s="308"/>
      <c r="UR545" s="308"/>
      <c r="US545" s="308"/>
      <c r="UT545" s="308"/>
      <c r="UU545" s="308"/>
      <c r="UV545" s="308"/>
      <c r="UW545" s="308"/>
      <c r="UX545" s="308"/>
      <c r="UY545" s="308"/>
      <c r="UZ545" s="308"/>
      <c r="VA545" s="308"/>
      <c r="VB545" s="308"/>
      <c r="VC545" s="308"/>
      <c r="VD545" s="308"/>
      <c r="VE545" s="308"/>
      <c r="VF545" s="308"/>
      <c r="VG545" s="308"/>
      <c r="VH545" s="308"/>
      <c r="VI545" s="308"/>
      <c r="VJ545" s="308"/>
      <c r="VK545" s="308"/>
      <c r="VL545" s="308"/>
      <c r="VM545" s="308"/>
      <c r="VN545" s="308"/>
      <c r="VO545" s="308"/>
      <c r="VP545" s="308"/>
      <c r="VQ545" s="308"/>
      <c r="VR545" s="308"/>
      <c r="VS545" s="308"/>
      <c r="VT545" s="308"/>
      <c r="VU545" s="308"/>
      <c r="VV545" s="308"/>
      <c r="VW545" s="308"/>
      <c r="VX545" s="308"/>
      <c r="VY545" s="308"/>
      <c r="VZ545" s="308"/>
      <c r="WA545" s="308"/>
      <c r="WB545" s="308"/>
      <c r="WC545" s="308"/>
      <c r="WD545" s="308"/>
      <c r="WE545" s="308"/>
      <c r="WF545" s="308"/>
      <c r="WG545" s="308"/>
      <c r="WH545" s="308"/>
      <c r="WI545" s="308"/>
      <c r="WJ545" s="308"/>
      <c r="WK545" s="308"/>
      <c r="WL545" s="308"/>
      <c r="WM545" s="308"/>
      <c r="WN545" s="308"/>
      <c r="WO545" s="308"/>
      <c r="WP545" s="308"/>
      <c r="WQ545" s="308"/>
      <c r="WR545" s="308"/>
      <c r="WS545" s="308"/>
      <c r="WT545" s="308"/>
      <c r="WU545" s="308"/>
      <c r="WV545" s="308"/>
      <c r="WW545" s="308"/>
      <c r="WX545" s="308"/>
      <c r="WY545" s="308"/>
      <c r="WZ545" s="308"/>
      <c r="XA545" s="308"/>
      <c r="XB545" s="308"/>
      <c r="XC545" s="308"/>
      <c r="XD545" s="308"/>
      <c r="XE545" s="308"/>
      <c r="XF545" s="308"/>
      <c r="XG545" s="308"/>
      <c r="XH545" s="308"/>
      <c r="XI545" s="308"/>
      <c r="XJ545" s="308"/>
      <c r="XK545" s="308"/>
      <c r="XL545" s="308"/>
      <c r="XM545" s="308"/>
      <c r="XN545" s="308"/>
      <c r="XO545" s="308"/>
      <c r="XP545" s="308"/>
      <c r="XQ545" s="308"/>
      <c r="XR545" s="308"/>
      <c r="XS545" s="308"/>
      <c r="XT545" s="308"/>
      <c r="XU545" s="308"/>
      <c r="XV545" s="308"/>
      <c r="XW545" s="308"/>
      <c r="XX545" s="308"/>
      <c r="XY545" s="308"/>
      <c r="XZ545" s="308"/>
      <c r="YA545" s="308"/>
      <c r="YB545" s="308"/>
      <c r="YC545" s="308"/>
      <c r="YD545" s="308"/>
      <c r="YE545" s="308"/>
      <c r="YF545" s="308"/>
      <c r="YG545" s="308"/>
      <c r="YH545" s="308"/>
      <c r="YI545" s="308"/>
      <c r="YJ545" s="308"/>
      <c r="YK545" s="308"/>
      <c r="YL545" s="308"/>
      <c r="YM545" s="308"/>
      <c r="YN545" s="308"/>
      <c r="YO545" s="308"/>
      <c r="YP545" s="308"/>
      <c r="YQ545" s="308"/>
      <c r="YR545" s="308"/>
      <c r="YS545" s="308"/>
      <c r="YT545" s="308"/>
      <c r="YU545" s="308"/>
      <c r="YV545" s="308"/>
      <c r="YW545" s="308"/>
      <c r="YX545" s="308"/>
      <c r="YY545" s="308"/>
      <c r="YZ545" s="308"/>
      <c r="ZA545" s="308"/>
      <c r="ZB545" s="308"/>
      <c r="ZC545" s="308"/>
      <c r="ZD545" s="308"/>
      <c r="ZE545" s="308"/>
      <c r="ZF545" s="308"/>
      <c r="ZG545" s="308"/>
      <c r="ZH545" s="308"/>
      <c r="ZI545" s="308"/>
      <c r="ZJ545" s="308"/>
      <c r="ZK545" s="308"/>
      <c r="ZL545" s="308"/>
      <c r="ZM545" s="308"/>
      <c r="ZN545" s="308"/>
      <c r="ZO545" s="308"/>
      <c r="ZP545" s="308"/>
      <c r="ZQ545" s="308"/>
      <c r="ZR545" s="308"/>
      <c r="ZS545" s="308"/>
      <c r="ZT545" s="308"/>
      <c r="ZU545" s="308"/>
      <c r="ZV545" s="308"/>
      <c r="ZW545" s="308"/>
      <c r="ZX545" s="308"/>
      <c r="ZY545" s="308"/>
      <c r="ZZ545" s="308"/>
      <c r="AAA545" s="308"/>
      <c r="AAB545" s="308"/>
      <c r="AAC545" s="308"/>
      <c r="AAD545" s="308"/>
      <c r="AAE545" s="308"/>
      <c r="AAF545" s="308"/>
      <c r="AAG545" s="308"/>
      <c r="AAH545" s="308"/>
      <c r="AAI545" s="308"/>
      <c r="AAJ545" s="308"/>
      <c r="AAK545" s="308"/>
      <c r="AAL545" s="308"/>
      <c r="AAM545" s="308"/>
      <c r="AAN545" s="308"/>
      <c r="AAO545" s="308"/>
      <c r="AAP545" s="308"/>
      <c r="AAQ545" s="308"/>
      <c r="AAR545" s="308"/>
      <c r="AAS545" s="308"/>
      <c r="AAT545" s="308"/>
      <c r="AAU545" s="308"/>
      <c r="AAV545" s="308"/>
      <c r="AAW545" s="308"/>
      <c r="AAX545" s="308"/>
      <c r="AAY545" s="308"/>
      <c r="AAZ545" s="308"/>
      <c r="ABA545" s="308"/>
      <c r="ABB545" s="308"/>
      <c r="ABC545" s="308"/>
      <c r="ABD545" s="308"/>
      <c r="ABE545" s="308"/>
      <c r="ABF545" s="308"/>
      <c r="ABG545" s="308"/>
      <c r="ABH545" s="308"/>
      <c r="ABI545" s="308"/>
      <c r="ABJ545" s="308"/>
      <c r="ABK545" s="308"/>
      <c r="ABL545" s="308"/>
      <c r="ABM545" s="308"/>
      <c r="ABN545" s="308"/>
      <c r="ABO545" s="308"/>
      <c r="ABP545" s="308"/>
      <c r="ABQ545" s="308"/>
      <c r="ABR545" s="308"/>
      <c r="ABS545" s="308"/>
      <c r="ABT545" s="308"/>
      <c r="ABU545" s="308"/>
      <c r="ABV545" s="308"/>
      <c r="ABW545" s="308"/>
      <c r="ABX545" s="308"/>
      <c r="ABY545" s="308"/>
      <c r="ABZ545" s="308"/>
      <c r="ACA545" s="308"/>
      <c r="ACB545" s="308"/>
      <c r="ACC545" s="308"/>
      <c r="ACD545" s="308"/>
      <c r="ACE545" s="308"/>
      <c r="ACF545" s="308"/>
      <c r="ACG545" s="308"/>
      <c r="ACH545" s="308"/>
      <c r="ACI545" s="308"/>
      <c r="ACJ545" s="308"/>
      <c r="ACK545" s="308"/>
      <c r="ACL545" s="308"/>
      <c r="ACM545" s="308"/>
      <c r="ACN545" s="308"/>
      <c r="ACO545" s="308"/>
      <c r="ACP545" s="308"/>
      <c r="ACQ545" s="308"/>
      <c r="ACR545" s="308"/>
      <c r="ACS545" s="308"/>
      <c r="ACT545" s="308"/>
      <c r="ACU545" s="308"/>
      <c r="ACV545" s="308"/>
    </row>
    <row r="546" spans="1:776" x14ac:dyDescent="0.25">
      <c r="A546" s="583">
        <v>900245</v>
      </c>
      <c r="B546" s="512" t="s">
        <v>441</v>
      </c>
      <c r="C546" s="513"/>
      <c r="D546" s="305" t="s">
        <v>442</v>
      </c>
      <c r="E546" s="305">
        <v>2.3199999999999998</v>
      </c>
      <c r="F546" s="306">
        <v>10.1</v>
      </c>
      <c r="G546" s="305">
        <v>0</v>
      </c>
      <c r="H546" s="305">
        <v>0.03</v>
      </c>
      <c r="I546" s="307">
        <v>565.29999999999995</v>
      </c>
      <c r="J546" s="305">
        <v>123.5</v>
      </c>
      <c r="K546" s="305">
        <v>9.1800000000000007E-2</v>
      </c>
      <c r="L546" s="305">
        <v>271.2</v>
      </c>
      <c r="M546" s="305">
        <v>0</v>
      </c>
      <c r="N546" s="305">
        <v>3.58</v>
      </c>
      <c r="O546" s="305">
        <v>327.48</v>
      </c>
      <c r="P546" s="305">
        <v>133.21</v>
      </c>
      <c r="Q546" s="305">
        <v>38.770000000000003</v>
      </c>
      <c r="R546" s="305">
        <v>0.01</v>
      </c>
      <c r="S546" s="397">
        <v>1.0000000000000001E-5</v>
      </c>
      <c r="T546" s="397">
        <v>1.0000000000000001E-5</v>
      </c>
      <c r="U546" s="305">
        <v>0.01</v>
      </c>
      <c r="V546" s="397">
        <v>1.0000000000000001E-5</v>
      </c>
      <c r="W546" s="251"/>
      <c r="X546" s="251"/>
      <c r="Y546" s="251"/>
      <c r="Z546" s="251"/>
      <c r="AA546" s="251"/>
      <c r="AB546" s="251"/>
      <c r="AC546" s="251"/>
      <c r="AD546" s="251"/>
      <c r="AE546" s="251"/>
      <c r="AF546" s="251"/>
      <c r="AG546" s="251"/>
      <c r="AH546" s="251"/>
      <c r="AI546" s="251"/>
      <c r="AJ546" s="251"/>
      <c r="AK546" s="251"/>
      <c r="AL546" s="251"/>
      <c r="AM546" s="251"/>
      <c r="AN546" s="251"/>
      <c r="AO546" s="251"/>
      <c r="AP546" s="251"/>
      <c r="AQ546" s="251"/>
      <c r="AR546" s="251"/>
      <c r="AS546" s="251"/>
      <c r="AT546" s="251"/>
      <c r="AU546" s="251"/>
      <c r="AV546" s="251"/>
      <c r="AW546" s="251"/>
      <c r="AX546" s="251"/>
      <c r="AY546" s="251"/>
      <c r="AZ546" s="251"/>
      <c r="BA546" s="251"/>
      <c r="BB546" s="251"/>
      <c r="BC546" s="251"/>
      <c r="BD546" s="251"/>
      <c r="BE546" s="251"/>
      <c r="BF546" s="251"/>
      <c r="BG546" s="251"/>
      <c r="BH546" s="251"/>
      <c r="BI546" s="251"/>
      <c r="BJ546" s="251"/>
      <c r="BK546" s="251"/>
      <c r="BL546" s="251"/>
      <c r="BM546" s="251"/>
      <c r="BN546" s="251"/>
      <c r="BO546" s="251"/>
      <c r="BP546" s="251"/>
      <c r="BQ546" s="251"/>
      <c r="BR546" s="251"/>
      <c r="BS546" s="251"/>
      <c r="BT546" s="251"/>
      <c r="BU546" s="251"/>
      <c r="BV546" s="251"/>
      <c r="BW546" s="251"/>
      <c r="BX546" s="251"/>
      <c r="BY546" s="251"/>
      <c r="BZ546" s="251"/>
      <c r="CA546" s="251"/>
      <c r="CB546" s="251"/>
      <c r="CC546" s="251"/>
      <c r="CD546" s="251"/>
      <c r="CE546" s="251"/>
      <c r="CF546" s="251"/>
      <c r="CG546" s="251"/>
      <c r="CH546" s="251"/>
      <c r="CI546" s="251"/>
      <c r="CJ546" s="251"/>
      <c r="CK546" s="251"/>
      <c r="CL546" s="251"/>
      <c r="CM546" s="251"/>
      <c r="CN546" s="251"/>
      <c r="CO546" s="251"/>
      <c r="CP546" s="251"/>
      <c r="CQ546" s="251"/>
      <c r="CR546" s="251"/>
      <c r="CS546" s="251"/>
      <c r="CT546" s="251"/>
      <c r="CU546" s="251"/>
      <c r="CV546" s="251"/>
      <c r="CW546" s="251"/>
      <c r="CX546" s="251"/>
      <c r="CY546" s="251"/>
      <c r="CZ546" s="251"/>
      <c r="DA546" s="251"/>
      <c r="DB546" s="251"/>
      <c r="DC546" s="251"/>
      <c r="DD546" s="251"/>
      <c r="DE546" s="251"/>
      <c r="DF546" s="251"/>
      <c r="DG546" s="251"/>
      <c r="DH546" s="251"/>
      <c r="DI546" s="251"/>
      <c r="DJ546" s="251"/>
      <c r="DK546" s="251"/>
      <c r="DL546" s="251"/>
      <c r="DM546" s="251"/>
      <c r="DN546" s="251"/>
      <c r="DO546" s="251"/>
      <c r="DP546" s="251"/>
      <c r="DQ546" s="251"/>
      <c r="DR546" s="251"/>
      <c r="DS546" s="251"/>
      <c r="DT546" s="251"/>
      <c r="DU546" s="251"/>
      <c r="DV546" s="251"/>
      <c r="DW546" s="251"/>
      <c r="DX546" s="251"/>
      <c r="DY546" s="251"/>
      <c r="DZ546" s="251"/>
      <c r="EA546" s="251"/>
      <c r="EB546" s="251"/>
      <c r="EC546" s="251"/>
      <c r="ED546" s="251"/>
      <c r="EE546" s="251"/>
      <c r="EF546" s="251"/>
      <c r="EG546" s="251"/>
      <c r="EH546" s="251"/>
      <c r="EI546" s="251"/>
      <c r="EJ546" s="251"/>
      <c r="EK546" s="251"/>
      <c r="EL546" s="251"/>
      <c r="EM546" s="251"/>
      <c r="EN546" s="251"/>
      <c r="EO546" s="251"/>
      <c r="EP546" s="251"/>
      <c r="EQ546" s="251"/>
      <c r="ER546" s="251"/>
      <c r="ES546" s="251"/>
      <c r="ET546" s="251"/>
      <c r="EU546" s="251"/>
      <c r="EV546" s="251"/>
      <c r="EW546" s="251"/>
      <c r="EX546" s="251"/>
      <c r="EY546" s="251"/>
      <c r="EZ546" s="251"/>
      <c r="FA546" s="251"/>
      <c r="FB546" s="251"/>
      <c r="FC546" s="251"/>
      <c r="FD546" s="251"/>
      <c r="FE546" s="251"/>
      <c r="FF546" s="251"/>
      <c r="FG546" s="251"/>
      <c r="FH546" s="251"/>
      <c r="FI546" s="251"/>
      <c r="FJ546" s="251"/>
      <c r="FK546" s="251"/>
      <c r="FL546" s="251"/>
      <c r="FM546" s="251"/>
      <c r="FN546" s="251"/>
      <c r="FO546" s="251"/>
      <c r="FP546" s="251"/>
      <c r="FQ546" s="251"/>
      <c r="FR546" s="251"/>
      <c r="FS546" s="251"/>
      <c r="FT546" s="251"/>
      <c r="FU546" s="251"/>
      <c r="FV546" s="251"/>
      <c r="FW546" s="251"/>
      <c r="FX546" s="251"/>
      <c r="FY546" s="251"/>
      <c r="FZ546" s="251"/>
      <c r="GA546" s="251"/>
      <c r="GB546" s="251"/>
      <c r="GC546" s="251"/>
      <c r="GD546" s="251"/>
      <c r="GE546" s="251"/>
      <c r="GF546" s="251"/>
      <c r="GG546" s="251"/>
      <c r="GH546" s="251"/>
      <c r="GI546" s="251"/>
      <c r="GJ546" s="251"/>
      <c r="GK546" s="251"/>
      <c r="GL546" s="251"/>
      <c r="GM546" s="251"/>
      <c r="GN546" s="251"/>
      <c r="GO546" s="251"/>
      <c r="GP546" s="251"/>
      <c r="GQ546" s="251"/>
      <c r="GR546" s="251"/>
      <c r="GS546" s="251"/>
      <c r="GT546" s="251"/>
      <c r="GU546" s="251"/>
      <c r="GV546" s="251"/>
      <c r="GW546" s="251"/>
      <c r="GX546" s="251"/>
      <c r="GY546" s="251"/>
      <c r="GZ546" s="251"/>
      <c r="HA546" s="251"/>
      <c r="HB546" s="251"/>
      <c r="HC546" s="251"/>
      <c r="HD546" s="251"/>
      <c r="HE546" s="251"/>
      <c r="HF546" s="251"/>
      <c r="HG546" s="251"/>
      <c r="HH546" s="251"/>
      <c r="HI546" s="251"/>
      <c r="HJ546" s="251"/>
      <c r="HK546" s="251"/>
      <c r="HL546" s="251"/>
      <c r="HM546" s="251"/>
      <c r="HN546" s="251"/>
      <c r="HO546" s="251"/>
      <c r="HP546" s="251"/>
      <c r="HQ546" s="251"/>
      <c r="HR546" s="251"/>
      <c r="HS546" s="251"/>
      <c r="HT546" s="251"/>
      <c r="HU546" s="251"/>
      <c r="HV546" s="251"/>
      <c r="HW546" s="251"/>
      <c r="HX546" s="251"/>
      <c r="HY546" s="251"/>
      <c r="HZ546" s="251"/>
      <c r="IA546" s="251"/>
      <c r="IB546" s="251"/>
      <c r="IC546" s="251"/>
      <c r="ID546" s="251"/>
      <c r="IE546" s="251"/>
      <c r="IF546" s="251"/>
      <c r="IG546" s="251"/>
      <c r="IH546" s="251"/>
      <c r="II546" s="251"/>
      <c r="IJ546" s="251"/>
      <c r="IK546" s="251"/>
      <c r="IL546" s="251"/>
      <c r="IM546" s="251"/>
      <c r="IN546" s="251"/>
      <c r="IO546" s="251"/>
      <c r="IP546" s="251"/>
      <c r="IQ546" s="251"/>
      <c r="IR546" s="251"/>
      <c r="IS546" s="251"/>
      <c r="IT546" s="251"/>
      <c r="IU546" s="251"/>
      <c r="IV546" s="251"/>
      <c r="IW546" s="251"/>
      <c r="IX546" s="251"/>
      <c r="IY546" s="251"/>
      <c r="IZ546" s="251"/>
      <c r="JA546" s="251"/>
      <c r="JB546" s="251"/>
      <c r="JC546" s="251"/>
      <c r="JD546" s="251"/>
      <c r="JE546" s="251"/>
      <c r="JF546" s="251"/>
      <c r="JG546" s="251"/>
      <c r="JH546" s="251"/>
      <c r="JI546" s="251"/>
      <c r="JJ546" s="251"/>
      <c r="JK546" s="251"/>
      <c r="JL546" s="251"/>
      <c r="JM546" s="251"/>
      <c r="JN546" s="251"/>
      <c r="JO546" s="251"/>
      <c r="JP546" s="251"/>
      <c r="JQ546" s="251"/>
      <c r="JR546" s="251"/>
      <c r="JS546" s="251"/>
      <c r="JT546" s="251"/>
      <c r="JU546" s="251"/>
      <c r="JV546" s="251"/>
      <c r="JW546" s="251"/>
      <c r="JX546" s="251"/>
      <c r="JY546" s="251"/>
      <c r="JZ546" s="251"/>
      <c r="KA546" s="251"/>
      <c r="KB546" s="251"/>
      <c r="KC546" s="251"/>
      <c r="KD546" s="251"/>
      <c r="KE546" s="251"/>
      <c r="KF546" s="251"/>
      <c r="KG546" s="251"/>
      <c r="KH546" s="251"/>
      <c r="KI546" s="251"/>
      <c r="KJ546" s="251"/>
      <c r="KK546" s="251"/>
      <c r="KL546" s="251"/>
      <c r="KM546" s="251"/>
      <c r="KN546" s="251"/>
      <c r="KO546" s="251"/>
      <c r="KP546" s="251"/>
      <c r="KQ546" s="251"/>
      <c r="KR546" s="251"/>
      <c r="KS546" s="251"/>
      <c r="KT546" s="251"/>
      <c r="KU546" s="251"/>
      <c r="KV546" s="251"/>
      <c r="KW546" s="251"/>
      <c r="KX546" s="251"/>
      <c r="KY546" s="251"/>
      <c r="KZ546" s="251"/>
      <c r="LA546" s="251"/>
      <c r="LB546" s="251"/>
      <c r="LC546" s="251"/>
      <c r="LD546" s="251"/>
      <c r="LE546" s="251"/>
      <c r="LF546" s="251"/>
      <c r="LG546" s="251"/>
      <c r="LH546" s="251"/>
      <c r="LI546" s="251"/>
      <c r="LJ546" s="251"/>
      <c r="LK546" s="251"/>
      <c r="LL546" s="308"/>
      <c r="LM546" s="308"/>
      <c r="LN546" s="308"/>
      <c r="LO546" s="308"/>
      <c r="LP546" s="308"/>
      <c r="LQ546" s="308"/>
      <c r="LR546" s="308"/>
      <c r="LS546" s="308"/>
      <c r="LT546" s="308"/>
      <c r="LU546" s="308"/>
      <c r="LV546" s="308"/>
      <c r="LW546" s="308"/>
      <c r="LX546" s="308"/>
      <c r="LY546" s="308"/>
      <c r="LZ546" s="308"/>
      <c r="MA546" s="308"/>
      <c r="MB546" s="308"/>
      <c r="MC546" s="308"/>
      <c r="MD546" s="308"/>
      <c r="ME546" s="308"/>
      <c r="MF546" s="308"/>
      <c r="MG546" s="308"/>
      <c r="MH546" s="308"/>
      <c r="MI546" s="308"/>
      <c r="MJ546" s="308"/>
      <c r="MK546" s="308"/>
      <c r="ML546" s="308"/>
      <c r="MM546" s="308"/>
      <c r="MN546" s="308"/>
      <c r="MO546" s="308"/>
      <c r="MP546" s="308"/>
      <c r="MQ546" s="308"/>
      <c r="MR546" s="308"/>
      <c r="MS546" s="308"/>
      <c r="MT546" s="308"/>
      <c r="MU546" s="308"/>
      <c r="MV546" s="308"/>
      <c r="MW546" s="308"/>
      <c r="MX546" s="308"/>
      <c r="MY546" s="308"/>
      <c r="MZ546" s="308"/>
      <c r="NA546" s="308"/>
      <c r="NB546" s="308"/>
      <c r="NC546" s="308"/>
      <c r="ND546" s="308"/>
      <c r="NE546" s="308"/>
      <c r="NF546" s="308"/>
      <c r="NG546" s="308"/>
      <c r="NH546" s="308"/>
      <c r="NI546" s="308"/>
      <c r="NJ546" s="308"/>
      <c r="NK546" s="308"/>
      <c r="NL546" s="308"/>
      <c r="NM546" s="308"/>
      <c r="NN546" s="308"/>
      <c r="NO546" s="308"/>
      <c r="NP546" s="308"/>
      <c r="NQ546" s="308"/>
      <c r="NR546" s="308"/>
      <c r="NS546" s="308"/>
      <c r="NT546" s="308"/>
      <c r="NU546" s="308"/>
      <c r="NV546" s="308"/>
      <c r="NW546" s="308"/>
      <c r="NX546" s="308"/>
      <c r="NY546" s="308"/>
      <c r="NZ546" s="308"/>
      <c r="OA546" s="308"/>
      <c r="OB546" s="308"/>
      <c r="OC546" s="308"/>
      <c r="OD546" s="308"/>
      <c r="OE546" s="308"/>
      <c r="OF546" s="308"/>
      <c r="OG546" s="308"/>
      <c r="OH546" s="308"/>
      <c r="OI546" s="308"/>
      <c r="OJ546" s="308"/>
      <c r="OK546" s="308"/>
      <c r="OL546" s="308"/>
      <c r="OM546" s="308"/>
      <c r="ON546" s="308"/>
      <c r="OO546" s="308"/>
      <c r="OP546" s="308"/>
      <c r="OQ546" s="308"/>
      <c r="OR546" s="308"/>
      <c r="OS546" s="308"/>
      <c r="OT546" s="308"/>
      <c r="OU546" s="308"/>
      <c r="OV546" s="308"/>
      <c r="OW546" s="308"/>
      <c r="OX546" s="308"/>
      <c r="OY546" s="308"/>
      <c r="OZ546" s="308"/>
      <c r="PA546" s="308"/>
      <c r="PB546" s="308"/>
      <c r="PC546" s="308"/>
      <c r="PD546" s="308"/>
      <c r="PE546" s="308"/>
      <c r="PF546" s="308"/>
      <c r="PG546" s="308"/>
      <c r="PH546" s="308"/>
      <c r="PI546" s="308"/>
      <c r="PJ546" s="308"/>
      <c r="PK546" s="308"/>
      <c r="PL546" s="308"/>
      <c r="PM546" s="308"/>
      <c r="PN546" s="308"/>
      <c r="PO546" s="308"/>
      <c r="PP546" s="308"/>
      <c r="PQ546" s="308"/>
      <c r="PR546" s="308"/>
      <c r="PS546" s="308"/>
      <c r="PT546" s="308"/>
      <c r="PU546" s="308"/>
      <c r="PV546" s="308"/>
      <c r="PW546" s="308"/>
      <c r="PX546" s="308"/>
      <c r="PY546" s="308"/>
      <c r="PZ546" s="308"/>
      <c r="QA546" s="308"/>
      <c r="QB546" s="308"/>
      <c r="QC546" s="308"/>
      <c r="QD546" s="308"/>
      <c r="QE546" s="308"/>
      <c r="QF546" s="308"/>
      <c r="QG546" s="308"/>
      <c r="QH546" s="308"/>
      <c r="QI546" s="308"/>
      <c r="QJ546" s="308"/>
      <c r="QK546" s="308"/>
      <c r="QL546" s="308"/>
      <c r="QM546" s="308"/>
      <c r="QN546" s="308"/>
      <c r="QO546" s="308"/>
      <c r="QP546" s="308"/>
      <c r="QQ546" s="308"/>
      <c r="QR546" s="308"/>
      <c r="QS546" s="308"/>
      <c r="QT546" s="308"/>
      <c r="QU546" s="308"/>
      <c r="QV546" s="308"/>
      <c r="QW546" s="308"/>
      <c r="QX546" s="308"/>
      <c r="QY546" s="308"/>
      <c r="QZ546" s="308"/>
      <c r="RA546" s="308"/>
      <c r="RB546" s="308"/>
      <c r="RC546" s="308"/>
      <c r="RD546" s="308"/>
      <c r="RE546" s="308"/>
      <c r="RF546" s="308"/>
      <c r="RG546" s="308"/>
      <c r="RH546" s="308"/>
      <c r="RI546" s="308"/>
      <c r="RJ546" s="308"/>
      <c r="RK546" s="308"/>
      <c r="RL546" s="308"/>
      <c r="RM546" s="308"/>
      <c r="RN546" s="308"/>
      <c r="RO546" s="308"/>
      <c r="RP546" s="308"/>
      <c r="RQ546" s="308"/>
      <c r="RR546" s="308"/>
      <c r="RS546" s="308"/>
      <c r="RT546" s="308"/>
      <c r="RU546" s="308"/>
      <c r="RV546" s="308"/>
      <c r="RW546" s="308"/>
      <c r="RX546" s="308"/>
      <c r="RY546" s="308"/>
      <c r="RZ546" s="308"/>
      <c r="SA546" s="308"/>
      <c r="SB546" s="308"/>
      <c r="SC546" s="308"/>
      <c r="SD546" s="308"/>
      <c r="SE546" s="308"/>
      <c r="SF546" s="308"/>
      <c r="SG546" s="308"/>
      <c r="SH546" s="308"/>
      <c r="SI546" s="308"/>
      <c r="SJ546" s="308"/>
      <c r="SK546" s="308"/>
      <c r="SL546" s="308"/>
      <c r="SM546" s="308"/>
      <c r="SN546" s="308"/>
      <c r="SO546" s="308"/>
      <c r="SP546" s="308"/>
      <c r="SQ546" s="308"/>
      <c r="SR546" s="308"/>
      <c r="SS546" s="308"/>
      <c r="ST546" s="308"/>
      <c r="SU546" s="308"/>
      <c r="SV546" s="308"/>
      <c r="SW546" s="308"/>
      <c r="SX546" s="308"/>
      <c r="SY546" s="308"/>
      <c r="SZ546" s="308"/>
      <c r="TA546" s="308"/>
      <c r="TB546" s="308"/>
      <c r="TC546" s="308"/>
      <c r="TD546" s="308"/>
      <c r="TE546" s="308"/>
      <c r="TF546" s="308"/>
      <c r="TG546" s="308"/>
      <c r="TH546" s="308"/>
      <c r="TI546" s="308"/>
      <c r="TJ546" s="308"/>
      <c r="TK546" s="308"/>
      <c r="TL546" s="308"/>
      <c r="TM546" s="308"/>
      <c r="TN546" s="308"/>
      <c r="TO546" s="308"/>
      <c r="TP546" s="308"/>
      <c r="TQ546" s="308"/>
      <c r="TR546" s="308"/>
      <c r="TS546" s="308"/>
      <c r="TT546" s="308"/>
      <c r="TU546" s="308"/>
      <c r="TV546" s="308"/>
      <c r="TW546" s="308"/>
      <c r="TX546" s="308"/>
      <c r="TY546" s="308"/>
      <c r="TZ546" s="308"/>
      <c r="UA546" s="308"/>
      <c r="UB546" s="308"/>
      <c r="UC546" s="308"/>
      <c r="UD546" s="308"/>
      <c r="UE546" s="308"/>
      <c r="UF546" s="308"/>
      <c r="UG546" s="308"/>
      <c r="UH546" s="308"/>
      <c r="UI546" s="308"/>
      <c r="UJ546" s="308"/>
      <c r="UK546" s="308"/>
      <c r="UL546" s="308"/>
      <c r="UM546" s="308"/>
      <c r="UN546" s="308"/>
      <c r="UO546" s="308"/>
      <c r="UP546" s="308"/>
      <c r="UQ546" s="308"/>
      <c r="UR546" s="308"/>
      <c r="US546" s="308"/>
      <c r="UT546" s="308"/>
      <c r="UU546" s="308"/>
      <c r="UV546" s="308"/>
      <c r="UW546" s="308"/>
      <c r="UX546" s="308"/>
      <c r="UY546" s="308"/>
      <c r="UZ546" s="308"/>
      <c r="VA546" s="308"/>
      <c r="VB546" s="308"/>
      <c r="VC546" s="308"/>
      <c r="VD546" s="308"/>
      <c r="VE546" s="308"/>
      <c r="VF546" s="308"/>
      <c r="VG546" s="308"/>
      <c r="VH546" s="308"/>
      <c r="VI546" s="308"/>
      <c r="VJ546" s="308"/>
      <c r="VK546" s="308"/>
      <c r="VL546" s="308"/>
      <c r="VM546" s="308"/>
      <c r="VN546" s="308"/>
      <c r="VO546" s="308"/>
      <c r="VP546" s="308"/>
      <c r="VQ546" s="308"/>
      <c r="VR546" s="308"/>
      <c r="VS546" s="308"/>
      <c r="VT546" s="308"/>
      <c r="VU546" s="308"/>
      <c r="VV546" s="308"/>
      <c r="VW546" s="308"/>
      <c r="VX546" s="308"/>
      <c r="VY546" s="308"/>
      <c r="VZ546" s="308"/>
      <c r="WA546" s="308"/>
      <c r="WB546" s="308"/>
      <c r="WC546" s="308"/>
      <c r="WD546" s="308"/>
      <c r="WE546" s="308"/>
      <c r="WF546" s="308"/>
      <c r="WG546" s="308"/>
      <c r="WH546" s="308"/>
      <c r="WI546" s="308"/>
      <c r="WJ546" s="308"/>
      <c r="WK546" s="308"/>
      <c r="WL546" s="308"/>
      <c r="WM546" s="308"/>
      <c r="WN546" s="308"/>
      <c r="WO546" s="308"/>
      <c r="WP546" s="308"/>
      <c r="WQ546" s="308"/>
      <c r="WR546" s="308"/>
      <c r="WS546" s="308"/>
      <c r="WT546" s="308"/>
      <c r="WU546" s="308"/>
      <c r="WV546" s="308"/>
      <c r="WW546" s="308"/>
      <c r="WX546" s="308"/>
      <c r="WY546" s="308"/>
      <c r="WZ546" s="308"/>
      <c r="XA546" s="308"/>
      <c r="XB546" s="308"/>
      <c r="XC546" s="308"/>
      <c r="XD546" s="308"/>
      <c r="XE546" s="308"/>
      <c r="XF546" s="308"/>
      <c r="XG546" s="308"/>
      <c r="XH546" s="308"/>
      <c r="XI546" s="308"/>
      <c r="XJ546" s="308"/>
      <c r="XK546" s="308"/>
      <c r="XL546" s="308"/>
      <c r="XM546" s="308"/>
      <c r="XN546" s="308"/>
      <c r="XO546" s="308"/>
      <c r="XP546" s="308"/>
      <c r="XQ546" s="308"/>
      <c r="XR546" s="308"/>
      <c r="XS546" s="308"/>
      <c r="XT546" s="308"/>
      <c r="XU546" s="308"/>
      <c r="XV546" s="308"/>
      <c r="XW546" s="308"/>
      <c r="XX546" s="308"/>
      <c r="XY546" s="308"/>
      <c r="XZ546" s="308"/>
      <c r="YA546" s="308"/>
      <c r="YB546" s="308"/>
      <c r="YC546" s="308"/>
      <c r="YD546" s="308"/>
      <c r="YE546" s="308"/>
      <c r="YF546" s="308"/>
      <c r="YG546" s="308"/>
      <c r="YH546" s="308"/>
      <c r="YI546" s="308"/>
      <c r="YJ546" s="308"/>
      <c r="YK546" s="308"/>
      <c r="YL546" s="308"/>
      <c r="YM546" s="308"/>
      <c r="YN546" s="308"/>
      <c r="YO546" s="308"/>
      <c r="YP546" s="308"/>
      <c r="YQ546" s="308"/>
      <c r="YR546" s="308"/>
      <c r="YS546" s="308"/>
      <c r="YT546" s="308"/>
      <c r="YU546" s="308"/>
      <c r="YV546" s="308"/>
      <c r="YW546" s="308"/>
      <c r="YX546" s="308"/>
      <c r="YY546" s="308"/>
      <c r="YZ546" s="308"/>
      <c r="ZA546" s="308"/>
      <c r="ZB546" s="308"/>
      <c r="ZC546" s="308"/>
      <c r="ZD546" s="308"/>
      <c r="ZE546" s="308"/>
      <c r="ZF546" s="308"/>
      <c r="ZG546" s="308"/>
      <c r="ZH546" s="308"/>
      <c r="ZI546" s="308"/>
      <c r="ZJ546" s="308"/>
      <c r="ZK546" s="308"/>
      <c r="ZL546" s="308"/>
      <c r="ZM546" s="308"/>
      <c r="ZN546" s="308"/>
      <c r="ZO546" s="308"/>
      <c r="ZP546" s="308"/>
      <c r="ZQ546" s="308"/>
      <c r="ZR546" s="308"/>
      <c r="ZS546" s="308"/>
      <c r="ZT546" s="308"/>
      <c r="ZU546" s="308"/>
      <c r="ZV546" s="308"/>
      <c r="ZW546" s="308"/>
      <c r="ZX546" s="308"/>
      <c r="ZY546" s="308"/>
      <c r="ZZ546" s="308"/>
      <c r="AAA546" s="308"/>
      <c r="AAB546" s="308"/>
      <c r="AAC546" s="308"/>
      <c r="AAD546" s="308"/>
      <c r="AAE546" s="308"/>
      <c r="AAF546" s="308"/>
      <c r="AAG546" s="308"/>
      <c r="AAH546" s="308"/>
      <c r="AAI546" s="308"/>
      <c r="AAJ546" s="308"/>
      <c r="AAK546" s="308"/>
      <c r="AAL546" s="308"/>
      <c r="AAM546" s="308"/>
      <c r="AAN546" s="308"/>
      <c r="AAO546" s="308"/>
      <c r="AAP546" s="308"/>
      <c r="AAQ546" s="308"/>
      <c r="AAR546" s="308"/>
      <c r="AAS546" s="308"/>
      <c r="AAT546" s="308"/>
      <c r="AAU546" s="308"/>
      <c r="AAV546" s="308"/>
      <c r="AAW546" s="308"/>
      <c r="AAX546" s="308"/>
      <c r="AAY546" s="308"/>
      <c r="AAZ546" s="308"/>
      <c r="ABA546" s="308"/>
      <c r="ABB546" s="308"/>
      <c r="ABC546" s="308"/>
      <c r="ABD546" s="308"/>
      <c r="ABE546" s="308"/>
      <c r="ABF546" s="308"/>
      <c r="ABG546" s="308"/>
      <c r="ABH546" s="308"/>
      <c r="ABI546" s="308"/>
      <c r="ABJ546" s="308"/>
      <c r="ABK546" s="308"/>
      <c r="ABL546" s="308"/>
      <c r="ABM546" s="308"/>
      <c r="ABN546" s="308"/>
      <c r="ABO546" s="308"/>
      <c r="ABP546" s="308"/>
      <c r="ABQ546" s="308"/>
      <c r="ABR546" s="308"/>
      <c r="ABS546" s="308"/>
      <c r="ABT546" s="308"/>
      <c r="ABU546" s="308"/>
      <c r="ABV546" s="308"/>
      <c r="ABW546" s="308"/>
      <c r="ABX546" s="308"/>
      <c r="ABY546" s="308"/>
      <c r="ABZ546" s="308"/>
      <c r="ACA546" s="308"/>
      <c r="ACB546" s="308"/>
      <c r="ACC546" s="308"/>
      <c r="ACD546" s="308"/>
      <c r="ACE546" s="308"/>
      <c r="ACF546" s="308"/>
      <c r="ACG546" s="308"/>
      <c r="ACH546" s="308"/>
      <c r="ACI546" s="308"/>
      <c r="ACJ546" s="308"/>
      <c r="ACK546" s="308"/>
      <c r="ACL546" s="308"/>
      <c r="ACM546" s="308"/>
      <c r="ACN546" s="308"/>
      <c r="ACO546" s="308"/>
      <c r="ACP546" s="308"/>
      <c r="ACQ546" s="308"/>
      <c r="ACR546" s="308"/>
      <c r="ACS546" s="308"/>
      <c r="ACT546" s="308"/>
      <c r="ACU546" s="308"/>
      <c r="ACV546" s="308"/>
    </row>
    <row r="547" spans="1:776" x14ac:dyDescent="0.25">
      <c r="A547" s="583">
        <v>900246</v>
      </c>
      <c r="B547" s="512" t="s">
        <v>443</v>
      </c>
      <c r="C547" s="513"/>
      <c r="D547" s="305" t="s">
        <v>193</v>
      </c>
      <c r="E547" s="305">
        <v>0.56699999999999995</v>
      </c>
      <c r="F547" s="306">
        <v>2.9</v>
      </c>
      <c r="G547" s="305">
        <v>0</v>
      </c>
      <c r="H547" s="305">
        <v>0.11</v>
      </c>
      <c r="I547" s="307">
        <v>8.25</v>
      </c>
      <c r="J547" s="305">
        <v>9.2100000000000009</v>
      </c>
      <c r="K547" s="305">
        <v>0.12239999999999999</v>
      </c>
      <c r="L547" s="305">
        <v>304.8</v>
      </c>
      <c r="M547" s="305">
        <v>0</v>
      </c>
      <c r="N547" s="305">
        <v>0.39</v>
      </c>
      <c r="O547" s="305">
        <v>14.43</v>
      </c>
      <c r="P547" s="305">
        <v>52.36</v>
      </c>
      <c r="Q547" s="305">
        <v>38.28</v>
      </c>
      <c r="R547" s="397">
        <v>1.0000000000000001E-5</v>
      </c>
      <c r="S547" s="397">
        <v>1.0000000000000001E-5</v>
      </c>
      <c r="T547" s="397">
        <v>1.0000000000000001E-5</v>
      </c>
      <c r="U547" s="305">
        <v>0.01</v>
      </c>
      <c r="V547" s="397">
        <v>1.0000000000000001E-5</v>
      </c>
      <c r="W547" s="251"/>
      <c r="X547" s="251"/>
      <c r="Y547" s="251"/>
      <c r="Z547" s="251"/>
      <c r="AA547" s="251"/>
      <c r="AB547" s="251"/>
      <c r="AC547" s="251"/>
      <c r="AD547" s="251"/>
      <c r="AE547" s="251"/>
      <c r="AF547" s="251"/>
      <c r="AG547" s="251"/>
      <c r="AH547" s="251"/>
      <c r="AI547" s="251"/>
      <c r="AJ547" s="251"/>
      <c r="AK547" s="251"/>
      <c r="AL547" s="251"/>
      <c r="AM547" s="251"/>
      <c r="AN547" s="251"/>
      <c r="AO547" s="251"/>
      <c r="AP547" s="251"/>
      <c r="AQ547" s="251"/>
      <c r="AR547" s="251"/>
      <c r="AS547" s="251"/>
      <c r="AT547" s="251"/>
      <c r="AU547" s="251"/>
      <c r="AV547" s="251"/>
      <c r="AW547" s="251"/>
      <c r="AX547" s="251"/>
      <c r="AY547" s="251"/>
      <c r="AZ547" s="251"/>
      <c r="BA547" s="251"/>
      <c r="BB547" s="251"/>
      <c r="BC547" s="251"/>
      <c r="BD547" s="251"/>
      <c r="BE547" s="251"/>
      <c r="BF547" s="251"/>
      <c r="BG547" s="251"/>
      <c r="BH547" s="251"/>
      <c r="BI547" s="251"/>
      <c r="BJ547" s="251"/>
      <c r="BK547" s="251"/>
      <c r="BL547" s="251"/>
      <c r="BM547" s="251"/>
      <c r="BN547" s="251"/>
      <c r="BO547" s="251"/>
      <c r="BP547" s="251"/>
      <c r="BQ547" s="251"/>
      <c r="BR547" s="251"/>
      <c r="BS547" s="251"/>
      <c r="BT547" s="251"/>
      <c r="BU547" s="251"/>
      <c r="BV547" s="251"/>
      <c r="BW547" s="251"/>
      <c r="BX547" s="251"/>
      <c r="BY547" s="251"/>
      <c r="BZ547" s="251"/>
      <c r="CA547" s="251"/>
      <c r="CB547" s="251"/>
      <c r="CC547" s="251"/>
      <c r="CD547" s="251"/>
      <c r="CE547" s="251"/>
      <c r="CF547" s="251"/>
      <c r="CG547" s="251"/>
      <c r="CH547" s="251"/>
      <c r="CI547" s="251"/>
      <c r="CJ547" s="251"/>
      <c r="CK547" s="251"/>
      <c r="CL547" s="251"/>
      <c r="CM547" s="251"/>
      <c r="CN547" s="251"/>
      <c r="CO547" s="251"/>
      <c r="CP547" s="251"/>
      <c r="CQ547" s="251"/>
      <c r="CR547" s="251"/>
      <c r="CS547" s="251"/>
      <c r="CT547" s="251"/>
      <c r="CU547" s="251"/>
      <c r="CV547" s="251"/>
      <c r="CW547" s="251"/>
      <c r="CX547" s="251"/>
      <c r="CY547" s="251"/>
      <c r="CZ547" s="251"/>
      <c r="DA547" s="251"/>
      <c r="DB547" s="251"/>
      <c r="DC547" s="251"/>
      <c r="DD547" s="251"/>
      <c r="DE547" s="251"/>
      <c r="DF547" s="251"/>
      <c r="DG547" s="251"/>
      <c r="DH547" s="251"/>
      <c r="DI547" s="251"/>
      <c r="DJ547" s="251"/>
      <c r="DK547" s="251"/>
      <c r="DL547" s="251"/>
      <c r="DM547" s="251"/>
      <c r="DN547" s="251"/>
      <c r="DO547" s="251"/>
      <c r="DP547" s="251"/>
      <c r="DQ547" s="251"/>
      <c r="DR547" s="251"/>
      <c r="DS547" s="251"/>
      <c r="DT547" s="251"/>
      <c r="DU547" s="251"/>
      <c r="DV547" s="251"/>
      <c r="DW547" s="251"/>
      <c r="DX547" s="251"/>
      <c r="DY547" s="251"/>
      <c r="DZ547" s="251"/>
      <c r="EA547" s="251"/>
      <c r="EB547" s="251"/>
      <c r="EC547" s="251"/>
      <c r="ED547" s="251"/>
      <c r="EE547" s="251"/>
      <c r="EF547" s="251"/>
      <c r="EG547" s="251"/>
      <c r="EH547" s="251"/>
      <c r="EI547" s="251"/>
      <c r="EJ547" s="251"/>
      <c r="EK547" s="251"/>
      <c r="EL547" s="251"/>
      <c r="EM547" s="251"/>
      <c r="EN547" s="251"/>
      <c r="EO547" s="251"/>
      <c r="EP547" s="251"/>
      <c r="EQ547" s="251"/>
      <c r="ER547" s="251"/>
      <c r="ES547" s="251"/>
      <c r="ET547" s="251"/>
      <c r="EU547" s="251"/>
      <c r="EV547" s="251"/>
      <c r="EW547" s="251"/>
      <c r="EX547" s="251"/>
      <c r="EY547" s="251"/>
      <c r="EZ547" s="251"/>
      <c r="FA547" s="251"/>
      <c r="FB547" s="251"/>
      <c r="FC547" s="251"/>
      <c r="FD547" s="251"/>
      <c r="FE547" s="251"/>
      <c r="FF547" s="251"/>
      <c r="FG547" s="251"/>
      <c r="FH547" s="251"/>
      <c r="FI547" s="251"/>
      <c r="FJ547" s="251"/>
      <c r="FK547" s="251"/>
      <c r="FL547" s="251"/>
      <c r="FM547" s="251"/>
      <c r="FN547" s="251"/>
      <c r="FO547" s="251"/>
      <c r="FP547" s="251"/>
      <c r="FQ547" s="251"/>
      <c r="FR547" s="251"/>
      <c r="FS547" s="251"/>
      <c r="FT547" s="251"/>
      <c r="FU547" s="251"/>
      <c r="FV547" s="251"/>
      <c r="FW547" s="251"/>
      <c r="FX547" s="251"/>
      <c r="FY547" s="251"/>
      <c r="FZ547" s="251"/>
      <c r="GA547" s="251"/>
      <c r="GB547" s="251"/>
      <c r="GC547" s="251"/>
      <c r="GD547" s="251"/>
      <c r="GE547" s="251"/>
      <c r="GF547" s="251"/>
      <c r="GG547" s="251"/>
      <c r="GH547" s="251"/>
      <c r="GI547" s="251"/>
      <c r="GJ547" s="251"/>
      <c r="GK547" s="251"/>
      <c r="GL547" s="251"/>
      <c r="GM547" s="251"/>
      <c r="GN547" s="251"/>
      <c r="GO547" s="251"/>
      <c r="GP547" s="251"/>
      <c r="GQ547" s="251"/>
      <c r="GR547" s="251"/>
      <c r="GS547" s="251"/>
      <c r="GT547" s="251"/>
      <c r="GU547" s="251"/>
      <c r="GV547" s="251"/>
      <c r="GW547" s="251"/>
      <c r="GX547" s="251"/>
      <c r="GY547" s="251"/>
      <c r="GZ547" s="251"/>
      <c r="HA547" s="251"/>
      <c r="HB547" s="251"/>
      <c r="HC547" s="251"/>
      <c r="HD547" s="251"/>
      <c r="HE547" s="251"/>
      <c r="HF547" s="251"/>
      <c r="HG547" s="251"/>
      <c r="HH547" s="251"/>
      <c r="HI547" s="251"/>
      <c r="HJ547" s="251"/>
      <c r="HK547" s="251"/>
      <c r="HL547" s="251"/>
      <c r="HM547" s="251"/>
      <c r="HN547" s="251"/>
      <c r="HO547" s="251"/>
      <c r="HP547" s="251"/>
      <c r="HQ547" s="251"/>
      <c r="HR547" s="251"/>
      <c r="HS547" s="251"/>
      <c r="HT547" s="251"/>
      <c r="HU547" s="251"/>
      <c r="HV547" s="251"/>
      <c r="HW547" s="251"/>
      <c r="HX547" s="251"/>
      <c r="HY547" s="251"/>
      <c r="HZ547" s="251"/>
      <c r="IA547" s="251"/>
      <c r="IB547" s="251"/>
      <c r="IC547" s="251"/>
      <c r="ID547" s="251"/>
      <c r="IE547" s="251"/>
      <c r="IF547" s="251"/>
      <c r="IG547" s="251"/>
      <c r="IH547" s="251"/>
      <c r="II547" s="251"/>
      <c r="IJ547" s="251"/>
      <c r="IK547" s="251"/>
      <c r="IL547" s="251"/>
      <c r="IM547" s="251"/>
      <c r="IN547" s="251"/>
      <c r="IO547" s="251"/>
      <c r="IP547" s="251"/>
      <c r="IQ547" s="251"/>
      <c r="IR547" s="251"/>
      <c r="IS547" s="251"/>
      <c r="IT547" s="251"/>
      <c r="IU547" s="251"/>
      <c r="IV547" s="251"/>
      <c r="IW547" s="251"/>
      <c r="IX547" s="251"/>
      <c r="IY547" s="251"/>
      <c r="IZ547" s="251"/>
      <c r="JA547" s="251"/>
      <c r="JB547" s="251"/>
      <c r="JC547" s="251"/>
      <c r="JD547" s="251"/>
      <c r="JE547" s="251"/>
      <c r="JF547" s="251"/>
      <c r="JG547" s="251"/>
      <c r="JH547" s="251"/>
      <c r="JI547" s="251"/>
      <c r="JJ547" s="251"/>
      <c r="JK547" s="251"/>
      <c r="JL547" s="251"/>
      <c r="JM547" s="251"/>
      <c r="JN547" s="251"/>
      <c r="JO547" s="251"/>
      <c r="JP547" s="251"/>
      <c r="JQ547" s="251"/>
      <c r="JR547" s="251"/>
      <c r="JS547" s="251"/>
      <c r="JT547" s="251"/>
      <c r="JU547" s="251"/>
      <c r="JV547" s="251"/>
      <c r="JW547" s="251"/>
      <c r="JX547" s="251"/>
      <c r="JY547" s="251"/>
      <c r="JZ547" s="251"/>
      <c r="KA547" s="251"/>
      <c r="KB547" s="251"/>
      <c r="KC547" s="251"/>
      <c r="KD547" s="251"/>
      <c r="KE547" s="251"/>
      <c r="KF547" s="251"/>
      <c r="KG547" s="251"/>
      <c r="KH547" s="251"/>
      <c r="KI547" s="251"/>
      <c r="KJ547" s="251"/>
      <c r="KK547" s="251"/>
      <c r="KL547" s="251"/>
      <c r="KM547" s="251"/>
      <c r="KN547" s="251"/>
      <c r="KO547" s="251"/>
      <c r="KP547" s="251"/>
      <c r="KQ547" s="251"/>
      <c r="KR547" s="251"/>
      <c r="KS547" s="251"/>
      <c r="KT547" s="251"/>
      <c r="KU547" s="251"/>
      <c r="KV547" s="251"/>
      <c r="KW547" s="251"/>
      <c r="KX547" s="251"/>
      <c r="KY547" s="251"/>
      <c r="KZ547" s="251"/>
      <c r="LA547" s="251"/>
      <c r="LB547" s="251"/>
      <c r="LC547" s="251"/>
      <c r="LD547" s="251"/>
      <c r="LE547" s="251"/>
      <c r="LF547" s="251"/>
      <c r="LG547" s="251"/>
      <c r="LH547" s="251"/>
      <c r="LI547" s="251"/>
      <c r="LJ547" s="251"/>
      <c r="LK547" s="251"/>
      <c r="LL547" s="308"/>
      <c r="LM547" s="308"/>
      <c r="LN547" s="308"/>
      <c r="LO547" s="308"/>
      <c r="LP547" s="308"/>
      <c r="LQ547" s="308"/>
      <c r="LR547" s="308"/>
      <c r="LS547" s="308"/>
      <c r="LT547" s="308"/>
      <c r="LU547" s="308"/>
      <c r="LV547" s="308"/>
      <c r="LW547" s="308"/>
      <c r="LX547" s="308"/>
      <c r="LY547" s="308"/>
      <c r="LZ547" s="308"/>
      <c r="MA547" s="308"/>
      <c r="MB547" s="308"/>
      <c r="MC547" s="308"/>
      <c r="MD547" s="308"/>
      <c r="ME547" s="308"/>
      <c r="MF547" s="308"/>
      <c r="MG547" s="308"/>
      <c r="MH547" s="308"/>
      <c r="MI547" s="308"/>
      <c r="MJ547" s="308"/>
      <c r="MK547" s="308"/>
      <c r="ML547" s="308"/>
      <c r="MM547" s="308"/>
      <c r="MN547" s="308"/>
      <c r="MO547" s="308"/>
      <c r="MP547" s="308"/>
      <c r="MQ547" s="308"/>
      <c r="MR547" s="308"/>
      <c r="MS547" s="308"/>
      <c r="MT547" s="308"/>
      <c r="MU547" s="308"/>
      <c r="MV547" s="308"/>
      <c r="MW547" s="308"/>
      <c r="MX547" s="308"/>
      <c r="MY547" s="308"/>
      <c r="MZ547" s="308"/>
      <c r="NA547" s="308"/>
      <c r="NB547" s="308"/>
      <c r="NC547" s="308"/>
      <c r="ND547" s="308"/>
      <c r="NE547" s="308"/>
      <c r="NF547" s="308"/>
      <c r="NG547" s="308"/>
      <c r="NH547" s="308"/>
      <c r="NI547" s="308"/>
      <c r="NJ547" s="308"/>
      <c r="NK547" s="308"/>
      <c r="NL547" s="308"/>
      <c r="NM547" s="308"/>
      <c r="NN547" s="308"/>
      <c r="NO547" s="308"/>
      <c r="NP547" s="308"/>
      <c r="NQ547" s="308"/>
      <c r="NR547" s="308"/>
      <c r="NS547" s="308"/>
      <c r="NT547" s="308"/>
      <c r="NU547" s="308"/>
      <c r="NV547" s="308"/>
      <c r="NW547" s="308"/>
      <c r="NX547" s="308"/>
      <c r="NY547" s="308"/>
      <c r="NZ547" s="308"/>
      <c r="OA547" s="308"/>
      <c r="OB547" s="308"/>
      <c r="OC547" s="308"/>
      <c r="OD547" s="308"/>
      <c r="OE547" s="308"/>
      <c r="OF547" s="308"/>
      <c r="OG547" s="308"/>
      <c r="OH547" s="308"/>
      <c r="OI547" s="308"/>
      <c r="OJ547" s="308"/>
      <c r="OK547" s="308"/>
      <c r="OL547" s="308"/>
      <c r="OM547" s="308"/>
      <c r="ON547" s="308"/>
      <c r="OO547" s="308"/>
      <c r="OP547" s="308"/>
      <c r="OQ547" s="308"/>
      <c r="OR547" s="308"/>
      <c r="OS547" s="308"/>
      <c r="OT547" s="308"/>
      <c r="OU547" s="308"/>
      <c r="OV547" s="308"/>
      <c r="OW547" s="308"/>
      <c r="OX547" s="308"/>
      <c r="OY547" s="308"/>
      <c r="OZ547" s="308"/>
      <c r="PA547" s="308"/>
      <c r="PB547" s="308"/>
      <c r="PC547" s="308"/>
      <c r="PD547" s="308"/>
      <c r="PE547" s="308"/>
      <c r="PF547" s="308"/>
      <c r="PG547" s="308"/>
      <c r="PH547" s="308"/>
      <c r="PI547" s="308"/>
      <c r="PJ547" s="308"/>
      <c r="PK547" s="308"/>
      <c r="PL547" s="308"/>
      <c r="PM547" s="308"/>
      <c r="PN547" s="308"/>
      <c r="PO547" s="308"/>
      <c r="PP547" s="308"/>
      <c r="PQ547" s="308"/>
      <c r="PR547" s="308"/>
      <c r="PS547" s="308"/>
      <c r="PT547" s="308"/>
      <c r="PU547" s="308"/>
      <c r="PV547" s="308"/>
      <c r="PW547" s="308"/>
      <c r="PX547" s="308"/>
      <c r="PY547" s="308"/>
      <c r="PZ547" s="308"/>
      <c r="QA547" s="308"/>
      <c r="QB547" s="308"/>
      <c r="QC547" s="308"/>
      <c r="QD547" s="308"/>
      <c r="QE547" s="308"/>
      <c r="QF547" s="308"/>
      <c r="QG547" s="308"/>
      <c r="QH547" s="308"/>
      <c r="QI547" s="308"/>
      <c r="QJ547" s="308"/>
      <c r="QK547" s="308"/>
      <c r="QL547" s="308"/>
      <c r="QM547" s="308"/>
      <c r="QN547" s="308"/>
      <c r="QO547" s="308"/>
      <c r="QP547" s="308"/>
      <c r="QQ547" s="308"/>
      <c r="QR547" s="308"/>
      <c r="QS547" s="308"/>
      <c r="QT547" s="308"/>
      <c r="QU547" s="308"/>
      <c r="QV547" s="308"/>
      <c r="QW547" s="308"/>
      <c r="QX547" s="308"/>
      <c r="QY547" s="308"/>
      <c r="QZ547" s="308"/>
      <c r="RA547" s="308"/>
      <c r="RB547" s="308"/>
      <c r="RC547" s="308"/>
      <c r="RD547" s="308"/>
      <c r="RE547" s="308"/>
      <c r="RF547" s="308"/>
      <c r="RG547" s="308"/>
      <c r="RH547" s="308"/>
      <c r="RI547" s="308"/>
      <c r="RJ547" s="308"/>
      <c r="RK547" s="308"/>
      <c r="RL547" s="308"/>
      <c r="RM547" s="308"/>
      <c r="RN547" s="308"/>
      <c r="RO547" s="308"/>
      <c r="RP547" s="308"/>
      <c r="RQ547" s="308"/>
      <c r="RR547" s="308"/>
      <c r="RS547" s="308"/>
      <c r="RT547" s="308"/>
      <c r="RU547" s="308"/>
      <c r="RV547" s="308"/>
      <c r="RW547" s="308"/>
      <c r="RX547" s="308"/>
      <c r="RY547" s="308"/>
      <c r="RZ547" s="308"/>
      <c r="SA547" s="308"/>
      <c r="SB547" s="308"/>
      <c r="SC547" s="308"/>
      <c r="SD547" s="308"/>
      <c r="SE547" s="308"/>
      <c r="SF547" s="308"/>
      <c r="SG547" s="308"/>
      <c r="SH547" s="308"/>
      <c r="SI547" s="308"/>
      <c r="SJ547" s="308"/>
      <c r="SK547" s="308"/>
      <c r="SL547" s="308"/>
      <c r="SM547" s="308"/>
      <c r="SN547" s="308"/>
      <c r="SO547" s="308"/>
      <c r="SP547" s="308"/>
      <c r="SQ547" s="308"/>
      <c r="SR547" s="308"/>
      <c r="SS547" s="308"/>
      <c r="ST547" s="308"/>
      <c r="SU547" s="308"/>
      <c r="SV547" s="308"/>
      <c r="SW547" s="308"/>
      <c r="SX547" s="308"/>
      <c r="SY547" s="308"/>
      <c r="SZ547" s="308"/>
      <c r="TA547" s="308"/>
      <c r="TB547" s="308"/>
      <c r="TC547" s="308"/>
      <c r="TD547" s="308"/>
      <c r="TE547" s="308"/>
      <c r="TF547" s="308"/>
      <c r="TG547" s="308"/>
      <c r="TH547" s="308"/>
      <c r="TI547" s="308"/>
      <c r="TJ547" s="308"/>
      <c r="TK547" s="308"/>
      <c r="TL547" s="308"/>
      <c r="TM547" s="308"/>
      <c r="TN547" s="308"/>
      <c r="TO547" s="308"/>
      <c r="TP547" s="308"/>
      <c r="TQ547" s="308"/>
      <c r="TR547" s="308"/>
      <c r="TS547" s="308"/>
      <c r="TT547" s="308"/>
      <c r="TU547" s="308"/>
      <c r="TV547" s="308"/>
      <c r="TW547" s="308"/>
      <c r="TX547" s="308"/>
      <c r="TY547" s="308"/>
      <c r="TZ547" s="308"/>
      <c r="UA547" s="308"/>
      <c r="UB547" s="308"/>
      <c r="UC547" s="308"/>
      <c r="UD547" s="308"/>
      <c r="UE547" s="308"/>
      <c r="UF547" s="308"/>
      <c r="UG547" s="308"/>
      <c r="UH547" s="308"/>
      <c r="UI547" s="308"/>
      <c r="UJ547" s="308"/>
      <c r="UK547" s="308"/>
      <c r="UL547" s="308"/>
      <c r="UM547" s="308"/>
      <c r="UN547" s="308"/>
      <c r="UO547" s="308"/>
      <c r="UP547" s="308"/>
      <c r="UQ547" s="308"/>
      <c r="UR547" s="308"/>
      <c r="US547" s="308"/>
      <c r="UT547" s="308"/>
      <c r="UU547" s="308"/>
      <c r="UV547" s="308"/>
      <c r="UW547" s="308"/>
      <c r="UX547" s="308"/>
      <c r="UY547" s="308"/>
      <c r="UZ547" s="308"/>
      <c r="VA547" s="308"/>
      <c r="VB547" s="308"/>
      <c r="VC547" s="308"/>
      <c r="VD547" s="308"/>
      <c r="VE547" s="308"/>
      <c r="VF547" s="308"/>
      <c r="VG547" s="308"/>
      <c r="VH547" s="308"/>
      <c r="VI547" s="308"/>
      <c r="VJ547" s="308"/>
      <c r="VK547" s="308"/>
      <c r="VL547" s="308"/>
      <c r="VM547" s="308"/>
      <c r="VN547" s="308"/>
      <c r="VO547" s="308"/>
      <c r="VP547" s="308"/>
      <c r="VQ547" s="308"/>
      <c r="VR547" s="308"/>
      <c r="VS547" s="308"/>
      <c r="VT547" s="308"/>
      <c r="VU547" s="308"/>
      <c r="VV547" s="308"/>
      <c r="VW547" s="308"/>
      <c r="VX547" s="308"/>
      <c r="VY547" s="308"/>
      <c r="VZ547" s="308"/>
      <c r="WA547" s="308"/>
      <c r="WB547" s="308"/>
      <c r="WC547" s="308"/>
      <c r="WD547" s="308"/>
      <c r="WE547" s="308"/>
      <c r="WF547" s="308"/>
      <c r="WG547" s="308"/>
      <c r="WH547" s="308"/>
      <c r="WI547" s="308"/>
      <c r="WJ547" s="308"/>
      <c r="WK547" s="308"/>
      <c r="WL547" s="308"/>
      <c r="WM547" s="308"/>
      <c r="WN547" s="308"/>
      <c r="WO547" s="308"/>
      <c r="WP547" s="308"/>
      <c r="WQ547" s="308"/>
      <c r="WR547" s="308"/>
      <c r="WS547" s="308"/>
      <c r="WT547" s="308"/>
      <c r="WU547" s="308"/>
      <c r="WV547" s="308"/>
      <c r="WW547" s="308"/>
      <c r="WX547" s="308"/>
      <c r="WY547" s="308"/>
      <c r="WZ547" s="308"/>
      <c r="XA547" s="308"/>
      <c r="XB547" s="308"/>
      <c r="XC547" s="308"/>
      <c r="XD547" s="308"/>
      <c r="XE547" s="308"/>
      <c r="XF547" s="308"/>
      <c r="XG547" s="308"/>
      <c r="XH547" s="308"/>
      <c r="XI547" s="308"/>
      <c r="XJ547" s="308"/>
      <c r="XK547" s="308"/>
      <c r="XL547" s="308"/>
      <c r="XM547" s="308"/>
      <c r="XN547" s="308"/>
      <c r="XO547" s="308"/>
      <c r="XP547" s="308"/>
      <c r="XQ547" s="308"/>
      <c r="XR547" s="308"/>
      <c r="XS547" s="308"/>
      <c r="XT547" s="308"/>
      <c r="XU547" s="308"/>
      <c r="XV547" s="308"/>
      <c r="XW547" s="308"/>
      <c r="XX547" s="308"/>
      <c r="XY547" s="308"/>
      <c r="XZ547" s="308"/>
      <c r="YA547" s="308"/>
      <c r="YB547" s="308"/>
      <c r="YC547" s="308"/>
      <c r="YD547" s="308"/>
      <c r="YE547" s="308"/>
      <c r="YF547" s="308"/>
      <c r="YG547" s="308"/>
      <c r="YH547" s="308"/>
      <c r="YI547" s="308"/>
      <c r="YJ547" s="308"/>
      <c r="YK547" s="308"/>
      <c r="YL547" s="308"/>
      <c r="YM547" s="308"/>
      <c r="YN547" s="308"/>
      <c r="YO547" s="308"/>
      <c r="YP547" s="308"/>
      <c r="YQ547" s="308"/>
      <c r="YR547" s="308"/>
      <c r="YS547" s="308"/>
      <c r="YT547" s="308"/>
      <c r="YU547" s="308"/>
      <c r="YV547" s="308"/>
      <c r="YW547" s="308"/>
      <c r="YX547" s="308"/>
      <c r="YY547" s="308"/>
      <c r="YZ547" s="308"/>
      <c r="ZA547" s="308"/>
      <c r="ZB547" s="308"/>
      <c r="ZC547" s="308"/>
      <c r="ZD547" s="308"/>
      <c r="ZE547" s="308"/>
      <c r="ZF547" s="308"/>
      <c r="ZG547" s="308"/>
      <c r="ZH547" s="308"/>
      <c r="ZI547" s="308"/>
      <c r="ZJ547" s="308"/>
      <c r="ZK547" s="308"/>
      <c r="ZL547" s="308"/>
      <c r="ZM547" s="308"/>
      <c r="ZN547" s="308"/>
      <c r="ZO547" s="308"/>
      <c r="ZP547" s="308"/>
      <c r="ZQ547" s="308"/>
      <c r="ZR547" s="308"/>
      <c r="ZS547" s="308"/>
      <c r="ZT547" s="308"/>
      <c r="ZU547" s="308"/>
      <c r="ZV547" s="308"/>
      <c r="ZW547" s="308"/>
      <c r="ZX547" s="308"/>
      <c r="ZY547" s="308"/>
      <c r="ZZ547" s="308"/>
      <c r="AAA547" s="308"/>
      <c r="AAB547" s="308"/>
      <c r="AAC547" s="308"/>
      <c r="AAD547" s="308"/>
      <c r="AAE547" s="308"/>
      <c r="AAF547" s="308"/>
      <c r="AAG547" s="308"/>
      <c r="AAH547" s="308"/>
      <c r="AAI547" s="308"/>
      <c r="AAJ547" s="308"/>
      <c r="AAK547" s="308"/>
      <c r="AAL547" s="308"/>
      <c r="AAM547" s="308"/>
      <c r="AAN547" s="308"/>
      <c r="AAO547" s="308"/>
      <c r="AAP547" s="308"/>
      <c r="AAQ547" s="308"/>
      <c r="AAR547" s="308"/>
      <c r="AAS547" s="308"/>
      <c r="AAT547" s="308"/>
      <c r="AAU547" s="308"/>
      <c r="AAV547" s="308"/>
      <c r="AAW547" s="308"/>
      <c r="AAX547" s="308"/>
      <c r="AAY547" s="308"/>
      <c r="AAZ547" s="308"/>
      <c r="ABA547" s="308"/>
      <c r="ABB547" s="308"/>
      <c r="ABC547" s="308"/>
      <c r="ABD547" s="308"/>
      <c r="ABE547" s="308"/>
      <c r="ABF547" s="308"/>
      <c r="ABG547" s="308"/>
      <c r="ABH547" s="308"/>
      <c r="ABI547" s="308"/>
      <c r="ABJ547" s="308"/>
      <c r="ABK547" s="308"/>
      <c r="ABL547" s="308"/>
      <c r="ABM547" s="308"/>
      <c r="ABN547" s="308"/>
      <c r="ABO547" s="308"/>
      <c r="ABP547" s="308"/>
      <c r="ABQ547" s="308"/>
      <c r="ABR547" s="308"/>
      <c r="ABS547" s="308"/>
      <c r="ABT547" s="308"/>
      <c r="ABU547" s="308"/>
      <c r="ABV547" s="308"/>
      <c r="ABW547" s="308"/>
      <c r="ABX547" s="308"/>
      <c r="ABY547" s="308"/>
      <c r="ABZ547" s="308"/>
      <c r="ACA547" s="308"/>
      <c r="ACB547" s="308"/>
      <c r="ACC547" s="308"/>
      <c r="ACD547" s="308"/>
      <c r="ACE547" s="308"/>
      <c r="ACF547" s="308"/>
      <c r="ACG547" s="308"/>
      <c r="ACH547" s="308"/>
      <c r="ACI547" s="308"/>
      <c r="ACJ547" s="308"/>
      <c r="ACK547" s="308"/>
      <c r="ACL547" s="308"/>
      <c r="ACM547" s="308"/>
      <c r="ACN547" s="308"/>
      <c r="ACO547" s="308"/>
      <c r="ACP547" s="308"/>
      <c r="ACQ547" s="308"/>
      <c r="ACR547" s="308"/>
      <c r="ACS547" s="308"/>
      <c r="ACT547" s="308"/>
      <c r="ACU547" s="308"/>
      <c r="ACV547" s="308"/>
    </row>
    <row r="548" spans="1:776" x14ac:dyDescent="0.25">
      <c r="A548" s="583">
        <v>900247</v>
      </c>
      <c r="B548" s="512" t="s">
        <v>444</v>
      </c>
      <c r="C548" s="513"/>
      <c r="D548" s="305" t="s">
        <v>445</v>
      </c>
      <c r="E548" s="305">
        <v>2.08</v>
      </c>
      <c r="F548" s="306">
        <v>19.5</v>
      </c>
      <c r="G548" s="305">
        <v>0</v>
      </c>
      <c r="H548" s="305">
        <v>0.02</v>
      </c>
      <c r="I548" s="307">
        <v>301.3</v>
      </c>
      <c r="J548" s="305">
        <v>220.55</v>
      </c>
      <c r="K548" s="305">
        <v>6.1199999999999997E-2</v>
      </c>
      <c r="L548" s="305">
        <v>494.4</v>
      </c>
      <c r="M548" s="305">
        <v>0</v>
      </c>
      <c r="N548" s="305">
        <v>2.02</v>
      </c>
      <c r="O548" s="305">
        <v>320.32</v>
      </c>
      <c r="P548" s="305">
        <v>42.28</v>
      </c>
      <c r="Q548" s="305">
        <v>46.51</v>
      </c>
      <c r="R548" s="305">
        <v>0.1</v>
      </c>
      <c r="S548" s="305">
        <v>0</v>
      </c>
      <c r="T548" s="305">
        <v>0</v>
      </c>
      <c r="U548" s="305">
        <v>0.02</v>
      </c>
      <c r="V548" s="305"/>
      <c r="W548" s="251"/>
      <c r="X548" s="251"/>
      <c r="Y548" s="251"/>
      <c r="Z548" s="251"/>
      <c r="AA548" s="251"/>
      <c r="AB548" s="251"/>
      <c r="AC548" s="251"/>
      <c r="AD548" s="251"/>
      <c r="AE548" s="251"/>
      <c r="AF548" s="251"/>
      <c r="AG548" s="251"/>
      <c r="AH548" s="251"/>
      <c r="AI548" s="251"/>
      <c r="AJ548" s="251"/>
      <c r="AK548" s="251"/>
      <c r="AL548" s="251"/>
      <c r="AM548" s="251"/>
      <c r="AN548" s="251"/>
      <c r="AO548" s="251"/>
      <c r="AP548" s="251"/>
      <c r="AQ548" s="251"/>
      <c r="AR548" s="251"/>
      <c r="AS548" s="251"/>
      <c r="AT548" s="251"/>
      <c r="AU548" s="251"/>
      <c r="AV548" s="251"/>
      <c r="AW548" s="251"/>
      <c r="AX548" s="251"/>
      <c r="AY548" s="251"/>
      <c r="AZ548" s="251"/>
      <c r="BA548" s="251"/>
      <c r="BB548" s="251"/>
      <c r="BC548" s="251"/>
      <c r="BD548" s="251"/>
      <c r="BE548" s="251"/>
      <c r="BF548" s="251"/>
      <c r="BG548" s="251"/>
      <c r="BH548" s="251"/>
      <c r="BI548" s="251"/>
      <c r="BJ548" s="251"/>
      <c r="BK548" s="251"/>
      <c r="BL548" s="251"/>
      <c r="BM548" s="251"/>
      <c r="BN548" s="251"/>
      <c r="BO548" s="251"/>
      <c r="BP548" s="251"/>
      <c r="BQ548" s="251"/>
      <c r="BR548" s="251"/>
      <c r="BS548" s="251"/>
      <c r="BT548" s="251"/>
      <c r="BU548" s="251"/>
      <c r="BV548" s="251"/>
      <c r="BW548" s="251"/>
      <c r="BX548" s="251"/>
      <c r="BY548" s="251"/>
      <c r="BZ548" s="251"/>
      <c r="CA548" s="251"/>
      <c r="CB548" s="251"/>
      <c r="CC548" s="251"/>
      <c r="CD548" s="251"/>
      <c r="CE548" s="251"/>
      <c r="CF548" s="251"/>
      <c r="CG548" s="251"/>
      <c r="CH548" s="251"/>
      <c r="CI548" s="251"/>
      <c r="CJ548" s="251"/>
      <c r="CK548" s="251"/>
      <c r="CL548" s="251"/>
      <c r="CM548" s="251"/>
      <c r="CN548" s="251"/>
      <c r="CO548" s="251"/>
      <c r="CP548" s="251"/>
      <c r="CQ548" s="251"/>
      <c r="CR548" s="251"/>
      <c r="CS548" s="251"/>
      <c r="CT548" s="251"/>
      <c r="CU548" s="251"/>
      <c r="CV548" s="251"/>
      <c r="CW548" s="251"/>
      <c r="CX548" s="251"/>
      <c r="CY548" s="251"/>
      <c r="CZ548" s="251"/>
      <c r="DA548" s="251"/>
      <c r="DB548" s="251"/>
      <c r="DC548" s="251"/>
      <c r="DD548" s="251"/>
      <c r="DE548" s="251"/>
      <c r="DF548" s="251"/>
      <c r="DG548" s="251"/>
      <c r="DH548" s="251"/>
      <c r="DI548" s="251"/>
      <c r="DJ548" s="251"/>
      <c r="DK548" s="251"/>
      <c r="DL548" s="251"/>
      <c r="DM548" s="251"/>
      <c r="DN548" s="251"/>
      <c r="DO548" s="251"/>
      <c r="DP548" s="251"/>
      <c r="DQ548" s="251"/>
      <c r="DR548" s="251"/>
      <c r="DS548" s="251"/>
      <c r="DT548" s="251"/>
      <c r="DU548" s="251"/>
      <c r="DV548" s="251"/>
      <c r="DW548" s="251"/>
      <c r="DX548" s="251"/>
      <c r="DY548" s="251"/>
      <c r="DZ548" s="251"/>
      <c r="EA548" s="251"/>
      <c r="EB548" s="251"/>
      <c r="EC548" s="251"/>
      <c r="ED548" s="251"/>
      <c r="EE548" s="251"/>
      <c r="EF548" s="251"/>
      <c r="EG548" s="251"/>
      <c r="EH548" s="251"/>
      <c r="EI548" s="251"/>
      <c r="EJ548" s="251"/>
      <c r="EK548" s="251"/>
      <c r="EL548" s="251"/>
      <c r="EM548" s="251"/>
      <c r="EN548" s="251"/>
      <c r="EO548" s="251"/>
      <c r="EP548" s="251"/>
      <c r="EQ548" s="251"/>
      <c r="ER548" s="251"/>
      <c r="ES548" s="251"/>
      <c r="ET548" s="251"/>
      <c r="EU548" s="251"/>
      <c r="EV548" s="251"/>
      <c r="EW548" s="251"/>
      <c r="EX548" s="251"/>
      <c r="EY548" s="251"/>
      <c r="EZ548" s="251"/>
      <c r="FA548" s="251"/>
      <c r="FB548" s="251"/>
      <c r="FC548" s="251"/>
      <c r="FD548" s="251"/>
      <c r="FE548" s="251"/>
      <c r="FF548" s="251"/>
      <c r="FG548" s="251"/>
      <c r="FH548" s="251"/>
      <c r="FI548" s="251"/>
      <c r="FJ548" s="251"/>
      <c r="FK548" s="251"/>
      <c r="FL548" s="251"/>
      <c r="FM548" s="251"/>
      <c r="FN548" s="251"/>
      <c r="FO548" s="251"/>
      <c r="FP548" s="251"/>
      <c r="FQ548" s="251"/>
      <c r="FR548" s="251"/>
      <c r="FS548" s="251"/>
      <c r="FT548" s="251"/>
      <c r="FU548" s="251"/>
      <c r="FV548" s="251"/>
      <c r="FW548" s="251"/>
      <c r="FX548" s="251"/>
      <c r="FY548" s="251"/>
      <c r="FZ548" s="251"/>
      <c r="GA548" s="251"/>
      <c r="GB548" s="251"/>
      <c r="GC548" s="251"/>
      <c r="GD548" s="251"/>
      <c r="GE548" s="251"/>
      <c r="GF548" s="251"/>
      <c r="GG548" s="251"/>
      <c r="GH548" s="251"/>
      <c r="GI548" s="251"/>
      <c r="GJ548" s="251"/>
      <c r="GK548" s="251"/>
      <c r="GL548" s="251"/>
      <c r="GM548" s="251"/>
      <c r="GN548" s="251"/>
      <c r="GO548" s="251"/>
      <c r="GP548" s="251"/>
      <c r="GQ548" s="251"/>
      <c r="GR548" s="251"/>
      <c r="GS548" s="251"/>
      <c r="GT548" s="251"/>
      <c r="GU548" s="251"/>
      <c r="GV548" s="251"/>
      <c r="GW548" s="251"/>
      <c r="GX548" s="251"/>
      <c r="GY548" s="251"/>
      <c r="GZ548" s="251"/>
      <c r="HA548" s="251"/>
      <c r="HB548" s="251"/>
      <c r="HC548" s="251"/>
      <c r="HD548" s="251"/>
      <c r="HE548" s="251"/>
      <c r="HF548" s="251"/>
      <c r="HG548" s="251"/>
      <c r="HH548" s="251"/>
      <c r="HI548" s="251"/>
      <c r="HJ548" s="251"/>
      <c r="HK548" s="251"/>
      <c r="HL548" s="251"/>
      <c r="HM548" s="251"/>
      <c r="HN548" s="251"/>
      <c r="HO548" s="251"/>
      <c r="HP548" s="251"/>
      <c r="HQ548" s="251"/>
      <c r="HR548" s="251"/>
      <c r="HS548" s="251"/>
      <c r="HT548" s="251"/>
      <c r="HU548" s="251"/>
      <c r="HV548" s="251"/>
      <c r="HW548" s="251"/>
      <c r="HX548" s="251"/>
      <c r="HY548" s="251"/>
      <c r="HZ548" s="251"/>
      <c r="IA548" s="251"/>
      <c r="IB548" s="251"/>
      <c r="IC548" s="251"/>
      <c r="ID548" s="251"/>
      <c r="IE548" s="251"/>
      <c r="IF548" s="251"/>
      <c r="IG548" s="251"/>
      <c r="IH548" s="251"/>
      <c r="II548" s="251"/>
      <c r="IJ548" s="251"/>
      <c r="IK548" s="251"/>
      <c r="IL548" s="251"/>
      <c r="IM548" s="251"/>
      <c r="IN548" s="251"/>
      <c r="IO548" s="251"/>
      <c r="IP548" s="251"/>
      <c r="IQ548" s="251"/>
      <c r="IR548" s="251"/>
      <c r="IS548" s="251"/>
      <c r="IT548" s="251"/>
      <c r="IU548" s="251"/>
      <c r="IV548" s="251"/>
      <c r="IW548" s="251"/>
      <c r="IX548" s="251"/>
      <c r="IY548" s="251"/>
      <c r="IZ548" s="251"/>
      <c r="JA548" s="251"/>
      <c r="JB548" s="251"/>
      <c r="JC548" s="251"/>
      <c r="JD548" s="251"/>
      <c r="JE548" s="251"/>
      <c r="JF548" s="251"/>
      <c r="JG548" s="251"/>
      <c r="JH548" s="251"/>
      <c r="JI548" s="251"/>
      <c r="JJ548" s="251"/>
      <c r="JK548" s="251"/>
      <c r="JL548" s="251"/>
      <c r="JM548" s="251"/>
      <c r="JN548" s="251"/>
      <c r="JO548" s="251"/>
      <c r="JP548" s="251"/>
      <c r="JQ548" s="251"/>
      <c r="JR548" s="251"/>
      <c r="JS548" s="251"/>
      <c r="JT548" s="251"/>
      <c r="JU548" s="251"/>
      <c r="JV548" s="251"/>
      <c r="JW548" s="251"/>
      <c r="JX548" s="251"/>
      <c r="JY548" s="251"/>
      <c r="JZ548" s="251"/>
      <c r="KA548" s="251"/>
      <c r="KB548" s="251"/>
      <c r="KC548" s="251"/>
      <c r="KD548" s="251"/>
      <c r="KE548" s="251"/>
      <c r="KF548" s="251"/>
      <c r="KG548" s="251"/>
      <c r="KH548" s="251"/>
      <c r="KI548" s="251"/>
      <c r="KJ548" s="251"/>
      <c r="KK548" s="251"/>
      <c r="KL548" s="251"/>
      <c r="KM548" s="251"/>
      <c r="KN548" s="251"/>
      <c r="KO548" s="251"/>
      <c r="KP548" s="251"/>
      <c r="KQ548" s="251"/>
      <c r="KR548" s="251"/>
      <c r="KS548" s="251"/>
      <c r="KT548" s="251"/>
      <c r="KU548" s="251"/>
      <c r="KV548" s="251"/>
      <c r="KW548" s="251"/>
      <c r="KX548" s="251"/>
      <c r="KY548" s="251"/>
      <c r="KZ548" s="251"/>
      <c r="LA548" s="251"/>
      <c r="LB548" s="251"/>
      <c r="LC548" s="251"/>
      <c r="LD548" s="251"/>
      <c r="LE548" s="251"/>
      <c r="LF548" s="251"/>
      <c r="LG548" s="251"/>
      <c r="LH548" s="251"/>
      <c r="LI548" s="251"/>
      <c r="LJ548" s="251"/>
      <c r="LK548" s="251"/>
      <c r="LL548" s="308"/>
      <c r="LM548" s="308"/>
      <c r="LN548" s="308"/>
      <c r="LO548" s="308"/>
      <c r="LP548" s="308"/>
      <c r="LQ548" s="308"/>
      <c r="LR548" s="308"/>
      <c r="LS548" s="308"/>
      <c r="LT548" s="308"/>
      <c r="LU548" s="308"/>
      <c r="LV548" s="308"/>
      <c r="LW548" s="308"/>
      <c r="LX548" s="308"/>
      <c r="LY548" s="308"/>
      <c r="LZ548" s="308"/>
      <c r="MA548" s="308"/>
      <c r="MB548" s="308"/>
      <c r="MC548" s="308"/>
      <c r="MD548" s="308"/>
      <c r="ME548" s="308"/>
      <c r="MF548" s="308"/>
      <c r="MG548" s="308"/>
      <c r="MH548" s="308"/>
      <c r="MI548" s="308"/>
      <c r="MJ548" s="308"/>
      <c r="MK548" s="308"/>
      <c r="ML548" s="308"/>
      <c r="MM548" s="308"/>
      <c r="MN548" s="308"/>
      <c r="MO548" s="308"/>
      <c r="MP548" s="308"/>
      <c r="MQ548" s="308"/>
      <c r="MR548" s="308"/>
      <c r="MS548" s="308"/>
      <c r="MT548" s="308"/>
      <c r="MU548" s="308"/>
      <c r="MV548" s="308"/>
      <c r="MW548" s="308"/>
      <c r="MX548" s="308"/>
      <c r="MY548" s="308"/>
      <c r="MZ548" s="308"/>
      <c r="NA548" s="308"/>
      <c r="NB548" s="308"/>
      <c r="NC548" s="308"/>
      <c r="ND548" s="308"/>
      <c r="NE548" s="308"/>
      <c r="NF548" s="308"/>
      <c r="NG548" s="308"/>
      <c r="NH548" s="308"/>
      <c r="NI548" s="308"/>
      <c r="NJ548" s="308"/>
      <c r="NK548" s="308"/>
      <c r="NL548" s="308"/>
      <c r="NM548" s="308"/>
      <c r="NN548" s="308"/>
      <c r="NO548" s="308"/>
      <c r="NP548" s="308"/>
      <c r="NQ548" s="308"/>
      <c r="NR548" s="308"/>
      <c r="NS548" s="308"/>
      <c r="NT548" s="308"/>
      <c r="NU548" s="308"/>
      <c r="NV548" s="308"/>
      <c r="NW548" s="308"/>
      <c r="NX548" s="308"/>
      <c r="NY548" s="308"/>
      <c r="NZ548" s="308"/>
      <c r="OA548" s="308"/>
      <c r="OB548" s="308"/>
      <c r="OC548" s="308"/>
      <c r="OD548" s="308"/>
      <c r="OE548" s="308"/>
      <c r="OF548" s="308"/>
      <c r="OG548" s="308"/>
      <c r="OH548" s="308"/>
      <c r="OI548" s="308"/>
      <c r="OJ548" s="308"/>
      <c r="OK548" s="308"/>
      <c r="OL548" s="308"/>
      <c r="OM548" s="308"/>
      <c r="ON548" s="308"/>
      <c r="OO548" s="308"/>
      <c r="OP548" s="308"/>
      <c r="OQ548" s="308"/>
      <c r="OR548" s="308"/>
      <c r="OS548" s="308"/>
      <c r="OT548" s="308"/>
      <c r="OU548" s="308"/>
      <c r="OV548" s="308"/>
      <c r="OW548" s="308"/>
      <c r="OX548" s="308"/>
      <c r="OY548" s="308"/>
      <c r="OZ548" s="308"/>
      <c r="PA548" s="308"/>
      <c r="PB548" s="308"/>
      <c r="PC548" s="308"/>
      <c r="PD548" s="308"/>
      <c r="PE548" s="308"/>
      <c r="PF548" s="308"/>
      <c r="PG548" s="308"/>
      <c r="PH548" s="308"/>
      <c r="PI548" s="308"/>
      <c r="PJ548" s="308"/>
      <c r="PK548" s="308"/>
      <c r="PL548" s="308"/>
      <c r="PM548" s="308"/>
      <c r="PN548" s="308"/>
      <c r="PO548" s="308"/>
      <c r="PP548" s="308"/>
      <c r="PQ548" s="308"/>
      <c r="PR548" s="308"/>
      <c r="PS548" s="308"/>
      <c r="PT548" s="308"/>
      <c r="PU548" s="308"/>
      <c r="PV548" s="308"/>
      <c r="PW548" s="308"/>
      <c r="PX548" s="308"/>
      <c r="PY548" s="308"/>
      <c r="PZ548" s="308"/>
      <c r="QA548" s="308"/>
      <c r="QB548" s="308"/>
      <c r="QC548" s="308"/>
      <c r="QD548" s="308"/>
      <c r="QE548" s="308"/>
      <c r="QF548" s="308"/>
      <c r="QG548" s="308"/>
      <c r="QH548" s="308"/>
      <c r="QI548" s="308"/>
      <c r="QJ548" s="308"/>
      <c r="QK548" s="308"/>
      <c r="QL548" s="308"/>
      <c r="QM548" s="308"/>
      <c r="QN548" s="308"/>
      <c r="QO548" s="308"/>
      <c r="QP548" s="308"/>
      <c r="QQ548" s="308"/>
      <c r="QR548" s="308"/>
      <c r="QS548" s="308"/>
      <c r="QT548" s="308"/>
      <c r="QU548" s="308"/>
      <c r="QV548" s="308"/>
      <c r="QW548" s="308"/>
      <c r="QX548" s="308"/>
      <c r="QY548" s="308"/>
      <c r="QZ548" s="308"/>
      <c r="RA548" s="308"/>
      <c r="RB548" s="308"/>
      <c r="RC548" s="308"/>
      <c r="RD548" s="308"/>
      <c r="RE548" s="308"/>
      <c r="RF548" s="308"/>
      <c r="RG548" s="308"/>
      <c r="RH548" s="308"/>
      <c r="RI548" s="308"/>
      <c r="RJ548" s="308"/>
      <c r="RK548" s="308"/>
      <c r="RL548" s="308"/>
      <c r="RM548" s="308"/>
      <c r="RN548" s="308"/>
      <c r="RO548" s="308"/>
      <c r="RP548" s="308"/>
      <c r="RQ548" s="308"/>
      <c r="RR548" s="308"/>
      <c r="RS548" s="308"/>
      <c r="RT548" s="308"/>
      <c r="RU548" s="308"/>
      <c r="RV548" s="308"/>
      <c r="RW548" s="308"/>
      <c r="RX548" s="308"/>
      <c r="RY548" s="308"/>
      <c r="RZ548" s="308"/>
      <c r="SA548" s="308"/>
      <c r="SB548" s="308"/>
      <c r="SC548" s="308"/>
      <c r="SD548" s="308"/>
      <c r="SE548" s="308"/>
      <c r="SF548" s="308"/>
      <c r="SG548" s="308"/>
      <c r="SH548" s="308"/>
      <c r="SI548" s="308"/>
      <c r="SJ548" s="308"/>
      <c r="SK548" s="308"/>
      <c r="SL548" s="308"/>
      <c r="SM548" s="308"/>
      <c r="SN548" s="308"/>
      <c r="SO548" s="308"/>
      <c r="SP548" s="308"/>
      <c r="SQ548" s="308"/>
      <c r="SR548" s="308"/>
      <c r="SS548" s="308"/>
      <c r="ST548" s="308"/>
      <c r="SU548" s="308"/>
      <c r="SV548" s="308"/>
      <c r="SW548" s="308"/>
      <c r="SX548" s="308"/>
      <c r="SY548" s="308"/>
      <c r="SZ548" s="308"/>
      <c r="TA548" s="308"/>
      <c r="TB548" s="308"/>
      <c r="TC548" s="308"/>
      <c r="TD548" s="308"/>
      <c r="TE548" s="308"/>
      <c r="TF548" s="308"/>
      <c r="TG548" s="308"/>
      <c r="TH548" s="308"/>
      <c r="TI548" s="308"/>
      <c r="TJ548" s="308"/>
      <c r="TK548" s="308"/>
      <c r="TL548" s="308"/>
      <c r="TM548" s="308"/>
      <c r="TN548" s="308"/>
      <c r="TO548" s="308"/>
      <c r="TP548" s="308"/>
      <c r="TQ548" s="308"/>
      <c r="TR548" s="308"/>
      <c r="TS548" s="308"/>
      <c r="TT548" s="308"/>
      <c r="TU548" s="308"/>
      <c r="TV548" s="308"/>
      <c r="TW548" s="308"/>
      <c r="TX548" s="308"/>
      <c r="TY548" s="308"/>
      <c r="TZ548" s="308"/>
      <c r="UA548" s="308"/>
      <c r="UB548" s="308"/>
      <c r="UC548" s="308"/>
      <c r="UD548" s="308"/>
      <c r="UE548" s="308"/>
      <c r="UF548" s="308"/>
      <c r="UG548" s="308"/>
      <c r="UH548" s="308"/>
      <c r="UI548" s="308"/>
      <c r="UJ548" s="308"/>
      <c r="UK548" s="308"/>
      <c r="UL548" s="308"/>
      <c r="UM548" s="308"/>
      <c r="UN548" s="308"/>
      <c r="UO548" s="308"/>
      <c r="UP548" s="308"/>
      <c r="UQ548" s="308"/>
      <c r="UR548" s="308"/>
      <c r="US548" s="308"/>
      <c r="UT548" s="308"/>
      <c r="UU548" s="308"/>
      <c r="UV548" s="308"/>
      <c r="UW548" s="308"/>
      <c r="UX548" s="308"/>
      <c r="UY548" s="308"/>
      <c r="UZ548" s="308"/>
      <c r="VA548" s="308"/>
      <c r="VB548" s="308"/>
      <c r="VC548" s="308"/>
      <c r="VD548" s="308"/>
      <c r="VE548" s="308"/>
      <c r="VF548" s="308"/>
      <c r="VG548" s="308"/>
      <c r="VH548" s="308"/>
      <c r="VI548" s="308"/>
      <c r="VJ548" s="308"/>
      <c r="VK548" s="308"/>
      <c r="VL548" s="308"/>
      <c r="VM548" s="308"/>
      <c r="VN548" s="308"/>
      <c r="VO548" s="308"/>
      <c r="VP548" s="308"/>
      <c r="VQ548" s="308"/>
      <c r="VR548" s="308"/>
      <c r="VS548" s="308"/>
      <c r="VT548" s="308"/>
      <c r="VU548" s="308"/>
      <c r="VV548" s="308"/>
      <c r="VW548" s="308"/>
      <c r="VX548" s="308"/>
      <c r="VY548" s="308"/>
      <c r="VZ548" s="308"/>
      <c r="WA548" s="308"/>
      <c r="WB548" s="308"/>
      <c r="WC548" s="308"/>
      <c r="WD548" s="308"/>
      <c r="WE548" s="308"/>
      <c r="WF548" s="308"/>
      <c r="WG548" s="308"/>
      <c r="WH548" s="308"/>
      <c r="WI548" s="308"/>
      <c r="WJ548" s="308"/>
      <c r="WK548" s="308"/>
      <c r="WL548" s="308"/>
      <c r="WM548" s="308"/>
      <c r="WN548" s="308"/>
      <c r="WO548" s="308"/>
      <c r="WP548" s="308"/>
      <c r="WQ548" s="308"/>
      <c r="WR548" s="308"/>
      <c r="WS548" s="308"/>
      <c r="WT548" s="308"/>
      <c r="WU548" s="308"/>
      <c r="WV548" s="308"/>
      <c r="WW548" s="308"/>
      <c r="WX548" s="308"/>
      <c r="WY548" s="308"/>
      <c r="WZ548" s="308"/>
      <c r="XA548" s="308"/>
      <c r="XB548" s="308"/>
      <c r="XC548" s="308"/>
      <c r="XD548" s="308"/>
      <c r="XE548" s="308"/>
      <c r="XF548" s="308"/>
      <c r="XG548" s="308"/>
      <c r="XH548" s="308"/>
      <c r="XI548" s="308"/>
      <c r="XJ548" s="308"/>
      <c r="XK548" s="308"/>
      <c r="XL548" s="308"/>
      <c r="XM548" s="308"/>
      <c r="XN548" s="308"/>
      <c r="XO548" s="308"/>
      <c r="XP548" s="308"/>
      <c r="XQ548" s="308"/>
      <c r="XR548" s="308"/>
      <c r="XS548" s="308"/>
      <c r="XT548" s="308"/>
      <c r="XU548" s="308"/>
      <c r="XV548" s="308"/>
      <c r="XW548" s="308"/>
      <c r="XX548" s="308"/>
      <c r="XY548" s="308"/>
      <c r="XZ548" s="308"/>
      <c r="YA548" s="308"/>
      <c r="YB548" s="308"/>
      <c r="YC548" s="308"/>
      <c r="YD548" s="308"/>
      <c r="YE548" s="308"/>
      <c r="YF548" s="308"/>
      <c r="YG548" s="308"/>
      <c r="YH548" s="308"/>
      <c r="YI548" s="308"/>
      <c r="YJ548" s="308"/>
      <c r="YK548" s="308"/>
      <c r="YL548" s="308"/>
      <c r="YM548" s="308"/>
      <c r="YN548" s="308"/>
      <c r="YO548" s="308"/>
      <c r="YP548" s="308"/>
      <c r="YQ548" s="308"/>
      <c r="YR548" s="308"/>
      <c r="YS548" s="308"/>
      <c r="YT548" s="308"/>
      <c r="YU548" s="308"/>
      <c r="YV548" s="308"/>
      <c r="YW548" s="308"/>
      <c r="YX548" s="308"/>
      <c r="YY548" s="308"/>
      <c r="YZ548" s="308"/>
      <c r="ZA548" s="308"/>
      <c r="ZB548" s="308"/>
      <c r="ZC548" s="308"/>
      <c r="ZD548" s="308"/>
      <c r="ZE548" s="308"/>
      <c r="ZF548" s="308"/>
      <c r="ZG548" s="308"/>
      <c r="ZH548" s="308"/>
      <c r="ZI548" s="308"/>
      <c r="ZJ548" s="308"/>
      <c r="ZK548" s="308"/>
      <c r="ZL548" s="308"/>
      <c r="ZM548" s="308"/>
      <c r="ZN548" s="308"/>
      <c r="ZO548" s="308"/>
      <c r="ZP548" s="308"/>
      <c r="ZQ548" s="308"/>
      <c r="ZR548" s="308"/>
      <c r="ZS548" s="308"/>
      <c r="ZT548" s="308"/>
      <c r="ZU548" s="308"/>
      <c r="ZV548" s="308"/>
      <c r="ZW548" s="308"/>
      <c r="ZX548" s="308"/>
      <c r="ZY548" s="308"/>
      <c r="ZZ548" s="308"/>
      <c r="AAA548" s="308"/>
      <c r="AAB548" s="308"/>
      <c r="AAC548" s="308"/>
      <c r="AAD548" s="308"/>
      <c r="AAE548" s="308"/>
      <c r="AAF548" s="308"/>
      <c r="AAG548" s="308"/>
      <c r="AAH548" s="308"/>
      <c r="AAI548" s="308"/>
      <c r="AAJ548" s="308"/>
      <c r="AAK548" s="308"/>
      <c r="AAL548" s="308"/>
      <c r="AAM548" s="308"/>
      <c r="AAN548" s="308"/>
      <c r="AAO548" s="308"/>
      <c r="AAP548" s="308"/>
      <c r="AAQ548" s="308"/>
      <c r="AAR548" s="308"/>
      <c r="AAS548" s="308"/>
      <c r="AAT548" s="308"/>
      <c r="AAU548" s="308"/>
      <c r="AAV548" s="308"/>
      <c r="AAW548" s="308"/>
      <c r="AAX548" s="308"/>
      <c r="AAY548" s="308"/>
      <c r="AAZ548" s="308"/>
      <c r="ABA548" s="308"/>
      <c r="ABB548" s="308"/>
      <c r="ABC548" s="308"/>
      <c r="ABD548" s="308"/>
      <c r="ABE548" s="308"/>
      <c r="ABF548" s="308"/>
      <c r="ABG548" s="308"/>
      <c r="ABH548" s="308"/>
      <c r="ABI548" s="308"/>
      <c r="ABJ548" s="308"/>
      <c r="ABK548" s="308"/>
      <c r="ABL548" s="308"/>
      <c r="ABM548" s="308"/>
      <c r="ABN548" s="308"/>
      <c r="ABO548" s="308"/>
      <c r="ABP548" s="308"/>
      <c r="ABQ548" s="308"/>
      <c r="ABR548" s="308"/>
      <c r="ABS548" s="308"/>
      <c r="ABT548" s="308"/>
      <c r="ABU548" s="308"/>
      <c r="ABV548" s="308"/>
      <c r="ABW548" s="308"/>
      <c r="ABX548" s="308"/>
      <c r="ABY548" s="308"/>
      <c r="ABZ548" s="308"/>
      <c r="ACA548" s="308"/>
      <c r="ACB548" s="308"/>
      <c r="ACC548" s="308"/>
      <c r="ACD548" s="308"/>
      <c r="ACE548" s="308"/>
      <c r="ACF548" s="308"/>
      <c r="ACG548" s="308"/>
      <c r="ACH548" s="308"/>
      <c r="ACI548" s="308"/>
      <c r="ACJ548" s="308"/>
      <c r="ACK548" s="308"/>
      <c r="ACL548" s="308"/>
      <c r="ACM548" s="308"/>
      <c r="ACN548" s="308"/>
      <c r="ACO548" s="308"/>
      <c r="ACP548" s="308"/>
      <c r="ACQ548" s="308"/>
      <c r="ACR548" s="308"/>
      <c r="ACS548" s="308"/>
      <c r="ACT548" s="308"/>
      <c r="ACU548" s="308"/>
      <c r="ACV548" s="308"/>
    </row>
    <row r="549" spans="1:776" x14ac:dyDescent="0.25">
      <c r="A549" s="583">
        <v>900248</v>
      </c>
      <c r="B549" s="512" t="s">
        <v>446</v>
      </c>
      <c r="C549" s="513"/>
      <c r="D549" s="305" t="s">
        <v>378</v>
      </c>
      <c r="E549" s="305">
        <v>3.08</v>
      </c>
      <c r="F549" s="306">
        <v>38.200000000000003</v>
      </c>
      <c r="G549" s="305">
        <v>0</v>
      </c>
      <c r="H549" s="305">
        <v>0.03</v>
      </c>
      <c r="I549" s="307">
        <v>610.6</v>
      </c>
      <c r="J549" s="305">
        <v>287.60000000000002</v>
      </c>
      <c r="K549" s="305">
        <v>6.1199999999999997E-2</v>
      </c>
      <c r="L549" s="305">
        <v>422.4</v>
      </c>
      <c r="M549" s="305">
        <v>0</v>
      </c>
      <c r="N549" s="305">
        <v>1.55</v>
      </c>
      <c r="O549" s="305">
        <v>386.19</v>
      </c>
      <c r="P549" s="305">
        <v>85.38</v>
      </c>
      <c r="Q549" s="305">
        <v>87.27</v>
      </c>
      <c r="R549" s="305">
        <v>0.06</v>
      </c>
      <c r="S549" s="305">
        <v>0</v>
      </c>
      <c r="T549" s="305">
        <v>0</v>
      </c>
      <c r="U549" s="305">
        <v>0</v>
      </c>
      <c r="V549" s="305"/>
      <c r="W549" s="251"/>
      <c r="X549" s="251"/>
      <c r="Y549" s="251"/>
      <c r="Z549" s="251"/>
      <c r="AA549" s="251"/>
      <c r="AB549" s="251"/>
      <c r="AC549" s="251"/>
      <c r="AD549" s="251"/>
      <c r="AE549" s="251"/>
      <c r="AF549" s="251"/>
      <c r="AG549" s="251"/>
      <c r="AH549" s="251"/>
      <c r="AI549" s="251"/>
      <c r="AJ549" s="251"/>
      <c r="AK549" s="251"/>
      <c r="AL549" s="251"/>
      <c r="AM549" s="251"/>
      <c r="AN549" s="251"/>
      <c r="AO549" s="251"/>
      <c r="AP549" s="251"/>
      <c r="AQ549" s="251"/>
      <c r="AR549" s="251"/>
      <c r="AS549" s="251"/>
      <c r="AT549" s="251"/>
      <c r="AU549" s="251"/>
      <c r="AV549" s="251"/>
      <c r="AW549" s="251"/>
      <c r="AX549" s="251"/>
      <c r="AY549" s="251"/>
      <c r="AZ549" s="251"/>
      <c r="BA549" s="251"/>
      <c r="BB549" s="251"/>
      <c r="BC549" s="251"/>
      <c r="BD549" s="251"/>
      <c r="BE549" s="251"/>
      <c r="BF549" s="251"/>
      <c r="BG549" s="251"/>
      <c r="BH549" s="251"/>
      <c r="BI549" s="251"/>
      <c r="BJ549" s="251"/>
      <c r="BK549" s="251"/>
      <c r="BL549" s="251"/>
      <c r="BM549" s="251"/>
      <c r="BN549" s="251"/>
      <c r="BO549" s="251"/>
      <c r="BP549" s="251"/>
      <c r="BQ549" s="251"/>
      <c r="BR549" s="251"/>
      <c r="BS549" s="251"/>
      <c r="BT549" s="251"/>
      <c r="BU549" s="251"/>
      <c r="BV549" s="251"/>
      <c r="BW549" s="251"/>
      <c r="BX549" s="251"/>
      <c r="BY549" s="251"/>
      <c r="BZ549" s="251"/>
      <c r="CA549" s="251"/>
      <c r="CB549" s="251"/>
      <c r="CC549" s="251"/>
      <c r="CD549" s="251"/>
      <c r="CE549" s="251"/>
      <c r="CF549" s="251"/>
      <c r="CG549" s="251"/>
      <c r="CH549" s="251"/>
      <c r="CI549" s="251"/>
      <c r="CJ549" s="251"/>
      <c r="CK549" s="251"/>
      <c r="CL549" s="251"/>
      <c r="CM549" s="251"/>
      <c r="CN549" s="251"/>
      <c r="CO549" s="251"/>
      <c r="CP549" s="251"/>
      <c r="CQ549" s="251"/>
      <c r="CR549" s="251"/>
      <c r="CS549" s="251"/>
      <c r="CT549" s="251"/>
      <c r="CU549" s="251"/>
      <c r="CV549" s="251"/>
      <c r="CW549" s="251"/>
      <c r="CX549" s="251"/>
      <c r="CY549" s="251"/>
      <c r="CZ549" s="251"/>
      <c r="DA549" s="251"/>
      <c r="DB549" s="251"/>
      <c r="DC549" s="251"/>
      <c r="DD549" s="251"/>
      <c r="DE549" s="251"/>
      <c r="DF549" s="251"/>
      <c r="DG549" s="251"/>
      <c r="DH549" s="251"/>
      <c r="DI549" s="251"/>
      <c r="DJ549" s="251"/>
      <c r="DK549" s="251"/>
      <c r="DL549" s="251"/>
      <c r="DM549" s="251"/>
      <c r="DN549" s="251"/>
      <c r="DO549" s="251"/>
      <c r="DP549" s="251"/>
      <c r="DQ549" s="251"/>
      <c r="DR549" s="251"/>
      <c r="DS549" s="251"/>
      <c r="DT549" s="251"/>
      <c r="DU549" s="251"/>
      <c r="DV549" s="251"/>
      <c r="DW549" s="251"/>
      <c r="DX549" s="251"/>
      <c r="DY549" s="251"/>
      <c r="DZ549" s="251"/>
      <c r="EA549" s="251"/>
      <c r="EB549" s="251"/>
      <c r="EC549" s="251"/>
      <c r="ED549" s="251"/>
      <c r="EE549" s="251"/>
      <c r="EF549" s="251"/>
      <c r="EG549" s="251"/>
      <c r="EH549" s="251"/>
      <c r="EI549" s="251"/>
      <c r="EJ549" s="251"/>
      <c r="EK549" s="251"/>
      <c r="EL549" s="251"/>
      <c r="EM549" s="251"/>
      <c r="EN549" s="251"/>
      <c r="EO549" s="251"/>
      <c r="EP549" s="251"/>
      <c r="EQ549" s="251"/>
      <c r="ER549" s="251"/>
      <c r="ES549" s="251"/>
      <c r="ET549" s="251"/>
      <c r="EU549" s="251"/>
      <c r="EV549" s="251"/>
      <c r="EW549" s="251"/>
      <c r="EX549" s="251"/>
      <c r="EY549" s="251"/>
      <c r="EZ549" s="251"/>
      <c r="FA549" s="251"/>
      <c r="FB549" s="251"/>
      <c r="FC549" s="251"/>
      <c r="FD549" s="251"/>
      <c r="FE549" s="251"/>
      <c r="FF549" s="251"/>
      <c r="FG549" s="251"/>
      <c r="FH549" s="251"/>
      <c r="FI549" s="251"/>
      <c r="FJ549" s="251"/>
      <c r="FK549" s="251"/>
      <c r="FL549" s="251"/>
      <c r="FM549" s="251"/>
      <c r="FN549" s="251"/>
      <c r="FO549" s="251"/>
      <c r="FP549" s="251"/>
      <c r="FQ549" s="251"/>
      <c r="FR549" s="251"/>
      <c r="FS549" s="251"/>
      <c r="FT549" s="251"/>
      <c r="FU549" s="251"/>
      <c r="FV549" s="251"/>
      <c r="FW549" s="251"/>
      <c r="FX549" s="251"/>
      <c r="FY549" s="251"/>
      <c r="FZ549" s="251"/>
      <c r="GA549" s="251"/>
      <c r="GB549" s="251"/>
      <c r="GC549" s="251"/>
      <c r="GD549" s="251"/>
      <c r="GE549" s="251"/>
      <c r="GF549" s="251"/>
      <c r="GG549" s="251"/>
      <c r="GH549" s="251"/>
      <c r="GI549" s="251"/>
      <c r="GJ549" s="251"/>
      <c r="GK549" s="251"/>
      <c r="GL549" s="251"/>
      <c r="GM549" s="251"/>
      <c r="GN549" s="251"/>
      <c r="GO549" s="251"/>
      <c r="GP549" s="251"/>
      <c r="GQ549" s="251"/>
      <c r="GR549" s="251"/>
      <c r="GS549" s="251"/>
      <c r="GT549" s="251"/>
      <c r="GU549" s="251"/>
      <c r="GV549" s="251"/>
      <c r="GW549" s="251"/>
      <c r="GX549" s="251"/>
      <c r="GY549" s="251"/>
      <c r="GZ549" s="251"/>
      <c r="HA549" s="251"/>
      <c r="HB549" s="251"/>
      <c r="HC549" s="251"/>
      <c r="HD549" s="251"/>
      <c r="HE549" s="251"/>
      <c r="HF549" s="251"/>
      <c r="HG549" s="251"/>
      <c r="HH549" s="251"/>
      <c r="HI549" s="251"/>
      <c r="HJ549" s="251"/>
      <c r="HK549" s="251"/>
      <c r="HL549" s="251"/>
      <c r="HM549" s="251"/>
      <c r="HN549" s="251"/>
      <c r="HO549" s="251"/>
      <c r="HP549" s="251"/>
      <c r="HQ549" s="251"/>
      <c r="HR549" s="251"/>
      <c r="HS549" s="251"/>
      <c r="HT549" s="251"/>
      <c r="HU549" s="251"/>
      <c r="HV549" s="251"/>
      <c r="HW549" s="251"/>
      <c r="HX549" s="251"/>
      <c r="HY549" s="251"/>
      <c r="HZ549" s="251"/>
      <c r="IA549" s="251"/>
      <c r="IB549" s="251"/>
      <c r="IC549" s="251"/>
      <c r="ID549" s="251"/>
      <c r="IE549" s="251"/>
      <c r="IF549" s="251"/>
      <c r="IG549" s="251"/>
      <c r="IH549" s="251"/>
      <c r="II549" s="251"/>
      <c r="IJ549" s="251"/>
      <c r="IK549" s="251"/>
      <c r="IL549" s="251"/>
      <c r="IM549" s="251"/>
      <c r="IN549" s="251"/>
      <c r="IO549" s="251"/>
      <c r="IP549" s="251"/>
      <c r="IQ549" s="251"/>
      <c r="IR549" s="251"/>
      <c r="IS549" s="251"/>
      <c r="IT549" s="251"/>
      <c r="IU549" s="251"/>
      <c r="IV549" s="251"/>
      <c r="IW549" s="251"/>
      <c r="IX549" s="251"/>
      <c r="IY549" s="251"/>
      <c r="IZ549" s="251"/>
      <c r="JA549" s="251"/>
      <c r="JB549" s="251"/>
      <c r="JC549" s="251"/>
      <c r="JD549" s="251"/>
      <c r="JE549" s="251"/>
      <c r="JF549" s="251"/>
      <c r="JG549" s="251"/>
      <c r="JH549" s="251"/>
      <c r="JI549" s="251"/>
      <c r="JJ549" s="251"/>
      <c r="JK549" s="251"/>
      <c r="JL549" s="251"/>
      <c r="JM549" s="251"/>
      <c r="JN549" s="251"/>
      <c r="JO549" s="251"/>
      <c r="JP549" s="251"/>
      <c r="JQ549" s="251"/>
      <c r="JR549" s="251"/>
      <c r="JS549" s="251"/>
      <c r="JT549" s="251"/>
      <c r="JU549" s="251"/>
      <c r="JV549" s="251"/>
      <c r="JW549" s="251"/>
      <c r="JX549" s="251"/>
      <c r="JY549" s="251"/>
      <c r="JZ549" s="251"/>
      <c r="KA549" s="251"/>
      <c r="KB549" s="251"/>
      <c r="KC549" s="251"/>
      <c r="KD549" s="251"/>
      <c r="KE549" s="251"/>
      <c r="KF549" s="251"/>
      <c r="KG549" s="251"/>
      <c r="KH549" s="251"/>
      <c r="KI549" s="251"/>
      <c r="KJ549" s="251"/>
      <c r="KK549" s="251"/>
      <c r="KL549" s="251"/>
      <c r="KM549" s="251"/>
      <c r="KN549" s="251"/>
      <c r="KO549" s="251"/>
      <c r="KP549" s="251"/>
      <c r="KQ549" s="251"/>
      <c r="KR549" s="251"/>
      <c r="KS549" s="251"/>
      <c r="KT549" s="251"/>
      <c r="KU549" s="251"/>
      <c r="KV549" s="251"/>
      <c r="KW549" s="251"/>
      <c r="KX549" s="251"/>
      <c r="KY549" s="251"/>
      <c r="KZ549" s="251"/>
      <c r="LA549" s="251"/>
      <c r="LB549" s="251"/>
      <c r="LC549" s="251"/>
      <c r="LD549" s="251"/>
      <c r="LE549" s="251"/>
      <c r="LF549" s="251"/>
      <c r="LG549" s="251"/>
      <c r="LH549" s="251"/>
      <c r="LI549" s="251"/>
      <c r="LJ549" s="251"/>
      <c r="LK549" s="251"/>
      <c r="LL549" s="308"/>
      <c r="LM549" s="308"/>
      <c r="LN549" s="308"/>
      <c r="LO549" s="308"/>
      <c r="LP549" s="308"/>
      <c r="LQ549" s="308"/>
      <c r="LR549" s="308"/>
      <c r="LS549" s="308"/>
      <c r="LT549" s="308"/>
      <c r="LU549" s="308"/>
      <c r="LV549" s="308"/>
      <c r="LW549" s="308"/>
      <c r="LX549" s="308"/>
      <c r="LY549" s="308"/>
      <c r="LZ549" s="308"/>
      <c r="MA549" s="308"/>
      <c r="MB549" s="308"/>
      <c r="MC549" s="308"/>
      <c r="MD549" s="308"/>
      <c r="ME549" s="308"/>
      <c r="MF549" s="308"/>
      <c r="MG549" s="308"/>
      <c r="MH549" s="308"/>
      <c r="MI549" s="308"/>
      <c r="MJ549" s="308"/>
      <c r="MK549" s="308"/>
      <c r="ML549" s="308"/>
      <c r="MM549" s="308"/>
      <c r="MN549" s="308"/>
      <c r="MO549" s="308"/>
      <c r="MP549" s="308"/>
      <c r="MQ549" s="308"/>
      <c r="MR549" s="308"/>
      <c r="MS549" s="308"/>
      <c r="MT549" s="308"/>
      <c r="MU549" s="308"/>
      <c r="MV549" s="308"/>
      <c r="MW549" s="308"/>
      <c r="MX549" s="308"/>
      <c r="MY549" s="308"/>
      <c r="MZ549" s="308"/>
      <c r="NA549" s="308"/>
      <c r="NB549" s="308"/>
      <c r="NC549" s="308"/>
      <c r="ND549" s="308"/>
      <c r="NE549" s="308"/>
      <c r="NF549" s="308"/>
      <c r="NG549" s="308"/>
      <c r="NH549" s="308"/>
      <c r="NI549" s="308"/>
      <c r="NJ549" s="308"/>
      <c r="NK549" s="308"/>
      <c r="NL549" s="308"/>
      <c r="NM549" s="308"/>
      <c r="NN549" s="308"/>
      <c r="NO549" s="308"/>
      <c r="NP549" s="308"/>
      <c r="NQ549" s="308"/>
      <c r="NR549" s="308"/>
      <c r="NS549" s="308"/>
      <c r="NT549" s="308"/>
      <c r="NU549" s="308"/>
      <c r="NV549" s="308"/>
      <c r="NW549" s="308"/>
      <c r="NX549" s="308"/>
      <c r="NY549" s="308"/>
      <c r="NZ549" s="308"/>
      <c r="OA549" s="308"/>
      <c r="OB549" s="308"/>
      <c r="OC549" s="308"/>
      <c r="OD549" s="308"/>
      <c r="OE549" s="308"/>
      <c r="OF549" s="308"/>
      <c r="OG549" s="308"/>
      <c r="OH549" s="308"/>
      <c r="OI549" s="308"/>
      <c r="OJ549" s="308"/>
      <c r="OK549" s="308"/>
      <c r="OL549" s="308"/>
      <c r="OM549" s="308"/>
      <c r="ON549" s="308"/>
      <c r="OO549" s="308"/>
      <c r="OP549" s="308"/>
      <c r="OQ549" s="308"/>
      <c r="OR549" s="308"/>
      <c r="OS549" s="308"/>
      <c r="OT549" s="308"/>
      <c r="OU549" s="308"/>
      <c r="OV549" s="308"/>
      <c r="OW549" s="308"/>
      <c r="OX549" s="308"/>
      <c r="OY549" s="308"/>
      <c r="OZ549" s="308"/>
      <c r="PA549" s="308"/>
      <c r="PB549" s="308"/>
      <c r="PC549" s="308"/>
      <c r="PD549" s="308"/>
      <c r="PE549" s="308"/>
      <c r="PF549" s="308"/>
      <c r="PG549" s="308"/>
      <c r="PH549" s="308"/>
      <c r="PI549" s="308"/>
      <c r="PJ549" s="308"/>
      <c r="PK549" s="308"/>
      <c r="PL549" s="308"/>
      <c r="PM549" s="308"/>
      <c r="PN549" s="308"/>
      <c r="PO549" s="308"/>
      <c r="PP549" s="308"/>
      <c r="PQ549" s="308"/>
      <c r="PR549" s="308"/>
      <c r="PS549" s="308"/>
      <c r="PT549" s="308"/>
      <c r="PU549" s="308"/>
      <c r="PV549" s="308"/>
      <c r="PW549" s="308"/>
      <c r="PX549" s="308"/>
      <c r="PY549" s="308"/>
      <c r="PZ549" s="308"/>
      <c r="QA549" s="308"/>
      <c r="QB549" s="308"/>
      <c r="QC549" s="308"/>
      <c r="QD549" s="308"/>
      <c r="QE549" s="308"/>
      <c r="QF549" s="308"/>
      <c r="QG549" s="308"/>
      <c r="QH549" s="308"/>
      <c r="QI549" s="308"/>
      <c r="QJ549" s="308"/>
      <c r="QK549" s="308"/>
      <c r="QL549" s="308"/>
      <c r="QM549" s="308"/>
      <c r="QN549" s="308"/>
      <c r="QO549" s="308"/>
      <c r="QP549" s="308"/>
      <c r="QQ549" s="308"/>
      <c r="QR549" s="308"/>
      <c r="QS549" s="308"/>
      <c r="QT549" s="308"/>
      <c r="QU549" s="308"/>
      <c r="QV549" s="308"/>
      <c r="QW549" s="308"/>
      <c r="QX549" s="308"/>
      <c r="QY549" s="308"/>
      <c r="QZ549" s="308"/>
      <c r="RA549" s="308"/>
      <c r="RB549" s="308"/>
      <c r="RC549" s="308"/>
      <c r="RD549" s="308"/>
      <c r="RE549" s="308"/>
      <c r="RF549" s="308"/>
      <c r="RG549" s="308"/>
      <c r="RH549" s="308"/>
      <c r="RI549" s="308"/>
      <c r="RJ549" s="308"/>
      <c r="RK549" s="308"/>
      <c r="RL549" s="308"/>
      <c r="RM549" s="308"/>
      <c r="RN549" s="308"/>
      <c r="RO549" s="308"/>
      <c r="RP549" s="308"/>
      <c r="RQ549" s="308"/>
      <c r="RR549" s="308"/>
      <c r="RS549" s="308"/>
      <c r="RT549" s="308"/>
      <c r="RU549" s="308"/>
      <c r="RV549" s="308"/>
      <c r="RW549" s="308"/>
      <c r="RX549" s="308"/>
      <c r="RY549" s="308"/>
      <c r="RZ549" s="308"/>
      <c r="SA549" s="308"/>
      <c r="SB549" s="308"/>
      <c r="SC549" s="308"/>
      <c r="SD549" s="308"/>
      <c r="SE549" s="308"/>
      <c r="SF549" s="308"/>
      <c r="SG549" s="308"/>
      <c r="SH549" s="308"/>
      <c r="SI549" s="308"/>
      <c r="SJ549" s="308"/>
      <c r="SK549" s="308"/>
      <c r="SL549" s="308"/>
      <c r="SM549" s="308"/>
      <c r="SN549" s="308"/>
      <c r="SO549" s="308"/>
      <c r="SP549" s="308"/>
      <c r="SQ549" s="308"/>
      <c r="SR549" s="308"/>
      <c r="SS549" s="308"/>
      <c r="ST549" s="308"/>
      <c r="SU549" s="308"/>
      <c r="SV549" s="308"/>
      <c r="SW549" s="308"/>
      <c r="SX549" s="308"/>
      <c r="SY549" s="308"/>
      <c r="SZ549" s="308"/>
      <c r="TA549" s="308"/>
      <c r="TB549" s="308"/>
      <c r="TC549" s="308"/>
      <c r="TD549" s="308"/>
      <c r="TE549" s="308"/>
      <c r="TF549" s="308"/>
      <c r="TG549" s="308"/>
      <c r="TH549" s="308"/>
      <c r="TI549" s="308"/>
      <c r="TJ549" s="308"/>
      <c r="TK549" s="308"/>
      <c r="TL549" s="308"/>
      <c r="TM549" s="308"/>
      <c r="TN549" s="308"/>
      <c r="TO549" s="308"/>
      <c r="TP549" s="308"/>
      <c r="TQ549" s="308"/>
      <c r="TR549" s="308"/>
      <c r="TS549" s="308"/>
      <c r="TT549" s="308"/>
      <c r="TU549" s="308"/>
      <c r="TV549" s="308"/>
      <c r="TW549" s="308"/>
      <c r="TX549" s="308"/>
      <c r="TY549" s="308"/>
      <c r="TZ549" s="308"/>
      <c r="UA549" s="308"/>
      <c r="UB549" s="308"/>
      <c r="UC549" s="308"/>
      <c r="UD549" s="308"/>
      <c r="UE549" s="308"/>
      <c r="UF549" s="308"/>
      <c r="UG549" s="308"/>
      <c r="UH549" s="308"/>
      <c r="UI549" s="308"/>
      <c r="UJ549" s="308"/>
      <c r="UK549" s="308"/>
      <c r="UL549" s="308"/>
      <c r="UM549" s="308"/>
      <c r="UN549" s="308"/>
      <c r="UO549" s="308"/>
      <c r="UP549" s="308"/>
      <c r="UQ549" s="308"/>
      <c r="UR549" s="308"/>
      <c r="US549" s="308"/>
      <c r="UT549" s="308"/>
      <c r="UU549" s="308"/>
      <c r="UV549" s="308"/>
      <c r="UW549" s="308"/>
      <c r="UX549" s="308"/>
      <c r="UY549" s="308"/>
      <c r="UZ549" s="308"/>
      <c r="VA549" s="308"/>
      <c r="VB549" s="308"/>
      <c r="VC549" s="308"/>
      <c r="VD549" s="308"/>
      <c r="VE549" s="308"/>
      <c r="VF549" s="308"/>
      <c r="VG549" s="308"/>
      <c r="VH549" s="308"/>
      <c r="VI549" s="308"/>
      <c r="VJ549" s="308"/>
      <c r="VK549" s="308"/>
      <c r="VL549" s="308"/>
      <c r="VM549" s="308"/>
      <c r="VN549" s="308"/>
      <c r="VO549" s="308"/>
      <c r="VP549" s="308"/>
      <c r="VQ549" s="308"/>
      <c r="VR549" s="308"/>
      <c r="VS549" s="308"/>
      <c r="VT549" s="308"/>
      <c r="VU549" s="308"/>
      <c r="VV549" s="308"/>
      <c r="VW549" s="308"/>
      <c r="VX549" s="308"/>
      <c r="VY549" s="308"/>
      <c r="VZ549" s="308"/>
      <c r="WA549" s="308"/>
      <c r="WB549" s="308"/>
      <c r="WC549" s="308"/>
      <c r="WD549" s="308"/>
      <c r="WE549" s="308"/>
      <c r="WF549" s="308"/>
      <c r="WG549" s="308"/>
      <c r="WH549" s="308"/>
      <c r="WI549" s="308"/>
      <c r="WJ549" s="308"/>
      <c r="WK549" s="308"/>
      <c r="WL549" s="308"/>
      <c r="WM549" s="308"/>
      <c r="WN549" s="308"/>
      <c r="WO549" s="308"/>
      <c r="WP549" s="308"/>
      <c r="WQ549" s="308"/>
      <c r="WR549" s="308"/>
      <c r="WS549" s="308"/>
      <c r="WT549" s="308"/>
      <c r="WU549" s="308"/>
      <c r="WV549" s="308"/>
      <c r="WW549" s="308"/>
      <c r="WX549" s="308"/>
      <c r="WY549" s="308"/>
      <c r="WZ549" s="308"/>
      <c r="XA549" s="308"/>
      <c r="XB549" s="308"/>
      <c r="XC549" s="308"/>
      <c r="XD549" s="308"/>
      <c r="XE549" s="308"/>
      <c r="XF549" s="308"/>
      <c r="XG549" s="308"/>
      <c r="XH549" s="308"/>
      <c r="XI549" s="308"/>
      <c r="XJ549" s="308"/>
      <c r="XK549" s="308"/>
      <c r="XL549" s="308"/>
      <c r="XM549" s="308"/>
      <c r="XN549" s="308"/>
      <c r="XO549" s="308"/>
      <c r="XP549" s="308"/>
      <c r="XQ549" s="308"/>
      <c r="XR549" s="308"/>
      <c r="XS549" s="308"/>
      <c r="XT549" s="308"/>
      <c r="XU549" s="308"/>
      <c r="XV549" s="308"/>
      <c r="XW549" s="308"/>
      <c r="XX549" s="308"/>
      <c r="XY549" s="308"/>
      <c r="XZ549" s="308"/>
      <c r="YA549" s="308"/>
      <c r="YB549" s="308"/>
      <c r="YC549" s="308"/>
      <c r="YD549" s="308"/>
      <c r="YE549" s="308"/>
      <c r="YF549" s="308"/>
      <c r="YG549" s="308"/>
      <c r="YH549" s="308"/>
      <c r="YI549" s="308"/>
      <c r="YJ549" s="308"/>
      <c r="YK549" s="308"/>
      <c r="YL549" s="308"/>
      <c r="YM549" s="308"/>
      <c r="YN549" s="308"/>
      <c r="YO549" s="308"/>
      <c r="YP549" s="308"/>
      <c r="YQ549" s="308"/>
      <c r="YR549" s="308"/>
      <c r="YS549" s="308"/>
      <c r="YT549" s="308"/>
      <c r="YU549" s="308"/>
      <c r="YV549" s="308"/>
      <c r="YW549" s="308"/>
      <c r="YX549" s="308"/>
      <c r="YY549" s="308"/>
      <c r="YZ549" s="308"/>
      <c r="ZA549" s="308"/>
      <c r="ZB549" s="308"/>
      <c r="ZC549" s="308"/>
      <c r="ZD549" s="308"/>
      <c r="ZE549" s="308"/>
      <c r="ZF549" s="308"/>
      <c r="ZG549" s="308"/>
      <c r="ZH549" s="308"/>
      <c r="ZI549" s="308"/>
      <c r="ZJ549" s="308"/>
      <c r="ZK549" s="308"/>
      <c r="ZL549" s="308"/>
      <c r="ZM549" s="308"/>
      <c r="ZN549" s="308"/>
      <c r="ZO549" s="308"/>
      <c r="ZP549" s="308"/>
      <c r="ZQ549" s="308"/>
      <c r="ZR549" s="308"/>
      <c r="ZS549" s="308"/>
      <c r="ZT549" s="308"/>
      <c r="ZU549" s="308"/>
      <c r="ZV549" s="308"/>
      <c r="ZW549" s="308"/>
      <c r="ZX549" s="308"/>
      <c r="ZY549" s="308"/>
      <c r="ZZ549" s="308"/>
      <c r="AAA549" s="308"/>
      <c r="AAB549" s="308"/>
      <c r="AAC549" s="308"/>
      <c r="AAD549" s="308"/>
      <c r="AAE549" s="308"/>
      <c r="AAF549" s="308"/>
      <c r="AAG549" s="308"/>
      <c r="AAH549" s="308"/>
      <c r="AAI549" s="308"/>
      <c r="AAJ549" s="308"/>
      <c r="AAK549" s="308"/>
      <c r="AAL549" s="308"/>
      <c r="AAM549" s="308"/>
      <c r="AAN549" s="308"/>
      <c r="AAO549" s="308"/>
      <c r="AAP549" s="308"/>
      <c r="AAQ549" s="308"/>
      <c r="AAR549" s="308"/>
      <c r="AAS549" s="308"/>
      <c r="AAT549" s="308"/>
      <c r="AAU549" s="308"/>
      <c r="AAV549" s="308"/>
      <c r="AAW549" s="308"/>
      <c r="AAX549" s="308"/>
      <c r="AAY549" s="308"/>
      <c r="AAZ549" s="308"/>
      <c r="ABA549" s="308"/>
      <c r="ABB549" s="308"/>
      <c r="ABC549" s="308"/>
      <c r="ABD549" s="308"/>
      <c r="ABE549" s="308"/>
      <c r="ABF549" s="308"/>
      <c r="ABG549" s="308"/>
      <c r="ABH549" s="308"/>
      <c r="ABI549" s="308"/>
      <c r="ABJ549" s="308"/>
      <c r="ABK549" s="308"/>
      <c r="ABL549" s="308"/>
      <c r="ABM549" s="308"/>
      <c r="ABN549" s="308"/>
      <c r="ABO549" s="308"/>
      <c r="ABP549" s="308"/>
      <c r="ABQ549" s="308"/>
      <c r="ABR549" s="308"/>
      <c r="ABS549" s="308"/>
      <c r="ABT549" s="308"/>
      <c r="ABU549" s="308"/>
      <c r="ABV549" s="308"/>
      <c r="ABW549" s="308"/>
      <c r="ABX549" s="308"/>
      <c r="ABY549" s="308"/>
      <c r="ABZ549" s="308"/>
      <c r="ACA549" s="308"/>
      <c r="ACB549" s="308"/>
      <c r="ACC549" s="308"/>
      <c r="ACD549" s="308"/>
      <c r="ACE549" s="308"/>
      <c r="ACF549" s="308"/>
      <c r="ACG549" s="308"/>
      <c r="ACH549" s="308"/>
      <c r="ACI549" s="308"/>
      <c r="ACJ549" s="308"/>
      <c r="ACK549" s="308"/>
      <c r="ACL549" s="308"/>
      <c r="ACM549" s="308"/>
      <c r="ACN549" s="308"/>
      <c r="ACO549" s="308"/>
      <c r="ACP549" s="308"/>
      <c r="ACQ549" s="308"/>
      <c r="ACR549" s="308"/>
      <c r="ACS549" s="308"/>
      <c r="ACT549" s="308"/>
      <c r="ACU549" s="308"/>
      <c r="ACV549" s="308"/>
    </row>
    <row r="550" spans="1:776" s="556" customFormat="1" x14ac:dyDescent="0.25">
      <c r="A550" s="584">
        <v>900249</v>
      </c>
      <c r="B550" s="551" t="str">
        <f>"-"&amp;TEXT((F550/62+G550/46+I550/35.5+J550/48+K550/97+L550/61),"0,00")&amp;"/+"&amp;TEXT((N550/39+O550/23+P550/20+Q550/12+H551/14),"0,00")&amp;"  (EC  "&amp;E550*10&amp;")"</f>
        <v>-8,03/+8,00  (EC  6,74)</v>
      </c>
      <c r="C550" s="552"/>
      <c r="D550" s="553">
        <v>7.62</v>
      </c>
      <c r="E550" s="553">
        <v>0.67400000000000004</v>
      </c>
      <c r="F550" s="554">
        <v>9.74</v>
      </c>
      <c r="G550" s="553">
        <v>0</v>
      </c>
      <c r="H550" s="553">
        <v>0.08</v>
      </c>
      <c r="I550" s="587">
        <v>18.77</v>
      </c>
      <c r="J550" s="553">
        <v>44.85</v>
      </c>
      <c r="K550" s="555">
        <f>0.004*3.06</f>
        <v>1.2240000000000001E-2</v>
      </c>
      <c r="L550" s="553">
        <f>(16.4-0.1)*24</f>
        <v>391.19999999999993</v>
      </c>
      <c r="M550" s="553">
        <v>0</v>
      </c>
      <c r="N550" s="553">
        <v>5.96</v>
      </c>
      <c r="O550" s="553">
        <v>8.52</v>
      </c>
      <c r="P550" s="553">
        <v>65.02</v>
      </c>
      <c r="Q550" s="553">
        <v>50.58</v>
      </c>
      <c r="R550" s="397">
        <v>1.0000000000000001E-5</v>
      </c>
      <c r="S550" s="553">
        <v>1E-4</v>
      </c>
      <c r="T550" s="397">
        <v>1.0000000000000001E-5</v>
      </c>
      <c r="U550" s="397">
        <v>1.0000000000000001E-5</v>
      </c>
      <c r="V550" s="397">
        <v>1.0000000000000001E-5</v>
      </c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</row>
    <row r="551" spans="1:776" x14ac:dyDescent="0.25">
      <c r="A551" s="583">
        <v>900250</v>
      </c>
      <c r="B551" s="404" t="str">
        <f>"-"&amp;TEXT((F551/62+G551/46+I551/35.5+J551/48+K551/97+L551/61),"0,00")&amp;"/+"&amp;TEXT((N551/39+O551/23+P551/20+Q551/12+H551/14),"0,00")&amp;"  (EC  "&amp;E551*10&amp;")"</f>
        <v>-7,09/+7,11  (EC  6,36)</v>
      </c>
      <c r="C551" s="513"/>
      <c r="D551" s="305" t="s">
        <v>149</v>
      </c>
      <c r="E551" s="305">
        <v>0.63600000000000001</v>
      </c>
      <c r="F551" s="306">
        <v>10.5</v>
      </c>
      <c r="G551" s="305">
        <v>0</v>
      </c>
      <c r="H551" s="305">
        <v>0.11</v>
      </c>
      <c r="I551" s="307">
        <v>10.52</v>
      </c>
      <c r="J551" s="305">
        <v>53.65</v>
      </c>
      <c r="K551" s="305">
        <v>0</v>
      </c>
      <c r="L551" s="305">
        <v>336</v>
      </c>
      <c r="M551" s="305">
        <v>0</v>
      </c>
      <c r="N551" s="305">
        <v>4.84</v>
      </c>
      <c r="O551" s="305">
        <v>31.08</v>
      </c>
      <c r="P551" s="305">
        <v>45.78</v>
      </c>
      <c r="Q551" s="305">
        <v>40.04</v>
      </c>
      <c r="R551" s="305">
        <v>2.91</v>
      </c>
      <c r="S551" s="305">
        <v>1E-4</v>
      </c>
      <c r="T551" s="305">
        <v>1E-4</v>
      </c>
      <c r="U551" s="305">
        <v>1E-4</v>
      </c>
      <c r="V551" s="305"/>
      <c r="W551" s="251"/>
      <c r="X551" s="251"/>
      <c r="Y551" s="251"/>
      <c r="Z551" s="251"/>
      <c r="AA551" s="251"/>
      <c r="AB551" s="251"/>
      <c r="AC551" s="251"/>
      <c r="AD551" s="251"/>
      <c r="AE551" s="251"/>
      <c r="AF551" s="251"/>
      <c r="AG551" s="251"/>
      <c r="AH551" s="251"/>
      <c r="AI551" s="251"/>
      <c r="AJ551" s="251"/>
      <c r="AK551" s="251"/>
      <c r="AL551" s="251"/>
      <c r="AM551" s="251"/>
      <c r="AN551" s="251"/>
      <c r="AO551" s="251"/>
      <c r="AP551" s="251"/>
      <c r="AQ551" s="251"/>
      <c r="AR551" s="251"/>
      <c r="AS551" s="251"/>
      <c r="AT551" s="251"/>
      <c r="AU551" s="251"/>
      <c r="AV551" s="251"/>
      <c r="AW551" s="251"/>
      <c r="AX551" s="251"/>
      <c r="AY551" s="251"/>
      <c r="AZ551" s="251"/>
      <c r="BA551" s="251"/>
      <c r="BB551" s="251"/>
      <c r="BC551" s="251"/>
      <c r="BD551" s="251"/>
      <c r="BE551" s="251"/>
      <c r="BF551" s="251"/>
      <c r="BG551" s="251"/>
      <c r="BH551" s="251"/>
      <c r="BI551" s="251"/>
      <c r="BJ551" s="251"/>
      <c r="BK551" s="251"/>
      <c r="BL551" s="251"/>
      <c r="BM551" s="251"/>
      <c r="BN551" s="251"/>
      <c r="BO551" s="251"/>
      <c r="BP551" s="251"/>
      <c r="BQ551" s="251"/>
      <c r="BR551" s="251"/>
      <c r="BS551" s="251"/>
      <c r="BT551" s="251"/>
      <c r="BU551" s="251"/>
      <c r="BV551" s="251"/>
      <c r="BW551" s="251"/>
      <c r="BX551" s="251"/>
      <c r="BY551" s="251"/>
      <c r="BZ551" s="251"/>
      <c r="CA551" s="251"/>
      <c r="CB551" s="251"/>
      <c r="CC551" s="251"/>
      <c r="CD551" s="251"/>
      <c r="CE551" s="251"/>
      <c r="CF551" s="251"/>
      <c r="CG551" s="251"/>
      <c r="CH551" s="251"/>
      <c r="CI551" s="251"/>
      <c r="CJ551" s="251"/>
      <c r="CK551" s="251"/>
      <c r="CL551" s="251"/>
      <c r="CM551" s="251"/>
      <c r="CN551" s="251"/>
      <c r="CO551" s="251"/>
      <c r="CP551" s="251"/>
      <c r="CQ551" s="251"/>
      <c r="CR551" s="251"/>
      <c r="CS551" s="251"/>
      <c r="CT551" s="251"/>
      <c r="CU551" s="251"/>
      <c r="CV551" s="251"/>
      <c r="CW551" s="251"/>
      <c r="CX551" s="251"/>
      <c r="CY551" s="251"/>
      <c r="CZ551" s="251"/>
      <c r="DA551" s="251"/>
      <c r="DB551" s="251"/>
      <c r="DC551" s="251"/>
      <c r="DD551" s="251"/>
      <c r="DE551" s="251"/>
      <c r="DF551" s="251"/>
      <c r="DG551" s="251"/>
      <c r="DH551" s="251"/>
      <c r="DI551" s="251"/>
      <c r="DJ551" s="251"/>
      <c r="DK551" s="251"/>
      <c r="DL551" s="251"/>
      <c r="DM551" s="251"/>
      <c r="DN551" s="251"/>
      <c r="DO551" s="251"/>
      <c r="DP551" s="251"/>
      <c r="DQ551" s="251"/>
      <c r="DR551" s="251"/>
      <c r="DS551" s="251"/>
      <c r="DT551" s="251"/>
      <c r="DU551" s="251"/>
      <c r="DV551" s="251"/>
      <c r="DW551" s="251"/>
      <c r="DX551" s="251"/>
      <c r="DY551" s="251"/>
      <c r="DZ551" s="251"/>
      <c r="EA551" s="251"/>
      <c r="EB551" s="251"/>
      <c r="EC551" s="251"/>
      <c r="ED551" s="251"/>
      <c r="EE551" s="251"/>
      <c r="EF551" s="251"/>
      <c r="EG551" s="251"/>
      <c r="EH551" s="251"/>
      <c r="EI551" s="251"/>
      <c r="EJ551" s="251"/>
      <c r="EK551" s="251"/>
      <c r="EL551" s="251"/>
      <c r="EM551" s="251"/>
      <c r="EN551" s="251"/>
      <c r="EO551" s="251"/>
      <c r="EP551" s="251"/>
      <c r="EQ551" s="251"/>
      <c r="ER551" s="251"/>
      <c r="ES551" s="251"/>
      <c r="ET551" s="251"/>
      <c r="EU551" s="251"/>
      <c r="EV551" s="251"/>
      <c r="EW551" s="251"/>
      <c r="EX551" s="251"/>
      <c r="EY551" s="251"/>
      <c r="EZ551" s="251"/>
      <c r="FA551" s="251"/>
      <c r="FB551" s="251"/>
      <c r="FC551" s="251"/>
      <c r="FD551" s="251"/>
      <c r="FE551" s="251"/>
      <c r="FF551" s="251"/>
      <c r="FG551" s="251"/>
      <c r="FH551" s="251"/>
      <c r="FI551" s="251"/>
      <c r="FJ551" s="251"/>
      <c r="FK551" s="251"/>
      <c r="FL551" s="251"/>
      <c r="FM551" s="251"/>
      <c r="FN551" s="251"/>
      <c r="FO551" s="251"/>
      <c r="FP551" s="251"/>
      <c r="FQ551" s="251"/>
      <c r="FR551" s="251"/>
      <c r="FS551" s="251"/>
      <c r="FT551" s="251"/>
      <c r="FU551" s="251"/>
      <c r="FV551" s="251"/>
      <c r="FW551" s="251"/>
      <c r="FX551" s="251"/>
      <c r="FY551" s="251"/>
      <c r="FZ551" s="251"/>
      <c r="GA551" s="251"/>
      <c r="GB551" s="251"/>
      <c r="GC551" s="251"/>
      <c r="GD551" s="251"/>
      <c r="GE551" s="251"/>
      <c r="GF551" s="251"/>
      <c r="GG551" s="251"/>
      <c r="GH551" s="251"/>
      <c r="GI551" s="251"/>
      <c r="GJ551" s="251"/>
      <c r="GK551" s="251"/>
      <c r="GL551" s="251"/>
      <c r="GM551" s="251"/>
      <c r="GN551" s="251"/>
      <c r="GO551" s="251"/>
      <c r="GP551" s="251"/>
      <c r="GQ551" s="251"/>
      <c r="GR551" s="251"/>
      <c r="GS551" s="251"/>
      <c r="GT551" s="251"/>
      <c r="GU551" s="251"/>
      <c r="GV551" s="251"/>
      <c r="GW551" s="251"/>
      <c r="GX551" s="251"/>
      <c r="GY551" s="251"/>
      <c r="GZ551" s="251"/>
      <c r="HA551" s="251"/>
      <c r="HB551" s="251"/>
      <c r="HC551" s="251"/>
      <c r="HD551" s="251"/>
      <c r="HE551" s="251"/>
      <c r="HF551" s="251"/>
      <c r="HG551" s="251"/>
      <c r="HH551" s="251"/>
      <c r="HI551" s="251"/>
      <c r="HJ551" s="251"/>
      <c r="HK551" s="251"/>
      <c r="HL551" s="251"/>
      <c r="HM551" s="251"/>
      <c r="HN551" s="251"/>
      <c r="HO551" s="251"/>
      <c r="HP551" s="251"/>
      <c r="HQ551" s="251"/>
      <c r="HR551" s="251"/>
      <c r="HS551" s="251"/>
      <c r="HT551" s="251"/>
      <c r="HU551" s="251"/>
      <c r="HV551" s="251"/>
      <c r="HW551" s="251"/>
      <c r="HX551" s="251"/>
      <c r="HY551" s="251"/>
      <c r="HZ551" s="251"/>
      <c r="IA551" s="251"/>
      <c r="IB551" s="251"/>
      <c r="IC551" s="251"/>
      <c r="ID551" s="251"/>
      <c r="IE551" s="251"/>
      <c r="IF551" s="251"/>
      <c r="IG551" s="251"/>
      <c r="IH551" s="251"/>
      <c r="II551" s="251"/>
      <c r="IJ551" s="251"/>
      <c r="IK551" s="251"/>
      <c r="IL551" s="251"/>
      <c r="IM551" s="251"/>
      <c r="IN551" s="251"/>
      <c r="IO551" s="251"/>
      <c r="IP551" s="251"/>
      <c r="IQ551" s="251"/>
      <c r="IR551" s="251"/>
      <c r="IS551" s="251"/>
      <c r="IT551" s="251"/>
      <c r="IU551" s="251"/>
      <c r="IV551" s="251"/>
      <c r="IW551" s="251"/>
      <c r="IX551" s="251"/>
      <c r="IY551" s="251"/>
      <c r="IZ551" s="251"/>
      <c r="JA551" s="251"/>
      <c r="JB551" s="251"/>
      <c r="JC551" s="251"/>
      <c r="JD551" s="251"/>
      <c r="JE551" s="251"/>
      <c r="JF551" s="251"/>
      <c r="JG551" s="251"/>
      <c r="JH551" s="251"/>
      <c r="JI551" s="251"/>
      <c r="JJ551" s="251"/>
      <c r="JK551" s="251"/>
      <c r="JL551" s="251"/>
      <c r="JM551" s="251"/>
      <c r="JN551" s="251"/>
      <c r="JO551" s="251"/>
      <c r="JP551" s="251"/>
      <c r="JQ551" s="251"/>
      <c r="JR551" s="251"/>
      <c r="JS551" s="251"/>
      <c r="JT551" s="251"/>
      <c r="JU551" s="251"/>
      <c r="JV551" s="251"/>
      <c r="JW551" s="251"/>
      <c r="JX551" s="251"/>
      <c r="JY551" s="251"/>
      <c r="JZ551" s="251"/>
      <c r="KA551" s="251"/>
      <c r="KB551" s="251"/>
      <c r="KC551" s="251"/>
      <c r="KD551" s="251"/>
      <c r="KE551" s="251"/>
      <c r="KF551" s="251"/>
      <c r="KG551" s="251"/>
      <c r="KH551" s="251"/>
      <c r="KI551" s="251"/>
      <c r="KJ551" s="251"/>
      <c r="KK551" s="251"/>
      <c r="KL551" s="251"/>
      <c r="KM551" s="251"/>
      <c r="KN551" s="251"/>
      <c r="KO551" s="251"/>
      <c r="KP551" s="251"/>
      <c r="KQ551" s="251"/>
      <c r="KR551" s="251"/>
      <c r="KS551" s="251"/>
      <c r="KT551" s="251"/>
      <c r="KU551" s="251"/>
      <c r="KV551" s="251"/>
      <c r="KW551" s="251"/>
      <c r="KX551" s="251"/>
      <c r="KY551" s="251"/>
      <c r="KZ551" s="251"/>
      <c r="LA551" s="251"/>
      <c r="LB551" s="251"/>
      <c r="LC551" s="251"/>
      <c r="LD551" s="251"/>
      <c r="LE551" s="251"/>
      <c r="LF551" s="251"/>
      <c r="LG551" s="251"/>
      <c r="LH551" s="251"/>
      <c r="LI551" s="251"/>
      <c r="LJ551" s="251"/>
      <c r="LK551" s="251"/>
      <c r="LL551" s="308"/>
      <c r="LM551" s="308"/>
      <c r="LN551" s="308"/>
      <c r="LO551" s="308"/>
      <c r="LP551" s="308"/>
      <c r="LQ551" s="308"/>
      <c r="LR551" s="308"/>
      <c r="LS551" s="308"/>
      <c r="LT551" s="308"/>
      <c r="LU551" s="308"/>
      <c r="LV551" s="308"/>
      <c r="LW551" s="308"/>
      <c r="LX551" s="308"/>
      <c r="LY551" s="308"/>
      <c r="LZ551" s="308"/>
      <c r="MA551" s="308"/>
      <c r="MB551" s="308"/>
      <c r="MC551" s="308"/>
      <c r="MD551" s="308"/>
      <c r="ME551" s="308"/>
      <c r="MF551" s="308"/>
      <c r="MG551" s="308"/>
      <c r="MH551" s="308"/>
      <c r="MI551" s="308"/>
      <c r="MJ551" s="308"/>
      <c r="MK551" s="308"/>
      <c r="ML551" s="308"/>
      <c r="MM551" s="308"/>
      <c r="MN551" s="308"/>
      <c r="MO551" s="308"/>
      <c r="MP551" s="308"/>
      <c r="MQ551" s="308"/>
      <c r="MR551" s="308"/>
      <c r="MS551" s="308"/>
      <c r="MT551" s="308"/>
      <c r="MU551" s="308"/>
      <c r="MV551" s="308"/>
      <c r="MW551" s="308"/>
      <c r="MX551" s="308"/>
      <c r="MY551" s="308"/>
      <c r="MZ551" s="308"/>
      <c r="NA551" s="308"/>
      <c r="NB551" s="308"/>
      <c r="NC551" s="308"/>
      <c r="ND551" s="308"/>
      <c r="NE551" s="308"/>
      <c r="NF551" s="308"/>
      <c r="NG551" s="308"/>
      <c r="NH551" s="308"/>
      <c r="NI551" s="308"/>
      <c r="NJ551" s="308"/>
      <c r="NK551" s="308"/>
      <c r="NL551" s="308"/>
      <c r="NM551" s="308"/>
      <c r="NN551" s="308"/>
      <c r="NO551" s="308"/>
      <c r="NP551" s="308"/>
      <c r="NQ551" s="308"/>
      <c r="NR551" s="308"/>
      <c r="NS551" s="308"/>
      <c r="NT551" s="308"/>
      <c r="NU551" s="308"/>
      <c r="NV551" s="308"/>
      <c r="NW551" s="308"/>
      <c r="NX551" s="308"/>
      <c r="NY551" s="308"/>
      <c r="NZ551" s="308"/>
      <c r="OA551" s="308"/>
      <c r="OB551" s="308"/>
      <c r="OC551" s="308"/>
      <c r="OD551" s="308"/>
      <c r="OE551" s="308"/>
      <c r="OF551" s="308"/>
      <c r="OG551" s="308"/>
      <c r="OH551" s="308"/>
      <c r="OI551" s="308"/>
      <c r="OJ551" s="308"/>
      <c r="OK551" s="308"/>
      <c r="OL551" s="308"/>
      <c r="OM551" s="308"/>
      <c r="ON551" s="308"/>
      <c r="OO551" s="308"/>
      <c r="OP551" s="308"/>
      <c r="OQ551" s="308"/>
      <c r="OR551" s="308"/>
      <c r="OS551" s="308"/>
      <c r="OT551" s="308"/>
      <c r="OU551" s="308"/>
      <c r="OV551" s="308"/>
      <c r="OW551" s="308"/>
      <c r="OX551" s="308"/>
      <c r="OY551" s="308"/>
      <c r="OZ551" s="308"/>
      <c r="PA551" s="308"/>
      <c r="PB551" s="308"/>
      <c r="PC551" s="308"/>
      <c r="PD551" s="308"/>
      <c r="PE551" s="308"/>
      <c r="PF551" s="308"/>
      <c r="PG551" s="308"/>
      <c r="PH551" s="308"/>
      <c r="PI551" s="308"/>
      <c r="PJ551" s="308"/>
      <c r="PK551" s="308"/>
      <c r="PL551" s="308"/>
      <c r="PM551" s="308"/>
      <c r="PN551" s="308"/>
      <c r="PO551" s="308"/>
      <c r="PP551" s="308"/>
      <c r="PQ551" s="308"/>
      <c r="PR551" s="308"/>
      <c r="PS551" s="308"/>
      <c r="PT551" s="308"/>
      <c r="PU551" s="308"/>
      <c r="PV551" s="308"/>
      <c r="PW551" s="308"/>
      <c r="PX551" s="308"/>
      <c r="PY551" s="308"/>
      <c r="PZ551" s="308"/>
      <c r="QA551" s="308"/>
      <c r="QB551" s="308"/>
      <c r="QC551" s="308"/>
      <c r="QD551" s="308"/>
      <c r="QE551" s="308"/>
      <c r="QF551" s="308"/>
      <c r="QG551" s="308"/>
      <c r="QH551" s="308"/>
      <c r="QI551" s="308"/>
      <c r="QJ551" s="308"/>
      <c r="QK551" s="308"/>
      <c r="QL551" s="308"/>
      <c r="QM551" s="308"/>
      <c r="QN551" s="308"/>
      <c r="QO551" s="308"/>
      <c r="QP551" s="308"/>
      <c r="QQ551" s="308"/>
      <c r="QR551" s="308"/>
      <c r="QS551" s="308"/>
      <c r="QT551" s="308"/>
      <c r="QU551" s="308"/>
      <c r="QV551" s="308"/>
      <c r="QW551" s="308"/>
      <c r="QX551" s="308"/>
      <c r="QY551" s="308"/>
      <c r="QZ551" s="308"/>
      <c r="RA551" s="308"/>
      <c r="RB551" s="308"/>
      <c r="RC551" s="308"/>
      <c r="RD551" s="308"/>
      <c r="RE551" s="308"/>
      <c r="RF551" s="308"/>
      <c r="RG551" s="308"/>
      <c r="RH551" s="308"/>
      <c r="RI551" s="308"/>
      <c r="RJ551" s="308"/>
      <c r="RK551" s="308"/>
      <c r="RL551" s="308"/>
      <c r="RM551" s="308"/>
      <c r="RN551" s="308"/>
      <c r="RO551" s="308"/>
      <c r="RP551" s="308"/>
      <c r="RQ551" s="308"/>
      <c r="RR551" s="308"/>
      <c r="RS551" s="308"/>
      <c r="RT551" s="308"/>
      <c r="RU551" s="308"/>
      <c r="RV551" s="308"/>
      <c r="RW551" s="308"/>
      <c r="RX551" s="308"/>
      <c r="RY551" s="308"/>
      <c r="RZ551" s="308"/>
      <c r="SA551" s="308"/>
      <c r="SB551" s="308"/>
      <c r="SC551" s="308"/>
      <c r="SD551" s="308"/>
      <c r="SE551" s="308"/>
      <c r="SF551" s="308"/>
      <c r="SG551" s="308"/>
      <c r="SH551" s="308"/>
      <c r="SI551" s="308"/>
      <c r="SJ551" s="308"/>
      <c r="SK551" s="308"/>
      <c r="SL551" s="308"/>
      <c r="SM551" s="308"/>
      <c r="SN551" s="308"/>
      <c r="SO551" s="308"/>
      <c r="SP551" s="308"/>
      <c r="SQ551" s="308"/>
      <c r="SR551" s="308"/>
      <c r="SS551" s="308"/>
      <c r="ST551" s="308"/>
      <c r="SU551" s="308"/>
      <c r="SV551" s="308"/>
      <c r="SW551" s="308"/>
      <c r="SX551" s="308"/>
      <c r="SY551" s="308"/>
      <c r="SZ551" s="308"/>
      <c r="TA551" s="308"/>
      <c r="TB551" s="308"/>
      <c r="TC551" s="308"/>
      <c r="TD551" s="308"/>
      <c r="TE551" s="308"/>
      <c r="TF551" s="308"/>
      <c r="TG551" s="308"/>
      <c r="TH551" s="308"/>
      <c r="TI551" s="308"/>
      <c r="TJ551" s="308"/>
      <c r="TK551" s="308"/>
      <c r="TL551" s="308"/>
      <c r="TM551" s="308"/>
      <c r="TN551" s="308"/>
      <c r="TO551" s="308"/>
      <c r="TP551" s="308"/>
      <c r="TQ551" s="308"/>
      <c r="TR551" s="308"/>
      <c r="TS551" s="308"/>
      <c r="TT551" s="308"/>
      <c r="TU551" s="308"/>
      <c r="TV551" s="308"/>
      <c r="TW551" s="308"/>
      <c r="TX551" s="308"/>
      <c r="TY551" s="308"/>
      <c r="TZ551" s="308"/>
      <c r="UA551" s="308"/>
      <c r="UB551" s="308"/>
      <c r="UC551" s="308"/>
      <c r="UD551" s="308"/>
      <c r="UE551" s="308"/>
      <c r="UF551" s="308"/>
      <c r="UG551" s="308"/>
      <c r="UH551" s="308"/>
      <c r="UI551" s="308"/>
      <c r="UJ551" s="308"/>
      <c r="UK551" s="308"/>
      <c r="UL551" s="308"/>
      <c r="UM551" s="308"/>
      <c r="UN551" s="308"/>
      <c r="UO551" s="308"/>
      <c r="UP551" s="308"/>
      <c r="UQ551" s="308"/>
      <c r="UR551" s="308"/>
      <c r="US551" s="308"/>
      <c r="UT551" s="308"/>
      <c r="UU551" s="308"/>
      <c r="UV551" s="308"/>
      <c r="UW551" s="308"/>
      <c r="UX551" s="308"/>
      <c r="UY551" s="308"/>
      <c r="UZ551" s="308"/>
      <c r="VA551" s="308"/>
      <c r="VB551" s="308"/>
      <c r="VC551" s="308"/>
      <c r="VD551" s="308"/>
      <c r="VE551" s="308"/>
      <c r="VF551" s="308"/>
      <c r="VG551" s="308"/>
      <c r="VH551" s="308"/>
      <c r="VI551" s="308"/>
      <c r="VJ551" s="308"/>
      <c r="VK551" s="308"/>
      <c r="VL551" s="308"/>
      <c r="VM551" s="308"/>
      <c r="VN551" s="308"/>
      <c r="VO551" s="308"/>
      <c r="VP551" s="308"/>
      <c r="VQ551" s="308"/>
      <c r="VR551" s="308"/>
      <c r="VS551" s="308"/>
      <c r="VT551" s="308"/>
      <c r="VU551" s="308"/>
      <c r="VV551" s="308"/>
      <c r="VW551" s="308"/>
      <c r="VX551" s="308"/>
      <c r="VY551" s="308"/>
      <c r="VZ551" s="308"/>
      <c r="WA551" s="308"/>
      <c r="WB551" s="308"/>
      <c r="WC551" s="308"/>
      <c r="WD551" s="308"/>
      <c r="WE551" s="308"/>
      <c r="WF551" s="308"/>
      <c r="WG551" s="308"/>
      <c r="WH551" s="308"/>
      <c r="WI551" s="308"/>
      <c r="WJ551" s="308"/>
      <c r="WK551" s="308"/>
      <c r="WL551" s="308"/>
      <c r="WM551" s="308"/>
      <c r="WN551" s="308"/>
      <c r="WO551" s="308"/>
      <c r="WP551" s="308"/>
      <c r="WQ551" s="308"/>
      <c r="WR551" s="308"/>
      <c r="WS551" s="308"/>
      <c r="WT551" s="308"/>
      <c r="WU551" s="308"/>
      <c r="WV551" s="308"/>
      <c r="WW551" s="308"/>
      <c r="WX551" s="308"/>
      <c r="WY551" s="308"/>
      <c r="WZ551" s="308"/>
      <c r="XA551" s="308"/>
      <c r="XB551" s="308"/>
      <c r="XC551" s="308"/>
      <c r="XD551" s="308"/>
      <c r="XE551" s="308"/>
      <c r="XF551" s="308"/>
      <c r="XG551" s="308"/>
      <c r="XH551" s="308"/>
      <c r="XI551" s="308"/>
      <c r="XJ551" s="308"/>
      <c r="XK551" s="308"/>
      <c r="XL551" s="308"/>
      <c r="XM551" s="308"/>
      <c r="XN551" s="308"/>
      <c r="XO551" s="308"/>
      <c r="XP551" s="308"/>
      <c r="XQ551" s="308"/>
      <c r="XR551" s="308"/>
      <c r="XS551" s="308"/>
      <c r="XT551" s="308"/>
      <c r="XU551" s="308"/>
      <c r="XV551" s="308"/>
      <c r="XW551" s="308"/>
      <c r="XX551" s="308"/>
      <c r="XY551" s="308"/>
      <c r="XZ551" s="308"/>
      <c r="YA551" s="308"/>
      <c r="YB551" s="308"/>
      <c r="YC551" s="308"/>
      <c r="YD551" s="308"/>
      <c r="YE551" s="308"/>
      <c r="YF551" s="308"/>
      <c r="YG551" s="308"/>
      <c r="YH551" s="308"/>
      <c r="YI551" s="308"/>
      <c r="YJ551" s="308"/>
      <c r="YK551" s="308"/>
      <c r="YL551" s="308"/>
      <c r="YM551" s="308"/>
      <c r="YN551" s="308"/>
      <c r="YO551" s="308"/>
      <c r="YP551" s="308"/>
      <c r="YQ551" s="308"/>
      <c r="YR551" s="308"/>
      <c r="YS551" s="308"/>
      <c r="YT551" s="308"/>
      <c r="YU551" s="308"/>
      <c r="YV551" s="308"/>
      <c r="YW551" s="308"/>
      <c r="YX551" s="308"/>
      <c r="YY551" s="308"/>
      <c r="YZ551" s="308"/>
      <c r="ZA551" s="308"/>
      <c r="ZB551" s="308"/>
      <c r="ZC551" s="308"/>
      <c r="ZD551" s="308"/>
      <c r="ZE551" s="308"/>
      <c r="ZF551" s="308"/>
      <c r="ZG551" s="308"/>
      <c r="ZH551" s="308"/>
      <c r="ZI551" s="308"/>
      <c r="ZJ551" s="308"/>
      <c r="ZK551" s="308"/>
      <c r="ZL551" s="308"/>
      <c r="ZM551" s="308"/>
      <c r="ZN551" s="308"/>
      <c r="ZO551" s="308"/>
      <c r="ZP551" s="308"/>
      <c r="ZQ551" s="308"/>
      <c r="ZR551" s="308"/>
      <c r="ZS551" s="308"/>
      <c r="ZT551" s="308"/>
      <c r="ZU551" s="308"/>
      <c r="ZV551" s="308"/>
      <c r="ZW551" s="308"/>
      <c r="ZX551" s="308"/>
      <c r="ZY551" s="308"/>
      <c r="ZZ551" s="308"/>
      <c r="AAA551" s="308"/>
      <c r="AAB551" s="308"/>
      <c r="AAC551" s="308"/>
      <c r="AAD551" s="308"/>
      <c r="AAE551" s="308"/>
      <c r="AAF551" s="308"/>
      <c r="AAG551" s="308"/>
      <c r="AAH551" s="308"/>
      <c r="AAI551" s="308"/>
      <c r="AAJ551" s="308"/>
      <c r="AAK551" s="308"/>
      <c r="AAL551" s="308"/>
      <c r="AAM551" s="308"/>
      <c r="AAN551" s="308"/>
      <c r="AAO551" s="308"/>
      <c r="AAP551" s="308"/>
      <c r="AAQ551" s="308"/>
      <c r="AAR551" s="308"/>
      <c r="AAS551" s="308"/>
      <c r="AAT551" s="308"/>
      <c r="AAU551" s="308"/>
      <c r="AAV551" s="308"/>
      <c r="AAW551" s="308"/>
      <c r="AAX551" s="308"/>
      <c r="AAY551" s="308"/>
      <c r="AAZ551" s="308"/>
      <c r="ABA551" s="308"/>
      <c r="ABB551" s="308"/>
      <c r="ABC551" s="308"/>
      <c r="ABD551" s="308"/>
      <c r="ABE551" s="308"/>
      <c r="ABF551" s="308"/>
      <c r="ABG551" s="308"/>
      <c r="ABH551" s="308"/>
      <c r="ABI551" s="308"/>
      <c r="ABJ551" s="308"/>
      <c r="ABK551" s="308"/>
      <c r="ABL551" s="308"/>
      <c r="ABM551" s="308"/>
      <c r="ABN551" s="308"/>
      <c r="ABO551" s="308"/>
      <c r="ABP551" s="308"/>
      <c r="ABQ551" s="308"/>
      <c r="ABR551" s="308"/>
      <c r="ABS551" s="308"/>
      <c r="ABT551" s="308"/>
      <c r="ABU551" s="308"/>
      <c r="ABV551" s="308"/>
      <c r="ABW551" s="308"/>
      <c r="ABX551" s="308"/>
      <c r="ABY551" s="308"/>
      <c r="ABZ551" s="308"/>
      <c r="ACA551" s="308"/>
      <c r="ACB551" s="308"/>
      <c r="ACC551" s="308"/>
      <c r="ACD551" s="308"/>
      <c r="ACE551" s="308"/>
      <c r="ACF551" s="308"/>
      <c r="ACG551" s="308"/>
      <c r="ACH551" s="308"/>
      <c r="ACI551" s="308"/>
      <c r="ACJ551" s="308"/>
      <c r="ACK551" s="308"/>
      <c r="ACL551" s="308"/>
      <c r="ACM551" s="308"/>
      <c r="ACN551" s="308"/>
      <c r="ACO551" s="308"/>
      <c r="ACP551" s="308"/>
      <c r="ACQ551" s="308"/>
      <c r="ACR551" s="308"/>
      <c r="ACS551" s="308"/>
      <c r="ACT551" s="308"/>
      <c r="ACU551" s="308"/>
      <c r="ACV551" s="308"/>
    </row>
    <row r="552" spans="1:776" x14ac:dyDescent="0.25">
      <c r="A552" s="583">
        <v>900251</v>
      </c>
      <c r="B552" s="404" t="str">
        <f>"-"&amp;TEXT((F552/62+G552/46+I552/35.5+J552/48+K552/97+L552/61),"0,00")&amp;"/+"&amp;TEXT((N552/39+O552/23+P552/20+Q552/12+H552/14),"0,00")&amp;"  (EC  "&amp;E552*10&amp;")"</f>
        <v>-26,39/+26,72  (EC  25,1)</v>
      </c>
      <c r="C552" s="513"/>
      <c r="D552" s="305" t="s">
        <v>447</v>
      </c>
      <c r="E552" s="305">
        <v>2.5099999999999998</v>
      </c>
      <c r="F552" s="306">
        <v>11.5</v>
      </c>
      <c r="G552" s="305">
        <v>0</v>
      </c>
      <c r="H552" s="305">
        <v>0.03</v>
      </c>
      <c r="I552" s="307">
        <v>294.95</v>
      </c>
      <c r="J552" s="305">
        <v>628.5</v>
      </c>
      <c r="K552" s="305">
        <v>0</v>
      </c>
      <c r="L552" s="305">
        <v>292.8</v>
      </c>
      <c r="M552" s="305">
        <v>0</v>
      </c>
      <c r="N552" s="305">
        <v>7.04</v>
      </c>
      <c r="O552" s="305">
        <v>157.19</v>
      </c>
      <c r="P552" s="305">
        <v>237.09</v>
      </c>
      <c r="Q552" s="305">
        <v>94.16</v>
      </c>
      <c r="R552" s="305">
        <v>1E-4</v>
      </c>
      <c r="S552" s="305">
        <v>1E-4</v>
      </c>
      <c r="T552" s="305">
        <v>1E-4</v>
      </c>
      <c r="U552" s="305">
        <v>1E-4</v>
      </c>
      <c r="V552" s="305"/>
      <c r="W552" s="251"/>
      <c r="X552" s="251"/>
      <c r="Y552" s="251"/>
      <c r="Z552" s="251"/>
      <c r="AA552" s="251"/>
      <c r="AB552" s="251"/>
      <c r="AC552" s="251"/>
      <c r="AD552" s="251"/>
      <c r="AE552" s="251"/>
      <c r="AF552" s="251"/>
      <c r="AG552" s="251"/>
      <c r="AH552" s="251"/>
      <c r="AI552" s="251"/>
      <c r="AJ552" s="251"/>
      <c r="AK552" s="251"/>
      <c r="AL552" s="251"/>
      <c r="AM552" s="251"/>
      <c r="AN552" s="251"/>
      <c r="AO552" s="251"/>
      <c r="AP552" s="251"/>
      <c r="AQ552" s="251"/>
      <c r="AR552" s="251"/>
      <c r="AS552" s="251"/>
      <c r="AT552" s="251"/>
      <c r="AU552" s="251"/>
      <c r="AV552" s="251"/>
      <c r="AW552" s="251"/>
      <c r="AX552" s="251"/>
      <c r="AY552" s="251"/>
      <c r="AZ552" s="251"/>
      <c r="BA552" s="251"/>
      <c r="BB552" s="251"/>
      <c r="BC552" s="251"/>
      <c r="BD552" s="251"/>
      <c r="BE552" s="251"/>
      <c r="BF552" s="251"/>
      <c r="BG552" s="251"/>
      <c r="BH552" s="251"/>
      <c r="BI552" s="251"/>
      <c r="BJ552" s="251"/>
      <c r="BK552" s="251"/>
      <c r="BL552" s="251"/>
      <c r="BM552" s="251"/>
      <c r="BN552" s="251"/>
      <c r="BO552" s="251"/>
      <c r="BP552" s="251"/>
      <c r="BQ552" s="251"/>
      <c r="BR552" s="251"/>
      <c r="BS552" s="251"/>
      <c r="BT552" s="251"/>
      <c r="BU552" s="251"/>
      <c r="BV552" s="251"/>
      <c r="BW552" s="251"/>
      <c r="BX552" s="251"/>
      <c r="BY552" s="251"/>
      <c r="BZ552" s="251"/>
      <c r="CA552" s="251"/>
      <c r="CB552" s="251"/>
      <c r="CC552" s="251"/>
      <c r="CD552" s="251"/>
      <c r="CE552" s="251"/>
      <c r="CF552" s="251"/>
      <c r="CG552" s="251"/>
      <c r="CH552" s="251"/>
      <c r="CI552" s="251"/>
      <c r="CJ552" s="251"/>
      <c r="CK552" s="251"/>
      <c r="CL552" s="251"/>
      <c r="CM552" s="251"/>
      <c r="CN552" s="251"/>
      <c r="CO552" s="251"/>
      <c r="CP552" s="251"/>
      <c r="CQ552" s="251"/>
      <c r="CR552" s="251"/>
      <c r="CS552" s="251"/>
      <c r="CT552" s="251"/>
      <c r="CU552" s="251"/>
      <c r="CV552" s="251"/>
      <c r="CW552" s="251"/>
      <c r="CX552" s="251"/>
      <c r="CY552" s="251"/>
      <c r="CZ552" s="251"/>
      <c r="DA552" s="251"/>
      <c r="DB552" s="251"/>
      <c r="DC552" s="251"/>
      <c r="DD552" s="251"/>
      <c r="DE552" s="251"/>
      <c r="DF552" s="251"/>
      <c r="DG552" s="251"/>
      <c r="DH552" s="251"/>
      <c r="DI552" s="251"/>
      <c r="DJ552" s="251"/>
      <c r="DK552" s="251"/>
      <c r="DL552" s="251"/>
      <c r="DM552" s="251"/>
      <c r="DN552" s="251"/>
      <c r="DO552" s="251"/>
      <c r="DP552" s="251"/>
      <c r="DQ552" s="251"/>
      <c r="DR552" s="251"/>
      <c r="DS552" s="251"/>
      <c r="DT552" s="251"/>
      <c r="DU552" s="251"/>
      <c r="DV552" s="251"/>
      <c r="DW552" s="251"/>
      <c r="DX552" s="251"/>
      <c r="DY552" s="251"/>
      <c r="DZ552" s="251"/>
      <c r="EA552" s="251"/>
      <c r="EB552" s="251"/>
      <c r="EC552" s="251"/>
      <c r="ED552" s="251"/>
      <c r="EE552" s="251"/>
      <c r="EF552" s="251"/>
      <c r="EG552" s="251"/>
      <c r="EH552" s="251"/>
      <c r="EI552" s="251"/>
      <c r="EJ552" s="251"/>
      <c r="EK552" s="251"/>
      <c r="EL552" s="251"/>
      <c r="EM552" s="251"/>
      <c r="EN552" s="251"/>
      <c r="EO552" s="251"/>
      <c r="EP552" s="251"/>
      <c r="EQ552" s="251"/>
      <c r="ER552" s="251"/>
      <c r="ES552" s="251"/>
      <c r="ET552" s="251"/>
      <c r="EU552" s="251"/>
      <c r="EV552" s="251"/>
      <c r="EW552" s="251"/>
      <c r="EX552" s="251"/>
      <c r="EY552" s="251"/>
      <c r="EZ552" s="251"/>
      <c r="FA552" s="251"/>
      <c r="FB552" s="251"/>
      <c r="FC552" s="251"/>
      <c r="FD552" s="251"/>
      <c r="FE552" s="251"/>
      <c r="FF552" s="251"/>
      <c r="FG552" s="251"/>
      <c r="FH552" s="251"/>
      <c r="FI552" s="251"/>
      <c r="FJ552" s="251"/>
      <c r="FK552" s="251"/>
      <c r="FL552" s="251"/>
      <c r="FM552" s="251"/>
      <c r="FN552" s="251"/>
      <c r="FO552" s="251"/>
      <c r="FP552" s="251"/>
      <c r="FQ552" s="251"/>
      <c r="FR552" s="251"/>
      <c r="FS552" s="251"/>
      <c r="FT552" s="251"/>
      <c r="FU552" s="251"/>
      <c r="FV552" s="251"/>
      <c r="FW552" s="251"/>
      <c r="FX552" s="251"/>
      <c r="FY552" s="251"/>
      <c r="FZ552" s="251"/>
      <c r="GA552" s="251"/>
      <c r="GB552" s="251"/>
      <c r="GC552" s="251"/>
      <c r="GD552" s="251"/>
      <c r="GE552" s="251"/>
      <c r="GF552" s="251"/>
      <c r="GG552" s="251"/>
      <c r="GH552" s="251"/>
      <c r="GI552" s="251"/>
      <c r="GJ552" s="251"/>
      <c r="GK552" s="251"/>
      <c r="GL552" s="251"/>
      <c r="GM552" s="251"/>
      <c r="GN552" s="251"/>
      <c r="GO552" s="251"/>
      <c r="GP552" s="251"/>
      <c r="GQ552" s="251"/>
      <c r="GR552" s="251"/>
      <c r="GS552" s="251"/>
      <c r="GT552" s="251"/>
      <c r="GU552" s="251"/>
      <c r="GV552" s="251"/>
      <c r="GW552" s="251"/>
      <c r="GX552" s="251"/>
      <c r="GY552" s="251"/>
      <c r="GZ552" s="251"/>
      <c r="HA552" s="251"/>
      <c r="HB552" s="251"/>
      <c r="HC552" s="251"/>
      <c r="HD552" s="251"/>
      <c r="HE552" s="251"/>
      <c r="HF552" s="251"/>
      <c r="HG552" s="251"/>
      <c r="HH552" s="251"/>
      <c r="HI552" s="251"/>
      <c r="HJ552" s="251"/>
      <c r="HK552" s="251"/>
      <c r="HL552" s="251"/>
      <c r="HM552" s="251"/>
      <c r="HN552" s="251"/>
      <c r="HO552" s="251"/>
      <c r="HP552" s="251"/>
      <c r="HQ552" s="251"/>
      <c r="HR552" s="251"/>
      <c r="HS552" s="251"/>
      <c r="HT552" s="251"/>
      <c r="HU552" s="251"/>
      <c r="HV552" s="251"/>
      <c r="HW552" s="251"/>
      <c r="HX552" s="251"/>
      <c r="HY552" s="251"/>
      <c r="HZ552" s="251"/>
      <c r="IA552" s="251"/>
      <c r="IB552" s="251"/>
      <c r="IC552" s="251"/>
      <c r="ID552" s="251"/>
      <c r="IE552" s="251"/>
      <c r="IF552" s="251"/>
      <c r="IG552" s="251"/>
      <c r="IH552" s="251"/>
      <c r="II552" s="251"/>
      <c r="IJ552" s="251"/>
      <c r="IK552" s="251"/>
      <c r="IL552" s="251"/>
      <c r="IM552" s="251"/>
      <c r="IN552" s="251"/>
      <c r="IO552" s="251"/>
      <c r="IP552" s="251"/>
      <c r="IQ552" s="251"/>
      <c r="IR552" s="251"/>
      <c r="IS552" s="251"/>
      <c r="IT552" s="251"/>
      <c r="IU552" s="251"/>
      <c r="IV552" s="251"/>
      <c r="IW552" s="251"/>
      <c r="IX552" s="251"/>
      <c r="IY552" s="251"/>
      <c r="IZ552" s="251"/>
      <c r="JA552" s="251"/>
      <c r="JB552" s="251"/>
      <c r="JC552" s="251"/>
      <c r="JD552" s="251"/>
      <c r="JE552" s="251"/>
      <c r="JF552" s="251"/>
      <c r="JG552" s="251"/>
      <c r="JH552" s="251"/>
      <c r="JI552" s="251"/>
      <c r="JJ552" s="251"/>
      <c r="JK552" s="251"/>
      <c r="JL552" s="251"/>
      <c r="JM552" s="251"/>
      <c r="JN552" s="251"/>
      <c r="JO552" s="251"/>
      <c r="JP552" s="251"/>
      <c r="JQ552" s="251"/>
      <c r="JR552" s="251"/>
      <c r="JS552" s="251"/>
      <c r="JT552" s="251"/>
      <c r="JU552" s="251"/>
      <c r="JV552" s="251"/>
      <c r="JW552" s="251"/>
      <c r="JX552" s="251"/>
      <c r="JY552" s="251"/>
      <c r="JZ552" s="251"/>
      <c r="KA552" s="251"/>
      <c r="KB552" s="251"/>
      <c r="KC552" s="251"/>
      <c r="KD552" s="251"/>
      <c r="KE552" s="251"/>
      <c r="KF552" s="251"/>
      <c r="KG552" s="251"/>
      <c r="KH552" s="251"/>
      <c r="KI552" s="251"/>
      <c r="KJ552" s="251"/>
      <c r="KK552" s="251"/>
      <c r="KL552" s="251"/>
      <c r="KM552" s="251"/>
      <c r="KN552" s="251"/>
      <c r="KO552" s="251"/>
      <c r="KP552" s="251"/>
      <c r="KQ552" s="251"/>
      <c r="KR552" s="251"/>
      <c r="KS552" s="251"/>
      <c r="KT552" s="251"/>
      <c r="KU552" s="251"/>
      <c r="KV552" s="251"/>
      <c r="KW552" s="251"/>
      <c r="KX552" s="251"/>
      <c r="KY552" s="251"/>
      <c r="KZ552" s="251"/>
      <c r="LA552" s="251"/>
      <c r="LB552" s="251"/>
      <c r="LC552" s="251"/>
      <c r="LD552" s="251"/>
      <c r="LE552" s="251"/>
      <c r="LF552" s="251"/>
      <c r="LG552" s="251"/>
      <c r="LH552" s="251"/>
      <c r="LI552" s="251"/>
      <c r="LJ552" s="251"/>
      <c r="LK552" s="251"/>
      <c r="LL552" s="308"/>
      <c r="LM552" s="308"/>
      <c r="LN552" s="308"/>
      <c r="LO552" s="308"/>
      <c r="LP552" s="308"/>
      <c r="LQ552" s="308"/>
      <c r="LR552" s="308"/>
      <c r="LS552" s="308"/>
      <c r="LT552" s="308"/>
      <c r="LU552" s="308"/>
      <c r="LV552" s="308"/>
      <c r="LW552" s="308"/>
      <c r="LX552" s="308"/>
      <c r="LY552" s="308"/>
      <c r="LZ552" s="308"/>
      <c r="MA552" s="308"/>
      <c r="MB552" s="308"/>
      <c r="MC552" s="308"/>
      <c r="MD552" s="308"/>
      <c r="ME552" s="308"/>
      <c r="MF552" s="308"/>
      <c r="MG552" s="308"/>
      <c r="MH552" s="308"/>
      <c r="MI552" s="308"/>
      <c r="MJ552" s="308"/>
      <c r="MK552" s="308"/>
      <c r="ML552" s="308"/>
      <c r="MM552" s="308"/>
      <c r="MN552" s="308"/>
      <c r="MO552" s="308"/>
      <c r="MP552" s="308"/>
      <c r="MQ552" s="308"/>
      <c r="MR552" s="308"/>
      <c r="MS552" s="308"/>
      <c r="MT552" s="308"/>
      <c r="MU552" s="308"/>
      <c r="MV552" s="308"/>
      <c r="MW552" s="308"/>
      <c r="MX552" s="308"/>
      <c r="MY552" s="308"/>
      <c r="MZ552" s="308"/>
      <c r="NA552" s="308"/>
      <c r="NB552" s="308"/>
      <c r="NC552" s="308"/>
      <c r="ND552" s="308"/>
      <c r="NE552" s="308"/>
      <c r="NF552" s="308"/>
      <c r="NG552" s="308"/>
      <c r="NH552" s="308"/>
      <c r="NI552" s="308"/>
      <c r="NJ552" s="308"/>
      <c r="NK552" s="308"/>
      <c r="NL552" s="308"/>
      <c r="NM552" s="308"/>
      <c r="NN552" s="308"/>
      <c r="NO552" s="308"/>
      <c r="NP552" s="308"/>
      <c r="NQ552" s="308"/>
      <c r="NR552" s="308"/>
      <c r="NS552" s="308"/>
      <c r="NT552" s="308"/>
      <c r="NU552" s="308"/>
      <c r="NV552" s="308"/>
      <c r="NW552" s="308"/>
      <c r="NX552" s="308"/>
      <c r="NY552" s="308"/>
      <c r="NZ552" s="308"/>
      <c r="OA552" s="308"/>
      <c r="OB552" s="308"/>
      <c r="OC552" s="308"/>
      <c r="OD552" s="308"/>
      <c r="OE552" s="308"/>
      <c r="OF552" s="308"/>
      <c r="OG552" s="308"/>
      <c r="OH552" s="308"/>
      <c r="OI552" s="308"/>
      <c r="OJ552" s="308"/>
      <c r="OK552" s="308"/>
      <c r="OL552" s="308"/>
      <c r="OM552" s="308"/>
      <c r="ON552" s="308"/>
      <c r="OO552" s="308"/>
      <c r="OP552" s="308"/>
      <c r="OQ552" s="308"/>
      <c r="OR552" s="308"/>
      <c r="OS552" s="308"/>
      <c r="OT552" s="308"/>
      <c r="OU552" s="308"/>
      <c r="OV552" s="308"/>
      <c r="OW552" s="308"/>
      <c r="OX552" s="308"/>
      <c r="OY552" s="308"/>
      <c r="OZ552" s="308"/>
      <c r="PA552" s="308"/>
      <c r="PB552" s="308"/>
      <c r="PC552" s="308"/>
      <c r="PD552" s="308"/>
      <c r="PE552" s="308"/>
      <c r="PF552" s="308"/>
      <c r="PG552" s="308"/>
      <c r="PH552" s="308"/>
      <c r="PI552" s="308"/>
      <c r="PJ552" s="308"/>
      <c r="PK552" s="308"/>
      <c r="PL552" s="308"/>
      <c r="PM552" s="308"/>
      <c r="PN552" s="308"/>
      <c r="PO552" s="308"/>
      <c r="PP552" s="308"/>
      <c r="PQ552" s="308"/>
      <c r="PR552" s="308"/>
      <c r="PS552" s="308"/>
      <c r="PT552" s="308"/>
      <c r="PU552" s="308"/>
      <c r="PV552" s="308"/>
      <c r="PW552" s="308"/>
      <c r="PX552" s="308"/>
      <c r="PY552" s="308"/>
      <c r="PZ552" s="308"/>
      <c r="QA552" s="308"/>
      <c r="QB552" s="308"/>
      <c r="QC552" s="308"/>
      <c r="QD552" s="308"/>
      <c r="QE552" s="308"/>
      <c r="QF552" s="308"/>
      <c r="QG552" s="308"/>
      <c r="QH552" s="308"/>
      <c r="QI552" s="308"/>
      <c r="QJ552" s="308"/>
      <c r="QK552" s="308"/>
      <c r="QL552" s="308"/>
      <c r="QM552" s="308"/>
      <c r="QN552" s="308"/>
      <c r="QO552" s="308"/>
      <c r="QP552" s="308"/>
      <c r="QQ552" s="308"/>
      <c r="QR552" s="308"/>
      <c r="QS552" s="308"/>
      <c r="QT552" s="308"/>
      <c r="QU552" s="308"/>
      <c r="QV552" s="308"/>
      <c r="QW552" s="308"/>
      <c r="QX552" s="308"/>
      <c r="QY552" s="308"/>
      <c r="QZ552" s="308"/>
      <c r="RA552" s="308"/>
      <c r="RB552" s="308"/>
      <c r="RC552" s="308"/>
      <c r="RD552" s="308"/>
      <c r="RE552" s="308"/>
      <c r="RF552" s="308"/>
      <c r="RG552" s="308"/>
      <c r="RH552" s="308"/>
      <c r="RI552" s="308"/>
      <c r="RJ552" s="308"/>
      <c r="RK552" s="308"/>
      <c r="RL552" s="308"/>
      <c r="RM552" s="308"/>
      <c r="RN552" s="308"/>
      <c r="RO552" s="308"/>
      <c r="RP552" s="308"/>
      <c r="RQ552" s="308"/>
      <c r="RR552" s="308"/>
      <c r="RS552" s="308"/>
      <c r="RT552" s="308"/>
      <c r="RU552" s="308"/>
      <c r="RV552" s="308"/>
      <c r="RW552" s="308"/>
      <c r="RX552" s="308"/>
      <c r="RY552" s="308"/>
      <c r="RZ552" s="308"/>
      <c r="SA552" s="308"/>
      <c r="SB552" s="308"/>
      <c r="SC552" s="308"/>
      <c r="SD552" s="308"/>
      <c r="SE552" s="308"/>
      <c r="SF552" s="308"/>
      <c r="SG552" s="308"/>
      <c r="SH552" s="308"/>
      <c r="SI552" s="308"/>
      <c r="SJ552" s="308"/>
      <c r="SK552" s="308"/>
      <c r="SL552" s="308"/>
      <c r="SM552" s="308"/>
      <c r="SN552" s="308"/>
      <c r="SO552" s="308"/>
      <c r="SP552" s="308"/>
      <c r="SQ552" s="308"/>
      <c r="SR552" s="308"/>
      <c r="SS552" s="308"/>
      <c r="ST552" s="308"/>
      <c r="SU552" s="308"/>
      <c r="SV552" s="308"/>
      <c r="SW552" s="308"/>
      <c r="SX552" s="308"/>
      <c r="SY552" s="308"/>
      <c r="SZ552" s="308"/>
      <c r="TA552" s="308"/>
      <c r="TB552" s="308"/>
      <c r="TC552" s="308"/>
      <c r="TD552" s="308"/>
      <c r="TE552" s="308"/>
      <c r="TF552" s="308"/>
      <c r="TG552" s="308"/>
      <c r="TH552" s="308"/>
      <c r="TI552" s="308"/>
      <c r="TJ552" s="308"/>
      <c r="TK552" s="308"/>
      <c r="TL552" s="308"/>
      <c r="TM552" s="308"/>
      <c r="TN552" s="308"/>
      <c r="TO552" s="308"/>
      <c r="TP552" s="308"/>
      <c r="TQ552" s="308"/>
      <c r="TR552" s="308"/>
      <c r="TS552" s="308"/>
      <c r="TT552" s="308"/>
      <c r="TU552" s="308"/>
      <c r="TV552" s="308"/>
      <c r="TW552" s="308"/>
      <c r="TX552" s="308"/>
      <c r="TY552" s="308"/>
      <c r="TZ552" s="308"/>
      <c r="UA552" s="308"/>
      <c r="UB552" s="308"/>
      <c r="UC552" s="308"/>
      <c r="UD552" s="308"/>
      <c r="UE552" s="308"/>
      <c r="UF552" s="308"/>
      <c r="UG552" s="308"/>
      <c r="UH552" s="308"/>
      <c r="UI552" s="308"/>
      <c r="UJ552" s="308"/>
      <c r="UK552" s="308"/>
      <c r="UL552" s="308"/>
      <c r="UM552" s="308"/>
      <c r="UN552" s="308"/>
      <c r="UO552" s="308"/>
      <c r="UP552" s="308"/>
      <c r="UQ552" s="308"/>
      <c r="UR552" s="308"/>
      <c r="US552" s="308"/>
      <c r="UT552" s="308"/>
      <c r="UU552" s="308"/>
      <c r="UV552" s="308"/>
      <c r="UW552" s="308"/>
      <c r="UX552" s="308"/>
      <c r="UY552" s="308"/>
      <c r="UZ552" s="308"/>
      <c r="VA552" s="308"/>
      <c r="VB552" s="308"/>
      <c r="VC552" s="308"/>
      <c r="VD552" s="308"/>
      <c r="VE552" s="308"/>
      <c r="VF552" s="308"/>
      <c r="VG552" s="308"/>
      <c r="VH552" s="308"/>
      <c r="VI552" s="308"/>
      <c r="VJ552" s="308"/>
      <c r="VK552" s="308"/>
      <c r="VL552" s="308"/>
      <c r="VM552" s="308"/>
      <c r="VN552" s="308"/>
      <c r="VO552" s="308"/>
      <c r="VP552" s="308"/>
      <c r="VQ552" s="308"/>
      <c r="VR552" s="308"/>
      <c r="VS552" s="308"/>
      <c r="VT552" s="308"/>
      <c r="VU552" s="308"/>
      <c r="VV552" s="308"/>
      <c r="VW552" s="308"/>
      <c r="VX552" s="308"/>
      <c r="VY552" s="308"/>
      <c r="VZ552" s="308"/>
      <c r="WA552" s="308"/>
      <c r="WB552" s="308"/>
      <c r="WC552" s="308"/>
      <c r="WD552" s="308"/>
      <c r="WE552" s="308"/>
      <c r="WF552" s="308"/>
      <c r="WG552" s="308"/>
      <c r="WH552" s="308"/>
      <c r="WI552" s="308"/>
      <c r="WJ552" s="308"/>
      <c r="WK552" s="308"/>
      <c r="WL552" s="308"/>
      <c r="WM552" s="308"/>
      <c r="WN552" s="308"/>
      <c r="WO552" s="308"/>
      <c r="WP552" s="308"/>
      <c r="WQ552" s="308"/>
      <c r="WR552" s="308"/>
      <c r="WS552" s="308"/>
      <c r="WT552" s="308"/>
      <c r="WU552" s="308"/>
      <c r="WV552" s="308"/>
      <c r="WW552" s="308"/>
      <c r="WX552" s="308"/>
      <c r="WY552" s="308"/>
      <c r="WZ552" s="308"/>
      <c r="XA552" s="308"/>
      <c r="XB552" s="308"/>
      <c r="XC552" s="308"/>
      <c r="XD552" s="308"/>
      <c r="XE552" s="308"/>
      <c r="XF552" s="308"/>
      <c r="XG552" s="308"/>
      <c r="XH552" s="308"/>
      <c r="XI552" s="308"/>
      <c r="XJ552" s="308"/>
      <c r="XK552" s="308"/>
      <c r="XL552" s="308"/>
      <c r="XM552" s="308"/>
      <c r="XN552" s="308"/>
      <c r="XO552" s="308"/>
      <c r="XP552" s="308"/>
      <c r="XQ552" s="308"/>
      <c r="XR552" s="308"/>
      <c r="XS552" s="308"/>
      <c r="XT552" s="308"/>
      <c r="XU552" s="308"/>
      <c r="XV552" s="308"/>
      <c r="XW552" s="308"/>
      <c r="XX552" s="308"/>
      <c r="XY552" s="308"/>
      <c r="XZ552" s="308"/>
      <c r="YA552" s="308"/>
      <c r="YB552" s="308"/>
      <c r="YC552" s="308"/>
      <c r="YD552" s="308"/>
      <c r="YE552" s="308"/>
      <c r="YF552" s="308"/>
      <c r="YG552" s="308"/>
      <c r="YH552" s="308"/>
      <c r="YI552" s="308"/>
      <c r="YJ552" s="308"/>
      <c r="YK552" s="308"/>
      <c r="YL552" s="308"/>
      <c r="YM552" s="308"/>
      <c r="YN552" s="308"/>
      <c r="YO552" s="308"/>
      <c r="YP552" s="308"/>
      <c r="YQ552" s="308"/>
      <c r="YR552" s="308"/>
      <c r="YS552" s="308"/>
      <c r="YT552" s="308"/>
      <c r="YU552" s="308"/>
      <c r="YV552" s="308"/>
      <c r="YW552" s="308"/>
      <c r="YX552" s="308"/>
      <c r="YY552" s="308"/>
      <c r="YZ552" s="308"/>
      <c r="ZA552" s="308"/>
      <c r="ZB552" s="308"/>
      <c r="ZC552" s="308"/>
      <c r="ZD552" s="308"/>
      <c r="ZE552" s="308"/>
      <c r="ZF552" s="308"/>
      <c r="ZG552" s="308"/>
      <c r="ZH552" s="308"/>
      <c r="ZI552" s="308"/>
      <c r="ZJ552" s="308"/>
      <c r="ZK552" s="308"/>
      <c r="ZL552" s="308"/>
      <c r="ZM552" s="308"/>
      <c r="ZN552" s="308"/>
      <c r="ZO552" s="308"/>
      <c r="ZP552" s="308"/>
      <c r="ZQ552" s="308"/>
      <c r="ZR552" s="308"/>
      <c r="ZS552" s="308"/>
      <c r="ZT552" s="308"/>
      <c r="ZU552" s="308"/>
      <c r="ZV552" s="308"/>
      <c r="ZW552" s="308"/>
      <c r="ZX552" s="308"/>
      <c r="ZY552" s="308"/>
      <c r="ZZ552" s="308"/>
      <c r="AAA552" s="308"/>
      <c r="AAB552" s="308"/>
      <c r="AAC552" s="308"/>
      <c r="AAD552" s="308"/>
      <c r="AAE552" s="308"/>
      <c r="AAF552" s="308"/>
      <c r="AAG552" s="308"/>
      <c r="AAH552" s="308"/>
      <c r="AAI552" s="308"/>
      <c r="AAJ552" s="308"/>
      <c r="AAK552" s="308"/>
      <c r="AAL552" s="308"/>
      <c r="AAM552" s="308"/>
      <c r="AAN552" s="308"/>
      <c r="AAO552" s="308"/>
      <c r="AAP552" s="308"/>
      <c r="AAQ552" s="308"/>
      <c r="AAR552" s="308"/>
      <c r="AAS552" s="308"/>
      <c r="AAT552" s="308"/>
      <c r="AAU552" s="308"/>
      <c r="AAV552" s="308"/>
      <c r="AAW552" s="308"/>
      <c r="AAX552" s="308"/>
      <c r="AAY552" s="308"/>
      <c r="AAZ552" s="308"/>
      <c r="ABA552" s="308"/>
      <c r="ABB552" s="308"/>
      <c r="ABC552" s="308"/>
      <c r="ABD552" s="308"/>
      <c r="ABE552" s="308"/>
      <c r="ABF552" s="308"/>
      <c r="ABG552" s="308"/>
      <c r="ABH552" s="308"/>
      <c r="ABI552" s="308"/>
      <c r="ABJ552" s="308"/>
      <c r="ABK552" s="308"/>
      <c r="ABL552" s="308"/>
      <c r="ABM552" s="308"/>
      <c r="ABN552" s="308"/>
      <c r="ABO552" s="308"/>
      <c r="ABP552" s="308"/>
      <c r="ABQ552" s="308"/>
      <c r="ABR552" s="308"/>
      <c r="ABS552" s="308"/>
      <c r="ABT552" s="308"/>
      <c r="ABU552" s="308"/>
      <c r="ABV552" s="308"/>
      <c r="ABW552" s="308"/>
      <c r="ABX552" s="308"/>
      <c r="ABY552" s="308"/>
      <c r="ABZ552" s="308"/>
      <c r="ACA552" s="308"/>
      <c r="ACB552" s="308"/>
      <c r="ACC552" s="308"/>
      <c r="ACD552" s="308"/>
      <c r="ACE552" s="308"/>
      <c r="ACF552" s="308"/>
      <c r="ACG552" s="308"/>
      <c r="ACH552" s="308"/>
      <c r="ACI552" s="308"/>
      <c r="ACJ552" s="308"/>
      <c r="ACK552" s="308"/>
      <c r="ACL552" s="308"/>
      <c r="ACM552" s="308"/>
      <c r="ACN552" s="308"/>
      <c r="ACO552" s="308"/>
      <c r="ACP552" s="308"/>
      <c r="ACQ552" s="308"/>
      <c r="ACR552" s="308"/>
      <c r="ACS552" s="308"/>
      <c r="ACT552" s="308"/>
      <c r="ACU552" s="308"/>
      <c r="ACV552" s="308"/>
    </row>
    <row r="553" spans="1:776" x14ac:dyDescent="0.25">
      <c r="A553" s="583">
        <v>900252</v>
      </c>
      <c r="B553" s="404" t="str">
        <f>"-"&amp;TEXT((F553/62+G553/46+I553/35.5+J553/48+K553/97+L553/61),"0,00")&amp;"/+"&amp;TEXT((N553/39+O553/23+P553/20+Q553/12+H553/14),"0,00")&amp;"  (EC  "&amp;E553*10&amp;")"</f>
        <v>-63,26/+59,01  (EC  61,2)</v>
      </c>
      <c r="C553" s="513"/>
      <c r="D553" s="305" t="s">
        <v>448</v>
      </c>
      <c r="E553" s="305">
        <v>6.12</v>
      </c>
      <c r="F553" s="306">
        <v>0.9</v>
      </c>
      <c r="G553" s="305">
        <v>0</v>
      </c>
      <c r="H553" s="305">
        <v>0.11</v>
      </c>
      <c r="I553" s="307">
        <v>776.6</v>
      </c>
      <c r="J553" s="305">
        <v>1166.2</v>
      </c>
      <c r="K553" s="305">
        <v>0</v>
      </c>
      <c r="L553" s="305">
        <v>1041.5999999999999</v>
      </c>
      <c r="M553" s="305">
        <v>0</v>
      </c>
      <c r="N553" s="305">
        <v>36.33</v>
      </c>
      <c r="O553" s="305">
        <v>683.02</v>
      </c>
      <c r="P553" s="305">
        <v>213.66</v>
      </c>
      <c r="Q553" s="305">
        <v>212.25</v>
      </c>
      <c r="R553" s="305">
        <v>1E-4</v>
      </c>
      <c r="S553" s="305">
        <v>1E-4</v>
      </c>
      <c r="T553" s="305">
        <v>1E-4</v>
      </c>
      <c r="U553" s="305">
        <v>1E-4</v>
      </c>
      <c r="V553" s="305"/>
      <c r="W553" s="251"/>
      <c r="X553" s="251"/>
      <c r="Y553" s="251"/>
      <c r="Z553" s="251"/>
      <c r="AA553" s="251"/>
      <c r="AB553" s="251"/>
      <c r="AC553" s="251"/>
      <c r="AD553" s="251"/>
      <c r="AE553" s="251"/>
      <c r="AF553" s="251"/>
      <c r="AG553" s="251"/>
      <c r="AH553" s="251"/>
      <c r="AI553" s="251"/>
      <c r="AJ553" s="251"/>
      <c r="AK553" s="251"/>
      <c r="AL553" s="251"/>
      <c r="AM553" s="251"/>
      <c r="AN553" s="251"/>
      <c r="AO553" s="251"/>
      <c r="AP553" s="251"/>
      <c r="AQ553" s="251"/>
      <c r="AR553" s="251"/>
      <c r="AS553" s="251"/>
      <c r="AT553" s="251"/>
      <c r="AU553" s="251"/>
      <c r="AV553" s="251"/>
      <c r="AW553" s="251"/>
      <c r="AX553" s="251"/>
      <c r="AY553" s="251"/>
      <c r="AZ553" s="251"/>
      <c r="BA553" s="251"/>
      <c r="BB553" s="251"/>
      <c r="BC553" s="251"/>
      <c r="BD553" s="251"/>
      <c r="BE553" s="251"/>
      <c r="BF553" s="251"/>
      <c r="BG553" s="251"/>
      <c r="BH553" s="251"/>
      <c r="BI553" s="251"/>
      <c r="BJ553" s="251"/>
      <c r="BK553" s="251"/>
      <c r="BL553" s="251"/>
      <c r="BM553" s="251"/>
      <c r="BN553" s="251"/>
      <c r="BO553" s="251"/>
      <c r="BP553" s="251"/>
      <c r="BQ553" s="251"/>
      <c r="BR553" s="251"/>
      <c r="BS553" s="251"/>
      <c r="BT553" s="251"/>
      <c r="BU553" s="251"/>
      <c r="BV553" s="251"/>
      <c r="BW553" s="251"/>
      <c r="BX553" s="251"/>
      <c r="BY553" s="251"/>
      <c r="BZ553" s="251"/>
      <c r="CA553" s="251"/>
      <c r="CB553" s="251"/>
      <c r="CC553" s="251"/>
      <c r="CD553" s="251"/>
      <c r="CE553" s="251"/>
      <c r="CF553" s="251"/>
      <c r="CG553" s="251"/>
      <c r="CH553" s="251"/>
      <c r="CI553" s="251"/>
      <c r="CJ553" s="251"/>
      <c r="CK553" s="251"/>
      <c r="CL553" s="251"/>
      <c r="CM553" s="251"/>
      <c r="CN553" s="251"/>
      <c r="CO553" s="251"/>
      <c r="CP553" s="251"/>
      <c r="CQ553" s="251"/>
      <c r="CR553" s="251"/>
      <c r="CS553" s="251"/>
      <c r="CT553" s="251"/>
      <c r="CU553" s="251"/>
      <c r="CV553" s="251"/>
      <c r="CW553" s="251"/>
      <c r="CX553" s="251"/>
      <c r="CY553" s="251"/>
      <c r="CZ553" s="251"/>
      <c r="DA553" s="251"/>
      <c r="DB553" s="251"/>
      <c r="DC553" s="251"/>
      <c r="DD553" s="251"/>
      <c r="DE553" s="251"/>
      <c r="DF553" s="251"/>
      <c r="DG553" s="251"/>
      <c r="DH553" s="251"/>
      <c r="DI553" s="251"/>
      <c r="DJ553" s="251"/>
      <c r="DK553" s="251"/>
      <c r="DL553" s="251"/>
      <c r="DM553" s="251"/>
      <c r="DN553" s="251"/>
      <c r="DO553" s="251"/>
      <c r="DP553" s="251"/>
      <c r="DQ553" s="251"/>
      <c r="DR553" s="251"/>
      <c r="DS553" s="251"/>
      <c r="DT553" s="251"/>
      <c r="DU553" s="251"/>
      <c r="DV553" s="251"/>
      <c r="DW553" s="251"/>
      <c r="DX553" s="251"/>
      <c r="DY553" s="251"/>
      <c r="DZ553" s="251"/>
      <c r="EA553" s="251"/>
      <c r="EB553" s="251"/>
      <c r="EC553" s="251"/>
      <c r="ED553" s="251"/>
      <c r="EE553" s="251"/>
      <c r="EF553" s="251"/>
      <c r="EG553" s="251"/>
      <c r="EH553" s="251"/>
      <c r="EI553" s="251"/>
      <c r="EJ553" s="251"/>
      <c r="EK553" s="251"/>
      <c r="EL553" s="251"/>
      <c r="EM553" s="251"/>
      <c r="EN553" s="251"/>
      <c r="EO553" s="251"/>
      <c r="EP553" s="251"/>
      <c r="EQ553" s="251"/>
      <c r="ER553" s="251"/>
      <c r="ES553" s="251"/>
      <c r="ET553" s="251"/>
      <c r="EU553" s="251"/>
      <c r="EV553" s="251"/>
      <c r="EW553" s="251"/>
      <c r="EX553" s="251"/>
      <c r="EY553" s="251"/>
      <c r="EZ553" s="251"/>
      <c r="FA553" s="251"/>
      <c r="FB553" s="251"/>
      <c r="FC553" s="251"/>
      <c r="FD553" s="251"/>
      <c r="FE553" s="251"/>
      <c r="FF553" s="251"/>
      <c r="FG553" s="251"/>
      <c r="FH553" s="251"/>
      <c r="FI553" s="251"/>
      <c r="FJ553" s="251"/>
      <c r="FK553" s="251"/>
      <c r="FL553" s="251"/>
      <c r="FM553" s="251"/>
      <c r="FN553" s="251"/>
      <c r="FO553" s="251"/>
      <c r="FP553" s="251"/>
      <c r="FQ553" s="251"/>
      <c r="FR553" s="251"/>
      <c r="FS553" s="251"/>
      <c r="FT553" s="251"/>
      <c r="FU553" s="251"/>
      <c r="FV553" s="251"/>
      <c r="FW553" s="251"/>
      <c r="FX553" s="251"/>
      <c r="FY553" s="251"/>
      <c r="FZ553" s="251"/>
      <c r="GA553" s="251"/>
      <c r="GB553" s="251"/>
      <c r="GC553" s="251"/>
      <c r="GD553" s="251"/>
      <c r="GE553" s="251"/>
      <c r="GF553" s="251"/>
      <c r="GG553" s="251"/>
      <c r="GH553" s="251"/>
      <c r="GI553" s="251"/>
      <c r="GJ553" s="251"/>
      <c r="GK553" s="251"/>
      <c r="GL553" s="251"/>
      <c r="GM553" s="251"/>
      <c r="GN553" s="251"/>
      <c r="GO553" s="251"/>
      <c r="GP553" s="251"/>
      <c r="GQ553" s="251"/>
      <c r="GR553" s="251"/>
      <c r="GS553" s="251"/>
      <c r="GT553" s="251"/>
      <c r="GU553" s="251"/>
      <c r="GV553" s="251"/>
      <c r="GW553" s="251"/>
      <c r="GX553" s="251"/>
      <c r="GY553" s="251"/>
      <c r="GZ553" s="251"/>
      <c r="HA553" s="251"/>
      <c r="HB553" s="251"/>
      <c r="HC553" s="251"/>
      <c r="HD553" s="251"/>
      <c r="HE553" s="251"/>
      <c r="HF553" s="251"/>
      <c r="HG553" s="251"/>
      <c r="HH553" s="251"/>
      <c r="HI553" s="251"/>
      <c r="HJ553" s="251"/>
      <c r="HK553" s="251"/>
      <c r="HL553" s="251"/>
      <c r="HM553" s="251"/>
      <c r="HN553" s="251"/>
      <c r="HO553" s="251"/>
      <c r="HP553" s="251"/>
      <c r="HQ553" s="251"/>
      <c r="HR553" s="251"/>
      <c r="HS553" s="251"/>
      <c r="HT553" s="251"/>
      <c r="HU553" s="251"/>
      <c r="HV553" s="251"/>
      <c r="HW553" s="251"/>
      <c r="HX553" s="251"/>
      <c r="HY553" s="251"/>
      <c r="HZ553" s="251"/>
      <c r="IA553" s="251"/>
      <c r="IB553" s="251"/>
      <c r="IC553" s="251"/>
      <c r="ID553" s="251"/>
      <c r="IE553" s="251"/>
      <c r="IF553" s="251"/>
      <c r="IG553" s="251"/>
      <c r="IH553" s="251"/>
      <c r="II553" s="251"/>
      <c r="IJ553" s="251"/>
      <c r="IK553" s="251"/>
      <c r="IL553" s="251"/>
      <c r="IM553" s="251"/>
      <c r="IN553" s="251"/>
      <c r="IO553" s="251"/>
      <c r="IP553" s="251"/>
      <c r="IQ553" s="251"/>
      <c r="IR553" s="251"/>
      <c r="IS553" s="251"/>
      <c r="IT553" s="251"/>
      <c r="IU553" s="251"/>
      <c r="IV553" s="251"/>
      <c r="IW553" s="251"/>
      <c r="IX553" s="251"/>
      <c r="IY553" s="251"/>
      <c r="IZ553" s="251"/>
      <c r="JA553" s="251"/>
      <c r="JB553" s="251"/>
      <c r="JC553" s="251"/>
      <c r="JD553" s="251"/>
      <c r="JE553" s="251"/>
      <c r="JF553" s="251"/>
      <c r="JG553" s="251"/>
      <c r="JH553" s="251"/>
      <c r="JI553" s="251"/>
      <c r="JJ553" s="251"/>
      <c r="JK553" s="251"/>
      <c r="JL553" s="251"/>
      <c r="JM553" s="251"/>
      <c r="JN553" s="251"/>
      <c r="JO553" s="251"/>
      <c r="JP553" s="251"/>
      <c r="JQ553" s="251"/>
      <c r="JR553" s="251"/>
      <c r="JS553" s="251"/>
      <c r="JT553" s="251"/>
      <c r="JU553" s="251"/>
      <c r="JV553" s="251"/>
      <c r="JW553" s="251"/>
      <c r="JX553" s="251"/>
      <c r="JY553" s="251"/>
      <c r="JZ553" s="251"/>
      <c r="KA553" s="251"/>
      <c r="KB553" s="251"/>
      <c r="KC553" s="251"/>
      <c r="KD553" s="251"/>
      <c r="KE553" s="251"/>
      <c r="KF553" s="251"/>
      <c r="KG553" s="251"/>
      <c r="KH553" s="251"/>
      <c r="KI553" s="251"/>
      <c r="KJ553" s="251"/>
      <c r="KK553" s="251"/>
      <c r="KL553" s="251"/>
      <c r="KM553" s="251"/>
      <c r="KN553" s="251"/>
      <c r="KO553" s="251"/>
      <c r="KP553" s="251"/>
      <c r="KQ553" s="251"/>
      <c r="KR553" s="251"/>
      <c r="KS553" s="251"/>
      <c r="KT553" s="251"/>
      <c r="KU553" s="251"/>
      <c r="KV553" s="251"/>
      <c r="KW553" s="251"/>
      <c r="KX553" s="251"/>
      <c r="KY553" s="251"/>
      <c r="KZ553" s="251"/>
      <c r="LA553" s="251"/>
      <c r="LB553" s="251"/>
      <c r="LC553" s="251"/>
      <c r="LD553" s="251"/>
      <c r="LE553" s="251"/>
      <c r="LF553" s="251"/>
      <c r="LG553" s="251"/>
      <c r="LH553" s="251"/>
      <c r="LI553" s="251"/>
      <c r="LJ553" s="251"/>
      <c r="LK553" s="251"/>
      <c r="LL553" s="308"/>
      <c r="LM553" s="308"/>
      <c r="LN553" s="308"/>
      <c r="LO553" s="308"/>
      <c r="LP553" s="308"/>
      <c r="LQ553" s="308"/>
      <c r="LR553" s="308"/>
      <c r="LS553" s="308"/>
      <c r="LT553" s="308"/>
      <c r="LU553" s="308"/>
      <c r="LV553" s="308"/>
      <c r="LW553" s="308"/>
      <c r="LX553" s="308"/>
      <c r="LY553" s="308"/>
      <c r="LZ553" s="308"/>
      <c r="MA553" s="308"/>
      <c r="MB553" s="308"/>
      <c r="MC553" s="308"/>
      <c r="MD553" s="308"/>
      <c r="ME553" s="308"/>
      <c r="MF553" s="308"/>
      <c r="MG553" s="308"/>
      <c r="MH553" s="308"/>
      <c r="MI553" s="308"/>
      <c r="MJ553" s="308"/>
      <c r="MK553" s="308"/>
      <c r="ML553" s="308"/>
      <c r="MM553" s="308"/>
      <c r="MN553" s="308"/>
      <c r="MO553" s="308"/>
      <c r="MP553" s="308"/>
      <c r="MQ553" s="308"/>
      <c r="MR553" s="308"/>
      <c r="MS553" s="308"/>
      <c r="MT553" s="308"/>
      <c r="MU553" s="308"/>
      <c r="MV553" s="308"/>
      <c r="MW553" s="308"/>
      <c r="MX553" s="308"/>
      <c r="MY553" s="308"/>
      <c r="MZ553" s="308"/>
      <c r="NA553" s="308"/>
      <c r="NB553" s="308"/>
      <c r="NC553" s="308"/>
      <c r="ND553" s="308"/>
      <c r="NE553" s="308"/>
      <c r="NF553" s="308"/>
      <c r="NG553" s="308"/>
      <c r="NH553" s="308"/>
      <c r="NI553" s="308"/>
      <c r="NJ553" s="308"/>
      <c r="NK553" s="308"/>
      <c r="NL553" s="308"/>
      <c r="NM553" s="308"/>
      <c r="NN553" s="308"/>
      <c r="NO553" s="308"/>
      <c r="NP553" s="308"/>
      <c r="NQ553" s="308"/>
      <c r="NR553" s="308"/>
      <c r="NS553" s="308"/>
      <c r="NT553" s="308"/>
      <c r="NU553" s="308"/>
      <c r="NV553" s="308"/>
      <c r="NW553" s="308"/>
      <c r="NX553" s="308"/>
      <c r="NY553" s="308"/>
      <c r="NZ553" s="308"/>
      <c r="OA553" s="308"/>
      <c r="OB553" s="308"/>
      <c r="OC553" s="308"/>
      <c r="OD553" s="308"/>
      <c r="OE553" s="308"/>
      <c r="OF553" s="308"/>
      <c r="OG553" s="308"/>
      <c r="OH553" s="308"/>
      <c r="OI553" s="308"/>
      <c r="OJ553" s="308"/>
      <c r="OK553" s="308"/>
      <c r="OL553" s="308"/>
      <c r="OM553" s="308"/>
      <c r="ON553" s="308"/>
      <c r="OO553" s="308"/>
      <c r="OP553" s="308"/>
      <c r="OQ553" s="308"/>
      <c r="OR553" s="308"/>
      <c r="OS553" s="308"/>
      <c r="OT553" s="308"/>
      <c r="OU553" s="308"/>
      <c r="OV553" s="308"/>
      <c r="OW553" s="308"/>
      <c r="OX553" s="308"/>
      <c r="OY553" s="308"/>
      <c r="OZ553" s="308"/>
      <c r="PA553" s="308"/>
      <c r="PB553" s="308"/>
      <c r="PC553" s="308"/>
      <c r="PD553" s="308"/>
      <c r="PE553" s="308"/>
      <c r="PF553" s="308"/>
      <c r="PG553" s="308"/>
      <c r="PH553" s="308"/>
      <c r="PI553" s="308"/>
      <c r="PJ553" s="308"/>
      <c r="PK553" s="308"/>
      <c r="PL553" s="308"/>
      <c r="PM553" s="308"/>
      <c r="PN553" s="308"/>
      <c r="PO553" s="308"/>
      <c r="PP553" s="308"/>
      <c r="PQ553" s="308"/>
      <c r="PR553" s="308"/>
      <c r="PS553" s="308"/>
      <c r="PT553" s="308"/>
      <c r="PU553" s="308"/>
      <c r="PV553" s="308"/>
      <c r="PW553" s="308"/>
      <c r="PX553" s="308"/>
      <c r="PY553" s="308"/>
      <c r="PZ553" s="308"/>
      <c r="QA553" s="308"/>
      <c r="QB553" s="308"/>
      <c r="QC553" s="308"/>
      <c r="QD553" s="308"/>
      <c r="QE553" s="308"/>
      <c r="QF553" s="308"/>
      <c r="QG553" s="308"/>
      <c r="QH553" s="308"/>
      <c r="QI553" s="308"/>
      <c r="QJ553" s="308"/>
      <c r="QK553" s="308"/>
      <c r="QL553" s="308"/>
      <c r="QM553" s="308"/>
      <c r="QN553" s="308"/>
      <c r="QO553" s="308"/>
      <c r="QP553" s="308"/>
      <c r="QQ553" s="308"/>
      <c r="QR553" s="308"/>
      <c r="QS553" s="308"/>
      <c r="QT553" s="308"/>
      <c r="QU553" s="308"/>
      <c r="QV553" s="308"/>
      <c r="QW553" s="308"/>
      <c r="QX553" s="308"/>
      <c r="QY553" s="308"/>
      <c r="QZ553" s="308"/>
      <c r="RA553" s="308"/>
      <c r="RB553" s="308"/>
      <c r="RC553" s="308"/>
      <c r="RD553" s="308"/>
      <c r="RE553" s="308"/>
      <c r="RF553" s="308"/>
      <c r="RG553" s="308"/>
      <c r="RH553" s="308"/>
      <c r="RI553" s="308"/>
      <c r="RJ553" s="308"/>
      <c r="RK553" s="308"/>
      <c r="RL553" s="308"/>
      <c r="RM553" s="308"/>
      <c r="RN553" s="308"/>
      <c r="RO553" s="308"/>
      <c r="RP553" s="308"/>
      <c r="RQ553" s="308"/>
      <c r="RR553" s="308"/>
      <c r="RS553" s="308"/>
      <c r="RT553" s="308"/>
      <c r="RU553" s="308"/>
      <c r="RV553" s="308"/>
      <c r="RW553" s="308"/>
      <c r="RX553" s="308"/>
      <c r="RY553" s="308"/>
      <c r="RZ553" s="308"/>
      <c r="SA553" s="308"/>
      <c r="SB553" s="308"/>
      <c r="SC553" s="308"/>
      <c r="SD553" s="308"/>
      <c r="SE553" s="308"/>
      <c r="SF553" s="308"/>
      <c r="SG553" s="308"/>
      <c r="SH553" s="308"/>
      <c r="SI553" s="308"/>
      <c r="SJ553" s="308"/>
      <c r="SK553" s="308"/>
      <c r="SL553" s="308"/>
      <c r="SM553" s="308"/>
      <c r="SN553" s="308"/>
      <c r="SO553" s="308"/>
      <c r="SP553" s="308"/>
      <c r="SQ553" s="308"/>
      <c r="SR553" s="308"/>
      <c r="SS553" s="308"/>
      <c r="ST553" s="308"/>
      <c r="SU553" s="308"/>
      <c r="SV553" s="308"/>
      <c r="SW553" s="308"/>
      <c r="SX553" s="308"/>
      <c r="SY553" s="308"/>
      <c r="SZ553" s="308"/>
      <c r="TA553" s="308"/>
      <c r="TB553" s="308"/>
      <c r="TC553" s="308"/>
      <c r="TD553" s="308"/>
      <c r="TE553" s="308"/>
      <c r="TF553" s="308"/>
      <c r="TG553" s="308"/>
      <c r="TH553" s="308"/>
      <c r="TI553" s="308"/>
      <c r="TJ553" s="308"/>
      <c r="TK553" s="308"/>
      <c r="TL553" s="308"/>
      <c r="TM553" s="308"/>
      <c r="TN553" s="308"/>
      <c r="TO553" s="308"/>
      <c r="TP553" s="308"/>
      <c r="TQ553" s="308"/>
      <c r="TR553" s="308"/>
      <c r="TS553" s="308"/>
      <c r="TT553" s="308"/>
      <c r="TU553" s="308"/>
      <c r="TV553" s="308"/>
      <c r="TW553" s="308"/>
      <c r="TX553" s="308"/>
      <c r="TY553" s="308"/>
      <c r="TZ553" s="308"/>
      <c r="UA553" s="308"/>
      <c r="UB553" s="308"/>
      <c r="UC553" s="308"/>
      <c r="UD553" s="308"/>
      <c r="UE553" s="308"/>
      <c r="UF553" s="308"/>
      <c r="UG553" s="308"/>
      <c r="UH553" s="308"/>
      <c r="UI553" s="308"/>
      <c r="UJ553" s="308"/>
      <c r="UK553" s="308"/>
      <c r="UL553" s="308"/>
      <c r="UM553" s="308"/>
      <c r="UN553" s="308"/>
      <c r="UO553" s="308"/>
      <c r="UP553" s="308"/>
      <c r="UQ553" s="308"/>
      <c r="UR553" s="308"/>
      <c r="US553" s="308"/>
      <c r="UT553" s="308"/>
      <c r="UU553" s="308"/>
      <c r="UV553" s="308"/>
      <c r="UW553" s="308"/>
      <c r="UX553" s="308"/>
      <c r="UY553" s="308"/>
      <c r="UZ553" s="308"/>
      <c r="VA553" s="308"/>
      <c r="VB553" s="308"/>
      <c r="VC553" s="308"/>
      <c r="VD553" s="308"/>
      <c r="VE553" s="308"/>
      <c r="VF553" s="308"/>
      <c r="VG553" s="308"/>
      <c r="VH553" s="308"/>
      <c r="VI553" s="308"/>
      <c r="VJ553" s="308"/>
      <c r="VK553" s="308"/>
      <c r="VL553" s="308"/>
      <c r="VM553" s="308"/>
      <c r="VN553" s="308"/>
      <c r="VO553" s="308"/>
      <c r="VP553" s="308"/>
      <c r="VQ553" s="308"/>
      <c r="VR553" s="308"/>
      <c r="VS553" s="308"/>
      <c r="VT553" s="308"/>
      <c r="VU553" s="308"/>
      <c r="VV553" s="308"/>
      <c r="VW553" s="308"/>
      <c r="VX553" s="308"/>
      <c r="VY553" s="308"/>
      <c r="VZ553" s="308"/>
      <c r="WA553" s="308"/>
      <c r="WB553" s="308"/>
      <c r="WC553" s="308"/>
      <c r="WD553" s="308"/>
      <c r="WE553" s="308"/>
      <c r="WF553" s="308"/>
      <c r="WG553" s="308"/>
      <c r="WH553" s="308"/>
      <c r="WI553" s="308"/>
      <c r="WJ553" s="308"/>
      <c r="WK553" s="308"/>
      <c r="WL553" s="308"/>
      <c r="WM553" s="308"/>
      <c r="WN553" s="308"/>
      <c r="WO553" s="308"/>
      <c r="WP553" s="308"/>
      <c r="WQ553" s="308"/>
      <c r="WR553" s="308"/>
      <c r="WS553" s="308"/>
      <c r="WT553" s="308"/>
      <c r="WU553" s="308"/>
      <c r="WV553" s="308"/>
      <c r="WW553" s="308"/>
      <c r="WX553" s="308"/>
      <c r="WY553" s="308"/>
      <c r="WZ553" s="308"/>
      <c r="XA553" s="308"/>
      <c r="XB553" s="308"/>
      <c r="XC553" s="308"/>
      <c r="XD553" s="308"/>
      <c r="XE553" s="308"/>
      <c r="XF553" s="308"/>
      <c r="XG553" s="308"/>
      <c r="XH553" s="308"/>
      <c r="XI553" s="308"/>
      <c r="XJ553" s="308"/>
      <c r="XK553" s="308"/>
      <c r="XL553" s="308"/>
      <c r="XM553" s="308"/>
      <c r="XN553" s="308"/>
      <c r="XO553" s="308"/>
      <c r="XP553" s="308"/>
      <c r="XQ553" s="308"/>
      <c r="XR553" s="308"/>
      <c r="XS553" s="308"/>
      <c r="XT553" s="308"/>
      <c r="XU553" s="308"/>
      <c r="XV553" s="308"/>
      <c r="XW553" s="308"/>
      <c r="XX553" s="308"/>
      <c r="XY553" s="308"/>
      <c r="XZ553" s="308"/>
      <c r="YA553" s="308"/>
      <c r="YB553" s="308"/>
      <c r="YC553" s="308"/>
      <c r="YD553" s="308"/>
      <c r="YE553" s="308"/>
      <c r="YF553" s="308"/>
      <c r="YG553" s="308"/>
      <c r="YH553" s="308"/>
      <c r="YI553" s="308"/>
      <c r="YJ553" s="308"/>
      <c r="YK553" s="308"/>
      <c r="YL553" s="308"/>
      <c r="YM553" s="308"/>
      <c r="YN553" s="308"/>
      <c r="YO553" s="308"/>
      <c r="YP553" s="308"/>
      <c r="YQ553" s="308"/>
      <c r="YR553" s="308"/>
      <c r="YS553" s="308"/>
      <c r="YT553" s="308"/>
      <c r="YU553" s="308"/>
      <c r="YV553" s="308"/>
      <c r="YW553" s="308"/>
      <c r="YX553" s="308"/>
      <c r="YY553" s="308"/>
      <c r="YZ553" s="308"/>
      <c r="ZA553" s="308"/>
      <c r="ZB553" s="308"/>
      <c r="ZC553" s="308"/>
      <c r="ZD553" s="308"/>
      <c r="ZE553" s="308"/>
      <c r="ZF553" s="308"/>
      <c r="ZG553" s="308"/>
      <c r="ZH553" s="308"/>
      <c r="ZI553" s="308"/>
      <c r="ZJ553" s="308"/>
      <c r="ZK553" s="308"/>
      <c r="ZL553" s="308"/>
      <c r="ZM553" s="308"/>
      <c r="ZN553" s="308"/>
      <c r="ZO553" s="308"/>
      <c r="ZP553" s="308"/>
      <c r="ZQ553" s="308"/>
      <c r="ZR553" s="308"/>
      <c r="ZS553" s="308"/>
      <c r="ZT553" s="308"/>
      <c r="ZU553" s="308"/>
      <c r="ZV553" s="308"/>
      <c r="ZW553" s="308"/>
      <c r="ZX553" s="308"/>
      <c r="ZY553" s="308"/>
      <c r="ZZ553" s="308"/>
      <c r="AAA553" s="308"/>
      <c r="AAB553" s="308"/>
      <c r="AAC553" s="308"/>
      <c r="AAD553" s="308"/>
      <c r="AAE553" s="308"/>
      <c r="AAF553" s="308"/>
      <c r="AAG553" s="308"/>
      <c r="AAH553" s="308"/>
      <c r="AAI553" s="308"/>
      <c r="AAJ553" s="308"/>
      <c r="AAK553" s="308"/>
      <c r="AAL553" s="308"/>
      <c r="AAM553" s="308"/>
      <c r="AAN553" s="308"/>
      <c r="AAO553" s="308"/>
      <c r="AAP553" s="308"/>
      <c r="AAQ553" s="308"/>
      <c r="AAR553" s="308"/>
      <c r="AAS553" s="308"/>
      <c r="AAT553" s="308"/>
      <c r="AAU553" s="308"/>
      <c r="AAV553" s="308"/>
      <c r="AAW553" s="308"/>
      <c r="AAX553" s="308"/>
      <c r="AAY553" s="308"/>
      <c r="AAZ553" s="308"/>
      <c r="ABA553" s="308"/>
      <c r="ABB553" s="308"/>
      <c r="ABC553" s="308"/>
      <c r="ABD553" s="308"/>
      <c r="ABE553" s="308"/>
      <c r="ABF553" s="308"/>
      <c r="ABG553" s="308"/>
      <c r="ABH553" s="308"/>
      <c r="ABI553" s="308"/>
      <c r="ABJ553" s="308"/>
      <c r="ABK553" s="308"/>
      <c r="ABL553" s="308"/>
      <c r="ABM553" s="308"/>
      <c r="ABN553" s="308"/>
      <c r="ABO553" s="308"/>
      <c r="ABP553" s="308"/>
      <c r="ABQ553" s="308"/>
      <c r="ABR553" s="308"/>
      <c r="ABS553" s="308"/>
      <c r="ABT553" s="308"/>
      <c r="ABU553" s="308"/>
      <c r="ABV553" s="308"/>
      <c r="ABW553" s="308"/>
      <c r="ABX553" s="308"/>
      <c r="ABY553" s="308"/>
      <c r="ABZ553" s="308"/>
      <c r="ACA553" s="308"/>
      <c r="ACB553" s="308"/>
      <c r="ACC553" s="308"/>
      <c r="ACD553" s="308"/>
      <c r="ACE553" s="308"/>
      <c r="ACF553" s="308"/>
      <c r="ACG553" s="308"/>
      <c r="ACH553" s="308"/>
      <c r="ACI553" s="308"/>
      <c r="ACJ553" s="308"/>
      <c r="ACK553" s="308"/>
      <c r="ACL553" s="308"/>
      <c r="ACM553" s="308"/>
      <c r="ACN553" s="308"/>
      <c r="ACO553" s="308"/>
      <c r="ACP553" s="308"/>
      <c r="ACQ553" s="308"/>
      <c r="ACR553" s="308"/>
      <c r="ACS553" s="308"/>
      <c r="ACT553" s="308"/>
      <c r="ACU553" s="308"/>
      <c r="ACV553" s="308"/>
    </row>
    <row r="554" spans="1:776" x14ac:dyDescent="0.25">
      <c r="A554" s="583">
        <v>900253</v>
      </c>
      <c r="B554" s="404" t="str">
        <f>"-"&amp;TEXT((F554/62+G554/46+I554/35.5+J554/48+K554/97+L554/61),"0,00")&amp;"/+"&amp;TEXT((N554/39+O554/23+P554/20+Q554/12+H554/14),"0,00")&amp;"  (EC  "&amp;E554*10&amp;")"</f>
        <v>-97,14/+99,95  (EC  101,3)</v>
      </c>
      <c r="C554" s="513"/>
      <c r="D554" s="305" t="s">
        <v>265</v>
      </c>
      <c r="E554" s="305">
        <v>10.130000000000001</v>
      </c>
      <c r="F554" s="306">
        <v>1.9</v>
      </c>
      <c r="G554" s="305">
        <v>0</v>
      </c>
      <c r="H554" s="305">
        <v>0.04</v>
      </c>
      <c r="I554" s="307">
        <v>2129.6999999999998</v>
      </c>
      <c r="J554" s="305">
        <v>1430.2</v>
      </c>
      <c r="K554" s="305">
        <v>0</v>
      </c>
      <c r="L554" s="305">
        <v>446.4</v>
      </c>
      <c r="M554" s="305">
        <v>0</v>
      </c>
      <c r="N554" s="305">
        <v>28.66</v>
      </c>
      <c r="O554" s="305">
        <v>1164.9100000000001</v>
      </c>
      <c r="P554" s="305">
        <v>352.52</v>
      </c>
      <c r="Q554" s="305">
        <v>371.21</v>
      </c>
      <c r="R554" s="305">
        <v>1E-4</v>
      </c>
      <c r="S554" s="305">
        <v>1E-4</v>
      </c>
      <c r="T554" s="305">
        <v>1E-4</v>
      </c>
      <c r="U554" s="305">
        <v>1E-4</v>
      </c>
      <c r="V554" s="305"/>
      <c r="W554" s="251"/>
      <c r="X554" s="251"/>
      <c r="Y554" s="251"/>
      <c r="Z554" s="251"/>
      <c r="AA554" s="251"/>
      <c r="AB554" s="251"/>
      <c r="AC554" s="251"/>
      <c r="AD554" s="251"/>
      <c r="AE554" s="251"/>
      <c r="AF554" s="251"/>
      <c r="AG554" s="251"/>
      <c r="AH554" s="251"/>
      <c r="AI554" s="251"/>
      <c r="AJ554" s="251"/>
      <c r="AK554" s="251"/>
      <c r="AL554" s="251"/>
      <c r="AM554" s="251"/>
      <c r="AN554" s="251"/>
      <c r="AO554" s="251"/>
      <c r="AP554" s="251"/>
      <c r="AQ554" s="251"/>
      <c r="AR554" s="251"/>
      <c r="AS554" s="251"/>
      <c r="AT554" s="251"/>
      <c r="AU554" s="251"/>
      <c r="AV554" s="251"/>
      <c r="AW554" s="251"/>
      <c r="AX554" s="251"/>
      <c r="AY554" s="251"/>
      <c r="AZ554" s="251"/>
      <c r="BA554" s="251"/>
      <c r="BB554" s="251"/>
      <c r="BC554" s="251"/>
      <c r="BD554" s="251"/>
      <c r="BE554" s="251"/>
      <c r="BF554" s="251"/>
      <c r="BG554" s="251"/>
      <c r="BH554" s="251"/>
      <c r="BI554" s="251"/>
      <c r="BJ554" s="251"/>
      <c r="BK554" s="251"/>
      <c r="BL554" s="251"/>
      <c r="BM554" s="251"/>
      <c r="BN554" s="251"/>
      <c r="BO554" s="251"/>
      <c r="BP554" s="251"/>
      <c r="BQ554" s="251"/>
      <c r="BR554" s="251"/>
      <c r="BS554" s="251"/>
      <c r="BT554" s="251"/>
      <c r="BU554" s="251"/>
      <c r="BV554" s="251"/>
      <c r="BW554" s="251"/>
      <c r="BX554" s="251"/>
      <c r="BY554" s="251"/>
      <c r="BZ554" s="251"/>
      <c r="CA554" s="251"/>
      <c r="CB554" s="251"/>
      <c r="CC554" s="251"/>
      <c r="CD554" s="251"/>
      <c r="CE554" s="251"/>
      <c r="CF554" s="251"/>
      <c r="CG554" s="251"/>
      <c r="CH554" s="251"/>
      <c r="CI554" s="251"/>
      <c r="CJ554" s="251"/>
      <c r="CK554" s="251"/>
      <c r="CL554" s="251"/>
      <c r="CM554" s="251"/>
      <c r="CN554" s="251"/>
      <c r="CO554" s="251"/>
      <c r="CP554" s="251"/>
      <c r="CQ554" s="251"/>
      <c r="CR554" s="251"/>
      <c r="CS554" s="251"/>
      <c r="CT554" s="251"/>
      <c r="CU554" s="251"/>
      <c r="CV554" s="251"/>
      <c r="CW554" s="251"/>
      <c r="CX554" s="251"/>
      <c r="CY554" s="251"/>
      <c r="CZ554" s="251"/>
      <c r="DA554" s="251"/>
      <c r="DB554" s="251"/>
      <c r="DC554" s="251"/>
      <c r="DD554" s="251"/>
      <c r="DE554" s="251"/>
      <c r="DF554" s="251"/>
      <c r="DG554" s="251"/>
      <c r="DH554" s="251"/>
      <c r="DI554" s="251"/>
      <c r="DJ554" s="251"/>
      <c r="DK554" s="251"/>
      <c r="DL554" s="251"/>
      <c r="DM554" s="251"/>
      <c r="DN554" s="251"/>
      <c r="DO554" s="251"/>
      <c r="DP554" s="251"/>
      <c r="DQ554" s="251"/>
      <c r="DR554" s="251"/>
      <c r="DS554" s="251"/>
      <c r="DT554" s="251"/>
      <c r="DU554" s="251"/>
      <c r="DV554" s="251"/>
      <c r="DW554" s="251"/>
      <c r="DX554" s="251"/>
      <c r="DY554" s="251"/>
      <c r="DZ554" s="251"/>
      <c r="EA554" s="251"/>
      <c r="EB554" s="251"/>
      <c r="EC554" s="251"/>
      <c r="ED554" s="251"/>
      <c r="EE554" s="251"/>
      <c r="EF554" s="251"/>
      <c r="EG554" s="251"/>
      <c r="EH554" s="251"/>
      <c r="EI554" s="251"/>
      <c r="EJ554" s="251"/>
      <c r="EK554" s="251"/>
      <c r="EL554" s="251"/>
      <c r="EM554" s="251"/>
      <c r="EN554" s="251"/>
      <c r="EO554" s="251"/>
      <c r="EP554" s="251"/>
      <c r="EQ554" s="251"/>
      <c r="ER554" s="251"/>
      <c r="ES554" s="251"/>
      <c r="ET554" s="251"/>
      <c r="EU554" s="251"/>
      <c r="EV554" s="251"/>
      <c r="EW554" s="251"/>
      <c r="EX554" s="251"/>
      <c r="EY554" s="251"/>
      <c r="EZ554" s="251"/>
      <c r="FA554" s="251"/>
      <c r="FB554" s="251"/>
      <c r="FC554" s="251"/>
      <c r="FD554" s="251"/>
      <c r="FE554" s="251"/>
      <c r="FF554" s="251"/>
      <c r="FG554" s="251"/>
      <c r="FH554" s="251"/>
      <c r="FI554" s="251"/>
      <c r="FJ554" s="251"/>
      <c r="FK554" s="251"/>
      <c r="FL554" s="251"/>
      <c r="FM554" s="251"/>
      <c r="FN554" s="251"/>
      <c r="FO554" s="251"/>
      <c r="FP554" s="251"/>
      <c r="FQ554" s="251"/>
      <c r="FR554" s="251"/>
      <c r="FS554" s="251"/>
      <c r="FT554" s="251"/>
      <c r="FU554" s="251"/>
      <c r="FV554" s="251"/>
      <c r="FW554" s="251"/>
      <c r="FX554" s="251"/>
      <c r="FY554" s="251"/>
      <c r="FZ554" s="251"/>
      <c r="GA554" s="251"/>
      <c r="GB554" s="251"/>
      <c r="GC554" s="251"/>
      <c r="GD554" s="251"/>
      <c r="GE554" s="251"/>
      <c r="GF554" s="251"/>
      <c r="GG554" s="251"/>
      <c r="GH554" s="251"/>
      <c r="GI554" s="251"/>
      <c r="GJ554" s="251"/>
      <c r="GK554" s="251"/>
      <c r="GL554" s="251"/>
      <c r="GM554" s="251"/>
      <c r="GN554" s="251"/>
      <c r="GO554" s="251"/>
      <c r="GP554" s="251"/>
      <c r="GQ554" s="251"/>
      <c r="GR554" s="251"/>
      <c r="GS554" s="251"/>
      <c r="GT554" s="251"/>
      <c r="GU554" s="251"/>
      <c r="GV554" s="251"/>
      <c r="GW554" s="251"/>
      <c r="GX554" s="251"/>
      <c r="GY554" s="251"/>
      <c r="GZ554" s="251"/>
      <c r="HA554" s="251"/>
      <c r="HB554" s="251"/>
      <c r="HC554" s="251"/>
      <c r="HD554" s="251"/>
      <c r="HE554" s="251"/>
      <c r="HF554" s="251"/>
      <c r="HG554" s="251"/>
      <c r="HH554" s="251"/>
      <c r="HI554" s="251"/>
      <c r="HJ554" s="251"/>
      <c r="HK554" s="251"/>
      <c r="HL554" s="251"/>
      <c r="HM554" s="251"/>
      <c r="HN554" s="251"/>
      <c r="HO554" s="251"/>
      <c r="HP554" s="251"/>
      <c r="HQ554" s="251"/>
      <c r="HR554" s="251"/>
      <c r="HS554" s="251"/>
      <c r="HT554" s="251"/>
      <c r="HU554" s="251"/>
      <c r="HV554" s="251"/>
      <c r="HW554" s="251"/>
      <c r="HX554" s="251"/>
      <c r="HY554" s="251"/>
      <c r="HZ554" s="251"/>
      <c r="IA554" s="251"/>
      <c r="IB554" s="251"/>
      <c r="IC554" s="251"/>
      <c r="ID554" s="251"/>
      <c r="IE554" s="251"/>
      <c r="IF554" s="251"/>
      <c r="IG554" s="251"/>
      <c r="IH554" s="251"/>
      <c r="II554" s="251"/>
      <c r="IJ554" s="251"/>
      <c r="IK554" s="251"/>
      <c r="IL554" s="251"/>
      <c r="IM554" s="251"/>
      <c r="IN554" s="251"/>
      <c r="IO554" s="251"/>
      <c r="IP554" s="251"/>
      <c r="IQ554" s="251"/>
      <c r="IR554" s="251"/>
      <c r="IS554" s="251"/>
      <c r="IT554" s="251"/>
      <c r="IU554" s="251"/>
      <c r="IV554" s="251"/>
      <c r="IW554" s="251"/>
      <c r="IX554" s="251"/>
      <c r="IY554" s="251"/>
      <c r="IZ554" s="251"/>
      <c r="JA554" s="251"/>
      <c r="JB554" s="251"/>
      <c r="JC554" s="251"/>
      <c r="JD554" s="251"/>
      <c r="JE554" s="251"/>
      <c r="JF554" s="251"/>
      <c r="JG554" s="251"/>
      <c r="JH554" s="251"/>
      <c r="JI554" s="251"/>
      <c r="JJ554" s="251"/>
      <c r="JK554" s="251"/>
      <c r="JL554" s="251"/>
      <c r="JM554" s="251"/>
      <c r="JN554" s="251"/>
      <c r="JO554" s="251"/>
      <c r="JP554" s="251"/>
      <c r="JQ554" s="251"/>
      <c r="JR554" s="251"/>
      <c r="JS554" s="251"/>
      <c r="JT554" s="251"/>
      <c r="JU554" s="251"/>
      <c r="JV554" s="251"/>
      <c r="JW554" s="251"/>
      <c r="JX554" s="251"/>
      <c r="JY554" s="251"/>
      <c r="JZ554" s="251"/>
      <c r="KA554" s="251"/>
      <c r="KB554" s="251"/>
      <c r="KC554" s="251"/>
      <c r="KD554" s="251"/>
      <c r="KE554" s="251"/>
      <c r="KF554" s="251"/>
      <c r="KG554" s="251"/>
      <c r="KH554" s="251"/>
      <c r="KI554" s="251"/>
      <c r="KJ554" s="251"/>
      <c r="KK554" s="251"/>
      <c r="KL554" s="251"/>
      <c r="KM554" s="251"/>
      <c r="KN554" s="251"/>
      <c r="KO554" s="251"/>
      <c r="KP554" s="251"/>
      <c r="KQ554" s="251"/>
      <c r="KR554" s="251"/>
      <c r="KS554" s="251"/>
      <c r="KT554" s="251"/>
      <c r="KU554" s="251"/>
      <c r="KV554" s="251"/>
      <c r="KW554" s="251"/>
      <c r="KX554" s="251"/>
      <c r="KY554" s="251"/>
      <c r="KZ554" s="251"/>
      <c r="LA554" s="251"/>
      <c r="LB554" s="251"/>
      <c r="LC554" s="251"/>
      <c r="LD554" s="251"/>
      <c r="LE554" s="251"/>
      <c r="LF554" s="251"/>
      <c r="LG554" s="251"/>
      <c r="LH554" s="251"/>
      <c r="LI554" s="251"/>
      <c r="LJ554" s="251"/>
      <c r="LK554" s="251"/>
      <c r="LL554" s="308"/>
      <c r="LM554" s="308"/>
      <c r="LN554" s="308"/>
      <c r="LO554" s="308"/>
      <c r="LP554" s="308"/>
      <c r="LQ554" s="308"/>
      <c r="LR554" s="308"/>
      <c r="LS554" s="308"/>
      <c r="LT554" s="308"/>
      <c r="LU554" s="308"/>
      <c r="LV554" s="308"/>
      <c r="LW554" s="308"/>
      <c r="LX554" s="308"/>
      <c r="LY554" s="308"/>
      <c r="LZ554" s="308"/>
      <c r="MA554" s="308"/>
      <c r="MB554" s="308"/>
      <c r="MC554" s="308"/>
      <c r="MD554" s="308"/>
      <c r="ME554" s="308"/>
      <c r="MF554" s="308"/>
      <c r="MG554" s="308"/>
      <c r="MH554" s="308"/>
      <c r="MI554" s="308"/>
      <c r="MJ554" s="308"/>
      <c r="MK554" s="308"/>
      <c r="ML554" s="308"/>
      <c r="MM554" s="308"/>
      <c r="MN554" s="308"/>
      <c r="MO554" s="308"/>
      <c r="MP554" s="308"/>
      <c r="MQ554" s="308"/>
      <c r="MR554" s="308"/>
      <c r="MS554" s="308"/>
      <c r="MT554" s="308"/>
      <c r="MU554" s="308"/>
      <c r="MV554" s="308"/>
      <c r="MW554" s="308"/>
      <c r="MX554" s="308"/>
      <c r="MY554" s="308"/>
      <c r="MZ554" s="308"/>
      <c r="NA554" s="308"/>
      <c r="NB554" s="308"/>
      <c r="NC554" s="308"/>
      <c r="ND554" s="308"/>
      <c r="NE554" s="308"/>
      <c r="NF554" s="308"/>
      <c r="NG554" s="308"/>
      <c r="NH554" s="308"/>
      <c r="NI554" s="308"/>
      <c r="NJ554" s="308"/>
      <c r="NK554" s="308"/>
      <c r="NL554" s="308"/>
      <c r="NM554" s="308"/>
      <c r="NN554" s="308"/>
      <c r="NO554" s="308"/>
      <c r="NP554" s="308"/>
      <c r="NQ554" s="308"/>
      <c r="NR554" s="308"/>
      <c r="NS554" s="308"/>
      <c r="NT554" s="308"/>
      <c r="NU554" s="308"/>
      <c r="NV554" s="308"/>
      <c r="NW554" s="308"/>
      <c r="NX554" s="308"/>
      <c r="NY554" s="308"/>
      <c r="NZ554" s="308"/>
      <c r="OA554" s="308"/>
      <c r="OB554" s="308"/>
      <c r="OC554" s="308"/>
      <c r="OD554" s="308"/>
      <c r="OE554" s="308"/>
      <c r="OF554" s="308"/>
      <c r="OG554" s="308"/>
      <c r="OH554" s="308"/>
      <c r="OI554" s="308"/>
      <c r="OJ554" s="308"/>
      <c r="OK554" s="308"/>
      <c r="OL554" s="308"/>
      <c r="OM554" s="308"/>
      <c r="ON554" s="308"/>
      <c r="OO554" s="308"/>
      <c r="OP554" s="308"/>
      <c r="OQ554" s="308"/>
      <c r="OR554" s="308"/>
      <c r="OS554" s="308"/>
      <c r="OT554" s="308"/>
      <c r="OU554" s="308"/>
      <c r="OV554" s="308"/>
      <c r="OW554" s="308"/>
      <c r="OX554" s="308"/>
      <c r="OY554" s="308"/>
      <c r="OZ554" s="308"/>
      <c r="PA554" s="308"/>
      <c r="PB554" s="308"/>
      <c r="PC554" s="308"/>
      <c r="PD554" s="308"/>
      <c r="PE554" s="308"/>
      <c r="PF554" s="308"/>
      <c r="PG554" s="308"/>
      <c r="PH554" s="308"/>
      <c r="PI554" s="308"/>
      <c r="PJ554" s="308"/>
      <c r="PK554" s="308"/>
      <c r="PL554" s="308"/>
      <c r="PM554" s="308"/>
      <c r="PN554" s="308"/>
      <c r="PO554" s="308"/>
      <c r="PP554" s="308"/>
      <c r="PQ554" s="308"/>
      <c r="PR554" s="308"/>
      <c r="PS554" s="308"/>
      <c r="PT554" s="308"/>
      <c r="PU554" s="308"/>
      <c r="PV554" s="308"/>
      <c r="PW554" s="308"/>
      <c r="PX554" s="308"/>
      <c r="PY554" s="308"/>
      <c r="PZ554" s="308"/>
      <c r="QA554" s="308"/>
      <c r="QB554" s="308"/>
      <c r="QC554" s="308"/>
      <c r="QD554" s="308"/>
      <c r="QE554" s="308"/>
      <c r="QF554" s="308"/>
      <c r="QG554" s="308"/>
      <c r="QH554" s="308"/>
      <c r="QI554" s="308"/>
      <c r="QJ554" s="308"/>
      <c r="QK554" s="308"/>
      <c r="QL554" s="308"/>
      <c r="QM554" s="308"/>
      <c r="QN554" s="308"/>
      <c r="QO554" s="308"/>
      <c r="QP554" s="308"/>
      <c r="QQ554" s="308"/>
      <c r="QR554" s="308"/>
      <c r="QS554" s="308"/>
      <c r="QT554" s="308"/>
      <c r="QU554" s="308"/>
      <c r="QV554" s="308"/>
      <c r="QW554" s="308"/>
      <c r="QX554" s="308"/>
      <c r="QY554" s="308"/>
      <c r="QZ554" s="308"/>
      <c r="RA554" s="308"/>
      <c r="RB554" s="308"/>
      <c r="RC554" s="308"/>
      <c r="RD554" s="308"/>
      <c r="RE554" s="308"/>
      <c r="RF554" s="308"/>
      <c r="RG554" s="308"/>
      <c r="RH554" s="308"/>
      <c r="RI554" s="308"/>
      <c r="RJ554" s="308"/>
      <c r="RK554" s="308"/>
      <c r="RL554" s="308"/>
      <c r="RM554" s="308"/>
      <c r="RN554" s="308"/>
      <c r="RO554" s="308"/>
      <c r="RP554" s="308"/>
      <c r="RQ554" s="308"/>
      <c r="RR554" s="308"/>
      <c r="RS554" s="308"/>
      <c r="RT554" s="308"/>
      <c r="RU554" s="308"/>
      <c r="RV554" s="308"/>
      <c r="RW554" s="308"/>
      <c r="RX554" s="308"/>
      <c r="RY554" s="308"/>
      <c r="RZ554" s="308"/>
      <c r="SA554" s="308"/>
      <c r="SB554" s="308"/>
      <c r="SC554" s="308"/>
      <c r="SD554" s="308"/>
      <c r="SE554" s="308"/>
      <c r="SF554" s="308"/>
      <c r="SG554" s="308"/>
      <c r="SH554" s="308"/>
      <c r="SI554" s="308"/>
      <c r="SJ554" s="308"/>
      <c r="SK554" s="308"/>
      <c r="SL554" s="308"/>
      <c r="SM554" s="308"/>
      <c r="SN554" s="308"/>
      <c r="SO554" s="308"/>
      <c r="SP554" s="308"/>
      <c r="SQ554" s="308"/>
      <c r="SR554" s="308"/>
      <c r="SS554" s="308"/>
      <c r="ST554" s="308"/>
      <c r="SU554" s="308"/>
      <c r="SV554" s="308"/>
      <c r="SW554" s="308"/>
      <c r="SX554" s="308"/>
      <c r="SY554" s="308"/>
      <c r="SZ554" s="308"/>
      <c r="TA554" s="308"/>
      <c r="TB554" s="308"/>
      <c r="TC554" s="308"/>
      <c r="TD554" s="308"/>
      <c r="TE554" s="308"/>
      <c r="TF554" s="308"/>
      <c r="TG554" s="308"/>
      <c r="TH554" s="308"/>
      <c r="TI554" s="308"/>
      <c r="TJ554" s="308"/>
      <c r="TK554" s="308"/>
      <c r="TL554" s="308"/>
      <c r="TM554" s="308"/>
      <c r="TN554" s="308"/>
      <c r="TO554" s="308"/>
      <c r="TP554" s="308"/>
      <c r="TQ554" s="308"/>
      <c r="TR554" s="308"/>
      <c r="TS554" s="308"/>
      <c r="TT554" s="308"/>
      <c r="TU554" s="308"/>
      <c r="TV554" s="308"/>
      <c r="TW554" s="308"/>
      <c r="TX554" s="308"/>
      <c r="TY554" s="308"/>
      <c r="TZ554" s="308"/>
      <c r="UA554" s="308"/>
      <c r="UB554" s="308"/>
      <c r="UC554" s="308"/>
      <c r="UD554" s="308"/>
      <c r="UE554" s="308"/>
      <c r="UF554" s="308"/>
      <c r="UG554" s="308"/>
      <c r="UH554" s="308"/>
      <c r="UI554" s="308"/>
      <c r="UJ554" s="308"/>
      <c r="UK554" s="308"/>
      <c r="UL554" s="308"/>
      <c r="UM554" s="308"/>
      <c r="UN554" s="308"/>
      <c r="UO554" s="308"/>
      <c r="UP554" s="308"/>
      <c r="UQ554" s="308"/>
      <c r="UR554" s="308"/>
      <c r="US554" s="308"/>
      <c r="UT554" s="308"/>
      <c r="UU554" s="308"/>
      <c r="UV554" s="308"/>
      <c r="UW554" s="308"/>
      <c r="UX554" s="308"/>
      <c r="UY554" s="308"/>
      <c r="UZ554" s="308"/>
      <c r="VA554" s="308"/>
      <c r="VB554" s="308"/>
      <c r="VC554" s="308"/>
      <c r="VD554" s="308"/>
      <c r="VE554" s="308"/>
      <c r="VF554" s="308"/>
      <c r="VG554" s="308"/>
      <c r="VH554" s="308"/>
      <c r="VI554" s="308"/>
      <c r="VJ554" s="308"/>
      <c r="VK554" s="308"/>
      <c r="VL554" s="308"/>
      <c r="VM554" s="308"/>
      <c r="VN554" s="308"/>
      <c r="VO554" s="308"/>
      <c r="VP554" s="308"/>
      <c r="VQ554" s="308"/>
      <c r="VR554" s="308"/>
      <c r="VS554" s="308"/>
      <c r="VT554" s="308"/>
      <c r="VU554" s="308"/>
      <c r="VV554" s="308"/>
      <c r="VW554" s="308"/>
      <c r="VX554" s="308"/>
      <c r="VY554" s="308"/>
      <c r="VZ554" s="308"/>
      <c r="WA554" s="308"/>
      <c r="WB554" s="308"/>
      <c r="WC554" s="308"/>
      <c r="WD554" s="308"/>
      <c r="WE554" s="308"/>
      <c r="WF554" s="308"/>
      <c r="WG554" s="308"/>
      <c r="WH554" s="308"/>
      <c r="WI554" s="308"/>
      <c r="WJ554" s="308"/>
      <c r="WK554" s="308"/>
      <c r="WL554" s="308"/>
      <c r="WM554" s="308"/>
      <c r="WN554" s="308"/>
      <c r="WO554" s="308"/>
      <c r="WP554" s="308"/>
      <c r="WQ554" s="308"/>
      <c r="WR554" s="308"/>
      <c r="WS554" s="308"/>
      <c r="WT554" s="308"/>
      <c r="WU554" s="308"/>
      <c r="WV554" s="308"/>
      <c r="WW554" s="308"/>
      <c r="WX554" s="308"/>
      <c r="WY554" s="308"/>
      <c r="WZ554" s="308"/>
      <c r="XA554" s="308"/>
      <c r="XB554" s="308"/>
      <c r="XC554" s="308"/>
      <c r="XD554" s="308"/>
      <c r="XE554" s="308"/>
      <c r="XF554" s="308"/>
      <c r="XG554" s="308"/>
      <c r="XH554" s="308"/>
      <c r="XI554" s="308"/>
      <c r="XJ554" s="308"/>
      <c r="XK554" s="308"/>
      <c r="XL554" s="308"/>
      <c r="XM554" s="308"/>
      <c r="XN554" s="308"/>
      <c r="XO554" s="308"/>
      <c r="XP554" s="308"/>
      <c r="XQ554" s="308"/>
      <c r="XR554" s="308"/>
      <c r="XS554" s="308"/>
      <c r="XT554" s="308"/>
      <c r="XU554" s="308"/>
      <c r="XV554" s="308"/>
      <c r="XW554" s="308"/>
      <c r="XX554" s="308"/>
      <c r="XY554" s="308"/>
      <c r="XZ554" s="308"/>
      <c r="YA554" s="308"/>
      <c r="YB554" s="308"/>
      <c r="YC554" s="308"/>
      <c r="YD554" s="308"/>
      <c r="YE554" s="308"/>
      <c r="YF554" s="308"/>
      <c r="YG554" s="308"/>
      <c r="YH554" s="308"/>
      <c r="YI554" s="308"/>
      <c r="YJ554" s="308"/>
      <c r="YK554" s="308"/>
      <c r="YL554" s="308"/>
      <c r="YM554" s="308"/>
      <c r="YN554" s="308"/>
      <c r="YO554" s="308"/>
      <c r="YP554" s="308"/>
      <c r="YQ554" s="308"/>
      <c r="YR554" s="308"/>
      <c r="YS554" s="308"/>
      <c r="YT554" s="308"/>
      <c r="YU554" s="308"/>
      <c r="YV554" s="308"/>
      <c r="YW554" s="308"/>
      <c r="YX554" s="308"/>
      <c r="YY554" s="308"/>
      <c r="YZ554" s="308"/>
      <c r="ZA554" s="308"/>
      <c r="ZB554" s="308"/>
      <c r="ZC554" s="308"/>
      <c r="ZD554" s="308"/>
      <c r="ZE554" s="308"/>
      <c r="ZF554" s="308"/>
      <c r="ZG554" s="308"/>
      <c r="ZH554" s="308"/>
      <c r="ZI554" s="308"/>
      <c r="ZJ554" s="308"/>
      <c r="ZK554" s="308"/>
      <c r="ZL554" s="308"/>
      <c r="ZM554" s="308"/>
      <c r="ZN554" s="308"/>
      <c r="ZO554" s="308"/>
      <c r="ZP554" s="308"/>
      <c r="ZQ554" s="308"/>
      <c r="ZR554" s="308"/>
      <c r="ZS554" s="308"/>
      <c r="ZT554" s="308"/>
      <c r="ZU554" s="308"/>
      <c r="ZV554" s="308"/>
      <c r="ZW554" s="308"/>
      <c r="ZX554" s="308"/>
      <c r="ZY554" s="308"/>
      <c r="ZZ554" s="308"/>
      <c r="AAA554" s="308"/>
      <c r="AAB554" s="308"/>
      <c r="AAC554" s="308"/>
      <c r="AAD554" s="308"/>
      <c r="AAE554" s="308"/>
      <c r="AAF554" s="308"/>
      <c r="AAG554" s="308"/>
      <c r="AAH554" s="308"/>
      <c r="AAI554" s="308"/>
      <c r="AAJ554" s="308"/>
      <c r="AAK554" s="308"/>
      <c r="AAL554" s="308"/>
      <c r="AAM554" s="308"/>
      <c r="AAN554" s="308"/>
      <c r="AAO554" s="308"/>
      <c r="AAP554" s="308"/>
      <c r="AAQ554" s="308"/>
      <c r="AAR554" s="308"/>
      <c r="AAS554" s="308"/>
      <c r="AAT554" s="308"/>
      <c r="AAU554" s="308"/>
      <c r="AAV554" s="308"/>
      <c r="AAW554" s="308"/>
      <c r="AAX554" s="308"/>
      <c r="AAY554" s="308"/>
      <c r="AAZ554" s="308"/>
      <c r="ABA554" s="308"/>
      <c r="ABB554" s="308"/>
      <c r="ABC554" s="308"/>
      <c r="ABD554" s="308"/>
      <c r="ABE554" s="308"/>
      <c r="ABF554" s="308"/>
      <c r="ABG554" s="308"/>
      <c r="ABH554" s="308"/>
      <c r="ABI554" s="308"/>
      <c r="ABJ554" s="308"/>
      <c r="ABK554" s="308"/>
      <c r="ABL554" s="308"/>
      <c r="ABM554" s="308"/>
      <c r="ABN554" s="308"/>
      <c r="ABO554" s="308"/>
      <c r="ABP554" s="308"/>
      <c r="ABQ554" s="308"/>
      <c r="ABR554" s="308"/>
      <c r="ABS554" s="308"/>
      <c r="ABT554" s="308"/>
      <c r="ABU554" s="308"/>
      <c r="ABV554" s="308"/>
      <c r="ABW554" s="308"/>
      <c r="ABX554" s="308"/>
      <c r="ABY554" s="308"/>
      <c r="ABZ554" s="308"/>
      <c r="ACA554" s="308"/>
      <c r="ACB554" s="308"/>
      <c r="ACC554" s="308"/>
      <c r="ACD554" s="308"/>
      <c r="ACE554" s="308"/>
      <c r="ACF554" s="308"/>
      <c r="ACG554" s="308"/>
      <c r="ACH554" s="308"/>
      <c r="ACI554" s="308"/>
      <c r="ACJ554" s="308"/>
      <c r="ACK554" s="308"/>
      <c r="ACL554" s="308"/>
      <c r="ACM554" s="308"/>
      <c r="ACN554" s="308"/>
      <c r="ACO554" s="308"/>
      <c r="ACP554" s="308"/>
      <c r="ACQ554" s="308"/>
      <c r="ACR554" s="308"/>
      <c r="ACS554" s="308"/>
      <c r="ACT554" s="308"/>
      <c r="ACU554" s="308"/>
      <c r="ACV554" s="308"/>
    </row>
    <row r="555" spans="1:776" x14ac:dyDescent="0.25">
      <c r="A555" s="585">
        <v>900254</v>
      </c>
      <c r="B555" s="1" t="s">
        <v>449</v>
      </c>
      <c r="D555" s="3">
        <v>7.7</v>
      </c>
      <c r="E555" s="3">
        <v>5.41</v>
      </c>
      <c r="F555" s="26">
        <v>56.82</v>
      </c>
      <c r="G555" s="3">
        <v>0</v>
      </c>
      <c r="H555" s="3">
        <v>0.04</v>
      </c>
      <c r="I555" s="26">
        <v>1367.4</v>
      </c>
      <c r="J555" s="3">
        <v>123.41</v>
      </c>
      <c r="K555" s="3">
        <v>3.0600000000000002E-2</v>
      </c>
      <c r="L555" s="3">
        <v>386.4</v>
      </c>
      <c r="M555" s="3">
        <v>0</v>
      </c>
      <c r="N555" s="3">
        <v>5.51</v>
      </c>
      <c r="O555" s="3">
        <v>476.38</v>
      </c>
      <c r="P555" s="3">
        <v>331.65</v>
      </c>
      <c r="Q555" s="3">
        <v>170.41</v>
      </c>
    </row>
    <row r="556" spans="1:776" x14ac:dyDescent="0.25">
      <c r="A556" s="585">
        <v>900255</v>
      </c>
      <c r="B556" s="1" t="s">
        <v>450</v>
      </c>
      <c r="D556" s="3">
        <v>7.26</v>
      </c>
      <c r="E556" s="3">
        <v>6.48</v>
      </c>
      <c r="F556" s="26">
        <v>100.22</v>
      </c>
      <c r="G556" s="3">
        <v>0</v>
      </c>
      <c r="H556" s="3">
        <v>0.1</v>
      </c>
      <c r="I556" s="26">
        <v>1577</v>
      </c>
      <c r="J556" s="3">
        <v>129.78</v>
      </c>
      <c r="K556" s="3">
        <v>3.0600000000000002E-2</v>
      </c>
      <c r="L556" s="3">
        <v>266.39999999999998</v>
      </c>
      <c r="M556" s="3">
        <v>0</v>
      </c>
      <c r="N556" s="3">
        <v>5.16</v>
      </c>
      <c r="O556" s="3">
        <v>717.38</v>
      </c>
      <c r="P556" s="3">
        <v>254.67</v>
      </c>
      <c r="Q556" s="3">
        <v>171.65</v>
      </c>
    </row>
    <row r="557" spans="1:776" x14ac:dyDescent="0.25">
      <c r="A557" s="585">
        <v>900256</v>
      </c>
      <c r="B557" s="1" t="s">
        <v>451</v>
      </c>
      <c r="D557" s="3">
        <v>7.4</v>
      </c>
      <c r="E557" s="3">
        <v>0.53600000000000003</v>
      </c>
      <c r="F557" s="26">
        <v>35.24</v>
      </c>
      <c r="G557" s="3">
        <v>0</v>
      </c>
      <c r="H557" s="3">
        <v>7.0000000000000007E-2</v>
      </c>
      <c r="I557" s="26">
        <v>32.44</v>
      </c>
      <c r="J557" s="3">
        <v>38.47</v>
      </c>
      <c r="K557" s="3">
        <v>1E-4</v>
      </c>
      <c r="L557" s="3">
        <v>232.8</v>
      </c>
      <c r="M557" s="3">
        <v>0</v>
      </c>
      <c r="N557" s="3">
        <v>1.1499999999999999</v>
      </c>
      <c r="O557" s="3">
        <v>17.25</v>
      </c>
      <c r="P557" s="3">
        <v>50.98</v>
      </c>
      <c r="Q557" s="3">
        <v>30.21</v>
      </c>
      <c r="R557" s="3">
        <v>1E-4</v>
      </c>
      <c r="S557" s="3">
        <v>1E-4</v>
      </c>
      <c r="T557" s="3">
        <v>1E-4</v>
      </c>
      <c r="U557" s="3">
        <v>1E-4</v>
      </c>
    </row>
    <row r="558" spans="1:776" x14ac:dyDescent="0.25">
      <c r="A558" s="585">
        <v>900257</v>
      </c>
      <c r="B558" s="1" t="s">
        <v>452</v>
      </c>
      <c r="D558" s="2103" t="s">
        <v>473</v>
      </c>
      <c r="E558" s="2103"/>
      <c r="F558" s="2103"/>
      <c r="G558" s="2103"/>
    </row>
    <row r="559" spans="1:776" x14ac:dyDescent="0.25">
      <c r="A559" s="585">
        <v>900258</v>
      </c>
      <c r="B559" s="1" t="s">
        <v>453</v>
      </c>
      <c r="D559" s="3">
        <v>9.66</v>
      </c>
      <c r="E559" s="3">
        <v>0.33300000000000002</v>
      </c>
      <c r="F559" s="26">
        <v>1.46</v>
      </c>
      <c r="G559" s="3">
        <v>0</v>
      </c>
      <c r="H559" s="3">
        <v>7.0000000000000007E-2</v>
      </c>
      <c r="I559" s="26">
        <v>19.25</v>
      </c>
      <c r="J559" s="3">
        <v>10.14</v>
      </c>
      <c r="K559" s="3">
        <v>3.0600000000000002E-2</v>
      </c>
      <c r="L559" s="3">
        <v>201.60000000000002</v>
      </c>
      <c r="M559" s="3">
        <v>0</v>
      </c>
      <c r="N559" s="3">
        <v>1E-4</v>
      </c>
      <c r="O559" s="3">
        <v>4.1900000000000004</v>
      </c>
      <c r="P559" s="3">
        <v>8.73</v>
      </c>
      <c r="Q559" s="3">
        <v>43.02</v>
      </c>
      <c r="R559" s="3">
        <v>1E-4</v>
      </c>
      <c r="S559" s="3">
        <v>1E-4</v>
      </c>
      <c r="T559" s="3">
        <v>1E-4</v>
      </c>
      <c r="U559" s="3">
        <v>1E-4</v>
      </c>
    </row>
    <row r="560" spans="1:776" x14ac:dyDescent="0.25">
      <c r="A560" s="585">
        <v>900259</v>
      </c>
      <c r="B560" s="1" t="s">
        <v>454</v>
      </c>
      <c r="D560" s="3">
        <v>7.05</v>
      </c>
      <c r="E560" s="3">
        <v>5.76</v>
      </c>
      <c r="F560" s="26">
        <v>18.36</v>
      </c>
      <c r="G560" s="3">
        <v>0</v>
      </c>
      <c r="H560" s="3">
        <v>0.06</v>
      </c>
      <c r="I560" s="26">
        <v>1209.3599999999999</v>
      </c>
      <c r="J560" s="3">
        <v>339.9</v>
      </c>
      <c r="K560" s="3">
        <v>3.0600000000000002E-2</v>
      </c>
      <c r="L560" s="3">
        <v>429.59999999999997</v>
      </c>
      <c r="M560" s="3">
        <v>0</v>
      </c>
      <c r="N560" s="3">
        <v>3.58</v>
      </c>
      <c r="O560" s="3">
        <v>643.83000000000004</v>
      </c>
      <c r="P560" s="3">
        <v>256.56</v>
      </c>
      <c r="Q560" s="3">
        <v>153.85</v>
      </c>
      <c r="R560" s="3">
        <v>0.03</v>
      </c>
      <c r="S560" s="3">
        <v>1E-4</v>
      </c>
      <c r="T560" s="3">
        <v>1E-4</v>
      </c>
      <c r="U560" s="3">
        <v>1E-3</v>
      </c>
    </row>
    <row r="561" spans="1:323" x14ac:dyDescent="0.25">
      <c r="A561" s="585">
        <v>900260</v>
      </c>
      <c r="B561" s="1" t="s">
        <v>455</v>
      </c>
      <c r="D561" s="3">
        <v>7.87</v>
      </c>
      <c r="E561" s="3">
        <v>0.61499999999999999</v>
      </c>
      <c r="F561" s="26">
        <v>46.75</v>
      </c>
      <c r="G561" s="3">
        <v>0</v>
      </c>
      <c r="H561" s="3">
        <v>0.1</v>
      </c>
      <c r="I561" s="26">
        <v>28.63</v>
      </c>
      <c r="J561" s="3">
        <v>7.2</v>
      </c>
      <c r="K561" s="3">
        <v>0</v>
      </c>
      <c r="L561" s="3">
        <v>314.39999999999998</v>
      </c>
      <c r="M561" s="3">
        <v>0</v>
      </c>
      <c r="N561" s="3">
        <v>0.59</v>
      </c>
      <c r="O561" s="3">
        <v>16.59</v>
      </c>
      <c r="P561" s="3">
        <v>71.790000000000006</v>
      </c>
      <c r="Q561" s="3">
        <v>29.84</v>
      </c>
      <c r="R561" s="3">
        <v>0.02</v>
      </c>
      <c r="S561" s="3">
        <v>1E-4</v>
      </c>
      <c r="T561" s="3">
        <v>1E-4</v>
      </c>
      <c r="U561" s="3">
        <v>1E-3</v>
      </c>
    </row>
    <row r="562" spans="1:323" x14ac:dyDescent="0.25">
      <c r="A562" s="585">
        <v>900261</v>
      </c>
      <c r="B562" s="1" t="s">
        <v>456</v>
      </c>
      <c r="D562" s="3">
        <v>7.28</v>
      </c>
      <c r="E562" s="3">
        <v>0.71499999999999997</v>
      </c>
      <c r="F562" s="26">
        <v>46.67</v>
      </c>
      <c r="G562" s="3">
        <v>0</v>
      </c>
      <c r="H562" s="3">
        <v>0.08</v>
      </c>
      <c r="I562" s="26">
        <v>30.74</v>
      </c>
      <c r="J562" s="3">
        <v>25.36</v>
      </c>
      <c r="K562" s="3">
        <v>3.0600000000000002E-2</v>
      </c>
      <c r="L562" s="3">
        <v>350.4</v>
      </c>
      <c r="M562" s="3">
        <v>0</v>
      </c>
      <c r="N562" s="3">
        <v>0.44</v>
      </c>
      <c r="O562" s="3">
        <v>16.53</v>
      </c>
      <c r="P562" s="3">
        <v>84.98</v>
      </c>
      <c r="Q562" s="3">
        <v>35.61</v>
      </c>
      <c r="R562" s="3">
        <v>0.02</v>
      </c>
      <c r="S562" s="3">
        <v>1E-4</v>
      </c>
      <c r="T562" s="3">
        <v>1E-4</v>
      </c>
      <c r="U562" s="3">
        <v>1E-3</v>
      </c>
    </row>
    <row r="563" spans="1:323" x14ac:dyDescent="0.25">
      <c r="A563" s="585">
        <v>900262</v>
      </c>
      <c r="B563" s="1" t="s">
        <v>457</v>
      </c>
      <c r="D563" s="3">
        <v>7.26</v>
      </c>
      <c r="E563" s="3">
        <v>0.73399999999999999</v>
      </c>
      <c r="F563" s="26">
        <v>11.02</v>
      </c>
      <c r="G563" s="3">
        <v>0</v>
      </c>
      <c r="H563" s="3">
        <v>7.0000000000000007E-2</v>
      </c>
      <c r="I563" s="26">
        <v>35.74</v>
      </c>
      <c r="J563" s="3">
        <v>25.8</v>
      </c>
      <c r="K563" s="3">
        <v>3.0600000000000002E-2</v>
      </c>
      <c r="L563" s="3">
        <v>388.79999999999995</v>
      </c>
      <c r="M563" s="3">
        <v>0</v>
      </c>
      <c r="N563" s="3">
        <v>0.62</v>
      </c>
      <c r="O563" s="3">
        <v>20.440000000000001</v>
      </c>
      <c r="P563" s="3">
        <v>87.49</v>
      </c>
      <c r="Q563" s="3">
        <v>35.21</v>
      </c>
      <c r="R563" s="3">
        <v>0.08</v>
      </c>
      <c r="S563" s="3">
        <v>1E-4</v>
      </c>
      <c r="T563" s="3">
        <v>1E-4</v>
      </c>
      <c r="U563" s="3">
        <v>0.06</v>
      </c>
    </row>
    <row r="564" spans="1:323" x14ac:dyDescent="0.25">
      <c r="A564" s="585">
        <v>900263</v>
      </c>
      <c r="B564" s="1" t="s">
        <v>458</v>
      </c>
      <c r="D564" s="3">
        <v>7.53</v>
      </c>
      <c r="E564" s="3">
        <v>3.4</v>
      </c>
      <c r="F564" s="26">
        <v>7.1</v>
      </c>
      <c r="G564" s="3">
        <v>0</v>
      </c>
      <c r="H564" s="3">
        <v>0.11</v>
      </c>
      <c r="I564" s="26">
        <v>149.02000000000001</v>
      </c>
      <c r="J564" s="3">
        <v>821.1</v>
      </c>
      <c r="K564" s="3">
        <v>3.0600000000000002E-2</v>
      </c>
      <c r="L564" s="3">
        <v>693.59999999999991</v>
      </c>
      <c r="M564" s="3">
        <v>0</v>
      </c>
      <c r="N564" s="3">
        <v>26.84</v>
      </c>
      <c r="O564" s="3">
        <v>245.95</v>
      </c>
      <c r="P564" s="3">
        <v>352.72</v>
      </c>
      <c r="Q564" s="3">
        <v>133.38</v>
      </c>
      <c r="R564" s="3">
        <v>1E-4</v>
      </c>
      <c r="S564" s="3">
        <v>1E-4</v>
      </c>
      <c r="T564" s="3">
        <v>1E-4</v>
      </c>
      <c r="U564" s="3">
        <v>7.0000000000000007E-2</v>
      </c>
    </row>
    <row r="565" spans="1:323" x14ac:dyDescent="0.25">
      <c r="A565" s="585">
        <v>900264</v>
      </c>
      <c r="B565" s="1" t="s">
        <v>459</v>
      </c>
      <c r="D565" s="3">
        <v>7.91</v>
      </c>
      <c r="E565" s="3">
        <v>0.6</v>
      </c>
      <c r="F565" s="26">
        <v>6.07</v>
      </c>
      <c r="G565" s="3">
        <v>0</v>
      </c>
      <c r="H565" s="3">
        <v>0.08</v>
      </c>
      <c r="I565" s="26">
        <v>32.85</v>
      </c>
      <c r="J565" s="3">
        <v>98.94</v>
      </c>
      <c r="K565" s="3">
        <v>9.1799999999999993E-2</v>
      </c>
      <c r="L565" s="3">
        <v>201.60000000000002</v>
      </c>
      <c r="M565" s="3">
        <v>0</v>
      </c>
      <c r="N565" s="3">
        <v>1.1100000000000001</v>
      </c>
      <c r="O565" s="3">
        <v>20.13</v>
      </c>
      <c r="P565" s="3">
        <v>75.040000000000006</v>
      </c>
      <c r="Q565" s="3">
        <v>22.92</v>
      </c>
      <c r="R565" s="3">
        <v>0.04</v>
      </c>
      <c r="S565" s="3">
        <v>1E-4</v>
      </c>
      <c r="T565" s="3">
        <v>1E-4</v>
      </c>
      <c r="U565" s="3">
        <v>1E-4</v>
      </c>
    </row>
    <row r="566" spans="1:323" x14ac:dyDescent="0.25">
      <c r="A566" s="585">
        <v>900265</v>
      </c>
      <c r="AC566" s="5">
        <v>0.01</v>
      </c>
    </row>
    <row r="567" spans="1:323" x14ac:dyDescent="0.25">
      <c r="A567" s="585">
        <v>900266</v>
      </c>
      <c r="B567" s="1" t="s">
        <v>460</v>
      </c>
      <c r="D567" s="3">
        <v>7.34</v>
      </c>
      <c r="E567" s="3">
        <v>1.78</v>
      </c>
      <c r="F567" s="26">
        <v>14.37</v>
      </c>
      <c r="G567" s="3">
        <v>0</v>
      </c>
      <c r="H567" s="3">
        <v>0.08</v>
      </c>
      <c r="I567" s="26">
        <v>340.74</v>
      </c>
      <c r="J567" s="3">
        <v>74.23</v>
      </c>
      <c r="K567" s="3">
        <v>0.12240000000000001</v>
      </c>
      <c r="L567" s="3">
        <v>328.8</v>
      </c>
      <c r="M567" s="3">
        <v>0</v>
      </c>
      <c r="N567" s="3">
        <v>7.61</v>
      </c>
      <c r="O567" s="3">
        <v>190.11</v>
      </c>
      <c r="P567" s="3">
        <v>87.03</v>
      </c>
      <c r="Q567" s="3">
        <v>49.81</v>
      </c>
      <c r="R567" s="3">
        <v>0.06</v>
      </c>
      <c r="S567" s="3">
        <v>1E-3</v>
      </c>
      <c r="T567" s="3">
        <v>1E-3</v>
      </c>
      <c r="U567" s="3">
        <v>1E-3</v>
      </c>
    </row>
    <row r="568" spans="1:323" s="571" customFormat="1" x14ac:dyDescent="0.25">
      <c r="A568" s="586">
        <v>900267</v>
      </c>
      <c r="B568" s="567" t="str">
        <f>"-"&amp;TEXT((F568/62+G568/46+I568/35.5+J568/48+K568/97+L568/61),"0,00")&amp;"/+"&amp;TEXT((N568/39+O568/23+P568/20+Q568/12+H569/14),"0,00")&amp;"  (EC  "&amp;E568*10&amp;")"</f>
        <v>-14,42/+15,28  (EC  14,1)</v>
      </c>
      <c r="C568" s="568"/>
      <c r="D568" s="568">
        <v>7.41</v>
      </c>
      <c r="E568" s="568">
        <v>1.41</v>
      </c>
      <c r="F568" s="568">
        <v>15.1</v>
      </c>
      <c r="G568" s="568">
        <v>0</v>
      </c>
      <c r="H568" s="569">
        <v>0.02</v>
      </c>
      <c r="I568" s="837">
        <v>225.43</v>
      </c>
      <c r="J568" s="569">
        <v>101.6</v>
      </c>
      <c r="K568" s="570">
        <f>0*3.06</f>
        <v>0</v>
      </c>
      <c r="L568" s="566">
        <f>(14.6-0.1)*24</f>
        <v>348</v>
      </c>
      <c r="M568" s="569">
        <v>0</v>
      </c>
      <c r="N568" s="569">
        <v>14.29</v>
      </c>
      <c r="O568" s="569">
        <v>83.7</v>
      </c>
      <c r="P568" s="569">
        <v>114.45</v>
      </c>
      <c r="Q568" s="569">
        <v>66.59</v>
      </c>
      <c r="R568" s="569">
        <v>1E-4</v>
      </c>
      <c r="S568" s="569">
        <v>1E-4</v>
      </c>
      <c r="T568" s="569">
        <v>0.02</v>
      </c>
      <c r="U568" s="569">
        <v>0.08</v>
      </c>
      <c r="V568" s="569"/>
      <c r="W568" s="1067"/>
      <c r="X568" s="1067"/>
      <c r="Y568" s="1067"/>
      <c r="Z568" s="1067"/>
      <c r="AA568" s="1067"/>
      <c r="AB568" s="1067"/>
      <c r="AC568" s="1067"/>
      <c r="AD568" s="1067"/>
      <c r="AE568" s="1067"/>
      <c r="AF568" s="1067"/>
      <c r="AG568" s="1067"/>
      <c r="AH568" s="1067"/>
      <c r="AI568" s="1067"/>
      <c r="AJ568" s="1067"/>
      <c r="AK568" s="1067"/>
      <c r="AL568" s="1067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067"/>
      <c r="BM568" s="1067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  <c r="BX568" s="1067"/>
      <c r="BY568" s="1067"/>
      <c r="BZ568" s="1067"/>
      <c r="CA568" s="1067"/>
      <c r="CB568" s="1067"/>
      <c r="CC568" s="1067"/>
      <c r="CD568" s="1067"/>
      <c r="CE568" s="1067"/>
      <c r="CF568" s="1067"/>
      <c r="CG568" s="1067"/>
      <c r="CH568" s="1067"/>
      <c r="CI568" s="1067"/>
      <c r="CJ568" s="1067"/>
      <c r="CK568" s="1067"/>
      <c r="CL568" s="1067"/>
      <c r="CM568" s="1067"/>
      <c r="CN568" s="1067"/>
      <c r="CO568" s="1067"/>
      <c r="CP568" s="1067"/>
      <c r="CQ568" s="1067"/>
      <c r="CR568" s="1067"/>
      <c r="CS568" s="1067"/>
      <c r="CT568" s="1067"/>
      <c r="CU568" s="1067"/>
      <c r="CV568" s="1067"/>
      <c r="CW568" s="1067"/>
      <c r="CX568" s="1067"/>
      <c r="CY568" s="1067"/>
      <c r="CZ568" s="1067"/>
      <c r="DA568" s="1067"/>
      <c r="DB568" s="1067"/>
      <c r="DC568" s="1067"/>
      <c r="DD568" s="1067"/>
      <c r="DE568" s="1067"/>
      <c r="DF568" s="1067"/>
      <c r="DG568" s="1067"/>
      <c r="DH568" s="1067"/>
      <c r="DI568" s="1067"/>
      <c r="DJ568" s="1067"/>
      <c r="DK568" s="1067"/>
      <c r="DL568" s="1067"/>
      <c r="DM568" s="1067"/>
      <c r="DN568" s="1067"/>
      <c r="DO568" s="1067"/>
      <c r="DP568" s="1067"/>
      <c r="DQ568" s="1067"/>
      <c r="DR568" s="1067"/>
      <c r="DS568" s="1067"/>
      <c r="DT568" s="1067"/>
      <c r="DU568" s="1067"/>
      <c r="DV568" s="1067"/>
      <c r="DW568" s="1067"/>
      <c r="DX568" s="1067"/>
      <c r="DY568" s="1067"/>
      <c r="DZ568" s="1067"/>
      <c r="EA568" s="1067"/>
      <c r="EB568" s="1067"/>
      <c r="EC568" s="1067"/>
      <c r="ED568" s="1067"/>
      <c r="EE568" s="1067"/>
      <c r="EF568" s="1067"/>
      <c r="EG568" s="1067"/>
      <c r="EH568" s="1067"/>
      <c r="EI568" s="1067"/>
      <c r="EJ568" s="1067"/>
      <c r="EK568" s="1067"/>
      <c r="EL568" s="1067"/>
      <c r="EM568" s="1067"/>
      <c r="EN568" s="1067"/>
      <c r="EO568" s="1067"/>
      <c r="EP568" s="1067"/>
      <c r="EQ568" s="1067"/>
      <c r="ER568" s="1067"/>
      <c r="ES568" s="1067"/>
      <c r="ET568" s="1067"/>
      <c r="EU568" s="1067"/>
      <c r="EV568" s="1067"/>
      <c r="EW568" s="1067"/>
      <c r="EX568" s="1067"/>
      <c r="EY568" s="1067"/>
      <c r="EZ568" s="1067"/>
      <c r="FA568" s="1067"/>
      <c r="FB568" s="1067"/>
      <c r="FC568" s="1067"/>
      <c r="FD568" s="1067"/>
      <c r="FE568" s="1067"/>
      <c r="FF568" s="1067"/>
      <c r="FG568" s="1067"/>
      <c r="FH568" s="1067"/>
      <c r="FI568" s="1067"/>
      <c r="FJ568" s="1067"/>
      <c r="FK568" s="1067"/>
      <c r="FL568" s="1067"/>
      <c r="FM568" s="1067"/>
      <c r="FN568" s="1067"/>
      <c r="FO568" s="1067"/>
      <c r="FP568" s="1067"/>
      <c r="FQ568" s="1067"/>
      <c r="FR568" s="1067"/>
      <c r="FS568" s="1067"/>
      <c r="FT568" s="1067"/>
      <c r="FU568" s="1067"/>
      <c r="FV568" s="1067"/>
      <c r="FW568" s="1067"/>
      <c r="FX568" s="1067"/>
      <c r="FY568" s="1067"/>
      <c r="FZ568" s="1067"/>
      <c r="GA568" s="1067"/>
      <c r="GB568" s="1067"/>
      <c r="GC568" s="1067"/>
      <c r="GD568" s="1067"/>
      <c r="GE568" s="1067"/>
      <c r="GF568" s="1067"/>
      <c r="GG568" s="1067"/>
      <c r="GH568" s="1067"/>
      <c r="GI568" s="1067"/>
      <c r="GJ568" s="1067"/>
      <c r="GK568" s="1067"/>
      <c r="GL568" s="1067"/>
      <c r="GM568" s="1067"/>
      <c r="GN568" s="1067"/>
      <c r="GO568" s="1067"/>
      <c r="GP568" s="1067"/>
      <c r="GQ568" s="1067"/>
      <c r="GR568" s="1067"/>
      <c r="GS568" s="1067"/>
      <c r="GT568" s="1067"/>
      <c r="GU568" s="1067"/>
      <c r="GV568" s="1067"/>
      <c r="GW568" s="1067"/>
      <c r="GX568" s="1067"/>
      <c r="GY568" s="1067"/>
      <c r="GZ568" s="1067"/>
      <c r="HA568" s="1067"/>
      <c r="HB568" s="1067"/>
      <c r="HC568" s="1067"/>
      <c r="HD568" s="1067"/>
      <c r="HE568" s="1067"/>
      <c r="HF568" s="1067"/>
      <c r="HG568" s="1067"/>
      <c r="HH568" s="1067"/>
      <c r="HI568" s="1067"/>
      <c r="HJ568" s="1067"/>
      <c r="HK568" s="1067"/>
      <c r="HL568" s="1067"/>
      <c r="HM568" s="1067"/>
      <c r="HN568" s="1067"/>
      <c r="HO568" s="1067"/>
      <c r="HP568" s="1067"/>
      <c r="HQ568" s="1067"/>
      <c r="HR568" s="1067"/>
      <c r="HS568" s="1067"/>
      <c r="HT568" s="1067"/>
      <c r="HU568" s="1067"/>
      <c r="HV568" s="1067"/>
      <c r="HW568" s="1067"/>
      <c r="HX568" s="1067"/>
      <c r="HY568" s="1067"/>
      <c r="HZ568" s="1067"/>
      <c r="IA568" s="1067"/>
      <c r="IB568" s="1067"/>
      <c r="IC568" s="1067"/>
      <c r="ID568" s="1067"/>
      <c r="IE568" s="1067"/>
      <c r="IF568" s="1067"/>
      <c r="IG568" s="1067"/>
      <c r="IH568" s="1067"/>
      <c r="II568" s="1067"/>
      <c r="IJ568" s="1067"/>
      <c r="IK568" s="1067"/>
      <c r="IL568" s="1067"/>
      <c r="IM568" s="1067"/>
      <c r="IN568" s="1067"/>
      <c r="IO568" s="1067"/>
      <c r="IP568" s="1067"/>
      <c r="IQ568" s="1067"/>
      <c r="IR568" s="1067"/>
      <c r="IS568" s="1067"/>
      <c r="IT568" s="1067"/>
      <c r="IU568" s="1067"/>
      <c r="IV568" s="1067"/>
      <c r="IW568" s="1067"/>
      <c r="IX568" s="1067"/>
      <c r="IY568" s="1067"/>
      <c r="IZ568" s="1067"/>
      <c r="JA568" s="1067"/>
      <c r="JB568" s="1067"/>
      <c r="JC568" s="1067"/>
      <c r="JD568" s="1067"/>
      <c r="JE568" s="1067"/>
      <c r="JF568" s="1067"/>
      <c r="JG568" s="1067"/>
      <c r="JH568" s="1067"/>
      <c r="JI568" s="1067"/>
      <c r="JJ568" s="1067"/>
      <c r="JK568" s="1067"/>
      <c r="JL568" s="1067"/>
      <c r="JM568" s="1067"/>
      <c r="JN568" s="1067"/>
      <c r="JO568" s="1067"/>
      <c r="JP568" s="1067"/>
      <c r="JQ568" s="1067"/>
      <c r="JR568" s="1067"/>
      <c r="JS568" s="1067"/>
      <c r="JT568" s="1067"/>
      <c r="JU568" s="1067"/>
      <c r="JV568" s="1067"/>
      <c r="JW568" s="1067"/>
      <c r="JX568" s="1067"/>
      <c r="JY568" s="1067"/>
      <c r="JZ568" s="1067"/>
      <c r="KA568" s="1067"/>
      <c r="KB568" s="1067"/>
      <c r="KC568" s="1067"/>
      <c r="KD568" s="1067"/>
      <c r="KE568" s="1067"/>
      <c r="KF568" s="1067"/>
      <c r="KG568" s="1067"/>
      <c r="KH568" s="1067"/>
      <c r="KI568" s="1067"/>
      <c r="KJ568" s="1067"/>
      <c r="KK568" s="1067"/>
      <c r="KL568" s="1067"/>
      <c r="KM568" s="1067"/>
      <c r="KN568" s="1067"/>
      <c r="KO568" s="1067"/>
      <c r="KP568" s="1067"/>
      <c r="KQ568" s="1067"/>
      <c r="KR568" s="1067"/>
      <c r="KS568" s="1067"/>
      <c r="KT568" s="1067"/>
      <c r="KU568" s="1067"/>
      <c r="KV568" s="1067"/>
      <c r="KW568" s="1067"/>
      <c r="KX568" s="1067"/>
      <c r="KY568" s="1067"/>
      <c r="KZ568" s="1067"/>
      <c r="LA568" s="1067"/>
      <c r="LB568" s="1067"/>
      <c r="LC568" s="1067"/>
      <c r="LD568" s="1067"/>
      <c r="LE568" s="1067"/>
      <c r="LF568" s="1067"/>
      <c r="LG568" s="1067"/>
      <c r="LH568" s="1067"/>
      <c r="LI568" s="1067"/>
      <c r="LJ568" s="1067"/>
      <c r="LK568" s="1067"/>
    </row>
    <row r="569" spans="1:323" s="571" customFormat="1" x14ac:dyDescent="0.25">
      <c r="A569" s="586">
        <v>900268</v>
      </c>
      <c r="B569" s="567" t="str">
        <f>"-"&amp;TEXT((F569/62+G569/46+I569/35.5+J569/48+K569/97+L569/61),"0,00")&amp;"/+"&amp;TEXT((N569/39+O569/23+P569/20+Q569/12+H570/14),"0,00")&amp;"  (EC  "&amp;E569*10&amp;")"</f>
        <v>-81,70/+94,62  (EC  91,1)</v>
      </c>
      <c r="C569" s="568"/>
      <c r="D569" s="568">
        <v>7.19</v>
      </c>
      <c r="E569" s="568">
        <v>9.11</v>
      </c>
      <c r="F569" s="568">
        <v>2.66</v>
      </c>
      <c r="G569" s="568">
        <v>0</v>
      </c>
      <c r="H569" s="569">
        <v>0.05</v>
      </c>
      <c r="I569" s="837">
        <v>2650</v>
      </c>
      <c r="J569" s="569">
        <v>143.97999999999999</v>
      </c>
      <c r="K569" s="570">
        <f>0.02*3.06</f>
        <v>6.1200000000000004E-2</v>
      </c>
      <c r="L569" s="566">
        <f>(10.3-0.1)*24</f>
        <v>244.8</v>
      </c>
      <c r="M569" s="569">
        <v>0</v>
      </c>
      <c r="N569" s="569">
        <v>1.65</v>
      </c>
      <c r="O569" s="569">
        <v>909.69</v>
      </c>
      <c r="P569" s="569">
        <v>517.38</v>
      </c>
      <c r="Q569" s="569">
        <v>349.89</v>
      </c>
      <c r="R569" s="569">
        <v>7.54</v>
      </c>
      <c r="S569" s="569">
        <v>1E-4</v>
      </c>
      <c r="T569" s="569">
        <v>0.14000000000000001</v>
      </c>
      <c r="U569" s="569">
        <v>0.08</v>
      </c>
      <c r="V569" s="569"/>
      <c r="W569" s="1067"/>
      <c r="X569" s="1067"/>
      <c r="Y569" s="1067"/>
      <c r="Z569" s="1067"/>
      <c r="AA569" s="1067"/>
      <c r="AB569" s="1067"/>
      <c r="AC569" s="1067"/>
      <c r="AD569" s="1067"/>
      <c r="AE569" s="1067"/>
      <c r="AF569" s="1067"/>
      <c r="AG569" s="1067"/>
      <c r="AH569" s="1067"/>
      <c r="AI569" s="1067"/>
      <c r="AJ569" s="1067"/>
      <c r="AK569" s="1067"/>
      <c r="AL569" s="1067"/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/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067"/>
      <c r="BM569" s="1067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  <c r="BX569" s="1067"/>
      <c r="BY569" s="1067"/>
      <c r="BZ569" s="1067"/>
      <c r="CA569" s="1067"/>
      <c r="CB569" s="1067"/>
      <c r="CC569" s="1067"/>
      <c r="CD569" s="1067"/>
      <c r="CE569" s="1067"/>
      <c r="CF569" s="1067"/>
      <c r="CG569" s="1067"/>
      <c r="CH569" s="1067"/>
      <c r="CI569" s="1067"/>
      <c r="CJ569" s="1067"/>
      <c r="CK569" s="1067"/>
      <c r="CL569" s="1067"/>
      <c r="CM569" s="1067"/>
      <c r="CN569" s="1067"/>
      <c r="CO569" s="1067"/>
      <c r="CP569" s="1067"/>
      <c r="CQ569" s="1067"/>
      <c r="CR569" s="1067"/>
      <c r="CS569" s="1067"/>
      <c r="CT569" s="1067"/>
      <c r="CU569" s="1067"/>
      <c r="CV569" s="1067"/>
      <c r="CW569" s="1067"/>
      <c r="CX569" s="1067"/>
      <c r="CY569" s="1067"/>
      <c r="CZ569" s="1067"/>
      <c r="DA569" s="1067"/>
      <c r="DB569" s="1067"/>
      <c r="DC569" s="1067"/>
      <c r="DD569" s="1067"/>
      <c r="DE569" s="1067"/>
      <c r="DF569" s="1067"/>
      <c r="DG569" s="1067"/>
      <c r="DH569" s="1067"/>
      <c r="DI569" s="1067"/>
      <c r="DJ569" s="1067"/>
      <c r="DK569" s="1067"/>
      <c r="DL569" s="1067"/>
      <c r="DM569" s="1067"/>
      <c r="DN569" s="1067"/>
      <c r="DO569" s="1067"/>
      <c r="DP569" s="1067"/>
      <c r="DQ569" s="1067"/>
      <c r="DR569" s="1067"/>
      <c r="DS569" s="1067"/>
      <c r="DT569" s="1067"/>
      <c r="DU569" s="1067"/>
      <c r="DV569" s="1067"/>
      <c r="DW569" s="1067"/>
      <c r="DX569" s="1067"/>
      <c r="DY569" s="1067"/>
      <c r="DZ569" s="1067"/>
      <c r="EA569" s="1067"/>
      <c r="EB569" s="1067"/>
      <c r="EC569" s="1067"/>
      <c r="ED569" s="1067"/>
      <c r="EE569" s="1067"/>
      <c r="EF569" s="1067"/>
      <c r="EG569" s="1067"/>
      <c r="EH569" s="1067"/>
      <c r="EI569" s="1067"/>
      <c r="EJ569" s="1067"/>
      <c r="EK569" s="1067"/>
      <c r="EL569" s="1067"/>
      <c r="EM569" s="1067"/>
      <c r="EN569" s="1067"/>
      <c r="EO569" s="1067"/>
      <c r="EP569" s="1067"/>
      <c r="EQ569" s="1067"/>
      <c r="ER569" s="1067"/>
      <c r="ES569" s="1067"/>
      <c r="ET569" s="1067"/>
      <c r="EU569" s="1067"/>
      <c r="EV569" s="1067"/>
      <c r="EW569" s="1067"/>
      <c r="EX569" s="1067"/>
      <c r="EY569" s="1067"/>
      <c r="EZ569" s="1067"/>
      <c r="FA569" s="1067"/>
      <c r="FB569" s="1067"/>
      <c r="FC569" s="1067"/>
      <c r="FD569" s="1067"/>
      <c r="FE569" s="1067"/>
      <c r="FF569" s="1067"/>
      <c r="FG569" s="1067"/>
      <c r="FH569" s="1067"/>
      <c r="FI569" s="1067"/>
      <c r="FJ569" s="1067"/>
      <c r="FK569" s="1067"/>
      <c r="FL569" s="1067"/>
      <c r="FM569" s="1067"/>
      <c r="FN569" s="1067"/>
      <c r="FO569" s="1067"/>
      <c r="FP569" s="1067"/>
      <c r="FQ569" s="1067"/>
      <c r="FR569" s="1067"/>
      <c r="FS569" s="1067"/>
      <c r="FT569" s="1067"/>
      <c r="FU569" s="1067"/>
      <c r="FV569" s="1067"/>
      <c r="FW569" s="1067"/>
      <c r="FX569" s="1067"/>
      <c r="FY569" s="1067"/>
      <c r="FZ569" s="1067"/>
      <c r="GA569" s="1067"/>
      <c r="GB569" s="1067"/>
      <c r="GC569" s="1067"/>
      <c r="GD569" s="1067"/>
      <c r="GE569" s="1067"/>
      <c r="GF569" s="1067"/>
      <c r="GG569" s="1067"/>
      <c r="GH569" s="1067"/>
      <c r="GI569" s="1067"/>
      <c r="GJ569" s="1067"/>
      <c r="GK569" s="1067"/>
      <c r="GL569" s="1067"/>
      <c r="GM569" s="1067"/>
      <c r="GN569" s="1067"/>
      <c r="GO569" s="1067"/>
      <c r="GP569" s="1067"/>
      <c r="GQ569" s="1067"/>
      <c r="GR569" s="1067"/>
      <c r="GS569" s="1067"/>
      <c r="GT569" s="1067"/>
      <c r="GU569" s="1067"/>
      <c r="GV569" s="1067"/>
      <c r="GW569" s="1067"/>
      <c r="GX569" s="1067"/>
      <c r="GY569" s="1067"/>
      <c r="GZ569" s="1067"/>
      <c r="HA569" s="1067"/>
      <c r="HB569" s="1067"/>
      <c r="HC569" s="1067"/>
      <c r="HD569" s="1067"/>
      <c r="HE569" s="1067"/>
      <c r="HF569" s="1067"/>
      <c r="HG569" s="1067"/>
      <c r="HH569" s="1067"/>
      <c r="HI569" s="1067"/>
      <c r="HJ569" s="1067"/>
      <c r="HK569" s="1067"/>
      <c r="HL569" s="1067"/>
      <c r="HM569" s="1067"/>
      <c r="HN569" s="1067"/>
      <c r="HO569" s="1067"/>
      <c r="HP569" s="1067"/>
      <c r="HQ569" s="1067"/>
      <c r="HR569" s="1067"/>
      <c r="HS569" s="1067"/>
      <c r="HT569" s="1067"/>
      <c r="HU569" s="1067"/>
      <c r="HV569" s="1067"/>
      <c r="HW569" s="1067"/>
      <c r="HX569" s="1067"/>
      <c r="HY569" s="1067"/>
      <c r="HZ569" s="1067"/>
      <c r="IA569" s="1067"/>
      <c r="IB569" s="1067"/>
      <c r="IC569" s="1067"/>
      <c r="ID569" s="1067"/>
      <c r="IE569" s="1067"/>
      <c r="IF569" s="1067"/>
      <c r="IG569" s="1067"/>
      <c r="IH569" s="1067"/>
      <c r="II569" s="1067"/>
      <c r="IJ569" s="1067"/>
      <c r="IK569" s="1067"/>
      <c r="IL569" s="1067"/>
      <c r="IM569" s="1067"/>
      <c r="IN569" s="1067"/>
      <c r="IO569" s="1067"/>
      <c r="IP569" s="1067"/>
      <c r="IQ569" s="1067"/>
      <c r="IR569" s="1067"/>
      <c r="IS569" s="1067"/>
      <c r="IT569" s="1067"/>
      <c r="IU569" s="1067"/>
      <c r="IV569" s="1067"/>
      <c r="IW569" s="1067"/>
      <c r="IX569" s="1067"/>
      <c r="IY569" s="1067"/>
      <c r="IZ569" s="1067"/>
      <c r="JA569" s="1067"/>
      <c r="JB569" s="1067"/>
      <c r="JC569" s="1067"/>
      <c r="JD569" s="1067"/>
      <c r="JE569" s="1067"/>
      <c r="JF569" s="1067"/>
      <c r="JG569" s="1067"/>
      <c r="JH569" s="1067"/>
      <c r="JI569" s="1067"/>
      <c r="JJ569" s="1067"/>
      <c r="JK569" s="1067"/>
      <c r="JL569" s="1067"/>
      <c r="JM569" s="1067"/>
      <c r="JN569" s="1067"/>
      <c r="JO569" s="1067"/>
      <c r="JP569" s="1067"/>
      <c r="JQ569" s="1067"/>
      <c r="JR569" s="1067"/>
      <c r="JS569" s="1067"/>
      <c r="JT569" s="1067"/>
      <c r="JU569" s="1067"/>
      <c r="JV569" s="1067"/>
      <c r="JW569" s="1067"/>
      <c r="JX569" s="1067"/>
      <c r="JY569" s="1067"/>
      <c r="JZ569" s="1067"/>
      <c r="KA569" s="1067"/>
      <c r="KB569" s="1067"/>
      <c r="KC569" s="1067"/>
      <c r="KD569" s="1067"/>
      <c r="KE569" s="1067"/>
      <c r="KF569" s="1067"/>
      <c r="KG569" s="1067"/>
      <c r="KH569" s="1067"/>
      <c r="KI569" s="1067"/>
      <c r="KJ569" s="1067"/>
      <c r="KK569" s="1067"/>
      <c r="KL569" s="1067"/>
      <c r="KM569" s="1067"/>
      <c r="KN569" s="1067"/>
      <c r="KO569" s="1067"/>
      <c r="KP569" s="1067"/>
      <c r="KQ569" s="1067"/>
      <c r="KR569" s="1067"/>
      <c r="KS569" s="1067"/>
      <c r="KT569" s="1067"/>
      <c r="KU569" s="1067"/>
      <c r="KV569" s="1067"/>
      <c r="KW569" s="1067"/>
      <c r="KX569" s="1067"/>
      <c r="KY569" s="1067"/>
      <c r="KZ569" s="1067"/>
      <c r="LA569" s="1067"/>
      <c r="LB569" s="1067"/>
      <c r="LC569" s="1067"/>
      <c r="LD569" s="1067"/>
      <c r="LE569" s="1067"/>
      <c r="LF569" s="1067"/>
      <c r="LG569" s="1067"/>
      <c r="LH569" s="1067"/>
      <c r="LI569" s="1067"/>
      <c r="LJ569" s="1067"/>
      <c r="LK569" s="1067"/>
    </row>
    <row r="570" spans="1:323" s="556" customFormat="1" x14ac:dyDescent="0.25">
      <c r="A570" s="584">
        <v>900269</v>
      </c>
      <c r="B570" s="551" t="str">
        <f t="shared" ref="B570:B575" si="15">"-"&amp;TEXT((F570/62+G570/46+I570/35.5+J570/48+K570/97+L570/61),"0,00")&amp;"/+"&amp;TEXT((N570/39+O570/23+P570/20+Q570/12+H570/14),"0,00")&amp;"  (EC  "&amp;E570*10&amp;")"</f>
        <v>-8,23/+7,22  (EC  6,57)</v>
      </c>
      <c r="C570" s="552"/>
      <c r="D570" s="553">
        <v>7.55</v>
      </c>
      <c r="E570" s="553">
        <v>0.65700000000000003</v>
      </c>
      <c r="F570" s="587">
        <v>13.76</v>
      </c>
      <c r="G570" s="553">
        <v>0</v>
      </c>
      <c r="H570" s="553">
        <v>0.03</v>
      </c>
      <c r="I570" s="587">
        <v>23.4</v>
      </c>
      <c r="J570" s="553">
        <v>71.28</v>
      </c>
      <c r="K570" s="553">
        <f>0*3.06</f>
        <v>0</v>
      </c>
      <c r="L570" s="553">
        <f>(15-0.1)*24</f>
        <v>357.6</v>
      </c>
      <c r="M570" s="553">
        <v>0</v>
      </c>
      <c r="N570" s="553">
        <v>1.42</v>
      </c>
      <c r="O570" s="553">
        <v>9.26</v>
      </c>
      <c r="P570" s="553">
        <v>79.260000000000005</v>
      </c>
      <c r="Q570" s="553">
        <v>33.85</v>
      </c>
      <c r="R570" s="553">
        <v>1E-3</v>
      </c>
      <c r="S570" s="553">
        <v>1E-3</v>
      </c>
      <c r="T570" s="553">
        <v>1E-4</v>
      </c>
      <c r="U570" s="553">
        <v>1E-3</v>
      </c>
      <c r="V570" s="553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</row>
    <row r="571" spans="1:323" s="556" customFormat="1" x14ac:dyDescent="0.25">
      <c r="A571" s="584">
        <v>900270</v>
      </c>
      <c r="B571" s="551" t="str">
        <f t="shared" si="15"/>
        <v>-75,61/+88,43  (EC  82,5)</v>
      </c>
      <c r="C571" s="552"/>
      <c r="D571" s="553">
        <v>4.71</v>
      </c>
      <c r="E571" s="553">
        <v>8.25</v>
      </c>
      <c r="F571" s="587">
        <v>2.1</v>
      </c>
      <c r="G571" s="553">
        <v>0</v>
      </c>
      <c r="H571" s="553">
        <v>0.03</v>
      </c>
      <c r="I571" s="587">
        <v>970</v>
      </c>
      <c r="J571" s="553">
        <v>438</v>
      </c>
      <c r="K571" s="553">
        <f>181.4*3.06</f>
        <v>555.08400000000006</v>
      </c>
      <c r="L571" s="553">
        <f>((17*5)-0.1)*24</f>
        <v>2037.6000000000001</v>
      </c>
      <c r="M571" s="553">
        <v>0</v>
      </c>
      <c r="N571" s="553">
        <v>2060.66</v>
      </c>
      <c r="O571" s="553">
        <v>32.450000000000003</v>
      </c>
      <c r="P571" s="553">
        <v>574.05999999999995</v>
      </c>
      <c r="Q571" s="553">
        <v>65.7</v>
      </c>
      <c r="R571" s="553">
        <v>0.36</v>
      </c>
      <c r="S571" s="553">
        <v>0.06</v>
      </c>
      <c r="T571" s="553">
        <v>12.62</v>
      </c>
      <c r="U571" s="553">
        <v>1.05</v>
      </c>
      <c r="V571" s="553">
        <v>1.73</v>
      </c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</row>
    <row r="572" spans="1:323" s="556" customFormat="1" x14ac:dyDescent="0.25">
      <c r="A572" s="584">
        <v>900271</v>
      </c>
      <c r="B572" s="551" t="str">
        <f t="shared" si="15"/>
        <v>-10,59/+11,71  (EC  10,83)</v>
      </c>
      <c r="C572" s="552"/>
      <c r="D572" s="553">
        <v>7.32</v>
      </c>
      <c r="E572" s="553">
        <v>1.083</v>
      </c>
      <c r="F572" s="587">
        <v>92.95</v>
      </c>
      <c r="G572" s="553">
        <v>0</v>
      </c>
      <c r="H572" s="553">
        <v>0.03</v>
      </c>
      <c r="I572" s="587">
        <v>82.96</v>
      </c>
      <c r="J572" s="553">
        <v>78.59</v>
      </c>
      <c r="K572" s="553">
        <f>0*3.06</f>
        <v>0</v>
      </c>
      <c r="L572" s="553">
        <f>(13.1-0.1)*24</f>
        <v>312</v>
      </c>
      <c r="M572" s="553">
        <v>0</v>
      </c>
      <c r="N572" s="553">
        <v>1.95</v>
      </c>
      <c r="O572" s="553">
        <v>38.93</v>
      </c>
      <c r="P572" s="553">
        <v>149.5</v>
      </c>
      <c r="Q572" s="553">
        <v>29.83</v>
      </c>
      <c r="R572" s="553">
        <v>1E-3</v>
      </c>
      <c r="S572" s="553">
        <v>1E-3</v>
      </c>
      <c r="T572" s="553">
        <v>1E-3</v>
      </c>
      <c r="U572" s="553">
        <v>1E-3</v>
      </c>
      <c r="V572" s="553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</row>
    <row r="573" spans="1:323" s="556" customFormat="1" x14ac:dyDescent="0.25">
      <c r="A573" s="584">
        <v>900272</v>
      </c>
      <c r="B573" s="551" t="str">
        <f t="shared" si="15"/>
        <v>-17,14/+19,04  (EC  17,8)</v>
      </c>
      <c r="C573" s="552"/>
      <c r="D573" s="553">
        <v>7.18</v>
      </c>
      <c r="E573" s="553">
        <v>1.78</v>
      </c>
      <c r="F573" s="587">
        <v>26.07</v>
      </c>
      <c r="G573" s="553">
        <v>0</v>
      </c>
      <c r="H573" s="553">
        <v>0.03</v>
      </c>
      <c r="I573" s="587">
        <v>235.2</v>
      </c>
      <c r="J573" s="553">
        <v>154.24</v>
      </c>
      <c r="K573" s="553">
        <f>0.01*3.06</f>
        <v>3.0600000000000002E-2</v>
      </c>
      <c r="L573" s="553">
        <f>(17.6-0.1)*24</f>
        <v>420</v>
      </c>
      <c r="M573" s="553">
        <v>0</v>
      </c>
      <c r="N573" s="553">
        <v>8.2799999999999994</v>
      </c>
      <c r="O573" s="553">
        <v>89</v>
      </c>
      <c r="P573" s="553">
        <v>141.47999999999999</v>
      </c>
      <c r="Q573" s="553">
        <v>94.63</v>
      </c>
      <c r="R573" s="553">
        <v>1E-3</v>
      </c>
      <c r="S573" s="553">
        <v>1E-3</v>
      </c>
      <c r="T573" s="553">
        <v>1E-3</v>
      </c>
      <c r="U573" s="553">
        <v>1E-3</v>
      </c>
      <c r="V573" s="553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</row>
    <row r="574" spans="1:323" s="556" customFormat="1" x14ac:dyDescent="0.25">
      <c r="A574" s="584">
        <v>900273</v>
      </c>
      <c r="B574" s="551" t="str">
        <f t="shared" si="15"/>
        <v>-6,59/+6,19  (EC  5,87)</v>
      </c>
      <c r="C574" s="552"/>
      <c r="D574" s="553">
        <v>7.31</v>
      </c>
      <c r="E574" s="553">
        <v>0.58699999999999997</v>
      </c>
      <c r="F574" s="587">
        <v>56.33</v>
      </c>
      <c r="G574" s="553">
        <v>0</v>
      </c>
      <c r="H574" s="553">
        <v>0.04</v>
      </c>
      <c r="I574" s="587">
        <v>17.149999999999999</v>
      </c>
      <c r="J574" s="553">
        <v>22.85</v>
      </c>
      <c r="K574" s="553">
        <f>0*3.06</f>
        <v>0</v>
      </c>
      <c r="L574" s="553">
        <f>(12.1-0.1)*24</f>
        <v>288</v>
      </c>
      <c r="M574" s="553">
        <v>0</v>
      </c>
      <c r="N574" s="553">
        <v>3.86</v>
      </c>
      <c r="O574" s="553">
        <v>7.95</v>
      </c>
      <c r="P574" s="553">
        <v>83.49</v>
      </c>
      <c r="Q574" s="553">
        <v>18.809999999999999</v>
      </c>
      <c r="R574" s="553">
        <v>1E-3</v>
      </c>
      <c r="S574" s="553">
        <v>1E-3</v>
      </c>
      <c r="T574" s="553">
        <v>1E-3</v>
      </c>
      <c r="U574" s="553">
        <v>7.0000000000000007E-2</v>
      </c>
      <c r="V574" s="553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</row>
    <row r="575" spans="1:323" x14ac:dyDescent="0.25">
      <c r="A575" s="585">
        <v>900274</v>
      </c>
      <c r="B575" s="1" t="str">
        <f t="shared" si="15"/>
        <v>-7,64/+7,44  (EC  6,8)</v>
      </c>
      <c r="D575" s="4">
        <v>7.56</v>
      </c>
      <c r="E575" s="26">
        <v>0.68</v>
      </c>
      <c r="F575" s="26">
        <v>8.74</v>
      </c>
      <c r="G575" s="3">
        <v>0</v>
      </c>
      <c r="H575" s="3">
        <v>0.05</v>
      </c>
      <c r="I575" s="26">
        <v>20.350000000000001</v>
      </c>
      <c r="J575" s="3">
        <v>130.36000000000001</v>
      </c>
      <c r="K575" s="3">
        <f>0.01*3.06</f>
        <v>3.0600000000000002E-2</v>
      </c>
      <c r="L575" s="3">
        <f>(10.8-0.1)*24</f>
        <v>256.8</v>
      </c>
      <c r="M575" s="3">
        <v>0</v>
      </c>
      <c r="N575" s="3">
        <v>0.98</v>
      </c>
      <c r="O575" s="3">
        <v>25.61</v>
      </c>
      <c r="P575" s="3">
        <v>82.85</v>
      </c>
      <c r="Q575" s="3">
        <v>25.9</v>
      </c>
      <c r="R575" s="3">
        <v>1E-3</v>
      </c>
      <c r="S575" s="3">
        <v>1E-4</v>
      </c>
      <c r="T575" s="3">
        <v>1E-4</v>
      </c>
      <c r="U575" s="3">
        <v>0.08</v>
      </c>
    </row>
    <row r="576" spans="1:323" x14ac:dyDescent="0.25">
      <c r="A576" s="585">
        <v>900275</v>
      </c>
      <c r="B576" s="1" t="str">
        <f t="shared" ref="B576:B639" si="16">"-"&amp;TEXT((F576/62+G576/46+I576/35.5+J576/48+K576/97+L576/61),"0,00")&amp;"/+"&amp;TEXT((N576/39+O576/23+P576/20+Q576/12+H576/14),"0,00")&amp;"  (EC  "&amp;E576*10&amp;")"</f>
        <v>-34,60/+44,72  (EC  36)</v>
      </c>
      <c r="D576" s="4">
        <v>7.11</v>
      </c>
      <c r="E576" s="26">
        <v>3.6</v>
      </c>
      <c r="F576" s="26">
        <v>6.85</v>
      </c>
      <c r="G576" s="3">
        <v>0</v>
      </c>
      <c r="H576" s="3">
        <v>0.05</v>
      </c>
      <c r="I576" s="26">
        <f>92.44*5</f>
        <v>462.2</v>
      </c>
      <c r="J576" s="3">
        <f>159.28*5</f>
        <v>796.4</v>
      </c>
      <c r="K576" s="3">
        <f>0*3.06</f>
        <v>0</v>
      </c>
      <c r="L576" s="3">
        <f>(12.5-0.1)*24</f>
        <v>297.60000000000002</v>
      </c>
      <c r="M576" s="3">
        <v>0</v>
      </c>
      <c r="N576" s="3">
        <v>4.17</v>
      </c>
      <c r="O576" s="3">
        <v>244.3</v>
      </c>
      <c r="P576" s="3">
        <v>458.04</v>
      </c>
      <c r="Q576" s="3">
        <v>133.01</v>
      </c>
      <c r="R576" s="3">
        <v>0.89</v>
      </c>
      <c r="S576" s="3">
        <v>1E-4</v>
      </c>
      <c r="T576" s="3">
        <v>0.02</v>
      </c>
      <c r="U576" s="3">
        <v>0.05</v>
      </c>
    </row>
    <row r="577" spans="1:323" x14ac:dyDescent="0.25">
      <c r="A577" s="585">
        <v>900276</v>
      </c>
      <c r="B577" s="1" t="str">
        <f t="shared" si="16"/>
        <v>-11,89/+13,00  (EC  12,1)</v>
      </c>
      <c r="D577" s="4">
        <v>7.45</v>
      </c>
      <c r="E577" s="26">
        <v>1.21</v>
      </c>
      <c r="F577" s="26">
        <v>16.84</v>
      </c>
      <c r="G577" s="3">
        <v>0</v>
      </c>
      <c r="H577" s="3">
        <v>0.05</v>
      </c>
      <c r="I577" s="26">
        <v>147.57</v>
      </c>
      <c r="J577" s="3">
        <v>159.66999999999999</v>
      </c>
      <c r="K577" s="3">
        <f>0.02*3.06</f>
        <v>6.1200000000000004E-2</v>
      </c>
      <c r="L577" s="3">
        <f>(10.6-0.1)*24</f>
        <v>252</v>
      </c>
      <c r="M577" s="3">
        <v>0</v>
      </c>
      <c r="N577" s="3">
        <v>1.5</v>
      </c>
      <c r="O577" s="3">
        <v>66.66</v>
      </c>
      <c r="P577" s="3">
        <v>121.15</v>
      </c>
      <c r="Q577" s="3">
        <v>47.97</v>
      </c>
      <c r="R577" s="3">
        <v>1E-4</v>
      </c>
      <c r="S577" s="3">
        <v>1E-4</v>
      </c>
      <c r="T577" s="3">
        <v>1E-4</v>
      </c>
      <c r="U577" s="3">
        <v>1E-4</v>
      </c>
    </row>
    <row r="578" spans="1:323" x14ac:dyDescent="0.25">
      <c r="A578" s="585">
        <v>900277</v>
      </c>
      <c r="B578" s="1" t="str">
        <f t="shared" si="16"/>
        <v>-10,08/+10,55  (EC  9,68)</v>
      </c>
      <c r="D578" s="4">
        <v>7.46</v>
      </c>
      <c r="E578" s="26">
        <v>0.96799999999999997</v>
      </c>
      <c r="F578" s="26">
        <v>19.649999999999999</v>
      </c>
      <c r="G578" s="3">
        <v>0</v>
      </c>
      <c r="H578" s="3">
        <v>0.05</v>
      </c>
      <c r="I578" s="26">
        <v>67.63</v>
      </c>
      <c r="J578" s="3">
        <v>154.22999999999999</v>
      </c>
      <c r="K578" s="3">
        <f>0.01*3.06</f>
        <v>3.0600000000000002E-2</v>
      </c>
      <c r="L578" s="3">
        <f>(11.9-0.1)*24</f>
        <v>283.20000000000005</v>
      </c>
      <c r="M578" s="3">
        <v>0</v>
      </c>
      <c r="N578" s="3">
        <v>1.17</v>
      </c>
      <c r="O578" s="3">
        <v>63.99</v>
      </c>
      <c r="P578" s="3">
        <v>91.62</v>
      </c>
      <c r="Q578" s="3">
        <v>37.880000000000003</v>
      </c>
      <c r="R578" s="3">
        <v>1E-3</v>
      </c>
      <c r="S578" s="3">
        <v>1E-4</v>
      </c>
      <c r="T578" s="3">
        <v>1E-4</v>
      </c>
      <c r="U578" s="3">
        <v>1E-4</v>
      </c>
    </row>
    <row r="579" spans="1:323" x14ac:dyDescent="0.25">
      <c r="A579" s="585">
        <v>900278</v>
      </c>
      <c r="B579" s="1" t="str">
        <f t="shared" si="16"/>
        <v>-5,13/+5,14  (EC  4,77)</v>
      </c>
      <c r="D579" s="4">
        <v>7.78</v>
      </c>
      <c r="E579" s="26">
        <v>0.47699999999999998</v>
      </c>
      <c r="F579" s="26">
        <v>2.06</v>
      </c>
      <c r="G579" s="3">
        <v>0</v>
      </c>
      <c r="H579" s="3">
        <v>0.05</v>
      </c>
      <c r="I579" s="26">
        <v>20.99</v>
      </c>
      <c r="J579" s="3">
        <v>83.88</v>
      </c>
      <c r="K579" s="3">
        <f>0.01*3.06</f>
        <v>3.0600000000000002E-2</v>
      </c>
      <c r="L579" s="3">
        <f>(7.1-0.1)*24</f>
        <v>168</v>
      </c>
      <c r="M579" s="3">
        <v>0</v>
      </c>
      <c r="N579" s="3">
        <v>2.58</v>
      </c>
      <c r="O579" s="3">
        <v>26.65</v>
      </c>
      <c r="P579" s="3">
        <v>39.75</v>
      </c>
      <c r="Q579" s="3">
        <v>23.03</v>
      </c>
      <c r="R579" s="3">
        <v>1E-4</v>
      </c>
      <c r="S579" s="3">
        <v>1E-4</v>
      </c>
      <c r="T579" s="3">
        <v>1E-4</v>
      </c>
      <c r="U579" s="3">
        <v>0.02</v>
      </c>
    </row>
    <row r="580" spans="1:323" x14ac:dyDescent="0.25">
      <c r="A580" s="585">
        <v>900279</v>
      </c>
      <c r="B580" s="1" t="str">
        <f t="shared" si="16"/>
        <v>-9,66/+10,80  (EC  9,78)</v>
      </c>
      <c r="D580" s="4">
        <v>7.7</v>
      </c>
      <c r="E580" s="26">
        <v>0.97799999999999998</v>
      </c>
      <c r="F580" s="26">
        <v>14.43</v>
      </c>
      <c r="G580" s="3">
        <v>0</v>
      </c>
      <c r="H580" s="3">
        <v>0.05</v>
      </c>
      <c r="I580" s="26">
        <v>55.93</v>
      </c>
      <c r="J580" s="3">
        <v>155.69999999999999</v>
      </c>
      <c r="K580" s="3">
        <f>0.02*3.06</f>
        <v>6.1200000000000004E-2</v>
      </c>
      <c r="L580" s="3">
        <f>(11.8-0.1)*24</f>
        <v>280.8</v>
      </c>
      <c r="M580" s="3">
        <v>0</v>
      </c>
      <c r="N580" s="3">
        <v>1.35</v>
      </c>
      <c r="O580" s="3">
        <v>49.84</v>
      </c>
      <c r="P580" s="3">
        <v>101.24</v>
      </c>
      <c r="Q580" s="3">
        <v>42.45</v>
      </c>
      <c r="R580" s="3">
        <v>1E-4</v>
      </c>
      <c r="S580" s="3">
        <v>1E-4</v>
      </c>
      <c r="T580" s="3">
        <v>1E-4</v>
      </c>
      <c r="U580" s="3">
        <v>1E-4</v>
      </c>
    </row>
    <row r="581" spans="1:323" s="5" customFormat="1" x14ac:dyDescent="0.25">
      <c r="A581" s="637">
        <v>900280</v>
      </c>
      <c r="B581" s="638" t="str">
        <f t="shared" si="16"/>
        <v>-11,44/+11,81  (EC  11,9)</v>
      </c>
      <c r="C581" s="638"/>
      <c r="D581" s="639">
        <v>7.32</v>
      </c>
      <c r="E581" s="639">
        <v>1.19</v>
      </c>
      <c r="F581" s="640">
        <v>24.75</v>
      </c>
      <c r="G581" s="639">
        <v>0</v>
      </c>
      <c r="H581" s="639">
        <v>0.06</v>
      </c>
      <c r="I581" s="640">
        <v>170.06</v>
      </c>
      <c r="J581" s="639">
        <v>77.14</v>
      </c>
      <c r="K581" s="639">
        <v>0</v>
      </c>
      <c r="L581" s="639">
        <f>(11.9-0.1)*24</f>
        <v>283.20000000000005</v>
      </c>
      <c r="M581" s="639">
        <v>0</v>
      </c>
      <c r="N581" s="639">
        <v>3.96</v>
      </c>
      <c r="O581" s="639">
        <v>58.62</v>
      </c>
      <c r="P581" s="639">
        <v>96.58</v>
      </c>
      <c r="Q581" s="639">
        <v>51.86</v>
      </c>
      <c r="R581" s="639">
        <v>1E-4</v>
      </c>
      <c r="S581" s="639">
        <v>1E-4</v>
      </c>
      <c r="T581" s="639">
        <v>1E-4</v>
      </c>
      <c r="U581" s="639">
        <v>1E-4</v>
      </c>
      <c r="V581" s="639"/>
    </row>
    <row r="582" spans="1:323" s="5" customFormat="1" x14ac:dyDescent="0.25">
      <c r="A582" s="637">
        <v>900281</v>
      </c>
      <c r="B582" s="638" t="str">
        <f t="shared" si="16"/>
        <v>-29,34/+28,35  (EC  28,1)</v>
      </c>
      <c r="C582" s="638"/>
      <c r="D582" s="639">
        <v>7.33</v>
      </c>
      <c r="E582" s="639">
        <v>2.81</v>
      </c>
      <c r="F582" s="640">
        <v>14.74</v>
      </c>
      <c r="G582" s="639">
        <v>0</v>
      </c>
      <c r="H582" s="639">
        <v>0.06</v>
      </c>
      <c r="I582" s="640">
        <f>53.12*10</f>
        <v>531.19999999999993</v>
      </c>
      <c r="J582" s="639">
        <f>49.34*10</f>
        <v>493.40000000000003</v>
      </c>
      <c r="K582" s="639">
        <v>0</v>
      </c>
      <c r="L582" s="639">
        <f>(9.9-0.1)*24</f>
        <v>235.20000000000002</v>
      </c>
      <c r="M582" s="639">
        <v>0</v>
      </c>
      <c r="N582" s="639">
        <v>3.46</v>
      </c>
      <c r="O582" s="639">
        <v>276.31</v>
      </c>
      <c r="P582" s="639">
        <v>189.61</v>
      </c>
      <c r="Q582" s="639">
        <v>81.17</v>
      </c>
      <c r="R582" s="639">
        <v>1E-4</v>
      </c>
      <c r="S582" s="639">
        <v>1E-4</v>
      </c>
      <c r="T582" s="639">
        <v>1E-4</v>
      </c>
      <c r="U582" s="639">
        <v>1E-4</v>
      </c>
      <c r="V582" s="639"/>
    </row>
    <row r="583" spans="1:323" s="642" customFormat="1" x14ac:dyDescent="0.25">
      <c r="A583" s="643">
        <v>900282</v>
      </c>
      <c r="B583" s="644" t="str">
        <f t="shared" si="16"/>
        <v>-17,82/+16,87  (EC  17,7)</v>
      </c>
      <c r="C583" s="644"/>
      <c r="D583" s="645">
        <v>8.16</v>
      </c>
      <c r="E583" s="645">
        <v>1.77</v>
      </c>
      <c r="F583" s="646">
        <v>5.89</v>
      </c>
      <c r="G583" s="645">
        <v>0</v>
      </c>
      <c r="H583" s="646">
        <v>0.05</v>
      </c>
      <c r="I583" s="838">
        <v>333.2</v>
      </c>
      <c r="J583" s="646">
        <v>249.4</v>
      </c>
      <c r="K583" s="645">
        <v>0</v>
      </c>
      <c r="L583" s="645">
        <f>(8.1-0.1)*24</f>
        <v>192</v>
      </c>
      <c r="M583" s="645">
        <v>0</v>
      </c>
      <c r="N583" s="645">
        <v>2.6840000000000002</v>
      </c>
      <c r="O583" s="645">
        <v>196.501</v>
      </c>
      <c r="P583" s="645">
        <v>86.192999999999998</v>
      </c>
      <c r="Q583" s="645">
        <v>47.28</v>
      </c>
      <c r="R583" s="645" t="s">
        <v>467</v>
      </c>
      <c r="S583" s="645">
        <v>1E-4</v>
      </c>
      <c r="T583" s="645">
        <v>1E-4</v>
      </c>
      <c r="U583" s="645">
        <v>0.02</v>
      </c>
      <c r="V583" s="641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</row>
    <row r="584" spans="1:323" s="642" customFormat="1" ht="14.1" customHeight="1" x14ac:dyDescent="0.25">
      <c r="A584" s="643">
        <v>900283</v>
      </c>
      <c r="B584" s="644" t="str">
        <f t="shared" si="16"/>
        <v>-17,54/+17,72  (EC  18,5)</v>
      </c>
      <c r="C584" s="644"/>
      <c r="D584" s="645">
        <v>8.08</v>
      </c>
      <c r="E584" s="645">
        <v>1.85</v>
      </c>
      <c r="F584" s="646">
        <v>4.82</v>
      </c>
      <c r="G584" s="645">
        <v>0</v>
      </c>
      <c r="H584" s="646">
        <v>0.05</v>
      </c>
      <c r="I584" s="838">
        <v>337.40000000000003</v>
      </c>
      <c r="J584" s="646">
        <v>251.45</v>
      </c>
      <c r="K584" s="645">
        <v>0</v>
      </c>
      <c r="L584" s="645">
        <f>(7-0.1)*24</f>
        <v>165.60000000000002</v>
      </c>
      <c r="M584" s="645">
        <v>0</v>
      </c>
      <c r="N584" s="645">
        <v>2.766</v>
      </c>
      <c r="O584" s="645">
        <v>217.99</v>
      </c>
      <c r="P584" s="645">
        <v>89.007000000000005</v>
      </c>
      <c r="Q584" s="645">
        <v>44.655999999999999</v>
      </c>
      <c r="R584" s="645" t="s">
        <v>468</v>
      </c>
      <c r="S584" s="645">
        <v>1E-4</v>
      </c>
      <c r="T584" s="645">
        <v>1E-4</v>
      </c>
      <c r="U584" s="645" t="s">
        <v>465</v>
      </c>
      <c r="V584" s="641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</row>
    <row r="585" spans="1:323" s="642" customFormat="1" x14ac:dyDescent="0.25">
      <c r="A585" s="643">
        <v>900284</v>
      </c>
      <c r="B585" s="644" t="str">
        <f t="shared" si="16"/>
        <v>-16,11/+16,21  (EC  16,6)</v>
      </c>
      <c r="C585" s="644"/>
      <c r="D585" s="645">
        <v>7.74</v>
      </c>
      <c r="E585" s="645">
        <v>1.66</v>
      </c>
      <c r="F585" s="646">
        <v>9.33</v>
      </c>
      <c r="G585" s="645">
        <v>0</v>
      </c>
      <c r="H585" s="646">
        <v>0.04</v>
      </c>
      <c r="I585" s="838">
        <v>280.3</v>
      </c>
      <c r="J585" s="646">
        <v>220.85000000000002</v>
      </c>
      <c r="K585" s="645">
        <v>0</v>
      </c>
      <c r="L585" s="645">
        <f>(8.9-0.1)*24</f>
        <v>211.20000000000002</v>
      </c>
      <c r="M585" s="645">
        <v>0</v>
      </c>
      <c r="N585" s="645">
        <v>2.4609999999999999</v>
      </c>
      <c r="O585" s="645">
        <v>179.04599999999999</v>
      </c>
      <c r="P585" s="645">
        <v>99.022999999999996</v>
      </c>
      <c r="Q585" s="645">
        <v>40.911000000000001</v>
      </c>
      <c r="R585" s="645" t="s">
        <v>469</v>
      </c>
      <c r="S585" s="645">
        <v>1E-4</v>
      </c>
      <c r="T585" s="645">
        <v>1E-4</v>
      </c>
      <c r="U585" s="645" t="s">
        <v>466</v>
      </c>
      <c r="V585" s="641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</row>
    <row r="586" spans="1:323" s="642" customFormat="1" x14ac:dyDescent="0.25">
      <c r="A586" s="643">
        <v>900285</v>
      </c>
      <c r="B586" s="644" t="str">
        <f t="shared" si="16"/>
        <v>-16,21/+16,42  (EC  17)</v>
      </c>
      <c r="C586" s="644"/>
      <c r="D586" s="645">
        <v>7.84</v>
      </c>
      <c r="E586" s="645">
        <v>1.7</v>
      </c>
      <c r="F586" s="646">
        <v>9.68</v>
      </c>
      <c r="G586" s="645">
        <v>0</v>
      </c>
      <c r="H586" s="646">
        <v>0.04</v>
      </c>
      <c r="I586" s="838">
        <v>282.45</v>
      </c>
      <c r="J586" s="646">
        <v>218.55</v>
      </c>
      <c r="K586" s="645">
        <v>0</v>
      </c>
      <c r="L586" s="645">
        <f>(9.1-0.1)*24</f>
        <v>216</v>
      </c>
      <c r="M586" s="645">
        <v>0</v>
      </c>
      <c r="N586" s="645">
        <v>2.254</v>
      </c>
      <c r="O586" s="645">
        <v>182.19900000000001</v>
      </c>
      <c r="P586" s="645">
        <v>93.096999999999994</v>
      </c>
      <c r="Q586" s="645">
        <v>45.371000000000002</v>
      </c>
      <c r="R586" s="645" t="s">
        <v>465</v>
      </c>
      <c r="S586" s="645">
        <v>1E-4</v>
      </c>
      <c r="T586" s="645">
        <v>1E-4</v>
      </c>
      <c r="U586" s="645" t="s">
        <v>467</v>
      </c>
      <c r="V586" s="641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</row>
    <row r="587" spans="1:323" s="642" customFormat="1" x14ac:dyDescent="0.25">
      <c r="A587" s="645">
        <v>900286</v>
      </c>
      <c r="B587" s="645" t="str">
        <f t="shared" si="16"/>
        <v>-8,02/+8,14  (EC  7,85)</v>
      </c>
      <c r="C587" s="645"/>
      <c r="D587" s="645">
        <v>8.34</v>
      </c>
      <c r="E587" s="645">
        <v>0.78500000000000003</v>
      </c>
      <c r="F587" s="646">
        <v>11.31</v>
      </c>
      <c r="G587" s="645">
        <v>0</v>
      </c>
      <c r="H587" s="646">
        <v>0.05</v>
      </c>
      <c r="I587" s="838">
        <v>96.64</v>
      </c>
      <c r="J587" s="646">
        <v>14.97</v>
      </c>
      <c r="K587" s="645">
        <v>0</v>
      </c>
      <c r="L587" s="645">
        <f>(12.3-0.1)*24</f>
        <v>292.8</v>
      </c>
      <c r="M587" s="645">
        <v>0</v>
      </c>
      <c r="N587" s="645">
        <v>1.0289999999999999</v>
      </c>
      <c r="O587" s="645">
        <v>59.247</v>
      </c>
      <c r="P587" s="645">
        <v>39.262999999999998</v>
      </c>
      <c r="Q587" s="645">
        <v>42.896000000000001</v>
      </c>
      <c r="R587" s="645" t="s">
        <v>468</v>
      </c>
      <c r="S587" s="645">
        <v>1E-4</v>
      </c>
      <c r="T587" s="645">
        <v>1E-4</v>
      </c>
      <c r="U587" s="645">
        <v>0.01</v>
      </c>
      <c r="V587" s="641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</row>
    <row r="588" spans="1:323" s="642" customFormat="1" x14ac:dyDescent="0.25">
      <c r="A588" s="645">
        <v>900287</v>
      </c>
      <c r="B588" s="645" t="str">
        <f t="shared" si="16"/>
        <v>-8,04/+8,28  (EC  7,97)</v>
      </c>
      <c r="C588" s="645"/>
      <c r="D588" s="645">
        <v>7.6</v>
      </c>
      <c r="E588" s="645">
        <v>0.79700000000000004</v>
      </c>
      <c r="F588" s="646">
        <v>33.58</v>
      </c>
      <c r="G588" s="645">
        <v>0</v>
      </c>
      <c r="H588" s="646">
        <v>0.04</v>
      </c>
      <c r="I588" s="838">
        <v>67.03</v>
      </c>
      <c r="J588" s="646">
        <v>42.69</v>
      </c>
      <c r="K588" s="645">
        <v>0</v>
      </c>
      <c r="L588" s="645">
        <f>(12.1-0.1)*24</f>
        <v>288</v>
      </c>
      <c r="M588" s="645">
        <v>0</v>
      </c>
      <c r="N588" s="645">
        <v>1.9810000000000001</v>
      </c>
      <c r="O588" s="645">
        <v>51.347000000000001</v>
      </c>
      <c r="P588" s="645">
        <v>80.102999999999994</v>
      </c>
      <c r="Q588" s="645">
        <v>23.908999999999999</v>
      </c>
      <c r="R588" s="645" t="s">
        <v>470</v>
      </c>
      <c r="S588" s="645">
        <v>1E-4</v>
      </c>
      <c r="T588" s="645">
        <v>1E-4</v>
      </c>
      <c r="U588" s="645">
        <v>0.05</v>
      </c>
      <c r="V588" s="641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</row>
    <row r="589" spans="1:323" s="5" customFormat="1" x14ac:dyDescent="0.25">
      <c r="A589" s="727">
        <v>900288</v>
      </c>
      <c r="B589" s="728" t="str">
        <f>"-"&amp;TEXT((F589/62+G589/46+I589/35.5+J589/48+K589/97+L589/61),"0,00")&amp;"/+"&amp;TEXT((N589/39+O589/23+P589/20+Q589/12+H589/14),"0,00")&amp;"  (EC  "&amp;E589*10&amp;")"</f>
        <v>-62,61/+76,68  (EC  69,6)</v>
      </c>
      <c r="C589" s="729"/>
      <c r="D589" s="730">
        <v>7.05</v>
      </c>
      <c r="E589" s="730">
        <v>6.96</v>
      </c>
      <c r="F589" s="731">
        <v>8.6300000000000008</v>
      </c>
      <c r="G589" s="730">
        <v>0</v>
      </c>
      <c r="H589" s="732">
        <v>7.0000000000000007E-2</v>
      </c>
      <c r="I589" s="839">
        <v>1860</v>
      </c>
      <c r="J589" s="732">
        <v>122.89</v>
      </c>
      <c r="K589" s="730">
        <f>0*3.06</f>
        <v>0</v>
      </c>
      <c r="L589" s="730">
        <f>(19.2-0.1)*24</f>
        <v>458.4</v>
      </c>
      <c r="M589" s="730">
        <v>0</v>
      </c>
      <c r="N589" s="733">
        <v>27.18</v>
      </c>
      <c r="O589" s="727">
        <v>933.94</v>
      </c>
      <c r="P589" s="727">
        <v>283.44</v>
      </c>
      <c r="Q589" s="727">
        <v>254.34</v>
      </c>
      <c r="R589" s="727">
        <v>1E-4</v>
      </c>
      <c r="S589" s="727">
        <v>1E-4</v>
      </c>
      <c r="T589" s="727">
        <v>1E-4</v>
      </c>
      <c r="U589" s="727">
        <v>1E-3</v>
      </c>
      <c r="V589" s="25"/>
    </row>
    <row r="590" spans="1:323" s="5" customFormat="1" x14ac:dyDescent="0.25">
      <c r="A590" s="727">
        <v>900289</v>
      </c>
      <c r="B590" s="728" t="str">
        <f t="shared" si="16"/>
        <v>-7,99/+7,76  (EC  7,14)</v>
      </c>
      <c r="C590" s="729"/>
      <c r="D590" s="730">
        <v>7.39</v>
      </c>
      <c r="E590" s="730">
        <v>0.71399999999999997</v>
      </c>
      <c r="F590" s="731">
        <v>24.9</v>
      </c>
      <c r="G590" s="730">
        <v>0</v>
      </c>
      <c r="H590" s="732">
        <v>0.08</v>
      </c>
      <c r="I590" s="839">
        <v>41.23</v>
      </c>
      <c r="J590" s="732">
        <v>40.15</v>
      </c>
      <c r="K590" s="730">
        <f>0*3.06</f>
        <v>0</v>
      </c>
      <c r="L590" s="730">
        <f>(14.3-0.1)*24</f>
        <v>340.8</v>
      </c>
      <c r="M590" s="730">
        <v>0</v>
      </c>
      <c r="N590" s="733">
        <v>2.0699999999999998</v>
      </c>
      <c r="O590" s="727">
        <v>15.36</v>
      </c>
      <c r="P590" s="731" t="s">
        <v>471</v>
      </c>
      <c r="Q590" s="727">
        <v>43.44</v>
      </c>
      <c r="R590" s="734" t="s">
        <v>472</v>
      </c>
      <c r="S590" s="727">
        <v>1E-4</v>
      </c>
      <c r="T590" s="727">
        <v>1E-4</v>
      </c>
      <c r="U590" s="727">
        <v>0.03</v>
      </c>
      <c r="V590" s="25"/>
    </row>
    <row r="591" spans="1:323" s="5" customFormat="1" x14ac:dyDescent="0.25">
      <c r="A591" s="727">
        <v>900290</v>
      </c>
      <c r="B591" s="728" t="str">
        <f t="shared" si="16"/>
        <v>-41,42/+40,70  (EC  43,3)</v>
      </c>
      <c r="C591" s="729"/>
      <c r="D591" s="730">
        <v>7.31</v>
      </c>
      <c r="E591" s="730">
        <v>4.33</v>
      </c>
      <c r="F591" s="731">
        <v>113.02</v>
      </c>
      <c r="G591" s="730">
        <v>0</v>
      </c>
      <c r="H591" s="732">
        <v>0.08</v>
      </c>
      <c r="I591" s="839">
        <v>1203</v>
      </c>
      <c r="J591" s="732">
        <v>109.88</v>
      </c>
      <c r="K591" s="730">
        <f>0.01*3.06</f>
        <v>3.0600000000000002E-2</v>
      </c>
      <c r="L591" s="730">
        <f>(8.8-0.1)*24</f>
        <v>208.8</v>
      </c>
      <c r="M591" s="730">
        <v>0</v>
      </c>
      <c r="N591" s="733">
        <v>1.51</v>
      </c>
      <c r="O591" s="727">
        <v>295.25</v>
      </c>
      <c r="P591" s="727">
        <v>230.32</v>
      </c>
      <c r="Q591" s="727">
        <v>195.67</v>
      </c>
      <c r="R591" s="727"/>
      <c r="S591" s="727"/>
      <c r="T591" s="727"/>
      <c r="U591" s="727"/>
      <c r="V591" s="25"/>
    </row>
    <row r="592" spans="1:323" s="5" customFormat="1" x14ac:dyDescent="0.25">
      <c r="A592" s="727">
        <v>900291</v>
      </c>
      <c r="B592" s="728" t="str">
        <f>"-"&amp;TEXT((F592/62+G592/46+I592/35.5+J592/48+K592/97+L592/61),"0,00")&amp;"/+"&amp;TEXT((N592/39+O592/23+P592/20+Q592/12+H592/14),"0,00")&amp;"  (EC  "&amp;E592*10&amp;")"</f>
        <v>-27,73/+31,57  (EC  29)</v>
      </c>
      <c r="C592" s="729"/>
      <c r="D592" s="730">
        <v>7.39</v>
      </c>
      <c r="E592" s="730">
        <v>2.9</v>
      </c>
      <c r="F592" s="731">
        <v>112.74</v>
      </c>
      <c r="G592" s="730">
        <v>0</v>
      </c>
      <c r="H592" s="732">
        <v>0.08</v>
      </c>
      <c r="I592" s="839">
        <v>697.2</v>
      </c>
      <c r="J592" s="732">
        <v>112.37</v>
      </c>
      <c r="K592" s="730">
        <f>0.01*3.06</f>
        <v>3.0600000000000002E-2</v>
      </c>
      <c r="L592" s="730">
        <f>(10.1-0.1)*24</f>
        <v>240</v>
      </c>
      <c r="M592" s="730">
        <v>0</v>
      </c>
      <c r="N592" s="733">
        <v>1</v>
      </c>
      <c r="O592" s="727">
        <v>224.24</v>
      </c>
      <c r="P592" s="727">
        <v>164.11</v>
      </c>
      <c r="Q592" s="727">
        <v>162.94999999999999</v>
      </c>
      <c r="R592" s="727"/>
      <c r="S592" s="727"/>
      <c r="T592" s="727"/>
      <c r="U592" s="727"/>
      <c r="V592" s="25"/>
    </row>
    <row r="593" spans="1:323" s="5" customFormat="1" x14ac:dyDescent="0.25">
      <c r="A593" s="727">
        <v>900292</v>
      </c>
      <c r="B593" s="728" t="str">
        <f t="shared" si="16"/>
        <v>-26,81/+28,91  (EC  29,9)</v>
      </c>
      <c r="C593" s="729"/>
      <c r="D593" s="730">
        <v>7.44</v>
      </c>
      <c r="E593" s="730">
        <v>2.99</v>
      </c>
      <c r="F593" s="731">
        <v>112.31</v>
      </c>
      <c r="G593" s="730">
        <v>0</v>
      </c>
      <c r="H593" s="732">
        <v>0.08</v>
      </c>
      <c r="I593" s="839">
        <v>666</v>
      </c>
      <c r="J593" s="732">
        <v>121.8</v>
      </c>
      <c r="K593" s="730">
        <v>0</v>
      </c>
      <c r="L593" s="730">
        <f>(9.5-0.1)*24</f>
        <v>225.60000000000002</v>
      </c>
      <c r="M593" s="730">
        <v>0</v>
      </c>
      <c r="N593" s="733">
        <v>1.02</v>
      </c>
      <c r="O593" s="727">
        <v>236.55</v>
      </c>
      <c r="P593" s="727">
        <v>137.61000000000001</v>
      </c>
      <c r="Q593" s="727">
        <v>140.5</v>
      </c>
      <c r="R593" s="727"/>
      <c r="S593" s="727"/>
      <c r="T593" s="727"/>
      <c r="U593" s="727"/>
      <c r="V593" s="25"/>
    </row>
    <row r="594" spans="1:323" s="5" customFormat="1" x14ac:dyDescent="0.25">
      <c r="A594" s="727">
        <v>900293</v>
      </c>
      <c r="B594" s="728" t="str">
        <f t="shared" si="16"/>
        <v>-20,18/+18,21  (EC  21,4)</v>
      </c>
      <c r="C594" s="729"/>
      <c r="D594" s="730">
        <v>8.01</v>
      </c>
      <c r="E594" s="730">
        <v>2.14</v>
      </c>
      <c r="F594" s="731">
        <v>42.35</v>
      </c>
      <c r="G594" s="730">
        <v>0</v>
      </c>
      <c r="H594" s="732">
        <v>0.08</v>
      </c>
      <c r="I594" s="839">
        <v>447.59999999999997</v>
      </c>
      <c r="J594" s="732">
        <v>120.86</v>
      </c>
      <c r="K594" s="730">
        <v>0</v>
      </c>
      <c r="L594" s="730">
        <f>(11.2-0.1)*24</f>
        <v>266.39999999999998</v>
      </c>
      <c r="M594" s="730">
        <v>0</v>
      </c>
      <c r="N594" s="733">
        <v>23.53</v>
      </c>
      <c r="O594" s="727">
        <v>349.53</v>
      </c>
      <c r="P594" s="727">
        <v>20.62</v>
      </c>
      <c r="Q594" s="727">
        <v>16.52</v>
      </c>
      <c r="R594" s="727"/>
      <c r="S594" s="727"/>
      <c r="T594" s="734"/>
      <c r="U594" s="727"/>
      <c r="V594" s="25"/>
    </row>
    <row r="595" spans="1:323" s="767" customFormat="1" x14ac:dyDescent="0.25">
      <c r="A595" s="761">
        <v>900294</v>
      </c>
      <c r="B595" s="762" t="str">
        <f t="shared" si="16"/>
        <v>-71,72/+77,69  (EC  76)</v>
      </c>
      <c r="C595" s="763"/>
      <c r="D595" s="764">
        <v>7.22</v>
      </c>
      <c r="E595" s="764">
        <v>7.6</v>
      </c>
      <c r="F595" s="765">
        <v>72.33</v>
      </c>
      <c r="G595" s="765">
        <v>0</v>
      </c>
      <c r="H595" s="764">
        <v>0.1</v>
      </c>
      <c r="I595" s="766">
        <v>1907.25</v>
      </c>
      <c r="J595" s="764">
        <v>603.84</v>
      </c>
      <c r="K595" s="766">
        <f>0.1*3.06</f>
        <v>0.30600000000000005</v>
      </c>
      <c r="L595" s="764">
        <f>(10.9-0.1)*24</f>
        <v>259.20000000000005</v>
      </c>
      <c r="M595" s="764">
        <v>0</v>
      </c>
      <c r="N595" s="764">
        <v>8.33</v>
      </c>
      <c r="O595" s="764">
        <v>829.31</v>
      </c>
      <c r="P595" s="764">
        <v>508.43</v>
      </c>
      <c r="Q595" s="764">
        <v>191.91</v>
      </c>
      <c r="R595" s="764"/>
      <c r="S595" s="764"/>
      <c r="T595" s="764"/>
      <c r="U595" s="764"/>
      <c r="V595" s="764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</row>
    <row r="596" spans="1:323" x14ac:dyDescent="0.25">
      <c r="A596" s="771">
        <v>900295</v>
      </c>
      <c r="B596" s="772" t="str">
        <f t="shared" si="16"/>
        <v>-9,49/+9,93  (EC  8,74)</v>
      </c>
      <c r="C596" s="773"/>
      <c r="D596" s="774">
        <v>7.62</v>
      </c>
      <c r="E596" s="774">
        <v>0.874</v>
      </c>
      <c r="F596" s="775">
        <v>21.82</v>
      </c>
      <c r="G596" s="774">
        <v>0</v>
      </c>
      <c r="H596" s="774">
        <v>0.05</v>
      </c>
      <c r="I596" s="775">
        <v>54.88</v>
      </c>
      <c r="J596" s="774">
        <v>116.96</v>
      </c>
      <c r="K596" s="774">
        <f>0*3.06</f>
        <v>0</v>
      </c>
      <c r="L596" s="774">
        <f>(13.2-0.1)*24</f>
        <v>314.39999999999998</v>
      </c>
      <c r="M596" s="774">
        <v>0</v>
      </c>
      <c r="N596" s="774">
        <v>1.81</v>
      </c>
      <c r="O596" s="774">
        <v>48.61</v>
      </c>
      <c r="P596" s="774">
        <v>100.95</v>
      </c>
      <c r="Q596" s="774">
        <v>32.67</v>
      </c>
      <c r="R596" s="774">
        <v>1E-4</v>
      </c>
      <c r="S596" s="774">
        <v>1E-4</v>
      </c>
      <c r="T596" s="774">
        <v>1E-4</v>
      </c>
      <c r="U596" s="774">
        <v>0.05</v>
      </c>
    </row>
    <row r="597" spans="1:323" x14ac:dyDescent="0.25">
      <c r="A597" s="771">
        <v>900296</v>
      </c>
      <c r="B597" s="772" t="str">
        <f t="shared" si="16"/>
        <v>-9,36/+10,26  (EC  9,04)</v>
      </c>
      <c r="C597" s="773"/>
      <c r="D597" s="774">
        <v>7.74</v>
      </c>
      <c r="E597" s="774">
        <v>0.90400000000000003</v>
      </c>
      <c r="F597" s="775">
        <v>5.27</v>
      </c>
      <c r="G597" s="774">
        <v>0</v>
      </c>
      <c r="H597" s="774">
        <v>0.04</v>
      </c>
      <c r="I597" s="775">
        <v>58.93</v>
      </c>
      <c r="J597" s="774">
        <v>131.29</v>
      </c>
      <c r="K597" s="774">
        <f>0*3.06</f>
        <v>0</v>
      </c>
      <c r="L597" s="774">
        <f>(12.5-0.1)*24</f>
        <v>297.60000000000002</v>
      </c>
      <c r="M597" s="774">
        <v>0</v>
      </c>
      <c r="N597" s="774">
        <v>1.75</v>
      </c>
      <c r="O597" s="774">
        <v>43.58</v>
      </c>
      <c r="P597" s="774">
        <v>107.92</v>
      </c>
      <c r="Q597" s="774">
        <v>35.020000000000003</v>
      </c>
      <c r="R597" s="774">
        <v>1E-4</v>
      </c>
      <c r="S597" s="774">
        <v>1E-4</v>
      </c>
      <c r="T597" s="774">
        <v>1E-4</v>
      </c>
      <c r="U597" s="774">
        <v>0.02</v>
      </c>
    </row>
    <row r="598" spans="1:323" x14ac:dyDescent="0.25">
      <c r="A598" s="771">
        <v>900297</v>
      </c>
      <c r="B598" s="772" t="str">
        <f t="shared" si="16"/>
        <v>-15,25/+18,97  (EC  17,25)</v>
      </c>
      <c r="C598" s="773"/>
      <c r="D598" s="774">
        <v>7.23</v>
      </c>
      <c r="E598" s="774">
        <v>1.7250000000000001</v>
      </c>
      <c r="F598" s="775">
        <v>24.59</v>
      </c>
      <c r="G598" s="774">
        <v>0</v>
      </c>
      <c r="H598" s="774">
        <v>0.05</v>
      </c>
      <c r="I598" s="775">
        <v>91.6</v>
      </c>
      <c r="J598" s="774">
        <v>250.96</v>
      </c>
      <c r="K598" s="774">
        <v>0.02</v>
      </c>
      <c r="L598" s="774">
        <f>(18-0.1)*24</f>
        <v>429.59999999999997</v>
      </c>
      <c r="M598" s="774">
        <v>0</v>
      </c>
      <c r="N598" s="774">
        <v>5.77</v>
      </c>
      <c r="O598" s="774">
        <v>67.31</v>
      </c>
      <c r="P598" s="774">
        <v>176.49</v>
      </c>
      <c r="Q598" s="774">
        <v>84.77</v>
      </c>
      <c r="R598" s="774">
        <v>0.04</v>
      </c>
      <c r="S598" s="774">
        <v>1E-4</v>
      </c>
      <c r="T598" s="774">
        <v>1E-4</v>
      </c>
      <c r="U598" s="774">
        <v>0.04</v>
      </c>
    </row>
    <row r="599" spans="1:323" x14ac:dyDescent="0.25">
      <c r="A599" s="771">
        <v>900298</v>
      </c>
      <c r="B599" s="772" t="str">
        <f t="shared" si="16"/>
        <v>-5,91/+6,26  (EC  5,25)</v>
      </c>
      <c r="C599" s="773"/>
      <c r="D599" s="774">
        <v>7.64</v>
      </c>
      <c r="E599" s="774">
        <v>0.52500000000000002</v>
      </c>
      <c r="F599" s="775">
        <v>5.29</v>
      </c>
      <c r="G599" s="774">
        <v>0</v>
      </c>
      <c r="H599" s="774">
        <v>7.0000000000000007E-2</v>
      </c>
      <c r="I599" s="775">
        <v>13.17</v>
      </c>
      <c r="J599" s="774">
        <v>52.07</v>
      </c>
      <c r="K599" s="774">
        <f>0*3.06</f>
        <v>0</v>
      </c>
      <c r="L599" s="774">
        <f>(11.2-0.1)*24</f>
        <v>266.39999999999998</v>
      </c>
      <c r="M599" s="774">
        <v>0</v>
      </c>
      <c r="N599" s="774">
        <v>0.86</v>
      </c>
      <c r="O599" s="774">
        <v>16.41</v>
      </c>
      <c r="P599" s="774">
        <v>73.5</v>
      </c>
      <c r="Q599" s="774">
        <v>22.08</v>
      </c>
      <c r="R599" s="774">
        <v>1E-4</v>
      </c>
      <c r="S599" s="774">
        <v>1E-4</v>
      </c>
      <c r="T599" s="774">
        <v>1E-4</v>
      </c>
      <c r="U599" s="774">
        <v>1E-4</v>
      </c>
    </row>
    <row r="600" spans="1:323" x14ac:dyDescent="0.25">
      <c r="A600" s="771">
        <v>900299</v>
      </c>
      <c r="B600" s="772" t="str">
        <f t="shared" si="16"/>
        <v>-5,63/+5,95  (EC  4,94)</v>
      </c>
      <c r="C600" s="773"/>
      <c r="D600" s="774">
        <v>7.62</v>
      </c>
      <c r="E600" s="774">
        <v>0.49399999999999999</v>
      </c>
      <c r="F600" s="775">
        <v>6.77</v>
      </c>
      <c r="G600" s="774">
        <v>0</v>
      </c>
      <c r="H600" s="774">
        <v>0.05</v>
      </c>
      <c r="I600" s="775">
        <v>14.3</v>
      </c>
      <c r="J600" s="774">
        <v>49.37</v>
      </c>
      <c r="K600" s="774">
        <f>0*3.06</f>
        <v>0</v>
      </c>
      <c r="L600" s="774">
        <f>(10.5-0.1)*24</f>
        <v>249.60000000000002</v>
      </c>
      <c r="M600" s="774">
        <v>0</v>
      </c>
      <c r="N600" s="774">
        <v>0.88</v>
      </c>
      <c r="O600" s="774">
        <v>16.14</v>
      </c>
      <c r="P600" s="774">
        <v>69.650000000000006</v>
      </c>
      <c r="Q600" s="774">
        <v>20.86</v>
      </c>
      <c r="R600" s="774">
        <v>1E-4</v>
      </c>
      <c r="S600" s="774">
        <v>1E-4</v>
      </c>
      <c r="T600" s="774">
        <v>1E-4</v>
      </c>
      <c r="U600" s="774">
        <v>1E-4</v>
      </c>
    </row>
    <row r="601" spans="1:323" x14ac:dyDescent="0.25">
      <c r="A601" s="771">
        <v>900300</v>
      </c>
      <c r="B601" s="772" t="str">
        <f t="shared" si="16"/>
        <v>-8,97/+9,25  (EC  8,2)</v>
      </c>
      <c r="C601" s="773"/>
      <c r="D601" s="774">
        <v>7.43</v>
      </c>
      <c r="E601" s="774">
        <v>0.82</v>
      </c>
      <c r="F601" s="775">
        <v>30.07</v>
      </c>
      <c r="G601" s="774">
        <v>0</v>
      </c>
      <c r="H601" s="774">
        <v>0.06</v>
      </c>
      <c r="I601" s="775">
        <v>76.319999999999993</v>
      </c>
      <c r="J601" s="774">
        <v>35.99</v>
      </c>
      <c r="K601" s="774">
        <f>0*3.06</f>
        <v>0</v>
      </c>
      <c r="L601" s="774">
        <f>(14.3-0.1)*24</f>
        <v>340.8</v>
      </c>
      <c r="M601" s="774">
        <v>0</v>
      </c>
      <c r="N601" s="774">
        <v>1.9</v>
      </c>
      <c r="O601" s="774">
        <v>23.93</v>
      </c>
      <c r="P601" s="774">
        <v>71.87</v>
      </c>
      <c r="Q601" s="774">
        <v>54.8</v>
      </c>
      <c r="R601" s="774">
        <v>1E-4</v>
      </c>
      <c r="S601" s="774">
        <v>1E-4</v>
      </c>
      <c r="T601" s="774">
        <v>1E-4</v>
      </c>
      <c r="U601" s="774">
        <v>1E-4</v>
      </c>
    </row>
    <row r="602" spans="1:323" s="783" customFormat="1" x14ac:dyDescent="0.25">
      <c r="A602" s="779">
        <v>900301</v>
      </c>
      <c r="B602" s="780" t="str">
        <f t="shared" si="16"/>
        <v>-7,89/+7,73  (EC  7,7)</v>
      </c>
      <c r="C602" s="781"/>
      <c r="D602" s="595">
        <v>7.66</v>
      </c>
      <c r="E602" s="786">
        <v>0.77</v>
      </c>
      <c r="F602" s="782">
        <v>59.13</v>
      </c>
      <c r="G602" s="782">
        <v>0</v>
      </c>
      <c r="H602" s="782">
        <v>0.03</v>
      </c>
      <c r="I602" s="840">
        <v>72.180000000000007</v>
      </c>
      <c r="J602" s="782">
        <v>42.63</v>
      </c>
      <c r="K602" s="785">
        <f>0.02*3.06</f>
        <v>6.1200000000000004E-2</v>
      </c>
      <c r="L602" s="595">
        <f>(10.3-0.1)*24</f>
        <v>244.8</v>
      </c>
      <c r="M602" s="595">
        <v>0</v>
      </c>
      <c r="N602" s="595">
        <v>3.17</v>
      </c>
      <c r="O602" s="595">
        <v>36.61</v>
      </c>
      <c r="P602" s="595">
        <v>108.38</v>
      </c>
      <c r="Q602" s="595">
        <v>7.69</v>
      </c>
      <c r="R602" s="595"/>
      <c r="S602" s="595"/>
      <c r="T602" s="595"/>
      <c r="U602" s="595"/>
      <c r="V602" s="59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</row>
    <row r="603" spans="1:323" s="783" customFormat="1" x14ac:dyDescent="0.25">
      <c r="A603" s="779">
        <v>900302</v>
      </c>
      <c r="B603" s="780" t="str">
        <f t="shared" si="16"/>
        <v>-3,37/+3,26  (EC  3,23)</v>
      </c>
      <c r="C603" s="781"/>
      <c r="D603" s="595">
        <v>7.92</v>
      </c>
      <c r="E603" s="786">
        <v>0.32300000000000001</v>
      </c>
      <c r="F603" s="782">
        <v>3.27</v>
      </c>
      <c r="G603" s="782">
        <v>0</v>
      </c>
      <c r="H603" s="782">
        <v>0.03</v>
      </c>
      <c r="I603" s="840">
        <v>28</v>
      </c>
      <c r="J603" s="782">
        <v>12.02</v>
      </c>
      <c r="K603" s="595">
        <f>0*3.06</f>
        <v>0</v>
      </c>
      <c r="L603" s="595">
        <f>(5.9-0.1)*24</f>
        <v>139.20000000000002</v>
      </c>
      <c r="M603" s="595">
        <v>0</v>
      </c>
      <c r="N603" s="595">
        <v>0.48</v>
      </c>
      <c r="O603" s="595">
        <v>13.07</v>
      </c>
      <c r="P603" s="595">
        <v>44.83</v>
      </c>
      <c r="Q603" s="595">
        <v>5.24</v>
      </c>
      <c r="R603" s="595">
        <v>1E-4</v>
      </c>
      <c r="S603" s="595">
        <v>1E-4</v>
      </c>
      <c r="T603" s="595">
        <v>1E-4</v>
      </c>
      <c r="U603" s="595">
        <v>1E-4</v>
      </c>
      <c r="V603" s="59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</row>
    <row r="604" spans="1:323" s="5" customFormat="1" x14ac:dyDescent="0.25">
      <c r="A604" s="788">
        <v>900303</v>
      </c>
      <c r="B604" s="789" t="str">
        <f t="shared" si="16"/>
        <v>-45,28/+45,30  (EC  44)</v>
      </c>
      <c r="C604" s="790"/>
      <c r="D604" s="791">
        <v>6.9</v>
      </c>
      <c r="E604" s="791">
        <v>4.4000000000000004</v>
      </c>
      <c r="F604" s="792">
        <v>10.75</v>
      </c>
      <c r="G604" s="792">
        <v>0</v>
      </c>
      <c r="H604" s="792">
        <v>0.04</v>
      </c>
      <c r="I604" s="841">
        <v>798.7</v>
      </c>
      <c r="J604" s="792">
        <v>696.05</v>
      </c>
      <c r="K604" s="791">
        <v>0</v>
      </c>
      <c r="L604" s="793">
        <f>(20.7-0.1)*24</f>
        <v>494.4</v>
      </c>
      <c r="M604" s="791">
        <v>0</v>
      </c>
      <c r="N604" s="791">
        <v>8.4499999999999993</v>
      </c>
      <c r="O604" s="791">
        <v>339.03</v>
      </c>
      <c r="P604" s="791">
        <v>328.74</v>
      </c>
      <c r="Q604" s="791">
        <v>166.82</v>
      </c>
      <c r="R604" s="791"/>
      <c r="S604" s="791"/>
      <c r="T604" s="791"/>
      <c r="U604" s="791"/>
      <c r="V604" s="25"/>
    </row>
    <row r="605" spans="1:323" s="5" customFormat="1" x14ac:dyDescent="0.25">
      <c r="A605" s="788">
        <v>900304</v>
      </c>
      <c r="B605" s="789" t="str">
        <f t="shared" si="16"/>
        <v>-35,87/+33,73  (EC  32,2)</v>
      </c>
      <c r="C605" s="790"/>
      <c r="D605" s="791">
        <v>6.91</v>
      </c>
      <c r="E605" s="791">
        <v>3.22</v>
      </c>
      <c r="F605" s="792">
        <v>84.45</v>
      </c>
      <c r="G605" s="792">
        <v>0</v>
      </c>
      <c r="H605" s="792">
        <v>0.03</v>
      </c>
      <c r="I605" s="841">
        <v>523.15</v>
      </c>
      <c r="J605" s="792">
        <v>628.04999999999995</v>
      </c>
      <c r="K605" s="791">
        <v>0</v>
      </c>
      <c r="L605" s="793">
        <f>(17.1-0.1)*24</f>
        <v>408</v>
      </c>
      <c r="M605" s="791">
        <v>0</v>
      </c>
      <c r="N605" s="791">
        <v>7.82</v>
      </c>
      <c r="O605" s="791">
        <v>287.57</v>
      </c>
      <c r="P605" s="791">
        <v>242.12</v>
      </c>
      <c r="Q605" s="791">
        <v>106.97</v>
      </c>
      <c r="R605" s="791"/>
      <c r="S605" s="791"/>
      <c r="T605" s="791"/>
      <c r="U605" s="791"/>
      <c r="V605" s="25"/>
    </row>
    <row r="606" spans="1:323" s="5" customFormat="1" x14ac:dyDescent="0.25">
      <c r="A606" s="788">
        <v>900305</v>
      </c>
      <c r="B606" s="789" t="str">
        <f t="shared" si="16"/>
        <v>-5,83/+5,99  (EC  4,98)</v>
      </c>
      <c r="C606" s="790"/>
      <c r="D606" s="791">
        <v>8.36</v>
      </c>
      <c r="E606" s="791">
        <v>0.498</v>
      </c>
      <c r="F606" s="792">
        <v>0.03</v>
      </c>
      <c r="G606" s="792">
        <v>0</v>
      </c>
      <c r="H606" s="792">
        <v>0.04</v>
      </c>
      <c r="I606" s="842">
        <v>19.53</v>
      </c>
      <c r="J606" s="792">
        <v>55.33</v>
      </c>
      <c r="K606" s="791">
        <v>0</v>
      </c>
      <c r="L606" s="793">
        <f>(10.6-0.1)*24</f>
        <v>252</v>
      </c>
      <c r="M606" s="791">
        <v>0</v>
      </c>
      <c r="N606" s="791">
        <v>4.9400000000000004</v>
      </c>
      <c r="O606" s="791">
        <v>22.06</v>
      </c>
      <c r="P606" s="791">
        <v>32.78</v>
      </c>
      <c r="Q606" s="791">
        <v>39.14</v>
      </c>
      <c r="R606" s="791"/>
      <c r="S606" s="791"/>
      <c r="T606" s="791"/>
      <c r="U606" s="791"/>
      <c r="V606" s="25"/>
    </row>
    <row r="607" spans="1:323" s="5" customFormat="1" x14ac:dyDescent="0.25">
      <c r="A607" s="788">
        <v>900306</v>
      </c>
      <c r="B607" s="789" t="str">
        <f t="shared" si="16"/>
        <v>-7,80/+7,79  (EC  7,22)</v>
      </c>
      <c r="C607" s="790"/>
      <c r="D607" s="791">
        <v>7.78</v>
      </c>
      <c r="E607" s="791">
        <v>0.72199999999999998</v>
      </c>
      <c r="F607" s="792">
        <v>29.45</v>
      </c>
      <c r="G607" s="792">
        <v>0</v>
      </c>
      <c r="H607" s="792">
        <v>0.03</v>
      </c>
      <c r="I607" s="842">
        <v>40.840000000000003</v>
      </c>
      <c r="J607" s="792">
        <v>94.24</v>
      </c>
      <c r="K607" s="791">
        <v>0</v>
      </c>
      <c r="L607" s="793">
        <f>(10.8-0.1)*24</f>
        <v>256.8</v>
      </c>
      <c r="M607" s="791">
        <v>0</v>
      </c>
      <c r="N607" s="791">
        <v>4.46</v>
      </c>
      <c r="O607" s="791">
        <v>72.209999999999994</v>
      </c>
      <c r="P607" s="791">
        <v>56.66</v>
      </c>
      <c r="Q607" s="791">
        <v>20.420000000000002</v>
      </c>
      <c r="R607" s="791"/>
      <c r="S607" s="791"/>
      <c r="T607" s="791"/>
      <c r="U607" s="791"/>
      <c r="V607" s="25"/>
    </row>
    <row r="608" spans="1:323" s="5" customFormat="1" x14ac:dyDescent="0.25">
      <c r="A608" s="788">
        <v>900307</v>
      </c>
      <c r="B608" s="789" t="str">
        <f t="shared" si="16"/>
        <v>-11,85/+11,71  (EC  11,72)</v>
      </c>
      <c r="C608" s="790"/>
      <c r="D608" s="791">
        <v>7.39</v>
      </c>
      <c r="E608" s="791">
        <v>1.1719999999999999</v>
      </c>
      <c r="F608" s="792">
        <v>13.84</v>
      </c>
      <c r="G608" s="792">
        <v>0</v>
      </c>
      <c r="H608" s="792">
        <v>0.04</v>
      </c>
      <c r="I608" s="842">
        <v>186.33</v>
      </c>
      <c r="J608" s="792">
        <v>72.099999999999994</v>
      </c>
      <c r="K608" s="791">
        <v>0</v>
      </c>
      <c r="L608" s="793">
        <f>(12.5-0.1)*24</f>
        <v>297.60000000000002</v>
      </c>
      <c r="M608" s="791">
        <v>0</v>
      </c>
      <c r="N608" s="791">
        <v>1.41</v>
      </c>
      <c r="O608" s="791">
        <v>77.34</v>
      </c>
      <c r="P608" s="791">
        <v>117.12</v>
      </c>
      <c r="Q608" s="791">
        <v>29.48</v>
      </c>
      <c r="R608" s="791">
        <v>1E-4</v>
      </c>
      <c r="S608" s="791">
        <v>1E-4</v>
      </c>
      <c r="T608" s="791">
        <v>1E-4</v>
      </c>
      <c r="U608" s="791">
        <v>0.09</v>
      </c>
      <c r="V608" s="25"/>
    </row>
    <row r="609" spans="1:22" s="5" customFormat="1" x14ac:dyDescent="0.25">
      <c r="A609" s="788">
        <v>900308</v>
      </c>
      <c r="B609" s="789" t="str">
        <f t="shared" si="16"/>
        <v>-8,93/+9,27  (EC  9)</v>
      </c>
      <c r="C609" s="790"/>
      <c r="D609" s="791">
        <v>7.81</v>
      </c>
      <c r="E609" s="791">
        <v>0.9</v>
      </c>
      <c r="F609" s="792">
        <v>91.79</v>
      </c>
      <c r="G609" s="792">
        <v>0</v>
      </c>
      <c r="H609" s="792">
        <v>0.03</v>
      </c>
      <c r="I609" s="842">
        <v>79.67</v>
      </c>
      <c r="J609" s="792">
        <v>83.69</v>
      </c>
      <c r="K609" s="791">
        <v>0</v>
      </c>
      <c r="L609" s="793">
        <f>(8.9-0.1)*24</f>
        <v>211.20000000000002</v>
      </c>
      <c r="M609" s="791">
        <v>0</v>
      </c>
      <c r="N609" s="791">
        <v>3.32</v>
      </c>
      <c r="O609" s="791">
        <v>61.53</v>
      </c>
      <c r="P609" s="791">
        <v>81.94</v>
      </c>
      <c r="Q609" s="791">
        <v>28.91</v>
      </c>
      <c r="R609" s="791"/>
      <c r="S609" s="791"/>
      <c r="T609" s="791"/>
      <c r="U609" s="791"/>
      <c r="V609" s="25"/>
    </row>
    <row r="610" spans="1:22" s="5" customFormat="1" x14ac:dyDescent="0.25">
      <c r="A610" s="580">
        <v>900309</v>
      </c>
      <c r="B610" s="483" t="str">
        <f t="shared" si="16"/>
        <v>-5,54/+4,74  (EC  4,79)</v>
      </c>
      <c r="C610" s="484"/>
      <c r="D610" s="25">
        <v>8.58</v>
      </c>
      <c r="E610" s="25">
        <v>0.47899999999999998</v>
      </c>
      <c r="F610" s="794">
        <v>1.56</v>
      </c>
      <c r="G610" s="25">
        <v>0</v>
      </c>
      <c r="H610" s="794">
        <v>0.06</v>
      </c>
      <c r="I610" s="843">
        <v>18.29</v>
      </c>
      <c r="J610" s="794">
        <v>30.22</v>
      </c>
      <c r="K610" s="795">
        <v>0</v>
      </c>
      <c r="L610" s="25">
        <f>(11.2-0.1)*24</f>
        <v>266.39999999999998</v>
      </c>
      <c r="M610" s="25">
        <v>0</v>
      </c>
      <c r="N610" s="796">
        <v>3.67</v>
      </c>
      <c r="O610" s="796">
        <v>22.02</v>
      </c>
      <c r="P610" s="796">
        <v>40.24</v>
      </c>
      <c r="Q610" s="796">
        <v>20.02</v>
      </c>
      <c r="R610" s="580">
        <v>1E-4</v>
      </c>
      <c r="S610" s="580">
        <v>1E-4</v>
      </c>
      <c r="T610" s="580">
        <v>1E-4</v>
      </c>
      <c r="U610" s="795">
        <v>0.02</v>
      </c>
      <c r="V610" s="25"/>
    </row>
    <row r="611" spans="1:22" x14ac:dyDescent="0.25">
      <c r="A611" s="580">
        <v>900310</v>
      </c>
      <c r="B611" s="483" t="str">
        <f t="shared" si="16"/>
        <v>-8,62/+8,43  (EC  8,46)</v>
      </c>
      <c r="D611" s="3">
        <v>7.02</v>
      </c>
      <c r="E611" s="3">
        <v>0.84599999999999997</v>
      </c>
      <c r="F611" s="794">
        <v>7.65</v>
      </c>
      <c r="G611" s="3">
        <v>0</v>
      </c>
      <c r="H611" s="794">
        <v>0.03</v>
      </c>
      <c r="I611" s="843">
        <v>35.19</v>
      </c>
      <c r="J611" s="794">
        <v>125.94</v>
      </c>
      <c r="K611" s="795">
        <v>0</v>
      </c>
      <c r="L611" s="25">
        <f>(12.5-0.1)*24</f>
        <v>297.60000000000002</v>
      </c>
      <c r="M611" s="3">
        <v>0</v>
      </c>
      <c r="N611" s="796">
        <v>1.47</v>
      </c>
      <c r="O611" s="796">
        <v>31.94</v>
      </c>
      <c r="P611" s="796">
        <v>87.16</v>
      </c>
      <c r="Q611" s="796">
        <v>31.69</v>
      </c>
      <c r="R611" s="3">
        <v>1E-4</v>
      </c>
      <c r="S611" s="580">
        <v>1E-4</v>
      </c>
      <c r="T611" s="580">
        <v>1E-4</v>
      </c>
      <c r="U611" s="795">
        <v>1E-3</v>
      </c>
    </row>
    <row r="612" spans="1:22" x14ac:dyDescent="0.25">
      <c r="A612" s="580">
        <v>900311</v>
      </c>
      <c r="B612" s="483" t="str">
        <f t="shared" si="16"/>
        <v>-10,80/+11,11  (EC  10,82)</v>
      </c>
      <c r="D612" s="3">
        <v>7.06</v>
      </c>
      <c r="E612" s="3">
        <v>1.0820000000000001</v>
      </c>
      <c r="F612" s="784">
        <v>12.96</v>
      </c>
      <c r="G612" s="3">
        <v>0</v>
      </c>
      <c r="H612" s="784">
        <v>0.03</v>
      </c>
      <c r="I612" s="844">
        <v>61.03</v>
      </c>
      <c r="J612" s="784">
        <v>142.66999999999999</v>
      </c>
      <c r="K612" s="795">
        <v>0</v>
      </c>
      <c r="L612" s="25">
        <f>(15.1-0.1)*24</f>
        <v>360</v>
      </c>
      <c r="M612" s="3">
        <v>0</v>
      </c>
      <c r="N612" s="796">
        <v>1.75</v>
      </c>
      <c r="O612" s="796">
        <v>39.979999999999997</v>
      </c>
      <c r="P612" s="796">
        <v>114.72</v>
      </c>
      <c r="Q612" s="796">
        <v>43.09</v>
      </c>
      <c r="R612" s="3">
        <v>0.02</v>
      </c>
      <c r="S612" s="580">
        <v>1E-4</v>
      </c>
      <c r="T612" s="580">
        <v>1E-4</v>
      </c>
      <c r="U612" s="795">
        <v>0.01</v>
      </c>
    </row>
    <row r="613" spans="1:22" x14ac:dyDescent="0.25">
      <c r="A613" s="580">
        <v>900312</v>
      </c>
      <c r="B613" s="483" t="str">
        <f t="shared" si="16"/>
        <v>-11,93/+13,20  (EC  12,23)</v>
      </c>
      <c r="D613" s="3">
        <v>6.95</v>
      </c>
      <c r="E613" s="3">
        <v>1.2230000000000001</v>
      </c>
      <c r="F613" s="784">
        <v>9.4</v>
      </c>
      <c r="G613" s="3">
        <v>0</v>
      </c>
      <c r="H613" s="784">
        <v>7.0000000000000007E-2</v>
      </c>
      <c r="I613" s="844">
        <v>59.07</v>
      </c>
      <c r="J613" s="784">
        <v>149.5</v>
      </c>
      <c r="K613" s="795">
        <v>0</v>
      </c>
      <c r="L613" s="25">
        <f>(17.9-0.1)*24</f>
        <v>427.19999999999993</v>
      </c>
      <c r="M613" s="3">
        <v>0</v>
      </c>
      <c r="N613" s="796">
        <v>2.0299999999999998</v>
      </c>
      <c r="O613" s="796">
        <v>48.26</v>
      </c>
      <c r="P613" s="796">
        <v>136.41999999999999</v>
      </c>
      <c r="Q613" s="796">
        <v>50.7</v>
      </c>
      <c r="R613" s="585">
        <v>0.44</v>
      </c>
      <c r="S613" s="580">
        <v>1E-4</v>
      </c>
      <c r="T613" s="580">
        <v>1E-4</v>
      </c>
      <c r="U613" s="795">
        <v>0.02</v>
      </c>
    </row>
    <row r="614" spans="1:22" x14ac:dyDescent="0.25">
      <c r="A614" s="580">
        <v>900313</v>
      </c>
      <c r="B614" s="483" t="str">
        <f t="shared" si="16"/>
        <v>-10,80/+11,08  (EC  10,62)</v>
      </c>
      <c r="D614" s="3">
        <v>7.29</v>
      </c>
      <c r="E614" s="3">
        <v>1.0620000000000001</v>
      </c>
      <c r="F614" s="794">
        <v>21.52</v>
      </c>
      <c r="G614" s="3">
        <v>0</v>
      </c>
      <c r="H614" s="794">
        <v>0.05</v>
      </c>
      <c r="I614" s="844">
        <v>82.62</v>
      </c>
      <c r="J614" s="784">
        <v>72.61</v>
      </c>
      <c r="K614" s="795">
        <v>0</v>
      </c>
      <c r="L614" s="25">
        <f>(16.9-0.1)*24</f>
        <v>403.19999999999993</v>
      </c>
      <c r="M614" s="3">
        <v>0</v>
      </c>
      <c r="N614" s="796">
        <v>2.1</v>
      </c>
      <c r="O614" s="796">
        <v>75.52</v>
      </c>
      <c r="P614" s="796">
        <v>68.67</v>
      </c>
      <c r="Q614" s="796">
        <v>51.66</v>
      </c>
      <c r="R614" s="3">
        <v>1E-4</v>
      </c>
      <c r="S614" s="580">
        <v>1E-4</v>
      </c>
      <c r="T614" s="580">
        <v>1E-4</v>
      </c>
      <c r="U614" s="795">
        <v>1E-3</v>
      </c>
    </row>
    <row r="615" spans="1:22" x14ac:dyDescent="0.25">
      <c r="A615" s="580">
        <v>900314</v>
      </c>
      <c r="B615" s="483" t="str">
        <f t="shared" si="16"/>
        <v>-8,97/+9,23  (EC  8,73)</v>
      </c>
      <c r="D615" s="3">
        <v>7.24</v>
      </c>
      <c r="E615" s="3">
        <v>0.873</v>
      </c>
      <c r="F615" s="794">
        <v>27.34</v>
      </c>
      <c r="G615" s="3">
        <v>0</v>
      </c>
      <c r="H615" s="794">
        <v>0.03</v>
      </c>
      <c r="I615" s="844">
        <v>42.85</v>
      </c>
      <c r="J615" s="784">
        <v>62.48</v>
      </c>
      <c r="K615" s="795">
        <v>0</v>
      </c>
      <c r="L615" s="25">
        <f>(15.4-0.1)*24</f>
        <v>367.20000000000005</v>
      </c>
      <c r="M615" s="3">
        <v>0</v>
      </c>
      <c r="N615" s="796">
        <v>3.2</v>
      </c>
      <c r="O615" s="796">
        <v>32.380000000000003</v>
      </c>
      <c r="P615" s="796">
        <v>79.41</v>
      </c>
      <c r="Q615" s="796">
        <v>45.16</v>
      </c>
      <c r="R615" s="3">
        <v>1E-4</v>
      </c>
      <c r="S615" s="580">
        <v>1E-4</v>
      </c>
      <c r="T615" s="580">
        <v>1E-4</v>
      </c>
      <c r="U615" s="795">
        <v>1E-3</v>
      </c>
    </row>
    <row r="616" spans="1:22" x14ac:dyDescent="0.25">
      <c r="A616" s="580">
        <v>900315</v>
      </c>
      <c r="B616" s="483" t="str">
        <f t="shared" si="16"/>
        <v>-9,32/+9,73  (EC  9,52)</v>
      </c>
      <c r="D616" s="3">
        <v>7.37</v>
      </c>
      <c r="E616" s="3">
        <v>0.95199999999999996</v>
      </c>
      <c r="F616" s="794">
        <v>34.46</v>
      </c>
      <c r="G616" s="3">
        <v>0</v>
      </c>
      <c r="H616" s="794">
        <v>0.04</v>
      </c>
      <c r="I616" s="844">
        <v>82.28</v>
      </c>
      <c r="J616" s="784">
        <v>52.64</v>
      </c>
      <c r="K616" s="795">
        <v>0</v>
      </c>
      <c r="L616" s="25">
        <f>(13.7-0.1)*24</f>
        <v>326.39999999999998</v>
      </c>
      <c r="M616" s="3">
        <v>0</v>
      </c>
      <c r="N616" s="796">
        <v>3.4</v>
      </c>
      <c r="O616" s="796">
        <v>42.52</v>
      </c>
      <c r="P616" s="796">
        <v>73</v>
      </c>
      <c r="Q616" s="796">
        <v>49.7</v>
      </c>
      <c r="R616" s="3">
        <v>1E-4</v>
      </c>
      <c r="S616" s="580">
        <v>1E-4</v>
      </c>
      <c r="T616" s="580">
        <v>1E-4</v>
      </c>
      <c r="U616" s="795">
        <v>1E-3</v>
      </c>
    </row>
    <row r="617" spans="1:22" x14ac:dyDescent="0.25">
      <c r="A617" s="580">
        <v>900316</v>
      </c>
      <c r="B617" s="483" t="str">
        <f t="shared" si="16"/>
        <v>-8,36/+8,46  (EC  8,14)</v>
      </c>
      <c r="D617" s="3">
        <v>7.3</v>
      </c>
      <c r="E617" s="3">
        <v>0.81399999999999995</v>
      </c>
      <c r="F617" s="794">
        <v>24.76</v>
      </c>
      <c r="G617" s="3">
        <v>0</v>
      </c>
      <c r="H617" s="794">
        <v>0.03</v>
      </c>
      <c r="I617" s="844">
        <v>64.459999999999994</v>
      </c>
      <c r="J617" s="784">
        <v>38.15</v>
      </c>
      <c r="K617" s="795">
        <v>0</v>
      </c>
      <c r="L617" s="25">
        <f>(13.7-0.1)*24</f>
        <v>326.39999999999998</v>
      </c>
      <c r="M617" s="3">
        <v>0</v>
      </c>
      <c r="N617" s="796">
        <v>2.2400000000000002</v>
      </c>
      <c r="O617" s="796">
        <v>26.91</v>
      </c>
      <c r="P617" s="796">
        <v>71.86</v>
      </c>
      <c r="Q617" s="796">
        <v>43.62</v>
      </c>
      <c r="R617" s="3">
        <v>1E-4</v>
      </c>
      <c r="S617" s="580">
        <v>1E-4</v>
      </c>
      <c r="T617" s="580">
        <v>1E-4</v>
      </c>
      <c r="U617" s="795">
        <v>0.18</v>
      </c>
    </row>
    <row r="618" spans="1:22" x14ac:dyDescent="0.25">
      <c r="A618" s="580">
        <v>900317</v>
      </c>
      <c r="B618" s="483" t="str">
        <f t="shared" si="16"/>
        <v>-5,59/+5,97  (EC  5,92)</v>
      </c>
      <c r="D618" s="3">
        <v>7.58</v>
      </c>
      <c r="E618" s="3">
        <v>0.59199999999999997</v>
      </c>
      <c r="F618" s="794">
        <v>3.05</v>
      </c>
      <c r="G618" s="3">
        <v>0</v>
      </c>
      <c r="H618" s="794">
        <v>0.05</v>
      </c>
      <c r="I618" s="844">
        <v>37.33</v>
      </c>
      <c r="J618" s="784">
        <v>85.01</v>
      </c>
      <c r="K618" s="795">
        <v>0</v>
      </c>
      <c r="L618" s="25">
        <f>(7-0.1)*24</f>
        <v>165.60000000000002</v>
      </c>
      <c r="M618" s="3">
        <v>0</v>
      </c>
      <c r="N618" s="796">
        <v>0.98</v>
      </c>
      <c r="O618" s="796">
        <v>31.05</v>
      </c>
      <c r="P618" s="796">
        <v>63.48</v>
      </c>
      <c r="Q618" s="796">
        <v>16.95</v>
      </c>
      <c r="R618" s="585">
        <v>1E-4</v>
      </c>
      <c r="S618" s="580">
        <v>1E-4</v>
      </c>
      <c r="T618" s="580">
        <v>1E-4</v>
      </c>
      <c r="U618" s="795">
        <v>0.02</v>
      </c>
    </row>
    <row r="619" spans="1:22" x14ac:dyDescent="0.25">
      <c r="A619" s="580">
        <v>900318</v>
      </c>
      <c r="B619" s="483" t="str">
        <f t="shared" si="16"/>
        <v>-19,35/+21,81  (EC  20,3)</v>
      </c>
      <c r="D619" s="3">
        <v>7.75</v>
      </c>
      <c r="E619" s="3">
        <v>2.0299999999999998</v>
      </c>
      <c r="F619" s="794">
        <v>0.94</v>
      </c>
      <c r="G619" s="3">
        <v>0</v>
      </c>
      <c r="H619" s="794">
        <v>0.09</v>
      </c>
      <c r="I619" s="844">
        <v>438.38</v>
      </c>
      <c r="J619" s="784">
        <v>142.82</v>
      </c>
      <c r="K619" s="795">
        <v>0</v>
      </c>
      <c r="L619" s="3">
        <f>(10.3-0.1)*24</f>
        <v>244.8</v>
      </c>
      <c r="M619" s="3">
        <v>0</v>
      </c>
      <c r="N619" s="796">
        <v>2.2000000000000002</v>
      </c>
      <c r="O619" s="796">
        <v>289.33999999999997</v>
      </c>
      <c r="P619" s="796">
        <v>123.6</v>
      </c>
      <c r="Q619" s="796">
        <v>35.82</v>
      </c>
      <c r="R619" s="3">
        <v>1E-4</v>
      </c>
      <c r="S619" s="580">
        <v>1E-4</v>
      </c>
      <c r="T619" s="580">
        <v>1E-4</v>
      </c>
      <c r="U619" s="795">
        <v>0.08</v>
      </c>
    </row>
    <row r="620" spans="1:22" x14ac:dyDescent="0.25">
      <c r="A620" s="580">
        <v>900319</v>
      </c>
      <c r="B620" s="483" t="str">
        <f t="shared" si="16"/>
        <v>-8,42/+8,73  (EC  8,34)</v>
      </c>
      <c r="D620" s="3">
        <v>7.27</v>
      </c>
      <c r="E620" s="3">
        <v>0.83399999999999996</v>
      </c>
      <c r="F620" s="794">
        <v>1.05</v>
      </c>
      <c r="G620" s="3">
        <v>0</v>
      </c>
      <c r="H620" s="794">
        <v>0.04</v>
      </c>
      <c r="I620" s="844">
        <v>58.82</v>
      </c>
      <c r="J620" s="784">
        <v>67.150000000000006</v>
      </c>
      <c r="K620" s="796">
        <f>3.06*0.03</f>
        <v>9.1799999999999993E-2</v>
      </c>
      <c r="L620" s="787">
        <f>(13.7-0.1)*24</f>
        <v>326.39999999999998</v>
      </c>
      <c r="M620" s="3">
        <v>0</v>
      </c>
      <c r="N620" s="796">
        <v>0.42</v>
      </c>
      <c r="O620" s="796">
        <v>62.63</v>
      </c>
      <c r="P620" s="796">
        <v>94.73</v>
      </c>
      <c r="Q620" s="796">
        <v>15.1</v>
      </c>
      <c r="R620" s="3">
        <v>1E-4</v>
      </c>
      <c r="S620" s="580">
        <v>1E-4</v>
      </c>
      <c r="T620" s="580">
        <v>1E-4</v>
      </c>
      <c r="U620" s="795">
        <v>1E-3</v>
      </c>
    </row>
    <row r="621" spans="1:22" x14ac:dyDescent="0.25">
      <c r="A621" s="580">
        <v>900320</v>
      </c>
      <c r="B621" s="483" t="str">
        <f t="shared" si="16"/>
        <v>-7,61/+7,60  (EC  8,52)</v>
      </c>
      <c r="D621" s="3">
        <v>7.76</v>
      </c>
      <c r="E621" s="3">
        <v>0.85199999999999998</v>
      </c>
      <c r="F621" s="794">
        <v>1.82</v>
      </c>
      <c r="G621" s="3">
        <v>0</v>
      </c>
      <c r="H621" s="794">
        <v>0.04</v>
      </c>
      <c r="I621" s="844">
        <v>136.24</v>
      </c>
      <c r="J621" s="784">
        <v>57.83</v>
      </c>
      <c r="K621" s="796">
        <f>3.06*2</f>
        <v>6.12</v>
      </c>
      <c r="L621" s="787">
        <f>(6.4-0.1)*24</f>
        <v>151.20000000000002</v>
      </c>
      <c r="M621" s="3">
        <v>0</v>
      </c>
      <c r="N621" s="796">
        <v>2.89</v>
      </c>
      <c r="O621" s="796">
        <v>89.84</v>
      </c>
      <c r="P621" s="796">
        <v>50.45</v>
      </c>
      <c r="Q621" s="796">
        <v>13.14</v>
      </c>
      <c r="R621" s="3">
        <v>1E-4</v>
      </c>
      <c r="S621" s="580">
        <v>1E-4</v>
      </c>
      <c r="T621" s="580">
        <v>1E-4</v>
      </c>
      <c r="U621" s="795">
        <v>7.0000000000000007E-2</v>
      </c>
    </row>
    <row r="622" spans="1:22" x14ac:dyDescent="0.25">
      <c r="A622" s="585">
        <v>900321</v>
      </c>
      <c r="B622" s="1" t="str">
        <f t="shared" si="16"/>
        <v>-55,46/+55,33  (EC  56)</v>
      </c>
      <c r="D622" s="861">
        <v>6.99</v>
      </c>
      <c r="E622" s="861">
        <v>5.6</v>
      </c>
      <c r="F622" s="832">
        <v>21.526129032258062</v>
      </c>
      <c r="G622" s="855">
        <v>0</v>
      </c>
      <c r="H622" s="784">
        <v>0.06</v>
      </c>
      <c r="I622" s="26">
        <v>1683.4</v>
      </c>
      <c r="J622" s="26">
        <v>123.56</v>
      </c>
      <c r="K622" s="25">
        <v>3.0600000000000002E-2</v>
      </c>
      <c r="L622" s="856">
        <f>(13.1-0.1)*24</f>
        <v>312</v>
      </c>
      <c r="M622" s="25">
        <v>0</v>
      </c>
      <c r="N622" s="861">
        <v>4.8499999999999996</v>
      </c>
      <c r="O622" s="861">
        <v>726.58</v>
      </c>
      <c r="P622" s="861">
        <v>204.84</v>
      </c>
      <c r="Q622" s="861">
        <v>160.46</v>
      </c>
      <c r="R622" s="861"/>
      <c r="S622" s="861"/>
      <c r="T622" s="861"/>
      <c r="U622" s="861"/>
      <c r="V622" s="861"/>
    </row>
    <row r="623" spans="1:22" x14ac:dyDescent="0.25">
      <c r="A623" s="585">
        <v>900322</v>
      </c>
      <c r="B623" s="1" t="str">
        <f t="shared" si="16"/>
        <v>-56,72/+54,26  (EC  56,7)</v>
      </c>
      <c r="D623" s="861">
        <v>7.05</v>
      </c>
      <c r="E623" s="861">
        <v>5.67</v>
      </c>
      <c r="F623" s="832">
        <v>21.539677419354838</v>
      </c>
      <c r="G623" s="855">
        <v>0</v>
      </c>
      <c r="H623" s="784">
        <v>7.0000000000000007E-2</v>
      </c>
      <c r="I623" s="26">
        <v>1760.3</v>
      </c>
      <c r="J623" s="26">
        <v>121.72</v>
      </c>
      <c r="K623" s="25">
        <v>1E-4</v>
      </c>
      <c r="L623" s="856">
        <f>(10.9-0.1)*24</f>
        <v>259.20000000000005</v>
      </c>
      <c r="M623" s="25">
        <v>0</v>
      </c>
      <c r="N623" s="861">
        <v>4.5999999999999996</v>
      </c>
      <c r="O623" s="861">
        <v>692.99</v>
      </c>
      <c r="P623" s="861">
        <v>213.16</v>
      </c>
      <c r="Q623" s="861">
        <v>160.15</v>
      </c>
      <c r="R623" s="861"/>
      <c r="S623" s="861"/>
      <c r="T623" s="861"/>
      <c r="U623" s="861"/>
      <c r="V623" s="861"/>
    </row>
    <row r="624" spans="1:22" x14ac:dyDescent="0.25">
      <c r="A624" s="585">
        <v>900323</v>
      </c>
      <c r="B624" s="1" t="str">
        <f t="shared" si="16"/>
        <v>-53,39/+52,57  (EC  52)</v>
      </c>
      <c r="D624" s="861">
        <v>7.15</v>
      </c>
      <c r="E624" s="861">
        <v>5.2</v>
      </c>
      <c r="F624" s="832">
        <v>21.666129032258063</v>
      </c>
      <c r="G624" s="855">
        <v>0</v>
      </c>
      <c r="H624" s="784">
        <v>7.0000000000000007E-2</v>
      </c>
      <c r="I624" s="26">
        <v>1643.4</v>
      </c>
      <c r="J624" s="26">
        <v>120.12</v>
      </c>
      <c r="K624" s="25">
        <v>1E-4</v>
      </c>
      <c r="L624" s="856">
        <f>(10.9-0.1)*24</f>
        <v>259.20000000000005</v>
      </c>
      <c r="M624" s="25">
        <v>0</v>
      </c>
      <c r="N624" s="861">
        <v>4.68</v>
      </c>
      <c r="O624" s="861">
        <v>721.56</v>
      </c>
      <c r="P624" s="861">
        <v>212.49</v>
      </c>
      <c r="Q624" s="861">
        <v>125.34</v>
      </c>
      <c r="R624" s="861"/>
      <c r="S624" s="861"/>
      <c r="T624" s="861"/>
      <c r="U624" s="861"/>
      <c r="V624" s="861"/>
    </row>
    <row r="625" spans="1:22" x14ac:dyDescent="0.25">
      <c r="A625" s="585">
        <v>900324</v>
      </c>
      <c r="B625" s="1" t="str">
        <f t="shared" si="16"/>
        <v>-58,03/+57,43  (EC  58)</v>
      </c>
      <c r="D625" s="861">
        <v>7.08</v>
      </c>
      <c r="E625" s="861">
        <v>5.8</v>
      </c>
      <c r="F625" s="832">
        <v>21.467419354838711</v>
      </c>
      <c r="G625" s="855">
        <v>0</v>
      </c>
      <c r="H625" s="784">
        <v>0.06</v>
      </c>
      <c r="I625" s="26">
        <v>1803.4</v>
      </c>
      <c r="J625" s="26">
        <v>118.73</v>
      </c>
      <c r="K625" s="25">
        <v>1E-4</v>
      </c>
      <c r="L625" s="856">
        <f>(11.3-0.1)*24</f>
        <v>268.8</v>
      </c>
      <c r="M625" s="25">
        <v>0</v>
      </c>
      <c r="N625" s="861">
        <v>5.25</v>
      </c>
      <c r="O625" s="861">
        <v>750.8</v>
      </c>
      <c r="P625" s="861">
        <v>227.52</v>
      </c>
      <c r="Q625" s="861">
        <v>159.30000000000001</v>
      </c>
      <c r="R625" s="861"/>
      <c r="S625" s="861"/>
      <c r="T625" s="861"/>
      <c r="U625" s="861"/>
      <c r="V625" s="861"/>
    </row>
    <row r="626" spans="1:22" x14ac:dyDescent="0.25">
      <c r="A626" s="585">
        <v>900325</v>
      </c>
      <c r="B626" s="1" t="str">
        <f t="shared" si="16"/>
        <v>-17,05/+16,05  (EC  16,74)</v>
      </c>
      <c r="D626" s="861">
        <v>7.28</v>
      </c>
      <c r="E626" s="861">
        <v>1.6739999999999999</v>
      </c>
      <c r="F626" s="832">
        <v>21.605161290322581</v>
      </c>
      <c r="G626" s="855">
        <v>0</v>
      </c>
      <c r="H626" s="784">
        <v>0.03</v>
      </c>
      <c r="I626" s="26">
        <v>346.3</v>
      </c>
      <c r="J626" s="26">
        <v>100.88</v>
      </c>
      <c r="K626" s="25">
        <v>9.1799999999999993E-2</v>
      </c>
      <c r="L626" s="856">
        <f>(12.4-0.1)*24</f>
        <v>295.20000000000005</v>
      </c>
      <c r="M626" s="25">
        <v>0</v>
      </c>
      <c r="N626" s="861">
        <v>2.5</v>
      </c>
      <c r="O626" s="861">
        <v>114.3</v>
      </c>
      <c r="P626" s="861">
        <v>95.43</v>
      </c>
      <c r="Q626" s="861">
        <v>74.94</v>
      </c>
      <c r="R626" s="861">
        <v>1E-4</v>
      </c>
      <c r="S626" s="861">
        <v>1E-4</v>
      </c>
      <c r="T626" s="861">
        <v>1E-4</v>
      </c>
      <c r="U626" s="861">
        <v>1E-4</v>
      </c>
      <c r="V626" s="861"/>
    </row>
    <row r="627" spans="1:22" x14ac:dyDescent="0.25">
      <c r="A627" s="585">
        <v>900326</v>
      </c>
      <c r="B627" s="1" t="str">
        <f t="shared" si="16"/>
        <v>-8,31/+10,79  (EC  9,9)</v>
      </c>
      <c r="D627" s="861">
        <v>7.26</v>
      </c>
      <c r="E627" s="861">
        <v>0.99</v>
      </c>
      <c r="F627" s="832">
        <v>4.0780645161290314</v>
      </c>
      <c r="G627" s="855">
        <v>0</v>
      </c>
      <c r="H627" s="784">
        <v>0.09</v>
      </c>
      <c r="I627" s="26">
        <v>26.3</v>
      </c>
      <c r="J627" s="26">
        <v>110.8</v>
      </c>
      <c r="K627" s="25">
        <v>1E-3</v>
      </c>
      <c r="L627" s="856">
        <f>(13.3-0.1)*24</f>
        <v>316.8</v>
      </c>
      <c r="M627" s="25">
        <v>0</v>
      </c>
      <c r="N627" s="861">
        <v>3.02</v>
      </c>
      <c r="O627" s="861">
        <v>61.66</v>
      </c>
      <c r="P627" s="861">
        <v>86.1</v>
      </c>
      <c r="Q627" s="861">
        <v>44.65</v>
      </c>
      <c r="R627" s="861">
        <v>1E-4</v>
      </c>
      <c r="S627" s="861">
        <v>1E-4</v>
      </c>
      <c r="T627" s="861">
        <v>1E-4</v>
      </c>
      <c r="U627" s="861">
        <v>1E-4</v>
      </c>
      <c r="V627" s="861"/>
    </row>
    <row r="628" spans="1:22" x14ac:dyDescent="0.25">
      <c r="A628" s="585">
        <v>900327</v>
      </c>
      <c r="B628" s="1" t="str">
        <f t="shared" si="16"/>
        <v>-32,48/+31,75  (EC  32,2)</v>
      </c>
      <c r="D628" s="861">
        <v>7.27</v>
      </c>
      <c r="E628" s="861">
        <v>3.22</v>
      </c>
      <c r="F628" s="832">
        <v>1.0748387096774195</v>
      </c>
      <c r="G628" s="855">
        <v>0</v>
      </c>
      <c r="H628" s="784">
        <v>0.08</v>
      </c>
      <c r="I628" s="26">
        <v>826.5</v>
      </c>
      <c r="J628" s="26">
        <v>119.69</v>
      </c>
      <c r="K628" s="25">
        <v>1E-3</v>
      </c>
      <c r="L628" s="856">
        <f>(17.1-0.1)*24</f>
        <v>408</v>
      </c>
      <c r="M628" s="25">
        <v>0</v>
      </c>
      <c r="N628" s="861">
        <v>20.84</v>
      </c>
      <c r="O628" s="861">
        <v>419.78</v>
      </c>
      <c r="P628" s="861">
        <v>126.51</v>
      </c>
      <c r="Q628" s="861">
        <v>79.56</v>
      </c>
      <c r="R628" s="861">
        <v>1E-4</v>
      </c>
      <c r="S628" s="861">
        <v>1E-4</v>
      </c>
      <c r="T628" s="861">
        <v>0.06</v>
      </c>
      <c r="U628" s="861">
        <v>1E-4</v>
      </c>
      <c r="V628" s="861"/>
    </row>
    <row r="629" spans="1:22" x14ac:dyDescent="0.25">
      <c r="A629" s="585">
        <v>900328</v>
      </c>
      <c r="B629" s="1" t="str">
        <f t="shared" si="16"/>
        <v>-59,89/+61,30  (EC  59)</v>
      </c>
      <c r="D629" s="861">
        <v>6.91</v>
      </c>
      <c r="E629" s="861">
        <v>5.9</v>
      </c>
      <c r="F629" s="832">
        <v>1.1922580645161291</v>
      </c>
      <c r="G629" s="855">
        <v>0</v>
      </c>
      <c r="H629" s="784">
        <v>0.06</v>
      </c>
      <c r="I629" s="26">
        <v>1880.3</v>
      </c>
      <c r="J629" s="26">
        <v>121.66</v>
      </c>
      <c r="K629" s="25">
        <v>0</v>
      </c>
      <c r="L629" s="856">
        <f>(11.2-0.1)*24</f>
        <v>266.39999999999998</v>
      </c>
      <c r="M629" s="25">
        <v>0</v>
      </c>
      <c r="N629" s="861">
        <v>19.829999999999998</v>
      </c>
      <c r="O629" s="861">
        <v>402.43</v>
      </c>
      <c r="P629" s="861">
        <v>640.33000000000004</v>
      </c>
      <c r="Q629" s="861">
        <v>135.32</v>
      </c>
      <c r="R629" s="861">
        <v>0.01</v>
      </c>
      <c r="S629" s="861">
        <v>1E-4</v>
      </c>
      <c r="T629" s="861">
        <v>0.03</v>
      </c>
      <c r="U629" s="861">
        <v>0.01</v>
      </c>
      <c r="V629" s="861"/>
    </row>
    <row r="630" spans="1:22" x14ac:dyDescent="0.25">
      <c r="A630" s="585">
        <v>900329</v>
      </c>
      <c r="B630" s="1" t="str">
        <f t="shared" si="16"/>
        <v>-10,26/+11,18  (EC  10,8)</v>
      </c>
      <c r="D630" s="861">
        <v>7.33</v>
      </c>
      <c r="E630" s="861">
        <v>1.08</v>
      </c>
      <c r="F630" s="832">
        <v>1.1154838709677422</v>
      </c>
      <c r="G630" s="855">
        <v>0</v>
      </c>
      <c r="H630" s="784">
        <v>0.05</v>
      </c>
      <c r="I630" s="26">
        <v>116.5</v>
      </c>
      <c r="J630" s="26">
        <v>99.77</v>
      </c>
      <c r="K630" s="25">
        <v>0</v>
      </c>
      <c r="L630" s="856">
        <f>(12.5-0.1)*24</f>
        <v>297.60000000000002</v>
      </c>
      <c r="M630" s="25">
        <v>0</v>
      </c>
      <c r="N630" s="861">
        <v>1.46</v>
      </c>
      <c r="O630" s="861">
        <v>72.540000000000006</v>
      </c>
      <c r="P630" s="861">
        <v>93.19</v>
      </c>
      <c r="Q630" s="861">
        <v>39.92</v>
      </c>
      <c r="R630" s="861">
        <v>0.02</v>
      </c>
      <c r="S630" s="861">
        <v>1E-4</v>
      </c>
      <c r="T630" s="861">
        <v>1E-4</v>
      </c>
      <c r="U630" s="861">
        <v>1E-4</v>
      </c>
      <c r="V630" s="861"/>
    </row>
    <row r="631" spans="1:22" x14ac:dyDescent="0.25">
      <c r="A631" s="585">
        <v>900330</v>
      </c>
      <c r="B631" s="1" t="str">
        <f t="shared" si="16"/>
        <v>-9,35/+10,02  (EC  9,03)</v>
      </c>
      <c r="D631" s="861">
        <v>7.34</v>
      </c>
      <c r="E631" s="861">
        <v>0.90300000000000002</v>
      </c>
      <c r="F631" s="832">
        <v>6.887096774193548</v>
      </c>
      <c r="G631" s="855">
        <v>0</v>
      </c>
      <c r="H631" s="784">
        <v>0.06</v>
      </c>
      <c r="I631" s="26">
        <v>118.4</v>
      </c>
      <c r="J631" s="26">
        <v>43.69</v>
      </c>
      <c r="K631" s="25">
        <v>3.0599999999999999E-2</v>
      </c>
      <c r="L631" s="856">
        <f>(12.8-0.1)*24</f>
        <v>304.8</v>
      </c>
      <c r="M631" s="25">
        <v>0</v>
      </c>
      <c r="N631" s="861">
        <v>1.75</v>
      </c>
      <c r="O631" s="861">
        <v>49.82</v>
      </c>
      <c r="P631" s="861">
        <v>82.51</v>
      </c>
      <c r="Q631" s="861">
        <v>44.18</v>
      </c>
      <c r="R631" s="861">
        <v>1E-4</v>
      </c>
      <c r="S631" s="861">
        <v>1E-4</v>
      </c>
      <c r="T631" s="861">
        <v>1E-4</v>
      </c>
      <c r="U631" s="861">
        <v>0.13</v>
      </c>
      <c r="V631" s="861"/>
    </row>
    <row r="632" spans="1:22" x14ac:dyDescent="0.25">
      <c r="A632" s="585">
        <v>900331</v>
      </c>
      <c r="B632" s="1" t="str">
        <f>"-"&amp;TEXT((F632/62+G632/46+I632/35.5+J632/48+K632/97+L632/61),"0,00")&amp;"/+"&amp;TEXT((N632/39+O632/23+P632/20+Q632/12+H632/14),"0,00")&amp;"  (EC  "&amp;E632*10&amp;")"</f>
        <v>-36,40/+36,82  (EC  35)</v>
      </c>
      <c r="D632" s="861">
        <v>6.81</v>
      </c>
      <c r="E632" s="861">
        <v>3.5</v>
      </c>
      <c r="F632" s="832">
        <f>9.12*5</f>
        <v>45.599999999999994</v>
      </c>
      <c r="G632" s="855">
        <v>0</v>
      </c>
      <c r="H632" s="784">
        <v>7.0000000000000007E-2</v>
      </c>
      <c r="I632" s="26">
        <v>690.78</v>
      </c>
      <c r="J632" s="26">
        <v>432.43</v>
      </c>
      <c r="K632" s="25">
        <f>3.06*0.01</f>
        <v>3.0600000000000002E-2</v>
      </c>
      <c r="L632" s="856">
        <f>(18.4-0.1)*24</f>
        <v>439.19999999999993</v>
      </c>
      <c r="M632" s="25">
        <v>0</v>
      </c>
      <c r="N632" s="861">
        <v>6</v>
      </c>
      <c r="O632" s="861">
        <v>150.38999999999999</v>
      </c>
      <c r="P632" s="861">
        <v>400.2</v>
      </c>
      <c r="Q632" s="861">
        <v>121.34</v>
      </c>
      <c r="R632" s="861"/>
      <c r="S632" s="861"/>
      <c r="T632" s="861"/>
      <c r="U632" s="861"/>
      <c r="V632" s="861"/>
    </row>
    <row r="633" spans="1:22" x14ac:dyDescent="0.25">
      <c r="A633" s="585">
        <v>900332</v>
      </c>
      <c r="B633" s="1" t="str">
        <f t="shared" si="16"/>
        <v>-36,31/+39,92  (EC  38)</v>
      </c>
      <c r="D633" s="861">
        <v>6.65</v>
      </c>
      <c r="E633" s="861">
        <v>3.8</v>
      </c>
      <c r="F633" s="832">
        <f>5.76*5</f>
        <v>28.799999999999997</v>
      </c>
      <c r="G633" s="855">
        <v>0</v>
      </c>
      <c r="H633" s="784">
        <v>0.08</v>
      </c>
      <c r="I633" s="26">
        <v>689.5</v>
      </c>
      <c r="J633" s="26">
        <v>435.08</v>
      </c>
      <c r="K633" s="25">
        <f>3.06*0.01</f>
        <v>3.0600000000000002E-2</v>
      </c>
      <c r="L633" s="856">
        <f>(18.8-0.1)*24</f>
        <v>448.79999999999995</v>
      </c>
      <c r="M633" s="25">
        <v>0</v>
      </c>
      <c r="N633" s="861">
        <v>12.38</v>
      </c>
      <c r="O633" s="861">
        <v>189.75</v>
      </c>
      <c r="P633" s="861">
        <v>356.23</v>
      </c>
      <c r="Q633" s="861">
        <v>162.38999999999999</v>
      </c>
      <c r="R633" s="861"/>
      <c r="S633" s="861"/>
      <c r="T633" s="861"/>
      <c r="U633" s="861"/>
      <c r="V633" s="861"/>
    </row>
    <row r="634" spans="1:22" x14ac:dyDescent="0.25">
      <c r="A634" s="585">
        <v>900333</v>
      </c>
      <c r="B634" s="1" t="str">
        <f t="shared" si="16"/>
        <v>-21,36/+20,44  (EC  21)</v>
      </c>
      <c r="D634" s="861">
        <v>6.92</v>
      </c>
      <c r="E634" s="861">
        <v>2.1</v>
      </c>
      <c r="F634" s="832">
        <f>20.33*5</f>
        <v>101.64999999999999</v>
      </c>
      <c r="G634" s="855">
        <v>0</v>
      </c>
      <c r="H634" s="784">
        <v>7.0000000000000007E-2</v>
      </c>
      <c r="I634" s="26">
        <v>407.48</v>
      </c>
      <c r="J634" s="26">
        <v>106.82</v>
      </c>
      <c r="K634" s="25">
        <f>3.06*0.01</f>
        <v>3.0600000000000002E-2</v>
      </c>
      <c r="L634" s="856">
        <f>(15.4-0.1)*24</f>
        <v>367.20000000000005</v>
      </c>
      <c r="M634" s="25">
        <v>0</v>
      </c>
      <c r="N634" s="861">
        <v>3.41</v>
      </c>
      <c r="O634" s="861">
        <v>233.74</v>
      </c>
      <c r="P634" s="861">
        <v>117.46</v>
      </c>
      <c r="Q634" s="861">
        <v>51.79</v>
      </c>
      <c r="R634" s="861"/>
      <c r="S634" s="861"/>
      <c r="T634" s="861"/>
      <c r="U634" s="861"/>
      <c r="V634" s="861"/>
    </row>
    <row r="635" spans="1:22" x14ac:dyDescent="0.25">
      <c r="A635" s="585">
        <v>900334</v>
      </c>
      <c r="B635" s="1" t="str">
        <f t="shared" si="16"/>
        <v>-40,05/+39,30  (EC  40)</v>
      </c>
      <c r="D635" s="861">
        <v>6.88</v>
      </c>
      <c r="E635" s="861">
        <v>4</v>
      </c>
      <c r="F635" s="832">
        <f>19.43*5</f>
        <v>97.15</v>
      </c>
      <c r="G635" s="855">
        <v>0</v>
      </c>
      <c r="H635" s="784">
        <v>0.06</v>
      </c>
      <c r="I635" s="26">
        <v>995.12</v>
      </c>
      <c r="J635" s="26">
        <v>220.3</v>
      </c>
      <c r="K635" s="25">
        <v>1E-3</v>
      </c>
      <c r="L635" s="856">
        <f>(15-0.1)*24</f>
        <v>357.6</v>
      </c>
      <c r="M635" s="25">
        <v>0</v>
      </c>
      <c r="N635" s="861">
        <v>3.84</v>
      </c>
      <c r="O635" s="861">
        <v>447.56</v>
      </c>
      <c r="P635" s="861">
        <v>210.5</v>
      </c>
      <c r="Q635" s="861">
        <v>110.52</v>
      </c>
      <c r="R635" s="861"/>
      <c r="S635" s="861"/>
      <c r="T635" s="861"/>
      <c r="U635" s="861"/>
      <c r="V635" s="861"/>
    </row>
    <row r="636" spans="1:22" x14ac:dyDescent="0.25">
      <c r="A636" s="585">
        <v>900335</v>
      </c>
      <c r="B636" s="1" t="str">
        <f t="shared" si="16"/>
        <v>-19,83/+17,83  (EC  18,6)</v>
      </c>
      <c r="D636" s="861">
        <v>7.05</v>
      </c>
      <c r="E636" s="861">
        <v>1.86</v>
      </c>
      <c r="F636" s="832">
        <f>20.56*5</f>
        <v>102.8</v>
      </c>
      <c r="G636" s="855">
        <v>0</v>
      </c>
      <c r="H636" s="784">
        <v>0.05</v>
      </c>
      <c r="I636" s="26">
        <v>395.46</v>
      </c>
      <c r="J636" s="26">
        <v>65.52</v>
      </c>
      <c r="K636" s="25">
        <v>1E-3</v>
      </c>
      <c r="L636" s="856">
        <f>(14.5-0.1)*24</f>
        <v>345.6</v>
      </c>
      <c r="M636" s="25">
        <v>0</v>
      </c>
      <c r="N636" s="861">
        <v>2.63</v>
      </c>
      <c r="O636" s="861">
        <v>212.73</v>
      </c>
      <c r="P636" s="861">
        <v>98.93</v>
      </c>
      <c r="Q636" s="861">
        <v>42.78</v>
      </c>
      <c r="R636" s="861"/>
      <c r="S636" s="861"/>
      <c r="T636" s="861"/>
      <c r="U636" s="861"/>
      <c r="V636" s="861"/>
    </row>
    <row r="637" spans="1:22" x14ac:dyDescent="0.25">
      <c r="A637" s="585">
        <v>900336</v>
      </c>
      <c r="B637" s="1" t="str">
        <f t="shared" si="16"/>
        <v>-20,16/+22,12  (EC  22,4)</v>
      </c>
      <c r="D637" s="861">
        <v>6.91</v>
      </c>
      <c r="E637" s="861">
        <v>2.2400000000000002</v>
      </c>
      <c r="F637" s="832">
        <f>14.34*5</f>
        <v>71.7</v>
      </c>
      <c r="G637" s="855">
        <v>0</v>
      </c>
      <c r="H637" s="784">
        <v>7.0000000000000007E-2</v>
      </c>
      <c r="I637" s="26">
        <v>351.46</v>
      </c>
      <c r="J637" s="26">
        <v>127.38</v>
      </c>
      <c r="K637" s="25">
        <v>1E-3</v>
      </c>
      <c r="L637" s="856">
        <f>(16.5-0.1)*24</f>
        <v>393.59999999999997</v>
      </c>
      <c r="M637" s="25">
        <v>0</v>
      </c>
      <c r="N637" s="861">
        <v>3.97</v>
      </c>
      <c r="O637" s="861">
        <v>135.72999999999999</v>
      </c>
      <c r="P637" s="861">
        <v>155.6</v>
      </c>
      <c r="Q637" s="861">
        <v>99.98</v>
      </c>
      <c r="R637" s="861"/>
      <c r="S637" s="861"/>
      <c r="T637" s="861"/>
      <c r="U637" s="861"/>
      <c r="V637" s="861"/>
    </row>
    <row r="638" spans="1:22" x14ac:dyDescent="0.25">
      <c r="A638" s="585">
        <v>900337</v>
      </c>
      <c r="B638" s="1" t="str">
        <f t="shared" si="16"/>
        <v>-20,11/+21,19  (EC  21,7)</v>
      </c>
      <c r="D638" s="861">
        <v>6.95</v>
      </c>
      <c r="E638" s="861">
        <v>2.17</v>
      </c>
      <c r="F638" s="832">
        <f>14.04</f>
        <v>14.04</v>
      </c>
      <c r="G638" s="855">
        <v>0</v>
      </c>
      <c r="H638" s="784">
        <v>0.06</v>
      </c>
      <c r="I638" s="26">
        <v>397.82</v>
      </c>
      <c r="J638" s="26">
        <v>118.11</v>
      </c>
      <c r="K638" s="25">
        <v>1E-3</v>
      </c>
      <c r="L638" s="856">
        <f>(15.9-0.1)*24</f>
        <v>379.20000000000005</v>
      </c>
      <c r="M638" s="25">
        <v>0</v>
      </c>
      <c r="N638" s="861">
        <v>3.64</v>
      </c>
      <c r="O638" s="861">
        <v>143.91</v>
      </c>
      <c r="P638" s="861">
        <v>143.24</v>
      </c>
      <c r="Q638" s="861">
        <v>92.11</v>
      </c>
      <c r="R638" s="861"/>
      <c r="S638" s="861"/>
      <c r="T638" s="861"/>
      <c r="U638" s="861"/>
      <c r="V638" s="861"/>
    </row>
    <row r="639" spans="1:22" x14ac:dyDescent="0.25">
      <c r="A639" s="585">
        <v>900338</v>
      </c>
      <c r="B639" s="1" t="str">
        <f t="shared" si="16"/>
        <v>-39,00/+39,03  (EC  40,5)</v>
      </c>
      <c r="D639" s="861">
        <v>6.87</v>
      </c>
      <c r="E639" s="861">
        <v>4.05</v>
      </c>
      <c r="F639" s="832">
        <f>17*5</f>
        <v>85</v>
      </c>
      <c r="G639" s="855">
        <v>0</v>
      </c>
      <c r="H639" s="784">
        <v>0.05</v>
      </c>
      <c r="I639" s="26">
        <v>980.56</v>
      </c>
      <c r="J639" s="26">
        <v>112.25</v>
      </c>
      <c r="K639" s="25">
        <v>1E-3</v>
      </c>
      <c r="L639" s="856">
        <f>(19.6-0.1)*24</f>
        <v>468</v>
      </c>
      <c r="M639" s="25">
        <v>0</v>
      </c>
      <c r="N639" s="861">
        <v>3.09</v>
      </c>
      <c r="O639" s="861">
        <v>395.28</v>
      </c>
      <c r="P639" s="861">
        <v>298.60000000000002</v>
      </c>
      <c r="Q639" s="861">
        <v>82.03</v>
      </c>
      <c r="R639" s="861"/>
      <c r="S639" s="861"/>
      <c r="T639" s="861"/>
      <c r="U639" s="861"/>
      <c r="V639" s="861"/>
    </row>
    <row r="640" spans="1:22" x14ac:dyDescent="0.25">
      <c r="A640" s="585">
        <v>900339</v>
      </c>
      <c r="B640" s="1" t="str">
        <f>"-"&amp;TEXT((F640/62+G640/46+I640/35.5+J640/48+K640/97+L640/61),"0,00")&amp;"/+"&amp;TEXT((N640/39+O640/23+P640/20+Q640/12+H640/14),"0,00")&amp;"  (EC  "&amp;E640*10&amp;")"</f>
        <v>-20,54/+18,68  (EC  19,1)</v>
      </c>
      <c r="D640" s="861">
        <v>7.23</v>
      </c>
      <c r="E640" s="861">
        <v>1.91</v>
      </c>
      <c r="F640" s="832">
        <v>78.569999999999993</v>
      </c>
      <c r="G640" s="855">
        <v>0</v>
      </c>
      <c r="H640" s="784">
        <v>0.05</v>
      </c>
      <c r="I640" s="26">
        <v>350.36</v>
      </c>
      <c r="J640" s="26">
        <v>39.86</v>
      </c>
      <c r="K640" s="25">
        <v>1E-3</v>
      </c>
      <c r="L640" s="856">
        <f>(21.9-0.1)*24</f>
        <v>523.19999999999993</v>
      </c>
      <c r="M640" s="25">
        <v>0</v>
      </c>
      <c r="N640" s="861">
        <v>2.11</v>
      </c>
      <c r="O640" s="861">
        <v>260.18</v>
      </c>
      <c r="P640" s="861">
        <v>86.86</v>
      </c>
      <c r="Q640" s="861">
        <v>35.58</v>
      </c>
      <c r="R640" s="861"/>
      <c r="S640" s="861"/>
      <c r="T640" s="861"/>
      <c r="U640" s="861"/>
      <c r="V640" s="861"/>
    </row>
    <row r="641" spans="1:22" x14ac:dyDescent="0.25">
      <c r="A641" s="585">
        <v>900340</v>
      </c>
      <c r="B641" s="1" t="str">
        <f t="shared" ref="B641:B702" si="17">"-"&amp;TEXT((F641/62+G641/46+I641/35.5+J641/48+K641/97+L641/61),"0,00")&amp;"/+"&amp;TEXT((N641/39+O641/23+P641/20+Q641/12+H641/14),"0,00")&amp;"  (EC  "&amp;E641*10&amp;")"</f>
        <v>-7,92/+7,44  (EC  6,67)</v>
      </c>
      <c r="D641" s="3">
        <v>7.17</v>
      </c>
      <c r="E641" s="3">
        <v>0.66700000000000004</v>
      </c>
      <c r="F641" s="832">
        <v>60.38</v>
      </c>
      <c r="G641" s="855">
        <v>0</v>
      </c>
      <c r="H641" s="784">
        <v>7.0000000000000007E-2</v>
      </c>
      <c r="I641" s="26">
        <v>24.6</v>
      </c>
      <c r="J641" s="26">
        <v>56.3</v>
      </c>
      <c r="K641" s="25">
        <v>1E-3</v>
      </c>
      <c r="L641" s="856">
        <f>(13-0.1)*24</f>
        <v>309.60000000000002</v>
      </c>
      <c r="M641" s="25">
        <v>0</v>
      </c>
      <c r="N641" s="3">
        <v>0.69</v>
      </c>
      <c r="O641" s="3">
        <v>19.13</v>
      </c>
      <c r="P641" s="3">
        <v>73.3</v>
      </c>
      <c r="Q641" s="3">
        <v>35.06</v>
      </c>
      <c r="R641" s="859">
        <v>1E-4</v>
      </c>
      <c r="S641" s="859">
        <v>1E-4</v>
      </c>
      <c r="T641" s="859">
        <v>1E-4</v>
      </c>
      <c r="U641" s="859">
        <v>1E-4</v>
      </c>
      <c r="V641" s="859"/>
    </row>
    <row r="642" spans="1:22" x14ac:dyDescent="0.25">
      <c r="A642" s="585">
        <v>900341</v>
      </c>
      <c r="B642" s="1" t="str">
        <f t="shared" si="17"/>
        <v>-6,36/+5,73  (EC  6,12)</v>
      </c>
      <c r="D642" s="3">
        <v>6.8</v>
      </c>
      <c r="E642" s="3">
        <v>0.61199999999999999</v>
      </c>
      <c r="F642" s="832">
        <v>86.35</v>
      </c>
      <c r="G642" s="855">
        <v>0</v>
      </c>
      <c r="H642" s="860">
        <v>0.04</v>
      </c>
      <c r="I642" s="860">
        <v>35.6</v>
      </c>
      <c r="J642" s="860">
        <v>112.79</v>
      </c>
      <c r="K642" s="3">
        <f>3.06*0.02</f>
        <v>6.1200000000000004E-2</v>
      </c>
      <c r="L642" s="3">
        <f>(4.2-0.1)*24</f>
        <v>98.4</v>
      </c>
      <c r="M642" s="3">
        <v>0</v>
      </c>
      <c r="N642" s="3">
        <v>9.27</v>
      </c>
      <c r="O642" s="3">
        <v>37.130000000000003</v>
      </c>
      <c r="P642" s="3">
        <v>50.65</v>
      </c>
      <c r="Q642" s="859">
        <v>16.100000000000001</v>
      </c>
      <c r="R642" s="859"/>
      <c r="S642" s="859"/>
      <c r="T642" s="859"/>
      <c r="U642" s="859"/>
      <c r="V642" s="859"/>
    </row>
    <row r="643" spans="1:22" x14ac:dyDescent="0.25">
      <c r="A643" s="585">
        <v>900342</v>
      </c>
      <c r="B643" s="1" t="str">
        <f t="shared" si="17"/>
        <v>-8,33/+8,68  (EC  8,94)</v>
      </c>
      <c r="D643" s="3">
        <v>6.73</v>
      </c>
      <c r="E643" s="3">
        <v>0.89400000000000002</v>
      </c>
      <c r="F643" s="832">
        <v>70.680000000000007</v>
      </c>
      <c r="G643" s="855">
        <v>0</v>
      </c>
      <c r="H643" s="860">
        <v>0.04</v>
      </c>
      <c r="I643" s="860">
        <v>30.6</v>
      </c>
      <c r="J643" s="860">
        <v>124.31</v>
      </c>
      <c r="K643" s="3">
        <v>1E-4</v>
      </c>
      <c r="L643" s="857">
        <f>(9.6-0.1)*24</f>
        <v>228</v>
      </c>
      <c r="M643" s="3">
        <v>0</v>
      </c>
      <c r="N643" s="3">
        <v>1.95</v>
      </c>
      <c r="O643" s="3">
        <v>64.41</v>
      </c>
      <c r="P643" s="3">
        <v>89.72</v>
      </c>
      <c r="Q643" s="859">
        <v>16.100000000000001</v>
      </c>
      <c r="R643" s="859">
        <v>1E-4</v>
      </c>
      <c r="S643" s="859">
        <v>1E-4</v>
      </c>
      <c r="T643" s="859">
        <v>1E-4</v>
      </c>
      <c r="U643" s="859">
        <v>1E-4</v>
      </c>
      <c r="V643" s="859"/>
    </row>
    <row r="644" spans="1:22" x14ac:dyDescent="0.25">
      <c r="A644" s="585">
        <v>900343</v>
      </c>
      <c r="B644" s="1" t="str">
        <f t="shared" si="17"/>
        <v>-6,17/+8,29  (EC  7,75)</v>
      </c>
      <c r="D644" s="891">
        <v>6.78</v>
      </c>
      <c r="E644" s="891">
        <v>0.77500000000000002</v>
      </c>
      <c r="F644" s="832">
        <v>97.78</v>
      </c>
      <c r="G644" s="855">
        <v>0</v>
      </c>
      <c r="H644" s="784">
        <v>0</v>
      </c>
      <c r="I644" s="26">
        <v>78.099999999999994</v>
      </c>
      <c r="J644" s="26">
        <v>21.4</v>
      </c>
      <c r="K644" s="25">
        <v>0</v>
      </c>
      <c r="L644" s="856">
        <v>119</v>
      </c>
      <c r="M644" s="25">
        <v>0</v>
      </c>
      <c r="N644" s="891">
        <v>0.56999999999999995</v>
      </c>
      <c r="O644" s="891">
        <v>33.61</v>
      </c>
      <c r="P644" s="891">
        <v>117.03</v>
      </c>
      <c r="Q644" s="891">
        <v>11.52</v>
      </c>
      <c r="R644" s="891">
        <v>0.11</v>
      </c>
      <c r="S644" s="891">
        <v>1E-4</v>
      </c>
      <c r="T644" s="891">
        <v>1E-4</v>
      </c>
      <c r="U644" s="891">
        <v>1E-4</v>
      </c>
      <c r="V644" s="891"/>
    </row>
    <row r="645" spans="1:22" x14ac:dyDescent="0.25">
      <c r="A645" s="585">
        <v>900344</v>
      </c>
      <c r="B645" s="1" t="str">
        <f t="shared" si="17"/>
        <v>-34,16/+34,58  (EC  33,6)</v>
      </c>
      <c r="D645" s="891">
        <v>6.98</v>
      </c>
      <c r="E645" s="891">
        <v>3.36</v>
      </c>
      <c r="F645" s="832">
        <v>9.1300000000000008</v>
      </c>
      <c r="G645" s="855">
        <v>0</v>
      </c>
      <c r="H645" s="784">
        <v>0</v>
      </c>
      <c r="I645" s="26">
        <v>665.05</v>
      </c>
      <c r="J645" s="26">
        <v>495.6</v>
      </c>
      <c r="K645" s="25">
        <v>0</v>
      </c>
      <c r="L645" s="856">
        <v>302.39999999999998</v>
      </c>
      <c r="M645" s="25">
        <v>0</v>
      </c>
      <c r="N645" s="891">
        <v>5.01</v>
      </c>
      <c r="O645" s="891">
        <v>232.51</v>
      </c>
      <c r="P645" s="891">
        <v>200.4</v>
      </c>
      <c r="Q645" s="891">
        <v>171.82</v>
      </c>
      <c r="R645" s="891">
        <v>0.37</v>
      </c>
      <c r="S645" s="891">
        <v>1E-4</v>
      </c>
      <c r="T645" s="891">
        <v>0.01</v>
      </c>
      <c r="U645" s="891">
        <v>0.11</v>
      </c>
      <c r="V645" s="891"/>
    </row>
    <row r="646" spans="1:22" x14ac:dyDescent="0.25">
      <c r="A646" s="585">
        <v>900345</v>
      </c>
      <c r="B646" s="1" t="str">
        <f t="shared" si="17"/>
        <v>-31,41/+33,41  (EC  32,4)</v>
      </c>
      <c r="D646" s="891">
        <v>6.92</v>
      </c>
      <c r="E646" s="891">
        <v>3.24</v>
      </c>
      <c r="F646" s="832">
        <v>7.57</v>
      </c>
      <c r="G646" s="855">
        <v>0</v>
      </c>
      <c r="H646" s="784">
        <v>0</v>
      </c>
      <c r="I646" s="26">
        <v>587.65</v>
      </c>
      <c r="J646" s="26">
        <v>467.4</v>
      </c>
      <c r="K646" s="25">
        <v>3.0599999999999999E-2</v>
      </c>
      <c r="L646" s="856">
        <v>304.8</v>
      </c>
      <c r="M646" s="25">
        <v>0</v>
      </c>
      <c r="N646" s="891">
        <v>5.82</v>
      </c>
      <c r="O646" s="891">
        <v>234.1</v>
      </c>
      <c r="P646" s="891">
        <v>208.92</v>
      </c>
      <c r="Q646" s="891">
        <v>151.59</v>
      </c>
      <c r="R646" s="891">
        <v>0.3</v>
      </c>
      <c r="S646" s="891">
        <v>1E-4</v>
      </c>
      <c r="T646" s="891">
        <v>1E-4</v>
      </c>
      <c r="U646" s="891">
        <v>0.03</v>
      </c>
      <c r="V646" s="891"/>
    </row>
    <row r="647" spans="1:22" s="5" customFormat="1" x14ac:dyDescent="0.25">
      <c r="A647" s="580">
        <v>900346</v>
      </c>
      <c r="B647" s="483" t="str">
        <f t="shared" si="17"/>
        <v>-45,02/+47,56  (EC  46,3)</v>
      </c>
      <c r="C647" s="484"/>
      <c r="D647" s="25">
        <v>6.18</v>
      </c>
      <c r="E647" s="25">
        <v>4.63</v>
      </c>
      <c r="F647" s="893">
        <v>0.49</v>
      </c>
      <c r="G647" s="855">
        <v>0</v>
      </c>
      <c r="H647" s="25">
        <v>7.0000000000000007E-2</v>
      </c>
      <c r="I647" s="832">
        <v>996.3</v>
      </c>
      <c r="J647" s="832">
        <v>400</v>
      </c>
      <c r="K647" s="25">
        <v>6.1199999999999997E-2</v>
      </c>
      <c r="L647" s="25">
        <v>525.6</v>
      </c>
      <c r="M647" s="25">
        <v>0</v>
      </c>
      <c r="N647" s="25">
        <v>25.16</v>
      </c>
      <c r="O647" s="25">
        <v>674.23</v>
      </c>
      <c r="P647" s="25">
        <v>175.97</v>
      </c>
      <c r="Q647" s="25">
        <v>105.51</v>
      </c>
      <c r="R647" s="25">
        <v>0.01</v>
      </c>
      <c r="S647" s="25">
        <v>1E-4</v>
      </c>
      <c r="T647" s="25">
        <v>0.35</v>
      </c>
      <c r="U647" s="25">
        <v>0.25</v>
      </c>
      <c r="V647" s="25"/>
    </row>
    <row r="648" spans="1:22" s="5" customFormat="1" x14ac:dyDescent="0.25">
      <c r="A648" s="580">
        <v>900347</v>
      </c>
      <c r="B648" s="483" t="str">
        <f t="shared" si="17"/>
        <v>-35,74/+34,43  (EC  35,6)</v>
      </c>
      <c r="C648" s="484"/>
      <c r="D648" s="25">
        <v>6.63</v>
      </c>
      <c r="E648" s="25">
        <v>3.56</v>
      </c>
      <c r="F648" s="893">
        <v>0.2</v>
      </c>
      <c r="G648" s="855">
        <v>0</v>
      </c>
      <c r="H648" s="25">
        <v>0.09</v>
      </c>
      <c r="I648" s="832">
        <v>717.15</v>
      </c>
      <c r="J648" s="832">
        <v>356</v>
      </c>
      <c r="K648" s="25">
        <v>0.30599999999999999</v>
      </c>
      <c r="L648" s="25">
        <v>495.2</v>
      </c>
      <c r="M648" s="25">
        <v>0</v>
      </c>
      <c r="N648" s="25">
        <v>12.73</v>
      </c>
      <c r="O648" s="25">
        <v>586.35</v>
      </c>
      <c r="P648" s="25">
        <v>91.77</v>
      </c>
      <c r="Q648" s="25">
        <v>48.21</v>
      </c>
      <c r="R648" s="25">
        <v>1E-4</v>
      </c>
      <c r="S648" s="25">
        <v>1E-4</v>
      </c>
      <c r="T648" s="25">
        <v>0.56000000000000005</v>
      </c>
      <c r="U648" s="25">
        <v>0.01</v>
      </c>
      <c r="V648" s="25"/>
    </row>
    <row r="649" spans="1:22" s="5" customFormat="1" x14ac:dyDescent="0.25">
      <c r="A649" s="580">
        <v>900348</v>
      </c>
      <c r="B649" s="483" t="str">
        <f t="shared" si="17"/>
        <v>-7,24/+6,67  (EC  6,66)</v>
      </c>
      <c r="C649" s="484"/>
      <c r="D649" s="25">
        <v>7.04</v>
      </c>
      <c r="E649" s="25">
        <v>0.66600000000000004</v>
      </c>
      <c r="F649" s="893">
        <v>89.8</v>
      </c>
      <c r="G649" s="855">
        <v>0</v>
      </c>
      <c r="H649" s="25">
        <v>0.03</v>
      </c>
      <c r="I649" s="832">
        <v>78.2</v>
      </c>
      <c r="J649" s="832">
        <v>25.1</v>
      </c>
      <c r="K649" s="25">
        <v>0</v>
      </c>
      <c r="L649" s="25">
        <v>187.20000000000002</v>
      </c>
      <c r="M649" s="25">
        <v>0</v>
      </c>
      <c r="N649" s="25">
        <v>0.67</v>
      </c>
      <c r="O649" s="25">
        <v>40.83</v>
      </c>
      <c r="P649" s="25">
        <v>85.83</v>
      </c>
      <c r="Q649" s="25">
        <v>7.06</v>
      </c>
      <c r="R649" s="25" t="s">
        <v>467</v>
      </c>
      <c r="S649" s="25">
        <v>1E-4</v>
      </c>
      <c r="T649" s="25">
        <v>1E-4</v>
      </c>
      <c r="U649" s="25">
        <v>1E-4</v>
      </c>
      <c r="V649" s="25"/>
    </row>
    <row r="650" spans="1:22" s="5" customFormat="1" x14ac:dyDescent="0.25">
      <c r="A650" s="580">
        <v>900349</v>
      </c>
      <c r="B650" s="483" t="str">
        <f t="shared" si="17"/>
        <v>-32,99/+32,14  (EC  30,9)</v>
      </c>
      <c r="C650" s="484"/>
      <c r="D650" s="25">
        <v>6.8</v>
      </c>
      <c r="E650" s="25">
        <v>3.09</v>
      </c>
      <c r="F650" s="893">
        <v>8.08</v>
      </c>
      <c r="G650" s="855">
        <v>0</v>
      </c>
      <c r="H650" s="25">
        <v>0.01</v>
      </c>
      <c r="I650" s="832">
        <v>479.25</v>
      </c>
      <c r="J650" s="832">
        <v>687.45</v>
      </c>
      <c r="K650" s="25">
        <v>0</v>
      </c>
      <c r="L650" s="25">
        <v>307.20000000000005</v>
      </c>
      <c r="M650" s="25">
        <v>0</v>
      </c>
      <c r="N650" s="25">
        <v>6.08</v>
      </c>
      <c r="O650" s="25">
        <v>224.07</v>
      </c>
      <c r="P650" s="25">
        <v>228.58</v>
      </c>
      <c r="Q650" s="25">
        <v>129.79</v>
      </c>
      <c r="R650" s="25">
        <v>1E-4</v>
      </c>
      <c r="S650" s="25">
        <v>1E-4</v>
      </c>
      <c r="T650" s="25">
        <v>1E-4</v>
      </c>
      <c r="U650" s="25">
        <v>1E-4</v>
      </c>
      <c r="V650" s="25"/>
    </row>
    <row r="651" spans="1:22" s="5" customFormat="1" x14ac:dyDescent="0.25">
      <c r="A651" s="580">
        <v>900350</v>
      </c>
      <c r="B651" s="483" t="str">
        <f t="shared" si="17"/>
        <v>-31,33/+31,25  (EC  31)</v>
      </c>
      <c r="C651" s="484"/>
      <c r="D651" s="25">
        <v>6.88</v>
      </c>
      <c r="E651" s="25">
        <v>3.1</v>
      </c>
      <c r="F651" s="893">
        <v>7.13</v>
      </c>
      <c r="G651" s="855">
        <v>0</v>
      </c>
      <c r="H651" s="25">
        <v>0.06</v>
      </c>
      <c r="I651" s="832">
        <v>462.8</v>
      </c>
      <c r="J651" s="832">
        <v>623.20000000000005</v>
      </c>
      <c r="K651" s="25">
        <v>3.0599999999999999E-2</v>
      </c>
      <c r="L651" s="25">
        <v>316.8</v>
      </c>
      <c r="M651" s="25">
        <v>0</v>
      </c>
      <c r="N651" s="25" t="s">
        <v>482</v>
      </c>
      <c r="O651" s="25">
        <v>225.62</v>
      </c>
      <c r="P651" s="25">
        <v>213.07</v>
      </c>
      <c r="Q651" s="25">
        <v>127.49</v>
      </c>
      <c r="R651" s="25">
        <v>1E-4</v>
      </c>
      <c r="S651" s="25">
        <v>1E-4</v>
      </c>
      <c r="T651" s="25">
        <v>1E-4</v>
      </c>
      <c r="U651" s="25">
        <v>1E-4</v>
      </c>
      <c r="V651" s="25"/>
    </row>
    <row r="652" spans="1:22" s="5" customFormat="1" x14ac:dyDescent="0.25">
      <c r="A652" s="580">
        <v>900351</v>
      </c>
      <c r="B652" s="483" t="str">
        <f t="shared" si="17"/>
        <v>-71,75/+71,37  (EC  72,9)</v>
      </c>
      <c r="C652" s="484"/>
      <c r="D652" s="25">
        <v>7.24</v>
      </c>
      <c r="E652" s="25">
        <v>7.29</v>
      </c>
      <c r="F652" s="893">
        <v>6.83</v>
      </c>
      <c r="G652" s="855">
        <v>0</v>
      </c>
      <c r="H652" s="25">
        <v>0.05</v>
      </c>
      <c r="I652" s="832">
        <v>1821.75</v>
      </c>
      <c r="J652" s="832">
        <v>712.8</v>
      </c>
      <c r="K652" s="25">
        <v>0.153</v>
      </c>
      <c r="L652" s="25">
        <v>333.6</v>
      </c>
      <c r="M652" s="25">
        <v>0</v>
      </c>
      <c r="N652" s="25">
        <v>14.3</v>
      </c>
      <c r="O652" s="25">
        <v>928.95</v>
      </c>
      <c r="P652" s="25">
        <v>230.36</v>
      </c>
      <c r="Q652" s="25">
        <v>229.14</v>
      </c>
      <c r="R652" s="25">
        <v>0.1</v>
      </c>
      <c r="S652" s="25">
        <v>1E-4</v>
      </c>
      <c r="T652" s="25">
        <v>0.01</v>
      </c>
      <c r="U652" s="25">
        <v>1E-4</v>
      </c>
      <c r="V652" s="25"/>
    </row>
    <row r="653" spans="1:22" s="5" customFormat="1" x14ac:dyDescent="0.25">
      <c r="A653" s="580">
        <v>900352</v>
      </c>
      <c r="B653" s="483" t="str">
        <f t="shared" si="17"/>
        <v>-25,23/+23,96  (EC  25,3)</v>
      </c>
      <c r="C653" s="484"/>
      <c r="D653" s="25">
        <v>7.16</v>
      </c>
      <c r="E653" s="25">
        <v>2.5299999999999998</v>
      </c>
      <c r="F653" s="893">
        <v>49.15</v>
      </c>
      <c r="G653" s="855">
        <v>0</v>
      </c>
      <c r="H653" s="25">
        <v>0.05</v>
      </c>
      <c r="I653" s="832">
        <v>578.65</v>
      </c>
      <c r="J653" s="832">
        <v>177.15</v>
      </c>
      <c r="K653" s="25">
        <v>6.1200000000000004E-2</v>
      </c>
      <c r="L653" s="25">
        <v>271.20000000000005</v>
      </c>
      <c r="M653" s="25">
        <v>0</v>
      </c>
      <c r="N653" s="25">
        <v>3.26</v>
      </c>
      <c r="O653" s="25">
        <v>180.64</v>
      </c>
      <c r="P653" s="25">
        <v>192.71</v>
      </c>
      <c r="Q653" s="25">
        <v>76.650000000000006</v>
      </c>
      <c r="R653" s="25">
        <v>1E-4</v>
      </c>
      <c r="S653" s="25">
        <v>1E-4</v>
      </c>
      <c r="T653" s="25">
        <v>1E-4</v>
      </c>
      <c r="U653" s="25">
        <v>1E-4</v>
      </c>
      <c r="V653" s="25"/>
    </row>
    <row r="654" spans="1:22" s="5" customFormat="1" x14ac:dyDescent="0.25">
      <c r="A654" s="580">
        <v>900353</v>
      </c>
      <c r="B654" s="483" t="str">
        <f t="shared" si="17"/>
        <v>-50,24/+48,95  (EC  50,1)</v>
      </c>
      <c r="C654" s="484"/>
      <c r="D654" s="25">
        <v>7.37</v>
      </c>
      <c r="E654" s="25">
        <v>5.01</v>
      </c>
      <c r="F654" s="893">
        <v>96.79</v>
      </c>
      <c r="G654" s="855">
        <v>0</v>
      </c>
      <c r="H654" s="25">
        <v>0.05</v>
      </c>
      <c r="I654" s="832">
        <v>1391.6</v>
      </c>
      <c r="J654" s="832">
        <v>190.79999999999998</v>
      </c>
      <c r="K654" s="25">
        <v>0</v>
      </c>
      <c r="L654" s="25">
        <v>335.6</v>
      </c>
      <c r="M654" s="25">
        <v>0</v>
      </c>
      <c r="N654" s="25" t="s">
        <v>483</v>
      </c>
      <c r="O654" s="25">
        <v>621.85</v>
      </c>
      <c r="P654" s="25">
        <v>186.89</v>
      </c>
      <c r="Q654" s="25">
        <v>149.33000000000001</v>
      </c>
      <c r="R654" s="25">
        <v>1E-4</v>
      </c>
      <c r="S654" s="25">
        <v>1E-4</v>
      </c>
      <c r="T654" s="25">
        <v>1E-4</v>
      </c>
      <c r="U654" s="25">
        <v>1E-4</v>
      </c>
      <c r="V654" s="25"/>
    </row>
    <row r="655" spans="1:22" s="5" customFormat="1" x14ac:dyDescent="0.25">
      <c r="A655" s="580">
        <v>900354</v>
      </c>
      <c r="B655" s="483" t="str">
        <f t="shared" si="17"/>
        <v>-41,04/+40,44  (EC  42,3)</v>
      </c>
      <c r="C655" s="484"/>
      <c r="D655" s="25">
        <v>6.59</v>
      </c>
      <c r="E655" s="25">
        <v>4.2300000000000004</v>
      </c>
      <c r="F655" s="893">
        <v>99.85</v>
      </c>
      <c r="G655" s="855">
        <v>0</v>
      </c>
      <c r="H655" s="25">
        <v>0.05</v>
      </c>
      <c r="I655" s="832">
        <v>1107.5999999999999</v>
      </c>
      <c r="J655" s="832">
        <v>185.65</v>
      </c>
      <c r="K655" s="25">
        <v>9.1799999999999993E-2</v>
      </c>
      <c r="L655" s="25">
        <v>266</v>
      </c>
      <c r="M655" s="25">
        <v>0</v>
      </c>
      <c r="N655" s="25" t="s">
        <v>484</v>
      </c>
      <c r="O655" s="25">
        <v>351.77</v>
      </c>
      <c r="P655" s="25">
        <v>276.3</v>
      </c>
      <c r="Q655" s="25">
        <v>135.25</v>
      </c>
      <c r="R655" s="25">
        <v>0.01</v>
      </c>
      <c r="S655" s="25">
        <v>1E-4</v>
      </c>
      <c r="T655" s="25">
        <v>1E-4</v>
      </c>
      <c r="U655" s="25">
        <v>1E-4</v>
      </c>
      <c r="V655" s="25"/>
    </row>
    <row r="656" spans="1:22" s="5" customFormat="1" x14ac:dyDescent="0.25">
      <c r="A656" s="580">
        <v>900355</v>
      </c>
      <c r="B656" s="483" t="str">
        <f t="shared" si="17"/>
        <v>-18,00/+16,27  (EC  17,88)</v>
      </c>
      <c r="C656" s="484"/>
      <c r="D656" s="25">
        <v>7.12</v>
      </c>
      <c r="E656" s="25">
        <v>1.788</v>
      </c>
      <c r="F656" s="893">
        <v>6.8</v>
      </c>
      <c r="G656" s="855">
        <v>0</v>
      </c>
      <c r="H656" s="25">
        <v>0.05</v>
      </c>
      <c r="I656" s="832">
        <v>415.35</v>
      </c>
      <c r="J656" s="832">
        <v>104.7</v>
      </c>
      <c r="K656" s="25">
        <v>9.1799999999999993E-2</v>
      </c>
      <c r="L656" s="25">
        <v>244.5</v>
      </c>
      <c r="M656" s="25">
        <v>0</v>
      </c>
      <c r="N656" s="25">
        <v>3.93</v>
      </c>
      <c r="O656" s="25">
        <v>224.87</v>
      </c>
      <c r="P656" s="25">
        <v>58.93</v>
      </c>
      <c r="Q656" s="25">
        <v>41.27</v>
      </c>
      <c r="R656" s="25">
        <v>1E-4</v>
      </c>
      <c r="S656" s="25">
        <v>1E-4</v>
      </c>
      <c r="T656" s="25">
        <v>1E-4</v>
      </c>
      <c r="U656" s="25">
        <v>1E-4</v>
      </c>
      <c r="V656" s="25"/>
    </row>
    <row r="657" spans="1:323" s="5" customFormat="1" x14ac:dyDescent="0.25">
      <c r="A657" s="580">
        <v>900356</v>
      </c>
      <c r="B657" s="483" t="str">
        <f t="shared" si="17"/>
        <v>-61,36/+59,27  (EC  61,5)</v>
      </c>
      <c r="C657" s="484"/>
      <c r="D657" s="25">
        <v>7.15</v>
      </c>
      <c r="E657" s="25">
        <v>6.15</v>
      </c>
      <c r="F657" s="893">
        <v>75.92</v>
      </c>
      <c r="G657" s="855">
        <v>0</v>
      </c>
      <c r="H657" s="25">
        <v>0.05</v>
      </c>
      <c r="I657" s="832">
        <v>1732.4</v>
      </c>
      <c r="J657" s="832">
        <v>295</v>
      </c>
      <c r="K657" s="25">
        <v>3.0600000000000002E-2</v>
      </c>
      <c r="L657" s="25">
        <v>316.8</v>
      </c>
      <c r="M657" s="25">
        <v>0</v>
      </c>
      <c r="N657" s="25" t="s">
        <v>485</v>
      </c>
      <c r="O657" s="25">
        <v>761.16</v>
      </c>
      <c r="P657" s="25">
        <v>213.77</v>
      </c>
      <c r="Q657" s="25">
        <v>182.98</v>
      </c>
      <c r="R657" s="25">
        <v>0.04</v>
      </c>
      <c r="S657" s="25">
        <v>1E-4</v>
      </c>
      <c r="T657" s="25">
        <v>1E-4</v>
      </c>
      <c r="U657" s="25">
        <v>1E-4</v>
      </c>
      <c r="V657" s="25"/>
    </row>
    <row r="658" spans="1:323" s="5" customFormat="1" x14ac:dyDescent="0.25">
      <c r="A658" s="580">
        <v>900357</v>
      </c>
      <c r="B658" s="483" t="str">
        <f t="shared" si="17"/>
        <v>-13,54/+13,82  (EC  14,8)</v>
      </c>
      <c r="C658" s="484"/>
      <c r="D658" s="25">
        <v>7.45</v>
      </c>
      <c r="E658" s="25">
        <v>1.48</v>
      </c>
      <c r="F658" s="893">
        <v>102.69</v>
      </c>
      <c r="G658" s="855">
        <v>0</v>
      </c>
      <c r="H658" s="25">
        <v>0.05</v>
      </c>
      <c r="I658" s="832">
        <v>241.4</v>
      </c>
      <c r="J658" s="832">
        <v>96.54</v>
      </c>
      <c r="K658" s="25">
        <v>3.0600000000000002E-2</v>
      </c>
      <c r="L658" s="25">
        <v>187.6</v>
      </c>
      <c r="M658" s="25">
        <v>0</v>
      </c>
      <c r="N658" s="25">
        <v>3.61</v>
      </c>
      <c r="O658" s="25">
        <v>122.51</v>
      </c>
      <c r="P658" s="25">
        <v>143.72</v>
      </c>
      <c r="Q658" s="25">
        <v>14.51</v>
      </c>
      <c r="R658" s="25">
        <v>1E-4</v>
      </c>
      <c r="S658" s="25">
        <v>1E-4</v>
      </c>
      <c r="T658" s="25">
        <v>1E-4</v>
      </c>
      <c r="U658" s="25">
        <v>0.01</v>
      </c>
      <c r="V658" s="25"/>
    </row>
    <row r="659" spans="1:323" s="5" customFormat="1" x14ac:dyDescent="0.25">
      <c r="A659" s="580">
        <v>900358</v>
      </c>
      <c r="B659" s="483" t="str">
        <f t="shared" si="17"/>
        <v>-28,04/+26,65  (EC  28,5)</v>
      </c>
      <c r="C659" s="484"/>
      <c r="D659" s="25">
        <v>7.12</v>
      </c>
      <c r="E659" s="25">
        <v>2.85</v>
      </c>
      <c r="F659" s="893">
        <v>103.58</v>
      </c>
      <c r="G659" s="855">
        <v>0</v>
      </c>
      <c r="H659" s="25">
        <v>0.05</v>
      </c>
      <c r="I659" s="832">
        <v>699.35</v>
      </c>
      <c r="J659" s="832">
        <v>110.5</v>
      </c>
      <c r="K659" s="25">
        <v>0.36719999999999997</v>
      </c>
      <c r="L659" s="25">
        <v>266.10000000000002</v>
      </c>
      <c r="M659" s="25">
        <v>0</v>
      </c>
      <c r="N659" s="25">
        <v>12.66</v>
      </c>
      <c r="O659" s="25">
        <v>119</v>
      </c>
      <c r="P659" s="25">
        <v>365.47</v>
      </c>
      <c r="Q659" s="25">
        <v>34.520000000000003</v>
      </c>
      <c r="R659" s="25">
        <v>0.01</v>
      </c>
      <c r="S659" s="25">
        <v>1E-4</v>
      </c>
      <c r="T659" s="25">
        <v>1E-4</v>
      </c>
      <c r="U659" s="25">
        <v>1E-4</v>
      </c>
      <c r="V659" s="25"/>
    </row>
    <row r="660" spans="1:323" s="5" customFormat="1" x14ac:dyDescent="0.25">
      <c r="A660" s="580">
        <v>900359</v>
      </c>
      <c r="B660" s="483" t="str">
        <f t="shared" si="17"/>
        <v>-29,14/+27,97  (EC  27,9)</v>
      </c>
      <c r="C660" s="484"/>
      <c r="D660" s="25">
        <v>7.27</v>
      </c>
      <c r="E660" s="25">
        <v>2.79</v>
      </c>
      <c r="F660" s="893">
        <v>19.559999999999999</v>
      </c>
      <c r="G660" s="855">
        <v>0</v>
      </c>
      <c r="H660" s="25">
        <v>0.05</v>
      </c>
      <c r="I660" s="832">
        <v>568</v>
      </c>
      <c r="J660" s="832">
        <v>443.54999999999995</v>
      </c>
      <c r="K660" s="25">
        <v>0</v>
      </c>
      <c r="L660" s="25">
        <v>218.39999999999998</v>
      </c>
      <c r="M660" s="25">
        <v>0</v>
      </c>
      <c r="N660" s="25">
        <v>3.59</v>
      </c>
      <c r="O660" s="25">
        <v>272.70999999999998</v>
      </c>
      <c r="P660" s="25">
        <v>184.65</v>
      </c>
      <c r="Q660" s="25">
        <v>81.42</v>
      </c>
      <c r="R660" s="25">
        <v>0.22</v>
      </c>
      <c r="S660" s="25">
        <v>1E-4</v>
      </c>
      <c r="T660" s="25">
        <v>1E-4</v>
      </c>
      <c r="U660" s="25">
        <v>1E-4</v>
      </c>
      <c r="V660" s="25"/>
    </row>
    <row r="661" spans="1:323" s="5" customFormat="1" x14ac:dyDescent="0.25">
      <c r="A661" s="580">
        <v>900360</v>
      </c>
      <c r="B661" s="483" t="str">
        <f t="shared" si="17"/>
        <v>-32,60/+29,03  (EC  32,2)</v>
      </c>
      <c r="C661" s="484"/>
      <c r="D661" s="25">
        <v>7.01</v>
      </c>
      <c r="E661" s="25">
        <v>3.22</v>
      </c>
      <c r="F661" s="893">
        <v>104.77</v>
      </c>
      <c r="G661" s="855">
        <v>0</v>
      </c>
      <c r="H661" s="25">
        <v>0.05</v>
      </c>
      <c r="I661" s="832">
        <v>834.25</v>
      </c>
      <c r="J661" s="832">
        <v>67.349999999999994</v>
      </c>
      <c r="K661" s="25">
        <v>0</v>
      </c>
      <c r="L661" s="25">
        <v>366.2</v>
      </c>
      <c r="M661" s="25">
        <v>0</v>
      </c>
      <c r="N661" s="25">
        <v>2.81</v>
      </c>
      <c r="O661" s="25">
        <v>287.31</v>
      </c>
      <c r="P661" s="25">
        <v>207.33</v>
      </c>
      <c r="Q661" s="25">
        <v>73.099999999999994</v>
      </c>
      <c r="R661" s="25">
        <v>0.66</v>
      </c>
      <c r="S661" s="25">
        <v>1E-4</v>
      </c>
      <c r="T661" s="25">
        <v>1E-4</v>
      </c>
      <c r="U661" s="25">
        <v>0.01</v>
      </c>
      <c r="V661" s="25"/>
    </row>
    <row r="662" spans="1:323" s="922" customFormat="1" x14ac:dyDescent="0.25">
      <c r="A662" s="915">
        <v>901020</v>
      </c>
      <c r="B662" s="916" t="str">
        <f t="shared" si="17"/>
        <v>-25,46/+30,29  (EC  30,5)</v>
      </c>
      <c r="C662" s="917"/>
      <c r="D662" s="918">
        <v>7.05</v>
      </c>
      <c r="E662" s="918">
        <v>3.05</v>
      </c>
      <c r="F662" s="919">
        <v>106.55</v>
      </c>
      <c r="G662" s="920">
        <v>0</v>
      </c>
      <c r="H662" s="918">
        <v>3.2</v>
      </c>
      <c r="I662" s="921">
        <v>262.7</v>
      </c>
      <c r="J662" s="921">
        <v>618</v>
      </c>
      <c r="K662" s="918">
        <v>46.46</v>
      </c>
      <c r="L662" s="918">
        <v>182.4</v>
      </c>
      <c r="M662" s="918">
        <v>0</v>
      </c>
      <c r="N662" s="918" t="s">
        <v>486</v>
      </c>
      <c r="O662" s="918">
        <v>143.62</v>
      </c>
      <c r="P662" s="918">
        <v>135.06</v>
      </c>
      <c r="Q662" s="918">
        <v>82.35</v>
      </c>
      <c r="R662" s="918">
        <v>0.43</v>
      </c>
      <c r="S662" s="918">
        <v>0.02</v>
      </c>
      <c r="T662" s="918">
        <v>0.02</v>
      </c>
      <c r="U662" s="918">
        <v>1E-4</v>
      </c>
      <c r="V662" s="918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</row>
    <row r="663" spans="1:323" s="922" customFormat="1" x14ac:dyDescent="0.25">
      <c r="A663" s="915">
        <v>901021</v>
      </c>
      <c r="B663" s="916" t="str">
        <f t="shared" si="17"/>
        <v>-23,00/+27,48  (EC  26,1)</v>
      </c>
      <c r="C663" s="917"/>
      <c r="D663" s="918">
        <v>7.17</v>
      </c>
      <c r="E663" s="918">
        <v>2.61</v>
      </c>
      <c r="F663" s="919">
        <v>107.59</v>
      </c>
      <c r="G663" s="920">
        <v>0</v>
      </c>
      <c r="H663" s="918">
        <v>2.7</v>
      </c>
      <c r="I663" s="921">
        <v>191.7</v>
      </c>
      <c r="J663" s="921">
        <v>618.29999999999995</v>
      </c>
      <c r="K663" s="918">
        <v>37.549999999999997</v>
      </c>
      <c r="L663" s="918">
        <v>158.4</v>
      </c>
      <c r="M663" s="918">
        <v>0</v>
      </c>
      <c r="N663" s="918" t="s">
        <v>487</v>
      </c>
      <c r="O663" s="918">
        <v>144.81</v>
      </c>
      <c r="P663" s="918">
        <v>156.76</v>
      </c>
      <c r="Q663" s="918">
        <v>87.86</v>
      </c>
      <c r="R663" s="918">
        <v>0.33</v>
      </c>
      <c r="S663" s="918">
        <v>0.01</v>
      </c>
      <c r="T663" s="918">
        <v>0.04</v>
      </c>
      <c r="U663" s="918">
        <v>1E-4</v>
      </c>
      <c r="V663" s="918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</row>
    <row r="664" spans="1:323" s="5" customFormat="1" x14ac:dyDescent="0.25">
      <c r="A664" s="580">
        <v>900361</v>
      </c>
      <c r="B664" s="483" t="str">
        <f t="shared" si="17"/>
        <v>-35,06/+32,14  (EC  33,7)</v>
      </c>
      <c r="C664" s="484"/>
      <c r="D664" s="25">
        <v>6.98</v>
      </c>
      <c r="E664" s="25">
        <v>3.37</v>
      </c>
      <c r="F664" s="893">
        <v>25.45</v>
      </c>
      <c r="G664" s="855">
        <v>0</v>
      </c>
      <c r="H664" s="25">
        <v>0.05</v>
      </c>
      <c r="I664" s="832">
        <v>741.95</v>
      </c>
      <c r="J664" s="832">
        <v>293.5</v>
      </c>
      <c r="K664" s="25">
        <v>9.1799999999999993E-2</v>
      </c>
      <c r="L664" s="25">
        <v>465.59999999999997</v>
      </c>
      <c r="M664" s="25">
        <v>0</v>
      </c>
      <c r="N664" s="25">
        <v>2.72</v>
      </c>
      <c r="O664" s="25">
        <v>427.24</v>
      </c>
      <c r="P664" s="25">
        <v>160.5</v>
      </c>
      <c r="Q664" s="25">
        <v>65.61</v>
      </c>
      <c r="R664" s="25">
        <v>0.05</v>
      </c>
      <c r="S664" s="25">
        <v>1E-4</v>
      </c>
      <c r="T664" s="25">
        <v>1E-4</v>
      </c>
      <c r="U664" s="25">
        <v>1E-4</v>
      </c>
      <c r="V664" s="25"/>
    </row>
    <row r="665" spans="1:323" s="5" customFormat="1" x14ac:dyDescent="0.25">
      <c r="A665" s="580">
        <v>900362</v>
      </c>
      <c r="B665" s="483" t="str">
        <f t="shared" si="17"/>
        <v>-41,85/+38,25  (EC  40,5)</v>
      </c>
      <c r="C665" s="484"/>
      <c r="D665" s="25">
        <v>6.87</v>
      </c>
      <c r="E665" s="25">
        <v>4.05</v>
      </c>
      <c r="F665" s="893">
        <v>26.52</v>
      </c>
      <c r="G665" s="855">
        <v>0</v>
      </c>
      <c r="H665" s="25">
        <v>0.05</v>
      </c>
      <c r="I665" s="832">
        <v>912.35</v>
      </c>
      <c r="J665" s="832">
        <v>363.54999999999995</v>
      </c>
      <c r="K665" s="25">
        <v>0.5202</v>
      </c>
      <c r="L665" s="25">
        <v>496.79999999999995</v>
      </c>
      <c r="M665" s="25">
        <v>0</v>
      </c>
      <c r="N665" s="25">
        <v>1.94</v>
      </c>
      <c r="O665" s="25">
        <v>474.53</v>
      </c>
      <c r="P665" s="25">
        <v>217.42</v>
      </c>
      <c r="Q665" s="25">
        <v>80.28</v>
      </c>
      <c r="R665" s="25">
        <v>0.05</v>
      </c>
      <c r="S665" s="25">
        <v>1E-4</v>
      </c>
      <c r="T665" s="25">
        <v>0.01</v>
      </c>
      <c r="U665" s="25">
        <v>1E-4</v>
      </c>
      <c r="V665" s="25"/>
    </row>
    <row r="666" spans="1:323" s="5" customFormat="1" x14ac:dyDescent="0.25">
      <c r="A666" s="580">
        <v>900363</v>
      </c>
      <c r="B666" s="483" t="str">
        <f t="shared" si="17"/>
        <v>-6,59/+9,29  (EC  6,16)</v>
      </c>
      <c r="C666" s="484"/>
      <c r="D666" s="25">
        <v>7.41</v>
      </c>
      <c r="E666" s="25">
        <v>0.61599999999999999</v>
      </c>
      <c r="F666" s="893">
        <v>62.41</v>
      </c>
      <c r="G666" s="855">
        <v>0</v>
      </c>
      <c r="H666" s="25">
        <v>0.05</v>
      </c>
      <c r="I666" s="832">
        <v>95.85</v>
      </c>
      <c r="J666" s="832">
        <v>26.5</v>
      </c>
      <c r="K666" s="25">
        <v>6.1200000000000004E-2</v>
      </c>
      <c r="L666" s="25">
        <v>142</v>
      </c>
      <c r="M666" s="25">
        <v>0</v>
      </c>
      <c r="N666" s="25">
        <v>1.88</v>
      </c>
      <c r="O666" s="25">
        <v>27.66</v>
      </c>
      <c r="P666" s="25">
        <v>81.03</v>
      </c>
      <c r="Q666" s="25">
        <v>47.8</v>
      </c>
      <c r="R666" s="25">
        <v>0.15</v>
      </c>
      <c r="S666" s="25">
        <v>1E-4</v>
      </c>
      <c r="T666" s="25">
        <v>1E-4</v>
      </c>
      <c r="U666" s="25">
        <v>1E-4</v>
      </c>
      <c r="V666" s="25"/>
    </row>
    <row r="667" spans="1:323" s="935" customFormat="1" x14ac:dyDescent="0.25">
      <c r="A667" s="928">
        <v>900364</v>
      </c>
      <c r="B667" s="927" t="str">
        <f t="shared" si="17"/>
        <v>-6,81/+6,92  (EC  5,07)</v>
      </c>
      <c r="C667" s="927"/>
      <c r="D667" s="929">
        <v>8.0399999999999991</v>
      </c>
      <c r="E667" s="929">
        <v>0.50700000000000001</v>
      </c>
      <c r="F667" s="929">
        <v>5.52</v>
      </c>
      <c r="G667" s="929">
        <v>0</v>
      </c>
      <c r="H667" s="929">
        <v>0.94</v>
      </c>
      <c r="I667" s="930">
        <v>55.552</v>
      </c>
      <c r="J667" s="929">
        <v>58.45</v>
      </c>
      <c r="K667" s="931">
        <f>3.06*0.07</f>
        <v>0.21420000000000003</v>
      </c>
      <c r="L667" s="929">
        <v>240</v>
      </c>
      <c r="M667" s="929">
        <v>0</v>
      </c>
      <c r="N667" s="929">
        <v>3.3</v>
      </c>
      <c r="O667" s="929">
        <v>38.47</v>
      </c>
      <c r="P667" s="932">
        <v>49.44</v>
      </c>
      <c r="Q667" s="933">
        <v>31.5</v>
      </c>
      <c r="R667" s="929">
        <v>1E-4</v>
      </c>
      <c r="S667" s="934">
        <v>1E-4</v>
      </c>
      <c r="T667" s="934">
        <v>1E-4</v>
      </c>
      <c r="U667" s="929">
        <v>1E-4</v>
      </c>
      <c r="V667" s="929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</row>
    <row r="668" spans="1:323" s="935" customFormat="1" x14ac:dyDescent="0.25">
      <c r="A668" s="928">
        <v>900365</v>
      </c>
      <c r="B668" s="926" t="str">
        <f t="shared" si="17"/>
        <v>-9,23/+9,97  (EC  8,51)</v>
      </c>
      <c r="C668" s="927"/>
      <c r="D668" s="929">
        <v>7.94</v>
      </c>
      <c r="E668" s="929">
        <v>0.85099999999999998</v>
      </c>
      <c r="F668" s="929">
        <v>26.95</v>
      </c>
      <c r="G668" s="929">
        <v>0</v>
      </c>
      <c r="H668" s="929">
        <v>1.1100000000000001</v>
      </c>
      <c r="I668" s="930">
        <v>79.424000000000007</v>
      </c>
      <c r="J668" s="929">
        <v>86.37</v>
      </c>
      <c r="K668" s="931">
        <f>3.06*0</f>
        <v>0</v>
      </c>
      <c r="L668" s="929">
        <f>(12.2-0.1)*24</f>
        <v>290.39999999999998</v>
      </c>
      <c r="M668" s="929">
        <v>0</v>
      </c>
      <c r="N668" s="929">
        <v>3.19</v>
      </c>
      <c r="O668" s="929">
        <v>49.64</v>
      </c>
      <c r="P668" s="929">
        <v>66.86</v>
      </c>
      <c r="Q668" s="929">
        <v>51.66</v>
      </c>
      <c r="R668" s="929">
        <v>1E-4</v>
      </c>
      <c r="S668" s="934">
        <v>1E-4</v>
      </c>
      <c r="T668" s="934">
        <v>1E-4</v>
      </c>
      <c r="U668" s="929">
        <v>0.03</v>
      </c>
      <c r="V668" s="929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</row>
    <row r="669" spans="1:323" s="935" customFormat="1" x14ac:dyDescent="0.25">
      <c r="A669" s="928">
        <v>900366</v>
      </c>
      <c r="B669" s="927" t="str">
        <f t="shared" si="17"/>
        <v>-8,39/+9,73  (EC  8,14)</v>
      </c>
      <c r="C669" s="927"/>
      <c r="D669" s="929">
        <v>7.65</v>
      </c>
      <c r="E669" s="929">
        <v>0.81399999999999995</v>
      </c>
      <c r="F669" s="929">
        <v>21.1</v>
      </c>
      <c r="G669" s="929">
        <v>0</v>
      </c>
      <c r="H669" s="929">
        <v>1.08</v>
      </c>
      <c r="I669" s="930">
        <v>51.024000000000001</v>
      </c>
      <c r="J669" s="929">
        <v>52.99</v>
      </c>
      <c r="K669" s="931">
        <f>3.06*0</f>
        <v>0</v>
      </c>
      <c r="L669" s="929">
        <f>(14.1-0.1)*24</f>
        <v>336</v>
      </c>
      <c r="M669" s="929">
        <v>0</v>
      </c>
      <c r="N669" s="929">
        <v>3</v>
      </c>
      <c r="O669" s="929">
        <v>31.89</v>
      </c>
      <c r="P669" s="929">
        <v>71.98</v>
      </c>
      <c r="Q669" s="929">
        <v>55.1</v>
      </c>
      <c r="R669" s="929">
        <v>1E-4</v>
      </c>
      <c r="S669" s="934">
        <v>1E-4</v>
      </c>
      <c r="T669" s="934">
        <v>1E-4</v>
      </c>
      <c r="U669" s="929">
        <v>0.25</v>
      </c>
      <c r="V669" s="929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</row>
    <row r="670" spans="1:323" s="935" customFormat="1" x14ac:dyDescent="0.25">
      <c r="A670" s="928">
        <v>900367</v>
      </c>
      <c r="B670" s="927" t="str">
        <f t="shared" si="17"/>
        <v>-8,83/+8,87  (EC  7,89)</v>
      </c>
      <c r="C670" s="927"/>
      <c r="D670" s="929">
        <v>7.61</v>
      </c>
      <c r="E670" s="929">
        <v>0.78900000000000003</v>
      </c>
      <c r="F670" s="929">
        <v>20.89</v>
      </c>
      <c r="G670" s="929">
        <v>0</v>
      </c>
      <c r="H670" s="929">
        <v>0.94</v>
      </c>
      <c r="I670" s="930">
        <v>100</v>
      </c>
      <c r="J670" s="929">
        <v>130.72999999999999</v>
      </c>
      <c r="K670" s="931">
        <f>3.06*0.21</f>
        <v>0.64259999999999995</v>
      </c>
      <c r="L670" s="929">
        <v>180</v>
      </c>
      <c r="M670" s="929">
        <v>0</v>
      </c>
      <c r="N670" s="929">
        <v>6.85</v>
      </c>
      <c r="O670" s="933">
        <v>54.6</v>
      </c>
      <c r="P670" s="933">
        <v>52.01</v>
      </c>
      <c r="Q670" s="933">
        <v>43.85</v>
      </c>
      <c r="R670" s="929">
        <v>1E-4</v>
      </c>
      <c r="S670" s="934">
        <v>1E-4</v>
      </c>
      <c r="T670" s="934">
        <v>1E-4</v>
      </c>
      <c r="U670" s="929">
        <v>1E-4</v>
      </c>
      <c r="V670" s="929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</row>
    <row r="671" spans="1:323" s="935" customFormat="1" x14ac:dyDescent="0.25">
      <c r="A671" s="928">
        <v>900368</v>
      </c>
      <c r="B671" s="927" t="str">
        <f t="shared" si="17"/>
        <v>-9,35/+10,94  (EC  9)</v>
      </c>
      <c r="C671" s="927"/>
      <c r="D671" s="929">
        <v>7.66</v>
      </c>
      <c r="E671" s="929">
        <v>0.9</v>
      </c>
      <c r="F671" s="929">
        <v>37.9</v>
      </c>
      <c r="G671" s="929">
        <v>0</v>
      </c>
      <c r="H671" s="929">
        <v>1.1100000000000001</v>
      </c>
      <c r="I671" s="930">
        <v>110.176</v>
      </c>
      <c r="J671" s="929">
        <v>81.349999999999994</v>
      </c>
      <c r="K671" s="931">
        <f>3.06*0.07148</f>
        <v>0.2187288</v>
      </c>
      <c r="L671" s="929">
        <f>(10.1-0.1)*24</f>
        <v>240</v>
      </c>
      <c r="M671" s="929">
        <v>0</v>
      </c>
      <c r="N671" s="929">
        <v>7.39</v>
      </c>
      <c r="O671" s="929">
        <v>68.86</v>
      </c>
      <c r="P671" s="929">
        <v>68.319999999999993</v>
      </c>
      <c r="Q671" s="929">
        <v>51.14</v>
      </c>
      <c r="R671" s="929">
        <v>1E-4</v>
      </c>
      <c r="S671" s="934">
        <v>1E-4</v>
      </c>
      <c r="T671" s="934">
        <v>1E-4</v>
      </c>
      <c r="U671" s="929">
        <v>1E-3</v>
      </c>
      <c r="V671" s="929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</row>
    <row r="672" spans="1:323" s="935" customFormat="1" x14ac:dyDescent="0.25">
      <c r="A672" s="928">
        <v>900369</v>
      </c>
      <c r="B672" s="927" t="str">
        <f t="shared" si="17"/>
        <v>-7,59/+8,23  (EC  7,72)</v>
      </c>
      <c r="C672" s="927"/>
      <c r="D672" s="929">
        <v>7.35</v>
      </c>
      <c r="E672" s="929">
        <v>0.77200000000000002</v>
      </c>
      <c r="F672" s="929">
        <v>37.380000000000003</v>
      </c>
      <c r="G672" s="929">
        <v>0</v>
      </c>
      <c r="H672" s="929">
        <v>1.1100000000000001</v>
      </c>
      <c r="I672" s="930">
        <v>41.744</v>
      </c>
      <c r="J672" s="929">
        <v>23.14</v>
      </c>
      <c r="K672" s="931">
        <f>3.06*1.48</f>
        <v>4.5288000000000004</v>
      </c>
      <c r="L672" s="929">
        <v>322</v>
      </c>
      <c r="M672" s="929">
        <v>0</v>
      </c>
      <c r="N672" s="929">
        <v>1.35</v>
      </c>
      <c r="O672" s="929">
        <v>26.09</v>
      </c>
      <c r="P672" s="929">
        <v>84.9</v>
      </c>
      <c r="Q672" s="933">
        <v>32.85</v>
      </c>
      <c r="R672" s="929">
        <v>0.02</v>
      </c>
      <c r="S672" s="934">
        <v>1E-4</v>
      </c>
      <c r="T672" s="934">
        <v>1E-4</v>
      </c>
      <c r="U672" s="929">
        <v>1E-4</v>
      </c>
      <c r="V672" s="929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</row>
    <row r="673" spans="1:323" s="935" customFormat="1" x14ac:dyDescent="0.25">
      <c r="A673" s="928">
        <v>900370</v>
      </c>
      <c r="B673" s="927" t="str">
        <f t="shared" si="17"/>
        <v>-6,07/+6,79  (EC  5,63)</v>
      </c>
      <c r="C673" s="927"/>
      <c r="D673" s="929">
        <v>7.44</v>
      </c>
      <c r="E673" s="929">
        <v>0.56299999999999994</v>
      </c>
      <c r="F673" s="929">
        <v>33.74</v>
      </c>
      <c r="G673" s="929">
        <v>0</v>
      </c>
      <c r="H673" s="929">
        <v>1.1000000000000001</v>
      </c>
      <c r="I673" s="930">
        <v>49.695999999999998</v>
      </c>
      <c r="J673" s="929">
        <v>21.56</v>
      </c>
      <c r="K673" s="931">
        <f>3.06*0</f>
        <v>0</v>
      </c>
      <c r="L673" s="929">
        <v>224</v>
      </c>
      <c r="M673" s="929">
        <v>0</v>
      </c>
      <c r="N673" s="929">
        <v>1.98</v>
      </c>
      <c r="O673" s="929">
        <v>31.06</v>
      </c>
      <c r="P673" s="933">
        <v>51.89</v>
      </c>
      <c r="Q673" s="933">
        <v>32.61</v>
      </c>
      <c r="R673" s="929">
        <v>0.09</v>
      </c>
      <c r="S673" s="934">
        <v>1E-4</v>
      </c>
      <c r="T673" s="934">
        <v>1E-4</v>
      </c>
      <c r="U673" s="929">
        <v>1E-3</v>
      </c>
      <c r="V673" s="929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</row>
    <row r="674" spans="1:323" s="935" customFormat="1" x14ac:dyDescent="0.25">
      <c r="A674" s="928">
        <v>900371</v>
      </c>
      <c r="B674" s="927" t="str">
        <f t="shared" si="17"/>
        <v>-6,26/+7,15  (EC  5,79)</v>
      </c>
      <c r="C674" s="927"/>
      <c r="D674" s="929">
        <v>7.41</v>
      </c>
      <c r="E674" s="929">
        <v>0.57899999999999996</v>
      </c>
      <c r="F674" s="929">
        <v>45.59</v>
      </c>
      <c r="G674" s="929">
        <v>0</v>
      </c>
      <c r="H674" s="929">
        <v>1.1100000000000001</v>
      </c>
      <c r="I674" s="930">
        <v>42.384</v>
      </c>
      <c r="J674" s="929">
        <v>23.75</v>
      </c>
      <c r="K674" s="931">
        <f>3.06*0.02</f>
        <v>6.1200000000000004E-2</v>
      </c>
      <c r="L674" s="929">
        <v>234</v>
      </c>
      <c r="M674" s="929">
        <v>0</v>
      </c>
      <c r="N674" s="929">
        <v>1.64</v>
      </c>
      <c r="O674" s="929">
        <v>26.49</v>
      </c>
      <c r="P674" s="933">
        <v>58.66</v>
      </c>
      <c r="Q674" s="933">
        <v>35.380000000000003</v>
      </c>
      <c r="R674" s="929">
        <v>1E-4</v>
      </c>
      <c r="S674" s="934">
        <v>1E-4</v>
      </c>
      <c r="T674" s="934">
        <v>1E-4</v>
      </c>
      <c r="U674" s="929">
        <v>1E-4</v>
      </c>
      <c r="V674" s="929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</row>
    <row r="675" spans="1:323" s="935" customFormat="1" x14ac:dyDescent="0.25">
      <c r="A675" s="928">
        <v>900372</v>
      </c>
      <c r="B675" s="927" t="str">
        <f t="shared" si="17"/>
        <v>-83,08/+88,60  (EC  87,6)</v>
      </c>
      <c r="C675" s="927"/>
      <c r="D675" s="929">
        <v>6.99</v>
      </c>
      <c r="E675" s="929">
        <v>8.76</v>
      </c>
      <c r="F675" s="929">
        <v>3.52</v>
      </c>
      <c r="G675" s="929">
        <v>0</v>
      </c>
      <c r="H675" s="929">
        <v>1.08</v>
      </c>
      <c r="I675" s="930">
        <v>2428.2240000000002</v>
      </c>
      <c r="J675" s="929">
        <v>350.41</v>
      </c>
      <c r="K675" s="931">
        <f t="shared" ref="K675:K681" si="18">3.06*0.01</f>
        <v>3.0600000000000002E-2</v>
      </c>
      <c r="L675" s="929">
        <f>(18.7-0.1)*24</f>
        <v>446.4</v>
      </c>
      <c r="M675" s="929">
        <v>0</v>
      </c>
      <c r="N675" s="929">
        <v>30.48</v>
      </c>
      <c r="O675" s="929">
        <v>1205.1400000000001</v>
      </c>
      <c r="P675" s="933">
        <v>306.83999999999997</v>
      </c>
      <c r="Q675" s="933">
        <v>240.02</v>
      </c>
      <c r="R675" s="929">
        <v>1E-4</v>
      </c>
      <c r="S675" s="934">
        <v>1E-4</v>
      </c>
      <c r="T675" s="934">
        <v>1E-4</v>
      </c>
      <c r="U675" s="929">
        <v>0.02</v>
      </c>
      <c r="V675" s="929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</row>
    <row r="676" spans="1:323" s="935" customFormat="1" x14ac:dyDescent="0.25">
      <c r="A676" s="928">
        <v>900373</v>
      </c>
      <c r="B676" s="927" t="str">
        <f t="shared" si="17"/>
        <v>-38,03/+38,78  (EC  38,1)</v>
      </c>
      <c r="C676" s="927"/>
      <c r="D676" s="929">
        <v>7.21</v>
      </c>
      <c r="E676" s="929">
        <v>3.81</v>
      </c>
      <c r="F676" s="929">
        <v>48.55</v>
      </c>
      <c r="G676" s="929">
        <v>0</v>
      </c>
      <c r="H676" s="929">
        <v>1.08</v>
      </c>
      <c r="I676" s="930">
        <v>932.11199999999997</v>
      </c>
      <c r="J676" s="929">
        <v>291.38</v>
      </c>
      <c r="K676" s="931">
        <f t="shared" si="18"/>
        <v>3.0600000000000002E-2</v>
      </c>
      <c r="L676" s="929">
        <v>300</v>
      </c>
      <c r="M676" s="929">
        <v>0</v>
      </c>
      <c r="N676" s="929">
        <v>4.88</v>
      </c>
      <c r="O676" s="929">
        <v>395.07</v>
      </c>
      <c r="P676" s="933">
        <v>201.76</v>
      </c>
      <c r="Q676" s="933">
        <v>135.81</v>
      </c>
      <c r="R676" s="929">
        <v>1E-4</v>
      </c>
      <c r="S676" s="934">
        <v>1E-4</v>
      </c>
      <c r="T676" s="934">
        <v>1E-4</v>
      </c>
      <c r="U676" s="929">
        <v>0.02</v>
      </c>
      <c r="V676" s="929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</row>
    <row r="677" spans="1:323" s="935" customFormat="1" x14ac:dyDescent="0.25">
      <c r="A677" s="928">
        <v>900374</v>
      </c>
      <c r="B677" s="927" t="str">
        <f t="shared" si="17"/>
        <v>-7,47/+7,86  (EC  6,62)</v>
      </c>
      <c r="C677" s="927"/>
      <c r="D677" s="929">
        <v>7.58</v>
      </c>
      <c r="E677" s="929">
        <v>0.66200000000000003</v>
      </c>
      <c r="F677" s="929">
        <v>14.79</v>
      </c>
      <c r="G677" s="929">
        <v>0</v>
      </c>
      <c r="H677" s="929">
        <v>1.1100000000000001</v>
      </c>
      <c r="I677" s="930">
        <v>85.007999999999996</v>
      </c>
      <c r="J677" s="929">
        <v>75</v>
      </c>
      <c r="K677" s="931">
        <f t="shared" si="18"/>
        <v>3.0600000000000002E-2</v>
      </c>
      <c r="L677" s="929">
        <v>200</v>
      </c>
      <c r="M677" s="929">
        <v>0</v>
      </c>
      <c r="N677" s="929">
        <v>1.54</v>
      </c>
      <c r="O677" s="929">
        <v>65.63</v>
      </c>
      <c r="P677" s="933">
        <v>56.31</v>
      </c>
      <c r="Q677" s="933">
        <v>24.92</v>
      </c>
      <c r="R677" s="929">
        <v>1E-4</v>
      </c>
      <c r="S677" s="934">
        <v>1E-4</v>
      </c>
      <c r="T677" s="934">
        <v>1E-4</v>
      </c>
      <c r="U677" s="934">
        <v>1E-4</v>
      </c>
      <c r="V677" s="929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</row>
    <row r="678" spans="1:323" s="935" customFormat="1" x14ac:dyDescent="0.25">
      <c r="A678" s="928">
        <v>900375</v>
      </c>
      <c r="B678" s="927" t="str">
        <f t="shared" si="17"/>
        <v>-5,52/+6,80  (EC  5,18)</v>
      </c>
      <c r="C678" s="927"/>
      <c r="D678" s="929">
        <v>7.51</v>
      </c>
      <c r="E678" s="929">
        <v>0.51800000000000002</v>
      </c>
      <c r="F678" s="929">
        <v>28.49</v>
      </c>
      <c r="G678" s="929">
        <v>0</v>
      </c>
      <c r="H678" s="929">
        <v>1.0900000000000001</v>
      </c>
      <c r="I678" s="930">
        <v>44.496000000000002</v>
      </c>
      <c r="J678" s="929">
        <v>25.11</v>
      </c>
      <c r="K678" s="931">
        <f t="shared" si="18"/>
        <v>3.0600000000000002E-2</v>
      </c>
      <c r="L678" s="929">
        <v>200</v>
      </c>
      <c r="M678" s="929">
        <v>0</v>
      </c>
      <c r="N678" s="929">
        <v>1.33</v>
      </c>
      <c r="O678" s="929">
        <v>27.81</v>
      </c>
      <c r="P678" s="933">
        <v>59.71</v>
      </c>
      <c r="Q678" s="933">
        <v>29.96</v>
      </c>
      <c r="R678" s="929">
        <v>1E-4</v>
      </c>
      <c r="S678" s="934">
        <v>1E-4</v>
      </c>
      <c r="T678" s="934">
        <v>1E-4</v>
      </c>
      <c r="U678" s="934">
        <v>1E-4</v>
      </c>
      <c r="V678" s="929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</row>
    <row r="679" spans="1:323" s="935" customFormat="1" x14ac:dyDescent="0.25">
      <c r="A679" s="928">
        <v>900376</v>
      </c>
      <c r="B679" s="927" t="str">
        <f t="shared" si="17"/>
        <v>-12,82/+14,44  (EC  13,3)</v>
      </c>
      <c r="C679" s="927"/>
      <c r="D679" s="929">
        <v>7.49</v>
      </c>
      <c r="E679" s="929">
        <v>1.33</v>
      </c>
      <c r="F679" s="929">
        <v>20.14</v>
      </c>
      <c r="G679" s="929">
        <v>0</v>
      </c>
      <c r="H679" s="929">
        <v>1.1000000000000001</v>
      </c>
      <c r="I679" s="930">
        <v>183.792</v>
      </c>
      <c r="J679" s="929">
        <v>139.51</v>
      </c>
      <c r="K679" s="931">
        <f t="shared" si="18"/>
        <v>3.0600000000000002E-2</v>
      </c>
      <c r="L679" s="929">
        <f>(11.3-0.1)*24</f>
        <v>268.8</v>
      </c>
      <c r="M679" s="929">
        <v>0</v>
      </c>
      <c r="N679" s="929">
        <v>5.23</v>
      </c>
      <c r="O679" s="929">
        <v>96.12</v>
      </c>
      <c r="P679" s="929">
        <v>90.05</v>
      </c>
      <c r="Q679" s="929">
        <v>66.52</v>
      </c>
      <c r="R679" s="929">
        <v>0.14000000000000001</v>
      </c>
      <c r="S679" s="934">
        <v>1E-4</v>
      </c>
      <c r="T679" s="934">
        <v>1E-4</v>
      </c>
      <c r="U679" s="934">
        <v>0.11</v>
      </c>
      <c r="V679" s="929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</row>
    <row r="680" spans="1:323" s="935" customFormat="1" x14ac:dyDescent="0.25">
      <c r="A680" s="928">
        <v>900377</v>
      </c>
      <c r="B680" s="927" t="str">
        <f t="shared" si="17"/>
        <v>-9,00/+9,31  (EC  8,74)</v>
      </c>
      <c r="C680" s="927"/>
      <c r="D680" s="929">
        <v>7.43</v>
      </c>
      <c r="E680" s="929">
        <v>0.874</v>
      </c>
      <c r="F680" s="929">
        <v>27.98</v>
      </c>
      <c r="G680" s="929">
        <v>0</v>
      </c>
      <c r="H680" s="929">
        <v>1.1100000000000001</v>
      </c>
      <c r="I680" s="930">
        <v>87.696000000000012</v>
      </c>
      <c r="J680" s="929">
        <v>55.66</v>
      </c>
      <c r="K680" s="931">
        <f t="shared" si="18"/>
        <v>3.0600000000000002E-2</v>
      </c>
      <c r="L680" s="929">
        <v>300</v>
      </c>
      <c r="M680" s="929">
        <v>0</v>
      </c>
      <c r="N680" s="929">
        <v>1.39</v>
      </c>
      <c r="O680" s="929">
        <v>54.81</v>
      </c>
      <c r="P680" s="933">
        <v>61.84</v>
      </c>
      <c r="Q680" s="933">
        <v>44.62</v>
      </c>
      <c r="R680" s="929">
        <v>0.14000000000000001</v>
      </c>
      <c r="S680" s="934">
        <v>1E-4</v>
      </c>
      <c r="T680" s="934">
        <v>1E-4</v>
      </c>
      <c r="U680" s="929">
        <v>1E-4</v>
      </c>
      <c r="V680" s="929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</row>
    <row r="681" spans="1:323" s="935" customFormat="1" x14ac:dyDescent="0.25">
      <c r="A681" s="928">
        <v>900378</v>
      </c>
      <c r="B681" s="927" t="str">
        <f t="shared" si="17"/>
        <v>-10,93/+11,76  (EC  10,25)</v>
      </c>
      <c r="C681" s="927"/>
      <c r="D681" s="929">
        <v>7.48</v>
      </c>
      <c r="E681" s="929">
        <v>1.0249999999999999</v>
      </c>
      <c r="F681" s="929">
        <v>20.78</v>
      </c>
      <c r="G681" s="929">
        <v>0</v>
      </c>
      <c r="H681" s="929">
        <v>1.1100000000000001</v>
      </c>
      <c r="I681" s="930">
        <v>129.792</v>
      </c>
      <c r="J681" s="929">
        <v>83.52</v>
      </c>
      <c r="K681" s="931">
        <f t="shared" si="18"/>
        <v>3.0600000000000002E-2</v>
      </c>
      <c r="L681" s="929">
        <f>(13.3-0.1)*24</f>
        <v>316.8</v>
      </c>
      <c r="M681" s="929">
        <v>0</v>
      </c>
      <c r="N681" s="929">
        <v>2.68</v>
      </c>
      <c r="O681" s="929">
        <v>81.12</v>
      </c>
      <c r="P681" s="929">
        <v>74.67</v>
      </c>
      <c r="Q681" s="929">
        <v>52.19</v>
      </c>
      <c r="R681" s="929">
        <v>7.0000000000000007E-2</v>
      </c>
      <c r="S681" s="934">
        <v>1E-4</v>
      </c>
      <c r="T681" s="934">
        <v>1E-4</v>
      </c>
      <c r="U681" s="929">
        <v>0.03</v>
      </c>
      <c r="V681" s="929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</row>
    <row r="682" spans="1:323" s="935" customFormat="1" x14ac:dyDescent="0.25">
      <c r="A682" s="928">
        <v>900379</v>
      </c>
      <c r="B682" s="927" t="str">
        <f t="shared" si="17"/>
        <v>-32,29/+34,74  (EC  34)</v>
      </c>
      <c r="C682" s="927"/>
      <c r="D682" s="929">
        <v>7.16</v>
      </c>
      <c r="E682" s="929">
        <v>3.4</v>
      </c>
      <c r="F682" s="929">
        <v>27.43</v>
      </c>
      <c r="G682" s="929">
        <v>0</v>
      </c>
      <c r="H682" s="929">
        <v>1.0900000000000001</v>
      </c>
      <c r="I682" s="930">
        <v>803.77599999999995</v>
      </c>
      <c r="J682" s="929">
        <v>207.5</v>
      </c>
      <c r="K682" s="931">
        <v>0</v>
      </c>
      <c r="L682" s="929">
        <f>(12.5-0.1)*24</f>
        <v>297.60000000000002</v>
      </c>
      <c r="M682" s="929">
        <v>0</v>
      </c>
      <c r="N682" s="929">
        <v>4.6500000000000004</v>
      </c>
      <c r="O682" s="929">
        <v>377.36</v>
      </c>
      <c r="P682" s="933">
        <v>190.1</v>
      </c>
      <c r="Q682" s="933">
        <v>103.58</v>
      </c>
      <c r="R682" s="929"/>
      <c r="S682" s="934"/>
      <c r="T682" s="934"/>
      <c r="U682" s="934"/>
      <c r="V682" s="929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</row>
    <row r="683" spans="1:323" s="935" customFormat="1" x14ac:dyDescent="0.25">
      <c r="A683" s="928">
        <v>900380</v>
      </c>
      <c r="B683" s="927" t="str">
        <f t="shared" si="17"/>
        <v>-26,98/+27,56  (EC  27)</v>
      </c>
      <c r="C683" s="927"/>
      <c r="D683" s="929">
        <v>7.15</v>
      </c>
      <c r="E683" s="929">
        <v>2.7</v>
      </c>
      <c r="F683" s="929">
        <v>18.059999999999999</v>
      </c>
      <c r="G683" s="929">
        <v>0</v>
      </c>
      <c r="H683" s="929">
        <v>1.1000000000000001</v>
      </c>
      <c r="I683" s="930">
        <v>643.21600000000001</v>
      </c>
      <c r="J683" s="929">
        <v>115</v>
      </c>
      <c r="K683" s="931">
        <f>3.06*0.01</f>
        <v>3.0600000000000002E-2</v>
      </c>
      <c r="L683" s="929">
        <f>(15.8-0.1)*24</f>
        <v>376.8</v>
      </c>
      <c r="M683" s="929">
        <v>0</v>
      </c>
      <c r="N683" s="929">
        <v>1.88</v>
      </c>
      <c r="O683" s="929">
        <v>229.51</v>
      </c>
      <c r="P683" s="933">
        <v>182.38</v>
      </c>
      <c r="Q683" s="933">
        <v>100.03</v>
      </c>
      <c r="R683" s="929">
        <v>1E-3</v>
      </c>
      <c r="S683" s="934">
        <v>1E-4</v>
      </c>
      <c r="T683" s="934">
        <v>1E-4</v>
      </c>
      <c r="U683" s="934">
        <v>1E-4</v>
      </c>
      <c r="V683" s="929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</row>
    <row r="684" spans="1:323" x14ac:dyDescent="0.25">
      <c r="A684" s="585">
        <v>900381</v>
      </c>
      <c r="B684" s="1" t="s">
        <v>491</v>
      </c>
    </row>
    <row r="685" spans="1:323" x14ac:dyDescent="0.25">
      <c r="A685" s="585">
        <v>900382</v>
      </c>
      <c r="B685" s="780" t="str">
        <f t="shared" si="17"/>
        <v>-14,66/+15,16  (EC  14,04)</v>
      </c>
      <c r="D685" s="3">
        <v>7.13</v>
      </c>
      <c r="E685" s="3">
        <v>1.4039999999999999</v>
      </c>
      <c r="F685" s="26">
        <v>38.04</v>
      </c>
      <c r="G685" s="3">
        <v>0</v>
      </c>
      <c r="H685" s="558">
        <v>7.0000000000000007E-2</v>
      </c>
      <c r="I685" s="958">
        <v>142.864</v>
      </c>
      <c r="J685" s="558">
        <v>230.1</v>
      </c>
      <c r="K685" s="795">
        <v>0</v>
      </c>
      <c r="L685" s="4">
        <v>319.20000000000005</v>
      </c>
      <c r="M685" s="795">
        <v>0</v>
      </c>
      <c r="N685" s="795">
        <v>3.02</v>
      </c>
      <c r="O685" s="795">
        <v>89.29</v>
      </c>
      <c r="P685" s="795">
        <v>93.01</v>
      </c>
      <c r="Q685" s="795">
        <v>78.58</v>
      </c>
      <c r="R685" s="3">
        <v>1E-4</v>
      </c>
      <c r="S685" s="958">
        <v>1E-4</v>
      </c>
      <c r="T685" s="958">
        <v>1E-4</v>
      </c>
      <c r="U685" s="958">
        <v>1E-4</v>
      </c>
    </row>
    <row r="686" spans="1:323" x14ac:dyDescent="0.25">
      <c r="A686" s="585">
        <v>900383</v>
      </c>
      <c r="B686" s="780" t="str">
        <f t="shared" si="17"/>
        <v>-14,73/+15,18  (EC  13,83)</v>
      </c>
      <c r="D686" s="3">
        <v>7.26</v>
      </c>
      <c r="E686" s="3">
        <v>1.383</v>
      </c>
      <c r="F686" s="26">
        <v>36.65</v>
      </c>
      <c r="G686" s="958">
        <v>0</v>
      </c>
      <c r="H686" s="558">
        <v>0.05</v>
      </c>
      <c r="I686" s="958">
        <v>145.48800000000003</v>
      </c>
      <c r="J686" s="558">
        <v>221.5</v>
      </c>
      <c r="K686" s="795">
        <v>0</v>
      </c>
      <c r="L686" s="4">
        <v>331.20000000000005</v>
      </c>
      <c r="M686" s="795">
        <v>0</v>
      </c>
      <c r="N686" s="795">
        <v>2.96</v>
      </c>
      <c r="O686" s="795">
        <v>90.93</v>
      </c>
      <c r="P686" s="795">
        <v>91.35</v>
      </c>
      <c r="Q686" s="795">
        <v>78.91</v>
      </c>
      <c r="R686" s="958">
        <v>1E-4</v>
      </c>
      <c r="S686" s="958">
        <v>1E-4</v>
      </c>
      <c r="T686" s="958">
        <v>1E-4</v>
      </c>
      <c r="U686" s="958">
        <v>1E-4</v>
      </c>
    </row>
    <row r="687" spans="1:323" x14ac:dyDescent="0.25">
      <c r="A687" s="585">
        <v>900384</v>
      </c>
      <c r="B687" s="780" t="str">
        <f t="shared" si="17"/>
        <v>-16,15/+16,26  (EC  16,1)</v>
      </c>
      <c r="D687" s="3">
        <v>7.18</v>
      </c>
      <c r="E687" s="966">
        <v>1.61</v>
      </c>
      <c r="F687" s="26">
        <v>41.43</v>
      </c>
      <c r="G687" s="958">
        <v>0</v>
      </c>
      <c r="H687" s="558">
        <v>0.04</v>
      </c>
      <c r="I687" s="958">
        <v>236.256</v>
      </c>
      <c r="J687" s="558">
        <v>140.19999999999999</v>
      </c>
      <c r="K687" s="795">
        <v>0</v>
      </c>
      <c r="L687" s="4">
        <v>360</v>
      </c>
      <c r="M687" s="795">
        <v>0</v>
      </c>
      <c r="N687" s="795">
        <v>5.77</v>
      </c>
      <c r="O687" s="795">
        <v>147.66</v>
      </c>
      <c r="P687" s="795">
        <v>88.46</v>
      </c>
      <c r="Q687" s="795">
        <v>63.2</v>
      </c>
      <c r="R687" s="958">
        <v>1E-4</v>
      </c>
      <c r="S687" s="958">
        <v>1E-4</v>
      </c>
      <c r="T687" s="795">
        <v>0.04</v>
      </c>
      <c r="U687" s="958">
        <v>1E-4</v>
      </c>
    </row>
    <row r="688" spans="1:323" x14ac:dyDescent="0.25">
      <c r="A688" s="585">
        <v>900385</v>
      </c>
      <c r="B688" s="780" t="str">
        <f t="shared" si="17"/>
        <v>-31,83/+31,39  (EC  32,4)</v>
      </c>
      <c r="D688" s="3">
        <v>7.12</v>
      </c>
      <c r="E688" s="966">
        <v>3.24</v>
      </c>
      <c r="F688" s="26">
        <v>77.959999999999994</v>
      </c>
      <c r="G688" s="958">
        <v>0</v>
      </c>
      <c r="H688" s="558">
        <v>0.1</v>
      </c>
      <c r="I688" s="958">
        <v>749.47199999999998</v>
      </c>
      <c r="J688" s="558">
        <v>233.65</v>
      </c>
      <c r="K688" s="795">
        <v>0</v>
      </c>
      <c r="L688" s="4">
        <v>280</v>
      </c>
      <c r="M688" s="795">
        <v>0</v>
      </c>
      <c r="N688" s="795">
        <v>5.25</v>
      </c>
      <c r="O688" s="795">
        <v>405.92</v>
      </c>
      <c r="P688" s="795">
        <v>146.25</v>
      </c>
      <c r="Q688" s="795">
        <v>75.47</v>
      </c>
      <c r="R688" s="958"/>
      <c r="S688" s="958"/>
      <c r="T688" s="795"/>
      <c r="U688" s="958"/>
    </row>
    <row r="689" spans="1:323" x14ac:dyDescent="0.25">
      <c r="A689" s="585">
        <v>900386</v>
      </c>
      <c r="B689" s="780" t="str">
        <f t="shared" si="17"/>
        <v>-47,65/+48,17  (EC  47,3)</v>
      </c>
      <c r="D689" s="3">
        <v>7.42</v>
      </c>
      <c r="E689" s="967">
        <v>4.7300000000000004</v>
      </c>
      <c r="F689" s="832">
        <v>77.92</v>
      </c>
      <c r="G689" s="25">
        <v>0</v>
      </c>
      <c r="H689" s="340">
        <v>0.05</v>
      </c>
      <c r="I689" s="25">
        <v>1258.3</v>
      </c>
      <c r="J689" s="340">
        <v>325.10000000000002</v>
      </c>
      <c r="K689" s="753">
        <v>0</v>
      </c>
      <c r="L689" s="485">
        <v>254.39999999999998</v>
      </c>
      <c r="M689" s="795">
        <v>0</v>
      </c>
      <c r="N689" s="795">
        <v>4.54</v>
      </c>
      <c r="O689" s="795">
        <v>724.85</v>
      </c>
      <c r="P689" s="795">
        <v>194.11</v>
      </c>
      <c r="Q689" s="795">
        <v>81.99</v>
      </c>
      <c r="S689" s="958"/>
      <c r="T689" s="795"/>
      <c r="U689" s="958"/>
    </row>
    <row r="690" spans="1:323" x14ac:dyDescent="0.25">
      <c r="A690" s="585">
        <v>900387</v>
      </c>
      <c r="B690" s="780" t="str">
        <f t="shared" si="17"/>
        <v>-9,56/+9,44  (EC  8,35)</v>
      </c>
      <c r="D690" s="3">
        <v>7.1</v>
      </c>
      <c r="E690" s="967">
        <v>0.83499999999999996</v>
      </c>
      <c r="F690" s="959">
        <v>28.15</v>
      </c>
      <c r="G690" s="25">
        <v>0</v>
      </c>
      <c r="H690" s="960">
        <v>0.05</v>
      </c>
      <c r="I690" s="25">
        <v>75.167999999999992</v>
      </c>
      <c r="J690" s="960">
        <v>71.23</v>
      </c>
      <c r="K690" s="753">
        <v>0</v>
      </c>
      <c r="L690" s="25">
        <f>(14.1-0.1)*24</f>
        <v>336</v>
      </c>
      <c r="M690" s="795">
        <v>0</v>
      </c>
      <c r="N690" s="795">
        <v>1.38</v>
      </c>
      <c r="O690" s="795">
        <v>46.98</v>
      </c>
      <c r="P690" s="795">
        <v>87.51</v>
      </c>
      <c r="Q690" s="795">
        <v>35.79</v>
      </c>
      <c r="R690" s="3" t="s">
        <v>493</v>
      </c>
      <c r="S690" s="958">
        <v>1E-4</v>
      </c>
      <c r="T690" s="795">
        <v>0.01</v>
      </c>
      <c r="U690" s="795" t="s">
        <v>467</v>
      </c>
    </row>
    <row r="691" spans="1:323" x14ac:dyDescent="0.25">
      <c r="A691" s="585">
        <v>900388</v>
      </c>
      <c r="B691" s="780" t="str">
        <f t="shared" si="17"/>
        <v>-10,95/+10,24  (EC  9,06)</v>
      </c>
      <c r="D691" s="3">
        <v>6.95</v>
      </c>
      <c r="E691" s="25">
        <v>0.90600000000000003</v>
      </c>
      <c r="F691" s="959">
        <v>13.81</v>
      </c>
      <c r="G691" s="25">
        <v>0</v>
      </c>
      <c r="H691" s="960">
        <v>0.06</v>
      </c>
      <c r="I691" s="25">
        <v>66.751999999999995</v>
      </c>
      <c r="J691" s="960">
        <v>130</v>
      </c>
      <c r="K691" s="753">
        <v>0</v>
      </c>
      <c r="L691" s="25">
        <f>(15.7-0.1)*24</f>
        <v>374.4</v>
      </c>
      <c r="M691" s="795">
        <v>0</v>
      </c>
      <c r="N691" s="753">
        <v>1.7</v>
      </c>
      <c r="O691" s="753">
        <v>41.72</v>
      </c>
      <c r="P691" s="950">
        <v>117.66</v>
      </c>
      <c r="Q691" s="795">
        <v>29.98</v>
      </c>
      <c r="R691" s="3">
        <v>1E-3</v>
      </c>
      <c r="S691" s="958">
        <v>1E-4</v>
      </c>
      <c r="T691" s="795">
        <v>1E-3</v>
      </c>
      <c r="U691" s="795" t="s">
        <v>465</v>
      </c>
    </row>
    <row r="692" spans="1:323" x14ac:dyDescent="0.25">
      <c r="A692" s="585">
        <v>900389</v>
      </c>
      <c r="B692" s="780" t="str">
        <f t="shared" si="17"/>
        <v>-23,27/+25,78  (EC  24,8)</v>
      </c>
      <c r="D692" s="3">
        <v>7.01</v>
      </c>
      <c r="E692" s="25">
        <v>2.48</v>
      </c>
      <c r="F692" s="959">
        <v>2.42</v>
      </c>
      <c r="G692" s="25">
        <v>0</v>
      </c>
      <c r="H692" s="960">
        <v>0.06</v>
      </c>
      <c r="I692" s="25">
        <v>115</v>
      </c>
      <c r="J692" s="960">
        <v>772.5</v>
      </c>
      <c r="K692" s="753">
        <v>0</v>
      </c>
      <c r="L692" s="25">
        <f>(10-0.1)*24</f>
        <v>237.60000000000002</v>
      </c>
      <c r="M692" s="795">
        <v>0</v>
      </c>
      <c r="N692" s="753">
        <v>10.15</v>
      </c>
      <c r="O692" s="753">
        <v>65.31</v>
      </c>
      <c r="P692" s="912">
        <v>254.45</v>
      </c>
      <c r="Q692" s="912">
        <v>119.5</v>
      </c>
      <c r="R692" s="3">
        <v>1E-3</v>
      </c>
      <c r="S692" s="958">
        <v>1E-4</v>
      </c>
      <c r="T692" s="795">
        <v>0.02</v>
      </c>
      <c r="U692" s="795" t="s">
        <v>494</v>
      </c>
    </row>
    <row r="693" spans="1:323" x14ac:dyDescent="0.25">
      <c r="A693" s="585">
        <v>900390</v>
      </c>
      <c r="B693" s="780" t="str">
        <f t="shared" si="17"/>
        <v>-13,97/+13,31  (EC  13,28)</v>
      </c>
      <c r="D693" s="3">
        <v>7.25</v>
      </c>
      <c r="E693" s="25">
        <v>1.3280000000000001</v>
      </c>
      <c r="F693" s="959">
        <v>39.29</v>
      </c>
      <c r="G693" s="25">
        <v>0</v>
      </c>
      <c r="H693" s="960">
        <v>0.01</v>
      </c>
      <c r="I693" s="25">
        <v>190</v>
      </c>
      <c r="J693" s="960">
        <v>120.58</v>
      </c>
      <c r="K693" s="753">
        <v>0</v>
      </c>
      <c r="L693" s="25">
        <f>(14-0.1)*24</f>
        <v>333.6</v>
      </c>
      <c r="M693" s="795">
        <v>0</v>
      </c>
      <c r="N693" s="753">
        <v>1.0900000000000001</v>
      </c>
      <c r="O693" s="753">
        <v>151.25</v>
      </c>
      <c r="P693" s="795">
        <v>56.06</v>
      </c>
      <c r="Q693" s="795">
        <v>46.86</v>
      </c>
      <c r="R693" s="3">
        <v>0.02</v>
      </c>
      <c r="S693" s="958">
        <v>1E-4</v>
      </c>
      <c r="T693" s="795">
        <v>1E-3</v>
      </c>
      <c r="U693" s="795" t="s">
        <v>467</v>
      </c>
    </row>
    <row r="694" spans="1:323" x14ac:dyDescent="0.25">
      <c r="A694" s="585">
        <v>900391</v>
      </c>
      <c r="B694" s="780" t="str">
        <f t="shared" si="17"/>
        <v>-29,92/+29,67  (EC  29,2)</v>
      </c>
      <c r="D694" s="3">
        <v>7.15</v>
      </c>
      <c r="E694" s="25">
        <v>2.92</v>
      </c>
      <c r="F694" s="959">
        <v>31.12</v>
      </c>
      <c r="G694" s="25">
        <v>0</v>
      </c>
      <c r="H694" s="960">
        <v>0.14000000000000001</v>
      </c>
      <c r="I694" s="25">
        <v>527.39200000000005</v>
      </c>
      <c r="J694" s="960">
        <v>534.79999999999995</v>
      </c>
      <c r="K694" s="753">
        <v>0</v>
      </c>
      <c r="L694" s="25">
        <f>(8.8-0.1)*24</f>
        <v>208.8</v>
      </c>
      <c r="M694" s="795">
        <v>0</v>
      </c>
      <c r="N694" s="753">
        <v>4.12</v>
      </c>
      <c r="O694" s="753">
        <v>329.62</v>
      </c>
      <c r="P694" s="795">
        <v>183.85</v>
      </c>
      <c r="Q694" s="795">
        <v>72.34</v>
      </c>
      <c r="R694" s="795">
        <v>1E-3</v>
      </c>
      <c r="S694" s="958">
        <v>1E-4</v>
      </c>
      <c r="T694" s="795">
        <v>1E-3</v>
      </c>
      <c r="U694" s="795" t="s">
        <v>465</v>
      </c>
    </row>
    <row r="695" spans="1:323" x14ac:dyDescent="0.25">
      <c r="A695" s="585">
        <v>900392</v>
      </c>
      <c r="B695" s="780" t="str">
        <f t="shared" si="17"/>
        <v>-16,38/+16,66  (EC  17,35)</v>
      </c>
      <c r="D695" s="3">
        <v>7.27</v>
      </c>
      <c r="E695" s="25">
        <v>1.7350000000000001</v>
      </c>
      <c r="F695" s="959">
        <v>14.75</v>
      </c>
      <c r="G695" s="25">
        <v>0</v>
      </c>
      <c r="H695" s="960">
        <v>0.05</v>
      </c>
      <c r="I695" s="25">
        <v>290.76799999999997</v>
      </c>
      <c r="J695" s="960">
        <v>219.14999999999998</v>
      </c>
      <c r="K695" s="753">
        <v>0</v>
      </c>
      <c r="L695" s="25">
        <f>(8.7-0.1)*24</f>
        <v>206.39999999999998</v>
      </c>
      <c r="M695" s="795">
        <v>0</v>
      </c>
      <c r="N695" s="795">
        <v>2.92</v>
      </c>
      <c r="O695" s="795">
        <v>181.73</v>
      </c>
      <c r="P695" s="795">
        <v>102.34</v>
      </c>
      <c r="Q695" s="795">
        <v>42.7</v>
      </c>
      <c r="R695" s="795">
        <v>1E-3</v>
      </c>
      <c r="S695" s="958">
        <v>1E-4</v>
      </c>
      <c r="T695" s="795">
        <v>1E-3</v>
      </c>
      <c r="U695" s="795" t="s">
        <v>465</v>
      </c>
    </row>
    <row r="696" spans="1:323" x14ac:dyDescent="0.25">
      <c r="A696" s="585">
        <v>900393</v>
      </c>
      <c r="B696" s="780" t="str">
        <f t="shared" si="17"/>
        <v>-11,51/+12,14  (EC  11,7)</v>
      </c>
      <c r="D696" s="3">
        <v>7.07</v>
      </c>
      <c r="E696" s="25">
        <v>1.17</v>
      </c>
      <c r="F696" s="959">
        <v>48.88</v>
      </c>
      <c r="G696" s="25">
        <v>0</v>
      </c>
      <c r="H696" s="960">
        <v>0.12</v>
      </c>
      <c r="I696" s="340">
        <v>120.27200000000001</v>
      </c>
      <c r="J696" s="960">
        <v>63.17</v>
      </c>
      <c r="K696" s="753">
        <v>0</v>
      </c>
      <c r="L696" s="25">
        <f>(15.4-0.1)*24</f>
        <v>367.20000000000005</v>
      </c>
      <c r="M696" s="795">
        <v>0</v>
      </c>
      <c r="N696" s="795">
        <v>1.8</v>
      </c>
      <c r="O696" s="795">
        <v>75.17</v>
      </c>
      <c r="P696" s="795">
        <v>84.86</v>
      </c>
      <c r="Q696" s="795">
        <v>54.93</v>
      </c>
      <c r="R696" s="795">
        <v>1E-3</v>
      </c>
      <c r="S696" s="958">
        <v>1E-4</v>
      </c>
      <c r="T696" s="795">
        <v>1E-3</v>
      </c>
      <c r="U696" s="795">
        <v>1E-3</v>
      </c>
    </row>
    <row r="697" spans="1:323" x14ac:dyDescent="0.25">
      <c r="A697" s="585">
        <v>900394</v>
      </c>
      <c r="B697" s="780" t="str">
        <f t="shared" si="17"/>
        <v>-7,45/+7,73  (EC  7,28)</v>
      </c>
      <c r="D697" s="3">
        <v>7.1</v>
      </c>
      <c r="E697" s="25">
        <v>0.72799999999999998</v>
      </c>
      <c r="F697" s="959">
        <v>104.39</v>
      </c>
      <c r="G697" s="25">
        <v>0</v>
      </c>
      <c r="H697" s="960">
        <v>0.1</v>
      </c>
      <c r="I697" s="340">
        <v>28.512</v>
      </c>
      <c r="J697" s="960">
        <v>24.99</v>
      </c>
      <c r="K697" s="753">
        <v>0</v>
      </c>
      <c r="L697" s="25">
        <f>(11.4-0.1)*24</f>
        <v>271.20000000000005</v>
      </c>
      <c r="M697" s="795">
        <v>0</v>
      </c>
      <c r="N697" s="795">
        <v>0.31</v>
      </c>
      <c r="O697" s="795">
        <v>17.82</v>
      </c>
      <c r="P697" s="795">
        <v>104.33</v>
      </c>
      <c r="Q697" s="795">
        <v>20.65</v>
      </c>
      <c r="R697" s="795">
        <v>1E-3</v>
      </c>
      <c r="S697" s="958">
        <v>1E-4</v>
      </c>
      <c r="T697" s="795">
        <v>1E-3</v>
      </c>
      <c r="U697" s="795">
        <v>1E-3</v>
      </c>
    </row>
    <row r="698" spans="1:323" x14ac:dyDescent="0.25">
      <c r="A698" s="585">
        <v>900395</v>
      </c>
      <c r="B698" s="780" t="str">
        <f t="shared" si="17"/>
        <v>-22,43/+23,15  (EC  22,02)</v>
      </c>
      <c r="D698" s="3">
        <v>6.91</v>
      </c>
      <c r="E698" s="967">
        <v>2.202</v>
      </c>
      <c r="F698" s="959">
        <v>50.03</v>
      </c>
      <c r="G698" s="25">
        <v>0</v>
      </c>
      <c r="H698" s="960">
        <v>0.18</v>
      </c>
      <c r="I698" s="340">
        <v>189.64800000000002</v>
      </c>
      <c r="J698" s="960">
        <v>543.75</v>
      </c>
      <c r="K698" s="753">
        <v>0</v>
      </c>
      <c r="L698" s="25">
        <f>(12.7-0.1)*24</f>
        <v>302.39999999999998</v>
      </c>
      <c r="M698" s="795">
        <v>0</v>
      </c>
      <c r="N698" s="795">
        <v>2.5299999999999998</v>
      </c>
      <c r="O698" s="795">
        <v>118.53</v>
      </c>
      <c r="P698" s="795">
        <v>190.82</v>
      </c>
      <c r="Q698" s="795">
        <v>100.5</v>
      </c>
      <c r="R698" s="795">
        <v>1E-3</v>
      </c>
      <c r="S698" s="958">
        <v>1E-4</v>
      </c>
      <c r="T698" s="795">
        <v>1E-3</v>
      </c>
      <c r="U698" s="795">
        <v>1E-3</v>
      </c>
    </row>
    <row r="699" spans="1:323" x14ac:dyDescent="0.25">
      <c r="A699" s="585">
        <v>900396</v>
      </c>
      <c r="B699" s="780" t="str">
        <f t="shared" si="17"/>
        <v>-9,58/+9,16  (EC  8,59)</v>
      </c>
      <c r="D699" s="3">
        <v>7.16</v>
      </c>
      <c r="E699" s="25">
        <v>0.85899999999999999</v>
      </c>
      <c r="F699" s="959">
        <v>53.39</v>
      </c>
      <c r="G699" s="25">
        <v>0</v>
      </c>
      <c r="H699" s="960">
        <v>0.02</v>
      </c>
      <c r="I699" s="340">
        <v>125.376</v>
      </c>
      <c r="J699" s="960">
        <v>54.65</v>
      </c>
      <c r="K699" s="753">
        <v>0</v>
      </c>
      <c r="L699" s="25">
        <f>(10.4-0.1)*24</f>
        <v>247.20000000000002</v>
      </c>
      <c r="M699" s="795">
        <v>0</v>
      </c>
      <c r="N699" s="795">
        <v>1.63</v>
      </c>
      <c r="O699" s="795">
        <v>78.36</v>
      </c>
      <c r="P699" s="795">
        <v>70.290000000000006</v>
      </c>
      <c r="Q699" s="795">
        <v>26.3</v>
      </c>
      <c r="R699" s="3">
        <v>1E-3</v>
      </c>
      <c r="S699" s="958">
        <v>1E-4</v>
      </c>
      <c r="T699" s="795">
        <v>1E-3</v>
      </c>
      <c r="U699" s="795">
        <v>1E-3</v>
      </c>
    </row>
    <row r="700" spans="1:323" s="969" customFormat="1" x14ac:dyDescent="0.25">
      <c r="A700" s="970">
        <v>900397</v>
      </c>
      <c r="B700" s="993" t="str">
        <f t="shared" si="17"/>
        <v>-10,63/+10,21  (EC  9,08)</v>
      </c>
      <c r="C700" s="971"/>
      <c r="D700" s="968">
        <v>7.45</v>
      </c>
      <c r="E700" s="968">
        <v>0.90800000000000003</v>
      </c>
      <c r="F700" s="994">
        <v>30.93</v>
      </c>
      <c r="G700" s="969">
        <v>0</v>
      </c>
      <c r="H700" s="994">
        <v>0.15</v>
      </c>
      <c r="I700" s="995">
        <v>99.6</v>
      </c>
      <c r="J700" s="968">
        <v>72.3</v>
      </c>
      <c r="K700" s="968">
        <v>0</v>
      </c>
      <c r="L700" s="968">
        <v>355.2</v>
      </c>
      <c r="M700" s="968">
        <v>0</v>
      </c>
      <c r="N700" s="968">
        <v>2.5499999999999998</v>
      </c>
      <c r="O700" s="968">
        <v>65.14</v>
      </c>
      <c r="P700" s="968">
        <v>60.69</v>
      </c>
      <c r="Q700" s="968">
        <v>51.18</v>
      </c>
      <c r="R700" s="968">
        <v>1E-4</v>
      </c>
      <c r="S700" s="969">
        <v>1E-4</v>
      </c>
      <c r="T700" s="968">
        <v>1E-4</v>
      </c>
      <c r="U700" s="968">
        <v>1E-4</v>
      </c>
      <c r="V700" s="968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</row>
    <row r="701" spans="1:323" s="969" customFormat="1" x14ac:dyDescent="0.25">
      <c r="A701" s="970">
        <v>900398</v>
      </c>
      <c r="B701" s="993" t="str">
        <f t="shared" si="17"/>
        <v>-22,28/+21,33  (EC  21,6)</v>
      </c>
      <c r="C701" s="971"/>
      <c r="D701" s="968">
        <v>7.19</v>
      </c>
      <c r="E701" s="1004">
        <v>2.16</v>
      </c>
      <c r="F701" s="994">
        <v>36.86</v>
      </c>
      <c r="G701" s="968">
        <v>0</v>
      </c>
      <c r="H701" s="994">
        <v>0.05</v>
      </c>
      <c r="I701" s="995">
        <v>532.5</v>
      </c>
      <c r="J701" s="994">
        <v>88.6</v>
      </c>
      <c r="K701" s="1005">
        <v>0</v>
      </c>
      <c r="L701" s="968">
        <v>295.2</v>
      </c>
      <c r="M701" s="968">
        <v>0</v>
      </c>
      <c r="N701" s="1006">
        <v>1.99</v>
      </c>
      <c r="O701" s="1006">
        <v>122.44</v>
      </c>
      <c r="P701" s="1006">
        <v>174.8</v>
      </c>
      <c r="Q701" s="1006">
        <v>86.56</v>
      </c>
      <c r="R701" s="1007">
        <v>1E-4</v>
      </c>
      <c r="S701" s="968">
        <v>1E-4</v>
      </c>
      <c r="T701" s="968">
        <v>1E-4</v>
      </c>
      <c r="U701" s="990">
        <v>0.02</v>
      </c>
      <c r="V701" s="968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</row>
    <row r="702" spans="1:323" x14ac:dyDescent="0.25">
      <c r="A702" s="585">
        <v>900399</v>
      </c>
      <c r="B702" s="1" t="str">
        <f t="shared" si="17"/>
        <v>-11,69/+11,36  (EC  10,6)</v>
      </c>
      <c r="D702" s="3">
        <v>7.31</v>
      </c>
      <c r="E702" s="3">
        <v>1.06</v>
      </c>
      <c r="F702" s="26">
        <v>28.38</v>
      </c>
      <c r="G702" s="3">
        <v>0</v>
      </c>
      <c r="H702" s="3">
        <v>0.21</v>
      </c>
      <c r="I702" s="26">
        <f>E702*100</f>
        <v>106</v>
      </c>
      <c r="J702" s="3">
        <v>44.37</v>
      </c>
      <c r="K702" s="3">
        <f>3.06*0</f>
        <v>0</v>
      </c>
      <c r="L702" s="3">
        <f>(18.7-0.1)*24</f>
        <v>446.4</v>
      </c>
      <c r="M702" s="3">
        <v>0</v>
      </c>
      <c r="N702" s="3">
        <v>1.1200000000000001</v>
      </c>
      <c r="O702" s="3">
        <v>24.38</v>
      </c>
      <c r="P702" s="3">
        <v>98.1</v>
      </c>
      <c r="Q702" s="3">
        <v>64.16</v>
      </c>
      <c r="R702" s="1003">
        <v>1E-3</v>
      </c>
      <c r="S702" s="1003">
        <v>1E-3</v>
      </c>
      <c r="T702" s="491">
        <v>1E-3</v>
      </c>
      <c r="U702" s="491">
        <v>1E-3</v>
      </c>
    </row>
    <row r="703" spans="1:323" x14ac:dyDescent="0.25">
      <c r="A703" s="585">
        <v>900400</v>
      </c>
      <c r="B703" s="1" t="s">
        <v>496</v>
      </c>
    </row>
    <row r="704" spans="1:323" x14ac:dyDescent="0.25">
      <c r="A704" s="585">
        <v>900401</v>
      </c>
      <c r="B704" s="1" t="s">
        <v>496</v>
      </c>
    </row>
    <row r="705" spans="1:323" x14ac:dyDescent="0.25">
      <c r="A705" s="585">
        <v>900402</v>
      </c>
      <c r="B705" s="1" t="str">
        <f t="shared" ref="B705:B745" si="19">"-"&amp;TEXT((F705/62+G705/46+I705/35.5+J705/48+K705/97+L705/61),"0,00")&amp;"/+"&amp;TEXT((N705/39+O705/23+P705/20+Q705/12+H705/14),"0,00")&amp;"  (EC  "&amp;E705*10&amp;")"</f>
        <v>-22,00/+22,25  (EC  21,8)</v>
      </c>
      <c r="D705" s="3">
        <v>7.35</v>
      </c>
      <c r="E705" s="3">
        <v>2.1800000000000002</v>
      </c>
      <c r="F705" s="26">
        <v>51.03</v>
      </c>
      <c r="G705" s="3">
        <v>0</v>
      </c>
      <c r="H705" s="3">
        <v>0.04</v>
      </c>
      <c r="I705" s="26">
        <f>E705*200</f>
        <v>436.00000000000006</v>
      </c>
      <c r="J705" s="3">
        <v>175.9</v>
      </c>
      <c r="K705" s="3">
        <v>0</v>
      </c>
      <c r="L705" s="3">
        <f>(13.4-0.1)*24</f>
        <v>319.20000000000005</v>
      </c>
      <c r="M705" s="3">
        <v>0</v>
      </c>
      <c r="N705" s="3">
        <v>3.07</v>
      </c>
      <c r="O705" s="3">
        <v>243.94</v>
      </c>
      <c r="P705" s="3">
        <v>105.45</v>
      </c>
      <c r="Q705" s="3">
        <v>75.53</v>
      </c>
      <c r="R705" s="1003">
        <v>1E-3</v>
      </c>
      <c r="S705" s="1003">
        <v>1E-3</v>
      </c>
      <c r="T705" s="491">
        <v>1E-3</v>
      </c>
      <c r="U705" s="491">
        <v>1E-3</v>
      </c>
    </row>
    <row r="706" spans="1:323" s="642" customFormat="1" x14ac:dyDescent="0.25">
      <c r="A706" s="788">
        <v>900403</v>
      </c>
      <c r="B706" s="1014" t="str">
        <f t="shared" si="19"/>
        <v>-15,53/+15,70  (EC  16,7)</v>
      </c>
      <c r="C706" s="790"/>
      <c r="D706" s="1011">
        <v>6.97</v>
      </c>
      <c r="E706" s="1011">
        <v>1.67</v>
      </c>
      <c r="F706" s="789">
        <v>93.67</v>
      </c>
      <c r="G706" s="791">
        <v>0</v>
      </c>
      <c r="H706" s="790">
        <v>0.15</v>
      </c>
      <c r="I706" s="789">
        <v>260</v>
      </c>
      <c r="J706" s="789">
        <v>40</v>
      </c>
      <c r="K706" s="1011">
        <v>3.0600000000000002E-2</v>
      </c>
      <c r="L706" s="789">
        <f>(15-0.1)*24</f>
        <v>357.6</v>
      </c>
      <c r="M706" s="789">
        <v>0</v>
      </c>
      <c r="N706" s="1013">
        <v>0.99</v>
      </c>
      <c r="O706" s="1013">
        <v>126.62</v>
      </c>
      <c r="P706" s="1013">
        <v>146.66</v>
      </c>
      <c r="Q706" s="1013">
        <v>33.909999999999997</v>
      </c>
      <c r="R706" s="1013">
        <v>0</v>
      </c>
      <c r="S706" s="1013">
        <v>0</v>
      </c>
      <c r="T706" s="1013">
        <v>0</v>
      </c>
      <c r="U706" s="788">
        <v>0</v>
      </c>
      <c r="V706" s="791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</row>
    <row r="707" spans="1:323" s="642" customFormat="1" x14ac:dyDescent="0.25">
      <c r="A707" s="788">
        <v>900404</v>
      </c>
      <c r="B707" s="1014" t="str">
        <f t="shared" si="19"/>
        <v>-13,98/+14,55  (EC  15,1)</v>
      </c>
      <c r="C707" s="790"/>
      <c r="D707" s="1011">
        <v>7.29</v>
      </c>
      <c r="E707" s="1011">
        <v>1.51</v>
      </c>
      <c r="F707" s="789">
        <v>99.27</v>
      </c>
      <c r="G707" s="791">
        <v>0</v>
      </c>
      <c r="H707" s="790">
        <v>0.19</v>
      </c>
      <c r="I707" s="789">
        <v>240</v>
      </c>
      <c r="J707" s="789">
        <v>39</v>
      </c>
      <c r="K707" s="1011">
        <v>9.1799999999999993E-2</v>
      </c>
      <c r="L707" s="789">
        <f>(12.3-0.1)*24</f>
        <v>292.8</v>
      </c>
      <c r="M707" s="789">
        <v>0</v>
      </c>
      <c r="N707" s="1013">
        <v>0.72</v>
      </c>
      <c r="O707" s="1013">
        <v>122.04</v>
      </c>
      <c r="P707" s="1013">
        <v>136.88999999999999</v>
      </c>
      <c r="Q707" s="1013">
        <v>28.37</v>
      </c>
      <c r="R707" s="1013">
        <v>0</v>
      </c>
      <c r="S707" s="1013">
        <v>0</v>
      </c>
      <c r="T707" s="1013">
        <v>0</v>
      </c>
      <c r="U707" s="788">
        <v>0</v>
      </c>
      <c r="V707" s="791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</row>
    <row r="708" spans="1:323" s="642" customFormat="1" x14ac:dyDescent="0.25">
      <c r="A708" s="788">
        <v>900405</v>
      </c>
      <c r="B708" s="1014" t="str">
        <f t="shared" si="19"/>
        <v>-14,42/+12,93  (EC  13)</v>
      </c>
      <c r="C708" s="790"/>
      <c r="D708" s="1011">
        <v>7.36</v>
      </c>
      <c r="E708" s="1011">
        <v>1.3</v>
      </c>
      <c r="F708" s="789">
        <v>29.25</v>
      </c>
      <c r="G708" s="791">
        <v>0</v>
      </c>
      <c r="H708" s="790">
        <v>0.37</v>
      </c>
      <c r="I708" s="789">
        <v>265</v>
      </c>
      <c r="J708" s="789">
        <v>30</v>
      </c>
      <c r="K708" s="1011">
        <v>9.1799999999999993E-2</v>
      </c>
      <c r="L708" s="789">
        <f>(15-0.1)*24</f>
        <v>357.6</v>
      </c>
      <c r="M708" s="789">
        <v>0</v>
      </c>
      <c r="N708" s="1013">
        <v>3.08</v>
      </c>
      <c r="O708" s="1013">
        <v>93.34</v>
      </c>
      <c r="P708" s="1013">
        <v>131.04</v>
      </c>
      <c r="Q708" s="1013">
        <v>26.56</v>
      </c>
      <c r="R708" s="1013">
        <v>0</v>
      </c>
      <c r="S708" s="1013">
        <v>0</v>
      </c>
      <c r="T708" s="1013">
        <v>0.14000000000000001</v>
      </c>
      <c r="U708" s="791">
        <v>7.0000000000000007E-2</v>
      </c>
      <c r="V708" s="791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</row>
    <row r="709" spans="1:323" s="642" customFormat="1" x14ac:dyDescent="0.25">
      <c r="A709" s="788">
        <v>900406</v>
      </c>
      <c r="B709" s="1014" t="str">
        <f t="shared" si="19"/>
        <v>-9,84/+9,80  (EC  9,79)</v>
      </c>
      <c r="C709" s="790"/>
      <c r="D709" s="1011">
        <v>7.51</v>
      </c>
      <c r="E709" s="1011">
        <v>0.97899999999999998</v>
      </c>
      <c r="F709" s="789">
        <v>55.59</v>
      </c>
      <c r="G709" s="791">
        <v>0</v>
      </c>
      <c r="H709" s="790">
        <v>0.14000000000000001</v>
      </c>
      <c r="I709" s="789">
        <v>198.01600000000002</v>
      </c>
      <c r="J709" s="789">
        <v>21.83</v>
      </c>
      <c r="K709" s="1011">
        <v>9.1799999999999993E-2</v>
      </c>
      <c r="L709" s="789">
        <f>(7.5-0.1)*24</f>
        <v>177.60000000000002</v>
      </c>
      <c r="M709" s="789">
        <v>0</v>
      </c>
      <c r="N709" s="1013">
        <v>0.81</v>
      </c>
      <c r="O709" s="1013">
        <v>123.76</v>
      </c>
      <c r="P709" s="1013">
        <v>61.21</v>
      </c>
      <c r="Q709" s="1013">
        <v>15.98</v>
      </c>
      <c r="R709" s="1013">
        <v>0</v>
      </c>
      <c r="S709" s="1013">
        <v>0</v>
      </c>
      <c r="T709" s="1013">
        <v>0</v>
      </c>
      <c r="U709" s="788">
        <v>0</v>
      </c>
      <c r="V709" s="791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</row>
    <row r="710" spans="1:323" x14ac:dyDescent="0.25">
      <c r="A710" s="788">
        <v>900407</v>
      </c>
      <c r="B710" s="1014" t="str">
        <f t="shared" si="19"/>
        <v>-8,77/+8,92  (EC  7,75)</v>
      </c>
      <c r="C710" s="790"/>
      <c r="D710" s="1011">
        <v>7.92</v>
      </c>
      <c r="E710" s="1011">
        <v>0.77500000000000002</v>
      </c>
      <c r="F710" s="789">
        <v>48.16</v>
      </c>
      <c r="G710" s="791">
        <v>0</v>
      </c>
      <c r="H710" s="790">
        <v>0.16</v>
      </c>
      <c r="I710" s="789">
        <v>45.904000000000003</v>
      </c>
      <c r="J710" s="789">
        <v>30.85</v>
      </c>
      <c r="K710" s="1011">
        <v>3.0600000000000002E-2</v>
      </c>
      <c r="L710" s="789">
        <f>(15.5-0.1)*24</f>
        <v>369.6</v>
      </c>
      <c r="M710" s="789">
        <v>0</v>
      </c>
      <c r="N710" s="1013">
        <v>2.2400000000000002</v>
      </c>
      <c r="O710" s="1013">
        <v>28.69</v>
      </c>
      <c r="P710" s="1013">
        <v>70.930000000000007</v>
      </c>
      <c r="Q710" s="1013">
        <v>48.65</v>
      </c>
      <c r="R710" s="1013">
        <v>0.01</v>
      </c>
      <c r="S710" s="1013">
        <v>0</v>
      </c>
      <c r="T710" s="1013">
        <v>0</v>
      </c>
      <c r="U710" s="585">
        <v>0</v>
      </c>
    </row>
    <row r="711" spans="1:323" x14ac:dyDescent="0.25">
      <c r="A711" s="788">
        <v>900408</v>
      </c>
      <c r="B711" s="1014" t="str">
        <f t="shared" si="19"/>
        <v>-9,82/+9,80  (EC  8,38)</v>
      </c>
      <c r="C711" s="790"/>
      <c r="D711" s="1011">
        <v>7.08</v>
      </c>
      <c r="E711" s="1011">
        <v>0.83799999999999997</v>
      </c>
      <c r="F711" s="789">
        <v>11.07</v>
      </c>
      <c r="G711" s="791">
        <v>0</v>
      </c>
      <c r="H711" s="790">
        <v>0.15</v>
      </c>
      <c r="I711" s="789">
        <v>64.320000000000007</v>
      </c>
      <c r="J711" s="789">
        <v>100</v>
      </c>
      <c r="K711" s="1011">
        <v>3.0600000000000002E-2</v>
      </c>
      <c r="L711" s="789">
        <f>(14.7-0.1)*24</f>
        <v>350.4</v>
      </c>
      <c r="M711" s="789">
        <v>0</v>
      </c>
      <c r="N711" s="1013">
        <v>2.44</v>
      </c>
      <c r="O711" s="1013">
        <v>40.200000000000003</v>
      </c>
      <c r="P711" s="1013">
        <v>77.91</v>
      </c>
      <c r="Q711" s="1013">
        <v>49.01</v>
      </c>
      <c r="R711" s="1013">
        <v>0</v>
      </c>
      <c r="S711" s="1013">
        <v>0</v>
      </c>
      <c r="T711" s="1013">
        <v>0</v>
      </c>
      <c r="U711" s="585">
        <v>0.01</v>
      </c>
    </row>
    <row r="712" spans="1:323" x14ac:dyDescent="0.25">
      <c r="A712" s="788">
        <v>900409</v>
      </c>
      <c r="B712" s="1014" t="str">
        <f t="shared" si="19"/>
        <v>-52,96/+52,59  (EC  51,9)</v>
      </c>
      <c r="C712" s="790"/>
      <c r="D712" s="1011">
        <v>6.94</v>
      </c>
      <c r="E712" s="1011">
        <v>5.19</v>
      </c>
      <c r="F712" s="789">
        <v>31.82</v>
      </c>
      <c r="G712" s="791">
        <v>0</v>
      </c>
      <c r="H712" s="790">
        <v>0.2</v>
      </c>
      <c r="I712" s="789">
        <v>1112.848</v>
      </c>
      <c r="J712" s="789">
        <v>659.65000000000009</v>
      </c>
      <c r="K712" s="1011">
        <v>3.0600000000000002E-2</v>
      </c>
      <c r="L712" s="789">
        <f>(18.8-0.1)*24</f>
        <v>448.79999999999995</v>
      </c>
      <c r="M712" s="789">
        <v>0</v>
      </c>
      <c r="N712" s="1015">
        <v>9.48</v>
      </c>
      <c r="O712" s="1015">
        <v>516</v>
      </c>
      <c r="P712" s="1015">
        <v>324.60000000000002</v>
      </c>
      <c r="Q712" s="1015">
        <v>164</v>
      </c>
      <c r="R712" s="1013">
        <v>0.02</v>
      </c>
      <c r="S712" s="1013">
        <v>0</v>
      </c>
      <c r="T712" s="1013">
        <v>0.01</v>
      </c>
      <c r="U712" s="585">
        <v>0.01</v>
      </c>
    </row>
    <row r="713" spans="1:323" x14ac:dyDescent="0.25">
      <c r="A713" s="788">
        <v>900410</v>
      </c>
      <c r="B713" s="1014" t="str">
        <f t="shared" si="19"/>
        <v>-35,33/+35,87  (EC  34)</v>
      </c>
      <c r="C713" s="790"/>
      <c r="D713" s="1011">
        <v>7.03</v>
      </c>
      <c r="E713" s="1011">
        <v>3.4</v>
      </c>
      <c r="F713" s="789">
        <v>2.6</v>
      </c>
      <c r="G713" s="791">
        <v>0</v>
      </c>
      <c r="H713" s="790">
        <v>0.28000000000000003</v>
      </c>
      <c r="I713" s="789">
        <v>600</v>
      </c>
      <c r="J713" s="789">
        <v>620</v>
      </c>
      <c r="K713" s="1011">
        <v>0</v>
      </c>
      <c r="L713" s="789">
        <f>(14-0.1)*24</f>
        <v>333.6</v>
      </c>
      <c r="M713" s="789">
        <v>0</v>
      </c>
      <c r="N713" s="1013">
        <v>9.3699999999999992</v>
      </c>
      <c r="O713" s="1013">
        <v>315.3</v>
      </c>
      <c r="P713" s="1015">
        <v>216.3</v>
      </c>
      <c r="Q713" s="1015">
        <v>133</v>
      </c>
      <c r="R713" s="1013">
        <v>0</v>
      </c>
      <c r="S713" s="1013">
        <v>0</v>
      </c>
      <c r="T713" s="1013">
        <v>0.01</v>
      </c>
      <c r="U713" s="585">
        <v>0.01</v>
      </c>
    </row>
    <row r="714" spans="1:323" x14ac:dyDescent="0.25">
      <c r="A714" s="788">
        <v>900411</v>
      </c>
      <c r="B714" s="1014" t="str">
        <f t="shared" si="19"/>
        <v>-47,23/+49,38  (EC  48,9)</v>
      </c>
      <c r="C714" s="790"/>
      <c r="D714" s="1011">
        <v>7.21</v>
      </c>
      <c r="E714" s="1011">
        <v>4.8899999999999997</v>
      </c>
      <c r="F714" s="789">
        <v>23.6</v>
      </c>
      <c r="G714" s="791">
        <v>0</v>
      </c>
      <c r="H714" s="790">
        <v>0.21</v>
      </c>
      <c r="I714" s="789">
        <v>969.21600000000001</v>
      </c>
      <c r="J714" s="789">
        <v>594.4</v>
      </c>
      <c r="K714" s="1011">
        <v>6.1200000000000004E-2</v>
      </c>
      <c r="L714" s="789">
        <f>(18.3-0.1)*24</f>
        <v>436.79999999999995</v>
      </c>
      <c r="M714" s="789">
        <v>0</v>
      </c>
      <c r="N714" s="1013">
        <v>9.92</v>
      </c>
      <c r="O714" s="1015">
        <v>425</v>
      </c>
      <c r="P714" s="1013">
        <v>326.93</v>
      </c>
      <c r="Q714" s="1013">
        <v>171.4</v>
      </c>
      <c r="R714" s="1013">
        <v>0.01</v>
      </c>
      <c r="S714" s="1013">
        <v>0</v>
      </c>
      <c r="T714" s="1013">
        <v>0</v>
      </c>
      <c r="U714" s="585">
        <v>0</v>
      </c>
    </row>
    <row r="715" spans="1:323" x14ac:dyDescent="0.25">
      <c r="A715" s="788">
        <v>900412</v>
      </c>
      <c r="B715" s="1014" t="str">
        <f t="shared" si="19"/>
        <v>-32,49/+31,95  (EC  33,8)</v>
      </c>
      <c r="C715" s="790"/>
      <c r="D715" s="1011">
        <v>7.25</v>
      </c>
      <c r="E715" s="1011">
        <v>3.38</v>
      </c>
      <c r="F715" s="789">
        <v>84.13</v>
      </c>
      <c r="G715" s="791">
        <v>0</v>
      </c>
      <c r="H715" s="790">
        <v>0.17</v>
      </c>
      <c r="I715" s="789">
        <v>651.45600000000013</v>
      </c>
      <c r="J715" s="789">
        <v>500</v>
      </c>
      <c r="K715" s="1011">
        <v>3.0600000000000002E-2</v>
      </c>
      <c r="L715" s="789">
        <f>(6.1-0.1)*24</f>
        <v>144</v>
      </c>
      <c r="M715" s="789">
        <v>0</v>
      </c>
      <c r="N715" s="1013">
        <v>10.65</v>
      </c>
      <c r="O715" s="1013">
        <v>407.16</v>
      </c>
      <c r="P715" s="1013">
        <v>138.26</v>
      </c>
      <c r="Q715" s="1013">
        <v>84.62</v>
      </c>
      <c r="R715" s="1013">
        <v>0</v>
      </c>
      <c r="S715" s="1013">
        <v>0</v>
      </c>
      <c r="T715" s="1013">
        <v>0</v>
      </c>
      <c r="U715" s="585">
        <v>0</v>
      </c>
    </row>
    <row r="716" spans="1:323" x14ac:dyDescent="0.25">
      <c r="A716" s="788">
        <v>900413</v>
      </c>
      <c r="B716" s="1014" t="str">
        <f t="shared" si="19"/>
        <v>-7,18/+7,32  (EC  8,18)</v>
      </c>
      <c r="C716" s="790"/>
      <c r="D716" s="1011">
        <v>7.48</v>
      </c>
      <c r="E716" s="1011">
        <v>0.81799999999999995</v>
      </c>
      <c r="F716" s="789">
        <v>107.18</v>
      </c>
      <c r="G716" s="791">
        <v>0</v>
      </c>
      <c r="H716" s="790">
        <v>0.17</v>
      </c>
      <c r="I716" s="789">
        <v>37.488</v>
      </c>
      <c r="J716" s="789">
        <v>52.33</v>
      </c>
      <c r="K716" s="1011">
        <v>6.1200000000000004E-2</v>
      </c>
      <c r="L716" s="789">
        <f>(8.5-0.1)*24</f>
        <v>201.60000000000002</v>
      </c>
      <c r="M716" s="789">
        <v>0</v>
      </c>
      <c r="N716" s="1013">
        <v>1.46</v>
      </c>
      <c r="O716" s="1013">
        <v>23.43</v>
      </c>
      <c r="P716" s="1013">
        <v>115.14</v>
      </c>
      <c r="Q716" s="1013">
        <v>5.93</v>
      </c>
      <c r="R716" s="1013">
        <v>0</v>
      </c>
      <c r="S716" s="1013">
        <v>0</v>
      </c>
      <c r="T716" s="1013">
        <v>0</v>
      </c>
      <c r="U716" s="585">
        <v>0.08</v>
      </c>
    </row>
    <row r="717" spans="1:323" x14ac:dyDescent="0.25">
      <c r="A717" s="788">
        <v>900414</v>
      </c>
      <c r="B717" s="1014" t="str">
        <f t="shared" si="19"/>
        <v>-7,48/+6,09  (EC  6,16)</v>
      </c>
      <c r="C717" s="790"/>
      <c r="D717" s="1011">
        <v>7.43</v>
      </c>
      <c r="E717" s="1011">
        <v>0.61599999999999999</v>
      </c>
      <c r="F717" s="789">
        <v>73.900000000000006</v>
      </c>
      <c r="G717" s="791">
        <v>0</v>
      </c>
      <c r="H717" s="790">
        <v>0.14000000000000001</v>
      </c>
      <c r="I717" s="789">
        <v>79.424000000000007</v>
      </c>
      <c r="J717" s="789">
        <v>20.77</v>
      </c>
      <c r="K717" s="1011">
        <v>6.1200000000000004E-2</v>
      </c>
      <c r="L717" s="789">
        <f>(9.3-0.1)*24</f>
        <v>220.8</v>
      </c>
      <c r="M717" s="789">
        <v>0</v>
      </c>
      <c r="N717" s="1013">
        <v>2.11</v>
      </c>
      <c r="O717" s="1013">
        <v>49.64</v>
      </c>
      <c r="P717" s="1013">
        <v>59.83</v>
      </c>
      <c r="Q717" s="1013">
        <v>10.48</v>
      </c>
      <c r="R717" s="1013">
        <v>0</v>
      </c>
      <c r="S717" s="1013">
        <v>0</v>
      </c>
      <c r="T717" s="1013">
        <v>0</v>
      </c>
      <c r="U717" s="585">
        <v>0.01</v>
      </c>
    </row>
    <row r="718" spans="1:323" x14ac:dyDescent="0.25">
      <c r="A718" s="788">
        <v>900415</v>
      </c>
      <c r="B718" s="1014" t="str">
        <f t="shared" si="19"/>
        <v>-8,23/+9,40  (EC  8,36)</v>
      </c>
      <c r="C718" s="790"/>
      <c r="D718" s="1011">
        <v>7.49</v>
      </c>
      <c r="E718" s="1011">
        <v>0.83599999999999997</v>
      </c>
      <c r="F718" s="789">
        <v>18.46</v>
      </c>
      <c r="G718" s="791">
        <v>0</v>
      </c>
      <c r="H718" s="790">
        <v>0.14000000000000001</v>
      </c>
      <c r="I718" s="789">
        <v>60.655999999999999</v>
      </c>
      <c r="J718" s="789">
        <v>142.15</v>
      </c>
      <c r="K718" s="1011">
        <v>3.0600000000000002E-2</v>
      </c>
      <c r="L718" s="789">
        <f>(8.4-0.1)*24</f>
        <v>199.20000000000002</v>
      </c>
      <c r="M718" s="789">
        <v>0</v>
      </c>
      <c r="N718" s="1013">
        <v>4.34</v>
      </c>
      <c r="O718" s="1013">
        <v>37.909999999999997</v>
      </c>
      <c r="P718" s="1013">
        <v>85.59</v>
      </c>
      <c r="Q718" s="1013">
        <v>40.200000000000003</v>
      </c>
      <c r="R718" s="1013">
        <v>0</v>
      </c>
      <c r="S718" s="1013">
        <v>0</v>
      </c>
      <c r="T718" s="1013">
        <v>0</v>
      </c>
      <c r="U718" s="585">
        <v>0.01</v>
      </c>
    </row>
    <row r="719" spans="1:323" x14ac:dyDescent="0.25">
      <c r="A719" s="788">
        <v>900416</v>
      </c>
      <c r="B719" s="1014" t="str">
        <f t="shared" si="19"/>
        <v>-8,99/+8,58  (EC  7,59)</v>
      </c>
      <c r="C719" s="790"/>
      <c r="D719" s="1011">
        <v>7.57</v>
      </c>
      <c r="E719" s="1011">
        <v>0.75900000000000001</v>
      </c>
      <c r="F719" s="789">
        <v>14.03</v>
      </c>
      <c r="G719" s="791">
        <v>0</v>
      </c>
      <c r="H719" s="790">
        <v>0.16</v>
      </c>
      <c r="I719" s="789">
        <v>73.040000000000006</v>
      </c>
      <c r="J719" s="789">
        <v>142.63</v>
      </c>
      <c r="K719" s="1011">
        <v>3.0600000000000002E-2</v>
      </c>
      <c r="L719" s="789">
        <f>(9.6-0.1)*24</f>
        <v>228</v>
      </c>
      <c r="M719" s="789">
        <v>0</v>
      </c>
      <c r="N719" s="1013">
        <v>4.13</v>
      </c>
      <c r="O719" s="1013">
        <v>45.65</v>
      </c>
      <c r="P719" s="1013">
        <v>74.209999999999994</v>
      </c>
      <c r="Q719" s="1013">
        <v>33.18</v>
      </c>
      <c r="R719" s="1013">
        <v>0</v>
      </c>
      <c r="S719" s="1013">
        <v>0</v>
      </c>
      <c r="T719" s="1013">
        <v>0</v>
      </c>
      <c r="U719" s="585">
        <v>0.04</v>
      </c>
    </row>
    <row r="720" spans="1:323" x14ac:dyDescent="0.25">
      <c r="A720" s="788">
        <v>900417</v>
      </c>
      <c r="B720" s="1014" t="str">
        <f t="shared" si="19"/>
        <v>-9,70/+10,04  (EC  9)</v>
      </c>
      <c r="C720" s="790"/>
      <c r="D720" s="1011">
        <v>7.62</v>
      </c>
      <c r="E720" s="1011">
        <v>0.9</v>
      </c>
      <c r="F720" s="789">
        <v>20.99</v>
      </c>
      <c r="G720" s="791">
        <v>0</v>
      </c>
      <c r="H720" s="790">
        <v>0.16</v>
      </c>
      <c r="I720" s="789">
        <v>103.96800000000002</v>
      </c>
      <c r="J720" s="789">
        <v>148.32</v>
      </c>
      <c r="K720" s="1011">
        <v>6.1200000000000004E-2</v>
      </c>
      <c r="L720" s="789">
        <f>(8.6-0.1)*24</f>
        <v>204</v>
      </c>
      <c r="M720" s="789">
        <v>0</v>
      </c>
      <c r="N720" s="1013">
        <v>4.9400000000000004</v>
      </c>
      <c r="O720" s="1013">
        <v>64.98</v>
      </c>
      <c r="P720" s="1013">
        <v>83.07</v>
      </c>
      <c r="Q720" s="1013">
        <v>35.04</v>
      </c>
      <c r="R720" s="1013">
        <v>0</v>
      </c>
      <c r="S720" s="1013">
        <v>0</v>
      </c>
      <c r="T720" s="1013">
        <v>0</v>
      </c>
      <c r="U720" s="585">
        <v>0.03</v>
      </c>
    </row>
    <row r="721" spans="1:22" x14ac:dyDescent="0.25">
      <c r="A721" s="585">
        <v>900418</v>
      </c>
      <c r="B721" s="993" t="str">
        <f t="shared" si="19"/>
        <v>-32,33/+32,39  (EC  33,5)</v>
      </c>
      <c r="D721" s="3">
        <v>7</v>
      </c>
      <c r="E721" s="1012">
        <v>3.35</v>
      </c>
      <c r="F721" s="1021">
        <v>35.04</v>
      </c>
      <c r="G721" s="3">
        <v>0</v>
      </c>
      <c r="H721" s="1021">
        <v>0.16</v>
      </c>
      <c r="I721" s="26">
        <v>835.44</v>
      </c>
      <c r="J721" s="1021">
        <v>200.36</v>
      </c>
      <c r="K721" s="1020">
        <v>1E-3</v>
      </c>
      <c r="L721" s="3">
        <f>(10.4-0.1)*24</f>
        <v>247.20000000000002</v>
      </c>
      <c r="M721" s="3">
        <v>0</v>
      </c>
      <c r="N721" s="705">
        <v>6.88</v>
      </c>
      <c r="O721" s="705">
        <v>522.15</v>
      </c>
      <c r="P721" s="705">
        <v>74.61</v>
      </c>
      <c r="Q721" s="705">
        <v>69.28</v>
      </c>
      <c r="R721" s="705"/>
      <c r="S721" s="1022"/>
      <c r="T721" s="705"/>
      <c r="U721" s="705"/>
    </row>
    <row r="722" spans="1:22" x14ac:dyDescent="0.25">
      <c r="A722" s="585">
        <v>900419</v>
      </c>
      <c r="B722" s="993" t="str">
        <f t="shared" si="19"/>
        <v>-51,27/+51,22  (EC  52,3)</v>
      </c>
      <c r="D722" s="3">
        <v>6.84</v>
      </c>
      <c r="E722" s="3">
        <v>5.23</v>
      </c>
      <c r="F722" s="1021">
        <v>144.44999999999999</v>
      </c>
      <c r="G722" s="1020">
        <v>0</v>
      </c>
      <c r="H722" s="1021">
        <v>0.15</v>
      </c>
      <c r="I722" s="26">
        <v>1153.5</v>
      </c>
      <c r="J722" s="1021">
        <v>389</v>
      </c>
      <c r="K722" s="940">
        <v>9.1799999999999993E-2</v>
      </c>
      <c r="L722" s="1020">
        <f>(21.3-0.1)*24</f>
        <v>508.79999999999995</v>
      </c>
      <c r="M722" s="1020">
        <v>0</v>
      </c>
      <c r="N722" s="705">
        <v>7.07</v>
      </c>
      <c r="O722" s="705">
        <v>576.88</v>
      </c>
      <c r="P722" s="705">
        <v>250.3</v>
      </c>
      <c r="Q722" s="705">
        <v>161.19999999999999</v>
      </c>
      <c r="R722" s="705">
        <v>0.01</v>
      </c>
      <c r="S722" s="1022">
        <v>1E-3</v>
      </c>
      <c r="T722" s="705">
        <v>1E-3</v>
      </c>
      <c r="U722" s="705" t="s">
        <v>498</v>
      </c>
    </row>
    <row r="723" spans="1:22" x14ac:dyDescent="0.25">
      <c r="A723" s="585">
        <v>900420</v>
      </c>
      <c r="B723" s="993" t="str">
        <f t="shared" si="19"/>
        <v>-24,93/+23,99  (EC  23,3)</v>
      </c>
      <c r="D723" s="3">
        <v>8.1999999999999993</v>
      </c>
      <c r="E723" s="3">
        <v>2.33</v>
      </c>
      <c r="F723" s="1021">
        <v>2.2799999999999998</v>
      </c>
      <c r="G723" s="1020">
        <v>0</v>
      </c>
      <c r="H723" s="1021">
        <v>7.0000000000000007E-2</v>
      </c>
      <c r="I723" s="26">
        <v>549.29999999999995</v>
      </c>
      <c r="J723" s="1021">
        <v>151.94999999999999</v>
      </c>
      <c r="K723" s="1020">
        <v>1E-3</v>
      </c>
      <c r="L723" s="1020">
        <f>(16-0.1)*24</f>
        <v>381.6</v>
      </c>
      <c r="M723" s="1020">
        <v>0</v>
      </c>
      <c r="N723" s="705">
        <v>3.96</v>
      </c>
      <c r="O723" s="1025">
        <v>426.65</v>
      </c>
      <c r="P723" s="1025">
        <v>18.43</v>
      </c>
      <c r="Q723" s="1025">
        <v>52.99</v>
      </c>
      <c r="R723" s="705">
        <v>1E-3</v>
      </c>
      <c r="S723" s="1022">
        <v>1E-3</v>
      </c>
      <c r="T723" s="705">
        <v>7.0000000000000007E-2</v>
      </c>
      <c r="U723" s="705" t="s">
        <v>469</v>
      </c>
    </row>
    <row r="724" spans="1:22" x14ac:dyDescent="0.25">
      <c r="A724" s="585">
        <v>900421</v>
      </c>
      <c r="B724" s="993" t="str">
        <f t="shared" si="19"/>
        <v>-32,01/+32,00  (EC  33,6)</v>
      </c>
      <c r="D724" s="3">
        <v>7.37</v>
      </c>
      <c r="E724" s="3">
        <v>3.36</v>
      </c>
      <c r="F724" s="1021">
        <v>55.55</v>
      </c>
      <c r="G724" s="1020">
        <v>0</v>
      </c>
      <c r="H724" s="1021">
        <v>0.15</v>
      </c>
      <c r="I724" s="26">
        <v>741.29600000000005</v>
      </c>
      <c r="J724" s="1021">
        <v>177.54999999999998</v>
      </c>
      <c r="K724" s="1020">
        <v>1E-3</v>
      </c>
      <c r="L724" s="1020">
        <f>(16.7-0.1)*24</f>
        <v>398.4</v>
      </c>
      <c r="M724" s="1020">
        <v>0</v>
      </c>
      <c r="N724" s="705">
        <v>5.29</v>
      </c>
      <c r="O724" s="1025">
        <v>356.2</v>
      </c>
      <c r="P724" s="1025">
        <v>130.19999999999999</v>
      </c>
      <c r="Q724" s="1025">
        <v>118.3</v>
      </c>
      <c r="R724" s="705">
        <v>1E-3</v>
      </c>
      <c r="S724" s="1022">
        <v>1E-3</v>
      </c>
      <c r="T724" s="705">
        <v>0.05</v>
      </c>
      <c r="U724" s="705" t="s">
        <v>499</v>
      </c>
    </row>
    <row r="725" spans="1:22" x14ac:dyDescent="0.25">
      <c r="A725" s="585">
        <v>900422</v>
      </c>
      <c r="B725" s="993" t="str">
        <f t="shared" si="19"/>
        <v>-10,22/+10,93  (EC  9,5)</v>
      </c>
      <c r="D725" s="3">
        <v>7.42</v>
      </c>
      <c r="E725" s="3">
        <v>0.95</v>
      </c>
      <c r="F725" s="1021">
        <v>29</v>
      </c>
      <c r="G725" s="1020">
        <v>0</v>
      </c>
      <c r="H725" s="1021">
        <v>0.12</v>
      </c>
      <c r="I725" s="26">
        <v>56.688000000000002</v>
      </c>
      <c r="J725" s="1021">
        <v>210.3</v>
      </c>
      <c r="K725" s="1020">
        <v>1E-3</v>
      </c>
      <c r="L725" s="1020">
        <f>(9.7-0.1)*24</f>
        <v>230.39999999999998</v>
      </c>
      <c r="M725" s="1020">
        <v>0</v>
      </c>
      <c r="N725" s="705">
        <v>2.65</v>
      </c>
      <c r="O725" s="1025">
        <v>35.43</v>
      </c>
      <c r="P725" s="1026">
        <v>79.2</v>
      </c>
      <c r="Q725" s="1025">
        <v>64.239999999999995</v>
      </c>
      <c r="R725" s="705">
        <v>0.01</v>
      </c>
      <c r="S725" s="1022">
        <v>1E-3</v>
      </c>
      <c r="T725" s="1022">
        <v>1E-3</v>
      </c>
      <c r="U725" s="705">
        <v>1E-3</v>
      </c>
    </row>
    <row r="726" spans="1:22" x14ac:dyDescent="0.25">
      <c r="A726" s="585">
        <v>900423</v>
      </c>
      <c r="B726" s="993" t="str">
        <f t="shared" si="19"/>
        <v>-11,32/+13,55  (EC  12,33)</v>
      </c>
      <c r="D726" s="3">
        <v>7.3</v>
      </c>
      <c r="E726" s="3">
        <v>1.2330000000000001</v>
      </c>
      <c r="F726" s="1021">
        <v>19.350000000000001</v>
      </c>
      <c r="G726" s="1020">
        <v>0</v>
      </c>
      <c r="H726" s="1021">
        <v>0.61</v>
      </c>
      <c r="I726" s="26">
        <v>126.3</v>
      </c>
      <c r="J726" s="1021">
        <v>15.6</v>
      </c>
      <c r="K726" s="1020">
        <v>1E-3</v>
      </c>
      <c r="L726" s="1020">
        <f>(18.2-0.1)*24</f>
        <v>434.4</v>
      </c>
      <c r="M726" s="1020">
        <v>0</v>
      </c>
      <c r="N726" s="705">
        <v>3.35</v>
      </c>
      <c r="O726" s="1025">
        <v>63.65</v>
      </c>
      <c r="P726" s="1025">
        <v>105.3</v>
      </c>
      <c r="Q726" s="1025">
        <v>64.64</v>
      </c>
      <c r="R726" s="705">
        <v>0.01</v>
      </c>
      <c r="S726" s="1022">
        <v>1E-3</v>
      </c>
      <c r="T726" s="1022">
        <v>1E-3</v>
      </c>
      <c r="U726" s="705">
        <v>1E-3</v>
      </c>
    </row>
    <row r="727" spans="1:22" x14ac:dyDescent="0.25">
      <c r="A727" s="585">
        <v>900424</v>
      </c>
      <c r="B727" s="993" t="str">
        <f t="shared" si="19"/>
        <v>-7,85/+7,76  (EC  6,74)</v>
      </c>
      <c r="D727" s="3">
        <v>7.42</v>
      </c>
      <c r="E727" s="3">
        <v>0.67400000000000004</v>
      </c>
      <c r="F727" s="1021">
        <v>123.06</v>
      </c>
      <c r="G727" s="1020">
        <v>0</v>
      </c>
      <c r="H727" s="1021">
        <v>0.2</v>
      </c>
      <c r="I727" s="26">
        <v>99.792000000000002</v>
      </c>
      <c r="J727" s="1021">
        <v>14.29</v>
      </c>
      <c r="K727" s="1020">
        <v>1E-3</v>
      </c>
      <c r="L727" s="1020">
        <f>(7.1-0.1)*24</f>
        <v>168</v>
      </c>
      <c r="M727" s="1020">
        <v>0</v>
      </c>
      <c r="N727" s="705">
        <v>1.04</v>
      </c>
      <c r="O727" s="1025">
        <v>62.37</v>
      </c>
      <c r="P727" s="1025">
        <v>82.27</v>
      </c>
      <c r="Q727" s="1025">
        <v>10.68</v>
      </c>
      <c r="R727" s="705"/>
      <c r="S727" s="1022"/>
      <c r="T727" s="1022"/>
      <c r="U727" s="705"/>
    </row>
    <row r="728" spans="1:22" x14ac:dyDescent="0.25">
      <c r="A728" s="585">
        <v>900425</v>
      </c>
      <c r="B728" s="993" t="str">
        <f t="shared" si="19"/>
        <v>-6,49/+6,68  (EC  5,05)</v>
      </c>
      <c r="D728" s="3">
        <v>7.25</v>
      </c>
      <c r="E728" s="3">
        <v>0.505</v>
      </c>
      <c r="F728" s="1021">
        <v>53.42</v>
      </c>
      <c r="G728" s="1020">
        <v>0</v>
      </c>
      <c r="H728" s="1021">
        <v>0.15</v>
      </c>
      <c r="I728" s="26">
        <v>6.6080000000000005</v>
      </c>
      <c r="J728" s="1021">
        <v>12.05</v>
      </c>
      <c r="K728" s="1020">
        <v>0.12240000000000001</v>
      </c>
      <c r="L728" s="1020">
        <f>(13.3-0.1)*24</f>
        <v>316.8</v>
      </c>
      <c r="M728" s="1020">
        <v>0</v>
      </c>
      <c r="N728" s="705">
        <v>0.94</v>
      </c>
      <c r="O728" s="705">
        <v>4.13</v>
      </c>
      <c r="P728" s="1023">
        <v>68.709999999999994</v>
      </c>
      <c r="Q728" s="705">
        <v>36.33</v>
      </c>
      <c r="R728" s="705">
        <v>1E-3</v>
      </c>
      <c r="S728" s="1022">
        <v>1E-3</v>
      </c>
      <c r="T728" s="1022">
        <v>1E-3</v>
      </c>
      <c r="U728" s="705">
        <v>1E-3</v>
      </c>
    </row>
    <row r="729" spans="1:22" x14ac:dyDescent="0.25">
      <c r="A729" s="585">
        <v>900426</v>
      </c>
      <c r="B729" s="993" t="str">
        <f t="shared" si="19"/>
        <v>-5,65/+6,07  (EC  5,01)</v>
      </c>
      <c r="D729" s="3">
        <v>7.27</v>
      </c>
      <c r="E729" s="3">
        <v>0.501</v>
      </c>
      <c r="F729" s="1021">
        <v>20.78</v>
      </c>
      <c r="G729" s="1020">
        <v>0</v>
      </c>
      <c r="H729" s="1021">
        <v>0.12</v>
      </c>
      <c r="I729" s="26">
        <v>5.008</v>
      </c>
      <c r="J729" s="1021">
        <v>8.23</v>
      </c>
      <c r="K729" s="1020">
        <v>6.1200000000000004E-2</v>
      </c>
      <c r="L729" s="1020">
        <f>(12.8-0.1)*24</f>
        <v>304.8</v>
      </c>
      <c r="M729" s="1020">
        <v>0</v>
      </c>
      <c r="N729" s="705">
        <v>0.56000000000000005</v>
      </c>
      <c r="O729" s="705">
        <v>3.13</v>
      </c>
      <c r="P729" s="1023">
        <v>62.17</v>
      </c>
      <c r="Q729" s="705">
        <v>33.58</v>
      </c>
      <c r="R729" s="705">
        <v>0.02</v>
      </c>
      <c r="S729" s="1022">
        <v>1E-3</v>
      </c>
      <c r="T729" s="1022">
        <v>1E-3</v>
      </c>
      <c r="U729" s="705">
        <v>1E-3</v>
      </c>
    </row>
    <row r="730" spans="1:22" x14ac:dyDescent="0.25">
      <c r="A730" s="1041">
        <v>900427</v>
      </c>
      <c r="B730" s="1036" t="str">
        <f>"-"&amp;TEXT((F730/62+G730/46+I730/35.5+J730/48+K730/97+L730/61),"0,00")&amp;"/+"&amp;TEXT((N730/39+O730/23+P730/20+Q730/12+H730/14),"0,00")&amp;"  (EC  "&amp;E730*10&amp;")"</f>
        <v>-18,18/+18,49  (EC  19,42)</v>
      </c>
      <c r="C730" s="1037"/>
      <c r="D730" s="1038">
        <v>7.36</v>
      </c>
      <c r="E730" s="1038">
        <v>1.9419999999999999</v>
      </c>
      <c r="F730" s="1038">
        <v>74.05</v>
      </c>
      <c r="G730" s="1038">
        <v>0</v>
      </c>
      <c r="H730" s="1038">
        <v>0.04</v>
      </c>
      <c r="I730" s="1039">
        <v>330.096</v>
      </c>
      <c r="J730" s="1038">
        <v>110.3</v>
      </c>
      <c r="K730" s="1038">
        <v>0.24480000000000002</v>
      </c>
      <c r="L730" s="1038">
        <v>328.8</v>
      </c>
      <c r="M730" s="1038">
        <v>0</v>
      </c>
      <c r="N730" s="1000">
        <v>3.24</v>
      </c>
      <c r="O730" s="1000">
        <v>206.31</v>
      </c>
      <c r="P730" s="1000">
        <v>89.56</v>
      </c>
      <c r="Q730" s="1000">
        <v>59.53</v>
      </c>
      <c r="R730" s="1000">
        <v>0.01</v>
      </c>
      <c r="S730" s="1040">
        <v>1E-3</v>
      </c>
      <c r="T730" s="1040">
        <v>1E-3</v>
      </c>
      <c r="U730" s="1040">
        <v>1E-3</v>
      </c>
    </row>
    <row r="731" spans="1:22" x14ac:dyDescent="0.25">
      <c r="A731" s="1041">
        <v>900428</v>
      </c>
      <c r="B731" s="1036" t="str">
        <f t="shared" si="19"/>
        <v>-6,70/+6,72  (EC  5,96)</v>
      </c>
      <c r="C731" s="1037"/>
      <c r="D731" s="1038">
        <v>7.18</v>
      </c>
      <c r="E731" s="1038">
        <v>0.59599999999999997</v>
      </c>
      <c r="F731" s="1038">
        <v>33.65</v>
      </c>
      <c r="G731" s="1038">
        <v>0</v>
      </c>
      <c r="H731" s="1038">
        <v>0.06</v>
      </c>
      <c r="I731" s="1039">
        <v>11.040000000000001</v>
      </c>
      <c r="J731" s="1038">
        <v>25.33</v>
      </c>
      <c r="K731" s="1038">
        <v>0.24480000000000002</v>
      </c>
      <c r="L731" s="1038">
        <v>324</v>
      </c>
      <c r="M731" s="1038">
        <v>0</v>
      </c>
      <c r="N731" s="1000">
        <v>0.83</v>
      </c>
      <c r="O731" s="1000">
        <v>6.9</v>
      </c>
      <c r="P731" s="1000">
        <v>73.77</v>
      </c>
      <c r="Q731" s="1000">
        <v>32.520000000000003</v>
      </c>
      <c r="R731" s="1000">
        <v>0.28999999999999998</v>
      </c>
      <c r="S731" s="1040">
        <v>1E-3</v>
      </c>
      <c r="T731" s="1040">
        <v>1E-3</v>
      </c>
      <c r="U731" s="1040">
        <v>1E-3</v>
      </c>
      <c r="V731" s="1024"/>
    </row>
    <row r="732" spans="1:22" x14ac:dyDescent="0.25">
      <c r="A732" s="1041">
        <v>900429</v>
      </c>
      <c r="B732" s="1036" t="str">
        <f t="shared" si="19"/>
        <v>-7,98/+8,78  (EC  8,48)</v>
      </c>
      <c r="C732" s="1037"/>
      <c r="D732" s="1038">
        <v>7.22</v>
      </c>
      <c r="E732" s="1038">
        <v>0.84799999999999998</v>
      </c>
      <c r="F732" s="1038">
        <v>31.62</v>
      </c>
      <c r="G732" s="1038">
        <v>0</v>
      </c>
      <c r="H732" s="1038">
        <v>0.05</v>
      </c>
      <c r="I732" s="1039">
        <v>71.584000000000003</v>
      </c>
      <c r="J732" s="1038">
        <v>72.989999999999995</v>
      </c>
      <c r="K732" s="1038">
        <v>0.24480000000000002</v>
      </c>
      <c r="L732" s="1038">
        <v>240</v>
      </c>
      <c r="M732" s="1038">
        <v>0</v>
      </c>
      <c r="N732" s="1000">
        <v>0.83</v>
      </c>
      <c r="O732" s="1000">
        <v>44.74</v>
      </c>
      <c r="P732" s="1000">
        <v>78.86</v>
      </c>
      <c r="Q732" s="1000">
        <v>34.450000000000003</v>
      </c>
      <c r="R732" s="1000">
        <v>0.28000000000000003</v>
      </c>
      <c r="S732" s="1040">
        <v>1E-3</v>
      </c>
      <c r="T732" s="1040">
        <v>1E-3</v>
      </c>
      <c r="U732" s="1040">
        <v>1E-3</v>
      </c>
      <c r="V732" s="1024"/>
    </row>
    <row r="733" spans="1:22" x14ac:dyDescent="0.25">
      <c r="A733" s="1041">
        <v>900430</v>
      </c>
      <c r="B733" s="1036" t="str">
        <f t="shared" si="19"/>
        <v>-9,83/+9,34  (EC  8,82)</v>
      </c>
      <c r="C733" s="1037"/>
      <c r="D733" s="1038">
        <v>7.26</v>
      </c>
      <c r="E733" s="1038">
        <v>0.88200000000000001</v>
      </c>
      <c r="F733" s="1038">
        <v>10.029999999999999</v>
      </c>
      <c r="G733" s="1038">
        <v>0</v>
      </c>
      <c r="H733" s="1038">
        <v>0.06</v>
      </c>
      <c r="I733" s="1039">
        <v>105.536</v>
      </c>
      <c r="J733" s="1038">
        <v>69.97</v>
      </c>
      <c r="K733" s="1038">
        <v>0.27539999999999998</v>
      </c>
      <c r="L733" s="1038">
        <v>319.20000000000005</v>
      </c>
      <c r="M733" s="1038">
        <v>0</v>
      </c>
      <c r="N733" s="1000">
        <v>1.79</v>
      </c>
      <c r="O733" s="1000">
        <v>65.959999999999994</v>
      </c>
      <c r="P733" s="1000">
        <v>86.15</v>
      </c>
      <c r="Q733" s="1000">
        <v>25.33</v>
      </c>
      <c r="R733" s="1000">
        <v>0.01</v>
      </c>
      <c r="S733" s="1040">
        <v>1E-3</v>
      </c>
      <c r="T733" s="1040">
        <v>1E-3</v>
      </c>
      <c r="U733" s="1040">
        <v>1E-3</v>
      </c>
      <c r="V733" s="1024"/>
    </row>
    <row r="734" spans="1:22" x14ac:dyDescent="0.25">
      <c r="A734" s="1041">
        <v>900431</v>
      </c>
      <c r="B734" s="1036" t="str">
        <f t="shared" si="19"/>
        <v>-8,25/+8,08  (EC  7,73)</v>
      </c>
      <c r="C734" s="1037"/>
      <c r="D734" s="1038">
        <v>7.18</v>
      </c>
      <c r="E734" s="1038">
        <v>0.77300000000000002</v>
      </c>
      <c r="F734" s="1038">
        <v>5.18</v>
      </c>
      <c r="G734" s="1038">
        <v>0</v>
      </c>
      <c r="H734" s="1038">
        <v>0.16</v>
      </c>
      <c r="I734" s="1039">
        <v>86.096000000000004</v>
      </c>
      <c r="J734" s="1038">
        <v>63.72</v>
      </c>
      <c r="K734" s="1038">
        <v>0.27539999999999998</v>
      </c>
      <c r="L734" s="1038">
        <v>268.8</v>
      </c>
      <c r="M734" s="1038">
        <v>0</v>
      </c>
      <c r="N734" s="1000">
        <v>1.67</v>
      </c>
      <c r="O734" s="1000">
        <v>53.81</v>
      </c>
      <c r="P734" s="1000">
        <v>80.900000000000006</v>
      </c>
      <c r="Q734" s="1000">
        <v>19.68</v>
      </c>
      <c r="R734" s="1000">
        <v>0.02</v>
      </c>
      <c r="S734" s="1040">
        <v>1E-3</v>
      </c>
      <c r="T734" s="1040">
        <v>1E-3</v>
      </c>
      <c r="U734" s="1040">
        <v>1E-3</v>
      </c>
      <c r="V734" s="1024"/>
    </row>
    <row r="735" spans="1:22" x14ac:dyDescent="0.25">
      <c r="A735" s="1041">
        <v>900432</v>
      </c>
      <c r="B735" s="1036" t="str">
        <f t="shared" si="19"/>
        <v>-7,96/+7,42  (EC  7,06)</v>
      </c>
      <c r="C735" s="1037"/>
      <c r="D735" s="1038">
        <v>7.48</v>
      </c>
      <c r="E735" s="1038">
        <v>0.70599999999999996</v>
      </c>
      <c r="F735" s="1038">
        <v>4.9800000000000004</v>
      </c>
      <c r="G735" s="1038">
        <v>0</v>
      </c>
      <c r="H735" s="1038">
        <v>0.08</v>
      </c>
      <c r="I735" s="1039">
        <v>85.44</v>
      </c>
      <c r="J735" s="1038">
        <v>56.79</v>
      </c>
      <c r="K735" s="1038">
        <v>0.24480000000000002</v>
      </c>
      <c r="L735" s="1038">
        <v>261.60000000000002</v>
      </c>
      <c r="M735" s="1038">
        <v>0</v>
      </c>
      <c r="N735" s="1000">
        <v>1.58</v>
      </c>
      <c r="O735" s="1000">
        <v>53.4</v>
      </c>
      <c r="P735" s="1000">
        <v>71.69</v>
      </c>
      <c r="Q735" s="1000">
        <v>17.57</v>
      </c>
      <c r="R735" s="1000">
        <v>0</v>
      </c>
      <c r="S735" s="1040">
        <v>1E-3</v>
      </c>
      <c r="T735" s="1040">
        <v>1E-3</v>
      </c>
      <c r="U735" s="1040">
        <v>1E-3</v>
      </c>
    </row>
    <row r="736" spans="1:22" x14ac:dyDescent="0.25">
      <c r="A736" s="1041">
        <v>900433</v>
      </c>
      <c r="B736" s="1036" t="str">
        <f t="shared" si="19"/>
        <v>-16,21/+16,79  (EC  17,56)</v>
      </c>
      <c r="C736" s="1037"/>
      <c r="D736" s="1038">
        <v>7.28</v>
      </c>
      <c r="E736" s="1038">
        <v>1.756</v>
      </c>
      <c r="F736" s="1038">
        <v>3.38</v>
      </c>
      <c r="G736" s="1038">
        <v>0</v>
      </c>
      <c r="H736" s="1038">
        <v>0.09</v>
      </c>
      <c r="I736" s="1039">
        <v>380.49600000000004</v>
      </c>
      <c r="J736" s="1038">
        <v>111.77</v>
      </c>
      <c r="K736" s="1038">
        <v>0.24480000000000002</v>
      </c>
      <c r="L736" s="1038">
        <v>189.60000000000002</v>
      </c>
      <c r="M736" s="1038">
        <v>0</v>
      </c>
      <c r="N736" s="1000">
        <v>3.12</v>
      </c>
      <c r="O736" s="1000">
        <v>237.81</v>
      </c>
      <c r="P736" s="1000">
        <v>68.64</v>
      </c>
      <c r="Q736" s="1000">
        <v>35.24</v>
      </c>
      <c r="R736" s="1000">
        <v>0.01</v>
      </c>
      <c r="S736" s="1040">
        <v>1E-3</v>
      </c>
      <c r="T736" s="1040">
        <v>1E-3</v>
      </c>
      <c r="U736" s="1040">
        <v>1E-3</v>
      </c>
    </row>
    <row r="737" spans="1:323" x14ac:dyDescent="0.25">
      <c r="A737" s="1041">
        <v>900434</v>
      </c>
      <c r="B737" s="1036" t="str">
        <f t="shared" si="19"/>
        <v>-26,08/+28,24  (EC  27,7)</v>
      </c>
      <c r="C737" s="1037"/>
      <c r="D737" s="1038">
        <v>7.08</v>
      </c>
      <c r="E737" s="1038">
        <v>2.77</v>
      </c>
      <c r="F737" s="1038">
        <v>88.67</v>
      </c>
      <c r="G737" s="1038">
        <v>0</v>
      </c>
      <c r="H737" s="1038">
        <v>0.02</v>
      </c>
      <c r="I737" s="1039">
        <v>360.2</v>
      </c>
      <c r="J737" s="1038">
        <v>180.2</v>
      </c>
      <c r="K737" s="1038">
        <v>0.30600000000000005</v>
      </c>
      <c r="L737" s="1038">
        <v>655.29999999999995</v>
      </c>
      <c r="M737" s="1038">
        <v>0</v>
      </c>
      <c r="N737" s="1000">
        <v>3.93</v>
      </c>
      <c r="O737" s="1000">
        <v>184.51</v>
      </c>
      <c r="P737" s="1000">
        <v>201.95</v>
      </c>
      <c r="Q737" s="1000">
        <v>120.23</v>
      </c>
      <c r="R737" s="1000">
        <v>7.0000000000000007E-2</v>
      </c>
      <c r="S737" s="1040">
        <v>1E-3</v>
      </c>
      <c r="T737" s="1040">
        <v>1E-3</v>
      </c>
      <c r="U737" s="1040">
        <v>1E-3</v>
      </c>
    </row>
    <row r="738" spans="1:323" x14ac:dyDescent="0.25">
      <c r="A738" s="1041">
        <v>900435</v>
      </c>
      <c r="B738" s="1036" t="str">
        <f t="shared" si="19"/>
        <v>-9,61/+9,71  (EC  8,85)</v>
      </c>
      <c r="C738" s="1037"/>
      <c r="D738" s="1038">
        <v>7.28</v>
      </c>
      <c r="E738" s="1038">
        <v>0.88500000000000001</v>
      </c>
      <c r="F738" s="1038">
        <v>50.66</v>
      </c>
      <c r="G738" s="1038">
        <v>0</v>
      </c>
      <c r="H738" s="1038">
        <v>0.12</v>
      </c>
      <c r="I738" s="1039">
        <v>58.096000000000004</v>
      </c>
      <c r="J738" s="1038">
        <v>46.99</v>
      </c>
      <c r="K738" s="1038">
        <v>0.21420000000000003</v>
      </c>
      <c r="L738" s="1038">
        <v>376.8</v>
      </c>
      <c r="M738" s="1038">
        <v>0</v>
      </c>
      <c r="N738" s="1000">
        <v>2.13</v>
      </c>
      <c r="O738" s="1000">
        <v>36.31</v>
      </c>
      <c r="P738" s="1000">
        <v>86.36</v>
      </c>
      <c r="Q738" s="1000">
        <v>45.04</v>
      </c>
      <c r="R738" s="1000">
        <v>0</v>
      </c>
      <c r="S738" s="1040">
        <v>1E-3</v>
      </c>
      <c r="T738" s="1040">
        <v>1E-3</v>
      </c>
      <c r="U738" s="1040">
        <v>1E-3</v>
      </c>
    </row>
    <row r="739" spans="1:323" x14ac:dyDescent="0.25">
      <c r="A739" s="1041">
        <v>900436</v>
      </c>
      <c r="B739" s="1036" t="str">
        <f t="shared" si="19"/>
        <v>-40,55/+42,44  (EC  41)</v>
      </c>
      <c r="C739" s="1037"/>
      <c r="D739" s="1038">
        <v>7.02</v>
      </c>
      <c r="E739" s="1038">
        <v>4.0999999999999996</v>
      </c>
      <c r="F739" s="1038">
        <v>118.3</v>
      </c>
      <c r="G739" s="1038">
        <v>0</v>
      </c>
      <c r="H739" s="1038">
        <v>0.41</v>
      </c>
      <c r="I739" s="1039">
        <v>786.76800000000003</v>
      </c>
      <c r="J739" s="1038">
        <v>464.4</v>
      </c>
      <c r="K739" s="1038">
        <v>6.1200000000000004E-2</v>
      </c>
      <c r="L739" s="1038">
        <v>415.3</v>
      </c>
      <c r="M739" s="1038">
        <v>0</v>
      </c>
      <c r="N739" s="1000">
        <v>14.54</v>
      </c>
      <c r="O739" s="1000">
        <v>429.23</v>
      </c>
      <c r="P739" s="1000">
        <v>290.38</v>
      </c>
      <c r="Q739" s="1000">
        <v>106.27</v>
      </c>
      <c r="R739" s="1000">
        <v>0.03</v>
      </c>
      <c r="S739" s="1040">
        <v>1E-3</v>
      </c>
      <c r="T739" s="1040">
        <v>1E-3</v>
      </c>
      <c r="U739" s="1040">
        <v>1E-3</v>
      </c>
    </row>
    <row r="740" spans="1:323" s="1057" customFormat="1" x14ac:dyDescent="0.25">
      <c r="A740" s="890">
        <v>900437</v>
      </c>
      <c r="B740" s="1054" t="str">
        <f t="shared" si="19"/>
        <v>-58,18/+59,02  (EC  59,7)</v>
      </c>
      <c r="C740" s="1055"/>
      <c r="D740" s="1048">
        <v>7.18</v>
      </c>
      <c r="E740" s="1048">
        <v>5.97</v>
      </c>
      <c r="F740" s="1048">
        <v>81.47</v>
      </c>
      <c r="G740" s="1048">
        <v>0</v>
      </c>
      <c r="H740" s="1048">
        <v>0.09</v>
      </c>
      <c r="I740" s="1055">
        <v>1482</v>
      </c>
      <c r="J740" s="1055">
        <v>459.2</v>
      </c>
      <c r="K740" s="1055">
        <v>3.0600000000000002E-2</v>
      </c>
      <c r="L740" s="1055">
        <v>338.4</v>
      </c>
      <c r="M740" s="1048">
        <v>0</v>
      </c>
      <c r="N740" s="890">
        <v>5.29</v>
      </c>
      <c r="O740" s="890">
        <v>769.2</v>
      </c>
      <c r="P740" s="890">
        <v>276.27999999999997</v>
      </c>
      <c r="Q740" s="1053">
        <v>139.5</v>
      </c>
      <c r="R740" s="1056">
        <v>0.01</v>
      </c>
      <c r="S740" s="1056">
        <v>1E-3</v>
      </c>
      <c r="T740" s="890">
        <v>0.04</v>
      </c>
      <c r="U740" s="890">
        <v>0.47</v>
      </c>
      <c r="V740" s="1048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</row>
    <row r="741" spans="1:323" s="1057" customFormat="1" x14ac:dyDescent="0.25">
      <c r="A741" s="890">
        <v>900438</v>
      </c>
      <c r="B741" s="1054" t="str">
        <f t="shared" si="19"/>
        <v>-58,68/+59,97  (EC  59,4)</v>
      </c>
      <c r="C741" s="1055"/>
      <c r="D741" s="1048">
        <v>7.25</v>
      </c>
      <c r="E741" s="1048">
        <v>5.94</v>
      </c>
      <c r="F741" s="1048">
        <v>109</v>
      </c>
      <c r="G741" s="1048">
        <v>0</v>
      </c>
      <c r="H741" s="1048">
        <v>7.0000000000000007E-2</v>
      </c>
      <c r="I741" s="1055">
        <v>1390.6</v>
      </c>
      <c r="J741" s="1055">
        <v>596.9</v>
      </c>
      <c r="K741" s="1055">
        <v>3.0600000000000002E-2</v>
      </c>
      <c r="L741" s="1055">
        <v>324</v>
      </c>
      <c r="M741" s="1048">
        <v>0</v>
      </c>
      <c r="N741" s="890">
        <v>5.34</v>
      </c>
      <c r="O741" s="890">
        <v>674.62</v>
      </c>
      <c r="P741" s="890">
        <v>301.27</v>
      </c>
      <c r="Q741" s="1053">
        <v>185.2</v>
      </c>
      <c r="R741" s="1056">
        <v>0.01</v>
      </c>
      <c r="S741" s="1056">
        <v>1E-3</v>
      </c>
      <c r="T741" s="890">
        <v>0.02</v>
      </c>
      <c r="U741" s="890">
        <v>0.13</v>
      </c>
      <c r="V741" s="1048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</row>
    <row r="742" spans="1:323" s="1057" customFormat="1" x14ac:dyDescent="0.25">
      <c r="A742" s="890">
        <v>900439</v>
      </c>
      <c r="B742" s="1054" t="str">
        <f t="shared" si="19"/>
        <v>-8,19/+8,74  (EC  7,68)</v>
      </c>
      <c r="C742" s="1055"/>
      <c r="D742" s="1048">
        <v>7.36</v>
      </c>
      <c r="E742" s="1048">
        <v>0.76800000000000002</v>
      </c>
      <c r="F742" s="1048">
        <v>23.93</v>
      </c>
      <c r="G742" s="1048">
        <v>0</v>
      </c>
      <c r="H742" s="1048">
        <v>0.1</v>
      </c>
      <c r="I742" s="1055">
        <f>O742*1.6</f>
        <v>34.448</v>
      </c>
      <c r="J742" s="1055">
        <v>29.75</v>
      </c>
      <c r="K742" s="1055">
        <v>1E-3</v>
      </c>
      <c r="L742" s="1055">
        <v>379.20000000000005</v>
      </c>
      <c r="M742" s="1048">
        <v>0</v>
      </c>
      <c r="N742" s="890">
        <v>1.9</v>
      </c>
      <c r="O742" s="890">
        <v>21.53</v>
      </c>
      <c r="P742" s="890">
        <v>78.42</v>
      </c>
      <c r="Q742" s="1053">
        <v>45.88</v>
      </c>
      <c r="R742" s="1056">
        <v>4.1100000000000003</v>
      </c>
      <c r="S742" s="1056">
        <v>1E-3</v>
      </c>
      <c r="T742" s="890">
        <v>0.01</v>
      </c>
      <c r="U742" s="890">
        <v>0.04</v>
      </c>
      <c r="V742" s="1048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</row>
    <row r="743" spans="1:323" s="1057" customFormat="1" x14ac:dyDescent="0.25">
      <c r="A743" s="890">
        <v>900440</v>
      </c>
      <c r="B743" s="1054" t="str">
        <f t="shared" si="19"/>
        <v>-8,42/+10,49  (EC  9,55)</v>
      </c>
      <c r="C743" s="1055"/>
      <c r="D743" s="1048">
        <v>7.34</v>
      </c>
      <c r="E743" s="1048">
        <v>0.95499999999999996</v>
      </c>
      <c r="F743" s="1048">
        <v>43.5</v>
      </c>
      <c r="G743" s="1048">
        <v>0</v>
      </c>
      <c r="H743" s="1048">
        <v>0.11</v>
      </c>
      <c r="I743" s="1055">
        <f>O743*1.6</f>
        <v>53.552</v>
      </c>
      <c r="J743" s="1055">
        <v>26.01</v>
      </c>
      <c r="K743" s="1055">
        <v>1E-3</v>
      </c>
      <c r="L743" s="1055">
        <v>345.6</v>
      </c>
      <c r="M743" s="1048">
        <v>0</v>
      </c>
      <c r="N743" s="890">
        <v>2.27</v>
      </c>
      <c r="O743" s="890">
        <v>33.47</v>
      </c>
      <c r="P743" s="890">
        <v>83.4</v>
      </c>
      <c r="Q743" s="890">
        <v>57.55</v>
      </c>
      <c r="R743" s="1056">
        <v>0.54</v>
      </c>
      <c r="S743" s="1056">
        <v>1E-3</v>
      </c>
      <c r="T743" s="890">
        <v>0</v>
      </c>
      <c r="U743" s="890">
        <v>0.17</v>
      </c>
      <c r="V743" s="1048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</row>
    <row r="744" spans="1:323" s="1062" customFormat="1" x14ac:dyDescent="0.25">
      <c r="A744" s="1061">
        <v>900441</v>
      </c>
      <c r="B744" s="772" t="str">
        <f t="shared" si="19"/>
        <v>-5,81/+6,70  (EC  5,12)</v>
      </c>
      <c r="C744" s="773"/>
      <c r="D744" s="1062">
        <v>7.74</v>
      </c>
      <c r="E744" s="774">
        <v>0.51200000000000001</v>
      </c>
      <c r="F744" s="775">
        <v>1.66</v>
      </c>
      <c r="G744" s="774"/>
      <c r="H744" s="774">
        <v>0.02</v>
      </c>
      <c r="I744" s="775">
        <v>45.648000000000003</v>
      </c>
      <c r="J744" s="774">
        <v>12.42</v>
      </c>
      <c r="K744" s="774">
        <v>0.27</v>
      </c>
      <c r="L744" s="774">
        <v>258.60000000000002</v>
      </c>
      <c r="M744" s="774"/>
      <c r="N744" s="774">
        <v>2.54</v>
      </c>
      <c r="O744" s="1061">
        <v>28.53</v>
      </c>
      <c r="P744" s="1061">
        <v>37.29</v>
      </c>
      <c r="Q744" s="1061">
        <v>42.32</v>
      </c>
      <c r="R744" s="774">
        <v>1E-3</v>
      </c>
      <c r="S744" s="774">
        <v>1E-3</v>
      </c>
      <c r="T744" s="774">
        <v>1E-3</v>
      </c>
      <c r="U744" s="1061">
        <v>1E-3</v>
      </c>
      <c r="V744" s="774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</row>
    <row r="745" spans="1:323" s="907" customFormat="1" x14ac:dyDescent="0.25">
      <c r="A745" s="906">
        <v>900442</v>
      </c>
      <c r="B745" s="1107" t="str">
        <f t="shared" si="19"/>
        <v>-14,01/+16,98  (EC  15,64)</v>
      </c>
      <c r="C745" s="1101"/>
      <c r="D745" s="1102">
        <v>7.28</v>
      </c>
      <c r="E745" s="1102">
        <v>1.5640000000000001</v>
      </c>
      <c r="F745" s="1102">
        <v>66.72</v>
      </c>
      <c r="G745" s="1102">
        <v>0</v>
      </c>
      <c r="H745" s="1102">
        <v>0.12</v>
      </c>
      <c r="I745" s="1102">
        <f>O745*1.6</f>
        <v>99.567999999999998</v>
      </c>
      <c r="J745" s="1102">
        <v>257.5</v>
      </c>
      <c r="K745" s="1102">
        <v>1E-3</v>
      </c>
      <c r="L745" s="1102">
        <v>290.39999999999998</v>
      </c>
      <c r="M745" s="1104">
        <v>0</v>
      </c>
      <c r="N745" s="1104">
        <v>4.88</v>
      </c>
      <c r="O745" s="1104">
        <v>62.23</v>
      </c>
      <c r="P745" s="1104">
        <v>167.76</v>
      </c>
      <c r="Q745" s="1104">
        <v>69.08</v>
      </c>
      <c r="R745" s="1108">
        <v>1E-3</v>
      </c>
      <c r="S745" s="1108">
        <v>1E-3</v>
      </c>
      <c r="T745" s="1108">
        <v>1E-3</v>
      </c>
      <c r="U745" s="1104">
        <v>7.0000000000000007E-2</v>
      </c>
      <c r="V745" s="1102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</row>
    <row r="746" spans="1:323" s="907" customFormat="1" x14ac:dyDescent="0.25">
      <c r="A746" s="906">
        <v>900443</v>
      </c>
      <c r="B746" s="1107" t="str">
        <f>"-"&amp;TEXT((F746/62+G746/46+I746/35.5+J746/48+K746/97+L746/61),"0,00")&amp;"/+"&amp;TEXT((N746/39+O746/23+P746/20+Q746/12+H746/14),"0,00")&amp;"  (EC  "&amp;E746*10&amp;")"</f>
        <v>-45,38/+47,78  (EC  46)</v>
      </c>
      <c r="C746" s="1101"/>
      <c r="D746" s="1102">
        <v>7.1</v>
      </c>
      <c r="E746" s="1102">
        <v>4.5999999999999996</v>
      </c>
      <c r="F746" s="1102">
        <v>2.08</v>
      </c>
      <c r="G746" s="1102">
        <v>0</v>
      </c>
      <c r="H746" s="1102">
        <v>0.09</v>
      </c>
      <c r="I746" s="1102">
        <v>845.6</v>
      </c>
      <c r="J746" s="1102">
        <v>776.35</v>
      </c>
      <c r="K746" s="1102">
        <v>1E-3</v>
      </c>
      <c r="L746" s="1102">
        <v>326.3</v>
      </c>
      <c r="M746" s="1104">
        <v>0</v>
      </c>
      <c r="N746" s="1104">
        <v>4.6900000000000004</v>
      </c>
      <c r="O746" s="1104">
        <v>270.22000000000003</v>
      </c>
      <c r="P746" s="1104">
        <v>433.02</v>
      </c>
      <c r="Q746" s="1104">
        <v>171</v>
      </c>
      <c r="R746" s="1108">
        <v>1E-3</v>
      </c>
      <c r="S746" s="1108">
        <v>1E-3</v>
      </c>
      <c r="T746" s="1108">
        <v>1E-3</v>
      </c>
      <c r="U746" s="1104">
        <v>0.4</v>
      </c>
      <c r="V746" s="1102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</row>
    <row r="747" spans="1:323" s="907" customFormat="1" x14ac:dyDescent="0.25">
      <c r="A747" s="1100">
        <v>900444</v>
      </c>
      <c r="B747" s="1107" t="str">
        <f>"-"&amp;TEXT((F747/62+G747/46+I747/35.5+J747/48+K747/97+L747/61),"0,00")&amp;"/+"&amp;TEXT((N747/39+O747/23+P747/20+Q747/12+H747/14),"0,00")&amp;"  (EC  "&amp;E747*10&amp;")"</f>
        <v>-29,04/+31,02  (EC  30,1)</v>
      </c>
      <c r="C747" s="1101"/>
      <c r="D747" s="1101">
        <v>7.61</v>
      </c>
      <c r="E747" s="1101">
        <v>3.01</v>
      </c>
      <c r="F747" s="1102">
        <v>27.1</v>
      </c>
      <c r="G747" s="1102">
        <v>0</v>
      </c>
      <c r="H747" s="1102">
        <v>7.0000000000000007E-2</v>
      </c>
      <c r="I747" s="1104">
        <v>660.01599999999996</v>
      </c>
      <c r="J747" s="1102">
        <v>150.30000000000001</v>
      </c>
      <c r="K747" s="1102">
        <v>0.30600000000000005</v>
      </c>
      <c r="L747" s="1102">
        <v>419.36</v>
      </c>
      <c r="M747" s="1102">
        <v>0</v>
      </c>
      <c r="N747" s="906" t="s">
        <v>502</v>
      </c>
      <c r="O747" s="906">
        <v>375.01</v>
      </c>
      <c r="P747" s="906">
        <v>172.01</v>
      </c>
      <c r="Q747" s="906">
        <v>71.790000000000006</v>
      </c>
      <c r="R747" s="1102">
        <v>1E-3</v>
      </c>
      <c r="S747" s="1102">
        <v>1E-3</v>
      </c>
      <c r="T747" s="1102">
        <v>1E-3</v>
      </c>
      <c r="U747" s="1102">
        <v>1E-3</v>
      </c>
      <c r="V747" s="1102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</row>
    <row r="748" spans="1:323" s="907" customFormat="1" x14ac:dyDescent="0.25">
      <c r="A748" s="1100">
        <v>900445</v>
      </c>
      <c r="B748" s="1107" t="str">
        <f t="shared" ref="B748:B756" si="20">"-"&amp;TEXT((F748/62+G748/46+I748/35.5+J748/48+K748/97+L748/61),"0,00")&amp;"/+"&amp;TEXT((N748/39+O748/23+P748/20+Q748/12+H748/14),"0,00")&amp;"  (EC  "&amp;E748*10&amp;")"</f>
        <v>-6,03/+7,78  (EC  6,89)</v>
      </c>
      <c r="C748" s="1101"/>
      <c r="D748" s="1101">
        <v>7.48</v>
      </c>
      <c r="E748" s="1101">
        <v>0.68899999999999995</v>
      </c>
      <c r="F748" s="1102">
        <v>0.18</v>
      </c>
      <c r="G748" s="1102">
        <v>0</v>
      </c>
      <c r="H748" s="1102">
        <v>0.1</v>
      </c>
      <c r="I748" s="1104">
        <v>53.68</v>
      </c>
      <c r="J748" s="1102">
        <v>7.89</v>
      </c>
      <c r="K748" s="1102">
        <v>0.21420000000000003</v>
      </c>
      <c r="L748" s="1102">
        <v>265.3</v>
      </c>
      <c r="M748" s="1102">
        <v>0</v>
      </c>
      <c r="N748" s="906">
        <v>2.09</v>
      </c>
      <c r="O748" s="906">
        <v>33.549999999999997</v>
      </c>
      <c r="P748" s="906">
        <v>48.43</v>
      </c>
      <c r="Q748" s="906">
        <v>46.04</v>
      </c>
      <c r="R748" s="1102">
        <v>1E-3</v>
      </c>
      <c r="S748" s="1102">
        <v>1E-3</v>
      </c>
      <c r="T748" s="1102">
        <v>1E-3</v>
      </c>
      <c r="U748" s="1102">
        <v>1E-3</v>
      </c>
      <c r="V748" s="1102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</row>
    <row r="749" spans="1:323" s="907" customFormat="1" x14ac:dyDescent="0.25">
      <c r="A749" s="1100">
        <v>900446</v>
      </c>
      <c r="B749" s="1107" t="str">
        <f t="shared" si="20"/>
        <v>-6,02/+7,31  (EC  6,5)</v>
      </c>
      <c r="C749" s="1101"/>
      <c r="D749" s="1101">
        <v>7.64</v>
      </c>
      <c r="E749" s="1101">
        <v>0.65</v>
      </c>
      <c r="F749" s="1102">
        <v>0.32</v>
      </c>
      <c r="G749" s="1102">
        <v>0</v>
      </c>
      <c r="H749" s="1102">
        <v>0.05</v>
      </c>
      <c r="I749" s="1104">
        <v>93.456000000000003</v>
      </c>
      <c r="J749" s="1102">
        <v>13.96</v>
      </c>
      <c r="K749" s="1102">
        <v>0.18359999999999999</v>
      </c>
      <c r="L749" s="1102">
        <v>188.53</v>
      </c>
      <c r="M749" s="1102">
        <v>0</v>
      </c>
      <c r="N749" s="906">
        <v>2.95</v>
      </c>
      <c r="O749" s="906">
        <v>58.41</v>
      </c>
      <c r="P749" s="906">
        <v>34.28</v>
      </c>
      <c r="Q749" s="906">
        <v>35.76</v>
      </c>
      <c r="R749" s="1102">
        <v>1E-3</v>
      </c>
      <c r="S749" s="1102">
        <v>1E-3</v>
      </c>
      <c r="T749" s="1102">
        <v>1E-3</v>
      </c>
      <c r="U749" s="1102">
        <v>1E-3</v>
      </c>
      <c r="V749" s="1102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</row>
    <row r="750" spans="1:323" s="907" customFormat="1" x14ac:dyDescent="0.25">
      <c r="A750" s="1100">
        <v>900447</v>
      </c>
      <c r="B750" s="1101" t="str">
        <f t="shared" si="20"/>
        <v>-7,62/+8,33  (EC  7,14)</v>
      </c>
      <c r="C750" s="1101"/>
      <c r="D750" s="1102">
        <v>7.84</v>
      </c>
      <c r="E750" s="1102">
        <v>0.71399999999999997</v>
      </c>
      <c r="F750" s="1102">
        <v>113.46</v>
      </c>
      <c r="G750" s="1102">
        <v>0</v>
      </c>
      <c r="H750" s="1102">
        <v>0.11</v>
      </c>
      <c r="I750" s="1109">
        <v>8.4063999999999997</v>
      </c>
      <c r="J750" s="1102">
        <v>9.66</v>
      </c>
      <c r="K750" s="1102">
        <v>3.0600000000000002E-2</v>
      </c>
      <c r="L750" s="1102">
        <v>326.39999999999998</v>
      </c>
      <c r="M750" s="1102">
        <v>0</v>
      </c>
      <c r="N750" s="1102">
        <v>2</v>
      </c>
      <c r="O750" s="1104">
        <v>5.2539999999999996</v>
      </c>
      <c r="P750" s="1102">
        <v>100.68</v>
      </c>
      <c r="Q750" s="906">
        <v>36.1</v>
      </c>
      <c r="R750" s="1102">
        <v>0</v>
      </c>
      <c r="S750" s="1102">
        <v>0</v>
      </c>
      <c r="T750" s="1102">
        <v>0.01</v>
      </c>
      <c r="U750" s="1102" t="s">
        <v>465</v>
      </c>
      <c r="V750" s="1102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</row>
    <row r="751" spans="1:323" s="907" customFormat="1" x14ac:dyDescent="0.25">
      <c r="A751" s="1100">
        <v>900448</v>
      </c>
      <c r="B751" s="1101" t="str">
        <f t="shared" si="20"/>
        <v>-8,74/+9,06  (EC  8,03)</v>
      </c>
      <c r="C751" s="1101"/>
      <c r="D751" s="1102">
        <v>7.55</v>
      </c>
      <c r="E751" s="1102">
        <v>0.80300000000000005</v>
      </c>
      <c r="F751" s="1102">
        <v>108.29</v>
      </c>
      <c r="G751" s="1102">
        <v>0</v>
      </c>
      <c r="H751" s="1102">
        <v>0.09</v>
      </c>
      <c r="I751" s="1109">
        <v>8.0879999999999992</v>
      </c>
      <c r="J751" s="1102">
        <v>11.44</v>
      </c>
      <c r="K751" s="1102">
        <v>3.0600000000000002E-2</v>
      </c>
      <c r="L751" s="1102">
        <v>398.4</v>
      </c>
      <c r="M751" s="1102">
        <v>0</v>
      </c>
      <c r="N751" s="1102">
        <v>1.29</v>
      </c>
      <c r="O751" s="1104">
        <v>5.0549999999999997</v>
      </c>
      <c r="P751" s="1102">
        <v>97.15</v>
      </c>
      <c r="Q751" s="1102">
        <v>47.33</v>
      </c>
      <c r="R751" s="1102">
        <v>0</v>
      </c>
      <c r="S751" s="1102">
        <v>0</v>
      </c>
      <c r="T751" s="1102">
        <v>0</v>
      </c>
      <c r="U751" s="1102" t="s">
        <v>468</v>
      </c>
      <c r="V751" s="1102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</row>
    <row r="752" spans="1:323" s="907" customFormat="1" x14ac:dyDescent="0.25">
      <c r="A752" s="1100">
        <v>900449</v>
      </c>
      <c r="B752" s="1101" t="str">
        <f t="shared" si="20"/>
        <v>-65,79/+66,14  (EC  65,4)</v>
      </c>
      <c r="C752" s="1101"/>
      <c r="D752" s="1102">
        <v>7.1</v>
      </c>
      <c r="E752" s="1102">
        <v>6.54</v>
      </c>
      <c r="F752" s="1102">
        <v>26.02</v>
      </c>
      <c r="G752" s="1102">
        <v>0</v>
      </c>
      <c r="H752" s="1102">
        <v>0.05</v>
      </c>
      <c r="I752" s="1109">
        <v>1806.7008000000001</v>
      </c>
      <c r="J752" s="1102">
        <v>412</v>
      </c>
      <c r="K752" s="1102">
        <v>3.0600000000000002E-2</v>
      </c>
      <c r="L752" s="1102">
        <v>359.6</v>
      </c>
      <c r="M752" s="1102">
        <v>0</v>
      </c>
      <c r="N752" s="1102">
        <v>10.67</v>
      </c>
      <c r="O752" s="1110">
        <v>1234.18</v>
      </c>
      <c r="P752" s="1111">
        <v>113.6</v>
      </c>
      <c r="Q752" s="1111">
        <v>78.3</v>
      </c>
      <c r="R752" s="1102">
        <v>0</v>
      </c>
      <c r="S752" s="1102">
        <v>0</v>
      </c>
      <c r="T752" s="1102">
        <v>0</v>
      </c>
      <c r="U752" s="1102" t="s">
        <v>468</v>
      </c>
      <c r="V752" s="1102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</row>
    <row r="753" spans="1:97" s="907" customFormat="1" x14ac:dyDescent="0.25">
      <c r="A753" s="1100">
        <v>900450</v>
      </c>
      <c r="B753" s="1101" t="str">
        <f t="shared" si="20"/>
        <v>-77,22/+75,62  (EC  75,5)</v>
      </c>
      <c r="C753" s="1101"/>
      <c r="D753" s="1102">
        <v>7.38</v>
      </c>
      <c r="E753" s="1102">
        <v>7.55</v>
      </c>
      <c r="F753" s="1102">
        <v>24.64</v>
      </c>
      <c r="G753" s="1102">
        <v>0</v>
      </c>
      <c r="H753" s="1102">
        <v>7.0000000000000007E-2</v>
      </c>
      <c r="I753" s="1109">
        <v>2232.7216000000003</v>
      </c>
      <c r="J753" s="1102">
        <f>128.14*3</f>
        <v>384.41999999999996</v>
      </c>
      <c r="K753" s="1102">
        <v>6.1200000000000004E-2</v>
      </c>
      <c r="L753" s="1102">
        <v>361.3</v>
      </c>
      <c r="M753" s="1102">
        <v>0</v>
      </c>
      <c r="N753" s="1102">
        <v>11.11</v>
      </c>
      <c r="O753" s="1104">
        <v>1395.451</v>
      </c>
      <c r="P753" s="1111">
        <v>126.8</v>
      </c>
      <c r="Q753" s="1111">
        <v>99.88</v>
      </c>
      <c r="R753" s="1102">
        <v>0</v>
      </c>
      <c r="S753" s="1102">
        <v>0</v>
      </c>
      <c r="T753" s="1102">
        <v>0</v>
      </c>
      <c r="U753" s="1102" t="s">
        <v>468</v>
      </c>
      <c r="V753" s="1102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</row>
    <row r="754" spans="1:97" s="907" customFormat="1" x14ac:dyDescent="0.25">
      <c r="A754" s="1100">
        <v>900451</v>
      </c>
      <c r="B754" s="1101" t="str">
        <f t="shared" si="20"/>
        <v>-80,03/+81,47  (EC  80,5)</v>
      </c>
      <c r="C754" s="1101"/>
      <c r="D754" s="1102">
        <v>7.97</v>
      </c>
      <c r="E754" s="1102">
        <v>8.0500000000000007</v>
      </c>
      <c r="F754" s="1102">
        <v>1.01</v>
      </c>
      <c r="G754" s="1102">
        <v>0</v>
      </c>
      <c r="H754" s="1102">
        <v>7.0000000000000007E-2</v>
      </c>
      <c r="I754" s="1109">
        <v>2065.1999999999998</v>
      </c>
      <c r="J754" s="1102">
        <v>692.3</v>
      </c>
      <c r="K754" s="1102">
        <v>6.1200000000000004E-2</v>
      </c>
      <c r="L754" s="1102">
        <v>452.3</v>
      </c>
      <c r="M754" s="1102">
        <v>0</v>
      </c>
      <c r="N754" s="1102">
        <v>17.97</v>
      </c>
      <c r="O754" s="1104">
        <v>911.23500000000001</v>
      </c>
      <c r="P754" s="1111">
        <v>256.3</v>
      </c>
      <c r="Q754" s="1111">
        <v>342.89</v>
      </c>
      <c r="R754" s="1102">
        <v>0.09</v>
      </c>
      <c r="S754" s="1102">
        <v>0</v>
      </c>
      <c r="T754" s="1102">
        <v>0.01</v>
      </c>
      <c r="U754" s="1102" t="s">
        <v>503</v>
      </c>
      <c r="V754" s="1102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</row>
    <row r="755" spans="1:97" s="907" customFormat="1" x14ac:dyDescent="0.25">
      <c r="A755" s="1100">
        <v>900452</v>
      </c>
      <c r="B755" s="1101" t="str">
        <f t="shared" si="20"/>
        <v>-30,78/+32,23  (EC  31,4)</v>
      </c>
      <c r="C755" s="1101"/>
      <c r="D755" s="1102">
        <v>6.46</v>
      </c>
      <c r="E755" s="1102">
        <v>3.14</v>
      </c>
      <c r="F755" s="1102">
        <v>0.94</v>
      </c>
      <c r="G755" s="1102">
        <v>0</v>
      </c>
      <c r="H755" s="1102">
        <v>0.08</v>
      </c>
      <c r="I755" s="1109">
        <v>658.53440000000001</v>
      </c>
      <c r="J755" s="1102">
        <f>38.9*5</f>
        <v>194.5</v>
      </c>
      <c r="K755" s="1102">
        <v>6.1200000000000004E-2</v>
      </c>
      <c r="L755" s="1102">
        <v>497.6</v>
      </c>
      <c r="M755" s="1102">
        <v>0</v>
      </c>
      <c r="N755" s="1102">
        <v>45.82</v>
      </c>
      <c r="O755" s="1104">
        <v>411.584</v>
      </c>
      <c r="P755" s="1111">
        <v>99.3</v>
      </c>
      <c r="Q755" s="1111">
        <v>98.3</v>
      </c>
      <c r="R755" s="1102">
        <v>0.16</v>
      </c>
      <c r="S755" s="1102">
        <v>0</v>
      </c>
      <c r="T755" s="1102">
        <v>0.19</v>
      </c>
      <c r="U755" s="1102" t="s">
        <v>504</v>
      </c>
      <c r="V755" s="1102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</row>
    <row r="756" spans="1:97" s="907" customFormat="1" x14ac:dyDescent="0.25">
      <c r="A756" s="1100">
        <v>900453</v>
      </c>
      <c r="B756" s="1101" t="str">
        <f t="shared" si="20"/>
        <v>-30,23/+29,81  (EC  29,5)</v>
      </c>
      <c r="C756" s="1101"/>
      <c r="D756" s="1102">
        <v>7.09</v>
      </c>
      <c r="E756" s="1102">
        <v>2.95</v>
      </c>
      <c r="F756" s="1102">
        <v>16.079999999999998</v>
      </c>
      <c r="G756" s="1102">
        <v>0</v>
      </c>
      <c r="H756" s="1102">
        <v>0.1</v>
      </c>
      <c r="I756" s="1109">
        <v>580.02240000000006</v>
      </c>
      <c r="J756" s="1102">
        <f>63.92*5</f>
        <v>319.60000000000002</v>
      </c>
      <c r="K756" s="1102">
        <v>6.1200000000000004E-2</v>
      </c>
      <c r="L756" s="1102">
        <v>425.3</v>
      </c>
      <c r="M756" s="1102">
        <v>0</v>
      </c>
      <c r="N756" s="1102">
        <v>48.78</v>
      </c>
      <c r="O756" s="1104">
        <v>362.51400000000001</v>
      </c>
      <c r="P756" s="1111">
        <v>100.3</v>
      </c>
      <c r="Q756" s="1111">
        <v>93.3</v>
      </c>
      <c r="R756" s="1102">
        <v>0.02</v>
      </c>
      <c r="S756" s="1102">
        <v>0</v>
      </c>
      <c r="T756" s="1102">
        <v>0.08</v>
      </c>
      <c r="U756" s="1102" t="s">
        <v>499</v>
      </c>
      <c r="V756" s="1102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</row>
    <row r="757" spans="1:97" s="907" customFormat="1" ht="17.100000000000001" customHeight="1" x14ac:dyDescent="0.25">
      <c r="A757" s="1100">
        <v>900454</v>
      </c>
      <c r="B757" s="1101" t="str">
        <f>"-"&amp;TEXT((F757/62+G757/46+I757/35.5+J757/48+K757/97+L757/61),"0,00")&amp;"/+"&amp;TEXT((N757/39+O757/23+P757/20+Q757/12+H757/14),"0,00")&amp;"  (EC  "&amp;E757*10&amp;")"</f>
        <v>-4,84/+4,55  (EC  3,82)</v>
      </c>
      <c r="C757" s="1101"/>
      <c r="D757" s="1102">
        <v>8.17</v>
      </c>
      <c r="E757" s="1102">
        <v>0.38200000000000001</v>
      </c>
      <c r="F757" s="1102">
        <v>1.1499999999999999</v>
      </c>
      <c r="G757" s="1102">
        <v>0</v>
      </c>
      <c r="H757" s="1102">
        <v>0.05</v>
      </c>
      <c r="I757" s="1109">
        <v>31.334400000000002</v>
      </c>
      <c r="J757" s="1102">
        <v>28.54</v>
      </c>
      <c r="K757" s="1102">
        <v>3.0600000000000002E-2</v>
      </c>
      <c r="L757" s="1102">
        <v>204</v>
      </c>
      <c r="M757" s="1102">
        <v>0</v>
      </c>
      <c r="N757" s="1102">
        <v>5.05</v>
      </c>
      <c r="O757" s="1104">
        <v>19.584</v>
      </c>
      <c r="P757" s="1102">
        <v>44.05</v>
      </c>
      <c r="Q757" s="1102">
        <v>16.309999999999999</v>
      </c>
      <c r="R757" s="1102">
        <v>0</v>
      </c>
      <c r="S757" s="1102">
        <v>0</v>
      </c>
      <c r="T757" s="1102">
        <v>0.01</v>
      </c>
      <c r="U757" s="1102">
        <v>0.03</v>
      </c>
      <c r="V757" s="1102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</row>
    <row r="758" spans="1:97" s="907" customFormat="1" x14ac:dyDescent="0.25">
      <c r="A758" s="1100">
        <v>900455</v>
      </c>
      <c r="B758" s="1101" t="str">
        <f t="shared" ref="B758:B784" si="21">"-"&amp;TEXT((F758/62+G758/46+I758/35.5+J758/48+K758/97+L758/61),"0,00")&amp;"/+"&amp;TEXT((N758/39+O758/23+P758/20+Q758/12+H758/14),"0,00")&amp;"  (EC  "&amp;E758*10&amp;")"</f>
        <v>-6,25/+7,52  (EC  6,64)</v>
      </c>
      <c r="C758" s="1101"/>
      <c r="D758" s="1102">
        <v>8.2200000000000006</v>
      </c>
      <c r="E758" s="1102">
        <v>0.66400000000000003</v>
      </c>
      <c r="F758" s="1104">
        <v>15.19</v>
      </c>
      <c r="G758" s="1102">
        <v>0</v>
      </c>
      <c r="H758" s="1102">
        <v>7.0000000000000007E-2</v>
      </c>
      <c r="I758" s="1104">
        <v>31.695999999999998</v>
      </c>
      <c r="J758" s="1102">
        <v>95.48</v>
      </c>
      <c r="K758" s="1102">
        <v>1E-4</v>
      </c>
      <c r="L758" s="1102">
        <v>190.6</v>
      </c>
      <c r="M758" s="1102">
        <v>0</v>
      </c>
      <c r="N758" s="1102">
        <v>1.71</v>
      </c>
      <c r="O758" s="1102">
        <v>19.809999999999999</v>
      </c>
      <c r="P758" s="1102">
        <v>97.02</v>
      </c>
      <c r="Q758" s="1102">
        <v>21.16</v>
      </c>
      <c r="R758" s="1102">
        <v>1E-3</v>
      </c>
      <c r="S758" s="1102">
        <v>1E-4</v>
      </c>
      <c r="T758" s="1102">
        <v>1E-3</v>
      </c>
      <c r="U758" s="1102">
        <v>1E-3</v>
      </c>
      <c r="V758" s="1102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</row>
    <row r="759" spans="1:97" x14ac:dyDescent="0.25">
      <c r="A759" s="584">
        <v>900456</v>
      </c>
      <c r="B759" s="927" t="str">
        <f t="shared" si="21"/>
        <v>-20,12/+22,95  (EC  21)</v>
      </c>
      <c r="C759" s="552"/>
      <c r="D759" s="553">
        <v>7.5</v>
      </c>
      <c r="E759" s="608">
        <v>2.1</v>
      </c>
      <c r="F759" s="1093">
        <v>35.6</v>
      </c>
      <c r="G759" s="553">
        <v>0</v>
      </c>
      <c r="H759" s="1093">
        <v>0.04</v>
      </c>
      <c r="I759" s="587">
        <v>237.56799999999998</v>
      </c>
      <c r="J759" s="1093">
        <v>320.5</v>
      </c>
      <c r="K759" s="553">
        <v>1E-3</v>
      </c>
      <c r="L759" s="553">
        <f>(15.8-0.1)*24</f>
        <v>376.8</v>
      </c>
      <c r="M759" s="553">
        <v>0</v>
      </c>
      <c r="N759" s="1077">
        <v>3.83</v>
      </c>
      <c r="O759" s="1077">
        <v>148.47999999999999</v>
      </c>
      <c r="P759" s="1106">
        <v>135.6</v>
      </c>
      <c r="Q759" s="1106">
        <v>115.4</v>
      </c>
      <c r="R759" s="1077">
        <v>1E-3</v>
      </c>
      <c r="S759" s="553">
        <v>1E-3</v>
      </c>
      <c r="T759" s="553">
        <v>1E-3</v>
      </c>
      <c r="U759" s="553">
        <v>1E-3</v>
      </c>
      <c r="V759" s="1089"/>
    </row>
    <row r="760" spans="1:97" x14ac:dyDescent="0.25">
      <c r="A760" s="584">
        <v>900457</v>
      </c>
      <c r="B760" s="927" t="str">
        <f t="shared" si="21"/>
        <v>-43,02/+44,25  (EC  43,2)</v>
      </c>
      <c r="C760" s="552"/>
      <c r="D760" s="553">
        <v>7</v>
      </c>
      <c r="E760" s="553">
        <v>4.32</v>
      </c>
      <c r="F760" s="1093">
        <v>332</v>
      </c>
      <c r="G760" s="553">
        <v>0</v>
      </c>
      <c r="H760" s="1093">
        <v>0.05</v>
      </c>
      <c r="I760" s="587">
        <v>660.5920000000001</v>
      </c>
      <c r="J760" s="1093">
        <v>535.20000000000005</v>
      </c>
      <c r="K760" s="553">
        <v>1E-3</v>
      </c>
      <c r="L760" s="553">
        <f>(20.2-0.1)*24</f>
        <v>482.4</v>
      </c>
      <c r="M760" s="553">
        <v>0</v>
      </c>
      <c r="N760" s="1077">
        <v>14.27</v>
      </c>
      <c r="O760" s="1077">
        <v>412.87</v>
      </c>
      <c r="P760" s="1106">
        <v>275.33</v>
      </c>
      <c r="Q760" s="1106">
        <v>145.9</v>
      </c>
      <c r="R760" s="1077"/>
      <c r="S760" s="553"/>
      <c r="T760" s="553"/>
      <c r="U760" s="553"/>
      <c r="V760" s="1089"/>
    </row>
    <row r="761" spans="1:97" x14ac:dyDescent="0.25">
      <c r="A761" s="584">
        <v>900458</v>
      </c>
      <c r="B761" s="927" t="str">
        <f t="shared" si="21"/>
        <v>-104,66/+106,37  (EC  105,5)</v>
      </c>
      <c r="C761" s="552"/>
      <c r="D761" s="553">
        <v>6.9</v>
      </c>
      <c r="E761" s="553">
        <v>10.55</v>
      </c>
      <c r="F761" s="1093">
        <v>449</v>
      </c>
      <c r="G761" s="553">
        <v>0</v>
      </c>
      <c r="H761" s="1093">
        <v>0.09</v>
      </c>
      <c r="I761" s="587">
        <v>2476.8960000000002</v>
      </c>
      <c r="J761" s="1093">
        <v>725.6</v>
      </c>
      <c r="K761" s="553">
        <v>1E-3</v>
      </c>
      <c r="L761" s="553">
        <v>764.3</v>
      </c>
      <c r="M761" s="553">
        <v>0</v>
      </c>
      <c r="N761" s="1077">
        <v>21.65</v>
      </c>
      <c r="O761" s="1106">
        <v>1500.04</v>
      </c>
      <c r="P761" s="1077">
        <v>380.1</v>
      </c>
      <c r="Q761" s="1106">
        <v>258.99</v>
      </c>
      <c r="R761" s="1077">
        <v>1E-3</v>
      </c>
      <c r="S761" s="553">
        <v>1E-3</v>
      </c>
      <c r="T761" s="553">
        <v>1E-3</v>
      </c>
      <c r="U761" s="553">
        <v>1E-3</v>
      </c>
      <c r="V761" s="1089"/>
    </row>
    <row r="762" spans="1:97" x14ac:dyDescent="0.25">
      <c r="A762" s="584">
        <v>900459</v>
      </c>
      <c r="B762" s="927" t="str">
        <f t="shared" si="21"/>
        <v>-5,83/+6,53  (EC  5,4)</v>
      </c>
      <c r="C762" s="552"/>
      <c r="D762" s="553">
        <v>7.5</v>
      </c>
      <c r="E762" s="553">
        <v>0.54</v>
      </c>
      <c r="F762" s="1093">
        <v>33.58</v>
      </c>
      <c r="G762" s="553">
        <v>0</v>
      </c>
      <c r="H762" s="1093">
        <v>0.05</v>
      </c>
      <c r="I762" s="587">
        <v>30.527999999999999</v>
      </c>
      <c r="J762" s="1093">
        <v>29.49</v>
      </c>
      <c r="K762" s="553">
        <v>1E-3</v>
      </c>
      <c r="L762" s="553">
        <v>232.8</v>
      </c>
      <c r="M762" s="553">
        <v>0</v>
      </c>
      <c r="N762" s="1077">
        <v>2.08</v>
      </c>
      <c r="O762" s="1077">
        <v>19.079999999999998</v>
      </c>
      <c r="P762" s="1077">
        <v>55.86</v>
      </c>
      <c r="Q762" s="1077">
        <v>34.19</v>
      </c>
      <c r="R762" s="1077">
        <v>0.03</v>
      </c>
      <c r="S762" s="553">
        <v>1E-3</v>
      </c>
      <c r="T762" s="553">
        <v>1E-3</v>
      </c>
      <c r="U762" s="553">
        <v>1E-3</v>
      </c>
      <c r="V762" s="1089"/>
    </row>
    <row r="763" spans="1:97" x14ac:dyDescent="0.25">
      <c r="A763" s="584">
        <v>900460</v>
      </c>
      <c r="B763" s="927" t="str">
        <f t="shared" si="21"/>
        <v>-15,81/+15,30  (EC  14,28)</v>
      </c>
      <c r="C763" s="552"/>
      <c r="D763" s="553">
        <v>7.3</v>
      </c>
      <c r="E763" s="587">
        <v>1.4279999999999999</v>
      </c>
      <c r="F763" s="1093">
        <v>69.31</v>
      </c>
      <c r="G763" s="553">
        <v>0</v>
      </c>
      <c r="H763" s="1093">
        <v>0.04</v>
      </c>
      <c r="I763" s="587">
        <v>289.61599999999999</v>
      </c>
      <c r="J763" s="1093">
        <f>20.81*5</f>
        <v>104.05</v>
      </c>
      <c r="K763" s="553">
        <v>1E-3</v>
      </c>
      <c r="L763" s="553">
        <v>266.3</v>
      </c>
      <c r="M763" s="553">
        <v>0</v>
      </c>
      <c r="N763" s="1077">
        <v>2.76</v>
      </c>
      <c r="O763" s="1112">
        <v>149.76</v>
      </c>
      <c r="P763" s="1077">
        <v>77.27</v>
      </c>
      <c r="Q763" s="1077">
        <v>58.18</v>
      </c>
      <c r="R763" s="1077">
        <v>0.06</v>
      </c>
      <c r="S763" s="553">
        <v>1E-3</v>
      </c>
      <c r="T763" s="553">
        <v>1E-3</v>
      </c>
      <c r="U763" s="553">
        <v>1E-3</v>
      </c>
      <c r="V763" s="1089"/>
    </row>
    <row r="764" spans="1:97" x14ac:dyDescent="0.25">
      <c r="A764" s="584">
        <v>900461</v>
      </c>
      <c r="B764" s="927" t="str">
        <f t="shared" si="21"/>
        <v>-76,34/+75,80  (EC  76,5)</v>
      </c>
      <c r="C764" s="552"/>
      <c r="D764" s="553">
        <v>7.1</v>
      </c>
      <c r="E764" s="553">
        <v>7.65</v>
      </c>
      <c r="F764" s="1093">
        <v>16.420000000000002</v>
      </c>
      <c r="G764" s="553">
        <v>0</v>
      </c>
      <c r="H764" s="1093">
        <v>0.05</v>
      </c>
      <c r="I764" s="587">
        <v>1889.36</v>
      </c>
      <c r="J764" s="1093">
        <f>145.34*5</f>
        <v>726.7</v>
      </c>
      <c r="K764" s="553">
        <v>1E-3</v>
      </c>
      <c r="L764" s="553">
        <v>470.4</v>
      </c>
      <c r="M764" s="553">
        <v>0</v>
      </c>
      <c r="N764" s="1077">
        <v>36.1</v>
      </c>
      <c r="O764" s="1112">
        <v>1080.8499999999999</v>
      </c>
      <c r="P764" s="1112">
        <v>226.35</v>
      </c>
      <c r="Q764" s="1112">
        <v>198.66</v>
      </c>
      <c r="R764" s="1077"/>
      <c r="S764" s="553"/>
      <c r="T764" s="553"/>
      <c r="U764" s="553"/>
      <c r="V764" s="1089"/>
    </row>
    <row r="765" spans="1:97" x14ac:dyDescent="0.25">
      <c r="A765" s="584">
        <v>900462</v>
      </c>
      <c r="B765" s="927" t="str">
        <f t="shared" si="21"/>
        <v>-76,97/+75,16  (EC  76,8)</v>
      </c>
      <c r="C765" s="552"/>
      <c r="D765" s="553">
        <v>7.3</v>
      </c>
      <c r="E765" s="553">
        <v>7.68</v>
      </c>
      <c r="F765" s="1093">
        <v>15.51</v>
      </c>
      <c r="G765" s="553">
        <v>0</v>
      </c>
      <c r="H765" s="1093">
        <v>0.08</v>
      </c>
      <c r="I765" s="587">
        <v>1837.8880000000001</v>
      </c>
      <c r="J765" s="1093">
        <f>150.32*5</f>
        <v>751.59999999999991</v>
      </c>
      <c r="K765" s="553">
        <v>1E-3</v>
      </c>
      <c r="L765" s="553">
        <v>566.4</v>
      </c>
      <c r="M765" s="553">
        <v>0</v>
      </c>
      <c r="N765" s="1077">
        <v>25.31</v>
      </c>
      <c r="O765" s="1112">
        <v>1048.68</v>
      </c>
      <c r="P765" s="1112">
        <v>239.32</v>
      </c>
      <c r="Q765" s="1112">
        <v>203.3</v>
      </c>
      <c r="R765" s="1077"/>
      <c r="S765" s="553"/>
      <c r="T765" s="553"/>
      <c r="U765" s="553"/>
      <c r="V765" s="1089"/>
    </row>
    <row r="766" spans="1:97" x14ac:dyDescent="0.25">
      <c r="A766" s="1100">
        <v>900463</v>
      </c>
      <c r="B766" s="1081" t="str">
        <f t="shared" si="21"/>
        <v>-18,85/+19,97  (EC  18,6)</v>
      </c>
      <c r="C766" s="1101"/>
      <c r="D766" s="1102">
        <v>7.7</v>
      </c>
      <c r="E766" s="1102">
        <v>1.86</v>
      </c>
      <c r="F766" s="1103">
        <v>41.82</v>
      </c>
      <c r="G766" s="1102">
        <v>0</v>
      </c>
      <c r="H766" s="1103">
        <v>0.2</v>
      </c>
      <c r="I766" s="1104">
        <f>O766*1.6</f>
        <v>379.93600000000004</v>
      </c>
      <c r="J766" s="1103">
        <f>22.56*5</f>
        <v>112.8</v>
      </c>
      <c r="K766" s="1102">
        <f>0.2*3.06</f>
        <v>0.6120000000000001</v>
      </c>
      <c r="L766" s="1102">
        <f>(13.1-0.1)*24</f>
        <v>312</v>
      </c>
      <c r="M766" s="1102">
        <v>0</v>
      </c>
      <c r="N766" s="1105">
        <v>1.4</v>
      </c>
      <c r="O766" s="1105">
        <v>237.46</v>
      </c>
      <c r="P766" s="1105">
        <v>96.71</v>
      </c>
      <c r="Q766" s="1105">
        <v>57.14</v>
      </c>
      <c r="R766" s="1115">
        <v>1E-3</v>
      </c>
      <c r="S766" s="1102">
        <v>1E-3</v>
      </c>
      <c r="T766" s="1102">
        <v>1E-3</v>
      </c>
      <c r="U766" s="1102">
        <v>1E-3</v>
      </c>
      <c r="V766" s="1092"/>
    </row>
    <row r="767" spans="1:97" x14ac:dyDescent="0.25">
      <c r="A767" s="1094">
        <v>901022</v>
      </c>
      <c r="B767" s="1095" t="str">
        <f t="shared" si="21"/>
        <v>-9,42/+10,64  (EC  9,9)</v>
      </c>
      <c r="C767" s="1095"/>
      <c r="D767" s="1096">
        <v>5.4</v>
      </c>
      <c r="E767" s="1096">
        <v>0.99</v>
      </c>
      <c r="F767" s="1097">
        <v>40.36</v>
      </c>
      <c r="G767" s="1096">
        <v>0</v>
      </c>
      <c r="H767" s="1097">
        <v>8.6300000000000008</v>
      </c>
      <c r="I767" s="1098">
        <v>38.128</v>
      </c>
      <c r="J767" s="1097">
        <f>57.68*5</f>
        <v>288.39999999999998</v>
      </c>
      <c r="K767" s="1099">
        <v>109.73</v>
      </c>
      <c r="L767" s="1096">
        <v>33.599999999999994</v>
      </c>
      <c r="M767" s="1096">
        <v>0</v>
      </c>
      <c r="N767" s="1099">
        <v>61.15</v>
      </c>
      <c r="O767" s="1099">
        <v>23.83</v>
      </c>
      <c r="P767" s="1099">
        <v>61.93</v>
      </c>
      <c r="Q767" s="1099">
        <v>51.87</v>
      </c>
      <c r="R767" s="1099">
        <v>0.38</v>
      </c>
      <c r="S767" s="1099">
        <v>0.12</v>
      </c>
      <c r="T767" s="1099">
        <v>0.28000000000000003</v>
      </c>
      <c r="U767" s="1099">
        <v>0.2</v>
      </c>
      <c r="V767" s="1089"/>
    </row>
    <row r="768" spans="1:97" x14ac:dyDescent="0.25">
      <c r="A768" s="1094">
        <v>901023</v>
      </c>
      <c r="B768" s="1095" t="str">
        <f t="shared" si="21"/>
        <v>-12,35/+13,33  (EC  12,25)</v>
      </c>
      <c r="C768" s="1095"/>
      <c r="D768" s="1096">
        <v>5.5</v>
      </c>
      <c r="E768" s="1096">
        <v>1.2250000000000001</v>
      </c>
      <c r="F768" s="1097">
        <v>1.01</v>
      </c>
      <c r="G768" s="1096">
        <v>0</v>
      </c>
      <c r="H768" s="1097">
        <v>0.16</v>
      </c>
      <c r="I768" s="1098">
        <v>89.936000000000007</v>
      </c>
      <c r="J768" s="1097">
        <f>61.36*5</f>
        <v>306.8</v>
      </c>
      <c r="K768" s="1099">
        <v>193.86</v>
      </c>
      <c r="L768" s="1096">
        <v>86.2</v>
      </c>
      <c r="M768" s="1096">
        <v>0</v>
      </c>
      <c r="N768" s="1099">
        <v>31.88</v>
      </c>
      <c r="O768" s="1099">
        <v>56.21</v>
      </c>
      <c r="P768" s="1113">
        <v>95.2</v>
      </c>
      <c r="Q768" s="1113">
        <v>63.59</v>
      </c>
      <c r="R768" s="1099">
        <v>0.06</v>
      </c>
      <c r="S768" s="1099">
        <v>0.03</v>
      </c>
      <c r="T768" s="1099">
        <v>0.03</v>
      </c>
      <c r="U768" s="1099">
        <v>0.66</v>
      </c>
      <c r="V768" s="1089"/>
    </row>
    <row r="769" spans="1:22" x14ac:dyDescent="0.25">
      <c r="A769" s="1094">
        <v>901024</v>
      </c>
      <c r="B769" s="1095" t="str">
        <f>"-"&amp;TEXT((F769/62+G769/46+I769/35.5+J769/48+K769/97+L769/61),"0,00")&amp;"/+"&amp;TEXT((N769/39+O769/23+P769/20+Q769/12+H769/14),"0,00")&amp;"  (EC  "&amp;E769*10&amp;")"</f>
        <v>-8,97/+10,27  (EC  9,58)</v>
      </c>
      <c r="C769" s="1095"/>
      <c r="D769" s="1096">
        <v>5.7</v>
      </c>
      <c r="E769" s="1096">
        <v>0.95799999999999996</v>
      </c>
      <c r="F769" s="1097">
        <v>22.93</v>
      </c>
      <c r="G769" s="1096">
        <v>0</v>
      </c>
      <c r="H769" s="1097">
        <v>8.74</v>
      </c>
      <c r="I769" s="1098">
        <v>36.752000000000002</v>
      </c>
      <c r="J769" s="1097">
        <f>48.94*5</f>
        <v>244.7</v>
      </c>
      <c r="K769" s="1099">
        <v>103.64</v>
      </c>
      <c r="L769" s="1096">
        <v>85.2</v>
      </c>
      <c r="M769" s="1096">
        <v>0</v>
      </c>
      <c r="N769" s="1099">
        <v>57.13</v>
      </c>
      <c r="O769" s="1099">
        <v>22.97</v>
      </c>
      <c r="P769" s="1099">
        <v>60.33</v>
      </c>
      <c r="Q769" s="1099">
        <v>49.93</v>
      </c>
      <c r="R769" s="1099">
        <v>0.27</v>
      </c>
      <c r="S769" s="1099">
        <v>0.13</v>
      </c>
      <c r="T769" s="1099">
        <v>0.25</v>
      </c>
      <c r="U769" s="1099">
        <v>0.15</v>
      </c>
      <c r="V769" s="1089"/>
    </row>
    <row r="770" spans="1:22" x14ac:dyDescent="0.25">
      <c r="A770" s="1094">
        <v>901025</v>
      </c>
      <c r="B770" s="1095" t="str">
        <f t="shared" si="21"/>
        <v>-12,14/+13,18  (EC  12,78)</v>
      </c>
      <c r="C770" s="1095"/>
      <c r="D770" s="1096">
        <v>5.7</v>
      </c>
      <c r="E770" s="1096">
        <v>1.278</v>
      </c>
      <c r="F770" s="1097">
        <v>1.18</v>
      </c>
      <c r="G770" s="1096">
        <v>0</v>
      </c>
      <c r="H770" s="1097">
        <v>0.38</v>
      </c>
      <c r="I770" s="1098">
        <v>101.376</v>
      </c>
      <c r="J770" s="1097">
        <f>56.62*5</f>
        <v>283.09999999999997</v>
      </c>
      <c r="K770" s="1099">
        <v>191.78</v>
      </c>
      <c r="L770" s="1096">
        <v>84.8</v>
      </c>
      <c r="M770" s="1096">
        <v>0</v>
      </c>
      <c r="N770" s="1099">
        <v>48.55</v>
      </c>
      <c r="O770" s="1099">
        <v>63.36</v>
      </c>
      <c r="P770" s="1113">
        <v>78.39</v>
      </c>
      <c r="Q770" s="1113">
        <v>62.76</v>
      </c>
      <c r="R770" s="1099">
        <v>0.04</v>
      </c>
      <c r="S770" s="1099">
        <v>0.03</v>
      </c>
      <c r="T770" s="1099">
        <v>0.04</v>
      </c>
      <c r="U770" s="1099">
        <v>0.65</v>
      </c>
      <c r="V770" s="1089"/>
    </row>
    <row r="771" spans="1:22" x14ac:dyDescent="0.25">
      <c r="A771" s="1094">
        <v>901026</v>
      </c>
      <c r="B771" s="1095" t="str">
        <f t="shared" si="21"/>
        <v>-9,36/+10,94  (EC  10,45)</v>
      </c>
      <c r="C771" s="1095"/>
      <c r="D771" s="1096">
        <v>5.4</v>
      </c>
      <c r="E771" s="1096">
        <v>1.0449999999999999</v>
      </c>
      <c r="F771" s="1097">
        <v>26.3</v>
      </c>
      <c r="G771" s="1096">
        <v>0</v>
      </c>
      <c r="H771" s="1097">
        <v>8.98</v>
      </c>
      <c r="I771" s="1098">
        <v>37.856000000000002</v>
      </c>
      <c r="J771" s="1097">
        <f>59.17*5</f>
        <v>295.85000000000002</v>
      </c>
      <c r="K771" s="1099">
        <v>119.46</v>
      </c>
      <c r="L771" s="1096">
        <v>28.799999999999997</v>
      </c>
      <c r="M771" s="1096">
        <v>0</v>
      </c>
      <c r="N771" s="1099">
        <v>67.22</v>
      </c>
      <c r="O771" s="1099">
        <v>23.66</v>
      </c>
      <c r="P771" s="1099">
        <v>63</v>
      </c>
      <c r="Q771" s="1099">
        <v>52.8</v>
      </c>
      <c r="R771" s="1099">
        <v>0.52</v>
      </c>
      <c r="S771" s="1099">
        <v>0.14000000000000001</v>
      </c>
      <c r="T771" s="1099">
        <v>0.32</v>
      </c>
      <c r="U771" s="1099">
        <v>0.17</v>
      </c>
      <c r="V771" s="1089"/>
    </row>
    <row r="772" spans="1:22" x14ac:dyDescent="0.25">
      <c r="A772" s="1094">
        <v>901027</v>
      </c>
      <c r="B772" s="1095" t="str">
        <f t="shared" si="21"/>
        <v>-15,29/+16,58  (EC  15,4)</v>
      </c>
      <c r="C772" s="1095"/>
      <c r="D772" s="1096">
        <v>5.3</v>
      </c>
      <c r="E772" s="1096">
        <v>1.54</v>
      </c>
      <c r="F772" s="1097">
        <v>0.98</v>
      </c>
      <c r="G772" s="1096">
        <v>0</v>
      </c>
      <c r="H772" s="1097">
        <v>0.17</v>
      </c>
      <c r="I772" s="1098">
        <v>112.48</v>
      </c>
      <c r="J772" s="1097">
        <f>78.19*5</f>
        <v>390.95</v>
      </c>
      <c r="K772" s="1099">
        <v>242.58</v>
      </c>
      <c r="L772" s="1096">
        <v>88.8</v>
      </c>
      <c r="M772" s="1096">
        <v>0</v>
      </c>
      <c r="N772" s="1099">
        <v>41.21</v>
      </c>
      <c r="O772" s="1099">
        <v>70.3</v>
      </c>
      <c r="P772" s="1113">
        <v>89.55</v>
      </c>
      <c r="Q772" s="1113">
        <v>95.73</v>
      </c>
      <c r="R772" s="1099">
        <v>0.11</v>
      </c>
      <c r="S772" s="1099">
        <v>0.04</v>
      </c>
      <c r="T772" s="1099">
        <v>0.09</v>
      </c>
      <c r="U772" s="1099">
        <v>0.61</v>
      </c>
      <c r="V772" s="1089"/>
    </row>
    <row r="773" spans="1:22" x14ac:dyDescent="0.25">
      <c r="A773" s="1094">
        <v>901028</v>
      </c>
      <c r="B773" s="1095" t="str">
        <f t="shared" si="21"/>
        <v>-10,05/+11,14  (EC  10,64)</v>
      </c>
      <c r="C773" s="1095"/>
      <c r="D773" s="1096">
        <v>5.4</v>
      </c>
      <c r="E773" s="1096">
        <v>1.0640000000000001</v>
      </c>
      <c r="F773" s="1097">
        <v>35.19</v>
      </c>
      <c r="G773" s="1096">
        <v>0</v>
      </c>
      <c r="H773" s="1097">
        <v>9.1300000000000008</v>
      </c>
      <c r="I773" s="1098">
        <v>38.224000000000004</v>
      </c>
      <c r="J773" s="1097">
        <f>62.46*5</f>
        <v>312.3</v>
      </c>
      <c r="K773" s="1099">
        <v>117.32</v>
      </c>
      <c r="L773" s="1096">
        <v>41.96</v>
      </c>
      <c r="M773" s="1096">
        <v>0</v>
      </c>
      <c r="N773" s="1099">
        <v>69.63</v>
      </c>
      <c r="O773" s="1099">
        <v>23.89</v>
      </c>
      <c r="P773" s="1099">
        <v>62.99</v>
      </c>
      <c r="Q773" s="1099">
        <v>54.22</v>
      </c>
      <c r="R773" s="1099">
        <v>0.48</v>
      </c>
      <c r="S773" s="1099">
        <v>0.14000000000000001</v>
      </c>
      <c r="T773" s="1099">
        <v>0.33</v>
      </c>
      <c r="U773" s="1099">
        <v>0.24</v>
      </c>
      <c r="V773" s="1089"/>
    </row>
    <row r="774" spans="1:22" x14ac:dyDescent="0.25">
      <c r="A774" s="1094">
        <v>901029</v>
      </c>
      <c r="B774" s="1095" t="str">
        <f t="shared" si="21"/>
        <v>-13,22/+14,82  (EC  13,7)</v>
      </c>
      <c r="C774" s="1095"/>
      <c r="D774" s="1096">
        <v>5.4</v>
      </c>
      <c r="E774" s="1096">
        <v>1.37</v>
      </c>
      <c r="F774" s="1097">
        <v>1.1499999999999999</v>
      </c>
      <c r="G774" s="1096">
        <v>0</v>
      </c>
      <c r="H774" s="1097">
        <v>0.18</v>
      </c>
      <c r="I774" s="1098">
        <v>92.960000000000008</v>
      </c>
      <c r="J774" s="1097">
        <f>69.6*5</f>
        <v>348</v>
      </c>
      <c r="K774" s="1099">
        <v>201.41</v>
      </c>
      <c r="L774" s="1096">
        <v>76.8</v>
      </c>
      <c r="M774" s="1096">
        <v>0</v>
      </c>
      <c r="N774" s="1099">
        <v>58.78</v>
      </c>
      <c r="O774" s="1099">
        <v>58.1</v>
      </c>
      <c r="P774" s="1113">
        <v>99.1</v>
      </c>
      <c r="Q774" s="1113">
        <v>69.88</v>
      </c>
      <c r="R774" s="1099">
        <v>0.1</v>
      </c>
      <c r="S774" s="1099">
        <v>0.02</v>
      </c>
      <c r="T774" s="1099">
        <v>0.04</v>
      </c>
      <c r="U774" s="1099">
        <v>0.59</v>
      </c>
      <c r="V774" s="1089"/>
    </row>
    <row r="775" spans="1:22" s="5" customFormat="1" x14ac:dyDescent="0.25">
      <c r="A775" s="580">
        <v>900464</v>
      </c>
      <c r="B775" s="927" t="str">
        <f t="shared" si="21"/>
        <v>-6,68/+7,73  (EC  7,84)</v>
      </c>
      <c r="C775" s="484"/>
      <c r="D775" s="25">
        <v>7.2</v>
      </c>
      <c r="E775" s="25">
        <v>0.78400000000000003</v>
      </c>
      <c r="F775" s="959">
        <v>102.83</v>
      </c>
      <c r="G775" s="1117">
        <v>0</v>
      </c>
      <c r="H775" s="1117">
        <v>0.06</v>
      </c>
      <c r="I775" s="832">
        <v>78.975999999999999</v>
      </c>
      <c r="J775" s="959">
        <v>30.26</v>
      </c>
      <c r="K775" s="1116">
        <v>3.0600000000000002E-2</v>
      </c>
      <c r="L775" s="25">
        <f>(5.6-0.1)*24</f>
        <v>132</v>
      </c>
      <c r="M775" s="25">
        <v>0</v>
      </c>
      <c r="N775" s="1116">
        <v>0.92</v>
      </c>
      <c r="O775" s="340">
        <v>49.36</v>
      </c>
      <c r="P775" s="340">
        <v>100.05</v>
      </c>
      <c r="Q775" s="340">
        <v>6.67</v>
      </c>
      <c r="R775" s="1116"/>
      <c r="S775" s="1116"/>
      <c r="T775" s="1116"/>
      <c r="U775" s="1116"/>
      <c r="V775" s="25"/>
    </row>
    <row r="776" spans="1:22" x14ac:dyDescent="0.25">
      <c r="A776" s="585" t="s">
        <v>505</v>
      </c>
      <c r="B776" s="927" t="str">
        <f t="shared" si="21"/>
        <v>-13,08/+14,01  (EC  14,25)</v>
      </c>
      <c r="C776" s="484"/>
      <c r="D776" s="25">
        <v>6.6</v>
      </c>
      <c r="E776" s="25">
        <v>1.425</v>
      </c>
      <c r="F776" s="959">
        <v>113.65</v>
      </c>
      <c r="G776" s="1117">
        <v>0</v>
      </c>
      <c r="H776" s="1117">
        <v>0.06</v>
      </c>
      <c r="I776" s="832">
        <v>85.584000000000003</v>
      </c>
      <c r="J776" s="959">
        <v>104.31</v>
      </c>
      <c r="K776" s="1116">
        <v>65.208600000000004</v>
      </c>
      <c r="L776" s="25">
        <v>365.6</v>
      </c>
      <c r="M776" s="25">
        <v>0</v>
      </c>
      <c r="N776" s="1116">
        <v>117.03</v>
      </c>
      <c r="O776" s="1116">
        <v>52.24</v>
      </c>
      <c r="P776" s="340">
        <v>109.34</v>
      </c>
      <c r="Q776" s="340">
        <v>39.24</v>
      </c>
      <c r="R776" s="1116">
        <v>0.17</v>
      </c>
      <c r="S776" s="1116">
        <v>0.01</v>
      </c>
      <c r="T776" s="1116">
        <v>0.09</v>
      </c>
      <c r="U776" s="1116">
        <v>0.03</v>
      </c>
    </row>
    <row r="777" spans="1:22" x14ac:dyDescent="0.25">
      <c r="A777" s="585" t="s">
        <v>506</v>
      </c>
      <c r="B777" s="927" t="str">
        <f t="shared" si="21"/>
        <v>-16,13/+16,41  (EC  17,01)</v>
      </c>
      <c r="C777" s="484"/>
      <c r="D777" s="25">
        <v>6.7</v>
      </c>
      <c r="E777" s="25">
        <v>1.7010000000000001</v>
      </c>
      <c r="F777" s="959">
        <v>109.89</v>
      </c>
      <c r="G777" s="1117">
        <v>0</v>
      </c>
      <c r="H777" s="1117">
        <v>0.04</v>
      </c>
      <c r="I777" s="832">
        <v>165.87200000000001</v>
      </c>
      <c r="J777" s="959">
        <v>129.41</v>
      </c>
      <c r="K777" s="1116">
        <v>46.328400000000002</v>
      </c>
      <c r="L777" s="25">
        <v>397.2</v>
      </c>
      <c r="M777" s="25">
        <v>0</v>
      </c>
      <c r="N777" s="1116">
        <v>58.68</v>
      </c>
      <c r="O777" s="340">
        <v>103.67</v>
      </c>
      <c r="P777" s="1116">
        <v>104.02</v>
      </c>
      <c r="Q777" s="1116">
        <v>62.31</v>
      </c>
      <c r="R777" s="1116">
        <v>0.04</v>
      </c>
      <c r="S777" s="1116">
        <v>0</v>
      </c>
      <c r="T777" s="1116">
        <v>0.08</v>
      </c>
      <c r="U777" s="1116">
        <v>0.01</v>
      </c>
    </row>
    <row r="778" spans="1:22" x14ac:dyDescent="0.25">
      <c r="A778" s="585" t="s">
        <v>507</v>
      </c>
      <c r="B778" s="927" t="str">
        <f t="shared" si="21"/>
        <v>-11,55/+11,42  (EC  12,74)</v>
      </c>
      <c r="C778" s="484"/>
      <c r="D778" s="25">
        <v>6.9</v>
      </c>
      <c r="E778" s="25">
        <v>1.274</v>
      </c>
      <c r="F778" s="959">
        <v>109.81</v>
      </c>
      <c r="G778" s="1117">
        <v>0</v>
      </c>
      <c r="H778" s="1117">
        <v>0.05</v>
      </c>
      <c r="I778" s="832">
        <v>156.86400000000003</v>
      </c>
      <c r="J778" s="959">
        <v>111.39</v>
      </c>
      <c r="K778" s="1116">
        <v>23.929200000000002</v>
      </c>
      <c r="L778" s="25">
        <v>170.4</v>
      </c>
      <c r="M778" s="25">
        <v>0</v>
      </c>
      <c r="N778" s="1116">
        <v>20.97</v>
      </c>
      <c r="O778" s="1116">
        <v>98.04</v>
      </c>
      <c r="P778" s="340">
        <v>81.55</v>
      </c>
      <c r="Q778" s="340">
        <v>30.52</v>
      </c>
      <c r="R778" s="1116">
        <v>0.16</v>
      </c>
      <c r="S778" s="1116">
        <v>0.02</v>
      </c>
      <c r="T778" s="1116">
        <v>0.59</v>
      </c>
      <c r="U778" s="1116">
        <v>7.0000000000000007E-2</v>
      </c>
    </row>
    <row r="779" spans="1:22" x14ac:dyDescent="0.25">
      <c r="A779" s="585" t="s">
        <v>508</v>
      </c>
      <c r="B779" s="927" t="str">
        <f t="shared" si="21"/>
        <v>-13,92/+14,45  (EC  13,2)</v>
      </c>
      <c r="C779" s="484"/>
      <c r="D779" s="25">
        <v>7.12</v>
      </c>
      <c r="E779" s="25">
        <v>1.32</v>
      </c>
      <c r="F779" s="959">
        <v>92.1</v>
      </c>
      <c r="G779" s="1117">
        <v>0</v>
      </c>
      <c r="H779" s="1117">
        <v>0.05</v>
      </c>
      <c r="I779" s="832">
        <v>182.8</v>
      </c>
      <c r="J779" s="959">
        <v>57.15</v>
      </c>
      <c r="K779" s="1116">
        <v>3.0600000000000002E-2</v>
      </c>
      <c r="L779" s="25">
        <v>372</v>
      </c>
      <c r="M779" s="25">
        <v>0</v>
      </c>
      <c r="N779" s="1116">
        <v>2.56</v>
      </c>
      <c r="O779" s="1116">
        <v>114.25</v>
      </c>
      <c r="P779" s="340">
        <v>89.29</v>
      </c>
      <c r="Q779" s="340">
        <v>59.38</v>
      </c>
      <c r="R779" s="1116">
        <v>0.1</v>
      </c>
      <c r="S779" s="1116">
        <v>0</v>
      </c>
      <c r="T779" s="1116">
        <v>0</v>
      </c>
      <c r="U779" s="1116">
        <v>0</v>
      </c>
    </row>
    <row r="780" spans="1:22" x14ac:dyDescent="0.25">
      <c r="A780" s="585" t="s">
        <v>509</v>
      </c>
      <c r="B780" s="927" t="str">
        <f t="shared" si="21"/>
        <v>-14,13/+14,92  (EC  15,62)</v>
      </c>
      <c r="C780" s="25"/>
      <c r="D780" s="25">
        <v>7.11</v>
      </c>
      <c r="E780" s="25">
        <v>1.5620000000000001</v>
      </c>
      <c r="F780" s="959">
        <v>110.29</v>
      </c>
      <c r="G780" s="1117">
        <v>0</v>
      </c>
      <c r="H780" s="1117">
        <v>0.04</v>
      </c>
      <c r="I780" s="832">
        <v>164.76800000000003</v>
      </c>
      <c r="J780" s="959">
        <v>104.4</v>
      </c>
      <c r="K780" s="55">
        <v>40.850999999999999</v>
      </c>
      <c r="L780" s="25">
        <v>312</v>
      </c>
      <c r="M780" s="25">
        <v>0</v>
      </c>
      <c r="N780" s="1116">
        <v>36.99</v>
      </c>
      <c r="O780" s="1116">
        <v>102.98</v>
      </c>
      <c r="P780" s="1116">
        <v>92.41</v>
      </c>
      <c r="Q780" s="1116">
        <v>58.4</v>
      </c>
      <c r="R780" s="1116">
        <v>0.01</v>
      </c>
      <c r="S780" s="1116">
        <v>0</v>
      </c>
      <c r="T780" s="1116">
        <v>0</v>
      </c>
      <c r="U780" s="1116">
        <v>0.01</v>
      </c>
    </row>
    <row r="781" spans="1:22" x14ac:dyDescent="0.25">
      <c r="A781" s="585" t="s">
        <v>510</v>
      </c>
      <c r="B781" s="927" t="str">
        <f t="shared" si="21"/>
        <v>-16,28/+17,45  (EC  17,44)</v>
      </c>
      <c r="C781" s="25"/>
      <c r="D781" s="25">
        <v>7.12</v>
      </c>
      <c r="E781" s="25">
        <v>1.744</v>
      </c>
      <c r="F781" s="959">
        <v>110.56</v>
      </c>
      <c r="G781" s="1117">
        <v>0</v>
      </c>
      <c r="H781" s="1117">
        <v>0.06</v>
      </c>
      <c r="I781" s="832">
        <v>168.11199999999999</v>
      </c>
      <c r="J781" s="959">
        <v>166.53</v>
      </c>
      <c r="K781" s="55">
        <v>30.844799999999999</v>
      </c>
      <c r="L781" s="25">
        <v>364.4</v>
      </c>
      <c r="M781" s="25">
        <v>0</v>
      </c>
      <c r="N781" s="1116">
        <v>22.78</v>
      </c>
      <c r="O781" s="1116">
        <v>98.82</v>
      </c>
      <c r="P781" s="1116">
        <v>151.15</v>
      </c>
      <c r="Q781" s="1116">
        <v>60.06</v>
      </c>
      <c r="R781" s="1116">
        <v>0.01</v>
      </c>
      <c r="S781" s="1116">
        <v>0</v>
      </c>
      <c r="T781" s="1116">
        <v>0</v>
      </c>
      <c r="U781" s="1116">
        <v>0.01</v>
      </c>
    </row>
    <row r="782" spans="1:22" x14ac:dyDescent="0.25">
      <c r="A782" s="585" t="s">
        <v>511</v>
      </c>
      <c r="B782" s="927" t="str">
        <f t="shared" si="21"/>
        <v>-15,28/+16,40  (EC  15,8)</v>
      </c>
      <c r="C782" s="25"/>
      <c r="D782" s="25">
        <v>7.03</v>
      </c>
      <c r="E782" s="25">
        <v>1.58</v>
      </c>
      <c r="F782" s="959">
        <v>110.78</v>
      </c>
      <c r="G782" s="1117">
        <v>0</v>
      </c>
      <c r="H782" s="1117">
        <v>0.05</v>
      </c>
      <c r="I782" s="832">
        <v>159.88800000000003</v>
      </c>
      <c r="J782" s="959">
        <v>141.32</v>
      </c>
      <c r="K782" s="55">
        <v>18.7578</v>
      </c>
      <c r="L782" s="25">
        <v>357.2</v>
      </c>
      <c r="M782" s="25">
        <v>0</v>
      </c>
      <c r="N782" s="1116">
        <v>14.14</v>
      </c>
      <c r="O782" s="1116">
        <v>99.93</v>
      </c>
      <c r="P782" s="1116">
        <v>135.78</v>
      </c>
      <c r="Q782" s="1116">
        <v>58.86</v>
      </c>
      <c r="R782" s="1116">
        <v>0.01</v>
      </c>
      <c r="S782" s="1116">
        <v>0</v>
      </c>
      <c r="T782" s="1116">
        <v>0</v>
      </c>
      <c r="U782" s="1116">
        <v>0.02</v>
      </c>
    </row>
    <row r="783" spans="1:22" x14ac:dyDescent="0.25">
      <c r="A783" s="585" t="s">
        <v>512</v>
      </c>
      <c r="B783" s="927" t="str">
        <f t="shared" si="21"/>
        <v>-11,51/+11,14  (EC  12,34)</v>
      </c>
      <c r="C783" s="25"/>
      <c r="D783" s="25">
        <v>6.02</v>
      </c>
      <c r="E783" s="25">
        <v>1.234</v>
      </c>
      <c r="F783" s="959">
        <v>111.3</v>
      </c>
      <c r="G783" s="1117">
        <v>0</v>
      </c>
      <c r="H783" s="1117">
        <v>7.0000000000000007E-2</v>
      </c>
      <c r="I783" s="832">
        <v>79.44</v>
      </c>
      <c r="J783" s="959">
        <v>85.72</v>
      </c>
      <c r="K783" s="55">
        <v>84.884399999999999</v>
      </c>
      <c r="L783" s="25">
        <v>294</v>
      </c>
      <c r="M783" s="25">
        <v>0</v>
      </c>
      <c r="N783" s="1116">
        <v>108.25</v>
      </c>
      <c r="O783" s="1116">
        <v>49.65</v>
      </c>
      <c r="P783" s="340">
        <v>72.040000000000006</v>
      </c>
      <c r="Q783" s="1116">
        <v>31.18</v>
      </c>
      <c r="R783" s="1116">
        <v>0.08</v>
      </c>
      <c r="S783" s="1116">
        <v>0.01</v>
      </c>
      <c r="T783" s="1116">
        <v>0.15</v>
      </c>
      <c r="U783" s="1116">
        <v>0.05</v>
      </c>
    </row>
    <row r="784" spans="1:22" s="5" customFormat="1" x14ac:dyDescent="0.25">
      <c r="A784" s="1118">
        <v>900465</v>
      </c>
      <c r="B784" s="1119" t="str">
        <f t="shared" si="21"/>
        <v>-45,88/+47,95  (EC  46,2)</v>
      </c>
      <c r="C784" s="1119"/>
      <c r="D784" s="1120">
        <v>6.71</v>
      </c>
      <c r="E784" s="1120">
        <v>4.62</v>
      </c>
      <c r="F784" s="1121">
        <v>90.71</v>
      </c>
      <c r="G784" s="1122">
        <v>0</v>
      </c>
      <c r="H784" s="1122">
        <v>7.0000000000000007E-2</v>
      </c>
      <c r="I784" s="1120">
        <v>883.77599999999995</v>
      </c>
      <c r="J784" s="1121">
        <v>591.29999999999995</v>
      </c>
      <c r="K784" s="1123">
        <v>3.0600000000000002E-2</v>
      </c>
      <c r="L784" s="1120">
        <f>(18.4-0.1)*24</f>
        <v>439.19999999999993</v>
      </c>
      <c r="M784" s="1120">
        <v>0</v>
      </c>
      <c r="N784" s="1123">
        <v>10.34</v>
      </c>
      <c r="O784" s="1123">
        <v>252.36</v>
      </c>
      <c r="P784" s="1124">
        <v>454.02</v>
      </c>
      <c r="Q784" s="1125">
        <v>168.1</v>
      </c>
      <c r="R784" s="1116"/>
      <c r="S784" s="1116"/>
      <c r="T784" s="1116"/>
      <c r="U784" s="1116"/>
      <c r="V784" s="25"/>
    </row>
    <row r="785" spans="1:22" x14ac:dyDescent="0.25">
      <c r="A785" s="1118">
        <v>900466</v>
      </c>
      <c r="B785" s="1126" t="str">
        <f>"-"&amp;TEXT((F785/62+G785/46+I785/35.5+J785/48+K785/97+L785/61),"0,00")&amp;"/+"&amp;TEXT((N784/39+O785/23+P785/20+Q785/12+H785/14),"0,00")&amp;"  (EC  "&amp;E785*10&amp;")"</f>
        <v>-7,05/+6,37  (EC  5,53)</v>
      </c>
      <c r="C785" s="1119"/>
      <c r="D785" s="1120">
        <v>7.52</v>
      </c>
      <c r="E785" s="1120">
        <v>0.55300000000000005</v>
      </c>
      <c r="F785" s="1121">
        <v>82.56</v>
      </c>
      <c r="G785" s="1122">
        <v>0</v>
      </c>
      <c r="H785" s="1122">
        <v>0.09</v>
      </c>
      <c r="I785" s="1120">
        <v>9.8560000000000016</v>
      </c>
      <c r="J785" s="1121">
        <v>11.85</v>
      </c>
      <c r="K785" s="1123">
        <v>3.0600000000000002E-2</v>
      </c>
      <c r="L785" s="1120">
        <f>(13.3-0.1)*24</f>
        <v>316.8</v>
      </c>
      <c r="M785" s="1120">
        <v>0</v>
      </c>
      <c r="N785" s="1125">
        <v>0.69</v>
      </c>
      <c r="O785" s="1123">
        <v>6.16</v>
      </c>
      <c r="P785" s="1123">
        <v>63.86</v>
      </c>
      <c r="Q785" s="1125">
        <v>31.62</v>
      </c>
      <c r="R785" s="1116"/>
      <c r="S785" s="1116"/>
      <c r="T785" s="1116"/>
      <c r="U785" s="1116"/>
    </row>
    <row r="786" spans="1:22" x14ac:dyDescent="0.25">
      <c r="A786" s="1118">
        <v>900467</v>
      </c>
      <c r="B786" s="1119" t="str">
        <f>"-"&amp;TEXT((F786/62+G786/46+I786/35.5+J786/48+K786/97+L786/61),"0,00")&amp;"/+"&amp;TEXT((N785/39+O786/23+P786/20+Q786/12+H786/14),"0,00")&amp;"  (EC  "&amp;E786*10&amp;")"</f>
        <v>-5,86/+6,27  (EC  5,77)</v>
      </c>
      <c r="C786" s="1119"/>
      <c r="D786" s="1120">
        <v>7.14</v>
      </c>
      <c r="E786" s="1120">
        <v>0.57699999999999996</v>
      </c>
      <c r="F786" s="1121">
        <v>71.2</v>
      </c>
      <c r="G786" s="1122">
        <v>0</v>
      </c>
      <c r="H786" s="1122">
        <v>0.05</v>
      </c>
      <c r="I786" s="1120">
        <v>94.903999999999996</v>
      </c>
      <c r="J786" s="1121">
        <v>22.34</v>
      </c>
      <c r="K786" s="1125">
        <v>0.15300000000000002</v>
      </c>
      <c r="L786" s="1120">
        <f>(4.1-0.1)*24</f>
        <v>95.999999999999986</v>
      </c>
      <c r="M786" s="1120">
        <v>0</v>
      </c>
      <c r="N786" s="1125">
        <v>3.82</v>
      </c>
      <c r="O786" s="1123">
        <v>122.44</v>
      </c>
      <c r="P786" s="1123">
        <v>6.37</v>
      </c>
      <c r="Q786" s="1125">
        <v>7.28</v>
      </c>
      <c r="R786" s="1116"/>
      <c r="S786" s="1116"/>
      <c r="T786" s="1116"/>
      <c r="U786" s="1116"/>
    </row>
    <row r="787" spans="1:22" x14ac:dyDescent="0.25">
      <c r="A787" s="1118">
        <v>900468</v>
      </c>
      <c r="B787" s="1119" t="str">
        <f>"-"&amp;TEXT((F787/62+G787/46+I787/35.5+J787/48+K787/97+L787/61),"0,00")&amp;"/+"&amp;TEXT((N786/39+O787/23+P787/20+Q787/12+H787/14),"0,00")&amp;"  (EC  "&amp;E787*10&amp;")"</f>
        <v>-7,25/+6,62  (EC  6,35)</v>
      </c>
      <c r="C787" s="1119"/>
      <c r="D787" s="1120">
        <v>7.03</v>
      </c>
      <c r="E787" s="1120">
        <v>0.63500000000000001</v>
      </c>
      <c r="F787" s="1121">
        <v>101.73</v>
      </c>
      <c r="G787" s="1122">
        <v>0</v>
      </c>
      <c r="H787" s="1122">
        <v>0.04</v>
      </c>
      <c r="I787" s="1120">
        <v>33.264000000000003</v>
      </c>
      <c r="J787" s="1121">
        <v>12.62</v>
      </c>
      <c r="K787" s="1125">
        <v>0</v>
      </c>
      <c r="L787" s="1120">
        <f>(11.3-0.1)*24</f>
        <v>268.8</v>
      </c>
      <c r="M787" s="1120">
        <v>0</v>
      </c>
      <c r="N787" s="1125">
        <v>0.4</v>
      </c>
      <c r="O787" s="1123">
        <v>20.79</v>
      </c>
      <c r="P787" s="1123">
        <v>82.27</v>
      </c>
      <c r="Q787" s="1125">
        <v>17.989999999999998</v>
      </c>
      <c r="R787" s="1116"/>
      <c r="S787" s="1116"/>
      <c r="T787" s="1116"/>
      <c r="U787" s="1116"/>
    </row>
    <row r="788" spans="1:22" x14ac:dyDescent="0.25">
      <c r="A788" s="1118">
        <v>900469</v>
      </c>
      <c r="B788" s="1119" t="str">
        <f>"-"&amp;TEXT((F788/62+G788/46+I788/35.5+J788/48+K788/97+L788/61),"0,00")&amp;"/+"&amp;TEXT((N787/39+O788/23+P788/20+Q788/12+H788/14),"0,00")&amp;"  (EC  "&amp;E788*10&amp;")"</f>
        <v>-7,95/+8,28  (EC  7,37)</v>
      </c>
      <c r="C788" s="1119"/>
      <c r="D788" s="1120">
        <v>6.94</v>
      </c>
      <c r="E788" s="1120">
        <v>0.73699999999999999</v>
      </c>
      <c r="F788" s="1121">
        <v>74.02</v>
      </c>
      <c r="G788" s="1122">
        <v>0</v>
      </c>
      <c r="H788" s="1122">
        <v>0.06</v>
      </c>
      <c r="I788" s="1120">
        <v>30.656000000000002</v>
      </c>
      <c r="J788" s="1121">
        <v>20.32</v>
      </c>
      <c r="K788" s="1125">
        <v>3.0600000000000002E-2</v>
      </c>
      <c r="L788" s="1120">
        <f>(14-0.1)*24</f>
        <v>333.6</v>
      </c>
      <c r="M788" s="1120">
        <v>0</v>
      </c>
      <c r="N788" s="1125">
        <v>0.53</v>
      </c>
      <c r="O788" s="1123">
        <v>19.16</v>
      </c>
      <c r="P788" s="1125">
        <v>80.95</v>
      </c>
      <c r="Q788" s="1125">
        <v>40.659999999999997</v>
      </c>
      <c r="R788" s="1116"/>
      <c r="S788" s="1116"/>
      <c r="T788" s="1116"/>
      <c r="U788" s="1116"/>
    </row>
    <row r="789" spans="1:22" s="5" customFormat="1" x14ac:dyDescent="0.25">
      <c r="A789" s="586">
        <v>900470</v>
      </c>
      <c r="B789" s="566" t="str">
        <f t="shared" ref="B789:B852" si="22">"-"&amp;TEXT((F789/62+G789/46+I789/35.5+J789/48+K789/97+L789/61),"0,00")&amp;"/+"&amp;TEXT((N789/39+O789/23+P789/20+Q789/12+H789/14),"0,00")&amp;"  (EC  "&amp;E789*10&amp;")"</f>
        <v>-13,92/+12,26  (EC  13,02)</v>
      </c>
      <c r="C789" s="568"/>
      <c r="D789" s="569">
        <v>7.21</v>
      </c>
      <c r="E789" s="569">
        <v>1.302</v>
      </c>
      <c r="F789" s="1128">
        <v>7.28</v>
      </c>
      <c r="G789" s="569">
        <v>0</v>
      </c>
      <c r="H789" s="1128">
        <v>0.06</v>
      </c>
      <c r="I789" s="1128">
        <v>221.04</v>
      </c>
      <c r="J789" s="1128">
        <v>144.44999999999999</v>
      </c>
      <c r="K789" s="569">
        <v>1E-3</v>
      </c>
      <c r="L789" s="569">
        <f>(11.7-0.1)*24</f>
        <v>278.39999999999998</v>
      </c>
      <c r="M789" s="569">
        <v>0</v>
      </c>
      <c r="N789" s="1034">
        <v>1.4</v>
      </c>
      <c r="O789" s="1034">
        <v>138.15</v>
      </c>
      <c r="P789" s="1034">
        <v>90.44</v>
      </c>
      <c r="Q789" s="1034">
        <v>20.309999999999999</v>
      </c>
      <c r="R789" s="569">
        <v>0.08</v>
      </c>
      <c r="S789" s="569">
        <v>1E-3</v>
      </c>
      <c r="T789" s="1034">
        <v>1E-3</v>
      </c>
      <c r="U789" s="1034">
        <v>0.03</v>
      </c>
      <c r="V789" s="569"/>
    </row>
    <row r="790" spans="1:22" s="5" customFormat="1" x14ac:dyDescent="0.25">
      <c r="A790" s="586">
        <v>900471</v>
      </c>
      <c r="B790" s="566" t="str">
        <f t="shared" si="22"/>
        <v>-12,63/+11,67  (EC  12,68)</v>
      </c>
      <c r="C790" s="568"/>
      <c r="D790" s="569">
        <v>7.72</v>
      </c>
      <c r="E790" s="569">
        <v>1.268</v>
      </c>
      <c r="F790" s="1128">
        <v>1.84</v>
      </c>
      <c r="G790" s="569">
        <v>0</v>
      </c>
      <c r="H790" s="1128">
        <v>0.05</v>
      </c>
      <c r="I790" s="1128">
        <v>260.06400000000002</v>
      </c>
      <c r="J790" s="1128">
        <v>120.8</v>
      </c>
      <c r="K790" s="569">
        <v>1E-3</v>
      </c>
      <c r="L790" s="570">
        <f>(7.1-0.1)*24</f>
        <v>168</v>
      </c>
      <c r="M790" s="569">
        <v>0</v>
      </c>
      <c r="N790" s="1034">
        <v>2.36</v>
      </c>
      <c r="O790" s="1034">
        <v>162.54</v>
      </c>
      <c r="P790" s="1034">
        <v>62.36</v>
      </c>
      <c r="Q790" s="1034">
        <v>17.07</v>
      </c>
      <c r="R790" s="569" t="s">
        <v>468</v>
      </c>
      <c r="S790" s="569">
        <v>1E-3</v>
      </c>
      <c r="T790" s="1034">
        <v>1E-3</v>
      </c>
      <c r="U790" s="1034">
        <v>0.11</v>
      </c>
      <c r="V790" s="569"/>
    </row>
    <row r="791" spans="1:22" s="5" customFormat="1" x14ac:dyDescent="0.25">
      <c r="A791" s="586">
        <v>900472</v>
      </c>
      <c r="B791" s="566" t="str">
        <f t="shared" si="22"/>
        <v>-104,12/+104,04  (EC  104,7)</v>
      </c>
      <c r="C791" s="568"/>
      <c r="D791" s="569">
        <v>6.91</v>
      </c>
      <c r="E791" s="569">
        <v>10.47</v>
      </c>
      <c r="F791" s="1128">
        <v>112.27</v>
      </c>
      <c r="G791" s="569">
        <v>0</v>
      </c>
      <c r="H791" s="1128">
        <v>7.0000000000000007E-2</v>
      </c>
      <c r="I791" s="1128">
        <v>2911.4560000000001</v>
      </c>
      <c r="J791" s="1128">
        <v>681.3</v>
      </c>
      <c r="K791" s="569">
        <v>1E-3</v>
      </c>
      <c r="L791" s="569">
        <v>372.32</v>
      </c>
      <c r="M791" s="569">
        <v>0</v>
      </c>
      <c r="N791" s="1034">
        <v>10.94</v>
      </c>
      <c r="O791" s="1034">
        <v>1632.16</v>
      </c>
      <c r="P791" s="1034">
        <v>324.33</v>
      </c>
      <c r="Q791" s="1034">
        <v>198.89</v>
      </c>
      <c r="R791" s="569">
        <v>0.03</v>
      </c>
      <c r="S791" s="569">
        <v>1E-3</v>
      </c>
      <c r="T791" s="1034">
        <v>1E-3</v>
      </c>
      <c r="U791" s="1034">
        <v>1E-3</v>
      </c>
      <c r="V791" s="569">
        <v>1.0900000000000001</v>
      </c>
    </row>
    <row r="792" spans="1:22" s="5" customFormat="1" x14ac:dyDescent="0.25">
      <c r="A792" s="586">
        <v>900473</v>
      </c>
      <c r="B792" s="566" t="str">
        <f t="shared" si="22"/>
        <v>-49,84/+48,00  (EC  48,5)</v>
      </c>
      <c r="C792" s="568"/>
      <c r="D792" s="569">
        <v>6.8</v>
      </c>
      <c r="E792" s="569">
        <v>4.8499999999999996</v>
      </c>
      <c r="F792" s="1128">
        <v>82.55</v>
      </c>
      <c r="G792" s="569">
        <v>0</v>
      </c>
      <c r="H792" s="1128">
        <v>0.05</v>
      </c>
      <c r="I792" s="1128">
        <v>1014.9440000000001</v>
      </c>
      <c r="J792" s="1128">
        <v>548.35</v>
      </c>
      <c r="K792" s="569">
        <v>1E-3</v>
      </c>
      <c r="L792" s="569">
        <f>(21.7-0.1)*24</f>
        <v>518.4</v>
      </c>
      <c r="M792" s="569">
        <v>0</v>
      </c>
      <c r="N792" s="1034">
        <v>9.3699999999999992</v>
      </c>
      <c r="O792" s="1034">
        <v>634.34</v>
      </c>
      <c r="P792" s="1034">
        <v>157.01</v>
      </c>
      <c r="Q792" s="1034">
        <v>147.88</v>
      </c>
      <c r="R792" s="569">
        <v>1E-3</v>
      </c>
      <c r="S792" s="569">
        <v>1E-3</v>
      </c>
      <c r="T792" s="1034">
        <v>1E-3</v>
      </c>
      <c r="U792" s="1034">
        <v>0.04</v>
      </c>
      <c r="V792" s="569"/>
    </row>
    <row r="793" spans="1:22" s="5" customFormat="1" x14ac:dyDescent="0.25">
      <c r="A793" s="586">
        <v>900474</v>
      </c>
      <c r="B793" s="566" t="str">
        <f t="shared" si="22"/>
        <v>-22,14/+23,64  (EC  22,01)</v>
      </c>
      <c r="C793" s="568"/>
      <c r="D793" s="569">
        <v>6.93</v>
      </c>
      <c r="E793" s="569">
        <v>2.2010000000000001</v>
      </c>
      <c r="F793" s="1128">
        <v>39.950000000000003</v>
      </c>
      <c r="G793" s="569">
        <v>0</v>
      </c>
      <c r="H793" s="1128">
        <v>7.0000000000000007E-2</v>
      </c>
      <c r="I793" s="1128">
        <v>216.83200000000002</v>
      </c>
      <c r="J793" s="1128">
        <v>493.2</v>
      </c>
      <c r="K793" s="569">
        <v>1E-3</v>
      </c>
      <c r="L793" s="569">
        <f>(13.1-0.1)*24</f>
        <v>312</v>
      </c>
      <c r="M793" s="569">
        <v>0</v>
      </c>
      <c r="N793" s="1034">
        <v>3.99</v>
      </c>
      <c r="O793" s="1034">
        <v>135.52000000000001</v>
      </c>
      <c r="P793" s="1034">
        <v>138.66999999999999</v>
      </c>
      <c r="Q793" s="1034">
        <v>128.51</v>
      </c>
      <c r="R793" s="569">
        <v>1E-3</v>
      </c>
      <c r="S793" s="569">
        <v>1E-3</v>
      </c>
      <c r="T793" s="1034">
        <v>1E-3</v>
      </c>
      <c r="U793" s="1034">
        <v>1E-3</v>
      </c>
      <c r="V793" s="569"/>
    </row>
    <row r="794" spans="1:22" s="5" customFormat="1" x14ac:dyDescent="0.25">
      <c r="A794" s="586">
        <v>900475</v>
      </c>
      <c r="B794" s="566" t="str">
        <f t="shared" si="22"/>
        <v>-8,13/+8,18  (EC  7,22)</v>
      </c>
      <c r="C794" s="568"/>
      <c r="D794" s="569">
        <v>7.13</v>
      </c>
      <c r="E794" s="569">
        <v>0.72199999999999998</v>
      </c>
      <c r="F794" s="1128">
        <v>33.31</v>
      </c>
      <c r="G794" s="569">
        <v>0</v>
      </c>
      <c r="H794" s="1128">
        <v>0.03</v>
      </c>
      <c r="I794" s="1128">
        <v>42.656000000000006</v>
      </c>
      <c r="J794" s="1128">
        <v>32.99</v>
      </c>
      <c r="K794" s="569">
        <v>1E-3</v>
      </c>
      <c r="L794" s="569">
        <f>(14.6-0.1)*24</f>
        <v>348</v>
      </c>
      <c r="M794" s="569">
        <v>0</v>
      </c>
      <c r="N794" s="1034">
        <v>2.3199999999999998</v>
      </c>
      <c r="O794" s="1034">
        <v>26.66</v>
      </c>
      <c r="P794" s="1034">
        <v>67.61</v>
      </c>
      <c r="Q794" s="1034">
        <v>42.91</v>
      </c>
      <c r="R794" s="569">
        <v>1E-3</v>
      </c>
      <c r="S794" s="569">
        <v>1E-3</v>
      </c>
      <c r="T794" s="1034">
        <v>1E-3</v>
      </c>
      <c r="U794" s="1034">
        <v>1E-3</v>
      </c>
      <c r="V794" s="569"/>
    </row>
    <row r="795" spans="1:22" s="5" customFormat="1" x14ac:dyDescent="0.25">
      <c r="A795" s="586">
        <v>900476</v>
      </c>
      <c r="B795" s="566" t="str">
        <f>"-"&amp;TEXT((F795/62+G795/46+I795/35.5+J795/48+K795/97+L795/61),"0,00")&amp;"/+"&amp;TEXT((N795/39+O795/23+P795/20+Q795/12+H795/14),"0,00")&amp;"  (EC  "&amp;E795*10&amp;")"</f>
        <v>-8,34/+8,31  (EC  7,08)</v>
      </c>
      <c r="C795" s="568"/>
      <c r="D795" s="569">
        <v>6.87</v>
      </c>
      <c r="E795" s="569">
        <v>0.70799999999999996</v>
      </c>
      <c r="F795" s="1128">
        <v>35.130000000000003</v>
      </c>
      <c r="G795" s="569">
        <v>0</v>
      </c>
      <c r="H795" s="1128">
        <v>0.08</v>
      </c>
      <c r="I795" s="1128">
        <v>28.352</v>
      </c>
      <c r="J795" s="1128">
        <v>30.53</v>
      </c>
      <c r="K795" s="569">
        <v>1E-3</v>
      </c>
      <c r="L795" s="569">
        <f>(16.2-0.1)*24</f>
        <v>386.4</v>
      </c>
      <c r="M795" s="569">
        <v>0</v>
      </c>
      <c r="N795" s="1034">
        <v>2.23</v>
      </c>
      <c r="O795" s="1034">
        <v>17.72</v>
      </c>
      <c r="P795" s="1034">
        <v>74.22</v>
      </c>
      <c r="Q795" s="1034">
        <v>45.19</v>
      </c>
      <c r="R795" s="569">
        <v>1E-3</v>
      </c>
      <c r="S795" s="569">
        <v>1E-3</v>
      </c>
      <c r="T795" s="1034">
        <v>1E-3</v>
      </c>
      <c r="U795" s="1034">
        <v>1E-3</v>
      </c>
      <c r="V795" s="569"/>
    </row>
    <row r="796" spans="1:22" s="5" customFormat="1" x14ac:dyDescent="0.25">
      <c r="A796" s="586">
        <v>900477</v>
      </c>
      <c r="B796" s="566" t="str">
        <f t="shared" si="22"/>
        <v>-12,33/+12,88  (EC  11,85)</v>
      </c>
      <c r="C796" s="568"/>
      <c r="D796" s="569">
        <v>6.98</v>
      </c>
      <c r="E796" s="569">
        <v>1.1850000000000001</v>
      </c>
      <c r="F796" s="1128">
        <v>12.11</v>
      </c>
      <c r="G796" s="569">
        <v>0</v>
      </c>
      <c r="H796" s="1128">
        <v>0.05</v>
      </c>
      <c r="I796" s="837">
        <v>101.57599999999999</v>
      </c>
      <c r="J796" s="569">
        <v>82.42</v>
      </c>
      <c r="K796" s="569">
        <v>1E-3</v>
      </c>
      <c r="L796" s="569">
        <f>(19.3-0.1)*24</f>
        <v>460.79999999999995</v>
      </c>
      <c r="M796" s="569">
        <v>0</v>
      </c>
      <c r="N796" s="1034">
        <v>8.5</v>
      </c>
      <c r="O796" s="1034">
        <v>87.86</v>
      </c>
      <c r="P796" s="1034">
        <v>85.63</v>
      </c>
      <c r="Q796" s="1034">
        <v>54.64</v>
      </c>
      <c r="R796" s="569">
        <v>1E-3</v>
      </c>
      <c r="S796" s="569">
        <v>1E-3</v>
      </c>
      <c r="T796" s="1034">
        <v>7.0000000000000007E-2</v>
      </c>
      <c r="U796" s="1034">
        <v>0.01</v>
      </c>
      <c r="V796" s="569"/>
    </row>
    <row r="797" spans="1:22" s="5" customFormat="1" x14ac:dyDescent="0.25">
      <c r="A797" s="586">
        <v>900478</v>
      </c>
      <c r="B797" s="566" t="str">
        <f t="shared" si="22"/>
        <v>-14,83/+14,39  (EC  13,55)</v>
      </c>
      <c r="C797" s="568"/>
      <c r="D797" s="569">
        <v>6.97</v>
      </c>
      <c r="E797" s="569">
        <v>1.355</v>
      </c>
      <c r="F797" s="1128">
        <v>7.12</v>
      </c>
      <c r="G797" s="569">
        <v>0</v>
      </c>
      <c r="H797" s="1128">
        <v>0.04</v>
      </c>
      <c r="I797" s="837">
        <v>165.208</v>
      </c>
      <c r="J797" s="569">
        <v>80.7</v>
      </c>
      <c r="K797" s="569">
        <v>1E-3</v>
      </c>
      <c r="L797" s="569">
        <f>(21.4-0.1)*24</f>
        <v>511.19999999999993</v>
      </c>
      <c r="M797" s="569">
        <v>0</v>
      </c>
      <c r="N797" s="1034">
        <v>9.4499999999999993</v>
      </c>
      <c r="O797" s="1034">
        <v>130.13</v>
      </c>
      <c r="P797" s="1034">
        <v>89.64</v>
      </c>
      <c r="Q797" s="1034">
        <v>48.06</v>
      </c>
      <c r="R797" s="569">
        <v>1E-3</v>
      </c>
      <c r="S797" s="569">
        <v>1E-3</v>
      </c>
      <c r="T797" s="1034">
        <v>0.04</v>
      </c>
      <c r="U797" s="1034">
        <v>0.01</v>
      </c>
      <c r="V797" s="569"/>
    </row>
    <row r="798" spans="1:22" s="5" customFormat="1" x14ac:dyDescent="0.25">
      <c r="A798" s="586">
        <v>900479</v>
      </c>
      <c r="B798" s="566" t="str">
        <f t="shared" si="22"/>
        <v>-6,05/+7,20  (EC  7,04)</v>
      </c>
      <c r="C798" s="568"/>
      <c r="D798" s="569">
        <v>7.51</v>
      </c>
      <c r="E798" s="569">
        <v>0.70399999999999996</v>
      </c>
      <c r="F798" s="1128">
        <v>77.959999999999994</v>
      </c>
      <c r="G798" s="569">
        <v>0</v>
      </c>
      <c r="H798" s="1128">
        <v>7.0000000000000007E-2</v>
      </c>
      <c r="I798" s="837">
        <v>38.192</v>
      </c>
      <c r="J798" s="569">
        <v>38.49</v>
      </c>
      <c r="K798" s="569">
        <v>1E-3</v>
      </c>
      <c r="L798" s="569">
        <f>(7.5-0.1)*24</f>
        <v>177.60000000000002</v>
      </c>
      <c r="M798" s="569">
        <v>0</v>
      </c>
      <c r="N798" s="1034">
        <v>0.68</v>
      </c>
      <c r="O798" s="1034">
        <v>23.87</v>
      </c>
      <c r="P798" s="1034">
        <v>98.21</v>
      </c>
      <c r="Q798" s="1034">
        <v>14.71</v>
      </c>
      <c r="R798" s="569">
        <v>1E-3</v>
      </c>
      <c r="S798" s="569">
        <v>1E-3</v>
      </c>
      <c r="T798" s="1034">
        <v>1E-3</v>
      </c>
      <c r="U798" s="1034">
        <v>0.03</v>
      </c>
      <c r="V798" s="569"/>
    </row>
    <row r="799" spans="1:22" s="5" customFormat="1" x14ac:dyDescent="0.25">
      <c r="A799" s="586">
        <v>900480</v>
      </c>
      <c r="B799" s="566" t="str">
        <f t="shared" si="22"/>
        <v>-12,33/+12,86  (EC  12)</v>
      </c>
      <c r="C799" s="568"/>
      <c r="D799" s="569">
        <v>7.04</v>
      </c>
      <c r="E799" s="569">
        <v>1.2</v>
      </c>
      <c r="F799" s="1128">
        <v>47.15</v>
      </c>
      <c r="G799" s="569">
        <v>0</v>
      </c>
      <c r="H799" s="1128">
        <v>7.0000000000000007E-2</v>
      </c>
      <c r="I799" s="837">
        <v>147.24800000000002</v>
      </c>
      <c r="J799" s="569">
        <v>107.01</v>
      </c>
      <c r="K799" s="569">
        <v>1E-3</v>
      </c>
      <c r="L799" s="569">
        <f>(13.3-0.1)*24</f>
        <v>316.8</v>
      </c>
      <c r="M799" s="569">
        <v>0</v>
      </c>
      <c r="N799" s="1034">
        <v>1.62</v>
      </c>
      <c r="O799" s="1034">
        <v>92.03</v>
      </c>
      <c r="P799" s="1034">
        <v>113.9</v>
      </c>
      <c r="Q799" s="1034">
        <v>37.409999999999997</v>
      </c>
      <c r="R799" s="569">
        <v>1E-3</v>
      </c>
      <c r="S799" s="569">
        <v>1E-3</v>
      </c>
      <c r="T799" s="1034">
        <v>1E-3</v>
      </c>
      <c r="U799" s="1034">
        <v>0.03</v>
      </c>
      <c r="V799" s="569"/>
    </row>
    <row r="800" spans="1:22" s="5" customFormat="1" x14ac:dyDescent="0.25">
      <c r="A800" s="586">
        <v>900481</v>
      </c>
      <c r="B800" s="566" t="str">
        <f t="shared" si="22"/>
        <v>-12,80/+12,17  (EC  12,08)</v>
      </c>
      <c r="C800" s="568"/>
      <c r="D800" s="569">
        <v>7.02</v>
      </c>
      <c r="E800" s="569">
        <v>1.208</v>
      </c>
      <c r="F800" s="1128">
        <v>38.79</v>
      </c>
      <c r="G800" s="569">
        <v>0</v>
      </c>
      <c r="H800" s="1128">
        <v>0.05</v>
      </c>
      <c r="I800" s="837">
        <v>187.92000000000002</v>
      </c>
      <c r="J800" s="569">
        <v>84.56</v>
      </c>
      <c r="K800" s="569">
        <v>1E-3</v>
      </c>
      <c r="L800" s="569">
        <f>(13.1-0.1)*24</f>
        <v>312</v>
      </c>
      <c r="M800" s="569">
        <v>0</v>
      </c>
      <c r="N800" s="1034">
        <v>1.95</v>
      </c>
      <c r="O800" s="1034">
        <v>117.45</v>
      </c>
      <c r="P800" s="1034">
        <v>86.01</v>
      </c>
      <c r="Q800" s="1034">
        <v>32.51</v>
      </c>
      <c r="R800" s="569">
        <v>1E-3</v>
      </c>
      <c r="S800" s="569">
        <v>1E-3</v>
      </c>
      <c r="T800" s="1034">
        <v>1E-3</v>
      </c>
      <c r="U800" s="1034">
        <v>1E-3</v>
      </c>
      <c r="V800" s="569"/>
    </row>
    <row r="801" spans="1:22" s="5" customFormat="1" x14ac:dyDescent="0.25">
      <c r="A801" s="586">
        <v>900482</v>
      </c>
      <c r="B801" s="566" t="str">
        <f>"-"&amp;TEXT((F801/62+G801/46+I801/35.5+J801/48+K801/97+L801/61),"0,00")&amp;"/+"&amp;TEXT((N801/39+O801/23+P801/20+Q801/12+H801/14),"0,00")&amp;"  (EC  "&amp;E801*10&amp;")"</f>
        <v>-8,36/+7,96  (EC  7,33)</v>
      </c>
      <c r="C801" s="568"/>
      <c r="D801" s="569">
        <v>7.42</v>
      </c>
      <c r="E801" s="569">
        <v>0.73299999999999998</v>
      </c>
      <c r="F801" s="1128">
        <v>58.96</v>
      </c>
      <c r="G801" s="569">
        <v>0</v>
      </c>
      <c r="H801" s="1128">
        <v>0.08</v>
      </c>
      <c r="I801" s="837">
        <v>52.927999999999997</v>
      </c>
      <c r="J801" s="569">
        <v>76.400000000000006</v>
      </c>
      <c r="K801" s="569">
        <v>1E-3</v>
      </c>
      <c r="L801" s="569">
        <f>(11.1-0.1)*24</f>
        <v>264</v>
      </c>
      <c r="M801" s="569"/>
      <c r="N801" s="1034">
        <v>1.5</v>
      </c>
      <c r="O801" s="1034">
        <v>33.08</v>
      </c>
      <c r="P801" s="1034">
        <v>82.43</v>
      </c>
      <c r="Q801" s="1034">
        <v>28.27</v>
      </c>
      <c r="R801" s="569">
        <v>1E-3</v>
      </c>
      <c r="S801" s="569">
        <v>1E-3</v>
      </c>
      <c r="T801" s="1034">
        <v>1E-3</v>
      </c>
      <c r="U801" s="1034">
        <v>1E-3</v>
      </c>
      <c r="V801" s="569"/>
    </row>
    <row r="802" spans="1:22" s="1066" customFormat="1" x14ac:dyDescent="0.25">
      <c r="A802" s="1133">
        <v>900483</v>
      </c>
      <c r="B802" s="1134" t="str">
        <f>"-"&amp;TEXT((F802/62+G802/46+I802/35.5+J802/48+K802/97+L802/61),"0,00")&amp;"/+"&amp;TEXT((N802/39+O802/23+P802/20+Q802/12+H802/14),"0,00")&amp;"  (EC  "&amp;E802*10&amp;")"</f>
        <v>-223,28/+247,26  (EC  245)</v>
      </c>
      <c r="C802" s="1135"/>
      <c r="D802" s="967">
        <v>0.3</v>
      </c>
      <c r="E802" s="1136">
        <v>24.5</v>
      </c>
      <c r="F802" s="959">
        <v>3.51</v>
      </c>
      <c r="G802" s="1137">
        <v>0</v>
      </c>
      <c r="H802" s="959">
        <v>0.08</v>
      </c>
      <c r="I802" s="1138">
        <v>7216.688000000001</v>
      </c>
      <c r="J802" s="959">
        <v>649.15</v>
      </c>
      <c r="K802" s="1139">
        <v>6.1200000000000004E-2</v>
      </c>
      <c r="L802" s="967">
        <v>391.23</v>
      </c>
      <c r="M802" s="967">
        <v>0</v>
      </c>
      <c r="N802" s="753">
        <v>133.30000000000001</v>
      </c>
      <c r="O802" s="753">
        <v>4510.43</v>
      </c>
      <c r="P802" s="753">
        <v>353.87</v>
      </c>
      <c r="Q802" s="753">
        <v>360.4</v>
      </c>
      <c r="R802" s="967">
        <v>1E-3</v>
      </c>
      <c r="S802" s="753">
        <v>1E-3</v>
      </c>
      <c r="T802" s="753">
        <v>0.02</v>
      </c>
      <c r="U802" s="753">
        <v>0.01</v>
      </c>
      <c r="V802" s="967"/>
    </row>
    <row r="803" spans="1:22" s="1066" customFormat="1" x14ac:dyDescent="0.25">
      <c r="A803" s="1133">
        <v>900484</v>
      </c>
      <c r="B803" s="1134" t="str">
        <f t="shared" si="22"/>
        <v>-12,62/+13,06  (EC  13,43)</v>
      </c>
      <c r="C803" s="1135"/>
      <c r="D803" s="967">
        <v>7.2</v>
      </c>
      <c r="E803" s="1136">
        <v>1.343</v>
      </c>
      <c r="F803" s="959">
        <v>111.26</v>
      </c>
      <c r="G803" s="1137">
        <v>0</v>
      </c>
      <c r="H803" s="959">
        <v>7.0000000000000007E-2</v>
      </c>
      <c r="I803" s="1138">
        <v>168.38400000000001</v>
      </c>
      <c r="J803" s="959">
        <v>221.88</v>
      </c>
      <c r="K803" s="1139">
        <v>0.12240000000000001</v>
      </c>
      <c r="L803" s="967">
        <v>89.2</v>
      </c>
      <c r="M803" s="967">
        <v>0</v>
      </c>
      <c r="N803" s="753">
        <v>4.2</v>
      </c>
      <c r="O803" s="753">
        <v>105.24</v>
      </c>
      <c r="P803" s="753">
        <v>76.930000000000007</v>
      </c>
      <c r="Q803" s="753">
        <v>54.29</v>
      </c>
      <c r="R803" s="967">
        <v>1E-3</v>
      </c>
      <c r="S803" s="753">
        <v>1E-3</v>
      </c>
      <c r="T803" s="753">
        <v>1E-3</v>
      </c>
      <c r="U803" s="753">
        <v>0.03</v>
      </c>
      <c r="V803" s="967"/>
    </row>
    <row r="804" spans="1:22" s="5" customFormat="1" x14ac:dyDescent="0.25">
      <c r="A804" s="1133">
        <v>900485</v>
      </c>
      <c r="B804" s="1134" t="str">
        <f t="shared" si="22"/>
        <v>-10,47/+9,20  (EC  9,38)</v>
      </c>
      <c r="C804" s="484"/>
      <c r="D804" s="25">
        <v>7.1</v>
      </c>
      <c r="E804" s="25">
        <v>0.93799999999999994</v>
      </c>
      <c r="F804" s="959">
        <v>116.67</v>
      </c>
      <c r="G804" s="25">
        <v>0</v>
      </c>
      <c r="H804" s="959">
        <v>0.06</v>
      </c>
      <c r="I804" s="1138">
        <v>87.248000000000005</v>
      </c>
      <c r="J804" s="959">
        <v>58.78</v>
      </c>
      <c r="K804" s="1139">
        <v>0.12240000000000001</v>
      </c>
      <c r="L804" s="25">
        <v>299.3</v>
      </c>
      <c r="M804" s="25">
        <v>0</v>
      </c>
      <c r="N804" s="753">
        <v>0.92</v>
      </c>
      <c r="O804" s="753">
        <v>54.53</v>
      </c>
      <c r="P804" s="753">
        <v>122.57</v>
      </c>
      <c r="Q804" s="753">
        <v>8.09</v>
      </c>
      <c r="R804" s="25">
        <v>1E-3</v>
      </c>
      <c r="S804" s="753">
        <v>1E-3</v>
      </c>
      <c r="T804" s="753">
        <v>1E-3</v>
      </c>
      <c r="U804" s="753">
        <v>0.04</v>
      </c>
      <c r="V804" s="25"/>
    </row>
    <row r="805" spans="1:22" s="5" customFormat="1" x14ac:dyDescent="0.25">
      <c r="A805" s="1133">
        <v>900486</v>
      </c>
      <c r="B805" s="1134" t="str">
        <f t="shared" si="22"/>
        <v>-12,66/+12,82  (EC  12,9)</v>
      </c>
      <c r="C805" s="484"/>
      <c r="D805" s="25">
        <v>7.41</v>
      </c>
      <c r="E805" s="25">
        <v>1.29</v>
      </c>
      <c r="F805" s="959">
        <v>47.41</v>
      </c>
      <c r="G805" s="25">
        <v>0</v>
      </c>
      <c r="H805" s="959">
        <v>0.08</v>
      </c>
      <c r="I805" s="1138">
        <v>195.88800000000003</v>
      </c>
      <c r="J805" s="959">
        <v>119.46</v>
      </c>
      <c r="K805" s="1139">
        <v>6.1200000000000004E-2</v>
      </c>
      <c r="L805" s="25">
        <v>236.9</v>
      </c>
      <c r="M805" s="25">
        <v>0</v>
      </c>
      <c r="N805" s="753">
        <v>2.73</v>
      </c>
      <c r="O805" s="753">
        <v>122.43</v>
      </c>
      <c r="P805" s="753">
        <v>90.73</v>
      </c>
      <c r="Q805" s="753">
        <v>34.64</v>
      </c>
      <c r="R805" s="25">
        <v>1E-3</v>
      </c>
      <c r="S805" s="753">
        <v>1E-3</v>
      </c>
      <c r="T805" s="753">
        <v>1E-3</v>
      </c>
      <c r="U805" s="753">
        <v>1E-3</v>
      </c>
      <c r="V805" s="25"/>
    </row>
    <row r="806" spans="1:22" x14ac:dyDescent="0.25">
      <c r="A806" s="1140">
        <v>900487</v>
      </c>
      <c r="B806" s="1141" t="str">
        <f t="shared" si="22"/>
        <v>-0,00/+0,06  (EC  0)</v>
      </c>
      <c r="C806" s="1142"/>
      <c r="D806" s="1143"/>
      <c r="E806" s="1143"/>
      <c r="F806" s="1144"/>
      <c r="G806" s="1143"/>
      <c r="H806" s="1143"/>
      <c r="I806" s="1144"/>
      <c r="J806" s="1143"/>
      <c r="K806" s="1143"/>
      <c r="L806" s="1143"/>
      <c r="M806" s="1143"/>
      <c r="N806" s="1145">
        <v>2.25</v>
      </c>
      <c r="O806" s="1145"/>
      <c r="P806" s="1145"/>
      <c r="Q806" s="1145"/>
      <c r="R806" s="1143"/>
      <c r="S806" s="1143"/>
      <c r="T806" s="1143"/>
      <c r="U806" s="1143"/>
      <c r="V806" s="1143"/>
    </row>
    <row r="807" spans="1:22" x14ac:dyDescent="0.25">
      <c r="A807" s="1140">
        <v>900488</v>
      </c>
      <c r="B807" s="1141" t="str">
        <f t="shared" si="22"/>
        <v>-0,00/+0,05  (EC  0)</v>
      </c>
      <c r="C807" s="1142"/>
      <c r="D807" s="1143"/>
      <c r="E807" s="1143"/>
      <c r="F807" s="1144"/>
      <c r="G807" s="1143"/>
      <c r="H807" s="1143"/>
      <c r="I807" s="1144"/>
      <c r="J807" s="1143"/>
      <c r="K807" s="1143"/>
      <c r="L807" s="1143"/>
      <c r="M807" s="1143"/>
      <c r="N807" s="1145">
        <v>1.99</v>
      </c>
      <c r="O807" s="1145"/>
      <c r="P807" s="1145"/>
      <c r="Q807" s="1145"/>
      <c r="R807" s="1143"/>
      <c r="S807" s="1143"/>
      <c r="T807" s="1143"/>
      <c r="U807" s="1143"/>
      <c r="V807" s="1143"/>
    </row>
    <row r="808" spans="1:22" x14ac:dyDescent="0.25">
      <c r="A808" s="1140">
        <v>900489</v>
      </c>
      <c r="B808" s="1141" t="str">
        <f t="shared" si="22"/>
        <v>-0,00/+0,05  (EC  0)</v>
      </c>
      <c r="C808" s="1142"/>
      <c r="D808" s="1143"/>
      <c r="E808" s="1143"/>
      <c r="F808" s="1144"/>
      <c r="G808" s="1143"/>
      <c r="H808" s="1143"/>
      <c r="I808" s="1144"/>
      <c r="J808" s="1143"/>
      <c r="K808" s="1143"/>
      <c r="L808" s="1143"/>
      <c r="M808" s="1143"/>
      <c r="N808" s="1146">
        <v>2</v>
      </c>
      <c r="O808" s="1145"/>
      <c r="P808" s="1145"/>
      <c r="Q808" s="1145"/>
      <c r="R808" s="1143"/>
      <c r="S808" s="1143"/>
      <c r="T808" s="1143"/>
      <c r="U808" s="1143"/>
      <c r="V808" s="1143"/>
    </row>
    <row r="809" spans="1:22" x14ac:dyDescent="0.25">
      <c r="A809" s="1140">
        <v>900490</v>
      </c>
      <c r="B809" s="1141" t="str">
        <f t="shared" si="22"/>
        <v>-0,00/+0,06  (EC  0)</v>
      </c>
      <c r="C809" s="1142"/>
      <c r="D809" s="1143"/>
      <c r="E809" s="1143"/>
      <c r="F809" s="1144"/>
      <c r="G809" s="1143"/>
      <c r="H809" s="1143"/>
      <c r="I809" s="1144"/>
      <c r="J809" s="1143"/>
      <c r="K809" s="1143"/>
      <c r="L809" s="1143"/>
      <c r="M809" s="1143"/>
      <c r="N809" s="1145">
        <v>2.25</v>
      </c>
      <c r="O809" s="1145"/>
      <c r="P809" s="1145"/>
      <c r="Q809" s="1145"/>
      <c r="R809" s="1143"/>
      <c r="S809" s="1143"/>
      <c r="T809" s="1143"/>
      <c r="U809" s="1143"/>
      <c r="V809" s="1143"/>
    </row>
    <row r="810" spans="1:22" x14ac:dyDescent="0.25">
      <c r="A810" s="1140">
        <v>900491</v>
      </c>
      <c r="B810" s="1141" t="str">
        <f t="shared" si="22"/>
        <v>-0,00/+0,04  (EC  0)</v>
      </c>
      <c r="C810" s="1142"/>
      <c r="D810" s="1143"/>
      <c r="E810" s="1143"/>
      <c r="F810" s="1144"/>
      <c r="G810" s="1143"/>
      <c r="H810" s="1143"/>
      <c r="I810" s="1144"/>
      <c r="J810" s="1143"/>
      <c r="K810" s="1143"/>
      <c r="L810" s="1143"/>
      <c r="M810" s="1143"/>
      <c r="N810" s="1145">
        <v>1.44</v>
      </c>
      <c r="O810" s="1145"/>
      <c r="P810" s="1145"/>
      <c r="Q810" s="1145"/>
      <c r="R810" s="1143"/>
      <c r="S810" s="1143"/>
      <c r="T810" s="1143"/>
      <c r="U810" s="1143"/>
      <c r="V810" s="1143"/>
    </row>
    <row r="811" spans="1:22" x14ac:dyDescent="0.25">
      <c r="A811" s="1140">
        <v>900492</v>
      </c>
      <c r="B811" s="1141" t="str">
        <f t="shared" si="22"/>
        <v>-0,00/+0,06  (EC  0)</v>
      </c>
      <c r="C811" s="1142"/>
      <c r="D811" s="1143"/>
      <c r="E811" s="1143"/>
      <c r="F811" s="1144"/>
      <c r="G811" s="1143"/>
      <c r="H811" s="1143"/>
      <c r="I811" s="1144"/>
      <c r="J811" s="1143"/>
      <c r="K811" s="1143"/>
      <c r="L811" s="1143"/>
      <c r="M811" s="1143"/>
      <c r="N811" s="1145">
        <v>2.19</v>
      </c>
      <c r="O811" s="1145"/>
      <c r="P811" s="1145"/>
      <c r="Q811" s="1145"/>
      <c r="R811" s="1143"/>
      <c r="S811" s="1143"/>
      <c r="T811" s="1143"/>
      <c r="U811" s="1143"/>
      <c r="V811" s="1143"/>
    </row>
    <row r="812" spans="1:22" x14ac:dyDescent="0.25">
      <c r="A812" s="1140">
        <v>900493</v>
      </c>
      <c r="B812" s="1141" t="str">
        <f t="shared" si="22"/>
        <v>-0,00/+0,05  (EC  0)</v>
      </c>
      <c r="C812" s="1142"/>
      <c r="D812" s="1143"/>
      <c r="E812" s="1143"/>
      <c r="F812" s="1144"/>
      <c r="G812" s="1143"/>
      <c r="H812" s="1143"/>
      <c r="I812" s="1144"/>
      <c r="J812" s="1143"/>
      <c r="K812" s="1143"/>
      <c r="L812" s="1143"/>
      <c r="M812" s="1143"/>
      <c r="N812" s="1145">
        <v>1.87</v>
      </c>
      <c r="O812" s="1145"/>
      <c r="P812" s="1145"/>
      <c r="Q812" s="1145"/>
      <c r="R812" s="1143"/>
      <c r="S812" s="1143"/>
      <c r="T812" s="1143"/>
      <c r="U812" s="1143"/>
      <c r="V812" s="1143"/>
    </row>
    <row r="813" spans="1:22" x14ac:dyDescent="0.25">
      <c r="A813" s="1140">
        <v>900494</v>
      </c>
      <c r="B813" s="1141" t="str">
        <f t="shared" si="22"/>
        <v>-0,00/+0,06  (EC  0)</v>
      </c>
      <c r="C813" s="1142"/>
      <c r="D813" s="1143"/>
      <c r="E813" s="1143"/>
      <c r="F813" s="1144"/>
      <c r="G813" s="1143"/>
      <c r="H813" s="1143"/>
      <c r="I813" s="1144"/>
      <c r="J813" s="1143"/>
      <c r="K813" s="1143"/>
      <c r="L813" s="1143"/>
      <c r="M813" s="1143"/>
      <c r="N813" s="1145">
        <v>2.5299999999999998</v>
      </c>
      <c r="O813" s="1145"/>
      <c r="P813" s="1145"/>
      <c r="Q813" s="1145"/>
      <c r="R813" s="1143"/>
      <c r="S813" s="1143"/>
      <c r="T813" s="1143"/>
      <c r="U813" s="1143"/>
      <c r="V813" s="1143"/>
    </row>
    <row r="814" spans="1:22" x14ac:dyDescent="0.25">
      <c r="A814" s="1140">
        <v>900495</v>
      </c>
      <c r="B814" s="1141" t="str">
        <f t="shared" si="22"/>
        <v>-0,00/+0,05  (EC  0)</v>
      </c>
      <c r="C814" s="1142"/>
      <c r="D814" s="1143"/>
      <c r="E814" s="1143"/>
      <c r="F814" s="1144"/>
      <c r="G814" s="1143"/>
      <c r="H814" s="1143"/>
      <c r="I814" s="1144"/>
      <c r="J814" s="1143"/>
      <c r="K814" s="1143"/>
      <c r="L814" s="1143"/>
      <c r="M814" s="1143"/>
      <c r="N814" s="1145">
        <v>1.89</v>
      </c>
      <c r="O814" s="1145"/>
      <c r="P814" s="1145"/>
      <c r="Q814" s="1145"/>
      <c r="R814" s="1143"/>
      <c r="S814" s="1143"/>
      <c r="T814" s="1143"/>
      <c r="U814" s="1143"/>
      <c r="V814" s="1143"/>
    </row>
    <row r="815" spans="1:22" x14ac:dyDescent="0.25">
      <c r="A815" s="1140">
        <v>900496</v>
      </c>
      <c r="B815" s="1141" t="str">
        <f t="shared" si="22"/>
        <v>-0,00/+0,06  (EC  0)</v>
      </c>
      <c r="C815" s="1142"/>
      <c r="D815" s="1143"/>
      <c r="E815" s="1143"/>
      <c r="F815" s="1144"/>
      <c r="G815" s="1143"/>
      <c r="H815" s="1143"/>
      <c r="I815" s="1144"/>
      <c r="J815" s="1143"/>
      <c r="K815" s="1143"/>
      <c r="L815" s="1143"/>
      <c r="M815" s="1143"/>
      <c r="N815" s="1145">
        <v>2.27</v>
      </c>
      <c r="O815" s="1145"/>
      <c r="P815" s="1145"/>
      <c r="Q815" s="1145"/>
      <c r="R815" s="1143"/>
      <c r="S815" s="1143"/>
      <c r="T815" s="1143"/>
      <c r="U815" s="1143"/>
      <c r="V815" s="1143"/>
    </row>
    <row r="816" spans="1:22" s="5" customFormat="1" x14ac:dyDescent="0.25">
      <c r="A816" s="1133">
        <v>900497</v>
      </c>
      <c r="B816" s="1170" t="str">
        <f t="shared" si="22"/>
        <v>-6,23/+7,74  (EC  7,4)</v>
      </c>
      <c r="C816" s="484"/>
      <c r="D816" s="25">
        <v>7.54</v>
      </c>
      <c r="E816" s="25">
        <v>0.74</v>
      </c>
      <c r="F816" s="832">
        <v>34.340000000000003</v>
      </c>
      <c r="G816" s="25">
        <v>0</v>
      </c>
      <c r="H816" s="25">
        <v>7.0000000000000007E-2</v>
      </c>
      <c r="I816" s="832">
        <v>43.2</v>
      </c>
      <c r="J816" s="25">
        <v>38.18</v>
      </c>
      <c r="K816" s="1169">
        <f>3.06*0.02</f>
        <v>6.1200000000000004E-2</v>
      </c>
      <c r="L816" s="25">
        <v>223.3</v>
      </c>
      <c r="M816" s="25">
        <v>0</v>
      </c>
      <c r="N816" s="753">
        <v>2.2200000000000002</v>
      </c>
      <c r="O816" s="753">
        <v>27</v>
      </c>
      <c r="P816" s="753">
        <v>58.71</v>
      </c>
      <c r="Q816" s="753">
        <v>42.81</v>
      </c>
      <c r="R816" s="25">
        <v>1E-3</v>
      </c>
      <c r="S816" s="753">
        <v>1E-3</v>
      </c>
      <c r="T816" s="753">
        <v>1E-3</v>
      </c>
      <c r="U816" s="753">
        <v>1E-3</v>
      </c>
      <c r="V816" s="25"/>
    </row>
    <row r="817" spans="1:97" x14ac:dyDescent="0.25">
      <c r="A817" s="1162">
        <v>900498</v>
      </c>
      <c r="B817" s="1163" t="str">
        <f t="shared" si="22"/>
        <v>-29,08/+30,25  (EC  30,2)</v>
      </c>
      <c r="C817" s="1163"/>
      <c r="D817" s="1130">
        <v>7.1</v>
      </c>
      <c r="E817" s="1131">
        <v>3.02</v>
      </c>
      <c r="F817" s="1131">
        <v>47.64</v>
      </c>
      <c r="G817" s="1131">
        <v>0</v>
      </c>
      <c r="H817" s="1131">
        <v>7.0000000000000007E-2</v>
      </c>
      <c r="I817" s="1130">
        <f>O817*1.6</f>
        <v>570.51200000000006</v>
      </c>
      <c r="J817" s="1131">
        <v>296.83</v>
      </c>
      <c r="K817" s="1130">
        <v>3.0600000000000002E-2</v>
      </c>
      <c r="L817" s="1131">
        <v>369.36</v>
      </c>
      <c r="M817" s="1131">
        <v>0</v>
      </c>
      <c r="N817" s="1132">
        <v>4.04</v>
      </c>
      <c r="O817" s="1132">
        <v>356.57</v>
      </c>
      <c r="P817" s="1132">
        <v>175.7</v>
      </c>
      <c r="Q817" s="1132">
        <v>70.239999999999995</v>
      </c>
      <c r="R817" s="1132"/>
      <c r="S817" s="1132"/>
      <c r="T817" s="1132"/>
      <c r="U817" s="1132"/>
      <c r="V817" s="1131"/>
    </row>
    <row r="818" spans="1:97" x14ac:dyDescent="0.25">
      <c r="A818" s="1162">
        <v>900499</v>
      </c>
      <c r="B818" s="1163" t="str">
        <f t="shared" si="22"/>
        <v>-43,22/+43,79  (EC  44,2)</v>
      </c>
      <c r="C818" s="1163"/>
      <c r="D818" s="1130">
        <v>6.9</v>
      </c>
      <c r="E818" s="1131">
        <v>4.42</v>
      </c>
      <c r="F818" s="1131">
        <v>28.43</v>
      </c>
      <c r="G818" s="1131">
        <v>0</v>
      </c>
      <c r="H818" s="1131">
        <v>0.06</v>
      </c>
      <c r="I818" s="1130">
        <v>996.3</v>
      </c>
      <c r="J818" s="1131">
        <v>432.95</v>
      </c>
      <c r="K818" s="1130">
        <v>1E-3</v>
      </c>
      <c r="L818" s="1131">
        <v>346.53</v>
      </c>
      <c r="M818" s="1131">
        <v>0</v>
      </c>
      <c r="N818" s="1132">
        <v>4.6399999999999997</v>
      </c>
      <c r="O818" s="1132">
        <v>486.99</v>
      </c>
      <c r="P818" s="1132">
        <v>274.29000000000002</v>
      </c>
      <c r="Q818" s="1132">
        <v>105.3</v>
      </c>
      <c r="R818" s="1132">
        <v>1E-3</v>
      </c>
      <c r="S818" s="1132">
        <v>1E-3</v>
      </c>
      <c r="T818" s="1132">
        <v>1E-3</v>
      </c>
      <c r="U818" s="1132">
        <v>0.02</v>
      </c>
      <c r="V818" s="1131"/>
    </row>
    <row r="819" spans="1:97" x14ac:dyDescent="0.25">
      <c r="A819" s="1162">
        <v>900500</v>
      </c>
      <c r="B819" s="1163" t="str">
        <f t="shared" si="22"/>
        <v>-7,61/+8,00  (EC  7,46)</v>
      </c>
      <c r="C819" s="1163"/>
      <c r="D819" s="1130">
        <v>7.2</v>
      </c>
      <c r="E819" s="1131">
        <v>0.746</v>
      </c>
      <c r="F819" s="1131">
        <v>86.82</v>
      </c>
      <c r="G819" s="1131">
        <v>0</v>
      </c>
      <c r="H819" s="1131">
        <v>0.06</v>
      </c>
      <c r="I819" s="1130">
        <f>O819*1.6</f>
        <v>47.536000000000001</v>
      </c>
      <c r="J819" s="1131">
        <v>32.15</v>
      </c>
      <c r="K819" s="1130">
        <v>9.1799999999999993E-2</v>
      </c>
      <c r="L819" s="1131">
        <v>256.32</v>
      </c>
      <c r="M819" s="1131">
        <v>0</v>
      </c>
      <c r="N819" s="1132">
        <v>0.93</v>
      </c>
      <c r="O819" s="1132">
        <v>29.71</v>
      </c>
      <c r="P819" s="1132">
        <v>83.44</v>
      </c>
      <c r="Q819" s="1132">
        <v>30.12</v>
      </c>
      <c r="R819" s="1132">
        <v>1E-3</v>
      </c>
      <c r="S819" s="1132">
        <v>1E-3</v>
      </c>
      <c r="T819" s="1132">
        <v>1E-3</v>
      </c>
      <c r="U819" s="1132">
        <v>1E-3</v>
      </c>
      <c r="V819" s="1131"/>
    </row>
    <row r="820" spans="1:97" x14ac:dyDescent="0.25">
      <c r="A820" s="1162">
        <v>900501</v>
      </c>
      <c r="B820" s="1163" t="str">
        <f t="shared" si="22"/>
        <v>-28,07/+28,87  (EC  29,9)</v>
      </c>
      <c r="C820" s="1163"/>
      <c r="D820" s="1130">
        <v>6.9</v>
      </c>
      <c r="E820" s="1131">
        <v>2.99</v>
      </c>
      <c r="F820" s="1131">
        <v>40.83</v>
      </c>
      <c r="G820" s="1131">
        <v>0</v>
      </c>
      <c r="H820" s="1131">
        <v>0.05</v>
      </c>
      <c r="I820" s="1130">
        <f>O820*1.6</f>
        <v>540.048</v>
      </c>
      <c r="J820" s="1131">
        <v>352.06</v>
      </c>
      <c r="K820" s="1130">
        <v>3.0600000000000002E-2</v>
      </c>
      <c r="L820" s="1131">
        <v>296.95999999999998</v>
      </c>
      <c r="M820" s="1131">
        <v>0</v>
      </c>
      <c r="N820" s="1132">
        <v>4.0999999999999996</v>
      </c>
      <c r="O820" s="1132">
        <v>337.53</v>
      </c>
      <c r="P820" s="1132">
        <v>167.57</v>
      </c>
      <c r="Q820" s="1132">
        <v>68.48</v>
      </c>
      <c r="R820" s="1132"/>
      <c r="S820" s="1132"/>
      <c r="T820" s="1132"/>
      <c r="U820" s="1164"/>
      <c r="V820" s="1131"/>
    </row>
    <row r="821" spans="1:97" x14ac:dyDescent="0.25">
      <c r="A821" s="1162">
        <v>900502</v>
      </c>
      <c r="B821" s="1163" t="str">
        <f t="shared" si="22"/>
        <v>-7,25/+7,61  (EC  8,12)</v>
      </c>
      <c r="C821" s="1163"/>
      <c r="D821" s="1130">
        <v>7</v>
      </c>
      <c r="E821" s="1131">
        <v>0.81200000000000006</v>
      </c>
      <c r="F821" s="1131">
        <v>109.11</v>
      </c>
      <c r="G821" s="1131">
        <v>0</v>
      </c>
      <c r="H821" s="1131">
        <v>0.08</v>
      </c>
      <c r="I821" s="1130">
        <f>O821*1.6</f>
        <v>57.744000000000007</v>
      </c>
      <c r="J821" s="1131">
        <v>33.659999999999997</v>
      </c>
      <c r="K821" s="1130">
        <v>0.12240000000000001</v>
      </c>
      <c r="L821" s="1131">
        <v>192.6</v>
      </c>
      <c r="M821" s="1131">
        <v>0</v>
      </c>
      <c r="N821" s="1132">
        <v>0.93</v>
      </c>
      <c r="O821" s="1132">
        <v>36.090000000000003</v>
      </c>
      <c r="P821" s="1132">
        <v>107.25</v>
      </c>
      <c r="Q821" s="1132">
        <v>7.81</v>
      </c>
      <c r="R821" s="1132"/>
      <c r="S821" s="1132"/>
      <c r="T821" s="1132"/>
      <c r="U821" s="1132"/>
      <c r="V821" s="1131"/>
    </row>
    <row r="822" spans="1:97" s="1163" customFormat="1" x14ac:dyDescent="0.25">
      <c r="A822" s="1162">
        <v>900503</v>
      </c>
      <c r="B822" s="1163" t="str">
        <f t="shared" si="22"/>
        <v>-22,65/+23,53  (EC  22,2)</v>
      </c>
      <c r="D822" s="1163">
        <v>7</v>
      </c>
      <c r="E822" s="1163">
        <v>2.2200000000000002</v>
      </c>
      <c r="F822" s="1163">
        <v>1.07</v>
      </c>
      <c r="G822" s="1163">
        <v>0</v>
      </c>
      <c r="H822" s="1163">
        <v>0.04</v>
      </c>
      <c r="I822" s="1163">
        <v>253.3</v>
      </c>
      <c r="J822" s="1163">
        <v>399.77</v>
      </c>
      <c r="K822" s="1163">
        <v>0.30600000000000005</v>
      </c>
      <c r="L822" s="1163">
        <v>436.9</v>
      </c>
      <c r="M822" s="1163">
        <v>0</v>
      </c>
      <c r="N822" s="1163">
        <v>15.79</v>
      </c>
      <c r="O822" s="1163">
        <v>45.28</v>
      </c>
      <c r="P822" s="1163">
        <v>290.16000000000003</v>
      </c>
      <c r="Q822" s="1163">
        <v>79.78</v>
      </c>
      <c r="R822" s="1163">
        <v>0.03</v>
      </c>
      <c r="S822" s="1163">
        <v>1E-3</v>
      </c>
      <c r="T822" s="1163">
        <v>1E-3</v>
      </c>
      <c r="U822" s="1163">
        <v>1E-3</v>
      </c>
      <c r="W822" s="1239"/>
      <c r="X822" s="1239"/>
      <c r="Y822" s="1239"/>
      <c r="Z822" s="1239"/>
      <c r="AA822" s="1239"/>
      <c r="AB822" s="1239"/>
      <c r="AC822" s="1239"/>
      <c r="AD822" s="1239"/>
      <c r="AE822" s="1239"/>
      <c r="AF822" s="1239"/>
      <c r="AG822" s="1239"/>
      <c r="AH822" s="1239"/>
      <c r="AI822" s="1239"/>
      <c r="AJ822" s="1239"/>
      <c r="AK822" s="1239"/>
      <c r="AL822" s="1239"/>
      <c r="AM822" s="1239"/>
      <c r="AN822" s="1239"/>
      <c r="AO822" s="1239"/>
      <c r="AP822" s="1239"/>
      <c r="AQ822" s="1239"/>
      <c r="AR822" s="1239"/>
      <c r="AS822" s="1239"/>
      <c r="AT822" s="1239"/>
      <c r="AU822" s="1239"/>
      <c r="AV822" s="1239"/>
      <c r="AW822" s="1239"/>
      <c r="AX822" s="1239"/>
      <c r="AY822" s="1239"/>
      <c r="AZ822" s="1239"/>
      <c r="BA822" s="1239"/>
      <c r="BB822" s="1239"/>
      <c r="BC822" s="1239"/>
      <c r="BD822" s="1239"/>
      <c r="BE822" s="1239"/>
      <c r="BF822" s="1239"/>
      <c r="BG822" s="1239"/>
      <c r="BH822" s="1239"/>
      <c r="BI822" s="1239"/>
      <c r="BJ822" s="1239"/>
      <c r="BK822" s="1239"/>
      <c r="BL822" s="1239"/>
      <c r="BM822" s="1239"/>
      <c r="BN822" s="1239"/>
      <c r="BO822" s="1239"/>
      <c r="BP822" s="1239"/>
      <c r="BQ822" s="1239"/>
      <c r="BR822" s="1239"/>
      <c r="BS822" s="1239"/>
      <c r="BT822" s="1239"/>
      <c r="BU822" s="1239"/>
      <c r="BV822" s="1239"/>
      <c r="BW822" s="1239"/>
      <c r="BX822" s="1239"/>
      <c r="BY822" s="1239"/>
      <c r="BZ822" s="1239"/>
      <c r="CA822" s="1239"/>
      <c r="CB822" s="1239"/>
      <c r="CC822" s="1239"/>
      <c r="CD822" s="1239"/>
      <c r="CE822" s="1239"/>
      <c r="CF822" s="1239"/>
      <c r="CG822" s="1239"/>
      <c r="CH822" s="1239"/>
      <c r="CI822" s="1239"/>
      <c r="CJ822" s="1239"/>
      <c r="CK822" s="1239"/>
      <c r="CL822" s="1239"/>
      <c r="CM822" s="1239"/>
      <c r="CN822" s="1239"/>
      <c r="CO822" s="1239"/>
      <c r="CP822" s="1239"/>
      <c r="CQ822" s="1239"/>
      <c r="CR822" s="1239"/>
      <c r="CS822" s="1239"/>
    </row>
    <row r="823" spans="1:97" x14ac:dyDescent="0.25">
      <c r="A823" s="1162">
        <v>900504</v>
      </c>
      <c r="B823" s="1163" t="str">
        <f t="shared" si="22"/>
        <v>-35,34/+36,67  (EC  35,6)</v>
      </c>
      <c r="C823" s="1163"/>
      <c r="D823" s="1130">
        <v>7</v>
      </c>
      <c r="E823" s="1165">
        <v>3.56</v>
      </c>
      <c r="F823" s="1131">
        <v>1.5</v>
      </c>
      <c r="G823" s="1131">
        <v>0</v>
      </c>
      <c r="H823" s="1131">
        <v>0.05</v>
      </c>
      <c r="I823" s="1130">
        <v>612.32000000000005</v>
      </c>
      <c r="J823" s="1131">
        <v>579.76</v>
      </c>
      <c r="K823" s="1130">
        <v>0.33660000000000001</v>
      </c>
      <c r="L823" s="1131">
        <v>364.89</v>
      </c>
      <c r="M823" s="1131">
        <v>0</v>
      </c>
      <c r="N823" s="1132">
        <v>31.36</v>
      </c>
      <c r="O823" s="1132">
        <v>277.93</v>
      </c>
      <c r="P823" s="1166">
        <v>302.74</v>
      </c>
      <c r="Q823" s="1166">
        <v>103.71</v>
      </c>
      <c r="R823" s="1132">
        <v>1E-3</v>
      </c>
      <c r="S823" s="1132">
        <v>1E-3</v>
      </c>
      <c r="T823" s="1132">
        <v>1E-3</v>
      </c>
      <c r="U823" s="1164">
        <v>0.13</v>
      </c>
      <c r="V823" s="1131"/>
    </row>
    <row r="824" spans="1:97" x14ac:dyDescent="0.25">
      <c r="A824" s="585">
        <v>900505</v>
      </c>
      <c r="B824" s="1" t="str">
        <f t="shared" si="22"/>
        <v>-20,62/+20,57  (EC  20,78)</v>
      </c>
      <c r="D824" s="3">
        <v>6.93</v>
      </c>
      <c r="E824" s="3">
        <v>2.0779999999999998</v>
      </c>
      <c r="F824" s="26">
        <v>0.6</v>
      </c>
      <c r="H824" s="3">
        <v>0.19</v>
      </c>
      <c r="I824" s="26">
        <f>O824*1.6</f>
        <v>92.864000000000004</v>
      </c>
      <c r="J824" s="3">
        <v>732.9</v>
      </c>
      <c r="K824" s="3">
        <v>1.19</v>
      </c>
      <c r="L824" s="3">
        <f>(7-0.1)*24</f>
        <v>165.60000000000002</v>
      </c>
      <c r="N824" s="3">
        <v>16.940000000000001</v>
      </c>
      <c r="O824" s="3">
        <v>58.04</v>
      </c>
      <c r="P824" s="1078">
        <v>199.53</v>
      </c>
      <c r="Q824" s="3">
        <v>91.47</v>
      </c>
      <c r="R824" s="3">
        <v>0.39</v>
      </c>
      <c r="S824" s="3">
        <v>1E-3</v>
      </c>
      <c r="T824" s="3">
        <v>0.05</v>
      </c>
      <c r="U824" s="3">
        <v>0.13</v>
      </c>
    </row>
    <row r="825" spans="1:97" x14ac:dyDescent="0.25">
      <c r="A825" s="1183">
        <v>900506</v>
      </c>
      <c r="B825" s="1184" t="str">
        <f t="shared" si="22"/>
        <v>-6,63/+6,99  (EC  6,09)</v>
      </c>
      <c r="C825" s="1185"/>
      <c r="D825" s="1168">
        <v>7.71</v>
      </c>
      <c r="E825" s="1186">
        <v>0.60899999999999999</v>
      </c>
      <c r="F825" s="1187">
        <v>56.5</v>
      </c>
      <c r="G825" s="1168">
        <v>0</v>
      </c>
      <c r="H825" s="1187">
        <v>0.01</v>
      </c>
      <c r="I825" s="1167">
        <v>35.295999999999999</v>
      </c>
      <c r="J825" s="1187">
        <v>30.44</v>
      </c>
      <c r="K825" s="1168">
        <v>1E-3</v>
      </c>
      <c r="L825" s="1167">
        <v>249.60000000000002</v>
      </c>
      <c r="M825" s="1168">
        <v>0</v>
      </c>
      <c r="N825" s="1189">
        <v>1.55</v>
      </c>
      <c r="O825" s="1188">
        <v>22.06</v>
      </c>
      <c r="P825" s="1188">
        <v>43.36</v>
      </c>
      <c r="Q825" s="1188">
        <v>45.88</v>
      </c>
      <c r="R825" s="1168">
        <v>1E-3</v>
      </c>
      <c r="S825" s="1168">
        <v>1E-3</v>
      </c>
      <c r="T825" s="1168">
        <v>1E-3</v>
      </c>
      <c r="U825" s="1168">
        <v>1E-3</v>
      </c>
      <c r="V825" s="1168"/>
    </row>
    <row r="826" spans="1:97" x14ac:dyDescent="0.25">
      <c r="A826" s="1183">
        <v>900507</v>
      </c>
      <c r="B826" s="1184" t="str">
        <f t="shared" si="22"/>
        <v>-12,00/+12,55  (EC  11,3)</v>
      </c>
      <c r="C826" s="1185"/>
      <c r="D826" s="1168">
        <v>7.01</v>
      </c>
      <c r="E826" s="1168">
        <v>1.1299999999999999</v>
      </c>
      <c r="F826" s="1187">
        <v>5.59</v>
      </c>
      <c r="G826" s="1168">
        <v>0</v>
      </c>
      <c r="H826" s="1187">
        <v>0.09</v>
      </c>
      <c r="I826" s="1167">
        <v>69.13600000000001</v>
      </c>
      <c r="J826" s="1187">
        <v>157.19</v>
      </c>
      <c r="K826" s="1168">
        <v>1E-3</v>
      </c>
      <c r="L826" s="1167">
        <v>408</v>
      </c>
      <c r="M826" s="1168">
        <v>0</v>
      </c>
      <c r="N826" s="1189">
        <v>2.66</v>
      </c>
      <c r="O826" s="1188">
        <v>43.21</v>
      </c>
      <c r="P826" s="1189">
        <v>143.68</v>
      </c>
      <c r="Q826" s="1188">
        <v>40.94</v>
      </c>
      <c r="R826" s="1168">
        <v>1E-3</v>
      </c>
      <c r="S826" s="1168">
        <v>1E-3</v>
      </c>
      <c r="T826" s="1168">
        <v>1E-3</v>
      </c>
      <c r="U826" s="1168">
        <v>1E-3</v>
      </c>
      <c r="V826" s="1168"/>
    </row>
    <row r="827" spans="1:97" x14ac:dyDescent="0.25">
      <c r="A827" s="1183">
        <v>900508</v>
      </c>
      <c r="B827" s="1184" t="str">
        <f t="shared" si="22"/>
        <v>-10,03/+10,92  (EC  9,06)</v>
      </c>
      <c r="C827" s="1185"/>
      <c r="D827" s="1168">
        <v>7.62</v>
      </c>
      <c r="E827" s="1168">
        <v>0.90600000000000003</v>
      </c>
      <c r="F827" s="1187">
        <v>18.170000000000002</v>
      </c>
      <c r="G827" s="1168">
        <v>0</v>
      </c>
      <c r="H827" s="1187">
        <v>0.01</v>
      </c>
      <c r="I827" s="1167">
        <v>60.384000000000007</v>
      </c>
      <c r="J827" s="1187">
        <v>162.65</v>
      </c>
      <c r="K827" s="1168">
        <v>1E-3</v>
      </c>
      <c r="L827" s="1167">
        <v>283.20000000000005</v>
      </c>
      <c r="M827" s="1168">
        <v>0</v>
      </c>
      <c r="N827" s="1188">
        <v>1.33</v>
      </c>
      <c r="O827" s="1188">
        <v>37.74</v>
      </c>
      <c r="P827" s="1189">
        <v>126.53</v>
      </c>
      <c r="Q827" s="1188">
        <v>34.99</v>
      </c>
      <c r="R827" s="1168">
        <v>1E-3</v>
      </c>
      <c r="S827" s="1168">
        <v>1E-3</v>
      </c>
      <c r="T827" s="1168">
        <v>1E-3</v>
      </c>
      <c r="U827" s="1168">
        <v>1E-3</v>
      </c>
      <c r="V827" s="1168"/>
    </row>
    <row r="828" spans="1:97" x14ac:dyDescent="0.25">
      <c r="A828" s="1183">
        <v>900509</v>
      </c>
      <c r="B828" s="1184" t="str">
        <f t="shared" si="22"/>
        <v>-3,65/+4,63  (EC  3,85)</v>
      </c>
      <c r="C828" s="1185"/>
      <c r="D828" s="1168">
        <v>7.32</v>
      </c>
      <c r="E828" s="1168">
        <v>0.38500000000000001</v>
      </c>
      <c r="F828" s="1187">
        <v>14.54</v>
      </c>
      <c r="G828" s="1168">
        <v>0</v>
      </c>
      <c r="H828" s="1187">
        <v>0.05</v>
      </c>
      <c r="I828" s="1167">
        <v>29.26</v>
      </c>
      <c r="J828" s="1187">
        <v>30.48</v>
      </c>
      <c r="K828" s="1168">
        <v>1E-3</v>
      </c>
      <c r="L828" s="1167">
        <v>119.3</v>
      </c>
      <c r="M828" s="1168">
        <v>0</v>
      </c>
      <c r="N828" s="1189">
        <v>1.53</v>
      </c>
      <c r="O828" s="1188">
        <v>19.8</v>
      </c>
      <c r="P828" s="1188">
        <v>37.75</v>
      </c>
      <c r="Q828" s="1188">
        <v>22.11</v>
      </c>
      <c r="R828" s="1168">
        <v>1E-3</v>
      </c>
      <c r="S828" s="1168">
        <v>1E-3</v>
      </c>
      <c r="T828" s="1168">
        <v>1E-3</v>
      </c>
      <c r="U828" s="1168">
        <v>1E-3</v>
      </c>
      <c r="V828" s="1168"/>
    </row>
    <row r="829" spans="1:97" x14ac:dyDescent="0.25">
      <c r="A829" s="1183">
        <v>900510</v>
      </c>
      <c r="B829" s="1184" t="str">
        <f t="shared" si="22"/>
        <v>-6,88/+7,60  (EC  6,25)</v>
      </c>
      <c r="C829" s="1185"/>
      <c r="D829" s="1168">
        <v>7.44</v>
      </c>
      <c r="E829" s="1168">
        <v>0.625</v>
      </c>
      <c r="F829" s="1187">
        <v>11.35</v>
      </c>
      <c r="G829" s="1168">
        <v>0</v>
      </c>
      <c r="H829" s="1187">
        <v>0.05</v>
      </c>
      <c r="I829" s="1167">
        <v>49.808</v>
      </c>
      <c r="J829" s="1187">
        <v>52.32</v>
      </c>
      <c r="K829" s="1168">
        <v>1E-3</v>
      </c>
      <c r="L829" s="1167">
        <v>256.3</v>
      </c>
      <c r="M829" s="1168">
        <v>0</v>
      </c>
      <c r="N829" s="1189">
        <v>1.82</v>
      </c>
      <c r="O829" s="1188">
        <v>31.13</v>
      </c>
      <c r="P829" s="1188">
        <v>60.88</v>
      </c>
      <c r="Q829" s="1188">
        <v>37.880000000000003</v>
      </c>
      <c r="R829" s="1168">
        <v>1E-3</v>
      </c>
      <c r="S829" s="1168">
        <v>1E-3</v>
      </c>
      <c r="T829" s="1168">
        <v>1E-3</v>
      </c>
      <c r="U829" s="1168">
        <v>1E-3</v>
      </c>
      <c r="V829" s="1168"/>
    </row>
    <row r="830" spans="1:97" x14ac:dyDescent="0.25">
      <c r="A830" s="1183">
        <v>900511</v>
      </c>
      <c r="B830" s="1184" t="str">
        <f t="shared" si="22"/>
        <v>-6,20/+7,35  (EC  6,04)</v>
      </c>
      <c r="C830" s="1185"/>
      <c r="D830" s="1168">
        <v>7.33</v>
      </c>
      <c r="E830" s="1168">
        <v>0.60399999999999998</v>
      </c>
      <c r="F830" s="1187">
        <v>9.84</v>
      </c>
      <c r="G830" s="1168">
        <v>0</v>
      </c>
      <c r="H830" s="1187">
        <v>0.21</v>
      </c>
      <c r="I830" s="1167">
        <v>47.695999999999998</v>
      </c>
      <c r="J830" s="1187">
        <v>51.31</v>
      </c>
      <c r="K830" s="1168">
        <v>1E-3</v>
      </c>
      <c r="L830" s="1167">
        <v>221.6</v>
      </c>
      <c r="M830" s="1168">
        <v>0</v>
      </c>
      <c r="N830" s="1188">
        <v>1.93</v>
      </c>
      <c r="O830" s="1188">
        <v>29.81</v>
      </c>
      <c r="P830" s="1188">
        <v>59.19</v>
      </c>
      <c r="Q830" s="1188">
        <v>36.340000000000003</v>
      </c>
      <c r="R830" s="1168">
        <v>1E-3</v>
      </c>
      <c r="S830" s="1168">
        <v>1E-3</v>
      </c>
      <c r="T830" s="1168">
        <v>1E-3</v>
      </c>
      <c r="U830" s="1168">
        <v>1E-3</v>
      </c>
      <c r="V830" s="1168"/>
    </row>
    <row r="831" spans="1:97" x14ac:dyDescent="0.25">
      <c r="A831" s="1183">
        <v>900512</v>
      </c>
      <c r="B831" s="1184" t="str">
        <f t="shared" si="22"/>
        <v>-6,17/+7,00  (EC  6,01)</v>
      </c>
      <c r="C831" s="1185"/>
      <c r="D831" s="1168">
        <v>7.32</v>
      </c>
      <c r="E831" s="1168">
        <v>0.60099999999999998</v>
      </c>
      <c r="F831" s="1187">
        <v>13.86</v>
      </c>
      <c r="G831" s="1168">
        <v>0</v>
      </c>
      <c r="H831" s="1187">
        <v>0.04</v>
      </c>
      <c r="I831" s="1167">
        <v>46.384</v>
      </c>
      <c r="J831" s="1187">
        <v>53.82</v>
      </c>
      <c r="K831" s="1168">
        <v>1E-3</v>
      </c>
      <c r="L831" s="1167">
        <v>214.4</v>
      </c>
      <c r="M831" s="1168">
        <v>0</v>
      </c>
      <c r="N831" s="1188">
        <v>2.12</v>
      </c>
      <c r="O831" s="1188">
        <v>28.99</v>
      </c>
      <c r="P831" s="1188">
        <v>56.44</v>
      </c>
      <c r="Q831" s="1188">
        <v>34.29</v>
      </c>
      <c r="R831" s="1168">
        <v>1E-3</v>
      </c>
      <c r="S831" s="1168">
        <v>1E-3</v>
      </c>
      <c r="T831" s="1168">
        <v>1E-3</v>
      </c>
      <c r="U831" s="1168">
        <v>1E-3</v>
      </c>
      <c r="V831" s="1168"/>
    </row>
    <row r="832" spans="1:97" x14ac:dyDescent="0.25">
      <c r="A832" s="1183">
        <v>900513</v>
      </c>
      <c r="B832" s="1184" t="str">
        <f t="shared" si="22"/>
        <v>-5,64/+5,17  (EC  4,24)</v>
      </c>
      <c r="C832" s="1185"/>
      <c r="D832" s="1168">
        <v>7.51</v>
      </c>
      <c r="E832" s="1168">
        <v>0.42399999999999999</v>
      </c>
      <c r="F832" s="1187">
        <v>14.8</v>
      </c>
      <c r="G832" s="1168">
        <v>0</v>
      </c>
      <c r="H832" s="1187">
        <v>7.0000000000000007E-2</v>
      </c>
      <c r="I832" s="1167">
        <v>32.624000000000002</v>
      </c>
      <c r="J832" s="1187">
        <v>34.06</v>
      </c>
      <c r="K832" s="1168">
        <v>1E-3</v>
      </c>
      <c r="L832" s="1167">
        <v>230.39999999999998</v>
      </c>
      <c r="M832" s="1168">
        <v>0</v>
      </c>
      <c r="N832" s="1189">
        <v>1.1399999999999999</v>
      </c>
      <c r="O832" s="1188">
        <v>20.39</v>
      </c>
      <c r="P832" s="1188">
        <v>42.64</v>
      </c>
      <c r="Q832" s="1188">
        <v>25.42</v>
      </c>
      <c r="R832" s="1168">
        <v>1E-3</v>
      </c>
      <c r="S832" s="1168">
        <v>1E-3</v>
      </c>
      <c r="T832" s="1168">
        <v>1E-3</v>
      </c>
      <c r="U832" s="1168">
        <v>1E-3</v>
      </c>
      <c r="V832" s="1168"/>
    </row>
    <row r="833" spans="1:22" x14ac:dyDescent="0.25">
      <c r="A833" s="1183">
        <v>900514</v>
      </c>
      <c r="B833" s="1184" t="str">
        <f t="shared" si="22"/>
        <v>-8,48/+8,73  (EC  7,65)</v>
      </c>
      <c r="C833" s="1185"/>
      <c r="D833" s="1168">
        <v>7.17</v>
      </c>
      <c r="E833" s="1168">
        <v>0.76500000000000001</v>
      </c>
      <c r="F833" s="1187">
        <v>15.3</v>
      </c>
      <c r="G833" s="1168">
        <v>0</v>
      </c>
      <c r="H833" s="1187">
        <v>0.08</v>
      </c>
      <c r="I833" s="1167">
        <v>41.984000000000002</v>
      </c>
      <c r="J833" s="1187">
        <v>104.03</v>
      </c>
      <c r="K833" s="1168">
        <v>1E-3</v>
      </c>
      <c r="L833" s="1167">
        <v>297.60000000000002</v>
      </c>
      <c r="M833" s="1168">
        <v>0</v>
      </c>
      <c r="N833" s="1188">
        <v>0.97</v>
      </c>
      <c r="O833" s="1188">
        <v>26.24</v>
      </c>
      <c r="P833" s="1188">
        <v>77.22</v>
      </c>
      <c r="Q833" s="1188">
        <v>44.43</v>
      </c>
      <c r="R833" s="1168">
        <v>1E-3</v>
      </c>
      <c r="S833" s="1168">
        <v>1E-3</v>
      </c>
      <c r="T833" s="1168">
        <v>1E-3</v>
      </c>
      <c r="U833" s="1168">
        <v>1E-3</v>
      </c>
      <c r="V833" s="1168"/>
    </row>
    <row r="834" spans="1:22" x14ac:dyDescent="0.25">
      <c r="A834" s="1183">
        <v>900515</v>
      </c>
      <c r="B834" s="1184" t="str">
        <f t="shared" si="22"/>
        <v>-12,70/+13,89  (EC  12,42)</v>
      </c>
      <c r="C834" s="1185"/>
      <c r="D834" s="1168">
        <v>7.16</v>
      </c>
      <c r="E834" s="1168">
        <v>1.242</v>
      </c>
      <c r="F834" s="1187">
        <v>11.46</v>
      </c>
      <c r="G834" s="1168">
        <v>0</v>
      </c>
      <c r="H834" s="1187">
        <v>7.0000000000000007E-2</v>
      </c>
      <c r="I834" s="1167">
        <v>85.552000000000007</v>
      </c>
      <c r="J834" s="1187">
        <v>263.56</v>
      </c>
      <c r="K834" s="1168">
        <v>1E-3</v>
      </c>
      <c r="L834" s="1167">
        <v>281.2</v>
      </c>
      <c r="M834" s="1168">
        <v>0</v>
      </c>
      <c r="N834" s="1188">
        <v>1.91</v>
      </c>
      <c r="O834" s="1188">
        <v>53.47</v>
      </c>
      <c r="P834" s="1189">
        <v>135.71</v>
      </c>
      <c r="Q834" s="1188">
        <v>56.68</v>
      </c>
      <c r="R834" s="1168">
        <v>1E-3</v>
      </c>
      <c r="S834" s="1168">
        <v>1E-3</v>
      </c>
      <c r="T834" s="1168">
        <v>1E-3</v>
      </c>
      <c r="U834" s="1168">
        <v>1E-3</v>
      </c>
      <c r="V834" s="1168"/>
    </row>
    <row r="835" spans="1:22" x14ac:dyDescent="0.25">
      <c r="A835" s="1183">
        <v>900516</v>
      </c>
      <c r="B835" s="1184" t="str">
        <f t="shared" si="22"/>
        <v>-10,55/+12,08  (EC  11,02)</v>
      </c>
      <c r="C835" s="1185"/>
      <c r="D835" s="1168">
        <v>7.31</v>
      </c>
      <c r="E835" s="1168">
        <v>1.1020000000000001</v>
      </c>
      <c r="F835" s="1187">
        <v>10.01</v>
      </c>
      <c r="G835" s="1168">
        <v>0</v>
      </c>
      <c r="H835" s="1187">
        <v>7.0000000000000007E-2</v>
      </c>
      <c r="I835" s="1167">
        <v>65.712000000000003</v>
      </c>
      <c r="J835" s="1187">
        <v>166.02</v>
      </c>
      <c r="K835" s="1168">
        <v>1E-3</v>
      </c>
      <c r="L835" s="1167">
        <v>309.60000000000002</v>
      </c>
      <c r="M835" s="1168">
        <v>0</v>
      </c>
      <c r="N835" s="1188">
        <v>1.7</v>
      </c>
      <c r="O835" s="1188">
        <v>41.07</v>
      </c>
      <c r="P835" s="1189">
        <v>134.30000000000001</v>
      </c>
      <c r="Q835" s="1188">
        <v>42.31</v>
      </c>
      <c r="R835" s="1168">
        <v>1E-3</v>
      </c>
      <c r="S835" s="1168">
        <v>1E-3</v>
      </c>
      <c r="T835" s="1168">
        <v>1E-3</v>
      </c>
      <c r="U835" s="1168">
        <v>1E-3</v>
      </c>
      <c r="V835" s="1168"/>
    </row>
    <row r="836" spans="1:22" x14ac:dyDescent="0.25">
      <c r="A836" s="1183">
        <v>900517</v>
      </c>
      <c r="B836" s="1184" t="str">
        <f t="shared" si="22"/>
        <v>-6,97/+6,67  (EC  5,48)</v>
      </c>
      <c r="C836" s="1185"/>
      <c r="D836" s="1168">
        <v>7.43</v>
      </c>
      <c r="E836" s="1168">
        <v>0.54800000000000004</v>
      </c>
      <c r="F836" s="1187">
        <v>63.74</v>
      </c>
      <c r="G836" s="1168">
        <v>0</v>
      </c>
      <c r="H836" s="1187">
        <v>7.0000000000000007E-2</v>
      </c>
      <c r="I836" s="1167">
        <v>37.344000000000001</v>
      </c>
      <c r="J836" s="1187">
        <v>50.24</v>
      </c>
      <c r="K836" s="1168">
        <v>2.23</v>
      </c>
      <c r="L836" s="1167">
        <v>232.8</v>
      </c>
      <c r="M836" s="1168">
        <v>0</v>
      </c>
      <c r="N836" s="1189">
        <v>0.7</v>
      </c>
      <c r="O836" s="1188">
        <v>23.34</v>
      </c>
      <c r="P836" s="1188">
        <v>60.57</v>
      </c>
      <c r="Q836" s="1188">
        <v>31.21</v>
      </c>
      <c r="R836" s="1168">
        <v>1E-3</v>
      </c>
      <c r="S836" s="1168">
        <v>1E-3</v>
      </c>
      <c r="T836" s="1168">
        <v>1E-3</v>
      </c>
      <c r="U836" s="1168">
        <v>1E-3</v>
      </c>
      <c r="V836" s="1168"/>
    </row>
    <row r="837" spans="1:22" x14ac:dyDescent="0.25">
      <c r="A837" s="1183">
        <v>900518</v>
      </c>
      <c r="B837" s="1184" t="str">
        <f t="shared" si="22"/>
        <v>-9,81/+8,17  (EC  7,46)</v>
      </c>
      <c r="C837" s="1185"/>
      <c r="D837" s="1168">
        <v>7.62</v>
      </c>
      <c r="E837" s="1168">
        <v>0.746</v>
      </c>
      <c r="F837" s="1187">
        <v>15.37</v>
      </c>
      <c r="G837" s="1168">
        <v>0</v>
      </c>
      <c r="H837" s="1187">
        <v>0.55000000000000004</v>
      </c>
      <c r="I837" s="1167">
        <v>52.384000000000007</v>
      </c>
      <c r="J837" s="1187">
        <v>88.05</v>
      </c>
      <c r="K837" s="1168">
        <v>1E-3</v>
      </c>
      <c r="L837" s="1167">
        <v>381.6</v>
      </c>
      <c r="M837" s="1168">
        <v>0</v>
      </c>
      <c r="N837" s="1189">
        <v>1.29</v>
      </c>
      <c r="O837" s="1188">
        <v>32.74</v>
      </c>
      <c r="P837" s="1188">
        <v>76.400000000000006</v>
      </c>
      <c r="Q837" s="1188">
        <v>34.26</v>
      </c>
      <c r="R837" s="1168">
        <v>1E-3</v>
      </c>
      <c r="S837" s="1168">
        <v>1E-3</v>
      </c>
      <c r="T837" s="1168">
        <v>1E-3</v>
      </c>
      <c r="U837" s="1168">
        <v>1E-3</v>
      </c>
      <c r="V837" s="1168"/>
    </row>
    <row r="838" spans="1:22" x14ac:dyDescent="0.25">
      <c r="A838" s="1183">
        <v>900519</v>
      </c>
      <c r="B838" s="1184" t="str">
        <f t="shared" si="22"/>
        <v>-8,14/+9,22  (EC  8,68)</v>
      </c>
      <c r="C838" s="1185"/>
      <c r="D838" s="1168">
        <v>7.61</v>
      </c>
      <c r="E838" s="1168">
        <v>0.86799999999999999</v>
      </c>
      <c r="F838" s="1187">
        <v>1.32</v>
      </c>
      <c r="G838" s="1168">
        <v>0</v>
      </c>
      <c r="H838" s="1187">
        <v>0.45</v>
      </c>
      <c r="I838" s="1167">
        <v>47.856000000000002</v>
      </c>
      <c r="J838" s="1187">
        <v>17.25</v>
      </c>
      <c r="K838" s="1168">
        <v>1E-3</v>
      </c>
      <c r="L838" s="1167">
        <v>391.2</v>
      </c>
      <c r="M838" s="1168">
        <v>0</v>
      </c>
      <c r="N838" s="1189">
        <v>0.86</v>
      </c>
      <c r="O838" s="1188">
        <v>29.91</v>
      </c>
      <c r="P838" s="1188">
        <v>81.650000000000006</v>
      </c>
      <c r="Q838" s="1188">
        <v>45.37</v>
      </c>
      <c r="R838" s="1168">
        <v>1E-3</v>
      </c>
      <c r="S838" s="1168">
        <v>1E-3</v>
      </c>
      <c r="T838" s="1168">
        <v>1E-3</v>
      </c>
      <c r="U838" s="1168">
        <v>1E-3</v>
      </c>
      <c r="V838" s="1168"/>
    </row>
    <row r="839" spans="1:22" x14ac:dyDescent="0.25">
      <c r="A839" s="1183">
        <v>900520</v>
      </c>
      <c r="B839" s="1184" t="str">
        <f t="shared" si="22"/>
        <v>-6,41/+7,43  (EC  6,52)</v>
      </c>
      <c r="C839" s="1185"/>
      <c r="D839" s="1168">
        <v>7.34</v>
      </c>
      <c r="E839" s="1168">
        <v>0.65200000000000002</v>
      </c>
      <c r="F839" s="1187">
        <v>9.91</v>
      </c>
      <c r="G839" s="1168">
        <v>0</v>
      </c>
      <c r="H839" s="1187">
        <v>0.09</v>
      </c>
      <c r="I839" s="1167">
        <v>48.688000000000002</v>
      </c>
      <c r="J839" s="1187">
        <v>52.38</v>
      </c>
      <c r="K839" s="1168">
        <v>1E-3</v>
      </c>
      <c r="L839" s="1167">
        <v>231.2</v>
      </c>
      <c r="M839" s="1168">
        <v>0</v>
      </c>
      <c r="N839" s="1189">
        <v>2.0099999999999998</v>
      </c>
      <c r="O839" s="1188">
        <v>30.43</v>
      </c>
      <c r="P839" s="1188">
        <v>59.99</v>
      </c>
      <c r="Q839" s="1188">
        <v>36.549999999999997</v>
      </c>
      <c r="R839" s="1168">
        <v>1E-3</v>
      </c>
      <c r="S839" s="1168">
        <v>1E-3</v>
      </c>
      <c r="T839" s="1168">
        <v>1E-3</v>
      </c>
      <c r="U839" s="1168">
        <v>1E-3</v>
      </c>
      <c r="V839" s="1168"/>
    </row>
    <row r="840" spans="1:22" x14ac:dyDescent="0.25">
      <c r="A840" s="1183">
        <v>900521</v>
      </c>
      <c r="B840" s="1184" t="str">
        <f t="shared" si="22"/>
        <v>-13,62/+13,84  (EC  12,34)</v>
      </c>
      <c r="C840" s="1185"/>
      <c r="D840" s="1168">
        <v>7.07</v>
      </c>
      <c r="E840" s="1168">
        <v>1.234</v>
      </c>
      <c r="F840" s="1187">
        <v>21.07</v>
      </c>
      <c r="G840" s="1168">
        <v>0</v>
      </c>
      <c r="H840" s="1187">
        <v>7.0000000000000007E-2</v>
      </c>
      <c r="I840" s="1167">
        <v>81.040000000000006</v>
      </c>
      <c r="J840" s="1187">
        <v>265.13</v>
      </c>
      <c r="K840" s="1168">
        <v>1E-3</v>
      </c>
      <c r="L840" s="1167">
        <v>333.6</v>
      </c>
      <c r="M840" s="1168">
        <v>0</v>
      </c>
      <c r="N840" s="1189">
        <v>1.34</v>
      </c>
      <c r="O840" s="1188">
        <v>50.65</v>
      </c>
      <c r="P840" s="1189">
        <v>165.87</v>
      </c>
      <c r="Q840" s="1188">
        <v>39.619999999999997</v>
      </c>
      <c r="R840" s="1168">
        <v>1E-3</v>
      </c>
      <c r="S840" s="1168">
        <v>1E-3</v>
      </c>
      <c r="T840" s="1168">
        <v>1E-3</v>
      </c>
      <c r="U840" s="1168">
        <v>1E-3</v>
      </c>
      <c r="V840" s="1168"/>
    </row>
    <row r="841" spans="1:22" x14ac:dyDescent="0.25">
      <c r="A841" s="1183">
        <v>900522</v>
      </c>
      <c r="B841" s="1184" t="str">
        <f t="shared" si="22"/>
        <v>-7,56/+6,54  (EC  5,66)</v>
      </c>
      <c r="C841" s="1185"/>
      <c r="D841" s="1168">
        <v>7.31</v>
      </c>
      <c r="E841" s="1168">
        <v>0.56599999999999995</v>
      </c>
      <c r="F841" s="1187">
        <v>19.8</v>
      </c>
      <c r="G841" s="1168">
        <v>0</v>
      </c>
      <c r="H841" s="1187">
        <v>0.09</v>
      </c>
      <c r="I841" s="1167">
        <v>42.304000000000002</v>
      </c>
      <c r="J841" s="1187">
        <v>111.25</v>
      </c>
      <c r="K841" s="1168">
        <v>1E-3</v>
      </c>
      <c r="L841" s="1167">
        <v>227.6</v>
      </c>
      <c r="M841" s="1168">
        <v>0</v>
      </c>
      <c r="N841" s="1188">
        <v>1.24</v>
      </c>
      <c r="O841" s="1188">
        <v>26.44</v>
      </c>
      <c r="P841" s="1188">
        <v>73.06</v>
      </c>
      <c r="Q841" s="1188">
        <v>20.350000000000001</v>
      </c>
      <c r="R841" s="1168">
        <v>1E-3</v>
      </c>
      <c r="S841" s="1168">
        <v>1E-3</v>
      </c>
      <c r="T841" s="1168">
        <v>1E-3</v>
      </c>
      <c r="U841" s="1168">
        <v>1E-3</v>
      </c>
      <c r="V841" s="1168"/>
    </row>
    <row r="842" spans="1:22" x14ac:dyDescent="0.25">
      <c r="A842" s="1183">
        <v>900523</v>
      </c>
      <c r="B842" s="1184" t="str">
        <f t="shared" si="22"/>
        <v>-7,64/+8,59  (EC  7,25)</v>
      </c>
      <c r="C842" s="1185"/>
      <c r="D842" s="1168">
        <v>7.32</v>
      </c>
      <c r="E842" s="1168">
        <v>0.72499999999999998</v>
      </c>
      <c r="F842" s="1187">
        <v>18.39</v>
      </c>
      <c r="G842" s="1168">
        <v>0</v>
      </c>
      <c r="H842" s="1187">
        <v>7.0000000000000007E-2</v>
      </c>
      <c r="I842" s="1167">
        <v>53.04</v>
      </c>
      <c r="J842" s="1187">
        <v>81.66</v>
      </c>
      <c r="K842" s="1168">
        <v>1E-3</v>
      </c>
      <c r="L842" s="1167">
        <v>252.8</v>
      </c>
      <c r="M842" s="1168">
        <v>0</v>
      </c>
      <c r="N842" s="1189">
        <v>1.82</v>
      </c>
      <c r="O842" s="1188">
        <v>33.15</v>
      </c>
      <c r="P842" s="1188">
        <v>71.7</v>
      </c>
      <c r="Q842" s="1188">
        <v>42.16</v>
      </c>
      <c r="R842" s="1168">
        <v>1E-3</v>
      </c>
      <c r="S842" s="1168">
        <v>1E-3</v>
      </c>
      <c r="T842" s="1168">
        <v>1E-3</v>
      </c>
      <c r="U842" s="1168">
        <v>1E-3</v>
      </c>
      <c r="V842" s="1168"/>
    </row>
    <row r="843" spans="1:22" x14ac:dyDescent="0.25">
      <c r="A843" s="1183">
        <v>900524</v>
      </c>
      <c r="B843" s="1184" t="str">
        <f t="shared" si="22"/>
        <v>-8,87/+8,10  (EC  7,81)</v>
      </c>
      <c r="C843" s="1185"/>
      <c r="D843" s="1168">
        <v>7.21</v>
      </c>
      <c r="E843" s="1168">
        <v>0.78100000000000003</v>
      </c>
      <c r="F843" s="1187">
        <v>8.4700000000000006</v>
      </c>
      <c r="G843" s="1168">
        <v>0</v>
      </c>
      <c r="H843" s="1187">
        <v>0.05</v>
      </c>
      <c r="I843" s="1167">
        <v>60.463999999999999</v>
      </c>
      <c r="J843" s="1187">
        <v>142.88999999999999</v>
      </c>
      <c r="K843" s="1168">
        <v>1E-3</v>
      </c>
      <c r="L843" s="1167">
        <v>247.20000000000002</v>
      </c>
      <c r="M843" s="1168">
        <v>0</v>
      </c>
      <c r="N843" s="1189">
        <v>1.35</v>
      </c>
      <c r="O843" s="1188">
        <v>37.79</v>
      </c>
      <c r="P843" s="1188">
        <v>76.16</v>
      </c>
      <c r="Q843" s="1188">
        <v>31.34</v>
      </c>
      <c r="R843" s="1168">
        <v>1E-3</v>
      </c>
      <c r="S843" s="1168">
        <v>1E-3</v>
      </c>
      <c r="T843" s="1168">
        <v>1E-3</v>
      </c>
      <c r="U843" s="1168">
        <v>1E-3</v>
      </c>
      <c r="V843" s="1168"/>
    </row>
    <row r="844" spans="1:22" x14ac:dyDescent="0.25">
      <c r="A844" s="1183">
        <v>900525</v>
      </c>
      <c r="B844" s="1184" t="str">
        <f t="shared" si="22"/>
        <v>-4,62/+4,37  (EC  3,63)</v>
      </c>
      <c r="C844" s="1185"/>
      <c r="D844" s="1168">
        <v>7.81</v>
      </c>
      <c r="E844" s="1168">
        <v>0.36299999999999999</v>
      </c>
      <c r="F844" s="1187">
        <v>1.06</v>
      </c>
      <c r="G844" s="1168">
        <v>0</v>
      </c>
      <c r="H844" s="1187">
        <v>0.11</v>
      </c>
      <c r="I844" s="1167">
        <v>30.688000000000002</v>
      </c>
      <c r="J844" s="1187">
        <v>32.25</v>
      </c>
      <c r="K844" s="1168">
        <v>1E-3</v>
      </c>
      <c r="L844" s="1167">
        <v>187.20000000000002</v>
      </c>
      <c r="M844" s="1168">
        <v>0</v>
      </c>
      <c r="N844" s="1188">
        <v>4.1399999999999997</v>
      </c>
      <c r="O844" s="1188">
        <v>19.18</v>
      </c>
      <c r="P844" s="1188">
        <v>42.03</v>
      </c>
      <c r="Q844" s="1188">
        <v>15.87</v>
      </c>
      <c r="R844" s="1168">
        <v>1E-3</v>
      </c>
      <c r="S844" s="1168">
        <v>1E-3</v>
      </c>
      <c r="T844" s="1168">
        <v>1E-3</v>
      </c>
      <c r="U844" s="1168">
        <v>1E-3</v>
      </c>
      <c r="V844" s="1168"/>
    </row>
    <row r="845" spans="1:22" x14ac:dyDescent="0.25">
      <c r="A845" s="1183">
        <v>900526</v>
      </c>
      <c r="B845" s="1184" t="str">
        <f t="shared" si="22"/>
        <v>-8,43/+8,10  (EC  7,47)</v>
      </c>
      <c r="C845" s="1185"/>
      <c r="D845" s="1168">
        <v>7.53</v>
      </c>
      <c r="E845" s="1168">
        <v>0.747</v>
      </c>
      <c r="F845" s="1187">
        <v>6.66</v>
      </c>
      <c r="G845" s="1168">
        <v>0</v>
      </c>
      <c r="H845" s="1187">
        <v>0.15</v>
      </c>
      <c r="I845" s="1167">
        <v>30.304000000000002</v>
      </c>
      <c r="J845" s="1187">
        <v>150.58000000000001</v>
      </c>
      <c r="K845" s="1168">
        <v>1E-3</v>
      </c>
      <c r="L845" s="1167">
        <v>264</v>
      </c>
      <c r="M845" s="1168">
        <v>0</v>
      </c>
      <c r="N845" s="1189">
        <v>1.56</v>
      </c>
      <c r="O845" s="1188">
        <v>18.940000000000001</v>
      </c>
      <c r="P845" s="1188">
        <v>94.24</v>
      </c>
      <c r="Q845" s="1188">
        <v>30.16</v>
      </c>
      <c r="R845" s="1168">
        <v>1E-3</v>
      </c>
      <c r="S845" s="1168">
        <v>1E-3</v>
      </c>
      <c r="T845" s="1168">
        <v>1E-3</v>
      </c>
      <c r="U845" s="1168">
        <v>1E-3</v>
      </c>
      <c r="V845" s="1168"/>
    </row>
    <row r="846" spans="1:22" x14ac:dyDescent="0.25">
      <c r="A846" s="1183">
        <v>900527</v>
      </c>
      <c r="B846" s="1184" t="str">
        <f t="shared" si="22"/>
        <v>-7,93/+7,07  (EC  6,74)</v>
      </c>
      <c r="C846" s="1185"/>
      <c r="D846" s="1168">
        <v>7.75</v>
      </c>
      <c r="E846" s="1168">
        <v>0.67400000000000004</v>
      </c>
      <c r="F846" s="1187">
        <v>7.98</v>
      </c>
      <c r="G846" s="1168">
        <v>0</v>
      </c>
      <c r="H846" s="1187">
        <v>0.11</v>
      </c>
      <c r="I846" s="1167">
        <v>44.56</v>
      </c>
      <c r="J846" s="1187">
        <v>127.41</v>
      </c>
      <c r="K846" s="1168">
        <v>1E-3</v>
      </c>
      <c r="L846" s="1167">
        <v>237.60000000000002</v>
      </c>
      <c r="M846" s="1168">
        <v>0</v>
      </c>
      <c r="N846" s="1189">
        <v>0.87</v>
      </c>
      <c r="O846" s="1188">
        <v>27.85</v>
      </c>
      <c r="P846" s="1188">
        <v>75.650000000000006</v>
      </c>
      <c r="Q846" s="1188">
        <v>24.58</v>
      </c>
      <c r="R846" s="1168">
        <v>1E-3</v>
      </c>
      <c r="S846" s="1168">
        <v>1E-3</v>
      </c>
      <c r="T846" s="1168">
        <v>1E-3</v>
      </c>
      <c r="U846" s="1168">
        <v>1E-3</v>
      </c>
      <c r="V846" s="1168"/>
    </row>
    <row r="847" spans="1:22" x14ac:dyDescent="0.25">
      <c r="A847" s="1183">
        <v>900528</v>
      </c>
      <c r="B847" s="1184" t="str">
        <f t="shared" si="22"/>
        <v>-7,67/+7,86  (EC  6,44)</v>
      </c>
      <c r="C847" s="1185"/>
      <c r="D847" s="1168">
        <v>7.43</v>
      </c>
      <c r="E847" s="1168">
        <v>0.64400000000000002</v>
      </c>
      <c r="F847" s="1187">
        <v>9.2899999999999991</v>
      </c>
      <c r="G847" s="1168">
        <v>0</v>
      </c>
      <c r="H847" s="1187">
        <v>0.08</v>
      </c>
      <c r="I847" s="1167">
        <v>49.951999999999998</v>
      </c>
      <c r="J847" s="1187">
        <v>133.30000000000001</v>
      </c>
      <c r="K847" s="1168">
        <v>1E-3</v>
      </c>
      <c r="L847" s="1167">
        <v>203.6</v>
      </c>
      <c r="M847" s="1168">
        <v>0</v>
      </c>
      <c r="N847" s="1189">
        <v>0.92</v>
      </c>
      <c r="O847" s="1188">
        <v>31.22</v>
      </c>
      <c r="P847" s="1188">
        <v>80.09</v>
      </c>
      <c r="Q847" s="1188">
        <v>29.65</v>
      </c>
      <c r="R847" s="1168">
        <v>1E-3</v>
      </c>
      <c r="S847" s="1168">
        <v>1E-3</v>
      </c>
      <c r="T847" s="1168">
        <v>1E-3</v>
      </c>
      <c r="U847" s="1168">
        <v>1E-3</v>
      </c>
      <c r="V847" s="1168"/>
    </row>
    <row r="848" spans="1:22" x14ac:dyDescent="0.25">
      <c r="A848" s="1183">
        <v>900529</v>
      </c>
      <c r="B848" s="1184" t="str">
        <f t="shared" si="22"/>
        <v>-6,56/+5,66  (EC  5,17)</v>
      </c>
      <c r="C848" s="1185"/>
      <c r="D848" s="1168">
        <v>7.52</v>
      </c>
      <c r="E848" s="1168">
        <v>0.51700000000000002</v>
      </c>
      <c r="F848" s="1187">
        <v>5.42</v>
      </c>
      <c r="G848" s="1168">
        <v>0</v>
      </c>
      <c r="H848" s="1187">
        <v>0.11</v>
      </c>
      <c r="I848" s="1167">
        <v>24.752000000000002</v>
      </c>
      <c r="J848" s="1187">
        <v>107.48</v>
      </c>
      <c r="K848" s="1168">
        <v>1E-3</v>
      </c>
      <c r="L848" s="1167">
        <v>216</v>
      </c>
      <c r="M848" s="1168">
        <v>0</v>
      </c>
      <c r="N848" s="1189">
        <v>1.07</v>
      </c>
      <c r="O848" s="1188">
        <v>15.47</v>
      </c>
      <c r="P848" s="1188">
        <v>69.8</v>
      </c>
      <c r="Q848" s="1188">
        <v>17.600000000000001</v>
      </c>
      <c r="R848" s="1168">
        <v>1E-3</v>
      </c>
      <c r="S848" s="1168">
        <v>1E-3</v>
      </c>
      <c r="T848" s="1168">
        <v>1E-3</v>
      </c>
      <c r="U848" s="1168">
        <v>1E-3</v>
      </c>
      <c r="V848" s="1168"/>
    </row>
    <row r="849" spans="1:22" x14ac:dyDescent="0.25">
      <c r="A849" s="1183">
        <v>900530</v>
      </c>
      <c r="B849" s="1184" t="str">
        <f t="shared" si="22"/>
        <v>-7,87/+6,86  (EC  6,01)</v>
      </c>
      <c r="C849" s="1185"/>
      <c r="D849" s="1168">
        <v>7.61</v>
      </c>
      <c r="E849" s="1168">
        <v>0.60099999999999998</v>
      </c>
      <c r="F849" s="1187">
        <v>9.1</v>
      </c>
      <c r="G849" s="1168">
        <v>0</v>
      </c>
      <c r="H849" s="1187">
        <v>0.06</v>
      </c>
      <c r="I849" s="1167">
        <v>44.160000000000004</v>
      </c>
      <c r="J849" s="1187">
        <v>125.93</v>
      </c>
      <c r="K849" s="1168">
        <v>1E-3</v>
      </c>
      <c r="L849" s="1167">
        <v>235.20000000000002</v>
      </c>
      <c r="M849" s="1168">
        <v>0</v>
      </c>
      <c r="N849" s="1189">
        <v>0.94</v>
      </c>
      <c r="O849" s="1188">
        <v>27.6</v>
      </c>
      <c r="P849" s="1188">
        <v>71.19</v>
      </c>
      <c r="Q849" s="1188">
        <v>24.88</v>
      </c>
      <c r="R849" s="1168">
        <v>1E-3</v>
      </c>
      <c r="S849" s="1168">
        <v>1E-3</v>
      </c>
      <c r="T849" s="1168">
        <v>1E-3</v>
      </c>
      <c r="U849" s="1168">
        <v>1E-3</v>
      </c>
      <c r="V849" s="1168"/>
    </row>
    <row r="850" spans="1:22" x14ac:dyDescent="0.25">
      <c r="A850" s="1183">
        <v>900531</v>
      </c>
      <c r="B850" s="1184" t="str">
        <f t="shared" si="22"/>
        <v>-7,98/+7,99  (EC  7)</v>
      </c>
      <c r="C850" s="1185"/>
      <c r="D850" s="1168">
        <v>7.42</v>
      </c>
      <c r="E850" s="1168">
        <v>0.7</v>
      </c>
      <c r="F850" s="1187">
        <v>8.9</v>
      </c>
      <c r="G850" s="1168">
        <v>0</v>
      </c>
      <c r="H850" s="1187">
        <v>0.09</v>
      </c>
      <c r="I850" s="1167">
        <v>46.192000000000007</v>
      </c>
      <c r="J850" s="1187">
        <v>130.06</v>
      </c>
      <c r="K850" s="1168">
        <v>1E-3</v>
      </c>
      <c r="L850" s="1167">
        <v>233.2</v>
      </c>
      <c r="M850" s="1168">
        <v>0</v>
      </c>
      <c r="N850" s="1188">
        <v>0.84</v>
      </c>
      <c r="O850" s="1188">
        <v>28.87</v>
      </c>
      <c r="P850" s="1188">
        <v>88.6</v>
      </c>
      <c r="Q850" s="1188">
        <v>27.3</v>
      </c>
      <c r="R850" s="1168">
        <v>1E-3</v>
      </c>
      <c r="S850" s="1168">
        <v>1E-3</v>
      </c>
      <c r="T850" s="1168">
        <v>1E-3</v>
      </c>
      <c r="U850" s="1168">
        <v>1E-3</v>
      </c>
      <c r="V850" s="1168"/>
    </row>
    <row r="851" spans="1:22" s="5" customFormat="1" x14ac:dyDescent="0.25">
      <c r="A851" s="1194">
        <v>900532</v>
      </c>
      <c r="B851" s="1195" t="str">
        <f t="shared" si="22"/>
        <v>-19,82/+19,49  (EC  20,17)</v>
      </c>
      <c r="C851" s="1196"/>
      <c r="D851" s="1197">
        <v>7.58</v>
      </c>
      <c r="E851" s="1197">
        <v>2.0169999999999999</v>
      </c>
      <c r="F851" s="1198">
        <v>4.76</v>
      </c>
      <c r="G851" s="1197">
        <v>0</v>
      </c>
      <c r="H851" s="1197">
        <v>0.01</v>
      </c>
      <c r="I851" s="1198">
        <v>443.84</v>
      </c>
      <c r="J851" s="1197">
        <v>147.65</v>
      </c>
      <c r="K851" s="1198">
        <v>0.33660000000000001</v>
      </c>
      <c r="L851" s="1197">
        <v>253.6</v>
      </c>
      <c r="M851" s="1197">
        <v>0</v>
      </c>
      <c r="N851" s="1147">
        <v>5.77</v>
      </c>
      <c r="O851" s="1147">
        <v>277.39999999999998</v>
      </c>
      <c r="P851" s="1147">
        <v>65.47</v>
      </c>
      <c r="Q851" s="1147">
        <v>48.09</v>
      </c>
      <c r="R851" s="1147"/>
      <c r="S851" s="1147"/>
      <c r="T851" s="1147"/>
      <c r="U851" s="1147"/>
      <c r="V851" s="774"/>
    </row>
    <row r="852" spans="1:22" s="5" customFormat="1" x14ac:dyDescent="0.25">
      <c r="A852" s="1194">
        <v>900533</v>
      </c>
      <c r="B852" s="1195" t="str">
        <f t="shared" si="22"/>
        <v>-8,08/+9,86  (EC  9,18)</v>
      </c>
      <c r="C852" s="1196"/>
      <c r="D852" s="1197">
        <v>7.84</v>
      </c>
      <c r="E852" s="1197">
        <v>0.91800000000000004</v>
      </c>
      <c r="F852" s="1198">
        <v>29.09</v>
      </c>
      <c r="G852" s="1197">
        <v>0</v>
      </c>
      <c r="H852" s="1197">
        <v>0.02</v>
      </c>
      <c r="I852" s="1198">
        <v>71.64800000000001</v>
      </c>
      <c r="J852" s="1197">
        <v>76.86</v>
      </c>
      <c r="K852" s="1198">
        <v>3.0600000000000002E-2</v>
      </c>
      <c r="L852" s="1197">
        <v>243.3</v>
      </c>
      <c r="M852" s="1197">
        <v>0</v>
      </c>
      <c r="N852" s="1147">
        <v>3.09</v>
      </c>
      <c r="O852" s="1147">
        <v>44.78</v>
      </c>
      <c r="P852" s="1147">
        <v>65.94</v>
      </c>
      <c r="Q852" s="1147">
        <v>54.43</v>
      </c>
      <c r="R852" s="1147">
        <v>0.03</v>
      </c>
      <c r="S852" s="1147">
        <v>1E-3</v>
      </c>
      <c r="T852" s="1147">
        <v>1E-3</v>
      </c>
      <c r="U852" s="1147">
        <v>1E-3</v>
      </c>
      <c r="V852" s="774"/>
    </row>
    <row r="853" spans="1:22" s="5" customFormat="1" x14ac:dyDescent="0.25">
      <c r="A853" s="1194">
        <v>900534</v>
      </c>
      <c r="B853" s="1195" t="str">
        <f t="shared" ref="B853:B882" si="23">"-"&amp;TEXT((F853/62+G853/46+I853/35.5+J853/48+K853/97+L853/61),"0,00")&amp;"/+"&amp;TEXT((N853/39+O853/23+P853/20+Q853/12+H853/14),"0,00")&amp;"  (EC  "&amp;E853*10&amp;")"</f>
        <v>-20,19/+21,78  (EC  20,19)</v>
      </c>
      <c r="C853" s="1196"/>
      <c r="D853" s="1197">
        <v>6.92</v>
      </c>
      <c r="E853" s="1197">
        <v>2.0190000000000001</v>
      </c>
      <c r="F853" s="1198">
        <v>2.21</v>
      </c>
      <c r="G853" s="1197">
        <v>0</v>
      </c>
      <c r="H853" s="1197">
        <v>0.02</v>
      </c>
      <c r="I853" s="1198">
        <v>209.96799999999999</v>
      </c>
      <c r="J853" s="1197">
        <v>497.75</v>
      </c>
      <c r="K853" s="1198">
        <v>3.0600000000000002E-2</v>
      </c>
      <c r="L853" s="1197">
        <v>236.23</v>
      </c>
      <c r="M853" s="1197">
        <v>0</v>
      </c>
      <c r="N853" s="1147">
        <v>4.09</v>
      </c>
      <c r="O853" s="1147">
        <v>131.22999999999999</v>
      </c>
      <c r="P853" s="1200">
        <v>198.92</v>
      </c>
      <c r="Q853" s="1147">
        <v>72.25</v>
      </c>
      <c r="R853" s="1147">
        <v>0</v>
      </c>
      <c r="S853" s="1147">
        <v>1E-3</v>
      </c>
      <c r="T853" s="1147">
        <v>0.22</v>
      </c>
      <c r="U853" s="1199">
        <v>0.01</v>
      </c>
      <c r="V853" s="25"/>
    </row>
    <row r="854" spans="1:22" x14ac:dyDescent="0.25">
      <c r="A854" s="795">
        <v>900535</v>
      </c>
      <c r="B854" s="1014" t="str">
        <f t="shared" si="23"/>
        <v>-16,03/+17,01  (EC  16,36)</v>
      </c>
      <c r="D854" s="3">
        <v>6.91</v>
      </c>
      <c r="E854" s="25">
        <v>1.6359999999999999</v>
      </c>
      <c r="F854" s="960">
        <v>1.04</v>
      </c>
      <c r="G854" s="25">
        <v>0</v>
      </c>
      <c r="H854" s="3">
        <v>0.06</v>
      </c>
      <c r="I854" s="26">
        <v>252.8</v>
      </c>
      <c r="J854" s="1215">
        <v>73.489999999999995</v>
      </c>
      <c r="K854" s="940">
        <v>0.12240000000000001</v>
      </c>
      <c r="L854" s="3">
        <v>448.8</v>
      </c>
      <c r="M854" s="3">
        <v>0</v>
      </c>
      <c r="N854" s="795">
        <v>5.62</v>
      </c>
      <c r="O854" s="795">
        <v>158</v>
      </c>
      <c r="P854" s="795">
        <v>102.84</v>
      </c>
      <c r="Q854" s="795">
        <v>58.22</v>
      </c>
      <c r="R854" s="795">
        <v>1E-3</v>
      </c>
      <c r="S854" s="795">
        <v>1E-3</v>
      </c>
      <c r="T854" s="795">
        <v>0.06</v>
      </c>
      <c r="U854" s="795" t="s">
        <v>532</v>
      </c>
    </row>
    <row r="855" spans="1:22" x14ac:dyDescent="0.25">
      <c r="A855" s="795">
        <v>900536</v>
      </c>
      <c r="B855" s="1014" t="str">
        <f t="shared" si="23"/>
        <v>-11,98/+12,38  (EC  11,12)</v>
      </c>
      <c r="D855" s="3">
        <v>6.91</v>
      </c>
      <c r="E855" s="25">
        <v>1.1120000000000001</v>
      </c>
      <c r="F855" s="960">
        <v>39.090000000000003</v>
      </c>
      <c r="G855" s="25">
        <v>0</v>
      </c>
      <c r="H855" s="3">
        <v>7.0000000000000007E-2</v>
      </c>
      <c r="I855" s="26">
        <v>35.76</v>
      </c>
      <c r="J855" s="1215">
        <v>46.96</v>
      </c>
      <c r="K855" s="940">
        <v>9.1799999999999993E-2</v>
      </c>
      <c r="L855" s="3">
        <v>571.19999999999993</v>
      </c>
      <c r="M855" s="1201">
        <v>0</v>
      </c>
      <c r="N855" s="795">
        <v>3.46</v>
      </c>
      <c r="O855" s="950">
        <v>22.35</v>
      </c>
      <c r="P855" s="795">
        <v>104.64</v>
      </c>
      <c r="Q855" s="795">
        <v>72.98</v>
      </c>
      <c r="R855" s="795">
        <v>1E-3</v>
      </c>
      <c r="S855" s="795">
        <v>1E-3</v>
      </c>
      <c r="T855" s="795">
        <v>1E-3</v>
      </c>
      <c r="U855" s="795">
        <v>1E-3</v>
      </c>
    </row>
    <row r="856" spans="1:22" x14ac:dyDescent="0.25">
      <c r="A856" s="795">
        <v>900537</v>
      </c>
      <c r="B856" s="1014" t="str">
        <f t="shared" si="23"/>
        <v>-18,74/+18,84  (EC  17,42)</v>
      </c>
      <c r="D856" s="3">
        <v>7.6099999999999994</v>
      </c>
      <c r="E856" s="25">
        <v>1.742</v>
      </c>
      <c r="F856" s="960">
        <v>30.9</v>
      </c>
      <c r="G856" s="25">
        <v>0</v>
      </c>
      <c r="H856" s="3">
        <v>0.08</v>
      </c>
      <c r="I856" s="26">
        <v>99.472000000000008</v>
      </c>
      <c r="J856" s="1216">
        <v>455.7</v>
      </c>
      <c r="K856" s="940">
        <v>9.1799999999999993E-2</v>
      </c>
      <c r="L856" s="3">
        <v>362.4</v>
      </c>
      <c r="M856" s="1201">
        <v>0</v>
      </c>
      <c r="N856" s="795">
        <v>1.94</v>
      </c>
      <c r="O856" s="950">
        <v>62.17</v>
      </c>
      <c r="P856" s="795">
        <v>203.47</v>
      </c>
      <c r="Q856" s="795">
        <v>70.849999999999994</v>
      </c>
      <c r="R856" s="795">
        <v>0.05</v>
      </c>
      <c r="S856" s="795">
        <v>1E-3</v>
      </c>
      <c r="T856" s="795">
        <v>1E-3</v>
      </c>
      <c r="U856" s="795">
        <v>1E-3</v>
      </c>
    </row>
    <row r="857" spans="1:22" x14ac:dyDescent="0.25">
      <c r="A857" s="795">
        <v>900538</v>
      </c>
      <c r="B857" s="1014" t="str">
        <f t="shared" si="23"/>
        <v>-9,22/+9,04  (EC  8,01)</v>
      </c>
      <c r="D857" s="3">
        <v>7.31</v>
      </c>
      <c r="E857" s="25">
        <v>0.80100000000000005</v>
      </c>
      <c r="F857" s="960">
        <v>8.77</v>
      </c>
      <c r="G857" s="25">
        <v>0</v>
      </c>
      <c r="H857" s="3">
        <v>0.03</v>
      </c>
      <c r="I857" s="26">
        <v>37.92</v>
      </c>
      <c r="J857" s="1215">
        <v>114.4</v>
      </c>
      <c r="K857" s="940">
        <v>0.48960000000000004</v>
      </c>
      <c r="L857" s="3">
        <v>343.20000000000005</v>
      </c>
      <c r="M857" s="1201">
        <v>0</v>
      </c>
      <c r="N857" s="795">
        <v>1.91</v>
      </c>
      <c r="O857" s="950">
        <v>23.7</v>
      </c>
      <c r="P857" s="795">
        <v>80.709999999999994</v>
      </c>
      <c r="Q857" s="795">
        <v>47.08</v>
      </c>
      <c r="R857" s="795">
        <v>1E-3</v>
      </c>
      <c r="S857" s="795">
        <v>1E-3</v>
      </c>
      <c r="T857" s="795">
        <v>1E-3</v>
      </c>
      <c r="U857" s="795">
        <v>1E-3</v>
      </c>
    </row>
    <row r="858" spans="1:22" x14ac:dyDescent="0.25">
      <c r="A858" s="795">
        <v>900539</v>
      </c>
      <c r="B858" s="1014" t="str">
        <f t="shared" si="23"/>
        <v>-6,44/+6,29  (EC  5,53)</v>
      </c>
      <c r="D858" s="3">
        <v>7.41</v>
      </c>
      <c r="E858" s="25">
        <v>0.55300000000000005</v>
      </c>
      <c r="F858" s="960">
        <v>20.9</v>
      </c>
      <c r="G858" s="25">
        <v>0</v>
      </c>
      <c r="H858" s="3">
        <v>7.0000000000000007E-2</v>
      </c>
      <c r="I858" s="26">
        <v>38.672000000000004</v>
      </c>
      <c r="J858" s="1215">
        <v>83.83</v>
      </c>
      <c r="K858" s="940">
        <v>6.1200000000000004E-2</v>
      </c>
      <c r="L858" s="3">
        <v>199.20000000000002</v>
      </c>
      <c r="M858" s="1201">
        <v>0</v>
      </c>
      <c r="N858" s="795">
        <v>1.51</v>
      </c>
      <c r="O858" s="950">
        <v>24.17</v>
      </c>
      <c r="P858" s="795">
        <v>70.55</v>
      </c>
      <c r="Q858" s="795">
        <v>20.04</v>
      </c>
      <c r="R858" s="795">
        <v>0.05</v>
      </c>
      <c r="S858" s="795">
        <v>1E-3</v>
      </c>
      <c r="T858" s="795">
        <v>1E-3</v>
      </c>
      <c r="U858" s="795">
        <v>1E-3</v>
      </c>
    </row>
    <row r="859" spans="1:22" x14ac:dyDescent="0.25">
      <c r="A859" s="795">
        <v>900540</v>
      </c>
      <c r="B859" s="1014" t="str">
        <f t="shared" si="23"/>
        <v>-10,81/+11,17  (EC  9,43)</v>
      </c>
      <c r="D859" s="3">
        <v>6.91</v>
      </c>
      <c r="E859" s="25">
        <v>0.94299999999999995</v>
      </c>
      <c r="F859" s="960">
        <v>14.24</v>
      </c>
      <c r="G859" s="25">
        <v>0</v>
      </c>
      <c r="H859" s="3">
        <v>0.03</v>
      </c>
      <c r="I859" s="26">
        <v>68.239999999999995</v>
      </c>
      <c r="J859" s="1215">
        <v>139.66999999999999</v>
      </c>
      <c r="K859" s="940">
        <v>6.1200000000000004E-2</v>
      </c>
      <c r="L859" s="3">
        <v>350.4</v>
      </c>
      <c r="M859" s="1201">
        <v>0</v>
      </c>
      <c r="N859" s="795">
        <v>1.7</v>
      </c>
      <c r="O859" s="950">
        <v>42.65</v>
      </c>
      <c r="P859" s="795">
        <v>129.44999999999999</v>
      </c>
      <c r="Q859" s="795">
        <v>33.51</v>
      </c>
      <c r="R859" s="795">
        <v>1E-3</v>
      </c>
      <c r="S859" s="795">
        <v>1E-3</v>
      </c>
      <c r="T859" s="795">
        <v>1E-3</v>
      </c>
      <c r="U859" s="795">
        <v>1E-3</v>
      </c>
    </row>
    <row r="860" spans="1:22" x14ac:dyDescent="0.25">
      <c r="A860" s="795">
        <v>900541</v>
      </c>
      <c r="B860" s="1014" t="str">
        <f t="shared" si="23"/>
        <v>-9,50/+10,79  (EC  9,16)</v>
      </c>
      <c r="D860" s="3">
        <v>7.1099999999999994</v>
      </c>
      <c r="E860" s="25">
        <v>0.91600000000000004</v>
      </c>
      <c r="F860" s="960">
        <v>12.16</v>
      </c>
      <c r="G860" s="25">
        <v>0</v>
      </c>
      <c r="H860" s="3">
        <v>0.04</v>
      </c>
      <c r="I860" s="26">
        <v>54.192</v>
      </c>
      <c r="J860" s="1215">
        <v>140.84</v>
      </c>
      <c r="K860" s="940">
        <v>6.1200000000000004E-2</v>
      </c>
      <c r="L860" s="3">
        <v>295.20000000000005</v>
      </c>
      <c r="M860" s="1201">
        <v>0</v>
      </c>
      <c r="N860" s="795">
        <v>2.02</v>
      </c>
      <c r="O860" s="950">
        <v>33.869999999999997</v>
      </c>
      <c r="P860" s="795">
        <v>109.15</v>
      </c>
      <c r="Q860" s="795">
        <v>45.68</v>
      </c>
      <c r="R860" s="795">
        <v>1E-3</v>
      </c>
      <c r="S860" s="795">
        <v>1E-3</v>
      </c>
      <c r="T860" s="795">
        <v>1E-3</v>
      </c>
      <c r="U860" s="795">
        <v>1E-3</v>
      </c>
    </row>
    <row r="861" spans="1:22" x14ac:dyDescent="0.25">
      <c r="A861" s="795">
        <v>900542</v>
      </c>
      <c r="B861" s="1014" t="str">
        <f t="shared" si="23"/>
        <v>-8,44/+8,65  (EC  7,48)</v>
      </c>
      <c r="D861" s="3">
        <v>7.01</v>
      </c>
      <c r="E861" s="25">
        <v>0.748</v>
      </c>
      <c r="F861" s="960">
        <v>19.760000000000002</v>
      </c>
      <c r="G861" s="25">
        <v>0</v>
      </c>
      <c r="H861" s="3">
        <v>7.0000000000000007E-2</v>
      </c>
      <c r="I861" s="26">
        <v>44.72</v>
      </c>
      <c r="J861" s="1215">
        <v>89.38</v>
      </c>
      <c r="K861" s="940">
        <v>0.01</v>
      </c>
      <c r="L861" s="3">
        <v>304.8</v>
      </c>
      <c r="M861" s="1201">
        <v>0</v>
      </c>
      <c r="N861" s="795">
        <v>1.06</v>
      </c>
      <c r="O861" s="950">
        <v>27.95</v>
      </c>
      <c r="P861" s="795">
        <v>77.11</v>
      </c>
      <c r="Q861" s="795">
        <v>42.57</v>
      </c>
      <c r="R861" s="795">
        <v>1E-3</v>
      </c>
      <c r="S861" s="795">
        <v>1E-3</v>
      </c>
      <c r="T861" s="795">
        <v>1E-3</v>
      </c>
      <c r="U861" s="795">
        <v>1E-3</v>
      </c>
    </row>
    <row r="862" spans="1:22" x14ac:dyDescent="0.25">
      <c r="A862" s="795">
        <v>900543</v>
      </c>
      <c r="B862" s="1014" t="str">
        <f t="shared" si="23"/>
        <v>-5,94/+5,81  (EC  5,12)</v>
      </c>
      <c r="D862" s="3">
        <v>7.51</v>
      </c>
      <c r="E862" s="25">
        <v>0.51200000000000001</v>
      </c>
      <c r="F862" s="960">
        <v>17.45</v>
      </c>
      <c r="G862" s="25">
        <v>0</v>
      </c>
      <c r="H862" s="3">
        <v>0.03</v>
      </c>
      <c r="I862" s="26">
        <v>40.368000000000002</v>
      </c>
      <c r="J862" s="1215">
        <v>69.44</v>
      </c>
      <c r="K862" s="940">
        <v>9.1799999999999993E-2</v>
      </c>
      <c r="L862" s="3">
        <v>187.20000000000002</v>
      </c>
      <c r="M862" s="1201">
        <v>0</v>
      </c>
      <c r="N862" s="795">
        <v>1.23</v>
      </c>
      <c r="O862" s="950">
        <v>25.23</v>
      </c>
      <c r="P862" s="795">
        <v>61.6</v>
      </c>
      <c r="Q862" s="795">
        <v>19.14</v>
      </c>
      <c r="R862" s="795">
        <v>0.02</v>
      </c>
      <c r="S862" s="795">
        <v>1E-3</v>
      </c>
      <c r="T862" s="795">
        <v>1E-3</v>
      </c>
      <c r="U862" s="795">
        <v>1E-3</v>
      </c>
    </row>
    <row r="863" spans="1:22" x14ac:dyDescent="0.25">
      <c r="A863" s="795">
        <v>900544</v>
      </c>
      <c r="B863" s="1014" t="str">
        <f t="shared" si="23"/>
        <v>-8,08/+8,47  (EC  7,24)</v>
      </c>
      <c r="D863" s="3">
        <v>7.01</v>
      </c>
      <c r="E863" s="25">
        <v>0.72399999999999998</v>
      </c>
      <c r="F863" s="960">
        <v>13.87</v>
      </c>
      <c r="G863" s="25">
        <v>0</v>
      </c>
      <c r="H863" s="3">
        <v>7.0000000000000007E-2</v>
      </c>
      <c r="I863" s="26">
        <v>44.800000000000004</v>
      </c>
      <c r="J863" s="1215">
        <v>63.63</v>
      </c>
      <c r="K863" s="940">
        <v>1E-3</v>
      </c>
      <c r="L863" s="3">
        <v>321.60000000000002</v>
      </c>
      <c r="M863" s="1201">
        <v>0</v>
      </c>
      <c r="N863" s="795">
        <v>1.1299999999999999</v>
      </c>
      <c r="O863" s="950">
        <v>28</v>
      </c>
      <c r="P863" s="795">
        <v>74.290000000000006</v>
      </c>
      <c r="Q863" s="795">
        <v>42.03</v>
      </c>
      <c r="R863" s="795">
        <v>1E-3</v>
      </c>
      <c r="S863" s="795">
        <v>1E-3</v>
      </c>
      <c r="T863" s="795">
        <v>1E-3</v>
      </c>
      <c r="U863" s="795">
        <v>1E-3</v>
      </c>
    </row>
    <row r="864" spans="1:22" x14ac:dyDescent="0.25">
      <c r="A864" s="795">
        <v>900545</v>
      </c>
      <c r="B864" s="1014" t="str">
        <f t="shared" si="23"/>
        <v>-8,58/+9,32  (EC  8,16)</v>
      </c>
      <c r="D864" s="3">
        <v>7.41</v>
      </c>
      <c r="E864" s="25">
        <v>0.81599999999999995</v>
      </c>
      <c r="F864" s="960">
        <v>28.95</v>
      </c>
      <c r="G864" s="25">
        <v>0</v>
      </c>
      <c r="H864" s="3">
        <v>0.08</v>
      </c>
      <c r="I864" s="26">
        <v>40.112000000000002</v>
      </c>
      <c r="J864" s="1215">
        <v>42.52</v>
      </c>
      <c r="K864" s="940">
        <v>0.18359999999999999</v>
      </c>
      <c r="L864" s="3">
        <v>372</v>
      </c>
      <c r="M864" s="1201">
        <v>0</v>
      </c>
      <c r="N864" s="795">
        <v>2.14</v>
      </c>
      <c r="O864" s="950">
        <v>25.07</v>
      </c>
      <c r="P864" s="795">
        <v>73.84</v>
      </c>
      <c r="Q864" s="795">
        <v>53.78</v>
      </c>
      <c r="R864" s="795">
        <v>1E-3</v>
      </c>
      <c r="S864" s="795">
        <v>1E-3</v>
      </c>
      <c r="T864" s="795">
        <v>1E-3</v>
      </c>
      <c r="U864" s="795">
        <v>1E-3</v>
      </c>
    </row>
    <row r="865" spans="1:97" x14ac:dyDescent="0.25">
      <c r="A865" s="795">
        <v>900546</v>
      </c>
      <c r="B865" s="1014" t="str">
        <f t="shared" si="23"/>
        <v>-8,86/+8,94  (EC  7,56)</v>
      </c>
      <c r="D865" s="3">
        <v>7.51</v>
      </c>
      <c r="E865" s="25">
        <v>0.75600000000000001</v>
      </c>
      <c r="F865" s="960">
        <v>25.66</v>
      </c>
      <c r="G865" s="25">
        <v>0</v>
      </c>
      <c r="H865" s="3">
        <v>0.04</v>
      </c>
      <c r="I865" s="26">
        <v>52.832000000000008</v>
      </c>
      <c r="J865" s="1215">
        <v>58.28</v>
      </c>
      <c r="K865" s="940">
        <v>0.18359999999999999</v>
      </c>
      <c r="L865" s="3">
        <v>350.4</v>
      </c>
      <c r="M865" s="1201">
        <v>0</v>
      </c>
      <c r="N865" s="795">
        <v>2.3199999999999998</v>
      </c>
      <c r="O865" s="950">
        <v>33.020000000000003</v>
      </c>
      <c r="P865" s="795">
        <v>72.98</v>
      </c>
      <c r="Q865" s="795">
        <v>45.49</v>
      </c>
      <c r="R865" s="795">
        <v>1E-3</v>
      </c>
      <c r="S865" s="795">
        <v>1E-3</v>
      </c>
      <c r="T865" s="795">
        <v>1E-3</v>
      </c>
      <c r="U865" s="795">
        <v>1E-3</v>
      </c>
    </row>
    <row r="866" spans="1:97" x14ac:dyDescent="0.25">
      <c r="A866" s="795">
        <v>900547</v>
      </c>
      <c r="B866" s="1014" t="str">
        <f t="shared" si="23"/>
        <v>-8,87/+9,03  (EC  8,17)</v>
      </c>
      <c r="D866" s="3">
        <v>7.01</v>
      </c>
      <c r="E866" s="25">
        <v>0.81699999999999995</v>
      </c>
      <c r="F866" s="960">
        <v>28.61</v>
      </c>
      <c r="G866" s="25">
        <v>0</v>
      </c>
      <c r="H866" s="3">
        <v>0.08</v>
      </c>
      <c r="I866" s="26">
        <v>52.832000000000008</v>
      </c>
      <c r="J866" s="1215">
        <v>48.82</v>
      </c>
      <c r="K866" s="940">
        <v>9.1799999999999993E-2</v>
      </c>
      <c r="L866" s="3">
        <v>360</v>
      </c>
      <c r="M866" s="1201">
        <v>0</v>
      </c>
      <c r="N866" s="795">
        <v>2.4</v>
      </c>
      <c r="O866" s="950">
        <v>33.020000000000003</v>
      </c>
      <c r="P866" s="795">
        <v>75.239999999999995</v>
      </c>
      <c r="Q866" s="795">
        <v>45.15</v>
      </c>
      <c r="R866" s="795">
        <v>1E-3</v>
      </c>
      <c r="S866" s="795">
        <v>1E-3</v>
      </c>
      <c r="T866" s="795">
        <v>1E-3</v>
      </c>
      <c r="U866" s="795">
        <v>1E-3</v>
      </c>
    </row>
    <row r="867" spans="1:97" x14ac:dyDescent="0.25">
      <c r="A867" s="795">
        <v>900548</v>
      </c>
      <c r="B867" s="1014" t="str">
        <f t="shared" si="23"/>
        <v>-13,25/+13,74  (EC  12,06)</v>
      </c>
      <c r="D867" s="3">
        <v>7.51</v>
      </c>
      <c r="E867" s="25">
        <v>1.206</v>
      </c>
      <c r="F867" s="960">
        <v>27.81</v>
      </c>
      <c r="G867" s="25">
        <v>0</v>
      </c>
      <c r="H867" s="3">
        <v>0.03</v>
      </c>
      <c r="I867" s="26">
        <v>52.608000000000004</v>
      </c>
      <c r="J867" s="1216">
        <v>337.45</v>
      </c>
      <c r="K867" s="940">
        <v>6.1200000000000004E-2</v>
      </c>
      <c r="L867" s="3">
        <v>261.60000000000002</v>
      </c>
      <c r="M867" s="1201">
        <v>0</v>
      </c>
      <c r="N867" s="795">
        <v>2.0699999999999998</v>
      </c>
      <c r="O867" s="950">
        <v>32.880000000000003</v>
      </c>
      <c r="P867" s="795">
        <v>142.05000000000001</v>
      </c>
      <c r="Q867" s="795">
        <v>61.85</v>
      </c>
      <c r="R867" s="795">
        <v>0.01</v>
      </c>
      <c r="S867" s="795">
        <v>1E-3</v>
      </c>
      <c r="T867" s="795">
        <v>1E-3</v>
      </c>
      <c r="U867" s="795">
        <v>1E-3</v>
      </c>
    </row>
    <row r="868" spans="1:97" x14ac:dyDescent="0.25">
      <c r="A868" s="795">
        <v>900549</v>
      </c>
      <c r="B868" s="1014" t="str">
        <f t="shared" si="23"/>
        <v>-18,69/+19,04  (EC  18,5)</v>
      </c>
      <c r="D868" s="3">
        <v>7.31</v>
      </c>
      <c r="E868" s="25">
        <v>1.85</v>
      </c>
      <c r="F868" s="960">
        <v>54.84</v>
      </c>
      <c r="G868" s="25">
        <v>0</v>
      </c>
      <c r="H868" s="3">
        <v>0.09</v>
      </c>
      <c r="I868" s="26">
        <v>58.624000000000002</v>
      </c>
      <c r="J868" s="1216">
        <v>550.79999999999995</v>
      </c>
      <c r="K868" s="940">
        <v>0.15300000000000002</v>
      </c>
      <c r="L868" s="3">
        <v>285.60000000000002</v>
      </c>
      <c r="M868" s="1201">
        <v>0</v>
      </c>
      <c r="N868" s="795">
        <v>2.42</v>
      </c>
      <c r="O868" s="795">
        <v>36.64</v>
      </c>
      <c r="P868" s="795">
        <v>209.68</v>
      </c>
      <c r="Q868" s="795">
        <v>82.7</v>
      </c>
      <c r="R868" s="795">
        <v>7.0000000000000007E-2</v>
      </c>
      <c r="S868" s="795">
        <v>1E-3</v>
      </c>
      <c r="T868" s="795">
        <v>1E-3</v>
      </c>
      <c r="U868" s="795">
        <v>1E-3</v>
      </c>
    </row>
    <row r="869" spans="1:97" x14ac:dyDescent="0.25">
      <c r="A869" s="795">
        <v>900550</v>
      </c>
      <c r="B869" s="1014" t="str">
        <f t="shared" si="23"/>
        <v>-7,04/+6,57  (EC  6,2)</v>
      </c>
      <c r="D869" s="3">
        <v>7.51</v>
      </c>
      <c r="E869" s="25">
        <v>0.62</v>
      </c>
      <c r="F869" s="960">
        <v>15.22</v>
      </c>
      <c r="G869" s="25">
        <v>0</v>
      </c>
      <c r="H869" s="3">
        <v>0.06</v>
      </c>
      <c r="I869" s="26">
        <v>55.28</v>
      </c>
      <c r="J869" s="1215">
        <v>73.63</v>
      </c>
      <c r="K869" s="940">
        <v>3.0600000000000002E-2</v>
      </c>
      <c r="L869" s="3">
        <v>225.60000000000002</v>
      </c>
      <c r="M869" s="1201">
        <v>0</v>
      </c>
      <c r="N869" s="795">
        <v>1.44</v>
      </c>
      <c r="O869" s="950">
        <v>34.549999999999997</v>
      </c>
      <c r="P869" s="795">
        <v>67.540000000000006</v>
      </c>
      <c r="Q869" s="795">
        <v>19.829999999999998</v>
      </c>
      <c r="R869" s="795">
        <v>0.08</v>
      </c>
      <c r="S869" s="795">
        <v>1E-3</v>
      </c>
      <c r="T869" s="795">
        <v>1E-3</v>
      </c>
      <c r="U869" s="795">
        <v>1E-3</v>
      </c>
    </row>
    <row r="870" spans="1:97" x14ac:dyDescent="0.25">
      <c r="A870" s="795">
        <v>900551</v>
      </c>
      <c r="B870" s="1014" t="str">
        <f t="shared" si="23"/>
        <v>-5,85/+6,23  (EC  5,18)</v>
      </c>
      <c r="D870" s="3">
        <v>7.31</v>
      </c>
      <c r="E870" s="25">
        <v>0.51800000000000002</v>
      </c>
      <c r="F870" s="960">
        <v>22.33</v>
      </c>
      <c r="G870" s="25">
        <v>0</v>
      </c>
      <c r="H870" s="3">
        <v>7.0000000000000007E-2</v>
      </c>
      <c r="I870" s="26">
        <v>11.104000000000001</v>
      </c>
      <c r="J870" s="1215">
        <v>12.34</v>
      </c>
      <c r="K870" s="940">
        <v>0.24480000000000002</v>
      </c>
      <c r="L870" s="3">
        <v>300</v>
      </c>
      <c r="M870" s="1201">
        <v>0</v>
      </c>
      <c r="N870" s="795">
        <v>0.41</v>
      </c>
      <c r="O870" s="950">
        <v>6.94</v>
      </c>
      <c r="P870" s="795">
        <v>64.72</v>
      </c>
      <c r="Q870" s="795">
        <v>32.119999999999997</v>
      </c>
      <c r="R870" s="795">
        <v>1E-3</v>
      </c>
      <c r="S870" s="795">
        <v>1E-3</v>
      </c>
      <c r="T870" s="795">
        <v>1E-3</v>
      </c>
      <c r="U870" s="795">
        <v>1E-3</v>
      </c>
    </row>
    <row r="871" spans="1:97" x14ac:dyDescent="0.25">
      <c r="A871" s="795">
        <v>900552</v>
      </c>
      <c r="B871" s="1014" t="str">
        <f t="shared" si="23"/>
        <v>-7,66/+8,17  (EC  8,09)</v>
      </c>
      <c r="D871" s="3">
        <v>7.21</v>
      </c>
      <c r="E871" s="25">
        <v>0.80900000000000005</v>
      </c>
      <c r="F871" s="960">
        <v>114.17</v>
      </c>
      <c r="G871" s="25">
        <v>0</v>
      </c>
      <c r="H871" s="3">
        <v>0.04</v>
      </c>
      <c r="I871" s="26">
        <v>85.296000000000006</v>
      </c>
      <c r="J871" s="1215">
        <v>31.57</v>
      </c>
      <c r="K871" s="940">
        <v>0.15300000000000002</v>
      </c>
      <c r="L871" s="3">
        <v>168</v>
      </c>
      <c r="M871" s="1201">
        <v>0</v>
      </c>
      <c r="N871" s="795">
        <v>0.7</v>
      </c>
      <c r="O871" s="950">
        <v>53.31</v>
      </c>
      <c r="P871" s="795">
        <v>105.78</v>
      </c>
      <c r="Q871" s="795">
        <v>6.54</v>
      </c>
      <c r="R871" s="795"/>
      <c r="S871" s="795"/>
      <c r="T871" s="795"/>
      <c r="U871" s="795"/>
    </row>
    <row r="872" spans="1:97" x14ac:dyDescent="0.25">
      <c r="A872" s="795">
        <v>900553</v>
      </c>
      <c r="B872" s="1014" t="str">
        <f t="shared" si="23"/>
        <v>-6,29/+6,61  (EC  6,42)</v>
      </c>
      <c r="D872" s="3">
        <v>7.31</v>
      </c>
      <c r="E872" s="25">
        <v>0.64200000000000002</v>
      </c>
      <c r="F872" s="960">
        <v>10.71</v>
      </c>
      <c r="G872" s="25">
        <v>0</v>
      </c>
      <c r="H872" s="3">
        <v>0.06</v>
      </c>
      <c r="I872" s="26">
        <v>106.72000000000001</v>
      </c>
      <c r="J872" s="1215">
        <v>26.69</v>
      </c>
      <c r="K872" s="940">
        <v>0.15300000000000002</v>
      </c>
      <c r="L872" s="3">
        <v>156</v>
      </c>
      <c r="M872" s="1201">
        <v>0</v>
      </c>
      <c r="N872" s="795">
        <v>1.3</v>
      </c>
      <c r="O872" s="950">
        <v>66.7</v>
      </c>
      <c r="P872" s="795">
        <v>48.48</v>
      </c>
      <c r="Q872" s="795">
        <v>15</v>
      </c>
      <c r="R872" s="795">
        <v>1E-3</v>
      </c>
      <c r="S872" s="795">
        <v>1E-3</v>
      </c>
      <c r="T872" s="795">
        <v>1E-3</v>
      </c>
      <c r="U872" s="795">
        <v>1E-3</v>
      </c>
    </row>
    <row r="873" spans="1:97" x14ac:dyDescent="0.25">
      <c r="A873" s="795">
        <v>900554</v>
      </c>
      <c r="B873" s="1014" t="str">
        <f t="shared" si="23"/>
        <v>-29,32/+30,65  (EC  29,02)</v>
      </c>
      <c r="D873" s="3">
        <v>6.91</v>
      </c>
      <c r="E873" s="25">
        <v>2.9020000000000001</v>
      </c>
      <c r="F873" s="960">
        <v>44.19</v>
      </c>
      <c r="G873" s="25">
        <v>0</v>
      </c>
      <c r="H873" s="3">
        <v>7.0000000000000007E-2</v>
      </c>
      <c r="I873" s="1213">
        <f>O873*1.6</f>
        <v>476.67200000000003</v>
      </c>
      <c r="J873" s="1216">
        <v>494.15</v>
      </c>
      <c r="K873" s="940">
        <v>0.24480000000000002</v>
      </c>
      <c r="L873" s="3">
        <v>297.60000000000002</v>
      </c>
      <c r="M873" s="1201">
        <v>0</v>
      </c>
      <c r="N873" s="795">
        <v>4.58</v>
      </c>
      <c r="O873" s="950">
        <v>297.92</v>
      </c>
      <c r="P873" s="795">
        <v>183.06</v>
      </c>
      <c r="Q873" s="795">
        <v>101.04</v>
      </c>
      <c r="R873" s="795">
        <v>1E-3</v>
      </c>
      <c r="S873" s="795">
        <v>1E-3</v>
      </c>
      <c r="T873" s="795">
        <v>1E-3</v>
      </c>
      <c r="U873" s="795">
        <v>1E-3</v>
      </c>
    </row>
    <row r="874" spans="1:97" x14ac:dyDescent="0.25">
      <c r="A874" s="795">
        <v>900555</v>
      </c>
      <c r="B874" s="1014" t="str">
        <f t="shared" si="23"/>
        <v>-32,84/+33,74  (EC  32,7)</v>
      </c>
      <c r="D874" s="3">
        <v>7.41</v>
      </c>
      <c r="E874" s="25">
        <v>3.27</v>
      </c>
      <c r="F874" s="960">
        <v>16.41</v>
      </c>
      <c r="G874" s="25">
        <v>0</v>
      </c>
      <c r="H874" s="3">
        <v>0.06</v>
      </c>
      <c r="I874" s="1213">
        <f>O874*1.6</f>
        <v>382.67200000000003</v>
      </c>
      <c r="J874" s="1216">
        <v>759</v>
      </c>
      <c r="K874" s="940">
        <v>0.12240000000000001</v>
      </c>
      <c r="L874" s="3">
        <v>364.8</v>
      </c>
      <c r="M874" s="1201">
        <v>0</v>
      </c>
      <c r="N874" s="795">
        <v>5.81</v>
      </c>
      <c r="O874" s="950">
        <v>239.17</v>
      </c>
      <c r="P874" s="1214">
        <v>208.44</v>
      </c>
      <c r="Q874" s="1214">
        <v>153.15</v>
      </c>
      <c r="R874" s="795">
        <v>0.01</v>
      </c>
      <c r="S874" s="795">
        <v>1E-3</v>
      </c>
      <c r="T874" s="795">
        <v>1E-3</v>
      </c>
      <c r="U874" s="795">
        <v>1E-3</v>
      </c>
    </row>
    <row r="875" spans="1:97" s="1226" customFormat="1" x14ac:dyDescent="0.25">
      <c r="A875" s="1217" t="s">
        <v>530</v>
      </c>
      <c r="B875" s="1218" t="str">
        <f t="shared" si="23"/>
        <v>-23,17/+23,40  (EC  23,88)</v>
      </c>
      <c r="C875" s="1219"/>
      <c r="D875" s="1220">
        <v>7.21</v>
      </c>
      <c r="E875" s="1220">
        <v>2.3879999999999999</v>
      </c>
      <c r="F875" s="1221">
        <v>113.28</v>
      </c>
      <c r="G875" s="1220">
        <v>0</v>
      </c>
      <c r="H875" s="1220">
        <v>0.06</v>
      </c>
      <c r="I875" s="1222">
        <v>507.28000000000003</v>
      </c>
      <c r="J875" s="1223">
        <v>105.81</v>
      </c>
      <c r="K875" s="1224">
        <v>0.24480000000000002</v>
      </c>
      <c r="L875" s="1220">
        <v>295.60000000000002</v>
      </c>
      <c r="M875" s="1220">
        <v>0</v>
      </c>
      <c r="N875" s="1217">
        <v>1.66</v>
      </c>
      <c r="O875" s="1225">
        <v>317.05</v>
      </c>
      <c r="P875" s="1217">
        <v>99.97</v>
      </c>
      <c r="Q875" s="1217">
        <v>54.88</v>
      </c>
      <c r="R875" s="1217">
        <v>1E-3</v>
      </c>
      <c r="S875" s="1217">
        <v>1E-3</v>
      </c>
      <c r="T875" s="1217">
        <v>1E-3</v>
      </c>
      <c r="U875" s="1217" t="s">
        <v>533</v>
      </c>
      <c r="V875" s="1220"/>
      <c r="W875" s="1240"/>
      <c r="X875" s="1240"/>
      <c r="Y875" s="1240"/>
      <c r="Z875" s="1240"/>
      <c r="AA875" s="1240"/>
      <c r="AB875" s="1240"/>
      <c r="AC875" s="1240"/>
      <c r="AD875" s="1240"/>
      <c r="AE875" s="1240"/>
      <c r="AF875" s="1240"/>
      <c r="AG875" s="1240"/>
      <c r="AH875" s="1240"/>
      <c r="AI875" s="1240"/>
      <c r="AJ875" s="1240"/>
      <c r="AK875" s="1240"/>
      <c r="AL875" s="1240"/>
      <c r="AM875" s="1240"/>
      <c r="AN875" s="1240"/>
      <c r="AO875" s="1240"/>
      <c r="AP875" s="1240"/>
      <c r="AQ875" s="1240"/>
      <c r="AR875" s="1240"/>
      <c r="AS875" s="1240"/>
      <c r="AT875" s="1240"/>
      <c r="AU875" s="1240"/>
      <c r="AV875" s="1240"/>
      <c r="AW875" s="1240"/>
      <c r="AX875" s="1240"/>
      <c r="AY875" s="1240"/>
      <c r="AZ875" s="1240"/>
      <c r="BA875" s="1240"/>
      <c r="BB875" s="1240"/>
      <c r="BC875" s="1240"/>
      <c r="BD875" s="1240"/>
      <c r="BE875" s="1240"/>
      <c r="BF875" s="1240"/>
      <c r="BG875" s="1240"/>
      <c r="BH875" s="1240"/>
      <c r="BI875" s="1240"/>
      <c r="BJ875" s="1240"/>
      <c r="BK875" s="1240"/>
      <c r="BL875" s="1240"/>
      <c r="BM875" s="1240"/>
      <c r="BN875" s="1240"/>
      <c r="BO875" s="1240"/>
      <c r="BP875" s="1240"/>
      <c r="BQ875" s="1240"/>
      <c r="BR875" s="1240"/>
      <c r="BS875" s="1240"/>
      <c r="BT875" s="1240"/>
      <c r="BU875" s="1240"/>
      <c r="BV875" s="1240"/>
      <c r="BW875" s="1240"/>
      <c r="BX875" s="1240"/>
      <c r="BY875" s="1240"/>
      <c r="BZ875" s="1240"/>
      <c r="CA875" s="1240"/>
      <c r="CB875" s="1240"/>
      <c r="CC875" s="1240"/>
      <c r="CD875" s="1240"/>
      <c r="CE875" s="1240"/>
      <c r="CF875" s="1240"/>
      <c r="CG875" s="1240"/>
      <c r="CH875" s="1240"/>
      <c r="CI875" s="1240"/>
      <c r="CJ875" s="1240"/>
      <c r="CK875" s="1240"/>
      <c r="CL875" s="1240"/>
      <c r="CM875" s="1240"/>
      <c r="CN875" s="1240"/>
      <c r="CO875" s="1240"/>
      <c r="CP875" s="1240"/>
      <c r="CQ875" s="1240"/>
      <c r="CR875" s="1240"/>
      <c r="CS875" s="1240"/>
    </row>
    <row r="876" spans="1:97" s="1226" customFormat="1" x14ac:dyDescent="0.25">
      <c r="A876" s="1217" t="s">
        <v>531</v>
      </c>
      <c r="B876" s="1218" t="str">
        <f t="shared" si="23"/>
        <v>-23,03/+23,17  (EC  22,83)</v>
      </c>
      <c r="C876" s="1219"/>
      <c r="D876" s="1220">
        <v>7.01</v>
      </c>
      <c r="E876" s="1220">
        <v>2.2829999999999999</v>
      </c>
      <c r="F876" s="1221">
        <v>113.72</v>
      </c>
      <c r="G876" s="1220">
        <v>0</v>
      </c>
      <c r="H876" s="1220">
        <v>0.05</v>
      </c>
      <c r="I876" s="1222">
        <v>491.32799999999997</v>
      </c>
      <c r="J876" s="1223">
        <v>104.75</v>
      </c>
      <c r="K876" s="1224">
        <v>0.15300000000000002</v>
      </c>
      <c r="L876" s="1220">
        <v>315.3</v>
      </c>
      <c r="M876" s="1220">
        <v>0</v>
      </c>
      <c r="N876" s="1217">
        <v>1.42</v>
      </c>
      <c r="O876" s="1225">
        <v>307.08</v>
      </c>
      <c r="P876" s="1217">
        <v>102.1</v>
      </c>
      <c r="Q876" s="1217">
        <v>56.05</v>
      </c>
      <c r="R876" s="1217">
        <v>0.04</v>
      </c>
      <c r="S876" s="1217">
        <v>1E-3</v>
      </c>
      <c r="T876" s="1217">
        <v>1E-3</v>
      </c>
      <c r="U876" s="1217">
        <v>1E-3</v>
      </c>
      <c r="V876" s="1220"/>
      <c r="W876" s="1240"/>
      <c r="X876" s="1240"/>
      <c r="Y876" s="1240"/>
      <c r="Z876" s="1240"/>
      <c r="AA876" s="1240"/>
      <c r="AB876" s="1240"/>
      <c r="AC876" s="1240"/>
      <c r="AD876" s="1240"/>
      <c r="AE876" s="1240"/>
      <c r="AF876" s="1240"/>
      <c r="AG876" s="1240"/>
      <c r="AH876" s="1240"/>
      <c r="AI876" s="1240"/>
      <c r="AJ876" s="1240"/>
      <c r="AK876" s="1240"/>
      <c r="AL876" s="1240"/>
      <c r="AM876" s="1240"/>
      <c r="AN876" s="1240"/>
      <c r="AO876" s="1240"/>
      <c r="AP876" s="1240"/>
      <c r="AQ876" s="1240"/>
      <c r="AR876" s="1240"/>
      <c r="AS876" s="1240"/>
      <c r="AT876" s="1240"/>
      <c r="AU876" s="1240"/>
      <c r="AV876" s="1240"/>
      <c r="AW876" s="1240"/>
      <c r="AX876" s="1240"/>
      <c r="AY876" s="1240"/>
      <c r="AZ876" s="1240"/>
      <c r="BA876" s="1240"/>
      <c r="BB876" s="1240"/>
      <c r="BC876" s="1240"/>
      <c r="BD876" s="1240"/>
      <c r="BE876" s="1240"/>
      <c r="BF876" s="1240"/>
      <c r="BG876" s="1240"/>
      <c r="BH876" s="1240"/>
      <c r="BI876" s="1240"/>
      <c r="BJ876" s="1240"/>
      <c r="BK876" s="1240"/>
      <c r="BL876" s="1240"/>
      <c r="BM876" s="1240"/>
      <c r="BN876" s="1240"/>
      <c r="BO876" s="1240"/>
      <c r="BP876" s="1240"/>
      <c r="BQ876" s="1240"/>
      <c r="BR876" s="1240"/>
      <c r="BS876" s="1240"/>
      <c r="BT876" s="1240"/>
      <c r="BU876" s="1240"/>
      <c r="BV876" s="1240"/>
      <c r="BW876" s="1240"/>
      <c r="BX876" s="1240"/>
      <c r="BY876" s="1240"/>
      <c r="BZ876" s="1240"/>
      <c r="CA876" s="1240"/>
      <c r="CB876" s="1240"/>
      <c r="CC876" s="1240"/>
      <c r="CD876" s="1240"/>
      <c r="CE876" s="1240"/>
      <c r="CF876" s="1240"/>
      <c r="CG876" s="1240"/>
      <c r="CH876" s="1240"/>
      <c r="CI876" s="1240"/>
      <c r="CJ876" s="1240"/>
      <c r="CK876" s="1240"/>
      <c r="CL876" s="1240"/>
      <c r="CM876" s="1240"/>
      <c r="CN876" s="1240"/>
      <c r="CO876" s="1240"/>
      <c r="CP876" s="1240"/>
      <c r="CQ876" s="1240"/>
      <c r="CR876" s="1240"/>
      <c r="CS876" s="1240"/>
    </row>
    <row r="877" spans="1:97" s="5" customFormat="1" x14ac:dyDescent="0.25">
      <c r="A877" s="1230">
        <v>900556</v>
      </c>
      <c r="B877" s="1231" t="str">
        <f>"-"&amp;TEXT((F877/62+G879/46+I877/35.5+J877/48+K877/97+L877/61),"0,00")&amp;"/+"&amp;TEXT((N877/39+O877/23+P877/20+Q877/12+H877/14),"0,00")&amp;"  (EC  "&amp;E877*10&amp;")"</f>
        <v>-10,49/+9,39  (EC  9,12)</v>
      </c>
      <c r="C877" s="1232"/>
      <c r="D877" s="1233">
        <v>7.38</v>
      </c>
      <c r="E877" s="1233">
        <v>0.91200000000000003</v>
      </c>
      <c r="F877" s="1234">
        <v>43.77</v>
      </c>
      <c r="G877" s="1233">
        <v>0</v>
      </c>
      <c r="H877" s="1234">
        <v>0.06</v>
      </c>
      <c r="I877" s="1235">
        <v>75.12</v>
      </c>
      <c r="J877" s="1234">
        <v>56.65</v>
      </c>
      <c r="K877" s="1233">
        <v>6.1200000000000004E-2</v>
      </c>
      <c r="L877" s="1233">
        <v>396</v>
      </c>
      <c r="M877" s="1233">
        <v>0</v>
      </c>
      <c r="N877" s="1236">
        <v>4.7</v>
      </c>
      <c r="O877" s="1008">
        <v>46.95</v>
      </c>
      <c r="P877" s="1008">
        <v>66.45</v>
      </c>
      <c r="Q877" s="1008">
        <v>46.87</v>
      </c>
      <c r="R877" s="1008"/>
      <c r="S877" s="1008"/>
      <c r="T877" s="1008"/>
      <c r="U877" s="1008"/>
      <c r="V877" s="25"/>
    </row>
    <row r="878" spans="1:97" s="5" customFormat="1" x14ac:dyDescent="0.25">
      <c r="A878" s="1230">
        <v>900557</v>
      </c>
      <c r="B878" s="1231" t="str">
        <f t="shared" si="23"/>
        <v>-11,48/+10,82  (EC  9,39)</v>
      </c>
      <c r="C878" s="1232"/>
      <c r="D878" s="1233">
        <v>6.74</v>
      </c>
      <c r="E878" s="1233">
        <v>0.93899999999999995</v>
      </c>
      <c r="F878" s="1234">
        <v>49.08</v>
      </c>
      <c r="G878" s="1233">
        <v>0</v>
      </c>
      <c r="H878" s="1234">
        <v>0.09</v>
      </c>
      <c r="I878" s="1235">
        <v>131.71199999999999</v>
      </c>
      <c r="J878" s="1234">
        <v>85.59</v>
      </c>
      <c r="K878" s="1233">
        <v>1E-3</v>
      </c>
      <c r="L878" s="1233">
        <v>316.8</v>
      </c>
      <c r="M878" s="1233">
        <v>0</v>
      </c>
      <c r="N878" s="1236">
        <v>2.1</v>
      </c>
      <c r="O878" s="1008">
        <v>82.32</v>
      </c>
      <c r="P878" s="1008">
        <v>94.16</v>
      </c>
      <c r="Q878" s="1008">
        <v>29.67</v>
      </c>
      <c r="R878" s="1008"/>
      <c r="S878" s="1008"/>
      <c r="T878" s="1008"/>
      <c r="U878" s="1008"/>
      <c r="V878" s="25"/>
    </row>
    <row r="879" spans="1:97" s="5" customFormat="1" x14ac:dyDescent="0.25">
      <c r="A879" s="1230">
        <v>900558</v>
      </c>
      <c r="B879" s="1231" t="str">
        <f t="shared" si="23"/>
        <v>-6,64/+6,61  (EC  5,56)</v>
      </c>
      <c r="C879" s="1232"/>
      <c r="D879" s="1233">
        <v>7.06</v>
      </c>
      <c r="E879" s="1233">
        <v>0.55600000000000005</v>
      </c>
      <c r="F879" s="1234">
        <v>59.26</v>
      </c>
      <c r="G879" s="1233">
        <v>0</v>
      </c>
      <c r="H879" s="1234">
        <v>0.04</v>
      </c>
      <c r="I879" s="1235">
        <v>10.336</v>
      </c>
      <c r="J879" s="1234">
        <v>54.77</v>
      </c>
      <c r="K879" s="1233">
        <v>6.1200000000000004E-2</v>
      </c>
      <c r="L879" s="1233">
        <v>259.20000000000005</v>
      </c>
      <c r="M879" s="1233">
        <v>0</v>
      </c>
      <c r="N879" s="1008">
        <v>2.5299999999999998</v>
      </c>
      <c r="O879" s="1008">
        <v>6.46</v>
      </c>
      <c r="P879" s="1008">
        <v>74.12</v>
      </c>
      <c r="Q879" s="1008">
        <v>30.71</v>
      </c>
      <c r="R879" s="1008">
        <v>0.01</v>
      </c>
      <c r="S879" s="1008">
        <v>1E-3</v>
      </c>
      <c r="T879" s="1008">
        <v>0.03</v>
      </c>
      <c r="U879" s="1008">
        <v>0.31</v>
      </c>
      <c r="V879" s="25"/>
    </row>
    <row r="880" spans="1:97" s="5" customFormat="1" x14ac:dyDescent="0.25">
      <c r="A880" s="1230">
        <v>900559</v>
      </c>
      <c r="B880" s="1231" t="str">
        <f t="shared" si="23"/>
        <v>-12,14/+12,12  (EC  10,8)</v>
      </c>
      <c r="C880" s="1232"/>
      <c r="D880" s="1233">
        <v>7.03</v>
      </c>
      <c r="E880" s="1233">
        <v>1.08</v>
      </c>
      <c r="F880" s="1234">
        <v>40.380000000000003</v>
      </c>
      <c r="G880" s="1233">
        <v>0</v>
      </c>
      <c r="H880" s="1234">
        <v>0.08</v>
      </c>
      <c r="I880" s="1235">
        <v>179.96800000000002</v>
      </c>
      <c r="J880" s="1234">
        <v>77.59</v>
      </c>
      <c r="K880" s="1233">
        <v>3.0600000000000002E-2</v>
      </c>
      <c r="L880" s="1233">
        <v>292.8</v>
      </c>
      <c r="M880" s="1233">
        <v>0</v>
      </c>
      <c r="N880" s="1236">
        <v>1.8</v>
      </c>
      <c r="O880" s="1008">
        <v>112.48</v>
      </c>
      <c r="P880" s="1008">
        <v>88.32</v>
      </c>
      <c r="Q880" s="1008">
        <v>33.200000000000003</v>
      </c>
      <c r="R880" s="1008"/>
      <c r="S880" s="1008"/>
      <c r="T880" s="1008"/>
      <c r="U880" s="1008"/>
      <c r="V880" s="25"/>
    </row>
    <row r="881" spans="1:22" s="5" customFormat="1" x14ac:dyDescent="0.25">
      <c r="A881" s="1230">
        <v>900560</v>
      </c>
      <c r="B881" s="1231" t="str">
        <f t="shared" si="23"/>
        <v>-7,10/+7,05  (EC  6,4)</v>
      </c>
      <c r="C881" s="1232"/>
      <c r="D881" s="1233">
        <v>6.88</v>
      </c>
      <c r="E881" s="1233">
        <v>0.64</v>
      </c>
      <c r="F881" s="1234">
        <v>109.78</v>
      </c>
      <c r="G881" s="1233">
        <v>0</v>
      </c>
      <c r="H881" s="1234">
        <v>0.03</v>
      </c>
      <c r="I881" s="1235">
        <v>41.968000000000004</v>
      </c>
      <c r="J881" s="1234">
        <v>10.26</v>
      </c>
      <c r="K881" s="1233">
        <v>1E-3</v>
      </c>
      <c r="L881" s="1233">
        <v>240</v>
      </c>
      <c r="M881" s="1233">
        <v>0</v>
      </c>
      <c r="N881" s="1236">
        <v>0.97</v>
      </c>
      <c r="O881" s="1008">
        <v>26.23</v>
      </c>
      <c r="P881" s="1008">
        <v>103.63</v>
      </c>
      <c r="Q881" s="1008">
        <v>8.43</v>
      </c>
      <c r="R881" s="1236"/>
      <c r="S881" s="1008"/>
      <c r="T881" s="1008"/>
      <c r="U881" s="1008"/>
      <c r="V881" s="25"/>
    </row>
    <row r="882" spans="1:22" s="5" customFormat="1" x14ac:dyDescent="0.25">
      <c r="A882" s="1230">
        <v>900561</v>
      </c>
      <c r="B882" s="1231" t="str">
        <f t="shared" si="23"/>
        <v>-34,87/+35,46  (EC  34,2)</v>
      </c>
      <c r="C882" s="1232"/>
      <c r="D882" s="1233">
        <v>7.74</v>
      </c>
      <c r="E882" s="1233">
        <v>3.42</v>
      </c>
      <c r="F882" s="1234">
        <v>1.59</v>
      </c>
      <c r="G882" s="1233">
        <v>0</v>
      </c>
      <c r="H882" s="1234">
        <v>0.05</v>
      </c>
      <c r="I882" s="1235">
        <v>987.03200000000004</v>
      </c>
      <c r="J882" s="1234">
        <v>84.74</v>
      </c>
      <c r="K882" s="1233">
        <v>6.1200000000000004E-2</v>
      </c>
      <c r="L882" s="1233">
        <v>321.60000000000002</v>
      </c>
      <c r="M882" s="1233">
        <v>0</v>
      </c>
      <c r="N882" s="1236">
        <v>8.9700000000000006</v>
      </c>
      <c r="O882" s="1008">
        <v>676.27</v>
      </c>
      <c r="P882" s="1008">
        <v>58.01</v>
      </c>
      <c r="Q882" s="1008">
        <v>35.06</v>
      </c>
      <c r="R882" s="1008">
        <v>0.01</v>
      </c>
      <c r="S882" s="1008">
        <v>1E-3</v>
      </c>
      <c r="T882" s="1008">
        <v>1E-3</v>
      </c>
      <c r="U882" s="1008">
        <v>1E-3</v>
      </c>
      <c r="V882" s="25"/>
    </row>
    <row r="883" spans="1:22" s="5" customFormat="1" x14ac:dyDescent="0.25">
      <c r="A883" s="1230">
        <v>900562</v>
      </c>
      <c r="B883" s="1231" t="str">
        <f>"-"&amp;TEXT((F883/62+G883/46+I883/35.5+J883/48+K883/97+L883/61),"0,00")&amp;"/+"&amp;TEXT((N883/39+O883/23+P883/20+Q883/12+H883/14),"0,00")&amp;"  (EC  "&amp;E883*10&amp;")"</f>
        <v>-9,59/+10,41  (EC  9,13)</v>
      </c>
      <c r="C883" s="1232"/>
      <c r="D883" s="1233">
        <v>7.05</v>
      </c>
      <c r="E883" s="1233">
        <v>0.91300000000000003</v>
      </c>
      <c r="F883" s="1234">
        <v>17.59</v>
      </c>
      <c r="G883" s="1233">
        <v>0</v>
      </c>
      <c r="H883" s="1234">
        <v>0.04</v>
      </c>
      <c r="I883" s="1235">
        <v>66.720000000000013</v>
      </c>
      <c r="J883" s="1234">
        <v>99.12</v>
      </c>
      <c r="K883" s="1233">
        <v>6.1200000000000004E-2</v>
      </c>
      <c r="L883" s="1233">
        <v>327.2</v>
      </c>
      <c r="M883" s="1233">
        <v>0</v>
      </c>
      <c r="N883" s="1236">
        <v>2.4700000000000002</v>
      </c>
      <c r="O883" s="1008">
        <v>41.7</v>
      </c>
      <c r="P883" s="1008">
        <v>125.34</v>
      </c>
      <c r="Q883" s="1008">
        <v>27.13</v>
      </c>
      <c r="R883" s="1008">
        <v>0</v>
      </c>
      <c r="S883" s="1008">
        <v>1E-3</v>
      </c>
      <c r="T883" s="1008">
        <v>1E-3</v>
      </c>
      <c r="U883" s="1008">
        <v>1E-3</v>
      </c>
      <c r="V883" s="25"/>
    </row>
    <row r="884" spans="1:22" x14ac:dyDescent="0.25">
      <c r="A884" s="580">
        <v>900563</v>
      </c>
      <c r="B884" s="1014" t="str">
        <f>"-"&amp;TEXT((F884/62+G884/46+I884/35.5+J884/48+K884/97+L884/61),"0,00")&amp;"/+"&amp;TEXT((N884/39+O884/23+P884/20+Q884/12+H884/14),"0,00")&amp;"  (EC  "&amp;E884*10&amp;")"</f>
        <v>-28,07/+28,36  (EC  27,5)</v>
      </c>
      <c r="C884" s="484"/>
      <c r="D884" s="25">
        <v>6.84</v>
      </c>
      <c r="E884" s="25">
        <v>2.75</v>
      </c>
      <c r="F884" s="960">
        <v>15.2</v>
      </c>
      <c r="G884" s="25">
        <v>0</v>
      </c>
      <c r="H884" s="960">
        <v>0.06</v>
      </c>
      <c r="I884" s="832">
        <v>654.70400000000006</v>
      </c>
      <c r="J884" s="960">
        <v>116.22</v>
      </c>
      <c r="K884" s="25">
        <v>0.15300000000000002</v>
      </c>
      <c r="L884" s="25">
        <f>(17.8-0.1)*24</f>
        <v>424.79999999999995</v>
      </c>
      <c r="M884" s="25">
        <v>0</v>
      </c>
      <c r="N884" s="753">
        <v>3.71</v>
      </c>
      <c r="O884" s="753">
        <v>409.19</v>
      </c>
      <c r="P884" s="753">
        <v>108.61</v>
      </c>
      <c r="Q884" s="753">
        <v>60.53</v>
      </c>
      <c r="R884" s="753"/>
      <c r="S884" s="753"/>
      <c r="T884" s="753"/>
      <c r="U884" s="753"/>
      <c r="V884" s="25"/>
    </row>
    <row r="885" spans="1:22" x14ac:dyDescent="0.25">
      <c r="A885" s="580">
        <v>900564</v>
      </c>
      <c r="B885" s="1014" t="str">
        <f t="shared" ref="B885:B904" si="24">"-"&amp;TEXT((F885/62+G885/46+I885/35.5+J885/48+K885/97+L885/61),"0,00")&amp;"/+"&amp;TEXT((N885/39+O885/23+P885/20+Q885/12+H885/14),"0,00")&amp;"  (EC  "&amp;E885*10&amp;")"</f>
        <v>-25,03/+26,27  (EC  25,6)</v>
      </c>
      <c r="C885" s="484"/>
      <c r="D885" s="25">
        <v>6.83</v>
      </c>
      <c r="E885" s="25">
        <v>2.56</v>
      </c>
      <c r="F885" s="960">
        <v>15.41</v>
      </c>
      <c r="G885" s="25">
        <v>0</v>
      </c>
      <c r="H885" s="960">
        <v>0.04</v>
      </c>
      <c r="I885" s="832">
        <v>630.72</v>
      </c>
      <c r="J885" s="960">
        <v>119.63</v>
      </c>
      <c r="K885" s="25">
        <v>6.1200000000000004E-2</v>
      </c>
      <c r="L885" s="25">
        <f>(11.6-0.1)*24</f>
        <v>276</v>
      </c>
      <c r="M885" s="25">
        <v>0</v>
      </c>
      <c r="N885" s="1237">
        <v>3.29</v>
      </c>
      <c r="O885" s="753">
        <v>394.2</v>
      </c>
      <c r="P885" s="753">
        <v>90.95</v>
      </c>
      <c r="Q885" s="753">
        <v>53.92</v>
      </c>
      <c r="R885" s="753"/>
      <c r="S885" s="753"/>
      <c r="T885" s="753"/>
      <c r="U885" s="753"/>
      <c r="V885" s="25"/>
    </row>
    <row r="886" spans="1:22" x14ac:dyDescent="0.25">
      <c r="A886" s="580">
        <v>900565</v>
      </c>
      <c r="B886" s="1014" t="str">
        <f t="shared" si="24"/>
        <v>-18,65/+19,47  (EC  17,3)</v>
      </c>
      <c r="C886" s="484"/>
      <c r="D886" s="25">
        <v>6.86</v>
      </c>
      <c r="E886" s="25">
        <v>1.73</v>
      </c>
      <c r="F886" s="960">
        <v>11.13</v>
      </c>
      <c r="G886" s="25">
        <v>0</v>
      </c>
      <c r="H886" s="960">
        <v>0.05</v>
      </c>
      <c r="I886" s="832">
        <v>410.76800000000003</v>
      </c>
      <c r="J886" s="960">
        <v>106.35</v>
      </c>
      <c r="K886" s="25">
        <v>3.0600000000000002E-2</v>
      </c>
      <c r="L886" s="25">
        <f>(12-0.1)*24</f>
        <v>285.60000000000002</v>
      </c>
      <c r="M886" s="25">
        <v>0</v>
      </c>
      <c r="N886" s="753">
        <v>2.78</v>
      </c>
      <c r="O886" s="753">
        <v>256.73</v>
      </c>
      <c r="P886" s="753">
        <v>90.15</v>
      </c>
      <c r="Q886" s="753">
        <v>44.69</v>
      </c>
      <c r="R886" s="753"/>
      <c r="S886" s="753"/>
      <c r="T886" s="753"/>
      <c r="U886" s="753"/>
      <c r="V886" s="25"/>
    </row>
    <row r="887" spans="1:22" x14ac:dyDescent="0.25">
      <c r="A887" s="580">
        <v>900566</v>
      </c>
      <c r="B887" s="1014" t="str">
        <f>"-"&amp;TEXT((F887/62+G887/46+I887/35.5+J887/48+K887/97+L887/61),"0,00")&amp;"/+"&amp;TEXT((N887/39+O887/23+P887/20+Q887/12+H887/14),"0,00")&amp;"  (EC  "&amp;E887*10&amp;")"</f>
        <v>-11,00/+12,15  (EC  12,2)</v>
      </c>
      <c r="C887" s="484"/>
      <c r="D887" s="25">
        <v>7.37</v>
      </c>
      <c r="E887" s="25">
        <v>1.22</v>
      </c>
      <c r="F887" s="960">
        <v>11.67</v>
      </c>
      <c r="G887" s="25">
        <v>0</v>
      </c>
      <c r="H887" s="960">
        <v>0.03</v>
      </c>
      <c r="I887" s="832">
        <v>88.768000000000001</v>
      </c>
      <c r="J887" s="960">
        <v>129.49</v>
      </c>
      <c r="K887" s="25">
        <v>0.15300000000000002</v>
      </c>
      <c r="L887" s="25">
        <v>342.6</v>
      </c>
      <c r="M887" s="25">
        <v>0</v>
      </c>
      <c r="N887" s="753">
        <v>1.73</v>
      </c>
      <c r="O887" s="753">
        <v>55.48</v>
      </c>
      <c r="P887" s="753">
        <v>110.58</v>
      </c>
      <c r="Q887" s="753">
        <v>49.99</v>
      </c>
      <c r="R887" s="753">
        <v>1E-3</v>
      </c>
      <c r="S887" s="753">
        <v>1E-3</v>
      </c>
      <c r="T887" s="753">
        <v>1E-3</v>
      </c>
      <c r="U887" s="753">
        <v>1E-3</v>
      </c>
      <c r="V887" s="25"/>
    </row>
    <row r="888" spans="1:22" x14ac:dyDescent="0.25">
      <c r="A888" s="580">
        <v>900567</v>
      </c>
      <c r="B888" s="1014" t="str">
        <f t="shared" si="24"/>
        <v>-11,02/+12,16  (EC  11,3)</v>
      </c>
      <c r="C888" s="484"/>
      <c r="D888" s="25">
        <v>6.86</v>
      </c>
      <c r="E888" s="25">
        <v>1.1299999999999999</v>
      </c>
      <c r="F888" s="960">
        <v>16.54</v>
      </c>
      <c r="G888" s="25">
        <v>0</v>
      </c>
      <c r="H888" s="960">
        <v>7.0000000000000007E-2</v>
      </c>
      <c r="I888" s="832">
        <v>78.384000000000015</v>
      </c>
      <c r="J888" s="960">
        <v>128.80000000000001</v>
      </c>
      <c r="K888" s="25">
        <v>6.1200000000000004E-2</v>
      </c>
      <c r="L888" s="25">
        <f>(15-0.1)*24</f>
        <v>357.6</v>
      </c>
      <c r="M888" s="25">
        <v>0</v>
      </c>
      <c r="N888" s="1237">
        <v>1.75</v>
      </c>
      <c r="O888" s="753">
        <v>48.99</v>
      </c>
      <c r="P888" s="753">
        <v>117.45</v>
      </c>
      <c r="Q888" s="753">
        <v>49.31</v>
      </c>
      <c r="R888" s="753">
        <v>0.01</v>
      </c>
      <c r="S888" s="753">
        <v>1E-3</v>
      </c>
      <c r="T888" s="753">
        <v>1E-3</v>
      </c>
      <c r="U888" s="753">
        <v>1E-3</v>
      </c>
      <c r="V888" s="25"/>
    </row>
    <row r="889" spans="1:22" x14ac:dyDescent="0.25">
      <c r="A889" s="580">
        <v>900568</v>
      </c>
      <c r="B889" s="1014" t="str">
        <f t="shared" si="24"/>
        <v>-6,03/+7,28  (EC  6,22)</v>
      </c>
      <c r="C889" s="484"/>
      <c r="D889" s="25">
        <v>7.03</v>
      </c>
      <c r="E889" s="25">
        <v>0.622</v>
      </c>
      <c r="F889" s="960">
        <v>8.66</v>
      </c>
      <c r="G889" s="25">
        <v>0</v>
      </c>
      <c r="H889" s="960">
        <v>0.04</v>
      </c>
      <c r="I889" s="832">
        <v>50.416000000000004</v>
      </c>
      <c r="J889" s="960">
        <v>107.02</v>
      </c>
      <c r="K889" s="25">
        <v>0.12240000000000001</v>
      </c>
      <c r="L889" s="25">
        <v>136.5</v>
      </c>
      <c r="M889" s="25">
        <v>0</v>
      </c>
      <c r="N889" s="753">
        <v>1.35</v>
      </c>
      <c r="O889" s="753">
        <v>31.51</v>
      </c>
      <c r="P889" s="753">
        <v>74.66</v>
      </c>
      <c r="Q889" s="753">
        <v>25.71</v>
      </c>
      <c r="R889" s="753">
        <v>0.01</v>
      </c>
      <c r="S889" s="753">
        <v>1E-3</v>
      </c>
      <c r="T889" s="753">
        <v>1E-3</v>
      </c>
      <c r="U889" s="753">
        <v>1E-3</v>
      </c>
      <c r="V889" s="25"/>
    </row>
    <row r="890" spans="1:22" x14ac:dyDescent="0.25">
      <c r="A890" s="580">
        <v>900569</v>
      </c>
      <c r="B890" s="1014" t="str">
        <f t="shared" si="24"/>
        <v>-10,93/+11,20  (EC  11,2)</v>
      </c>
      <c r="C890" s="484"/>
      <c r="D890" s="25">
        <v>7.54</v>
      </c>
      <c r="E890" s="25">
        <v>1.1200000000000001</v>
      </c>
      <c r="F890" s="960">
        <v>7.7</v>
      </c>
      <c r="G890" s="25">
        <v>0</v>
      </c>
      <c r="H890" s="960">
        <v>0.06</v>
      </c>
      <c r="I890" s="832">
        <v>80.192000000000007</v>
      </c>
      <c r="J890" s="960">
        <v>129.94999999999999</v>
      </c>
      <c r="K890" s="25">
        <v>9.1799999999999993E-2</v>
      </c>
      <c r="L890" s="25">
        <v>356.3</v>
      </c>
      <c r="M890" s="25">
        <v>0</v>
      </c>
      <c r="N890" s="1237">
        <v>2.33</v>
      </c>
      <c r="O890" s="753">
        <v>50.12</v>
      </c>
      <c r="P890" s="753">
        <v>107.17</v>
      </c>
      <c r="Q890" s="753">
        <v>43.2</v>
      </c>
      <c r="R890" s="753">
        <v>1E-3</v>
      </c>
      <c r="S890" s="753">
        <v>1E-3</v>
      </c>
      <c r="T890" s="753">
        <v>1E-3</v>
      </c>
      <c r="U890" s="753">
        <v>1E-3</v>
      </c>
      <c r="V890" s="25"/>
    </row>
    <row r="891" spans="1:22" x14ac:dyDescent="0.25">
      <c r="A891" s="580">
        <v>900570</v>
      </c>
      <c r="B891" s="1014" t="str">
        <f t="shared" si="24"/>
        <v>-8,85/+9,34  (EC  8,52)</v>
      </c>
      <c r="C891" s="484"/>
      <c r="D891" s="25">
        <v>7.04</v>
      </c>
      <c r="E891" s="25">
        <v>0.85199999999999998</v>
      </c>
      <c r="F891" s="960">
        <v>9.76</v>
      </c>
      <c r="G891" s="25">
        <v>0</v>
      </c>
      <c r="H891" s="960">
        <v>0.06</v>
      </c>
      <c r="I891" s="832">
        <v>59.584000000000003</v>
      </c>
      <c r="J891" s="960">
        <v>127.62</v>
      </c>
      <c r="K891" s="25">
        <v>0.12240000000000001</v>
      </c>
      <c r="L891" s="25">
        <v>265.3</v>
      </c>
      <c r="M891" s="25">
        <v>0</v>
      </c>
      <c r="N891" s="753">
        <v>1.66</v>
      </c>
      <c r="O891" s="753">
        <v>37.24</v>
      </c>
      <c r="P891" s="753">
        <v>95.75</v>
      </c>
      <c r="Q891" s="753">
        <v>34.590000000000003</v>
      </c>
      <c r="R891" s="753">
        <v>1E-3</v>
      </c>
      <c r="S891" s="753">
        <v>1E-3</v>
      </c>
      <c r="T891" s="753">
        <v>1E-3</v>
      </c>
      <c r="U891" s="753">
        <v>1E-3</v>
      </c>
      <c r="V891" s="25"/>
    </row>
    <row r="892" spans="1:22" x14ac:dyDescent="0.25">
      <c r="A892" s="580">
        <v>900571</v>
      </c>
      <c r="B892" s="1014" t="str">
        <f t="shared" si="24"/>
        <v>-9,09/+9,16  (EC  8,6)</v>
      </c>
      <c r="C892" s="484"/>
      <c r="D892" s="25">
        <v>7.57</v>
      </c>
      <c r="E892" s="25">
        <v>0.86</v>
      </c>
      <c r="F892" s="960">
        <v>13.56</v>
      </c>
      <c r="G892" s="25">
        <v>0</v>
      </c>
      <c r="H892" s="960">
        <v>0.06</v>
      </c>
      <c r="I892" s="832">
        <v>63.824000000000005</v>
      </c>
      <c r="J892" s="960">
        <v>92.7</v>
      </c>
      <c r="K892" s="25">
        <v>9.1799999999999993E-2</v>
      </c>
      <c r="L892" s="25">
        <v>313.62</v>
      </c>
      <c r="M892" s="25">
        <v>0</v>
      </c>
      <c r="N892" s="1237">
        <v>2.19</v>
      </c>
      <c r="O892" s="753">
        <v>39.89</v>
      </c>
      <c r="P892" s="753">
        <v>71.989999999999995</v>
      </c>
      <c r="Q892" s="753">
        <v>45.23</v>
      </c>
      <c r="R892" s="753">
        <v>1E-3</v>
      </c>
      <c r="S892" s="753">
        <v>1E-3</v>
      </c>
      <c r="T892" s="753">
        <v>1E-3</v>
      </c>
      <c r="U892" s="753">
        <v>1E-3</v>
      </c>
      <c r="V892" s="25"/>
    </row>
    <row r="893" spans="1:22" x14ac:dyDescent="0.25">
      <c r="A893" s="580">
        <v>900572</v>
      </c>
      <c r="B893" s="1014" t="str">
        <f t="shared" si="24"/>
        <v>-7,59/+8,76  (EC  7,33)</v>
      </c>
      <c r="C893" s="484"/>
      <c r="D893" s="25">
        <v>7.54</v>
      </c>
      <c r="E893" s="25">
        <v>0.73299999999999998</v>
      </c>
      <c r="F893" s="960">
        <v>6.02</v>
      </c>
      <c r="G893" s="25">
        <v>0</v>
      </c>
      <c r="H893" s="960">
        <v>0.09</v>
      </c>
      <c r="I893" s="832">
        <v>56.832000000000008</v>
      </c>
      <c r="J893" s="960">
        <v>128.22</v>
      </c>
      <c r="K893" s="25">
        <v>9.1799999999999993E-2</v>
      </c>
      <c r="L893" s="25">
        <v>196.3</v>
      </c>
      <c r="M893" s="25">
        <v>0</v>
      </c>
      <c r="N893" s="1237">
        <v>1.72</v>
      </c>
      <c r="O893" s="753">
        <v>35.520000000000003</v>
      </c>
      <c r="P893" s="753">
        <v>86.53</v>
      </c>
      <c r="Q893" s="753">
        <v>34.01</v>
      </c>
      <c r="R893" s="753">
        <v>1E-3</v>
      </c>
      <c r="S893" s="753">
        <v>1E-3</v>
      </c>
      <c r="T893" s="753">
        <v>1E-3</v>
      </c>
      <c r="U893" s="753">
        <v>1E-3</v>
      </c>
      <c r="V893" s="25"/>
    </row>
    <row r="894" spans="1:22" x14ac:dyDescent="0.25">
      <c r="A894" s="580">
        <v>900573</v>
      </c>
      <c r="B894" s="1014" t="str">
        <f t="shared" si="24"/>
        <v>-6,63/+7,48  (EC  6,4)</v>
      </c>
      <c r="C894" s="484"/>
      <c r="D894" s="25">
        <v>7.52</v>
      </c>
      <c r="E894" s="25">
        <v>0.64</v>
      </c>
      <c r="F894" s="960">
        <v>5.66</v>
      </c>
      <c r="G894" s="25">
        <v>0</v>
      </c>
      <c r="H894" s="960">
        <v>0.04</v>
      </c>
      <c r="I894" s="832">
        <v>51.360000000000007</v>
      </c>
      <c r="J894" s="960">
        <v>123.49</v>
      </c>
      <c r="K894" s="25">
        <v>0.12240000000000001</v>
      </c>
      <c r="L894" s="25">
        <v>153.69</v>
      </c>
      <c r="M894" s="25">
        <v>0</v>
      </c>
      <c r="N894" s="1237">
        <v>1.43</v>
      </c>
      <c r="O894" s="753">
        <v>32.1</v>
      </c>
      <c r="P894" s="753">
        <v>74.849999999999994</v>
      </c>
      <c r="Q894" s="753">
        <v>27.65</v>
      </c>
      <c r="R894" s="753">
        <v>1E-3</v>
      </c>
      <c r="S894" s="753">
        <v>1E-3</v>
      </c>
      <c r="T894" s="753">
        <v>1E-3</v>
      </c>
      <c r="U894" s="753">
        <v>1E-3</v>
      </c>
      <c r="V894" s="25"/>
    </row>
    <row r="895" spans="1:22" x14ac:dyDescent="0.25">
      <c r="A895" s="580">
        <v>900574</v>
      </c>
      <c r="B895" s="1014" t="str">
        <f t="shared" si="24"/>
        <v>-6,31/+7,89  (EC  6,88)</v>
      </c>
      <c r="C895" s="484"/>
      <c r="D895" s="25">
        <v>7.13</v>
      </c>
      <c r="E895" s="25">
        <v>0.68799999999999994</v>
      </c>
      <c r="F895" s="960">
        <v>10.220000000000001</v>
      </c>
      <c r="G895" s="25">
        <v>0</v>
      </c>
      <c r="H895" s="960">
        <v>0.05</v>
      </c>
      <c r="I895" s="832">
        <v>56.336000000000006</v>
      </c>
      <c r="J895" s="960">
        <v>113.19</v>
      </c>
      <c r="K895" s="25">
        <v>3.0600000000000002E-2</v>
      </c>
      <c r="L895" s="25">
        <v>134.32</v>
      </c>
      <c r="M895" s="25">
        <v>0</v>
      </c>
      <c r="N895" s="1237">
        <v>1.39</v>
      </c>
      <c r="O895" s="753">
        <v>35.21</v>
      </c>
      <c r="P895" s="753">
        <v>80.180000000000007</v>
      </c>
      <c r="Q895" s="753">
        <v>27.69</v>
      </c>
      <c r="R895" s="753">
        <v>1E-3</v>
      </c>
      <c r="S895" s="753">
        <v>1E-3</v>
      </c>
      <c r="T895" s="753">
        <v>1E-3</v>
      </c>
      <c r="U895" s="753">
        <v>1E-3</v>
      </c>
      <c r="V895" s="25"/>
    </row>
    <row r="896" spans="1:22" x14ac:dyDescent="0.25">
      <c r="A896" s="580">
        <v>900575</v>
      </c>
      <c r="B896" s="1014" t="str">
        <f t="shared" si="24"/>
        <v>-5,48/+6,42  (EC  5,5)</v>
      </c>
      <c r="C896" s="484"/>
      <c r="D896" s="25">
        <v>7.29</v>
      </c>
      <c r="E896" s="25">
        <v>0.55000000000000004</v>
      </c>
      <c r="F896" s="960">
        <v>5.58</v>
      </c>
      <c r="G896" s="25">
        <v>0</v>
      </c>
      <c r="H896" s="960">
        <v>7.0000000000000007E-2</v>
      </c>
      <c r="I896" s="832">
        <v>25.488</v>
      </c>
      <c r="J896" s="960">
        <v>106.24</v>
      </c>
      <c r="K896" s="25">
        <v>9.1799999999999993E-2</v>
      </c>
      <c r="L896" s="25">
        <v>149.63</v>
      </c>
      <c r="M896" s="25">
        <v>0</v>
      </c>
      <c r="N896" s="753">
        <v>1.7</v>
      </c>
      <c r="O896" s="753">
        <v>15.93</v>
      </c>
      <c r="P896" s="753">
        <v>78.41</v>
      </c>
      <c r="Q896" s="753">
        <v>21.12</v>
      </c>
      <c r="R896" s="753">
        <v>0.01</v>
      </c>
      <c r="S896" s="753">
        <v>1E-3</v>
      </c>
      <c r="T896" s="753">
        <v>1E-3</v>
      </c>
      <c r="U896" s="753">
        <v>1E-3</v>
      </c>
      <c r="V896" s="25"/>
    </row>
    <row r="897" spans="1:97" x14ac:dyDescent="0.25">
      <c r="A897" s="580">
        <v>900576</v>
      </c>
      <c r="B897" s="1014" t="str">
        <f t="shared" si="24"/>
        <v>-5,23/+5,94  (EC  4,94)</v>
      </c>
      <c r="C897" s="484"/>
      <c r="D897" s="25">
        <v>7.14</v>
      </c>
      <c r="E897" s="25">
        <v>0.49399999999999999</v>
      </c>
      <c r="F897" s="960">
        <v>13.84</v>
      </c>
      <c r="G897" s="25">
        <v>0</v>
      </c>
      <c r="H897" s="960">
        <v>0.03</v>
      </c>
      <c r="I897" s="832">
        <v>34.72</v>
      </c>
      <c r="J897" s="960">
        <v>32.979999999999997</v>
      </c>
      <c r="K897" s="25">
        <v>6.1200000000000004E-2</v>
      </c>
      <c r="L897" s="25">
        <v>203.65</v>
      </c>
      <c r="M897" s="25">
        <v>0</v>
      </c>
      <c r="N897" s="1237">
        <v>1.49</v>
      </c>
      <c r="O897" s="753">
        <v>21.7</v>
      </c>
      <c r="P897" s="753">
        <v>49.06</v>
      </c>
      <c r="Q897" s="753">
        <v>30.09</v>
      </c>
      <c r="R897" s="753">
        <v>1E-3</v>
      </c>
      <c r="S897" s="753">
        <v>1E-3</v>
      </c>
      <c r="T897" s="753">
        <v>1E-3</v>
      </c>
      <c r="U897" s="753">
        <v>1E-3</v>
      </c>
      <c r="V897" s="25"/>
    </row>
    <row r="898" spans="1:97" x14ac:dyDescent="0.25">
      <c r="A898" s="580">
        <v>900577</v>
      </c>
      <c r="B898" s="1014" t="str">
        <f t="shared" si="24"/>
        <v>-7,44/+8,41  (EC  7,24)</v>
      </c>
      <c r="C898" s="484"/>
      <c r="D898" s="25">
        <v>6.86</v>
      </c>
      <c r="E898" s="25">
        <v>0.72399999999999998</v>
      </c>
      <c r="F898" s="960">
        <v>22.19</v>
      </c>
      <c r="G898" s="25">
        <v>0</v>
      </c>
      <c r="H898" s="960">
        <v>0.05</v>
      </c>
      <c r="I898" s="832">
        <v>51.152000000000001</v>
      </c>
      <c r="J898" s="960">
        <v>122.97</v>
      </c>
      <c r="K898" s="25">
        <v>0.55079999999999996</v>
      </c>
      <c r="L898" s="25">
        <v>187.53</v>
      </c>
      <c r="M898" s="25">
        <v>0</v>
      </c>
      <c r="N898" s="1237">
        <v>11.47</v>
      </c>
      <c r="O898" s="753">
        <v>31.97</v>
      </c>
      <c r="P898" s="753">
        <v>85.09</v>
      </c>
      <c r="Q898" s="753">
        <v>29.67</v>
      </c>
      <c r="R898" s="753">
        <v>7.0000000000000007E-2</v>
      </c>
      <c r="S898" s="753">
        <v>0.01</v>
      </c>
      <c r="T898" s="753">
        <v>0.01</v>
      </c>
      <c r="U898" s="753">
        <v>1E-3</v>
      </c>
      <c r="V898" s="25"/>
    </row>
    <row r="899" spans="1:97" x14ac:dyDescent="0.25">
      <c r="A899" s="580">
        <v>900578</v>
      </c>
      <c r="B899" s="1014" t="str">
        <f t="shared" si="24"/>
        <v>-9,09/+10,43  (EC  9,6)</v>
      </c>
      <c r="C899" s="484"/>
      <c r="D899" s="25">
        <v>7.24</v>
      </c>
      <c r="E899" s="25">
        <v>0.96</v>
      </c>
      <c r="F899" s="960">
        <v>12.39</v>
      </c>
      <c r="G899" s="25">
        <v>0</v>
      </c>
      <c r="H899" s="960">
        <v>0.03</v>
      </c>
      <c r="I899" s="832">
        <v>55.455999999999996</v>
      </c>
      <c r="J899" s="960">
        <v>128.66999999999999</v>
      </c>
      <c r="K899" s="25">
        <v>9.1799999999999993E-2</v>
      </c>
      <c r="L899" s="25">
        <v>283.36</v>
      </c>
      <c r="M899" s="25">
        <v>0</v>
      </c>
      <c r="N899" s="753">
        <v>1.87</v>
      </c>
      <c r="O899" s="753">
        <v>34.659999999999997</v>
      </c>
      <c r="P899" s="753">
        <v>106.33</v>
      </c>
      <c r="Q899" s="753">
        <v>42.66</v>
      </c>
      <c r="R899" s="753">
        <v>1E-3</v>
      </c>
      <c r="S899" s="753">
        <v>1E-3</v>
      </c>
      <c r="T899" s="753">
        <v>1E-3</v>
      </c>
      <c r="U899" s="753">
        <v>1E-3</v>
      </c>
      <c r="V899" s="25"/>
    </row>
    <row r="900" spans="1:97" x14ac:dyDescent="0.25">
      <c r="A900" s="580">
        <v>900579</v>
      </c>
      <c r="B900" s="1014" t="str">
        <f t="shared" si="24"/>
        <v>-8,74/+9,37  (EC  8,69)</v>
      </c>
      <c r="C900" s="484"/>
      <c r="D900" s="25">
        <v>7.32</v>
      </c>
      <c r="E900" s="25">
        <v>0.86899999999999999</v>
      </c>
      <c r="F900" s="960">
        <v>11.63</v>
      </c>
      <c r="G900" s="25">
        <v>0</v>
      </c>
      <c r="H900" s="960">
        <v>0.06</v>
      </c>
      <c r="I900" s="832">
        <v>54.94400000000001</v>
      </c>
      <c r="J900" s="960">
        <v>121.24</v>
      </c>
      <c r="K900" s="25">
        <v>9.1799999999999993E-2</v>
      </c>
      <c r="L900" s="25">
        <v>273.36</v>
      </c>
      <c r="M900" s="25">
        <v>0</v>
      </c>
      <c r="N900" s="1237">
        <v>1.75</v>
      </c>
      <c r="O900" s="753">
        <v>34.340000000000003</v>
      </c>
      <c r="P900" s="753">
        <v>86.67</v>
      </c>
      <c r="Q900" s="753">
        <v>41.91</v>
      </c>
      <c r="R900" s="753">
        <v>1E-3</v>
      </c>
      <c r="S900" s="753">
        <v>1E-3</v>
      </c>
      <c r="T900" s="753">
        <v>1E-3</v>
      </c>
      <c r="U900" s="753">
        <v>1E-3</v>
      </c>
      <c r="V900" s="25"/>
    </row>
    <row r="901" spans="1:97" x14ac:dyDescent="0.25">
      <c r="A901" s="580">
        <v>900580</v>
      </c>
      <c r="B901" s="1014" t="str">
        <f t="shared" si="24"/>
        <v>-4,92/+5,53  (EC  4,92)</v>
      </c>
      <c r="C901" s="484"/>
      <c r="D901" s="25">
        <v>7.34</v>
      </c>
      <c r="E901" s="25">
        <v>0.49199999999999999</v>
      </c>
      <c r="F901" s="960">
        <v>13.11</v>
      </c>
      <c r="G901" s="25">
        <v>0</v>
      </c>
      <c r="H901" s="960">
        <v>0.03</v>
      </c>
      <c r="I901" s="832">
        <v>40.912000000000006</v>
      </c>
      <c r="J901" s="960">
        <v>89.33</v>
      </c>
      <c r="K901" s="25">
        <v>9.1799999999999993E-2</v>
      </c>
      <c r="L901" s="25">
        <v>103.26</v>
      </c>
      <c r="M901" s="25">
        <v>0</v>
      </c>
      <c r="N901" s="753">
        <v>1.95</v>
      </c>
      <c r="O901" s="753">
        <v>25.57</v>
      </c>
      <c r="P901" s="753">
        <v>58.11</v>
      </c>
      <c r="Q901" s="753">
        <v>17.510000000000002</v>
      </c>
      <c r="R901" s="753">
        <v>1E-3</v>
      </c>
      <c r="S901" s="753">
        <v>0.01</v>
      </c>
      <c r="T901" s="753">
        <v>1E-3</v>
      </c>
      <c r="U901" s="753">
        <v>1E-3</v>
      </c>
      <c r="V901" s="25"/>
    </row>
    <row r="902" spans="1:97" x14ac:dyDescent="0.25">
      <c r="A902" s="580">
        <v>900581</v>
      </c>
      <c r="B902" s="1014" t="str">
        <f t="shared" si="24"/>
        <v>-12,62/+12,24  (EC  11,2)</v>
      </c>
      <c r="C902" s="484"/>
      <c r="D902" s="25">
        <v>6.73</v>
      </c>
      <c r="E902" s="25">
        <v>1.1200000000000001</v>
      </c>
      <c r="F902" s="960">
        <v>16.98</v>
      </c>
      <c r="G902" s="25">
        <v>0</v>
      </c>
      <c r="H902" s="960">
        <v>7.0000000000000007E-2</v>
      </c>
      <c r="I902" s="832">
        <v>75.28</v>
      </c>
      <c r="J902" s="960">
        <v>205.89</v>
      </c>
      <c r="K902" s="25">
        <v>6.1200000000000004E-2</v>
      </c>
      <c r="L902" s="25">
        <v>362.35</v>
      </c>
      <c r="M902" s="25">
        <v>0</v>
      </c>
      <c r="N902" s="1237">
        <v>1.72</v>
      </c>
      <c r="O902" s="753">
        <v>47.05</v>
      </c>
      <c r="P902" s="753">
        <v>144.24</v>
      </c>
      <c r="Q902" s="753">
        <v>35.25</v>
      </c>
      <c r="R902" s="753">
        <v>1E-3</v>
      </c>
      <c r="S902" s="753">
        <v>1E-3</v>
      </c>
      <c r="T902" s="753">
        <v>1E-3</v>
      </c>
      <c r="U902" s="753">
        <v>1E-3</v>
      </c>
      <c r="V902" s="25"/>
    </row>
    <row r="903" spans="1:97" x14ac:dyDescent="0.25">
      <c r="A903" s="580">
        <v>900582</v>
      </c>
      <c r="B903" s="1014" t="str">
        <f t="shared" si="24"/>
        <v>-17,12/+18,19  (EC  17,4)</v>
      </c>
      <c r="C903" s="484"/>
      <c r="D903" s="25">
        <v>7.22</v>
      </c>
      <c r="E903" s="25">
        <v>1.74</v>
      </c>
      <c r="F903" s="960">
        <v>34.17</v>
      </c>
      <c r="G903" s="25">
        <v>0</v>
      </c>
      <c r="H903" s="960">
        <v>0.09</v>
      </c>
      <c r="I903" s="832">
        <v>95.512</v>
      </c>
      <c r="J903" s="960">
        <v>329.17</v>
      </c>
      <c r="K903" s="25">
        <v>6.1200000000000004E-2</v>
      </c>
      <c r="L903" s="25">
        <v>428.46</v>
      </c>
      <c r="M903" s="25">
        <v>0</v>
      </c>
      <c r="N903" s="1237">
        <v>3.31</v>
      </c>
      <c r="O903" s="753">
        <v>59.07</v>
      </c>
      <c r="P903" s="753">
        <v>180.98</v>
      </c>
      <c r="Q903" s="753">
        <v>77.760000000000005</v>
      </c>
      <c r="R903" s="753">
        <v>1E-3</v>
      </c>
      <c r="S903" s="753">
        <v>1E-3</v>
      </c>
      <c r="T903" s="753">
        <v>1E-3</v>
      </c>
      <c r="U903" s="753">
        <v>1E-3</v>
      </c>
      <c r="V903" s="25"/>
    </row>
    <row r="904" spans="1:97" x14ac:dyDescent="0.25">
      <c r="A904" s="580">
        <v>900583</v>
      </c>
      <c r="B904" s="1014" t="str">
        <f t="shared" si="24"/>
        <v>-12,50/+13,03  (EC  12,1)</v>
      </c>
      <c r="C904" s="484"/>
      <c r="D904" s="25">
        <v>7.13</v>
      </c>
      <c r="E904" s="25">
        <v>1.21</v>
      </c>
      <c r="F904" s="832">
        <v>23.52</v>
      </c>
      <c r="G904" s="25">
        <v>0</v>
      </c>
      <c r="H904" s="25">
        <v>0.06</v>
      </c>
      <c r="I904" s="832">
        <f>O904*1.6</f>
        <v>76.56</v>
      </c>
      <c r="J904" s="25">
        <v>292.63</v>
      </c>
      <c r="K904" s="25">
        <v>9.1799999999999993E-2</v>
      </c>
      <c r="L904" s="25">
        <v>235.63</v>
      </c>
      <c r="M904" s="25">
        <v>0</v>
      </c>
      <c r="N904" s="753">
        <v>3.47</v>
      </c>
      <c r="O904" s="753">
        <v>47.85</v>
      </c>
      <c r="P904" s="753">
        <v>112.12</v>
      </c>
      <c r="Q904" s="753">
        <v>63.05</v>
      </c>
      <c r="R904" s="753">
        <v>1E-3</v>
      </c>
      <c r="S904" s="753">
        <v>1E-3</v>
      </c>
      <c r="T904" s="753">
        <v>1E-3</v>
      </c>
      <c r="U904" s="753">
        <v>1E-3</v>
      </c>
      <c r="V904" s="25"/>
    </row>
    <row r="905" spans="1:97" s="1238" customFormat="1" x14ac:dyDescent="0.25">
      <c r="A905" s="727">
        <v>900584</v>
      </c>
      <c r="B905" s="1014" t="str">
        <f>"-"&amp;TEXT((F905/62+G905/46+I905/35.5+J905/48+K905/97+L905/61),"0,00")&amp;"/+"&amp;TEXT((N905/39+O905/23+P905/20+Q905/12+H905/14),"0,00")&amp;"  (EC  "&amp;E905*10&amp;")"</f>
        <v>-7,20/+7,41  (EC  6,75)</v>
      </c>
      <c r="C905" s="729"/>
      <c r="D905" s="730">
        <v>7.41</v>
      </c>
      <c r="E905" s="730">
        <v>0.67500000000000004</v>
      </c>
      <c r="F905" s="732">
        <v>11.18</v>
      </c>
      <c r="G905" s="730">
        <v>0</v>
      </c>
      <c r="H905" s="732">
        <v>0.04</v>
      </c>
      <c r="I905" s="731">
        <f>O905*1.6</f>
        <v>80.768000000000001</v>
      </c>
      <c r="J905" s="732">
        <v>40.770000000000003</v>
      </c>
      <c r="K905" s="730">
        <v>1E-3</v>
      </c>
      <c r="L905" s="730">
        <v>237.60000000000002</v>
      </c>
      <c r="M905" s="730"/>
      <c r="N905" s="733">
        <v>1.43</v>
      </c>
      <c r="O905" s="733">
        <v>50.48</v>
      </c>
      <c r="P905" s="730">
        <v>71.83</v>
      </c>
      <c r="Q905" s="733">
        <v>19.05</v>
      </c>
      <c r="R905" s="730" t="s">
        <v>536</v>
      </c>
      <c r="S905" s="730">
        <v>1E-3</v>
      </c>
      <c r="T905" s="733">
        <v>1E-3</v>
      </c>
      <c r="U905" s="730">
        <v>1E-3</v>
      </c>
      <c r="V905" s="730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</row>
    <row r="906" spans="1:97" s="1238" customFormat="1" x14ac:dyDescent="0.25">
      <c r="A906" s="727">
        <v>900585</v>
      </c>
      <c r="B906" s="1014" t="str">
        <f t="shared" ref="B906:B924" si="25">"-"&amp;TEXT((F906/62+G906/46+I906/35.5+J906/48+K906/97+L906/61),"0,00")&amp;"/+"&amp;TEXT((N906/39+O906/23+P906/20+Q906/12+H906/14),"0,00")&amp;"  (EC  "&amp;E906*10&amp;")"</f>
        <v>-8,96/+9,45  (EC  8,86)</v>
      </c>
      <c r="C906" s="729"/>
      <c r="D906" s="730">
        <v>7.31</v>
      </c>
      <c r="E906" s="730">
        <v>0.88600000000000001</v>
      </c>
      <c r="F906" s="732">
        <v>9.48</v>
      </c>
      <c r="G906" s="730">
        <v>0</v>
      </c>
      <c r="H906" s="732">
        <v>0.06</v>
      </c>
      <c r="I906" s="731">
        <f t="shared" ref="I906:I930" si="26">O906*1.6</f>
        <v>114.432</v>
      </c>
      <c r="J906" s="732">
        <v>47.14</v>
      </c>
      <c r="K906" s="730">
        <v>1E-3</v>
      </c>
      <c r="L906" s="730">
        <v>280.8</v>
      </c>
      <c r="M906" s="730"/>
      <c r="N906" s="733">
        <v>1.74</v>
      </c>
      <c r="O906" s="733">
        <v>71.52</v>
      </c>
      <c r="P906" s="730">
        <v>87.39</v>
      </c>
      <c r="Q906" s="733">
        <v>23.1</v>
      </c>
      <c r="R906" s="730" t="s">
        <v>537</v>
      </c>
      <c r="S906" s="730">
        <v>1E-3</v>
      </c>
      <c r="T906" s="733">
        <v>0.04</v>
      </c>
      <c r="U906" s="730" t="s">
        <v>465</v>
      </c>
      <c r="V906" s="730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</row>
    <row r="907" spans="1:97" s="1238" customFormat="1" x14ac:dyDescent="0.25">
      <c r="A907" s="727">
        <v>900586</v>
      </c>
      <c r="B907" s="1014" t="str">
        <f>"-"&amp;TEXT((F907/62+G907/46+I907/35.5+J907/48+K907/97+L907/61),"0,00")&amp;"/+"&amp;TEXT((N907/39+O907/23+P907/20+Q907/12+H907/14),"0,00")&amp;"  (EC  "&amp;E907*10&amp;")"</f>
        <v>-18,56/+19,34  (EC  19,91)</v>
      </c>
      <c r="C907" s="729"/>
      <c r="D907" s="730">
        <v>7.22</v>
      </c>
      <c r="E907" s="730">
        <v>1.9910000000000001</v>
      </c>
      <c r="F907" s="732">
        <v>38.729999999999997</v>
      </c>
      <c r="G907" s="730">
        <v>0</v>
      </c>
      <c r="H907" s="732">
        <v>0.03</v>
      </c>
      <c r="I907" s="731">
        <v>402.3</v>
      </c>
      <c r="J907" s="732">
        <v>80.2</v>
      </c>
      <c r="K907" s="730">
        <v>1E-3</v>
      </c>
      <c r="L907" s="730">
        <v>300.8</v>
      </c>
      <c r="M907" s="730"/>
      <c r="N907" s="733">
        <v>2.85</v>
      </c>
      <c r="O907" s="733">
        <v>241.73</v>
      </c>
      <c r="P907" s="730">
        <v>107.5</v>
      </c>
      <c r="Q907" s="733">
        <v>40.57</v>
      </c>
      <c r="R907" s="730" t="s">
        <v>469</v>
      </c>
      <c r="S907" s="730">
        <v>1E-3</v>
      </c>
      <c r="T907" s="733">
        <v>1E-3</v>
      </c>
      <c r="U907" s="730" t="s">
        <v>494</v>
      </c>
      <c r="V907" s="730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</row>
    <row r="908" spans="1:97" s="1238" customFormat="1" x14ac:dyDescent="0.25">
      <c r="A908" s="727">
        <v>900587</v>
      </c>
      <c r="B908" s="1014" t="str">
        <f t="shared" si="25"/>
        <v>-10,66/+12,56  (EC  11,98)</v>
      </c>
      <c r="C908" s="729"/>
      <c r="D908" s="730">
        <v>7.46</v>
      </c>
      <c r="E908" s="730">
        <v>1.198</v>
      </c>
      <c r="F908" s="732">
        <v>15.06</v>
      </c>
      <c r="G908" s="730">
        <v>0</v>
      </c>
      <c r="H908" s="732">
        <v>7.0000000000000007E-2</v>
      </c>
      <c r="I908" s="731">
        <f t="shared" si="26"/>
        <v>91.232000000000014</v>
      </c>
      <c r="J908" s="732">
        <v>155.59</v>
      </c>
      <c r="K908" s="730">
        <v>1E-3</v>
      </c>
      <c r="L908" s="730">
        <v>280.8</v>
      </c>
      <c r="M908" s="730"/>
      <c r="N908" s="733">
        <v>2.06</v>
      </c>
      <c r="O908" s="733">
        <v>57.02</v>
      </c>
      <c r="P908" s="1242">
        <v>107.31</v>
      </c>
      <c r="Q908" s="733">
        <v>55.87</v>
      </c>
      <c r="R908" s="730" t="s">
        <v>467</v>
      </c>
      <c r="S908" s="730">
        <v>1E-3</v>
      </c>
      <c r="T908" s="733">
        <v>1E-3</v>
      </c>
      <c r="U908" s="730">
        <v>1E-3</v>
      </c>
      <c r="V908" s="730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</row>
    <row r="909" spans="1:97" s="1238" customFormat="1" x14ac:dyDescent="0.25">
      <c r="A909" s="727">
        <v>900588</v>
      </c>
      <c r="B909" s="1014" t="str">
        <f t="shared" si="25"/>
        <v>-10,67/+11,85  (EC  11,1)</v>
      </c>
      <c r="C909" s="729"/>
      <c r="D909" s="730">
        <v>7.46</v>
      </c>
      <c r="E909" s="730">
        <v>1.1100000000000001</v>
      </c>
      <c r="F909" s="732">
        <v>8.18</v>
      </c>
      <c r="G909" s="730">
        <v>0</v>
      </c>
      <c r="H909" s="732">
        <v>0.04</v>
      </c>
      <c r="I909" s="731">
        <f t="shared" si="26"/>
        <v>79.824000000000012</v>
      </c>
      <c r="J909" s="732">
        <v>146.55000000000001</v>
      </c>
      <c r="K909" s="730">
        <v>1E-3</v>
      </c>
      <c r="L909" s="730">
        <v>319.20000000000005</v>
      </c>
      <c r="M909" s="730"/>
      <c r="N909" s="733">
        <v>2.19</v>
      </c>
      <c r="O909" s="733">
        <v>49.89</v>
      </c>
      <c r="P909" s="1242">
        <v>99.75</v>
      </c>
      <c r="Q909" s="733">
        <v>55.58</v>
      </c>
      <c r="R909" s="730" t="s">
        <v>494</v>
      </c>
      <c r="S909" s="730">
        <v>1E-3</v>
      </c>
      <c r="T909" s="733">
        <v>1E-3</v>
      </c>
      <c r="U909" s="730" t="s">
        <v>467</v>
      </c>
      <c r="V909" s="730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</row>
    <row r="910" spans="1:97" s="1238" customFormat="1" x14ac:dyDescent="0.25">
      <c r="A910" s="727">
        <v>900589</v>
      </c>
      <c r="B910" s="1014" t="str">
        <f t="shared" si="25"/>
        <v>-8,79/+8,45  (EC  7,38)</v>
      </c>
      <c r="C910" s="729"/>
      <c r="D910" s="730">
        <v>7.56</v>
      </c>
      <c r="E910" s="730">
        <v>0.73799999999999999</v>
      </c>
      <c r="F910" s="732">
        <v>10.38</v>
      </c>
      <c r="G910" s="730">
        <v>0</v>
      </c>
      <c r="H910" s="732">
        <v>0.06</v>
      </c>
      <c r="I910" s="731">
        <f t="shared" si="26"/>
        <v>52.720000000000006</v>
      </c>
      <c r="J910" s="732">
        <v>136.91</v>
      </c>
      <c r="K910" s="730">
        <v>1E-3</v>
      </c>
      <c r="L910" s="730">
        <v>261.60000000000002</v>
      </c>
      <c r="M910" s="730"/>
      <c r="N910" s="733">
        <v>2.37</v>
      </c>
      <c r="O910" s="733">
        <v>32.950000000000003</v>
      </c>
      <c r="P910" s="730">
        <v>84.68</v>
      </c>
      <c r="Q910" s="733">
        <v>32.619999999999997</v>
      </c>
      <c r="R910" s="730">
        <v>0.03</v>
      </c>
      <c r="S910" s="730">
        <v>1E-3</v>
      </c>
      <c r="T910" s="733">
        <v>1E-3</v>
      </c>
      <c r="U910" s="730">
        <v>1E-3</v>
      </c>
      <c r="V910" s="730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</row>
    <row r="911" spans="1:97" s="1238" customFormat="1" x14ac:dyDescent="0.25">
      <c r="A911" s="727">
        <v>900590</v>
      </c>
      <c r="B911" s="1014" t="str">
        <f t="shared" si="25"/>
        <v>-10,24/+11,98  (EC  10,35)</v>
      </c>
      <c r="C911" s="729"/>
      <c r="D911" s="730">
        <v>7.52</v>
      </c>
      <c r="E911" s="730">
        <v>1.0349999999999999</v>
      </c>
      <c r="F911" s="732">
        <v>4.8499999999999996</v>
      </c>
      <c r="G911" s="730">
        <v>0</v>
      </c>
      <c r="H911" s="732">
        <v>0.06</v>
      </c>
      <c r="I911" s="731">
        <f t="shared" si="26"/>
        <v>78.112000000000009</v>
      </c>
      <c r="J911" s="732">
        <v>146.29</v>
      </c>
      <c r="K911" s="730">
        <v>1E-3</v>
      </c>
      <c r="L911" s="730">
        <v>300</v>
      </c>
      <c r="M911" s="730"/>
      <c r="N911" s="733">
        <v>1.78</v>
      </c>
      <c r="O911" s="733">
        <v>48.82</v>
      </c>
      <c r="P911" s="730">
        <v>106.01</v>
      </c>
      <c r="Q911" s="733">
        <v>54.11</v>
      </c>
      <c r="R911" s="730" t="s">
        <v>468</v>
      </c>
      <c r="S911" s="730">
        <v>1E-3</v>
      </c>
      <c r="T911" s="733">
        <v>1E-3</v>
      </c>
      <c r="U911" s="730">
        <v>1E-3</v>
      </c>
      <c r="V911" s="730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</row>
    <row r="912" spans="1:97" s="1238" customFormat="1" x14ac:dyDescent="0.25">
      <c r="A912" s="727">
        <v>900591</v>
      </c>
      <c r="B912" s="1014" t="str">
        <f t="shared" si="25"/>
        <v>-7,80/+7,22  (EC  6,28)</v>
      </c>
      <c r="C912" s="729"/>
      <c r="D912" s="730">
        <v>7.56</v>
      </c>
      <c r="E912" s="730">
        <v>0.628</v>
      </c>
      <c r="F912" s="732">
        <v>9.7100000000000009</v>
      </c>
      <c r="G912" s="730">
        <v>0</v>
      </c>
      <c r="H912" s="732">
        <v>0.06</v>
      </c>
      <c r="I912" s="731">
        <f t="shared" si="26"/>
        <v>49.008000000000003</v>
      </c>
      <c r="J912" s="732">
        <v>113.5</v>
      </c>
      <c r="K912" s="730">
        <v>1E-3</v>
      </c>
      <c r="L912" s="730">
        <v>237.60000000000002</v>
      </c>
      <c r="M912" s="730"/>
      <c r="N912" s="733">
        <v>1.35</v>
      </c>
      <c r="O912" s="733">
        <v>30.63</v>
      </c>
      <c r="P912" s="730">
        <v>75.42</v>
      </c>
      <c r="Q912" s="733">
        <v>24.96</v>
      </c>
      <c r="R912" s="730" t="s">
        <v>467</v>
      </c>
      <c r="S912" s="730">
        <v>1E-3</v>
      </c>
      <c r="T912" s="733">
        <v>1E-3</v>
      </c>
      <c r="U912" s="730" t="s">
        <v>467</v>
      </c>
      <c r="V912" s="730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</row>
    <row r="913" spans="1:97" s="1238" customFormat="1" x14ac:dyDescent="0.25">
      <c r="A913" s="727">
        <v>900592</v>
      </c>
      <c r="B913" s="1014" t="str">
        <f t="shared" si="25"/>
        <v>-7,30/+7,33  (EC  6,13)</v>
      </c>
      <c r="C913" s="729"/>
      <c r="D913" s="730">
        <v>7.61</v>
      </c>
      <c r="E913" s="730">
        <v>0.61299999999999999</v>
      </c>
      <c r="F913" s="732">
        <v>6.3</v>
      </c>
      <c r="G913" s="730">
        <v>0</v>
      </c>
      <c r="H913" s="732">
        <v>0.09</v>
      </c>
      <c r="I913" s="731">
        <f t="shared" si="26"/>
        <v>43.824000000000005</v>
      </c>
      <c r="J913" s="732">
        <v>119.54</v>
      </c>
      <c r="K913" s="730">
        <v>1E-3</v>
      </c>
      <c r="L913" s="730">
        <v>212</v>
      </c>
      <c r="M913" s="730"/>
      <c r="N913" s="733">
        <v>1.32</v>
      </c>
      <c r="O913" s="733">
        <v>27.39</v>
      </c>
      <c r="P913" s="730">
        <v>79.17</v>
      </c>
      <c r="Q913" s="733">
        <v>25.71</v>
      </c>
      <c r="R913" s="730" t="s">
        <v>468</v>
      </c>
      <c r="S913" s="730">
        <v>1E-3</v>
      </c>
      <c r="T913" s="733">
        <v>1E-3</v>
      </c>
      <c r="U913" s="730" t="s">
        <v>467</v>
      </c>
      <c r="V913" s="730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</row>
    <row r="914" spans="1:97" s="1238" customFormat="1" x14ac:dyDescent="0.25">
      <c r="A914" s="727">
        <v>900593</v>
      </c>
      <c r="B914" s="1014" t="str">
        <f t="shared" si="25"/>
        <v>-7,77/+7,96  (EC  6,96)</v>
      </c>
      <c r="C914" s="729"/>
      <c r="D914" s="730">
        <v>7.59</v>
      </c>
      <c r="E914" s="730">
        <v>0.69599999999999995</v>
      </c>
      <c r="F914" s="732">
        <v>5.67</v>
      </c>
      <c r="G914" s="730">
        <v>0</v>
      </c>
      <c r="H914" s="732">
        <v>0.04</v>
      </c>
      <c r="I914" s="731">
        <f t="shared" si="26"/>
        <v>53.328000000000003</v>
      </c>
      <c r="J914" s="732">
        <v>123.49</v>
      </c>
      <c r="K914" s="730">
        <v>1E-3</v>
      </c>
      <c r="L914" s="730">
        <v>219.6</v>
      </c>
      <c r="M914" s="730"/>
      <c r="N914" s="733">
        <v>1.59</v>
      </c>
      <c r="O914" s="733">
        <v>33.33</v>
      </c>
      <c r="P914" s="730">
        <v>80.599999999999994</v>
      </c>
      <c r="Q914" s="733">
        <v>29.2</v>
      </c>
      <c r="R914" s="730" t="s">
        <v>467</v>
      </c>
      <c r="S914" s="730">
        <v>1E-3</v>
      </c>
      <c r="T914" s="733">
        <v>1E-3</v>
      </c>
      <c r="U914" s="730" t="s">
        <v>467</v>
      </c>
      <c r="V914" s="730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</row>
    <row r="915" spans="1:97" s="1238" customFormat="1" x14ac:dyDescent="0.25">
      <c r="A915" s="727">
        <v>900594</v>
      </c>
      <c r="B915" s="1014" t="str">
        <f t="shared" si="25"/>
        <v>-5,00/+4,79  (EC  4,09)</v>
      </c>
      <c r="C915" s="729"/>
      <c r="D915" s="730">
        <v>7.76</v>
      </c>
      <c r="E915" s="730">
        <v>0.40899999999999997</v>
      </c>
      <c r="F915" s="732">
        <v>2.38</v>
      </c>
      <c r="G915" s="730">
        <v>0</v>
      </c>
      <c r="H915" s="732">
        <v>0.05</v>
      </c>
      <c r="I915" s="731">
        <f t="shared" si="26"/>
        <v>33.616000000000007</v>
      </c>
      <c r="J915" s="732">
        <v>24.6</v>
      </c>
      <c r="K915" s="730">
        <v>1E-3</v>
      </c>
      <c r="L915" s="730">
        <v>213.60000000000002</v>
      </c>
      <c r="M915" s="730"/>
      <c r="N915" s="733">
        <v>1.87</v>
      </c>
      <c r="O915" s="733">
        <v>21.01</v>
      </c>
      <c r="P915" s="730">
        <v>37.71</v>
      </c>
      <c r="Q915" s="733">
        <v>23.26</v>
      </c>
      <c r="R915" s="730">
        <v>1E-3</v>
      </c>
      <c r="S915" s="730">
        <v>1E-3</v>
      </c>
      <c r="T915" s="733">
        <v>1E-3</v>
      </c>
      <c r="U915" s="730" t="s">
        <v>467</v>
      </c>
      <c r="V915" s="730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</row>
    <row r="916" spans="1:97" s="1238" customFormat="1" x14ac:dyDescent="0.25">
      <c r="A916" s="727">
        <v>900595</v>
      </c>
      <c r="B916" s="1014" t="str">
        <f t="shared" si="25"/>
        <v>-8,85/+9,85  (EC  8,84)</v>
      </c>
      <c r="C916" s="729"/>
      <c r="D916" s="730">
        <v>7.55</v>
      </c>
      <c r="E916" s="730">
        <v>0.88400000000000001</v>
      </c>
      <c r="F916" s="732">
        <v>40.020000000000003</v>
      </c>
      <c r="G916" s="730">
        <v>0</v>
      </c>
      <c r="H916" s="732">
        <v>7.0000000000000007E-2</v>
      </c>
      <c r="I916" s="731">
        <f t="shared" si="26"/>
        <v>39.248000000000005</v>
      </c>
      <c r="J916" s="732">
        <v>23.81</v>
      </c>
      <c r="K916" s="730">
        <v>1E-3</v>
      </c>
      <c r="L916" s="730">
        <v>402.8</v>
      </c>
      <c r="M916" s="730"/>
      <c r="N916" s="733">
        <v>2.0099999999999998</v>
      </c>
      <c r="O916" s="733">
        <v>24.53</v>
      </c>
      <c r="P916" s="730">
        <v>83.94</v>
      </c>
      <c r="Q916" s="733">
        <v>54.4</v>
      </c>
      <c r="R916" s="730" t="s">
        <v>498</v>
      </c>
      <c r="S916" s="730">
        <v>1E-3</v>
      </c>
      <c r="T916" s="733">
        <v>1E-3</v>
      </c>
      <c r="U916" s="730" t="s">
        <v>467</v>
      </c>
      <c r="V916" s="730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</row>
    <row r="917" spans="1:97" s="1238" customFormat="1" x14ac:dyDescent="0.25">
      <c r="A917" s="727">
        <v>900596</v>
      </c>
      <c r="B917" s="1014" t="str">
        <f t="shared" si="25"/>
        <v>-11,99/+13,66  (EC  12,66)</v>
      </c>
      <c r="C917" s="729"/>
      <c r="D917" s="730">
        <v>7.54</v>
      </c>
      <c r="E917" s="730">
        <v>1.266</v>
      </c>
      <c r="F917" s="732">
        <v>16.87</v>
      </c>
      <c r="G917" s="730">
        <v>0</v>
      </c>
      <c r="H917" s="732">
        <v>0.03</v>
      </c>
      <c r="I917" s="731">
        <f t="shared" si="26"/>
        <v>74.016000000000005</v>
      </c>
      <c r="J917" s="732">
        <v>145.01</v>
      </c>
      <c r="K917" s="730">
        <v>1E-3</v>
      </c>
      <c r="L917" s="730">
        <v>403.2</v>
      </c>
      <c r="M917" s="730"/>
      <c r="N917" s="733">
        <v>2.91</v>
      </c>
      <c r="O917" s="733">
        <v>46.26</v>
      </c>
      <c r="P917" s="1242">
        <v>102.49</v>
      </c>
      <c r="Q917" s="733">
        <v>77.39</v>
      </c>
      <c r="R917" s="730" t="s">
        <v>538</v>
      </c>
      <c r="S917" s="730">
        <v>1E-3</v>
      </c>
      <c r="T917" s="733">
        <v>1E-3</v>
      </c>
      <c r="U917" s="730" t="s">
        <v>467</v>
      </c>
      <c r="V917" s="730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</row>
    <row r="918" spans="1:97" s="1238" customFormat="1" x14ac:dyDescent="0.25">
      <c r="A918" s="727">
        <v>900597</v>
      </c>
      <c r="B918" s="1014" t="str">
        <f t="shared" si="25"/>
        <v>-13,65/+14,36  (EC  14,5)</v>
      </c>
      <c r="C918" s="729"/>
      <c r="D918" s="730">
        <v>7.61</v>
      </c>
      <c r="E918" s="730">
        <v>1.45</v>
      </c>
      <c r="F918" s="732">
        <v>21.86</v>
      </c>
      <c r="G918" s="730">
        <v>0</v>
      </c>
      <c r="H918" s="732">
        <v>0.05</v>
      </c>
      <c r="I918" s="731">
        <f t="shared" si="26"/>
        <v>60.320000000000007</v>
      </c>
      <c r="J918" s="1243">
        <v>326.3</v>
      </c>
      <c r="K918" s="730">
        <v>1E-3</v>
      </c>
      <c r="L918" s="730">
        <v>292.8</v>
      </c>
      <c r="M918" s="730"/>
      <c r="N918" s="733">
        <v>2.63</v>
      </c>
      <c r="O918" s="733">
        <v>37.700000000000003</v>
      </c>
      <c r="P918" s="1242">
        <v>117.43</v>
      </c>
      <c r="Q918" s="733">
        <v>81.33</v>
      </c>
      <c r="R918" s="730">
        <v>0.01</v>
      </c>
      <c r="S918" s="730">
        <v>1E-3</v>
      </c>
      <c r="T918" s="733">
        <v>1E-3</v>
      </c>
      <c r="U918" s="730" t="s">
        <v>467</v>
      </c>
      <c r="V918" s="730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</row>
    <row r="919" spans="1:97" s="1238" customFormat="1" x14ac:dyDescent="0.25">
      <c r="A919" s="727">
        <v>900598</v>
      </c>
      <c r="B919" s="1014" t="str">
        <f t="shared" si="25"/>
        <v>-7,49/+7,69  (EC  6,3)</v>
      </c>
      <c r="C919" s="729"/>
      <c r="D919" s="730">
        <v>7.68</v>
      </c>
      <c r="E919" s="730">
        <v>0.63</v>
      </c>
      <c r="F919" s="732">
        <v>4.12</v>
      </c>
      <c r="G919" s="730">
        <v>0</v>
      </c>
      <c r="H919" s="732">
        <v>0.03</v>
      </c>
      <c r="I919" s="731">
        <f t="shared" si="26"/>
        <v>21.680000000000003</v>
      </c>
      <c r="J919" s="732">
        <v>74.099999999999994</v>
      </c>
      <c r="K919" s="730">
        <v>1E-3</v>
      </c>
      <c r="L919" s="730">
        <v>321.60000000000002</v>
      </c>
      <c r="M919" s="730"/>
      <c r="N919" s="733">
        <v>1.24</v>
      </c>
      <c r="O919" s="733">
        <v>13.55</v>
      </c>
      <c r="P919" s="730">
        <v>75.430000000000007</v>
      </c>
      <c r="Q919" s="733">
        <v>39.51</v>
      </c>
      <c r="R919" s="730" t="s">
        <v>467</v>
      </c>
      <c r="S919" s="730">
        <v>1E-3</v>
      </c>
      <c r="T919" s="733">
        <v>1E-3</v>
      </c>
      <c r="U919" s="730" t="s">
        <v>467</v>
      </c>
      <c r="V919" s="730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</row>
    <row r="920" spans="1:97" s="1238" customFormat="1" x14ac:dyDescent="0.25">
      <c r="A920" s="727">
        <v>900599</v>
      </c>
      <c r="B920" s="1014" t="str">
        <f t="shared" si="25"/>
        <v>-7,63/+7,40  (EC  6,39)</v>
      </c>
      <c r="C920" s="729"/>
      <c r="D920" s="730">
        <v>7.62</v>
      </c>
      <c r="E920" s="730">
        <v>0.63900000000000001</v>
      </c>
      <c r="F920" s="732">
        <v>12.09</v>
      </c>
      <c r="G920" s="730">
        <v>0</v>
      </c>
      <c r="H920" s="732">
        <v>0.06</v>
      </c>
      <c r="I920" s="731">
        <f t="shared" si="26"/>
        <v>35.744</v>
      </c>
      <c r="J920" s="732">
        <v>130.99</v>
      </c>
      <c r="K920" s="730">
        <v>1E-3</v>
      </c>
      <c r="L920" s="730">
        <v>225.60000000000002</v>
      </c>
      <c r="M920" s="730"/>
      <c r="N920" s="733">
        <v>1.68</v>
      </c>
      <c r="O920" s="733">
        <v>22.34</v>
      </c>
      <c r="P920" s="730">
        <v>92.04</v>
      </c>
      <c r="Q920" s="733">
        <v>21.31</v>
      </c>
      <c r="R920" s="730" t="s">
        <v>467</v>
      </c>
      <c r="S920" s="730">
        <v>1E-3</v>
      </c>
      <c r="T920" s="733">
        <v>1E-3</v>
      </c>
      <c r="U920" s="730" t="s">
        <v>539</v>
      </c>
      <c r="V920" s="730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</row>
    <row r="921" spans="1:97" s="1238" customFormat="1" x14ac:dyDescent="0.25">
      <c r="A921" s="727">
        <v>900600</v>
      </c>
      <c r="B921" s="1014" t="str">
        <f t="shared" si="25"/>
        <v>-7,21/+8,25  (EC  7,25)</v>
      </c>
      <c r="C921" s="729"/>
      <c r="D921" s="730">
        <v>7.66</v>
      </c>
      <c r="E921" s="730">
        <v>0.72499999999999998</v>
      </c>
      <c r="F921" s="732">
        <v>10.62</v>
      </c>
      <c r="G921" s="730">
        <v>0</v>
      </c>
      <c r="H921" s="732">
        <v>0.06</v>
      </c>
      <c r="I921" s="731">
        <f t="shared" si="26"/>
        <v>33.375999999999998</v>
      </c>
      <c r="J921" s="732">
        <v>23.84</v>
      </c>
      <c r="K921" s="730">
        <v>1E-3</v>
      </c>
      <c r="L921" s="730">
        <v>342</v>
      </c>
      <c r="M921" s="730"/>
      <c r="N921" s="733">
        <v>2.44</v>
      </c>
      <c r="O921" s="733">
        <v>20.86</v>
      </c>
      <c r="P921" s="730">
        <v>63.51</v>
      </c>
      <c r="Q921" s="733">
        <v>49.2</v>
      </c>
      <c r="R921" s="730">
        <v>1E-3</v>
      </c>
      <c r="S921" s="730">
        <v>1E-3</v>
      </c>
      <c r="T921" s="733">
        <v>1E-3</v>
      </c>
      <c r="U921" s="730">
        <v>1E-3</v>
      </c>
      <c r="V921" s="730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</row>
    <row r="922" spans="1:97" s="1238" customFormat="1" x14ac:dyDescent="0.25">
      <c r="A922" s="727">
        <v>200000</v>
      </c>
      <c r="B922" s="1014" t="str">
        <f t="shared" si="25"/>
        <v>-9,49/+9,23  (EC  8,63)</v>
      </c>
      <c r="C922" s="729"/>
      <c r="D922" s="730">
        <v>7.66</v>
      </c>
      <c r="E922" s="730">
        <v>0.86299999999999999</v>
      </c>
      <c r="F922" s="732">
        <v>99.61</v>
      </c>
      <c r="G922" s="730">
        <v>0</v>
      </c>
      <c r="H922" s="732">
        <v>0.09</v>
      </c>
      <c r="I922" s="731">
        <f t="shared" si="26"/>
        <v>90.48</v>
      </c>
      <c r="J922" s="732">
        <v>54.15</v>
      </c>
      <c r="K922" s="730">
        <v>1E-3</v>
      </c>
      <c r="L922" s="730">
        <v>256.8</v>
      </c>
      <c r="M922" s="730"/>
      <c r="N922" s="733">
        <v>0.73</v>
      </c>
      <c r="O922" s="733">
        <v>56.55</v>
      </c>
      <c r="P922" s="730">
        <v>75.739999999999995</v>
      </c>
      <c r="Q922" s="733">
        <v>35.47</v>
      </c>
      <c r="R922" s="730"/>
      <c r="S922" s="730"/>
      <c r="T922" s="733"/>
      <c r="U922" s="730"/>
      <c r="V922" s="730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</row>
    <row r="923" spans="1:97" s="1238" customFormat="1" x14ac:dyDescent="0.25">
      <c r="A923" s="727">
        <v>200001</v>
      </c>
      <c r="B923" s="1014" t="str">
        <f t="shared" si="25"/>
        <v>-24,18/+24,25  (EC  24,2)</v>
      </c>
      <c r="C923" s="729"/>
      <c r="D923" s="730">
        <v>7.42</v>
      </c>
      <c r="E923" s="730">
        <v>2.42</v>
      </c>
      <c r="F923" s="732">
        <v>62.68</v>
      </c>
      <c r="G923" s="730">
        <v>0</v>
      </c>
      <c r="H923" s="732">
        <v>0.04</v>
      </c>
      <c r="I923" s="731">
        <v>298.64999999999998</v>
      </c>
      <c r="J923" s="732">
        <v>356.3</v>
      </c>
      <c r="K923" s="730">
        <v>1E-3</v>
      </c>
      <c r="L923" s="730">
        <v>447.6</v>
      </c>
      <c r="M923" s="730"/>
      <c r="N923" s="733">
        <v>5.83</v>
      </c>
      <c r="O923" s="733">
        <v>124.15</v>
      </c>
      <c r="P923" s="1242">
        <v>235.31</v>
      </c>
      <c r="Q923" s="733">
        <v>83.16</v>
      </c>
      <c r="R923" s="730"/>
      <c r="S923" s="730"/>
      <c r="T923" s="733"/>
      <c r="U923" s="730"/>
      <c r="V923" s="730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</row>
    <row r="924" spans="1:97" s="1238" customFormat="1" x14ac:dyDescent="0.25">
      <c r="A924" s="727">
        <v>200002</v>
      </c>
      <c r="B924" s="1014" t="str">
        <f t="shared" si="25"/>
        <v>-75,64/+77,49  (EC  76)</v>
      </c>
      <c r="C924" s="729"/>
      <c r="D924" s="730">
        <v>7.05</v>
      </c>
      <c r="E924" s="730">
        <v>7.6</v>
      </c>
      <c r="F924" s="732">
        <v>22.92</v>
      </c>
      <c r="G924" s="730">
        <v>0</v>
      </c>
      <c r="H924" s="732">
        <v>0.08</v>
      </c>
      <c r="I924" s="731">
        <v>1993.2</v>
      </c>
      <c r="J924" s="732">
        <v>438.17</v>
      </c>
      <c r="K924" s="730">
        <v>1E-3</v>
      </c>
      <c r="L924" s="730">
        <v>609.59999999999991</v>
      </c>
      <c r="M924" s="730"/>
      <c r="N924" s="733">
        <v>11.89</v>
      </c>
      <c r="O924" s="733">
        <v>1169.8499999999999</v>
      </c>
      <c r="P924" s="730">
        <v>297</v>
      </c>
      <c r="Q924" s="733">
        <v>137.56</v>
      </c>
      <c r="R924" s="730" t="s">
        <v>467</v>
      </c>
      <c r="S924" s="730">
        <v>1E-3</v>
      </c>
      <c r="T924" s="733">
        <v>1E-3</v>
      </c>
      <c r="U924" s="730" t="s">
        <v>467</v>
      </c>
      <c r="V924" s="730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</row>
    <row r="925" spans="1:97" s="1238" customFormat="1" x14ac:dyDescent="0.25">
      <c r="A925" s="727">
        <v>200003</v>
      </c>
      <c r="B925" s="1014" t="str">
        <f>"-"&amp;TEXT((F925/62+G925/46+I925/35.5+J925/48+K925/97+L925/61),"0,00")&amp;"/+"&amp;TEXT((N925/39+O925/23+P925/20+Q925/12+H925/14),"0,00")&amp;"  (EC  "&amp;E925*10&amp;")"</f>
        <v>-13,77/+14,59  (EC  13,59)</v>
      </c>
      <c r="C925" s="729"/>
      <c r="D925" s="730">
        <v>7.54</v>
      </c>
      <c r="E925" s="730">
        <v>1.359</v>
      </c>
      <c r="F925" s="732">
        <v>36.53</v>
      </c>
      <c r="G925" s="730">
        <v>0</v>
      </c>
      <c r="H925" s="732">
        <v>0.03</v>
      </c>
      <c r="I925" s="731">
        <f>O925*1.6</f>
        <v>100.736</v>
      </c>
      <c r="J925" s="732">
        <v>235.54</v>
      </c>
      <c r="K925" s="730">
        <v>1E-3</v>
      </c>
      <c r="L925" s="730">
        <v>331.8</v>
      </c>
      <c r="M925" s="730"/>
      <c r="N925" s="733">
        <v>3.18</v>
      </c>
      <c r="O925" s="733">
        <v>62.96</v>
      </c>
      <c r="P925" s="730">
        <v>119.67</v>
      </c>
      <c r="Q925" s="733">
        <v>69.459999999999994</v>
      </c>
      <c r="R925" s="730" t="s">
        <v>467</v>
      </c>
      <c r="S925" s="730">
        <v>1E-3</v>
      </c>
      <c r="T925" s="733">
        <v>1E-3</v>
      </c>
      <c r="U925" s="730" t="s">
        <v>467</v>
      </c>
      <c r="V925" s="730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</row>
    <row r="926" spans="1:97" s="1238" customFormat="1" x14ac:dyDescent="0.25">
      <c r="A926" s="727">
        <v>201000</v>
      </c>
      <c r="B926" s="1014" t="str">
        <f>"-"&amp;TEXT((F926/62+G926/46+I926/35.5+J926/48+K926/97+L926/61),"0,00")&amp;"/+"&amp;TEXT((N926/39+O926/23+P926/20+Q926/12+H926/14),"0,00")&amp;"  (EC  "&amp;E926*10&amp;")"</f>
        <v>-18,74/+18,73  (EC  18)</v>
      </c>
      <c r="C926" s="729"/>
      <c r="D926" s="730">
        <v>6.08</v>
      </c>
      <c r="E926" s="730">
        <v>1.8</v>
      </c>
      <c r="F926" s="732">
        <v>462</v>
      </c>
      <c r="G926" s="730">
        <v>0</v>
      </c>
      <c r="H926" s="732">
        <v>14.25</v>
      </c>
      <c r="I926" s="731">
        <f t="shared" si="26"/>
        <v>184.41600000000003</v>
      </c>
      <c r="J926" s="732">
        <v>124.29</v>
      </c>
      <c r="K926" s="730">
        <v>279.28620000000001</v>
      </c>
      <c r="L926" s="730">
        <v>38.4</v>
      </c>
      <c r="M926" s="730"/>
      <c r="N926" s="733">
        <v>98.23</v>
      </c>
      <c r="O926" s="733">
        <v>115.26</v>
      </c>
      <c r="P926" s="730">
        <v>134.85</v>
      </c>
      <c r="Q926" s="733">
        <v>41.28</v>
      </c>
      <c r="R926" s="730">
        <v>3.57</v>
      </c>
      <c r="S926" s="730">
        <v>0.01</v>
      </c>
      <c r="T926" s="733">
        <v>0.22</v>
      </c>
      <c r="U926" s="730">
        <v>0.34</v>
      </c>
      <c r="V926" s="730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</row>
    <row r="927" spans="1:97" x14ac:dyDescent="0.25">
      <c r="A927" s="727">
        <v>201001</v>
      </c>
      <c r="B927" s="1014" t="str">
        <f>"-"&amp;TEXT((F927/62+G927/46+I927/35.5+J927/48+K927/97+L927/61),"0,00")&amp;"/+"&amp;TEXT((N927/39+O927/23+P927/20+Q927/12+H927/14),"0,00")&amp;"  (EC  "&amp;E927*10&amp;")"</f>
        <v>-17,20/+17,05  (EC  16,66)</v>
      </c>
      <c r="C927" s="729"/>
      <c r="D927" s="730">
        <v>6.06</v>
      </c>
      <c r="E927" s="730">
        <v>1.6659999999999999</v>
      </c>
      <c r="F927" s="732">
        <v>452.23</v>
      </c>
      <c r="G927" s="730">
        <v>0</v>
      </c>
      <c r="H927" s="732">
        <v>21.6</v>
      </c>
      <c r="I927" s="731">
        <f t="shared" si="26"/>
        <v>143.10400000000001</v>
      </c>
      <c r="J927" s="732">
        <v>122.43</v>
      </c>
      <c r="K927" s="730">
        <v>261.81360000000001</v>
      </c>
      <c r="L927" s="730">
        <v>38.4</v>
      </c>
      <c r="M927" s="730"/>
      <c r="N927" s="733">
        <v>96.55</v>
      </c>
      <c r="O927" s="733">
        <v>89.44</v>
      </c>
      <c r="P927" s="1242">
        <v>100.69</v>
      </c>
      <c r="Q927" s="1244">
        <v>49.35</v>
      </c>
      <c r="R927" s="730">
        <v>0.91</v>
      </c>
      <c r="S927" s="730">
        <v>0.08</v>
      </c>
      <c r="T927" s="733">
        <v>0.63</v>
      </c>
      <c r="U927" s="730">
        <v>0.59</v>
      </c>
      <c r="V927" s="730"/>
    </row>
    <row r="928" spans="1:97" x14ac:dyDescent="0.25">
      <c r="A928" s="727">
        <v>201002</v>
      </c>
      <c r="B928" s="1014" t="str">
        <f t="shared" ref="B928:B979" si="27">"-"&amp;TEXT((F928/62+G928/46+I928/35.5+J928/48+K928/97+L928/61),"0,00")&amp;"/+"&amp;TEXT((N928/39+O928/23+P928/20+Q928/12+H928/14),"0,00")&amp;"  (EC  "&amp;E928*10&amp;")"</f>
        <v>-15,73/+14,53  (EC  14,02)</v>
      </c>
      <c r="C928" s="729"/>
      <c r="D928" s="730">
        <v>6.12</v>
      </c>
      <c r="E928" s="730">
        <v>1.4019999999999999</v>
      </c>
      <c r="F928" s="732">
        <v>465.95</v>
      </c>
      <c r="G928" s="730">
        <v>0</v>
      </c>
      <c r="H928" s="732">
        <v>19.5</v>
      </c>
      <c r="I928" s="731">
        <f t="shared" si="26"/>
        <v>141.072</v>
      </c>
      <c r="J928" s="732">
        <v>73.81</v>
      </c>
      <c r="K928" s="730">
        <v>185.4666</v>
      </c>
      <c r="L928" s="730">
        <v>48</v>
      </c>
      <c r="M928" s="730"/>
      <c r="N928" s="733">
        <v>45.95</v>
      </c>
      <c r="O928" s="733">
        <v>88.17</v>
      </c>
      <c r="P928" s="1242">
        <v>88.78</v>
      </c>
      <c r="Q928" s="1244">
        <v>44.28</v>
      </c>
      <c r="R928" s="730">
        <v>1.02</v>
      </c>
      <c r="S928" s="730">
        <v>0.1</v>
      </c>
      <c r="T928" s="733">
        <v>0.74</v>
      </c>
      <c r="U928" s="730">
        <v>0.51</v>
      </c>
      <c r="V928" s="730"/>
    </row>
    <row r="929" spans="1:245" x14ac:dyDescent="0.25">
      <c r="A929" s="727">
        <v>201003</v>
      </c>
      <c r="B929" s="1014" t="str">
        <f t="shared" si="27"/>
        <v>-14,77/+13,55  (EC  13,02)</v>
      </c>
      <c r="C929" s="729"/>
      <c r="D929" s="730">
        <v>6.24</v>
      </c>
      <c r="E929" s="730">
        <v>1.302</v>
      </c>
      <c r="F929" s="732">
        <v>388.15</v>
      </c>
      <c r="G929" s="730">
        <v>0</v>
      </c>
      <c r="H929" s="732">
        <v>6.4</v>
      </c>
      <c r="I929" s="731">
        <f t="shared" si="26"/>
        <v>165.16800000000001</v>
      </c>
      <c r="J929" s="732">
        <v>88.01</v>
      </c>
      <c r="K929" s="730">
        <v>131.36580000000001</v>
      </c>
      <c r="L929" s="730">
        <v>40.799999999999997</v>
      </c>
      <c r="M929" s="730"/>
      <c r="N929" s="733">
        <v>50.02</v>
      </c>
      <c r="O929" s="733">
        <v>103.23</v>
      </c>
      <c r="P929" s="1242">
        <v>72.040000000000006</v>
      </c>
      <c r="Q929" s="1244">
        <v>44.66</v>
      </c>
      <c r="R929" s="730">
        <v>1.78</v>
      </c>
      <c r="S929" s="730">
        <v>1E-3</v>
      </c>
      <c r="T929" s="733">
        <v>0.1</v>
      </c>
      <c r="U929" s="730" t="s">
        <v>540</v>
      </c>
      <c r="V929" s="730"/>
    </row>
    <row r="930" spans="1:245" x14ac:dyDescent="0.25">
      <c r="A930" s="727">
        <v>201004</v>
      </c>
      <c r="B930" s="1014" t="str">
        <f>"-"&amp;TEXT((F930/62+G930/46+I930/35.5+J930/48+K930/97+L930/61),"0,00")&amp;"/+"&amp;TEXT((N930/39+O930/23+P930/20+Q930/12+H930/14),"0,00")&amp;"  (EC  "&amp;E930*10&amp;")"</f>
        <v>-12,39/+11,74  (EC  12,82)</v>
      </c>
      <c r="C930" s="729"/>
      <c r="D930" s="730">
        <v>5.85</v>
      </c>
      <c r="E930" s="730">
        <v>1.282</v>
      </c>
      <c r="F930" s="732">
        <v>425.25</v>
      </c>
      <c r="G930" s="730">
        <v>0</v>
      </c>
      <c r="H930" s="732">
        <v>4.3</v>
      </c>
      <c r="I930" s="731">
        <f t="shared" si="26"/>
        <v>30.432000000000002</v>
      </c>
      <c r="J930" s="732">
        <v>77.8</v>
      </c>
      <c r="K930" s="730">
        <v>140.148</v>
      </c>
      <c r="L930" s="730">
        <v>98.3</v>
      </c>
      <c r="M930" s="730"/>
      <c r="N930" s="733">
        <v>218.44</v>
      </c>
      <c r="O930" s="733">
        <v>19.02</v>
      </c>
      <c r="P930" s="1242">
        <v>57.59</v>
      </c>
      <c r="Q930" s="1244">
        <v>25.53</v>
      </c>
      <c r="R930" s="730">
        <v>0.45</v>
      </c>
      <c r="S930" s="730">
        <v>7.0000000000000007E-2</v>
      </c>
      <c r="T930" s="733">
        <v>0.9</v>
      </c>
      <c r="U930" s="730">
        <v>2.6</v>
      </c>
      <c r="V930" s="730"/>
    </row>
    <row r="931" spans="1:245" x14ac:dyDescent="0.25">
      <c r="A931" s="585">
        <v>200004</v>
      </c>
      <c r="B931" s="1254" t="str">
        <f>"-"&amp;TEXT((F931/62+G931/46+I931/35.5+J931/48+K931/97+L931/61),"0,00")&amp;"/+"&amp;TEXT((N931/39+O931/23+P931/20+Q931/12+H931/14),"0,00")&amp;"  (EC  "&amp;E931*10&amp;")"</f>
        <v>-23,17/+24,61  (EC  23,3)</v>
      </c>
      <c r="D931" s="3">
        <v>7.38</v>
      </c>
      <c r="E931" s="3">
        <v>2.33</v>
      </c>
      <c r="F931" s="26">
        <v>26.36</v>
      </c>
      <c r="G931" s="3">
        <v>0</v>
      </c>
      <c r="H931" s="3">
        <v>0.06</v>
      </c>
      <c r="I931" s="26">
        <f>O931*1.6</f>
        <v>421.42399999999998</v>
      </c>
      <c r="J931" s="1241">
        <v>212.36</v>
      </c>
      <c r="K931" s="3">
        <v>1E-3</v>
      </c>
      <c r="L931" s="3">
        <f>(16.5-0.1)*24</f>
        <v>393.59999999999997</v>
      </c>
      <c r="M931" s="3">
        <v>0</v>
      </c>
      <c r="N931" s="795">
        <v>2.0099999999999998</v>
      </c>
      <c r="O931" s="795">
        <v>263.39</v>
      </c>
      <c r="P931" s="795">
        <v>137.52000000000001</v>
      </c>
      <c r="Q931" s="795">
        <v>74.760000000000005</v>
      </c>
      <c r="R931" s="795" t="s">
        <v>467</v>
      </c>
      <c r="S931" s="3">
        <v>1E-3</v>
      </c>
      <c r="T931" s="795">
        <v>1E-3</v>
      </c>
      <c r="U931" s="795">
        <v>1E-3</v>
      </c>
    </row>
    <row r="932" spans="1:245" x14ac:dyDescent="0.25">
      <c r="A932" s="585">
        <v>200005</v>
      </c>
      <c r="B932" s="1254" t="str">
        <f t="shared" si="27"/>
        <v>-64,95/+64,51  (EC  64,6)</v>
      </c>
      <c r="D932" s="1252">
        <v>7.5</v>
      </c>
      <c r="E932" s="1252">
        <v>6.46</v>
      </c>
      <c r="F932" s="1252">
        <v>0.68</v>
      </c>
      <c r="G932" s="1252">
        <v>0</v>
      </c>
      <c r="H932" s="1252">
        <v>0.08</v>
      </c>
      <c r="I932" s="1253">
        <v>1432.36</v>
      </c>
      <c r="J932" s="1252">
        <v>691.35</v>
      </c>
      <c r="K932" s="1251">
        <v>1E-3</v>
      </c>
      <c r="L932" s="1251">
        <f>(26-0.1)*24</f>
        <v>621.59999999999991</v>
      </c>
      <c r="M932" s="3">
        <v>0</v>
      </c>
      <c r="N932" s="795">
        <v>16.39</v>
      </c>
      <c r="O932" s="795">
        <v>848.6</v>
      </c>
      <c r="P932" s="795">
        <v>275.42</v>
      </c>
      <c r="Q932" s="795">
        <v>161.06</v>
      </c>
      <c r="R932" s="795">
        <v>1E-3</v>
      </c>
      <c r="S932" s="795">
        <v>1E-3</v>
      </c>
      <c r="T932" s="795">
        <v>1E-3</v>
      </c>
      <c r="U932" s="795">
        <v>1E-3</v>
      </c>
    </row>
    <row r="933" spans="1:245" x14ac:dyDescent="0.25">
      <c r="A933" s="585">
        <v>200006</v>
      </c>
      <c r="B933" s="1254" t="str">
        <f t="shared" si="27"/>
        <v>-30,11/+30,07  (EC  31,2)</v>
      </c>
      <c r="D933" s="1252">
        <v>7.1</v>
      </c>
      <c r="E933" s="1252">
        <v>3.12</v>
      </c>
      <c r="F933" s="1252">
        <v>9.36</v>
      </c>
      <c r="G933" s="1252">
        <v>0</v>
      </c>
      <c r="H933" s="1252">
        <v>0.04</v>
      </c>
      <c r="I933" s="1253">
        <v>805.36</v>
      </c>
      <c r="J933" s="1252">
        <v>43.36</v>
      </c>
      <c r="K933" s="1251">
        <v>1E-3</v>
      </c>
      <c r="L933" s="1251">
        <f>(16.3-0.1)*24</f>
        <v>388.79999999999995</v>
      </c>
      <c r="M933" s="3">
        <v>0</v>
      </c>
      <c r="N933" s="795">
        <v>3.1</v>
      </c>
      <c r="O933" s="795">
        <v>481.17</v>
      </c>
      <c r="P933" s="795">
        <v>131.33000000000001</v>
      </c>
      <c r="Q933" s="795">
        <v>30.06</v>
      </c>
      <c r="R933" s="795"/>
      <c r="S933" s="795"/>
      <c r="T933" s="795"/>
      <c r="U933" s="795"/>
    </row>
    <row r="934" spans="1:245" x14ac:dyDescent="0.25">
      <c r="A934" s="585">
        <v>200007</v>
      </c>
      <c r="B934" s="1254" t="str">
        <f t="shared" si="27"/>
        <v>-8,14/+7,99  (EC  8,27)</v>
      </c>
      <c r="D934" s="1252">
        <v>7.1</v>
      </c>
      <c r="E934" s="3">
        <v>0.82699999999999996</v>
      </c>
      <c r="F934" s="1252">
        <v>145.02000000000001</v>
      </c>
      <c r="G934" s="1252">
        <v>0</v>
      </c>
      <c r="H934" s="1252">
        <v>0.06</v>
      </c>
      <c r="I934" s="1253">
        <f>O934*1.6</f>
        <v>67.968000000000004</v>
      </c>
      <c r="J934" s="1252">
        <v>35.42</v>
      </c>
      <c r="K934" s="1251">
        <v>1E-3</v>
      </c>
      <c r="L934" s="1251">
        <f>(8.1-0.1)*24</f>
        <v>192</v>
      </c>
      <c r="M934" s="3">
        <v>0</v>
      </c>
      <c r="N934" s="795">
        <v>6.99</v>
      </c>
      <c r="O934" s="795">
        <v>42.48</v>
      </c>
      <c r="P934" s="795">
        <v>105.44</v>
      </c>
      <c r="Q934" s="795">
        <v>8.3000000000000007</v>
      </c>
      <c r="R934" s="795"/>
      <c r="S934" s="795"/>
      <c r="T934" s="795"/>
      <c r="U934" s="795"/>
    </row>
    <row r="935" spans="1:245" x14ac:dyDescent="0.25">
      <c r="A935" s="585">
        <v>200008</v>
      </c>
      <c r="B935" s="1254" t="str">
        <f>"-"&amp;TEXT((F935/62+G935/46+I935/35.5+J935/48+K935/97+L935/61),"0,00")&amp;"/+"&amp;TEXT((N935/39+O935/23+P935/20+Q935/12+H935/14),"0,00")&amp;"  (EC  "&amp;E935*10&amp;")"</f>
        <v>-6,89/+6,20  (EC  5,57)</v>
      </c>
      <c r="D935" s="1252">
        <v>7.4</v>
      </c>
      <c r="E935" s="1252">
        <v>0.55700000000000005</v>
      </c>
      <c r="F935" s="1252">
        <v>17.66</v>
      </c>
      <c r="G935" s="1252">
        <v>0</v>
      </c>
      <c r="H935" s="1252">
        <v>0.06</v>
      </c>
      <c r="I935" s="1253">
        <f>O935*1.6</f>
        <v>35.504000000000005</v>
      </c>
      <c r="J935" s="1252">
        <v>36.61</v>
      </c>
      <c r="K935" s="1251">
        <v>1E-3</v>
      </c>
      <c r="L935" s="1251">
        <f>(12.4-0.1)*24</f>
        <v>295.20000000000005</v>
      </c>
      <c r="M935" s="3">
        <v>0</v>
      </c>
      <c r="N935" s="795">
        <v>1.47</v>
      </c>
      <c r="O935" s="795">
        <v>22.19</v>
      </c>
      <c r="P935" s="795">
        <v>51.4</v>
      </c>
      <c r="Q935" s="795">
        <v>31.47</v>
      </c>
      <c r="R935" s="795">
        <v>1E-3</v>
      </c>
      <c r="S935" s="795">
        <v>1E-3</v>
      </c>
      <c r="T935" s="795">
        <v>1E-3</v>
      </c>
      <c r="U935" s="795">
        <v>1E-3</v>
      </c>
    </row>
    <row r="936" spans="1:245" x14ac:dyDescent="0.25">
      <c r="A936" s="585">
        <v>200009</v>
      </c>
      <c r="B936" s="1254" t="str">
        <f t="shared" si="27"/>
        <v>-6,24/+5,46  (EC  5,06)</v>
      </c>
      <c r="D936" s="1252">
        <v>7.3</v>
      </c>
      <c r="E936" s="1252">
        <v>0.50600000000000001</v>
      </c>
      <c r="F936" s="1252">
        <v>6.52</v>
      </c>
      <c r="G936" s="1252">
        <v>0</v>
      </c>
      <c r="H936" s="1252">
        <v>0.04</v>
      </c>
      <c r="I936" s="1253">
        <f>O936*1.6</f>
        <v>22.864000000000001</v>
      </c>
      <c r="J936" s="1252">
        <v>82.13</v>
      </c>
      <c r="K936" s="1251">
        <v>1E-3</v>
      </c>
      <c r="L936" s="1251">
        <f>(9.7-0.1)*24</f>
        <v>230.39999999999998</v>
      </c>
      <c r="M936" s="3">
        <v>0</v>
      </c>
      <c r="N936" s="795">
        <v>1.7</v>
      </c>
      <c r="O936" s="795">
        <v>14.29</v>
      </c>
      <c r="P936" s="795">
        <v>69.44</v>
      </c>
      <c r="Q936" s="795">
        <v>15.82</v>
      </c>
      <c r="R936" s="795">
        <v>1E-3</v>
      </c>
      <c r="S936" s="1251">
        <v>1E-3</v>
      </c>
      <c r="T936" s="795">
        <v>1E-3</v>
      </c>
      <c r="U936" s="795">
        <v>1E-3</v>
      </c>
    </row>
    <row r="937" spans="1:245" x14ac:dyDescent="0.25">
      <c r="A937" s="585">
        <v>200010</v>
      </c>
      <c r="B937" s="1254" t="str">
        <f>"-"&amp;TEXT((F937/62+G937/46+I937/35.5+J937/48+K937/97+L937/61),"0,00")&amp;"/+"&amp;TEXT((N937/39+O937/23+P937/20+Q937/12+H937/14),"0,00")&amp;"  (EC  "&amp;E937*10&amp;")"</f>
        <v>-6,28/+5,99  (EC  5,51)</v>
      </c>
      <c r="D937" s="1252">
        <v>7.2</v>
      </c>
      <c r="E937" s="1252">
        <v>0.55100000000000005</v>
      </c>
      <c r="F937" s="1252">
        <v>28.66</v>
      </c>
      <c r="G937" s="1252">
        <v>0</v>
      </c>
      <c r="H937" s="1252">
        <v>0.04</v>
      </c>
      <c r="I937" s="1253">
        <f>O937*1.6</f>
        <v>24.928000000000001</v>
      </c>
      <c r="J937" s="1252">
        <v>14.97</v>
      </c>
      <c r="K937" s="1251">
        <v>1E-3</v>
      </c>
      <c r="L937" s="1251">
        <f>(12.3-0.1)*24</f>
        <v>292.8</v>
      </c>
      <c r="M937" s="3">
        <v>0</v>
      </c>
      <c r="N937" s="795">
        <v>1.46</v>
      </c>
      <c r="O937" s="795">
        <v>15.58</v>
      </c>
      <c r="P937" s="795">
        <v>51</v>
      </c>
      <c r="Q937" s="795">
        <v>32.71</v>
      </c>
      <c r="R937" s="795">
        <v>1E-3</v>
      </c>
      <c r="S937" s="795">
        <v>1E-3</v>
      </c>
      <c r="T937" s="795">
        <v>1E-3</v>
      </c>
      <c r="U937" s="795">
        <v>1E-3</v>
      </c>
    </row>
    <row r="938" spans="1:245" x14ac:dyDescent="0.25">
      <c r="A938" s="585">
        <v>200011</v>
      </c>
      <c r="B938" s="1254" t="str">
        <f>"-"&amp;TEXT((F938/62+G938/46+I938/35.5+J938/48+K938/97+L938/61),"0,00")&amp;"/+"&amp;TEXT((N938/39+O938/23+P938/20+Q938/12+H938/14),"0,00")&amp;"  (EC  "&amp;E938*10&amp;")"</f>
        <v>-23,01/+22,49  (EC  22,6)</v>
      </c>
      <c r="D938" s="1252">
        <v>7.1</v>
      </c>
      <c r="E938" s="1252">
        <v>2.2599999999999998</v>
      </c>
      <c r="F938" s="1252">
        <v>30.05</v>
      </c>
      <c r="G938" s="1252">
        <v>0</v>
      </c>
      <c r="H938" s="1252">
        <v>0.05</v>
      </c>
      <c r="I938" s="1253">
        <v>523.69000000000005</v>
      </c>
      <c r="J938" s="1252">
        <v>69.260000000000005</v>
      </c>
      <c r="K938" s="1251">
        <v>1E-3</v>
      </c>
      <c r="L938" s="1251">
        <f>(16.2-0.1)*24</f>
        <v>386.4</v>
      </c>
      <c r="M938" s="3">
        <v>0</v>
      </c>
      <c r="N938" s="795">
        <v>2.42</v>
      </c>
      <c r="O938" s="795">
        <v>359.95</v>
      </c>
      <c r="P938" s="795">
        <v>81.760000000000005</v>
      </c>
      <c r="Q938" s="795">
        <v>32.28</v>
      </c>
      <c r="R938" s="795">
        <v>1E-3</v>
      </c>
      <c r="S938" s="795">
        <v>1E-3</v>
      </c>
      <c r="T938" s="795">
        <v>1E-3</v>
      </c>
      <c r="U938" s="795" t="s">
        <v>465</v>
      </c>
    </row>
    <row r="939" spans="1:245" s="783" customFormat="1" x14ac:dyDescent="0.25">
      <c r="A939" s="779">
        <v>1</v>
      </c>
      <c r="B939" s="780" t="str">
        <f t="shared" si="27"/>
        <v>-5,67/+40,73  (EC  0)</v>
      </c>
      <c r="C939" s="781"/>
      <c r="D939" s="595"/>
      <c r="E939" s="595"/>
      <c r="F939" s="595"/>
      <c r="G939" s="595"/>
      <c r="H939" s="595"/>
      <c r="I939" s="595"/>
      <c r="J939" s="595"/>
      <c r="K939" s="595">
        <v>1E-3</v>
      </c>
      <c r="L939" s="595">
        <f>(14.5-0.1)*24</f>
        <v>345.6</v>
      </c>
      <c r="M939" s="595"/>
      <c r="N939" s="705">
        <v>6.02</v>
      </c>
      <c r="O939" s="705">
        <v>463.35</v>
      </c>
      <c r="P939" s="705">
        <v>232.75</v>
      </c>
      <c r="Q939" s="705">
        <v>105.47</v>
      </c>
      <c r="R939" s="705">
        <v>0.02</v>
      </c>
      <c r="S939" s="705">
        <v>1E-3</v>
      </c>
      <c r="T939" s="705">
        <v>0.36</v>
      </c>
      <c r="U939" s="705">
        <v>1E-3</v>
      </c>
      <c r="V939" s="59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</row>
    <row r="940" spans="1:245" s="783" customFormat="1" x14ac:dyDescent="0.25">
      <c r="A940" s="779">
        <v>2</v>
      </c>
      <c r="B940" s="780" t="str">
        <f t="shared" si="27"/>
        <v>-5,67/+45,44  (EC  0)</v>
      </c>
      <c r="C940" s="781"/>
      <c r="D940" s="595"/>
      <c r="E940" s="595"/>
      <c r="F940" s="595"/>
      <c r="G940" s="595"/>
      <c r="H940" s="595"/>
      <c r="I940" s="595"/>
      <c r="J940" s="595"/>
      <c r="K940" s="595">
        <v>1E-3</v>
      </c>
      <c r="L940" s="595">
        <f>(14.5-0.1)*24</f>
        <v>345.6</v>
      </c>
      <c r="M940" s="595"/>
      <c r="N940" s="705">
        <v>11.2</v>
      </c>
      <c r="O940" s="705">
        <v>715.78</v>
      </c>
      <c r="P940" s="705">
        <v>163.05000000000001</v>
      </c>
      <c r="Q940" s="705">
        <v>70.55</v>
      </c>
      <c r="R940" s="705">
        <v>1E-3</v>
      </c>
      <c r="S940" s="705">
        <v>1E-3</v>
      </c>
      <c r="T940" s="705">
        <v>0.55000000000000004</v>
      </c>
      <c r="U940" s="705" t="s">
        <v>466</v>
      </c>
      <c r="V940" s="59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</row>
    <row r="941" spans="1:245" x14ac:dyDescent="0.25">
      <c r="A941" s="727">
        <v>200012</v>
      </c>
      <c r="B941" s="1268" t="str">
        <f t="shared" si="27"/>
        <v>-10,53/+11,27  (EC  10,7)</v>
      </c>
      <c r="C941" s="729"/>
      <c r="D941" s="730">
        <v>7.18</v>
      </c>
      <c r="E941" s="730">
        <v>1.07</v>
      </c>
      <c r="F941" s="730">
        <v>19.239999999999998</v>
      </c>
      <c r="G941" s="730">
        <v>0</v>
      </c>
      <c r="H941" s="730">
        <v>0.08</v>
      </c>
      <c r="I941" s="730">
        <v>71.456000000000003</v>
      </c>
      <c r="J941" s="730">
        <v>106.74</v>
      </c>
      <c r="K941" s="730">
        <v>1E-3</v>
      </c>
      <c r="L941" s="730">
        <v>365.23</v>
      </c>
      <c r="M941" s="730">
        <v>0</v>
      </c>
      <c r="N941" s="733">
        <v>2.3199999999999998</v>
      </c>
      <c r="O941" s="733">
        <v>44.66</v>
      </c>
      <c r="P941" s="733">
        <v>72.38</v>
      </c>
      <c r="Q941" s="733">
        <v>67.67</v>
      </c>
      <c r="R941" s="733"/>
      <c r="S941" s="733"/>
      <c r="T941" s="733"/>
      <c r="U941" s="733"/>
    </row>
    <row r="942" spans="1:245" x14ac:dyDescent="0.25">
      <c r="A942" s="727">
        <v>200013</v>
      </c>
      <c r="B942" s="1268" t="str">
        <f t="shared" si="27"/>
        <v>-12,06/+12,44  (EC  13,5)</v>
      </c>
      <c r="C942" s="729"/>
      <c r="D942" s="730">
        <v>6.82</v>
      </c>
      <c r="E942" s="730">
        <v>1.35</v>
      </c>
      <c r="F942" s="730">
        <v>118.5</v>
      </c>
      <c r="G942" s="730">
        <v>0</v>
      </c>
      <c r="H942" s="730">
        <v>0.06</v>
      </c>
      <c r="I942" s="730">
        <v>80.912000000000006</v>
      </c>
      <c r="J942" s="730">
        <v>81.739999999999995</v>
      </c>
      <c r="K942" s="730">
        <v>1E-3</v>
      </c>
      <c r="L942" s="730">
        <v>376.2</v>
      </c>
      <c r="M942" s="730">
        <v>0</v>
      </c>
      <c r="N942" s="733">
        <v>3.78</v>
      </c>
      <c r="O942" s="733">
        <v>50.57</v>
      </c>
      <c r="P942" s="733">
        <v>147.88</v>
      </c>
      <c r="Q942" s="733">
        <v>32.93</v>
      </c>
      <c r="R942" s="733"/>
      <c r="S942" s="730"/>
      <c r="T942" s="730"/>
      <c r="U942" s="730"/>
    </row>
    <row r="943" spans="1:245" x14ac:dyDescent="0.25">
      <c r="A943" s="727">
        <v>200014</v>
      </c>
      <c r="B943" s="1268" t="str">
        <f t="shared" si="27"/>
        <v>-19,86/+19,65  (EC  20)</v>
      </c>
      <c r="C943" s="729"/>
      <c r="D943" s="730">
        <v>6.91</v>
      </c>
      <c r="E943" s="730">
        <v>2</v>
      </c>
      <c r="F943" s="730">
        <v>51.54</v>
      </c>
      <c r="G943" s="730">
        <v>0</v>
      </c>
      <c r="H943" s="730">
        <v>0.04</v>
      </c>
      <c r="I943" s="730">
        <v>222.68800000000002</v>
      </c>
      <c r="J943" s="730">
        <v>255.25</v>
      </c>
      <c r="K943" s="730">
        <v>1E-3</v>
      </c>
      <c r="L943" s="730">
        <v>453.63</v>
      </c>
      <c r="M943" s="730">
        <v>0</v>
      </c>
      <c r="N943" s="733">
        <v>3.58</v>
      </c>
      <c r="O943" s="733">
        <v>139.18</v>
      </c>
      <c r="P943" s="733">
        <v>157.5</v>
      </c>
      <c r="Q943" s="733">
        <v>67.599999999999994</v>
      </c>
      <c r="R943" s="733"/>
      <c r="S943" s="733"/>
      <c r="T943" s="733"/>
      <c r="U943" s="733"/>
    </row>
    <row r="944" spans="1:245" x14ac:dyDescent="0.25">
      <c r="A944" s="727">
        <v>200015</v>
      </c>
      <c r="B944" s="1268" t="str">
        <f t="shared" si="27"/>
        <v>-4,45/+5,23  (EC  5,22)</v>
      </c>
      <c r="C944" s="729"/>
      <c r="D944" s="730">
        <v>7.77</v>
      </c>
      <c r="E944" s="730">
        <v>0.52200000000000002</v>
      </c>
      <c r="F944" s="730">
        <v>27.67</v>
      </c>
      <c r="G944" s="730">
        <v>0</v>
      </c>
      <c r="H944" s="730">
        <v>7.0000000000000007E-2</v>
      </c>
      <c r="I944" s="730">
        <v>43.2</v>
      </c>
      <c r="J944" s="730">
        <v>29.6</v>
      </c>
      <c r="K944" s="730">
        <v>1E-3</v>
      </c>
      <c r="L944" s="730">
        <v>132.19999999999999</v>
      </c>
      <c r="M944" s="730">
        <v>0</v>
      </c>
      <c r="N944" s="733">
        <v>1.06</v>
      </c>
      <c r="O944" s="733">
        <v>27</v>
      </c>
      <c r="P944" s="733">
        <v>45</v>
      </c>
      <c r="Q944" s="733">
        <v>21.25</v>
      </c>
      <c r="R944" s="733">
        <v>1E-3</v>
      </c>
      <c r="S944" s="733">
        <v>1E-3</v>
      </c>
      <c r="T944" s="733">
        <v>1E-3</v>
      </c>
      <c r="U944" s="733">
        <v>1E-3</v>
      </c>
      <c r="V944" s="25"/>
    </row>
    <row r="945" spans="1:245" x14ac:dyDescent="0.25">
      <c r="A945" s="727">
        <v>200016</v>
      </c>
      <c r="B945" s="1268" t="str">
        <f t="shared" si="27"/>
        <v>-7,22/+8,79  (EC  8,27)</v>
      </c>
      <c r="C945" s="729"/>
      <c r="D945" s="730">
        <v>7.41</v>
      </c>
      <c r="E945" s="730">
        <v>0.82699999999999996</v>
      </c>
      <c r="F945" s="730">
        <v>32.01</v>
      </c>
      <c r="G945" s="730">
        <v>0</v>
      </c>
      <c r="H945" s="730">
        <v>0.08</v>
      </c>
      <c r="I945" s="730">
        <v>41.984000000000002</v>
      </c>
      <c r="J945" s="730">
        <v>31.45</v>
      </c>
      <c r="K945" s="730">
        <v>1E-3</v>
      </c>
      <c r="L945" s="730">
        <v>296.64999999999998</v>
      </c>
      <c r="M945" s="730">
        <v>0</v>
      </c>
      <c r="N945" s="733">
        <v>2.2599999999999998</v>
      </c>
      <c r="O945" s="733">
        <v>26.24</v>
      </c>
      <c r="P945" s="733">
        <v>75.91</v>
      </c>
      <c r="Q945" s="733">
        <v>45.48</v>
      </c>
      <c r="R945" s="733">
        <v>1E-3</v>
      </c>
      <c r="S945" s="733">
        <v>1E-3</v>
      </c>
      <c r="T945" s="733">
        <v>1E-3</v>
      </c>
      <c r="U945" s="733">
        <v>1E-3</v>
      </c>
      <c r="V945" s="25"/>
    </row>
    <row r="946" spans="1:245" x14ac:dyDescent="0.25">
      <c r="A946" s="727">
        <v>200017</v>
      </c>
      <c r="B946" s="1268" t="str">
        <f t="shared" si="27"/>
        <v>-17,11/+16,40  (EC  17,1)</v>
      </c>
      <c r="C946" s="729"/>
      <c r="D946" s="730">
        <v>7.32</v>
      </c>
      <c r="E946" s="730">
        <v>1.71</v>
      </c>
      <c r="F946" s="730">
        <v>44.33</v>
      </c>
      <c r="G946" s="730">
        <v>0</v>
      </c>
      <c r="H946" s="730">
        <v>0.05</v>
      </c>
      <c r="I946" s="730">
        <v>317.15200000000004</v>
      </c>
      <c r="J946" s="730">
        <v>142.94</v>
      </c>
      <c r="K946" s="730">
        <v>1E-3</v>
      </c>
      <c r="L946" s="730">
        <v>273.63</v>
      </c>
      <c r="M946" s="730">
        <v>0</v>
      </c>
      <c r="N946" s="733">
        <v>2.76</v>
      </c>
      <c r="O946" s="733">
        <v>198.22</v>
      </c>
      <c r="P946" s="733">
        <v>64.150000000000006</v>
      </c>
      <c r="Q946" s="733">
        <v>54.03</v>
      </c>
      <c r="R946" s="733">
        <v>0.02</v>
      </c>
      <c r="S946" s="733">
        <v>1E-3</v>
      </c>
      <c r="T946" s="733">
        <v>1E-3</v>
      </c>
      <c r="U946" s="733">
        <v>1E-3</v>
      </c>
      <c r="V946" s="25"/>
    </row>
    <row r="947" spans="1:245" x14ac:dyDescent="0.25">
      <c r="A947" s="788">
        <v>200018</v>
      </c>
      <c r="B947" s="789" t="str">
        <f t="shared" si="27"/>
        <v>-77,56/+78,19  (EC  78,5)</v>
      </c>
      <c r="C947" s="790"/>
      <c r="D947" s="791">
        <v>7.5</v>
      </c>
      <c r="E947" s="791">
        <v>7.85</v>
      </c>
      <c r="F947" s="841">
        <v>48.18</v>
      </c>
      <c r="G947" s="791">
        <v>0</v>
      </c>
      <c r="H947" s="791">
        <v>0.09</v>
      </c>
      <c r="I947" s="841">
        <v>1942.36</v>
      </c>
      <c r="J947" s="791">
        <v>703.25</v>
      </c>
      <c r="K947" s="791">
        <v>1E-3</v>
      </c>
      <c r="L947" s="791">
        <v>452.36</v>
      </c>
      <c r="M947" s="791"/>
      <c r="N947" s="1273">
        <v>7.17</v>
      </c>
      <c r="O947" s="791">
        <v>916.12</v>
      </c>
      <c r="P947" s="791">
        <v>420.07</v>
      </c>
      <c r="Q947" s="791">
        <v>206.03</v>
      </c>
      <c r="R947" s="791">
        <v>1E-3</v>
      </c>
      <c r="S947" s="791">
        <v>1E-3</v>
      </c>
      <c r="T947" s="791">
        <v>1E-3</v>
      </c>
      <c r="U947" s="791">
        <v>1E-3</v>
      </c>
      <c r="V947" s="25"/>
    </row>
    <row r="948" spans="1:245" s="1289" customFormat="1" x14ac:dyDescent="0.25">
      <c r="A948" s="1284">
        <v>200019</v>
      </c>
      <c r="B948" s="1285" t="str">
        <f>"-"&amp;TEXT((F948/62+G948/46+I948/35.5+J948/48+K948/97+L948/61),"0,00")&amp;"/+"&amp;TEXT((N948/39+O948/23+P948/20+Q948/12+H948/14),"0,00")&amp;"  (EC  "&amp;E948*10&amp;")"</f>
        <v>-21,30/+22,43  (EC  21,5)</v>
      </c>
      <c r="C948" s="1126"/>
      <c r="D948" s="1286">
        <v>7.13</v>
      </c>
      <c r="E948" s="1286">
        <v>2.15</v>
      </c>
      <c r="F948" s="1287">
        <v>1.3</v>
      </c>
      <c r="G948" s="1286"/>
      <c r="H948" s="1286">
        <v>0.13</v>
      </c>
      <c r="I948" s="1287">
        <v>342.75200000000001</v>
      </c>
      <c r="J948" s="1286">
        <v>162.54</v>
      </c>
      <c r="K948" s="1286">
        <v>6.1200000000000004E-2</v>
      </c>
      <c r="L948" s="1286">
        <v>502.3</v>
      </c>
      <c r="M948" s="1286"/>
      <c r="N948" s="1286">
        <v>5.62</v>
      </c>
      <c r="O948" s="1286">
        <v>214.22</v>
      </c>
      <c r="P948" s="1288">
        <v>143.16999999999999</v>
      </c>
      <c r="Q948" s="1286">
        <v>69.67</v>
      </c>
      <c r="R948" s="1286"/>
      <c r="S948" s="1286"/>
      <c r="T948" s="1286"/>
      <c r="U948" s="1284"/>
      <c r="V948" s="1286"/>
      <c r="W948" s="1066"/>
      <c r="X948" s="1066"/>
      <c r="Y948" s="1066"/>
      <c r="Z948" s="1066"/>
      <c r="AA948" s="1066"/>
      <c r="AB948" s="1066"/>
      <c r="AC948" s="1066"/>
      <c r="AD948" s="1066"/>
      <c r="AE948" s="1066"/>
      <c r="AF948" s="1066"/>
      <c r="AG948" s="1066"/>
      <c r="AH948" s="1066"/>
      <c r="AI948" s="1066"/>
      <c r="AJ948" s="1066"/>
      <c r="AK948" s="1066"/>
      <c r="AL948" s="1066"/>
      <c r="AM948" s="1066"/>
      <c r="AN948" s="1066"/>
      <c r="AO948" s="1066"/>
      <c r="AP948" s="1066"/>
      <c r="AQ948" s="1066"/>
      <c r="AR948" s="1066"/>
      <c r="AS948" s="1066"/>
      <c r="AT948" s="1066"/>
      <c r="AU948" s="1066"/>
      <c r="AV948" s="1066"/>
      <c r="AW948" s="1066"/>
      <c r="AX948" s="1066"/>
      <c r="AY948" s="1066"/>
      <c r="AZ948" s="1066"/>
      <c r="BA948" s="1066"/>
      <c r="BB948" s="1066"/>
      <c r="BC948" s="1066"/>
      <c r="BD948" s="1066"/>
      <c r="BE948" s="1066"/>
      <c r="BF948" s="1066"/>
      <c r="BG948" s="1066"/>
      <c r="BH948" s="1066"/>
      <c r="BI948" s="1066"/>
      <c r="BJ948" s="1066"/>
      <c r="BK948" s="1066"/>
      <c r="BL948" s="1066"/>
      <c r="BM948" s="1066"/>
      <c r="BN948" s="1066"/>
      <c r="BO948" s="1066"/>
      <c r="BP948" s="1066"/>
      <c r="BQ948" s="1066"/>
      <c r="BR948" s="1066"/>
      <c r="BS948" s="1066"/>
      <c r="BT948" s="1066"/>
      <c r="BU948" s="1066"/>
      <c r="BV948" s="1066"/>
      <c r="BW948" s="1066"/>
      <c r="BX948" s="1066"/>
      <c r="BY948" s="1066"/>
      <c r="BZ948" s="1066"/>
      <c r="CA948" s="1066"/>
      <c r="CB948" s="1066"/>
      <c r="CC948" s="1066"/>
      <c r="CD948" s="1066"/>
      <c r="CE948" s="1066"/>
      <c r="CF948" s="1066"/>
      <c r="CG948" s="1066"/>
      <c r="CH948" s="1066"/>
      <c r="CI948" s="1066"/>
      <c r="CJ948" s="1066"/>
      <c r="CK948" s="1066"/>
      <c r="CL948" s="1066"/>
      <c r="CM948" s="1066"/>
      <c r="CN948" s="1066"/>
      <c r="CO948" s="1066"/>
      <c r="CP948" s="1066"/>
      <c r="CQ948" s="1066"/>
      <c r="CR948" s="1066"/>
      <c r="CS948" s="1066"/>
      <c r="CT948" s="1066"/>
      <c r="CU948" s="1066"/>
      <c r="CV948" s="1066"/>
      <c r="CW948" s="1066"/>
      <c r="CX948" s="1066"/>
      <c r="CY948" s="1066"/>
      <c r="CZ948" s="1066"/>
      <c r="DA948" s="1066"/>
      <c r="DB948" s="1066"/>
      <c r="DC948" s="1066"/>
      <c r="DD948" s="1066"/>
      <c r="DE948" s="1066"/>
      <c r="DF948" s="1066"/>
      <c r="DG948" s="1066"/>
      <c r="DH948" s="1066"/>
      <c r="DI948" s="1066"/>
      <c r="DJ948" s="1066"/>
      <c r="DK948" s="1066"/>
      <c r="DL948" s="1066"/>
      <c r="DM948" s="1066"/>
      <c r="DN948" s="1066"/>
      <c r="DO948" s="1066"/>
      <c r="DP948" s="1066"/>
      <c r="DQ948" s="1066"/>
      <c r="DR948" s="1066"/>
      <c r="DS948" s="1066"/>
      <c r="DT948" s="1066"/>
      <c r="DU948" s="1066"/>
      <c r="DV948" s="1066"/>
      <c r="DW948" s="1066"/>
      <c r="DX948" s="1066"/>
      <c r="DY948" s="1066"/>
      <c r="DZ948" s="1066"/>
      <c r="EA948" s="1066"/>
      <c r="EB948" s="1066"/>
      <c r="EC948" s="1066"/>
      <c r="ED948" s="1066"/>
      <c r="EE948" s="1066"/>
      <c r="EF948" s="1066"/>
      <c r="EG948" s="1066"/>
      <c r="EH948" s="1066"/>
      <c r="EI948" s="1066"/>
      <c r="EJ948" s="1066"/>
      <c r="EK948" s="1066"/>
      <c r="EL948" s="1066"/>
      <c r="EM948" s="1066"/>
      <c r="EN948" s="1066"/>
      <c r="EO948" s="1066"/>
      <c r="EP948" s="1066"/>
      <c r="EQ948" s="1066"/>
      <c r="ER948" s="1066"/>
      <c r="ES948" s="1066"/>
      <c r="ET948" s="1066"/>
      <c r="EU948" s="1066"/>
      <c r="EV948" s="1066"/>
      <c r="EW948" s="1066"/>
      <c r="EX948" s="1066"/>
      <c r="EY948" s="1066"/>
      <c r="EZ948" s="1066"/>
      <c r="FA948" s="1066"/>
      <c r="FB948" s="1066"/>
      <c r="FC948" s="1066"/>
      <c r="FD948" s="1066"/>
      <c r="FE948" s="1066"/>
      <c r="FF948" s="1066"/>
      <c r="FG948" s="1066"/>
      <c r="FH948" s="1066"/>
      <c r="FI948" s="1066"/>
      <c r="FJ948" s="1066"/>
      <c r="FK948" s="1066"/>
      <c r="FL948" s="1066"/>
      <c r="FM948" s="1066"/>
      <c r="FN948" s="1066"/>
      <c r="FO948" s="1066"/>
      <c r="FP948" s="1066"/>
      <c r="FQ948" s="1066"/>
      <c r="FR948" s="1066"/>
      <c r="FS948" s="1066"/>
      <c r="FT948" s="1066"/>
      <c r="FU948" s="1066"/>
      <c r="FV948" s="1066"/>
      <c r="FW948" s="1066"/>
      <c r="FX948" s="1066"/>
      <c r="FY948" s="1066"/>
      <c r="FZ948" s="1066"/>
      <c r="GA948" s="1066"/>
      <c r="GB948" s="1066"/>
      <c r="GC948" s="1066"/>
      <c r="GD948" s="1066"/>
      <c r="GE948" s="1066"/>
      <c r="GF948" s="1066"/>
      <c r="GG948" s="1066"/>
      <c r="GH948" s="1066"/>
      <c r="GI948" s="1066"/>
      <c r="GJ948" s="1066"/>
      <c r="GK948" s="1066"/>
      <c r="GL948" s="1066"/>
      <c r="GM948" s="1066"/>
      <c r="GN948" s="1066"/>
      <c r="GO948" s="1066"/>
      <c r="GP948" s="1066"/>
      <c r="GQ948" s="1066"/>
      <c r="GR948" s="1066"/>
      <c r="GS948" s="1066"/>
      <c r="GT948" s="1066"/>
      <c r="GU948" s="1066"/>
      <c r="GV948" s="1066"/>
      <c r="GW948" s="1066"/>
      <c r="GX948" s="1066"/>
      <c r="GY948" s="1066"/>
      <c r="GZ948" s="1066"/>
      <c r="HA948" s="1066"/>
      <c r="HB948" s="1066"/>
      <c r="HC948" s="1066"/>
      <c r="HD948" s="1066"/>
      <c r="HE948" s="1066"/>
      <c r="HF948" s="1066"/>
      <c r="HG948" s="1066"/>
      <c r="HH948" s="1066"/>
      <c r="HI948" s="1066"/>
      <c r="HJ948" s="1066"/>
      <c r="HK948" s="1066"/>
      <c r="HL948" s="1066"/>
      <c r="HM948" s="1066"/>
      <c r="HN948" s="1066"/>
      <c r="HO948" s="1066"/>
      <c r="HP948" s="1066"/>
      <c r="HQ948" s="1066"/>
      <c r="HR948" s="1066"/>
      <c r="HS948" s="1066"/>
      <c r="HT948" s="1066"/>
      <c r="HU948" s="1066"/>
      <c r="HV948" s="1066"/>
      <c r="HW948" s="1066"/>
      <c r="HX948" s="1066"/>
      <c r="HY948" s="1066"/>
      <c r="HZ948" s="1066"/>
      <c r="IA948" s="1066"/>
      <c r="IB948" s="1066"/>
      <c r="IC948" s="1066"/>
      <c r="ID948" s="1066"/>
      <c r="IE948" s="1066"/>
      <c r="IF948" s="1066"/>
      <c r="IG948" s="1066"/>
      <c r="IH948" s="1066"/>
      <c r="II948" s="1066"/>
      <c r="IJ948" s="1066"/>
      <c r="IK948" s="1066"/>
    </row>
    <row r="949" spans="1:245" s="1289" customFormat="1" x14ac:dyDescent="0.25">
      <c r="A949" s="1284">
        <v>200020</v>
      </c>
      <c r="B949" s="1285" t="str">
        <f t="shared" si="27"/>
        <v>-5,69/+5,72  (EC  5,14)</v>
      </c>
      <c r="C949" s="1126"/>
      <c r="D949" s="1286">
        <v>7.18</v>
      </c>
      <c r="E949" s="1286">
        <v>0.51400000000000001</v>
      </c>
      <c r="F949" s="1287">
        <v>9.93</v>
      </c>
      <c r="G949" s="1286"/>
      <c r="H949" s="1286">
        <v>0.09</v>
      </c>
      <c r="I949" s="1287">
        <v>49.808</v>
      </c>
      <c r="J949" s="1286">
        <v>13.08</v>
      </c>
      <c r="K949" s="1286">
        <v>6.1200000000000004E-2</v>
      </c>
      <c r="L949" s="1286">
        <v>235.36</v>
      </c>
      <c r="M949" s="1286"/>
      <c r="N949" s="1286">
        <v>1.96</v>
      </c>
      <c r="O949" s="1286">
        <v>31.13</v>
      </c>
      <c r="P949" s="1288">
        <v>56.53</v>
      </c>
      <c r="Q949" s="1286">
        <v>17.75</v>
      </c>
      <c r="R949" s="1286">
        <v>1E-3</v>
      </c>
      <c r="S949" s="1286">
        <v>1E-3</v>
      </c>
      <c r="T949" s="1286">
        <v>1E-3</v>
      </c>
      <c r="U949" s="1284">
        <v>0.03</v>
      </c>
      <c r="V949" s="1286"/>
      <c r="W949" s="1066"/>
      <c r="X949" s="1066"/>
      <c r="Y949" s="1066"/>
      <c r="Z949" s="1066"/>
      <c r="AA949" s="1066"/>
      <c r="AB949" s="1066"/>
      <c r="AC949" s="1066"/>
      <c r="AD949" s="1066"/>
      <c r="AE949" s="1066"/>
      <c r="AF949" s="1066"/>
      <c r="AG949" s="1066"/>
      <c r="AH949" s="1066"/>
      <c r="AI949" s="1066"/>
      <c r="AJ949" s="1066"/>
      <c r="AK949" s="1066"/>
      <c r="AL949" s="1066"/>
      <c r="AM949" s="1066"/>
      <c r="AN949" s="1066"/>
      <c r="AO949" s="1066"/>
      <c r="AP949" s="1066"/>
      <c r="AQ949" s="1066"/>
      <c r="AR949" s="1066"/>
      <c r="AS949" s="1066"/>
      <c r="AT949" s="1066"/>
      <c r="AU949" s="1066"/>
      <c r="AV949" s="1066"/>
      <c r="AW949" s="1066"/>
      <c r="AX949" s="1066"/>
      <c r="AY949" s="1066"/>
      <c r="AZ949" s="1066"/>
      <c r="BA949" s="1066"/>
      <c r="BB949" s="1066"/>
      <c r="BC949" s="1066"/>
      <c r="BD949" s="1066"/>
      <c r="BE949" s="1066"/>
      <c r="BF949" s="1066"/>
      <c r="BG949" s="1066"/>
      <c r="BH949" s="1066"/>
      <c r="BI949" s="1066"/>
      <c r="BJ949" s="1066"/>
      <c r="BK949" s="1066"/>
      <c r="BL949" s="1066"/>
      <c r="BM949" s="1066"/>
      <c r="BN949" s="1066"/>
      <c r="BO949" s="1066"/>
      <c r="BP949" s="1066"/>
      <c r="BQ949" s="1066"/>
      <c r="BR949" s="1066"/>
      <c r="BS949" s="1066"/>
      <c r="BT949" s="1066"/>
      <c r="BU949" s="1066"/>
      <c r="BV949" s="1066"/>
      <c r="BW949" s="1066"/>
      <c r="BX949" s="1066"/>
      <c r="BY949" s="1066"/>
      <c r="BZ949" s="1066"/>
      <c r="CA949" s="1066"/>
      <c r="CB949" s="1066"/>
      <c r="CC949" s="1066"/>
      <c r="CD949" s="1066"/>
      <c r="CE949" s="1066"/>
      <c r="CF949" s="1066"/>
      <c r="CG949" s="1066"/>
      <c r="CH949" s="1066"/>
      <c r="CI949" s="1066"/>
      <c r="CJ949" s="1066"/>
      <c r="CK949" s="1066"/>
      <c r="CL949" s="1066"/>
      <c r="CM949" s="1066"/>
      <c r="CN949" s="1066"/>
      <c r="CO949" s="1066"/>
      <c r="CP949" s="1066"/>
      <c r="CQ949" s="1066"/>
      <c r="CR949" s="1066"/>
      <c r="CS949" s="1066"/>
      <c r="CT949" s="1066"/>
      <c r="CU949" s="1066"/>
      <c r="CV949" s="1066"/>
      <c r="CW949" s="1066"/>
      <c r="CX949" s="1066"/>
      <c r="CY949" s="1066"/>
      <c r="CZ949" s="1066"/>
      <c r="DA949" s="1066"/>
      <c r="DB949" s="1066"/>
      <c r="DC949" s="1066"/>
      <c r="DD949" s="1066"/>
      <c r="DE949" s="1066"/>
      <c r="DF949" s="1066"/>
      <c r="DG949" s="1066"/>
      <c r="DH949" s="1066"/>
      <c r="DI949" s="1066"/>
      <c r="DJ949" s="1066"/>
      <c r="DK949" s="1066"/>
      <c r="DL949" s="1066"/>
      <c r="DM949" s="1066"/>
      <c r="DN949" s="1066"/>
      <c r="DO949" s="1066"/>
      <c r="DP949" s="1066"/>
      <c r="DQ949" s="1066"/>
      <c r="DR949" s="1066"/>
      <c r="DS949" s="1066"/>
      <c r="DT949" s="1066"/>
      <c r="DU949" s="1066"/>
      <c r="DV949" s="1066"/>
      <c r="DW949" s="1066"/>
      <c r="DX949" s="1066"/>
      <c r="DY949" s="1066"/>
      <c r="DZ949" s="1066"/>
      <c r="EA949" s="1066"/>
      <c r="EB949" s="1066"/>
      <c r="EC949" s="1066"/>
      <c r="ED949" s="1066"/>
      <c r="EE949" s="1066"/>
      <c r="EF949" s="1066"/>
      <c r="EG949" s="1066"/>
      <c r="EH949" s="1066"/>
      <c r="EI949" s="1066"/>
      <c r="EJ949" s="1066"/>
      <c r="EK949" s="1066"/>
      <c r="EL949" s="1066"/>
      <c r="EM949" s="1066"/>
      <c r="EN949" s="1066"/>
      <c r="EO949" s="1066"/>
      <c r="EP949" s="1066"/>
      <c r="EQ949" s="1066"/>
      <c r="ER949" s="1066"/>
      <c r="ES949" s="1066"/>
      <c r="ET949" s="1066"/>
      <c r="EU949" s="1066"/>
      <c r="EV949" s="1066"/>
      <c r="EW949" s="1066"/>
      <c r="EX949" s="1066"/>
      <c r="EY949" s="1066"/>
      <c r="EZ949" s="1066"/>
      <c r="FA949" s="1066"/>
      <c r="FB949" s="1066"/>
      <c r="FC949" s="1066"/>
      <c r="FD949" s="1066"/>
      <c r="FE949" s="1066"/>
      <c r="FF949" s="1066"/>
      <c r="FG949" s="1066"/>
      <c r="FH949" s="1066"/>
      <c r="FI949" s="1066"/>
      <c r="FJ949" s="1066"/>
      <c r="FK949" s="1066"/>
      <c r="FL949" s="1066"/>
      <c r="FM949" s="1066"/>
      <c r="FN949" s="1066"/>
      <c r="FO949" s="1066"/>
      <c r="FP949" s="1066"/>
      <c r="FQ949" s="1066"/>
      <c r="FR949" s="1066"/>
      <c r="FS949" s="1066"/>
      <c r="FT949" s="1066"/>
      <c r="FU949" s="1066"/>
      <c r="FV949" s="1066"/>
      <c r="FW949" s="1066"/>
      <c r="FX949" s="1066"/>
      <c r="FY949" s="1066"/>
      <c r="FZ949" s="1066"/>
      <c r="GA949" s="1066"/>
      <c r="GB949" s="1066"/>
      <c r="GC949" s="1066"/>
      <c r="GD949" s="1066"/>
      <c r="GE949" s="1066"/>
      <c r="GF949" s="1066"/>
      <c r="GG949" s="1066"/>
      <c r="GH949" s="1066"/>
      <c r="GI949" s="1066"/>
      <c r="GJ949" s="1066"/>
      <c r="GK949" s="1066"/>
      <c r="GL949" s="1066"/>
      <c r="GM949" s="1066"/>
      <c r="GN949" s="1066"/>
      <c r="GO949" s="1066"/>
      <c r="GP949" s="1066"/>
      <c r="GQ949" s="1066"/>
      <c r="GR949" s="1066"/>
      <c r="GS949" s="1066"/>
      <c r="GT949" s="1066"/>
      <c r="GU949" s="1066"/>
      <c r="GV949" s="1066"/>
      <c r="GW949" s="1066"/>
      <c r="GX949" s="1066"/>
      <c r="GY949" s="1066"/>
      <c r="GZ949" s="1066"/>
      <c r="HA949" s="1066"/>
      <c r="HB949" s="1066"/>
      <c r="HC949" s="1066"/>
      <c r="HD949" s="1066"/>
      <c r="HE949" s="1066"/>
      <c r="HF949" s="1066"/>
      <c r="HG949" s="1066"/>
      <c r="HH949" s="1066"/>
      <c r="HI949" s="1066"/>
      <c r="HJ949" s="1066"/>
      <c r="HK949" s="1066"/>
      <c r="HL949" s="1066"/>
      <c r="HM949" s="1066"/>
      <c r="HN949" s="1066"/>
      <c r="HO949" s="1066"/>
      <c r="HP949" s="1066"/>
      <c r="HQ949" s="1066"/>
      <c r="HR949" s="1066"/>
      <c r="HS949" s="1066"/>
      <c r="HT949" s="1066"/>
      <c r="HU949" s="1066"/>
      <c r="HV949" s="1066"/>
      <c r="HW949" s="1066"/>
      <c r="HX949" s="1066"/>
      <c r="HY949" s="1066"/>
      <c r="HZ949" s="1066"/>
      <c r="IA949" s="1066"/>
      <c r="IB949" s="1066"/>
      <c r="IC949" s="1066"/>
      <c r="ID949" s="1066"/>
      <c r="IE949" s="1066"/>
      <c r="IF949" s="1066"/>
      <c r="IG949" s="1066"/>
      <c r="IH949" s="1066"/>
      <c r="II949" s="1066"/>
      <c r="IJ949" s="1066"/>
      <c r="IK949" s="1066"/>
    </row>
    <row r="950" spans="1:245" s="1279" customFormat="1" x14ac:dyDescent="0.25">
      <c r="A950" s="1118">
        <v>200021</v>
      </c>
      <c r="B950" s="1280" t="str">
        <f t="shared" si="27"/>
        <v>-53,65/+54,71  (EC  54,4)</v>
      </c>
      <c r="C950" s="1119"/>
      <c r="D950" s="1120">
        <v>7.1</v>
      </c>
      <c r="E950" s="1120">
        <v>5.44</v>
      </c>
      <c r="F950" s="1281">
        <v>0.73</v>
      </c>
      <c r="G950" s="1120"/>
      <c r="H950" s="1120">
        <v>0.09</v>
      </c>
      <c r="I950" s="1120">
        <v>1174.528</v>
      </c>
      <c r="J950" s="1120">
        <v>756.03</v>
      </c>
      <c r="K950" s="1120">
        <v>3.0600000000000002E-2</v>
      </c>
      <c r="L950" s="1120">
        <v>292.8</v>
      </c>
      <c r="M950" s="1120"/>
      <c r="N950" s="1120">
        <v>11.88</v>
      </c>
      <c r="O950" s="1120">
        <v>484.08</v>
      </c>
      <c r="P950" s="1282">
        <v>289.12</v>
      </c>
      <c r="Q950" s="1282">
        <v>226.78</v>
      </c>
      <c r="R950" s="1120">
        <v>0.04</v>
      </c>
      <c r="S950" s="1120">
        <v>1E-3</v>
      </c>
      <c r="T950" s="1283">
        <v>1E-3</v>
      </c>
      <c r="U950" s="1120">
        <v>0.05</v>
      </c>
      <c r="V950" s="1120"/>
      <c r="W950" s="25"/>
      <c r="X950" s="2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</row>
    <row r="951" spans="1:245" s="1279" customFormat="1" x14ac:dyDescent="0.25">
      <c r="A951" s="1118">
        <v>200022</v>
      </c>
      <c r="B951" s="1280" t="str">
        <f t="shared" si="27"/>
        <v>-109,12/+110,24  (EC  109,8)</v>
      </c>
      <c r="C951" s="1119"/>
      <c r="D951" s="1120">
        <v>7.1</v>
      </c>
      <c r="E951" s="1120">
        <v>10.98</v>
      </c>
      <c r="F951" s="1281">
        <v>0.8</v>
      </c>
      <c r="G951" s="1120"/>
      <c r="H951" s="1120">
        <v>0.12</v>
      </c>
      <c r="I951" s="1120">
        <v>2883.68</v>
      </c>
      <c r="J951" s="1120">
        <v>821.25</v>
      </c>
      <c r="K951" s="1120">
        <v>6.1200000000000004E-2</v>
      </c>
      <c r="L951" s="1120">
        <v>656.8</v>
      </c>
      <c r="M951" s="1120"/>
      <c r="N951" s="1120">
        <v>19</v>
      </c>
      <c r="O951" s="1120">
        <v>1264.8</v>
      </c>
      <c r="P951" s="1120">
        <v>653.39</v>
      </c>
      <c r="Q951" s="1120">
        <v>264.95</v>
      </c>
      <c r="R951" s="1120">
        <v>1E-3</v>
      </c>
      <c r="S951" s="1120">
        <v>1E-3</v>
      </c>
      <c r="T951" s="1120">
        <v>0.05</v>
      </c>
      <c r="U951" s="1120">
        <v>0.13</v>
      </c>
      <c r="V951" s="1120"/>
      <c r="W951" s="25"/>
      <c r="X951" s="2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</row>
    <row r="952" spans="1:245" s="1279" customFormat="1" x14ac:dyDescent="0.25">
      <c r="A952" s="1118">
        <v>200023</v>
      </c>
      <c r="B952" s="1280" t="str">
        <f t="shared" si="27"/>
        <v>-103,16/+104,08  (EC  104,5)</v>
      </c>
      <c r="C952" s="1119"/>
      <c r="D952" s="1120">
        <v>7.9</v>
      </c>
      <c r="E952" s="1120">
        <v>10.45</v>
      </c>
      <c r="F952" s="1281">
        <v>0.6</v>
      </c>
      <c r="G952" s="1120"/>
      <c r="H952" s="1120">
        <v>0.1</v>
      </c>
      <c r="I952" s="1120">
        <v>2842.08</v>
      </c>
      <c r="J952" s="1120">
        <v>830.25</v>
      </c>
      <c r="K952" s="1120">
        <v>3.0600000000000002E-2</v>
      </c>
      <c r="L952" s="1120">
        <v>353.6</v>
      </c>
      <c r="M952" s="1120"/>
      <c r="N952" s="1120">
        <v>41.61</v>
      </c>
      <c r="O952" s="1120">
        <v>1276.3</v>
      </c>
      <c r="P952" s="1120">
        <v>649.97</v>
      </c>
      <c r="Q952" s="1120">
        <v>180.19</v>
      </c>
      <c r="R952" s="1120">
        <v>0.03</v>
      </c>
      <c r="S952" s="1120">
        <v>1E-3</v>
      </c>
      <c r="T952" s="1120">
        <v>0.01</v>
      </c>
      <c r="U952" s="1120">
        <v>0.09</v>
      </c>
      <c r="V952" s="1120"/>
      <c r="W952" s="25"/>
      <c r="X952" s="2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</row>
    <row r="953" spans="1:245" s="1279" customFormat="1" x14ac:dyDescent="0.25">
      <c r="A953" s="1118">
        <v>200024</v>
      </c>
      <c r="B953" s="1280" t="str">
        <f t="shared" si="27"/>
        <v>-16,00/+16,54  (EC  17,2)</v>
      </c>
      <c r="C953" s="1119"/>
      <c r="D953" s="1120">
        <v>7.3</v>
      </c>
      <c r="E953" s="1120">
        <v>1.72</v>
      </c>
      <c r="F953" s="1281">
        <v>101.94</v>
      </c>
      <c r="G953" s="1120"/>
      <c r="H953" s="1120">
        <v>0.12</v>
      </c>
      <c r="I953" s="1120">
        <v>290.63200000000001</v>
      </c>
      <c r="J953" s="1120">
        <v>18.3</v>
      </c>
      <c r="K953" s="1120">
        <v>9.1799999999999993E-2</v>
      </c>
      <c r="L953" s="1120">
        <v>352.8</v>
      </c>
      <c r="M953" s="1120"/>
      <c r="N953" s="1120">
        <v>4.3</v>
      </c>
      <c r="O953" s="1120">
        <v>97.27</v>
      </c>
      <c r="P953" s="1120">
        <v>209.04</v>
      </c>
      <c r="Q953" s="1120">
        <v>20.93</v>
      </c>
      <c r="R953" s="1120"/>
      <c r="S953" s="1120"/>
      <c r="T953" s="1120"/>
      <c r="U953" s="1120"/>
      <c r="V953" s="1120"/>
      <c r="W953" s="25"/>
      <c r="X953" s="2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</row>
    <row r="954" spans="1:245" s="1279" customFormat="1" x14ac:dyDescent="0.25">
      <c r="A954" s="1118">
        <v>200025</v>
      </c>
      <c r="B954" s="1280" t="str">
        <f t="shared" si="27"/>
        <v>-12,37/+12,35  (EC  12,3)</v>
      </c>
      <c r="C954" s="1119"/>
      <c r="D954" s="1120">
        <v>7.3</v>
      </c>
      <c r="E954" s="1120">
        <v>1.23</v>
      </c>
      <c r="F954" s="1281">
        <v>64.78</v>
      </c>
      <c r="G954" s="1120"/>
      <c r="H954" s="1120">
        <v>0.16</v>
      </c>
      <c r="I954" s="1120">
        <v>240.352</v>
      </c>
      <c r="J954" s="1120">
        <v>52.38</v>
      </c>
      <c r="K954" s="1120">
        <v>6.1200000000000004E-2</v>
      </c>
      <c r="L954" s="1120">
        <v>211.20000000000002</v>
      </c>
      <c r="M954" s="1120"/>
      <c r="N954" s="1120">
        <v>0.71</v>
      </c>
      <c r="O954" s="1120">
        <v>87.72</v>
      </c>
      <c r="P954" s="1120">
        <v>148.5</v>
      </c>
      <c r="Q954" s="1120">
        <v>12.98</v>
      </c>
      <c r="R954" s="1120"/>
      <c r="S954" s="1120"/>
      <c r="T954" s="1120"/>
      <c r="U954" s="1120"/>
      <c r="V954" s="1120"/>
      <c r="W954" s="25"/>
      <c r="X954" s="2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</row>
    <row r="955" spans="1:245" s="1279" customFormat="1" x14ac:dyDescent="0.25">
      <c r="A955" s="1118">
        <v>200026</v>
      </c>
      <c r="B955" s="1280" t="str">
        <f t="shared" si="27"/>
        <v>-6,85/+7,04  (EC  7,18)</v>
      </c>
      <c r="C955" s="1119"/>
      <c r="D955" s="1120">
        <v>7.5</v>
      </c>
      <c r="E955" s="1120">
        <v>0.71799999999999997</v>
      </c>
      <c r="F955" s="1281">
        <v>100.81</v>
      </c>
      <c r="G955" s="1120"/>
      <c r="H955" s="1120">
        <v>0.09</v>
      </c>
      <c r="I955" s="1120">
        <v>60.352000000000004</v>
      </c>
      <c r="J955" s="1120">
        <v>35.29</v>
      </c>
      <c r="K955" s="1120">
        <v>3.0600000000000002E-2</v>
      </c>
      <c r="L955" s="1120">
        <v>170.4</v>
      </c>
      <c r="M955" s="1120"/>
      <c r="N955" s="1120">
        <v>1.95</v>
      </c>
      <c r="O955" s="1120">
        <v>37.72</v>
      </c>
      <c r="P955" s="1120">
        <v>94.53</v>
      </c>
      <c r="Q955" s="1120">
        <v>7.42</v>
      </c>
      <c r="R955" s="1120"/>
      <c r="S955" s="1120"/>
      <c r="T955" s="1120"/>
      <c r="U955" s="1120"/>
      <c r="V955" s="1120"/>
      <c r="W955" s="25"/>
      <c r="X955" s="2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</row>
    <row r="956" spans="1:245" s="1279" customFormat="1" x14ac:dyDescent="0.25">
      <c r="A956" s="1118">
        <v>200027</v>
      </c>
      <c r="B956" s="1280" t="str">
        <f t="shared" si="27"/>
        <v>-12,48/+12,21  (EC  11,4)</v>
      </c>
      <c r="C956" s="1119"/>
      <c r="D956" s="1120">
        <v>7.3</v>
      </c>
      <c r="E956" s="1120">
        <v>1.1399999999999999</v>
      </c>
      <c r="F956" s="1281">
        <v>102.36</v>
      </c>
      <c r="G956" s="1120"/>
      <c r="H956" s="1120">
        <v>0.11</v>
      </c>
      <c r="I956" s="1120">
        <v>171.04000000000002</v>
      </c>
      <c r="J956" s="1120">
        <v>71.260000000000005</v>
      </c>
      <c r="K956" s="1120">
        <v>6.1200000000000004E-2</v>
      </c>
      <c r="L956" s="1120">
        <v>276</v>
      </c>
      <c r="M956" s="1120"/>
      <c r="N956" s="1120">
        <v>0.79</v>
      </c>
      <c r="O956" s="1120">
        <v>106.9</v>
      </c>
      <c r="P956" s="1120">
        <v>129.37</v>
      </c>
      <c r="Q956" s="1120">
        <v>12.82</v>
      </c>
      <c r="R956" s="1120"/>
      <c r="S956" s="1120"/>
      <c r="T956" s="1120"/>
      <c r="U956" s="1120"/>
      <c r="V956" s="1120"/>
      <c r="W956" s="25"/>
      <c r="X956" s="2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</row>
    <row r="957" spans="1:245" s="1279" customFormat="1" x14ac:dyDescent="0.25">
      <c r="A957" s="1118">
        <v>200028</v>
      </c>
      <c r="B957" s="1280" t="str">
        <f t="shared" si="27"/>
        <v>-30,61/+30,87  (EC  29,5)</v>
      </c>
      <c r="C957" s="1119"/>
      <c r="D957" s="1120">
        <v>7.4</v>
      </c>
      <c r="E957" s="1120">
        <v>2.95</v>
      </c>
      <c r="F957" s="1281">
        <v>38.71</v>
      </c>
      <c r="G957" s="1120"/>
      <c r="H957" s="1120">
        <v>0.12</v>
      </c>
      <c r="I957" s="1120">
        <v>660.67200000000003</v>
      </c>
      <c r="J957" s="1120">
        <v>328.9</v>
      </c>
      <c r="K957" s="1120">
        <v>6.1200000000000004E-2</v>
      </c>
      <c r="L957" s="1120">
        <v>276</v>
      </c>
      <c r="M957" s="1120"/>
      <c r="N957" s="1120">
        <v>2.74</v>
      </c>
      <c r="O957" s="1120">
        <v>412.92</v>
      </c>
      <c r="P957" s="1120">
        <v>149.99</v>
      </c>
      <c r="Q957" s="1120">
        <v>64.010000000000005</v>
      </c>
      <c r="R957" s="1120">
        <v>0.03</v>
      </c>
      <c r="S957" s="1120">
        <v>1E-3</v>
      </c>
      <c r="T957" s="1283">
        <v>1E-3</v>
      </c>
      <c r="U957" s="1120">
        <v>0.02</v>
      </c>
      <c r="V957" s="1120"/>
      <c r="W957" s="25"/>
      <c r="X957" s="2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</row>
    <row r="958" spans="1:245" s="1279" customFormat="1" x14ac:dyDescent="0.25">
      <c r="A958" s="1118">
        <v>200029</v>
      </c>
      <c r="B958" s="1280" t="str">
        <f t="shared" si="27"/>
        <v>-10,71/+11,69  (EC  10,6)</v>
      </c>
      <c r="C958" s="1119"/>
      <c r="D958" s="1120">
        <v>7.4</v>
      </c>
      <c r="E958" s="1120">
        <v>1.06</v>
      </c>
      <c r="F958" s="1281">
        <v>28.32</v>
      </c>
      <c r="G958" s="1120"/>
      <c r="H958" s="1120">
        <v>0.12</v>
      </c>
      <c r="I958" s="1120">
        <v>196.416</v>
      </c>
      <c r="J958" s="1120">
        <v>39.409999999999997</v>
      </c>
      <c r="K958" s="1120">
        <v>9.1799999999999993E-2</v>
      </c>
      <c r="L958" s="1120">
        <v>237.60000000000002</v>
      </c>
      <c r="M958" s="1120"/>
      <c r="N958" s="1120">
        <v>1.9</v>
      </c>
      <c r="O958" s="1120">
        <v>85.26</v>
      </c>
      <c r="P958" s="1120">
        <v>85.03</v>
      </c>
      <c r="Q958" s="1120">
        <v>44.15</v>
      </c>
      <c r="R958" s="1120">
        <v>0.14000000000000001</v>
      </c>
      <c r="S958" s="1120">
        <v>1E-3</v>
      </c>
      <c r="T958" s="1283">
        <v>1E-3</v>
      </c>
      <c r="U958" s="1120">
        <v>0.01</v>
      </c>
      <c r="V958" s="1120"/>
      <c r="W958" s="25"/>
      <c r="X958" s="2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</row>
    <row r="959" spans="1:245" s="1279" customFormat="1" x14ac:dyDescent="0.25">
      <c r="A959" s="1118">
        <v>200030</v>
      </c>
      <c r="B959" s="1280" t="str">
        <f t="shared" si="27"/>
        <v>-1,86/+2,35  (EC  1,6)</v>
      </c>
      <c r="C959" s="1119"/>
      <c r="D959" s="1120">
        <v>6.9</v>
      </c>
      <c r="E959" s="1120">
        <v>0.16</v>
      </c>
      <c r="F959" s="1281">
        <v>3.02</v>
      </c>
      <c r="G959" s="1120"/>
      <c r="H959" s="1120">
        <v>7.0000000000000007E-2</v>
      </c>
      <c r="I959" s="1120">
        <v>11.856000000000002</v>
      </c>
      <c r="J959" s="1120">
        <v>10.19</v>
      </c>
      <c r="K959" s="1120">
        <v>0.15300000000000002</v>
      </c>
      <c r="L959" s="1120">
        <v>76.8</v>
      </c>
      <c r="M959" s="1120"/>
      <c r="N959" s="1120">
        <v>1.33</v>
      </c>
      <c r="O959" s="1120">
        <v>7.41</v>
      </c>
      <c r="P959" s="1120">
        <v>19.760000000000002</v>
      </c>
      <c r="Q959" s="1120">
        <v>12.01</v>
      </c>
      <c r="R959" s="1120">
        <v>0.01</v>
      </c>
      <c r="S959" s="1120">
        <v>1E-3</v>
      </c>
      <c r="T959" s="1283">
        <v>1E-3</v>
      </c>
      <c r="U959" s="1120">
        <v>0.02</v>
      </c>
      <c r="V959" s="1120">
        <v>0.02</v>
      </c>
      <c r="W959" s="25"/>
      <c r="X959" s="2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</row>
    <row r="960" spans="1:245" s="1279" customFormat="1" x14ac:dyDescent="0.25">
      <c r="A960" s="1118">
        <v>200031</v>
      </c>
      <c r="B960" s="1280" t="str">
        <f t="shared" si="27"/>
        <v>-11,50/+12,36  (EC  11)</v>
      </c>
      <c r="C960" s="1119"/>
      <c r="D960" s="1120">
        <v>7.5</v>
      </c>
      <c r="E960" s="1120">
        <v>1.1000000000000001</v>
      </c>
      <c r="F960" s="1281">
        <v>0.3</v>
      </c>
      <c r="G960" s="1120"/>
      <c r="H960" s="1120">
        <v>0.22</v>
      </c>
      <c r="I960" s="1120">
        <v>109.79200000000002</v>
      </c>
      <c r="J960" s="1120">
        <v>140.80000000000001</v>
      </c>
      <c r="K960" s="1120">
        <v>6.1200000000000004E-2</v>
      </c>
      <c r="L960" s="1120">
        <v>333.6</v>
      </c>
      <c r="M960" s="1120"/>
      <c r="N960" s="1120">
        <v>1.67</v>
      </c>
      <c r="O960" s="1120">
        <v>68.62</v>
      </c>
      <c r="P960" s="1120">
        <v>72.2</v>
      </c>
      <c r="Q960" s="1120">
        <v>68.45</v>
      </c>
      <c r="R960" s="1120">
        <v>0.01</v>
      </c>
      <c r="S960" s="1120">
        <v>1E-3</v>
      </c>
      <c r="T960" s="1120">
        <v>0.82</v>
      </c>
      <c r="U960" s="1120">
        <v>0.02</v>
      </c>
      <c r="V960" s="1120"/>
      <c r="W960" s="25"/>
      <c r="X960" s="2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</row>
    <row r="961" spans="1:245" s="1279" customFormat="1" x14ac:dyDescent="0.25">
      <c r="A961" s="1118">
        <v>200032</v>
      </c>
      <c r="B961" s="1280" t="str">
        <f t="shared" si="27"/>
        <v>-23,12/+24,05  (EC  24,2)</v>
      </c>
      <c r="C961" s="1119"/>
      <c r="D961" s="1120">
        <v>8</v>
      </c>
      <c r="E961" s="1120">
        <v>2.42</v>
      </c>
      <c r="F961" s="1281">
        <v>0.5</v>
      </c>
      <c r="G961" s="1120"/>
      <c r="H961" s="1120">
        <v>7.0000000000000007E-2</v>
      </c>
      <c r="I961" s="1120">
        <v>568.03200000000004</v>
      </c>
      <c r="J961" s="1120">
        <v>157.94999999999999</v>
      </c>
      <c r="K961" s="1120">
        <v>9.1799999999999993E-2</v>
      </c>
      <c r="L961" s="1120">
        <v>232.8</v>
      </c>
      <c r="M961" s="1120"/>
      <c r="N961" s="1120">
        <v>6.89</v>
      </c>
      <c r="O961" s="1120">
        <v>355.02</v>
      </c>
      <c r="P961" s="1120">
        <v>81.19</v>
      </c>
      <c r="Q961" s="1120">
        <v>52.52</v>
      </c>
      <c r="R961" s="1283">
        <v>1E-3</v>
      </c>
      <c r="S961" s="1120">
        <v>1E-3</v>
      </c>
      <c r="T961" s="1120">
        <v>0.01</v>
      </c>
      <c r="U961" s="1120">
        <v>0.25</v>
      </c>
      <c r="V961" s="1120"/>
      <c r="W961" s="25"/>
      <c r="X961" s="2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</row>
    <row r="962" spans="1:245" s="1279" customFormat="1" x14ac:dyDescent="0.25">
      <c r="A962" s="1118">
        <v>200033</v>
      </c>
      <c r="B962" s="1280" t="str">
        <f t="shared" si="27"/>
        <v>-63,00/+63,25  (EC  64,8)</v>
      </c>
      <c r="C962" s="1119"/>
      <c r="D962" s="1120">
        <v>8</v>
      </c>
      <c r="E962" s="1120">
        <v>6.48</v>
      </c>
      <c r="F962" s="1281">
        <v>0.2</v>
      </c>
      <c r="G962" s="1120"/>
      <c r="H962" s="1120">
        <v>0.91</v>
      </c>
      <c r="I962" s="1120">
        <v>1883.7439999999999</v>
      </c>
      <c r="J962" s="1120">
        <v>299.35000000000002</v>
      </c>
      <c r="K962" s="1120">
        <v>9.1799999999999993E-2</v>
      </c>
      <c r="L962" s="1120">
        <v>225.60000000000002</v>
      </c>
      <c r="M962" s="1120"/>
      <c r="N962" s="1120">
        <v>16.260000000000002</v>
      </c>
      <c r="O962" s="1120">
        <v>1177.3399999999999</v>
      </c>
      <c r="P962" s="1120">
        <v>130.61000000000001</v>
      </c>
      <c r="Q962" s="1120">
        <v>60.55</v>
      </c>
      <c r="R962" s="1283">
        <v>1E-3</v>
      </c>
      <c r="S962" s="1120">
        <v>1E-3</v>
      </c>
      <c r="T962" s="1120">
        <v>0.02</v>
      </c>
      <c r="U962" s="1120">
        <v>0.23</v>
      </c>
      <c r="V962" s="1120"/>
      <c r="W962" s="25"/>
      <c r="X962" s="2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</row>
    <row r="963" spans="1:245" s="1057" customFormat="1" x14ac:dyDescent="0.25">
      <c r="A963" s="1275">
        <v>202002</v>
      </c>
      <c r="B963" s="1014" t="str">
        <f t="shared" si="27"/>
        <v>-4,97/+4,82  (EC  5,26)</v>
      </c>
      <c r="C963" s="1055"/>
      <c r="D963" s="1048">
        <v>5.8</v>
      </c>
      <c r="E963" s="1048">
        <v>0.52600000000000002</v>
      </c>
      <c r="F963" s="1277">
        <v>1.2</v>
      </c>
      <c r="G963" s="1277"/>
      <c r="H963" s="1277">
        <v>2.16</v>
      </c>
      <c r="I963" s="1277">
        <v>20.896000000000001</v>
      </c>
      <c r="J963" s="1277">
        <v>91.85</v>
      </c>
      <c r="K963" s="1277">
        <v>142.3818</v>
      </c>
      <c r="L963" s="1277">
        <v>60</v>
      </c>
      <c r="M963" s="1277"/>
      <c r="N963" s="1277">
        <v>25.76</v>
      </c>
      <c r="O963" s="1277">
        <v>13.06</v>
      </c>
      <c r="P963" s="1277">
        <v>29.07</v>
      </c>
      <c r="Q963" s="1277">
        <v>23.8</v>
      </c>
      <c r="R963" s="1277">
        <v>0.17</v>
      </c>
      <c r="S963" s="1277">
        <v>0.03</v>
      </c>
      <c r="T963" s="1277">
        <v>0.1</v>
      </c>
      <c r="U963" s="1277">
        <v>1.32</v>
      </c>
      <c r="V963" s="1277">
        <v>0.05</v>
      </c>
      <c r="W963" s="25"/>
      <c r="X963" s="2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</row>
    <row r="964" spans="1:245" s="1057" customFormat="1" x14ac:dyDescent="0.25">
      <c r="A964" s="1275">
        <v>202003</v>
      </c>
      <c r="B964" s="1014" t="str">
        <f t="shared" si="27"/>
        <v>-11,86/+11,09  (EC  10,23)</v>
      </c>
      <c r="C964" s="1055"/>
      <c r="D964" s="1048">
        <v>5.6</v>
      </c>
      <c r="E964" s="1048">
        <v>1.0229999999999999</v>
      </c>
      <c r="F964" s="1277">
        <v>0.6</v>
      </c>
      <c r="G964" s="1277"/>
      <c r="H964" s="1277">
        <v>0.3</v>
      </c>
      <c r="I964" s="1277">
        <v>53.984000000000009</v>
      </c>
      <c r="J964" s="1277">
        <v>301</v>
      </c>
      <c r="K964" s="1277">
        <v>309.95979999999997</v>
      </c>
      <c r="L964" s="1277">
        <v>52.8</v>
      </c>
      <c r="M964" s="1277"/>
      <c r="N964" s="1277">
        <v>40.44</v>
      </c>
      <c r="O964" s="1277">
        <v>33.74</v>
      </c>
      <c r="P964" s="1277">
        <v>78.14</v>
      </c>
      <c r="Q964" s="1277">
        <v>55.84</v>
      </c>
      <c r="R964" s="1277">
        <v>0.04</v>
      </c>
      <c r="S964" s="1277">
        <v>0.03</v>
      </c>
      <c r="T964" s="1277">
        <v>0.03</v>
      </c>
      <c r="U964" s="1277">
        <v>0.74</v>
      </c>
      <c r="V964" s="1277">
        <v>0.02</v>
      </c>
      <c r="W964" s="25"/>
      <c r="X964" s="2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</row>
    <row r="965" spans="1:245" s="1057" customFormat="1" x14ac:dyDescent="0.25">
      <c r="A965" s="1275">
        <v>202004</v>
      </c>
      <c r="B965" s="1014" t="str">
        <f t="shared" si="27"/>
        <v>-5,63/+5,08  (EC  5,71)</v>
      </c>
      <c r="C965" s="1055"/>
      <c r="D965" s="1048">
        <v>5.5</v>
      </c>
      <c r="E965" s="1048">
        <v>0.57099999999999995</v>
      </c>
      <c r="F965" s="1277">
        <v>0.4</v>
      </c>
      <c r="G965" s="1277"/>
      <c r="H965" s="1277">
        <v>2.21</v>
      </c>
      <c r="I965" s="1277">
        <v>21.824000000000002</v>
      </c>
      <c r="J965" s="1277">
        <v>110.89</v>
      </c>
      <c r="K965" s="1277">
        <v>162.05760000000001</v>
      </c>
      <c r="L965" s="1277">
        <v>62.400000000000006</v>
      </c>
      <c r="M965" s="1277"/>
      <c r="N965" s="1277">
        <v>29.89</v>
      </c>
      <c r="O965" s="1277">
        <v>13.64</v>
      </c>
      <c r="P965" s="1277">
        <v>29.64</v>
      </c>
      <c r="Q965" s="1277">
        <v>24.93</v>
      </c>
      <c r="R965" s="1277">
        <v>0.18</v>
      </c>
      <c r="S965" s="1277">
        <v>0.03</v>
      </c>
      <c r="T965" s="1277">
        <v>0.11</v>
      </c>
      <c r="U965" s="1277">
        <v>1.29</v>
      </c>
      <c r="V965" s="1277">
        <v>0.05</v>
      </c>
      <c r="W965" s="25"/>
      <c r="X965" s="2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</row>
    <row r="966" spans="1:245" s="1057" customFormat="1" x14ac:dyDescent="0.25">
      <c r="A966" s="1275">
        <v>202005</v>
      </c>
      <c r="B966" s="1014" t="str">
        <f t="shared" si="27"/>
        <v>-15,46/+14,82  (EC  14,99)</v>
      </c>
      <c r="C966" s="1055"/>
      <c r="D966" s="1048">
        <v>5.0999999999999996</v>
      </c>
      <c r="E966" s="1048">
        <v>1.4990000000000001</v>
      </c>
      <c r="F966" s="1277">
        <v>0.5</v>
      </c>
      <c r="G966" s="1277"/>
      <c r="H966" s="1277">
        <v>0.38</v>
      </c>
      <c r="I966" s="1277">
        <v>98.832000000000008</v>
      </c>
      <c r="J966" s="1277">
        <v>320</v>
      </c>
      <c r="K966" s="1277">
        <v>501.75479999999999</v>
      </c>
      <c r="L966" s="1277">
        <v>50.400000000000006</v>
      </c>
      <c r="M966" s="1277"/>
      <c r="N966" s="1277">
        <v>44.17</v>
      </c>
      <c r="O966" s="1277">
        <v>61.77</v>
      </c>
      <c r="P966" s="1278">
        <v>87.23</v>
      </c>
      <c r="Q966" s="1278">
        <v>79.319999999999993</v>
      </c>
      <c r="R966" s="1277">
        <v>0.14000000000000001</v>
      </c>
      <c r="S966" s="1277">
        <v>0.01</v>
      </c>
      <c r="T966" s="1277">
        <v>0.04</v>
      </c>
      <c r="U966" s="1277">
        <v>0.96</v>
      </c>
      <c r="V966" s="1277">
        <v>0.05</v>
      </c>
      <c r="W966" s="25"/>
      <c r="X966" s="2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</row>
    <row r="967" spans="1:245" s="1294" customFormat="1" x14ac:dyDescent="0.25">
      <c r="A967" s="1295">
        <v>200034</v>
      </c>
      <c r="B967" s="1302" t="str">
        <f t="shared" si="27"/>
        <v>-74,10/+75,14  (EC  75)</v>
      </c>
      <c r="C967" s="1296"/>
      <c r="D967" s="1297">
        <v>6.97</v>
      </c>
      <c r="E967" s="1297">
        <v>7.5</v>
      </c>
      <c r="F967" s="1297">
        <v>0.66</v>
      </c>
      <c r="G967" s="1297"/>
      <c r="H967" s="1297">
        <v>0.03</v>
      </c>
      <c r="I967" s="1297">
        <v>2293.3200000000002</v>
      </c>
      <c r="J967" s="1297">
        <v>164.8</v>
      </c>
      <c r="K967" s="1297">
        <v>1E-3</v>
      </c>
      <c r="L967" s="1297">
        <v>369.6</v>
      </c>
      <c r="M967" s="1297">
        <v>0</v>
      </c>
      <c r="N967" s="1297">
        <v>44.29</v>
      </c>
      <c r="O967" s="1297">
        <v>915.77</v>
      </c>
      <c r="P967" s="1297">
        <v>313.83999999999997</v>
      </c>
      <c r="Q967" s="1297">
        <v>221.93</v>
      </c>
      <c r="R967" s="1297">
        <v>0.05</v>
      </c>
      <c r="S967" s="1297">
        <v>1E-3</v>
      </c>
      <c r="T967" s="1297">
        <v>0.14000000000000001</v>
      </c>
      <c r="U967" s="1297">
        <v>0.05</v>
      </c>
      <c r="V967" s="1297"/>
      <c r="W967" s="25"/>
      <c r="X967" s="2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</row>
    <row r="968" spans="1:245" s="1294" customFormat="1" x14ac:dyDescent="0.25">
      <c r="A968" s="1295">
        <v>200035</v>
      </c>
      <c r="B968" s="1302" t="str">
        <f t="shared" si="27"/>
        <v>-23,51/+23,46  (EC  22)</v>
      </c>
      <c r="C968" s="1296"/>
      <c r="D968" s="1297">
        <v>7.53</v>
      </c>
      <c r="E968" s="1297">
        <v>2.2000000000000002</v>
      </c>
      <c r="F968" s="1297">
        <v>2.98</v>
      </c>
      <c r="G968" s="1297"/>
      <c r="H968" s="1297">
        <v>0.09</v>
      </c>
      <c r="I968" s="1297">
        <v>524.88</v>
      </c>
      <c r="J968" s="1297">
        <v>218.2</v>
      </c>
      <c r="K968" s="1297">
        <v>1E-3</v>
      </c>
      <c r="L968" s="1297">
        <v>252</v>
      </c>
      <c r="M968" s="1297">
        <v>0</v>
      </c>
      <c r="N968" s="1297">
        <v>4.21</v>
      </c>
      <c r="O968" s="1297">
        <v>328.05</v>
      </c>
      <c r="P968" s="1297">
        <v>102.06</v>
      </c>
      <c r="Q968" s="1297">
        <v>47.74</v>
      </c>
      <c r="R968" s="1297">
        <v>1E-3</v>
      </c>
      <c r="S968" s="1297">
        <v>1E-4</v>
      </c>
      <c r="T968" s="1297">
        <v>1E-3</v>
      </c>
      <c r="U968" s="1297">
        <v>0.05</v>
      </c>
      <c r="V968" s="1297"/>
      <c r="W968" s="25"/>
      <c r="X968" s="2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</row>
    <row r="969" spans="1:245" x14ac:dyDescent="0.25">
      <c r="A969" s="1295">
        <v>200036</v>
      </c>
      <c r="B969" s="1302" t="str">
        <f t="shared" si="27"/>
        <v>-19,60/+19,32  (EC  18,7)</v>
      </c>
      <c r="C969" s="1296"/>
      <c r="D969" s="1297">
        <v>7.6</v>
      </c>
      <c r="E969" s="1297">
        <v>1.87</v>
      </c>
      <c r="F969" s="1297">
        <v>26.81</v>
      </c>
      <c r="G969" s="1297"/>
      <c r="H969" s="1297">
        <v>0.09</v>
      </c>
      <c r="I969" s="1297">
        <v>376.27199999999999</v>
      </c>
      <c r="J969" s="1297">
        <v>116.75</v>
      </c>
      <c r="K969" s="1297">
        <v>1E-3</v>
      </c>
      <c r="L969" s="1297">
        <v>374.4</v>
      </c>
      <c r="M969" s="1297">
        <v>0</v>
      </c>
      <c r="N969" s="1297">
        <v>2.6</v>
      </c>
      <c r="O969" s="1297">
        <v>235.17</v>
      </c>
      <c r="P969" s="1297">
        <v>94.19</v>
      </c>
      <c r="Q969" s="1297">
        <v>51.7</v>
      </c>
      <c r="R969" s="1297">
        <v>0.02</v>
      </c>
      <c r="S969" s="1297">
        <v>1E-3</v>
      </c>
      <c r="T969" s="1297">
        <v>1E-3</v>
      </c>
      <c r="U969" s="1297">
        <v>0.01</v>
      </c>
      <c r="V969" s="1297"/>
      <c r="W969" s="25"/>
      <c r="X969" s="25"/>
    </row>
    <row r="970" spans="1:245" x14ac:dyDescent="0.25">
      <c r="A970" s="1295">
        <v>200037</v>
      </c>
      <c r="B970" s="1302" t="str">
        <f t="shared" si="27"/>
        <v>-9,71/+10,37  (EC  9,4)</v>
      </c>
      <c r="C970" s="1296"/>
      <c r="D970" s="1297">
        <v>8.17</v>
      </c>
      <c r="E970" s="1297">
        <v>0.94</v>
      </c>
      <c r="F970" s="1297">
        <v>16.34</v>
      </c>
      <c r="G970" s="1297"/>
      <c r="H970" s="1297">
        <v>0.03</v>
      </c>
      <c r="I970" s="1297">
        <v>34.095999999999997</v>
      </c>
      <c r="J970" s="1297">
        <v>118.46</v>
      </c>
      <c r="K970" s="1297">
        <v>1E-3</v>
      </c>
      <c r="L970" s="1297">
        <v>367.20000000000005</v>
      </c>
      <c r="M970" s="1297">
        <v>0</v>
      </c>
      <c r="N970" s="1297">
        <v>1.65</v>
      </c>
      <c r="O970" s="1297">
        <v>21.31</v>
      </c>
      <c r="P970" s="1297">
        <v>92.42</v>
      </c>
      <c r="Q970" s="1297">
        <v>57.39</v>
      </c>
      <c r="R970" s="1297">
        <v>1E-3</v>
      </c>
      <c r="S970" s="1297">
        <v>1E-3</v>
      </c>
      <c r="T970" s="1297">
        <v>1E-3</v>
      </c>
      <c r="U970" s="1297">
        <v>1E-3</v>
      </c>
      <c r="V970" s="1297"/>
      <c r="W970" s="25"/>
      <c r="X970" s="25"/>
    </row>
    <row r="971" spans="1:245" x14ac:dyDescent="0.25">
      <c r="A971" s="1295">
        <v>200038</v>
      </c>
      <c r="B971" s="1302" t="str">
        <f t="shared" si="27"/>
        <v>-8,00/+8,42  (EC  8)</v>
      </c>
      <c r="C971" s="1296"/>
      <c r="D971" s="1297">
        <v>7.93</v>
      </c>
      <c r="E971" s="1297">
        <v>0.8</v>
      </c>
      <c r="F971" s="1297">
        <v>12.71</v>
      </c>
      <c r="G971" s="1297"/>
      <c r="H971" s="1297">
        <v>7.0000000000000007E-2</v>
      </c>
      <c r="I971" s="1297">
        <v>52.304000000000002</v>
      </c>
      <c r="J971" s="1297">
        <v>59.88</v>
      </c>
      <c r="K971" s="1297">
        <v>1E-3</v>
      </c>
      <c r="L971" s="1297">
        <v>309.60000000000002</v>
      </c>
      <c r="M971" s="1297">
        <v>0</v>
      </c>
      <c r="N971" s="1297">
        <v>3.12</v>
      </c>
      <c r="O971" s="1297">
        <v>32.69</v>
      </c>
      <c r="P971" s="1297">
        <v>67.17</v>
      </c>
      <c r="Q971" s="1297">
        <v>42.7</v>
      </c>
      <c r="R971" s="1297">
        <v>1E-3</v>
      </c>
      <c r="S971" s="1297">
        <v>1E-3</v>
      </c>
      <c r="T971" s="1297">
        <v>1E-3</v>
      </c>
      <c r="U971" s="1297">
        <v>1E-3</v>
      </c>
      <c r="V971" s="1297"/>
      <c r="W971" s="25"/>
      <c r="X971" s="25"/>
    </row>
    <row r="972" spans="1:245" x14ac:dyDescent="0.25">
      <c r="A972" s="1295">
        <v>200039</v>
      </c>
      <c r="B972" s="1302" t="str">
        <f t="shared" si="27"/>
        <v>-7,90/+9,48  (EC  8,03)</v>
      </c>
      <c r="C972" s="1296"/>
      <c r="D972" s="1297">
        <v>7.56</v>
      </c>
      <c r="E972" s="1297">
        <v>0.80300000000000005</v>
      </c>
      <c r="F972" s="1297">
        <v>31.01</v>
      </c>
      <c r="G972" s="1297"/>
      <c r="H972" s="1297">
        <v>0.08</v>
      </c>
      <c r="I972" s="1297">
        <v>36.624000000000002</v>
      </c>
      <c r="J972" s="1297">
        <v>26.26</v>
      </c>
      <c r="K972" s="1297">
        <v>1E-3</v>
      </c>
      <c r="L972" s="1297">
        <v>355.20000000000005</v>
      </c>
      <c r="M972" s="1297">
        <v>0</v>
      </c>
      <c r="N972" s="1297">
        <v>1.98</v>
      </c>
      <c r="O972" s="1297">
        <v>22.89</v>
      </c>
      <c r="P972" s="1297">
        <v>87.04</v>
      </c>
      <c r="Q972" s="1297">
        <v>48.94</v>
      </c>
      <c r="R972" s="1297">
        <v>1E-3</v>
      </c>
      <c r="S972" s="1297">
        <v>1E-3</v>
      </c>
      <c r="T972" s="1297">
        <v>0.03</v>
      </c>
      <c r="U972" s="1297">
        <v>0.08</v>
      </c>
      <c r="V972" s="1297"/>
    </row>
    <row r="973" spans="1:245" x14ac:dyDescent="0.25">
      <c r="A973" s="1295">
        <v>200040</v>
      </c>
      <c r="B973" s="1302" t="str">
        <f t="shared" si="27"/>
        <v>-20,03/+21,56  (EC  20,01)</v>
      </c>
      <c r="C973" s="1296"/>
      <c r="D973" s="1297">
        <v>7.28</v>
      </c>
      <c r="E973" s="1297">
        <v>2.0009999999999999</v>
      </c>
      <c r="F973" s="1298">
        <v>45</v>
      </c>
      <c r="G973" s="1297"/>
      <c r="H973" s="1297">
        <v>0.08</v>
      </c>
      <c r="I973" s="1297">
        <v>226.63</v>
      </c>
      <c r="J973" s="1297">
        <v>357.84999999999997</v>
      </c>
      <c r="K973" s="1297">
        <v>1E-3</v>
      </c>
      <c r="L973" s="1297">
        <v>333.6</v>
      </c>
      <c r="M973" s="1297">
        <v>0</v>
      </c>
      <c r="N973" s="1297">
        <v>5.89</v>
      </c>
      <c r="O973" s="1297">
        <v>129</v>
      </c>
      <c r="P973" s="1297">
        <v>208.11</v>
      </c>
      <c r="Q973" s="1297">
        <v>64.66</v>
      </c>
      <c r="R973" s="1297">
        <v>7.0000000000000007E-2</v>
      </c>
      <c r="S973" s="1297">
        <v>1E-3</v>
      </c>
      <c r="T973" s="1297">
        <v>0.01</v>
      </c>
      <c r="U973" s="1297">
        <v>0.03</v>
      </c>
      <c r="V973" s="1297"/>
    </row>
    <row r="974" spans="1:245" x14ac:dyDescent="0.25">
      <c r="A974" s="1295">
        <v>200041</v>
      </c>
      <c r="B974" s="1302" t="str">
        <f t="shared" si="27"/>
        <v>-46,35/+46,52  (EC  45,6)</v>
      </c>
      <c r="C974" s="1296"/>
      <c r="D974" s="1297">
        <v>7.32</v>
      </c>
      <c r="E974" s="1297">
        <v>4.5599999999999996</v>
      </c>
      <c r="F974" s="1297">
        <v>3.56</v>
      </c>
      <c r="G974" s="1297"/>
      <c r="H974" s="1297">
        <v>7.0000000000000007E-2</v>
      </c>
      <c r="I974" s="1297">
        <v>1263.23</v>
      </c>
      <c r="J974" s="1297">
        <v>203.15</v>
      </c>
      <c r="K974" s="1297">
        <v>1E-3</v>
      </c>
      <c r="L974" s="1297">
        <v>395.26</v>
      </c>
      <c r="M974" s="1297">
        <v>0</v>
      </c>
      <c r="N974" s="1297">
        <v>8.39</v>
      </c>
      <c r="O974" s="1297">
        <v>718.36</v>
      </c>
      <c r="P974" s="1297">
        <v>197.91</v>
      </c>
      <c r="Q974" s="1297">
        <v>62.11</v>
      </c>
      <c r="R974" s="1297">
        <v>0.06</v>
      </c>
      <c r="S974" s="1297">
        <v>1E-3</v>
      </c>
      <c r="T974" s="1297">
        <v>7.0000000000000007E-2</v>
      </c>
      <c r="U974" s="1297">
        <v>0.03</v>
      </c>
      <c r="V974" s="1297"/>
    </row>
    <row r="975" spans="1:245" x14ac:dyDescent="0.25">
      <c r="A975" s="1295">
        <v>200042</v>
      </c>
      <c r="B975" s="1302" t="str">
        <f t="shared" si="27"/>
        <v>-12,75/+13,82  (EC  12,74)</v>
      </c>
      <c r="C975" s="1296"/>
      <c r="D975" s="1297">
        <v>7.69</v>
      </c>
      <c r="E975" s="1297">
        <v>1.274</v>
      </c>
      <c r="F975" s="1297">
        <v>5.76</v>
      </c>
      <c r="G975" s="1297"/>
      <c r="H975" s="1297">
        <v>7.0000000000000007E-2</v>
      </c>
      <c r="I975" s="1297">
        <v>238.52800000000002</v>
      </c>
      <c r="J975" s="1297">
        <v>92.13</v>
      </c>
      <c r="K975" s="1297">
        <v>1E-3</v>
      </c>
      <c r="L975" s="1297">
        <v>245.36</v>
      </c>
      <c r="M975" s="1297">
        <v>0</v>
      </c>
      <c r="N975" s="1297">
        <v>2.66</v>
      </c>
      <c r="O975" s="1297">
        <v>149.08000000000001</v>
      </c>
      <c r="P975" s="1297">
        <v>83.34</v>
      </c>
      <c r="Q975" s="1297">
        <v>37.21</v>
      </c>
      <c r="R975" s="1297">
        <v>0.05</v>
      </c>
      <c r="S975" s="1297">
        <v>1E-3</v>
      </c>
      <c r="T975" s="1297">
        <v>0.01</v>
      </c>
      <c r="U975" s="1297">
        <v>0.04</v>
      </c>
      <c r="V975" s="1297"/>
    </row>
    <row r="976" spans="1:245" x14ac:dyDescent="0.25">
      <c r="A976" s="1295">
        <v>200043</v>
      </c>
      <c r="B976" s="1302" t="str">
        <f t="shared" si="27"/>
        <v>-21,34/+21,65  (EC  20,4)</v>
      </c>
      <c r="C976" s="1296"/>
      <c r="D976" s="1297">
        <v>7.5</v>
      </c>
      <c r="E976" s="1297">
        <v>2.04</v>
      </c>
      <c r="F976" s="1297">
        <v>0.42</v>
      </c>
      <c r="G976" s="1297"/>
      <c r="H976" s="1297">
        <v>0.08</v>
      </c>
      <c r="I976" s="1297">
        <v>476.928</v>
      </c>
      <c r="J976" s="1297">
        <v>145.80000000000001</v>
      </c>
      <c r="K976" s="1297">
        <v>1E-3</v>
      </c>
      <c r="L976" s="1297">
        <v>296.7</v>
      </c>
      <c r="M976" s="1297">
        <v>0</v>
      </c>
      <c r="N976" s="1297">
        <v>4.6399999999999997</v>
      </c>
      <c r="O976" s="1297">
        <v>298.08</v>
      </c>
      <c r="P976" s="1297">
        <v>101.66</v>
      </c>
      <c r="Q976" s="1297">
        <v>41.75</v>
      </c>
      <c r="R976" s="1297">
        <v>1E-4</v>
      </c>
      <c r="S976" s="1297">
        <v>1E-3</v>
      </c>
      <c r="T976" s="1297">
        <v>1E-3</v>
      </c>
      <c r="U976" s="1297">
        <v>0.01</v>
      </c>
      <c r="V976" s="1297"/>
    </row>
    <row r="977" spans="1:22" x14ac:dyDescent="0.25">
      <c r="A977" s="1295">
        <v>200044</v>
      </c>
      <c r="B977" s="1302" t="str">
        <f t="shared" si="27"/>
        <v>-15,05/+16,22  (EC  15,12)</v>
      </c>
      <c r="C977" s="1296"/>
      <c r="D977" s="1297">
        <v>7.8</v>
      </c>
      <c r="E977" s="1297">
        <v>1.512</v>
      </c>
      <c r="F977" s="1297">
        <v>8.06</v>
      </c>
      <c r="G977" s="1297"/>
      <c r="H977" s="1297">
        <v>0.06</v>
      </c>
      <c r="I977" s="1297">
        <v>223.05600000000001</v>
      </c>
      <c r="J977" s="1297">
        <v>91.49</v>
      </c>
      <c r="K977" s="1297">
        <v>1E-3</v>
      </c>
      <c r="L977" s="1297">
        <v>410.32</v>
      </c>
      <c r="M977" s="1297">
        <v>0</v>
      </c>
      <c r="N977" s="1297">
        <v>2.91</v>
      </c>
      <c r="O977" s="1297">
        <v>139.41</v>
      </c>
      <c r="P977" s="1297">
        <v>135.31</v>
      </c>
      <c r="Q977" s="1297">
        <v>39.81</v>
      </c>
      <c r="R977" s="1297">
        <v>1E-3</v>
      </c>
      <c r="S977" s="1297">
        <v>1E-3</v>
      </c>
      <c r="T977" s="1297">
        <v>1E-3</v>
      </c>
      <c r="U977" s="1297">
        <v>0.01</v>
      </c>
      <c r="V977" s="1297"/>
    </row>
    <row r="978" spans="1:22" x14ac:dyDescent="0.25">
      <c r="A978" s="1295">
        <v>200045</v>
      </c>
      <c r="B978" s="1302" t="str">
        <f t="shared" si="27"/>
        <v>-264,16/+267,36  (EC  276,6)</v>
      </c>
      <c r="C978" s="1296"/>
      <c r="D978" s="1297">
        <v>6.95</v>
      </c>
      <c r="E978" s="1297">
        <v>27.66</v>
      </c>
      <c r="F978" s="1297">
        <v>0.06</v>
      </c>
      <c r="G978" s="1297"/>
      <c r="H978" s="1297">
        <v>0.09</v>
      </c>
      <c r="I978" s="1297">
        <v>8653</v>
      </c>
      <c r="J978" s="1297">
        <v>639.9</v>
      </c>
      <c r="K978" s="1297">
        <v>1E-3</v>
      </c>
      <c r="L978" s="1297">
        <f>(18.1-0.1)*24</f>
        <v>432</v>
      </c>
      <c r="M978" s="1297">
        <v>0</v>
      </c>
      <c r="N978" s="1297">
        <v>155.21</v>
      </c>
      <c r="O978" s="1303">
        <v>4515.01</v>
      </c>
      <c r="P978" s="1303">
        <v>501.37</v>
      </c>
      <c r="Q978" s="1297">
        <v>504.03</v>
      </c>
      <c r="R978" s="1297">
        <v>1E-3</v>
      </c>
      <c r="S978" s="1297">
        <v>1E-3</v>
      </c>
      <c r="T978" s="1297">
        <v>0.01</v>
      </c>
      <c r="U978" s="1297">
        <v>0.2</v>
      </c>
      <c r="V978" s="1297"/>
    </row>
    <row r="979" spans="1:22" x14ac:dyDescent="0.25">
      <c r="A979" s="1295">
        <v>200046</v>
      </c>
      <c r="B979" s="1302" t="str">
        <f t="shared" si="27"/>
        <v>-11,33/+12,37  (EC  11,01)</v>
      </c>
      <c r="C979" s="1296"/>
      <c r="D979" s="1297">
        <v>7.35</v>
      </c>
      <c r="E979" s="1297">
        <v>1.101</v>
      </c>
      <c r="F979" s="1297">
        <v>57.86</v>
      </c>
      <c r="G979" s="1297"/>
      <c r="H979" s="1297">
        <v>7.0000000000000007E-2</v>
      </c>
      <c r="I979" s="1297">
        <v>117.74400000000001</v>
      </c>
      <c r="J979" s="1297">
        <v>37.74</v>
      </c>
      <c r="K979" s="1297">
        <v>1E-3</v>
      </c>
      <c r="L979" s="1297">
        <f>(16.1-0.1)*24</f>
        <v>384</v>
      </c>
      <c r="M979" s="1297">
        <v>0</v>
      </c>
      <c r="N979" s="1297">
        <v>1.91</v>
      </c>
      <c r="O979" s="1297">
        <v>73.59</v>
      </c>
      <c r="P979" s="1297">
        <v>96.18</v>
      </c>
      <c r="Q979" s="1297">
        <v>51.63</v>
      </c>
      <c r="R979" s="1297">
        <v>1E-3</v>
      </c>
      <c r="S979" s="1297">
        <v>1E-3</v>
      </c>
      <c r="T979" s="1297">
        <v>1E-3</v>
      </c>
      <c r="U979" s="1297">
        <v>0.05</v>
      </c>
      <c r="V979" s="1297"/>
    </row>
    <row r="980" spans="1:22" x14ac:dyDescent="0.25">
      <c r="A980" s="1299">
        <v>200047</v>
      </c>
      <c r="B980" s="1014" t="str">
        <f>"-"&amp;TEXT((F980/62+G980/46+I980/35.5+J980/48+K980/97+L980/61),"0,00")&amp;"/+"&amp;TEXT((N980/39+O980/23+P980/20+Q980/12+H980/14),"0,00")&amp;"  (EC  "&amp;E980*10&amp;")"</f>
        <v>-16,40/+16,24  (EC  15,2)</v>
      </c>
      <c r="C980" s="1300"/>
      <c r="D980" s="1301">
        <v>7.56</v>
      </c>
      <c r="E980" s="1301">
        <v>1.52</v>
      </c>
      <c r="F980" s="1297">
        <v>0.1</v>
      </c>
      <c r="G980" s="1301"/>
      <c r="H980" s="1297">
        <v>11.35</v>
      </c>
      <c r="I980" s="1297">
        <v>221.072</v>
      </c>
      <c r="J980" s="1297">
        <v>134.26</v>
      </c>
      <c r="K980" s="1301">
        <f>4.18*3.06</f>
        <v>12.790799999999999</v>
      </c>
      <c r="L980" s="1297">
        <f>(18.5-0.1)*24</f>
        <v>441.59999999999997</v>
      </c>
      <c r="M980" s="1301">
        <v>0</v>
      </c>
      <c r="N980" s="1301">
        <v>18.96</v>
      </c>
      <c r="O980" s="1301">
        <v>138.16999999999999</v>
      </c>
      <c r="P980" s="1301">
        <v>87.61</v>
      </c>
      <c r="Q980" s="1301">
        <v>54.67</v>
      </c>
      <c r="R980" s="1301">
        <v>0.14000000000000001</v>
      </c>
      <c r="S980" s="1301">
        <v>1E-3</v>
      </c>
      <c r="T980" s="1301">
        <v>0.02</v>
      </c>
      <c r="U980" s="1301">
        <v>0.28999999999999998</v>
      </c>
      <c r="V980" s="1301"/>
    </row>
    <row r="981" spans="1:22" x14ac:dyDescent="0.25">
      <c r="A981" s="1318">
        <v>200048</v>
      </c>
      <c r="B981" s="1319" t="str">
        <f>"-"&amp;TEXT((F981/62+G981/46+I981/35.5+J981/48+K981/97+L981/61),"0,00")&amp;"/+"&amp;TEXT((N981/39+O981/23+P981/20+Q981/12+H981/14),"0,00")&amp;"  (EC  "&amp;E981*10&amp;")"</f>
        <v>-22,00/+21,09  (EC  21,1)</v>
      </c>
      <c r="C981" s="1320"/>
      <c r="D981" s="1321">
        <v>7.41</v>
      </c>
      <c r="E981" s="1321">
        <v>2.11</v>
      </c>
      <c r="F981" s="1322">
        <v>76.930000000000007</v>
      </c>
      <c r="G981" s="1321">
        <v>1E-4</v>
      </c>
      <c r="H981" s="1323">
        <v>0.06</v>
      </c>
      <c r="I981" s="1322">
        <v>391.608</v>
      </c>
      <c r="J981" s="1321">
        <v>154.26</v>
      </c>
      <c r="K981" s="1321">
        <v>6.1200000000000004E-2</v>
      </c>
      <c r="L981" s="1321">
        <v>397.6</v>
      </c>
      <c r="M981" s="1321">
        <v>0</v>
      </c>
      <c r="N981" s="705">
        <v>1.86</v>
      </c>
      <c r="O981" s="705">
        <v>237.88</v>
      </c>
      <c r="P981" s="705">
        <v>129.9</v>
      </c>
      <c r="Q981" s="705">
        <v>50.44</v>
      </c>
      <c r="R981" s="1246">
        <v>1E-3</v>
      </c>
      <c r="S981" s="1246">
        <v>1E-3</v>
      </c>
      <c r="T981" s="1246">
        <v>1E-3</v>
      </c>
      <c r="U981" s="1246" t="s">
        <v>465</v>
      </c>
      <c r="V981" s="1321"/>
    </row>
    <row r="982" spans="1:22" x14ac:dyDescent="0.25">
      <c r="A982" s="1318">
        <v>200049</v>
      </c>
      <c r="B982" s="1319" t="str">
        <f>"-"&amp;TEXT((F982/62+G982/46+I982/35.5+J982/48+K982/97+L982/61),"0,00")&amp;"/+"&amp;TEXT((N982/39+O982/23+P982/20+Q982/12+H982/14),"0,00")&amp;"  (EC  "&amp;E982*10&amp;")"</f>
        <v>-21,22/+22,02  (EC  22,1)</v>
      </c>
      <c r="C982" s="1320"/>
      <c r="D982" s="1321">
        <v>8.2200000000000006</v>
      </c>
      <c r="E982" s="1321">
        <v>2.21</v>
      </c>
      <c r="F982" s="1323">
        <v>89.24</v>
      </c>
      <c r="G982" s="1321">
        <v>1E-4</v>
      </c>
      <c r="H982" s="1323">
        <v>0.06</v>
      </c>
      <c r="I982" s="1322">
        <v>422</v>
      </c>
      <c r="J982" s="1323">
        <v>161.80000000000001</v>
      </c>
      <c r="K982" s="1321">
        <v>1E-3</v>
      </c>
      <c r="L982" s="1321">
        <v>276</v>
      </c>
      <c r="M982" s="1321">
        <v>0</v>
      </c>
      <c r="N982" s="705" t="s">
        <v>547</v>
      </c>
      <c r="O982" s="705">
        <v>263.75</v>
      </c>
      <c r="P982" s="705">
        <v>123.65</v>
      </c>
      <c r="Q982" s="705">
        <v>51.59</v>
      </c>
      <c r="R982" s="1246">
        <v>1E-3</v>
      </c>
      <c r="S982" s="1246">
        <v>1E-3</v>
      </c>
      <c r="T982" s="1246">
        <v>1E-3</v>
      </c>
      <c r="U982" s="1246">
        <v>1E-3</v>
      </c>
      <c r="V982" s="1321"/>
    </row>
    <row r="983" spans="1:22" x14ac:dyDescent="0.25">
      <c r="A983" s="1318">
        <v>200050</v>
      </c>
      <c r="B983" s="1319" t="str">
        <f t="shared" ref="B983:B988" si="28">"-"&amp;TEXT((F983/62+G983/46+I983/35.5+J983/48+K983/97+L983/61),"0,00")&amp;"/+"&amp;TEXT((N983/39+O983/23+P983/20+Q983/12+H983/14),"0,00")&amp;"  (EC  "&amp;E983*10&amp;")"</f>
        <v>-10,20/+9,13  (EC  9,1)</v>
      </c>
      <c r="C983" s="1320"/>
      <c r="D983" s="1321">
        <v>7.5</v>
      </c>
      <c r="E983" s="1321">
        <v>0.91</v>
      </c>
      <c r="F983" s="1323">
        <v>85.89</v>
      </c>
      <c r="G983" s="1321">
        <v>1E-4</v>
      </c>
      <c r="H983" s="1323">
        <v>7.0000000000000007E-2</v>
      </c>
      <c r="I983" s="1322">
        <v>82.016000000000005</v>
      </c>
      <c r="J983" s="1323">
        <v>21.65</v>
      </c>
      <c r="K983" s="1321">
        <v>9.1799999999999993E-2</v>
      </c>
      <c r="L983" s="1321">
        <v>369.2</v>
      </c>
      <c r="M983" s="1321">
        <v>0</v>
      </c>
      <c r="N983" s="705" t="s">
        <v>543</v>
      </c>
      <c r="O983" s="705">
        <v>51.26</v>
      </c>
      <c r="P983" s="705">
        <v>122.87</v>
      </c>
      <c r="Q983" s="705">
        <v>8.77</v>
      </c>
      <c r="R983" s="1246">
        <v>1E-3</v>
      </c>
      <c r="S983" s="1246">
        <v>1E-3</v>
      </c>
      <c r="T983" s="1246">
        <v>1E-3</v>
      </c>
      <c r="U983" s="1246">
        <v>2E-3</v>
      </c>
      <c r="V983" s="1321"/>
    </row>
    <row r="984" spans="1:22" x14ac:dyDescent="0.25">
      <c r="A984" s="1318">
        <v>200051</v>
      </c>
      <c r="B984" s="1319" t="str">
        <f t="shared" si="28"/>
        <v>-44,19/+45,82  (EC  44,5)</v>
      </c>
      <c r="C984" s="1320"/>
      <c r="D984" s="1321">
        <v>7.81</v>
      </c>
      <c r="E984" s="1321">
        <v>4.45</v>
      </c>
      <c r="F984" s="1323">
        <v>14.52</v>
      </c>
      <c r="G984" s="1321">
        <v>1E-4</v>
      </c>
      <c r="H984" s="1323">
        <v>0.06</v>
      </c>
      <c r="I984" s="1322">
        <v>726.14400000000001</v>
      </c>
      <c r="J984" s="1323">
        <v>769.4</v>
      </c>
      <c r="K984" s="1321">
        <v>6.1200000000000004E-2</v>
      </c>
      <c r="L984" s="1321">
        <v>456</v>
      </c>
      <c r="M984" s="1321">
        <v>0</v>
      </c>
      <c r="N984" s="705">
        <v>4.46</v>
      </c>
      <c r="O984" s="705">
        <v>453.84</v>
      </c>
      <c r="P984" s="912">
        <v>270.94</v>
      </c>
      <c r="Q984" s="705">
        <v>149.05000000000001</v>
      </c>
      <c r="R984" s="1246">
        <v>0.05</v>
      </c>
      <c r="S984" s="1246">
        <v>1E-3</v>
      </c>
      <c r="T984" s="1246">
        <v>1E-3</v>
      </c>
      <c r="U984" s="1246" t="s">
        <v>467</v>
      </c>
      <c r="V984" s="1321"/>
    </row>
    <row r="985" spans="1:22" x14ac:dyDescent="0.25">
      <c r="A985" s="1318">
        <v>200052</v>
      </c>
      <c r="B985" s="1319" t="str">
        <f t="shared" si="28"/>
        <v>-15,35/+15,53  (EC  15,8)</v>
      </c>
      <c r="C985" s="1320"/>
      <c r="D985" s="1321">
        <v>7.84</v>
      </c>
      <c r="E985" s="1321">
        <v>1.58</v>
      </c>
      <c r="F985" s="1323">
        <v>90.33</v>
      </c>
      <c r="G985" s="1321">
        <v>1E-4</v>
      </c>
      <c r="H985" s="1323">
        <v>0.06</v>
      </c>
      <c r="I985" s="1322">
        <v>281.63200000000001</v>
      </c>
      <c r="J985" s="1323">
        <v>122.36</v>
      </c>
      <c r="K985" s="1321">
        <v>1E-3</v>
      </c>
      <c r="L985" s="1321">
        <v>208.32</v>
      </c>
      <c r="M985" s="1321">
        <v>0</v>
      </c>
      <c r="N985" s="705" t="s">
        <v>544</v>
      </c>
      <c r="O985" s="705">
        <v>219.77</v>
      </c>
      <c r="P985" s="705">
        <v>75.91</v>
      </c>
      <c r="Q985" s="705">
        <v>25.74</v>
      </c>
      <c r="R985" s="1246">
        <v>1E-3</v>
      </c>
      <c r="S985" s="1246">
        <v>1E-3</v>
      </c>
      <c r="T985" s="1246">
        <v>1E-3</v>
      </c>
      <c r="U985" s="1246">
        <v>1E-3</v>
      </c>
      <c r="V985" s="1321"/>
    </row>
    <row r="986" spans="1:22" x14ac:dyDescent="0.25">
      <c r="A986" s="1318">
        <v>200053</v>
      </c>
      <c r="B986" s="1319" t="str">
        <f>"-"&amp;TEXT((F986/62+G986/46+I986/35.5+J986/48+K986/97+L986/61),"0,00")&amp;"/+"&amp;TEXT((N986/39+O986/23+P986/20+Q986/12+H986/14),"0,00")&amp;"  (EC  "&amp;E986*10&amp;")"</f>
        <v>-25,20/+23,31  (EC  24,5)</v>
      </c>
      <c r="C986" s="1320"/>
      <c r="D986" s="1321">
        <v>7.69</v>
      </c>
      <c r="E986" s="1321">
        <v>2.4500000000000002</v>
      </c>
      <c r="F986" s="1323">
        <v>89.84</v>
      </c>
      <c r="G986" s="1321">
        <v>1E-4</v>
      </c>
      <c r="H986" s="1323">
        <v>0.08</v>
      </c>
      <c r="I986" s="1322">
        <v>472.43200000000002</v>
      </c>
      <c r="J986" s="1323">
        <v>265.39</v>
      </c>
      <c r="K986" s="1321">
        <v>3.0600000000000002E-2</v>
      </c>
      <c r="L986" s="1321">
        <v>300</v>
      </c>
      <c r="M986" s="1321">
        <v>0</v>
      </c>
      <c r="N986" s="705" t="s">
        <v>544</v>
      </c>
      <c r="O986" s="705">
        <v>295.27</v>
      </c>
      <c r="P986" s="705">
        <v>115.19</v>
      </c>
      <c r="Q986" s="705">
        <v>56.13</v>
      </c>
      <c r="R986" s="1246">
        <v>1E-3</v>
      </c>
      <c r="S986" s="1246">
        <v>1E-3</v>
      </c>
      <c r="T986" s="1246">
        <v>1E-3</v>
      </c>
      <c r="U986" s="1246">
        <v>1E-3</v>
      </c>
      <c r="V986" s="1321"/>
    </row>
    <row r="987" spans="1:22" x14ac:dyDescent="0.25">
      <c r="A987" s="1318">
        <v>200054</v>
      </c>
      <c r="B987" s="1319" t="str">
        <f t="shared" si="28"/>
        <v>-37,34/+36,28  (EC  37,4)</v>
      </c>
      <c r="C987" s="1320"/>
      <c r="D987" s="1321">
        <v>7.45</v>
      </c>
      <c r="E987" s="1321">
        <v>3.74</v>
      </c>
      <c r="F987" s="1323">
        <v>24.79</v>
      </c>
      <c r="G987" s="1321">
        <v>1E-4</v>
      </c>
      <c r="H987" s="1323">
        <v>7.0000000000000007E-2</v>
      </c>
      <c r="I987" s="1322">
        <v>486.13600000000002</v>
      </c>
      <c r="J987" s="1323">
        <v>806.05</v>
      </c>
      <c r="K987" s="1321">
        <v>9.1799999999999993E-2</v>
      </c>
      <c r="L987" s="1321">
        <v>393.6</v>
      </c>
      <c r="M987" s="1321">
        <v>0</v>
      </c>
      <c r="N987" s="705">
        <v>11.12</v>
      </c>
      <c r="O987" s="705">
        <v>250.71</v>
      </c>
      <c r="P987" s="912">
        <v>269.62</v>
      </c>
      <c r="Q987" s="705">
        <v>139.32</v>
      </c>
      <c r="R987" s="1246">
        <v>1E-3</v>
      </c>
      <c r="S987" s="1246">
        <v>1E-3</v>
      </c>
      <c r="T987" s="1246">
        <v>1E-3</v>
      </c>
      <c r="U987" s="1246" t="s">
        <v>465</v>
      </c>
      <c r="V987" s="1321"/>
    </row>
    <row r="988" spans="1:22" x14ac:dyDescent="0.25">
      <c r="A988" s="1318">
        <v>200055</v>
      </c>
      <c r="B988" s="1319" t="str">
        <f t="shared" si="28"/>
        <v>-11,41/+11,91  (EC  10,85)</v>
      </c>
      <c r="C988" s="1320"/>
      <c r="D988" s="1321">
        <v>7.5</v>
      </c>
      <c r="E988" s="1321">
        <v>1.085</v>
      </c>
      <c r="F988" s="1323">
        <v>41.69</v>
      </c>
      <c r="G988" s="1321">
        <v>1E-4</v>
      </c>
      <c r="H988" s="1323">
        <v>0.06</v>
      </c>
      <c r="I988" s="1322">
        <v>151.61600000000001</v>
      </c>
      <c r="J988" s="1323">
        <v>25.2</v>
      </c>
      <c r="K988" s="1321">
        <v>6.1200000000000004E-2</v>
      </c>
      <c r="L988" s="1321">
        <v>362.4</v>
      </c>
      <c r="M988" s="1321">
        <v>0</v>
      </c>
      <c r="N988" s="705" t="s">
        <v>545</v>
      </c>
      <c r="O988" s="705">
        <v>94.76</v>
      </c>
      <c r="P988" s="705">
        <v>102.56</v>
      </c>
      <c r="Q988" s="705">
        <v>31.71</v>
      </c>
      <c r="R988" s="1246">
        <v>1E-3</v>
      </c>
      <c r="S988" s="1246">
        <v>1E-3</v>
      </c>
      <c r="T988" s="1246">
        <v>1E-3</v>
      </c>
      <c r="U988" s="1246">
        <v>1E-3</v>
      </c>
      <c r="V988" s="1321"/>
    </row>
    <row r="989" spans="1:22" x14ac:dyDescent="0.25">
      <c r="A989" s="1318">
        <v>200056</v>
      </c>
      <c r="B989" s="1319" t="str">
        <f>"-"&amp;TEXT((F989/62+G989/46+I989/35.5+J989/48+K989/97+L989/61),"0,00")&amp;"/+"&amp;TEXT((N989/39+O989/23+P989/20+Q989/12+H989/14),"0,00")&amp;"  (EC  "&amp;E989*10&amp;")"</f>
        <v>-5,94/+6,43  (EC  5,8)</v>
      </c>
      <c r="C989" s="1320"/>
      <c r="D989" s="1321">
        <v>8.0500000000000007</v>
      </c>
      <c r="E989" s="1321">
        <v>0.57999999999999996</v>
      </c>
      <c r="F989" s="1323">
        <v>54.95</v>
      </c>
      <c r="G989" s="1321">
        <v>1E-4</v>
      </c>
      <c r="H989" s="1323">
        <v>1.67</v>
      </c>
      <c r="I989" s="1322">
        <v>20.416</v>
      </c>
      <c r="J989" s="1323">
        <v>16.68</v>
      </c>
      <c r="K989" s="1321">
        <v>9.1799999999999993E-2</v>
      </c>
      <c r="L989" s="1321">
        <v>252</v>
      </c>
      <c r="M989" s="1321">
        <v>0</v>
      </c>
      <c r="N989" s="705" t="s">
        <v>546</v>
      </c>
      <c r="O989" s="705">
        <v>12.76</v>
      </c>
      <c r="P989" s="912">
        <v>53.79</v>
      </c>
      <c r="Q989" s="705">
        <v>36.630000000000003</v>
      </c>
      <c r="R989" s="1246">
        <v>1E-3</v>
      </c>
      <c r="S989" s="1246">
        <v>1E-3</v>
      </c>
      <c r="T989" s="1246">
        <v>1E-3</v>
      </c>
      <c r="U989" s="1246">
        <v>1E-3</v>
      </c>
      <c r="V989" s="1321"/>
    </row>
    <row r="990" spans="1:22" x14ac:dyDescent="0.25">
      <c r="A990" s="1318">
        <v>200057</v>
      </c>
      <c r="B990" s="1319" t="str">
        <f>"-"&amp;TEXT((F990/62+G990/46+I990/35.5+J990/48+K990/97+L990/61),"0,00")&amp;"/+"&amp;TEXT((N990/39+O990/23+P990/20+Q990/12+H990/14),"0,00")&amp;"  (EC  "&amp;E990*10&amp;")"</f>
        <v>-10,77/+11,11  (EC  10,34)</v>
      </c>
      <c r="C990" s="1320"/>
      <c r="D990" s="1321">
        <v>8.4700000000000006</v>
      </c>
      <c r="E990" s="1321">
        <v>1.034</v>
      </c>
      <c r="F990" s="1323">
        <v>1E-3</v>
      </c>
      <c r="G990" s="1321">
        <v>1E-4</v>
      </c>
      <c r="H990" s="1323">
        <v>7.0000000000000007E-2</v>
      </c>
      <c r="I990" s="1322">
        <v>106.01600000000002</v>
      </c>
      <c r="J990" s="1323">
        <v>41.37</v>
      </c>
      <c r="K990" s="1321">
        <v>0.45899999999999996</v>
      </c>
      <c r="L990" s="1321">
        <v>422</v>
      </c>
      <c r="M990" s="1321">
        <v>0</v>
      </c>
      <c r="N990" s="705">
        <v>8.0399999999999991</v>
      </c>
      <c r="O990" s="705">
        <v>66.260000000000005</v>
      </c>
      <c r="P990" s="912">
        <v>75.23</v>
      </c>
      <c r="Q990" s="705">
        <v>51.04</v>
      </c>
      <c r="R990" s="1246">
        <v>0.25</v>
      </c>
      <c r="S990" s="1246">
        <v>1E-3</v>
      </c>
      <c r="T990" s="1246">
        <v>0.05</v>
      </c>
      <c r="U990" s="1246">
        <v>0.86</v>
      </c>
      <c r="V990" s="1321"/>
    </row>
    <row r="991" spans="1:22" x14ac:dyDescent="0.25">
      <c r="A991" s="1361">
        <v>200058</v>
      </c>
      <c r="B991" s="1325" t="str">
        <f>"-"&amp;TEXT((F991/62+G991/46+I991/35.5+J991/48+K991/97+L991/61),"0,00")&amp;"/+"&amp;TEXT((N991/39+O991/23+P991/20+Q991/12+H991/14),"0,00")&amp;"  (EC  "&amp;E991*10&amp;")"</f>
        <v>-5,31/+6,98  (EC  6,16)</v>
      </c>
      <c r="C991" s="1326"/>
      <c r="D991" s="1327">
        <v>7.3</v>
      </c>
      <c r="E991" s="1331">
        <v>0.61599999999999999</v>
      </c>
      <c r="F991" s="1329">
        <v>11.09</v>
      </c>
      <c r="G991" s="1327">
        <v>1E-4</v>
      </c>
      <c r="H991" s="1329">
        <v>7.0000000000000007E-2</v>
      </c>
      <c r="I991" s="1328">
        <v>25.296000000000003</v>
      </c>
      <c r="J991" s="1329">
        <v>32.79</v>
      </c>
      <c r="K991" s="1328">
        <v>3.0600000000000002E-2</v>
      </c>
      <c r="L991" s="1327">
        <v>228</v>
      </c>
      <c r="M991" s="1327">
        <v>0</v>
      </c>
      <c r="N991" s="1327">
        <v>2.2999999999999998</v>
      </c>
      <c r="O991" s="1327">
        <v>15.81</v>
      </c>
      <c r="P991" s="1327">
        <v>66.37</v>
      </c>
      <c r="Q991" s="1327">
        <v>34.97</v>
      </c>
      <c r="R991" s="1327">
        <v>1E-3</v>
      </c>
      <c r="S991" s="1327">
        <v>1E-3</v>
      </c>
      <c r="T991" s="1327">
        <v>1E-3</v>
      </c>
      <c r="U991" s="1330">
        <v>0.01</v>
      </c>
      <c r="V991" s="1327"/>
    </row>
    <row r="992" spans="1:22" x14ac:dyDescent="0.25">
      <c r="A992" s="1361">
        <v>200059</v>
      </c>
      <c r="B992" s="1325" t="str">
        <f>"-"&amp;TEXT((F992/62+G992/46+I992/35.5+J992/48+K992/97+L992/61),"0,00")&amp;"/+"&amp;TEXT((N992/39+O992/23+P992/20+Q992/12+H992/14),"0,00")&amp;"  (EC  "&amp;E992*10&amp;")"</f>
        <v>-6,52/+6,56  (EC  5,95)</v>
      </c>
      <c r="C992" s="1326"/>
      <c r="D992" s="1327">
        <v>7.5</v>
      </c>
      <c r="E992" s="1331">
        <v>0.59499999999999997</v>
      </c>
      <c r="F992" s="1329">
        <v>29.72</v>
      </c>
      <c r="G992" s="1327">
        <v>1E-4</v>
      </c>
      <c r="H992" s="1329">
        <v>7.0000000000000007E-2</v>
      </c>
      <c r="I992" s="1328">
        <v>24.591999999999999</v>
      </c>
      <c r="J992" s="1329">
        <v>79.69</v>
      </c>
      <c r="K992" s="1328">
        <v>3.0600000000000002E-3</v>
      </c>
      <c r="L992" s="1327">
        <v>225</v>
      </c>
      <c r="M992" s="1327">
        <v>0</v>
      </c>
      <c r="N992" s="1327">
        <v>1.89</v>
      </c>
      <c r="O992" s="1327">
        <v>15.37</v>
      </c>
      <c r="P992" s="1327">
        <v>62.31</v>
      </c>
      <c r="Q992" s="1327">
        <v>32.619999999999997</v>
      </c>
      <c r="R992" s="1327"/>
      <c r="S992" s="1327"/>
      <c r="T992" s="1327"/>
      <c r="U992" s="1327"/>
      <c r="V992" s="1327"/>
    </row>
    <row r="993" spans="1:22" x14ac:dyDescent="0.25">
      <c r="A993" s="1318">
        <v>200060</v>
      </c>
      <c r="B993" s="1319" t="str">
        <f>"-"&amp;TEXT((F993/62+G993/46+I993/35.5+J993/48+K993/97+L993/61),"0,00")&amp;"/+"&amp;TEXT((N993/39+O993/23+P993/20+Q993/12+H993/14),"0,00")&amp;"  (EC  "&amp;E993*10&amp;")"</f>
        <v>-13,94/+13,83  (EC  12,1)</v>
      </c>
      <c r="C993" s="1320"/>
      <c r="D993" s="1321">
        <v>7.5</v>
      </c>
      <c r="E993" s="1335">
        <v>1.21</v>
      </c>
      <c r="F993" s="1322">
        <v>49.52</v>
      </c>
      <c r="G993" s="1321">
        <v>1E-4</v>
      </c>
      <c r="H993" s="1321">
        <v>0.02</v>
      </c>
      <c r="I993" s="1322">
        <v>23.200000000000003</v>
      </c>
      <c r="J993" s="1336">
        <v>525.90000000000009</v>
      </c>
      <c r="K993" s="1322">
        <v>3.0600000000000002E-3</v>
      </c>
      <c r="L993" s="1321">
        <v>93.6</v>
      </c>
      <c r="M993" s="1321">
        <v>0</v>
      </c>
      <c r="N993" s="1321">
        <v>3.93</v>
      </c>
      <c r="O993" s="1321">
        <v>14.5</v>
      </c>
      <c r="P993" s="1321">
        <v>148.99</v>
      </c>
      <c r="Q993" s="1321">
        <v>67.81</v>
      </c>
      <c r="R993" s="1321">
        <v>1E-3</v>
      </c>
      <c r="S993" s="1321">
        <v>1E-3</v>
      </c>
      <c r="T993" s="1321">
        <v>1E-3</v>
      </c>
      <c r="U993" s="1321">
        <v>0.03</v>
      </c>
    </row>
    <row r="994" spans="1:22" x14ac:dyDescent="0.25">
      <c r="A994" s="1318">
        <v>200061</v>
      </c>
      <c r="B994" s="1319" t="str">
        <f t="shared" ref="B994:B1020" si="29">"-"&amp;TEXT((F994/62+G994/46+I994/35.5+J994/48+K994/97+L994/61),"0,00")&amp;"/+"&amp;TEXT((N994/39+O994/23+P994/20+Q994/12+H994/14),"0,00")&amp;"  (EC  "&amp;E994*10&amp;")"</f>
        <v>-12,51/+13,74  (EC  12)</v>
      </c>
      <c r="C994" s="1320"/>
      <c r="D994" s="1321">
        <v>7.5</v>
      </c>
      <c r="E994" s="1335">
        <v>1.2</v>
      </c>
      <c r="F994" s="1322">
        <v>50.11</v>
      </c>
      <c r="G994" s="1321">
        <v>1E-4</v>
      </c>
      <c r="H994" s="1321">
        <v>0.03</v>
      </c>
      <c r="I994" s="1322">
        <v>22.784000000000002</v>
      </c>
      <c r="J994" s="1336">
        <v>446.05</v>
      </c>
      <c r="K994" s="1322">
        <v>3.0600000000000002E-3</v>
      </c>
      <c r="L994" s="1321">
        <v>108</v>
      </c>
      <c r="M994" s="1321">
        <v>0</v>
      </c>
      <c r="N994" s="1321">
        <v>3.97</v>
      </c>
      <c r="O994" s="1321">
        <v>14.24</v>
      </c>
      <c r="P994" s="1321">
        <v>148.16999999999999</v>
      </c>
      <c r="Q994" s="1321">
        <v>67.28</v>
      </c>
      <c r="R994" s="1321">
        <v>1E-3</v>
      </c>
      <c r="S994" s="1321">
        <v>1E-3</v>
      </c>
      <c r="T994" s="1321">
        <v>1E-3</v>
      </c>
      <c r="U994" s="1321">
        <v>1E-3</v>
      </c>
    </row>
    <row r="995" spans="1:22" x14ac:dyDescent="0.25">
      <c r="A995" s="1318">
        <v>200062</v>
      </c>
      <c r="B995" s="1319" t="str">
        <f t="shared" si="29"/>
        <v>-8,72/+9,72  (EC  9,39)</v>
      </c>
      <c r="C995" s="1320"/>
      <c r="D995" s="1321">
        <v>8.1999999999999993</v>
      </c>
      <c r="E995" s="1335">
        <v>0.93899999999999995</v>
      </c>
      <c r="F995" s="1322">
        <v>15.06</v>
      </c>
      <c r="G995" s="1321">
        <v>1E-4</v>
      </c>
      <c r="H995" s="1321">
        <v>2.1</v>
      </c>
      <c r="I995" s="1322">
        <v>98.864000000000004</v>
      </c>
      <c r="J995" s="1336">
        <v>152.47999999999999</v>
      </c>
      <c r="K995" s="1322">
        <v>9.1799999999999993E-2</v>
      </c>
      <c r="L995" s="1321">
        <v>153.60000000000002</v>
      </c>
      <c r="M995" s="1321">
        <v>0</v>
      </c>
      <c r="N995" s="1321">
        <v>2.4700000000000002</v>
      </c>
      <c r="O995" s="1321">
        <v>61.79</v>
      </c>
      <c r="P995" s="1321">
        <v>53.6</v>
      </c>
      <c r="Q995" s="1321">
        <v>49.74</v>
      </c>
      <c r="R995" s="1321">
        <v>0.01</v>
      </c>
      <c r="S995" s="1321">
        <v>1E-3</v>
      </c>
      <c r="T995" s="1321">
        <v>1E-3</v>
      </c>
      <c r="U995" s="1321">
        <v>0.13</v>
      </c>
    </row>
    <row r="996" spans="1:22" x14ac:dyDescent="0.25">
      <c r="A996" s="1318">
        <v>200063</v>
      </c>
      <c r="B996" s="1319" t="str">
        <f>"-"&amp;TEXT((F996/62+G996/46+I996/35.5+J996/48+K996/97+L996/61),"0,00")&amp;"/+"&amp;TEXT((N996/39+O996/23+P996/20+Q996/12+H996/14),"0,00")&amp;"  (EC  "&amp;E996*10&amp;")"</f>
        <v>-14,80/+15,51  (EC  14,93)</v>
      </c>
      <c r="C996" s="1320"/>
      <c r="D996" s="1321">
        <v>6.9</v>
      </c>
      <c r="E996" s="1335">
        <v>1.4930000000000001</v>
      </c>
      <c r="F996" s="1322">
        <v>33.24</v>
      </c>
      <c r="G996" s="1321">
        <v>1E-4</v>
      </c>
      <c r="H996" s="1321">
        <v>0.03</v>
      </c>
      <c r="I996" s="1322">
        <v>143.696</v>
      </c>
      <c r="J996" s="1323">
        <v>173.1</v>
      </c>
      <c r="K996" s="1322">
        <v>3.0600000000000002E-2</v>
      </c>
      <c r="L996" s="1321">
        <v>403.19999999999993</v>
      </c>
      <c r="M996" s="1321">
        <v>0</v>
      </c>
      <c r="N996" s="1321">
        <v>3.63</v>
      </c>
      <c r="O996" s="1321">
        <v>89.81</v>
      </c>
      <c r="P996" s="1321">
        <v>108.83</v>
      </c>
      <c r="Q996" s="1321">
        <v>72.78</v>
      </c>
      <c r="R996" s="1321"/>
      <c r="S996" s="1321"/>
      <c r="T996" s="1321"/>
      <c r="U996" s="1321"/>
    </row>
    <row r="997" spans="1:22" x14ac:dyDescent="0.25">
      <c r="A997" s="1318">
        <v>200064</v>
      </c>
      <c r="B997" s="1319" t="str">
        <f t="shared" si="29"/>
        <v>-11,50/+11,70  (EC  11,08)</v>
      </c>
      <c r="C997" s="1320"/>
      <c r="D997" s="1321">
        <v>8</v>
      </c>
      <c r="E997" s="1335">
        <v>1.1080000000000001</v>
      </c>
      <c r="F997" s="1322">
        <v>0.25</v>
      </c>
      <c r="G997" s="1321">
        <v>1E-4</v>
      </c>
      <c r="H997" s="1321">
        <v>0.05</v>
      </c>
      <c r="I997" s="1322">
        <v>141.66400000000002</v>
      </c>
      <c r="J997" s="1323">
        <v>116.64999999999999</v>
      </c>
      <c r="K997" s="1322">
        <v>3.0600000000000002E-3</v>
      </c>
      <c r="L997" s="1321">
        <v>309.60000000000002</v>
      </c>
      <c r="M997" s="1321">
        <v>0</v>
      </c>
      <c r="N997" s="1321">
        <v>1.69</v>
      </c>
      <c r="O997" s="1321">
        <v>88.54</v>
      </c>
      <c r="P997" s="1321">
        <v>67.64</v>
      </c>
      <c r="Q997" s="1321">
        <v>53.06</v>
      </c>
      <c r="R997" s="1321">
        <v>0.01</v>
      </c>
      <c r="S997" s="1321">
        <v>1E-3</v>
      </c>
      <c r="T997" s="1321">
        <v>1E-3</v>
      </c>
      <c r="U997" s="1321">
        <v>0.02</v>
      </c>
    </row>
    <row r="998" spans="1:22" x14ac:dyDescent="0.25">
      <c r="A998" s="1318">
        <v>200065</v>
      </c>
      <c r="B998" s="1319" t="str">
        <f t="shared" si="29"/>
        <v>-21,41/+21,09  (EC  21,2)</v>
      </c>
      <c r="C998" s="1320"/>
      <c r="D998" s="1321">
        <v>7.2</v>
      </c>
      <c r="E998" s="1335">
        <v>2.12</v>
      </c>
      <c r="F998" s="1322">
        <v>94.34</v>
      </c>
      <c r="G998" s="1321">
        <v>1E-4</v>
      </c>
      <c r="H998" s="1321">
        <v>0.06</v>
      </c>
      <c r="I998" s="1322">
        <v>363.87200000000001</v>
      </c>
      <c r="J998" s="1323">
        <v>209.60000000000002</v>
      </c>
      <c r="K998" s="1321">
        <v>0.01</v>
      </c>
      <c r="L998" s="1321">
        <v>321.60000000000002</v>
      </c>
      <c r="M998" s="1321">
        <v>0</v>
      </c>
      <c r="N998" s="1321">
        <v>0.8</v>
      </c>
      <c r="O998" s="1321">
        <v>227.42</v>
      </c>
      <c r="P998" s="1321">
        <v>179.93</v>
      </c>
      <c r="Q998" s="1321">
        <v>26.17</v>
      </c>
      <c r="R998" s="1321">
        <v>0.01</v>
      </c>
      <c r="S998" s="1321">
        <v>1E-3</v>
      </c>
      <c r="T998" s="1321">
        <v>0.05</v>
      </c>
      <c r="U998" s="1321">
        <v>1E-3</v>
      </c>
    </row>
    <row r="999" spans="1:22" x14ac:dyDescent="0.25">
      <c r="A999" s="1318">
        <v>200066</v>
      </c>
      <c r="B999" s="1319" t="str">
        <f t="shared" si="29"/>
        <v>-18,34/+19,52  (EC  18,2)</v>
      </c>
      <c r="C999" s="1320"/>
      <c r="D999" s="1321">
        <v>7.2</v>
      </c>
      <c r="E999" s="1321">
        <v>1.82</v>
      </c>
      <c r="F999" s="1322">
        <v>8.14</v>
      </c>
      <c r="G999" s="1321">
        <v>1E-4</v>
      </c>
      <c r="H999" s="1321">
        <v>0.05</v>
      </c>
      <c r="I999" s="1322">
        <v>201.28</v>
      </c>
      <c r="J999" s="1323">
        <v>375.09999999999997</v>
      </c>
      <c r="K999" s="1335">
        <v>3.0600000000000002E-2</v>
      </c>
      <c r="L999" s="1321">
        <v>288</v>
      </c>
      <c r="M999" s="1321">
        <v>0</v>
      </c>
      <c r="N999" s="1246">
        <v>1.35</v>
      </c>
      <c r="O999" s="1246">
        <v>125.8</v>
      </c>
      <c r="P999" s="1246">
        <v>195.36</v>
      </c>
      <c r="Q999" s="1246">
        <v>50.91</v>
      </c>
      <c r="R999" s="1246">
        <v>0.17</v>
      </c>
      <c r="S999" s="1321">
        <v>1E-3</v>
      </c>
      <c r="T999" s="1246">
        <v>1E-3</v>
      </c>
      <c r="U999" s="1246" t="s">
        <v>467</v>
      </c>
    </row>
    <row r="1000" spans="1:22" x14ac:dyDescent="0.25">
      <c r="A1000" s="1318">
        <v>200067</v>
      </c>
      <c r="B1000" s="1319" t="str">
        <f t="shared" si="29"/>
        <v>-8,34/+7,44  (EC  7,22)</v>
      </c>
      <c r="C1000" s="1320"/>
      <c r="D1000" s="1321">
        <v>7.81</v>
      </c>
      <c r="E1000" s="1321">
        <v>0.72199999999999998</v>
      </c>
      <c r="F1000" s="1322">
        <v>2.09</v>
      </c>
      <c r="G1000" s="1321">
        <v>1E-4</v>
      </c>
      <c r="H1000" s="1321">
        <v>0.04</v>
      </c>
      <c r="I1000" s="1322">
        <v>142.89600000000002</v>
      </c>
      <c r="J1000" s="1336">
        <v>50.5</v>
      </c>
      <c r="K1000" s="1335">
        <v>1E-3</v>
      </c>
      <c r="L1000" s="1321">
        <v>196.8</v>
      </c>
      <c r="M1000" s="1321">
        <v>0</v>
      </c>
      <c r="N1000" s="1246">
        <v>1.78</v>
      </c>
      <c r="O1000" s="1246">
        <v>89.31</v>
      </c>
      <c r="P1000" s="1246">
        <v>40.6</v>
      </c>
      <c r="Q1000" s="1246">
        <v>17.71</v>
      </c>
      <c r="R1000" s="1246">
        <v>0.01</v>
      </c>
      <c r="S1000" s="1321">
        <v>1E-3</v>
      </c>
      <c r="T1000" s="1246">
        <v>1E-3</v>
      </c>
      <c r="U1000" s="1246">
        <v>1E-3</v>
      </c>
    </row>
    <row r="1001" spans="1:22" x14ac:dyDescent="0.25">
      <c r="A1001" s="1318">
        <v>200068</v>
      </c>
      <c r="B1001" s="1319" t="str">
        <f t="shared" si="29"/>
        <v>-4,53/+4,88  (EC  4,79)</v>
      </c>
      <c r="C1001" s="1320"/>
      <c r="D1001" s="1321">
        <v>7.69</v>
      </c>
      <c r="E1001" s="1321">
        <v>0.47899999999999998</v>
      </c>
      <c r="F1001" s="1322">
        <v>35.54</v>
      </c>
      <c r="G1001" s="1321">
        <v>1E-4</v>
      </c>
      <c r="H1001" s="1321">
        <v>0.04</v>
      </c>
      <c r="I1001" s="1322">
        <v>37.936</v>
      </c>
      <c r="J1001" s="1336">
        <v>15.75</v>
      </c>
      <c r="K1001" s="1335">
        <v>1E-3</v>
      </c>
      <c r="L1001" s="1321">
        <v>156</v>
      </c>
      <c r="M1001" s="1321">
        <v>0</v>
      </c>
      <c r="N1001" s="1246">
        <v>0.54</v>
      </c>
      <c r="O1001" s="1246">
        <v>23.71</v>
      </c>
      <c r="P1001" s="1246">
        <v>69.739999999999995</v>
      </c>
      <c r="Q1001" s="1246">
        <v>4.18</v>
      </c>
      <c r="R1001" s="1246">
        <v>1E-3</v>
      </c>
      <c r="S1001" s="1321">
        <v>1E-3</v>
      </c>
      <c r="T1001" s="1246">
        <v>1E-3</v>
      </c>
      <c r="U1001" s="1246">
        <v>1E-3</v>
      </c>
    </row>
    <row r="1002" spans="1:22" x14ac:dyDescent="0.25">
      <c r="A1002" s="1318">
        <v>200069</v>
      </c>
      <c r="B1002" s="1319" t="str">
        <f t="shared" si="29"/>
        <v>-4,95/+5,35  (EC  5,24)</v>
      </c>
      <c r="C1002" s="1320"/>
      <c r="D1002" s="1321">
        <v>7.63</v>
      </c>
      <c r="E1002" s="1321">
        <v>0.52400000000000002</v>
      </c>
      <c r="F1002" s="1322">
        <v>55.34</v>
      </c>
      <c r="G1002" s="1321">
        <v>1E-4</v>
      </c>
      <c r="H1002" s="1321">
        <v>0.04</v>
      </c>
      <c r="I1002" s="1322">
        <v>38.672000000000004</v>
      </c>
      <c r="J1002" s="1336">
        <v>12.19</v>
      </c>
      <c r="K1002" s="1335">
        <v>3.0600000000000002E-2</v>
      </c>
      <c r="L1002" s="1321">
        <v>165.60000000000002</v>
      </c>
      <c r="M1002" s="1321">
        <v>0</v>
      </c>
      <c r="N1002" s="1246">
        <v>0.38</v>
      </c>
      <c r="O1002" s="1246">
        <v>24.17</v>
      </c>
      <c r="P1002" s="1246">
        <v>77.13</v>
      </c>
      <c r="Q1002" s="1246">
        <v>5.15</v>
      </c>
      <c r="R1002" s="1246">
        <v>0.03</v>
      </c>
      <c r="S1002" s="1321">
        <v>1E-3</v>
      </c>
      <c r="T1002" s="1246">
        <v>1E-3</v>
      </c>
      <c r="U1002" s="1246">
        <v>1E-3</v>
      </c>
    </row>
    <row r="1003" spans="1:22" x14ac:dyDescent="0.25">
      <c r="A1003" s="1318">
        <v>200070</v>
      </c>
      <c r="B1003" s="1319" t="str">
        <f>"-"&amp;TEXT((F1003/62+G1003/46+I1003/35.5+J1003/48+K1003/97+L1003/61),"0,00")&amp;"/+"&amp;TEXT((N1003/39+O1003/23+P1003/20+Q1003/12+H1003/14),"0,00")&amp;"  (EC  "&amp;E1003*10&amp;")"</f>
        <v>-12,48/+12,47  (EC  11,5)</v>
      </c>
      <c r="C1003" s="1320"/>
      <c r="D1003" s="1321">
        <v>7.3</v>
      </c>
      <c r="E1003" s="1321">
        <v>1.1499999999999999</v>
      </c>
      <c r="F1003" s="1322">
        <v>1.96</v>
      </c>
      <c r="G1003" s="1321">
        <v>1E-4</v>
      </c>
      <c r="H1003" s="1321">
        <v>0.04</v>
      </c>
      <c r="I1003" s="1322">
        <v>126.11199999999999</v>
      </c>
      <c r="J1003" s="1323">
        <v>183.55</v>
      </c>
      <c r="K1003" s="1335">
        <v>1E-3</v>
      </c>
      <c r="L1003" s="1321">
        <v>309.60000000000002</v>
      </c>
      <c r="M1003" s="1321">
        <v>0</v>
      </c>
      <c r="N1003" s="1246">
        <v>0.91</v>
      </c>
      <c r="O1003" s="1246">
        <v>78.819999999999993</v>
      </c>
      <c r="P1003" s="1246">
        <v>104.27</v>
      </c>
      <c r="Q1003" s="1246">
        <v>45.61</v>
      </c>
      <c r="R1003" s="1246">
        <v>1.33</v>
      </c>
      <c r="S1003" s="1321">
        <v>1E-3</v>
      </c>
      <c r="T1003" s="1246">
        <v>0.01</v>
      </c>
      <c r="U1003" s="1246" t="s">
        <v>467</v>
      </c>
    </row>
    <row r="1004" spans="1:22" x14ac:dyDescent="0.25">
      <c r="A1004" s="1318">
        <v>200071</v>
      </c>
      <c r="B1004" s="1319" t="str">
        <f t="shared" si="29"/>
        <v>-14,79/+14,96  (EC  15,3)</v>
      </c>
      <c r="C1004" s="1320"/>
      <c r="D1004" s="1321">
        <v>7.54</v>
      </c>
      <c r="E1004" s="1321">
        <v>1.53</v>
      </c>
      <c r="F1004" s="1322">
        <v>46.59</v>
      </c>
      <c r="G1004" s="1321">
        <v>1E-4</v>
      </c>
      <c r="H1004" s="1321">
        <v>0.05</v>
      </c>
      <c r="I1004" s="1322">
        <v>172.608</v>
      </c>
      <c r="J1004" s="1336">
        <v>65.099999999999994</v>
      </c>
      <c r="K1004" s="1335">
        <v>1E-3</v>
      </c>
      <c r="L1004" s="1321">
        <v>477</v>
      </c>
      <c r="M1004" s="1321">
        <v>0</v>
      </c>
      <c r="N1004" s="1246">
        <v>2.1</v>
      </c>
      <c r="O1004" s="1246">
        <v>107.88</v>
      </c>
      <c r="P1004" s="1246">
        <v>112.01</v>
      </c>
      <c r="Q1004" s="1246">
        <v>55.3</v>
      </c>
      <c r="R1004" s="1246">
        <v>0.06</v>
      </c>
      <c r="S1004" s="1321">
        <v>1E-3</v>
      </c>
      <c r="T1004" s="1246">
        <v>1E-3</v>
      </c>
      <c r="U1004" s="1246">
        <v>1E-3</v>
      </c>
    </row>
    <row r="1005" spans="1:22" x14ac:dyDescent="0.25">
      <c r="A1005" s="1318">
        <v>200072</v>
      </c>
      <c r="B1005" s="1319" t="str">
        <f>"-"&amp;TEXT((F1005/62+G1005/46+I1005/35.5+J1005/48+K1005/97+L1005/61),"0,00")&amp;"/+"&amp;TEXT((N1005/39+O1005/23+P1005/20+Q1005/12+H1005/14),"0,00")&amp;"  (EC  "&amp;E1005*10&amp;")"</f>
        <v>-6,02/+5,80  (EC  5,08)</v>
      </c>
      <c r="C1005" s="1320"/>
      <c r="D1005" s="1321">
        <v>7.81</v>
      </c>
      <c r="E1005" s="1321">
        <v>0.50800000000000001</v>
      </c>
      <c r="F1005" s="1322">
        <v>27.33</v>
      </c>
      <c r="G1005" s="1321">
        <v>1E-4</v>
      </c>
      <c r="H1005" s="1321">
        <v>0.05</v>
      </c>
      <c r="I1005" s="1322">
        <v>39.904000000000003</v>
      </c>
      <c r="J1005" s="1336">
        <v>28.56</v>
      </c>
      <c r="K1005" s="1335">
        <v>6.1200000000000004E-2</v>
      </c>
      <c r="L1005" s="1321">
        <v>235.20000000000002</v>
      </c>
      <c r="M1005" s="1321">
        <v>0</v>
      </c>
      <c r="N1005" s="1246">
        <v>1.61</v>
      </c>
      <c r="O1005" s="1246">
        <v>24.94</v>
      </c>
      <c r="P1005" s="1246">
        <v>66.010000000000005</v>
      </c>
      <c r="Q1005" s="1246">
        <v>16.43</v>
      </c>
      <c r="R1005" s="1246">
        <v>1E-3</v>
      </c>
      <c r="S1005" s="1321">
        <v>1E-3</v>
      </c>
      <c r="T1005" s="1246">
        <v>1E-3</v>
      </c>
      <c r="U1005" s="1246">
        <v>1E-3</v>
      </c>
    </row>
    <row r="1006" spans="1:22" x14ac:dyDescent="0.25">
      <c r="A1006" s="1318">
        <v>200073</v>
      </c>
      <c r="B1006" s="1319" t="str">
        <f t="shared" si="29"/>
        <v>-9,13/+10,94  (EC  10,54)</v>
      </c>
      <c r="C1006" s="1320"/>
      <c r="D1006" s="1321">
        <v>7.96</v>
      </c>
      <c r="E1006" s="1321">
        <v>1.054</v>
      </c>
      <c r="F1006" s="1322">
        <v>59.68</v>
      </c>
      <c r="G1006" s="1321">
        <v>1E-4</v>
      </c>
      <c r="H1006" s="1321">
        <v>0.05</v>
      </c>
      <c r="I1006" s="1322">
        <v>109.504</v>
      </c>
      <c r="J1006" s="1336">
        <v>62.88</v>
      </c>
      <c r="K1006" s="1335">
        <v>1E-3</v>
      </c>
      <c r="L1006" s="1321">
        <v>230.39999999999998</v>
      </c>
      <c r="M1006" s="1321">
        <v>0</v>
      </c>
      <c r="N1006" s="1246">
        <v>2.11</v>
      </c>
      <c r="O1006" s="1246">
        <v>68.44</v>
      </c>
      <c r="P1006" s="1246">
        <v>62.83</v>
      </c>
      <c r="Q1006" s="1246">
        <v>57.21</v>
      </c>
      <c r="R1006" s="1246">
        <v>7.0000000000000007E-2</v>
      </c>
      <c r="S1006" s="1321">
        <v>1E-3</v>
      </c>
      <c r="T1006" s="1246">
        <v>1E-3</v>
      </c>
      <c r="U1006" s="1246" t="s">
        <v>465</v>
      </c>
    </row>
    <row r="1007" spans="1:22" x14ac:dyDescent="0.25">
      <c r="A1007" s="1318">
        <v>200074</v>
      </c>
      <c r="B1007" s="1319" t="str">
        <f t="shared" si="29"/>
        <v>-12,76/+12,05  (EC  11,02)</v>
      </c>
      <c r="C1007" s="1320"/>
      <c r="D1007" s="1321">
        <v>7.66</v>
      </c>
      <c r="E1007" s="1321">
        <v>1.1020000000000001</v>
      </c>
      <c r="F1007" s="1322">
        <v>30.23</v>
      </c>
      <c r="G1007" s="1321">
        <v>1E-4</v>
      </c>
      <c r="H1007" s="1321">
        <v>0.04</v>
      </c>
      <c r="I1007" s="1322">
        <v>88.975999999999999</v>
      </c>
      <c r="J1007" s="1323">
        <v>251.64999999999998</v>
      </c>
      <c r="K1007" s="1335">
        <v>3.0600000000000002E-2</v>
      </c>
      <c r="L1007" s="1321">
        <v>276</v>
      </c>
      <c r="M1007" s="1321">
        <v>0</v>
      </c>
      <c r="N1007" s="1246">
        <v>2.14</v>
      </c>
      <c r="O1007" s="1246">
        <v>55.61</v>
      </c>
      <c r="P1007" s="1246">
        <v>109.07</v>
      </c>
      <c r="Q1007" s="1246">
        <v>49.47</v>
      </c>
      <c r="R1007" s="1246">
        <v>1E-3</v>
      </c>
      <c r="S1007" s="1321">
        <v>1E-3</v>
      </c>
      <c r="T1007" s="1246">
        <v>1E-3</v>
      </c>
      <c r="U1007" s="1246">
        <v>1E-3</v>
      </c>
    </row>
    <row r="1008" spans="1:22" s="5" customFormat="1" x14ac:dyDescent="0.25">
      <c r="A1008" s="727">
        <v>200075</v>
      </c>
      <c r="B1008" s="1268" t="str">
        <f t="shared" si="29"/>
        <v>-24,26/+25,00  (EC  25,6)</v>
      </c>
      <c r="C1008" s="729"/>
      <c r="D1008" s="730">
        <v>7.49</v>
      </c>
      <c r="E1008" s="730">
        <v>2.56</v>
      </c>
      <c r="F1008" s="732">
        <v>19.309999999999999</v>
      </c>
      <c r="G1008" s="1362">
        <v>1E-3</v>
      </c>
      <c r="H1008" s="1357">
        <v>0.05</v>
      </c>
      <c r="I1008" s="731">
        <v>548.03200000000004</v>
      </c>
      <c r="J1008" s="1358">
        <v>165</v>
      </c>
      <c r="K1008" s="1359">
        <v>6.1200000000000004E-2</v>
      </c>
      <c r="L1008" s="731">
        <v>309.60000000000002</v>
      </c>
      <c r="M1008" s="731">
        <v>0</v>
      </c>
      <c r="N1008" s="731">
        <v>6.33</v>
      </c>
      <c r="O1008" s="731">
        <v>342.52</v>
      </c>
      <c r="P1008" s="731">
        <v>96.37</v>
      </c>
      <c r="Q1008" s="731">
        <v>61.48</v>
      </c>
      <c r="R1008" s="730">
        <v>0.01</v>
      </c>
      <c r="S1008" s="730">
        <v>1E-3</v>
      </c>
      <c r="T1008" s="730">
        <v>7.0000000000000007E-2</v>
      </c>
      <c r="U1008" s="730">
        <v>0.13</v>
      </c>
      <c r="V1008" s="25"/>
    </row>
    <row r="1009" spans="1:22" s="5" customFormat="1" x14ac:dyDescent="0.25">
      <c r="A1009" s="727">
        <v>200076</v>
      </c>
      <c r="B1009" s="1268" t="str">
        <f t="shared" si="29"/>
        <v>-44,70/+43,90  (EC  43)</v>
      </c>
      <c r="C1009" s="729"/>
      <c r="D1009" s="730">
        <v>8.1</v>
      </c>
      <c r="E1009" s="730">
        <v>4.3</v>
      </c>
      <c r="F1009" s="732">
        <v>36.770000000000003</v>
      </c>
      <c r="G1009" s="1362">
        <v>1E-3</v>
      </c>
      <c r="H1009" s="1357">
        <v>0.05</v>
      </c>
      <c r="I1009" s="731">
        <v>1210.1759999999999</v>
      </c>
      <c r="J1009" s="1358">
        <v>250.35</v>
      </c>
      <c r="K1009" s="1359">
        <v>6.1200000000000004E-2</v>
      </c>
      <c r="L1009" s="731">
        <v>292.8</v>
      </c>
      <c r="M1009" s="731">
        <v>0</v>
      </c>
      <c r="N1009" s="731">
        <v>5.73</v>
      </c>
      <c r="O1009" s="731">
        <v>818.86</v>
      </c>
      <c r="P1009" s="731">
        <v>107.24</v>
      </c>
      <c r="Q1009" s="731">
        <v>33.36</v>
      </c>
      <c r="R1009" s="730">
        <v>0.01</v>
      </c>
      <c r="S1009" s="730">
        <v>1E-3</v>
      </c>
      <c r="T1009" s="730">
        <v>1E-3</v>
      </c>
      <c r="U1009" s="730">
        <v>1E-3</v>
      </c>
      <c r="V1009" s="25"/>
    </row>
    <row r="1010" spans="1:22" s="5" customFormat="1" x14ac:dyDescent="0.25">
      <c r="A1010" s="727">
        <v>200077</v>
      </c>
      <c r="B1010" s="1268" t="str">
        <f>"-"&amp;TEXT((F1010/62+G1010/46+I1010/35.5+J1010/48+K1010/97+L1010/61),"0,00")&amp;"/+"&amp;TEXT((N1010/39+O1010/23+P1010/20+Q1010/12+H1010/14),"0,00")&amp;"  (EC  "&amp;E1010*10&amp;")"</f>
        <v>-741,35/+714,50  (EC  548)</v>
      </c>
      <c r="C1010" s="729"/>
      <c r="D1010" s="730">
        <v>7.6</v>
      </c>
      <c r="E1010" s="730">
        <v>54.8</v>
      </c>
      <c r="F1010" s="732">
        <v>22.42</v>
      </c>
      <c r="G1010" s="1362">
        <v>1E-3</v>
      </c>
      <c r="H1010" s="1357">
        <v>0.14000000000000001</v>
      </c>
      <c r="I1010" s="731">
        <v>21190.096000000001</v>
      </c>
      <c r="J1010" s="1358">
        <v>6744</v>
      </c>
      <c r="K1010" s="1359">
        <v>0.12240000000000001</v>
      </c>
      <c r="L1010" s="731">
        <v>218.39999999999998</v>
      </c>
      <c r="M1010" s="731">
        <v>0</v>
      </c>
      <c r="N1010" s="731">
        <v>26.08</v>
      </c>
      <c r="O1010" s="731">
        <v>13243.81</v>
      </c>
      <c r="P1010" s="731">
        <v>726.95</v>
      </c>
      <c r="Q1010" s="731">
        <v>1219.9000000000001</v>
      </c>
      <c r="R1010" s="730">
        <v>0.41</v>
      </c>
      <c r="S1010" s="730">
        <v>1E-3</v>
      </c>
      <c r="T1010" s="730">
        <v>0.01</v>
      </c>
      <c r="U1010" s="730">
        <v>1E-3</v>
      </c>
      <c r="V1010" s="25"/>
    </row>
    <row r="1011" spans="1:22" s="5" customFormat="1" x14ac:dyDescent="0.25">
      <c r="A1011" s="727">
        <v>200078</v>
      </c>
      <c r="B1011" s="1268" t="str">
        <f t="shared" si="29"/>
        <v>-52,74/+52,96  (EC  52,5)</v>
      </c>
      <c r="C1011" s="729"/>
      <c r="D1011" s="730">
        <v>6.62</v>
      </c>
      <c r="E1011" s="730">
        <v>5.25</v>
      </c>
      <c r="F1011" s="732">
        <v>0.41</v>
      </c>
      <c r="G1011" s="1362">
        <v>1E-3</v>
      </c>
      <c r="H1011" s="1357">
        <v>0.04</v>
      </c>
      <c r="I1011" s="731">
        <v>1105.5999999999999</v>
      </c>
      <c r="J1011" s="1358">
        <v>278.5</v>
      </c>
      <c r="K1011" s="1359">
        <v>3.0600000000000002E-3</v>
      </c>
      <c r="L1011" s="731">
        <v>963.32</v>
      </c>
      <c r="M1011" s="731">
        <v>0</v>
      </c>
      <c r="N1011" s="731">
        <v>4.5599999999999996</v>
      </c>
      <c r="O1011" s="1360">
        <v>1016</v>
      </c>
      <c r="P1011" s="731">
        <v>63.52</v>
      </c>
      <c r="Q1011" s="731">
        <v>65.87</v>
      </c>
      <c r="R1011" s="730">
        <v>0.01</v>
      </c>
      <c r="S1011" s="730">
        <v>1E-3</v>
      </c>
      <c r="T1011" s="730">
        <v>1.4999999999999999E-2</v>
      </c>
      <c r="U1011" s="730">
        <v>3.43</v>
      </c>
      <c r="V1011" s="25"/>
    </row>
    <row r="1012" spans="1:22" s="5" customFormat="1" x14ac:dyDescent="0.25">
      <c r="A1012" s="727">
        <v>200079</v>
      </c>
      <c r="B1012" s="1268" t="str">
        <f t="shared" si="29"/>
        <v>-7,42/+8,03  (EC  7)</v>
      </c>
      <c r="C1012" s="729"/>
      <c r="D1012" s="730">
        <v>7.8</v>
      </c>
      <c r="E1012" s="730">
        <v>0.7</v>
      </c>
      <c r="F1012" s="732">
        <v>91.67</v>
      </c>
      <c r="G1012" s="1362">
        <v>1E-3</v>
      </c>
      <c r="H1012" s="1357">
        <v>0.04</v>
      </c>
      <c r="I1012" s="731">
        <v>21.024000000000001</v>
      </c>
      <c r="J1012" s="1357">
        <v>46.89</v>
      </c>
      <c r="K1012" s="1359">
        <v>9.1799999999999993E-2</v>
      </c>
      <c r="L1012" s="731">
        <v>266.39999999999998</v>
      </c>
      <c r="M1012" s="731">
        <v>0</v>
      </c>
      <c r="N1012" s="731">
        <v>1.28</v>
      </c>
      <c r="O1012" s="731">
        <v>13.14</v>
      </c>
      <c r="P1012" s="731">
        <v>67.92</v>
      </c>
      <c r="Q1012" s="731">
        <v>48.34</v>
      </c>
      <c r="R1012" s="730">
        <v>1E-3</v>
      </c>
      <c r="S1012" s="730">
        <v>1E-3</v>
      </c>
      <c r="T1012" s="730">
        <v>1E-3</v>
      </c>
      <c r="U1012" s="730">
        <v>0.21</v>
      </c>
      <c r="V1012" s="25"/>
    </row>
    <row r="1013" spans="1:22" x14ac:dyDescent="0.25">
      <c r="A1013" s="584">
        <v>200080</v>
      </c>
      <c r="B1013" s="551" t="str">
        <f t="shared" si="29"/>
        <v>-22,68/+23,60  (EC  22,5)</v>
      </c>
      <c r="C1013" s="552"/>
      <c r="D1013" s="553">
        <v>7.52</v>
      </c>
      <c r="E1013" s="553">
        <v>2.25</v>
      </c>
      <c r="F1013" s="1093">
        <v>79.22</v>
      </c>
      <c r="G1013" s="553">
        <v>1E-3</v>
      </c>
      <c r="H1013" s="1093">
        <v>0.04</v>
      </c>
      <c r="I1013" s="587">
        <v>257.44799999999998</v>
      </c>
      <c r="J1013" s="1093">
        <v>385.36</v>
      </c>
      <c r="K1013" s="587">
        <v>9.1799999999999993E-2</v>
      </c>
      <c r="L1013" s="1377">
        <v>373.6</v>
      </c>
      <c r="M1013" s="553">
        <v>0</v>
      </c>
      <c r="N1013" s="553">
        <v>2.41</v>
      </c>
      <c r="O1013" s="553">
        <v>214.54</v>
      </c>
      <c r="P1013" s="553">
        <v>149.05000000000001</v>
      </c>
      <c r="Q1013" s="553">
        <v>81.06</v>
      </c>
      <c r="R1013" s="553">
        <v>0.01</v>
      </c>
      <c r="S1013" s="553">
        <v>1E-3</v>
      </c>
      <c r="T1013" s="553">
        <v>1E-3</v>
      </c>
      <c r="U1013" s="553">
        <v>0.1</v>
      </c>
    </row>
    <row r="1014" spans="1:22" x14ac:dyDescent="0.25">
      <c r="A1014" s="584">
        <v>200081</v>
      </c>
      <c r="B1014" s="551" t="str">
        <f t="shared" si="29"/>
        <v>-7,18/+8,01  (EC  7,89)</v>
      </c>
      <c r="C1014" s="552"/>
      <c r="D1014" s="553">
        <v>8.2899999999999991</v>
      </c>
      <c r="E1014" s="553">
        <v>0.78900000000000003</v>
      </c>
      <c r="F1014" s="1093">
        <v>26.09</v>
      </c>
      <c r="G1014" s="553">
        <v>1E-3</v>
      </c>
      <c r="H1014" s="1093">
        <v>0.05</v>
      </c>
      <c r="I1014" s="587">
        <v>65.268000000000001</v>
      </c>
      <c r="J1014" s="1093">
        <v>32.630000000000003</v>
      </c>
      <c r="K1014" s="553">
        <v>6.1200000000000004E-2</v>
      </c>
      <c r="L1014" s="1377">
        <v>258.39999999999998</v>
      </c>
      <c r="M1014" s="553">
        <v>0</v>
      </c>
      <c r="N1014" s="553">
        <v>0.96</v>
      </c>
      <c r="O1014" s="553">
        <v>54.39</v>
      </c>
      <c r="P1014" s="553">
        <v>81.599999999999994</v>
      </c>
      <c r="Q1014" s="553">
        <v>18.41</v>
      </c>
      <c r="R1014" s="553">
        <v>1E-3</v>
      </c>
      <c r="S1014" s="553">
        <v>1E-3</v>
      </c>
      <c r="T1014" s="553">
        <v>1E-3</v>
      </c>
      <c r="U1014" s="553">
        <v>1E-3</v>
      </c>
    </row>
    <row r="1015" spans="1:22" x14ac:dyDescent="0.25">
      <c r="A1015" s="584">
        <v>200082</v>
      </c>
      <c r="B1015" s="551" t="str">
        <f t="shared" si="29"/>
        <v>-10,16/+11,13  (EC  10,8)</v>
      </c>
      <c r="C1015" s="552"/>
      <c r="D1015" s="553">
        <v>7.55</v>
      </c>
      <c r="E1015" s="553">
        <v>1.08</v>
      </c>
      <c r="F1015" s="1093">
        <v>67.11</v>
      </c>
      <c r="G1015" s="553">
        <v>1E-3</v>
      </c>
      <c r="H1015" s="1093">
        <v>0.03</v>
      </c>
      <c r="I1015" s="587">
        <v>50.243999999999993</v>
      </c>
      <c r="J1015" s="1093">
        <v>59.14</v>
      </c>
      <c r="K1015" s="553">
        <v>3.0600000000000002E-2</v>
      </c>
      <c r="L1015" s="1377">
        <v>392.3</v>
      </c>
      <c r="M1015" s="553">
        <v>0</v>
      </c>
      <c r="N1015" s="553">
        <v>1.08</v>
      </c>
      <c r="O1015" s="553">
        <v>41.87</v>
      </c>
      <c r="P1015" s="553">
        <v>98.79</v>
      </c>
      <c r="Q1015" s="553">
        <v>52.08</v>
      </c>
      <c r="R1015" s="553">
        <v>0.04</v>
      </c>
      <c r="S1015" s="553">
        <v>1E-3</v>
      </c>
      <c r="T1015" s="553">
        <v>1E-3</v>
      </c>
      <c r="U1015" s="553">
        <v>0.01</v>
      </c>
    </row>
    <row r="1016" spans="1:22" x14ac:dyDescent="0.25">
      <c r="A1016" s="584">
        <v>200083</v>
      </c>
      <c r="B1016" s="551" t="str">
        <f t="shared" si="29"/>
        <v>-8,27/+8,58  (EC  8,76)</v>
      </c>
      <c r="C1016" s="552"/>
      <c r="D1016" s="553">
        <v>7.82</v>
      </c>
      <c r="E1016" s="553">
        <v>0.876</v>
      </c>
      <c r="F1016" s="1093">
        <v>76.930000000000007</v>
      </c>
      <c r="G1016" s="553">
        <v>1E-3</v>
      </c>
      <c r="H1016" s="1093">
        <v>0.06</v>
      </c>
      <c r="I1016" s="587">
        <v>101.892</v>
      </c>
      <c r="J1016" s="1093">
        <v>39.25</v>
      </c>
      <c r="K1016" s="553">
        <v>3.0600000000000002E-3</v>
      </c>
      <c r="L1016" s="1377">
        <v>204</v>
      </c>
      <c r="M1016" s="553">
        <v>0</v>
      </c>
      <c r="N1016" s="553">
        <v>1.18</v>
      </c>
      <c r="O1016" s="553">
        <v>84.91</v>
      </c>
      <c r="P1016" s="553">
        <v>61.52</v>
      </c>
      <c r="Q1016" s="553">
        <v>21.34</v>
      </c>
      <c r="R1016" s="553">
        <v>0.05</v>
      </c>
      <c r="S1016" s="553">
        <v>1E-3</v>
      </c>
      <c r="T1016" s="553">
        <v>1E-3</v>
      </c>
      <c r="U1016" s="553">
        <v>0.02</v>
      </c>
    </row>
    <row r="1017" spans="1:22" x14ac:dyDescent="0.25">
      <c r="A1017" s="584">
        <v>200084</v>
      </c>
      <c r="B1017" s="551" t="str">
        <f t="shared" si="29"/>
        <v>-17,15/+18,28  (EC  16,26)</v>
      </c>
      <c r="C1017" s="552"/>
      <c r="D1017" s="553">
        <v>8.1999999999999993</v>
      </c>
      <c r="E1017" s="553">
        <v>1.6259999999999999</v>
      </c>
      <c r="F1017" s="1093">
        <v>0.64</v>
      </c>
      <c r="G1017" s="553">
        <v>1E-3</v>
      </c>
      <c r="H1017" s="1093">
        <v>0.09</v>
      </c>
      <c r="I1017" s="587">
        <v>125.69999999999999</v>
      </c>
      <c r="J1017" s="1093">
        <v>427.95</v>
      </c>
      <c r="K1017" s="553">
        <v>3.0600000000000002E-2</v>
      </c>
      <c r="L1017" s="1377">
        <v>285.60000000000002</v>
      </c>
      <c r="M1017" s="553">
        <v>0</v>
      </c>
      <c r="N1017" s="553">
        <v>6.02</v>
      </c>
      <c r="O1017" s="553">
        <v>104.75</v>
      </c>
      <c r="P1017" s="553">
        <v>121.3</v>
      </c>
      <c r="Q1017" s="553">
        <v>89.96</v>
      </c>
      <c r="R1017" s="553">
        <v>0.01</v>
      </c>
      <c r="S1017" s="553">
        <v>1E-3</v>
      </c>
      <c r="T1017" s="553">
        <v>1E-3</v>
      </c>
      <c r="U1017" s="553">
        <v>0.03</v>
      </c>
    </row>
    <row r="1018" spans="1:22" x14ac:dyDescent="0.25">
      <c r="A1018" s="584">
        <v>200085</v>
      </c>
      <c r="B1018" s="551" t="str">
        <f t="shared" si="29"/>
        <v>-16,59/+17,06  (EC  16,46)</v>
      </c>
      <c r="C1018" s="552"/>
      <c r="D1018" s="553">
        <v>7.69</v>
      </c>
      <c r="E1018" s="553">
        <v>1.6459999999999999</v>
      </c>
      <c r="F1018" s="1093">
        <v>10.5</v>
      </c>
      <c r="G1018" s="553">
        <v>1E-3</v>
      </c>
      <c r="H1018" s="1093">
        <v>7.0000000000000007E-2</v>
      </c>
      <c r="I1018" s="587">
        <v>133.47999999999999</v>
      </c>
      <c r="J1018" s="1093">
        <v>269.60000000000002</v>
      </c>
      <c r="K1018" s="553">
        <v>6.1200000000000004E-2</v>
      </c>
      <c r="L1018" s="1377">
        <v>429.59999999999997</v>
      </c>
      <c r="M1018" s="553">
        <v>0</v>
      </c>
      <c r="N1018" s="553">
        <v>4.05</v>
      </c>
      <c r="O1018" s="553">
        <v>127.9</v>
      </c>
      <c r="P1018" s="553">
        <v>126.12</v>
      </c>
      <c r="Q1018" s="553">
        <v>61.06</v>
      </c>
      <c r="R1018" s="553"/>
      <c r="S1018" s="553"/>
      <c r="T1018" s="553"/>
      <c r="U1018" s="553"/>
    </row>
    <row r="1019" spans="1:22" x14ac:dyDescent="0.25">
      <c r="A1019" s="584">
        <v>200086</v>
      </c>
      <c r="B1019" s="551" t="str">
        <f t="shared" si="29"/>
        <v>-54,46/+54,85  (EC  53)</v>
      </c>
      <c r="C1019" s="552"/>
      <c r="D1019" s="553">
        <v>7.09</v>
      </c>
      <c r="E1019" s="553">
        <v>5.3</v>
      </c>
      <c r="F1019" s="1093">
        <v>0.4</v>
      </c>
      <c r="G1019" s="553">
        <v>1E-3</v>
      </c>
      <c r="H1019" s="1378">
        <v>0.08</v>
      </c>
      <c r="I1019" s="587">
        <v>880.68</v>
      </c>
      <c r="J1019" s="1093">
        <v>744.8</v>
      </c>
      <c r="K1019" s="553">
        <v>9.1799999999999993E-2</v>
      </c>
      <c r="L1019" s="1377">
        <v>861.59999999999991</v>
      </c>
      <c r="M1019" s="553">
        <v>0</v>
      </c>
      <c r="N1019" s="553">
        <v>35.520000000000003</v>
      </c>
      <c r="O1019" s="608">
        <v>703.9</v>
      </c>
      <c r="P1019" s="608">
        <v>353.69</v>
      </c>
      <c r="Q1019" s="553">
        <v>67.78</v>
      </c>
      <c r="R1019" s="553"/>
      <c r="S1019" s="553"/>
      <c r="T1019" s="553"/>
      <c r="U1019" s="553"/>
    </row>
    <row r="1020" spans="1:22" x14ac:dyDescent="0.25">
      <c r="A1020" s="584">
        <v>200087</v>
      </c>
      <c r="B1020" s="551" t="str">
        <f t="shared" si="29"/>
        <v>-8,24/+8,18  (EC  7)</v>
      </c>
      <c r="C1020" s="552"/>
      <c r="D1020" s="553">
        <v>7.56</v>
      </c>
      <c r="E1020" s="553">
        <v>0.7</v>
      </c>
      <c r="F1020" s="1093">
        <v>22.44</v>
      </c>
      <c r="G1020" s="553">
        <v>1E-3</v>
      </c>
      <c r="H1020" s="1093">
        <v>0.05</v>
      </c>
      <c r="I1020" s="587">
        <v>22.26</v>
      </c>
      <c r="J1020" s="1093">
        <v>66.55</v>
      </c>
      <c r="K1020" s="553">
        <v>3.0600000000000002E-2</v>
      </c>
      <c r="L1020" s="1377">
        <v>357.6</v>
      </c>
      <c r="M1020" s="553">
        <v>0</v>
      </c>
      <c r="N1020" s="553">
        <v>1.47</v>
      </c>
      <c r="O1020" s="553">
        <v>18.55</v>
      </c>
      <c r="P1020" s="553">
        <v>77.760000000000005</v>
      </c>
      <c r="Q1020" s="553">
        <v>41.29</v>
      </c>
      <c r="R1020" s="553">
        <v>0.65</v>
      </c>
      <c r="S1020" s="553">
        <v>1E-3</v>
      </c>
      <c r="T1020" s="553">
        <v>1E-3</v>
      </c>
      <c r="U1020" s="553">
        <v>1E-3</v>
      </c>
    </row>
    <row r="1021" spans="1:22" x14ac:dyDescent="0.25">
      <c r="A1021" s="584">
        <v>200088</v>
      </c>
      <c r="B1021" s="551" t="str">
        <f>"-"&amp;TEXT((F1021/62+G1021/46+I1021/35.5+J1021/48+K1021/97+L1021/61),"0,00")&amp;"/+"&amp;TEXT((N1021/39+O1021/23+P1021/20+Q1021/12+H1021/14),"0,00")&amp;"  (EC  "&amp;E1021*10&amp;")"</f>
        <v>-70,34/+71,56  (EC  70,5)</v>
      </c>
      <c r="C1021" s="552"/>
      <c r="D1021" s="553">
        <v>8.1</v>
      </c>
      <c r="E1021" s="553">
        <v>7.05</v>
      </c>
      <c r="F1021" s="1093">
        <v>85.97</v>
      </c>
      <c r="G1021" s="553">
        <v>1E-3</v>
      </c>
      <c r="H1021" s="1093">
        <v>0.12</v>
      </c>
      <c r="I1021" s="587">
        <v>1603.69</v>
      </c>
      <c r="J1021" s="1093">
        <v>823.96</v>
      </c>
      <c r="K1021" s="553">
        <v>0.12240000000000001</v>
      </c>
      <c r="L1021" s="1377">
        <v>403.6</v>
      </c>
      <c r="M1021" s="553">
        <v>0</v>
      </c>
      <c r="N1021" s="553">
        <v>5.33</v>
      </c>
      <c r="O1021" s="553">
        <v>703.29</v>
      </c>
      <c r="P1021" s="553">
        <v>432.88</v>
      </c>
      <c r="Q1021" s="553">
        <v>230.32</v>
      </c>
      <c r="R1021" s="553"/>
      <c r="S1021" s="553"/>
      <c r="T1021" s="553"/>
      <c r="U1021" s="553"/>
    </row>
    <row r="1022" spans="1:22" s="1380" customFormat="1" ht="21" x14ac:dyDescent="0.35">
      <c r="A1022" s="1390">
        <v>200089</v>
      </c>
      <c r="B1022" s="1402" t="str">
        <f>"-"&amp;TEXT((F1022/62+G1022/46+I1022/35.5+J1022/48+K1022/97+L1022/61),"0,00")&amp;"/+"&amp;TEXT((N1022/39+O1022/23+P1022/20+Q1022/12+H1022/14),"0,00")&amp;"  (EC  "&amp;E1022*10&amp;")"</f>
        <v>-20,12/+17,64  (EC  18,8)</v>
      </c>
      <c r="C1022" s="1391"/>
      <c r="D1022" s="1392">
        <v>7.1</v>
      </c>
      <c r="E1022" s="1393">
        <v>1.88</v>
      </c>
      <c r="F1022" s="1394">
        <v>34.39</v>
      </c>
      <c r="G1022" s="1392"/>
      <c r="H1022" s="1395">
        <v>0.02</v>
      </c>
      <c r="I1022" s="1396">
        <v>100.626</v>
      </c>
      <c r="J1022" s="1397">
        <v>376.32</v>
      </c>
      <c r="K1022" s="1392">
        <v>0.32</v>
      </c>
      <c r="L1022" s="1396">
        <v>542.4</v>
      </c>
      <c r="M1022" s="1392"/>
      <c r="N1022" s="1398">
        <v>4.1100000000000003</v>
      </c>
      <c r="O1022" s="1392">
        <v>54.1</v>
      </c>
      <c r="P1022" s="1392">
        <v>174.4</v>
      </c>
      <c r="Q1022" s="1392">
        <v>77.5</v>
      </c>
      <c r="R1022" s="1392">
        <v>0.01</v>
      </c>
      <c r="S1022" s="1392">
        <v>1E-3</v>
      </c>
      <c r="T1022" s="1392">
        <v>1E-3</v>
      </c>
      <c r="U1022" s="1392">
        <v>0.1</v>
      </c>
      <c r="V1022" s="1379"/>
    </row>
    <row r="1023" spans="1:22" s="1380" customFormat="1" ht="21" x14ac:dyDescent="0.35">
      <c r="A1023" s="1390">
        <v>200090</v>
      </c>
      <c r="B1023" s="1402" t="str">
        <f>"-"&amp;TEXT((F1023/62+G1023/46+I1023/35.5+J1023/48+K1023/97+L1023/61),"0,00")&amp;"/+"&amp;TEXT((N1023/39+O1023/23+P1023/20+Q1023/12+H1023/14),"0,00")&amp;"  (EC  "&amp;E1023*10&amp;")"</f>
        <v>-22,70/+22,86  (EC  22,3)</v>
      </c>
      <c r="C1023" s="1391"/>
      <c r="D1023" s="1392">
        <v>6.1</v>
      </c>
      <c r="E1023" s="1393">
        <v>2.23</v>
      </c>
      <c r="F1023" s="1394">
        <v>0.12</v>
      </c>
      <c r="G1023" s="1392"/>
      <c r="H1023" s="1399">
        <v>25.55</v>
      </c>
      <c r="I1023" s="1396">
        <v>45.696000000000005</v>
      </c>
      <c r="J1023" s="1400">
        <v>950</v>
      </c>
      <c r="K1023" s="1392">
        <v>0.24</v>
      </c>
      <c r="L1023" s="1396">
        <v>98.4</v>
      </c>
      <c r="M1023" s="1392"/>
      <c r="N1023" s="1398">
        <v>4.83</v>
      </c>
      <c r="O1023" s="1392">
        <v>23.8</v>
      </c>
      <c r="P1023" s="1392">
        <v>74.900000000000006</v>
      </c>
      <c r="Q1023" s="1392">
        <v>193.6</v>
      </c>
      <c r="R1023" s="1392">
        <v>1E-3</v>
      </c>
      <c r="S1023" s="1392">
        <v>1E-3</v>
      </c>
      <c r="T1023" s="1392">
        <v>1E-3</v>
      </c>
      <c r="U1023" s="1392">
        <v>1E-3</v>
      </c>
      <c r="V1023" s="1379"/>
    </row>
    <row r="1024" spans="1:22" s="1380" customFormat="1" ht="21" x14ac:dyDescent="0.35">
      <c r="A1024" s="1390">
        <v>200091</v>
      </c>
      <c r="B1024" s="1402" t="str">
        <f t="shared" ref="B1024:B1045" si="30">"-"&amp;TEXT((F1024/62+G1024/46+I1024/35.5+J1024/48+K1024/97+L1024/61),"0,00")&amp;"/+"&amp;TEXT((N1024/39+O1024/23+P1024/20+Q1024/12+H1024/14),"0,00")&amp;"  (EC  "&amp;E1024*10&amp;")"</f>
        <v>-93,86/+91,52  (EC  90)</v>
      </c>
      <c r="C1024" s="1391"/>
      <c r="D1024" s="1392">
        <v>7.6</v>
      </c>
      <c r="E1024" s="1393">
        <v>9</v>
      </c>
      <c r="F1024" s="1401">
        <v>47.63</v>
      </c>
      <c r="G1024" s="1392"/>
      <c r="H1024" s="1395">
        <v>0.28999999999999998</v>
      </c>
      <c r="I1024" s="1396">
        <v>2700</v>
      </c>
      <c r="J1024" s="1397">
        <v>645.6</v>
      </c>
      <c r="K1024" s="1392">
        <v>0.24</v>
      </c>
      <c r="L1024" s="1396">
        <v>218.39999999999998</v>
      </c>
      <c r="M1024" s="1392"/>
      <c r="N1024" s="1398">
        <v>8.6199999999999992</v>
      </c>
      <c r="O1024" s="1392">
        <v>1000</v>
      </c>
      <c r="P1024" s="1392">
        <v>406.5</v>
      </c>
      <c r="Q1024" s="1392">
        <v>329.7</v>
      </c>
      <c r="R1024" s="1392">
        <v>0.04</v>
      </c>
      <c r="S1024" s="1392">
        <v>1E-3</v>
      </c>
      <c r="T1024" s="1392">
        <v>1E-3</v>
      </c>
      <c r="U1024" s="1392">
        <v>0.01</v>
      </c>
      <c r="V1024" s="1379"/>
    </row>
    <row r="1025" spans="1:22" s="1380" customFormat="1" ht="21" x14ac:dyDescent="0.35">
      <c r="A1025" s="1390">
        <v>200092</v>
      </c>
      <c r="B1025" s="1402" t="str">
        <f t="shared" si="30"/>
        <v>-65,55/+67,69  (EC  66)</v>
      </c>
      <c r="C1025" s="1391"/>
      <c r="D1025" s="1392">
        <v>7.6</v>
      </c>
      <c r="E1025" s="1393">
        <v>6.6</v>
      </c>
      <c r="F1025" s="1401">
        <v>53.79</v>
      </c>
      <c r="G1025" s="1392"/>
      <c r="H1025" s="1395">
        <v>0.1</v>
      </c>
      <c r="I1025" s="1396">
        <v>1659.348</v>
      </c>
      <c r="J1025" s="1397">
        <v>679.85</v>
      </c>
      <c r="K1025" s="1392">
        <v>0.25</v>
      </c>
      <c r="L1025" s="1396">
        <v>230.39999999999998</v>
      </c>
      <c r="M1025" s="1392"/>
      <c r="N1025" s="1398">
        <v>0.91</v>
      </c>
      <c r="O1025" s="1392">
        <v>780.4</v>
      </c>
      <c r="P1025" s="1392">
        <v>291.60000000000002</v>
      </c>
      <c r="Q1025" s="1392">
        <v>229.8</v>
      </c>
      <c r="R1025" s="1392">
        <v>0.05</v>
      </c>
      <c r="S1025" s="1392">
        <v>1E-3</v>
      </c>
      <c r="T1025" s="1392">
        <v>1E-3</v>
      </c>
      <c r="U1025" s="1392">
        <v>0.02</v>
      </c>
      <c r="V1025" s="1379"/>
    </row>
    <row r="1026" spans="1:22" s="1380" customFormat="1" ht="21" x14ac:dyDescent="0.35">
      <c r="A1026" s="1390">
        <v>200093</v>
      </c>
      <c r="B1026" s="1402" t="str">
        <f t="shared" si="30"/>
        <v>-8,25/+7,59  (EC  6,08)</v>
      </c>
      <c r="C1026" s="1391"/>
      <c r="D1026" s="1392">
        <v>8.1999999999999993</v>
      </c>
      <c r="E1026" s="1393">
        <v>0.60799999999999998</v>
      </c>
      <c r="F1026" s="1401">
        <v>0.26</v>
      </c>
      <c r="G1026" s="1392"/>
      <c r="H1026" s="1395">
        <v>0.03</v>
      </c>
      <c r="I1026" s="1396">
        <v>55</v>
      </c>
      <c r="J1026" s="1397">
        <v>72</v>
      </c>
      <c r="K1026" s="1392">
        <v>0.32</v>
      </c>
      <c r="L1026" s="1396">
        <v>316.8</v>
      </c>
      <c r="M1026" s="1392"/>
      <c r="N1026" s="1398">
        <v>3.98</v>
      </c>
      <c r="O1026" s="1392">
        <v>35</v>
      </c>
      <c r="P1026" s="1392">
        <v>56</v>
      </c>
      <c r="Q1026" s="1392">
        <v>38</v>
      </c>
      <c r="R1026" s="1392">
        <v>0.01</v>
      </c>
      <c r="S1026" s="1392">
        <v>1E-3</v>
      </c>
      <c r="T1026" s="1392">
        <v>1E-3</v>
      </c>
      <c r="U1026" s="1392">
        <v>0.03</v>
      </c>
      <c r="V1026" s="1379"/>
    </row>
    <row r="1027" spans="1:22" s="1380" customFormat="1" ht="21" x14ac:dyDescent="0.35">
      <c r="A1027" s="1390">
        <v>200094</v>
      </c>
      <c r="B1027" s="1402" t="str">
        <f t="shared" si="30"/>
        <v>-15,74/+15,18  (EC  15,87)</v>
      </c>
      <c r="C1027" s="1391"/>
      <c r="D1027" s="1392">
        <v>7.9</v>
      </c>
      <c r="E1027" s="1393">
        <v>1.587</v>
      </c>
      <c r="F1027" s="1401">
        <v>89.23</v>
      </c>
      <c r="G1027" s="1392"/>
      <c r="H1027" s="1395">
        <v>0.01</v>
      </c>
      <c r="I1027" s="1396">
        <v>97.905000000000001</v>
      </c>
      <c r="J1027" s="1397">
        <v>385.96</v>
      </c>
      <c r="K1027" s="1392">
        <v>0.31</v>
      </c>
      <c r="L1027" s="1396">
        <v>213.60000000000002</v>
      </c>
      <c r="M1027" s="1392"/>
      <c r="N1027" s="1398">
        <v>6.6</v>
      </c>
      <c r="O1027" s="1392">
        <v>53.5</v>
      </c>
      <c r="P1027" s="1392">
        <v>146.19999999999999</v>
      </c>
      <c r="Q1027" s="1392">
        <v>64.5</v>
      </c>
      <c r="R1027" s="1392">
        <v>1E-3</v>
      </c>
      <c r="S1027" s="1392">
        <v>1E-3</v>
      </c>
      <c r="T1027" s="1392">
        <v>1E-3</v>
      </c>
      <c r="U1027" s="1392">
        <v>1E-3</v>
      </c>
      <c r="V1027" s="1379"/>
    </row>
    <row r="1028" spans="1:22" s="1380" customFormat="1" ht="21" x14ac:dyDescent="0.35">
      <c r="A1028" s="1390">
        <v>200095</v>
      </c>
      <c r="B1028" s="1402" t="str">
        <f t="shared" si="30"/>
        <v>-26,52/+25,97  (EC  27,2)</v>
      </c>
      <c r="C1028" s="1391"/>
      <c r="D1028" s="1392">
        <v>7.1</v>
      </c>
      <c r="E1028" s="1393">
        <v>2.72</v>
      </c>
      <c r="F1028" s="1401">
        <v>85.21</v>
      </c>
      <c r="G1028" s="1392"/>
      <c r="H1028" s="1395">
        <v>0.04</v>
      </c>
      <c r="I1028" s="1396">
        <v>134.33600000000001</v>
      </c>
      <c r="J1028" s="1397">
        <v>895</v>
      </c>
      <c r="K1028" s="1392">
        <v>0.24</v>
      </c>
      <c r="L1028" s="1396">
        <v>165.60000000000002</v>
      </c>
      <c r="M1028" s="1392"/>
      <c r="N1028" s="1398">
        <v>6.31</v>
      </c>
      <c r="O1028" s="1392">
        <v>221.6</v>
      </c>
      <c r="P1028" s="1392">
        <v>140</v>
      </c>
      <c r="Q1028" s="1392">
        <v>110</v>
      </c>
      <c r="R1028" s="1392"/>
      <c r="S1028" s="1392"/>
      <c r="T1028" s="1392"/>
      <c r="U1028" s="1392"/>
      <c r="V1028" s="1379"/>
    </row>
    <row r="1029" spans="1:22" s="1380" customFormat="1" ht="21" x14ac:dyDescent="0.35">
      <c r="A1029" s="1390">
        <v>200096</v>
      </c>
      <c r="B1029" s="1402" t="str">
        <f t="shared" si="30"/>
        <v>-68,96/+69,64  (EC  70,7)</v>
      </c>
      <c r="C1029" s="1391"/>
      <c r="D1029" s="1392">
        <v>6.7</v>
      </c>
      <c r="E1029" s="1393">
        <v>7.07</v>
      </c>
      <c r="F1029" s="1401">
        <v>18.170000000000002</v>
      </c>
      <c r="G1029" s="1392"/>
      <c r="H1029" s="1395">
        <v>0.08</v>
      </c>
      <c r="I1029" s="1396">
        <v>1590.6</v>
      </c>
      <c r="J1029" s="1397">
        <v>769.25</v>
      </c>
      <c r="K1029" s="1392">
        <v>0.28999999999999998</v>
      </c>
      <c r="L1029" s="1396">
        <v>477.59999999999997</v>
      </c>
      <c r="M1029" s="1392"/>
      <c r="N1029" s="1398">
        <v>9.9499999999999993</v>
      </c>
      <c r="O1029" s="1392">
        <v>820</v>
      </c>
      <c r="P1029" s="1392">
        <v>291.60000000000002</v>
      </c>
      <c r="Q1029" s="1392">
        <v>229.8</v>
      </c>
      <c r="R1029" s="1392">
        <v>0.01</v>
      </c>
      <c r="S1029" s="1392">
        <v>1E-3</v>
      </c>
      <c r="T1029" s="1392">
        <v>7.0000000000000007E-2</v>
      </c>
      <c r="U1029" s="1392">
        <v>0.13</v>
      </c>
      <c r="V1029" s="1379"/>
    </row>
    <row r="1030" spans="1:22" s="1380" customFormat="1" ht="21" x14ac:dyDescent="0.35">
      <c r="A1030" s="1390">
        <v>200097</v>
      </c>
      <c r="B1030" s="1402" t="str">
        <f t="shared" si="30"/>
        <v>-69,01/+68,04  (EC  67,8)</v>
      </c>
      <c r="C1030" s="1391"/>
      <c r="D1030" s="1392">
        <v>7.5</v>
      </c>
      <c r="E1030" s="1393">
        <v>6.78</v>
      </c>
      <c r="F1030" s="1401">
        <v>15.21</v>
      </c>
      <c r="G1030" s="1392"/>
      <c r="H1030" s="1395">
        <v>0.09</v>
      </c>
      <c r="I1030" s="1396">
        <v>1572.778</v>
      </c>
      <c r="J1030" s="1397">
        <v>792.55</v>
      </c>
      <c r="K1030" s="1392">
        <v>0.22</v>
      </c>
      <c r="L1030" s="1396">
        <v>484.79999999999995</v>
      </c>
      <c r="M1030" s="1392"/>
      <c r="N1030" s="1398">
        <v>2.09</v>
      </c>
      <c r="O1030" s="1392">
        <v>875.8</v>
      </c>
      <c r="P1030" s="1392">
        <v>205.6</v>
      </c>
      <c r="Q1030" s="1392">
        <v>235.5</v>
      </c>
      <c r="R1030" s="1392">
        <v>0.01</v>
      </c>
      <c r="S1030" s="1392">
        <v>1E-3</v>
      </c>
      <c r="T1030" s="1392">
        <v>1E-3</v>
      </c>
      <c r="U1030" s="1392">
        <v>1E-3</v>
      </c>
      <c r="V1030" s="1379"/>
    </row>
    <row r="1031" spans="1:22" s="1380" customFormat="1" ht="21" x14ac:dyDescent="0.35">
      <c r="A1031" s="1403">
        <v>200098</v>
      </c>
      <c r="B1031" s="1404" t="str">
        <f t="shared" si="30"/>
        <v>-4,44/+5,94  (EC  0,51)</v>
      </c>
      <c r="C1031" s="1391"/>
      <c r="D1031" s="1392">
        <v>6.2</v>
      </c>
      <c r="E1031" s="1393">
        <v>5.0999999999999997E-2</v>
      </c>
      <c r="F1031" s="1401">
        <v>0.33</v>
      </c>
      <c r="G1031" s="1392"/>
      <c r="H1031" s="1395">
        <v>0.11</v>
      </c>
      <c r="I1031" s="1396">
        <v>146.08199999999999</v>
      </c>
      <c r="J1031" s="1397">
        <v>9.65</v>
      </c>
      <c r="K1031" s="1392">
        <v>0.32</v>
      </c>
      <c r="L1031" s="1396">
        <v>7.2000000000000011</v>
      </c>
      <c r="M1031" s="1392"/>
      <c r="N1031" s="1398">
        <v>6.46</v>
      </c>
      <c r="O1031" s="1392">
        <v>75.3</v>
      </c>
      <c r="P1031" s="1392">
        <v>22.2</v>
      </c>
      <c r="Q1031" s="1392">
        <v>16.600000000000001</v>
      </c>
      <c r="R1031" s="1392">
        <v>0.41</v>
      </c>
      <c r="S1031" s="1392">
        <v>1E-3</v>
      </c>
      <c r="T1031" s="1392">
        <v>0.01</v>
      </c>
      <c r="U1031" s="1392">
        <v>1E-3</v>
      </c>
      <c r="V1031" s="1379"/>
    </row>
    <row r="1032" spans="1:22" s="1380" customFormat="1" ht="21" x14ac:dyDescent="0.35">
      <c r="A1032" s="1390">
        <v>200099</v>
      </c>
      <c r="B1032" s="1402" t="str">
        <f t="shared" si="30"/>
        <v>-104,57/+111,15  (EC  113,4)</v>
      </c>
      <c r="C1032" s="1391"/>
      <c r="D1032" s="1392">
        <v>7.2</v>
      </c>
      <c r="E1032" s="1393">
        <v>11.34</v>
      </c>
      <c r="F1032" s="1401">
        <v>40.090000000000003</v>
      </c>
      <c r="G1032" s="1392"/>
      <c r="H1032" s="1395">
        <v>0.76</v>
      </c>
      <c r="I1032" s="1396">
        <v>2100</v>
      </c>
      <c r="J1032" s="1397">
        <v>1971.3</v>
      </c>
      <c r="K1032" s="1392">
        <v>0.32</v>
      </c>
      <c r="L1032" s="1396">
        <v>225.60000000000002</v>
      </c>
      <c r="M1032" s="1392"/>
      <c r="N1032" s="1398">
        <v>11.9</v>
      </c>
      <c r="O1032" s="1392">
        <v>702.3</v>
      </c>
      <c r="P1032" s="1392">
        <v>877.7</v>
      </c>
      <c r="Q1032" s="1392">
        <v>436.5</v>
      </c>
      <c r="R1032" s="1392"/>
      <c r="S1032" s="1392"/>
      <c r="T1032" s="1392"/>
      <c r="U1032" s="1392"/>
      <c r="V1032" s="1379"/>
    </row>
    <row r="1033" spans="1:22" s="1380" customFormat="1" ht="21" x14ac:dyDescent="0.35">
      <c r="A1033" s="1390">
        <v>200100</v>
      </c>
      <c r="B1033" s="1402" t="str">
        <f t="shared" si="30"/>
        <v>-80,35/+84,32  (EC  88,6)</v>
      </c>
      <c r="C1033" s="1391"/>
      <c r="D1033" s="1392">
        <v>7.7</v>
      </c>
      <c r="E1033" s="1393">
        <v>8.86</v>
      </c>
      <c r="F1033" s="1401">
        <v>1.1200000000000001</v>
      </c>
      <c r="G1033" s="1392"/>
      <c r="H1033" s="1395">
        <v>0.24</v>
      </c>
      <c r="I1033" s="1396">
        <v>2178</v>
      </c>
      <c r="J1033" s="1397">
        <v>557.51</v>
      </c>
      <c r="K1033" s="1392">
        <v>0.3</v>
      </c>
      <c r="L1033" s="1396">
        <v>448.79999999999995</v>
      </c>
      <c r="M1033" s="1392"/>
      <c r="N1033" s="1398">
        <v>3.4</v>
      </c>
      <c r="O1033" s="1392">
        <v>632.29999999999995</v>
      </c>
      <c r="P1033" s="1392">
        <v>428.9</v>
      </c>
      <c r="Q1033" s="1392">
        <v>423.4</v>
      </c>
      <c r="R1033" s="1392">
        <v>0.01</v>
      </c>
      <c r="S1033" s="1392">
        <v>1E-3</v>
      </c>
      <c r="T1033" s="1392">
        <v>0.01</v>
      </c>
      <c r="U1033" s="1392">
        <v>1E-3</v>
      </c>
      <c r="V1033" s="1379"/>
    </row>
    <row r="1034" spans="1:22" x14ac:dyDescent="0.25">
      <c r="A1034" s="771">
        <v>200101</v>
      </c>
      <c r="B1034" s="772" t="str">
        <f t="shared" si="30"/>
        <v>-7,24/+7,88  (EC  6,59)</v>
      </c>
      <c r="C1034" s="773"/>
      <c r="D1034" s="774">
        <v>7.3</v>
      </c>
      <c r="E1034" s="774">
        <v>0.65900000000000003</v>
      </c>
      <c r="F1034" s="774">
        <v>12.21</v>
      </c>
      <c r="G1034" s="774">
        <v>0</v>
      </c>
      <c r="H1034" s="774">
        <v>0.03</v>
      </c>
      <c r="I1034" s="774">
        <v>22.308</v>
      </c>
      <c r="J1034" s="774">
        <v>138.08000000000001</v>
      </c>
      <c r="K1034" s="774">
        <v>3.0600000000000002E-2</v>
      </c>
      <c r="L1034" s="774">
        <v>216</v>
      </c>
      <c r="M1034" s="774">
        <v>0</v>
      </c>
      <c r="N1034" s="774">
        <v>1.79</v>
      </c>
      <c r="O1034" s="774">
        <v>18.59</v>
      </c>
      <c r="P1034" s="774">
        <v>98.67</v>
      </c>
      <c r="Q1034" s="774">
        <v>25.08</v>
      </c>
      <c r="R1034" s="774">
        <v>1E-3</v>
      </c>
      <c r="S1034" s="774">
        <v>0.01</v>
      </c>
      <c r="T1034" s="774">
        <v>1E-3</v>
      </c>
      <c r="U1034" s="774">
        <v>1E-3</v>
      </c>
      <c r="V1034" s="774"/>
    </row>
    <row r="1035" spans="1:22" x14ac:dyDescent="0.25">
      <c r="A1035" s="771">
        <v>200102</v>
      </c>
      <c r="B1035" s="772" t="str">
        <f t="shared" si="30"/>
        <v>-13,38/+14,91  (EC  14,35)</v>
      </c>
      <c r="C1035" s="773"/>
      <c r="D1035" s="774">
        <v>7.6</v>
      </c>
      <c r="E1035" s="774">
        <v>1.4350000000000001</v>
      </c>
      <c r="F1035" s="774">
        <v>10.47</v>
      </c>
      <c r="G1035" s="774">
        <v>0</v>
      </c>
      <c r="H1035" s="774">
        <v>0.04</v>
      </c>
      <c r="I1035" s="774">
        <v>183.744</v>
      </c>
      <c r="J1035" s="774">
        <v>156.36000000000001</v>
      </c>
      <c r="K1035" s="774">
        <v>6.1200000000000004E-2</v>
      </c>
      <c r="L1035" s="774">
        <v>291.60000000000002</v>
      </c>
      <c r="M1035" s="774">
        <v>0</v>
      </c>
      <c r="N1035" s="774">
        <v>2.15</v>
      </c>
      <c r="O1035" s="774">
        <v>153.12</v>
      </c>
      <c r="P1035" s="774">
        <v>92.79</v>
      </c>
      <c r="Q1035" s="774">
        <v>42.69</v>
      </c>
      <c r="R1035" s="774">
        <v>1E-3</v>
      </c>
      <c r="S1035" s="774">
        <v>1E-3</v>
      </c>
      <c r="T1035" s="774">
        <v>1E-3</v>
      </c>
      <c r="U1035" s="774">
        <v>1E-3</v>
      </c>
      <c r="V1035" s="774"/>
    </row>
    <row r="1036" spans="1:22" x14ac:dyDescent="0.25">
      <c r="A1036" s="771">
        <v>200103</v>
      </c>
      <c r="B1036" s="772" t="str">
        <f t="shared" si="30"/>
        <v>-16,29/+16,09  (EC  15,64)</v>
      </c>
      <c r="C1036" s="773"/>
      <c r="D1036" s="774">
        <v>7.1</v>
      </c>
      <c r="E1036" s="774">
        <v>1.5640000000000001</v>
      </c>
      <c r="F1036" s="774">
        <v>34.94</v>
      </c>
      <c r="G1036" s="774">
        <v>0</v>
      </c>
      <c r="H1036" s="774">
        <v>0.04</v>
      </c>
      <c r="I1036" s="774">
        <v>145.68</v>
      </c>
      <c r="J1036" s="774">
        <v>306.89</v>
      </c>
      <c r="K1036" s="774">
        <v>3.0600000000000002E-2</v>
      </c>
      <c r="L1036" s="774">
        <v>319.20000000000005</v>
      </c>
      <c r="M1036" s="774">
        <v>0</v>
      </c>
      <c r="N1036" s="774">
        <v>1.96</v>
      </c>
      <c r="O1036" s="774">
        <v>121.4</v>
      </c>
      <c r="P1036" s="774">
        <v>117.35</v>
      </c>
      <c r="Q1036" s="774">
        <v>58.73</v>
      </c>
      <c r="R1036" s="774">
        <v>0.06</v>
      </c>
      <c r="S1036" s="774">
        <v>1E-3</v>
      </c>
      <c r="T1036" s="774">
        <v>1E-3</v>
      </c>
      <c r="U1036" s="774">
        <v>1E-3</v>
      </c>
      <c r="V1036" s="774"/>
    </row>
    <row r="1037" spans="1:22" x14ac:dyDescent="0.25">
      <c r="A1037" s="771">
        <v>200104</v>
      </c>
      <c r="B1037" s="772" t="str">
        <f t="shared" si="30"/>
        <v>-5,89/+6,18  (EC  5,05)</v>
      </c>
      <c r="C1037" s="773"/>
      <c r="D1037" s="774">
        <v>7.7</v>
      </c>
      <c r="E1037" s="774">
        <v>0.505</v>
      </c>
      <c r="F1037" s="774">
        <v>1.61</v>
      </c>
      <c r="G1037" s="774">
        <v>0</v>
      </c>
      <c r="H1037" s="774">
        <v>0.03</v>
      </c>
      <c r="I1037" s="774">
        <v>24.192</v>
      </c>
      <c r="J1037" s="774">
        <v>54.05</v>
      </c>
      <c r="K1037" s="774">
        <v>3.0600000000000002E-2</v>
      </c>
      <c r="L1037" s="774">
        <v>247.20000000000002</v>
      </c>
      <c r="M1037" s="774">
        <v>0</v>
      </c>
      <c r="N1037" s="774">
        <v>1.07</v>
      </c>
      <c r="O1037" s="774">
        <v>20.16</v>
      </c>
      <c r="P1037" s="774">
        <v>69.69</v>
      </c>
      <c r="Q1037" s="774">
        <v>21.49</v>
      </c>
      <c r="R1037" s="774">
        <v>1E-3</v>
      </c>
      <c r="S1037" s="774">
        <v>1E-3</v>
      </c>
      <c r="T1037" s="774">
        <v>1E-3</v>
      </c>
      <c r="U1037" s="774">
        <v>1E-3</v>
      </c>
      <c r="V1037" s="774"/>
    </row>
    <row r="1038" spans="1:22" x14ac:dyDescent="0.25">
      <c r="A1038" s="970">
        <v>200105</v>
      </c>
      <c r="B1038" s="993" t="str">
        <f t="shared" si="30"/>
        <v>-21,52/+25,19  (EC  24)</v>
      </c>
      <c r="C1038" s="971"/>
      <c r="D1038" s="968">
        <v>7.3</v>
      </c>
      <c r="E1038" s="1421">
        <v>2.4</v>
      </c>
      <c r="F1038" s="968">
        <v>74.239999999999995</v>
      </c>
      <c r="G1038" s="968">
        <v>0</v>
      </c>
      <c r="H1038" s="968">
        <v>0.45</v>
      </c>
      <c r="I1038" s="1338">
        <v>192.98399999999998</v>
      </c>
      <c r="J1038" s="995">
        <v>408.8</v>
      </c>
      <c r="K1038" s="1422">
        <v>1E-3</v>
      </c>
      <c r="L1038" s="968">
        <v>388.79999999999995</v>
      </c>
      <c r="M1038" s="968"/>
      <c r="N1038" s="986">
        <v>4.55</v>
      </c>
      <c r="O1038" s="986">
        <v>160.82</v>
      </c>
      <c r="P1038" s="986">
        <v>184.22</v>
      </c>
      <c r="Q1038" s="986">
        <v>106.08</v>
      </c>
      <c r="R1038" s="987">
        <v>0.04</v>
      </c>
      <c r="S1038" s="968">
        <v>1E-3</v>
      </c>
      <c r="T1038" s="968">
        <v>1E-3</v>
      </c>
      <c r="U1038" s="987">
        <v>0.01</v>
      </c>
    </row>
    <row r="1039" spans="1:22" x14ac:dyDescent="0.25">
      <c r="A1039" s="970">
        <v>200106</v>
      </c>
      <c r="B1039" s="993" t="str">
        <f t="shared" si="30"/>
        <v>-20,80/+20,23  (EC  19,6)</v>
      </c>
      <c r="C1039" s="971"/>
      <c r="D1039" s="968">
        <v>7.2</v>
      </c>
      <c r="E1039" s="1421">
        <v>1.96</v>
      </c>
      <c r="F1039" s="968">
        <v>26.87</v>
      </c>
      <c r="G1039" s="968">
        <v>0</v>
      </c>
      <c r="H1039" s="968">
        <v>0.15</v>
      </c>
      <c r="I1039" s="1338">
        <v>151.33199999999999</v>
      </c>
      <c r="J1039" s="968">
        <v>563.5</v>
      </c>
      <c r="K1039" s="1004">
        <v>6.1200000000000004E-2</v>
      </c>
      <c r="L1039" s="968">
        <v>266.39999999999998</v>
      </c>
      <c r="M1039" s="968"/>
      <c r="N1039" s="986">
        <v>2.82</v>
      </c>
      <c r="O1039" s="986">
        <v>126.11</v>
      </c>
      <c r="P1039" s="986">
        <v>175.34</v>
      </c>
      <c r="Q1039" s="986">
        <v>70.709999999999994</v>
      </c>
      <c r="R1039" s="986">
        <v>0.38</v>
      </c>
      <c r="S1039" s="968">
        <v>1E-3</v>
      </c>
      <c r="T1039" s="986">
        <v>0.01</v>
      </c>
      <c r="U1039" s="987">
        <v>0.04</v>
      </c>
    </row>
    <row r="1040" spans="1:22" x14ac:dyDescent="0.25">
      <c r="A1040" s="970">
        <v>200107</v>
      </c>
      <c r="B1040" s="993" t="str">
        <f t="shared" si="30"/>
        <v>-38,11/+39,45  (EC  39,6)</v>
      </c>
      <c r="C1040" s="971"/>
      <c r="D1040" s="968">
        <v>7.2</v>
      </c>
      <c r="E1040" s="1421">
        <v>3.96</v>
      </c>
      <c r="F1040" s="968">
        <v>89.63</v>
      </c>
      <c r="G1040" s="968">
        <v>0</v>
      </c>
      <c r="H1040" s="968">
        <v>0.09</v>
      </c>
      <c r="I1040" s="1338">
        <v>769.70399999999995</v>
      </c>
      <c r="J1040" s="968">
        <v>441.36</v>
      </c>
      <c r="K1040" s="1422">
        <v>1E-3</v>
      </c>
      <c r="L1040" s="968">
        <v>352.8</v>
      </c>
      <c r="M1040" s="968"/>
      <c r="N1040" s="986">
        <v>3.39</v>
      </c>
      <c r="O1040" s="986">
        <v>641.41999999999996</v>
      </c>
      <c r="P1040" s="986">
        <v>107.5</v>
      </c>
      <c r="Q1040" s="986">
        <v>73.150000000000006</v>
      </c>
      <c r="R1040" s="986">
        <v>0.01</v>
      </c>
      <c r="S1040" s="968">
        <v>1E-3</v>
      </c>
      <c r="T1040" s="968">
        <v>1E-3</v>
      </c>
      <c r="U1040" s="1423">
        <v>1E-3</v>
      </c>
    </row>
    <row r="1041" spans="1:143" x14ac:dyDescent="0.25">
      <c r="A1041" s="970">
        <v>200108</v>
      </c>
      <c r="B1041" s="993" t="str">
        <f t="shared" si="30"/>
        <v>-36,17/+37,29  (EC  37,9)</v>
      </c>
      <c r="C1041" s="971"/>
      <c r="D1041" s="968">
        <v>7.3</v>
      </c>
      <c r="E1041" s="968">
        <v>3.79</v>
      </c>
      <c r="F1041" s="968">
        <v>88.97</v>
      </c>
      <c r="G1041" s="968">
        <v>0</v>
      </c>
      <c r="H1041" s="968">
        <v>0.23</v>
      </c>
      <c r="I1041" s="1338">
        <v>754.95600000000002</v>
      </c>
      <c r="J1041" s="968">
        <v>395.4</v>
      </c>
      <c r="K1041" s="1422">
        <v>1E-3</v>
      </c>
      <c r="L1041" s="968">
        <v>319.20000000000005</v>
      </c>
      <c r="M1041" s="968"/>
      <c r="N1041" s="986">
        <v>3.06</v>
      </c>
      <c r="O1041" s="986">
        <v>629.13</v>
      </c>
      <c r="P1041" s="986">
        <v>92.17</v>
      </c>
      <c r="Q1041" s="986">
        <v>62.85</v>
      </c>
      <c r="R1041" s="986">
        <v>0.09</v>
      </c>
      <c r="S1041" s="968">
        <v>1E-3</v>
      </c>
      <c r="T1041" s="986">
        <v>0.01</v>
      </c>
      <c r="U1041" s="987">
        <v>0.11</v>
      </c>
    </row>
    <row r="1042" spans="1:143" x14ac:dyDescent="0.25">
      <c r="A1042" s="970">
        <v>200109</v>
      </c>
      <c r="B1042" s="993" t="str">
        <f t="shared" si="30"/>
        <v>-12,14/+13,20  (EC  12,6)</v>
      </c>
      <c r="C1042" s="971"/>
      <c r="D1042" s="968">
        <v>7.5</v>
      </c>
      <c r="E1042" s="968">
        <v>1.26</v>
      </c>
      <c r="F1042" s="968">
        <v>49.14</v>
      </c>
      <c r="G1042" s="968">
        <v>0</v>
      </c>
      <c r="H1042" s="968">
        <v>0.26</v>
      </c>
      <c r="I1042" s="1338">
        <v>163.584</v>
      </c>
      <c r="J1042" s="968">
        <v>76.27</v>
      </c>
      <c r="K1042" s="1422">
        <v>1E-3</v>
      </c>
      <c r="L1042" s="968">
        <v>314.39999999999998</v>
      </c>
      <c r="M1042" s="968"/>
      <c r="N1042" s="986">
        <v>3.02</v>
      </c>
      <c r="O1042" s="986">
        <v>86.32</v>
      </c>
      <c r="P1042" s="986">
        <v>89.28</v>
      </c>
      <c r="Q1042" s="986">
        <v>58.7</v>
      </c>
      <c r="R1042" s="1423">
        <v>1E-3</v>
      </c>
      <c r="S1042" s="968">
        <v>1E-3</v>
      </c>
      <c r="T1042" s="968">
        <v>1E-3</v>
      </c>
      <c r="U1042" s="1423">
        <v>1E-3</v>
      </c>
    </row>
    <row r="1043" spans="1:143" x14ac:dyDescent="0.25">
      <c r="A1043" s="970">
        <v>200110</v>
      </c>
      <c r="B1043" s="993" t="str">
        <f t="shared" si="30"/>
        <v>-14,13/+15,37  (EC  15,1)</v>
      </c>
      <c r="C1043" s="971"/>
      <c r="D1043" s="968">
        <v>7.4</v>
      </c>
      <c r="E1043" s="968">
        <v>1.51</v>
      </c>
      <c r="F1043" s="968">
        <v>59.13</v>
      </c>
      <c r="G1043" s="968">
        <v>0</v>
      </c>
      <c r="H1043" s="968">
        <v>0.19</v>
      </c>
      <c r="I1043" s="1338">
        <v>188.11199999999999</v>
      </c>
      <c r="J1043" s="968">
        <v>115.41</v>
      </c>
      <c r="K1043" s="1422">
        <v>1E-3</v>
      </c>
      <c r="L1043" s="968">
        <v>333.6</v>
      </c>
      <c r="M1043" s="968"/>
      <c r="N1043" s="986">
        <v>2.52</v>
      </c>
      <c r="O1043" s="986">
        <v>156.76</v>
      </c>
      <c r="P1043" s="986">
        <v>79.47</v>
      </c>
      <c r="Q1043" s="986">
        <v>54.06</v>
      </c>
      <c r="R1043" s="1423">
        <v>1E-3</v>
      </c>
      <c r="S1043" s="968">
        <v>1E-3</v>
      </c>
      <c r="T1043" s="968">
        <v>1E-3</v>
      </c>
      <c r="U1043" s="987">
        <v>0.05</v>
      </c>
    </row>
    <row r="1044" spans="1:143" x14ac:dyDescent="0.25">
      <c r="A1044" s="970">
        <v>200111</v>
      </c>
      <c r="B1044" s="993" t="str">
        <f t="shared" si="30"/>
        <v>-8,28/+9,08  (EC  8,72)</v>
      </c>
      <c r="C1044" s="971"/>
      <c r="D1044" s="968">
        <v>7.5</v>
      </c>
      <c r="E1044" s="1421">
        <v>0.872</v>
      </c>
      <c r="F1044" s="968">
        <v>31.81</v>
      </c>
      <c r="G1044" s="968">
        <v>0</v>
      </c>
      <c r="H1044" s="968">
        <v>0.15</v>
      </c>
      <c r="I1044" s="1338">
        <v>53.24</v>
      </c>
      <c r="J1044" s="968">
        <v>27</v>
      </c>
      <c r="K1044" s="1422">
        <v>1E-3</v>
      </c>
      <c r="L1044" s="968">
        <v>348</v>
      </c>
      <c r="M1044" s="968"/>
      <c r="N1044" s="986">
        <v>2.09</v>
      </c>
      <c r="O1044" s="986">
        <v>27.7</v>
      </c>
      <c r="P1044" s="986">
        <v>78.650000000000006</v>
      </c>
      <c r="Q1044" s="986">
        <v>46.52</v>
      </c>
      <c r="R1044" s="1423">
        <v>1E-3</v>
      </c>
      <c r="S1044" s="968">
        <v>1E-3</v>
      </c>
      <c r="T1044" s="968">
        <v>1E-3</v>
      </c>
      <c r="U1044" s="987">
        <v>0.02</v>
      </c>
    </row>
    <row r="1045" spans="1:143" x14ac:dyDescent="0.25">
      <c r="A1045" s="970">
        <v>200112</v>
      </c>
      <c r="B1045" s="993" t="str">
        <f t="shared" si="30"/>
        <v>-7,15/+8,20  (EC  7,24)</v>
      </c>
      <c r="C1045" s="971"/>
      <c r="D1045" s="968">
        <v>8.4</v>
      </c>
      <c r="E1045" s="968">
        <v>0.72399999999999998</v>
      </c>
      <c r="F1045" s="968">
        <v>28.73</v>
      </c>
      <c r="G1045" s="968">
        <v>0</v>
      </c>
      <c r="H1045" s="968">
        <v>0.1</v>
      </c>
      <c r="I1045" s="1338">
        <v>29.531999999999996</v>
      </c>
      <c r="J1045" s="968">
        <v>22.33</v>
      </c>
      <c r="K1045" s="1004">
        <v>9.1799999999999993E-2</v>
      </c>
      <c r="L1045" s="968">
        <v>328.8</v>
      </c>
      <c r="M1045" s="968"/>
      <c r="N1045" s="986">
        <v>2.67</v>
      </c>
      <c r="O1045" s="986">
        <v>24.61</v>
      </c>
      <c r="P1045" s="986">
        <v>69.31</v>
      </c>
      <c r="Q1045" s="986">
        <v>43.1</v>
      </c>
      <c r="R1045" s="986">
        <v>0.02</v>
      </c>
      <c r="S1045" s="968">
        <v>1E-3</v>
      </c>
      <c r="T1045" s="968">
        <v>1E-3</v>
      </c>
      <c r="U1045" s="987">
        <v>0.01</v>
      </c>
    </row>
    <row r="1046" spans="1:143" x14ac:dyDescent="0.25">
      <c r="A1046" s="970">
        <v>200113</v>
      </c>
      <c r="B1046" s="993" t="str">
        <f>"-"&amp;TEXT((F1046/62+G1046/46+I1046/35.5+J1046/48+K1046/97+L1046/61),"0,00")&amp;"/+"&amp;TEXT((N1046/39+O1046/23+P1046/20+Q1046/12+H1046/14),"0,00")&amp;"  (EC  "&amp;E1046*10&amp;")"</f>
        <v>-7,81/+8,55  (EC  7,28)</v>
      </c>
      <c r="C1046" s="971"/>
      <c r="D1046" s="968">
        <v>8.1199999999999992</v>
      </c>
      <c r="E1046" s="968">
        <v>0.72799999999999998</v>
      </c>
      <c r="F1046" s="968">
        <v>4.2699999999999996</v>
      </c>
      <c r="G1046" s="968">
        <v>0</v>
      </c>
      <c r="H1046" s="968">
        <v>0.05</v>
      </c>
      <c r="I1046" s="1338">
        <v>3.12</v>
      </c>
      <c r="J1046" s="968">
        <v>9.3000000000000007</v>
      </c>
      <c r="K1046" s="1004">
        <v>2.0808</v>
      </c>
      <c r="L1046" s="968">
        <v>453.59999999999997</v>
      </c>
      <c r="M1046" s="968"/>
      <c r="N1046" s="986">
        <v>0.51</v>
      </c>
      <c r="O1046" s="986">
        <v>2.6</v>
      </c>
      <c r="P1046" s="986">
        <v>72.42</v>
      </c>
      <c r="Q1046" s="986">
        <v>57.57</v>
      </c>
      <c r="R1046" s="1423">
        <v>1E-3</v>
      </c>
      <c r="S1046" s="968">
        <v>1E-3</v>
      </c>
      <c r="T1046" s="986">
        <v>0.01</v>
      </c>
      <c r="U1046" s="987">
        <v>0.01</v>
      </c>
    </row>
    <row r="1047" spans="1:143" s="5" customFormat="1" x14ac:dyDescent="0.25">
      <c r="A1047" s="771">
        <v>200114</v>
      </c>
      <c r="B1047" s="772" t="s">
        <v>558</v>
      </c>
      <c r="C1047" s="773"/>
      <c r="D1047" s="774">
        <v>7.26</v>
      </c>
      <c r="E1047" s="1428">
        <v>2.71</v>
      </c>
      <c r="F1047" s="774">
        <v>77.17</v>
      </c>
      <c r="G1047" s="774">
        <v>0</v>
      </c>
      <c r="H1047" s="774">
        <v>0.41</v>
      </c>
      <c r="I1047" s="774">
        <v>495.97199999999998</v>
      </c>
      <c r="J1047" s="774">
        <v>306.35000000000002</v>
      </c>
      <c r="K1047" s="774">
        <v>1E-3</v>
      </c>
      <c r="L1047" s="774">
        <v>339.63</v>
      </c>
      <c r="M1047" s="774"/>
      <c r="N1047" s="1061">
        <v>2.67</v>
      </c>
      <c r="O1047" s="1429">
        <v>288.31</v>
      </c>
      <c r="P1047" s="1429">
        <v>223.88</v>
      </c>
      <c r="Q1047" s="1061">
        <v>58.38</v>
      </c>
      <c r="R1047" s="1061" t="s">
        <v>498</v>
      </c>
      <c r="S1047" s="774">
        <v>1E-3</v>
      </c>
      <c r="T1047" s="774">
        <v>1E-3</v>
      </c>
      <c r="U1047" s="1061">
        <v>1E-3</v>
      </c>
      <c r="V1047" s="25"/>
    </row>
    <row r="1048" spans="1:143" s="5" customFormat="1" x14ac:dyDescent="0.25">
      <c r="A1048" s="771">
        <v>200115</v>
      </c>
      <c r="B1048" s="772" t="s">
        <v>559</v>
      </c>
      <c r="C1048" s="773"/>
      <c r="D1048" s="774">
        <v>7.25</v>
      </c>
      <c r="E1048" s="774">
        <v>5.68</v>
      </c>
      <c r="F1048" s="774">
        <v>56.76</v>
      </c>
      <c r="G1048" s="774">
        <v>0</v>
      </c>
      <c r="H1048" s="774">
        <v>0.11</v>
      </c>
      <c r="I1048" s="774">
        <v>1079.7560000000001</v>
      </c>
      <c r="J1048" s="774">
        <v>856.45</v>
      </c>
      <c r="K1048" s="774">
        <v>3.0600000000000002E-2</v>
      </c>
      <c r="L1048" s="774">
        <v>365.26</v>
      </c>
      <c r="M1048" s="774"/>
      <c r="N1048" s="1061">
        <v>5.99</v>
      </c>
      <c r="O1048" s="1429">
        <v>483.13</v>
      </c>
      <c r="P1048" s="1429">
        <v>344.41</v>
      </c>
      <c r="Q1048" s="1429">
        <v>230.26</v>
      </c>
      <c r="R1048" s="1061">
        <v>1E-3</v>
      </c>
      <c r="S1048" s="774">
        <v>1E-3</v>
      </c>
      <c r="T1048" s="774">
        <v>1E-3</v>
      </c>
      <c r="U1048" s="1061">
        <v>1E-3</v>
      </c>
      <c r="V1048" s="25"/>
    </row>
    <row r="1049" spans="1:143" s="5" customFormat="1" x14ac:dyDescent="0.25">
      <c r="A1049" s="771">
        <v>200116</v>
      </c>
      <c r="B1049" s="772" t="s">
        <v>560</v>
      </c>
      <c r="C1049" s="773"/>
      <c r="D1049" s="774">
        <v>7.38</v>
      </c>
      <c r="E1049" s="774">
        <v>7.04</v>
      </c>
      <c r="F1049" s="774">
        <v>75.56</v>
      </c>
      <c r="G1049" s="774">
        <v>0</v>
      </c>
      <c r="H1049" s="774">
        <v>0.12</v>
      </c>
      <c r="I1049" s="774">
        <v>1677</v>
      </c>
      <c r="J1049" s="774">
        <v>730</v>
      </c>
      <c r="K1049" s="774">
        <v>3.0600000000000002E-2</v>
      </c>
      <c r="L1049" s="774">
        <v>351.26</v>
      </c>
      <c r="M1049" s="774"/>
      <c r="N1049" s="1061" t="s">
        <v>557</v>
      </c>
      <c r="O1049" s="1429">
        <v>565.65</v>
      </c>
      <c r="P1049" s="1429">
        <v>590.91</v>
      </c>
      <c r="Q1049" s="1429">
        <v>205.13</v>
      </c>
      <c r="R1049" s="1061">
        <v>0.01</v>
      </c>
      <c r="S1049" s="774">
        <v>1E-3</v>
      </c>
      <c r="T1049" s="774">
        <v>1E-3</v>
      </c>
      <c r="U1049" s="1061">
        <v>1E-3</v>
      </c>
      <c r="V1049" s="25"/>
    </row>
    <row r="1050" spans="1:143" s="5" customFormat="1" x14ac:dyDescent="0.25">
      <c r="A1050" s="771">
        <v>200117</v>
      </c>
      <c r="B1050" s="772" t="s">
        <v>561</v>
      </c>
      <c r="C1050" s="773"/>
      <c r="D1050" s="774">
        <v>10.45</v>
      </c>
      <c r="E1050" s="1428">
        <v>5.48</v>
      </c>
      <c r="F1050" s="774">
        <v>62.95</v>
      </c>
      <c r="G1050" s="774">
        <v>0</v>
      </c>
      <c r="H1050" s="774">
        <v>0.1</v>
      </c>
      <c r="I1050" s="774">
        <v>1234.664</v>
      </c>
      <c r="J1050" s="774">
        <v>673.15</v>
      </c>
      <c r="K1050" s="774">
        <v>3.0600000000000002E-2</v>
      </c>
      <c r="L1050" s="774">
        <v>339.63</v>
      </c>
      <c r="M1050" s="774"/>
      <c r="N1050" s="1429">
        <v>143.80000000000001</v>
      </c>
      <c r="O1050" s="1429">
        <v>1112.22</v>
      </c>
      <c r="P1050" s="1061">
        <v>12.23</v>
      </c>
      <c r="Q1050" s="1061">
        <v>28.83</v>
      </c>
      <c r="R1050" s="1061">
        <v>1E-3</v>
      </c>
      <c r="S1050" s="774">
        <v>1E-3</v>
      </c>
      <c r="T1050" s="774">
        <v>1E-3</v>
      </c>
      <c r="U1050" s="1061">
        <v>1E-3</v>
      </c>
      <c r="V1050" s="25"/>
    </row>
    <row r="1051" spans="1:143" s="5" customFormat="1" x14ac:dyDescent="0.25">
      <c r="A1051" s="771">
        <v>200118</v>
      </c>
      <c r="B1051" s="772" t="s">
        <v>562</v>
      </c>
      <c r="C1051" s="773"/>
      <c r="D1051" s="774">
        <v>8.33</v>
      </c>
      <c r="E1051" s="1428">
        <v>0.93</v>
      </c>
      <c r="F1051" s="774">
        <v>19.21</v>
      </c>
      <c r="G1051" s="774">
        <v>0</v>
      </c>
      <c r="H1051" s="774">
        <v>0.11</v>
      </c>
      <c r="I1051" s="774">
        <v>42.183999999999997</v>
      </c>
      <c r="J1051" s="774">
        <v>86.8</v>
      </c>
      <c r="K1051" s="774">
        <v>1E-3</v>
      </c>
      <c r="L1051" s="774">
        <v>355.9</v>
      </c>
      <c r="M1051" s="774"/>
      <c r="N1051" s="1061">
        <v>2.11</v>
      </c>
      <c r="O1051" s="1429">
        <v>26.82</v>
      </c>
      <c r="P1051" s="1061">
        <v>82.15</v>
      </c>
      <c r="Q1051" s="1061">
        <v>56.02</v>
      </c>
      <c r="R1051" s="1061">
        <v>1E-3</v>
      </c>
      <c r="S1051" s="774">
        <v>1E-3</v>
      </c>
      <c r="T1051" s="774">
        <v>1E-3</v>
      </c>
      <c r="U1051" s="1061" t="s">
        <v>465</v>
      </c>
      <c r="V1051" s="25"/>
    </row>
    <row r="1052" spans="1:143" s="5" customFormat="1" x14ac:dyDescent="0.25">
      <c r="A1052" s="580">
        <v>200119</v>
      </c>
      <c r="B1052" s="1014" t="str">
        <f>"-"&amp;TEXT((F1052/62+G1052/46+I1052/35.5+J1052/48+K1052/97+L1052/61),"0,00")&amp;"/+"&amp;TEXT((N1052/39+O1052/23+P1052/20+Q1052/12+H1052/14),"0,00")&amp;"  (EC  "&amp;E1052*10&amp;")"</f>
        <v>-26,10/+27,73  (EC  26)</v>
      </c>
      <c r="C1052" s="484"/>
      <c r="D1052" s="25">
        <v>7.54</v>
      </c>
      <c r="E1052" s="257">
        <v>2.6</v>
      </c>
      <c r="F1052" s="25">
        <v>30.04</v>
      </c>
      <c r="G1052" s="25">
        <v>0</v>
      </c>
      <c r="H1052" s="25">
        <v>0.1</v>
      </c>
      <c r="I1052" s="25">
        <v>344.73200000000003</v>
      </c>
      <c r="J1052" s="25">
        <v>506.45</v>
      </c>
      <c r="K1052" s="795">
        <v>6.1200000000000004E-2</v>
      </c>
      <c r="L1052" s="25">
        <v>326.35000000000002</v>
      </c>
      <c r="M1052" s="25">
        <v>0</v>
      </c>
      <c r="N1052" s="795">
        <v>3.5</v>
      </c>
      <c r="O1052" s="795">
        <v>220.61</v>
      </c>
      <c r="P1052" s="795">
        <v>218.02</v>
      </c>
      <c r="Q1052" s="795">
        <v>85.65</v>
      </c>
      <c r="R1052" s="795">
        <v>1E-3</v>
      </c>
      <c r="S1052" s="795">
        <v>1E-3</v>
      </c>
      <c r="T1052" s="25">
        <v>1E-3</v>
      </c>
      <c r="U1052" s="950">
        <v>0.01</v>
      </c>
      <c r="V1052" s="25"/>
    </row>
    <row r="1053" spans="1:143" s="5" customFormat="1" x14ac:dyDescent="0.25">
      <c r="A1053" s="580">
        <v>200120</v>
      </c>
      <c r="B1053" s="1014" t="str">
        <f t="shared" ref="B1053:B1067" si="31">"-"&amp;TEXT((F1053/62+G1053/46+I1053/35.5+J1053/48+K1053/97+L1053/61),"0,00")&amp;"/+"&amp;TEXT((N1053/39+O1053/23+P1053/20+Q1053/12+H1053/14),"0,00")&amp;"  (EC  "&amp;E1053*10&amp;")"</f>
        <v>-16,81/+17,84  (EC  16,4)</v>
      </c>
      <c r="C1053" s="484"/>
      <c r="D1053" s="25">
        <v>7.32</v>
      </c>
      <c r="E1053" s="25">
        <v>1.64</v>
      </c>
      <c r="F1053" s="25">
        <v>18.43</v>
      </c>
      <c r="G1053" s="25">
        <v>0</v>
      </c>
      <c r="H1053" s="25">
        <v>0.88</v>
      </c>
      <c r="I1053" s="25">
        <v>164.62799999999999</v>
      </c>
      <c r="J1053" s="25">
        <v>258.14999999999998</v>
      </c>
      <c r="K1053" s="795">
        <v>3.0600000000000002E-2</v>
      </c>
      <c r="L1053" s="25">
        <v>396.53</v>
      </c>
      <c r="M1053" s="25">
        <v>0</v>
      </c>
      <c r="N1053" s="795">
        <v>2.99</v>
      </c>
      <c r="O1053" s="795">
        <v>137.19</v>
      </c>
      <c r="P1053" s="795">
        <v>141.28</v>
      </c>
      <c r="Q1053" s="795">
        <v>56.11</v>
      </c>
      <c r="R1053" s="795">
        <v>1E-3</v>
      </c>
      <c r="S1053" s="795">
        <v>1E-3</v>
      </c>
      <c r="T1053" s="25">
        <v>1E-3</v>
      </c>
      <c r="U1053" s="950">
        <v>0.05</v>
      </c>
      <c r="V1053" s="25"/>
    </row>
    <row r="1054" spans="1:143" s="5" customFormat="1" x14ac:dyDescent="0.25">
      <c r="A1054" s="580">
        <v>200121</v>
      </c>
      <c r="B1054" s="1014" t="str">
        <f>"-"&amp;TEXT((F1054/62+G1054/46+I1054/35.5+J1054/48+K1054/97+L1054/61),"0,00")&amp;"/+"&amp;TEXT((N1054/39+O1054/23+P1054/20+Q1054/12+H1054/14),"0,00")&amp;"  (EC  "&amp;E1054*10&amp;")"</f>
        <v>-19,78/+19,90  (EC  19,7)</v>
      </c>
      <c r="C1054" s="484"/>
      <c r="D1054" s="25">
        <v>7.7</v>
      </c>
      <c r="E1054" s="25">
        <v>1.97</v>
      </c>
      <c r="F1054" s="25">
        <v>0.26</v>
      </c>
      <c r="G1054" s="25">
        <v>0</v>
      </c>
      <c r="H1054" s="1213">
        <v>0.06</v>
      </c>
      <c r="I1054" s="25">
        <v>129.792</v>
      </c>
      <c r="J1054" s="25">
        <v>719.15000000000009</v>
      </c>
      <c r="K1054" s="795">
        <v>1E-3</v>
      </c>
      <c r="L1054" s="25">
        <v>69.599999999999994</v>
      </c>
      <c r="M1054" s="25">
        <v>0</v>
      </c>
      <c r="N1054" s="795">
        <v>1.84</v>
      </c>
      <c r="O1054" s="795">
        <v>108.16</v>
      </c>
      <c r="P1054" s="1214">
        <v>139.63</v>
      </c>
      <c r="Q1054" s="795">
        <v>97.95</v>
      </c>
      <c r="R1054" s="795">
        <v>1E-3</v>
      </c>
      <c r="S1054" s="795">
        <v>0.01</v>
      </c>
      <c r="T1054" s="25">
        <v>1E-3</v>
      </c>
      <c r="U1054" s="950">
        <v>1E-3</v>
      </c>
      <c r="V1054" s="25"/>
    </row>
    <row r="1055" spans="1:143" s="29" customFormat="1" ht="18.75" x14ac:dyDescent="0.3">
      <c r="A1055" s="580">
        <v>200122</v>
      </c>
      <c r="B1055" s="1014" t="str">
        <f t="shared" si="31"/>
        <v>-20,49/+21,78  (EC  21,6)</v>
      </c>
      <c r="C1055" s="25"/>
      <c r="D1055" s="25">
        <v>7.4</v>
      </c>
      <c r="E1055" s="25">
        <v>2.16</v>
      </c>
      <c r="F1055" s="25">
        <v>0.25</v>
      </c>
      <c r="G1055" s="25">
        <v>0</v>
      </c>
      <c r="H1055" s="1213">
        <v>0.05</v>
      </c>
      <c r="I1055" s="25">
        <v>136.56</v>
      </c>
      <c r="J1055" s="25">
        <v>736.44999999999993</v>
      </c>
      <c r="K1055" s="795">
        <v>6.1200000000000004E-2</v>
      </c>
      <c r="L1055" s="25">
        <v>79.199999999999989</v>
      </c>
      <c r="M1055" s="25">
        <v>0</v>
      </c>
      <c r="N1055" s="795">
        <v>2.0699999999999998</v>
      </c>
      <c r="O1055" s="795">
        <v>113.8</v>
      </c>
      <c r="P1055" s="1214">
        <v>160.36000000000001</v>
      </c>
      <c r="Q1055" s="795">
        <v>105.07</v>
      </c>
      <c r="R1055" s="795">
        <v>1E-3</v>
      </c>
      <c r="S1055" s="795">
        <v>0.01</v>
      </c>
      <c r="T1055" s="25">
        <v>1E-3</v>
      </c>
      <c r="U1055" s="950">
        <v>0.04</v>
      </c>
      <c r="V1055" s="3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  <c r="BR1055" s="28"/>
      <c r="BS1055" s="28"/>
      <c r="BT1055" s="28"/>
      <c r="BU1055" s="28"/>
      <c r="BV1055" s="28"/>
      <c r="BW1055" s="28"/>
      <c r="BX1055" s="28"/>
      <c r="BY1055" s="28"/>
      <c r="BZ1055" s="28"/>
      <c r="CA1055" s="28"/>
      <c r="CB1055" s="28"/>
      <c r="CC1055" s="28"/>
      <c r="CD1055" s="28"/>
      <c r="CE1055" s="28"/>
      <c r="CF1055" s="28"/>
      <c r="CG1055" s="28"/>
      <c r="CH1055" s="28"/>
      <c r="CI1055" s="28"/>
      <c r="CJ1055" s="28"/>
      <c r="CK1055" s="28"/>
      <c r="CL1055" s="28"/>
      <c r="CM1055" s="28"/>
      <c r="CN1055" s="28"/>
      <c r="CO1055" s="28"/>
      <c r="CP1055" s="28"/>
      <c r="CQ1055" s="28"/>
      <c r="CR1055" s="28"/>
      <c r="CS1055" s="28"/>
      <c r="CT1055" s="28"/>
      <c r="CU1055" s="28"/>
      <c r="CV1055" s="28"/>
      <c r="CW1055" s="28"/>
      <c r="CX1055" s="28"/>
      <c r="CY1055" s="28"/>
      <c r="CZ1055" s="28"/>
      <c r="DA1055" s="28"/>
      <c r="DB1055" s="28"/>
      <c r="DC1055" s="28"/>
      <c r="DD1055" s="28"/>
      <c r="DE1055" s="28"/>
      <c r="DF1055" s="28"/>
      <c r="DG1055" s="28"/>
      <c r="DH1055" s="28"/>
      <c r="DI1055" s="28"/>
      <c r="DJ1055" s="28"/>
      <c r="DK1055" s="28"/>
      <c r="DL1055" s="28"/>
      <c r="DM1055" s="28"/>
      <c r="DN1055" s="28"/>
      <c r="DO1055" s="28"/>
      <c r="DP1055" s="28"/>
      <c r="DQ1055" s="28"/>
      <c r="DR1055" s="28"/>
      <c r="DS1055" s="28"/>
      <c r="DT1055" s="28"/>
      <c r="DU1055" s="28"/>
      <c r="DV1055" s="28"/>
      <c r="DW1055" s="28"/>
      <c r="DX1055" s="28"/>
      <c r="DY1055" s="28"/>
      <c r="DZ1055" s="28"/>
      <c r="EA1055" s="28"/>
      <c r="EB1055" s="28"/>
      <c r="EC1055" s="28"/>
      <c r="ED1055" s="28"/>
      <c r="EE1055" s="28"/>
      <c r="EF1055" s="28"/>
      <c r="EG1055" s="28"/>
      <c r="EH1055" s="28"/>
      <c r="EI1055" s="28"/>
      <c r="EJ1055" s="28"/>
      <c r="EK1055" s="28"/>
      <c r="EL1055" s="28"/>
      <c r="EM1055" s="28"/>
    </row>
    <row r="1056" spans="1:143" x14ac:dyDescent="0.25">
      <c r="A1056" s="580">
        <v>200123</v>
      </c>
      <c r="B1056" s="1014" t="str">
        <f t="shared" si="31"/>
        <v>-14,67/+14,44  (EC  13,2)</v>
      </c>
      <c r="C1056" s="25"/>
      <c r="D1056" s="25">
        <v>8.1</v>
      </c>
      <c r="E1056" s="257">
        <v>1.32</v>
      </c>
      <c r="F1056" s="25">
        <v>30.56</v>
      </c>
      <c r="G1056" s="25">
        <v>0</v>
      </c>
      <c r="H1056" s="1213">
        <v>0.08</v>
      </c>
      <c r="I1056" s="25">
        <v>122.64</v>
      </c>
      <c r="J1056" s="25">
        <v>259.89999999999998</v>
      </c>
      <c r="K1056" s="795">
        <v>6.1200000000000004E-2</v>
      </c>
      <c r="L1056" s="25">
        <v>324</v>
      </c>
      <c r="M1056" s="25">
        <v>0</v>
      </c>
      <c r="N1056" s="795">
        <v>4.68</v>
      </c>
      <c r="O1056" s="795">
        <v>102.2</v>
      </c>
      <c r="P1056" s="795">
        <v>77.239999999999995</v>
      </c>
      <c r="Q1056" s="795">
        <v>72.06</v>
      </c>
      <c r="R1056" s="795">
        <v>1E-3</v>
      </c>
      <c r="S1056" s="795">
        <v>1E-3</v>
      </c>
      <c r="T1056" s="25">
        <v>1E-3</v>
      </c>
      <c r="U1056" s="950">
        <v>0.01</v>
      </c>
    </row>
    <row r="1057" spans="1:323" x14ac:dyDescent="0.25">
      <c r="A1057" s="580">
        <v>200124</v>
      </c>
      <c r="B1057" s="1014" t="str">
        <f t="shared" si="31"/>
        <v>-4,45/+4,82  (EC  3,98)</v>
      </c>
      <c r="C1057" s="25"/>
      <c r="D1057" s="25">
        <v>7.5</v>
      </c>
      <c r="E1057" s="25">
        <v>0.39800000000000002</v>
      </c>
      <c r="F1057" s="25">
        <v>14.66</v>
      </c>
      <c r="G1057" s="25">
        <v>0</v>
      </c>
      <c r="H1057" s="1213">
        <v>0.04</v>
      </c>
      <c r="I1057" s="25">
        <v>24.443999999999999</v>
      </c>
      <c r="J1057" s="25">
        <v>27.59</v>
      </c>
      <c r="K1057" s="795">
        <v>6.1200000000000004E-2</v>
      </c>
      <c r="L1057" s="25">
        <v>180</v>
      </c>
      <c r="M1057" s="25">
        <v>0</v>
      </c>
      <c r="N1057" s="795">
        <v>1.7</v>
      </c>
      <c r="O1057" s="795">
        <v>20.37</v>
      </c>
      <c r="P1057" s="795">
        <v>39.28</v>
      </c>
      <c r="Q1057" s="795">
        <v>23.09</v>
      </c>
      <c r="R1057" s="795">
        <v>1E-3</v>
      </c>
      <c r="S1057" s="795">
        <v>1E-3</v>
      </c>
      <c r="T1057" s="25">
        <v>1E-3</v>
      </c>
      <c r="U1057" s="950">
        <v>1E-3</v>
      </c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</row>
    <row r="1058" spans="1:323" x14ac:dyDescent="0.25">
      <c r="A1058" s="25">
        <v>200125</v>
      </c>
      <c r="B1058" s="1014" t="str">
        <f t="shared" si="31"/>
        <v>-16,32/+16,47  (EC  15,2)</v>
      </c>
      <c r="C1058" s="25"/>
      <c r="D1058" s="25">
        <v>7.1</v>
      </c>
      <c r="E1058" s="257">
        <v>1.52</v>
      </c>
      <c r="F1058" s="25">
        <v>0.31</v>
      </c>
      <c r="G1058" s="25">
        <v>0</v>
      </c>
      <c r="H1058" s="1213">
        <v>0.02</v>
      </c>
      <c r="I1058" s="25">
        <v>123.408</v>
      </c>
      <c r="J1058" s="25">
        <v>316.05</v>
      </c>
      <c r="K1058" s="795">
        <v>3.0600000000000002E-2</v>
      </c>
      <c r="L1058" s="25">
        <v>381.6</v>
      </c>
      <c r="M1058" s="25">
        <v>0</v>
      </c>
      <c r="N1058" s="795">
        <v>2.38</v>
      </c>
      <c r="O1058" s="795">
        <v>102.84</v>
      </c>
      <c r="P1058" s="795">
        <v>160.22</v>
      </c>
      <c r="Q1058" s="795">
        <v>47.05</v>
      </c>
      <c r="R1058" s="795">
        <v>4.47</v>
      </c>
      <c r="S1058" s="795">
        <v>0.09</v>
      </c>
      <c r="T1058" s="25">
        <v>1E-3</v>
      </c>
      <c r="U1058" s="950">
        <v>1E-3</v>
      </c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</row>
    <row r="1059" spans="1:323" x14ac:dyDescent="0.25">
      <c r="A1059" s="25">
        <v>200126</v>
      </c>
      <c r="B1059" s="1014" t="str">
        <f t="shared" si="31"/>
        <v>-25,67/+25,20  (EC  26)</v>
      </c>
      <c r="C1059" s="25"/>
      <c r="D1059" s="25">
        <v>6.8</v>
      </c>
      <c r="E1059" s="25">
        <v>2.6</v>
      </c>
      <c r="F1059" s="25">
        <v>74.75</v>
      </c>
      <c r="G1059" s="25">
        <v>0</v>
      </c>
      <c r="H1059" s="1213">
        <v>0.05</v>
      </c>
      <c r="I1059" s="25">
        <v>354.416</v>
      </c>
      <c r="J1059" s="25">
        <v>432.75</v>
      </c>
      <c r="K1059" s="795">
        <v>6.1200000000000004E-2</v>
      </c>
      <c r="L1059" s="25">
        <v>333.2</v>
      </c>
      <c r="M1059" s="25">
        <v>0</v>
      </c>
      <c r="N1059" s="795">
        <v>2.7</v>
      </c>
      <c r="O1059" s="795">
        <v>203.68</v>
      </c>
      <c r="P1059" s="795">
        <v>203.58</v>
      </c>
      <c r="Q1059" s="795">
        <v>73.14</v>
      </c>
      <c r="R1059" s="795">
        <v>0.01</v>
      </c>
      <c r="S1059" s="795">
        <v>1E-3</v>
      </c>
      <c r="T1059" s="25">
        <v>1E-3</v>
      </c>
      <c r="U1059" s="950">
        <v>1E-3</v>
      </c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</row>
    <row r="1060" spans="1:323" x14ac:dyDescent="0.25">
      <c r="A1060" s="764">
        <v>200127</v>
      </c>
      <c r="B1060" s="764" t="str">
        <f t="shared" si="31"/>
        <v>-7,54/+8,00  (EC  7,16)</v>
      </c>
      <c r="C1060" s="764"/>
      <c r="D1060" s="764">
        <v>7.3</v>
      </c>
      <c r="E1060" s="764">
        <v>0.71599999999999997</v>
      </c>
      <c r="F1060" s="1453">
        <v>23.89</v>
      </c>
      <c r="G1060" s="764">
        <v>0</v>
      </c>
      <c r="H1060" s="1454">
        <v>0.05</v>
      </c>
      <c r="I1060" s="764">
        <v>42.69</v>
      </c>
      <c r="J1060" s="764">
        <v>24.95</v>
      </c>
      <c r="K1060" s="764">
        <v>1E-3</v>
      </c>
      <c r="L1060" s="764">
        <v>331.20000000000005</v>
      </c>
      <c r="M1060" s="764">
        <v>0</v>
      </c>
      <c r="N1060" s="1035">
        <v>2.29</v>
      </c>
      <c r="O1060" s="1035">
        <v>28.23</v>
      </c>
      <c r="P1060" s="1035">
        <v>65.41</v>
      </c>
      <c r="Q1060" s="1035">
        <v>41.26</v>
      </c>
      <c r="R1060" s="764">
        <v>1E-3</v>
      </c>
      <c r="S1060" s="764">
        <v>1E-3</v>
      </c>
      <c r="T1060" s="1035">
        <v>1E-3</v>
      </c>
      <c r="U1060" s="1035">
        <v>1E-3</v>
      </c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</row>
    <row r="1061" spans="1:323" x14ac:dyDescent="0.25">
      <c r="A1061" s="761">
        <v>200128</v>
      </c>
      <c r="B1061" s="764" t="str">
        <f t="shared" si="31"/>
        <v>-18,36/+19,87  (EC  18,4)</v>
      </c>
      <c r="C1061" s="764"/>
      <c r="D1061" s="764">
        <v>7.5</v>
      </c>
      <c r="E1061" s="764">
        <v>1.84</v>
      </c>
      <c r="F1061" s="1453">
        <v>10.69</v>
      </c>
      <c r="G1061" s="764">
        <v>0</v>
      </c>
      <c r="H1061" s="1454">
        <v>0.06</v>
      </c>
      <c r="I1061" s="764">
        <v>154.34399999999999</v>
      </c>
      <c r="J1061" s="764">
        <v>458.3</v>
      </c>
      <c r="K1061" s="764">
        <v>1E-3</v>
      </c>
      <c r="L1061" s="764">
        <v>261.60000000000002</v>
      </c>
      <c r="M1061" s="764">
        <v>0</v>
      </c>
      <c r="N1061" s="1035">
        <v>6.68</v>
      </c>
      <c r="O1061" s="1035">
        <v>128.62</v>
      </c>
      <c r="P1061" s="1035">
        <v>143.94999999999999</v>
      </c>
      <c r="Q1061" s="1035">
        <v>82.9</v>
      </c>
      <c r="R1061" s="764">
        <v>1E-3</v>
      </c>
      <c r="S1061" s="764">
        <v>1E-3</v>
      </c>
      <c r="T1061" s="1035">
        <v>0.01</v>
      </c>
      <c r="U1061" s="1035" t="s">
        <v>467</v>
      </c>
    </row>
    <row r="1062" spans="1:323" x14ac:dyDescent="0.25">
      <c r="A1062" s="727">
        <v>200129</v>
      </c>
      <c r="B1062" s="1268" t="str">
        <f t="shared" si="31"/>
        <v>-8,50/+9,10  (EC  7,64)</v>
      </c>
      <c r="C1062" s="729"/>
      <c r="D1062" s="730">
        <v>7.3</v>
      </c>
      <c r="E1062" s="730">
        <v>0.76400000000000001</v>
      </c>
      <c r="F1062" s="730">
        <v>4.8899999999999997</v>
      </c>
      <c r="G1062" s="730">
        <v>0</v>
      </c>
      <c r="H1062" s="1358">
        <v>0.03</v>
      </c>
      <c r="I1062" s="730">
        <v>41.052</v>
      </c>
      <c r="J1062" s="730">
        <v>12.32</v>
      </c>
      <c r="K1062" s="730">
        <v>0.01</v>
      </c>
      <c r="L1062" s="730">
        <v>427.2</v>
      </c>
      <c r="M1062" s="730">
        <v>0</v>
      </c>
      <c r="N1062" s="730">
        <v>1.1599999999999999</v>
      </c>
      <c r="O1062" s="730">
        <v>34.21</v>
      </c>
      <c r="P1062" s="730">
        <v>69.55</v>
      </c>
      <c r="Q1062" s="730">
        <v>49.24</v>
      </c>
      <c r="R1062" s="730">
        <v>1E-3</v>
      </c>
      <c r="S1062" s="730">
        <v>1E-3</v>
      </c>
      <c r="T1062" s="730">
        <v>0.03</v>
      </c>
      <c r="U1062" s="730">
        <v>0.9</v>
      </c>
    </row>
    <row r="1063" spans="1:323" x14ac:dyDescent="0.25">
      <c r="A1063" s="727">
        <v>200130</v>
      </c>
      <c r="B1063" s="1268" t="str">
        <f t="shared" si="31"/>
        <v>-16,59/+16,94  (EC  17,2)</v>
      </c>
      <c r="C1063" s="729"/>
      <c r="D1063" s="730">
        <v>7.1</v>
      </c>
      <c r="E1063" s="730">
        <v>1.72</v>
      </c>
      <c r="F1063" s="730">
        <v>29.63</v>
      </c>
      <c r="G1063" s="730">
        <v>0</v>
      </c>
      <c r="H1063" s="730">
        <v>0.05</v>
      </c>
      <c r="I1063" s="731">
        <v>227.916</v>
      </c>
      <c r="J1063" s="730">
        <v>225.36</v>
      </c>
      <c r="K1063" s="730">
        <v>1E-3</v>
      </c>
      <c r="L1063" s="730">
        <v>304.8</v>
      </c>
      <c r="M1063" s="730">
        <v>0</v>
      </c>
      <c r="N1063" s="730">
        <v>4.5599999999999996</v>
      </c>
      <c r="O1063" s="730">
        <v>189.93</v>
      </c>
      <c r="P1063" s="730">
        <v>90.59</v>
      </c>
      <c r="Q1063" s="730">
        <v>48.4</v>
      </c>
      <c r="R1063" s="730">
        <v>0.15</v>
      </c>
      <c r="S1063" s="730">
        <v>1E-3</v>
      </c>
      <c r="T1063" s="730">
        <v>1E-3</v>
      </c>
      <c r="U1063" s="730">
        <v>0.01</v>
      </c>
    </row>
    <row r="1064" spans="1:323" x14ac:dyDescent="0.25">
      <c r="A1064" s="727">
        <v>200131</v>
      </c>
      <c r="B1064" s="1268" t="str">
        <f t="shared" si="31"/>
        <v>-17,86/+17,36  (EC  17,1)</v>
      </c>
      <c r="C1064" s="729"/>
      <c r="D1064" s="730">
        <v>7.7</v>
      </c>
      <c r="E1064" s="730">
        <v>1.71</v>
      </c>
      <c r="F1064" s="730">
        <v>0.3</v>
      </c>
      <c r="G1064" s="730">
        <v>0</v>
      </c>
      <c r="H1064" s="730">
        <v>0.06</v>
      </c>
      <c r="I1064" s="731">
        <v>252.072</v>
      </c>
      <c r="J1064" s="730">
        <v>365.32</v>
      </c>
      <c r="K1064" s="730">
        <v>1E-3</v>
      </c>
      <c r="L1064" s="730">
        <v>192</v>
      </c>
      <c r="M1064" s="730">
        <v>0</v>
      </c>
      <c r="N1064" s="730">
        <v>3.08</v>
      </c>
      <c r="O1064" s="730">
        <v>210.06</v>
      </c>
      <c r="P1064" s="730">
        <v>84.54</v>
      </c>
      <c r="Q1064" s="730">
        <v>46.95</v>
      </c>
      <c r="R1064" s="730">
        <v>1E-3</v>
      </c>
      <c r="S1064" s="730">
        <v>1E-3</v>
      </c>
      <c r="T1064" s="730">
        <v>1E-3</v>
      </c>
      <c r="U1064" s="730">
        <v>0.01</v>
      </c>
    </row>
    <row r="1065" spans="1:323" x14ac:dyDescent="0.25">
      <c r="A1065" s="727">
        <v>200132</v>
      </c>
      <c r="B1065" s="1268" t="str">
        <f t="shared" si="31"/>
        <v>-16,09/+17,90  (EC  17,8)</v>
      </c>
      <c r="C1065" s="729"/>
      <c r="D1065" s="730">
        <v>8.3000000000000007</v>
      </c>
      <c r="E1065" s="730">
        <v>1.78</v>
      </c>
      <c r="F1065" s="730">
        <v>0.69</v>
      </c>
      <c r="G1065" s="730">
        <v>0</v>
      </c>
      <c r="H1065" s="730">
        <v>0.03</v>
      </c>
      <c r="I1065" s="731">
        <v>266.952</v>
      </c>
      <c r="J1065" s="730">
        <v>269.35000000000002</v>
      </c>
      <c r="K1065" s="730">
        <v>1E-3</v>
      </c>
      <c r="L1065" s="730">
        <v>180</v>
      </c>
      <c r="M1065" s="730">
        <v>0</v>
      </c>
      <c r="N1065" s="730">
        <v>2.8</v>
      </c>
      <c r="O1065" s="730">
        <v>222.46</v>
      </c>
      <c r="P1065" s="730">
        <v>92.25</v>
      </c>
      <c r="Q1065" s="730">
        <v>42.51</v>
      </c>
      <c r="R1065" s="730">
        <v>1E-3</v>
      </c>
      <c r="S1065" s="730">
        <v>1E-3</v>
      </c>
      <c r="T1065" s="730">
        <v>1E-3</v>
      </c>
      <c r="U1065" s="730">
        <v>0.01</v>
      </c>
    </row>
    <row r="1066" spans="1:323" x14ac:dyDescent="0.25">
      <c r="A1066" s="727">
        <v>200133</v>
      </c>
      <c r="B1066" s="1268" t="str">
        <f t="shared" si="31"/>
        <v>-8,15/+9,78  (EC  8,68)</v>
      </c>
      <c r="C1066" s="729"/>
      <c r="D1066" s="730">
        <v>6.8</v>
      </c>
      <c r="E1066" s="730">
        <v>0.86799999999999999</v>
      </c>
      <c r="F1066" s="730">
        <v>4.3600000000000003</v>
      </c>
      <c r="G1066" s="730">
        <v>0</v>
      </c>
      <c r="H1066" s="731">
        <v>2.66666666666667E-2</v>
      </c>
      <c r="I1066" s="731">
        <v>30.527999999999999</v>
      </c>
      <c r="J1066" s="730">
        <v>31.36</v>
      </c>
      <c r="K1066" s="730">
        <v>1E-3</v>
      </c>
      <c r="L1066" s="730">
        <v>400.8</v>
      </c>
      <c r="M1066" s="730">
        <v>0</v>
      </c>
      <c r="N1066" s="730">
        <v>2.2799999999999998</v>
      </c>
      <c r="O1066" s="730">
        <v>25.44</v>
      </c>
      <c r="P1066" s="730">
        <v>79.94</v>
      </c>
      <c r="Q1066" s="730">
        <v>55.45</v>
      </c>
      <c r="R1066" s="730">
        <v>1E-3</v>
      </c>
      <c r="S1066" s="730">
        <v>1E-3</v>
      </c>
      <c r="T1066" s="730">
        <v>0.01</v>
      </c>
      <c r="U1066" s="730">
        <v>0.01</v>
      </c>
    </row>
    <row r="1067" spans="1:323" x14ac:dyDescent="0.25">
      <c r="A1067" s="727">
        <v>200134</v>
      </c>
      <c r="B1067" s="1268" t="str">
        <f t="shared" si="31"/>
        <v>-9,18/+10,57  (EC  9,37)</v>
      </c>
      <c r="C1067" s="729"/>
      <c r="D1067" s="730">
        <v>7.5</v>
      </c>
      <c r="E1067" s="730">
        <v>0.93700000000000006</v>
      </c>
      <c r="F1067" s="730">
        <v>1.25</v>
      </c>
      <c r="G1067" s="730">
        <v>0</v>
      </c>
      <c r="H1067" s="731">
        <v>1.6666666666666701E-2</v>
      </c>
      <c r="I1067" s="731">
        <v>54.875999999999998</v>
      </c>
      <c r="J1067" s="730">
        <v>46.23</v>
      </c>
      <c r="K1067" s="730">
        <v>1E-3</v>
      </c>
      <c r="L1067" s="730">
        <v>405.6</v>
      </c>
      <c r="M1067" s="730">
        <v>0</v>
      </c>
      <c r="N1067" s="730">
        <v>2.52</v>
      </c>
      <c r="O1067" s="730">
        <v>45.73</v>
      </c>
      <c r="P1067" s="730">
        <v>78.819999999999993</v>
      </c>
      <c r="Q1067" s="730">
        <v>54.84</v>
      </c>
      <c r="R1067" s="730">
        <v>1E-3</v>
      </c>
      <c r="S1067" s="730">
        <v>1E-3</v>
      </c>
      <c r="T1067" s="730">
        <v>0.01</v>
      </c>
      <c r="U1067" s="730">
        <v>0.01</v>
      </c>
    </row>
    <row r="1068" spans="1:323" x14ac:dyDescent="0.25">
      <c r="A1068" s="771">
        <v>200135</v>
      </c>
      <c r="B1068" s="772" t="str">
        <f>"-"&amp;TEXT((F1068/62+G1068/46+I1068/35.5+J1068/48+K1068/97+L1068/61),"0,00")&amp;"/+"&amp;TEXT((N1068/39+O1068/23+P1068/20+Q1068/12+H1068/14),"0,00")&amp;"  (EC  "&amp;E1068*10&amp;")"</f>
        <v>-23,89/+24,08  (EC  24,1)</v>
      </c>
      <c r="C1068" s="773"/>
      <c r="D1068" s="774">
        <v>7.2</v>
      </c>
      <c r="E1068" s="774">
        <v>2.41</v>
      </c>
      <c r="F1068" s="775">
        <v>38.770000000000003</v>
      </c>
      <c r="G1068" s="774">
        <v>0</v>
      </c>
      <c r="H1068" s="774">
        <v>0.04</v>
      </c>
      <c r="I1068" s="775">
        <v>337.82799999999997</v>
      </c>
      <c r="J1068" s="774">
        <v>395.32</v>
      </c>
      <c r="K1068" s="775">
        <v>0.15300000000000002</v>
      </c>
      <c r="L1068" s="774">
        <v>336</v>
      </c>
      <c r="M1068" s="774">
        <v>0</v>
      </c>
      <c r="N1068" s="774">
        <v>2.23</v>
      </c>
      <c r="O1068" s="774">
        <v>248.19</v>
      </c>
      <c r="P1068" s="774">
        <v>134.85</v>
      </c>
      <c r="Q1068" s="774">
        <v>77.83</v>
      </c>
      <c r="R1068" s="774">
        <v>0.09</v>
      </c>
      <c r="S1068" s="774">
        <v>1E-3</v>
      </c>
      <c r="T1068" s="774">
        <v>1E-3</v>
      </c>
      <c r="U1068" s="774">
        <v>1E-3</v>
      </c>
    </row>
    <row r="1069" spans="1:323" x14ac:dyDescent="0.25">
      <c r="A1069" s="771">
        <v>200136</v>
      </c>
      <c r="B1069" s="772" t="str">
        <f>"-"&amp;TEXT((F1069/62+G1069/46+I1069/35.5+J1069/48+K1069/97+L1069/61),"0,00")&amp;"/+"&amp;TEXT((N1069/39+O1069/23+P1069/20+Q1069/12+H1069/14),"0,00")&amp;"  (EC  "&amp;E1069*10&amp;")"</f>
        <v>-16,30/+17,24  (EC  16,7)</v>
      </c>
      <c r="C1069" s="773"/>
      <c r="D1069" s="774">
        <v>7.1</v>
      </c>
      <c r="E1069" s="774">
        <v>1.67</v>
      </c>
      <c r="F1069" s="775">
        <v>25.23</v>
      </c>
      <c r="G1069" s="774">
        <v>0</v>
      </c>
      <c r="H1069" s="774">
        <v>0.06</v>
      </c>
      <c r="I1069" s="775">
        <v>195.33199999999999</v>
      </c>
      <c r="J1069" s="774">
        <v>232.62</v>
      </c>
      <c r="K1069" s="775">
        <v>0.12240000000000001</v>
      </c>
      <c r="L1069" s="774">
        <v>338.4</v>
      </c>
      <c r="M1069" s="774">
        <v>0</v>
      </c>
      <c r="N1069" s="774">
        <v>1.97</v>
      </c>
      <c r="O1069" s="774">
        <v>146.11000000000001</v>
      </c>
      <c r="P1069" s="774">
        <v>108.15</v>
      </c>
      <c r="Q1069" s="774">
        <v>65.16</v>
      </c>
      <c r="R1069" s="774">
        <v>1E-3</v>
      </c>
      <c r="S1069" s="774">
        <v>1E-3</v>
      </c>
      <c r="T1069" s="774">
        <v>1E-3</v>
      </c>
      <c r="U1069" s="774">
        <v>1E-3</v>
      </c>
    </row>
    <row r="1070" spans="1:323" x14ac:dyDescent="0.25">
      <c r="A1070" s="771">
        <v>200137</v>
      </c>
      <c r="B1070" s="772" t="str">
        <f>"-"&amp;TEXT((F1070/62+G1070/46+I1070/35.5+J1070/48+K1070/97+L1070/61),"0,00")&amp;"/+"&amp;TEXT((N1070/39+O1070/23+P1070/20+Q1070/12+H1070/14),"0,00")&amp;"  (EC  "&amp;E1070*10&amp;")"</f>
        <v>-39,27/+40,43  (EC  40,2)</v>
      </c>
      <c r="C1070" s="773"/>
      <c r="D1070" s="774">
        <v>7</v>
      </c>
      <c r="E1070" s="774">
        <v>4.0199999999999996</v>
      </c>
      <c r="F1070" s="775">
        <v>46.49</v>
      </c>
      <c r="G1070" s="774">
        <v>0</v>
      </c>
      <c r="H1070" s="774">
        <v>0.03</v>
      </c>
      <c r="I1070" s="775">
        <v>728.12800000000004</v>
      </c>
      <c r="J1070" s="774">
        <v>556.07000000000005</v>
      </c>
      <c r="K1070" s="775">
        <v>0.15300000000000002</v>
      </c>
      <c r="L1070" s="774">
        <v>391.6</v>
      </c>
      <c r="M1070" s="774">
        <v>0</v>
      </c>
      <c r="N1070" s="774">
        <v>4.1399999999999997</v>
      </c>
      <c r="O1070" s="774">
        <v>523.44000000000005</v>
      </c>
      <c r="P1070" s="774">
        <v>191.85</v>
      </c>
      <c r="Q1070" s="774">
        <v>95.64</v>
      </c>
      <c r="R1070" s="774">
        <v>0.04</v>
      </c>
      <c r="S1070" s="774">
        <v>1E-3</v>
      </c>
      <c r="T1070" s="774">
        <v>1E-3</v>
      </c>
      <c r="U1070" s="774">
        <v>1E-3</v>
      </c>
    </row>
    <row r="1071" spans="1:323" x14ac:dyDescent="0.25">
      <c r="A1071" s="584">
        <v>200138</v>
      </c>
      <c r="B1071" s="551" t="str">
        <f>"-"&amp;TEXT((F1071/62+G1071/46+I1071/35.5+J1071/48+K1071/97+L1071/61),"0,00")&amp;"/+"&amp;TEXT((N1071/39+O1071/23+P1071/20+Q1071/12+H1071/14),"0,00")&amp;"  (EC  "&amp;E1071*10&amp;")"</f>
        <v>-15,52/+16,28  (EC  16,1)</v>
      </c>
      <c r="C1071" s="552"/>
      <c r="D1071" s="607">
        <v>7.39</v>
      </c>
      <c r="E1071" s="607">
        <v>1.61</v>
      </c>
      <c r="F1071" s="1477">
        <v>39.19</v>
      </c>
      <c r="G1071" s="607">
        <v>0</v>
      </c>
      <c r="H1071" s="1477">
        <v>0.03</v>
      </c>
      <c r="I1071" s="1478">
        <v>293.95999999999998</v>
      </c>
      <c r="J1071" s="1477">
        <v>105.62</v>
      </c>
      <c r="K1071" s="607">
        <v>1E-3</v>
      </c>
      <c r="L1071" s="607">
        <v>268.8</v>
      </c>
      <c r="M1071" s="607">
        <v>0</v>
      </c>
      <c r="N1071" s="1479">
        <v>1.79</v>
      </c>
      <c r="O1071" s="975">
        <v>155.80000000000001</v>
      </c>
      <c r="P1071" s="975">
        <v>103.66</v>
      </c>
      <c r="Q1071" s="975">
        <v>51.34</v>
      </c>
      <c r="R1071" s="975">
        <v>0.02</v>
      </c>
      <c r="S1071" s="975">
        <v>1E-3</v>
      </c>
      <c r="T1071" s="975">
        <v>1E-3</v>
      </c>
      <c r="U1071" s="975">
        <v>1E-3</v>
      </c>
    </row>
    <row r="1072" spans="1:323" x14ac:dyDescent="0.25">
      <c r="A1072" s="584">
        <v>200139</v>
      </c>
      <c r="B1072" s="551" t="str">
        <f t="shared" ref="B1072:B1136" si="32">"-"&amp;TEXT((F1072/62+G1072/46+I1072/35.5+J1072/48+K1072/97+L1072/61),"0,00")&amp;"/+"&amp;TEXT((N1072/39+O1072/23+P1072/20+Q1072/12+H1072/14),"0,00")&amp;"  (EC  "&amp;E1072*10&amp;")"</f>
        <v>-13,72/+13,31  (EC  12,9)</v>
      </c>
      <c r="C1072" s="552"/>
      <c r="D1072" s="607">
        <v>7.38</v>
      </c>
      <c r="E1072" s="607">
        <v>1.29</v>
      </c>
      <c r="F1072" s="1477">
        <v>28.92</v>
      </c>
      <c r="G1072" s="607">
        <v>0</v>
      </c>
      <c r="H1072" s="1477">
        <v>0.03</v>
      </c>
      <c r="I1072" s="1478">
        <v>269.26400000000001</v>
      </c>
      <c r="J1072" s="1477">
        <v>77.53</v>
      </c>
      <c r="K1072" s="607">
        <v>1E-3</v>
      </c>
      <c r="L1072" s="607">
        <v>247.20000000000002</v>
      </c>
      <c r="M1072" s="607">
        <v>0</v>
      </c>
      <c r="N1072" s="1479">
        <v>1.54</v>
      </c>
      <c r="O1072" s="975">
        <v>132.72</v>
      </c>
      <c r="P1072" s="975">
        <v>82.06</v>
      </c>
      <c r="Q1072" s="975">
        <v>40.75</v>
      </c>
      <c r="R1072" s="975">
        <v>0.02</v>
      </c>
      <c r="S1072" s="975">
        <v>1E-3</v>
      </c>
      <c r="T1072" s="975">
        <v>1E-3</v>
      </c>
      <c r="U1072" s="975">
        <v>1E-3</v>
      </c>
    </row>
    <row r="1073" spans="1:22" x14ac:dyDescent="0.25">
      <c r="A1073" s="584">
        <v>200140</v>
      </c>
      <c r="B1073" s="551" t="str">
        <f t="shared" si="32"/>
        <v>-12,86/+13,52  (EC  13,3)</v>
      </c>
      <c r="C1073" s="552"/>
      <c r="D1073" s="607">
        <v>7.36</v>
      </c>
      <c r="E1073" s="607">
        <v>1.33</v>
      </c>
      <c r="F1073" s="1477">
        <v>31.71</v>
      </c>
      <c r="G1073" s="607">
        <v>0</v>
      </c>
      <c r="H1073" s="1477">
        <v>0.02</v>
      </c>
      <c r="I1073" s="1478">
        <v>231.58</v>
      </c>
      <c r="J1073" s="1477">
        <v>79.459999999999994</v>
      </c>
      <c r="K1073" s="607">
        <v>1E-3</v>
      </c>
      <c r="L1073" s="607">
        <v>254.39999999999998</v>
      </c>
      <c r="M1073" s="607">
        <v>0</v>
      </c>
      <c r="N1073" s="975">
        <v>1.51</v>
      </c>
      <c r="O1073" s="975">
        <v>134.65</v>
      </c>
      <c r="P1073" s="975">
        <v>83.43</v>
      </c>
      <c r="Q1073" s="975">
        <v>41.39</v>
      </c>
      <c r="R1073" s="975">
        <v>0.03</v>
      </c>
      <c r="S1073" s="975">
        <v>1E-3</v>
      </c>
      <c r="T1073" s="975">
        <v>1E-3</v>
      </c>
      <c r="U1073" s="975">
        <v>0.03</v>
      </c>
    </row>
    <row r="1074" spans="1:22" x14ac:dyDescent="0.25">
      <c r="A1074" s="584">
        <v>200141</v>
      </c>
      <c r="B1074" s="551" t="str">
        <f t="shared" si="32"/>
        <v>-7,09/+7,22  (EC  6,12)</v>
      </c>
      <c r="C1074" s="552"/>
      <c r="D1074" s="584">
        <v>7.9</v>
      </c>
      <c r="E1074" s="584">
        <v>0.61199999999999999</v>
      </c>
      <c r="F1074" s="1093">
        <v>1.05</v>
      </c>
      <c r="G1074" s="607">
        <v>0</v>
      </c>
      <c r="H1074" s="1093">
        <v>3.999999999999998E-2</v>
      </c>
      <c r="I1074" s="1478">
        <v>28.044</v>
      </c>
      <c r="J1074" s="1093">
        <v>63.39</v>
      </c>
      <c r="K1074" s="607">
        <v>3.0600000000000002E-2</v>
      </c>
      <c r="L1074" s="607">
        <v>302.39999999999998</v>
      </c>
      <c r="M1074" s="607">
        <v>0</v>
      </c>
      <c r="N1074" s="975">
        <v>10.51</v>
      </c>
      <c r="O1074" s="975">
        <v>23.37</v>
      </c>
      <c r="P1074" s="975">
        <v>54.43</v>
      </c>
      <c r="Q1074" s="975">
        <v>38.47</v>
      </c>
      <c r="R1074" s="975">
        <v>1E-3</v>
      </c>
      <c r="S1074" s="975">
        <v>1E-3</v>
      </c>
      <c r="T1074" s="975">
        <v>1E-3</v>
      </c>
      <c r="U1074" s="975">
        <v>0.06</v>
      </c>
    </row>
    <row r="1075" spans="1:22" x14ac:dyDescent="0.25">
      <c r="A1075" s="584">
        <v>200142</v>
      </c>
      <c r="B1075" s="551" t="str">
        <f t="shared" si="32"/>
        <v>-4,95/+4,97  (EC  4,35)</v>
      </c>
      <c r="C1075" s="552"/>
      <c r="D1075" s="584">
        <v>7.76</v>
      </c>
      <c r="E1075" s="584">
        <v>0.435</v>
      </c>
      <c r="F1075" s="1093">
        <v>8.57</v>
      </c>
      <c r="G1075" s="607">
        <v>0</v>
      </c>
      <c r="H1075" s="1093">
        <v>1.999999999999999E-2</v>
      </c>
      <c r="I1075" s="1478">
        <v>14.231999999999999</v>
      </c>
      <c r="J1075" s="1093">
        <v>74.069999999999993</v>
      </c>
      <c r="K1075" s="607">
        <v>1E-3</v>
      </c>
      <c r="L1075" s="607">
        <v>175.20000000000002</v>
      </c>
      <c r="M1075" s="607">
        <v>0</v>
      </c>
      <c r="N1075" s="975">
        <v>1.36</v>
      </c>
      <c r="O1075" s="975">
        <v>11.86</v>
      </c>
      <c r="P1075" s="975">
        <v>62.17</v>
      </c>
      <c r="Q1075" s="975">
        <v>15.77</v>
      </c>
      <c r="R1075" s="975">
        <v>1E-3</v>
      </c>
      <c r="S1075" s="975">
        <v>1E-3</v>
      </c>
      <c r="T1075" s="975">
        <v>1E-3</v>
      </c>
      <c r="U1075" s="975">
        <v>0.01</v>
      </c>
    </row>
    <row r="1076" spans="1:22" x14ac:dyDescent="0.25">
      <c r="A1076" s="584">
        <v>200143</v>
      </c>
      <c r="B1076" s="551" t="str">
        <f>"-"&amp;TEXT((F1076/62+G1076/46+I1076/35.5+J1076/48+K1076/97+L1076/61),"0,00")&amp;"/+"&amp;TEXT((N1076/39+O1076/23+P1076/20+Q1076/12+H1076/14),"0,00")&amp;"  (EC  "&amp;E1076*10&amp;")"</f>
        <v>-194,34/+259,41  (EC  237,9)</v>
      </c>
      <c r="C1076" s="552"/>
      <c r="D1076" s="553">
        <v>6.9</v>
      </c>
      <c r="E1076" s="553">
        <v>23.79</v>
      </c>
      <c r="F1076" s="1093">
        <v>105.9</v>
      </c>
      <c r="G1076" s="607">
        <v>0</v>
      </c>
      <c r="H1076" s="1093">
        <v>0.3</v>
      </c>
      <c r="I1076" s="1478">
        <v>4565.3900000000003</v>
      </c>
      <c r="J1076" s="1093">
        <v>2952.3</v>
      </c>
      <c r="K1076" s="553">
        <v>3.0600000000000002E-2</v>
      </c>
      <c r="L1076" s="553">
        <v>153.60000000000002</v>
      </c>
      <c r="M1076" s="553">
        <v>0</v>
      </c>
      <c r="N1076" s="975">
        <v>33.58</v>
      </c>
      <c r="O1076" s="975">
        <v>3089.76</v>
      </c>
      <c r="P1076" s="975">
        <v>1238.3</v>
      </c>
      <c r="Q1076" s="975">
        <v>747.26</v>
      </c>
      <c r="R1076" s="975">
        <v>0.02</v>
      </c>
      <c r="S1076" s="975">
        <v>1E-3</v>
      </c>
      <c r="T1076" s="975">
        <v>1E-3</v>
      </c>
      <c r="U1076" s="975">
        <v>0.02</v>
      </c>
    </row>
    <row r="1077" spans="1:22" x14ac:dyDescent="0.25">
      <c r="A1077" s="584">
        <v>200144</v>
      </c>
      <c r="B1077" s="551" t="str">
        <f t="shared" si="32"/>
        <v>-201,86/+247,51  (EC  228,4)</v>
      </c>
      <c r="C1077" s="552"/>
      <c r="D1077" s="553">
        <v>7.44</v>
      </c>
      <c r="E1077" s="553">
        <v>22.84</v>
      </c>
      <c r="F1077" s="1093">
        <v>93.800000000000011</v>
      </c>
      <c r="G1077" s="607">
        <v>0</v>
      </c>
      <c r="H1077" s="1093">
        <v>0.4</v>
      </c>
      <c r="I1077" s="1478">
        <v>4914.7520000000004</v>
      </c>
      <c r="J1077" s="1093">
        <v>2837.1</v>
      </c>
      <c r="K1077" s="553">
        <v>0.5202</v>
      </c>
      <c r="L1077" s="553">
        <v>170.4</v>
      </c>
      <c r="M1077" s="553">
        <v>0</v>
      </c>
      <c r="N1077" s="975">
        <v>38.89</v>
      </c>
      <c r="O1077" s="975">
        <v>3178.96</v>
      </c>
      <c r="P1077" s="975">
        <v>1170.03</v>
      </c>
      <c r="Q1077" s="975">
        <v>597.26</v>
      </c>
      <c r="R1077" s="975">
        <v>0.09</v>
      </c>
      <c r="S1077" s="975">
        <v>0.01</v>
      </c>
      <c r="T1077" s="975">
        <v>0.11</v>
      </c>
      <c r="U1077" s="975">
        <v>0.03</v>
      </c>
    </row>
    <row r="1078" spans="1:22" s="1711" customFormat="1" x14ac:dyDescent="0.25">
      <c r="A1078" s="727">
        <v>200145</v>
      </c>
      <c r="B1078" s="1268" t="str">
        <f t="shared" si="32"/>
        <v>-15,86/+16,44  (EC  15,9)</v>
      </c>
      <c r="C1078" s="729"/>
      <c r="D1078" s="730">
        <v>6.3</v>
      </c>
      <c r="E1078" s="730">
        <v>1.59</v>
      </c>
      <c r="F1078" s="1243">
        <v>43.18</v>
      </c>
      <c r="G1078" s="730">
        <v>0</v>
      </c>
      <c r="H1078" s="1243">
        <v>0.05</v>
      </c>
      <c r="I1078" s="731">
        <v>261.18400000000003</v>
      </c>
      <c r="J1078" s="732">
        <v>98.93</v>
      </c>
      <c r="K1078" s="731">
        <v>6.7319999999999991E-2</v>
      </c>
      <c r="L1078" s="730">
        <v>350.4</v>
      </c>
      <c r="M1078" s="730">
        <v>0</v>
      </c>
      <c r="N1078" s="733">
        <v>1.84</v>
      </c>
      <c r="O1078" s="733">
        <v>184.32</v>
      </c>
      <c r="P1078" s="733">
        <v>68.45</v>
      </c>
      <c r="Q1078" s="733">
        <v>59.42</v>
      </c>
      <c r="R1078" s="730">
        <v>1E-3</v>
      </c>
      <c r="S1078" s="733">
        <v>1E-3</v>
      </c>
      <c r="T1078" s="730">
        <v>1E-3</v>
      </c>
      <c r="U1078" s="733">
        <v>1E-3</v>
      </c>
      <c r="V1078" s="730"/>
    </row>
    <row r="1079" spans="1:22" s="1711" customFormat="1" x14ac:dyDescent="0.25">
      <c r="A1079" s="727">
        <v>200146</v>
      </c>
      <c r="B1079" s="1268" t="str">
        <f t="shared" si="32"/>
        <v>-22,86/+23,11  (EC  22)</v>
      </c>
      <c r="C1079" s="729"/>
      <c r="D1079" s="730">
        <v>7.58</v>
      </c>
      <c r="E1079" s="730">
        <v>2.2000000000000002</v>
      </c>
      <c r="F1079" s="1243">
        <v>70.62</v>
      </c>
      <c r="G1079" s="730">
        <v>0</v>
      </c>
      <c r="H1079" s="1243">
        <v>0.04</v>
      </c>
      <c r="I1079" s="731">
        <v>226.464</v>
      </c>
      <c r="J1079" s="732">
        <v>453</v>
      </c>
      <c r="K1079" s="731">
        <v>6.1200000000000004E-2</v>
      </c>
      <c r="L1079" s="730">
        <v>360</v>
      </c>
      <c r="M1079" s="730">
        <v>0</v>
      </c>
      <c r="N1079" s="733">
        <v>3.29</v>
      </c>
      <c r="O1079" s="733">
        <v>163.72</v>
      </c>
      <c r="P1079" s="733">
        <v>159.09</v>
      </c>
      <c r="Q1079" s="733">
        <v>95.41</v>
      </c>
      <c r="R1079" s="730">
        <v>0.01</v>
      </c>
      <c r="S1079" s="733">
        <v>1E-3</v>
      </c>
      <c r="T1079" s="730">
        <v>1E-3</v>
      </c>
      <c r="U1079" s="733">
        <v>1E-3</v>
      </c>
      <c r="V1079" s="730"/>
    </row>
    <row r="1080" spans="1:22" s="1711" customFormat="1" x14ac:dyDescent="0.25">
      <c r="A1080" s="727">
        <v>200147</v>
      </c>
      <c r="B1080" s="1268" t="str">
        <f t="shared" si="32"/>
        <v>-25,15/+26,37  (EC  26)</v>
      </c>
      <c r="C1080" s="729"/>
      <c r="D1080" s="730">
        <v>7.63</v>
      </c>
      <c r="E1080" s="730">
        <v>2.6</v>
      </c>
      <c r="F1080" s="1243">
        <v>90.4</v>
      </c>
      <c r="G1080" s="730">
        <v>0</v>
      </c>
      <c r="H1080" s="1243">
        <v>0.06</v>
      </c>
      <c r="I1080" s="731">
        <v>282.79199999999997</v>
      </c>
      <c r="J1080" s="732">
        <v>452.55</v>
      </c>
      <c r="K1080" s="731">
        <v>1E-3</v>
      </c>
      <c r="L1080" s="730">
        <v>384</v>
      </c>
      <c r="M1080" s="730">
        <v>0</v>
      </c>
      <c r="N1080" s="733">
        <v>3.57</v>
      </c>
      <c r="O1080" s="733">
        <v>185.66</v>
      </c>
      <c r="P1080" s="733">
        <v>184.39</v>
      </c>
      <c r="Q1080" s="733">
        <v>107.8</v>
      </c>
      <c r="R1080" s="730">
        <v>0.01</v>
      </c>
      <c r="S1080" s="733">
        <v>1E-3</v>
      </c>
      <c r="T1080" s="730">
        <v>1E-3</v>
      </c>
      <c r="U1080" s="733" t="s">
        <v>467</v>
      </c>
      <c r="V1080" s="730"/>
    </row>
    <row r="1081" spans="1:22" s="1711" customFormat="1" x14ac:dyDescent="0.25">
      <c r="A1081" s="727">
        <v>200148</v>
      </c>
      <c r="B1081" s="1268" t="str">
        <f t="shared" si="32"/>
        <v>-34,11/+35,49  (EC  34,2)</v>
      </c>
      <c r="C1081" s="729"/>
      <c r="D1081" s="730">
        <v>7.58</v>
      </c>
      <c r="E1081" s="1242">
        <v>3.42</v>
      </c>
      <c r="F1081" s="1493">
        <v>75.48</v>
      </c>
      <c r="G1081" s="730">
        <v>0</v>
      </c>
      <c r="H1081" s="1243">
        <v>0.03</v>
      </c>
      <c r="I1081" s="731">
        <v>292.452</v>
      </c>
      <c r="J1081" s="732">
        <v>865.95</v>
      </c>
      <c r="K1081" s="731">
        <v>4.8960000000000004E-2</v>
      </c>
      <c r="L1081" s="730">
        <v>403.19999999999993</v>
      </c>
      <c r="M1081" s="730">
        <v>0</v>
      </c>
      <c r="N1081" s="733">
        <v>3.29</v>
      </c>
      <c r="O1081" s="733">
        <v>243.71</v>
      </c>
      <c r="P1081" s="733">
        <v>235.63</v>
      </c>
      <c r="Q1081" s="733">
        <v>156.37</v>
      </c>
      <c r="R1081" s="730">
        <v>0.39</v>
      </c>
      <c r="S1081" s="733">
        <v>1E-3</v>
      </c>
      <c r="T1081" s="730">
        <v>0.03</v>
      </c>
      <c r="U1081" s="733" t="s">
        <v>467</v>
      </c>
      <c r="V1081" s="730"/>
    </row>
    <row r="1082" spans="1:22" s="1711" customFormat="1" x14ac:dyDescent="0.25">
      <c r="A1082" s="727">
        <v>200149</v>
      </c>
      <c r="B1082" s="1268" t="str">
        <f t="shared" si="32"/>
        <v>-14,45/+15,15  (EC  14,6)</v>
      </c>
      <c r="C1082" s="729"/>
      <c r="D1082" s="730">
        <v>7.4</v>
      </c>
      <c r="E1082" s="1242">
        <v>1.46</v>
      </c>
      <c r="F1082" s="1243">
        <v>14.29</v>
      </c>
      <c r="G1082" s="730">
        <v>0</v>
      </c>
      <c r="H1082" s="1243">
        <v>0.08</v>
      </c>
      <c r="I1082" s="731">
        <v>62.856000000000002</v>
      </c>
      <c r="J1082" s="732">
        <v>325.35000000000002</v>
      </c>
      <c r="K1082" s="731">
        <v>4.2840000000000003E-2</v>
      </c>
      <c r="L1082" s="730">
        <v>345.6</v>
      </c>
      <c r="M1082" s="730">
        <v>0</v>
      </c>
      <c r="N1082" s="733" t="s">
        <v>564</v>
      </c>
      <c r="O1082" s="733">
        <v>52.38</v>
      </c>
      <c r="P1082" s="733">
        <v>158.80000000000001</v>
      </c>
      <c r="Q1082" s="733">
        <v>58.33</v>
      </c>
      <c r="R1082" s="730">
        <v>1E-3</v>
      </c>
      <c r="S1082" s="733">
        <v>1E-3</v>
      </c>
      <c r="T1082" s="730">
        <v>1E-3</v>
      </c>
      <c r="U1082" s="733">
        <v>1E-3</v>
      </c>
      <c r="V1082" s="730"/>
    </row>
    <row r="1083" spans="1:22" s="1711" customFormat="1" x14ac:dyDescent="0.25">
      <c r="A1083" s="727">
        <v>200150</v>
      </c>
      <c r="B1083" s="1268" t="str">
        <f t="shared" si="32"/>
        <v>-13,46/+13,43  (EC  13,1)</v>
      </c>
      <c r="C1083" s="729"/>
      <c r="D1083" s="730">
        <v>7.64</v>
      </c>
      <c r="E1083" s="730">
        <v>1.31</v>
      </c>
      <c r="F1083" s="1493">
        <v>94.49</v>
      </c>
      <c r="G1083" s="730">
        <v>0</v>
      </c>
      <c r="H1083" s="1243">
        <v>7.0000000000000007E-2</v>
      </c>
      <c r="I1083" s="731">
        <v>189.6</v>
      </c>
      <c r="J1083" s="1494">
        <v>50.09</v>
      </c>
      <c r="K1083" s="731">
        <v>5.5079999999999997E-2</v>
      </c>
      <c r="L1083" s="730">
        <v>338.4</v>
      </c>
      <c r="M1083" s="730">
        <v>0</v>
      </c>
      <c r="N1083" s="733">
        <v>1.87</v>
      </c>
      <c r="O1083" s="733">
        <v>158</v>
      </c>
      <c r="P1083" s="733">
        <v>55.52</v>
      </c>
      <c r="Q1083" s="733">
        <v>44.83</v>
      </c>
      <c r="R1083" s="730">
        <v>0.01</v>
      </c>
      <c r="S1083" s="733">
        <v>1E-3</v>
      </c>
      <c r="T1083" s="730">
        <v>1E-3</v>
      </c>
      <c r="U1083" s="733" t="s">
        <v>465</v>
      </c>
      <c r="V1083" s="730"/>
    </row>
    <row r="1084" spans="1:22" s="1711" customFormat="1" x14ac:dyDescent="0.25">
      <c r="A1084" s="727">
        <v>200151</v>
      </c>
      <c r="B1084" s="1268" t="str">
        <f t="shared" si="32"/>
        <v>-5,86/+5,97  (EC  6,25)</v>
      </c>
      <c r="C1084" s="729"/>
      <c r="D1084" s="730">
        <v>6.96</v>
      </c>
      <c r="E1084" s="730">
        <v>0.625</v>
      </c>
      <c r="F1084" s="731">
        <v>10.71</v>
      </c>
      <c r="G1084" s="730">
        <v>0</v>
      </c>
      <c r="H1084" s="1243">
        <v>0.1</v>
      </c>
      <c r="I1084" s="731">
        <v>57.947999999999993</v>
      </c>
      <c r="J1084" s="1243">
        <v>8.9700000000000006</v>
      </c>
      <c r="K1084" s="731">
        <v>6.1200000000000004E-2</v>
      </c>
      <c r="L1084" s="730">
        <v>236</v>
      </c>
      <c r="M1084" s="730">
        <v>0</v>
      </c>
      <c r="N1084" s="733">
        <v>1.58</v>
      </c>
      <c r="O1084" s="733">
        <v>48.29</v>
      </c>
      <c r="P1084" s="733">
        <v>60.11</v>
      </c>
      <c r="Q1084" s="733">
        <v>9.8000000000000007</v>
      </c>
      <c r="R1084" s="733">
        <v>1E-3</v>
      </c>
      <c r="S1084" s="733">
        <v>1E-3</v>
      </c>
      <c r="T1084" s="733">
        <v>1E-3</v>
      </c>
      <c r="U1084" s="733">
        <v>1E-3</v>
      </c>
      <c r="V1084" s="730"/>
    </row>
    <row r="1085" spans="1:22" s="1711" customFormat="1" x14ac:dyDescent="0.25">
      <c r="A1085" s="727">
        <v>200152</v>
      </c>
      <c r="B1085" s="1268" t="str">
        <f t="shared" si="32"/>
        <v>-9,04/+10,24  (EC  10,87)</v>
      </c>
      <c r="C1085" s="729"/>
      <c r="D1085" s="730">
        <v>6.91</v>
      </c>
      <c r="E1085" s="730">
        <v>1.087</v>
      </c>
      <c r="F1085" s="731">
        <v>10.33</v>
      </c>
      <c r="G1085" s="730">
        <v>0</v>
      </c>
      <c r="H1085" s="1243">
        <v>8.0000000000000016E-2</v>
      </c>
      <c r="I1085" s="731">
        <v>142.36000000000001</v>
      </c>
      <c r="J1085" s="1243">
        <v>11.64</v>
      </c>
      <c r="K1085" s="730">
        <v>1E-3</v>
      </c>
      <c r="L1085" s="730">
        <v>282</v>
      </c>
      <c r="M1085" s="730">
        <v>0</v>
      </c>
      <c r="N1085" s="733">
        <v>2.0099999999999998</v>
      </c>
      <c r="O1085" s="733">
        <v>100.36</v>
      </c>
      <c r="P1085" s="733">
        <v>90.83</v>
      </c>
      <c r="Q1085" s="733">
        <v>15.29</v>
      </c>
      <c r="R1085" s="733">
        <v>1E-3</v>
      </c>
      <c r="S1085" s="733">
        <v>1E-3</v>
      </c>
      <c r="T1085" s="733">
        <v>1E-3</v>
      </c>
      <c r="U1085" s="733" t="s">
        <v>467</v>
      </c>
      <c r="V1085" s="730"/>
    </row>
    <row r="1086" spans="1:22" s="907" customFormat="1" x14ac:dyDescent="0.25">
      <c r="A1086" s="1100">
        <v>200153</v>
      </c>
      <c r="B1086" s="1107" t="str">
        <f t="shared" si="32"/>
        <v>-10,26/+10,78  (EC  11,41)</v>
      </c>
      <c r="C1086" s="1101"/>
      <c r="D1086" s="1102">
        <v>7.05</v>
      </c>
      <c r="E1086" s="1102">
        <v>1.141</v>
      </c>
      <c r="F1086" s="1104">
        <v>11.69</v>
      </c>
      <c r="G1086" s="1102">
        <v>0</v>
      </c>
      <c r="H1086" s="1103">
        <v>0.11000000000000001</v>
      </c>
      <c r="I1086" s="1104">
        <v>179.90799999999999</v>
      </c>
      <c r="J1086" s="1103">
        <v>5.43</v>
      </c>
      <c r="K1086" s="1102">
        <v>1E-3</v>
      </c>
      <c r="L1086" s="1102">
        <v>298.39999999999998</v>
      </c>
      <c r="M1086" s="1102">
        <v>0</v>
      </c>
      <c r="N1086" s="906">
        <v>1.97</v>
      </c>
      <c r="O1086" s="906">
        <v>116.59</v>
      </c>
      <c r="P1086" s="906">
        <v>89.09</v>
      </c>
      <c r="Q1086" s="906">
        <v>14.39</v>
      </c>
      <c r="R1086" s="906">
        <v>1E-3</v>
      </c>
      <c r="S1086" s="906">
        <v>1E-3</v>
      </c>
      <c r="T1086" s="906">
        <v>1E-3</v>
      </c>
      <c r="U1086" s="906" t="s">
        <v>494</v>
      </c>
      <c r="V1086" s="1102"/>
    </row>
    <row r="1087" spans="1:22" s="907" customFormat="1" x14ac:dyDescent="0.25">
      <c r="A1087" s="1100">
        <v>200154</v>
      </c>
      <c r="B1087" s="1107" t="str">
        <f t="shared" si="32"/>
        <v>-4,83/+4,41  (EC  4,04)</v>
      </c>
      <c r="C1087" s="1101"/>
      <c r="D1087" s="1102">
        <v>7.41</v>
      </c>
      <c r="E1087" s="1102">
        <v>0.40400000000000003</v>
      </c>
      <c r="F1087" s="1104">
        <v>0.08</v>
      </c>
      <c r="G1087" s="1102">
        <v>0</v>
      </c>
      <c r="H1087" s="1103">
        <v>0.12</v>
      </c>
      <c r="I1087" s="1104">
        <v>18.012</v>
      </c>
      <c r="J1087" s="1103">
        <v>63.9</v>
      </c>
      <c r="K1087" s="1102">
        <v>1E-3</v>
      </c>
      <c r="L1087" s="1102">
        <v>182.4</v>
      </c>
      <c r="M1087" s="1102">
        <v>0</v>
      </c>
      <c r="N1087" s="906">
        <v>2.02</v>
      </c>
      <c r="O1087" s="906">
        <v>15.01</v>
      </c>
      <c r="P1087" s="906">
        <v>42.58</v>
      </c>
      <c r="Q1087" s="906">
        <v>18.850000000000001</v>
      </c>
      <c r="R1087" s="906">
        <v>1E-3</v>
      </c>
      <c r="S1087" s="906">
        <v>1E-3</v>
      </c>
      <c r="T1087" s="906">
        <v>1E-3</v>
      </c>
      <c r="U1087" s="906" t="s">
        <v>539</v>
      </c>
      <c r="V1087" s="1102"/>
    </row>
    <row r="1088" spans="1:22" s="907" customFormat="1" x14ac:dyDescent="0.25">
      <c r="A1088" s="1100">
        <v>200155</v>
      </c>
      <c r="B1088" s="1107" t="str">
        <f t="shared" si="32"/>
        <v>-7,77/+7,17  (EC  6,58)</v>
      </c>
      <c r="C1088" s="1101"/>
      <c r="D1088" s="1102">
        <v>7.75</v>
      </c>
      <c r="E1088" s="1102">
        <v>0.65800000000000003</v>
      </c>
      <c r="F1088" s="1104">
        <v>0.23</v>
      </c>
      <c r="G1088" s="1102">
        <v>0</v>
      </c>
      <c r="H1088" s="1103">
        <v>0.14000000000000001</v>
      </c>
      <c r="I1088" s="1104">
        <v>31.823999999999998</v>
      </c>
      <c r="J1088" s="1103">
        <v>182.58</v>
      </c>
      <c r="K1088" s="1102">
        <v>1E-3</v>
      </c>
      <c r="L1088" s="1102">
        <v>187.20000000000002</v>
      </c>
      <c r="M1088" s="1102">
        <v>0</v>
      </c>
      <c r="N1088" s="906">
        <v>4.3499999999999996</v>
      </c>
      <c r="O1088" s="906">
        <v>26.52</v>
      </c>
      <c r="P1088" s="906">
        <v>69.260000000000005</v>
      </c>
      <c r="Q1088" s="906">
        <v>29.22</v>
      </c>
      <c r="R1088" s="906" t="s">
        <v>567</v>
      </c>
      <c r="S1088" s="906">
        <v>1E-3</v>
      </c>
      <c r="T1088" s="906">
        <v>0.01</v>
      </c>
      <c r="U1088" s="906" t="s">
        <v>494</v>
      </c>
      <c r="V1088" s="1102"/>
    </row>
    <row r="1089" spans="1:22" s="907" customFormat="1" x14ac:dyDescent="0.25">
      <c r="A1089" s="1100">
        <v>200156</v>
      </c>
      <c r="B1089" s="1107" t="str">
        <f t="shared" si="32"/>
        <v>-21,70/+22,55  (EC  23,1)</v>
      </c>
      <c r="C1089" s="1101"/>
      <c r="D1089" s="1102">
        <v>7.26</v>
      </c>
      <c r="E1089" s="1735">
        <v>2.31</v>
      </c>
      <c r="F1089" s="1104">
        <v>53.45</v>
      </c>
      <c r="G1089" s="1102">
        <v>0</v>
      </c>
      <c r="H1089" s="1103">
        <v>0.13</v>
      </c>
      <c r="I1089" s="1104">
        <v>325.3</v>
      </c>
      <c r="J1089" s="1103">
        <v>246.32</v>
      </c>
      <c r="K1089" s="1102">
        <v>3.0600000000000002E-2</v>
      </c>
      <c r="L1089" s="1102">
        <v>398.8</v>
      </c>
      <c r="M1089" s="1102">
        <v>0</v>
      </c>
      <c r="N1089" s="906">
        <v>3.19</v>
      </c>
      <c r="O1089" s="906">
        <v>180.47</v>
      </c>
      <c r="P1089" s="906">
        <v>171.51</v>
      </c>
      <c r="Q1089" s="906">
        <v>72.430000000000007</v>
      </c>
      <c r="R1089" s="906">
        <v>1E-3</v>
      </c>
      <c r="S1089" s="906">
        <v>1E-3</v>
      </c>
      <c r="T1089" s="906">
        <v>1E-3</v>
      </c>
      <c r="U1089" s="906">
        <v>1E-3</v>
      </c>
      <c r="V1089" s="1102"/>
    </row>
    <row r="1090" spans="1:22" s="907" customFormat="1" x14ac:dyDescent="0.25">
      <c r="A1090" s="1100">
        <v>200157</v>
      </c>
      <c r="B1090" s="1107" t="str">
        <f t="shared" si="32"/>
        <v>-23,09/+24,86  (EC  24,6)</v>
      </c>
      <c r="C1090" s="1101"/>
      <c r="D1090" s="1102">
        <v>7.49</v>
      </c>
      <c r="E1090" s="1102">
        <v>2.46</v>
      </c>
      <c r="F1090" s="1104">
        <v>5.67</v>
      </c>
      <c r="G1090" s="1102">
        <v>0</v>
      </c>
      <c r="H1090" s="1103">
        <v>0.09</v>
      </c>
      <c r="I1090" s="1104">
        <v>496.36</v>
      </c>
      <c r="J1090" s="1103">
        <v>152.36000000000001</v>
      </c>
      <c r="K1090" s="1102">
        <v>1E-3</v>
      </c>
      <c r="L1090" s="1102">
        <v>356.3</v>
      </c>
      <c r="M1090" s="1102">
        <v>0</v>
      </c>
      <c r="N1090" s="906">
        <v>5.66</v>
      </c>
      <c r="O1090" s="906">
        <v>308.10000000000002</v>
      </c>
      <c r="P1090" s="906">
        <v>137.66</v>
      </c>
      <c r="Q1090" s="906">
        <v>53.16</v>
      </c>
      <c r="R1090" s="906">
        <v>1E-3</v>
      </c>
      <c r="S1090" s="906">
        <v>1E-3</v>
      </c>
      <c r="T1090" s="906">
        <v>1E-3</v>
      </c>
      <c r="U1090" s="906">
        <v>1E-3</v>
      </c>
      <c r="V1090" s="1102"/>
    </row>
    <row r="1091" spans="1:22" s="907" customFormat="1" x14ac:dyDescent="0.25">
      <c r="A1091" s="1100">
        <v>200158</v>
      </c>
      <c r="B1091" s="1107" t="str">
        <f t="shared" si="32"/>
        <v>-10,37/+10,83  (EC  10,2)</v>
      </c>
      <c r="C1091" s="1101"/>
      <c r="D1091" s="1102">
        <v>7.52</v>
      </c>
      <c r="E1091" s="1102">
        <v>1.02</v>
      </c>
      <c r="F1091" s="1736">
        <v>2.1</v>
      </c>
      <c r="G1091" s="1102">
        <v>0</v>
      </c>
      <c r="H1091" s="1103">
        <v>0.14000000000000001</v>
      </c>
      <c r="I1091" s="1104">
        <v>114.36</v>
      </c>
      <c r="J1091" s="1736">
        <v>139.91</v>
      </c>
      <c r="K1091" s="1108">
        <v>9.1799999999999993E-2</v>
      </c>
      <c r="L1091" s="1102">
        <v>256.36</v>
      </c>
      <c r="M1091" s="1102">
        <v>0</v>
      </c>
      <c r="N1091" s="906">
        <v>7.28</v>
      </c>
      <c r="O1091" s="906">
        <v>95.3</v>
      </c>
      <c r="P1091" s="1102">
        <v>69.319999999999993</v>
      </c>
      <c r="Q1091" s="906">
        <v>36.229999999999997</v>
      </c>
      <c r="R1091" s="906">
        <v>0.03</v>
      </c>
      <c r="S1091" s="1102">
        <v>1E-3</v>
      </c>
      <c r="T1091" s="906">
        <v>1E-3</v>
      </c>
      <c r="U1091" s="1102" t="s">
        <v>568</v>
      </c>
      <c r="V1091" s="1102"/>
    </row>
    <row r="1092" spans="1:22" s="907" customFormat="1" x14ac:dyDescent="0.25">
      <c r="A1092" s="1100">
        <v>200159</v>
      </c>
      <c r="B1092" s="1107" t="str">
        <f t="shared" si="32"/>
        <v>-10,76/+11,87  (EC  11,5)</v>
      </c>
      <c r="C1092" s="1101"/>
      <c r="D1092" s="1102">
        <v>7.64</v>
      </c>
      <c r="E1092" s="1102">
        <v>1.1499999999999999</v>
      </c>
      <c r="F1092" s="1103">
        <v>18.22</v>
      </c>
      <c r="G1092" s="1102">
        <v>0</v>
      </c>
      <c r="H1092" s="1103">
        <v>0.09</v>
      </c>
      <c r="I1092" s="1104">
        <v>145.66800000000001</v>
      </c>
      <c r="J1092" s="1103">
        <v>24.16</v>
      </c>
      <c r="K1092" s="1108">
        <v>1E-3</v>
      </c>
      <c r="L1092" s="1102">
        <v>357.6</v>
      </c>
      <c r="M1092" s="1102">
        <v>0</v>
      </c>
      <c r="N1092" s="906">
        <v>1.33</v>
      </c>
      <c r="O1092" s="906">
        <v>121.39</v>
      </c>
      <c r="P1092" s="1102">
        <v>58.92</v>
      </c>
      <c r="Q1092" s="906">
        <v>43.21</v>
      </c>
      <c r="R1092" s="906">
        <v>1E-3</v>
      </c>
      <c r="S1092" s="1102">
        <v>1E-3</v>
      </c>
      <c r="T1092" s="906">
        <v>1E-3</v>
      </c>
      <c r="U1092" s="1102" t="s">
        <v>494</v>
      </c>
      <c r="V1092" s="1102"/>
    </row>
    <row r="1093" spans="1:22" s="907" customFormat="1" x14ac:dyDescent="0.25">
      <c r="A1093" s="1100">
        <v>200160</v>
      </c>
      <c r="B1093" s="1107" t="str">
        <f t="shared" si="32"/>
        <v>-41,74/+43,77  (EC  42,6)</v>
      </c>
      <c r="C1093" s="1101"/>
      <c r="D1093" s="1102">
        <v>6.94</v>
      </c>
      <c r="E1093" s="1111">
        <v>4.26</v>
      </c>
      <c r="F1093" s="1103">
        <v>67.819999999999993</v>
      </c>
      <c r="G1093" s="1102">
        <v>0</v>
      </c>
      <c r="H1093" s="1103">
        <v>0.28000000000000003</v>
      </c>
      <c r="I1093" s="1104">
        <v>596.91200000000003</v>
      </c>
      <c r="J1093" s="1103">
        <v>785.26</v>
      </c>
      <c r="K1093" s="1108">
        <v>6.1200000000000004E-2</v>
      </c>
      <c r="L1093" s="1102">
        <v>455.6</v>
      </c>
      <c r="M1093" s="1102">
        <v>0</v>
      </c>
      <c r="N1093" s="906">
        <v>4.71</v>
      </c>
      <c r="O1093" s="906">
        <v>423.26</v>
      </c>
      <c r="P1093" s="1102">
        <v>283.20999999999998</v>
      </c>
      <c r="Q1093" s="906">
        <v>132.74</v>
      </c>
      <c r="R1093" s="906">
        <v>0.31</v>
      </c>
      <c r="S1093" s="1102">
        <v>1E-3</v>
      </c>
      <c r="T1093" s="906">
        <v>1E-3</v>
      </c>
      <c r="U1093" s="1102" t="s">
        <v>467</v>
      </c>
      <c r="V1093" s="1102"/>
    </row>
    <row r="1094" spans="1:22" s="907" customFormat="1" x14ac:dyDescent="0.25">
      <c r="A1094" s="1100">
        <v>200161</v>
      </c>
      <c r="B1094" s="1107" t="str">
        <f t="shared" si="32"/>
        <v>-6,30/+6,90  (EC  6,46)</v>
      </c>
      <c r="C1094" s="1101"/>
      <c r="D1094" s="1102">
        <v>7.43</v>
      </c>
      <c r="E1094" s="1102">
        <v>0.64600000000000002</v>
      </c>
      <c r="F1094" s="1103">
        <v>6.94</v>
      </c>
      <c r="G1094" s="1102">
        <v>0</v>
      </c>
      <c r="H1094" s="1103">
        <v>0.08</v>
      </c>
      <c r="I1094" s="1104">
        <v>53.868000000000002</v>
      </c>
      <c r="J1094" s="1103">
        <v>44.81</v>
      </c>
      <c r="K1094" s="1108">
        <v>3.0600000000000002E-2</v>
      </c>
      <c r="L1094" s="1102">
        <v>228</v>
      </c>
      <c r="M1094" s="1102">
        <v>0</v>
      </c>
      <c r="N1094" s="906">
        <v>1.38</v>
      </c>
      <c r="O1094" s="906">
        <v>44.89</v>
      </c>
      <c r="P1094" s="1102">
        <v>68.81</v>
      </c>
      <c r="Q1094" s="906">
        <v>17.63</v>
      </c>
      <c r="R1094" s="906">
        <v>0.01</v>
      </c>
      <c r="S1094" s="1102">
        <v>1E-3</v>
      </c>
      <c r="T1094" s="906">
        <v>1E-3</v>
      </c>
      <c r="U1094" s="1102" t="s">
        <v>468</v>
      </c>
      <c r="V1094" s="1102"/>
    </row>
    <row r="1095" spans="1:22" s="907" customFormat="1" x14ac:dyDescent="0.25">
      <c r="A1095" s="1100">
        <v>200162</v>
      </c>
      <c r="B1095" s="1107" t="str">
        <f t="shared" si="32"/>
        <v>-7,23/+7,30  (EC  6,73)</v>
      </c>
      <c r="C1095" s="1101"/>
      <c r="D1095" s="1102">
        <v>7.47</v>
      </c>
      <c r="E1095" s="1102">
        <v>0.67300000000000004</v>
      </c>
      <c r="F1095" s="1103">
        <v>8.14</v>
      </c>
      <c r="G1095" s="1102">
        <v>0</v>
      </c>
      <c r="H1095" s="1103">
        <v>7.0000000000000007E-2</v>
      </c>
      <c r="I1095" s="1104">
        <v>58.247999999999998</v>
      </c>
      <c r="J1095" s="1103">
        <v>49.86</v>
      </c>
      <c r="K1095" s="1108">
        <v>9.1799999999999993E-2</v>
      </c>
      <c r="L1095" s="1102">
        <v>269.60000000000002</v>
      </c>
      <c r="M1095" s="1102">
        <v>0</v>
      </c>
      <c r="N1095" s="906">
        <v>1.45</v>
      </c>
      <c r="O1095" s="906">
        <v>48.54</v>
      </c>
      <c r="P1095" s="1102">
        <v>72.33</v>
      </c>
      <c r="Q1095" s="906">
        <v>18.420000000000002</v>
      </c>
      <c r="R1095" s="906">
        <v>1E-3</v>
      </c>
      <c r="S1095" s="1102">
        <v>1E-3</v>
      </c>
      <c r="T1095" s="906">
        <v>1E-3</v>
      </c>
      <c r="U1095" s="1102" t="s">
        <v>468</v>
      </c>
      <c r="V1095" s="1102"/>
    </row>
    <row r="1096" spans="1:22" s="907" customFormat="1" x14ac:dyDescent="0.25">
      <c r="A1096" s="1100">
        <v>200163</v>
      </c>
      <c r="B1096" s="1107" t="str">
        <f t="shared" si="32"/>
        <v>-6,05/+5,84  (EC  5,14)</v>
      </c>
      <c r="C1096" s="1101"/>
      <c r="D1096" s="1102">
        <v>7.57</v>
      </c>
      <c r="E1096" s="1102">
        <v>0.51400000000000001</v>
      </c>
      <c r="F1096" s="1103">
        <v>2.64</v>
      </c>
      <c r="G1096" s="1102">
        <v>0</v>
      </c>
      <c r="H1096" s="1103">
        <v>0.1</v>
      </c>
      <c r="I1096" s="1104">
        <v>32.783999999999999</v>
      </c>
      <c r="J1096" s="1103">
        <v>62.57</v>
      </c>
      <c r="K1096" s="1108">
        <v>1E-3</v>
      </c>
      <c r="L1096" s="1102">
        <v>230.39999999999998</v>
      </c>
      <c r="M1096" s="1102">
        <v>0</v>
      </c>
      <c r="N1096" s="906">
        <v>4.41</v>
      </c>
      <c r="O1096" s="906">
        <v>27.32</v>
      </c>
      <c r="P1096" s="1102">
        <v>52.43</v>
      </c>
      <c r="Q1096" s="906">
        <v>22.9</v>
      </c>
      <c r="R1096" s="906">
        <v>0.01</v>
      </c>
      <c r="S1096" s="1102">
        <v>1E-3</v>
      </c>
      <c r="T1096" s="906">
        <v>0.01</v>
      </c>
      <c r="U1096" s="1102" t="s">
        <v>569</v>
      </c>
      <c r="V1096" s="1102"/>
    </row>
    <row r="1097" spans="1:22" s="907" customFormat="1" x14ac:dyDescent="0.25">
      <c r="A1097" s="1100">
        <v>200164</v>
      </c>
      <c r="B1097" s="1107" t="str">
        <f t="shared" si="32"/>
        <v>-6,92/+6,66  (EC  5,85)</v>
      </c>
      <c r="C1097" s="1101"/>
      <c r="D1097" s="1102">
        <v>7.52</v>
      </c>
      <c r="E1097" s="1102">
        <v>0.58499999999999996</v>
      </c>
      <c r="F1097" s="1103">
        <v>0.83</v>
      </c>
      <c r="G1097" s="1102">
        <v>0</v>
      </c>
      <c r="H1097" s="1103">
        <v>0.13</v>
      </c>
      <c r="I1097" s="1104">
        <v>35.183999999999997</v>
      </c>
      <c r="J1097" s="1103">
        <v>97</v>
      </c>
      <c r="K1097" s="1108">
        <v>1E-3</v>
      </c>
      <c r="L1097" s="1102">
        <v>237.60000000000002</v>
      </c>
      <c r="M1097" s="1102">
        <v>0</v>
      </c>
      <c r="N1097" s="906">
        <v>7.06</v>
      </c>
      <c r="O1097" s="906">
        <v>29.32</v>
      </c>
      <c r="P1097" s="1102">
        <v>59.81</v>
      </c>
      <c r="Q1097" s="906">
        <v>26.4</v>
      </c>
      <c r="R1097" s="906">
        <v>0.01</v>
      </c>
      <c r="S1097" s="1102">
        <v>1E-3</v>
      </c>
      <c r="T1097" s="906">
        <v>1E-3</v>
      </c>
      <c r="U1097" s="1102" t="s">
        <v>499</v>
      </c>
      <c r="V1097" s="1102"/>
    </row>
    <row r="1098" spans="1:22" s="907" customFormat="1" x14ac:dyDescent="0.25">
      <c r="A1098" s="1100">
        <v>200165</v>
      </c>
      <c r="B1098" s="1107" t="str">
        <f t="shared" si="32"/>
        <v>-7,13/+6,85  (EC  6,05)</v>
      </c>
      <c r="C1098" s="1101"/>
      <c r="D1098" s="1102">
        <v>7.51</v>
      </c>
      <c r="E1098" s="1102">
        <v>0.60499999999999998</v>
      </c>
      <c r="F1098" s="1103">
        <v>1.76</v>
      </c>
      <c r="G1098" s="1102">
        <v>0</v>
      </c>
      <c r="H1098" s="1103">
        <v>0.12</v>
      </c>
      <c r="I1098" s="1104">
        <v>39.527999999999999</v>
      </c>
      <c r="J1098" s="1103">
        <v>81.38</v>
      </c>
      <c r="K1098" s="1108">
        <v>6.1200000000000004E-2</v>
      </c>
      <c r="L1098" s="1102">
        <v>261.60000000000002</v>
      </c>
      <c r="M1098" s="1102">
        <v>0</v>
      </c>
      <c r="N1098" s="906">
        <v>7.26</v>
      </c>
      <c r="O1098" s="906">
        <v>32.94</v>
      </c>
      <c r="P1098" s="1102">
        <v>59.97</v>
      </c>
      <c r="Q1098" s="906">
        <v>26.75</v>
      </c>
      <c r="R1098" s="906">
        <v>1E-3</v>
      </c>
      <c r="S1098" s="1102">
        <v>1E-3</v>
      </c>
      <c r="T1098" s="906">
        <v>1E-3</v>
      </c>
      <c r="U1098" s="1102" t="s">
        <v>499</v>
      </c>
      <c r="V1098" s="1102"/>
    </row>
    <row r="1099" spans="1:22" s="907" customFormat="1" x14ac:dyDescent="0.25">
      <c r="A1099" s="1100">
        <v>200166</v>
      </c>
      <c r="B1099" s="1107" t="str">
        <f t="shared" si="32"/>
        <v>-95,58/+103,70  (EC  95,3)</v>
      </c>
      <c r="C1099" s="1101"/>
      <c r="D1099" s="1102">
        <v>6.99</v>
      </c>
      <c r="E1099" s="1102">
        <v>9.5299999999999994</v>
      </c>
      <c r="F1099" s="1103">
        <v>44.77</v>
      </c>
      <c r="G1099" s="1102">
        <v>0</v>
      </c>
      <c r="H1099" s="1103">
        <v>0.3</v>
      </c>
      <c r="I1099" s="1104">
        <v>1550.384</v>
      </c>
      <c r="J1099" s="1103">
        <v>2054.8000000000002</v>
      </c>
      <c r="K1099" s="1108">
        <v>3.0600000000000002E-2</v>
      </c>
      <c r="L1099" s="1102">
        <v>511.19999999999993</v>
      </c>
      <c r="M1099" s="1102">
        <v>0</v>
      </c>
      <c r="N1099" s="906">
        <v>77.67</v>
      </c>
      <c r="O1099" s="906">
        <v>1025.32</v>
      </c>
      <c r="P1099" s="1111">
        <v>704.36</v>
      </c>
      <c r="Q1099" s="1737">
        <v>262.64</v>
      </c>
      <c r="R1099" s="906">
        <v>0.04</v>
      </c>
      <c r="S1099" s="1102">
        <v>1E-3</v>
      </c>
      <c r="T1099" s="906">
        <v>0.01</v>
      </c>
      <c r="U1099" s="1102" t="s">
        <v>465</v>
      </c>
      <c r="V1099" s="1102"/>
    </row>
    <row r="1100" spans="1:22" s="907" customFormat="1" x14ac:dyDescent="0.25">
      <c r="A1100" s="1100">
        <v>200167</v>
      </c>
      <c r="B1100" s="1107" t="str">
        <f t="shared" si="32"/>
        <v>-39,64/+39,56  (EC  40,1)</v>
      </c>
      <c r="C1100" s="1101"/>
      <c r="D1100" s="1102">
        <v>7.44</v>
      </c>
      <c r="E1100" s="1102">
        <v>4.01</v>
      </c>
      <c r="F1100" s="1736">
        <v>99.5</v>
      </c>
      <c r="G1100" s="1102">
        <v>0</v>
      </c>
      <c r="H1100" s="1736">
        <v>0.01</v>
      </c>
      <c r="I1100" s="1104">
        <v>512.36400000000003</v>
      </c>
      <c r="J1100" s="1736">
        <v>690.32</v>
      </c>
      <c r="K1100" s="1104">
        <v>0.15300000000000002</v>
      </c>
      <c r="L1100" s="1102">
        <v>562.32000000000005</v>
      </c>
      <c r="M1100" s="1102">
        <v>0</v>
      </c>
      <c r="N1100" s="906">
        <v>3.37</v>
      </c>
      <c r="O1100" s="906">
        <v>426.97</v>
      </c>
      <c r="P1100" s="906">
        <v>251.05</v>
      </c>
      <c r="Q1100" s="906">
        <v>100.24</v>
      </c>
      <c r="R1100" s="906">
        <v>1E-3</v>
      </c>
      <c r="S1100" s="1102">
        <v>1E-3</v>
      </c>
      <c r="T1100" s="906">
        <v>0.01</v>
      </c>
      <c r="U1100" s="906" t="s">
        <v>570</v>
      </c>
      <c r="V1100" s="1102"/>
    </row>
    <row r="1101" spans="1:22" s="907" customFormat="1" x14ac:dyDescent="0.25">
      <c r="A1101" s="1100">
        <v>200168</v>
      </c>
      <c r="B1101" s="1107" t="str">
        <f t="shared" si="32"/>
        <v>-5,09/+5,39  (EC  5,46)</v>
      </c>
      <c r="C1101" s="1101"/>
      <c r="D1101" s="1102">
        <v>8.19</v>
      </c>
      <c r="E1101" s="1102">
        <v>0.54600000000000004</v>
      </c>
      <c r="F1101" s="1736">
        <v>5.67</v>
      </c>
      <c r="G1101" s="1102">
        <v>0</v>
      </c>
      <c r="H1101" s="1736">
        <v>0.36</v>
      </c>
      <c r="I1101" s="1104">
        <v>60.599999999999994</v>
      </c>
      <c r="J1101" s="1736">
        <v>11.85</v>
      </c>
      <c r="K1101" s="1104">
        <v>0.27539999999999998</v>
      </c>
      <c r="L1101" s="1102">
        <v>185.36</v>
      </c>
      <c r="M1101" s="1102">
        <v>0</v>
      </c>
      <c r="N1101" s="906">
        <v>1.98</v>
      </c>
      <c r="O1101" s="906">
        <v>50.5</v>
      </c>
      <c r="P1101" s="906">
        <v>49.57</v>
      </c>
      <c r="Q1101" s="906">
        <v>7.69</v>
      </c>
      <c r="R1101" s="906">
        <v>1E-3</v>
      </c>
      <c r="S1101" s="1102">
        <v>1E-3</v>
      </c>
      <c r="T1101" s="906">
        <v>1E-3</v>
      </c>
      <c r="U1101" s="906" t="s">
        <v>467</v>
      </c>
      <c r="V1101" s="1102"/>
    </row>
    <row r="1102" spans="1:22" s="907" customFormat="1" x14ac:dyDescent="0.25">
      <c r="A1102" s="1100">
        <v>200169</v>
      </c>
      <c r="B1102" s="1107" t="str">
        <f t="shared" si="32"/>
        <v>-9,21/+10,26  (EC  9,98)</v>
      </c>
      <c r="C1102" s="1101"/>
      <c r="D1102" s="1102">
        <v>7.68</v>
      </c>
      <c r="E1102" s="1102">
        <v>0.998</v>
      </c>
      <c r="F1102" s="1736">
        <v>29.1</v>
      </c>
      <c r="G1102" s="1102">
        <v>0</v>
      </c>
      <c r="H1102" s="1736">
        <v>0.02</v>
      </c>
      <c r="I1102" s="1104">
        <v>72.66</v>
      </c>
      <c r="J1102" s="1736">
        <v>161.30000000000001</v>
      </c>
      <c r="K1102" s="1104">
        <v>1E-3</v>
      </c>
      <c r="L1102" s="1102">
        <v>203.63</v>
      </c>
      <c r="M1102" s="1102">
        <v>0</v>
      </c>
      <c r="N1102" s="906">
        <v>3.51</v>
      </c>
      <c r="O1102" s="906">
        <v>60.55</v>
      </c>
      <c r="P1102" s="906">
        <v>65.459999999999994</v>
      </c>
      <c r="Q1102" s="906">
        <v>51.16</v>
      </c>
      <c r="R1102" s="906">
        <v>0.46</v>
      </c>
      <c r="S1102" s="1102">
        <v>1E-3</v>
      </c>
      <c r="T1102" s="906">
        <v>0.01</v>
      </c>
      <c r="U1102" s="906" t="s">
        <v>468</v>
      </c>
      <c r="V1102" s="1102"/>
    </row>
    <row r="1103" spans="1:22" s="907" customFormat="1" x14ac:dyDescent="0.25">
      <c r="A1103" s="1100">
        <v>200170</v>
      </c>
      <c r="B1103" s="1107" t="str">
        <f t="shared" si="32"/>
        <v>-8,11/+8,46  (EC  8,2)</v>
      </c>
      <c r="C1103" s="1101"/>
      <c r="D1103" s="1102">
        <v>7.6</v>
      </c>
      <c r="E1103" s="1102">
        <v>0.82</v>
      </c>
      <c r="F1103" s="1736">
        <v>18</v>
      </c>
      <c r="G1103" s="1102">
        <v>0</v>
      </c>
      <c r="H1103" s="1736">
        <v>0.03</v>
      </c>
      <c r="I1103" s="1104">
        <v>59.279999999999994</v>
      </c>
      <c r="J1103" s="1736">
        <v>127.19</v>
      </c>
      <c r="K1103" s="1104">
        <v>6.1200000000000004E-2</v>
      </c>
      <c r="L1103" s="1102">
        <v>213.65</v>
      </c>
      <c r="M1103" s="1102">
        <v>0</v>
      </c>
      <c r="N1103" s="906">
        <v>3.65</v>
      </c>
      <c r="O1103" s="906">
        <v>49.4</v>
      </c>
      <c r="P1103" s="906">
        <v>56.91</v>
      </c>
      <c r="Q1103" s="906">
        <v>40.5</v>
      </c>
      <c r="R1103" s="906">
        <v>0.05</v>
      </c>
      <c r="S1103" s="1102">
        <v>1E-3</v>
      </c>
      <c r="T1103" s="906">
        <v>0.01</v>
      </c>
      <c r="U1103" s="906" t="s">
        <v>465</v>
      </c>
      <c r="V1103" s="1102"/>
    </row>
    <row r="1104" spans="1:22" s="907" customFormat="1" x14ac:dyDescent="0.25">
      <c r="A1104" s="1100">
        <v>200171</v>
      </c>
      <c r="B1104" s="1107" t="str">
        <f t="shared" si="32"/>
        <v>-9,15/+10,47  (EC  9,06)</v>
      </c>
      <c r="C1104" s="1101"/>
      <c r="D1104" s="1102">
        <v>7.45</v>
      </c>
      <c r="E1104" s="1102">
        <v>0.90600000000000003</v>
      </c>
      <c r="F1104" s="1738">
        <v>0.3</v>
      </c>
      <c r="G1104" s="1102">
        <v>0</v>
      </c>
      <c r="H1104" s="1736">
        <v>0.03</v>
      </c>
      <c r="I1104" s="1104">
        <v>64.691999999999993</v>
      </c>
      <c r="J1104" s="1736">
        <v>66.349999999999994</v>
      </c>
      <c r="K1104" s="1115">
        <v>6.1200000000000004E-2</v>
      </c>
      <c r="L1104" s="1102">
        <v>362.4</v>
      </c>
      <c r="M1104" s="1102">
        <v>0</v>
      </c>
      <c r="N1104" s="906">
        <v>2.8</v>
      </c>
      <c r="O1104" s="906">
        <v>53.91</v>
      </c>
      <c r="P1104" s="906">
        <v>111.32</v>
      </c>
      <c r="Q1104" s="906">
        <v>29.87</v>
      </c>
      <c r="R1104" s="906">
        <v>0.06</v>
      </c>
      <c r="S1104" s="906">
        <v>1E-3</v>
      </c>
      <c r="T1104" s="906">
        <v>1E-3</v>
      </c>
      <c r="U1104" s="906">
        <v>1E-3</v>
      </c>
      <c r="V1104" s="906"/>
    </row>
    <row r="1105" spans="1:22" s="907" customFormat="1" x14ac:dyDescent="0.25">
      <c r="A1105" s="1100">
        <v>200172</v>
      </c>
      <c r="B1105" s="1107" t="str">
        <f t="shared" si="32"/>
        <v>-2,45/+2,27  (EC  2,5)</v>
      </c>
      <c r="C1105" s="1101"/>
      <c r="D1105" s="1102">
        <v>8.36</v>
      </c>
      <c r="E1105" s="1102">
        <v>0.25</v>
      </c>
      <c r="F1105" s="1736">
        <v>0.1</v>
      </c>
      <c r="G1105" s="1102">
        <v>0</v>
      </c>
      <c r="H1105" s="1736">
        <v>0.01</v>
      </c>
      <c r="I1105" s="1104">
        <v>60.972000000000001</v>
      </c>
      <c r="J1105" s="1736">
        <v>16.399999999999999</v>
      </c>
      <c r="K1105" s="1115">
        <v>1E-3</v>
      </c>
      <c r="L1105" s="1102">
        <v>24</v>
      </c>
      <c r="M1105" s="1102">
        <v>0</v>
      </c>
      <c r="N1105" s="906">
        <v>1.49</v>
      </c>
      <c r="O1105" s="906">
        <v>50.81</v>
      </c>
      <c r="P1105" s="906">
        <v>0.25</v>
      </c>
      <c r="Q1105" s="906">
        <v>0.1</v>
      </c>
      <c r="R1105" s="906">
        <v>1E-3</v>
      </c>
      <c r="S1105" s="906">
        <v>1E-3</v>
      </c>
      <c r="T1105" s="906">
        <v>1E-3</v>
      </c>
      <c r="U1105" s="906">
        <v>1E-3</v>
      </c>
      <c r="V1105" s="906">
        <v>0.65</v>
      </c>
    </row>
    <row r="1106" spans="1:22" s="907" customFormat="1" x14ac:dyDescent="0.25">
      <c r="A1106" s="1100">
        <v>200173</v>
      </c>
      <c r="B1106" s="1107" t="str">
        <f t="shared" si="32"/>
        <v>-2,33/+2,11  (EC  2,32)</v>
      </c>
      <c r="C1106" s="1101"/>
      <c r="D1106" s="1102">
        <v>7.32</v>
      </c>
      <c r="E1106" s="1102">
        <v>0.23200000000000001</v>
      </c>
      <c r="F1106" s="1736">
        <v>0.2</v>
      </c>
      <c r="G1106" s="1102">
        <v>0</v>
      </c>
      <c r="H1106" s="1736">
        <v>7.0000000000000007E-2</v>
      </c>
      <c r="I1106" s="1104">
        <v>56.423999999999999</v>
      </c>
      <c r="J1106" s="1736">
        <v>16.43</v>
      </c>
      <c r="K1106" s="1115">
        <v>1E-3</v>
      </c>
      <c r="L1106" s="1102">
        <v>24</v>
      </c>
      <c r="M1106" s="1102">
        <v>0</v>
      </c>
      <c r="N1106" s="906">
        <v>1.32</v>
      </c>
      <c r="O1106" s="906">
        <v>47.02</v>
      </c>
      <c r="P1106" s="906">
        <v>0.34</v>
      </c>
      <c r="Q1106" s="906">
        <v>0.09</v>
      </c>
      <c r="R1106" s="906">
        <v>1E-3</v>
      </c>
      <c r="S1106" s="906">
        <v>1E-3</v>
      </c>
      <c r="T1106" s="906">
        <v>1E-3</v>
      </c>
      <c r="U1106" s="906">
        <v>1E-3</v>
      </c>
      <c r="V1106" s="906">
        <v>0.62</v>
      </c>
    </row>
    <row r="1107" spans="1:22" s="907" customFormat="1" x14ac:dyDescent="0.25">
      <c r="A1107" s="1100">
        <v>200174</v>
      </c>
      <c r="B1107" s="1107" t="str">
        <f t="shared" si="32"/>
        <v>-26,40/+27,47  (EC  27)</v>
      </c>
      <c r="C1107" s="1101"/>
      <c r="D1107" s="1102">
        <v>7.65</v>
      </c>
      <c r="E1107" s="1102">
        <v>2.7</v>
      </c>
      <c r="F1107" s="1736">
        <v>0.1</v>
      </c>
      <c r="G1107" s="1102">
        <v>0</v>
      </c>
      <c r="H1107" s="1736">
        <v>2.4900000000000002</v>
      </c>
      <c r="I1107" s="1104">
        <v>644.55599999999993</v>
      </c>
      <c r="J1107" s="1736">
        <v>196.7</v>
      </c>
      <c r="K1107" s="1115">
        <v>1E-3</v>
      </c>
      <c r="L1107" s="1102">
        <v>252.8</v>
      </c>
      <c r="M1107" s="1102">
        <v>0</v>
      </c>
      <c r="N1107" s="906">
        <v>16.02</v>
      </c>
      <c r="O1107" s="906">
        <v>537.13</v>
      </c>
      <c r="P1107" s="906">
        <v>41.8</v>
      </c>
      <c r="Q1107" s="906">
        <v>17.27</v>
      </c>
      <c r="R1107" s="906">
        <v>1E-3</v>
      </c>
      <c r="S1107" s="906">
        <v>1E-3</v>
      </c>
      <c r="T1107" s="906">
        <v>0.03</v>
      </c>
      <c r="U1107" s="906">
        <v>0.04</v>
      </c>
      <c r="V1107" s="906">
        <v>0.72</v>
      </c>
    </row>
    <row r="1108" spans="1:22" s="907" customFormat="1" x14ac:dyDescent="0.25">
      <c r="A1108" s="1100">
        <v>200175</v>
      </c>
      <c r="B1108" s="1107" t="str">
        <f t="shared" si="32"/>
        <v>-28,01/+29,09  (EC  28,6)</v>
      </c>
      <c r="C1108" s="1101"/>
      <c r="D1108" s="1102">
        <v>7.68</v>
      </c>
      <c r="E1108" s="1102">
        <v>2.86</v>
      </c>
      <c r="F1108" s="1736">
        <v>0.3</v>
      </c>
      <c r="G1108" s="1102">
        <v>0</v>
      </c>
      <c r="H1108" s="1736">
        <v>2.62</v>
      </c>
      <c r="I1108" s="1104">
        <v>670.89600000000007</v>
      </c>
      <c r="J1108" s="1736">
        <v>209.8</v>
      </c>
      <c r="K1108" s="1115">
        <v>1E-3</v>
      </c>
      <c r="L1108" s="1102">
        <v>288.8</v>
      </c>
      <c r="M1108" s="1102">
        <v>0</v>
      </c>
      <c r="N1108" s="906">
        <v>16.64</v>
      </c>
      <c r="O1108" s="906">
        <v>559.08000000000004</v>
      </c>
      <c r="P1108" s="906">
        <v>48.45</v>
      </c>
      <c r="Q1108" s="906">
        <v>20.94</v>
      </c>
      <c r="R1108" s="906">
        <v>1E-3</v>
      </c>
      <c r="S1108" s="906">
        <v>1E-3</v>
      </c>
      <c r="T1108" s="906">
        <v>1E-3</v>
      </c>
      <c r="U1108" s="906">
        <v>0.02</v>
      </c>
      <c r="V1108" s="906">
        <v>0.73</v>
      </c>
    </row>
    <row r="1109" spans="1:22" s="907" customFormat="1" x14ac:dyDescent="0.25">
      <c r="A1109" s="1100">
        <v>200176</v>
      </c>
      <c r="B1109" s="1107" t="str">
        <f t="shared" si="32"/>
        <v>-14,04/+14,19  (EC  14,9)</v>
      </c>
      <c r="C1109" s="1101"/>
      <c r="D1109" s="1102">
        <v>7.7</v>
      </c>
      <c r="E1109" s="1102">
        <v>1.49</v>
      </c>
      <c r="F1109" s="1736">
        <v>0.2</v>
      </c>
      <c r="G1109" s="1102">
        <v>0</v>
      </c>
      <c r="H1109" s="1736">
        <v>0.08</v>
      </c>
      <c r="I1109" s="1104">
        <v>333.87600000000003</v>
      </c>
      <c r="J1109" s="1736">
        <v>131.64999999999998</v>
      </c>
      <c r="K1109" s="1115">
        <v>1E-3</v>
      </c>
      <c r="L1109" s="1102">
        <v>115.20000000000002</v>
      </c>
      <c r="M1109" s="1102">
        <v>0</v>
      </c>
      <c r="N1109" s="906">
        <v>8.6</v>
      </c>
      <c r="O1109" s="906">
        <v>278.23</v>
      </c>
      <c r="P1109" s="906">
        <v>22</v>
      </c>
      <c r="Q1109" s="906">
        <v>9.23</v>
      </c>
      <c r="R1109" s="906">
        <v>1E-3</v>
      </c>
      <c r="S1109" s="906">
        <v>1E-3</v>
      </c>
      <c r="T1109" s="906">
        <v>1E-3</v>
      </c>
      <c r="U1109" s="906">
        <v>1E-3</v>
      </c>
      <c r="V1109" s="906">
        <v>0.7</v>
      </c>
    </row>
    <row r="1110" spans="1:22" s="907" customFormat="1" x14ac:dyDescent="0.25">
      <c r="A1110" s="1100">
        <v>200177</v>
      </c>
      <c r="B1110" s="1107" t="str">
        <f t="shared" si="32"/>
        <v>-20,60/+20,77  (EC  21,9)</v>
      </c>
      <c r="C1110" s="1101"/>
      <c r="D1110" s="1102">
        <v>6.21</v>
      </c>
      <c r="E1110" s="1102">
        <v>2.19</v>
      </c>
      <c r="F1110" s="1736">
        <v>73.849999999999994</v>
      </c>
      <c r="G1110" s="1102">
        <v>0</v>
      </c>
      <c r="H1110" s="1736">
        <v>3.75</v>
      </c>
      <c r="I1110" s="1104">
        <v>335.25599999999997</v>
      </c>
      <c r="J1110" s="1736">
        <v>258.5</v>
      </c>
      <c r="K1110" s="1115">
        <v>35.434800000000003</v>
      </c>
      <c r="L1110" s="1102">
        <v>256.93</v>
      </c>
      <c r="M1110" s="1102">
        <v>0</v>
      </c>
      <c r="N1110" s="906">
        <v>142.16</v>
      </c>
      <c r="O1110" s="906">
        <v>279.38</v>
      </c>
      <c r="P1110" s="906">
        <v>63.56</v>
      </c>
      <c r="Q1110" s="906">
        <v>18.41</v>
      </c>
      <c r="R1110" s="906">
        <v>0.13</v>
      </c>
      <c r="S1110" s="906">
        <v>0.04</v>
      </c>
      <c r="T1110" s="906">
        <v>0.4</v>
      </c>
      <c r="U1110" s="906">
        <v>0.05</v>
      </c>
      <c r="V1110" s="906">
        <v>0.95</v>
      </c>
    </row>
    <row r="1111" spans="1:22" s="907" customFormat="1" x14ac:dyDescent="0.25">
      <c r="A1111" s="1100">
        <v>200178</v>
      </c>
      <c r="B1111" s="1107" t="str">
        <f t="shared" si="32"/>
        <v>-43,32/+43,70  (EC  42,6)</v>
      </c>
      <c r="C1111" s="1101"/>
      <c r="D1111" s="1102">
        <v>7.52</v>
      </c>
      <c r="E1111" s="1102">
        <v>4.26</v>
      </c>
      <c r="F1111" s="1736">
        <v>21.14</v>
      </c>
      <c r="G1111" s="1102">
        <v>0</v>
      </c>
      <c r="H1111" s="1736">
        <v>0.25</v>
      </c>
      <c r="I1111" s="1104">
        <v>1109.28</v>
      </c>
      <c r="J1111" s="1736">
        <v>419.25</v>
      </c>
      <c r="K1111" s="1115">
        <v>0.97920000000000007</v>
      </c>
      <c r="L1111" s="1102">
        <v>182.4</v>
      </c>
      <c r="M1111" s="1102">
        <v>0</v>
      </c>
      <c r="N1111" s="906">
        <v>24.85</v>
      </c>
      <c r="O1111" s="906">
        <v>924.4</v>
      </c>
      <c r="P1111" s="906">
        <v>36.81</v>
      </c>
      <c r="Q1111" s="906">
        <v>12.16</v>
      </c>
      <c r="R1111" s="906">
        <v>0.01</v>
      </c>
      <c r="S1111" s="906">
        <v>0.02</v>
      </c>
      <c r="T1111" s="906">
        <v>0.01</v>
      </c>
      <c r="U1111" s="906">
        <v>0.1</v>
      </c>
      <c r="V1111" s="906">
        <v>1.64</v>
      </c>
    </row>
    <row r="1112" spans="1:22" s="907" customFormat="1" x14ac:dyDescent="0.25">
      <c r="A1112" s="1100">
        <v>200179</v>
      </c>
      <c r="B1112" s="1107" t="str">
        <f t="shared" si="32"/>
        <v>-6,95/+7,48  (EC  6,11)</v>
      </c>
      <c r="C1112" s="1101"/>
      <c r="D1112" s="1102">
        <v>7.35</v>
      </c>
      <c r="E1112" s="1102">
        <v>0.61099999999999999</v>
      </c>
      <c r="F1112" s="1736">
        <v>3.3200000000000003</v>
      </c>
      <c r="G1112" s="1102">
        <v>0</v>
      </c>
      <c r="H1112" s="1736">
        <v>0.06</v>
      </c>
      <c r="I1112" s="1104">
        <v>36.303599999999996</v>
      </c>
      <c r="J1112" s="1736">
        <v>87.35</v>
      </c>
      <c r="K1112" s="1102">
        <v>1E-3</v>
      </c>
      <c r="L1112" s="1102">
        <v>247.20000000000002</v>
      </c>
      <c r="M1112" s="1102">
        <v>0</v>
      </c>
      <c r="N1112" s="1102">
        <v>1.94</v>
      </c>
      <c r="O1112" s="1102">
        <v>30.253</v>
      </c>
      <c r="P1112" s="906">
        <v>78.87</v>
      </c>
      <c r="Q1112" s="1102">
        <v>26.01</v>
      </c>
      <c r="R1112" s="1102">
        <v>0.111</v>
      </c>
      <c r="S1112" s="1102">
        <v>1E-3</v>
      </c>
      <c r="T1112" s="1102">
        <v>1.5E-3</v>
      </c>
      <c r="U1112" s="1102">
        <v>1.7000000000000001E-2</v>
      </c>
      <c r="V1112" s="1102"/>
    </row>
    <row r="1113" spans="1:22" s="907" customFormat="1" x14ac:dyDescent="0.25">
      <c r="A1113" s="1100">
        <v>200180</v>
      </c>
      <c r="B1113" s="1107" t="str">
        <f t="shared" si="32"/>
        <v>-61,90/+62,93  (EC  62,1)</v>
      </c>
      <c r="C1113" s="1101"/>
      <c r="D1113" s="1102">
        <v>6.97</v>
      </c>
      <c r="E1113" s="1102">
        <v>6.21</v>
      </c>
      <c r="F1113" s="1736">
        <v>28.93</v>
      </c>
      <c r="G1113" s="1102">
        <v>0</v>
      </c>
      <c r="H1113" s="1736">
        <v>0.02</v>
      </c>
      <c r="I1113" s="1104">
        <v>828.39200000000005</v>
      </c>
      <c r="J1113" s="1736">
        <v>1405.65</v>
      </c>
      <c r="K1113" s="1102">
        <v>1E-3</v>
      </c>
      <c r="L1113" s="1102">
        <v>537.6</v>
      </c>
      <c r="M1113" s="1102">
        <v>0</v>
      </c>
      <c r="N1113" s="1102">
        <v>8.14</v>
      </c>
      <c r="O1113" s="1102">
        <v>523.66</v>
      </c>
      <c r="P1113" s="1737">
        <v>526.29999999999995</v>
      </c>
      <c r="Q1113" s="1102">
        <v>163.59</v>
      </c>
      <c r="R1113" s="1102">
        <v>1E-3</v>
      </c>
      <c r="S1113" s="1102">
        <v>1E-3</v>
      </c>
      <c r="T1113" s="1102">
        <v>1E-3</v>
      </c>
      <c r="U1113" s="1102">
        <v>1E-3</v>
      </c>
      <c r="V1113" s="1102"/>
    </row>
    <row r="1114" spans="1:22" s="907" customFormat="1" x14ac:dyDescent="0.25">
      <c r="A1114" s="1100">
        <v>200181</v>
      </c>
      <c r="B1114" s="1107" t="str">
        <f t="shared" si="32"/>
        <v>-51,42/+52,60  (EC  53)</v>
      </c>
      <c r="C1114" s="1101"/>
      <c r="D1114" s="1102">
        <v>7.26</v>
      </c>
      <c r="E1114" s="1102">
        <v>5.3</v>
      </c>
      <c r="F1114" s="1736">
        <v>106.3</v>
      </c>
      <c r="G1114" s="1102">
        <v>0</v>
      </c>
      <c r="H1114" s="1736">
        <v>0.01</v>
      </c>
      <c r="I1114" s="1104">
        <v>446.21199999999999</v>
      </c>
      <c r="J1114" s="1736">
        <v>1363.23</v>
      </c>
      <c r="K1114" s="1102">
        <v>1E-3</v>
      </c>
      <c r="L1114" s="1102">
        <v>532.79999999999995</v>
      </c>
      <c r="M1114" s="1102">
        <v>0</v>
      </c>
      <c r="N1114" s="1102">
        <v>5.97</v>
      </c>
      <c r="O1114" s="1102">
        <v>288.51</v>
      </c>
      <c r="P1114" s="906">
        <v>480.15</v>
      </c>
      <c r="Q1114" s="1102">
        <v>190.79</v>
      </c>
      <c r="R1114" s="1102">
        <v>1E-3</v>
      </c>
      <c r="S1114" s="1102">
        <v>1E-3</v>
      </c>
      <c r="T1114" s="1102">
        <v>1E-3</v>
      </c>
      <c r="U1114" s="1102">
        <v>1E-3</v>
      </c>
      <c r="V1114" s="1102"/>
    </row>
    <row r="1115" spans="1:22" s="907" customFormat="1" x14ac:dyDescent="0.25">
      <c r="A1115" s="1100">
        <v>200182</v>
      </c>
      <c r="B1115" s="1107" t="str">
        <f t="shared" si="32"/>
        <v>-5,10/+4,60  (EC  5,18)</v>
      </c>
      <c r="C1115" s="1101"/>
      <c r="D1115" s="1102">
        <v>6.55</v>
      </c>
      <c r="E1115" s="1102">
        <v>0.51800000000000002</v>
      </c>
      <c r="F1115" s="1736">
        <v>12.14</v>
      </c>
      <c r="G1115" s="1102">
        <v>0</v>
      </c>
      <c r="H1115" s="1736">
        <v>0.03</v>
      </c>
      <c r="I1115" s="1104">
        <f>O1115*1.2</f>
        <v>78.167999999999992</v>
      </c>
      <c r="J1115" s="1736">
        <v>44.59</v>
      </c>
      <c r="K1115" s="1102">
        <v>0.67</v>
      </c>
      <c r="L1115" s="1102">
        <v>108</v>
      </c>
      <c r="M1115" s="1102">
        <v>0</v>
      </c>
      <c r="N1115" s="1102">
        <v>1.72</v>
      </c>
      <c r="O1115" s="1102">
        <v>65.14</v>
      </c>
      <c r="P1115" s="906">
        <v>15.49</v>
      </c>
      <c r="Q1115" s="1102">
        <v>11.35</v>
      </c>
      <c r="R1115" s="1102">
        <v>3.5000000000000001E-3</v>
      </c>
      <c r="S1115" s="1102">
        <v>1E-3</v>
      </c>
      <c r="T1115" s="1102">
        <v>1.77E-2</v>
      </c>
      <c r="U1115" s="1102">
        <v>1.78E-2</v>
      </c>
      <c r="V1115" s="1102"/>
    </row>
    <row r="1116" spans="1:22" s="907" customFormat="1" x14ac:dyDescent="0.25">
      <c r="A1116" s="779"/>
      <c r="B1116" s="1107" t="str">
        <f t="shared" ref="B1116" si="33">"-"&amp;TEXT((F1116/62+G1116/46+I1116/35.5+J1116/48+K1116/97+L1116/61),"0,00")&amp;"/+"&amp;TEXT((N1116/39+O1116/23+P1116/20+Q1116/12+H1116/14),"0,00")&amp;"  (EC  "&amp;E1116*10&amp;")"</f>
        <v>-60,07/+60,60  (EC  60,9)</v>
      </c>
      <c r="C1116" s="1101"/>
      <c r="D1116" s="1102">
        <v>7.12</v>
      </c>
      <c r="E1116" s="1102">
        <v>6.09</v>
      </c>
      <c r="F1116" s="1736">
        <v>23.04</v>
      </c>
      <c r="G1116" s="1102">
        <v>0</v>
      </c>
      <c r="H1116" s="1102">
        <v>0.08</v>
      </c>
      <c r="I1116" s="1102">
        <v>1100.6300000000001</v>
      </c>
      <c r="J1116" s="1102">
        <v>956.32</v>
      </c>
      <c r="K1116" s="1102">
        <v>9.1799999999999993E-2</v>
      </c>
      <c r="L1116" s="1102">
        <v>535.20000000000005</v>
      </c>
      <c r="M1116" s="1102">
        <v>0</v>
      </c>
      <c r="N1116" s="906">
        <v>7.25</v>
      </c>
      <c r="O1116" s="906">
        <v>476.91</v>
      </c>
      <c r="P1116" s="1737">
        <v>522.36</v>
      </c>
      <c r="Q1116" s="906">
        <v>162.65</v>
      </c>
      <c r="R1116" s="1102">
        <v>1E-4</v>
      </c>
      <c r="S1116" s="1102">
        <v>1E-4</v>
      </c>
      <c r="T1116" s="906">
        <v>1E-4</v>
      </c>
      <c r="U1116" s="906">
        <v>1E-4</v>
      </c>
      <c r="V1116" s="1102"/>
    </row>
    <row r="1117" spans="1:22" s="907" customFormat="1" x14ac:dyDescent="0.25">
      <c r="A1117" s="779">
        <v>200184</v>
      </c>
      <c r="B1117" s="1107" t="str">
        <f t="shared" ref="B1117" si="34">"-"&amp;TEXT((F1117/62+G1117/46+I1117/35.5+J1117/48+K1117/97+L1117/61),"0,00")&amp;"/+"&amp;TEXT((N1117/39+O1117/23+P1117/20+Q1117/12+H1117/14),"0,00")&amp;"  (EC  "&amp;E1117*10&amp;")"</f>
        <v>-60,07/+60,60  (EC  60,9)</v>
      </c>
      <c r="C1117" s="1101"/>
      <c r="D1117" s="1102">
        <v>7.12</v>
      </c>
      <c r="E1117" s="1102">
        <v>6.09</v>
      </c>
      <c r="F1117" s="1736">
        <v>23.04</v>
      </c>
      <c r="G1117" s="1102">
        <v>0</v>
      </c>
      <c r="H1117" s="1102">
        <v>0.08</v>
      </c>
      <c r="I1117" s="1102">
        <v>1100.6300000000001</v>
      </c>
      <c r="J1117" s="1102">
        <v>956.32</v>
      </c>
      <c r="K1117" s="1102">
        <v>9.1799999999999993E-2</v>
      </c>
      <c r="L1117" s="1102">
        <v>535.20000000000005</v>
      </c>
      <c r="M1117" s="1102">
        <v>0</v>
      </c>
      <c r="N1117" s="906">
        <v>7.25</v>
      </c>
      <c r="O1117" s="906">
        <v>476.91</v>
      </c>
      <c r="P1117" s="1737">
        <v>522.36</v>
      </c>
      <c r="Q1117" s="906">
        <v>162.65</v>
      </c>
      <c r="R1117" s="1102">
        <v>1E-4</v>
      </c>
      <c r="S1117" s="1102">
        <v>1E-4</v>
      </c>
      <c r="T1117" s="906">
        <v>1E-4</v>
      </c>
      <c r="U1117" s="906">
        <v>1E-4</v>
      </c>
      <c r="V1117" s="1102"/>
    </row>
    <row r="1118" spans="1:22" s="907" customFormat="1" x14ac:dyDescent="0.25">
      <c r="A1118" s="1100">
        <v>200185</v>
      </c>
      <c r="B1118" s="1107" t="str">
        <f t="shared" si="32"/>
        <v>-60,55/+61,91  (EC  62,9)</v>
      </c>
      <c r="C1118" s="1101"/>
      <c r="D1118" s="1102">
        <v>7.09</v>
      </c>
      <c r="E1118" s="1102">
        <v>6.29</v>
      </c>
      <c r="F1118" s="1736">
        <v>23.31</v>
      </c>
      <c r="G1118" s="1102">
        <v>0</v>
      </c>
      <c r="H1118" s="1102">
        <v>0.09</v>
      </c>
      <c r="I1118" s="1102">
        <v>1123.53</v>
      </c>
      <c r="J1118" s="1102">
        <v>940.55</v>
      </c>
      <c r="K1118" s="1102">
        <v>9.1799999999999993E-2</v>
      </c>
      <c r="L1118" s="1102">
        <v>544.79999999999995</v>
      </c>
      <c r="M1118" s="1102">
        <v>0</v>
      </c>
      <c r="N1118" s="906">
        <v>7.36</v>
      </c>
      <c r="O1118" s="906">
        <v>492.03</v>
      </c>
      <c r="P1118" s="1737">
        <v>533.05999999999995</v>
      </c>
      <c r="Q1118" s="906">
        <v>164.08</v>
      </c>
      <c r="R1118" s="1102">
        <v>1E-4</v>
      </c>
      <c r="S1118" s="1102">
        <v>1E-4</v>
      </c>
      <c r="T1118" s="906">
        <v>1E-4</v>
      </c>
      <c r="U1118" s="906">
        <v>1E-4</v>
      </c>
      <c r="V1118" s="1102"/>
    </row>
    <row r="1119" spans="1:22" s="907" customFormat="1" x14ac:dyDescent="0.25">
      <c r="A1119" s="1100">
        <v>200186</v>
      </c>
      <c r="B1119" s="1107" t="str">
        <f t="shared" si="32"/>
        <v>-53,65/+55,43  (EC  54,6)</v>
      </c>
      <c r="C1119" s="1101"/>
      <c r="D1119" s="1102">
        <v>7.16</v>
      </c>
      <c r="E1119" s="1111">
        <v>5.46</v>
      </c>
      <c r="F1119" s="1736">
        <v>28.61</v>
      </c>
      <c r="G1119" s="1102">
        <v>0</v>
      </c>
      <c r="H1119" s="1102">
        <v>7.0000000000000007E-2</v>
      </c>
      <c r="I1119" s="1102">
        <v>992.69600000000003</v>
      </c>
      <c r="J1119" s="1102">
        <v>882.7</v>
      </c>
      <c r="K1119" s="1102">
        <v>1E-3</v>
      </c>
      <c r="L1119" s="1102">
        <v>417.2</v>
      </c>
      <c r="M1119" s="1102">
        <v>0</v>
      </c>
      <c r="N1119" s="906">
        <v>5.95</v>
      </c>
      <c r="O1119" s="906">
        <v>685.58</v>
      </c>
      <c r="P1119" s="906">
        <v>341.3</v>
      </c>
      <c r="Q1119" s="906">
        <v>100.77</v>
      </c>
      <c r="R1119" s="1102">
        <v>1E-4</v>
      </c>
      <c r="S1119" s="1102">
        <v>1E-4</v>
      </c>
      <c r="T1119" s="906">
        <v>1E-4</v>
      </c>
      <c r="U1119" s="906">
        <v>1E-4</v>
      </c>
      <c r="V1119" s="1102"/>
    </row>
    <row r="1120" spans="1:22" s="907" customFormat="1" x14ac:dyDescent="0.25">
      <c r="A1120" s="1100">
        <v>200187</v>
      </c>
      <c r="B1120" s="1107" t="str">
        <f t="shared" si="32"/>
        <v>-13,60/+13,63  (EC  13,5)</v>
      </c>
      <c r="C1120" s="1101"/>
      <c r="D1120" s="1102">
        <v>7.5</v>
      </c>
      <c r="E1120" s="1102">
        <v>1.35</v>
      </c>
      <c r="F1120" s="1736">
        <v>3.44</v>
      </c>
      <c r="G1120" s="1102">
        <v>0</v>
      </c>
      <c r="H1120" s="1102">
        <v>0.01</v>
      </c>
      <c r="I1120" s="1102">
        <v>126.816</v>
      </c>
      <c r="J1120" s="1102">
        <v>95.52</v>
      </c>
      <c r="K1120" s="1102">
        <v>3.0600000000000002E-2</v>
      </c>
      <c r="L1120" s="1102">
        <v>487.19999999999993</v>
      </c>
      <c r="M1120" s="1102">
        <v>0</v>
      </c>
      <c r="N1120" s="906">
        <v>8.11</v>
      </c>
      <c r="O1120" s="906">
        <v>105.68</v>
      </c>
      <c r="P1120" s="906">
        <v>93.09</v>
      </c>
      <c r="Q1120" s="906">
        <v>50.09</v>
      </c>
      <c r="R1120" s="1102">
        <v>1E-4</v>
      </c>
      <c r="S1120" s="1102">
        <v>1E-4</v>
      </c>
      <c r="T1120" s="906">
        <v>0.01</v>
      </c>
      <c r="U1120" s="906">
        <v>1E-4</v>
      </c>
      <c r="V1120" s="1102"/>
    </row>
    <row r="1121" spans="1:22" s="907" customFormat="1" x14ac:dyDescent="0.25">
      <c r="A1121" s="1100">
        <v>200188</v>
      </c>
      <c r="B1121" s="1107" t="str">
        <f t="shared" si="32"/>
        <v>-13,58/+13,56  (EC  13,5)</v>
      </c>
      <c r="C1121" s="1101"/>
      <c r="D1121" s="1102">
        <v>7.58</v>
      </c>
      <c r="E1121" s="1102">
        <v>1.35</v>
      </c>
      <c r="F1121" s="1736">
        <v>2.56</v>
      </c>
      <c r="G1121" s="1102">
        <v>0</v>
      </c>
      <c r="H1121" s="1102">
        <v>0.04</v>
      </c>
      <c r="I1121" s="1102">
        <v>117.18</v>
      </c>
      <c r="J1121" s="1102">
        <v>92.96</v>
      </c>
      <c r="K1121" s="1102">
        <v>3.0600000000000002E-2</v>
      </c>
      <c r="L1121" s="1102">
        <v>506.4</v>
      </c>
      <c r="M1121" s="1102">
        <v>0</v>
      </c>
      <c r="N1121" s="906">
        <v>8.14</v>
      </c>
      <c r="O1121" s="906">
        <v>97.65</v>
      </c>
      <c r="P1121" s="906">
        <v>88.96</v>
      </c>
      <c r="Q1121" s="906">
        <v>55.83</v>
      </c>
      <c r="R1121" s="1102">
        <v>1E-4</v>
      </c>
      <c r="S1121" s="1102">
        <v>1E-4</v>
      </c>
      <c r="T1121" s="906">
        <v>7.0000000000000007E-2</v>
      </c>
      <c r="U1121" s="906">
        <v>0.03</v>
      </c>
      <c r="V1121" s="1102"/>
    </row>
    <row r="1122" spans="1:22" s="907" customFormat="1" x14ac:dyDescent="0.25">
      <c r="A1122" s="1100">
        <v>200189</v>
      </c>
      <c r="B1122" s="1107" t="str">
        <f t="shared" si="32"/>
        <v>-10,92/+11,60  (EC  11,7)</v>
      </c>
      <c r="C1122" s="1101"/>
      <c r="D1122" s="1102">
        <v>7.63</v>
      </c>
      <c r="E1122" s="1102">
        <v>1.17</v>
      </c>
      <c r="F1122" s="1736">
        <v>1.88</v>
      </c>
      <c r="G1122" s="1102">
        <v>0</v>
      </c>
      <c r="H1122" s="1102">
        <v>0.06</v>
      </c>
      <c r="I1122" s="1102">
        <v>96.335999999999999</v>
      </c>
      <c r="J1122" s="1102">
        <v>162.04</v>
      </c>
      <c r="K1122" s="1102">
        <v>3.0600000000000002E-2</v>
      </c>
      <c r="L1122" s="1102">
        <v>292.8</v>
      </c>
      <c r="M1122" s="1102">
        <v>0</v>
      </c>
      <c r="N1122" s="906">
        <v>0.94</v>
      </c>
      <c r="O1122" s="906">
        <v>80.28</v>
      </c>
      <c r="P1122" s="906">
        <v>109.2</v>
      </c>
      <c r="Q1122" s="906">
        <v>31.49</v>
      </c>
      <c r="R1122" s="1102">
        <v>1E-4</v>
      </c>
      <c r="S1122" s="1102">
        <v>1E-4</v>
      </c>
      <c r="T1122" s="906">
        <v>0.01</v>
      </c>
      <c r="U1122" s="906">
        <v>0.01</v>
      </c>
      <c r="V1122" s="1102"/>
    </row>
    <row r="1123" spans="1:22" s="907" customFormat="1" x14ac:dyDescent="0.25">
      <c r="A1123" s="1100">
        <v>200190</v>
      </c>
      <c r="B1123" s="1107" t="str">
        <f t="shared" si="32"/>
        <v>-32,01/+33,24  (EC  33,5)</v>
      </c>
      <c r="C1123" s="1101"/>
      <c r="D1123" s="1102">
        <v>7.79</v>
      </c>
      <c r="E1123" s="1111">
        <v>3.35</v>
      </c>
      <c r="F1123" s="1736">
        <v>17.399999999999999</v>
      </c>
      <c r="G1123" s="1102">
        <v>0</v>
      </c>
      <c r="H1123" s="1102">
        <v>0.01</v>
      </c>
      <c r="I1123" s="1102">
        <v>450.68799999999999</v>
      </c>
      <c r="J1123" s="1102">
        <v>686.9</v>
      </c>
      <c r="K1123" s="1102">
        <v>1E-3</v>
      </c>
      <c r="L1123" s="1102">
        <v>288</v>
      </c>
      <c r="M1123" s="1102">
        <v>0</v>
      </c>
      <c r="N1123" s="906">
        <v>1.69</v>
      </c>
      <c r="O1123" s="1102">
        <v>292.24</v>
      </c>
      <c r="P1123" s="906">
        <v>262.27999999999997</v>
      </c>
      <c r="Q1123" s="906">
        <v>88.52</v>
      </c>
      <c r="R1123" s="1102">
        <v>1E-4</v>
      </c>
      <c r="S1123" s="1102">
        <v>1E-4</v>
      </c>
      <c r="T1123" s="906">
        <v>1E-4</v>
      </c>
      <c r="U1123" s="906">
        <v>1E-4</v>
      </c>
      <c r="V1123" s="1102"/>
    </row>
    <row r="1124" spans="1:22" s="907" customFormat="1" x14ac:dyDescent="0.25">
      <c r="A1124" s="1100">
        <v>200191</v>
      </c>
      <c r="B1124" s="1107" t="str">
        <f t="shared" si="32"/>
        <v>-35,05/+33,14  (EC  34,8)</v>
      </c>
      <c r="C1124" s="1101"/>
      <c r="D1124" s="1102">
        <v>8.4700000000000006</v>
      </c>
      <c r="E1124" s="1102">
        <v>3.48</v>
      </c>
      <c r="F1124" s="1102">
        <v>56.77</v>
      </c>
      <c r="G1124" s="1102">
        <v>0</v>
      </c>
      <c r="H1124" s="1102">
        <v>0.06</v>
      </c>
      <c r="I1124" s="1104">
        <v>960.33</v>
      </c>
      <c r="J1124" s="1102">
        <v>102.3</v>
      </c>
      <c r="K1124" s="1102">
        <v>1E-3</v>
      </c>
      <c r="L1124" s="1102">
        <v>302.3</v>
      </c>
      <c r="M1124" s="1102">
        <v>0</v>
      </c>
      <c r="N1124" s="906">
        <v>1.47</v>
      </c>
      <c r="O1124" s="906">
        <v>600.21</v>
      </c>
      <c r="P1124" s="906">
        <v>63.68</v>
      </c>
      <c r="Q1124" s="906">
        <v>45.87</v>
      </c>
      <c r="R1124" s="1102">
        <v>1E-4</v>
      </c>
      <c r="S1124" s="1102">
        <v>1E-4</v>
      </c>
      <c r="T1124" s="1102">
        <v>1E-4</v>
      </c>
      <c r="U1124" s="1102">
        <v>0.01</v>
      </c>
      <c r="V1124" s="1102"/>
    </row>
    <row r="1125" spans="1:22" s="907" customFormat="1" x14ac:dyDescent="0.25">
      <c r="A1125" s="1100">
        <v>200192</v>
      </c>
      <c r="B1125" s="1107" t="str">
        <f t="shared" si="32"/>
        <v>-120,07/+130,51  (EC  134,6)</v>
      </c>
      <c r="C1125" s="1101"/>
      <c r="D1125" s="1102">
        <v>7.77</v>
      </c>
      <c r="E1125" s="1102">
        <v>13.46</v>
      </c>
      <c r="F1125" s="1102">
        <v>0.08</v>
      </c>
      <c r="G1125" s="1102">
        <v>0</v>
      </c>
      <c r="H1125" s="1102">
        <v>0.03</v>
      </c>
      <c r="I1125" s="1104">
        <v>3315.2960000000003</v>
      </c>
      <c r="J1125" s="1102">
        <v>1023.63</v>
      </c>
      <c r="K1125" s="1102">
        <v>1E-3</v>
      </c>
      <c r="L1125" s="1102">
        <v>326.36</v>
      </c>
      <c r="M1125" s="1102">
        <v>0</v>
      </c>
      <c r="N1125" s="1102">
        <v>19.62</v>
      </c>
      <c r="O1125" s="1102">
        <v>2072.06</v>
      </c>
      <c r="P1125" s="1102">
        <v>639.33000000000004</v>
      </c>
      <c r="Q1125" s="1102">
        <v>95.38</v>
      </c>
      <c r="R1125" s="1102">
        <v>1E-3</v>
      </c>
      <c r="S1125" s="1102">
        <v>1E-3</v>
      </c>
      <c r="T1125" s="1102">
        <v>1E-3</v>
      </c>
      <c r="U1125" s="1102">
        <v>1E-3</v>
      </c>
      <c r="V1125" s="1102"/>
    </row>
    <row r="1126" spans="1:22" s="907" customFormat="1" x14ac:dyDescent="0.25">
      <c r="A1126" s="1100">
        <v>200193</v>
      </c>
      <c r="B1126" s="1107" t="str">
        <f t="shared" si="32"/>
        <v>-116,68/+138,94  (EC  135,7)</v>
      </c>
      <c r="C1126" s="1101"/>
      <c r="D1126" s="1102">
        <v>7.72</v>
      </c>
      <c r="E1126" s="1102">
        <v>13.57</v>
      </c>
      <c r="F1126" s="1102">
        <v>0.05</v>
      </c>
      <c r="G1126" s="1102">
        <v>0</v>
      </c>
      <c r="H1126" s="1102">
        <v>0.05</v>
      </c>
      <c r="I1126" s="1104">
        <v>3089.6320000000001</v>
      </c>
      <c r="J1126" s="1102">
        <v>1236.95</v>
      </c>
      <c r="K1126" s="1102">
        <v>1E-3</v>
      </c>
      <c r="L1126" s="1102">
        <v>236.56</v>
      </c>
      <c r="M1126" s="1102">
        <v>0</v>
      </c>
      <c r="N1126" s="1102">
        <v>21.75</v>
      </c>
      <c r="O1126" s="1102">
        <v>1868.52</v>
      </c>
      <c r="P1126" s="1102">
        <v>918.3</v>
      </c>
      <c r="Q1126" s="1102">
        <v>134.63</v>
      </c>
      <c r="R1126" s="1102">
        <v>1E-3</v>
      </c>
      <c r="S1126" s="1102">
        <v>1E-3</v>
      </c>
      <c r="T1126" s="1102">
        <v>1E-3</v>
      </c>
      <c r="U1126" s="1102">
        <v>1E-3</v>
      </c>
      <c r="V1126" s="1102"/>
    </row>
    <row r="1127" spans="1:22" s="907" customFormat="1" x14ac:dyDescent="0.25">
      <c r="A1127" s="1100">
        <v>200194</v>
      </c>
      <c r="B1127" s="1107" t="str">
        <f t="shared" si="32"/>
        <v>-10,57/+10,62  (EC  11,1)</v>
      </c>
      <c r="C1127" s="1101"/>
      <c r="D1127" s="1102">
        <v>7.75</v>
      </c>
      <c r="E1127" s="1102">
        <v>1.1100000000000001</v>
      </c>
      <c r="F1127" s="1104">
        <v>11.51</v>
      </c>
      <c r="G1127" s="1102">
        <v>0</v>
      </c>
      <c r="H1127" s="1102">
        <v>0.09</v>
      </c>
      <c r="I1127" s="1104">
        <v>218.17600000000004</v>
      </c>
      <c r="J1127" s="1102">
        <v>52.58</v>
      </c>
      <c r="K1127" s="1102">
        <v>1E-3</v>
      </c>
      <c r="L1127" s="1102">
        <v>192</v>
      </c>
      <c r="M1127" s="1102">
        <v>0</v>
      </c>
      <c r="N1127" s="1102">
        <v>5.49</v>
      </c>
      <c r="O1127" s="1102">
        <v>136.36000000000001</v>
      </c>
      <c r="P1127" s="1102">
        <v>47.79</v>
      </c>
      <c r="Q1127" s="1102">
        <v>25.87</v>
      </c>
      <c r="R1127" s="1102">
        <v>1E-3</v>
      </c>
      <c r="S1127" s="1102">
        <v>1E-3</v>
      </c>
      <c r="T1127" s="1102">
        <v>1E-3</v>
      </c>
      <c r="U1127" s="1102">
        <v>1E-3</v>
      </c>
      <c r="V1127" s="1102"/>
    </row>
    <row r="1128" spans="1:22" s="907" customFormat="1" x14ac:dyDescent="0.25">
      <c r="A1128" s="1100">
        <v>200195</v>
      </c>
      <c r="B1128" s="1107" t="str">
        <f t="shared" si="32"/>
        <v>-7,95/+8,68  (EC  7,79)</v>
      </c>
      <c r="C1128" s="1101"/>
      <c r="D1128" s="1102">
        <v>7.61</v>
      </c>
      <c r="E1128" s="1102">
        <v>0.77900000000000003</v>
      </c>
      <c r="F1128" s="1104">
        <v>30.49</v>
      </c>
      <c r="G1128" s="1102">
        <v>0</v>
      </c>
      <c r="H1128" s="1102">
        <v>0.06</v>
      </c>
      <c r="I1128" s="1739">
        <v>35.712000000000003</v>
      </c>
      <c r="J1128" s="1735">
        <v>28.33</v>
      </c>
      <c r="K1128" s="1735">
        <v>1E-3</v>
      </c>
      <c r="L1128" s="1102">
        <v>357.6</v>
      </c>
      <c r="M1128" s="1102">
        <v>0</v>
      </c>
      <c r="N1128" s="1102">
        <v>1.89</v>
      </c>
      <c r="O1128" s="1102">
        <v>22.32</v>
      </c>
      <c r="P1128" s="1102">
        <v>77.41</v>
      </c>
      <c r="Q1128" s="1102">
        <v>45.38</v>
      </c>
      <c r="R1128" s="1102">
        <v>1E-3</v>
      </c>
      <c r="S1128" s="1102">
        <v>1E-3</v>
      </c>
      <c r="T1128" s="1102">
        <v>1E-3</v>
      </c>
      <c r="U1128" s="1102">
        <v>1E-3</v>
      </c>
      <c r="V1128" s="1102"/>
    </row>
    <row r="1129" spans="1:22" s="907" customFormat="1" x14ac:dyDescent="0.25">
      <c r="A1129" s="1100">
        <v>200196</v>
      </c>
      <c r="B1129" s="1107" t="str">
        <f t="shared" si="32"/>
        <v>-42,21/+42,13  (EC  43,9)</v>
      </c>
      <c r="C1129" s="1101"/>
      <c r="D1129" s="1102">
        <v>7.03</v>
      </c>
      <c r="E1129" s="1111">
        <v>4.3899999999999997</v>
      </c>
      <c r="F1129" s="1104">
        <v>86.89</v>
      </c>
      <c r="G1129" s="1102">
        <v>0</v>
      </c>
      <c r="H1129" s="1102">
        <v>0.12</v>
      </c>
      <c r="I1129" s="1739">
        <f>506.16*1.6</f>
        <v>809.85600000000011</v>
      </c>
      <c r="J1129" s="1735">
        <v>612.5</v>
      </c>
      <c r="K1129" s="1735">
        <v>1E-3</v>
      </c>
      <c r="L1129" s="1102">
        <v>319.20000000000005</v>
      </c>
      <c r="M1129" s="1102">
        <v>0</v>
      </c>
      <c r="N1129" s="1102">
        <v>5.53</v>
      </c>
      <c r="O1129" s="1102">
        <v>506.16</v>
      </c>
      <c r="P1129" s="1102">
        <v>258.5</v>
      </c>
      <c r="Q1129" s="1102">
        <v>84.56</v>
      </c>
      <c r="R1129" s="1102">
        <v>1E-3</v>
      </c>
      <c r="S1129" s="1102">
        <v>1E-3</v>
      </c>
      <c r="T1129" s="1102">
        <v>1E-3</v>
      </c>
      <c r="U1129" s="1102">
        <v>1E-3</v>
      </c>
      <c r="V1129" s="1102"/>
    </row>
    <row r="1130" spans="1:22" s="907" customFormat="1" x14ac:dyDescent="0.25">
      <c r="A1130" s="1100">
        <v>200197</v>
      </c>
      <c r="B1130" s="1107" t="str">
        <f t="shared" si="32"/>
        <v>-42,10/+42,77  (EC  43,1)</v>
      </c>
      <c r="C1130" s="1101"/>
      <c r="D1130" s="1102">
        <v>7.2</v>
      </c>
      <c r="E1130" s="1111">
        <v>4.3099999999999996</v>
      </c>
      <c r="F1130" s="1104">
        <v>87.65</v>
      </c>
      <c r="G1130" s="1102">
        <v>0</v>
      </c>
      <c r="H1130" s="1102">
        <v>0.11</v>
      </c>
      <c r="I1130" s="1739">
        <f>506.16*1.6</f>
        <v>809.85600000000011</v>
      </c>
      <c r="J1130" s="1735">
        <v>614.20000000000005</v>
      </c>
      <c r="K1130" s="1735">
        <v>1E-3</v>
      </c>
      <c r="L1130" s="1102">
        <v>309.60000000000002</v>
      </c>
      <c r="M1130" s="1102">
        <v>0</v>
      </c>
      <c r="N1130" s="1102">
        <v>5.67</v>
      </c>
      <c r="O1130" s="1102">
        <v>512.27</v>
      </c>
      <c r="P1130" s="1102">
        <v>264.74</v>
      </c>
      <c r="Q1130" s="1102">
        <v>85.25</v>
      </c>
      <c r="R1130" s="1102">
        <v>1E-3</v>
      </c>
      <c r="S1130" s="1102">
        <v>1E-3</v>
      </c>
      <c r="T1130" s="1102">
        <v>1E-3</v>
      </c>
      <c r="U1130" s="1102">
        <v>1E-3</v>
      </c>
      <c r="V1130" s="1102"/>
    </row>
    <row r="1131" spans="1:22" s="907" customFormat="1" x14ac:dyDescent="0.25">
      <c r="A1131" s="1100">
        <v>200198</v>
      </c>
      <c r="B1131" s="1107" t="str">
        <f t="shared" si="32"/>
        <v>-6,51/+6,50  (EC  5,47)</v>
      </c>
      <c r="C1131" s="1101"/>
      <c r="D1131" s="1102">
        <v>8.2799999999999994</v>
      </c>
      <c r="E1131" s="1102">
        <v>0.54700000000000004</v>
      </c>
      <c r="F1131" s="1104">
        <v>9.6</v>
      </c>
      <c r="G1131" s="1102">
        <v>0</v>
      </c>
      <c r="H1131" s="1102">
        <v>0.04</v>
      </c>
      <c r="I1131" s="1739">
        <v>41.964000000000006</v>
      </c>
      <c r="J1131" s="1735">
        <v>12.23</v>
      </c>
      <c r="K1131" s="1740">
        <v>9.2700000000000005E-3</v>
      </c>
      <c r="L1131" s="1102">
        <v>300</v>
      </c>
      <c r="M1131" s="1102">
        <v>0</v>
      </c>
      <c r="N1131" s="1102">
        <v>1.1599999999999999</v>
      </c>
      <c r="O1131" s="1102">
        <v>16.14</v>
      </c>
      <c r="P1131" s="1102">
        <v>50.44</v>
      </c>
      <c r="Q1131" s="1102">
        <v>38.92</v>
      </c>
      <c r="R1131" s="1102">
        <v>1E-3</v>
      </c>
      <c r="S1131" s="1102">
        <v>1E-3</v>
      </c>
      <c r="T1131" s="1102">
        <v>1E-3</v>
      </c>
      <c r="U1131" s="1102">
        <v>0.04</v>
      </c>
      <c r="V1131" s="1102"/>
    </row>
    <row r="1132" spans="1:22" s="907" customFormat="1" x14ac:dyDescent="0.25">
      <c r="A1132" s="1100">
        <v>200199</v>
      </c>
      <c r="B1132" s="1107" t="str">
        <f t="shared" si="32"/>
        <v>-7,12/+7,29  (EC  6,22)</v>
      </c>
      <c r="C1132" s="1101"/>
      <c r="D1132" s="1102">
        <v>7.63</v>
      </c>
      <c r="E1132" s="1102">
        <v>0.622</v>
      </c>
      <c r="F1132" s="1104">
        <v>12</v>
      </c>
      <c r="G1132" s="1102">
        <v>0</v>
      </c>
      <c r="H1132" s="1102">
        <v>0.06</v>
      </c>
      <c r="I1132" s="1739">
        <v>40.014000000000003</v>
      </c>
      <c r="J1132" s="1102">
        <v>14.08</v>
      </c>
      <c r="K1132" s="1741">
        <v>9.2699999999999991E-2</v>
      </c>
      <c r="L1132" s="1102">
        <v>336</v>
      </c>
      <c r="M1132" s="1102">
        <v>0</v>
      </c>
      <c r="N1132" s="1102">
        <v>1.08</v>
      </c>
      <c r="O1132" s="1102">
        <v>15.39</v>
      </c>
      <c r="P1132" s="1102">
        <v>67.72</v>
      </c>
      <c r="Q1132" s="1102">
        <v>38.450000000000003</v>
      </c>
      <c r="R1132" s="1102">
        <v>1E-3</v>
      </c>
      <c r="S1132" s="1102">
        <v>1E-3</v>
      </c>
      <c r="T1132" s="1102">
        <v>0.01</v>
      </c>
      <c r="U1132" s="1102">
        <v>0.33</v>
      </c>
      <c r="V1132" s="1102"/>
    </row>
    <row r="1133" spans="1:22" s="907" customFormat="1" x14ac:dyDescent="0.25">
      <c r="A1133" s="1100">
        <v>200200</v>
      </c>
      <c r="B1133" s="1107" t="str">
        <f t="shared" si="32"/>
        <v>-7,05/+7,26  (EC  6,09)</v>
      </c>
      <c r="C1133" s="1101"/>
      <c r="D1133" s="1102">
        <v>7.62</v>
      </c>
      <c r="E1133" s="1102">
        <v>0.60899999999999999</v>
      </c>
      <c r="F1133" s="1104">
        <v>11.97</v>
      </c>
      <c r="G1133" s="1102">
        <v>0</v>
      </c>
      <c r="H1133" s="1102">
        <v>7.0000000000000007E-2</v>
      </c>
      <c r="I1133" s="1739">
        <v>39.936</v>
      </c>
      <c r="J1133" s="1102">
        <v>14.63</v>
      </c>
      <c r="K1133" s="1741">
        <v>3.0899999999999999E-3</v>
      </c>
      <c r="L1133" s="1102">
        <v>331.20000000000005</v>
      </c>
      <c r="M1133" s="1102">
        <v>0</v>
      </c>
      <c r="N1133" s="1102">
        <v>1.03</v>
      </c>
      <c r="O1133" s="1102">
        <v>15.36</v>
      </c>
      <c r="P1133" s="1102">
        <v>66.88</v>
      </c>
      <c r="Q1133" s="1102">
        <v>38.58</v>
      </c>
      <c r="R1133" s="1102">
        <v>1E-3</v>
      </c>
      <c r="S1133" s="1102">
        <v>1E-3</v>
      </c>
      <c r="T1133" s="1102">
        <v>0.01</v>
      </c>
      <c r="U1133" s="1102">
        <v>0.35</v>
      </c>
      <c r="V1133" s="1102"/>
    </row>
    <row r="1134" spans="1:22" s="907" customFormat="1" x14ac:dyDescent="0.25">
      <c r="A1134" s="1100">
        <v>200201</v>
      </c>
      <c r="B1134" s="1107" t="str">
        <f t="shared" si="32"/>
        <v>-5,94/+5,67  (EC  4,93)</v>
      </c>
      <c r="C1134" s="1101"/>
      <c r="D1134" s="1102">
        <v>7.52</v>
      </c>
      <c r="E1134" s="1102">
        <v>0.49299999999999999</v>
      </c>
      <c r="F1134" s="1104">
        <v>10.45</v>
      </c>
      <c r="G1134" s="1102">
        <v>0</v>
      </c>
      <c r="H1134" s="1102">
        <v>0.06</v>
      </c>
      <c r="I1134" s="1739">
        <v>54.704000000000001</v>
      </c>
      <c r="J1134" s="1102">
        <v>14.16</v>
      </c>
      <c r="K1134" s="1741">
        <v>9.2699999999999991E-2</v>
      </c>
      <c r="L1134" s="1102">
        <v>240</v>
      </c>
      <c r="M1134" s="1102">
        <v>0</v>
      </c>
      <c r="N1134" s="1102">
        <v>3.67</v>
      </c>
      <c r="O1134" s="1102">
        <v>21.04</v>
      </c>
      <c r="P1134" s="1102">
        <v>38.270000000000003</v>
      </c>
      <c r="Q1134" s="1102">
        <v>32.950000000000003</v>
      </c>
      <c r="R1134" s="1102">
        <v>1E-3</v>
      </c>
      <c r="S1134" s="1102">
        <v>1E-3</v>
      </c>
      <c r="T1134" s="1102">
        <v>1E-3</v>
      </c>
      <c r="U1134" s="1102">
        <v>0.02</v>
      </c>
      <c r="V1134" s="1102"/>
    </row>
    <row r="1135" spans="1:22" s="907" customFormat="1" x14ac:dyDescent="0.25">
      <c r="A1135" s="1100">
        <v>200202</v>
      </c>
      <c r="B1135" s="1107" t="str">
        <f t="shared" si="32"/>
        <v>-35,92/+37,25  (EC  36,1)</v>
      </c>
      <c r="C1135" s="1101"/>
      <c r="D1135" s="1742">
        <v>7.27</v>
      </c>
      <c r="E1135" s="1102">
        <v>3.61</v>
      </c>
      <c r="F1135" s="1104">
        <v>2.4300000000000002</v>
      </c>
      <c r="G1135" s="1102">
        <v>0</v>
      </c>
      <c r="H1135" s="1102">
        <v>0.03</v>
      </c>
      <c r="I1135" s="1104">
        <v>351.13600000000002</v>
      </c>
      <c r="J1135" s="1102">
        <v>1066.1500000000001</v>
      </c>
      <c r="K1135" s="1102">
        <v>0.42</v>
      </c>
      <c r="L1135" s="1102">
        <v>230.39999999999998</v>
      </c>
      <c r="M1135" s="1102">
        <v>0</v>
      </c>
      <c r="N1135" s="1102">
        <v>26.52</v>
      </c>
      <c r="O1135" s="1102">
        <v>219.46</v>
      </c>
      <c r="P1135" s="1111">
        <v>254.69</v>
      </c>
      <c r="Q1135" s="1111">
        <v>171.45</v>
      </c>
      <c r="R1135" s="1102">
        <v>0.04</v>
      </c>
      <c r="S1135" s="1102">
        <v>1E-3</v>
      </c>
      <c r="T1135" s="1102">
        <v>1E-3</v>
      </c>
      <c r="U1135" s="1102">
        <v>1E-3</v>
      </c>
      <c r="V1135" s="1102"/>
    </row>
    <row r="1136" spans="1:22" s="907" customFormat="1" x14ac:dyDescent="0.25">
      <c r="A1136" s="1100">
        <v>200203</v>
      </c>
      <c r="B1136" s="1107" t="str">
        <f t="shared" si="32"/>
        <v>-6,28/+6,93  (EC  5,91)</v>
      </c>
      <c r="C1136" s="1101"/>
      <c r="D1136" s="1743">
        <v>7.69</v>
      </c>
      <c r="E1136" s="1104">
        <v>0.59099999999999997</v>
      </c>
      <c r="F1136" s="1104">
        <v>4.62</v>
      </c>
      <c r="G1136" s="1102">
        <v>0</v>
      </c>
      <c r="H1136" s="1102">
        <v>0.02</v>
      </c>
      <c r="I1136" s="1104">
        <v>18.752000000000002</v>
      </c>
      <c r="J1136" s="1102">
        <v>76.05</v>
      </c>
      <c r="K1136" s="1102">
        <v>1E-3</v>
      </c>
      <c r="L1136" s="1102">
        <v>249.60000000000002</v>
      </c>
      <c r="M1136" s="1102">
        <v>0</v>
      </c>
      <c r="N1136" s="1102">
        <v>1.1299999999999999</v>
      </c>
      <c r="O1136" s="1102">
        <v>11.72</v>
      </c>
      <c r="P1136" s="1102">
        <v>62.34</v>
      </c>
      <c r="Q1136" s="1102">
        <v>39.25</v>
      </c>
      <c r="R1136" s="1102">
        <v>1E-3</v>
      </c>
      <c r="S1136" s="1102">
        <v>1E-3</v>
      </c>
      <c r="T1136" s="1102">
        <v>1E-3</v>
      </c>
      <c r="U1136" s="1102">
        <v>0.01</v>
      </c>
      <c r="V1136" s="1102"/>
    </row>
    <row r="1137" spans="1:22" s="907" customFormat="1" x14ac:dyDescent="0.25">
      <c r="A1137" s="1100">
        <v>200204</v>
      </c>
      <c r="B1137" s="1107" t="str">
        <f t="shared" ref="B1137" si="35">"-"&amp;TEXT((F1137/62+G1137/46+I1137/35.5+J1137/48+K1137/97+L1137/61),"0,00")&amp;"/+"&amp;TEXT((N1137/39+O1137/23+P1137/20+Q1137/12+H1137/14),"0,00")&amp;"  (EC  "&amp;E1137*10&amp;")"</f>
        <v>-10,37/+10,86  (EC  10,2)</v>
      </c>
      <c r="C1137" s="1101"/>
      <c r="D1137" s="1104">
        <v>7.7</v>
      </c>
      <c r="E1137" s="1104">
        <v>1.02</v>
      </c>
      <c r="F1137" s="1104">
        <v>17.350000000000001</v>
      </c>
      <c r="G1137" s="1104">
        <v>0</v>
      </c>
      <c r="H1137" s="1104">
        <v>0.03</v>
      </c>
      <c r="I1137" s="1104">
        <v>118.19200000000001</v>
      </c>
      <c r="J1137" s="1104">
        <v>128</v>
      </c>
      <c r="K1137" s="1104">
        <v>1E-3</v>
      </c>
      <c r="L1137" s="1104">
        <v>249.60000000000002</v>
      </c>
      <c r="M1137" s="1104">
        <v>0</v>
      </c>
      <c r="N1137" s="1104">
        <v>1.84</v>
      </c>
      <c r="O1137" s="1102">
        <v>73.87</v>
      </c>
      <c r="P1137" s="1102">
        <v>76.87</v>
      </c>
      <c r="Q1137" s="1102">
        <v>45.06</v>
      </c>
      <c r="R1137" s="1102">
        <v>1E-3</v>
      </c>
      <c r="S1137" s="1102">
        <v>1E-3</v>
      </c>
      <c r="T1137" s="1102">
        <v>1E-3</v>
      </c>
      <c r="U1137" s="1102">
        <v>1E-3</v>
      </c>
      <c r="V1137" s="1102"/>
    </row>
    <row r="1138" spans="1:22" s="907" customFormat="1" x14ac:dyDescent="0.25">
      <c r="A1138" s="1100">
        <v>200205</v>
      </c>
      <c r="B1138" s="1107" t="str">
        <f>"-"&amp;TEXT((F1138/62+G1138/46+I1138/35.5+J1138/48+K1138/97+L1138/61),"0,00")&amp;"/+"&amp;TEXT((N1138/39+O1138/23+P1138/20+Q1138/12+H1138/14),"0,00")&amp;"  (EC  "&amp;E1138*10&amp;")"</f>
        <v>-19,46/+18,86  (EC  18)</v>
      </c>
      <c r="C1138" s="1101"/>
      <c r="D1138" s="1104">
        <v>7.24</v>
      </c>
      <c r="E1138" s="1104">
        <v>1.8</v>
      </c>
      <c r="F1138" s="1104">
        <v>1.66</v>
      </c>
      <c r="G1138" s="1104">
        <v>0</v>
      </c>
      <c r="H1138" s="1104">
        <v>0.02</v>
      </c>
      <c r="I1138" s="1104">
        <v>358.464</v>
      </c>
      <c r="J1138" s="1104">
        <v>165.95</v>
      </c>
      <c r="K1138" s="1104">
        <v>1E-3</v>
      </c>
      <c r="L1138" s="1104">
        <v>358.4</v>
      </c>
      <c r="M1138" s="1104">
        <v>0</v>
      </c>
      <c r="N1138" s="1104">
        <v>5.71</v>
      </c>
      <c r="O1138" s="1102">
        <v>286.54000000000002</v>
      </c>
      <c r="P1138" s="1102">
        <v>54.45</v>
      </c>
      <c r="Q1138" s="1102">
        <v>42.42</v>
      </c>
      <c r="R1138" s="1102">
        <v>1E-3</v>
      </c>
      <c r="S1138" s="1102">
        <v>1E-3</v>
      </c>
      <c r="T1138" s="1102">
        <v>1E-3</v>
      </c>
      <c r="U1138" s="1102">
        <v>0.09</v>
      </c>
      <c r="V1138" s="1102"/>
    </row>
    <row r="1139" spans="1:22" s="907" customFormat="1" x14ac:dyDescent="0.25">
      <c r="A1139" s="1100">
        <v>200206</v>
      </c>
      <c r="B1139" s="1107" t="str">
        <f t="shared" ref="B1139:B1195" si="36">"-"&amp;TEXT((F1139/62+G1139/46+I1139/35.5+J1139/48+K1139/97+L1139/61),"0,00")&amp;"/+"&amp;TEXT((N1139/39+O1139/23+P1139/20+Q1139/12+H1139/14),"0,00")&amp;"  (EC  "&amp;E1139*10&amp;")"</f>
        <v>-123,98/+125,11  (EC  124)</v>
      </c>
      <c r="C1139" s="1101"/>
      <c r="D1139" s="1104">
        <v>6.76</v>
      </c>
      <c r="E1139" s="1104">
        <v>12.4</v>
      </c>
      <c r="F1139" s="1104">
        <v>35.020000000000003</v>
      </c>
      <c r="G1139" s="1104">
        <v>0</v>
      </c>
      <c r="H1139" s="1104">
        <v>0.03</v>
      </c>
      <c r="I1139" s="1104">
        <v>3154.8</v>
      </c>
      <c r="J1139" s="1104">
        <v>1242.9000000000001</v>
      </c>
      <c r="K1139" s="1104">
        <v>1E-3</v>
      </c>
      <c r="L1139" s="1104">
        <v>528</v>
      </c>
      <c r="M1139" s="1104">
        <v>0</v>
      </c>
      <c r="N1139" s="1104">
        <v>13</v>
      </c>
      <c r="O1139" s="1102">
        <v>1971.75</v>
      </c>
      <c r="P1139" s="1102">
        <v>388.64</v>
      </c>
      <c r="Q1139" s="1102">
        <v>235.32</v>
      </c>
      <c r="R1139" s="1102">
        <v>1E-3</v>
      </c>
      <c r="S1139" s="1102">
        <v>1E-3</v>
      </c>
      <c r="T1139" s="1102">
        <v>1E-3</v>
      </c>
      <c r="U1139" s="1102">
        <v>0.04</v>
      </c>
      <c r="V1139" s="1102"/>
    </row>
    <row r="1140" spans="1:22" s="907" customFormat="1" x14ac:dyDescent="0.25">
      <c r="A1140" s="1100">
        <v>200207</v>
      </c>
      <c r="B1140" s="1107" t="str">
        <f t="shared" si="36"/>
        <v>-37,12/+38,77  (EC  38,5)</v>
      </c>
      <c r="C1140" s="1101"/>
      <c r="D1140" s="1104">
        <v>7.43</v>
      </c>
      <c r="E1140" s="1104">
        <v>3.85</v>
      </c>
      <c r="F1140" s="1104">
        <v>85.95</v>
      </c>
      <c r="G1140" s="1104">
        <v>0</v>
      </c>
      <c r="H1140" s="1104">
        <v>0.04</v>
      </c>
      <c r="I1140" s="1104">
        <v>643.08800000000008</v>
      </c>
      <c r="J1140" s="1104">
        <v>605.63</v>
      </c>
      <c r="K1140" s="1104">
        <v>3.0600000000000002E-2</v>
      </c>
      <c r="L1140" s="1104">
        <v>304.8</v>
      </c>
      <c r="M1140" s="1104">
        <v>0</v>
      </c>
      <c r="N1140" s="1104">
        <v>4.32</v>
      </c>
      <c r="O1140" s="1102">
        <v>401.93</v>
      </c>
      <c r="P1140" s="1102">
        <v>188.93</v>
      </c>
      <c r="Q1140" s="1102">
        <v>140.86000000000001</v>
      </c>
      <c r="R1140" s="1102">
        <v>1E-3</v>
      </c>
      <c r="S1140" s="1102">
        <v>1E-3</v>
      </c>
      <c r="T1140" s="1102">
        <v>1E-3</v>
      </c>
      <c r="U1140" s="1102">
        <v>0.03</v>
      </c>
      <c r="V1140" s="1102"/>
    </row>
    <row r="1141" spans="1:22" s="907" customFormat="1" x14ac:dyDescent="0.25">
      <c r="A1141" s="1100">
        <v>200208</v>
      </c>
      <c r="B1141" s="1107" t="str">
        <f t="shared" si="36"/>
        <v>-9,87/+9,46  (EC  9,31)</v>
      </c>
      <c r="C1141" s="1101"/>
      <c r="D1141" s="1104">
        <v>7.64</v>
      </c>
      <c r="E1141" s="1104">
        <v>0.93100000000000005</v>
      </c>
      <c r="F1141" s="1104">
        <v>16.32</v>
      </c>
      <c r="G1141" s="1104">
        <v>0</v>
      </c>
      <c r="H1141" s="1104">
        <v>0.03</v>
      </c>
      <c r="I1141" s="1104">
        <v>95.248000000000005</v>
      </c>
      <c r="J1141" s="1104">
        <v>60.34</v>
      </c>
      <c r="K1141" s="1104">
        <v>6.1200000000000004E-2</v>
      </c>
      <c r="L1141" s="1104">
        <v>345.6</v>
      </c>
      <c r="M1141" s="1104">
        <v>0</v>
      </c>
      <c r="N1141" s="1104">
        <v>2.74</v>
      </c>
      <c r="O1141" s="1102">
        <v>59.53</v>
      </c>
      <c r="P1141" s="1102">
        <v>63.22</v>
      </c>
      <c r="Q1141" s="1102">
        <v>43.7</v>
      </c>
      <c r="R1141" s="1102">
        <v>1E-3</v>
      </c>
      <c r="S1141" s="1102">
        <v>1E-3</v>
      </c>
      <c r="T1141" s="1102">
        <v>1E-3</v>
      </c>
      <c r="U1141" s="1102">
        <v>0.02</v>
      </c>
      <c r="V1141" s="1102"/>
    </row>
    <row r="1142" spans="1:22" s="907" customFormat="1" x14ac:dyDescent="0.25">
      <c r="A1142" s="1100">
        <v>200209</v>
      </c>
      <c r="B1142" s="1107" t="str">
        <f t="shared" si="36"/>
        <v>-7,82/+8,24  (EC  8,04)</v>
      </c>
      <c r="C1142" s="1101"/>
      <c r="D1142" s="1102">
        <v>7.63</v>
      </c>
      <c r="E1142" s="1102">
        <v>0.80400000000000005</v>
      </c>
      <c r="F1142" s="1104">
        <v>76.680000000000007</v>
      </c>
      <c r="G1142" s="1104">
        <v>0</v>
      </c>
      <c r="H1142" s="1102">
        <v>0.11</v>
      </c>
      <c r="I1142" s="1104">
        <v>42.527999999999999</v>
      </c>
      <c r="J1142" s="1102">
        <v>24.11</v>
      </c>
      <c r="K1142" s="1102">
        <v>0</v>
      </c>
      <c r="L1142" s="1102">
        <v>297.60000000000002</v>
      </c>
      <c r="M1142" s="1102">
        <v>0</v>
      </c>
      <c r="N1142" s="1102">
        <v>0.19</v>
      </c>
      <c r="O1142" s="1102">
        <v>26.58</v>
      </c>
      <c r="P1142" s="1102">
        <v>97.26</v>
      </c>
      <c r="Q1142" s="1102">
        <v>26.54</v>
      </c>
      <c r="R1142" s="1102">
        <v>0.25</v>
      </c>
      <c r="S1142" s="1102">
        <v>1E-3</v>
      </c>
      <c r="T1142" s="1102">
        <v>1E-3</v>
      </c>
      <c r="U1142" s="1102">
        <v>1E-3</v>
      </c>
      <c r="V1142" s="1102"/>
    </row>
    <row r="1143" spans="1:22" s="907" customFormat="1" x14ac:dyDescent="0.25">
      <c r="A1143" s="1100">
        <v>200210</v>
      </c>
      <c r="B1143" s="1107" t="str">
        <f t="shared" si="36"/>
        <v>-7,68/+8,14  (EC  7,99)</v>
      </c>
      <c r="C1143" s="1101"/>
      <c r="D1143" s="1102">
        <v>7.7</v>
      </c>
      <c r="E1143" s="1102">
        <v>0.79900000000000004</v>
      </c>
      <c r="F1143" s="1104">
        <v>69.09</v>
      </c>
      <c r="G1143" s="1104">
        <v>0</v>
      </c>
      <c r="H1143" s="1102">
        <v>0.1</v>
      </c>
      <c r="I1143" s="1104">
        <v>46.992000000000004</v>
      </c>
      <c r="J1143" s="1102">
        <v>21.02</v>
      </c>
      <c r="K1143" s="1102">
        <v>0</v>
      </c>
      <c r="L1143" s="1102">
        <v>292.79999999999995</v>
      </c>
      <c r="M1143" s="1102">
        <v>0</v>
      </c>
      <c r="N1143" s="1102">
        <v>0.02</v>
      </c>
      <c r="O1143" s="1102">
        <v>29.37</v>
      </c>
      <c r="P1143" s="1102">
        <v>103.25</v>
      </c>
      <c r="Q1143" s="1102">
        <v>20.309999999999999</v>
      </c>
      <c r="R1143" s="1102">
        <v>0.09</v>
      </c>
      <c r="S1143" s="1102">
        <v>1E-3</v>
      </c>
      <c r="T1143" s="1102">
        <v>1E-3</v>
      </c>
      <c r="U1143" s="1102">
        <v>1E-3</v>
      </c>
      <c r="V1143" s="1102"/>
    </row>
    <row r="1144" spans="1:22" s="907" customFormat="1" x14ac:dyDescent="0.25">
      <c r="A1144" s="1100">
        <v>200211</v>
      </c>
      <c r="B1144" s="1107" t="str">
        <f t="shared" si="36"/>
        <v>-28,90/+27,58  (EC  28,1)</v>
      </c>
      <c r="C1144" s="1101"/>
      <c r="D1144" s="1102">
        <v>7.57</v>
      </c>
      <c r="E1144" s="1102">
        <v>2.81</v>
      </c>
      <c r="F1144" s="1104">
        <v>54.85</v>
      </c>
      <c r="G1144" s="1104">
        <v>0</v>
      </c>
      <c r="H1144" s="1102">
        <v>0.09</v>
      </c>
      <c r="I1144" s="1104">
        <v>494.96000000000004</v>
      </c>
      <c r="J1144" s="1102">
        <v>466</v>
      </c>
      <c r="K1144" s="1102">
        <v>0</v>
      </c>
      <c r="L1144" s="1102">
        <v>266</v>
      </c>
      <c r="M1144" s="1102">
        <v>0</v>
      </c>
      <c r="N1144" s="1102">
        <v>5.0599999999999996</v>
      </c>
      <c r="O1144" s="1102">
        <v>309.35000000000002</v>
      </c>
      <c r="P1144" s="1102">
        <v>154.62</v>
      </c>
      <c r="Q1144" s="1102">
        <v>75.14</v>
      </c>
      <c r="R1144" s="1102">
        <v>1E-3</v>
      </c>
      <c r="S1144" s="1102">
        <v>1E-3</v>
      </c>
      <c r="T1144" s="1102">
        <v>1E-3</v>
      </c>
      <c r="U1144" s="1102">
        <v>1E-3</v>
      </c>
      <c r="V1144" s="1102"/>
    </row>
    <row r="1145" spans="1:22" s="907" customFormat="1" x14ac:dyDescent="0.25">
      <c r="A1145" s="1100">
        <v>200212</v>
      </c>
      <c r="B1145" s="1744" t="str">
        <f t="shared" si="36"/>
        <v>-246,03/+340,91  (EC  309)</v>
      </c>
      <c r="C1145" s="1101"/>
      <c r="D1145" s="1102">
        <v>7.16</v>
      </c>
      <c r="E1145" s="1102">
        <v>30.9</v>
      </c>
      <c r="F1145" s="1104">
        <v>49.05</v>
      </c>
      <c r="G1145" s="1104">
        <v>0</v>
      </c>
      <c r="H1145" s="1102">
        <v>0.12</v>
      </c>
      <c r="I1145" s="1104">
        <v>6448.6239999999998</v>
      </c>
      <c r="J1145" s="1111">
        <v>2850</v>
      </c>
      <c r="K1145" s="1102">
        <v>0</v>
      </c>
      <c r="L1145" s="1102">
        <v>256.79999999999995</v>
      </c>
      <c r="M1145" s="1102">
        <v>0</v>
      </c>
      <c r="N1145" s="1102">
        <v>12.55</v>
      </c>
      <c r="O1145" s="1102">
        <v>4030.39</v>
      </c>
      <c r="P1145" s="1102">
        <v>1161.5</v>
      </c>
      <c r="Q1145" s="1102">
        <v>1287.25</v>
      </c>
      <c r="R1145" s="1102">
        <v>1E-3</v>
      </c>
      <c r="S1145" s="1102">
        <v>1E-3</v>
      </c>
      <c r="T1145" s="1102">
        <v>0.01</v>
      </c>
      <c r="U1145" s="1102">
        <v>0.31</v>
      </c>
      <c r="V1145" s="1102"/>
    </row>
    <row r="1146" spans="1:22" s="907" customFormat="1" x14ac:dyDescent="0.25">
      <c r="A1146" s="1100">
        <v>200213</v>
      </c>
      <c r="B1146" s="1107" t="str">
        <f t="shared" si="36"/>
        <v>-16,53/+16,96  (EC  17,5)</v>
      </c>
      <c r="C1146" s="1101"/>
      <c r="D1146" s="1102">
        <v>7.56</v>
      </c>
      <c r="E1146" s="1102">
        <v>1.75</v>
      </c>
      <c r="F1146" s="1104">
        <v>36.1</v>
      </c>
      <c r="G1146" s="1104">
        <v>0</v>
      </c>
      <c r="H1146" s="1102">
        <v>7.0000000000000007E-2</v>
      </c>
      <c r="I1146" s="1104">
        <v>266.20800000000003</v>
      </c>
      <c r="J1146" s="1102">
        <v>116.48</v>
      </c>
      <c r="K1146" s="1102">
        <v>0</v>
      </c>
      <c r="L1146" s="1102">
        <v>367.20000000000005</v>
      </c>
      <c r="M1146" s="1102">
        <v>0</v>
      </c>
      <c r="N1146" s="1102">
        <v>1.94</v>
      </c>
      <c r="O1146" s="1102">
        <v>166.38</v>
      </c>
      <c r="P1146" s="1102">
        <v>90.25</v>
      </c>
      <c r="Q1146" s="1102">
        <v>61.86</v>
      </c>
      <c r="R1146" s="1102">
        <v>0.41</v>
      </c>
      <c r="S1146" s="1102">
        <v>1E-3</v>
      </c>
      <c r="T1146" s="1102">
        <v>1E-3</v>
      </c>
      <c r="U1146" s="1102">
        <v>0.03</v>
      </c>
      <c r="V1146" s="1102"/>
    </row>
    <row r="1147" spans="1:22" s="907" customFormat="1" x14ac:dyDescent="0.25">
      <c r="A1147" s="1100">
        <v>200214</v>
      </c>
      <c r="B1147" s="1107" t="str">
        <f t="shared" si="36"/>
        <v>-9,06/+11,13  (EC  10,7)</v>
      </c>
      <c r="C1147" s="1101"/>
      <c r="D1147" s="1102">
        <v>7.48</v>
      </c>
      <c r="E1147" s="1102">
        <v>1.07</v>
      </c>
      <c r="F1147" s="1104">
        <v>28.35</v>
      </c>
      <c r="G1147" s="1104">
        <v>0</v>
      </c>
      <c r="H1147" s="1102">
        <v>0.09</v>
      </c>
      <c r="I1147" s="1104">
        <v>45.488</v>
      </c>
      <c r="J1147" s="1102">
        <v>47.6</v>
      </c>
      <c r="K1147" s="1102">
        <v>0</v>
      </c>
      <c r="L1147" s="1102">
        <v>386.40000000000003</v>
      </c>
      <c r="M1147" s="1102">
        <v>0</v>
      </c>
      <c r="N1147" s="1102">
        <v>2.15</v>
      </c>
      <c r="O1147" s="1102">
        <v>28.43</v>
      </c>
      <c r="P1147" s="1102">
        <v>92.55</v>
      </c>
      <c r="Q1147" s="1102">
        <v>62.49</v>
      </c>
      <c r="R1147" s="1102">
        <v>0.02</v>
      </c>
      <c r="S1147" s="1102">
        <v>1E-3</v>
      </c>
      <c r="T1147" s="1102">
        <v>1E-3</v>
      </c>
      <c r="U1147" s="1102">
        <v>1E-3</v>
      </c>
      <c r="V1147" s="1102"/>
    </row>
    <row r="1148" spans="1:22" s="907" customFormat="1" x14ac:dyDescent="0.25">
      <c r="A1148" s="1100">
        <v>200215</v>
      </c>
      <c r="B1148" s="1745" t="str">
        <f t="shared" si="36"/>
        <v>-30,93/+30,36  (EC  29)</v>
      </c>
      <c r="C1148" s="1101"/>
      <c r="D1148" s="1102">
        <v>7.65</v>
      </c>
      <c r="E1148" s="1102">
        <v>2.9</v>
      </c>
      <c r="F1148" s="1104">
        <v>20.03</v>
      </c>
      <c r="G1148" s="1104">
        <v>0</v>
      </c>
      <c r="H1148" s="1102">
        <v>0.08</v>
      </c>
      <c r="I1148" s="1104">
        <v>190.78399999999999</v>
      </c>
      <c r="J1148" s="1102">
        <v>1060</v>
      </c>
      <c r="K1148" s="1102">
        <v>0</v>
      </c>
      <c r="L1148" s="1102">
        <v>192</v>
      </c>
      <c r="M1148" s="1102">
        <v>0</v>
      </c>
      <c r="N1148" s="1102">
        <v>6.97</v>
      </c>
      <c r="O1148" s="1102">
        <v>119.24</v>
      </c>
      <c r="P1148" s="1111">
        <v>296</v>
      </c>
      <c r="Q1148" s="1111">
        <v>122.28</v>
      </c>
      <c r="R1148" s="1102">
        <v>0.04</v>
      </c>
      <c r="S1148" s="1102">
        <v>1E-3</v>
      </c>
      <c r="T1148" s="1102">
        <v>1E-3</v>
      </c>
      <c r="U1148" s="1102">
        <v>1E-3</v>
      </c>
      <c r="V1148" s="1102"/>
    </row>
    <row r="1149" spans="1:22" s="907" customFormat="1" x14ac:dyDescent="0.25">
      <c r="A1149" s="1100">
        <v>200216</v>
      </c>
      <c r="B1149" s="1745" t="str">
        <f t="shared" si="36"/>
        <v>-132,32/+133,37  (EC  132,6)</v>
      </c>
      <c r="C1149" s="1101"/>
      <c r="D1149" s="1102">
        <v>7.38</v>
      </c>
      <c r="E1149" s="1102">
        <v>13.26</v>
      </c>
      <c r="F1149" s="1104">
        <v>4.05</v>
      </c>
      <c r="G1149" s="1104">
        <v>0</v>
      </c>
      <c r="H1149" s="1102">
        <v>0.09</v>
      </c>
      <c r="I1149" s="1104">
        <v>3479.2160000000003</v>
      </c>
      <c r="J1149" s="1102">
        <v>1606.25</v>
      </c>
      <c r="K1149" s="1102">
        <v>0</v>
      </c>
      <c r="L1149" s="1102">
        <v>48</v>
      </c>
      <c r="M1149" s="1102">
        <v>0</v>
      </c>
      <c r="N1149" s="1102">
        <v>15.66</v>
      </c>
      <c r="O1149" s="1102">
        <v>2174.5100000000002</v>
      </c>
      <c r="P1149" s="1102">
        <v>627.71</v>
      </c>
      <c r="Q1149" s="1102">
        <v>84.41</v>
      </c>
      <c r="R1149" s="1102">
        <v>1E-3</v>
      </c>
      <c r="S1149" s="1102">
        <v>1E-3</v>
      </c>
      <c r="T1149" s="1102">
        <v>0.41</v>
      </c>
      <c r="U1149" s="1102">
        <v>0.28000000000000003</v>
      </c>
      <c r="V1149" s="1102"/>
    </row>
    <row r="1150" spans="1:22" s="907" customFormat="1" x14ac:dyDescent="0.25">
      <c r="A1150" s="1100">
        <v>200217</v>
      </c>
      <c r="B1150" s="1744" t="str">
        <f t="shared" si="36"/>
        <v>-286,94/+266,61  (EC  261,9)</v>
      </c>
      <c r="C1150" s="1101"/>
      <c r="D1150" s="1102">
        <v>7.6</v>
      </c>
      <c r="E1150" s="1102">
        <v>26.19</v>
      </c>
      <c r="F1150" s="1104">
        <v>3.05</v>
      </c>
      <c r="G1150" s="1104">
        <v>0</v>
      </c>
      <c r="H1150" s="1102">
        <v>0.08</v>
      </c>
      <c r="I1150" s="1104">
        <v>9007.503999999999</v>
      </c>
      <c r="J1150" s="1102">
        <v>1550.23</v>
      </c>
      <c r="K1150" s="1102">
        <v>0</v>
      </c>
      <c r="L1150" s="1102">
        <v>52.800000000000004</v>
      </c>
      <c r="M1150" s="1102">
        <v>0</v>
      </c>
      <c r="N1150" s="1102">
        <v>17.079999999999998</v>
      </c>
      <c r="O1150" s="1102">
        <v>5629.69</v>
      </c>
      <c r="P1150" s="1102">
        <v>353.37</v>
      </c>
      <c r="Q1150" s="1102">
        <v>44.8</v>
      </c>
      <c r="R1150" s="1102">
        <v>0.01</v>
      </c>
      <c r="S1150" s="1102">
        <v>1E-3</v>
      </c>
      <c r="T1150" s="1102">
        <v>0.17</v>
      </c>
      <c r="U1150" s="1102">
        <v>0.16</v>
      </c>
      <c r="V1150" s="1102"/>
    </row>
    <row r="1151" spans="1:22" s="907" customFormat="1" x14ac:dyDescent="0.25">
      <c r="A1151" s="1100">
        <v>200218</v>
      </c>
      <c r="B1151" s="1745" t="str">
        <f t="shared" si="36"/>
        <v>-46,69/+46,94  (EC  45,5)</v>
      </c>
      <c r="C1151" s="1101"/>
      <c r="D1151" s="1102">
        <v>7.61</v>
      </c>
      <c r="E1151" s="1102">
        <v>4.55</v>
      </c>
      <c r="F1151" s="1104">
        <v>6.61</v>
      </c>
      <c r="G1151" s="1104">
        <v>0</v>
      </c>
      <c r="H1151" s="1102">
        <v>0.05</v>
      </c>
      <c r="I1151" s="1104">
        <v>733.7600000000001</v>
      </c>
      <c r="J1151" s="1102">
        <v>1204.2</v>
      </c>
      <c r="K1151" s="1102">
        <v>0</v>
      </c>
      <c r="L1151" s="1102">
        <v>50.400000000000006</v>
      </c>
      <c r="M1151" s="1102">
        <v>0</v>
      </c>
      <c r="N1151" s="1102">
        <v>9.99</v>
      </c>
      <c r="O1151" s="1102">
        <v>458.6</v>
      </c>
      <c r="P1151" s="1111">
        <v>400.2</v>
      </c>
      <c r="Q1151" s="1102">
        <v>80.819999999999993</v>
      </c>
      <c r="R1151" s="1102">
        <v>0.02</v>
      </c>
      <c r="S1151" s="1102">
        <v>1E-3</v>
      </c>
      <c r="T1151" s="1102">
        <v>0.01</v>
      </c>
      <c r="U1151" s="1102">
        <v>0.02</v>
      </c>
      <c r="V1151" s="1102"/>
    </row>
    <row r="1152" spans="1:22" s="907" customFormat="1" hidden="1" x14ac:dyDescent="0.25">
      <c r="A1152" s="1100">
        <v>1</v>
      </c>
      <c r="B1152" s="1745" t="str">
        <f t="shared" si="36"/>
        <v>-2,75/+2,81  (EC  2,68)</v>
      </c>
      <c r="C1152" s="1101"/>
      <c r="D1152" s="1102">
        <v>8.42</v>
      </c>
      <c r="E1152" s="1102">
        <v>0.26800000000000002</v>
      </c>
      <c r="F1152" s="1104">
        <v>1.2</v>
      </c>
      <c r="G1152" s="1102">
        <v>0</v>
      </c>
      <c r="H1152" s="1102">
        <v>0.09</v>
      </c>
      <c r="I1152" s="1104">
        <f>O1152*1.6</f>
        <v>19.008000000000003</v>
      </c>
      <c r="J1152" s="1102">
        <v>22.81</v>
      </c>
      <c r="K1152" s="1102">
        <v>0</v>
      </c>
      <c r="L1152" s="1102">
        <v>105</v>
      </c>
      <c r="M1152" s="1102">
        <v>0</v>
      </c>
      <c r="N1152" s="1102">
        <v>1.02</v>
      </c>
      <c r="O1152" s="1102">
        <v>11.88</v>
      </c>
      <c r="P1152" s="1102">
        <v>23.4</v>
      </c>
      <c r="Q1152" s="1102">
        <v>13.13</v>
      </c>
      <c r="R1152" s="1102">
        <v>0</v>
      </c>
      <c r="S1152" s="1102">
        <v>0</v>
      </c>
      <c r="T1152" s="1102">
        <v>0</v>
      </c>
      <c r="U1152" s="1102">
        <v>0</v>
      </c>
      <c r="V1152" s="1102">
        <v>0</v>
      </c>
    </row>
    <row r="1153" spans="1:22" s="907" customFormat="1" hidden="1" x14ac:dyDescent="0.25">
      <c r="A1153" s="1100">
        <v>2</v>
      </c>
      <c r="B1153" s="1745" t="str">
        <f t="shared" si="36"/>
        <v>-7,48/+7,66  (EC  6,33)</v>
      </c>
      <c r="C1153" s="1101"/>
      <c r="D1153" s="1102">
        <v>7.14</v>
      </c>
      <c r="E1153" s="1102">
        <v>0.63300000000000001</v>
      </c>
      <c r="F1153" s="1104">
        <v>8.84</v>
      </c>
      <c r="G1153" s="1102">
        <v>0</v>
      </c>
      <c r="H1153" s="1102">
        <v>0.08</v>
      </c>
      <c r="I1153" s="1104">
        <f>O1153*1.6</f>
        <v>5.9200000000000008</v>
      </c>
      <c r="J1153" s="1102">
        <v>13.66</v>
      </c>
      <c r="K1153" s="1102">
        <v>0</v>
      </c>
      <c r="L1153" s="1102">
        <v>420</v>
      </c>
      <c r="M1153" s="1102">
        <v>0</v>
      </c>
      <c r="N1153" s="1102">
        <v>0.43</v>
      </c>
      <c r="O1153" s="1102">
        <v>3.7</v>
      </c>
      <c r="P1153" s="1102">
        <v>86.49</v>
      </c>
      <c r="Q1153" s="1102">
        <v>37.9</v>
      </c>
      <c r="R1153" s="1102">
        <v>0</v>
      </c>
      <c r="S1153" s="1102">
        <v>0</v>
      </c>
      <c r="T1153" s="1102">
        <v>0</v>
      </c>
      <c r="U1153" s="1102">
        <v>0</v>
      </c>
      <c r="V1153" s="1102">
        <v>0</v>
      </c>
    </row>
    <row r="1154" spans="1:22" s="907" customFormat="1" x14ac:dyDescent="0.25">
      <c r="A1154" s="1100">
        <v>200219</v>
      </c>
      <c r="B1154" s="1745" t="str">
        <f t="shared" si="36"/>
        <v>-6,37/+6,04  (EC  5,89)</v>
      </c>
      <c r="C1154" s="1101"/>
      <c r="D1154" s="1102">
        <v>7.63</v>
      </c>
      <c r="E1154" s="1102">
        <v>0.58899999999999997</v>
      </c>
      <c r="F1154" s="1104">
        <v>70.75</v>
      </c>
      <c r="G1154" s="1102">
        <v>0</v>
      </c>
      <c r="H1154" s="1102">
        <v>7.0000000000000007E-2</v>
      </c>
      <c r="I1154" s="1104">
        <v>27.104000000000003</v>
      </c>
      <c r="J1154" s="1102">
        <v>19.77</v>
      </c>
      <c r="K1154" s="1102">
        <v>0</v>
      </c>
      <c r="L1154" s="1102">
        <v>247.2</v>
      </c>
      <c r="M1154" s="1102">
        <v>0</v>
      </c>
      <c r="N1154" s="1102">
        <v>0.82</v>
      </c>
      <c r="O1154" s="1102">
        <v>16.940000000000001</v>
      </c>
      <c r="P1154" s="1102">
        <v>82.94</v>
      </c>
      <c r="Q1154" s="1102">
        <v>13.55</v>
      </c>
      <c r="R1154" s="1102">
        <v>1E-3</v>
      </c>
      <c r="S1154" s="1102">
        <v>1E-3</v>
      </c>
      <c r="T1154" s="1102">
        <v>0.01</v>
      </c>
      <c r="U1154" s="1102">
        <v>0.02</v>
      </c>
      <c r="V1154" s="1102">
        <v>0.02</v>
      </c>
    </row>
    <row r="1155" spans="1:22" s="907" customFormat="1" x14ac:dyDescent="0.25">
      <c r="A1155" s="1100">
        <v>200220</v>
      </c>
      <c r="B1155" s="1745" t="str">
        <f t="shared" si="36"/>
        <v>-55,21/+55,98  (EC  56,3)</v>
      </c>
      <c r="C1155" s="1101"/>
      <c r="D1155" s="1102">
        <v>7.09</v>
      </c>
      <c r="E1155" s="1102">
        <v>5.63</v>
      </c>
      <c r="F1155" s="1104">
        <v>24.84</v>
      </c>
      <c r="G1155" s="1102">
        <v>0</v>
      </c>
      <c r="H1155" s="1102">
        <v>0.11</v>
      </c>
      <c r="I1155" s="1104">
        <v>1180</v>
      </c>
      <c r="J1155" s="1102">
        <v>720</v>
      </c>
      <c r="K1155" s="1102">
        <v>0</v>
      </c>
      <c r="L1155" s="1102">
        <v>401</v>
      </c>
      <c r="M1155" s="1102">
        <v>0</v>
      </c>
      <c r="N1155" s="1102">
        <v>15.23</v>
      </c>
      <c r="O1155" s="1102">
        <v>620.34</v>
      </c>
      <c r="P1155" s="1102">
        <v>263.89</v>
      </c>
      <c r="Q1155" s="1102">
        <v>184.98</v>
      </c>
      <c r="R1155" s="1102">
        <v>1E-3</v>
      </c>
      <c r="S1155" s="1102">
        <v>1E-3</v>
      </c>
      <c r="T1155" s="1102">
        <v>1E-3</v>
      </c>
      <c r="U1155" s="1102">
        <v>0.01</v>
      </c>
      <c r="V1155" s="1102">
        <v>0.3</v>
      </c>
    </row>
    <row r="1156" spans="1:22" s="907" customFormat="1" x14ac:dyDescent="0.25">
      <c r="A1156" s="1100">
        <v>200221</v>
      </c>
      <c r="B1156" s="1745" t="str">
        <f t="shared" si="36"/>
        <v>-43,44/+45,16  (EC  44,8)</v>
      </c>
      <c r="C1156" s="1101"/>
      <c r="D1156" s="1102">
        <v>7.11</v>
      </c>
      <c r="E1156" s="1111">
        <v>4.4800000000000004</v>
      </c>
      <c r="F1156" s="1104">
        <v>84.17</v>
      </c>
      <c r="G1156" s="1102">
        <v>0</v>
      </c>
      <c r="H1156" s="1102">
        <v>0.12</v>
      </c>
      <c r="I1156" s="1104">
        <v>751.3</v>
      </c>
      <c r="J1156" s="1102">
        <v>698.2</v>
      </c>
      <c r="K1156" s="1102">
        <v>0</v>
      </c>
      <c r="L1156" s="1102">
        <v>388.8</v>
      </c>
      <c r="M1156" s="1102">
        <v>0</v>
      </c>
      <c r="N1156" s="1102">
        <v>2.89</v>
      </c>
      <c r="O1156" s="1102">
        <v>405.31</v>
      </c>
      <c r="P1156" s="1102">
        <v>248.33</v>
      </c>
      <c r="Q1156" s="1102">
        <v>180.46</v>
      </c>
      <c r="R1156" s="1102">
        <v>12.91</v>
      </c>
      <c r="S1156" s="1102">
        <v>1E-3</v>
      </c>
      <c r="T1156" s="1102">
        <v>0.02</v>
      </c>
      <c r="U1156" s="1102">
        <v>1E-3</v>
      </c>
      <c r="V1156" s="1102">
        <v>0.19</v>
      </c>
    </row>
    <row r="1157" spans="1:22" s="907" customFormat="1" x14ac:dyDescent="0.25">
      <c r="A1157" s="1100">
        <v>200222</v>
      </c>
      <c r="B1157" s="1745" t="str">
        <f t="shared" si="36"/>
        <v>-16,60/+15,76  (EC  16,9)</v>
      </c>
      <c r="C1157" s="1101"/>
      <c r="D1157" s="1102">
        <v>5.5</v>
      </c>
      <c r="E1157" s="1102">
        <v>1.69</v>
      </c>
      <c r="F1157" s="1104">
        <v>820</v>
      </c>
      <c r="G1157" s="1102">
        <v>0</v>
      </c>
      <c r="H1157" s="1102">
        <v>0.19</v>
      </c>
      <c r="I1157" s="1104">
        <v>71.311999999999998</v>
      </c>
      <c r="J1157" s="1102">
        <v>33.119999999999997</v>
      </c>
      <c r="K1157" s="1104">
        <f>0.05*3.06</f>
        <v>0.15300000000000002</v>
      </c>
      <c r="L1157" s="1102">
        <v>40.799999999999997</v>
      </c>
      <c r="M1157" s="1102">
        <v>0</v>
      </c>
      <c r="N1157" s="1102">
        <v>2.5499999999999998</v>
      </c>
      <c r="O1157" s="1102">
        <v>44.57</v>
      </c>
      <c r="P1157" s="1102">
        <v>182.88</v>
      </c>
      <c r="Q1157" s="1102">
        <v>55.17</v>
      </c>
      <c r="R1157" s="1102">
        <v>1E-3</v>
      </c>
      <c r="S1157" s="1102">
        <v>1E-3</v>
      </c>
      <c r="T1157" s="1102">
        <v>0.01</v>
      </c>
      <c r="U1157" s="1102">
        <v>1E-3</v>
      </c>
      <c r="V1157" s="1102">
        <v>0.04</v>
      </c>
    </row>
    <row r="1158" spans="1:22" s="907" customFormat="1" x14ac:dyDescent="0.25">
      <c r="A1158" s="1100">
        <v>200223</v>
      </c>
      <c r="B1158" s="1745" t="str">
        <f t="shared" si="36"/>
        <v>-18,77/+16,16  (EC  17,8)</v>
      </c>
      <c r="C1158" s="1101"/>
      <c r="D1158" s="1102">
        <v>6.71</v>
      </c>
      <c r="E1158" s="1102">
        <v>1.78</v>
      </c>
      <c r="F1158" s="1104">
        <v>716.5</v>
      </c>
      <c r="G1158" s="1102">
        <v>0</v>
      </c>
      <c r="H1158" s="1102">
        <v>0.18</v>
      </c>
      <c r="I1158" s="1104">
        <v>69.00800000000001</v>
      </c>
      <c r="J1158" s="1102">
        <v>35.450000000000003</v>
      </c>
      <c r="K1158" s="1104">
        <f>5.15*3.06</f>
        <v>15.759000000000002</v>
      </c>
      <c r="L1158" s="1102">
        <v>266.39999999999998</v>
      </c>
      <c r="M1158" s="1102">
        <v>0</v>
      </c>
      <c r="N1158" s="1102">
        <v>94.78</v>
      </c>
      <c r="O1158" s="1102">
        <v>43.13</v>
      </c>
      <c r="P1158" s="1102">
        <v>149.13</v>
      </c>
      <c r="Q1158" s="1102">
        <v>52.68</v>
      </c>
      <c r="R1158" s="1102">
        <v>0.08</v>
      </c>
      <c r="S1158" s="1102">
        <v>0.03</v>
      </c>
      <c r="T1158" s="1102">
        <v>0.02</v>
      </c>
      <c r="U1158" s="1102">
        <v>0.04</v>
      </c>
      <c r="V1158" s="1102">
        <v>0.08</v>
      </c>
    </row>
    <row r="1159" spans="1:22" s="907" customFormat="1" x14ac:dyDescent="0.25">
      <c r="A1159" s="1100">
        <v>200224</v>
      </c>
      <c r="B1159" s="1745" t="str">
        <f t="shared" si="36"/>
        <v>-12,71/+12,16  (EC  11,7)</v>
      </c>
      <c r="C1159" s="1101"/>
      <c r="D1159" s="1102">
        <v>6.95</v>
      </c>
      <c r="E1159" s="1102">
        <v>1.17</v>
      </c>
      <c r="F1159" s="1739">
        <v>361.2</v>
      </c>
      <c r="G1159" s="1102">
        <v>0</v>
      </c>
      <c r="H1159" s="1102">
        <v>0.12</v>
      </c>
      <c r="I1159" s="1104">
        <v>58.2</v>
      </c>
      <c r="J1159" s="1102">
        <v>30.31</v>
      </c>
      <c r="K1159" s="1104">
        <f>0.85*3.06</f>
        <v>2.601</v>
      </c>
      <c r="L1159" s="1102">
        <v>280</v>
      </c>
      <c r="M1159" s="1102">
        <v>0</v>
      </c>
      <c r="N1159" s="1102">
        <v>14.49</v>
      </c>
      <c r="O1159" s="1102">
        <v>38.299999999999997</v>
      </c>
      <c r="P1159" s="1102">
        <v>108.2</v>
      </c>
      <c r="Q1159" s="1102">
        <v>56.42</v>
      </c>
      <c r="R1159" s="1102">
        <v>1E-3</v>
      </c>
      <c r="S1159" s="1102">
        <v>1E-3</v>
      </c>
      <c r="T1159" s="1102">
        <v>1E-3</v>
      </c>
      <c r="U1159" s="1102">
        <v>0.02</v>
      </c>
      <c r="V1159" s="1102">
        <v>0.05</v>
      </c>
    </row>
    <row r="1160" spans="1:22" s="907" customFormat="1" x14ac:dyDescent="0.25">
      <c r="A1160" s="1100">
        <v>200225</v>
      </c>
      <c r="B1160" s="1745" t="str">
        <f t="shared" si="36"/>
        <v>-88,48/+87,20  (EC  88,3)</v>
      </c>
      <c r="C1160" s="1101"/>
      <c r="D1160" s="1102">
        <v>7.22</v>
      </c>
      <c r="E1160" s="1102">
        <v>8.83</v>
      </c>
      <c r="F1160" s="1104">
        <v>88.2</v>
      </c>
      <c r="G1160" s="1102">
        <v>0</v>
      </c>
      <c r="H1160" s="1102">
        <v>0.11</v>
      </c>
      <c r="I1160" s="1104">
        <v>2320</v>
      </c>
      <c r="J1160" s="1102">
        <v>749.3</v>
      </c>
      <c r="K1160" s="1104">
        <f>0.02*3.06</f>
        <v>6.1200000000000004E-2</v>
      </c>
      <c r="L1160" s="1102">
        <v>372</v>
      </c>
      <c r="M1160" s="1102">
        <v>0</v>
      </c>
      <c r="N1160" s="1102">
        <v>19.22</v>
      </c>
      <c r="O1160" s="1111">
        <v>1270.5</v>
      </c>
      <c r="P1160" s="1102">
        <v>254.54</v>
      </c>
      <c r="Q1160" s="1102">
        <v>224.82</v>
      </c>
      <c r="R1160" s="1102">
        <v>7.0000000000000007E-2</v>
      </c>
      <c r="S1160" s="1102">
        <v>1E-3</v>
      </c>
      <c r="T1160" s="1102">
        <v>1E-3</v>
      </c>
      <c r="U1160" s="1102">
        <v>1E-3</v>
      </c>
      <c r="V1160" s="1102">
        <v>1.39</v>
      </c>
    </row>
    <row r="1161" spans="1:22" s="907" customFormat="1" x14ac:dyDescent="0.25">
      <c r="A1161" s="1100">
        <v>200226</v>
      </c>
      <c r="B1161" s="1745" t="str">
        <f t="shared" si="36"/>
        <v>-11,26/+13,34  (EC  12,1)</v>
      </c>
      <c r="C1161" s="1101"/>
      <c r="D1161" s="1102">
        <v>7.68</v>
      </c>
      <c r="E1161" s="1111">
        <v>1.21</v>
      </c>
      <c r="F1161" s="1104">
        <v>4.4000000000000004</v>
      </c>
      <c r="G1161" s="1102">
        <v>0</v>
      </c>
      <c r="H1161" s="1102">
        <v>0.06</v>
      </c>
      <c r="I1161" s="1104">
        <v>140.1</v>
      </c>
      <c r="J1161" s="1102">
        <v>16.989999999999998</v>
      </c>
      <c r="K1161" s="1104">
        <f>0.01*3.06</f>
        <v>3.0600000000000002E-2</v>
      </c>
      <c r="L1161" s="1102">
        <v>420</v>
      </c>
      <c r="M1161" s="1102">
        <v>0</v>
      </c>
      <c r="N1161" s="1102">
        <v>1.33</v>
      </c>
      <c r="O1161" s="1102">
        <v>82.57</v>
      </c>
      <c r="P1161" s="1102">
        <v>116.27</v>
      </c>
      <c r="Q1161" s="1102">
        <v>46.73</v>
      </c>
      <c r="R1161" s="1102">
        <v>0.03</v>
      </c>
      <c r="S1161" s="1102">
        <v>1E-3</v>
      </c>
      <c r="T1161" s="1102">
        <v>1E-3</v>
      </c>
      <c r="U1161" s="1102">
        <v>1E-3</v>
      </c>
      <c r="V1161" s="1102">
        <v>7.0000000000000007E-2</v>
      </c>
    </row>
    <row r="1162" spans="1:22" s="907" customFormat="1" x14ac:dyDescent="0.25">
      <c r="A1162" s="1100">
        <v>200227</v>
      </c>
      <c r="B1162" s="1745" t="str">
        <f>"-"&amp;TEXT((F1162/62+G1162/46+I1162/35.5+J1162/48+K1162/97+L1162/61),"0,00")&amp;"/+"&amp;TEXT((N1162/39+O1162/23+P1162/20+Q1162/12+H1162/14),"0,00")&amp;"  (EC  "&amp;E1162*10&amp;")"</f>
        <v>-67,82/+71,03  (EC  68)</v>
      </c>
      <c r="C1162" s="1101"/>
      <c r="D1162" s="1102">
        <v>7.51</v>
      </c>
      <c r="E1162" s="1111">
        <v>6.8</v>
      </c>
      <c r="F1162" s="1104">
        <v>39.630000000000003</v>
      </c>
      <c r="G1162" s="1102">
        <v>0</v>
      </c>
      <c r="H1162" s="1102">
        <v>0.06</v>
      </c>
      <c r="I1162" s="1104">
        <v>690.3</v>
      </c>
      <c r="J1162" s="1102">
        <v>2102</v>
      </c>
      <c r="K1162" s="1102">
        <v>0</v>
      </c>
      <c r="L1162" s="1102">
        <v>240.3</v>
      </c>
      <c r="M1162" s="1102">
        <v>0</v>
      </c>
      <c r="N1162" s="1102">
        <v>9.3800000000000008</v>
      </c>
      <c r="O1162" s="1111">
        <v>621.20000000000005</v>
      </c>
      <c r="P1162" s="1111">
        <v>510</v>
      </c>
      <c r="Q1162" s="1102">
        <v>219.31</v>
      </c>
      <c r="R1162" s="1102">
        <v>0.02</v>
      </c>
      <c r="S1162" s="1102">
        <v>1E-3</v>
      </c>
      <c r="T1162" s="1102">
        <v>1E-3</v>
      </c>
      <c r="U1162" s="1102">
        <v>1E-3</v>
      </c>
      <c r="V1162" s="1102">
        <v>0.45</v>
      </c>
    </row>
    <row r="1163" spans="1:22" s="907" customFormat="1" x14ac:dyDescent="0.25">
      <c r="A1163" s="1100">
        <v>200228</v>
      </c>
      <c r="B1163" s="1745" t="str">
        <f t="shared" si="36"/>
        <v>-63,35/+61,06  (EC  60,3)</v>
      </c>
      <c r="C1163" s="1101"/>
      <c r="D1163" s="1102">
        <v>6.95</v>
      </c>
      <c r="E1163" s="1111">
        <v>6.03</v>
      </c>
      <c r="F1163" s="1104">
        <v>0.23</v>
      </c>
      <c r="G1163" s="1102">
        <v>0</v>
      </c>
      <c r="H1163" s="1102">
        <v>0.04</v>
      </c>
      <c r="I1163" s="1104">
        <v>240.3</v>
      </c>
      <c r="J1163" s="1102">
        <v>722.4</v>
      </c>
      <c r="K1163" s="1102">
        <v>0</v>
      </c>
      <c r="L1163" s="1102">
        <v>2533.1</v>
      </c>
      <c r="M1163" s="1102">
        <v>0</v>
      </c>
      <c r="N1163" s="1102">
        <v>31.07</v>
      </c>
      <c r="O1163" s="1111">
        <v>729.03</v>
      </c>
      <c r="P1163" s="1111">
        <v>227.4</v>
      </c>
      <c r="Q1163" s="1111">
        <v>206.3</v>
      </c>
      <c r="R1163" s="1102">
        <v>1E-3</v>
      </c>
      <c r="S1163" s="1102">
        <v>1E-3</v>
      </c>
      <c r="T1163" s="1102">
        <v>0.13</v>
      </c>
      <c r="U1163" s="1102">
        <v>0.75</v>
      </c>
      <c r="V1163" s="1102">
        <v>0.38</v>
      </c>
    </row>
    <row r="1164" spans="1:22" s="907" customFormat="1" x14ac:dyDescent="0.25">
      <c r="A1164" s="1100">
        <v>200229</v>
      </c>
      <c r="B1164" s="1745" t="str">
        <f t="shared" si="36"/>
        <v>-90,83/+90,61  (EC  91,9)</v>
      </c>
      <c r="C1164" s="1101"/>
      <c r="D1164" s="1102">
        <v>7.83</v>
      </c>
      <c r="E1164" s="1102">
        <v>9.19</v>
      </c>
      <c r="F1164" s="1104">
        <v>1.96</v>
      </c>
      <c r="G1164" s="1102">
        <v>0</v>
      </c>
      <c r="H1164" s="1102">
        <v>0.05</v>
      </c>
      <c r="I1164" s="1104">
        <v>2020.2</v>
      </c>
      <c r="J1164" s="1102">
        <v>1249.3</v>
      </c>
      <c r="K1164" s="1102">
        <v>0</v>
      </c>
      <c r="L1164" s="1102">
        <v>480</v>
      </c>
      <c r="M1164" s="1102">
        <v>0</v>
      </c>
      <c r="N1164" s="1102">
        <v>32.590000000000003</v>
      </c>
      <c r="O1164" s="1102">
        <v>1226.1099999999999</v>
      </c>
      <c r="P1164" s="1102">
        <v>333.87</v>
      </c>
      <c r="Q1164" s="1111">
        <v>237.2</v>
      </c>
      <c r="R1164" s="1102">
        <v>0.08</v>
      </c>
      <c r="S1164" s="1102">
        <v>1E-3</v>
      </c>
      <c r="T1164" s="1102">
        <v>1E-3</v>
      </c>
      <c r="U1164" s="1102">
        <v>0.04</v>
      </c>
      <c r="V1164" s="1102">
        <v>0.32</v>
      </c>
    </row>
    <row r="1165" spans="1:22" s="907" customFormat="1" x14ac:dyDescent="0.25">
      <c r="A1165" s="1100">
        <v>200230</v>
      </c>
      <c r="B1165" s="1745" t="str">
        <f t="shared" si="36"/>
        <v>-50,74/+53,07  (EC  52,5)</v>
      </c>
      <c r="C1165" s="1101"/>
      <c r="D1165" s="1102">
        <v>7.68</v>
      </c>
      <c r="E1165" s="1102">
        <v>5.25</v>
      </c>
      <c r="F1165" s="1104">
        <v>73.42</v>
      </c>
      <c r="G1165" s="1102">
        <v>0</v>
      </c>
      <c r="H1165" s="1102">
        <v>0.09</v>
      </c>
      <c r="I1165" s="1104">
        <v>680.2</v>
      </c>
      <c r="J1165" s="1102">
        <v>1128.5</v>
      </c>
      <c r="K1165" s="1102">
        <v>0</v>
      </c>
      <c r="L1165" s="1102">
        <v>420.2</v>
      </c>
      <c r="M1165" s="1102">
        <v>0</v>
      </c>
      <c r="N1165" s="1102">
        <v>5.71</v>
      </c>
      <c r="O1165" s="1111">
        <v>320.2</v>
      </c>
      <c r="P1165" s="1111">
        <v>514.20000000000005</v>
      </c>
      <c r="Q1165" s="1111">
        <v>159.4</v>
      </c>
      <c r="R1165" s="1102">
        <v>0.02</v>
      </c>
      <c r="S1165" s="1102">
        <v>1E-3</v>
      </c>
      <c r="T1165" s="1102">
        <v>1E-3</v>
      </c>
      <c r="U1165" s="1102">
        <v>1E-3</v>
      </c>
      <c r="V1165" s="1102">
        <v>0.41</v>
      </c>
    </row>
    <row r="1166" spans="1:22" s="907" customFormat="1" x14ac:dyDescent="0.25">
      <c r="A1166" s="1100">
        <v>200231</v>
      </c>
      <c r="B1166" s="1745" t="str">
        <f t="shared" si="36"/>
        <v>-51,12/+53,79  (EC  52)</v>
      </c>
      <c r="C1166" s="1101"/>
      <c r="D1166" s="1102">
        <v>7.51</v>
      </c>
      <c r="E1166" s="1102">
        <v>5.2</v>
      </c>
      <c r="F1166" s="1104">
        <v>75.760000000000005</v>
      </c>
      <c r="G1166" s="1102">
        <v>0</v>
      </c>
      <c r="H1166" s="1102">
        <v>0.1</v>
      </c>
      <c r="I1166" s="1104">
        <v>650.20000000000005</v>
      </c>
      <c r="J1166" s="1102">
        <v>1174.2</v>
      </c>
      <c r="K1166" s="1102">
        <v>0.12</v>
      </c>
      <c r="L1166" s="1102">
        <v>434.2</v>
      </c>
      <c r="M1166" s="1102">
        <v>0</v>
      </c>
      <c r="N1166" s="1102">
        <v>6.88</v>
      </c>
      <c r="O1166" s="1111">
        <v>325.2</v>
      </c>
      <c r="P1166" s="1111">
        <v>522.20000000000005</v>
      </c>
      <c r="Q1166" s="1111">
        <v>160.30000000000001</v>
      </c>
      <c r="R1166" s="1102">
        <v>0.06</v>
      </c>
      <c r="S1166" s="1102">
        <v>1E-3</v>
      </c>
      <c r="T1166" s="1102">
        <v>1E-3</v>
      </c>
      <c r="U1166" s="1102">
        <v>1E-3</v>
      </c>
      <c r="V1166" s="1102">
        <v>0.43</v>
      </c>
    </row>
    <row r="1167" spans="1:22" s="907" customFormat="1" x14ac:dyDescent="0.25">
      <c r="A1167" s="1100">
        <v>200232</v>
      </c>
      <c r="B1167" s="1745" t="str">
        <f t="shared" si="36"/>
        <v>-7,65/+8,90  (EC  7,75)</v>
      </c>
      <c r="C1167" s="1101"/>
      <c r="D1167" s="1102">
        <v>7.94</v>
      </c>
      <c r="E1167" s="1102">
        <v>0.77500000000000002</v>
      </c>
      <c r="F1167" s="1104">
        <v>27.75</v>
      </c>
      <c r="G1167" s="1102">
        <v>0</v>
      </c>
      <c r="H1167" s="1102">
        <v>0.06</v>
      </c>
      <c r="I1167" s="1104">
        <v>60.2</v>
      </c>
      <c r="J1167" s="1102">
        <v>33.869999999999997</v>
      </c>
      <c r="K1167" s="1102">
        <v>0.06</v>
      </c>
      <c r="L1167" s="1102">
        <v>293</v>
      </c>
      <c r="M1167" s="1102">
        <v>0</v>
      </c>
      <c r="N1167" s="1102">
        <v>1.99</v>
      </c>
      <c r="O1167" s="1102">
        <v>33.770000000000003</v>
      </c>
      <c r="P1167" s="1102">
        <v>75.069999999999993</v>
      </c>
      <c r="Q1167" s="1102">
        <v>43.53</v>
      </c>
      <c r="R1167" s="1102">
        <v>0.32</v>
      </c>
      <c r="S1167" s="1102">
        <v>1E-3</v>
      </c>
      <c r="T1167" s="1102">
        <v>1E-3</v>
      </c>
      <c r="U1167" s="1102">
        <v>0.01</v>
      </c>
      <c r="V1167" s="1102">
        <v>0.03</v>
      </c>
    </row>
    <row r="1168" spans="1:22" s="907" customFormat="1" x14ac:dyDescent="0.25">
      <c r="A1168" s="1100">
        <v>200233</v>
      </c>
      <c r="B1168" s="1745" t="str">
        <f t="shared" si="36"/>
        <v>-13,89/+14,54  (EC  14,25)</v>
      </c>
      <c r="C1168" s="1101"/>
      <c r="D1168" s="1102">
        <v>7.66</v>
      </c>
      <c r="E1168" s="1102">
        <v>1.425</v>
      </c>
      <c r="F1168" s="1104">
        <v>60.78</v>
      </c>
      <c r="G1168" s="1102">
        <v>0</v>
      </c>
      <c r="H1168" s="1102">
        <v>0.11</v>
      </c>
      <c r="I1168" s="1104">
        <v>172.83199999999999</v>
      </c>
      <c r="J1168" s="1102">
        <v>87.5</v>
      </c>
      <c r="K1168" s="1102">
        <v>0</v>
      </c>
      <c r="L1168" s="1102">
        <v>379.20000000000005</v>
      </c>
      <c r="M1168" s="1102">
        <v>0</v>
      </c>
      <c r="N1168" s="1102">
        <v>2.56</v>
      </c>
      <c r="O1168" s="1102">
        <v>108.02</v>
      </c>
      <c r="P1168" s="1102">
        <v>87.93</v>
      </c>
      <c r="Q1168" s="1102">
        <v>64.5</v>
      </c>
      <c r="R1168" s="1102">
        <v>1E-3</v>
      </c>
      <c r="S1168" s="1102">
        <v>1E-3</v>
      </c>
      <c r="T1168" s="1102">
        <v>1E-3</v>
      </c>
      <c r="U1168" s="1102">
        <v>1E-3</v>
      </c>
      <c r="V1168" s="1102">
        <v>0.1</v>
      </c>
    </row>
    <row r="1169" spans="1:22" s="907" customFormat="1" x14ac:dyDescent="0.25">
      <c r="A1169" s="1100">
        <v>200234</v>
      </c>
      <c r="B1169" s="1745" t="str">
        <f t="shared" si="36"/>
        <v>-22,59/+23,10  (EC  23,66)</v>
      </c>
      <c r="C1169" s="1101"/>
      <c r="D1169" s="1102">
        <v>7.55</v>
      </c>
      <c r="E1169" s="1102">
        <v>2.3660000000000001</v>
      </c>
      <c r="F1169" s="1104">
        <v>78.78</v>
      </c>
      <c r="G1169" s="1102">
        <v>0</v>
      </c>
      <c r="H1169" s="1102">
        <v>0.13</v>
      </c>
      <c r="I1169" s="1104">
        <v>339.1</v>
      </c>
      <c r="J1169" s="1102">
        <v>334.2</v>
      </c>
      <c r="K1169" s="1102">
        <v>0</v>
      </c>
      <c r="L1169" s="1102">
        <v>292.79999999999995</v>
      </c>
      <c r="M1169" s="1102">
        <v>0</v>
      </c>
      <c r="N1169" s="1102">
        <v>2.64</v>
      </c>
      <c r="O1169" s="1102">
        <v>201.22</v>
      </c>
      <c r="P1169" s="1102">
        <v>144.13999999999999</v>
      </c>
      <c r="Q1169" s="1102">
        <v>84.8</v>
      </c>
      <c r="R1169" s="1102">
        <v>0.01</v>
      </c>
      <c r="S1169" s="1102">
        <v>1E-3</v>
      </c>
      <c r="T1169" s="1102">
        <v>1E-3</v>
      </c>
      <c r="U1169" s="1102">
        <v>1E-3</v>
      </c>
      <c r="V1169" s="1102">
        <v>0.09</v>
      </c>
    </row>
    <row r="1170" spans="1:22" s="907" customFormat="1" x14ac:dyDescent="0.25">
      <c r="A1170" s="1100">
        <v>200235</v>
      </c>
      <c r="B1170" s="1745" t="str">
        <f t="shared" si="36"/>
        <v>-24,25/+24,66  (EC  23,4)</v>
      </c>
      <c r="C1170" s="1101"/>
      <c r="D1170" s="1102">
        <v>7.36</v>
      </c>
      <c r="E1170" s="1102">
        <v>2.34</v>
      </c>
      <c r="F1170" s="1104">
        <v>8.86</v>
      </c>
      <c r="G1170" s="1102">
        <v>0</v>
      </c>
      <c r="H1170" s="1102">
        <v>0.06</v>
      </c>
      <c r="I1170" s="1104">
        <v>204.72000000000003</v>
      </c>
      <c r="J1170" s="1102">
        <v>544</v>
      </c>
      <c r="K1170" s="1102">
        <v>0</v>
      </c>
      <c r="L1170" s="1102">
        <v>427.20000000000005</v>
      </c>
      <c r="M1170" s="1102">
        <v>0</v>
      </c>
      <c r="N1170" s="1102">
        <v>3.03</v>
      </c>
      <c r="O1170" s="1102">
        <v>127.95</v>
      </c>
      <c r="P1170" s="1102">
        <v>183.2</v>
      </c>
      <c r="Q1170" s="1111">
        <v>118.2</v>
      </c>
      <c r="R1170" s="1102">
        <v>0.37</v>
      </c>
      <c r="S1170" s="1102">
        <v>1E-3</v>
      </c>
      <c r="T1170" s="1102">
        <v>0.01</v>
      </c>
      <c r="U1170" s="1102">
        <v>0.05</v>
      </c>
      <c r="V1170" s="1102">
        <v>0.12</v>
      </c>
    </row>
    <row r="1171" spans="1:22" s="907" customFormat="1" x14ac:dyDescent="0.25">
      <c r="A1171" s="1100">
        <v>200236</v>
      </c>
      <c r="B1171" s="1745" t="str">
        <f t="shared" si="36"/>
        <v>-6,44/+6,82  (EC  7,3)</v>
      </c>
      <c r="C1171" s="1101"/>
      <c r="D1171" s="1102">
        <v>7.81</v>
      </c>
      <c r="E1171" s="1102">
        <v>0.73</v>
      </c>
      <c r="F1171" s="1104">
        <v>11.37</v>
      </c>
      <c r="G1171" s="1102">
        <v>0</v>
      </c>
      <c r="H1171" s="1102">
        <v>7.0000000000000007E-2</v>
      </c>
      <c r="I1171" s="1104">
        <v>91.01</v>
      </c>
      <c r="J1171" s="1102">
        <v>16.88</v>
      </c>
      <c r="K1171" s="1102">
        <v>0</v>
      </c>
      <c r="L1171" s="1102">
        <v>204</v>
      </c>
      <c r="M1171" s="1102">
        <v>0</v>
      </c>
      <c r="N1171" s="1102">
        <v>1.38</v>
      </c>
      <c r="O1171" s="1102">
        <v>55.63</v>
      </c>
      <c r="P1171" s="1102">
        <v>69.13</v>
      </c>
      <c r="Q1171" s="1102">
        <v>10.91</v>
      </c>
      <c r="R1171" s="1102">
        <v>0.01</v>
      </c>
      <c r="S1171" s="1102">
        <v>1E-3</v>
      </c>
      <c r="T1171" s="1102">
        <v>0.01</v>
      </c>
      <c r="U1171" s="1102">
        <v>0.04</v>
      </c>
      <c r="V1171" s="1102">
        <v>0.04</v>
      </c>
    </row>
    <row r="1172" spans="1:22" s="907" customFormat="1" x14ac:dyDescent="0.25">
      <c r="A1172" s="1100">
        <v>200237</v>
      </c>
      <c r="B1172" s="1745" t="str">
        <f t="shared" si="36"/>
        <v>-8,39/+8,62  (EC  7,74)</v>
      </c>
      <c r="C1172" s="1101"/>
      <c r="D1172" s="1102">
        <v>8.4700000000000006</v>
      </c>
      <c r="E1172" s="1102">
        <v>0.77400000000000002</v>
      </c>
      <c r="F1172" s="1104">
        <v>17.420000000000002</v>
      </c>
      <c r="G1172" s="1102">
        <v>0</v>
      </c>
      <c r="H1172" s="1102">
        <v>7.0000000000000007E-2</v>
      </c>
      <c r="I1172" s="1104">
        <v>33.968000000000004</v>
      </c>
      <c r="J1172" s="1102">
        <v>145</v>
      </c>
      <c r="K1172" s="1102">
        <v>0</v>
      </c>
      <c r="L1172" s="1102">
        <f>10.5*24</f>
        <v>252</v>
      </c>
      <c r="M1172" s="1102">
        <v>0</v>
      </c>
      <c r="N1172" s="1102">
        <v>2.0299999999999998</v>
      </c>
      <c r="O1172" s="1102">
        <v>21.23</v>
      </c>
      <c r="P1172" s="1102">
        <v>83.2</v>
      </c>
      <c r="Q1172" s="1102">
        <v>41.73</v>
      </c>
      <c r="R1172" s="1102">
        <v>1E-3</v>
      </c>
      <c r="S1172" s="1102">
        <v>1E-3</v>
      </c>
      <c r="T1172" s="1102">
        <v>0.05</v>
      </c>
      <c r="U1172" s="1102">
        <v>0.21</v>
      </c>
      <c r="V1172" s="1102">
        <v>0.04</v>
      </c>
    </row>
    <row r="1173" spans="1:22" s="907" customFormat="1" x14ac:dyDescent="0.25">
      <c r="A1173" s="1100">
        <v>200238</v>
      </c>
      <c r="B1173" s="1745" t="str">
        <f t="shared" si="36"/>
        <v>-8,58/+7,54  (EC  7,01)</v>
      </c>
      <c r="C1173" s="1101"/>
      <c r="D1173" s="1102">
        <v>7.78</v>
      </c>
      <c r="E1173" s="1102">
        <v>0.70099999999999996</v>
      </c>
      <c r="F1173" s="1104">
        <v>29.85</v>
      </c>
      <c r="G1173" s="1102">
        <v>0</v>
      </c>
      <c r="H1173" s="1102">
        <v>0.09</v>
      </c>
      <c r="I1173" s="1104">
        <v>47.904000000000003</v>
      </c>
      <c r="J1173" s="1102">
        <v>152</v>
      </c>
      <c r="K1173" s="1102">
        <v>0</v>
      </c>
      <c r="L1173" s="1102">
        <f>9.1*24</f>
        <v>218.39999999999998</v>
      </c>
      <c r="M1173" s="1102">
        <v>0</v>
      </c>
      <c r="N1173" s="1102">
        <v>1.54</v>
      </c>
      <c r="O1173" s="1102">
        <v>29.94</v>
      </c>
      <c r="P1173" s="1102">
        <v>85.38</v>
      </c>
      <c r="Q1173" s="1102">
        <v>23.14</v>
      </c>
      <c r="R1173" s="1102">
        <v>1E-3</v>
      </c>
      <c r="S1173" s="1102">
        <v>1E-3</v>
      </c>
      <c r="T1173" s="1102">
        <v>1E-3</v>
      </c>
      <c r="U1173" s="1102">
        <v>1E-3</v>
      </c>
      <c r="V1173" s="1102">
        <v>0.03</v>
      </c>
    </row>
    <row r="1174" spans="1:22" s="907" customFormat="1" x14ac:dyDescent="0.25">
      <c r="A1174" s="1100">
        <v>200239</v>
      </c>
      <c r="B1174" s="1745" t="str">
        <f t="shared" si="36"/>
        <v>-335,12/+333,09  (EC  311)</v>
      </c>
      <c r="C1174" s="1101"/>
      <c r="D1174" s="1102">
        <v>8.27</v>
      </c>
      <c r="E1174" s="1102">
        <v>31.1</v>
      </c>
      <c r="F1174" s="1104">
        <v>212.5</v>
      </c>
      <c r="G1174" s="1102">
        <v>0</v>
      </c>
      <c r="H1174" s="1102">
        <v>0.22</v>
      </c>
      <c r="I1174" s="1104">
        <v>9920</v>
      </c>
      <c r="J1174" s="1102">
        <v>2202.3000000000002</v>
      </c>
      <c r="K1174" s="1102">
        <v>0</v>
      </c>
      <c r="L1174" s="1102">
        <f>16.2*24</f>
        <v>388.79999999999995</v>
      </c>
      <c r="M1174" s="1102">
        <v>0</v>
      </c>
      <c r="N1174" s="1102">
        <v>37.909999999999997</v>
      </c>
      <c r="O1174" s="1111">
        <v>6612.2</v>
      </c>
      <c r="P1174" s="1111">
        <v>261.75</v>
      </c>
      <c r="Q1174" s="1111">
        <v>378.36</v>
      </c>
      <c r="R1174" s="1102"/>
      <c r="S1174" s="1102"/>
      <c r="T1174" s="1102"/>
      <c r="U1174" s="1102"/>
      <c r="V1174" s="1102"/>
    </row>
    <row r="1175" spans="1:22" s="907" customFormat="1" x14ac:dyDescent="0.25">
      <c r="A1175" s="1100">
        <v>200240</v>
      </c>
      <c r="B1175" s="1745" t="str">
        <f t="shared" si="36"/>
        <v>-15,43/+14,37  (EC  14,1)</v>
      </c>
      <c r="C1175" s="1101"/>
      <c r="D1175" s="1102">
        <v>8.02</v>
      </c>
      <c r="E1175" s="1102">
        <v>1.41</v>
      </c>
      <c r="F1175" s="1104">
        <v>2.54</v>
      </c>
      <c r="G1175" s="1102">
        <v>0</v>
      </c>
      <c r="H1175" s="1102">
        <v>0.1</v>
      </c>
      <c r="I1175" s="1104">
        <v>210.52800000000002</v>
      </c>
      <c r="J1175" s="1102">
        <v>220</v>
      </c>
      <c r="K1175" s="1102">
        <v>0</v>
      </c>
      <c r="L1175" s="1102">
        <f>12.4*24</f>
        <v>297.60000000000002</v>
      </c>
      <c r="M1175" s="1102">
        <v>0</v>
      </c>
      <c r="N1175" s="1102">
        <v>1.51</v>
      </c>
      <c r="O1175" s="1102">
        <v>131.58000000000001</v>
      </c>
      <c r="P1175" s="1102">
        <v>68.22</v>
      </c>
      <c r="Q1175" s="1102">
        <v>62.33</v>
      </c>
      <c r="R1175" s="1102">
        <v>1E-3</v>
      </c>
      <c r="S1175" s="1102">
        <v>1E-3</v>
      </c>
      <c r="T1175" s="1102">
        <v>1E-3</v>
      </c>
      <c r="U1175" s="1102">
        <v>0.05</v>
      </c>
      <c r="V1175" s="1102">
        <v>0.08</v>
      </c>
    </row>
    <row r="1176" spans="1:22" s="907" customFormat="1" x14ac:dyDescent="0.25">
      <c r="A1176" s="1100">
        <v>200241</v>
      </c>
      <c r="B1176" s="1745" t="str">
        <f t="shared" si="36"/>
        <v>-129,01/+130,20  (EC  127)</v>
      </c>
      <c r="C1176" s="1101"/>
      <c r="D1176" s="1102">
        <v>7.64</v>
      </c>
      <c r="E1176" s="1102">
        <v>12.7</v>
      </c>
      <c r="F1176" s="1104">
        <v>1.2</v>
      </c>
      <c r="G1176" s="1102">
        <v>0</v>
      </c>
      <c r="H1176" s="1102">
        <v>0.11</v>
      </c>
      <c r="I1176" s="1104">
        <v>2920.2</v>
      </c>
      <c r="J1176" s="1102">
        <v>2199.6</v>
      </c>
      <c r="K1176" s="1102">
        <v>0</v>
      </c>
      <c r="L1176" s="1102">
        <v>55.199999999999996</v>
      </c>
      <c r="M1176" s="1102">
        <v>0</v>
      </c>
      <c r="N1176" s="1102">
        <v>17.02</v>
      </c>
      <c r="O1176" s="1111">
        <v>2003.2</v>
      </c>
      <c r="P1176" s="1102">
        <v>660.62</v>
      </c>
      <c r="Q1176" s="1102">
        <v>115.56</v>
      </c>
      <c r="R1176" s="1102">
        <v>0</v>
      </c>
      <c r="S1176" s="1102">
        <v>0.05</v>
      </c>
      <c r="T1176" s="1102">
        <v>0.27</v>
      </c>
      <c r="U1176" s="1102">
        <v>0.04</v>
      </c>
      <c r="V1176" s="1102">
        <v>0.86</v>
      </c>
    </row>
    <row r="1177" spans="1:22" s="907" customFormat="1" x14ac:dyDescent="0.25">
      <c r="A1177" s="1100">
        <v>200242</v>
      </c>
      <c r="B1177" s="1745" t="str">
        <f t="shared" si="36"/>
        <v>-272,19/+264,20  (EC  262,5)</v>
      </c>
      <c r="C1177" s="1101"/>
      <c r="D1177" s="1102">
        <v>7.41</v>
      </c>
      <c r="E1177" s="1102">
        <v>26.25</v>
      </c>
      <c r="F1177" s="1104">
        <v>1.45</v>
      </c>
      <c r="G1177" s="1102">
        <v>0</v>
      </c>
      <c r="H1177" s="1102">
        <v>0.13</v>
      </c>
      <c r="I1177" s="1104">
        <v>8454.2999999999993</v>
      </c>
      <c r="J1177" s="1102">
        <v>1585.5</v>
      </c>
      <c r="K1177" s="1102">
        <v>0</v>
      </c>
      <c r="L1177" s="1102">
        <v>60</v>
      </c>
      <c r="M1177" s="1102">
        <v>0</v>
      </c>
      <c r="N1177" s="1102">
        <v>15.89</v>
      </c>
      <c r="O1177" s="1111">
        <v>5471.78</v>
      </c>
      <c r="P1177" s="1102">
        <v>407.73</v>
      </c>
      <c r="Q1177" s="1102">
        <v>65.930000000000007</v>
      </c>
      <c r="R1177" s="1102">
        <v>0.13</v>
      </c>
      <c r="S1177" s="1102">
        <v>0.61</v>
      </c>
      <c r="T1177" s="1102">
        <v>0.16</v>
      </c>
      <c r="U1177" s="1102">
        <v>0.39</v>
      </c>
      <c r="V1177" s="1102">
        <v>0.3</v>
      </c>
    </row>
    <row r="1178" spans="1:22" s="907" customFormat="1" x14ac:dyDescent="0.25">
      <c r="A1178" s="1100">
        <v>200243</v>
      </c>
      <c r="B1178" s="1745" t="str">
        <f t="shared" si="36"/>
        <v>-49,22/+52,84  (EC  50,5)</v>
      </c>
      <c r="C1178" s="1101"/>
      <c r="D1178" s="1102">
        <v>7.04</v>
      </c>
      <c r="E1178" s="1102">
        <v>5.05</v>
      </c>
      <c r="F1178" s="1104">
        <v>89.55</v>
      </c>
      <c r="G1178" s="1102">
        <v>0</v>
      </c>
      <c r="H1178" s="1102">
        <v>0.09</v>
      </c>
      <c r="I1178" s="1104">
        <v>743</v>
      </c>
      <c r="J1178" s="1102">
        <v>988</v>
      </c>
      <c r="K1178" s="1102">
        <v>0</v>
      </c>
      <c r="L1178" s="1102">
        <v>382</v>
      </c>
      <c r="M1178" s="1102">
        <v>0</v>
      </c>
      <c r="N1178" s="1102">
        <v>6.06</v>
      </c>
      <c r="O1178" s="1102">
        <v>402.71</v>
      </c>
      <c r="P1178" s="1102">
        <v>414.8</v>
      </c>
      <c r="Q1178" s="1111">
        <v>173.2</v>
      </c>
      <c r="R1178" s="1102">
        <v>0</v>
      </c>
      <c r="S1178" s="1102">
        <v>0</v>
      </c>
      <c r="T1178" s="1102">
        <v>0</v>
      </c>
      <c r="U1178" s="1102">
        <v>0</v>
      </c>
      <c r="V1178" s="1102">
        <v>0.28999999999999998</v>
      </c>
    </row>
    <row r="1179" spans="1:22" s="907" customFormat="1" x14ac:dyDescent="0.25">
      <c r="A1179" s="1100">
        <v>200244</v>
      </c>
      <c r="B1179" s="1745" t="str">
        <f t="shared" si="36"/>
        <v>-52,89/+52,02  (EC  53,5)</v>
      </c>
      <c r="C1179" s="1101"/>
      <c r="D1179" s="1102">
        <v>7.1</v>
      </c>
      <c r="E1179" s="1102">
        <v>5.35</v>
      </c>
      <c r="F1179" s="1104">
        <v>8.11</v>
      </c>
      <c r="G1179" s="1102">
        <v>0</v>
      </c>
      <c r="H1179" s="1102">
        <v>0.08</v>
      </c>
      <c r="I1179" s="1104">
        <v>1191.952</v>
      </c>
      <c r="J1179" s="1102">
        <v>711</v>
      </c>
      <c r="K1179" s="1102">
        <v>0</v>
      </c>
      <c r="L1179" s="1102">
        <v>266.39999999999998</v>
      </c>
      <c r="M1179" s="1102">
        <v>0</v>
      </c>
      <c r="N1179" s="1102">
        <v>5.94</v>
      </c>
      <c r="O1179" s="1102">
        <v>744.97</v>
      </c>
      <c r="P1179" s="1102">
        <v>270.38</v>
      </c>
      <c r="Q1179" s="1102">
        <v>71.48</v>
      </c>
      <c r="R1179" s="1102">
        <v>0</v>
      </c>
      <c r="S1179" s="1102">
        <v>0</v>
      </c>
      <c r="T1179" s="1102">
        <v>0</v>
      </c>
      <c r="U1179" s="1102">
        <v>0</v>
      </c>
      <c r="V1179" s="1102">
        <v>0.12</v>
      </c>
    </row>
    <row r="1180" spans="1:22" s="907" customFormat="1" x14ac:dyDescent="0.25">
      <c r="A1180" s="1100">
        <v>200245</v>
      </c>
      <c r="B1180" s="1745" t="str">
        <f t="shared" si="36"/>
        <v>-37,57/+36,91  (EC  36,5)</v>
      </c>
      <c r="C1180" s="1101"/>
      <c r="D1180" s="1102">
        <v>7.34</v>
      </c>
      <c r="E1180" s="1102">
        <v>3.65</v>
      </c>
      <c r="F1180" s="1104">
        <v>72.180000000000007</v>
      </c>
      <c r="G1180" s="1102">
        <v>0</v>
      </c>
      <c r="H1180" s="1102">
        <v>0.1</v>
      </c>
      <c r="I1180" s="1104">
        <v>722.1</v>
      </c>
      <c r="J1180" s="1102">
        <v>478.25</v>
      </c>
      <c r="K1180" s="1102">
        <v>0</v>
      </c>
      <c r="L1180" s="1102">
        <v>372</v>
      </c>
      <c r="M1180" s="1102">
        <v>0</v>
      </c>
      <c r="N1180" s="1102">
        <v>9.81</v>
      </c>
      <c r="O1180" s="1102">
        <v>501.58</v>
      </c>
      <c r="P1180" s="1102">
        <v>135.1</v>
      </c>
      <c r="Q1180" s="1102">
        <v>97.05</v>
      </c>
      <c r="R1180" s="1102">
        <v>0.02</v>
      </c>
      <c r="S1180" s="1102">
        <v>0</v>
      </c>
      <c r="T1180" s="1102">
        <v>0</v>
      </c>
      <c r="U1180" s="1102">
        <v>0</v>
      </c>
      <c r="V1180" s="1102">
        <v>0.85</v>
      </c>
    </row>
    <row r="1181" spans="1:22" s="907" customFormat="1" x14ac:dyDescent="0.25">
      <c r="A1181" s="1100">
        <v>200246</v>
      </c>
      <c r="B1181" s="1745" t="str">
        <f t="shared" si="36"/>
        <v>-8,22/+8,36  (EC  7,92)</v>
      </c>
      <c r="C1181" s="1101"/>
      <c r="D1181" s="1102">
        <v>7.69</v>
      </c>
      <c r="E1181" s="1102">
        <v>0.79200000000000004</v>
      </c>
      <c r="F1181" s="1104">
        <v>24.9</v>
      </c>
      <c r="G1181" s="1102">
        <v>0</v>
      </c>
      <c r="H1181" s="1102">
        <v>0.08</v>
      </c>
      <c r="I1181" s="1104">
        <v>38.200000000000003</v>
      </c>
      <c r="J1181" s="1102">
        <v>55.41</v>
      </c>
      <c r="K1181" s="1102">
        <v>0</v>
      </c>
      <c r="L1181" s="1102">
        <f>14.2*24</f>
        <v>340.79999999999995</v>
      </c>
      <c r="M1181" s="1102">
        <v>0</v>
      </c>
      <c r="N1181" s="1102">
        <v>2.04</v>
      </c>
      <c r="O1181" s="1102">
        <v>23.29</v>
      </c>
      <c r="P1181" s="1102">
        <v>69.400000000000006</v>
      </c>
      <c r="Q1181" s="1102">
        <v>45.87</v>
      </c>
      <c r="R1181" s="1102">
        <v>1E-3</v>
      </c>
      <c r="S1181" s="1102">
        <v>1E-3</v>
      </c>
      <c r="T1181" s="1102">
        <v>1E-3</v>
      </c>
      <c r="U1181" s="1102">
        <v>1E-3</v>
      </c>
      <c r="V1181" s="1102">
        <v>0.05</v>
      </c>
    </row>
    <row r="1182" spans="1:22" s="907" customFormat="1" x14ac:dyDescent="0.25">
      <c r="A1182" s="1100">
        <v>200247</v>
      </c>
      <c r="B1182" s="1745" t="str">
        <f t="shared" si="36"/>
        <v>-9,90/+9,18  (EC  8,71)</v>
      </c>
      <c r="C1182" s="1101"/>
      <c r="D1182" s="1102">
        <v>7.94</v>
      </c>
      <c r="E1182" s="1102">
        <v>0.871</v>
      </c>
      <c r="F1182" s="1104">
        <v>19.239999999999998</v>
      </c>
      <c r="G1182" s="1102">
        <v>0</v>
      </c>
      <c r="H1182" s="1102">
        <v>0.09</v>
      </c>
      <c r="I1182" s="1104">
        <v>88.25</v>
      </c>
      <c r="J1182" s="1102">
        <v>118.2</v>
      </c>
      <c r="K1182" s="1102">
        <v>0</v>
      </c>
      <c r="L1182" s="1102">
        <v>283.20000000000005</v>
      </c>
      <c r="M1182" s="1102">
        <v>0</v>
      </c>
      <c r="N1182" s="1102">
        <v>2.57</v>
      </c>
      <c r="O1182" s="1102">
        <v>54.25</v>
      </c>
      <c r="P1182" s="1102">
        <v>59.83</v>
      </c>
      <c r="Q1182" s="1102">
        <v>45.13</v>
      </c>
      <c r="R1182" s="1102">
        <v>1E-3</v>
      </c>
      <c r="S1182" s="1102">
        <v>1E-3</v>
      </c>
      <c r="T1182" s="1102">
        <v>1E-3</v>
      </c>
      <c r="U1182" s="1102">
        <v>1E-3</v>
      </c>
      <c r="V1182" s="1102">
        <v>0.08</v>
      </c>
    </row>
    <row r="1183" spans="1:22" s="907" customFormat="1" x14ac:dyDescent="0.25">
      <c r="A1183" s="1100">
        <v>200248</v>
      </c>
      <c r="B1183" s="1745" t="str">
        <f t="shared" si="36"/>
        <v>-15,32/+15,72  (EC  15,56)</v>
      </c>
      <c r="C1183" s="1101"/>
      <c r="D1183" s="1102">
        <v>7.33</v>
      </c>
      <c r="E1183" s="1102">
        <v>1.556</v>
      </c>
      <c r="F1183" s="1104">
        <v>7.54</v>
      </c>
      <c r="G1183" s="1102">
        <v>0</v>
      </c>
      <c r="H1183" s="1102">
        <v>7.0000000000000007E-2</v>
      </c>
      <c r="I1183" s="1104">
        <v>110.23</v>
      </c>
      <c r="J1183" s="1102">
        <v>321.7</v>
      </c>
      <c r="K1183" s="1102">
        <v>0</v>
      </c>
      <c r="L1183" s="1102">
        <v>328.79999999999995</v>
      </c>
      <c r="M1183" s="1102">
        <v>0</v>
      </c>
      <c r="N1183" s="1102">
        <v>2.67</v>
      </c>
      <c r="O1183" s="1102">
        <v>65.69</v>
      </c>
      <c r="P1183" s="1102">
        <v>117.91</v>
      </c>
      <c r="Q1183" s="1102">
        <v>82.78</v>
      </c>
      <c r="R1183" s="1102">
        <v>1E-3</v>
      </c>
      <c r="S1183" s="1102">
        <v>1E-3</v>
      </c>
      <c r="T1183" s="1102">
        <v>1E-3</v>
      </c>
      <c r="U1183" s="1102">
        <v>1E-3</v>
      </c>
      <c r="V1183" s="1102">
        <v>0.06</v>
      </c>
    </row>
    <row r="1184" spans="1:22" s="907" customFormat="1" x14ac:dyDescent="0.25">
      <c r="A1184" s="1100">
        <v>200249</v>
      </c>
      <c r="B1184" s="1745" t="str">
        <f t="shared" si="36"/>
        <v>-14,31/+14,28  (EC  14,8)</v>
      </c>
      <c r="C1184" s="1101"/>
      <c r="D1184" s="1102">
        <v>7.36</v>
      </c>
      <c r="E1184" s="1102">
        <v>1.48</v>
      </c>
      <c r="F1184" s="1104">
        <v>35.15</v>
      </c>
      <c r="G1184" s="1102">
        <v>0</v>
      </c>
      <c r="H1184" s="1102">
        <v>0.08</v>
      </c>
      <c r="I1184" s="1104">
        <v>196.78</v>
      </c>
      <c r="J1184" s="1102">
        <v>121.8</v>
      </c>
      <c r="K1184" s="1102">
        <v>0</v>
      </c>
      <c r="L1184" s="1102">
        <v>345.6</v>
      </c>
      <c r="M1184" s="1102">
        <v>0</v>
      </c>
      <c r="N1184" s="1102">
        <v>1.34</v>
      </c>
      <c r="O1184" s="1102">
        <v>123.74</v>
      </c>
      <c r="P1184" s="1102">
        <v>79.17</v>
      </c>
      <c r="Q1184" s="1102">
        <v>58.8</v>
      </c>
      <c r="R1184" s="1102">
        <v>7.0000000000000007E-2</v>
      </c>
      <c r="S1184" s="1102">
        <v>1E-3</v>
      </c>
      <c r="T1184" s="1102">
        <v>1E-3</v>
      </c>
      <c r="U1184" s="1102">
        <v>1E-3</v>
      </c>
      <c r="V1184" s="1102">
        <v>0.14000000000000001</v>
      </c>
    </row>
    <row r="1185" spans="1:22" s="907" customFormat="1" x14ac:dyDescent="0.25">
      <c r="A1185" s="1100">
        <v>200250</v>
      </c>
      <c r="B1185" s="1745" t="str">
        <f t="shared" si="36"/>
        <v>-54,66/+67,06  (EC  52,1)</v>
      </c>
      <c r="C1185" s="1101"/>
      <c r="D1185" s="1102">
        <v>6.89</v>
      </c>
      <c r="E1185" s="1102">
        <v>5.21</v>
      </c>
      <c r="F1185" s="1104">
        <v>1.23</v>
      </c>
      <c r="G1185" s="1102">
        <v>0</v>
      </c>
      <c r="H1185" s="1102">
        <v>0.14000000000000001</v>
      </c>
      <c r="I1185" s="1104">
        <v>861.47</v>
      </c>
      <c r="J1185" s="1102">
        <v>927.15000000000009</v>
      </c>
      <c r="K1185" s="1102">
        <v>0</v>
      </c>
      <c r="L1185" s="1102">
        <v>674.40000000000009</v>
      </c>
      <c r="M1185" s="1102">
        <v>0</v>
      </c>
      <c r="N1185" s="1102">
        <v>34.93</v>
      </c>
      <c r="O1185" s="1102">
        <v>536.34</v>
      </c>
      <c r="P1185" s="1102">
        <v>693.24</v>
      </c>
      <c r="Q1185" s="1102">
        <v>98.05</v>
      </c>
      <c r="R1185" s="1102">
        <v>0.01</v>
      </c>
      <c r="S1185" s="1102">
        <v>1E-3</v>
      </c>
      <c r="T1185" s="1102">
        <v>0.09</v>
      </c>
      <c r="U1185" s="1102">
        <v>0.03</v>
      </c>
      <c r="V1185" s="1102">
        <v>0.85</v>
      </c>
    </row>
    <row r="1186" spans="1:22" s="907" customFormat="1" x14ac:dyDescent="0.25">
      <c r="A1186" s="1100">
        <v>200251</v>
      </c>
      <c r="B1186" s="1745" t="str">
        <f t="shared" si="36"/>
        <v>-27,24/+25,77  (EC  26,1)</v>
      </c>
      <c r="C1186" s="1101"/>
      <c r="D1186" s="1102">
        <v>7.92</v>
      </c>
      <c r="E1186" s="1111">
        <v>2.61</v>
      </c>
      <c r="F1186" s="1104">
        <v>14.98</v>
      </c>
      <c r="G1186" s="1102">
        <v>0</v>
      </c>
      <c r="H1186" s="1102">
        <v>0.1</v>
      </c>
      <c r="I1186" s="1104">
        <v>698.23</v>
      </c>
      <c r="J1186" s="1102">
        <v>176.2</v>
      </c>
      <c r="K1186" s="1102">
        <v>0</v>
      </c>
      <c r="L1186" s="1102">
        <v>223.20000000000002</v>
      </c>
      <c r="M1186" s="1102">
        <v>0</v>
      </c>
      <c r="N1186" s="1102">
        <v>3.24</v>
      </c>
      <c r="O1186" s="1102">
        <v>443.86</v>
      </c>
      <c r="P1186" s="1102">
        <v>73.47</v>
      </c>
      <c r="Q1186" s="1102">
        <v>32.450000000000003</v>
      </c>
      <c r="R1186" s="1102">
        <v>1E-3</v>
      </c>
      <c r="S1186" s="1102">
        <v>1E-3</v>
      </c>
      <c r="T1186" s="1102">
        <v>1E-3</v>
      </c>
      <c r="U1186" s="1102">
        <v>1E-3</v>
      </c>
      <c r="V1186" s="1102">
        <v>0.08</v>
      </c>
    </row>
    <row r="1187" spans="1:22" s="907" customFormat="1" x14ac:dyDescent="0.25">
      <c r="A1187" s="1100">
        <v>200252</v>
      </c>
      <c r="B1187" s="1745" t="str">
        <f t="shared" si="36"/>
        <v>-8,53/+8,28  (EC  7,15)</v>
      </c>
      <c r="C1187" s="1101"/>
      <c r="D1187" s="1102">
        <v>7.42</v>
      </c>
      <c r="E1187" s="1102">
        <v>0.71499999999999997</v>
      </c>
      <c r="F1187" s="1104">
        <v>22.09</v>
      </c>
      <c r="G1187" s="1102">
        <v>0</v>
      </c>
      <c r="H1187" s="1102">
        <v>0.06</v>
      </c>
      <c r="I1187" s="1104">
        <v>32.5</v>
      </c>
      <c r="J1187" s="1102">
        <v>25.68</v>
      </c>
      <c r="K1187" s="1102">
        <v>0</v>
      </c>
      <c r="L1187" s="1102">
        <v>410.40000000000003</v>
      </c>
      <c r="M1187" s="1102">
        <v>0</v>
      </c>
      <c r="N1187" s="1102">
        <v>1.58</v>
      </c>
      <c r="O1187" s="1102">
        <v>18.600000000000001</v>
      </c>
      <c r="P1187" s="1102">
        <v>76.709999999999994</v>
      </c>
      <c r="Q1187" s="1102">
        <v>43.06</v>
      </c>
      <c r="R1187" s="1102">
        <v>1E-3</v>
      </c>
      <c r="S1187" s="1102">
        <v>1E-3</v>
      </c>
      <c r="T1187" s="1102">
        <v>0.01</v>
      </c>
      <c r="U1187" s="1102">
        <v>0.19</v>
      </c>
      <c r="V1187" s="1102">
        <v>0.05</v>
      </c>
    </row>
    <row r="1188" spans="1:22" s="907" customFormat="1" x14ac:dyDescent="0.25">
      <c r="A1188" s="1100">
        <v>200253</v>
      </c>
      <c r="B1188" s="1745" t="str">
        <f t="shared" si="36"/>
        <v>-33,49/+34,68  (EC  33,6)</v>
      </c>
      <c r="C1188" s="1101"/>
      <c r="D1188" s="1102">
        <v>6.93</v>
      </c>
      <c r="E1188" s="1102">
        <v>3.36</v>
      </c>
      <c r="F1188" s="1104">
        <v>0.61</v>
      </c>
      <c r="G1188" s="1102">
        <v>0</v>
      </c>
      <c r="H1188" s="1102">
        <v>0.08</v>
      </c>
      <c r="I1188" s="1104">
        <v>438.35</v>
      </c>
      <c r="J1188" s="1102">
        <v>716.3</v>
      </c>
      <c r="K1188" s="1102">
        <v>0</v>
      </c>
      <c r="L1188" s="1102">
        <v>378.98</v>
      </c>
      <c r="M1188" s="1102">
        <v>0</v>
      </c>
      <c r="N1188" s="1102">
        <v>27.17</v>
      </c>
      <c r="O1188" s="1102">
        <v>273.97000000000003</v>
      </c>
      <c r="P1188" s="1746">
        <v>189.9</v>
      </c>
      <c r="Q1188" s="1102">
        <v>150.82</v>
      </c>
      <c r="R1188" s="1102">
        <v>0.01</v>
      </c>
      <c r="S1188" s="1102">
        <v>1E-3</v>
      </c>
      <c r="T1188" s="1102">
        <v>0.09</v>
      </c>
      <c r="U1188" s="1102">
        <v>0.02</v>
      </c>
      <c r="V1188" s="1102">
        <v>0.88</v>
      </c>
    </row>
    <row r="1189" spans="1:22" s="907" customFormat="1" x14ac:dyDescent="0.25">
      <c r="A1189" s="1100">
        <v>200254</v>
      </c>
      <c r="B1189" s="1745" t="str">
        <f t="shared" si="36"/>
        <v>-9,46/+8,98  (EC  9,59)</v>
      </c>
      <c r="C1189" s="1101"/>
      <c r="D1189" s="1102">
        <v>7.23</v>
      </c>
      <c r="E1189" s="1102">
        <v>0.95899999999999996</v>
      </c>
      <c r="F1189" s="1104">
        <v>1.03</v>
      </c>
      <c r="G1189" s="1102">
        <v>0</v>
      </c>
      <c r="H1189" s="1102">
        <v>7.0000000000000007E-2</v>
      </c>
      <c r="I1189" s="1104">
        <v>170.54</v>
      </c>
      <c r="J1189" s="1102">
        <v>105.36</v>
      </c>
      <c r="K1189" s="1102">
        <v>0.76500000000000001</v>
      </c>
      <c r="L1189" s="1102">
        <v>148.80000000000001</v>
      </c>
      <c r="M1189" s="1102">
        <v>0</v>
      </c>
      <c r="N1189" s="1102">
        <v>6.8</v>
      </c>
      <c r="O1189" s="1102">
        <v>106.59</v>
      </c>
      <c r="P1189" s="1102">
        <v>47.08</v>
      </c>
      <c r="Q1189" s="1102">
        <v>21.75</v>
      </c>
      <c r="R1189" s="1102">
        <v>0.01</v>
      </c>
      <c r="S1189" s="1102">
        <v>1E-3</v>
      </c>
      <c r="T1189" s="1102">
        <v>0.57999999999999996</v>
      </c>
      <c r="U1189" s="1102">
        <v>0.15</v>
      </c>
      <c r="V1189" s="1102">
        <v>0.08</v>
      </c>
    </row>
    <row r="1190" spans="1:22" s="907" customFormat="1" x14ac:dyDescent="0.25">
      <c r="A1190" s="1100">
        <v>200255</v>
      </c>
      <c r="B1190" s="1745" t="str">
        <f t="shared" si="36"/>
        <v>-24,11/+25,66  (EC  24,9)</v>
      </c>
      <c r="C1190" s="1101"/>
      <c r="D1190" s="1102">
        <v>6.99</v>
      </c>
      <c r="E1190" s="1102">
        <v>2.4900000000000002</v>
      </c>
      <c r="F1190" s="1104">
        <v>15.63</v>
      </c>
      <c r="G1190" s="1102">
        <v>0</v>
      </c>
      <c r="H1190" s="1102">
        <v>0.05</v>
      </c>
      <c r="I1190" s="1104">
        <v>352.38</v>
      </c>
      <c r="J1190" s="1102">
        <v>427.05</v>
      </c>
      <c r="K1190" s="1102">
        <v>0.153</v>
      </c>
      <c r="L1190" s="1102">
        <v>307.2</v>
      </c>
      <c r="M1190" s="1102">
        <v>0</v>
      </c>
      <c r="N1190" s="1102">
        <v>3.31</v>
      </c>
      <c r="O1190" s="1102">
        <v>220.24</v>
      </c>
      <c r="P1190" s="1746">
        <v>204.71</v>
      </c>
      <c r="Q1190" s="1102">
        <v>69.069999999999993</v>
      </c>
      <c r="R1190" s="1102">
        <v>1E-3</v>
      </c>
      <c r="S1190" s="1102">
        <v>1E-3</v>
      </c>
      <c r="T1190" s="1102">
        <v>1E-3</v>
      </c>
      <c r="U1190" s="1102">
        <v>0.03</v>
      </c>
      <c r="V1190" s="1102">
        <v>0.16</v>
      </c>
    </row>
    <row r="1191" spans="1:22" s="907" customFormat="1" x14ac:dyDescent="0.25">
      <c r="A1191" s="1100">
        <v>200256</v>
      </c>
      <c r="B1191" s="1745" t="str">
        <f t="shared" si="36"/>
        <v>-31,06/+30,58  (EC  31,6)</v>
      </c>
      <c r="C1191" s="1101"/>
      <c r="D1191" s="1102">
        <v>6.96</v>
      </c>
      <c r="E1191" s="1102">
        <v>3.16</v>
      </c>
      <c r="F1191" s="1104">
        <v>2.33</v>
      </c>
      <c r="G1191" s="1102">
        <v>0</v>
      </c>
      <c r="H1191" s="1102">
        <v>0.06</v>
      </c>
      <c r="I1191" s="1104">
        <v>244.3</v>
      </c>
      <c r="J1191" s="1102">
        <v>884.3</v>
      </c>
      <c r="K1191" s="1102">
        <v>0</v>
      </c>
      <c r="L1191" s="1102">
        <v>348.98</v>
      </c>
      <c r="M1191" s="1102">
        <v>0</v>
      </c>
      <c r="N1191" s="1102">
        <v>13.17</v>
      </c>
      <c r="O1191" s="1102">
        <v>165.74</v>
      </c>
      <c r="P1191" s="1746">
        <v>224.65</v>
      </c>
      <c r="Q1191" s="1102">
        <v>141.6</v>
      </c>
      <c r="R1191" s="1102">
        <v>0.37</v>
      </c>
      <c r="S1191" s="1102">
        <v>1E-3</v>
      </c>
      <c r="T1191" s="1102">
        <v>0.01</v>
      </c>
      <c r="U1191" s="1102">
        <v>1E-3</v>
      </c>
      <c r="V1191" s="1102">
        <v>0.59</v>
      </c>
    </row>
    <row r="1192" spans="1:22" s="907" customFormat="1" x14ac:dyDescent="0.25">
      <c r="A1192" s="1100">
        <v>200257</v>
      </c>
      <c r="B1192" s="1745" t="str">
        <f t="shared" si="36"/>
        <v>-34,54/+35,75  (EC  34,4)</v>
      </c>
      <c r="C1192" s="1101"/>
      <c r="D1192" s="1102">
        <v>7.02</v>
      </c>
      <c r="E1192" s="1102">
        <v>3.44</v>
      </c>
      <c r="F1192" s="1104">
        <v>61.26</v>
      </c>
      <c r="G1192" s="1102">
        <v>0</v>
      </c>
      <c r="H1192" s="1102">
        <v>0.04</v>
      </c>
      <c r="I1192" s="1104">
        <v>598.29999999999995</v>
      </c>
      <c r="J1192" s="1102">
        <v>389.7</v>
      </c>
      <c r="K1192" s="1102">
        <v>3.0599999999999999E-2</v>
      </c>
      <c r="L1192" s="1102">
        <v>523.1</v>
      </c>
      <c r="M1192" s="1102">
        <v>0</v>
      </c>
      <c r="N1192" s="1102">
        <v>4.42</v>
      </c>
      <c r="O1192" s="1102">
        <v>333.31</v>
      </c>
      <c r="P1192" s="1102">
        <v>168.75</v>
      </c>
      <c r="Q1192" s="1102">
        <v>152.5</v>
      </c>
      <c r="R1192" s="1102">
        <v>1E-3</v>
      </c>
      <c r="S1192" s="1102">
        <v>1E-3</v>
      </c>
      <c r="T1192" s="1102">
        <v>0.01</v>
      </c>
      <c r="U1192" s="1102">
        <v>0.02</v>
      </c>
      <c r="V1192" s="1102">
        <v>0.36</v>
      </c>
    </row>
    <row r="1193" spans="1:22" s="907" customFormat="1" x14ac:dyDescent="0.25">
      <c r="A1193" s="1100">
        <v>200258</v>
      </c>
      <c r="B1193" s="1745" t="str">
        <f t="shared" si="36"/>
        <v>-34,47/+35,47  (EC  34,5)</v>
      </c>
      <c r="C1193" s="1101"/>
      <c r="D1193" s="1102">
        <v>7.09</v>
      </c>
      <c r="E1193" s="1102">
        <v>3.45</v>
      </c>
      <c r="F1193" s="1104">
        <v>64.63</v>
      </c>
      <c r="G1193" s="1102">
        <v>0</v>
      </c>
      <c r="H1193" s="1102">
        <v>0.08</v>
      </c>
      <c r="I1193" s="1104">
        <v>588.6</v>
      </c>
      <c r="J1193" s="1102">
        <v>398</v>
      </c>
      <c r="K1193" s="1102">
        <v>0</v>
      </c>
      <c r="L1193" s="1102">
        <v>522.1</v>
      </c>
      <c r="M1193" s="1102">
        <v>0</v>
      </c>
      <c r="N1193" s="1102">
        <v>4.26</v>
      </c>
      <c r="O1193" s="1102">
        <v>338.57</v>
      </c>
      <c r="P1193" s="1102">
        <v>160.21</v>
      </c>
      <c r="Q1193" s="1102">
        <v>151.47999999999999</v>
      </c>
      <c r="R1193" s="1102">
        <v>0.01</v>
      </c>
      <c r="S1193" s="1102">
        <v>1E-3</v>
      </c>
      <c r="T1193" s="1102">
        <v>0.01</v>
      </c>
      <c r="U1193" s="1102">
        <v>0.01</v>
      </c>
      <c r="V1193" s="1102">
        <v>0.4</v>
      </c>
    </row>
    <row r="1194" spans="1:22" s="907" customFormat="1" x14ac:dyDescent="0.25">
      <c r="A1194" s="1100">
        <v>200259</v>
      </c>
      <c r="B1194" s="1745" t="str">
        <f t="shared" si="36"/>
        <v>-51,97/+64,73  (EC  56,3)</v>
      </c>
      <c r="C1194" s="1101"/>
      <c r="D1194" s="1102">
        <v>7.07</v>
      </c>
      <c r="E1194" s="1102">
        <v>5.63</v>
      </c>
      <c r="F1194" s="1104">
        <v>90.26</v>
      </c>
      <c r="G1194" s="1102">
        <v>0</v>
      </c>
      <c r="H1194" s="1102">
        <v>0.04</v>
      </c>
      <c r="I1194" s="1104">
        <v>722.6</v>
      </c>
      <c r="J1194" s="1102">
        <v>1151.05</v>
      </c>
      <c r="K1194" s="1102">
        <v>0</v>
      </c>
      <c r="L1194" s="1102">
        <v>376.98</v>
      </c>
      <c r="M1194" s="1102">
        <v>0</v>
      </c>
      <c r="N1194" s="1102">
        <v>4.1900000000000004</v>
      </c>
      <c r="O1194" s="1102">
        <v>446.46</v>
      </c>
      <c r="P1194" s="1102">
        <v>731.06</v>
      </c>
      <c r="Q1194" s="1102">
        <v>103.9</v>
      </c>
      <c r="R1194" s="1102">
        <v>0.38</v>
      </c>
      <c r="S1194" s="1102">
        <v>1E-3</v>
      </c>
      <c r="T1194" s="1102">
        <v>0.01</v>
      </c>
      <c r="U1194" s="1102">
        <v>1E-3</v>
      </c>
      <c r="V1194" s="1102">
        <v>0.89</v>
      </c>
    </row>
    <row r="1195" spans="1:22" s="907" customFormat="1" x14ac:dyDescent="0.25">
      <c r="A1195" s="1100">
        <v>200260</v>
      </c>
      <c r="B1195" s="1745" t="str">
        <f t="shared" si="36"/>
        <v>-8,62/+9,32  (EC  9,16)</v>
      </c>
      <c r="C1195" s="1101"/>
      <c r="D1195" s="1102">
        <v>7.56</v>
      </c>
      <c r="E1195" s="1102">
        <v>0.91600000000000004</v>
      </c>
      <c r="F1195" s="1104">
        <v>39.479999999999997</v>
      </c>
      <c r="G1195" s="1102">
        <v>0</v>
      </c>
      <c r="H1195" s="1102">
        <v>0.05</v>
      </c>
      <c r="I1195" s="1104">
        <v>106.54</v>
      </c>
      <c r="J1195" s="1102">
        <v>39.1</v>
      </c>
      <c r="K1195" s="1102">
        <v>0</v>
      </c>
      <c r="L1195" s="1102">
        <v>254.4</v>
      </c>
      <c r="M1195" s="1102">
        <v>0</v>
      </c>
      <c r="N1195" s="1102">
        <v>1.28</v>
      </c>
      <c r="O1195" s="1102">
        <v>66.59</v>
      </c>
      <c r="P1195" s="1102">
        <v>62.09</v>
      </c>
      <c r="Q1195" s="1102">
        <v>39.380000000000003</v>
      </c>
      <c r="R1195" s="1102">
        <v>7.0000000000000007E-2</v>
      </c>
      <c r="S1195" s="1102">
        <v>1E-3</v>
      </c>
      <c r="T1195" s="1102">
        <v>1E-3</v>
      </c>
      <c r="U1195" s="1102">
        <v>1E-3</v>
      </c>
      <c r="V1195" s="1102">
        <v>0.13</v>
      </c>
    </row>
    <row r="1196" spans="1:22" s="907" customFormat="1" x14ac:dyDescent="0.25">
      <c r="A1196" s="1100">
        <v>200261</v>
      </c>
      <c r="B1196" s="1745" t="str">
        <f>"-"&amp;TEXT((F1196/62+G1196/46+I1196/35.5+J1196/48+K1197/97+L1196/61),"0,00")&amp;"/+"&amp;TEXT((N1196/39+O1196/23+P1196/20+Q1196/12+H1196/14),"0,00")&amp;"  (EC  "&amp;E1196*10&amp;")"</f>
        <v>-14,63/+13,52  (EC  13,22)</v>
      </c>
      <c r="C1196" s="1101"/>
      <c r="D1196" s="1102">
        <v>7.61</v>
      </c>
      <c r="E1196" s="1102">
        <v>1.3220000000000001</v>
      </c>
      <c r="F1196" s="1104">
        <v>79.13</v>
      </c>
      <c r="G1196" s="1102">
        <v>0</v>
      </c>
      <c r="H1196" s="1102">
        <v>0.06</v>
      </c>
      <c r="I1196" s="1104">
        <v>233.1</v>
      </c>
      <c r="J1196" s="1102">
        <v>71.3</v>
      </c>
      <c r="K1196" s="1102">
        <v>0</v>
      </c>
      <c r="L1196" s="1102">
        <v>322.10000000000002</v>
      </c>
      <c r="M1196" s="1102">
        <v>0</v>
      </c>
      <c r="N1196" s="1102">
        <v>2.2200000000000002</v>
      </c>
      <c r="O1196" s="1102">
        <v>168.19</v>
      </c>
      <c r="P1196" s="1102">
        <v>50</v>
      </c>
      <c r="Q1196" s="1102">
        <v>43.75</v>
      </c>
      <c r="R1196" s="1102">
        <v>0.01</v>
      </c>
      <c r="S1196" s="1102">
        <v>0.26</v>
      </c>
      <c r="T1196" s="1102">
        <v>0.01</v>
      </c>
      <c r="U1196" s="1102">
        <v>1E-3</v>
      </c>
      <c r="V1196" s="1102">
        <v>0.39</v>
      </c>
    </row>
    <row r="1197" spans="1:22" s="907" customFormat="1" x14ac:dyDescent="0.25">
      <c r="A1197" s="1100">
        <v>200262</v>
      </c>
      <c r="B1197" s="1745" t="str">
        <f>"-"&amp;TEXT((F1197/62+G1197/46+I1197/35.5+J1197/48+K1198/97+L1197/61),"0,00")&amp;"/+"&amp;TEXT((N1197/39+O1197/23+P1197/20+Q1197/12+H1197/14),"0,00")&amp;"  (EC  "&amp;E1197*10&amp;")"</f>
        <v>-21,81/+24,37  (EC  24,9)</v>
      </c>
      <c r="C1197" s="1101"/>
      <c r="D1197" s="1102">
        <v>7.76</v>
      </c>
      <c r="E1197" s="1102">
        <v>2.4900000000000002</v>
      </c>
      <c r="F1197" s="1104">
        <v>91.28</v>
      </c>
      <c r="G1197" s="1102">
        <v>0</v>
      </c>
      <c r="H1197" s="1102">
        <v>0.04</v>
      </c>
      <c r="I1197" s="1104">
        <v>289</v>
      </c>
      <c r="J1197" s="1102">
        <v>278.60000000000002</v>
      </c>
      <c r="K1197" s="1102">
        <v>1.9890000000000001</v>
      </c>
      <c r="L1197" s="1102">
        <v>277.60000000000002</v>
      </c>
      <c r="M1197" s="1102">
        <v>0</v>
      </c>
      <c r="N1197" s="1102">
        <v>43.24</v>
      </c>
      <c r="O1197" s="1102">
        <v>172.66</v>
      </c>
      <c r="P1197" s="1102">
        <v>150.34</v>
      </c>
      <c r="Q1197" s="1102">
        <v>98.76</v>
      </c>
      <c r="R1197" s="1102">
        <v>1E-3</v>
      </c>
      <c r="S1197" s="1102">
        <v>0.04</v>
      </c>
      <c r="T1197" s="1102">
        <v>1E-3</v>
      </c>
      <c r="U1197" s="1102">
        <v>1E-3</v>
      </c>
      <c r="V1197" s="1102">
        <v>0.32</v>
      </c>
    </row>
    <row r="1198" spans="1:22" s="907" customFormat="1" x14ac:dyDescent="0.25">
      <c r="A1198" s="1100">
        <v>200263</v>
      </c>
      <c r="B1198" s="1745" t="str">
        <f>"-"&amp;TEXT((F1198/62+G1198/46+I1198/35.5+J1198/48+K1199/97+L1198/61),"0,00")&amp;"/+"&amp;TEXT((N1198/39+O1198/23+P1198/20+Q1198/12+H1198/14),"0,00")&amp;"  (EC  "&amp;E1198*10&amp;")"</f>
        <v>-33,31/+18,17  (EC  33,4)</v>
      </c>
      <c r="C1198" s="1101"/>
      <c r="D1198" s="1102">
        <v>3.26</v>
      </c>
      <c r="E1198" s="1102">
        <v>3.34</v>
      </c>
      <c r="F1198" s="1104">
        <v>930</v>
      </c>
      <c r="G1198" s="1102">
        <v>0</v>
      </c>
      <c r="H1198" s="1102">
        <v>0.08</v>
      </c>
      <c r="I1198" s="1104">
        <v>84.2</v>
      </c>
      <c r="J1198" s="1102">
        <v>114.9</v>
      </c>
      <c r="K1198" s="1104">
        <v>178.64280000000002</v>
      </c>
      <c r="L1198" s="1102">
        <v>826.3</v>
      </c>
      <c r="M1198" s="1102">
        <v>0</v>
      </c>
      <c r="N1198" s="1102">
        <v>180.13</v>
      </c>
      <c r="O1198" s="1102">
        <v>30.02</v>
      </c>
      <c r="P1198" s="1102">
        <v>163.31</v>
      </c>
      <c r="Q1198" s="1102">
        <v>48.86</v>
      </c>
      <c r="R1198" s="1102">
        <v>3.41</v>
      </c>
      <c r="S1198" s="1102">
        <v>0.39</v>
      </c>
      <c r="T1198" s="1102">
        <v>4.7</v>
      </c>
      <c r="U1198" s="1102">
        <v>1.53</v>
      </c>
      <c r="V1198" s="1102">
        <v>1.81</v>
      </c>
    </row>
    <row r="1199" spans="1:22" s="907" customFormat="1" x14ac:dyDescent="0.25">
      <c r="A1199" s="1100">
        <v>200264</v>
      </c>
      <c r="B1199" s="1745" t="str">
        <f t="shared" ref="B1199:B1202" si="37">"-"&amp;TEXT((F1199/62+G1199/46+I1199/35.5+J1199/48+K1200/97+L1199/61),"0,00")&amp;"/+"&amp;TEXT((N1199/39+O1199/23+P1199/20+Q1199/12+H1199/14),"0,00")&amp;"  (EC  "&amp;E1199*10&amp;")"</f>
        <v>-8,09/+10,03  (EC  9,1)</v>
      </c>
      <c r="C1199" s="1101"/>
      <c r="D1199" s="1102">
        <v>7.39</v>
      </c>
      <c r="E1199" s="1102">
        <v>0.91</v>
      </c>
      <c r="F1199" s="1104">
        <v>44.24</v>
      </c>
      <c r="G1199" s="1102">
        <v>0</v>
      </c>
      <c r="H1199" s="1102">
        <v>0.08</v>
      </c>
      <c r="I1199" s="1104">
        <v>60.096000000000004</v>
      </c>
      <c r="J1199" s="1102">
        <v>52</v>
      </c>
      <c r="K1199" s="1102">
        <v>0</v>
      </c>
      <c r="L1199" s="1102">
        <v>280.79999999999995</v>
      </c>
      <c r="M1199" s="1102">
        <v>0</v>
      </c>
      <c r="N1199" s="1102">
        <v>2.5099999999999998</v>
      </c>
      <c r="O1199" s="1102">
        <v>37.56</v>
      </c>
      <c r="P1199" s="1102">
        <v>81.55</v>
      </c>
      <c r="Q1199" s="1102">
        <v>50.98</v>
      </c>
      <c r="R1199" s="1102">
        <v>1E-3</v>
      </c>
      <c r="S1199" s="1102">
        <v>1E-3</v>
      </c>
      <c r="T1199" s="1102">
        <v>1E-3</v>
      </c>
      <c r="U1199" s="1102">
        <v>0.01</v>
      </c>
      <c r="V1199" s="1102">
        <v>0.09</v>
      </c>
    </row>
    <row r="1200" spans="1:22" s="907" customFormat="1" x14ac:dyDescent="0.25">
      <c r="A1200" s="1100">
        <v>200265</v>
      </c>
      <c r="B1200" s="1745" t="str">
        <f t="shared" si="37"/>
        <v>-27,07/+28,90  (EC  28,7)</v>
      </c>
      <c r="C1200" s="1101"/>
      <c r="D1200" s="1102">
        <v>7.32</v>
      </c>
      <c r="E1200" s="1102">
        <v>2.87</v>
      </c>
      <c r="F1200" s="1104">
        <v>1.23</v>
      </c>
      <c r="G1200" s="1102">
        <v>0</v>
      </c>
      <c r="H1200" s="1102">
        <v>0.09</v>
      </c>
      <c r="I1200" s="1104">
        <v>698</v>
      </c>
      <c r="J1200" s="1102">
        <v>77</v>
      </c>
      <c r="K1200" s="1102">
        <v>0</v>
      </c>
      <c r="L1200" s="1102">
        <v>352.8</v>
      </c>
      <c r="M1200" s="1102">
        <v>0</v>
      </c>
      <c r="N1200" s="1102">
        <v>7.82</v>
      </c>
      <c r="O1200" s="1102">
        <v>420.44</v>
      </c>
      <c r="P1200" s="1102">
        <v>97.82</v>
      </c>
      <c r="Q1200" s="1102">
        <v>66.290000000000006</v>
      </c>
      <c r="R1200" s="1102">
        <v>0.09</v>
      </c>
      <c r="S1200" s="1102">
        <v>1E-3</v>
      </c>
      <c r="T1200" s="1102">
        <v>0.04</v>
      </c>
      <c r="U1200" s="1102">
        <v>0.74</v>
      </c>
      <c r="V1200" s="1102">
        <v>0.19</v>
      </c>
    </row>
    <row r="1201" spans="1:22" s="907" customFormat="1" x14ac:dyDescent="0.25">
      <c r="A1201" s="1100">
        <v>200266</v>
      </c>
      <c r="B1201" s="1745" t="str">
        <f t="shared" si="37"/>
        <v>-17,93/+18,61  (EC  17,98)</v>
      </c>
      <c r="C1201" s="1101"/>
      <c r="D1201" s="1102">
        <v>7.6</v>
      </c>
      <c r="E1201" s="1102">
        <v>1.798</v>
      </c>
      <c r="F1201" s="1104">
        <v>1.01</v>
      </c>
      <c r="G1201" s="1102">
        <v>0</v>
      </c>
      <c r="H1201" s="1102">
        <v>7.0000000000000007E-2</v>
      </c>
      <c r="I1201" s="1104">
        <v>363.4</v>
      </c>
      <c r="J1201" s="1102">
        <v>202.43</v>
      </c>
      <c r="K1201" s="1102">
        <v>0</v>
      </c>
      <c r="L1201" s="1102">
        <v>211.20000000000002</v>
      </c>
      <c r="M1201" s="1102">
        <v>0</v>
      </c>
      <c r="N1201" s="1102">
        <v>3.99</v>
      </c>
      <c r="O1201" s="1102">
        <v>225.91</v>
      </c>
      <c r="P1201" s="1102">
        <v>95.99</v>
      </c>
      <c r="Q1201" s="1102">
        <v>46.6</v>
      </c>
      <c r="R1201" s="1102">
        <v>1E-3</v>
      </c>
      <c r="S1201" s="1102">
        <v>1E-3</v>
      </c>
      <c r="T1201" s="1102">
        <v>1E-3</v>
      </c>
      <c r="U1201" s="1102">
        <v>1E-3</v>
      </c>
      <c r="V1201" s="1102"/>
    </row>
    <row r="1202" spans="1:22" s="907" customFormat="1" x14ac:dyDescent="0.25">
      <c r="A1202" s="1100">
        <v>200267</v>
      </c>
      <c r="B1202" s="1745" t="str">
        <f t="shared" si="37"/>
        <v>-10,72/+11,40  (EC  10,01)</v>
      </c>
      <c r="C1202" s="1101"/>
      <c r="D1202" s="1102">
        <v>7.72</v>
      </c>
      <c r="E1202" s="1102">
        <v>1.0009999999999999</v>
      </c>
      <c r="F1202" s="1104">
        <v>1.2</v>
      </c>
      <c r="G1202" s="1102">
        <v>0</v>
      </c>
      <c r="H1202" s="1102">
        <v>0.08</v>
      </c>
      <c r="I1202" s="1104">
        <v>95.2</v>
      </c>
      <c r="J1202" s="1102">
        <v>209.17</v>
      </c>
      <c r="K1202" s="1102">
        <v>0</v>
      </c>
      <c r="L1202" s="1102">
        <v>223.20000000000002</v>
      </c>
      <c r="M1202" s="1102">
        <v>0</v>
      </c>
      <c r="N1202" s="1102">
        <v>3.18</v>
      </c>
      <c r="O1202" s="1102">
        <v>57.7</v>
      </c>
      <c r="P1202" s="1102">
        <v>71.290000000000006</v>
      </c>
      <c r="Q1202" s="1102">
        <v>62.88</v>
      </c>
      <c r="R1202" s="1102">
        <v>1E-3</v>
      </c>
      <c r="S1202" s="1102">
        <v>1E-3</v>
      </c>
      <c r="T1202" s="1102">
        <v>1E-3</v>
      </c>
      <c r="U1202" s="1102">
        <v>0.02</v>
      </c>
      <c r="V1202" s="1102"/>
    </row>
    <row r="1203" spans="1:22" s="907" customFormat="1" x14ac:dyDescent="0.25">
      <c r="A1203" s="1100">
        <v>200268</v>
      </c>
      <c r="B1203" s="1745" t="str">
        <f>"-"&amp;TEXT((F1203/62+G1203/46+I1203/35.5+J1203/48+K1203/97+L1203/61),"0,00")&amp;"/+"&amp;TEXT((N1203/39+O1203/23+P1203/20+Q1203/12+H1203/14),"0,00")&amp;"  (EC  "&amp;E1203*10&amp;")"</f>
        <v>-45,48/+44,63  (EC  44,4)</v>
      </c>
      <c r="C1203" s="1101"/>
      <c r="D1203" s="1102">
        <v>7.42</v>
      </c>
      <c r="E1203" s="1102">
        <v>4.4400000000000004</v>
      </c>
      <c r="F1203" s="1104">
        <v>60.65</v>
      </c>
      <c r="G1203" s="1102">
        <v>0</v>
      </c>
      <c r="H1203" s="1102">
        <v>0.08</v>
      </c>
      <c r="I1203" s="1104">
        <v>1182.77</v>
      </c>
      <c r="J1203" s="1104">
        <v>183.61</v>
      </c>
      <c r="K1203" s="1742">
        <v>0</v>
      </c>
      <c r="L1203" s="1102">
        <v>448.79999999999995</v>
      </c>
      <c r="M1203" s="1102">
        <v>0</v>
      </c>
      <c r="N1203" s="1742" t="s">
        <v>312</v>
      </c>
      <c r="O1203" s="1111">
        <v>676.25</v>
      </c>
      <c r="P1203" s="1102">
        <v>153.68</v>
      </c>
      <c r="Q1203" s="1742">
        <v>88.33</v>
      </c>
      <c r="R1203" s="1742">
        <v>0.02</v>
      </c>
      <c r="S1203" s="1742">
        <v>0</v>
      </c>
      <c r="T1203" s="1742">
        <v>0</v>
      </c>
      <c r="U1203" s="1742">
        <v>0</v>
      </c>
      <c r="V1203" s="1742">
        <v>0.92</v>
      </c>
    </row>
    <row r="1204" spans="1:22" s="907" customFormat="1" x14ac:dyDescent="0.25">
      <c r="A1204" s="1100">
        <v>200269</v>
      </c>
      <c r="B1204" s="1745" t="str">
        <f t="shared" ref="B1204:B1267" si="38">"-"&amp;TEXT((F1204/62+G1204/46+I1204/35.5+J1204/48+K1204/97+L1204/61),"0,00")&amp;"/+"&amp;TEXT((N1204/39+O1204/23+P1204/20+Q1204/12+H1204/14),"0,00")&amp;"  (EC  "&amp;E1204*10&amp;")"</f>
        <v>-36,45/+38,48  (EC  37,4)</v>
      </c>
      <c r="C1204" s="1101"/>
      <c r="D1204" s="1102">
        <v>7.43</v>
      </c>
      <c r="E1204" s="1102">
        <v>3.74</v>
      </c>
      <c r="F1204" s="1104">
        <v>49.44</v>
      </c>
      <c r="G1204" s="1102">
        <v>0</v>
      </c>
      <c r="H1204" s="1102">
        <v>7.0000000000000007E-2</v>
      </c>
      <c r="I1204" s="1104">
        <v>908.37000000000012</v>
      </c>
      <c r="J1204" s="1104">
        <v>188.35</v>
      </c>
      <c r="K1204" s="1742">
        <v>0</v>
      </c>
      <c r="L1204" s="1102">
        <v>374.4</v>
      </c>
      <c r="M1204" s="1102">
        <v>0</v>
      </c>
      <c r="N1204" s="1742" t="s">
        <v>573</v>
      </c>
      <c r="O1204" s="1102">
        <v>567.1</v>
      </c>
      <c r="P1204" s="1102">
        <v>143.44</v>
      </c>
      <c r="Q1204" s="1742">
        <v>78.06</v>
      </c>
      <c r="R1204" s="1742" t="s">
        <v>468</v>
      </c>
      <c r="S1204" s="1742">
        <v>0</v>
      </c>
      <c r="T1204" s="1742">
        <v>0</v>
      </c>
      <c r="U1204" s="1742">
        <v>0</v>
      </c>
      <c r="V1204" s="1742">
        <v>0.62</v>
      </c>
    </row>
    <row r="1205" spans="1:22" s="907" customFormat="1" x14ac:dyDescent="0.25">
      <c r="A1205" s="1100">
        <v>200270</v>
      </c>
      <c r="B1205" s="1745" t="str">
        <f t="shared" si="38"/>
        <v>-50,22/+51,90  (EC  51,4)</v>
      </c>
      <c r="C1205" s="1101"/>
      <c r="D1205" s="1102">
        <v>7.29</v>
      </c>
      <c r="E1205" s="1102">
        <v>5.14</v>
      </c>
      <c r="F1205" s="1104">
        <v>72.77</v>
      </c>
      <c r="G1205" s="1102">
        <v>0</v>
      </c>
      <c r="H1205" s="1102">
        <v>0.13</v>
      </c>
      <c r="I1205" s="1104">
        <v>1288.26</v>
      </c>
      <c r="J1205" s="1104">
        <v>255.23</v>
      </c>
      <c r="K1205" s="1742">
        <v>0</v>
      </c>
      <c r="L1205" s="1102">
        <v>453.59999999999997</v>
      </c>
      <c r="M1205" s="1102">
        <v>0</v>
      </c>
      <c r="N1205" s="1742" t="s">
        <v>228</v>
      </c>
      <c r="O1205" s="1102">
        <v>792.54</v>
      </c>
      <c r="P1205" s="1102">
        <v>179.99</v>
      </c>
      <c r="Q1205" s="1102">
        <v>98.93</v>
      </c>
      <c r="R1205" s="1742">
        <v>0.46</v>
      </c>
      <c r="S1205" s="1742">
        <v>0</v>
      </c>
      <c r="T1205" s="1742">
        <v>0</v>
      </c>
      <c r="U1205" s="1742">
        <v>0</v>
      </c>
      <c r="V1205" s="1742">
        <v>0.87</v>
      </c>
    </row>
    <row r="1206" spans="1:22" s="907" customFormat="1" x14ac:dyDescent="0.25">
      <c r="A1206" s="1100">
        <v>200271</v>
      </c>
      <c r="B1206" s="1745" t="str">
        <f t="shared" si="38"/>
        <v>-6,45/+6,21  (EC  5,87)</v>
      </c>
      <c r="C1206" s="1101"/>
      <c r="D1206" s="1102">
        <v>7.7</v>
      </c>
      <c r="E1206" s="1102">
        <v>0.58699999999999997</v>
      </c>
      <c r="F1206" s="1104">
        <v>1.2</v>
      </c>
      <c r="G1206" s="1102">
        <v>0</v>
      </c>
      <c r="H1206" s="1102">
        <v>0.09</v>
      </c>
      <c r="I1206" s="1104">
        <v>30.738</v>
      </c>
      <c r="J1206" s="1104">
        <v>87.9</v>
      </c>
      <c r="K1206" s="1742">
        <v>0</v>
      </c>
      <c r="L1206" s="1102">
        <v>228</v>
      </c>
      <c r="M1206" s="1102">
        <v>0</v>
      </c>
      <c r="N1206" s="1742" t="s">
        <v>574</v>
      </c>
      <c r="O1206" s="1102">
        <v>18.579999999999998</v>
      </c>
      <c r="P1206" s="1102">
        <v>62.13</v>
      </c>
      <c r="Q1206" s="1102">
        <v>26.52</v>
      </c>
      <c r="R1206" s="1742">
        <v>0.01</v>
      </c>
      <c r="S1206" s="1742">
        <v>0</v>
      </c>
      <c r="T1206" s="1742">
        <v>0</v>
      </c>
      <c r="U1206" s="1742">
        <v>0</v>
      </c>
      <c r="V1206" s="1742">
        <v>0.01</v>
      </c>
    </row>
    <row r="1207" spans="1:22" s="907" customFormat="1" x14ac:dyDescent="0.25">
      <c r="A1207" s="1100">
        <v>200272</v>
      </c>
      <c r="B1207" s="1745" t="str">
        <f t="shared" si="38"/>
        <v>-15,64/+14,39  (EC  14,25)</v>
      </c>
      <c r="C1207" s="1101"/>
      <c r="D1207" s="1102">
        <v>7.58</v>
      </c>
      <c r="E1207" s="1102">
        <v>1.425</v>
      </c>
      <c r="F1207" s="1104">
        <v>87.54</v>
      </c>
      <c r="G1207" s="1102">
        <v>0</v>
      </c>
      <c r="H1207" s="1102">
        <v>7.0000000000000007E-2</v>
      </c>
      <c r="I1207" s="1104">
        <v>271.49</v>
      </c>
      <c r="J1207" s="1104">
        <v>75</v>
      </c>
      <c r="K1207" s="1742">
        <f>0.69*3.06</f>
        <v>2.1113999999999997</v>
      </c>
      <c r="L1207" s="1102">
        <v>304.79999999999995</v>
      </c>
      <c r="M1207" s="1102">
        <v>0</v>
      </c>
      <c r="N1207" s="1742" t="s">
        <v>575</v>
      </c>
      <c r="O1207" s="1102">
        <v>169.05</v>
      </c>
      <c r="P1207" s="1102">
        <v>63.71</v>
      </c>
      <c r="Q1207" s="1102">
        <v>45.02</v>
      </c>
      <c r="R1207" s="1742">
        <v>0.04</v>
      </c>
      <c r="S1207" s="1742">
        <v>0</v>
      </c>
      <c r="T1207" s="1742">
        <v>0</v>
      </c>
      <c r="U1207" s="1742">
        <v>0</v>
      </c>
      <c r="V1207" s="1742">
        <v>0.27</v>
      </c>
    </row>
    <row r="1208" spans="1:22" s="907" customFormat="1" x14ac:dyDescent="0.25">
      <c r="A1208" s="1100">
        <v>200273</v>
      </c>
      <c r="B1208" s="1745" t="str">
        <f t="shared" si="38"/>
        <v>-6,91/+7,66  (EC  7)</v>
      </c>
      <c r="C1208" s="1101"/>
      <c r="D1208" s="1102">
        <v>7.64</v>
      </c>
      <c r="E1208" s="1102">
        <v>0.7</v>
      </c>
      <c r="F1208" s="1104">
        <v>28.13</v>
      </c>
      <c r="G1208" s="1102">
        <v>0</v>
      </c>
      <c r="H1208" s="1102">
        <v>0.12</v>
      </c>
      <c r="I1208" s="1104">
        <v>31.842000000000002</v>
      </c>
      <c r="J1208" s="1104">
        <v>15.47</v>
      </c>
      <c r="K1208" s="1742">
        <v>0</v>
      </c>
      <c r="L1208" s="1102">
        <v>319.20000000000005</v>
      </c>
      <c r="M1208" s="1102">
        <v>0</v>
      </c>
      <c r="N1208" s="1742">
        <v>2.2799999999999998</v>
      </c>
      <c r="O1208" s="1102">
        <v>19.27</v>
      </c>
      <c r="P1208" s="1102">
        <v>66.37</v>
      </c>
      <c r="Q1208" s="1742">
        <v>41.21</v>
      </c>
      <c r="R1208" s="1742" t="s">
        <v>468</v>
      </c>
      <c r="S1208" s="1742">
        <v>0</v>
      </c>
      <c r="T1208" s="1742">
        <v>0</v>
      </c>
      <c r="U1208" s="1742">
        <v>0.01</v>
      </c>
      <c r="V1208" s="1742">
        <v>0.01</v>
      </c>
    </row>
    <row r="1209" spans="1:22" s="907" customFormat="1" x14ac:dyDescent="0.25">
      <c r="A1209" s="1100">
        <v>200274</v>
      </c>
      <c r="B1209" s="1745" t="str">
        <f t="shared" si="38"/>
        <v>-8,04/+8,63  (EC  7,77)</v>
      </c>
      <c r="C1209" s="1101"/>
      <c r="D1209" s="1102">
        <v>7.74</v>
      </c>
      <c r="E1209" s="1735">
        <v>0.77700000000000002</v>
      </c>
      <c r="F1209" s="1104">
        <v>58.85</v>
      </c>
      <c r="G1209" s="1102">
        <v>0</v>
      </c>
      <c r="H1209" s="1102">
        <v>0.12</v>
      </c>
      <c r="I1209" s="1104">
        <v>35.137999999999998</v>
      </c>
      <c r="J1209" s="1104">
        <v>30.48</v>
      </c>
      <c r="K1209" s="1742">
        <v>0</v>
      </c>
      <c r="L1209" s="1102">
        <v>333.6</v>
      </c>
      <c r="M1209" s="1102">
        <v>0</v>
      </c>
      <c r="N1209" s="1742" t="s">
        <v>576</v>
      </c>
      <c r="O1209" s="1102">
        <v>21.33</v>
      </c>
      <c r="P1209" s="1742">
        <v>75.05</v>
      </c>
      <c r="Q1209" s="1742">
        <v>46.53</v>
      </c>
      <c r="R1209" s="1742">
        <v>0</v>
      </c>
      <c r="S1209" s="1742">
        <v>0</v>
      </c>
      <c r="T1209" s="1742">
        <v>0</v>
      </c>
      <c r="U1209" s="1742">
        <v>0</v>
      </c>
      <c r="V1209" s="1742">
        <v>0.01</v>
      </c>
    </row>
    <row r="1210" spans="1:22" s="907" customFormat="1" x14ac:dyDescent="0.25">
      <c r="A1210" s="1100">
        <v>200275</v>
      </c>
      <c r="B1210" s="1745" t="str">
        <f t="shared" si="38"/>
        <v>-31,96/+31,45  (EC  30,1)</v>
      </c>
      <c r="C1210" s="1101"/>
      <c r="D1210" s="1102">
        <v>7.46</v>
      </c>
      <c r="E1210" s="1735">
        <v>3.01</v>
      </c>
      <c r="F1210" s="1104">
        <v>1.1100000000000001</v>
      </c>
      <c r="G1210" s="1102">
        <v>0</v>
      </c>
      <c r="H1210" s="1102">
        <v>0.09</v>
      </c>
      <c r="I1210" s="1104">
        <v>399.17</v>
      </c>
      <c r="J1210" s="1104">
        <v>757.25</v>
      </c>
      <c r="K1210" s="1742">
        <v>0</v>
      </c>
      <c r="L1210" s="1102">
        <v>300</v>
      </c>
      <c r="M1210" s="1102">
        <v>0</v>
      </c>
      <c r="N1210" s="1742" t="s">
        <v>577</v>
      </c>
      <c r="O1210" s="1102">
        <v>248.85</v>
      </c>
      <c r="P1210" s="1111">
        <v>211.82</v>
      </c>
      <c r="Q1210" s="1111">
        <v>118.22</v>
      </c>
      <c r="R1210" s="1742">
        <v>0.21</v>
      </c>
      <c r="S1210" s="1742">
        <v>0</v>
      </c>
      <c r="T1210" s="1742">
        <v>0</v>
      </c>
      <c r="U1210" s="1742">
        <v>0</v>
      </c>
      <c r="V1210" s="1742">
        <v>0.27</v>
      </c>
    </row>
    <row r="1211" spans="1:22" s="907" customFormat="1" x14ac:dyDescent="0.25">
      <c r="A1211" s="1100">
        <v>200276</v>
      </c>
      <c r="B1211" s="1745" t="str">
        <f t="shared" si="38"/>
        <v>-33,86/+33,96  (EC  32,2)</v>
      </c>
      <c r="C1211" s="1101"/>
      <c r="D1211" s="1102">
        <v>7.16</v>
      </c>
      <c r="E1211" s="1735">
        <v>3.22</v>
      </c>
      <c r="F1211" s="1104">
        <v>10.67</v>
      </c>
      <c r="G1211" s="1102">
        <v>0</v>
      </c>
      <c r="H1211" s="1102">
        <v>0.11</v>
      </c>
      <c r="I1211" s="1104">
        <f>O1211*1.6</f>
        <v>360.32</v>
      </c>
      <c r="J1211" s="1104">
        <v>820.33</v>
      </c>
      <c r="K1211" s="1742">
        <v>0</v>
      </c>
      <c r="L1211" s="1102">
        <v>393.59999999999997</v>
      </c>
      <c r="M1211" s="1102">
        <v>0</v>
      </c>
      <c r="N1211" s="1102" t="s">
        <v>578</v>
      </c>
      <c r="O1211" s="1111">
        <v>225.2</v>
      </c>
      <c r="P1211" s="1111">
        <v>230.66</v>
      </c>
      <c r="Q1211" s="1111">
        <v>150.31</v>
      </c>
      <c r="R1211" s="1102">
        <v>0.55000000000000004</v>
      </c>
      <c r="S1211" s="1742">
        <v>0</v>
      </c>
      <c r="T1211" s="1102">
        <v>0</v>
      </c>
      <c r="U1211" s="1742">
        <v>0</v>
      </c>
      <c r="V1211" s="1742">
        <v>0.23</v>
      </c>
    </row>
    <row r="1212" spans="1:22" s="907" customFormat="1" x14ac:dyDescent="0.25">
      <c r="A1212" s="1100">
        <v>200277</v>
      </c>
      <c r="B1212" s="1745" t="str">
        <f t="shared" si="38"/>
        <v>-31,87/+31,26  (EC  30)</v>
      </c>
      <c r="C1212" s="1101"/>
      <c r="D1212" s="1102">
        <v>7.3</v>
      </c>
      <c r="E1212" s="1735">
        <v>3</v>
      </c>
      <c r="F1212" s="1104">
        <v>1.1299999999999999</v>
      </c>
      <c r="G1212" s="1102">
        <v>0</v>
      </c>
      <c r="H1212" s="1102">
        <v>0.14000000000000001</v>
      </c>
      <c r="I1212" s="1104">
        <v>399.10599999999999</v>
      </c>
      <c r="J1212" s="1104">
        <v>738.23</v>
      </c>
      <c r="K1212" s="1742">
        <v>0</v>
      </c>
      <c r="L1212" s="1102">
        <v>319.20000000000005</v>
      </c>
      <c r="M1212" s="1102">
        <v>0</v>
      </c>
      <c r="N1212" s="1742">
        <v>7.84</v>
      </c>
      <c r="O1212" s="1102">
        <v>248.81</v>
      </c>
      <c r="P1212" s="1102">
        <v>212.99</v>
      </c>
      <c r="Q1212" s="1102">
        <v>115.03</v>
      </c>
      <c r="R1212" s="1742">
        <v>0.26</v>
      </c>
      <c r="S1212" s="1742">
        <v>0</v>
      </c>
      <c r="T1212" s="1742">
        <v>0</v>
      </c>
      <c r="U1212" s="1742">
        <v>0</v>
      </c>
      <c r="V1212" s="1742">
        <v>0.3</v>
      </c>
    </row>
    <row r="1213" spans="1:22" s="907" customFormat="1" x14ac:dyDescent="0.25">
      <c r="A1213" s="1100">
        <v>200278</v>
      </c>
      <c r="B1213" s="1745" t="str">
        <f t="shared" si="38"/>
        <v>-38,68/+38,79  (EC  37,1)</v>
      </c>
      <c r="C1213" s="1101"/>
      <c r="D1213" s="1102">
        <v>7.27</v>
      </c>
      <c r="E1213" s="1102">
        <v>3.71</v>
      </c>
      <c r="F1213" s="1104">
        <v>1.21</v>
      </c>
      <c r="G1213" s="1102">
        <v>0</v>
      </c>
      <c r="H1213" s="1102">
        <v>0.13</v>
      </c>
      <c r="I1213" s="1104">
        <f>O1213*1.6</f>
        <v>578.25600000000009</v>
      </c>
      <c r="J1213" s="1104">
        <v>832.25</v>
      </c>
      <c r="K1213" s="1742">
        <v>0</v>
      </c>
      <c r="L1213" s="1102">
        <v>307.20000000000005</v>
      </c>
      <c r="M1213" s="1102">
        <v>0</v>
      </c>
      <c r="N1213" s="1742">
        <v>10.1</v>
      </c>
      <c r="O1213" s="1111">
        <v>361.41</v>
      </c>
      <c r="P1213" s="1111">
        <v>230.33</v>
      </c>
      <c r="Q1213" s="1111">
        <v>135.52000000000001</v>
      </c>
      <c r="R1213" s="1742">
        <v>0.04</v>
      </c>
      <c r="S1213" s="1742">
        <v>0</v>
      </c>
      <c r="T1213" s="1742">
        <v>0</v>
      </c>
      <c r="U1213" s="1742" t="s">
        <v>467</v>
      </c>
      <c r="V1213" s="1742">
        <v>0.44</v>
      </c>
    </row>
    <row r="1214" spans="1:22" s="1749" customFormat="1" x14ac:dyDescent="0.25">
      <c r="A1214" s="1747">
        <v>200279</v>
      </c>
      <c r="B1214" s="1745" t="str">
        <f t="shared" si="38"/>
        <v>-28,87/+29,43  (EC  28,1)</v>
      </c>
      <c r="C1214" s="1748"/>
      <c r="D1214" s="1735">
        <v>7.27</v>
      </c>
      <c r="E1214" s="1735">
        <v>2.81</v>
      </c>
      <c r="F1214" s="1739">
        <v>1.18</v>
      </c>
      <c r="G1214" s="1735">
        <v>0</v>
      </c>
      <c r="H1214" s="1735">
        <v>0.09</v>
      </c>
      <c r="I1214" s="1739">
        <v>386.178</v>
      </c>
      <c r="J1214" s="1739">
        <f>122.64*5</f>
        <v>613.20000000000005</v>
      </c>
      <c r="K1214" s="1735">
        <f>0.01*3.06</f>
        <v>3.0600000000000002E-2</v>
      </c>
      <c r="L1214" s="1735">
        <v>316.79999999999995</v>
      </c>
      <c r="M1214" s="1735">
        <v>0</v>
      </c>
      <c r="N1214" s="1735">
        <v>9.68</v>
      </c>
      <c r="O1214" s="1735">
        <v>240.73</v>
      </c>
      <c r="P1214" s="1735">
        <v>197.63</v>
      </c>
      <c r="Q1214" s="1735">
        <v>105.98</v>
      </c>
      <c r="R1214" s="1735" t="s">
        <v>582</v>
      </c>
      <c r="S1214" s="1735">
        <v>0</v>
      </c>
      <c r="T1214" s="1735">
        <v>0.02</v>
      </c>
      <c r="U1214" s="1735">
        <v>0.73</v>
      </c>
      <c r="V1214" s="1735">
        <v>0.28999999999999998</v>
      </c>
    </row>
    <row r="1215" spans="1:22" s="1749" customFormat="1" x14ac:dyDescent="0.25">
      <c r="A1215" s="1747">
        <v>200280</v>
      </c>
      <c r="B1215" s="1745" t="str">
        <f t="shared" si="38"/>
        <v>-30,75/+30,44  (EC  29,1)</v>
      </c>
      <c r="C1215" s="1748"/>
      <c r="D1215" s="1735">
        <v>7.31</v>
      </c>
      <c r="E1215" s="1735">
        <v>2.91</v>
      </c>
      <c r="F1215" s="1739">
        <v>1.1499999999999999</v>
      </c>
      <c r="G1215" s="1735">
        <v>0</v>
      </c>
      <c r="H1215" s="1735">
        <v>7.0000000000000007E-2</v>
      </c>
      <c r="I1215" s="1739">
        <v>487.05799999999999</v>
      </c>
      <c r="J1215" s="1739">
        <f>114.23*5</f>
        <v>571.15</v>
      </c>
      <c r="K1215" s="1735">
        <v>0</v>
      </c>
      <c r="L1215" s="1735">
        <v>312</v>
      </c>
      <c r="M1215" s="1735">
        <v>0</v>
      </c>
      <c r="N1215" s="1735">
        <v>9.91</v>
      </c>
      <c r="O1215" s="1735">
        <v>303.77999999999997</v>
      </c>
      <c r="P1215" s="1735">
        <v>173.47</v>
      </c>
      <c r="Q1215" s="1735">
        <v>99.61</v>
      </c>
      <c r="R1215" s="1735">
        <v>0.4</v>
      </c>
      <c r="S1215" s="1735">
        <v>0</v>
      </c>
      <c r="T1215" s="1735">
        <v>0.01</v>
      </c>
      <c r="U1215" s="1735" t="s">
        <v>584</v>
      </c>
      <c r="V1215" s="1735">
        <v>0.4</v>
      </c>
    </row>
    <row r="1216" spans="1:22" s="907" customFormat="1" x14ac:dyDescent="0.25">
      <c r="A1216" s="1100">
        <v>200281</v>
      </c>
      <c r="B1216" s="1745" t="str">
        <f t="shared" si="38"/>
        <v>-41,65/+41,66  (EC  40,2)</v>
      </c>
      <c r="C1216" s="1101"/>
      <c r="D1216" s="1102">
        <v>7.41</v>
      </c>
      <c r="E1216" s="1102">
        <v>4.0199999999999996</v>
      </c>
      <c r="F1216" s="1104">
        <v>1.19</v>
      </c>
      <c r="G1216" s="1102">
        <v>0</v>
      </c>
      <c r="H1216" s="1102">
        <v>7.0000000000000007E-2</v>
      </c>
      <c r="I1216" s="1104">
        <v>695.2</v>
      </c>
      <c r="J1216" s="1104">
        <v>822.3</v>
      </c>
      <c r="K1216" s="1102">
        <v>0</v>
      </c>
      <c r="L1216" s="1102">
        <v>300</v>
      </c>
      <c r="M1216" s="1102">
        <v>0</v>
      </c>
      <c r="N1216" s="1102">
        <v>11.33</v>
      </c>
      <c r="O1216" s="1111">
        <v>440.13</v>
      </c>
      <c r="P1216" s="1111">
        <v>225.44</v>
      </c>
      <c r="Q1216" s="1111">
        <v>131.44999999999999</v>
      </c>
      <c r="R1216" s="1102" t="s">
        <v>468</v>
      </c>
      <c r="S1216" s="1102">
        <v>0</v>
      </c>
      <c r="T1216" s="1102">
        <v>0.01</v>
      </c>
      <c r="U1216" s="1102">
        <v>0.14000000000000001</v>
      </c>
      <c r="V1216" s="1102">
        <v>0.61</v>
      </c>
    </row>
    <row r="1217" spans="1:22" s="907" customFormat="1" x14ac:dyDescent="0.25">
      <c r="A1217" s="1100">
        <v>200282</v>
      </c>
      <c r="B1217" s="1745" t="str">
        <f t="shared" si="38"/>
        <v>-31,78/+31,26  (EC  30,1)</v>
      </c>
      <c r="C1217" s="1101"/>
      <c r="D1217" s="1102">
        <v>7.36</v>
      </c>
      <c r="E1217" s="1102">
        <v>3.01</v>
      </c>
      <c r="F1217" s="1104">
        <v>1.22</v>
      </c>
      <c r="G1217" s="1102">
        <v>0</v>
      </c>
      <c r="H1217" s="1102">
        <v>0.1</v>
      </c>
      <c r="I1217" s="1104">
        <v>383.666</v>
      </c>
      <c r="J1217" s="1104">
        <v>775.23</v>
      </c>
      <c r="K1217" s="1102">
        <v>0</v>
      </c>
      <c r="L1217" s="1102">
        <v>292.79999999999995</v>
      </c>
      <c r="M1217" s="1102">
        <v>0</v>
      </c>
      <c r="N1217" s="1102" t="s">
        <v>579</v>
      </c>
      <c r="O1217" s="1102">
        <v>239.16</v>
      </c>
      <c r="P1217" s="1111">
        <v>225.01</v>
      </c>
      <c r="Q1217" s="1111">
        <v>112.45</v>
      </c>
      <c r="R1217" s="1102" t="s">
        <v>583</v>
      </c>
      <c r="S1217" s="1102">
        <v>0</v>
      </c>
      <c r="T1217" s="1102">
        <v>0</v>
      </c>
      <c r="U1217" s="1102">
        <v>0</v>
      </c>
      <c r="V1217" s="1102">
        <v>0.32</v>
      </c>
    </row>
    <row r="1218" spans="1:22" s="907" customFormat="1" x14ac:dyDescent="0.25">
      <c r="A1218" s="1100">
        <v>200283</v>
      </c>
      <c r="B1218" s="1745" t="str">
        <f t="shared" si="38"/>
        <v>-30,96/+29,09  (EC  29,2)</v>
      </c>
      <c r="C1218" s="1101"/>
      <c r="D1218" s="1102">
        <v>7.46</v>
      </c>
      <c r="E1218" s="1102">
        <v>2.92</v>
      </c>
      <c r="F1218" s="1104">
        <v>1.34</v>
      </c>
      <c r="G1218" s="1102">
        <v>0</v>
      </c>
      <c r="H1218" s="1102">
        <v>0.13</v>
      </c>
      <c r="I1218" s="1104">
        <v>358.46600000000001</v>
      </c>
      <c r="J1218" s="1104">
        <v>768.23</v>
      </c>
      <c r="K1218" s="1102">
        <v>0</v>
      </c>
      <c r="L1218" s="1102">
        <v>295.20000000000005</v>
      </c>
      <c r="M1218" s="1102">
        <v>0</v>
      </c>
      <c r="N1218" s="1102" t="s">
        <v>580</v>
      </c>
      <c r="O1218" s="1102">
        <v>223.41</v>
      </c>
      <c r="P1218" s="1102">
        <v>199.47</v>
      </c>
      <c r="Q1218" s="1111">
        <v>110.25</v>
      </c>
      <c r="R1218" s="1102" t="s">
        <v>468</v>
      </c>
      <c r="S1218" s="1102">
        <v>0</v>
      </c>
      <c r="T1218" s="1102">
        <v>0</v>
      </c>
      <c r="U1218" s="1102">
        <v>0</v>
      </c>
      <c r="V1218" s="1102">
        <v>0.28999999999999998</v>
      </c>
    </row>
    <row r="1219" spans="1:22" s="907" customFormat="1" x14ac:dyDescent="0.25">
      <c r="A1219" s="1100">
        <v>200284</v>
      </c>
      <c r="B1219" s="1745" t="str">
        <f t="shared" si="38"/>
        <v>-36,32/+36,25  (EC  35)</v>
      </c>
      <c r="C1219" s="1101"/>
      <c r="D1219" s="1102">
        <v>7.25</v>
      </c>
      <c r="E1219" s="1102">
        <v>3.5</v>
      </c>
      <c r="F1219" s="1104">
        <v>1.24</v>
      </c>
      <c r="G1219" s="1102">
        <v>0</v>
      </c>
      <c r="H1219" s="1102">
        <v>0.11</v>
      </c>
      <c r="I1219" s="1104">
        <v>450.834</v>
      </c>
      <c r="J1219" s="1104">
        <v>902.2</v>
      </c>
      <c r="K1219" s="1102">
        <v>0</v>
      </c>
      <c r="L1219" s="1102">
        <v>292.79999999999995</v>
      </c>
      <c r="M1219" s="1102">
        <v>0</v>
      </c>
      <c r="N1219" s="1102">
        <v>10.75</v>
      </c>
      <c r="O1219" s="1102">
        <v>281.14</v>
      </c>
      <c r="P1219" s="1102">
        <v>266.20999999999998</v>
      </c>
      <c r="Q1219" s="1111">
        <v>125.24</v>
      </c>
      <c r="R1219" s="1102" t="s">
        <v>467</v>
      </c>
      <c r="S1219" s="1102">
        <v>0</v>
      </c>
      <c r="T1219" s="1102">
        <v>0</v>
      </c>
      <c r="U1219" s="1102">
        <v>7.0000000000000007E-2</v>
      </c>
      <c r="V1219" s="1102">
        <v>0.32</v>
      </c>
    </row>
    <row r="1220" spans="1:22" s="907" customFormat="1" x14ac:dyDescent="0.25">
      <c r="A1220" s="1100">
        <v>200285</v>
      </c>
      <c r="B1220" s="1745" t="str">
        <f t="shared" si="38"/>
        <v>-29,78/+29,43  (EC  28,16)</v>
      </c>
      <c r="C1220" s="1101"/>
      <c r="D1220" s="1102">
        <v>7.33</v>
      </c>
      <c r="E1220" s="1102">
        <v>2.8159999999999998</v>
      </c>
      <c r="F1220" s="1104">
        <v>1.17</v>
      </c>
      <c r="G1220" s="1102">
        <v>0</v>
      </c>
      <c r="H1220" s="1102">
        <v>0.14000000000000001</v>
      </c>
      <c r="I1220" s="1104">
        <v>405.90600000000001</v>
      </c>
      <c r="J1220" s="1104">
        <v>630.21</v>
      </c>
      <c r="K1220" s="1102">
        <v>0</v>
      </c>
      <c r="L1220" s="1102">
        <v>316.79999999999995</v>
      </c>
      <c r="M1220" s="1102">
        <v>0</v>
      </c>
      <c r="N1220" s="1102">
        <v>9.1199999999999992</v>
      </c>
      <c r="O1220" s="1102">
        <v>253.06</v>
      </c>
      <c r="P1220" s="1102">
        <v>176.54</v>
      </c>
      <c r="Q1220" s="1111">
        <v>112.22</v>
      </c>
      <c r="R1220" s="1102" t="s">
        <v>468</v>
      </c>
      <c r="S1220" s="1102">
        <v>0</v>
      </c>
      <c r="T1220" s="1102">
        <v>0</v>
      </c>
      <c r="U1220" s="1102">
        <v>0.18</v>
      </c>
      <c r="V1220" s="1102">
        <v>0.37</v>
      </c>
    </row>
    <row r="1221" spans="1:22" s="907" customFormat="1" x14ac:dyDescent="0.25">
      <c r="A1221" s="1100">
        <v>200286</v>
      </c>
      <c r="B1221" s="1745" t="str">
        <f t="shared" si="38"/>
        <v>-133,86/+134,94  (EC  129)</v>
      </c>
      <c r="C1221" s="1101"/>
      <c r="D1221" s="1102">
        <v>7.81</v>
      </c>
      <c r="E1221" s="1102">
        <v>12.9</v>
      </c>
      <c r="F1221" s="1104">
        <v>1.1599999999999999</v>
      </c>
      <c r="G1221" s="1102">
        <v>0</v>
      </c>
      <c r="H1221" s="1102">
        <v>7.0000000000000007E-2</v>
      </c>
      <c r="I1221" s="1104">
        <v>2642.2580000000003</v>
      </c>
      <c r="J1221" s="1104">
        <v>2604.1999999999998</v>
      </c>
      <c r="K1221" s="1102">
        <f>3.06*0.02</f>
        <v>6.1200000000000004E-2</v>
      </c>
      <c r="L1221" s="1102">
        <v>314.39999999999998</v>
      </c>
      <c r="M1221" s="1102">
        <v>0</v>
      </c>
      <c r="N1221" s="1102" t="s">
        <v>581</v>
      </c>
      <c r="O1221" s="1102">
        <v>1650.78</v>
      </c>
      <c r="P1221" s="1102">
        <v>410.15</v>
      </c>
      <c r="Q1221" s="1102">
        <v>497.17</v>
      </c>
      <c r="R1221" s="1102">
        <v>0</v>
      </c>
      <c r="S1221" s="1102">
        <v>0</v>
      </c>
      <c r="T1221" s="1102">
        <v>0.01</v>
      </c>
      <c r="U1221" s="1102">
        <v>0</v>
      </c>
      <c r="V1221" s="1102">
        <v>0.4</v>
      </c>
    </row>
    <row r="1222" spans="1:22" s="907" customFormat="1" x14ac:dyDescent="0.25">
      <c r="A1222" s="1100">
        <v>200287</v>
      </c>
      <c r="B1222" s="1745" t="str">
        <f t="shared" si="38"/>
        <v>-8,83/+8,75  (EC  7,78)</v>
      </c>
      <c r="C1222" s="1101"/>
      <c r="D1222" s="1102">
        <v>7.84</v>
      </c>
      <c r="E1222" s="1102">
        <v>0.77800000000000002</v>
      </c>
      <c r="F1222" s="1104">
        <v>0.25</v>
      </c>
      <c r="G1222" s="1102">
        <v>0</v>
      </c>
      <c r="H1222" s="1102">
        <v>0.05</v>
      </c>
      <c r="I1222" s="1104">
        <v>101.25</v>
      </c>
      <c r="J1222" s="1102">
        <v>38.26</v>
      </c>
      <c r="K1222" s="1102">
        <f>0.01*3.06</f>
        <v>3.0600000000000002E-2</v>
      </c>
      <c r="L1222" s="1102">
        <v>315.83999999999997</v>
      </c>
      <c r="M1222" s="1102">
        <v>0</v>
      </c>
      <c r="N1222" s="906">
        <v>1.68</v>
      </c>
      <c r="O1222" s="906">
        <v>63.28</v>
      </c>
      <c r="P1222" s="906">
        <v>85.89</v>
      </c>
      <c r="Q1222" s="906">
        <v>19.95</v>
      </c>
      <c r="R1222" s="1102">
        <v>0.1</v>
      </c>
      <c r="S1222" s="1102">
        <v>1E-3</v>
      </c>
      <c r="T1222" s="1102">
        <v>1E-3</v>
      </c>
      <c r="U1222" s="1102">
        <v>1E-3</v>
      </c>
      <c r="V1222" s="1102">
        <v>0.01</v>
      </c>
    </row>
    <row r="1223" spans="1:22" s="907" customFormat="1" x14ac:dyDescent="0.25">
      <c r="A1223" s="1100">
        <v>200288</v>
      </c>
      <c r="B1223" s="1745" t="str">
        <f t="shared" si="38"/>
        <v>-18,70/+16,93  (EC  17,9)</v>
      </c>
      <c r="C1223" s="1101"/>
      <c r="D1223" s="1102">
        <v>7.89</v>
      </c>
      <c r="E1223" s="1102">
        <v>1.79</v>
      </c>
      <c r="F1223" s="1104">
        <v>1.01</v>
      </c>
      <c r="G1223" s="1102">
        <v>0</v>
      </c>
      <c r="H1223" s="1102">
        <v>0.11</v>
      </c>
      <c r="I1223" s="1104">
        <v>310.14999999999998</v>
      </c>
      <c r="J1223" s="1102">
        <v>298.09999999999997</v>
      </c>
      <c r="K1223" s="1102">
        <v>0</v>
      </c>
      <c r="L1223" s="1102">
        <v>228</v>
      </c>
      <c r="M1223" s="1102">
        <v>0</v>
      </c>
      <c r="N1223" s="1102">
        <v>3.14</v>
      </c>
      <c r="O1223" s="1102">
        <v>194.45</v>
      </c>
      <c r="P1223" s="1102">
        <v>91.6</v>
      </c>
      <c r="Q1223" s="1102">
        <v>45.68</v>
      </c>
      <c r="R1223" s="1102">
        <v>0.01</v>
      </c>
      <c r="S1223" s="1102">
        <v>1E-3</v>
      </c>
      <c r="T1223" s="1102">
        <v>1E-3</v>
      </c>
      <c r="U1223" s="1102">
        <v>1E-3</v>
      </c>
      <c r="V1223" s="1102">
        <v>7.0000000000000007E-2</v>
      </c>
    </row>
    <row r="1224" spans="1:22" s="907" customFormat="1" x14ac:dyDescent="0.25">
      <c r="A1224" s="1100">
        <v>200289</v>
      </c>
      <c r="B1224" s="1745" t="str">
        <f t="shared" si="38"/>
        <v>-18,97/+16,99  (EC  17,8)</v>
      </c>
      <c r="C1224" s="1101"/>
      <c r="D1224" s="1102">
        <v>8.08</v>
      </c>
      <c r="E1224" s="1102">
        <v>1.78</v>
      </c>
      <c r="F1224" s="1104">
        <v>1.02</v>
      </c>
      <c r="G1224" s="1102">
        <v>0</v>
      </c>
      <c r="H1224" s="1102">
        <v>0.1</v>
      </c>
      <c r="I1224" s="1104">
        <v>326.24</v>
      </c>
      <c r="J1224" s="1102">
        <v>325.23</v>
      </c>
      <c r="K1224" s="1102">
        <v>0</v>
      </c>
      <c r="L1224" s="1102">
        <v>182.39999999999998</v>
      </c>
      <c r="M1224" s="1102">
        <v>0</v>
      </c>
      <c r="N1224" s="1102">
        <v>2.69</v>
      </c>
      <c r="O1224" s="1102">
        <v>202.6</v>
      </c>
      <c r="P1224" s="1102">
        <v>91.26</v>
      </c>
      <c r="Q1224" s="1102">
        <v>42.54</v>
      </c>
      <c r="R1224" s="1102">
        <v>1E-3</v>
      </c>
      <c r="S1224" s="1102">
        <v>1E-3</v>
      </c>
      <c r="T1224" s="1102">
        <v>1E-3</v>
      </c>
      <c r="U1224" s="1102">
        <v>0.01</v>
      </c>
      <c r="V1224" s="1102">
        <v>7.0000000000000007E-2</v>
      </c>
    </row>
    <row r="1225" spans="1:22" s="907" customFormat="1" x14ac:dyDescent="0.25">
      <c r="A1225" s="1100">
        <v>200290</v>
      </c>
      <c r="B1225" s="1745" t="str">
        <f t="shared" si="38"/>
        <v>-11,65/+11,60  (EC  10,4)</v>
      </c>
      <c r="C1225" s="1101"/>
      <c r="D1225" s="1102">
        <v>7.54</v>
      </c>
      <c r="E1225" s="1102">
        <v>1.04</v>
      </c>
      <c r="F1225" s="1104">
        <v>93.72</v>
      </c>
      <c r="G1225" s="1102">
        <v>0</v>
      </c>
      <c r="H1225" s="1102">
        <v>0.08</v>
      </c>
      <c r="I1225" s="1104">
        <v>54.44</v>
      </c>
      <c r="J1225" s="1102">
        <v>104.94</v>
      </c>
      <c r="K1225" s="1102">
        <v>0.2142</v>
      </c>
      <c r="L1225" s="1102">
        <v>391.20000000000005</v>
      </c>
      <c r="M1225" s="1102">
        <v>0</v>
      </c>
      <c r="N1225" s="1102">
        <v>6.68</v>
      </c>
      <c r="O1225" s="1102">
        <v>32.49</v>
      </c>
      <c r="P1225" s="1102">
        <v>105.2</v>
      </c>
      <c r="Q1225" s="1102">
        <v>57.02</v>
      </c>
      <c r="R1225" s="1102">
        <v>0.01</v>
      </c>
      <c r="S1225" s="1102">
        <v>1E-3</v>
      </c>
      <c r="T1225" s="1102">
        <v>1E-3</v>
      </c>
      <c r="U1225" s="1102">
        <v>1E-3</v>
      </c>
      <c r="V1225" s="1102">
        <v>0.02</v>
      </c>
    </row>
    <row r="1226" spans="1:22" s="907" customFormat="1" x14ac:dyDescent="0.25">
      <c r="A1226" s="1100">
        <v>200291</v>
      </c>
      <c r="B1226" s="1745" t="str">
        <f t="shared" si="38"/>
        <v>-8,08/+8,26  (EC  7,43)</v>
      </c>
      <c r="C1226" s="1101"/>
      <c r="D1226" s="1102">
        <v>7.5</v>
      </c>
      <c r="E1226" s="1102">
        <v>0.74299999999999999</v>
      </c>
      <c r="F1226" s="1104">
        <v>26.81</v>
      </c>
      <c r="G1226" s="1102">
        <v>0</v>
      </c>
      <c r="H1226" s="1102">
        <v>0.09</v>
      </c>
      <c r="I1226" s="1104">
        <v>33.78</v>
      </c>
      <c r="J1226" s="1102">
        <v>47.74</v>
      </c>
      <c r="K1226" s="1102">
        <v>0</v>
      </c>
      <c r="L1226" s="1102">
        <v>348</v>
      </c>
      <c r="M1226" s="1102">
        <v>0</v>
      </c>
      <c r="N1226" s="1102">
        <v>2.0099999999999998</v>
      </c>
      <c r="O1226" s="1102">
        <v>19.91</v>
      </c>
      <c r="P1226" s="1102">
        <v>72.709999999999994</v>
      </c>
      <c r="Q1226" s="1102">
        <v>44.42</v>
      </c>
      <c r="R1226" s="1102">
        <v>0.01</v>
      </c>
      <c r="S1226" s="1102">
        <v>1E-3</v>
      </c>
      <c r="T1226" s="1102">
        <v>1E-3</v>
      </c>
      <c r="U1226" s="1102">
        <v>1E-3</v>
      </c>
      <c r="V1226" s="1102">
        <v>0.02</v>
      </c>
    </row>
    <row r="1227" spans="1:22" s="907" customFormat="1" x14ac:dyDescent="0.25">
      <c r="A1227" s="1100">
        <v>200292</v>
      </c>
      <c r="B1227" s="1745" t="str">
        <f t="shared" si="38"/>
        <v>-7,99/+8,32  (EC  7,33)</v>
      </c>
      <c r="C1227" s="1101"/>
      <c r="D1227" s="1102">
        <v>7.63</v>
      </c>
      <c r="E1227" s="1102">
        <v>0.73299999999999998</v>
      </c>
      <c r="F1227" s="1104">
        <v>21.87</v>
      </c>
      <c r="G1227" s="1102">
        <v>0</v>
      </c>
      <c r="H1227" s="1102">
        <v>0.1</v>
      </c>
      <c r="I1227" s="1104">
        <v>37.659999999999997</v>
      </c>
      <c r="J1227" s="1102">
        <v>53.13</v>
      </c>
      <c r="K1227" s="1102">
        <v>0</v>
      </c>
      <c r="L1227" s="1102">
        <v>333.6</v>
      </c>
      <c r="M1227" s="1102">
        <v>0</v>
      </c>
      <c r="N1227" s="1102">
        <v>2.15</v>
      </c>
      <c r="O1227" s="1102">
        <v>21.64</v>
      </c>
      <c r="P1227" s="1102">
        <v>71.739999999999995</v>
      </c>
      <c r="Q1227" s="1102">
        <v>44.77</v>
      </c>
      <c r="R1227" s="1102">
        <v>0.01</v>
      </c>
      <c r="S1227" s="1102">
        <v>1E-3</v>
      </c>
      <c r="T1227" s="1102">
        <v>1E-3</v>
      </c>
      <c r="U1227" s="1102">
        <v>1E-3</v>
      </c>
      <c r="V1227" s="1102">
        <v>0.02</v>
      </c>
    </row>
    <row r="1228" spans="1:22" s="907" customFormat="1" x14ac:dyDescent="0.25">
      <c r="A1228" s="1100">
        <v>200293</v>
      </c>
      <c r="B1228" s="1107" t="str">
        <f t="shared" si="38"/>
        <v>-8,93/+8,14  (EC  7,45)</v>
      </c>
      <c r="C1228" s="1101"/>
      <c r="D1228" s="1102">
        <v>7.74</v>
      </c>
      <c r="E1228" s="1102">
        <v>0.745</v>
      </c>
      <c r="F1228" s="1104">
        <v>36.71</v>
      </c>
      <c r="G1228" s="1102">
        <v>0</v>
      </c>
      <c r="H1228" s="1102">
        <v>0.09</v>
      </c>
      <c r="I1228" s="1104">
        <v>98.56</v>
      </c>
      <c r="J1228" s="1102">
        <v>27.06</v>
      </c>
      <c r="K1228" s="1102">
        <v>0</v>
      </c>
      <c r="L1228" s="1102">
        <v>305</v>
      </c>
      <c r="M1228" s="1102">
        <v>0</v>
      </c>
      <c r="N1228" s="906">
        <v>2.29</v>
      </c>
      <c r="O1228" s="906">
        <v>61.98</v>
      </c>
      <c r="P1228" s="906">
        <v>51</v>
      </c>
      <c r="Q1228" s="906">
        <v>34.020000000000003</v>
      </c>
      <c r="R1228" s="906">
        <v>0.02</v>
      </c>
      <c r="S1228" s="906">
        <v>1E-3</v>
      </c>
      <c r="T1228" s="1102">
        <v>1E-3</v>
      </c>
      <c r="U1228" s="1775">
        <v>0.01</v>
      </c>
      <c r="V1228" s="906">
        <v>0.08</v>
      </c>
    </row>
    <row r="1229" spans="1:22" s="907" customFormat="1" x14ac:dyDescent="0.25">
      <c r="A1229" s="1100">
        <v>200294</v>
      </c>
      <c r="B1229" s="1107" t="str">
        <f t="shared" si="38"/>
        <v>-10,47/+10,13  (EC  9,83)</v>
      </c>
      <c r="C1229" s="1101"/>
      <c r="D1229" s="1102">
        <v>7.29</v>
      </c>
      <c r="E1229" s="1102">
        <v>0.98299999999999998</v>
      </c>
      <c r="F1229" s="1104">
        <v>1.1100000000000001</v>
      </c>
      <c r="G1229" s="1102">
        <v>0</v>
      </c>
      <c r="H1229" s="1102">
        <v>0.1</v>
      </c>
      <c r="I1229" s="1104">
        <v>155.26</v>
      </c>
      <c r="J1229" s="1102">
        <v>61.22</v>
      </c>
      <c r="K1229" s="1102">
        <v>0</v>
      </c>
      <c r="L1229" s="1102">
        <v>292.79999999999995</v>
      </c>
      <c r="M1229" s="1102">
        <v>0</v>
      </c>
      <c r="N1229" s="906">
        <v>2.46</v>
      </c>
      <c r="O1229" s="906">
        <v>95.5</v>
      </c>
      <c r="P1229" s="906">
        <v>83.8</v>
      </c>
      <c r="Q1229" s="906">
        <v>20.65</v>
      </c>
      <c r="R1229" s="906" t="s">
        <v>569</v>
      </c>
      <c r="S1229" s="906">
        <v>1E-3</v>
      </c>
      <c r="T1229" s="906">
        <v>0.01</v>
      </c>
      <c r="U1229" s="906">
        <v>1E-3</v>
      </c>
      <c r="V1229" s="906">
        <v>7.0000000000000007E-2</v>
      </c>
    </row>
    <row r="1230" spans="1:22" s="907" customFormat="1" x14ac:dyDescent="0.25">
      <c r="A1230" s="1100">
        <v>200295</v>
      </c>
      <c r="B1230" s="1107" t="str">
        <f t="shared" si="38"/>
        <v>-43,76/+44,08  (EC  41)</v>
      </c>
      <c r="C1230" s="1101"/>
      <c r="D1230" s="1102">
        <v>6.71</v>
      </c>
      <c r="E1230" s="1102">
        <v>4.0999999999999996</v>
      </c>
      <c r="F1230" s="1104">
        <v>1.22</v>
      </c>
      <c r="G1230" s="1102">
        <v>0</v>
      </c>
      <c r="H1230" s="1102">
        <v>0.17</v>
      </c>
      <c r="I1230" s="1104">
        <v>672.74</v>
      </c>
      <c r="J1230" s="1102">
        <v>385.49</v>
      </c>
      <c r="K1230" s="1102">
        <v>0</v>
      </c>
      <c r="L1230" s="1102">
        <v>1022.4000000000001</v>
      </c>
      <c r="M1230" s="1102">
        <v>0</v>
      </c>
      <c r="N1230" s="906">
        <v>21.78</v>
      </c>
      <c r="O1230" s="1742">
        <v>421.5</v>
      </c>
      <c r="P1230" s="1742">
        <v>215.12</v>
      </c>
      <c r="Q1230" s="1742">
        <v>173.17</v>
      </c>
      <c r="R1230" s="906" t="s">
        <v>467</v>
      </c>
      <c r="S1230" s="906">
        <v>1E-3</v>
      </c>
      <c r="T1230" s="906">
        <v>0.13</v>
      </c>
      <c r="U1230" s="1775">
        <v>0.42</v>
      </c>
      <c r="V1230" s="906">
        <v>0.25</v>
      </c>
    </row>
    <row r="1231" spans="1:22" s="907" customFormat="1" x14ac:dyDescent="0.25">
      <c r="A1231" s="1100">
        <v>200296</v>
      </c>
      <c r="B1231" s="1107" t="str">
        <f t="shared" si="38"/>
        <v>-8,70/+7,71  (EC  7,01)</v>
      </c>
      <c r="C1231" s="1101"/>
      <c r="D1231" s="1102">
        <v>7.31</v>
      </c>
      <c r="E1231" s="1102">
        <v>0.70099999999999996</v>
      </c>
      <c r="F1231" s="1104">
        <v>1.02</v>
      </c>
      <c r="G1231" s="1102">
        <v>0</v>
      </c>
      <c r="H1231" s="1102">
        <v>0.09</v>
      </c>
      <c r="I1231" s="1104">
        <v>45.88</v>
      </c>
      <c r="J1231" s="1102">
        <v>101.52</v>
      </c>
      <c r="K1231" s="1102">
        <v>0</v>
      </c>
      <c r="L1231" s="1102">
        <v>321.60000000000002</v>
      </c>
      <c r="M1231" s="1102">
        <v>0</v>
      </c>
      <c r="N1231" s="906">
        <v>1.22</v>
      </c>
      <c r="O1231" s="906">
        <v>29.24</v>
      </c>
      <c r="P1231" s="906" t="s">
        <v>585</v>
      </c>
      <c r="Q1231" s="906">
        <v>25.16</v>
      </c>
      <c r="R1231" s="906" t="s">
        <v>499</v>
      </c>
      <c r="S1231" s="906">
        <v>1E-3</v>
      </c>
      <c r="T1231" s="1102">
        <v>1E-3</v>
      </c>
      <c r="U1231" s="906">
        <v>1E-3</v>
      </c>
      <c r="V1231" s="906">
        <v>1E-3</v>
      </c>
    </row>
    <row r="1232" spans="1:22" s="907" customFormat="1" x14ac:dyDescent="0.25">
      <c r="A1232" s="1100">
        <v>200297</v>
      </c>
      <c r="B1232" s="1107" t="str">
        <f t="shared" si="38"/>
        <v>-60,04/+61,69  (EC  63,9)</v>
      </c>
      <c r="C1232" s="1101"/>
      <c r="D1232" s="1102">
        <v>7.43</v>
      </c>
      <c r="E1232" s="1102">
        <v>6.39</v>
      </c>
      <c r="F1232" s="1104">
        <v>1.03</v>
      </c>
      <c r="G1232" s="1102">
        <v>0</v>
      </c>
      <c r="H1232" s="1102">
        <v>0.08</v>
      </c>
      <c r="I1232" s="1104">
        <v>1588.2</v>
      </c>
      <c r="J1232" s="1102">
        <v>552.45000000000005</v>
      </c>
      <c r="K1232" s="1102">
        <v>0</v>
      </c>
      <c r="L1232" s="1102">
        <v>230.39999999999998</v>
      </c>
      <c r="M1232" s="1102">
        <v>0</v>
      </c>
      <c r="N1232" s="906">
        <v>6.85</v>
      </c>
      <c r="O1232" s="1742">
        <v>976.34</v>
      </c>
      <c r="P1232" s="1742" t="s">
        <v>586</v>
      </c>
      <c r="Q1232" s="906">
        <v>72.73</v>
      </c>
      <c r="R1232" s="906">
        <v>1E-3</v>
      </c>
      <c r="S1232" s="906">
        <v>1E-3</v>
      </c>
      <c r="T1232" s="1102">
        <v>1E-3</v>
      </c>
      <c r="U1232" s="1775">
        <v>1E-3</v>
      </c>
      <c r="V1232" s="906">
        <v>0.08</v>
      </c>
    </row>
    <row r="1233" spans="1:22" s="907" customFormat="1" x14ac:dyDescent="0.25">
      <c r="A1233" s="1100">
        <v>200298</v>
      </c>
      <c r="B1233" s="1107" t="str">
        <f t="shared" si="38"/>
        <v>-23,37/+25,49  (EC  24)</v>
      </c>
      <c r="C1233" s="1101"/>
      <c r="D1233" s="1102">
        <v>7.3</v>
      </c>
      <c r="E1233" s="1102">
        <v>2.4</v>
      </c>
      <c r="F1233" s="1104">
        <v>37.97</v>
      </c>
      <c r="G1233" s="1102">
        <v>0</v>
      </c>
      <c r="H1233" s="1102">
        <v>0.11</v>
      </c>
      <c r="I1233" s="1104">
        <v>215.44</v>
      </c>
      <c r="J1233" s="1102">
        <v>512.23</v>
      </c>
      <c r="K1233" s="1102">
        <v>0</v>
      </c>
      <c r="L1233" s="1102">
        <v>367.20000000000005</v>
      </c>
      <c r="M1233" s="1102">
        <v>0</v>
      </c>
      <c r="N1233" s="906">
        <v>4.17</v>
      </c>
      <c r="O1233" s="1742">
        <v>132.06</v>
      </c>
      <c r="P1233" s="1742" t="s">
        <v>587</v>
      </c>
      <c r="Q1233" s="1742">
        <v>131.74</v>
      </c>
      <c r="R1233" s="906" t="s">
        <v>467</v>
      </c>
      <c r="S1233" s="906">
        <v>1E-3</v>
      </c>
      <c r="T1233" s="1102">
        <v>1E-3</v>
      </c>
      <c r="U1233" s="1775">
        <v>0.01</v>
      </c>
      <c r="V1233" s="906">
        <v>0.04</v>
      </c>
    </row>
    <row r="1234" spans="1:22" s="907" customFormat="1" x14ac:dyDescent="0.25">
      <c r="A1234" s="1100">
        <v>200299</v>
      </c>
      <c r="B1234" s="1107" t="str">
        <f t="shared" si="38"/>
        <v>-15,98/+14,73  (EC  14,12)</v>
      </c>
      <c r="C1234" s="1101"/>
      <c r="D1234" s="1102">
        <v>7.61</v>
      </c>
      <c r="E1234" s="1102">
        <v>1.4119999999999999</v>
      </c>
      <c r="F1234" s="1104">
        <v>59.24</v>
      </c>
      <c r="G1234" s="1102">
        <v>0</v>
      </c>
      <c r="H1234" s="1102">
        <v>0.1</v>
      </c>
      <c r="I1234" s="1104">
        <v>287.45999999999998</v>
      </c>
      <c r="J1234" s="1102">
        <v>17.25</v>
      </c>
      <c r="K1234" s="1102">
        <v>0</v>
      </c>
      <c r="L1234" s="1102">
        <v>400.79999999999995</v>
      </c>
      <c r="M1234" s="1102">
        <v>0</v>
      </c>
      <c r="N1234" s="1742">
        <v>1.5</v>
      </c>
      <c r="O1234" s="1742">
        <v>179.48</v>
      </c>
      <c r="P1234" s="1742">
        <v>56.11</v>
      </c>
      <c r="Q1234" s="1742">
        <v>48.85</v>
      </c>
      <c r="R1234" s="1742">
        <v>1E-3</v>
      </c>
      <c r="S1234" s="906">
        <v>1E-3</v>
      </c>
      <c r="T1234" s="1102">
        <v>1E-3</v>
      </c>
      <c r="U1234" s="1742">
        <v>1E-3</v>
      </c>
      <c r="V1234" s="1742">
        <v>0.25</v>
      </c>
    </row>
    <row r="1235" spans="1:22" s="907" customFormat="1" x14ac:dyDescent="0.25">
      <c r="A1235" s="1100">
        <v>200300</v>
      </c>
      <c r="B1235" s="1107" t="str">
        <f t="shared" si="38"/>
        <v>-12,76/+12,16  (EC  11)</v>
      </c>
      <c r="C1235" s="1101"/>
      <c r="D1235" s="1102">
        <v>7.38</v>
      </c>
      <c r="E1235" s="1102">
        <v>1.1000000000000001</v>
      </c>
      <c r="F1235" s="1104">
        <v>8.3000000000000007</v>
      </c>
      <c r="G1235" s="1102">
        <v>0</v>
      </c>
      <c r="H1235" s="1102">
        <v>0.13</v>
      </c>
      <c r="I1235" s="1104">
        <v>82.22</v>
      </c>
      <c r="J1235" s="1102">
        <v>221.2</v>
      </c>
      <c r="K1235" s="1102">
        <v>0</v>
      </c>
      <c r="L1235" s="1102">
        <v>348</v>
      </c>
      <c r="M1235" s="1102">
        <v>0</v>
      </c>
      <c r="N1235" s="1742">
        <v>2.41</v>
      </c>
      <c r="O1235" s="1742">
        <v>50.24</v>
      </c>
      <c r="P1235" s="1742">
        <v>103.68</v>
      </c>
      <c r="Q1235" s="1742">
        <v>56.62</v>
      </c>
      <c r="R1235" s="1742">
        <v>1E-3</v>
      </c>
      <c r="S1235" s="906">
        <v>1E-3</v>
      </c>
      <c r="T1235" s="1102">
        <v>1E-3</v>
      </c>
      <c r="U1235" s="1742">
        <v>1E-3</v>
      </c>
      <c r="V1235" s="1742">
        <v>1E-3</v>
      </c>
    </row>
    <row r="1236" spans="1:22" s="907" customFormat="1" x14ac:dyDescent="0.25">
      <c r="A1236" s="1100">
        <v>200301</v>
      </c>
      <c r="B1236" s="1107" t="str">
        <f t="shared" si="38"/>
        <v>-8,45/+9,33  (EC  8,37)</v>
      </c>
      <c r="C1236" s="1101"/>
      <c r="D1236" s="1102">
        <v>7.45</v>
      </c>
      <c r="E1236" s="1102">
        <v>0.83699999999999997</v>
      </c>
      <c r="F1236" s="1104">
        <v>16.329999999999998</v>
      </c>
      <c r="G1236" s="1102">
        <v>0</v>
      </c>
      <c r="H1236" s="1102">
        <v>0.12</v>
      </c>
      <c r="I1236" s="1104">
        <v>41.96</v>
      </c>
      <c r="J1236" s="1102">
        <v>75.400000000000006</v>
      </c>
      <c r="K1236" s="1102">
        <v>0</v>
      </c>
      <c r="L1236" s="1102">
        <v>331.20000000000005</v>
      </c>
      <c r="M1236" s="1102">
        <v>0</v>
      </c>
      <c r="N1236" s="1742">
        <v>2.0499999999999998</v>
      </c>
      <c r="O1236" s="1742">
        <v>27.43</v>
      </c>
      <c r="P1236" s="1742" t="s">
        <v>588</v>
      </c>
      <c r="Q1236" s="1742">
        <v>54.03</v>
      </c>
      <c r="R1236" s="1742">
        <v>1E-3</v>
      </c>
      <c r="S1236" s="906">
        <v>1E-3</v>
      </c>
      <c r="T1236" s="1102">
        <v>1E-3</v>
      </c>
      <c r="U1236" s="1742">
        <v>1E-3</v>
      </c>
      <c r="V1236" s="1742">
        <v>1E-3</v>
      </c>
    </row>
    <row r="1237" spans="1:22" s="907" customFormat="1" x14ac:dyDescent="0.25">
      <c r="A1237" s="1100">
        <v>200302</v>
      </c>
      <c r="B1237" s="1107" t="str">
        <f t="shared" si="38"/>
        <v>-32,46/+32,83  (EC  33,9)</v>
      </c>
      <c r="C1237" s="1101"/>
      <c r="D1237" s="1102">
        <v>7.51</v>
      </c>
      <c r="E1237" s="1102">
        <v>3.39</v>
      </c>
      <c r="F1237" s="1104">
        <v>4.59</v>
      </c>
      <c r="G1237" s="1102">
        <v>0</v>
      </c>
      <c r="H1237" s="1102">
        <v>0.09</v>
      </c>
      <c r="I1237" s="1104">
        <v>720.47</v>
      </c>
      <c r="J1237" s="1102">
        <v>351.66</v>
      </c>
      <c r="K1237" s="1102">
        <v>0</v>
      </c>
      <c r="L1237" s="1102">
        <v>290.39999999999998</v>
      </c>
      <c r="M1237" s="1102">
        <v>0</v>
      </c>
      <c r="N1237" s="1742">
        <v>3.67</v>
      </c>
      <c r="O1237" s="1742">
        <v>447.63</v>
      </c>
      <c r="P1237" s="1742" t="s">
        <v>589</v>
      </c>
      <c r="Q1237" s="1742">
        <v>73.7</v>
      </c>
      <c r="R1237" s="1742">
        <v>1E-3</v>
      </c>
      <c r="S1237" s="906">
        <v>1E-3</v>
      </c>
      <c r="T1237" s="1742">
        <v>0.02</v>
      </c>
      <c r="U1237" s="1776">
        <v>0.02</v>
      </c>
      <c r="V1237" s="1742">
        <v>0.01</v>
      </c>
    </row>
    <row r="1238" spans="1:22" s="907" customFormat="1" ht="14.25" customHeight="1" x14ac:dyDescent="0.25">
      <c r="A1238" s="1100">
        <v>200303</v>
      </c>
      <c r="B1238" s="1107" t="str">
        <f t="shared" si="38"/>
        <v>-10,31/+9,13  (EC  9,01)</v>
      </c>
      <c r="C1238" s="1101"/>
      <c r="D1238" s="1102">
        <v>8.2100000000000009</v>
      </c>
      <c r="E1238" s="1102">
        <v>0.90100000000000002</v>
      </c>
      <c r="F1238" s="1104">
        <v>0.99</v>
      </c>
      <c r="G1238" s="1102">
        <v>0</v>
      </c>
      <c r="H1238" s="1102">
        <v>0.1</v>
      </c>
      <c r="I1238" s="1104">
        <v>136.96</v>
      </c>
      <c r="J1238" s="1102">
        <v>120.28</v>
      </c>
      <c r="K1238" s="1102">
        <v>0</v>
      </c>
      <c r="L1238" s="1102">
        <v>240</v>
      </c>
      <c r="M1238" s="1102">
        <v>0</v>
      </c>
      <c r="N1238" s="1742">
        <v>5.13</v>
      </c>
      <c r="O1238" s="1742">
        <v>83.5</v>
      </c>
      <c r="P1238" s="1742">
        <v>49.78</v>
      </c>
      <c r="Q1238" s="1742">
        <v>34.42</v>
      </c>
      <c r="R1238" s="1742">
        <v>1E-3</v>
      </c>
      <c r="S1238" s="906">
        <v>1E-3</v>
      </c>
      <c r="T1238" s="1742">
        <v>0.01</v>
      </c>
      <c r="U1238" s="1742">
        <v>0.2</v>
      </c>
      <c r="V1238" s="1742">
        <v>1E-3</v>
      </c>
    </row>
    <row r="1239" spans="1:22" s="907" customFormat="1" ht="16.5" customHeight="1" x14ac:dyDescent="0.25">
      <c r="A1239" s="1100">
        <v>200304</v>
      </c>
      <c r="B1239" s="1745" t="str">
        <f t="shared" si="38"/>
        <v>-9,88/+9,02  (EC  8,53)</v>
      </c>
      <c r="C1239" s="1101"/>
      <c r="D1239" s="1102">
        <v>7.28</v>
      </c>
      <c r="E1239" s="1102">
        <v>0.85299999999999998</v>
      </c>
      <c r="F1239" s="1104">
        <v>73.34</v>
      </c>
      <c r="G1239" s="1102">
        <v>0</v>
      </c>
      <c r="H1239" s="1102">
        <v>0.09</v>
      </c>
      <c r="I1239" s="1104">
        <v>95.66</v>
      </c>
      <c r="J1239" s="1102">
        <v>23.49</v>
      </c>
      <c r="K1239" s="1102">
        <v>0</v>
      </c>
      <c r="L1239" s="1102">
        <v>336</v>
      </c>
      <c r="M1239" s="1102">
        <v>0</v>
      </c>
      <c r="N1239" s="1102">
        <v>3.8</v>
      </c>
      <c r="O1239" s="1102">
        <v>58.42</v>
      </c>
      <c r="P1239" s="1102">
        <v>78.34</v>
      </c>
      <c r="Q1239" s="1102">
        <v>29.48</v>
      </c>
      <c r="R1239" s="1102">
        <v>1E-3</v>
      </c>
      <c r="S1239" s="1102">
        <v>1E-3</v>
      </c>
      <c r="T1239" s="1102">
        <v>1E-3</v>
      </c>
      <c r="U1239" s="1102">
        <v>1E-3</v>
      </c>
      <c r="V1239" s="1102">
        <v>0.43</v>
      </c>
    </row>
    <row r="1240" spans="1:22" s="907" customFormat="1" x14ac:dyDescent="0.25">
      <c r="A1240" s="1100">
        <v>200305</v>
      </c>
      <c r="B1240" s="1745" t="str">
        <f t="shared" si="38"/>
        <v>-13,10/+14,61  (EC  14,3)</v>
      </c>
      <c r="C1240" s="1101"/>
      <c r="D1240" s="1102">
        <v>7.44</v>
      </c>
      <c r="E1240" s="1102">
        <v>1.43</v>
      </c>
      <c r="F1240" s="1104">
        <v>35.31</v>
      </c>
      <c r="G1240" s="1102">
        <v>0</v>
      </c>
      <c r="H1240" s="1102">
        <v>0.08</v>
      </c>
      <c r="I1240" s="1104">
        <v>150.47</v>
      </c>
      <c r="J1240" s="1102">
        <v>135.36000000000001</v>
      </c>
      <c r="K1240" s="1102">
        <v>0</v>
      </c>
      <c r="L1240" s="1102">
        <v>333.6</v>
      </c>
      <c r="M1240" s="1102">
        <v>0</v>
      </c>
      <c r="N1240" s="1102">
        <v>2.37</v>
      </c>
      <c r="O1240" s="1102">
        <v>91.69</v>
      </c>
      <c r="P1240" s="1102">
        <v>95.77</v>
      </c>
      <c r="Q1240" s="1102">
        <v>69.23</v>
      </c>
      <c r="R1240" s="1102">
        <v>1E-3</v>
      </c>
      <c r="S1240" s="1102">
        <v>1E-3</v>
      </c>
      <c r="T1240" s="1102">
        <v>1E-3</v>
      </c>
      <c r="U1240" s="1102">
        <v>1E-3</v>
      </c>
      <c r="V1240" s="1102">
        <v>0.05</v>
      </c>
    </row>
    <row r="1241" spans="1:22" s="907" customFormat="1" x14ac:dyDescent="0.25">
      <c r="A1241" s="1100">
        <v>200306</v>
      </c>
      <c r="B1241" s="1107" t="str">
        <f t="shared" si="38"/>
        <v>-8,91/+8,15  (EC  7,45)</v>
      </c>
      <c r="C1241" s="1101"/>
      <c r="D1241" s="1102">
        <v>7.13</v>
      </c>
      <c r="E1241" s="1102">
        <v>0.745</v>
      </c>
      <c r="F1241" s="1104">
        <v>30.26</v>
      </c>
      <c r="G1241" s="1102">
        <v>0</v>
      </c>
      <c r="H1241" s="1102">
        <v>0.11</v>
      </c>
      <c r="I1241" s="1104">
        <v>79.14</v>
      </c>
      <c r="J1241" s="1102">
        <v>17.7</v>
      </c>
      <c r="K1241" s="1102">
        <v>0</v>
      </c>
      <c r="L1241" s="1102">
        <v>355.26</v>
      </c>
      <c r="M1241" s="1102">
        <v>0</v>
      </c>
      <c r="N1241" s="1102">
        <v>2.1</v>
      </c>
      <c r="O1241" s="1102">
        <v>57.22</v>
      </c>
      <c r="P1241" s="1102">
        <v>87.76</v>
      </c>
      <c r="Q1241" s="1102">
        <v>14.54</v>
      </c>
      <c r="R1241" s="1102">
        <v>1E-3</v>
      </c>
      <c r="S1241" s="1102">
        <v>1E-3</v>
      </c>
      <c r="T1241" s="1102">
        <v>0.1</v>
      </c>
      <c r="U1241" s="1102">
        <v>7.0000000000000007E-2</v>
      </c>
      <c r="V1241" s="1102">
        <v>0.03</v>
      </c>
    </row>
    <row r="1242" spans="1:22" s="907" customFormat="1" x14ac:dyDescent="0.25">
      <c r="A1242" s="1100">
        <v>200307</v>
      </c>
      <c r="B1242" s="2104" t="s">
        <v>592</v>
      </c>
      <c r="C1242" s="2104"/>
      <c r="D1242" s="1102"/>
      <c r="E1242" s="1102"/>
      <c r="F1242" s="1104"/>
      <c r="G1242" s="1102"/>
      <c r="H1242" s="1102"/>
      <c r="I1242" s="1104"/>
      <c r="J1242" s="1102"/>
      <c r="K1242" s="1102"/>
      <c r="L1242" s="1102"/>
      <c r="M1242" s="1102"/>
      <c r="N1242" s="1102"/>
      <c r="O1242" s="1102"/>
      <c r="P1242" s="1102"/>
      <c r="Q1242" s="1102"/>
      <c r="R1242" s="1102"/>
      <c r="S1242" s="1102"/>
      <c r="T1242" s="1102"/>
      <c r="U1242" s="1102"/>
      <c r="V1242" s="1102"/>
    </row>
    <row r="1243" spans="1:22" s="907" customFormat="1" x14ac:dyDescent="0.25">
      <c r="A1243" s="1100">
        <v>200308</v>
      </c>
      <c r="B1243" s="2104"/>
      <c r="C1243" s="2104"/>
      <c r="D1243" s="1102"/>
      <c r="E1243" s="1102"/>
      <c r="F1243" s="1104"/>
      <c r="G1243" s="1102"/>
      <c r="H1243" s="1102"/>
      <c r="I1243" s="1104"/>
      <c r="J1243" s="1102"/>
      <c r="K1243" s="1102"/>
      <c r="L1243" s="1102"/>
      <c r="M1243" s="1102"/>
      <c r="N1243" s="1102"/>
      <c r="O1243" s="1102"/>
      <c r="P1243" s="1102"/>
      <c r="Q1243" s="1102"/>
      <c r="R1243" s="1102"/>
      <c r="S1243" s="1102"/>
      <c r="T1243" s="1102"/>
      <c r="U1243" s="1102"/>
      <c r="V1243" s="1102"/>
    </row>
    <row r="1244" spans="1:22" s="907" customFormat="1" x14ac:dyDescent="0.25">
      <c r="A1244" s="1100">
        <v>200309</v>
      </c>
      <c r="B1244" s="1107" t="str">
        <f t="shared" si="38"/>
        <v>-7,70/+8,17  (EC  7,64)</v>
      </c>
      <c r="C1244" s="1101"/>
      <c r="D1244" s="1102">
        <v>7.95</v>
      </c>
      <c r="E1244" s="1102">
        <v>0.76400000000000001</v>
      </c>
      <c r="F1244" s="1104">
        <v>24.16</v>
      </c>
      <c r="G1244" s="1102">
        <v>0</v>
      </c>
      <c r="H1244" s="1102">
        <v>0.09</v>
      </c>
      <c r="I1244" s="1104">
        <v>35.659999999999997</v>
      </c>
      <c r="J1244" s="1102">
        <v>34.61</v>
      </c>
      <c r="K1244" s="1102">
        <v>0</v>
      </c>
      <c r="L1244" s="1102">
        <v>340.8</v>
      </c>
      <c r="M1244" s="1102">
        <v>0</v>
      </c>
      <c r="N1244" s="1102">
        <v>2.1800000000000002</v>
      </c>
      <c r="O1244" s="1102">
        <v>20.21</v>
      </c>
      <c r="P1244" s="1102">
        <v>71.930000000000007</v>
      </c>
      <c r="Q1244" s="1102">
        <v>43.56</v>
      </c>
      <c r="R1244" s="1102">
        <v>0.02</v>
      </c>
      <c r="S1244" s="1102">
        <v>1E-3</v>
      </c>
      <c r="T1244" s="1102">
        <v>1E-3</v>
      </c>
      <c r="U1244" s="1102">
        <v>1E-3</v>
      </c>
      <c r="V1244" s="1102">
        <v>0.03</v>
      </c>
    </row>
    <row r="1245" spans="1:22" s="907" customFormat="1" x14ac:dyDescent="0.25">
      <c r="A1245" s="1100">
        <v>200310</v>
      </c>
      <c r="B1245" s="1107" t="str">
        <f t="shared" si="38"/>
        <v>-8,84/+9,91  (EC  9,55)</v>
      </c>
      <c r="C1245" s="1101"/>
      <c r="D1245" s="1102">
        <v>7.5</v>
      </c>
      <c r="E1245" s="1102">
        <v>0.95499999999999996</v>
      </c>
      <c r="F1245" s="1104">
        <v>27.71</v>
      </c>
      <c r="G1245" s="1102">
        <v>0</v>
      </c>
      <c r="H1245" s="1102">
        <v>0.11</v>
      </c>
      <c r="I1245" s="1104">
        <v>74.78</v>
      </c>
      <c r="J1245" s="1102">
        <v>39.4</v>
      </c>
      <c r="K1245" s="1102">
        <v>0</v>
      </c>
      <c r="L1245" s="1102">
        <v>333.6</v>
      </c>
      <c r="M1245" s="1102">
        <v>0</v>
      </c>
      <c r="N1245" s="1102">
        <v>2.14</v>
      </c>
      <c r="O1245" s="1102">
        <v>45.67</v>
      </c>
      <c r="P1245" s="1102">
        <v>74.7</v>
      </c>
      <c r="Q1245" s="1102">
        <v>49.57</v>
      </c>
      <c r="R1245" s="1102">
        <v>1E-3</v>
      </c>
      <c r="S1245" s="1102">
        <v>1E-3</v>
      </c>
      <c r="T1245" s="1102">
        <v>1E-3</v>
      </c>
      <c r="U1245" s="1102">
        <v>0.03</v>
      </c>
      <c r="V1245" s="1102">
        <v>0.03</v>
      </c>
    </row>
    <row r="1246" spans="1:22" s="907" customFormat="1" x14ac:dyDescent="0.25">
      <c r="A1246" s="1100">
        <v>200311</v>
      </c>
      <c r="B1246" s="1107" t="str">
        <f t="shared" si="38"/>
        <v>-13,25/+14,72  (EC  14,5)</v>
      </c>
      <c r="C1246" s="1101"/>
      <c r="D1246" s="1102">
        <v>7.67</v>
      </c>
      <c r="E1246" s="1102">
        <v>1.45</v>
      </c>
      <c r="F1246" s="1104">
        <v>26.7</v>
      </c>
      <c r="G1246" s="1102">
        <v>0</v>
      </c>
      <c r="H1246" s="1104">
        <v>0.18</v>
      </c>
      <c r="I1246" s="1104">
        <v>167.2</v>
      </c>
      <c r="J1246" s="1102">
        <v>119.08</v>
      </c>
      <c r="K1246" s="1104">
        <v>0</v>
      </c>
      <c r="L1246" s="1102">
        <v>343.20000000000005</v>
      </c>
      <c r="M1246" s="1102">
        <v>0</v>
      </c>
      <c r="N1246" s="906">
        <v>0.75</v>
      </c>
      <c r="O1246" s="906">
        <v>103.69</v>
      </c>
      <c r="P1246" s="906">
        <v>103.25</v>
      </c>
      <c r="Q1246" s="906">
        <v>60.23</v>
      </c>
      <c r="R1246" s="906">
        <v>1E-3</v>
      </c>
      <c r="S1246" s="906">
        <v>1E-3</v>
      </c>
      <c r="T1246" s="906">
        <v>1E-3</v>
      </c>
      <c r="U1246" s="906">
        <v>1E-3</v>
      </c>
      <c r="V1246" s="906">
        <v>0.11</v>
      </c>
    </row>
    <row r="1247" spans="1:22" s="907" customFormat="1" x14ac:dyDescent="0.25">
      <c r="A1247" s="1100">
        <v>200312</v>
      </c>
      <c r="B1247" s="1107" t="str">
        <f t="shared" si="38"/>
        <v>-27,88/+26,65  (EC  26,4)</v>
      </c>
      <c r="C1247" s="1101"/>
      <c r="D1247" s="1102">
        <v>7.58</v>
      </c>
      <c r="E1247" s="1102">
        <v>2.64</v>
      </c>
      <c r="F1247" s="1104">
        <v>10.68</v>
      </c>
      <c r="G1247" s="1102">
        <v>0</v>
      </c>
      <c r="H1247" s="1104">
        <v>0.31</v>
      </c>
      <c r="I1247" s="1104">
        <v>710.3</v>
      </c>
      <c r="J1247" s="1102">
        <v>148.5</v>
      </c>
      <c r="K1247" s="1104">
        <v>0</v>
      </c>
      <c r="L1247" s="1102">
        <v>280.79999999999995</v>
      </c>
      <c r="M1247" s="1102">
        <v>0</v>
      </c>
      <c r="N1247" s="906">
        <v>1.97</v>
      </c>
      <c r="O1247" s="906">
        <v>452.43</v>
      </c>
      <c r="P1247" s="906">
        <v>68.349999999999994</v>
      </c>
      <c r="Q1247" s="906">
        <v>41.88</v>
      </c>
      <c r="R1247" s="906">
        <v>1E-3</v>
      </c>
      <c r="S1247" s="906">
        <v>1E-3</v>
      </c>
      <c r="T1247" s="906">
        <v>0.06</v>
      </c>
      <c r="U1247" s="906">
        <v>0.21</v>
      </c>
      <c r="V1247" s="906">
        <v>0.13</v>
      </c>
    </row>
    <row r="1248" spans="1:22" s="907" customFormat="1" x14ac:dyDescent="0.25">
      <c r="A1248" s="1100">
        <v>200313</v>
      </c>
      <c r="B1248" s="1107" t="str">
        <f t="shared" si="38"/>
        <v>-19,22/+20,12  (EC  19,5)</v>
      </c>
      <c r="C1248" s="1101"/>
      <c r="D1248" s="1102">
        <v>7.54</v>
      </c>
      <c r="E1248" s="1102">
        <v>1.95</v>
      </c>
      <c r="F1248" s="1104">
        <v>14.49</v>
      </c>
      <c r="G1248" s="1102">
        <v>0</v>
      </c>
      <c r="H1248" s="1104">
        <v>0.34</v>
      </c>
      <c r="I1248" s="1104">
        <v>445.12</v>
      </c>
      <c r="J1248" s="1102">
        <v>109.46</v>
      </c>
      <c r="K1248" s="1104">
        <v>0</v>
      </c>
      <c r="L1248" s="1102">
        <v>254.39999999999998</v>
      </c>
      <c r="M1248" s="1102">
        <v>0</v>
      </c>
      <c r="N1248" s="906">
        <v>1.83</v>
      </c>
      <c r="O1248" s="906">
        <v>279.52999999999997</v>
      </c>
      <c r="P1248" s="906">
        <v>81.16</v>
      </c>
      <c r="Q1248" s="906">
        <v>46.08</v>
      </c>
      <c r="R1248" s="906">
        <v>1E-3</v>
      </c>
      <c r="S1248" s="906">
        <v>1E-3</v>
      </c>
      <c r="T1248" s="906">
        <v>1E-3</v>
      </c>
      <c r="U1248" s="906">
        <v>0.02</v>
      </c>
      <c r="V1248" s="906">
        <v>0.12</v>
      </c>
    </row>
    <row r="1249" spans="1:22" s="907" customFormat="1" x14ac:dyDescent="0.25">
      <c r="A1249" s="1100">
        <v>200314</v>
      </c>
      <c r="B1249" s="1107" t="str">
        <f t="shared" si="38"/>
        <v>-32,01/+32,89  (EC  33,1)</v>
      </c>
      <c r="C1249" s="1101"/>
      <c r="D1249" s="1102">
        <v>6.96</v>
      </c>
      <c r="E1249" s="1102">
        <v>3.31</v>
      </c>
      <c r="F1249" s="1104">
        <v>74.45</v>
      </c>
      <c r="G1249" s="1102">
        <v>0</v>
      </c>
      <c r="H1249" s="1104">
        <v>0.34</v>
      </c>
      <c r="I1249" s="1104">
        <v>354.78</v>
      </c>
      <c r="J1249" s="1102">
        <v>758.6</v>
      </c>
      <c r="K1249" s="1104">
        <v>123.3486</v>
      </c>
      <c r="L1249" s="1102">
        <v>228</v>
      </c>
      <c r="M1249" s="1102">
        <v>0</v>
      </c>
      <c r="N1249" s="906">
        <v>390.58</v>
      </c>
      <c r="O1249" s="906">
        <v>219.63</v>
      </c>
      <c r="P1249" s="906">
        <v>140.58000000000001</v>
      </c>
      <c r="Q1249" s="906">
        <v>75.22</v>
      </c>
      <c r="R1249" s="906">
        <v>0.06</v>
      </c>
      <c r="S1249" s="906">
        <v>0.56000000000000005</v>
      </c>
      <c r="T1249" s="906">
        <v>0.44</v>
      </c>
      <c r="U1249" s="906">
        <v>0.01</v>
      </c>
      <c r="V1249" s="906">
        <v>1.35</v>
      </c>
    </row>
    <row r="1250" spans="1:22" s="907" customFormat="1" x14ac:dyDescent="0.25">
      <c r="A1250" s="1100">
        <v>200315</v>
      </c>
      <c r="B1250" s="1107" t="str">
        <f t="shared" si="38"/>
        <v>-17,90/+17,02  (EC  16,1)</v>
      </c>
      <c r="C1250" s="1101"/>
      <c r="D1250" s="1102">
        <v>7.4</v>
      </c>
      <c r="E1250" s="1102">
        <v>1.61</v>
      </c>
      <c r="F1250" s="1104">
        <v>33.17</v>
      </c>
      <c r="G1250" s="1102">
        <v>0</v>
      </c>
      <c r="H1250" s="1104">
        <v>0.23</v>
      </c>
      <c r="I1250" s="1104">
        <v>312.2</v>
      </c>
      <c r="J1250" s="1102">
        <v>128.19999999999999</v>
      </c>
      <c r="K1250" s="1104">
        <v>0</v>
      </c>
      <c r="L1250" s="1102">
        <v>360</v>
      </c>
      <c r="M1250" s="1102">
        <v>0</v>
      </c>
      <c r="N1250" s="906">
        <v>2.37</v>
      </c>
      <c r="O1250" s="906">
        <v>201.34</v>
      </c>
      <c r="P1250" s="906">
        <v>68.19</v>
      </c>
      <c r="Q1250" s="906">
        <v>57.36</v>
      </c>
      <c r="R1250" s="906">
        <v>1E-3</v>
      </c>
      <c r="S1250" s="906">
        <v>1E-3</v>
      </c>
      <c r="T1250" s="906">
        <v>1E-3</v>
      </c>
      <c r="U1250" s="906">
        <v>1E-3</v>
      </c>
      <c r="V1250" s="906">
        <v>0.23</v>
      </c>
    </row>
    <row r="1251" spans="1:22" s="907" customFormat="1" x14ac:dyDescent="0.25">
      <c r="A1251" s="1100">
        <v>200316</v>
      </c>
      <c r="B1251" s="1107" t="str">
        <f t="shared" si="38"/>
        <v>-9,94/+10,92  (EC  10,3)</v>
      </c>
      <c r="C1251" s="1101"/>
      <c r="D1251" s="1102">
        <v>7.35</v>
      </c>
      <c r="E1251" s="1102">
        <v>1.03</v>
      </c>
      <c r="F1251" s="1104">
        <v>27.38</v>
      </c>
      <c r="G1251" s="1102">
        <v>0</v>
      </c>
      <c r="H1251" s="1104">
        <v>0.31</v>
      </c>
      <c r="I1251" s="1104">
        <v>107.45</v>
      </c>
      <c r="J1251" s="1102">
        <v>66.849999999999994</v>
      </c>
      <c r="K1251" s="1104">
        <v>0</v>
      </c>
      <c r="L1251" s="1102">
        <v>309.60000000000002</v>
      </c>
      <c r="M1251" s="1102">
        <v>0</v>
      </c>
      <c r="N1251" s="906">
        <v>2.59</v>
      </c>
      <c r="O1251" s="906">
        <v>64.2</v>
      </c>
      <c r="P1251" s="906">
        <v>76.02</v>
      </c>
      <c r="Q1251" s="906">
        <v>50.84</v>
      </c>
      <c r="R1251" s="906">
        <v>0.5</v>
      </c>
      <c r="S1251" s="906">
        <v>1E-3</v>
      </c>
      <c r="T1251" s="906">
        <v>1E-3</v>
      </c>
      <c r="U1251" s="906">
        <v>1E-3</v>
      </c>
      <c r="V1251" s="906">
        <v>0.14000000000000001</v>
      </c>
    </row>
    <row r="1252" spans="1:22" s="907" customFormat="1" x14ac:dyDescent="0.25">
      <c r="A1252" s="1100">
        <v>200317</v>
      </c>
      <c r="B1252" s="1107" t="str">
        <f t="shared" si="38"/>
        <v>-34,85/+35,05  (EC  29)</v>
      </c>
      <c r="C1252" s="1101"/>
      <c r="D1252" s="1102">
        <v>7.23</v>
      </c>
      <c r="E1252" s="1102">
        <v>2.9</v>
      </c>
      <c r="F1252" s="1104">
        <v>442</v>
      </c>
      <c r="G1252" s="1102">
        <v>0</v>
      </c>
      <c r="H1252" s="1104">
        <v>0.38</v>
      </c>
      <c r="I1252" s="1104">
        <v>344.22</v>
      </c>
      <c r="J1252" s="1102">
        <v>755.6</v>
      </c>
      <c r="K1252" s="1104">
        <v>61.506000000000007</v>
      </c>
      <c r="L1252" s="1102">
        <v>100.80000000000001</v>
      </c>
      <c r="M1252" s="1102">
        <v>0</v>
      </c>
      <c r="N1252" s="1775">
        <v>17.52</v>
      </c>
      <c r="O1252" s="906">
        <v>216.97</v>
      </c>
      <c r="P1252" s="906">
        <v>230.85</v>
      </c>
      <c r="Q1252" s="906">
        <v>163.12</v>
      </c>
      <c r="R1252" s="906">
        <v>1E-3</v>
      </c>
      <c r="S1252" s="906">
        <v>1E-3</v>
      </c>
      <c r="T1252" s="906">
        <v>1E-3</v>
      </c>
      <c r="U1252" s="906">
        <v>1E-3</v>
      </c>
      <c r="V1252" s="906">
        <v>0.25</v>
      </c>
    </row>
    <row r="1253" spans="1:22" s="907" customFormat="1" x14ac:dyDescent="0.25">
      <c r="A1253" s="1100">
        <v>200318</v>
      </c>
      <c r="B1253" s="1107" t="str">
        <f t="shared" si="38"/>
        <v>-65,79/+66,07  (EC  45)</v>
      </c>
      <c r="C1253" s="1101"/>
      <c r="D1253" s="1102">
        <v>6.37</v>
      </c>
      <c r="E1253" s="1102">
        <v>4.5</v>
      </c>
      <c r="F1253" s="1104">
        <v>703.5</v>
      </c>
      <c r="G1253" s="1102">
        <v>0</v>
      </c>
      <c r="H1253" s="1104">
        <v>0.21</v>
      </c>
      <c r="I1253" s="1104">
        <v>341.25</v>
      </c>
      <c r="J1253" s="1102">
        <v>1991.5</v>
      </c>
      <c r="K1253" s="1104">
        <v>186.81299999999999</v>
      </c>
      <c r="L1253" s="1102">
        <v>86.4</v>
      </c>
      <c r="M1253" s="1102">
        <v>0</v>
      </c>
      <c r="N1253" s="906">
        <v>152.28</v>
      </c>
      <c r="O1253" s="906">
        <v>215.98</v>
      </c>
      <c r="P1253" s="906">
        <v>490.86</v>
      </c>
      <c r="Q1253" s="906">
        <v>338.57</v>
      </c>
      <c r="R1253" s="906">
        <v>1E-3</v>
      </c>
      <c r="S1253" s="906">
        <v>1E-3</v>
      </c>
      <c r="T1253" s="906">
        <v>0.02</v>
      </c>
      <c r="U1253" s="906">
        <v>1E-3</v>
      </c>
      <c r="V1253" s="906">
        <v>1.19</v>
      </c>
    </row>
    <row r="1254" spans="1:22" s="907" customFormat="1" x14ac:dyDescent="0.25">
      <c r="A1254" s="1100">
        <v>200319</v>
      </c>
      <c r="B1254" s="1107" t="str">
        <f t="shared" si="38"/>
        <v>-46,63/+40,23  (EC  29,8)</v>
      </c>
      <c r="C1254" s="1101"/>
      <c r="D1254" s="1102">
        <v>6.58</v>
      </c>
      <c r="E1254" s="1102">
        <v>2.98</v>
      </c>
      <c r="F1254" s="1104">
        <v>666.7</v>
      </c>
      <c r="G1254" s="1102">
        <v>0</v>
      </c>
      <c r="H1254" s="1104">
        <v>0.4</v>
      </c>
      <c r="I1254" s="1104">
        <v>177.45</v>
      </c>
      <c r="J1254" s="1102">
        <v>1358.3</v>
      </c>
      <c r="K1254" s="1104">
        <v>124.75620000000001</v>
      </c>
      <c r="L1254" s="1102">
        <v>79.199999999999989</v>
      </c>
      <c r="M1254" s="1102">
        <v>0</v>
      </c>
      <c r="N1254" s="906">
        <v>169.92</v>
      </c>
      <c r="O1254" s="906">
        <v>107.76</v>
      </c>
      <c r="P1254" s="906">
        <v>314.24</v>
      </c>
      <c r="Q1254" s="906">
        <v>185.31</v>
      </c>
      <c r="R1254" s="906">
        <v>1E-3</v>
      </c>
      <c r="S1254" s="906">
        <v>1E-3</v>
      </c>
      <c r="T1254" s="906">
        <v>0.01</v>
      </c>
      <c r="U1254" s="906">
        <v>1E-3</v>
      </c>
      <c r="V1254" s="906">
        <v>0.71</v>
      </c>
    </row>
    <row r="1255" spans="1:22" s="907" customFormat="1" x14ac:dyDescent="0.25">
      <c r="A1255" s="1100">
        <v>200320</v>
      </c>
      <c r="B1255" s="1107" t="str">
        <f t="shared" si="38"/>
        <v>-24,27/+26,90  (EC  24,2)</v>
      </c>
      <c r="C1255" s="1101"/>
      <c r="D1255" s="1102">
        <v>7.22</v>
      </c>
      <c r="E1255" s="1102">
        <v>2.42</v>
      </c>
      <c r="F1255" s="1104">
        <v>84.9</v>
      </c>
      <c r="G1255" s="1102">
        <v>0</v>
      </c>
      <c r="H1255" s="1104">
        <v>0.34</v>
      </c>
      <c r="I1255" s="1104">
        <v>269.55</v>
      </c>
      <c r="J1255" s="1102">
        <v>578.25</v>
      </c>
      <c r="K1255" s="1104">
        <v>26.377199999999998</v>
      </c>
      <c r="L1255" s="1102">
        <v>182.39999999999998</v>
      </c>
      <c r="M1255" s="1102">
        <v>0</v>
      </c>
      <c r="N1255" s="906">
        <v>147.91</v>
      </c>
      <c r="O1255" s="906">
        <v>164.72</v>
      </c>
      <c r="P1255" s="906">
        <v>160.58000000000001</v>
      </c>
      <c r="Q1255" s="906">
        <v>94.69</v>
      </c>
      <c r="R1255" s="906">
        <v>1E-3</v>
      </c>
      <c r="S1255" s="906">
        <v>1E-3</v>
      </c>
      <c r="T1255" s="906">
        <v>1E-3</v>
      </c>
      <c r="U1255" s="906">
        <v>1E-3</v>
      </c>
      <c r="V1255" s="906">
        <v>0.26</v>
      </c>
    </row>
    <row r="1256" spans="1:22" s="907" customFormat="1" x14ac:dyDescent="0.25">
      <c r="A1256" s="1100">
        <v>200321</v>
      </c>
      <c r="B1256" s="1107" t="str">
        <f t="shared" si="38"/>
        <v>-24,14/+25,66  (EC  24)</v>
      </c>
      <c r="C1256" s="1101"/>
      <c r="D1256" s="1102">
        <v>7.26</v>
      </c>
      <c r="E1256" s="1102">
        <v>2.4</v>
      </c>
      <c r="F1256" s="1104">
        <v>230.4</v>
      </c>
      <c r="G1256" s="1102">
        <v>0</v>
      </c>
      <c r="H1256" s="1104">
        <v>0.31</v>
      </c>
      <c r="I1256" s="1104">
        <v>250.74</v>
      </c>
      <c r="J1256" s="1102">
        <v>550.12</v>
      </c>
      <c r="K1256" s="1104">
        <v>31.976999999999997</v>
      </c>
      <c r="L1256" s="1102">
        <v>96</v>
      </c>
      <c r="M1256" s="1102">
        <v>0</v>
      </c>
      <c r="N1256" s="1775">
        <v>59.94</v>
      </c>
      <c r="O1256" s="906">
        <v>158.05000000000001</v>
      </c>
      <c r="P1256" s="906">
        <v>184.72</v>
      </c>
      <c r="Q1256" s="906">
        <v>95.92</v>
      </c>
      <c r="R1256" s="906">
        <v>1E-3</v>
      </c>
      <c r="S1256" s="906">
        <v>1E-3</v>
      </c>
      <c r="T1256" s="906">
        <v>0.01</v>
      </c>
      <c r="U1256" s="906">
        <v>1E-3</v>
      </c>
      <c r="V1256" s="906">
        <v>0.31</v>
      </c>
    </row>
    <row r="1257" spans="1:22" s="907" customFormat="1" x14ac:dyDescent="0.25">
      <c r="A1257" s="1100">
        <v>200322</v>
      </c>
      <c r="B1257" s="1107" t="str">
        <f t="shared" si="38"/>
        <v>-37,19/+36,16  (EC  32,3)</v>
      </c>
      <c r="C1257" s="1101"/>
      <c r="D1257" s="1102">
        <v>7.31</v>
      </c>
      <c r="E1257" s="1102">
        <v>3.23</v>
      </c>
      <c r="F1257" s="1104">
        <v>167</v>
      </c>
      <c r="G1257" s="1102">
        <v>0</v>
      </c>
      <c r="H1257" s="1104">
        <v>0.27</v>
      </c>
      <c r="I1257" s="1104">
        <v>206.65</v>
      </c>
      <c r="J1257" s="1102">
        <v>1167.5</v>
      </c>
      <c r="K1257" s="1104">
        <v>71.206199999999995</v>
      </c>
      <c r="L1257" s="1102">
        <v>220.79999999999998</v>
      </c>
      <c r="M1257" s="1102">
        <v>0</v>
      </c>
      <c r="N1257" s="906">
        <v>494.54</v>
      </c>
      <c r="O1257" s="906">
        <v>126</v>
      </c>
      <c r="P1257" s="906">
        <v>183.33</v>
      </c>
      <c r="Q1257" s="906">
        <v>105.74</v>
      </c>
      <c r="R1257" s="906">
        <v>0.01</v>
      </c>
      <c r="S1257" s="906">
        <v>1E-3</v>
      </c>
      <c r="T1257" s="906">
        <v>0.38</v>
      </c>
      <c r="U1257" s="906">
        <v>1E-3</v>
      </c>
      <c r="V1257" s="906">
        <v>0.66</v>
      </c>
    </row>
    <row r="1258" spans="1:22" s="907" customFormat="1" x14ac:dyDescent="0.25">
      <c r="A1258" s="1100">
        <v>200323</v>
      </c>
      <c r="B1258" s="1107" t="str">
        <f t="shared" si="38"/>
        <v>-19,84/+17,78  (EC  14,54)</v>
      </c>
      <c r="C1258" s="1101"/>
      <c r="D1258" s="1102">
        <v>7.49</v>
      </c>
      <c r="E1258" s="1102">
        <v>1.454</v>
      </c>
      <c r="F1258" s="1104">
        <v>18.54</v>
      </c>
      <c r="G1258" s="1102">
        <v>0</v>
      </c>
      <c r="H1258" s="1104">
        <v>0.39</v>
      </c>
      <c r="I1258" s="1104">
        <v>133.47999999999999</v>
      </c>
      <c r="J1258" s="1102">
        <v>562.70000000000005</v>
      </c>
      <c r="K1258" s="1104">
        <v>23.194800000000001</v>
      </c>
      <c r="L1258" s="1102">
        <v>232.79999999999998</v>
      </c>
      <c r="M1258" s="1102">
        <v>0</v>
      </c>
      <c r="N1258" s="1775">
        <v>50.49</v>
      </c>
      <c r="O1258" s="906">
        <v>81.96</v>
      </c>
      <c r="P1258" s="906">
        <v>123.15</v>
      </c>
      <c r="Q1258" s="906">
        <v>80.88</v>
      </c>
      <c r="R1258" s="906">
        <v>1E-3</v>
      </c>
      <c r="S1258" s="906">
        <v>1E-3</v>
      </c>
      <c r="T1258" s="906">
        <v>0.01</v>
      </c>
      <c r="U1258" s="906">
        <v>1E-3</v>
      </c>
      <c r="V1258" s="906">
        <v>0.18</v>
      </c>
    </row>
    <row r="1259" spans="1:22" s="907" customFormat="1" x14ac:dyDescent="0.25">
      <c r="A1259" s="1100">
        <v>200324</v>
      </c>
      <c r="B1259" s="1107" t="str">
        <f t="shared" si="38"/>
        <v>-58,29/+63,39  (EC  52)</v>
      </c>
      <c r="C1259" s="1101"/>
      <c r="D1259" s="1102">
        <v>6.78</v>
      </c>
      <c r="E1259" s="1102">
        <v>5.2</v>
      </c>
      <c r="F1259" s="1104">
        <v>726.6</v>
      </c>
      <c r="G1259" s="1102">
        <v>0</v>
      </c>
      <c r="H1259" s="1104">
        <v>0.38</v>
      </c>
      <c r="I1259" s="1104">
        <v>318.79000000000002</v>
      </c>
      <c r="J1259" s="1102">
        <v>1731.9</v>
      </c>
      <c r="K1259" s="1104">
        <v>70.043400000000005</v>
      </c>
      <c r="L1259" s="1102">
        <v>48</v>
      </c>
      <c r="M1259" s="1102">
        <v>0</v>
      </c>
      <c r="N1259" s="1775">
        <v>559.51</v>
      </c>
      <c r="O1259" s="906">
        <v>197.82</v>
      </c>
      <c r="P1259" s="906">
        <v>412.03</v>
      </c>
      <c r="Q1259" s="906">
        <v>237.82</v>
      </c>
      <c r="R1259" s="906">
        <v>1E-3</v>
      </c>
      <c r="S1259" s="906">
        <v>1E-3</v>
      </c>
      <c r="T1259" s="906">
        <v>0.04</v>
      </c>
      <c r="U1259" s="906">
        <v>1E-3</v>
      </c>
      <c r="V1259" s="906">
        <v>0.75</v>
      </c>
    </row>
    <row r="1260" spans="1:22" s="907" customFormat="1" x14ac:dyDescent="0.25">
      <c r="A1260" s="1100">
        <v>200325</v>
      </c>
      <c r="B1260" s="1107" t="str">
        <f t="shared" si="38"/>
        <v>-50,73/+50,39  (EC  41,3)</v>
      </c>
      <c r="C1260" s="1101"/>
      <c r="D1260" s="1102">
        <v>7.32</v>
      </c>
      <c r="E1260" s="1102">
        <v>4.13</v>
      </c>
      <c r="F1260" s="1104">
        <v>154</v>
      </c>
      <c r="G1260" s="1102">
        <v>0</v>
      </c>
      <c r="H1260" s="1104">
        <v>0.33</v>
      </c>
      <c r="I1260" s="1104">
        <v>375.84</v>
      </c>
      <c r="J1260" s="1102">
        <v>1652.5</v>
      </c>
      <c r="K1260" s="1104">
        <v>19.767600000000002</v>
      </c>
      <c r="L1260" s="1102">
        <v>184.8</v>
      </c>
      <c r="M1260" s="1102">
        <v>0</v>
      </c>
      <c r="N1260" s="906">
        <v>339.98</v>
      </c>
      <c r="O1260" s="906">
        <v>231.67</v>
      </c>
      <c r="P1260" s="906">
        <v>257.67</v>
      </c>
      <c r="Q1260" s="906">
        <v>224.34</v>
      </c>
      <c r="R1260" s="906">
        <v>1E-3</v>
      </c>
      <c r="S1260" s="906">
        <v>1E-3</v>
      </c>
      <c r="T1260" s="906">
        <v>1E-3</v>
      </c>
      <c r="U1260" s="906">
        <v>1E-3</v>
      </c>
      <c r="V1260" s="906">
        <v>0.33</v>
      </c>
    </row>
    <row r="1261" spans="1:22" s="907" customFormat="1" x14ac:dyDescent="0.25">
      <c r="A1261" s="1100">
        <v>200326</v>
      </c>
      <c r="B1261" s="1107" t="str">
        <f t="shared" si="38"/>
        <v>-20,05/+19,62  (EC  19)</v>
      </c>
      <c r="C1261" s="1101"/>
      <c r="D1261" s="1102">
        <v>7.4</v>
      </c>
      <c r="E1261" s="1102">
        <v>1.9</v>
      </c>
      <c r="F1261" s="1104">
        <v>138.19999999999999</v>
      </c>
      <c r="G1261" s="1102">
        <v>0</v>
      </c>
      <c r="H1261" s="1104">
        <v>0.34</v>
      </c>
      <c r="I1261" s="1104">
        <v>91.65</v>
      </c>
      <c r="J1261" s="1102">
        <v>491.8</v>
      </c>
      <c r="K1261" s="1104">
        <v>26.193600000000004</v>
      </c>
      <c r="L1261" s="1102">
        <v>288</v>
      </c>
      <c r="M1261" s="1102">
        <v>0</v>
      </c>
      <c r="N1261" s="1775">
        <v>45.55</v>
      </c>
      <c r="O1261" s="906">
        <v>59.86</v>
      </c>
      <c r="P1261" s="906">
        <v>157</v>
      </c>
      <c r="Q1261" s="906">
        <v>95.72</v>
      </c>
      <c r="R1261" s="906">
        <v>1E-3</v>
      </c>
      <c r="S1261" s="906">
        <v>1E-3</v>
      </c>
      <c r="T1261" s="906">
        <v>1E-3</v>
      </c>
      <c r="U1261" s="906">
        <v>1E-3</v>
      </c>
      <c r="V1261" s="906">
        <v>0.11</v>
      </c>
    </row>
    <row r="1262" spans="1:22" s="907" customFormat="1" x14ac:dyDescent="0.25">
      <c r="A1262" s="1100">
        <v>200327</v>
      </c>
      <c r="B1262" s="1107" t="str">
        <f t="shared" si="38"/>
        <v>-39,18/+38,04  (EC  27,8)</v>
      </c>
      <c r="C1262" s="1101"/>
      <c r="D1262" s="1102">
        <v>7.36</v>
      </c>
      <c r="E1262" s="1102">
        <v>2.78</v>
      </c>
      <c r="F1262" s="1104">
        <v>713.7</v>
      </c>
      <c r="G1262" s="1102">
        <v>0</v>
      </c>
      <c r="H1262" s="1104">
        <v>0.31</v>
      </c>
      <c r="I1262" s="1104">
        <v>150.32</v>
      </c>
      <c r="J1262" s="1102">
        <v>988.6</v>
      </c>
      <c r="K1262" s="1104">
        <v>26.9892</v>
      </c>
      <c r="L1262" s="1102">
        <v>156</v>
      </c>
      <c r="M1262" s="1102">
        <v>0</v>
      </c>
      <c r="N1262" s="906">
        <v>41.22</v>
      </c>
      <c r="O1262" s="906">
        <v>99.15</v>
      </c>
      <c r="P1262" s="906">
        <v>290.73</v>
      </c>
      <c r="Q1262" s="906">
        <v>217.39</v>
      </c>
      <c r="R1262" s="906">
        <v>1E-3</v>
      </c>
      <c r="S1262" s="906">
        <v>1E-3</v>
      </c>
      <c r="T1262" s="906">
        <v>1E-3</v>
      </c>
      <c r="U1262" s="906">
        <v>1E-3</v>
      </c>
      <c r="V1262" s="906">
        <v>0.35</v>
      </c>
    </row>
    <row r="1263" spans="1:22" s="907" customFormat="1" x14ac:dyDescent="0.25">
      <c r="A1263" s="1100">
        <v>200328</v>
      </c>
      <c r="B1263" s="1107" t="str">
        <f t="shared" si="38"/>
        <v>-28,54/+27,41  (EC  25,5)</v>
      </c>
      <c r="C1263" s="1101"/>
      <c r="D1263" s="1102">
        <v>7.41</v>
      </c>
      <c r="E1263" s="1102">
        <v>2.5499999999999998</v>
      </c>
      <c r="F1263" s="1104">
        <v>13</v>
      </c>
      <c r="G1263" s="1102">
        <v>0</v>
      </c>
      <c r="H1263" s="1104">
        <v>0.28000000000000003</v>
      </c>
      <c r="I1263" s="1104">
        <v>514.22</v>
      </c>
      <c r="J1263" s="1102">
        <v>512.23</v>
      </c>
      <c r="K1263" s="1104">
        <v>2.0808</v>
      </c>
      <c r="L1263" s="1102">
        <v>192</v>
      </c>
      <c r="M1263" s="1102">
        <v>0</v>
      </c>
      <c r="N1263" s="1775">
        <v>8.8000000000000007</v>
      </c>
      <c r="O1263" s="906">
        <v>322.73</v>
      </c>
      <c r="P1263" s="906">
        <v>109.1</v>
      </c>
      <c r="Q1263" s="906">
        <v>92.16</v>
      </c>
      <c r="R1263" s="906">
        <v>1E-3</v>
      </c>
      <c r="S1263" s="906">
        <v>1E-3</v>
      </c>
      <c r="T1263" s="906">
        <v>1E-3</v>
      </c>
      <c r="U1263" s="906">
        <v>1E-3</v>
      </c>
      <c r="V1263" s="906">
        <v>0.11</v>
      </c>
    </row>
    <row r="1264" spans="1:22" s="907" customFormat="1" x14ac:dyDescent="0.25">
      <c r="A1264" s="1100">
        <v>200329</v>
      </c>
      <c r="B1264" s="1107" t="str">
        <f t="shared" si="38"/>
        <v>-47,66/+46,57  (EC  39,9)</v>
      </c>
      <c r="C1264" s="1101"/>
      <c r="D1264" s="1102">
        <v>7.39</v>
      </c>
      <c r="E1264" s="1102">
        <v>3.99</v>
      </c>
      <c r="F1264" s="1104">
        <v>714.6</v>
      </c>
      <c r="G1264" s="1102">
        <v>0</v>
      </c>
      <c r="H1264" s="1104">
        <v>0.23</v>
      </c>
      <c r="I1264" s="1104">
        <v>546.96</v>
      </c>
      <c r="J1264" s="1102">
        <v>842.13</v>
      </c>
      <c r="K1264" s="1104">
        <v>11.322000000000001</v>
      </c>
      <c r="L1264" s="1102">
        <v>187.2</v>
      </c>
      <c r="M1264" s="1102">
        <v>0</v>
      </c>
      <c r="N1264" s="1775">
        <v>131.77000000000001</v>
      </c>
      <c r="O1264" s="906">
        <v>342.14</v>
      </c>
      <c r="P1264" s="906">
        <v>257.89</v>
      </c>
      <c r="Q1264" s="906">
        <v>184.82</v>
      </c>
      <c r="R1264" s="906">
        <v>1E-3</v>
      </c>
      <c r="S1264" s="906">
        <v>1E-3</v>
      </c>
      <c r="T1264" s="906">
        <v>1E-3</v>
      </c>
      <c r="U1264" s="906">
        <v>1E-3</v>
      </c>
      <c r="V1264" s="906">
        <v>0.32</v>
      </c>
    </row>
    <row r="1265" spans="1:22" s="907" customFormat="1" x14ac:dyDescent="0.25">
      <c r="A1265" s="1100">
        <v>200330</v>
      </c>
      <c r="B1265" s="1107" t="str">
        <f t="shared" si="38"/>
        <v>-42,88/+44,87  (EC  43,3)</v>
      </c>
      <c r="C1265" s="1101"/>
      <c r="D1265" s="1102">
        <v>6.62</v>
      </c>
      <c r="E1265" s="1102">
        <v>4.33</v>
      </c>
      <c r="F1265" s="1104">
        <v>734.2</v>
      </c>
      <c r="G1265" s="1102">
        <v>0</v>
      </c>
      <c r="H1265" s="1104">
        <v>0.24</v>
      </c>
      <c r="I1265" s="1104">
        <v>222.75</v>
      </c>
      <c r="J1265" s="1102">
        <v>1114.2</v>
      </c>
      <c r="K1265" s="1104">
        <v>74.266199999999998</v>
      </c>
      <c r="L1265" s="1102">
        <v>48</v>
      </c>
      <c r="M1265" s="1102">
        <v>0</v>
      </c>
      <c r="N1265" s="1775">
        <v>394.96</v>
      </c>
      <c r="O1265" s="906">
        <v>140.99</v>
      </c>
      <c r="P1265" s="1737">
        <v>320.23</v>
      </c>
      <c r="Q1265" s="1737">
        <v>151</v>
      </c>
      <c r="R1265" s="906">
        <v>1E-3</v>
      </c>
      <c r="S1265" s="906">
        <v>1E-3</v>
      </c>
      <c r="T1265" s="906">
        <v>0.1</v>
      </c>
      <c r="U1265" s="906">
        <v>1E-3</v>
      </c>
      <c r="V1265" s="906">
        <v>0.48</v>
      </c>
    </row>
    <row r="1266" spans="1:22" s="907" customFormat="1" x14ac:dyDescent="0.25">
      <c r="A1266" s="1100">
        <v>200331</v>
      </c>
      <c r="B1266" s="1107" t="str">
        <f t="shared" si="38"/>
        <v>-47,57/+48,09  (EC  39,6)</v>
      </c>
      <c r="C1266" s="1101"/>
      <c r="D1266" s="1102">
        <v>7.34</v>
      </c>
      <c r="E1266" s="1102">
        <v>3.96</v>
      </c>
      <c r="F1266" s="1104">
        <v>534.79999999999995</v>
      </c>
      <c r="G1266" s="1102">
        <v>0</v>
      </c>
      <c r="H1266" s="1104">
        <v>0.33</v>
      </c>
      <c r="I1266" s="1104">
        <v>315.64999999999998</v>
      </c>
      <c r="J1266" s="1102">
        <v>1278.23</v>
      </c>
      <c r="K1266" s="1104">
        <v>45.747</v>
      </c>
      <c r="L1266" s="1102">
        <v>180</v>
      </c>
      <c r="M1266" s="1102">
        <v>0</v>
      </c>
      <c r="N1266" s="1775">
        <v>340.28</v>
      </c>
      <c r="O1266" s="906">
        <v>199.87</v>
      </c>
      <c r="P1266" s="906">
        <v>303.5</v>
      </c>
      <c r="Q1266" s="906">
        <v>185.67</v>
      </c>
      <c r="R1266" s="906">
        <v>1E-3</v>
      </c>
      <c r="S1266" s="906">
        <v>1E-3</v>
      </c>
      <c r="T1266" s="906">
        <v>1E-3</v>
      </c>
      <c r="U1266" s="906">
        <v>1E-3</v>
      </c>
      <c r="V1266" s="906">
        <v>0.33</v>
      </c>
    </row>
    <row r="1267" spans="1:22" s="907" customFormat="1" x14ac:dyDescent="0.25">
      <c r="A1267" s="1100">
        <v>200332</v>
      </c>
      <c r="B1267" s="1107" t="str">
        <f t="shared" si="38"/>
        <v>-48,99/+48,53  (EC  36,5)</v>
      </c>
      <c r="C1267" s="1101"/>
      <c r="D1267" s="1102">
        <v>7.43</v>
      </c>
      <c r="E1267" s="1102">
        <v>3.65</v>
      </c>
      <c r="F1267" s="1104">
        <v>72.8</v>
      </c>
      <c r="G1267" s="1102">
        <v>0</v>
      </c>
      <c r="H1267" s="1104">
        <v>0.27</v>
      </c>
      <c r="I1267" s="1104">
        <v>410.12</v>
      </c>
      <c r="J1267" s="1102">
        <v>1546.3</v>
      </c>
      <c r="K1267" s="1104">
        <v>15.3</v>
      </c>
      <c r="L1267" s="1102">
        <v>237.60000000000002</v>
      </c>
      <c r="M1267" s="1102">
        <v>0</v>
      </c>
      <c r="N1267" s="906">
        <v>235.99</v>
      </c>
      <c r="O1267" s="906">
        <v>254.92</v>
      </c>
      <c r="P1267" s="906">
        <v>291.48</v>
      </c>
      <c r="Q1267" s="906">
        <v>201.68</v>
      </c>
      <c r="R1267" s="906">
        <v>1E-3</v>
      </c>
      <c r="S1267" s="906">
        <v>1E-3</v>
      </c>
      <c r="T1267" s="906">
        <v>1E-3</v>
      </c>
      <c r="U1267" s="906">
        <v>1E-3</v>
      </c>
      <c r="V1267" s="906">
        <v>0.32</v>
      </c>
    </row>
    <row r="1268" spans="1:22" s="907" customFormat="1" x14ac:dyDescent="0.25">
      <c r="A1268" s="1100">
        <v>200333</v>
      </c>
      <c r="B1268" s="1107" t="str">
        <f t="shared" ref="B1268:B1328" si="39">"-"&amp;TEXT((F1268/62+G1268/46+I1268/35.5+J1268/48+K1268/97+L1268/61),"0,00")&amp;"/+"&amp;TEXT((N1268/39+O1268/23+P1268/20+Q1268/12+H1268/14),"0,00")&amp;"  (EC  "&amp;E1268*10&amp;")"</f>
        <v>-45,89/+44,00  (EC  36,9)</v>
      </c>
      <c r="C1268" s="1101"/>
      <c r="D1268" s="1102">
        <v>7.39</v>
      </c>
      <c r="E1268" s="1102">
        <v>3.69</v>
      </c>
      <c r="F1268" s="1104">
        <v>327.39999999999998</v>
      </c>
      <c r="G1268" s="1102">
        <v>0</v>
      </c>
      <c r="H1268" s="1104">
        <v>0.31</v>
      </c>
      <c r="I1268" s="1104">
        <v>675.46</v>
      </c>
      <c r="J1268" s="1102">
        <v>895.64</v>
      </c>
      <c r="K1268" s="1104">
        <v>62.332200000000007</v>
      </c>
      <c r="L1268" s="1102">
        <v>139.19999999999999</v>
      </c>
      <c r="M1268" s="1102">
        <v>0</v>
      </c>
      <c r="N1268" s="1775">
        <v>169.26</v>
      </c>
      <c r="O1268" s="906">
        <v>419.28</v>
      </c>
      <c r="P1268" s="906">
        <v>201.2</v>
      </c>
      <c r="Q1268" s="906">
        <v>136.15</v>
      </c>
      <c r="R1268" s="906">
        <v>1E-3</v>
      </c>
      <c r="S1268" s="906">
        <v>1E-3</v>
      </c>
      <c r="T1268" s="906">
        <v>0.01</v>
      </c>
      <c r="U1268" s="906">
        <v>1E-3</v>
      </c>
      <c r="V1268" s="906">
        <v>0.37</v>
      </c>
    </row>
    <row r="1269" spans="1:22" s="907" customFormat="1" x14ac:dyDescent="0.25">
      <c r="A1269" s="1100">
        <v>200334</v>
      </c>
      <c r="B1269" s="1107" t="str">
        <f t="shared" si="39"/>
        <v>-27,56/+29,00  (EC  28,1)</v>
      </c>
      <c r="C1269" s="1101"/>
      <c r="D1269" s="1102">
        <v>7.36</v>
      </c>
      <c r="E1269" s="1102">
        <v>2.81</v>
      </c>
      <c r="F1269" s="1104">
        <v>564.4</v>
      </c>
      <c r="G1269" s="1102">
        <v>0</v>
      </c>
      <c r="H1269" s="1104">
        <v>0.23</v>
      </c>
      <c r="I1269" s="1104">
        <v>137.25</v>
      </c>
      <c r="J1269" s="1102">
        <v>546.6</v>
      </c>
      <c r="K1269" s="1104">
        <v>104.2542</v>
      </c>
      <c r="L1269" s="1102">
        <v>129.60000000000002</v>
      </c>
      <c r="M1269" s="1102">
        <v>0</v>
      </c>
      <c r="N1269" s="906">
        <v>353.23</v>
      </c>
      <c r="O1269" s="906">
        <v>84.48</v>
      </c>
      <c r="P1269" s="906">
        <v>173.38</v>
      </c>
      <c r="Q1269" s="906">
        <v>91.04</v>
      </c>
      <c r="R1269" s="906">
        <v>1E-3</v>
      </c>
      <c r="S1269" s="906">
        <v>1E-3</v>
      </c>
      <c r="T1269" s="906">
        <v>0.02</v>
      </c>
      <c r="U1269" s="906">
        <v>1E-3</v>
      </c>
      <c r="V1269" s="906">
        <v>0.52</v>
      </c>
    </row>
    <row r="1270" spans="1:22" s="907" customFormat="1" x14ac:dyDescent="0.25">
      <c r="A1270" s="1100">
        <v>200335</v>
      </c>
      <c r="B1270" s="1107" t="str">
        <f t="shared" si="39"/>
        <v>-27,73/+28,37  (EC  27,01)</v>
      </c>
      <c r="C1270" s="1101"/>
      <c r="D1270" s="1102">
        <v>6.97</v>
      </c>
      <c r="E1270" s="1102">
        <v>2.7010000000000001</v>
      </c>
      <c r="F1270" s="1104">
        <v>552.1</v>
      </c>
      <c r="G1270" s="1102">
        <v>0</v>
      </c>
      <c r="H1270" s="1104">
        <v>0.24</v>
      </c>
      <c r="I1270" s="1104">
        <v>132.33000000000001</v>
      </c>
      <c r="J1270" s="1102">
        <v>568</v>
      </c>
      <c r="K1270" s="1104">
        <v>102.6936</v>
      </c>
      <c r="L1270" s="1102">
        <v>134.39999999999998</v>
      </c>
      <c r="M1270" s="1102">
        <v>0</v>
      </c>
      <c r="N1270" s="906">
        <v>342.04</v>
      </c>
      <c r="O1270" s="906">
        <v>83.98</v>
      </c>
      <c r="P1270" s="906">
        <v>168.37</v>
      </c>
      <c r="Q1270" s="906">
        <v>90.19</v>
      </c>
      <c r="R1270" s="906">
        <v>1E-3</v>
      </c>
      <c r="S1270" s="906">
        <v>1E-3</v>
      </c>
      <c r="T1270" s="906">
        <v>0.02</v>
      </c>
      <c r="U1270" s="906">
        <v>1E-3</v>
      </c>
      <c r="V1270" s="906">
        <v>0.48</v>
      </c>
    </row>
    <row r="1271" spans="1:22" s="907" customFormat="1" x14ac:dyDescent="0.25">
      <c r="A1271" s="1100">
        <v>200336</v>
      </c>
      <c r="B1271" s="1107" t="str">
        <f t="shared" si="39"/>
        <v>-45,80/+44,20  (EC  41)</v>
      </c>
      <c r="C1271" s="1101"/>
      <c r="D1271" s="1102">
        <v>6.69</v>
      </c>
      <c r="E1271" s="1102">
        <v>4.0999999999999996</v>
      </c>
      <c r="F1271" s="1104">
        <v>638.6</v>
      </c>
      <c r="G1271" s="1102">
        <v>0</v>
      </c>
      <c r="H1271" s="1104">
        <v>0.37</v>
      </c>
      <c r="I1271" s="1104">
        <v>546.5</v>
      </c>
      <c r="J1271" s="1102">
        <v>745.3</v>
      </c>
      <c r="K1271" s="1104">
        <v>92.564999999999998</v>
      </c>
      <c r="L1271" s="1102">
        <v>220.79999999999998</v>
      </c>
      <c r="M1271" s="1102">
        <v>0</v>
      </c>
      <c r="N1271" s="906">
        <v>217.25</v>
      </c>
      <c r="O1271" s="906">
        <v>359.21</v>
      </c>
      <c r="P1271" s="906">
        <v>240.98</v>
      </c>
      <c r="Q1271" s="906">
        <v>131.19</v>
      </c>
      <c r="R1271" s="906">
        <v>1E-3</v>
      </c>
      <c r="S1271" s="906">
        <v>1E-3</v>
      </c>
      <c r="T1271" s="906">
        <v>0.06</v>
      </c>
      <c r="U1271" s="906">
        <v>1E-3</v>
      </c>
      <c r="V1271" s="906">
        <v>0.54</v>
      </c>
    </row>
    <row r="1272" spans="1:22" s="907" customFormat="1" x14ac:dyDescent="0.25">
      <c r="A1272" s="1100">
        <v>200337</v>
      </c>
      <c r="B1272" s="1107" t="str">
        <f t="shared" si="39"/>
        <v>-32,48/+31,00  (EC  30,2)</v>
      </c>
      <c r="C1272" s="1101"/>
      <c r="D1272" s="1102">
        <v>7.01</v>
      </c>
      <c r="E1272" s="1102">
        <v>3.02</v>
      </c>
      <c r="F1272" s="1104">
        <v>368.3</v>
      </c>
      <c r="G1272" s="1102">
        <v>0</v>
      </c>
      <c r="H1272" s="1104">
        <v>0.22</v>
      </c>
      <c r="I1272" s="1104">
        <v>556.20000000000005</v>
      </c>
      <c r="J1272" s="1102">
        <v>412.3</v>
      </c>
      <c r="K1272" s="1104">
        <v>30.722399999999997</v>
      </c>
      <c r="L1272" s="1102">
        <v>120</v>
      </c>
      <c r="M1272" s="1102">
        <v>0</v>
      </c>
      <c r="N1272" s="906">
        <v>54.23</v>
      </c>
      <c r="O1272" s="906">
        <v>361.72</v>
      </c>
      <c r="P1272" s="906">
        <v>136.44999999999999</v>
      </c>
      <c r="Q1272" s="906">
        <v>84.59</v>
      </c>
      <c r="R1272" s="906">
        <v>1E-3</v>
      </c>
      <c r="S1272" s="906">
        <v>1E-3</v>
      </c>
      <c r="T1272" s="906">
        <v>0.02</v>
      </c>
      <c r="U1272" s="906">
        <v>1E-3</v>
      </c>
      <c r="V1272" s="906">
        <v>0.4</v>
      </c>
    </row>
    <row r="1273" spans="1:22" s="907" customFormat="1" x14ac:dyDescent="0.25">
      <c r="A1273" s="1100">
        <v>200338</v>
      </c>
      <c r="B1273" s="1107" t="str">
        <f t="shared" si="39"/>
        <v>-47,44/+49,66  (EC  48,5)</v>
      </c>
      <c r="C1273" s="1101"/>
      <c r="D1273" s="1102">
        <v>7.22</v>
      </c>
      <c r="E1273" s="1102">
        <v>4.8499999999999996</v>
      </c>
      <c r="F1273" s="1104">
        <v>13</v>
      </c>
      <c r="G1273" s="1102">
        <v>0</v>
      </c>
      <c r="H1273" s="1104">
        <v>0.31</v>
      </c>
      <c r="I1273" s="1104">
        <v>1150.2</v>
      </c>
      <c r="J1273" s="1102">
        <v>436.3</v>
      </c>
      <c r="K1273" s="1104">
        <v>0</v>
      </c>
      <c r="L1273" s="1102">
        <v>350.4</v>
      </c>
      <c r="M1273" s="1102">
        <v>0</v>
      </c>
      <c r="N1273" s="906">
        <v>8.6300000000000008</v>
      </c>
      <c r="O1273" s="906">
        <v>707.07</v>
      </c>
      <c r="P1273" s="906">
        <v>146.69999999999999</v>
      </c>
      <c r="Q1273" s="906">
        <v>136.05000000000001</v>
      </c>
      <c r="R1273" s="906">
        <v>1E-3</v>
      </c>
      <c r="S1273" s="906">
        <v>1E-3</v>
      </c>
      <c r="T1273" s="906">
        <v>1E-3</v>
      </c>
      <c r="U1273" s="1775">
        <v>0.09</v>
      </c>
      <c r="V1273" s="906">
        <v>0.22</v>
      </c>
    </row>
    <row r="1274" spans="1:22" s="907" customFormat="1" x14ac:dyDescent="0.25">
      <c r="A1274" s="1100">
        <v>200339</v>
      </c>
      <c r="B1274" s="1107" t="str">
        <f t="shared" si="39"/>
        <v>-37,43/+38,33  (EC  37)</v>
      </c>
      <c r="C1274" s="1101"/>
      <c r="D1274" s="1102">
        <v>7.41</v>
      </c>
      <c r="E1274" s="1102">
        <v>3.7</v>
      </c>
      <c r="F1274" s="1104">
        <v>5.58</v>
      </c>
      <c r="G1274" s="1102">
        <v>0</v>
      </c>
      <c r="H1274" s="1104">
        <v>0.27</v>
      </c>
      <c r="I1274" s="1104">
        <v>850.44799999999998</v>
      </c>
      <c r="J1274" s="1102">
        <v>425.2</v>
      </c>
      <c r="K1274" s="1104">
        <v>3.0600000000000002E-2</v>
      </c>
      <c r="L1274" s="1102">
        <v>276</v>
      </c>
      <c r="M1274" s="1102">
        <v>0</v>
      </c>
      <c r="N1274" s="906">
        <v>3.97</v>
      </c>
      <c r="O1274" s="906">
        <v>531.53</v>
      </c>
      <c r="P1274" s="906">
        <v>167.44</v>
      </c>
      <c r="Q1274" s="906">
        <v>80.72</v>
      </c>
      <c r="R1274" s="906">
        <v>1E-3</v>
      </c>
      <c r="S1274" s="906">
        <v>1E-3</v>
      </c>
      <c r="T1274" s="906">
        <v>0.01</v>
      </c>
      <c r="U1274" s="1775">
        <v>0.05</v>
      </c>
      <c r="V1274" s="906">
        <v>0.09</v>
      </c>
    </row>
    <row r="1275" spans="1:22" s="907" customFormat="1" x14ac:dyDescent="0.25">
      <c r="A1275" s="1100">
        <v>200340</v>
      </c>
      <c r="B1275" s="1107" t="str">
        <f t="shared" si="39"/>
        <v>-7,57/+7,09  (EC  6,02)</v>
      </c>
      <c r="C1275" s="1101"/>
      <c r="D1275" s="1102">
        <v>7.68</v>
      </c>
      <c r="E1275" s="1102">
        <v>0.60199999999999998</v>
      </c>
      <c r="F1275" s="1104">
        <v>3.61</v>
      </c>
      <c r="G1275" s="1102">
        <v>0</v>
      </c>
      <c r="H1275" s="1104">
        <v>0.3</v>
      </c>
      <c r="I1275" s="1104">
        <v>48.69</v>
      </c>
      <c r="J1275" s="1102">
        <v>130.22</v>
      </c>
      <c r="K1275" s="1104">
        <v>0</v>
      </c>
      <c r="L1275" s="1102">
        <v>208.79999999999998</v>
      </c>
      <c r="M1275" s="1102">
        <v>0</v>
      </c>
      <c r="N1275" s="906">
        <v>1.33</v>
      </c>
      <c r="O1275" s="906">
        <v>30.97</v>
      </c>
      <c r="P1275" s="906">
        <v>72.48</v>
      </c>
      <c r="Q1275" s="906">
        <v>24.77</v>
      </c>
      <c r="R1275" s="906">
        <v>1E-3</v>
      </c>
      <c r="S1275" s="906">
        <v>1E-3</v>
      </c>
      <c r="T1275" s="906">
        <v>1E-3</v>
      </c>
      <c r="U1275" s="906">
        <v>1E-3</v>
      </c>
      <c r="V1275" s="906">
        <v>0.06</v>
      </c>
    </row>
    <row r="1276" spans="1:22" s="907" customFormat="1" x14ac:dyDescent="0.25">
      <c r="A1276" s="1100">
        <v>200341</v>
      </c>
      <c r="B1276" s="1107" t="str">
        <f t="shared" si="39"/>
        <v>-7,55/+7,04  (EC  6,05)</v>
      </c>
      <c r="C1276" s="1101"/>
      <c r="D1276" s="1102">
        <v>7.6</v>
      </c>
      <c r="E1276" s="1102">
        <v>0.60499999999999998</v>
      </c>
      <c r="F1276" s="1104">
        <v>1.97</v>
      </c>
      <c r="G1276" s="1102">
        <v>0</v>
      </c>
      <c r="H1276" s="1104">
        <v>0.4</v>
      </c>
      <c r="I1276" s="1104">
        <v>70.459999999999994</v>
      </c>
      <c r="J1276" s="1102">
        <v>114.48</v>
      </c>
      <c r="K1276" s="1104">
        <v>0</v>
      </c>
      <c r="L1276" s="1102">
        <v>192</v>
      </c>
      <c r="M1276" s="1102">
        <v>0</v>
      </c>
      <c r="N1276" s="906">
        <v>1.46</v>
      </c>
      <c r="O1276" s="906">
        <v>44.76</v>
      </c>
      <c r="P1276" s="906">
        <v>63.12</v>
      </c>
      <c r="Q1276" s="906">
        <v>22.48</v>
      </c>
      <c r="R1276" s="906">
        <v>1E-3</v>
      </c>
      <c r="S1276" s="906">
        <v>1E-3</v>
      </c>
      <c r="T1276" s="906">
        <v>1E-3</v>
      </c>
      <c r="U1276" s="906">
        <v>1E-3</v>
      </c>
      <c r="V1276" s="906">
        <v>0.06</v>
      </c>
    </row>
    <row r="1277" spans="1:22" s="907" customFormat="1" x14ac:dyDescent="0.25">
      <c r="A1277" s="1100">
        <v>200342</v>
      </c>
      <c r="B1277" s="1107" t="str">
        <f t="shared" si="39"/>
        <v>-8,21/+8,02  (EC  7,01)</v>
      </c>
      <c r="C1277" s="1101"/>
      <c r="D1277" s="1102">
        <v>7.68</v>
      </c>
      <c r="E1277" s="1102">
        <v>0.70099999999999996</v>
      </c>
      <c r="F1277" s="1104">
        <v>1.1200000000000001</v>
      </c>
      <c r="G1277" s="1102">
        <v>0</v>
      </c>
      <c r="H1277" s="1104">
        <v>0.2</v>
      </c>
      <c r="I1277" s="1104">
        <v>79.680000000000007</v>
      </c>
      <c r="J1277" s="1102">
        <v>127.07</v>
      </c>
      <c r="K1277" s="1104">
        <v>0</v>
      </c>
      <c r="L1277" s="1102">
        <v>201.60000000000002</v>
      </c>
      <c r="M1277" s="1102">
        <v>0</v>
      </c>
      <c r="N1277" s="906">
        <v>1.96</v>
      </c>
      <c r="O1277" s="906">
        <v>50.72</v>
      </c>
      <c r="P1277" s="906">
        <v>68.78</v>
      </c>
      <c r="Q1277" s="906">
        <v>27.74</v>
      </c>
      <c r="R1277" s="906">
        <v>0.03</v>
      </c>
      <c r="S1277" s="906">
        <v>1E-3</v>
      </c>
      <c r="T1277" s="906">
        <v>1E-3</v>
      </c>
      <c r="U1277" s="906">
        <v>1E-3</v>
      </c>
      <c r="V1277" s="906">
        <v>0.06</v>
      </c>
    </row>
    <row r="1278" spans="1:22" s="907" customFormat="1" x14ac:dyDescent="0.25">
      <c r="A1278" s="1100">
        <v>200343</v>
      </c>
      <c r="B1278" s="1107" t="str">
        <f t="shared" si="39"/>
        <v>-4,68/+3,69  (EC  3,45)</v>
      </c>
      <c r="C1278" s="1101"/>
      <c r="D1278" s="1102">
        <v>7.81</v>
      </c>
      <c r="E1278" s="1102">
        <v>0.34499999999999997</v>
      </c>
      <c r="F1278" s="1104">
        <v>3.55</v>
      </c>
      <c r="G1278" s="1102">
        <v>0</v>
      </c>
      <c r="H1278" s="1104">
        <v>0.32</v>
      </c>
      <c r="I1278" s="1104">
        <v>16.559999999999999</v>
      </c>
      <c r="J1278" s="1102">
        <v>95.65</v>
      </c>
      <c r="K1278" s="1104">
        <v>0.15300000000000002</v>
      </c>
      <c r="L1278" s="1102">
        <v>132</v>
      </c>
      <c r="M1278" s="1102">
        <v>0</v>
      </c>
      <c r="N1278" s="906">
        <v>1.38</v>
      </c>
      <c r="O1278" s="906">
        <v>10.43</v>
      </c>
      <c r="P1278" s="906">
        <v>31.67</v>
      </c>
      <c r="Q1278" s="906">
        <v>19.13</v>
      </c>
      <c r="R1278" s="906">
        <v>0.01</v>
      </c>
      <c r="S1278" s="906">
        <v>1E-3</v>
      </c>
      <c r="T1278" s="906">
        <v>1E-3</v>
      </c>
      <c r="U1278" s="906">
        <v>1E-3</v>
      </c>
      <c r="V1278" s="906">
        <v>0.05</v>
      </c>
    </row>
    <row r="1279" spans="1:22" s="907" customFormat="1" x14ac:dyDescent="0.25">
      <c r="A1279" s="1100">
        <v>200344</v>
      </c>
      <c r="B1279" s="1107" t="str">
        <f t="shared" si="39"/>
        <v>-9,37/+10,32  (EC  8,32)</v>
      </c>
      <c r="C1279" s="1101"/>
      <c r="D1279" s="1102">
        <v>5.88</v>
      </c>
      <c r="E1279" s="1102">
        <v>0.83199999999999996</v>
      </c>
      <c r="F1279" s="1104">
        <v>1.1100000000000001</v>
      </c>
      <c r="G1279" s="1102">
        <v>0</v>
      </c>
      <c r="H1279" s="1104">
        <v>0.23</v>
      </c>
      <c r="I1279" s="1104">
        <v>40.78</v>
      </c>
      <c r="J1279" s="1102">
        <v>154.54</v>
      </c>
      <c r="K1279" s="1104">
        <v>422.00459999999998</v>
      </c>
      <c r="L1279" s="1102">
        <v>38.400000000000006</v>
      </c>
      <c r="M1279" s="1102">
        <v>0</v>
      </c>
      <c r="N1279" s="906">
        <v>34.31</v>
      </c>
      <c r="O1279" s="906">
        <v>26.9</v>
      </c>
      <c r="P1279" s="906">
        <v>84.99</v>
      </c>
      <c r="Q1279" s="906">
        <v>48.02</v>
      </c>
      <c r="R1279" s="906">
        <v>0.26</v>
      </c>
      <c r="S1279" s="906">
        <v>1E-3</v>
      </c>
      <c r="T1279" s="906">
        <v>0.05</v>
      </c>
      <c r="U1279" s="906">
        <v>1E-3</v>
      </c>
      <c r="V1279" s="906">
        <v>0.03</v>
      </c>
    </row>
    <row r="1280" spans="1:22" s="907" customFormat="1" x14ac:dyDescent="0.25">
      <c r="A1280" s="1100">
        <v>200345</v>
      </c>
      <c r="B1280" s="1107" t="str">
        <f t="shared" si="39"/>
        <v>-4,53/+5,93  (EC  5,8)</v>
      </c>
      <c r="C1280" s="1101"/>
      <c r="D1280" s="1102">
        <v>6.68</v>
      </c>
      <c r="E1280" s="1102">
        <v>0.57999999999999996</v>
      </c>
      <c r="F1280" s="1104">
        <v>1.01</v>
      </c>
      <c r="G1280" s="1102">
        <v>0</v>
      </c>
      <c r="H1280" s="1104">
        <v>0.21</v>
      </c>
      <c r="I1280" s="1104">
        <v>25.45</v>
      </c>
      <c r="J1280" s="1102">
        <v>54.23</v>
      </c>
      <c r="K1280" s="1104">
        <v>143.7894</v>
      </c>
      <c r="L1280" s="1102">
        <v>72</v>
      </c>
      <c r="M1280" s="1102">
        <v>0</v>
      </c>
      <c r="N1280" s="906">
        <v>33.630000000000003</v>
      </c>
      <c r="O1280" s="906">
        <v>13.1</v>
      </c>
      <c r="P1280" s="906">
        <v>42.65</v>
      </c>
      <c r="Q1280" s="906">
        <v>28.19</v>
      </c>
      <c r="R1280" s="906">
        <v>1E-3</v>
      </c>
      <c r="S1280" s="906">
        <v>1E-3</v>
      </c>
      <c r="T1280" s="906">
        <v>0.04</v>
      </c>
      <c r="U1280" s="906">
        <v>1E-3</v>
      </c>
      <c r="V1280" s="906">
        <v>0.05</v>
      </c>
    </row>
    <row r="1281" spans="1:22" s="907" customFormat="1" x14ac:dyDescent="0.25">
      <c r="A1281" s="1100">
        <v>200346</v>
      </c>
      <c r="B1281" s="1107" t="str">
        <f t="shared" si="39"/>
        <v>-8,10/+10,88  (EC  9,01)</v>
      </c>
      <c r="C1281" s="1101"/>
      <c r="D1281" s="1102">
        <v>5.42</v>
      </c>
      <c r="E1281" s="1102">
        <v>0.90100000000000002</v>
      </c>
      <c r="F1281" s="1104">
        <v>1.1200000000000001</v>
      </c>
      <c r="G1281" s="1102">
        <v>0</v>
      </c>
      <c r="H1281" s="1104">
        <v>0.22</v>
      </c>
      <c r="I1281" s="1104">
        <v>57.46</v>
      </c>
      <c r="J1281" s="1102">
        <v>62.32</v>
      </c>
      <c r="K1281" s="1104">
        <v>474.48360000000002</v>
      </c>
      <c r="L1281" s="1102">
        <v>16.799999999999997</v>
      </c>
      <c r="M1281" s="1102">
        <v>0</v>
      </c>
      <c r="N1281" s="906">
        <v>25.07</v>
      </c>
      <c r="O1281" s="906">
        <v>29.44</v>
      </c>
      <c r="P1281" s="906">
        <v>91.84</v>
      </c>
      <c r="Q1281" s="906">
        <v>52.24</v>
      </c>
      <c r="R1281" s="906">
        <v>0.39</v>
      </c>
      <c r="S1281" s="906">
        <v>1E-3</v>
      </c>
      <c r="T1281" s="906">
        <v>0.02</v>
      </c>
      <c r="U1281" s="906">
        <v>1E-3</v>
      </c>
      <c r="V1281" s="906">
        <v>0.03</v>
      </c>
    </row>
    <row r="1282" spans="1:22" s="907" customFormat="1" x14ac:dyDescent="0.25">
      <c r="A1282" s="1100">
        <v>200347</v>
      </c>
      <c r="B1282" s="1107" t="str">
        <f t="shared" si="39"/>
        <v>-5,00/+6,07  (EC  6,02)</v>
      </c>
      <c r="C1282" s="1101"/>
      <c r="D1282" s="1102">
        <v>6.42</v>
      </c>
      <c r="E1282" s="1102">
        <v>0.60199999999999998</v>
      </c>
      <c r="F1282" s="1104">
        <v>1.1499999999999999</v>
      </c>
      <c r="G1282" s="1102">
        <v>0</v>
      </c>
      <c r="H1282" s="1104">
        <v>0.33</v>
      </c>
      <c r="I1282" s="1104">
        <v>30.24</v>
      </c>
      <c r="J1282" s="1102">
        <v>78.25</v>
      </c>
      <c r="K1282" s="1104">
        <v>151.2252</v>
      </c>
      <c r="L1282" s="1102">
        <v>57.599999999999994</v>
      </c>
      <c r="M1282" s="1102">
        <v>0</v>
      </c>
      <c r="N1282" s="906">
        <v>35.82</v>
      </c>
      <c r="O1282" s="906">
        <v>13.44</v>
      </c>
      <c r="P1282" s="906">
        <v>43.53</v>
      </c>
      <c r="Q1282" s="906">
        <v>28.45</v>
      </c>
      <c r="R1282" s="906">
        <v>1E-3</v>
      </c>
      <c r="S1282" s="906">
        <v>1E-3</v>
      </c>
      <c r="T1282" s="906">
        <v>0.04</v>
      </c>
      <c r="U1282" s="906">
        <v>1E-3</v>
      </c>
      <c r="V1282" s="906">
        <v>0.04</v>
      </c>
    </row>
    <row r="1283" spans="1:22" s="907" customFormat="1" x14ac:dyDescent="0.25">
      <c r="A1283" s="1100">
        <v>213046</v>
      </c>
      <c r="B1283" s="1107" t="str">
        <f t="shared" si="39"/>
        <v>-5,30/+5,33  (EC  5,38)</v>
      </c>
      <c r="C1283" s="1101"/>
      <c r="D1283" s="1102"/>
      <c r="E1283" s="1102">
        <v>0.53800000000000003</v>
      </c>
      <c r="F1283" s="1104">
        <v>24.21</v>
      </c>
      <c r="G1283" s="1102">
        <v>0</v>
      </c>
      <c r="H1283" s="1102">
        <v>0.13</v>
      </c>
      <c r="I1283" s="1104">
        <v>60.4</v>
      </c>
      <c r="J1283" s="1102">
        <v>120.48</v>
      </c>
      <c r="K1283" s="1102">
        <v>2.83</v>
      </c>
      <c r="L1283" s="1102">
        <v>40.799999999999997</v>
      </c>
      <c r="M1283" s="1102">
        <v>0</v>
      </c>
      <c r="N1283" s="1102">
        <v>8.86</v>
      </c>
      <c r="O1283" s="1102">
        <v>59.02</v>
      </c>
      <c r="P1283" s="1102">
        <v>24.94</v>
      </c>
      <c r="Q1283" s="1102">
        <v>15.37</v>
      </c>
      <c r="R1283" s="1102"/>
      <c r="S1283" s="1102"/>
      <c r="T1283" s="1102"/>
      <c r="U1283" s="1102"/>
      <c r="V1283" s="1102"/>
    </row>
    <row r="1284" spans="1:22" s="907" customFormat="1" x14ac:dyDescent="0.25">
      <c r="A1284" s="1100">
        <v>213047</v>
      </c>
      <c r="B1284" s="1107" t="str">
        <f t="shared" si="39"/>
        <v>-3,91/+3,89  (EC  3,91)</v>
      </c>
      <c r="C1284" s="1101"/>
      <c r="D1284" s="1102"/>
      <c r="E1284" s="1102">
        <v>0.39100000000000001</v>
      </c>
      <c r="F1284" s="1104">
        <v>21.62</v>
      </c>
      <c r="G1284" s="1102">
        <v>0</v>
      </c>
      <c r="H1284" s="1102">
        <v>0.22</v>
      </c>
      <c r="I1284" s="1104">
        <v>49.2</v>
      </c>
      <c r="J1284" s="1102">
        <v>72.89</v>
      </c>
      <c r="K1284" s="1102">
        <v>2.87</v>
      </c>
      <c r="L1284" s="1102">
        <v>38.400000000000006</v>
      </c>
      <c r="M1284" s="1102">
        <v>0</v>
      </c>
      <c r="N1284" s="1102">
        <v>9.36</v>
      </c>
      <c r="O1284" s="1102">
        <v>41.31</v>
      </c>
      <c r="P1284" s="1102">
        <v>18.809999999999999</v>
      </c>
      <c r="Q1284" s="1102">
        <v>10.72</v>
      </c>
      <c r="R1284" s="1102"/>
      <c r="S1284" s="1102"/>
      <c r="T1284" s="1102"/>
      <c r="U1284" s="1102"/>
      <c r="V1284" s="1102"/>
    </row>
    <row r="1285" spans="1:22" s="907" customFormat="1" x14ac:dyDescent="0.25">
      <c r="A1285" s="1100">
        <v>213048</v>
      </c>
      <c r="B1285" s="1107" t="str">
        <f t="shared" si="39"/>
        <v>-7,49/+7,11  (EC  7,35)</v>
      </c>
      <c r="C1285" s="1101"/>
      <c r="D1285" s="1102"/>
      <c r="E1285" s="1102">
        <v>0.73499999999999999</v>
      </c>
      <c r="F1285" s="1104">
        <v>49.46</v>
      </c>
      <c r="G1285" s="1102">
        <v>0</v>
      </c>
      <c r="H1285" s="1102">
        <v>0.16</v>
      </c>
      <c r="I1285" s="1104">
        <v>98.2</v>
      </c>
      <c r="J1285" s="1102">
        <v>159.56</v>
      </c>
      <c r="K1285" s="1102">
        <v>1.25</v>
      </c>
      <c r="L1285" s="1102">
        <v>36</v>
      </c>
      <c r="M1285" s="1102">
        <v>0</v>
      </c>
      <c r="N1285" s="1102">
        <v>22.26</v>
      </c>
      <c r="O1285" s="1102">
        <v>69.84</v>
      </c>
      <c r="P1285" s="1102">
        <v>37.28</v>
      </c>
      <c r="Q1285" s="1102">
        <v>19.53</v>
      </c>
      <c r="R1285" s="1102"/>
      <c r="S1285" s="1102"/>
      <c r="T1285" s="1102"/>
      <c r="U1285" s="1102"/>
      <c r="V1285" s="1102"/>
    </row>
    <row r="1286" spans="1:22" s="907" customFormat="1" x14ac:dyDescent="0.25">
      <c r="A1286" s="1100">
        <v>213049</v>
      </c>
      <c r="B1286" s="1107" t="str">
        <f t="shared" si="39"/>
        <v>-5,26/+5,04  (EC  5,23)</v>
      </c>
      <c r="C1286" s="1101"/>
      <c r="D1286" s="1102"/>
      <c r="E1286" s="1102">
        <v>0.52300000000000002</v>
      </c>
      <c r="F1286" s="1104">
        <v>20.95</v>
      </c>
      <c r="G1286" s="1102">
        <v>0</v>
      </c>
      <c r="H1286" s="1102">
        <v>0.14000000000000001</v>
      </c>
      <c r="I1286" s="1104">
        <v>77.400000000000006</v>
      </c>
      <c r="J1286" s="1102">
        <v>83.08</v>
      </c>
      <c r="K1286" s="1102">
        <v>2.77</v>
      </c>
      <c r="L1286" s="1102">
        <v>60</v>
      </c>
      <c r="M1286" s="1102">
        <v>0</v>
      </c>
      <c r="N1286" s="1102">
        <v>6.04</v>
      </c>
      <c r="O1286" s="1102">
        <v>84.34</v>
      </c>
      <c r="P1286" s="1102">
        <v>10.92</v>
      </c>
      <c r="Q1286" s="1102">
        <v>7.94</v>
      </c>
      <c r="R1286" s="1102"/>
      <c r="S1286" s="1102"/>
      <c r="T1286" s="1102"/>
      <c r="U1286" s="1102"/>
      <c r="V1286" s="1102"/>
    </row>
    <row r="1287" spans="1:22" s="907" customFormat="1" x14ac:dyDescent="0.25">
      <c r="A1287" s="1100">
        <v>213050</v>
      </c>
      <c r="B1287" s="1107" t="str">
        <f t="shared" si="39"/>
        <v>-4,02/+3,86  (EC  3,98)</v>
      </c>
      <c r="C1287" s="1101"/>
      <c r="D1287" s="1102"/>
      <c r="E1287" s="1102">
        <v>0.39800000000000002</v>
      </c>
      <c r="F1287" s="1104">
        <v>26.75</v>
      </c>
      <c r="G1287" s="1102">
        <v>0</v>
      </c>
      <c r="H1287" s="1102">
        <v>0.12</v>
      </c>
      <c r="I1287" s="1104">
        <v>47.5</v>
      </c>
      <c r="J1287" s="1102">
        <v>72.72</v>
      </c>
      <c r="K1287" s="1102">
        <v>2.6</v>
      </c>
      <c r="L1287" s="1102">
        <v>43.2</v>
      </c>
      <c r="M1287" s="1102">
        <v>0</v>
      </c>
      <c r="N1287" s="1102">
        <v>11.06</v>
      </c>
      <c r="O1287" s="1102">
        <v>55.53</v>
      </c>
      <c r="P1287" s="1102">
        <v>11.75</v>
      </c>
      <c r="Q1287" s="1102">
        <v>6.82</v>
      </c>
      <c r="R1287" s="1102"/>
      <c r="S1287" s="1102"/>
      <c r="T1287" s="1102"/>
      <c r="U1287" s="1102"/>
      <c r="V1287" s="1102"/>
    </row>
    <row r="1288" spans="1:22" s="907" customFormat="1" x14ac:dyDescent="0.25">
      <c r="A1288" s="1100">
        <v>213051</v>
      </c>
      <c r="B1288" s="1107" t="str">
        <f t="shared" si="39"/>
        <v>-1,66/+1,64  (EC  1,62)</v>
      </c>
      <c r="C1288" s="1101"/>
      <c r="D1288" s="1102"/>
      <c r="E1288" s="1102">
        <v>0.16200000000000001</v>
      </c>
      <c r="F1288" s="1104">
        <v>2.34</v>
      </c>
      <c r="G1288" s="1102">
        <v>0</v>
      </c>
      <c r="H1288" s="1102">
        <v>0.14000000000000001</v>
      </c>
      <c r="I1288" s="1104">
        <v>13.1</v>
      </c>
      <c r="J1288" s="1102">
        <v>17.350000000000001</v>
      </c>
      <c r="K1288" s="1102">
        <v>2.2200000000000002</v>
      </c>
      <c r="L1288" s="1102">
        <v>52.800000000000004</v>
      </c>
      <c r="M1288" s="1102">
        <v>0</v>
      </c>
      <c r="N1288" s="1102">
        <v>3.45</v>
      </c>
      <c r="O1288" s="1102">
        <v>3.68</v>
      </c>
      <c r="P1288" s="1102">
        <v>17.37</v>
      </c>
      <c r="Q1288" s="1102">
        <v>6.19</v>
      </c>
      <c r="R1288" s="1102"/>
      <c r="S1288" s="1102"/>
      <c r="T1288" s="1102"/>
      <c r="U1288" s="1102"/>
      <c r="V1288" s="1102"/>
    </row>
    <row r="1289" spans="1:22" s="907" customFormat="1" ht="16.5" customHeight="1" x14ac:dyDescent="0.25">
      <c r="A1289" s="1100">
        <v>200348</v>
      </c>
      <c r="B1289" s="1107" t="str">
        <f t="shared" si="39"/>
        <v>-8,43/+9,71  (EC  9,14)</v>
      </c>
      <c r="C1289" s="1101"/>
      <c r="D1289" s="1102">
        <v>7.27</v>
      </c>
      <c r="E1289" s="1102">
        <v>0.91400000000000003</v>
      </c>
      <c r="F1289" s="1104">
        <v>42.01</v>
      </c>
      <c r="G1289" s="1102">
        <v>0</v>
      </c>
      <c r="H1289" s="1102">
        <v>0.09</v>
      </c>
      <c r="I1289" s="1104">
        <v>67.58</v>
      </c>
      <c r="J1289" s="1102">
        <v>36.96</v>
      </c>
      <c r="K1289" s="1102">
        <v>1E-3</v>
      </c>
      <c r="L1289" s="1102">
        <v>309.60000000000002</v>
      </c>
      <c r="M1289" s="1102">
        <v>0</v>
      </c>
      <c r="N1289" s="1102">
        <v>2.52</v>
      </c>
      <c r="O1289" s="1102">
        <v>41.24</v>
      </c>
      <c r="P1289" s="1102">
        <v>75.86</v>
      </c>
      <c r="Q1289" s="1102">
        <v>48.59</v>
      </c>
      <c r="R1289" s="1102">
        <v>0.09</v>
      </c>
      <c r="S1289" s="1102">
        <v>1E-3</v>
      </c>
      <c r="T1289" s="1102">
        <v>1E-3</v>
      </c>
      <c r="U1289" s="1102">
        <v>0.01</v>
      </c>
      <c r="V1289" s="1102">
        <v>1E-3</v>
      </c>
    </row>
    <row r="1290" spans="1:22" s="907" customFormat="1" x14ac:dyDescent="0.25">
      <c r="A1290" s="1100">
        <v>200349</v>
      </c>
      <c r="B1290" s="1107" t="str">
        <f t="shared" si="39"/>
        <v>-33,10/+35,99  (EC  34,9)</v>
      </c>
      <c r="C1290" s="1101"/>
      <c r="D1290" s="1102">
        <v>6.5</v>
      </c>
      <c r="E1290" s="1102">
        <v>3.49</v>
      </c>
      <c r="F1290" s="1104">
        <v>74.83</v>
      </c>
      <c r="G1290" s="1102">
        <v>0</v>
      </c>
      <c r="H1290" s="1102">
        <v>0.15</v>
      </c>
      <c r="I1290" s="1104">
        <v>255.3</v>
      </c>
      <c r="J1290" s="1102">
        <v>1070.33</v>
      </c>
      <c r="K1290" s="1104">
        <v>58.354199999999999</v>
      </c>
      <c r="L1290" s="1102">
        <v>110</v>
      </c>
      <c r="M1290" s="1102">
        <v>0</v>
      </c>
      <c r="N1290" s="1102">
        <v>76.14</v>
      </c>
      <c r="O1290" s="1102">
        <v>148.44</v>
      </c>
      <c r="P1290" s="1102">
        <v>301.52</v>
      </c>
      <c r="Q1290" s="1102">
        <v>149.96</v>
      </c>
      <c r="R1290" s="1102">
        <v>0.02</v>
      </c>
      <c r="S1290" s="1102">
        <v>1E-3</v>
      </c>
      <c r="T1290" s="1102">
        <v>1E-3</v>
      </c>
      <c r="U1290" s="1102">
        <v>0.05</v>
      </c>
      <c r="V1290" s="1102">
        <v>0.39</v>
      </c>
    </row>
    <row r="1291" spans="1:22" s="907" customFormat="1" x14ac:dyDescent="0.25">
      <c r="A1291" s="1100">
        <v>200350</v>
      </c>
      <c r="B1291" s="1107" t="str">
        <f t="shared" si="39"/>
        <v>-49,29/+48,26  (EC  49,3)</v>
      </c>
      <c r="C1291" s="1101"/>
      <c r="D1291" s="1102">
        <v>6.83</v>
      </c>
      <c r="E1291" s="1102">
        <v>4.93</v>
      </c>
      <c r="F1291" s="1104">
        <v>73.489999999999995</v>
      </c>
      <c r="G1291" s="1102">
        <v>0</v>
      </c>
      <c r="H1291" s="1102">
        <v>0.17</v>
      </c>
      <c r="I1291" s="1104">
        <v>820.41</v>
      </c>
      <c r="J1291" s="1102">
        <v>1086.7</v>
      </c>
      <c r="K1291" s="1104">
        <v>37.4544</v>
      </c>
      <c r="L1291" s="1102">
        <v>120</v>
      </c>
      <c r="M1291" s="1102">
        <v>0</v>
      </c>
      <c r="N1291" s="1102">
        <v>80.56</v>
      </c>
      <c r="O1291" s="1102">
        <v>514.5</v>
      </c>
      <c r="P1291" s="1102">
        <v>219.21</v>
      </c>
      <c r="Q1291" s="1102">
        <v>154.19</v>
      </c>
      <c r="R1291" s="1102">
        <v>0.02</v>
      </c>
      <c r="S1291" s="1102">
        <v>1E-3</v>
      </c>
      <c r="T1291" s="1102">
        <v>7.0000000000000007E-2</v>
      </c>
      <c r="U1291" s="1102">
        <v>0.03</v>
      </c>
      <c r="V1291" s="1102">
        <v>0.24</v>
      </c>
    </row>
    <row r="1292" spans="1:22" s="907" customFormat="1" x14ac:dyDescent="0.25">
      <c r="A1292" s="1100">
        <v>213052</v>
      </c>
      <c r="B1292" s="1107" t="str">
        <f t="shared" si="39"/>
        <v>-2,35/+2,42  (EC  2,3)</v>
      </c>
      <c r="C1292" s="1101"/>
      <c r="D1292" s="1102"/>
      <c r="E1292" s="1102">
        <v>0.23</v>
      </c>
      <c r="F1292" s="1104">
        <v>6.66</v>
      </c>
      <c r="G1292" s="1102">
        <v>0</v>
      </c>
      <c r="H1292" s="1102">
        <v>0.14000000000000001</v>
      </c>
      <c r="I1292" s="1104">
        <v>13.2</v>
      </c>
      <c r="J1292" s="1102">
        <v>48.44</v>
      </c>
      <c r="K1292" s="1102">
        <v>1.91</v>
      </c>
      <c r="L1292" s="1102">
        <v>51.2</v>
      </c>
      <c r="M1292" s="1102">
        <v>0</v>
      </c>
      <c r="N1292" s="1102">
        <v>6.06</v>
      </c>
      <c r="O1292" s="1102">
        <v>7.96</v>
      </c>
      <c r="P1292" s="1102">
        <v>24.41</v>
      </c>
      <c r="Q1292" s="1102">
        <v>8.31</v>
      </c>
      <c r="R1292" s="1102"/>
      <c r="S1292" s="1102"/>
      <c r="T1292" s="1102"/>
      <c r="U1292" s="1102"/>
      <c r="V1292" s="1102"/>
    </row>
    <row r="1293" spans="1:22" s="907" customFormat="1" x14ac:dyDescent="0.25">
      <c r="A1293" s="1100">
        <v>213053</v>
      </c>
      <c r="B1293" s="1107" t="str">
        <f t="shared" si="39"/>
        <v>-1,58/+1,62  (EC  1,45)</v>
      </c>
      <c r="C1293" s="1101"/>
      <c r="D1293" s="1102"/>
      <c r="E1293" s="1102">
        <v>0.14499999999999999</v>
      </c>
      <c r="F1293" s="1104">
        <v>7.71</v>
      </c>
      <c r="G1293" s="1102">
        <v>0</v>
      </c>
      <c r="H1293" s="1102">
        <v>0.23</v>
      </c>
      <c r="I1293" s="1104">
        <v>11.2</v>
      </c>
      <c r="J1293" s="1102">
        <v>13.15</v>
      </c>
      <c r="K1293" s="1102">
        <v>2.8</v>
      </c>
      <c r="L1293" s="1102">
        <v>51.2</v>
      </c>
      <c r="M1293" s="1102">
        <v>0</v>
      </c>
      <c r="N1293" s="1102">
        <v>4.87</v>
      </c>
      <c r="O1293" s="1102">
        <v>2.91</v>
      </c>
      <c r="P1293" s="1102">
        <v>16.37</v>
      </c>
      <c r="Q1293" s="1102">
        <v>6.44</v>
      </c>
      <c r="R1293" s="1102"/>
      <c r="S1293" s="1102"/>
      <c r="T1293" s="1102"/>
      <c r="U1293" s="1102"/>
      <c r="V1293" s="1102"/>
    </row>
    <row r="1294" spans="1:22" s="907" customFormat="1" x14ac:dyDescent="0.25">
      <c r="A1294" s="1100">
        <v>213054</v>
      </c>
      <c r="B1294" s="1107" t="str">
        <f t="shared" si="39"/>
        <v>-1,55/+1,67  (EC  1,49)</v>
      </c>
      <c r="C1294" s="1101"/>
      <c r="D1294" s="1102"/>
      <c r="E1294" s="1102">
        <v>0.14899999999999999</v>
      </c>
      <c r="F1294" s="1104">
        <v>0.65</v>
      </c>
      <c r="G1294" s="1102">
        <v>0</v>
      </c>
      <c r="H1294" s="1102">
        <v>0.15</v>
      </c>
      <c r="I1294" s="1104">
        <v>12.3</v>
      </c>
      <c r="J1294" s="1102">
        <v>15.33</v>
      </c>
      <c r="K1294" s="1102">
        <v>1.81</v>
      </c>
      <c r="L1294" s="1102">
        <v>52.3</v>
      </c>
      <c r="M1294" s="1102">
        <v>0</v>
      </c>
      <c r="N1294" s="1102">
        <v>2.23</v>
      </c>
      <c r="O1294" s="1102">
        <v>5.2</v>
      </c>
      <c r="P1294" s="1102">
        <v>15.2</v>
      </c>
      <c r="Q1294" s="1102">
        <v>7.35</v>
      </c>
      <c r="R1294" s="1102"/>
      <c r="S1294" s="1102"/>
      <c r="T1294" s="1102"/>
      <c r="U1294" s="1102"/>
      <c r="V1294" s="1102"/>
    </row>
    <row r="1295" spans="1:22" s="907" customFormat="1" x14ac:dyDescent="0.25">
      <c r="A1295" s="1100">
        <v>213055</v>
      </c>
      <c r="B1295" s="1107" t="str">
        <f t="shared" si="39"/>
        <v>-1,75/+1,93  (EC  1,76)</v>
      </c>
      <c r="C1295" s="1101"/>
      <c r="D1295" s="1102"/>
      <c r="E1295" s="1102">
        <v>0.17599999999999999</v>
      </c>
      <c r="F1295" s="1104">
        <v>11.6</v>
      </c>
      <c r="G1295" s="1102">
        <v>0</v>
      </c>
      <c r="H1295" s="1102">
        <v>0.14000000000000001</v>
      </c>
      <c r="I1295" s="1104">
        <v>14.3</v>
      </c>
      <c r="J1295" s="1102">
        <v>16.68</v>
      </c>
      <c r="K1295" s="1102">
        <v>3.65</v>
      </c>
      <c r="L1295" s="1102">
        <v>47.2</v>
      </c>
      <c r="M1295" s="1102">
        <v>0</v>
      </c>
      <c r="N1295" s="1102">
        <v>2.48</v>
      </c>
      <c r="O1295" s="1102">
        <v>5.32</v>
      </c>
      <c r="P1295" s="1102">
        <v>18.399999999999999</v>
      </c>
      <c r="Q1295" s="1102">
        <v>8.41</v>
      </c>
      <c r="R1295" s="1102"/>
      <c r="S1295" s="1102"/>
      <c r="T1295" s="1102"/>
      <c r="U1295" s="1102"/>
      <c r="V1295" s="1102"/>
    </row>
    <row r="1296" spans="1:22" s="907" customFormat="1" x14ac:dyDescent="0.25">
      <c r="A1296" s="1100">
        <v>213056</v>
      </c>
      <c r="B1296" s="1107" t="str">
        <f t="shared" si="39"/>
        <v>-1,69/+1,40  (EC  1,49)</v>
      </c>
      <c r="C1296" s="1101"/>
      <c r="D1296" s="1102"/>
      <c r="E1296" s="1102">
        <v>0.14899999999999999</v>
      </c>
      <c r="F1296" s="1104">
        <v>0.99</v>
      </c>
      <c r="G1296" s="1102">
        <v>0</v>
      </c>
      <c r="H1296" s="1102">
        <v>0.16</v>
      </c>
      <c r="I1296" s="1104">
        <v>12.6</v>
      </c>
      <c r="J1296" s="1102">
        <v>24.4</v>
      </c>
      <c r="K1296" s="1102">
        <v>2.12</v>
      </c>
      <c r="L1296" s="1102">
        <v>48</v>
      </c>
      <c r="M1296" s="1102">
        <v>0</v>
      </c>
      <c r="N1296" s="1102">
        <v>2.0099999999999998</v>
      </c>
      <c r="O1296" s="1102">
        <v>4.99</v>
      </c>
      <c r="P1296" s="1102">
        <v>13.2</v>
      </c>
      <c r="Q1296" s="1102">
        <v>5.49</v>
      </c>
      <c r="R1296" s="1102"/>
      <c r="S1296" s="1102"/>
      <c r="T1296" s="1102"/>
      <c r="U1296" s="1102"/>
      <c r="V1296" s="1102"/>
    </row>
    <row r="1297" spans="1:22" s="907" customFormat="1" x14ac:dyDescent="0.25">
      <c r="A1297" s="1100">
        <v>213057</v>
      </c>
      <c r="B1297" s="1107" t="str">
        <f t="shared" si="39"/>
        <v>-2,30/+2,28  (EC  2,19)</v>
      </c>
      <c r="C1297" s="1101"/>
      <c r="D1297" s="1102"/>
      <c r="E1297" s="1102">
        <v>0.219</v>
      </c>
      <c r="F1297" s="1104">
        <v>38.979999999999997</v>
      </c>
      <c r="G1297" s="1102">
        <v>0</v>
      </c>
      <c r="H1297" s="1102">
        <v>0.18</v>
      </c>
      <c r="I1297" s="1104">
        <v>13.4</v>
      </c>
      <c r="J1297" s="1102">
        <v>15.61</v>
      </c>
      <c r="K1297" s="1102">
        <v>5.61</v>
      </c>
      <c r="L1297" s="1102">
        <v>55.6</v>
      </c>
      <c r="M1297" s="1102">
        <v>0</v>
      </c>
      <c r="N1297" s="1102">
        <v>7.95</v>
      </c>
      <c r="O1297" s="1102">
        <v>3.62</v>
      </c>
      <c r="P1297" s="1102">
        <v>23.63</v>
      </c>
      <c r="Q1297" s="1102">
        <v>8.69</v>
      </c>
      <c r="R1297" s="1102"/>
      <c r="S1297" s="1102"/>
      <c r="T1297" s="1102"/>
      <c r="U1297" s="1102"/>
      <c r="V1297" s="1102"/>
    </row>
    <row r="1298" spans="1:22" s="907" customFormat="1" x14ac:dyDescent="0.25">
      <c r="A1298" s="1100">
        <v>213058</v>
      </c>
      <c r="B1298" s="1107" t="str">
        <f t="shared" si="39"/>
        <v>-1,73/+1,89  (EC  1,64)</v>
      </c>
      <c r="C1298" s="1101"/>
      <c r="D1298" s="1102"/>
      <c r="E1298" s="1102">
        <v>0.16400000000000001</v>
      </c>
      <c r="F1298" s="1104">
        <v>10.24</v>
      </c>
      <c r="G1298" s="1102">
        <v>0</v>
      </c>
      <c r="H1298" s="1102">
        <v>0.17</v>
      </c>
      <c r="I1298" s="1104">
        <v>13.5</v>
      </c>
      <c r="J1298" s="1102">
        <v>13.27</v>
      </c>
      <c r="K1298" s="1102">
        <v>4.62</v>
      </c>
      <c r="L1298" s="1102">
        <v>52.3</v>
      </c>
      <c r="M1298" s="1102">
        <v>0</v>
      </c>
      <c r="N1298" s="1102">
        <v>0.68</v>
      </c>
      <c r="O1298" s="1102">
        <v>16.88</v>
      </c>
      <c r="P1298" s="1102">
        <v>13.09</v>
      </c>
      <c r="Q1298" s="1102">
        <v>5.71</v>
      </c>
      <c r="R1298" s="1102"/>
      <c r="S1298" s="1102"/>
      <c r="T1298" s="1102"/>
      <c r="U1298" s="1102"/>
      <c r="V1298" s="1102"/>
    </row>
    <row r="1299" spans="1:22" s="907" customFormat="1" x14ac:dyDescent="0.25">
      <c r="A1299" s="1100">
        <v>200351</v>
      </c>
      <c r="B1299" s="1107" t="str">
        <f t="shared" si="39"/>
        <v>-14,22/+13,57  (EC  13,92)</v>
      </c>
      <c r="C1299" s="1101"/>
      <c r="D1299" s="1102">
        <v>7.74</v>
      </c>
      <c r="E1299" s="1102">
        <v>1.3919999999999999</v>
      </c>
      <c r="F1299" s="1104">
        <v>34.01</v>
      </c>
      <c r="G1299" s="1102">
        <v>0</v>
      </c>
      <c r="H1299" s="1102">
        <v>0.14000000000000001</v>
      </c>
      <c r="I1299" s="1104">
        <v>230.12</v>
      </c>
      <c r="J1299" s="1102">
        <v>86.14</v>
      </c>
      <c r="K1299" s="906">
        <v>0</v>
      </c>
      <c r="L1299" s="1102">
        <v>328.79999999999995</v>
      </c>
      <c r="M1299" s="1102">
        <v>0</v>
      </c>
      <c r="N1299" s="906">
        <v>1.27</v>
      </c>
      <c r="O1299" s="906">
        <v>140.78</v>
      </c>
      <c r="P1299" s="906">
        <v>63.05</v>
      </c>
      <c r="Q1299" s="906">
        <v>51.08</v>
      </c>
      <c r="R1299" s="906">
        <v>0.02</v>
      </c>
      <c r="S1299" s="906">
        <v>1E-3</v>
      </c>
      <c r="T1299" s="906">
        <v>1E-3</v>
      </c>
      <c r="U1299" s="906">
        <v>1E-3</v>
      </c>
      <c r="V1299" s="906">
        <v>0.14000000000000001</v>
      </c>
    </row>
    <row r="1300" spans="1:22" s="907" customFormat="1" x14ac:dyDescent="0.25">
      <c r="A1300" s="1100">
        <v>200352</v>
      </c>
      <c r="B1300" s="1107" t="str">
        <f t="shared" si="39"/>
        <v>-14,81/+13,37  (EC  14,2)</v>
      </c>
      <c r="C1300" s="1101"/>
      <c r="D1300" s="1102">
        <v>7.61</v>
      </c>
      <c r="E1300" s="1102">
        <v>1.42</v>
      </c>
      <c r="F1300" s="1104">
        <v>36.07</v>
      </c>
      <c r="G1300" s="1102">
        <v>0</v>
      </c>
      <c r="H1300" s="1102">
        <v>0.13</v>
      </c>
      <c r="I1300" s="1104">
        <v>252.32</v>
      </c>
      <c r="J1300" s="1102">
        <v>96.18</v>
      </c>
      <c r="K1300" s="906">
        <v>0</v>
      </c>
      <c r="L1300" s="1102">
        <v>312</v>
      </c>
      <c r="M1300" s="1102">
        <v>0</v>
      </c>
      <c r="N1300" s="906">
        <v>1.79</v>
      </c>
      <c r="O1300" s="906">
        <v>159.59</v>
      </c>
      <c r="P1300" s="906">
        <v>57.91</v>
      </c>
      <c r="Q1300" s="906">
        <v>41.76</v>
      </c>
      <c r="R1300" s="906">
        <v>0.03</v>
      </c>
      <c r="S1300" s="906">
        <v>1E-3</v>
      </c>
      <c r="T1300" s="906">
        <v>1E-3</v>
      </c>
      <c r="U1300" s="906">
        <v>1E-3</v>
      </c>
      <c r="V1300" s="906">
        <v>0.27</v>
      </c>
    </row>
    <row r="1301" spans="1:22" s="907" customFormat="1" x14ac:dyDescent="0.25">
      <c r="A1301" s="1100">
        <v>200353</v>
      </c>
      <c r="B1301" s="1107" t="str">
        <f t="shared" si="39"/>
        <v>-14,54/+14,93  (EC  15,5)</v>
      </c>
      <c r="C1301" s="1101"/>
      <c r="D1301" s="1102">
        <v>7.75</v>
      </c>
      <c r="E1301" s="1102">
        <v>1.55</v>
      </c>
      <c r="F1301" s="1104">
        <v>44.34</v>
      </c>
      <c r="G1301" s="1102">
        <v>0</v>
      </c>
      <c r="H1301" s="1102">
        <v>0.12</v>
      </c>
      <c r="I1301" s="1104">
        <v>205.36</v>
      </c>
      <c r="J1301" s="1102">
        <v>244.15</v>
      </c>
      <c r="K1301" s="906">
        <v>0</v>
      </c>
      <c r="L1301" s="1102">
        <v>180</v>
      </c>
      <c r="M1301" s="1102">
        <v>0</v>
      </c>
      <c r="N1301" s="906">
        <v>1.48</v>
      </c>
      <c r="O1301" s="906">
        <v>124.72</v>
      </c>
      <c r="P1301" s="906">
        <v>115.66</v>
      </c>
      <c r="Q1301" s="906">
        <v>44.13</v>
      </c>
      <c r="R1301" s="906">
        <v>1E-3</v>
      </c>
      <c r="S1301" s="906">
        <v>1E-3</v>
      </c>
      <c r="T1301" s="906">
        <v>1E-3</v>
      </c>
      <c r="U1301" s="906">
        <v>1E-3</v>
      </c>
      <c r="V1301" s="906">
        <v>0.12</v>
      </c>
    </row>
    <row r="1302" spans="1:22" s="1749" customFormat="1" x14ac:dyDescent="0.25">
      <c r="A1302" s="1735">
        <v>200354</v>
      </c>
      <c r="B1302" s="1745" t="str">
        <f t="shared" si="39"/>
        <v>-4,96/+5,00  (EC  5,2)</v>
      </c>
      <c r="C1302" s="1748"/>
      <c r="D1302" s="1735">
        <v>7.74</v>
      </c>
      <c r="E1302" s="1735">
        <v>0.52</v>
      </c>
      <c r="F1302" s="1815">
        <v>9.1999999999999993</v>
      </c>
      <c r="G1302" s="1735">
        <v>0</v>
      </c>
      <c r="H1302" s="1735">
        <v>0.15</v>
      </c>
      <c r="I1302" s="1739">
        <v>62.32</v>
      </c>
      <c r="J1302" s="1735">
        <v>6.91</v>
      </c>
      <c r="K1302" s="1735">
        <v>0</v>
      </c>
      <c r="L1302" s="1735">
        <v>177.60000000000002</v>
      </c>
      <c r="M1302" s="1735">
        <v>0</v>
      </c>
      <c r="N1302" s="1735">
        <v>1.02</v>
      </c>
      <c r="O1302" s="1735">
        <v>37.299999999999997</v>
      </c>
      <c r="P1302" s="1735">
        <v>56.46</v>
      </c>
      <c r="Q1302" s="1735">
        <v>6.28</v>
      </c>
      <c r="R1302" s="1735">
        <v>1E-3</v>
      </c>
      <c r="S1302" s="1735">
        <v>1E-3</v>
      </c>
      <c r="T1302" s="1735">
        <v>1E-3</v>
      </c>
      <c r="U1302" s="1735">
        <v>0.02</v>
      </c>
      <c r="V1302" s="1735">
        <v>0.01</v>
      </c>
    </row>
    <row r="1303" spans="1:22" s="1749" customFormat="1" x14ac:dyDescent="0.25">
      <c r="A1303" s="1735">
        <v>200355</v>
      </c>
      <c r="B1303" s="1745" t="str">
        <f t="shared" si="39"/>
        <v>-12,19/+13,12  (EC  13,6)</v>
      </c>
      <c r="C1303" s="1748"/>
      <c r="D1303" s="1735">
        <v>7.48</v>
      </c>
      <c r="E1303" s="1735">
        <v>1.36</v>
      </c>
      <c r="F1303" s="1815">
        <v>4.5199999999999996</v>
      </c>
      <c r="G1303" s="1735">
        <v>0</v>
      </c>
      <c r="H1303" s="1735">
        <v>0.17</v>
      </c>
      <c r="I1303" s="1739">
        <v>177.54</v>
      </c>
      <c r="J1303" s="1735">
        <v>145</v>
      </c>
      <c r="K1303" s="1735">
        <v>0</v>
      </c>
      <c r="L1303" s="1735">
        <v>250</v>
      </c>
      <c r="M1303" s="1735">
        <v>0</v>
      </c>
      <c r="N1303" s="1735">
        <v>1.1499999999999999</v>
      </c>
      <c r="O1303" s="1735">
        <v>108.88</v>
      </c>
      <c r="P1303" s="1735">
        <v>117.84</v>
      </c>
      <c r="Q1303" s="1735">
        <v>29.45</v>
      </c>
      <c r="R1303" s="1735">
        <v>0.02</v>
      </c>
      <c r="S1303" s="1735">
        <v>1E-3</v>
      </c>
      <c r="T1303" s="1735">
        <v>1E-3</v>
      </c>
      <c r="U1303" s="1735">
        <v>0.01</v>
      </c>
      <c r="V1303" s="1735">
        <v>0.02</v>
      </c>
    </row>
    <row r="1304" spans="1:22" s="1749" customFormat="1" x14ac:dyDescent="0.25">
      <c r="A1304" s="1735">
        <v>200356</v>
      </c>
      <c r="B1304" s="1745" t="str">
        <f t="shared" si="39"/>
        <v>-6,17/+6,42  (EC  6,44)</v>
      </c>
      <c r="C1304" s="1748"/>
      <c r="D1304" s="1735">
        <v>7.57</v>
      </c>
      <c r="E1304" s="1735">
        <v>0.64400000000000002</v>
      </c>
      <c r="F1304" s="1815">
        <v>2.61</v>
      </c>
      <c r="G1304" s="1735">
        <v>0</v>
      </c>
      <c r="H1304" s="1735">
        <v>0.12</v>
      </c>
      <c r="I1304" s="1739">
        <v>99.65</v>
      </c>
      <c r="J1304" s="1735">
        <v>8.31</v>
      </c>
      <c r="K1304" s="1735">
        <v>0</v>
      </c>
      <c r="L1304" s="1735">
        <v>192</v>
      </c>
      <c r="M1304" s="1735">
        <v>0</v>
      </c>
      <c r="N1304" s="1735">
        <v>1.54</v>
      </c>
      <c r="O1304" s="1735">
        <v>59.58</v>
      </c>
      <c r="P1304" s="1735">
        <v>58.73</v>
      </c>
      <c r="Q1304" s="1735">
        <v>10.1</v>
      </c>
      <c r="R1304" s="1735">
        <v>0.03</v>
      </c>
      <c r="S1304" s="1735">
        <v>1E-3</v>
      </c>
      <c r="T1304" s="1735">
        <v>1E-3</v>
      </c>
      <c r="U1304" s="1735">
        <v>0.05</v>
      </c>
      <c r="V1304" s="1735">
        <v>0.02</v>
      </c>
    </row>
    <row r="1305" spans="1:22" s="1749" customFormat="1" x14ac:dyDescent="0.25">
      <c r="A1305" s="1735">
        <v>200357</v>
      </c>
      <c r="B1305" s="1745" t="str">
        <f t="shared" si="39"/>
        <v>-93,94/+86,64  (EC  89,2)</v>
      </c>
      <c r="C1305" s="1748"/>
      <c r="D1305" s="1735">
        <v>7.54</v>
      </c>
      <c r="E1305" s="1735">
        <v>8.92</v>
      </c>
      <c r="F1305" s="1815">
        <v>2.5499999999999998</v>
      </c>
      <c r="G1305" s="1735">
        <v>0</v>
      </c>
      <c r="H1305" s="1735">
        <v>0.26</v>
      </c>
      <c r="I1305" s="1739">
        <v>2111.3200000000002</v>
      </c>
      <c r="J1305" s="1735">
        <v>925.32</v>
      </c>
      <c r="K1305" s="1735">
        <v>0</v>
      </c>
      <c r="L1305" s="1735">
        <v>924</v>
      </c>
      <c r="M1305" s="1735">
        <v>0</v>
      </c>
      <c r="N1305" s="1735">
        <v>54.16</v>
      </c>
      <c r="O1305" s="1735">
        <v>1788.92</v>
      </c>
      <c r="P1305" s="1735">
        <v>87.47</v>
      </c>
      <c r="Q1305" s="1735">
        <v>36.94</v>
      </c>
      <c r="R1305" s="1735">
        <v>1E-3</v>
      </c>
      <c r="S1305" s="1735">
        <v>1E-3</v>
      </c>
      <c r="T1305" s="1735">
        <v>0.02</v>
      </c>
      <c r="U1305" s="1735">
        <v>0.01</v>
      </c>
      <c r="V1305" s="1735">
        <v>0.75</v>
      </c>
    </row>
    <row r="1306" spans="1:22" s="1749" customFormat="1" x14ac:dyDescent="0.25">
      <c r="A1306" s="1747">
        <v>213059</v>
      </c>
      <c r="B1306" s="1745" t="str">
        <f t="shared" si="39"/>
        <v>-5,48/+4,98  (EC  5,46)</v>
      </c>
      <c r="C1306" s="1748"/>
      <c r="D1306" s="1735"/>
      <c r="E1306" s="1735">
        <v>0.54600000000000004</v>
      </c>
      <c r="F1306" s="1739">
        <v>73.84</v>
      </c>
      <c r="G1306" s="1735">
        <v>0</v>
      </c>
      <c r="H1306" s="1735">
        <v>0.14000000000000001</v>
      </c>
      <c r="I1306" s="1739">
        <v>94.2</v>
      </c>
      <c r="J1306" s="1735">
        <v>39.700000000000003</v>
      </c>
      <c r="K1306" s="1735">
        <v>1.75</v>
      </c>
      <c r="L1306" s="1735">
        <v>48</v>
      </c>
      <c r="M1306" s="1735">
        <v>0</v>
      </c>
      <c r="N1306" s="1735">
        <v>9</v>
      </c>
      <c r="O1306" s="1735">
        <v>52.56</v>
      </c>
      <c r="P1306" s="1735">
        <v>27.92</v>
      </c>
      <c r="Q1306" s="1735">
        <v>12.64</v>
      </c>
      <c r="R1306" s="1735"/>
      <c r="S1306" s="1735"/>
      <c r="T1306" s="1735"/>
      <c r="U1306" s="1735"/>
      <c r="V1306" s="1735"/>
    </row>
    <row r="1307" spans="1:22" s="1749" customFormat="1" x14ac:dyDescent="0.25">
      <c r="A1307" s="1747">
        <v>213060</v>
      </c>
      <c r="B1307" s="1745" t="str">
        <f t="shared" si="39"/>
        <v>-3,77/+3,43  (EC  3,69)</v>
      </c>
      <c r="C1307" s="1748"/>
      <c r="D1307" s="1735"/>
      <c r="E1307" s="1735">
        <v>0.36899999999999999</v>
      </c>
      <c r="F1307" s="1739">
        <v>47.66</v>
      </c>
      <c r="G1307" s="1735">
        <v>0</v>
      </c>
      <c r="H1307" s="1735">
        <v>0.23</v>
      </c>
      <c r="I1307" s="1739">
        <v>48.6</v>
      </c>
      <c r="J1307" s="1735">
        <v>23.79</v>
      </c>
      <c r="K1307" s="1735">
        <v>3.62</v>
      </c>
      <c r="L1307" s="1735">
        <v>67.199999999999989</v>
      </c>
      <c r="M1307" s="1735">
        <v>0</v>
      </c>
      <c r="N1307" s="1735">
        <v>7.78</v>
      </c>
      <c r="O1307" s="1735">
        <v>34.07</v>
      </c>
      <c r="P1307" s="1735">
        <v>20.93</v>
      </c>
      <c r="Q1307" s="1735">
        <v>8.2100000000000009</v>
      </c>
      <c r="R1307" s="1735"/>
      <c r="S1307" s="1735"/>
      <c r="T1307" s="1735"/>
      <c r="U1307" s="1735"/>
      <c r="V1307" s="1735"/>
    </row>
    <row r="1308" spans="1:22" s="1749" customFormat="1" x14ac:dyDescent="0.25">
      <c r="A1308" s="1747">
        <v>213061</v>
      </c>
      <c r="B1308" s="1745" t="str">
        <f t="shared" si="39"/>
        <v>-3,82/+3,32  (EC  3,73)</v>
      </c>
      <c r="C1308" s="1748"/>
      <c r="D1308" s="1735"/>
      <c r="E1308" s="1735">
        <v>0.373</v>
      </c>
      <c r="F1308" s="1739">
        <v>6.32</v>
      </c>
      <c r="G1308" s="1735">
        <v>0</v>
      </c>
      <c r="H1308" s="1735">
        <v>0.15</v>
      </c>
      <c r="I1308" s="1739">
        <v>39.200000000000003</v>
      </c>
      <c r="J1308" s="1735">
        <v>98.01</v>
      </c>
      <c r="K1308" s="1735">
        <v>1.82</v>
      </c>
      <c r="L1308" s="1735">
        <v>33.599999999999994</v>
      </c>
      <c r="M1308" s="1735">
        <v>0</v>
      </c>
      <c r="N1308" s="1735">
        <v>1.02</v>
      </c>
      <c r="O1308" s="1735">
        <v>32.44</v>
      </c>
      <c r="P1308" s="1735">
        <v>24.6</v>
      </c>
      <c r="Q1308" s="1735">
        <v>7.67</v>
      </c>
      <c r="R1308" s="1735"/>
      <c r="S1308" s="1735"/>
      <c r="T1308" s="1735"/>
      <c r="U1308" s="1735"/>
      <c r="V1308" s="1735"/>
    </row>
    <row r="1309" spans="1:22" s="1749" customFormat="1" x14ac:dyDescent="0.25">
      <c r="A1309" s="1747">
        <v>213062</v>
      </c>
      <c r="B1309" s="1745" t="str">
        <f t="shared" si="39"/>
        <v>-2,14/+1,82  (EC  2,01)</v>
      </c>
      <c r="C1309" s="1748"/>
      <c r="D1309" s="1735"/>
      <c r="E1309" s="1735">
        <v>0.20100000000000001</v>
      </c>
      <c r="F1309" s="1739">
        <v>1.03</v>
      </c>
      <c r="G1309" s="1735">
        <v>0</v>
      </c>
      <c r="H1309" s="1735">
        <v>0.14000000000000001</v>
      </c>
      <c r="I1309" s="1739">
        <v>24.5</v>
      </c>
      <c r="J1309" s="1735">
        <v>17.899999999999999</v>
      </c>
      <c r="K1309" s="1735">
        <v>3.26</v>
      </c>
      <c r="L1309" s="1735">
        <v>62.400000000000006</v>
      </c>
      <c r="M1309" s="1735">
        <v>0</v>
      </c>
      <c r="N1309" s="1735">
        <v>1.08</v>
      </c>
      <c r="O1309" s="1735">
        <v>22.59</v>
      </c>
      <c r="P1309" s="1735">
        <v>10.43</v>
      </c>
      <c r="Q1309" s="1735">
        <v>3.29</v>
      </c>
      <c r="R1309" s="1735"/>
      <c r="S1309" s="1735"/>
      <c r="T1309" s="1735"/>
      <c r="U1309" s="1735"/>
      <c r="V1309" s="1735"/>
    </row>
    <row r="1310" spans="1:22" s="907" customFormat="1" x14ac:dyDescent="0.25">
      <c r="A1310" s="1100">
        <v>200358</v>
      </c>
      <c r="B1310" s="1745" t="str">
        <f t="shared" si="39"/>
        <v>-9,08/+9,95  (EC  10,2)</v>
      </c>
      <c r="C1310" s="1101"/>
      <c r="D1310" s="1102">
        <v>7.85</v>
      </c>
      <c r="E1310" s="1102">
        <v>1.02</v>
      </c>
      <c r="F1310" s="1104">
        <v>1.01</v>
      </c>
      <c r="G1310" s="1102">
        <v>0</v>
      </c>
      <c r="H1310" s="1102">
        <v>7.0000000000000007E-2</v>
      </c>
      <c r="I1310" s="1104">
        <v>173.46</v>
      </c>
      <c r="J1310" s="1102">
        <v>90.2</v>
      </c>
      <c r="K1310" s="1102">
        <v>0</v>
      </c>
      <c r="L1310" s="1102">
        <v>140.22999999999999</v>
      </c>
      <c r="M1310" s="1102">
        <v>0</v>
      </c>
      <c r="N1310" s="1102">
        <v>2.91</v>
      </c>
      <c r="O1310" s="1102">
        <v>105.21</v>
      </c>
      <c r="P1310" s="1102">
        <v>40.42</v>
      </c>
      <c r="Q1310" s="1102">
        <v>39.35</v>
      </c>
      <c r="R1310" s="1102">
        <v>1E-3</v>
      </c>
      <c r="S1310" s="1102">
        <v>1E-3</v>
      </c>
      <c r="T1310" s="1102">
        <v>1E-3</v>
      </c>
      <c r="U1310" s="1102">
        <v>0.03</v>
      </c>
      <c r="V1310" s="1102">
        <v>0.03</v>
      </c>
    </row>
    <row r="1311" spans="1:22" s="907" customFormat="1" x14ac:dyDescent="0.25">
      <c r="A1311" s="1100">
        <v>200359</v>
      </c>
      <c r="B1311" s="1745" t="str">
        <f t="shared" si="39"/>
        <v>-6,50/+7,50  (EC  6,24)</v>
      </c>
      <c r="C1311" s="1101"/>
      <c r="D1311" s="1102">
        <v>7.03</v>
      </c>
      <c r="E1311" s="1102">
        <v>0.624</v>
      </c>
      <c r="F1311" s="1104">
        <v>8.99</v>
      </c>
      <c r="G1311" s="1102">
        <v>0</v>
      </c>
      <c r="H1311" s="1102">
        <v>0.12</v>
      </c>
      <c r="I1311" s="1104">
        <v>30.21</v>
      </c>
      <c r="J1311" s="1102">
        <v>18.48</v>
      </c>
      <c r="K1311" s="1102">
        <v>0</v>
      </c>
      <c r="L1311" s="1102">
        <v>312</v>
      </c>
      <c r="M1311" s="1102">
        <v>0</v>
      </c>
      <c r="N1311" s="906">
        <v>2.0299999999999998</v>
      </c>
      <c r="O1311" s="906">
        <v>18.2</v>
      </c>
      <c r="P1311" s="906">
        <v>61.84</v>
      </c>
      <c r="Q1311" s="906">
        <v>42.68</v>
      </c>
      <c r="R1311" s="906">
        <v>0.41</v>
      </c>
      <c r="S1311" s="906">
        <v>1E-3</v>
      </c>
      <c r="T1311" s="906">
        <v>1E-3</v>
      </c>
      <c r="U1311" s="1775">
        <v>0.02</v>
      </c>
      <c r="V1311" s="906">
        <v>0.02</v>
      </c>
    </row>
    <row r="1312" spans="1:22" s="907" customFormat="1" x14ac:dyDescent="0.25">
      <c r="A1312" s="1100">
        <v>200360</v>
      </c>
      <c r="B1312" s="1745" t="str">
        <f t="shared" si="39"/>
        <v>-13,38/+14,63  (EC  13)</v>
      </c>
      <c r="C1312" s="1101"/>
      <c r="D1312" s="1102">
        <v>7.36</v>
      </c>
      <c r="E1312" s="1102">
        <v>1.3</v>
      </c>
      <c r="F1312" s="1104">
        <v>13.09</v>
      </c>
      <c r="G1312" s="1102">
        <v>0</v>
      </c>
      <c r="H1312" s="1102">
        <v>0.14000000000000001</v>
      </c>
      <c r="I1312" s="1104">
        <v>88.45</v>
      </c>
      <c r="J1312" s="1102">
        <v>280.14999999999998</v>
      </c>
      <c r="K1312" s="1102">
        <v>0</v>
      </c>
      <c r="L1312" s="1102">
        <v>295.20000000000005</v>
      </c>
      <c r="M1312" s="1102">
        <v>0</v>
      </c>
      <c r="N1312" s="906">
        <v>5.0199999999999996</v>
      </c>
      <c r="O1312" s="906">
        <v>53.43</v>
      </c>
      <c r="P1312" s="906">
        <v>93.89</v>
      </c>
      <c r="Q1312" s="906">
        <v>89.64</v>
      </c>
      <c r="R1312" s="906">
        <v>1E-3</v>
      </c>
      <c r="S1312" s="906">
        <v>1E-3</v>
      </c>
      <c r="T1312" s="906">
        <v>1E-3</v>
      </c>
      <c r="U1312" s="906">
        <v>1E-3</v>
      </c>
      <c r="V1312" s="906">
        <v>0.04</v>
      </c>
    </row>
    <row r="1313" spans="1:22" s="907" customFormat="1" x14ac:dyDescent="0.25">
      <c r="A1313" s="1100">
        <v>200361</v>
      </c>
      <c r="B1313" s="1745" t="str">
        <f t="shared" si="39"/>
        <v>-53,23/+52,34  (EC  52)</v>
      </c>
      <c r="C1313" s="1101"/>
      <c r="D1313" s="1102">
        <v>6.43</v>
      </c>
      <c r="E1313" s="1102">
        <v>5.2</v>
      </c>
      <c r="F1313" s="1104">
        <v>19.309999999999999</v>
      </c>
      <c r="G1313" s="1102">
        <v>0</v>
      </c>
      <c r="H1313" s="1102">
        <v>0.25</v>
      </c>
      <c r="I1313" s="1821">
        <v>1042</v>
      </c>
      <c r="J1313" s="1102">
        <v>644.12</v>
      </c>
      <c r="K1313" s="1102">
        <v>0</v>
      </c>
      <c r="L1313" s="1102">
        <v>619.20000000000005</v>
      </c>
      <c r="M1313" s="1102">
        <v>0</v>
      </c>
      <c r="N1313" s="906">
        <v>7.14</v>
      </c>
      <c r="O1313" s="906">
        <v>705.81</v>
      </c>
      <c r="P1313" s="906">
        <v>284.38</v>
      </c>
      <c r="Q1313" s="906">
        <v>86.76</v>
      </c>
      <c r="R1313" s="906">
        <v>1E-3</v>
      </c>
      <c r="S1313" s="906">
        <v>1E-3</v>
      </c>
      <c r="T1313" s="906">
        <v>1E-3</v>
      </c>
      <c r="U1313" s="906">
        <v>1E-3</v>
      </c>
      <c r="V1313" s="906">
        <v>0.35</v>
      </c>
    </row>
    <row r="1314" spans="1:22" s="907" customFormat="1" x14ac:dyDescent="0.25">
      <c r="A1314" s="1100">
        <v>200362</v>
      </c>
      <c r="B1314" s="1745" t="str">
        <f t="shared" si="39"/>
        <v>-17,69/+17,91  (EC  18,2)</v>
      </c>
      <c r="C1314" s="1101"/>
      <c r="D1314" s="1102">
        <v>7.46</v>
      </c>
      <c r="E1314" s="1102">
        <v>1.82</v>
      </c>
      <c r="F1314" s="1104">
        <v>17.100000000000001</v>
      </c>
      <c r="G1314" s="1102">
        <v>0</v>
      </c>
      <c r="H1314" s="1102">
        <v>0.26</v>
      </c>
      <c r="I1314" s="1104">
        <v>371.2</v>
      </c>
      <c r="J1314" s="1102">
        <v>14.87</v>
      </c>
      <c r="K1314" s="1102">
        <v>0</v>
      </c>
      <c r="L1314" s="1102">
        <f>+(17-0.1)*24</f>
        <v>405.59999999999997</v>
      </c>
      <c r="M1314" s="1102">
        <v>0</v>
      </c>
      <c r="N1314" s="906">
        <v>1.75</v>
      </c>
      <c r="O1314" s="906">
        <v>230.47</v>
      </c>
      <c r="P1314" s="906">
        <v>75.83</v>
      </c>
      <c r="Q1314" s="906">
        <v>48.36</v>
      </c>
      <c r="R1314" s="906">
        <v>1E-3</v>
      </c>
      <c r="S1314" s="906">
        <v>1E-3</v>
      </c>
      <c r="T1314" s="906">
        <v>1E-3</v>
      </c>
      <c r="U1314" s="906">
        <v>1E-3</v>
      </c>
      <c r="V1314" s="906"/>
    </row>
    <row r="1315" spans="1:22" s="907" customFormat="1" x14ac:dyDescent="0.25">
      <c r="A1315" s="1100">
        <v>200363</v>
      </c>
      <c r="B1315" s="1745" t="str">
        <f t="shared" si="39"/>
        <v>-7,58/+7,50  (EC  7,27)</v>
      </c>
      <c r="C1315" s="1101"/>
      <c r="D1315" s="1102">
        <v>7.28</v>
      </c>
      <c r="E1315" s="1102">
        <v>0.72699999999999998</v>
      </c>
      <c r="F1315" s="1104">
        <v>27.33</v>
      </c>
      <c r="G1315" s="1102">
        <v>0</v>
      </c>
      <c r="H1315" s="1102">
        <v>0.22</v>
      </c>
      <c r="I1315" s="1104">
        <v>48.54</v>
      </c>
      <c r="J1315" s="1102">
        <v>33.369999999999997</v>
      </c>
      <c r="K1315" s="1102">
        <v>0</v>
      </c>
      <c r="L1315" s="1102">
        <f>+(13-0.1)*24</f>
        <v>309.60000000000002</v>
      </c>
      <c r="M1315" s="1102">
        <v>0</v>
      </c>
      <c r="N1315" s="906">
        <v>0.86</v>
      </c>
      <c r="O1315" s="906">
        <v>29.41</v>
      </c>
      <c r="P1315" s="906">
        <v>62.75</v>
      </c>
      <c r="Q1315" s="906">
        <v>36.61</v>
      </c>
      <c r="R1315" s="906">
        <v>1E-3</v>
      </c>
      <c r="S1315" s="906">
        <v>1E-3</v>
      </c>
      <c r="T1315" s="906">
        <v>1E-3</v>
      </c>
      <c r="U1315" s="906">
        <v>1E-3</v>
      </c>
      <c r="V1315" s="906"/>
    </row>
    <row r="1316" spans="1:22" s="907" customFormat="1" x14ac:dyDescent="0.25">
      <c r="A1316" s="1100">
        <v>200364</v>
      </c>
      <c r="B1316" s="1745" t="str">
        <f t="shared" si="39"/>
        <v>-6,54/+6,87  (EC  6,05)</v>
      </c>
      <c r="C1316" s="1101"/>
      <c r="D1316" s="1102">
        <v>7.72</v>
      </c>
      <c r="E1316" s="1102">
        <v>0.60499999999999998</v>
      </c>
      <c r="F1316" s="1104">
        <v>14.28</v>
      </c>
      <c r="G1316" s="1102">
        <v>0</v>
      </c>
      <c r="H1316" s="1102">
        <v>0.2</v>
      </c>
      <c r="I1316" s="1104">
        <v>11.95</v>
      </c>
      <c r="J1316" s="1102">
        <v>14.88</v>
      </c>
      <c r="K1316" s="1102">
        <v>0</v>
      </c>
      <c r="L1316" s="1102">
        <f>+(14.5-0.1)*24</f>
        <v>345.6</v>
      </c>
      <c r="M1316" s="1102">
        <v>0</v>
      </c>
      <c r="N1316" s="906">
        <v>1.35</v>
      </c>
      <c r="O1316" s="906">
        <v>7.23</v>
      </c>
      <c r="P1316" s="906">
        <v>74.959999999999994</v>
      </c>
      <c r="Q1316" s="906">
        <v>33.119999999999997</v>
      </c>
      <c r="R1316" s="906">
        <v>1E-3</v>
      </c>
      <c r="S1316" s="906">
        <v>1E-3</v>
      </c>
      <c r="T1316" s="906">
        <v>1E-3</v>
      </c>
      <c r="U1316" s="906">
        <v>0.01</v>
      </c>
      <c r="V1316" s="906"/>
    </row>
    <row r="1317" spans="1:22" s="907" customFormat="1" x14ac:dyDescent="0.25">
      <c r="A1317" s="1100">
        <v>200365</v>
      </c>
      <c r="B1317" s="1745" t="str">
        <f t="shared" si="39"/>
        <v>-9,36/+11,05  (EC  10,73)</v>
      </c>
      <c r="C1317" s="1101"/>
      <c r="D1317" s="1102">
        <v>8.18</v>
      </c>
      <c r="E1317" s="1102">
        <v>1.073</v>
      </c>
      <c r="F1317" s="1104">
        <v>47.49</v>
      </c>
      <c r="G1317" s="1102">
        <v>0</v>
      </c>
      <c r="H1317" s="1102">
        <v>0.19</v>
      </c>
      <c r="I1317" s="1104">
        <v>68.41</v>
      </c>
      <c r="J1317" s="1102">
        <v>36.65</v>
      </c>
      <c r="K1317" s="1102">
        <v>0</v>
      </c>
      <c r="L1317" s="1102">
        <v>360</v>
      </c>
      <c r="M1317" s="1102">
        <v>0</v>
      </c>
      <c r="N1317" s="906">
        <v>1.52</v>
      </c>
      <c r="O1317" s="906">
        <v>41.65</v>
      </c>
      <c r="P1317" s="906">
        <v>97.51</v>
      </c>
      <c r="Q1317" s="906">
        <v>51.75</v>
      </c>
      <c r="R1317" s="906">
        <v>0.02</v>
      </c>
      <c r="S1317" s="906">
        <v>1E-3</v>
      </c>
      <c r="T1317" s="906">
        <v>1E-3</v>
      </c>
      <c r="U1317" s="906">
        <v>1E-3</v>
      </c>
      <c r="V1317" s="906"/>
    </row>
    <row r="1318" spans="1:22" s="907" customFormat="1" x14ac:dyDescent="0.25">
      <c r="A1318" s="1100">
        <v>200366</v>
      </c>
      <c r="B1318" s="1745" t="str">
        <f t="shared" si="39"/>
        <v>-15,80/+16,84  (EC  15,1)</v>
      </c>
      <c r="C1318" s="1101"/>
      <c r="D1318" s="1102">
        <v>7.69</v>
      </c>
      <c r="E1318" s="1102">
        <v>1.51</v>
      </c>
      <c r="F1318" s="1104">
        <v>6.42</v>
      </c>
      <c r="G1318" s="1102">
        <v>0</v>
      </c>
      <c r="H1318" s="1102">
        <v>0.26</v>
      </c>
      <c r="I1318" s="1104">
        <v>129.36000000000001</v>
      </c>
      <c r="J1318" s="1102">
        <v>276.45</v>
      </c>
      <c r="K1318" s="1102">
        <v>0</v>
      </c>
      <c r="L1318" s="1102">
        <v>384</v>
      </c>
      <c r="M1318" s="1102">
        <v>0</v>
      </c>
      <c r="N1318" s="1102">
        <v>3.2</v>
      </c>
      <c r="O1318" s="1102">
        <v>76</v>
      </c>
      <c r="P1318" s="1102">
        <v>168.98</v>
      </c>
      <c r="Q1318" s="1102">
        <v>59.79</v>
      </c>
      <c r="R1318" s="1102">
        <v>1E-3</v>
      </c>
      <c r="S1318" s="1102">
        <v>1E-3</v>
      </c>
      <c r="T1318" s="1102">
        <v>1E-3</v>
      </c>
      <c r="U1318" s="1102">
        <v>1E-3</v>
      </c>
      <c r="V1318" s="1102"/>
    </row>
    <row r="1319" spans="1:22" s="907" customFormat="1" ht="16.5" customHeight="1" x14ac:dyDescent="0.25">
      <c r="A1319" s="1100">
        <v>200367</v>
      </c>
      <c r="B1319" s="1745" t="str">
        <f t="shared" si="39"/>
        <v>-7,76/+7,27  (EC  6,31)</v>
      </c>
      <c r="C1319" s="1101"/>
      <c r="D1319" s="1102">
        <v>7.7</v>
      </c>
      <c r="E1319" s="1102">
        <v>0.63100000000000001</v>
      </c>
      <c r="F1319" s="1104">
        <v>5.61</v>
      </c>
      <c r="G1319" s="1102">
        <v>0</v>
      </c>
      <c r="H1319" s="1102">
        <v>0.14000000000000001</v>
      </c>
      <c r="I1319" s="1104">
        <v>37.229999999999997</v>
      </c>
      <c r="J1319" s="1102">
        <v>96</v>
      </c>
      <c r="K1319" s="1102">
        <v>0</v>
      </c>
      <c r="L1319" s="1102">
        <v>282</v>
      </c>
      <c r="M1319" s="1102">
        <v>0</v>
      </c>
      <c r="N1319" s="1102">
        <v>1.36</v>
      </c>
      <c r="O1319" s="1102">
        <v>22.16</v>
      </c>
      <c r="P1319" s="1102">
        <v>59.73</v>
      </c>
      <c r="Q1319" s="1102">
        <v>39.26</v>
      </c>
      <c r="R1319" s="1102">
        <v>1E-3</v>
      </c>
      <c r="S1319" s="1102">
        <v>1E-3</v>
      </c>
      <c r="T1319" s="1102">
        <v>1E-3</v>
      </c>
      <c r="U1319" s="1102">
        <v>0.01</v>
      </c>
      <c r="V1319" s="1102"/>
    </row>
    <row r="1320" spans="1:22" s="907" customFormat="1" x14ac:dyDescent="0.25">
      <c r="A1320" s="1100">
        <v>200368</v>
      </c>
      <c r="B1320" s="1745" t="str">
        <f t="shared" si="39"/>
        <v>-7,75/+7,15  (EC  6,26)</v>
      </c>
      <c r="C1320" s="1101"/>
      <c r="D1320" s="1102">
        <v>7.71</v>
      </c>
      <c r="E1320" s="1102">
        <v>0.626</v>
      </c>
      <c r="F1320" s="1104">
        <v>2.13</v>
      </c>
      <c r="G1320" s="1102">
        <v>0</v>
      </c>
      <c r="H1320" s="1102">
        <v>0.18</v>
      </c>
      <c r="I1320" s="1104">
        <v>38.26</v>
      </c>
      <c r="J1320" s="1102">
        <v>101.23</v>
      </c>
      <c r="K1320" s="1102">
        <v>0</v>
      </c>
      <c r="L1320" s="1102">
        <v>276</v>
      </c>
      <c r="M1320" s="1102">
        <v>0</v>
      </c>
      <c r="N1320" s="1102">
        <v>1.31</v>
      </c>
      <c r="O1320" s="1102">
        <v>22.53</v>
      </c>
      <c r="P1320" s="1102">
        <v>57.93</v>
      </c>
      <c r="Q1320" s="1102">
        <v>38.69</v>
      </c>
      <c r="R1320" s="1102">
        <v>1E-3</v>
      </c>
      <c r="S1320" s="1102">
        <v>1E-3</v>
      </c>
      <c r="T1320" s="1102">
        <v>1E-3</v>
      </c>
      <c r="U1320" s="1102">
        <v>0.01</v>
      </c>
      <c r="V1320" s="1102"/>
    </row>
    <row r="1321" spans="1:22" x14ac:dyDescent="0.25">
      <c r="A1321" s="585">
        <v>200369</v>
      </c>
      <c r="B1321" s="1" t="str">
        <f t="shared" si="39"/>
        <v>-46,54/+48,78  (EC  46,1)</v>
      </c>
      <c r="D1321" s="3">
        <v>7.23</v>
      </c>
      <c r="E1321" s="3">
        <v>4.6100000000000003</v>
      </c>
      <c r="F1321" s="26">
        <v>1.2</v>
      </c>
      <c r="G1321" s="3">
        <v>0</v>
      </c>
      <c r="H1321" s="3">
        <v>0.24</v>
      </c>
      <c r="I1321" s="26">
        <v>1050.5999999999999</v>
      </c>
      <c r="J1321" s="3">
        <v>385.8</v>
      </c>
      <c r="K1321" s="940">
        <v>3.0600000000000002E-2</v>
      </c>
      <c r="L1321" s="3">
        <v>542.40000000000009</v>
      </c>
      <c r="M1321" s="3">
        <v>0</v>
      </c>
      <c r="N1321" s="3">
        <v>17.899999999999999</v>
      </c>
      <c r="O1321" s="3">
        <v>639.36</v>
      </c>
      <c r="P1321" s="3">
        <v>138.74</v>
      </c>
      <c r="Q1321" s="3">
        <v>162.86000000000001</v>
      </c>
      <c r="R1321" s="3">
        <v>0.89</v>
      </c>
      <c r="S1321" s="3">
        <v>1E-3</v>
      </c>
      <c r="T1321" s="3">
        <v>1E-3</v>
      </c>
      <c r="U1321" s="3">
        <v>1E-3</v>
      </c>
    </row>
    <row r="1322" spans="1:22" x14ac:dyDescent="0.25">
      <c r="A1322" s="585">
        <v>200370</v>
      </c>
      <c r="B1322" s="1" t="str">
        <f t="shared" si="39"/>
        <v>-71,23/+73,78  (EC  73,6)</v>
      </c>
      <c r="D1322" s="3">
        <v>7.2</v>
      </c>
      <c r="E1322" s="3">
        <v>7.36</v>
      </c>
      <c r="F1322" s="26">
        <v>1.4</v>
      </c>
      <c r="G1322" s="3">
        <v>0</v>
      </c>
      <c r="H1322" s="3">
        <v>0.36</v>
      </c>
      <c r="I1322" s="26">
        <v>1670</v>
      </c>
      <c r="J1322" s="3">
        <v>782.1</v>
      </c>
      <c r="K1322" s="940">
        <v>3.0600000000000002E-3</v>
      </c>
      <c r="L1322" s="1826">
        <v>480</v>
      </c>
      <c r="M1322" s="3">
        <v>0</v>
      </c>
      <c r="N1322" s="3">
        <v>24.45</v>
      </c>
      <c r="O1322" s="3">
        <v>997.97</v>
      </c>
      <c r="P1322" s="3">
        <v>240.49</v>
      </c>
      <c r="Q1322" s="3">
        <v>212.52</v>
      </c>
      <c r="R1322" s="3">
        <v>0.56999999999999995</v>
      </c>
      <c r="S1322" s="3">
        <v>1E-3</v>
      </c>
      <c r="T1322" s="3">
        <v>1E-3</v>
      </c>
      <c r="U1322" s="3">
        <v>0.18</v>
      </c>
    </row>
    <row r="1323" spans="1:22" s="907" customFormat="1" x14ac:dyDescent="0.25">
      <c r="A1323" s="1100">
        <v>200371</v>
      </c>
      <c r="B1323" s="1107" t="str">
        <f t="shared" si="39"/>
        <v>-15,12/+15,95  (EC  16,3)</v>
      </c>
      <c r="C1323" s="1101"/>
      <c r="D1323" s="1102">
        <v>7.43</v>
      </c>
      <c r="E1323" s="1102">
        <v>1.63</v>
      </c>
      <c r="F1323" s="1104">
        <v>25.41</v>
      </c>
      <c r="G1323" s="1102">
        <v>0</v>
      </c>
      <c r="H1323" s="1102">
        <v>0.24</v>
      </c>
      <c r="I1323" s="1104">
        <v>202.14</v>
      </c>
      <c r="J1323" s="1102">
        <v>110.32</v>
      </c>
      <c r="K1323" s="906">
        <v>0</v>
      </c>
      <c r="L1323" s="1102">
        <v>410</v>
      </c>
      <c r="M1323" s="1102">
        <v>0</v>
      </c>
      <c r="N1323" s="906">
        <v>3.77</v>
      </c>
      <c r="O1323" s="906">
        <v>108.26</v>
      </c>
      <c r="P1323" s="906">
        <v>103.91</v>
      </c>
      <c r="Q1323" s="906">
        <v>71.209999999999994</v>
      </c>
      <c r="R1323" s="1775">
        <v>0.24</v>
      </c>
      <c r="S1323" s="906">
        <v>1E-3</v>
      </c>
      <c r="T1323" s="906">
        <v>1E-3</v>
      </c>
      <c r="U1323" s="906">
        <v>1E-3</v>
      </c>
      <c r="V1323" s="1102"/>
    </row>
    <row r="1324" spans="1:22" s="907" customFormat="1" x14ac:dyDescent="0.25">
      <c r="A1324" s="1100">
        <v>200372</v>
      </c>
      <c r="B1324" s="1107" t="str">
        <f t="shared" si="39"/>
        <v>-14,94/+13,26  (EC  13,4)</v>
      </c>
      <c r="C1324" s="1101"/>
      <c r="D1324" s="1102">
        <v>7.37</v>
      </c>
      <c r="E1324" s="1102">
        <v>1.34</v>
      </c>
      <c r="F1324" s="1104">
        <v>52.86</v>
      </c>
      <c r="G1324" s="1102">
        <v>0</v>
      </c>
      <c r="H1324" s="1102">
        <v>0.26</v>
      </c>
      <c r="I1324" s="1104">
        <v>230.45</v>
      </c>
      <c r="J1324" s="1102">
        <v>62.46</v>
      </c>
      <c r="K1324" s="906">
        <v>0</v>
      </c>
      <c r="L1324" s="1102">
        <v>384</v>
      </c>
      <c r="M1324" s="1102">
        <v>0</v>
      </c>
      <c r="N1324" s="906">
        <v>1.86</v>
      </c>
      <c r="O1324" s="906">
        <v>137.94</v>
      </c>
      <c r="P1324" s="906">
        <v>64.17</v>
      </c>
      <c r="Q1324" s="906">
        <v>47.84</v>
      </c>
      <c r="R1324" s="1775">
        <v>0.03</v>
      </c>
      <c r="S1324" s="906">
        <v>1E-3</v>
      </c>
      <c r="T1324" s="906">
        <v>1E-3</v>
      </c>
      <c r="U1324" s="906">
        <v>1E-3</v>
      </c>
      <c r="V1324" s="1102"/>
    </row>
    <row r="1325" spans="1:22" s="907" customFormat="1" x14ac:dyDescent="0.25">
      <c r="A1325" s="1100">
        <v>200373</v>
      </c>
      <c r="B1325" s="1107" t="str">
        <f t="shared" si="39"/>
        <v>-20,09/+21,07  (EC  21,9)</v>
      </c>
      <c r="C1325" s="1101"/>
      <c r="D1325" s="1102">
        <v>7.39</v>
      </c>
      <c r="E1325" s="1102">
        <v>2.19</v>
      </c>
      <c r="F1325" s="1104">
        <v>58.35</v>
      </c>
      <c r="G1325" s="1102">
        <v>0</v>
      </c>
      <c r="H1325" s="1102">
        <v>0.21</v>
      </c>
      <c r="I1325" s="1104">
        <v>250.14</v>
      </c>
      <c r="J1325" s="1102">
        <v>380.23</v>
      </c>
      <c r="K1325" s="906">
        <v>0</v>
      </c>
      <c r="L1325" s="1102">
        <v>255</v>
      </c>
      <c r="M1325" s="1102">
        <v>0</v>
      </c>
      <c r="N1325" s="906">
        <v>6.83</v>
      </c>
      <c r="O1325" s="906">
        <v>143.97</v>
      </c>
      <c r="P1325" s="906">
        <v>176.05</v>
      </c>
      <c r="Q1325" s="906">
        <v>69.87</v>
      </c>
      <c r="R1325" s="1775">
        <v>0.02</v>
      </c>
      <c r="S1325" s="906">
        <v>1E-3</v>
      </c>
      <c r="T1325" s="906">
        <v>1E-3</v>
      </c>
      <c r="U1325" s="906">
        <v>1E-3</v>
      </c>
      <c r="V1325" s="1102"/>
    </row>
    <row r="1326" spans="1:22" s="907" customFormat="1" x14ac:dyDescent="0.25">
      <c r="A1326" s="1100">
        <v>200374</v>
      </c>
      <c r="B1326" s="1107" t="str">
        <f t="shared" si="39"/>
        <v>-28,42/+28,52  (EC  27,8)</v>
      </c>
      <c r="C1326" s="1101"/>
      <c r="D1326" s="1102">
        <v>7.65</v>
      </c>
      <c r="E1326" s="1102">
        <v>2.78</v>
      </c>
      <c r="F1326" s="1104">
        <v>0.66</v>
      </c>
      <c r="G1326" s="1102">
        <v>0</v>
      </c>
      <c r="H1326" s="1102">
        <v>0.15</v>
      </c>
      <c r="I1326" s="1104">
        <v>526.41</v>
      </c>
      <c r="J1326" s="1102">
        <v>415.65</v>
      </c>
      <c r="K1326" s="906">
        <v>0</v>
      </c>
      <c r="L1326" s="1102">
        <v>300</v>
      </c>
      <c r="M1326" s="1102">
        <v>0</v>
      </c>
      <c r="N1326" s="906">
        <v>2.87</v>
      </c>
      <c r="O1326" s="906">
        <v>312.76</v>
      </c>
      <c r="P1326" s="906">
        <v>155.5</v>
      </c>
      <c r="Q1326" s="906">
        <v>84.8</v>
      </c>
      <c r="R1326" s="906">
        <v>1E-3</v>
      </c>
      <c r="S1326" s="906">
        <v>1E-3</v>
      </c>
      <c r="T1326" s="906">
        <v>0.02</v>
      </c>
      <c r="U1326" s="1775">
        <v>0.09</v>
      </c>
      <c r="V1326" s="1102"/>
    </row>
    <row r="1327" spans="1:22" s="907" customFormat="1" x14ac:dyDescent="0.25">
      <c r="A1327" s="1100">
        <v>200375</v>
      </c>
      <c r="B1327" s="1107" t="str">
        <f t="shared" si="39"/>
        <v>-13,08/+14,05  (EC  14,6)</v>
      </c>
      <c r="C1327" s="1101"/>
      <c r="D1327" s="1102">
        <v>7.35</v>
      </c>
      <c r="E1327" s="1102">
        <v>1.46</v>
      </c>
      <c r="F1327" s="1104">
        <v>32.9</v>
      </c>
      <c r="G1327" s="1102">
        <v>0</v>
      </c>
      <c r="H1327" s="1102">
        <v>0.19</v>
      </c>
      <c r="I1327" s="1104">
        <v>198.65</v>
      </c>
      <c r="J1327" s="1102">
        <v>72.319999999999993</v>
      </c>
      <c r="K1327" s="906">
        <v>0</v>
      </c>
      <c r="L1327" s="1102">
        <v>332</v>
      </c>
      <c r="M1327" s="1102">
        <v>0</v>
      </c>
      <c r="N1327" s="906">
        <v>0.94</v>
      </c>
      <c r="O1327" s="906">
        <v>111.4</v>
      </c>
      <c r="P1327" s="906">
        <v>81.709999999999994</v>
      </c>
      <c r="Q1327" s="906">
        <v>61.03</v>
      </c>
      <c r="R1327" s="906"/>
      <c r="S1327" s="906"/>
      <c r="T1327" s="906"/>
      <c r="U1327" s="906"/>
      <c r="V1327" s="1102"/>
    </row>
    <row r="1328" spans="1:22" s="907" customFormat="1" x14ac:dyDescent="0.25">
      <c r="A1328" s="1100">
        <v>200376</v>
      </c>
      <c r="B1328" s="1107" t="str">
        <f t="shared" si="39"/>
        <v>-32,71/+34,68  (EC  33)</v>
      </c>
      <c r="C1328" s="1101"/>
      <c r="D1328" s="1102">
        <v>6.92</v>
      </c>
      <c r="E1328" s="1102">
        <v>3.3</v>
      </c>
      <c r="F1328" s="1104">
        <v>0.25</v>
      </c>
      <c r="G1328" s="1102">
        <v>0</v>
      </c>
      <c r="H1328" s="1102">
        <v>0.15</v>
      </c>
      <c r="I1328" s="1104">
        <v>620.20000000000005</v>
      </c>
      <c r="J1328" s="1866">
        <v>501</v>
      </c>
      <c r="K1328" s="1102">
        <v>0</v>
      </c>
      <c r="L1328" s="1102">
        <v>292.79999999999995</v>
      </c>
      <c r="M1328" s="1102">
        <v>0</v>
      </c>
      <c r="N1328" s="1866">
        <v>3.53</v>
      </c>
      <c r="O1328" s="1866">
        <v>379.66</v>
      </c>
      <c r="P1328" s="1866">
        <v>252.78</v>
      </c>
      <c r="Q1328" s="1866">
        <v>65.19</v>
      </c>
      <c r="R1328" s="1867">
        <v>0.02</v>
      </c>
      <c r="S1328" s="1866">
        <v>1E-3</v>
      </c>
      <c r="T1328" s="1866">
        <v>1E-3</v>
      </c>
      <c r="U1328" s="1867">
        <v>0.09</v>
      </c>
      <c r="V1328" s="1102"/>
    </row>
    <row r="1329" spans="1:22" s="907" customFormat="1" x14ac:dyDescent="0.25">
      <c r="A1329" s="1100">
        <v>200377</v>
      </c>
      <c r="B1329" s="1107" t="str">
        <f t="shared" ref="B1329:B1361" si="40">"-"&amp;TEXT((F1330/62+G1329/46+I1329/35.5+J1329/48+K1329/97+L1329/61),"0,00")&amp;"/+"&amp;TEXT((N1329/39+O1329/23+P1329/20+Q1329/12+H1329/14),"0,00")&amp;"  (EC  "&amp;E1329*10&amp;")"</f>
        <v>-37,21/+37,51  (EC  38,8)</v>
      </c>
      <c r="C1329" s="1101"/>
      <c r="D1329" s="1102">
        <v>7.97</v>
      </c>
      <c r="E1329" s="1102">
        <v>3.88</v>
      </c>
      <c r="F1329" s="1102">
        <v>68.69</v>
      </c>
      <c r="G1329" s="1102">
        <v>0</v>
      </c>
      <c r="H1329" s="1102">
        <v>0.22</v>
      </c>
      <c r="I1329" s="1104">
        <v>777.65</v>
      </c>
      <c r="J1329" s="1866">
        <v>233.12</v>
      </c>
      <c r="K1329" s="1104">
        <v>3.0293999999999999</v>
      </c>
      <c r="L1329" s="1102">
        <v>559.20000000000005</v>
      </c>
      <c r="M1329" s="1102">
        <v>0</v>
      </c>
      <c r="N1329" s="1866">
        <v>46.08</v>
      </c>
      <c r="O1329" s="1866">
        <v>467.84</v>
      </c>
      <c r="P1329" s="1866">
        <v>207.96</v>
      </c>
      <c r="Q1329" s="1866">
        <v>66.87</v>
      </c>
      <c r="R1329" s="1866">
        <v>0.01</v>
      </c>
      <c r="S1329" s="1866">
        <v>0.03</v>
      </c>
      <c r="T1329" s="1866">
        <v>0.08</v>
      </c>
      <c r="U1329" s="1866">
        <v>0.03</v>
      </c>
      <c r="V1329" s="1102"/>
    </row>
    <row r="1330" spans="1:22" s="907" customFormat="1" x14ac:dyDescent="0.25">
      <c r="A1330" s="1100">
        <v>200378</v>
      </c>
      <c r="B1330" s="1107" t="str">
        <f t="shared" si="40"/>
        <v>-40,13/+43,86  (EC  44,3)</v>
      </c>
      <c r="C1330" s="1101"/>
      <c r="D1330" s="1102">
        <v>7.47</v>
      </c>
      <c r="E1330" s="1102">
        <v>4.43</v>
      </c>
      <c r="F1330" s="1104">
        <v>77.63</v>
      </c>
      <c r="G1330" s="1102">
        <v>0</v>
      </c>
      <c r="H1330" s="1102">
        <v>0.25</v>
      </c>
      <c r="I1330" s="1104">
        <v>833.45</v>
      </c>
      <c r="J1330" s="1866">
        <v>134.62</v>
      </c>
      <c r="K1330" s="1104">
        <v>12.2094</v>
      </c>
      <c r="L1330" s="1102">
        <v>763.2</v>
      </c>
      <c r="M1330" s="1102">
        <v>0</v>
      </c>
      <c r="N1330" s="1866">
        <v>49.83</v>
      </c>
      <c r="O1330" s="1866">
        <v>518.36</v>
      </c>
      <c r="P1330" s="1866">
        <v>290.95999999999998</v>
      </c>
      <c r="Q1330" s="1866">
        <v>65.7</v>
      </c>
      <c r="R1330" s="1866">
        <v>1E-3</v>
      </c>
      <c r="S1330" s="1866">
        <v>0.01</v>
      </c>
      <c r="T1330" s="1866">
        <v>7.0000000000000007E-2</v>
      </c>
      <c r="U1330" s="1866">
        <v>0.01</v>
      </c>
      <c r="V1330" s="1102"/>
    </row>
    <row r="1331" spans="1:22" s="907" customFormat="1" x14ac:dyDescent="0.25">
      <c r="A1331" s="1100">
        <v>200379</v>
      </c>
      <c r="B1331" s="1107" t="str">
        <f t="shared" si="40"/>
        <v>-4,40/+4,96  (EC  5,98)</v>
      </c>
      <c r="C1331" s="1101"/>
      <c r="D1331" s="1102">
        <v>4.13</v>
      </c>
      <c r="E1331" s="1102">
        <v>0.59799999999999998</v>
      </c>
      <c r="F1331" s="1104">
        <v>74.989999999999995</v>
      </c>
      <c r="G1331" s="1102">
        <v>0</v>
      </c>
      <c r="H1331" s="1102">
        <v>0.19</v>
      </c>
      <c r="I1331" s="1104">
        <v>43.74</v>
      </c>
      <c r="J1331" s="1866">
        <v>140.22999999999999</v>
      </c>
      <c r="K1331" s="1104">
        <v>6.1200000000000004E-2</v>
      </c>
      <c r="L1331" s="1102">
        <v>2.4000000000000004</v>
      </c>
      <c r="M1331" s="1102">
        <v>0</v>
      </c>
      <c r="N1331" s="1866">
        <v>10.09</v>
      </c>
      <c r="O1331" s="1866">
        <v>23.89</v>
      </c>
      <c r="P1331" s="1866">
        <v>28.78</v>
      </c>
      <c r="Q1331" s="1866">
        <v>26.51</v>
      </c>
      <c r="R1331" s="1866">
        <v>0.08</v>
      </c>
      <c r="S1331" s="1866">
        <v>0.02</v>
      </c>
      <c r="T1331" s="1866">
        <v>1E-3</v>
      </c>
      <c r="U1331" s="1866">
        <v>0.1</v>
      </c>
      <c r="V1331" s="1102">
        <v>0.05</v>
      </c>
    </row>
    <row r="1332" spans="1:22" s="907" customFormat="1" x14ac:dyDescent="0.25">
      <c r="A1332" s="1100">
        <v>200380</v>
      </c>
      <c r="B1332" s="1107" t="str">
        <f t="shared" si="40"/>
        <v>-33,35/+36,29  (EC  34,1)</v>
      </c>
      <c r="C1332" s="1101"/>
      <c r="D1332" s="1102">
        <v>6.96</v>
      </c>
      <c r="E1332" s="1102">
        <v>3.41</v>
      </c>
      <c r="F1332" s="1104">
        <v>12.59</v>
      </c>
      <c r="G1332" s="1102">
        <v>0</v>
      </c>
      <c r="H1332" s="1102">
        <v>0.31</v>
      </c>
      <c r="I1332" s="1104">
        <v>345.32</v>
      </c>
      <c r="J1332" s="1866">
        <v>875</v>
      </c>
      <c r="K1332" s="1104">
        <v>3.0600000000000002E-2</v>
      </c>
      <c r="L1332" s="1102">
        <v>312</v>
      </c>
      <c r="M1332" s="1102">
        <v>0</v>
      </c>
      <c r="N1332" s="906">
        <v>6.49</v>
      </c>
      <c r="O1332" s="906">
        <v>147.66999999999999</v>
      </c>
      <c r="P1332" s="906">
        <v>402.74</v>
      </c>
      <c r="Q1332" s="906">
        <v>114.53</v>
      </c>
      <c r="R1332" s="906">
        <v>1E-3</v>
      </c>
      <c r="S1332" s="906">
        <v>1E-3</v>
      </c>
      <c r="T1332" s="906">
        <v>0</v>
      </c>
      <c r="U1332" s="906">
        <v>1E-3</v>
      </c>
      <c r="V1332" s="1102"/>
    </row>
    <row r="1333" spans="1:22" s="907" customFormat="1" x14ac:dyDescent="0.25">
      <c r="A1333" s="1100">
        <v>200381</v>
      </c>
      <c r="B1333" s="1107" t="str">
        <f t="shared" si="40"/>
        <v>-24,80/+22,98  (EC  23,1)</v>
      </c>
      <c r="C1333" s="1101"/>
      <c r="D1333" s="1102">
        <v>7.38</v>
      </c>
      <c r="E1333" s="1102">
        <v>2.31</v>
      </c>
      <c r="F1333" s="1104">
        <v>16.97</v>
      </c>
      <c r="G1333" s="1102">
        <v>0</v>
      </c>
      <c r="H1333" s="1102">
        <v>0.25</v>
      </c>
      <c r="I1333" s="1104">
        <v>201.23</v>
      </c>
      <c r="J1333" s="1866">
        <v>699.21</v>
      </c>
      <c r="K1333" s="1104">
        <v>0</v>
      </c>
      <c r="L1333" s="1102">
        <v>278.39999999999998</v>
      </c>
      <c r="M1333" s="1102">
        <v>0</v>
      </c>
      <c r="N1333" s="906">
        <v>7.87</v>
      </c>
      <c r="O1333" s="906">
        <v>111.1</v>
      </c>
      <c r="P1333" s="906">
        <v>196</v>
      </c>
      <c r="Q1333" s="906">
        <v>97.53</v>
      </c>
      <c r="R1333" s="1775">
        <v>0.12</v>
      </c>
      <c r="S1333" s="906">
        <v>1E-3</v>
      </c>
      <c r="T1333" s="906">
        <v>0.01</v>
      </c>
      <c r="U1333" s="906">
        <v>1E-3</v>
      </c>
      <c r="V1333" s="1102"/>
    </row>
    <row r="1334" spans="1:22" s="907" customFormat="1" x14ac:dyDescent="0.25">
      <c r="A1334" s="1100">
        <v>200382</v>
      </c>
      <c r="B1334" s="1107" t="str">
        <f t="shared" si="40"/>
        <v>-35,32/+34,90  (EC  33,1)</v>
      </c>
      <c r="C1334" s="1101"/>
      <c r="D1334" s="1102">
        <v>7.31</v>
      </c>
      <c r="E1334" s="1102">
        <v>3.31</v>
      </c>
      <c r="F1334" s="1104">
        <v>0.2</v>
      </c>
      <c r="G1334" s="1102">
        <v>0</v>
      </c>
      <c r="H1334" s="1102">
        <v>0.27</v>
      </c>
      <c r="I1334" s="1104">
        <v>319.74</v>
      </c>
      <c r="J1334" s="1866">
        <v>997.21</v>
      </c>
      <c r="K1334" s="1104">
        <v>0.12240000000000001</v>
      </c>
      <c r="L1334" s="1102">
        <v>316.79999999999995</v>
      </c>
      <c r="M1334" s="1102">
        <v>0</v>
      </c>
      <c r="N1334" s="906">
        <v>12.83</v>
      </c>
      <c r="O1334" s="906">
        <v>157.69999999999999</v>
      </c>
      <c r="P1334" s="906">
        <v>374.74</v>
      </c>
      <c r="Q1334" s="906">
        <v>107.52</v>
      </c>
      <c r="R1334" s="906">
        <v>1E-3</v>
      </c>
      <c r="S1334" s="906">
        <v>1E-3</v>
      </c>
      <c r="T1334" s="906">
        <v>0.04</v>
      </c>
      <c r="U1334" s="1775">
        <v>0.08</v>
      </c>
      <c r="V1334" s="1102"/>
    </row>
    <row r="1335" spans="1:22" s="907" customFormat="1" x14ac:dyDescent="0.25">
      <c r="A1335" s="1100">
        <v>200383</v>
      </c>
      <c r="B1335" s="1107" t="str">
        <f t="shared" si="40"/>
        <v>-34,52/+37,23  (EC  36,8)</v>
      </c>
      <c r="C1335" s="1101"/>
      <c r="D1335" s="1102">
        <v>7.3</v>
      </c>
      <c r="E1335" s="1102">
        <v>3.68</v>
      </c>
      <c r="F1335" s="1104">
        <v>21.08</v>
      </c>
      <c r="G1335" s="1102">
        <v>0</v>
      </c>
      <c r="H1335" s="1102">
        <v>0.15</v>
      </c>
      <c r="I1335" s="1110">
        <v>925.36</v>
      </c>
      <c r="J1335" s="1111">
        <v>133.25</v>
      </c>
      <c r="K1335" s="1102">
        <v>0</v>
      </c>
      <c r="L1335" s="1102">
        <v>324</v>
      </c>
      <c r="M1335" s="1102">
        <v>0</v>
      </c>
      <c r="N1335" s="906">
        <v>5.76</v>
      </c>
      <c r="O1335" s="906">
        <v>411.35</v>
      </c>
      <c r="P1335" s="906">
        <v>179.8</v>
      </c>
      <c r="Q1335" s="906">
        <v>122.42</v>
      </c>
      <c r="R1335" s="906">
        <v>0.03</v>
      </c>
      <c r="S1335" s="906">
        <v>1E-3</v>
      </c>
      <c r="T1335" s="906">
        <v>1E-3</v>
      </c>
      <c r="U1335" s="906">
        <v>0.2</v>
      </c>
      <c r="V1335" s="1102"/>
    </row>
    <row r="1336" spans="1:22" s="907" customFormat="1" x14ac:dyDescent="0.25">
      <c r="A1336" s="1100">
        <v>200384</v>
      </c>
      <c r="B1336" s="1107" t="str">
        <f t="shared" si="40"/>
        <v>-30,45/+31,90  (EC  32,5)</v>
      </c>
      <c r="C1336" s="1101"/>
      <c r="D1336" s="1102">
        <v>7.36</v>
      </c>
      <c r="E1336" s="1102">
        <v>3.25</v>
      </c>
      <c r="F1336" s="1104">
        <v>22.47</v>
      </c>
      <c r="G1336" s="1102">
        <v>0</v>
      </c>
      <c r="H1336" s="1102">
        <v>0.13</v>
      </c>
      <c r="I1336" s="1110">
        <v>810</v>
      </c>
      <c r="J1336" s="1111">
        <v>111.65</v>
      </c>
      <c r="K1336" s="1102">
        <v>0</v>
      </c>
      <c r="L1336" s="1102">
        <v>302.39999999999998</v>
      </c>
      <c r="M1336" s="1102">
        <v>0</v>
      </c>
      <c r="N1336" s="906">
        <v>5.55</v>
      </c>
      <c r="O1336" s="906">
        <v>338.68</v>
      </c>
      <c r="P1336" s="906">
        <v>168.39</v>
      </c>
      <c r="Q1336" s="906">
        <v>103.23</v>
      </c>
      <c r="R1336" s="906">
        <v>0.7</v>
      </c>
      <c r="S1336" s="906">
        <v>1E-3</v>
      </c>
      <c r="T1336" s="906">
        <v>0.03</v>
      </c>
      <c r="U1336" s="906">
        <v>0.43</v>
      </c>
      <c r="V1336" s="1102"/>
    </row>
    <row r="1337" spans="1:22" s="907" customFormat="1" x14ac:dyDescent="0.25">
      <c r="A1337" s="1100">
        <v>200385</v>
      </c>
      <c r="B1337" s="1107" t="str">
        <f t="shared" si="40"/>
        <v>-7,67/+8,73  (EC  7,52)</v>
      </c>
      <c r="C1337" s="1101"/>
      <c r="D1337" s="1102">
        <v>7.99</v>
      </c>
      <c r="E1337" s="1102">
        <v>0.752</v>
      </c>
      <c r="F1337" s="1104">
        <v>21.71</v>
      </c>
      <c r="G1337" s="1102">
        <v>0</v>
      </c>
      <c r="H1337" s="1102">
        <v>0.1</v>
      </c>
      <c r="I1337" s="1104">
        <v>49.65</v>
      </c>
      <c r="J1337" s="1102">
        <v>6.24</v>
      </c>
      <c r="K1337" s="1102">
        <v>0</v>
      </c>
      <c r="L1337" s="1102">
        <v>355.20000000000005</v>
      </c>
      <c r="M1337" s="1102">
        <v>0</v>
      </c>
      <c r="N1337" s="906">
        <v>2.0099999999999998</v>
      </c>
      <c r="O1337" s="906">
        <v>25.66</v>
      </c>
      <c r="P1337" s="906">
        <v>73.72</v>
      </c>
      <c r="Q1337" s="906">
        <v>46.39</v>
      </c>
      <c r="R1337" s="906">
        <v>0.06</v>
      </c>
      <c r="S1337" s="906">
        <v>1E-3</v>
      </c>
      <c r="T1337" s="906">
        <v>1E-3</v>
      </c>
      <c r="U1337" s="906">
        <v>1E-3</v>
      </c>
      <c r="V1337" s="1102"/>
    </row>
    <row r="1338" spans="1:22" s="907" customFormat="1" x14ac:dyDescent="0.25">
      <c r="A1338" s="1100">
        <v>200386</v>
      </c>
      <c r="B1338" s="1107" t="str">
        <f t="shared" si="40"/>
        <v>-7,07/+8,67  (EC  7,19)</v>
      </c>
      <c r="C1338" s="1101"/>
      <c r="D1338" s="1102">
        <v>7.67</v>
      </c>
      <c r="E1338" s="1102">
        <v>0.71899999999999997</v>
      </c>
      <c r="F1338" s="1104">
        <v>19.989999999999998</v>
      </c>
      <c r="G1338" s="1102">
        <v>0</v>
      </c>
      <c r="H1338" s="1102">
        <v>0.05</v>
      </c>
      <c r="I1338" s="1104">
        <v>38.54</v>
      </c>
      <c r="J1338" s="1102">
        <v>5.79</v>
      </c>
      <c r="K1338" s="1102">
        <v>0</v>
      </c>
      <c r="L1338" s="1102">
        <v>357.6</v>
      </c>
      <c r="M1338" s="1102">
        <v>0</v>
      </c>
      <c r="N1338" s="906">
        <v>2.2400000000000002</v>
      </c>
      <c r="O1338" s="906">
        <v>19.78</v>
      </c>
      <c r="P1338" s="906">
        <v>75.540000000000006</v>
      </c>
      <c r="Q1338" s="906">
        <v>47.61</v>
      </c>
      <c r="R1338" s="906">
        <v>0.02</v>
      </c>
      <c r="S1338" s="906">
        <v>1E-3</v>
      </c>
      <c r="T1338" s="906">
        <v>1E-3</v>
      </c>
      <c r="U1338" s="906">
        <v>0.06</v>
      </c>
      <c r="V1338" s="1102"/>
    </row>
    <row r="1339" spans="1:22" s="907" customFormat="1" x14ac:dyDescent="0.25">
      <c r="A1339" s="1100">
        <v>200387</v>
      </c>
      <c r="B1339" s="1107" t="str">
        <f t="shared" si="40"/>
        <v>-19,92/+19,04  (EC  18,1)</v>
      </c>
      <c r="C1339" s="1101"/>
      <c r="D1339" s="1102">
        <v>8.1199999999999992</v>
      </c>
      <c r="E1339" s="1102">
        <v>1.81</v>
      </c>
      <c r="F1339" s="1104">
        <v>0.3</v>
      </c>
      <c r="G1339" s="1102">
        <v>0</v>
      </c>
      <c r="H1339" s="1102">
        <v>0.11</v>
      </c>
      <c r="I1339" s="1104">
        <v>270</v>
      </c>
      <c r="J1339" s="1102">
        <v>455</v>
      </c>
      <c r="K1339" s="1102">
        <v>0</v>
      </c>
      <c r="L1339" s="1102">
        <v>120</v>
      </c>
      <c r="M1339" s="1102">
        <v>0</v>
      </c>
      <c r="N1339" s="906">
        <v>8.74</v>
      </c>
      <c r="O1339" s="906">
        <v>167.16</v>
      </c>
      <c r="P1339" s="906">
        <v>125.84</v>
      </c>
      <c r="Q1339" s="906">
        <v>62.92</v>
      </c>
      <c r="R1339" s="906">
        <v>1E-3</v>
      </c>
      <c r="S1339" s="906">
        <v>1E-3</v>
      </c>
      <c r="T1339" s="906">
        <v>0.01</v>
      </c>
      <c r="U1339" s="906">
        <v>0.02</v>
      </c>
      <c r="V1339" s="1102"/>
    </row>
    <row r="1340" spans="1:22" s="907" customFormat="1" x14ac:dyDescent="0.25">
      <c r="A1340" s="1100">
        <v>200388</v>
      </c>
      <c r="B1340" s="1107" t="str">
        <f t="shared" si="40"/>
        <v>-14,29/+14,92  (EC  14,3)</v>
      </c>
      <c r="C1340" s="1101"/>
      <c r="D1340" s="1102">
        <v>7.28</v>
      </c>
      <c r="E1340" s="1102">
        <v>1.43</v>
      </c>
      <c r="F1340" s="1104">
        <v>54</v>
      </c>
      <c r="G1340" s="1102">
        <v>0</v>
      </c>
      <c r="H1340" s="1102">
        <v>0.25</v>
      </c>
      <c r="I1340" s="1104">
        <v>202.31</v>
      </c>
      <c r="J1340" s="1102">
        <v>97.4</v>
      </c>
      <c r="K1340" s="1102">
        <v>0</v>
      </c>
      <c r="L1340" s="1102">
        <v>372</v>
      </c>
      <c r="M1340" s="1102">
        <v>0</v>
      </c>
      <c r="N1340" s="1102">
        <v>1.25</v>
      </c>
      <c r="O1340" s="1102">
        <v>122.25</v>
      </c>
      <c r="P1340" s="1102">
        <v>85.64</v>
      </c>
      <c r="Q1340" s="1102">
        <v>63.24</v>
      </c>
      <c r="R1340" s="1102">
        <v>1E-3</v>
      </c>
      <c r="S1340" s="1102">
        <v>1E-3</v>
      </c>
      <c r="T1340" s="1102">
        <v>1E-3</v>
      </c>
      <c r="U1340" s="1102">
        <v>1E-3</v>
      </c>
      <c r="V1340" s="1102"/>
    </row>
    <row r="1341" spans="1:22" s="907" customFormat="1" x14ac:dyDescent="0.25">
      <c r="A1341" s="1100">
        <v>200389</v>
      </c>
      <c r="B1341" s="1107" t="str">
        <f t="shared" si="40"/>
        <v>-7,13/+8,03  (EC  7,2)</v>
      </c>
      <c r="C1341" s="1101"/>
      <c r="D1341" s="1102">
        <v>7.49</v>
      </c>
      <c r="E1341" s="1102">
        <v>0.72</v>
      </c>
      <c r="F1341" s="1104">
        <v>28.83</v>
      </c>
      <c r="G1341" s="1102">
        <v>0</v>
      </c>
      <c r="H1341" s="1102">
        <v>0.06</v>
      </c>
      <c r="I1341" s="1104">
        <v>30.25</v>
      </c>
      <c r="J1341" s="1102">
        <v>27.96</v>
      </c>
      <c r="K1341" s="1102">
        <v>1E-3</v>
      </c>
      <c r="L1341" s="1102">
        <v>340.79999999999995</v>
      </c>
      <c r="M1341" s="1102">
        <v>0</v>
      </c>
      <c r="N1341" s="906">
        <v>1.79</v>
      </c>
      <c r="O1341" s="906">
        <v>18.399999999999999</v>
      </c>
      <c r="P1341" s="906">
        <v>71.58</v>
      </c>
      <c r="Q1341" s="906">
        <v>43.19</v>
      </c>
      <c r="R1341" s="1775">
        <v>0.01</v>
      </c>
      <c r="S1341" s="1102">
        <v>1E-3</v>
      </c>
      <c r="T1341" s="1102">
        <v>1E-3</v>
      </c>
      <c r="U1341" s="1775">
        <v>1E-3</v>
      </c>
      <c r="V1341" s="1102"/>
    </row>
    <row r="1342" spans="1:22" s="907" customFormat="1" x14ac:dyDescent="0.25">
      <c r="A1342" s="1100">
        <v>200390</v>
      </c>
      <c r="B1342" s="1107" t="str">
        <f t="shared" si="40"/>
        <v>-41,62/+43,39  (EC  40,1)</v>
      </c>
      <c r="C1342" s="1101"/>
      <c r="D1342" s="1102">
        <v>7.23</v>
      </c>
      <c r="E1342" s="1102">
        <v>4.01</v>
      </c>
      <c r="F1342" s="1104">
        <v>6.95</v>
      </c>
      <c r="G1342" s="1102">
        <v>0</v>
      </c>
      <c r="H1342" s="1102">
        <v>0.05</v>
      </c>
      <c r="I1342" s="1104">
        <v>702.13</v>
      </c>
      <c r="J1342" s="1102">
        <v>773.4</v>
      </c>
      <c r="K1342" s="1102">
        <v>1E-3</v>
      </c>
      <c r="L1342" s="1102">
        <v>331.20000000000005</v>
      </c>
      <c r="M1342" s="1102">
        <v>0</v>
      </c>
      <c r="N1342" s="906">
        <v>10.119999999999999</v>
      </c>
      <c r="O1342" s="906">
        <v>432.67</v>
      </c>
      <c r="P1342" s="1737">
        <v>198.3</v>
      </c>
      <c r="Q1342" s="906">
        <v>172.84</v>
      </c>
      <c r="R1342" s="1775">
        <v>7.0000000000000007E-2</v>
      </c>
      <c r="S1342" s="1102">
        <v>1E-3</v>
      </c>
      <c r="T1342" s="1102">
        <v>1E-3</v>
      </c>
      <c r="U1342" s="906">
        <v>1E-3</v>
      </c>
      <c r="V1342" s="1102"/>
    </row>
    <row r="1343" spans="1:22" s="907" customFormat="1" x14ac:dyDescent="0.25">
      <c r="A1343" s="1100">
        <v>200391</v>
      </c>
      <c r="B1343" s="1107" t="str">
        <f t="shared" si="40"/>
        <v>-34,23/+32,95  (EC  31,2)</v>
      </c>
      <c r="C1343" s="1101"/>
      <c r="D1343" s="1102">
        <v>7.8</v>
      </c>
      <c r="E1343" s="1102">
        <v>3.12</v>
      </c>
      <c r="F1343" s="1104">
        <v>18.43</v>
      </c>
      <c r="G1343" s="1102">
        <v>0</v>
      </c>
      <c r="H1343" s="1102">
        <v>0.06</v>
      </c>
      <c r="I1343" s="1104">
        <v>885.23</v>
      </c>
      <c r="J1343" s="1102">
        <v>183.25</v>
      </c>
      <c r="K1343" s="1102">
        <v>1E-3</v>
      </c>
      <c r="L1343" s="1102">
        <v>332.4</v>
      </c>
      <c r="M1343" s="1102">
        <v>0</v>
      </c>
      <c r="N1343" s="906">
        <v>8.67</v>
      </c>
      <c r="O1343" s="1737">
        <v>536.29999999999995</v>
      </c>
      <c r="P1343" s="906">
        <v>87.83</v>
      </c>
      <c r="Q1343" s="906">
        <v>60.18</v>
      </c>
      <c r="R1343" s="1775">
        <v>1E-3</v>
      </c>
      <c r="S1343" s="1102">
        <v>1E-3</v>
      </c>
      <c r="T1343" s="1102">
        <v>1E-3</v>
      </c>
      <c r="U1343" s="906">
        <v>0.03</v>
      </c>
      <c r="V1343" s="1102"/>
    </row>
    <row r="1344" spans="1:22" s="907" customFormat="1" x14ac:dyDescent="0.25">
      <c r="A1344" s="1100">
        <v>200392</v>
      </c>
      <c r="B1344" s="1107" t="str">
        <f t="shared" si="40"/>
        <v>-12,20/+13,02  (EC  12,5)</v>
      </c>
      <c r="C1344" s="1101"/>
      <c r="D1344" s="1102">
        <v>7.66</v>
      </c>
      <c r="E1344" s="1102">
        <v>1.25</v>
      </c>
      <c r="F1344" s="1104">
        <v>1.84</v>
      </c>
      <c r="G1344" s="1102">
        <v>0</v>
      </c>
      <c r="H1344" s="1102">
        <v>0.08</v>
      </c>
      <c r="I1344" s="1104">
        <v>148.69980000000001</v>
      </c>
      <c r="J1344" s="1102">
        <v>49.82</v>
      </c>
      <c r="K1344" s="1102">
        <v>1E-3</v>
      </c>
      <c r="L1344" s="1102">
        <v>333.6</v>
      </c>
      <c r="M1344" s="1102">
        <v>0</v>
      </c>
      <c r="N1344" s="906">
        <v>5.36</v>
      </c>
      <c r="O1344" s="906">
        <v>91.79</v>
      </c>
      <c r="P1344" s="906">
        <v>74.709999999999994</v>
      </c>
      <c r="Q1344" s="906">
        <v>61.75</v>
      </c>
      <c r="R1344" s="1775">
        <v>1E-3</v>
      </c>
      <c r="S1344" s="1102">
        <v>1E-3</v>
      </c>
      <c r="T1344" s="1102">
        <v>1E-3</v>
      </c>
      <c r="U1344" s="906">
        <v>1E-3</v>
      </c>
      <c r="V1344" s="1102"/>
    </row>
    <row r="1345" spans="1:22" s="907" customFormat="1" x14ac:dyDescent="0.25">
      <c r="A1345" s="1100">
        <v>200393</v>
      </c>
      <c r="B1345" s="1107" t="str">
        <f t="shared" si="40"/>
        <v>-70,37/+73,82  (EC  72,4)</v>
      </c>
      <c r="C1345" s="1101"/>
      <c r="D1345" s="1102">
        <v>6.99</v>
      </c>
      <c r="E1345" s="1102">
        <v>7.24</v>
      </c>
      <c r="F1345" s="1104">
        <v>93.26</v>
      </c>
      <c r="G1345" s="1102">
        <v>0</v>
      </c>
      <c r="H1345" s="1102">
        <v>0.04</v>
      </c>
      <c r="I1345" s="1104">
        <v>1329.9714000000001</v>
      </c>
      <c r="J1345" s="1102">
        <v>1322.13</v>
      </c>
      <c r="K1345" s="1102">
        <v>1E-3</v>
      </c>
      <c r="L1345" s="1102">
        <v>325.60000000000002</v>
      </c>
      <c r="M1345" s="1102">
        <v>0</v>
      </c>
      <c r="N1345" s="906">
        <v>4.17</v>
      </c>
      <c r="O1345" s="1737">
        <v>725.3</v>
      </c>
      <c r="P1345" s="1737">
        <v>320.3</v>
      </c>
      <c r="Q1345" s="1775">
        <v>313.95</v>
      </c>
      <c r="R1345" s="1775">
        <v>0.02</v>
      </c>
      <c r="S1345" s="1102">
        <v>1E-3</v>
      </c>
      <c r="T1345" s="1102">
        <v>1E-3</v>
      </c>
      <c r="U1345" s="906">
        <v>1E-3</v>
      </c>
      <c r="V1345" s="1102"/>
    </row>
    <row r="1346" spans="1:22" s="907" customFormat="1" x14ac:dyDescent="0.25">
      <c r="A1346" s="1100">
        <v>200394</v>
      </c>
      <c r="B1346" s="1107" t="str">
        <f t="shared" si="40"/>
        <v>-11,75/+10,98  (EC  10,2)</v>
      </c>
      <c r="C1346" s="1101"/>
      <c r="D1346" s="1102">
        <v>8.07</v>
      </c>
      <c r="E1346" s="1102">
        <v>1.02</v>
      </c>
      <c r="F1346" s="1104">
        <v>1.45</v>
      </c>
      <c r="G1346" s="1102">
        <v>0</v>
      </c>
      <c r="H1346" s="1102">
        <v>0.03</v>
      </c>
      <c r="I1346" s="1104">
        <v>75.281400000000005</v>
      </c>
      <c r="J1346" s="1102">
        <v>228.5</v>
      </c>
      <c r="K1346" s="1102">
        <v>1E-3</v>
      </c>
      <c r="L1346" s="1102">
        <v>230.39999999999998</v>
      </c>
      <c r="M1346" s="1102">
        <v>0</v>
      </c>
      <c r="N1346" s="906">
        <v>5.22</v>
      </c>
      <c r="O1346" s="906">
        <v>46.47</v>
      </c>
      <c r="P1346" s="906">
        <v>106.17</v>
      </c>
      <c r="Q1346" s="906">
        <v>42.13</v>
      </c>
      <c r="R1346" s="1775">
        <v>1E-3</v>
      </c>
      <c r="S1346" s="1102">
        <v>1E-3</v>
      </c>
      <c r="T1346" s="1102">
        <v>1E-3</v>
      </c>
      <c r="U1346" s="906">
        <v>0.02</v>
      </c>
      <c r="V1346" s="1102"/>
    </row>
    <row r="1347" spans="1:22" s="907" customFormat="1" x14ac:dyDescent="0.25">
      <c r="A1347" s="1100">
        <v>200395</v>
      </c>
      <c r="B1347" s="1107" t="str">
        <f t="shared" si="40"/>
        <v>-28,52/+31,93  (EC  29,7)</v>
      </c>
      <c r="C1347" s="1101"/>
      <c r="D1347" s="1102">
        <v>6.95</v>
      </c>
      <c r="E1347" s="1102">
        <v>2.97</v>
      </c>
      <c r="F1347" s="1104">
        <v>67.48</v>
      </c>
      <c r="G1347" s="1102">
        <v>0</v>
      </c>
      <c r="H1347" s="1104">
        <v>0.03</v>
      </c>
      <c r="I1347" s="1104">
        <v>301.56300000000005</v>
      </c>
      <c r="J1347" s="1102">
        <v>663.55</v>
      </c>
      <c r="K1347" s="1102">
        <v>1E-3</v>
      </c>
      <c r="L1347" s="1102">
        <v>369.6</v>
      </c>
      <c r="M1347" s="1102">
        <v>0</v>
      </c>
      <c r="N1347" s="906">
        <v>3.6</v>
      </c>
      <c r="O1347" s="906">
        <v>186.15</v>
      </c>
      <c r="P1347" s="906">
        <v>223.07</v>
      </c>
      <c r="Q1347" s="1775">
        <v>151.1</v>
      </c>
      <c r="R1347" s="1775">
        <v>0.01</v>
      </c>
      <c r="S1347" s="1102">
        <v>1E-3</v>
      </c>
      <c r="T1347" s="1102">
        <v>1E-3</v>
      </c>
      <c r="U1347" s="906">
        <v>1E-3</v>
      </c>
      <c r="V1347" s="1102"/>
    </row>
    <row r="1348" spans="1:22" s="907" customFormat="1" x14ac:dyDescent="0.25">
      <c r="A1348" s="1100">
        <v>200396</v>
      </c>
      <c r="B1348" s="1107" t="str">
        <f t="shared" si="40"/>
        <v>-46,54/+48,39  (EC  47,1)</v>
      </c>
      <c r="C1348" s="1101"/>
      <c r="D1348" s="1102">
        <v>6.92</v>
      </c>
      <c r="E1348" s="1102">
        <v>4.71</v>
      </c>
      <c r="F1348" s="1104">
        <v>8.8800000000000008</v>
      </c>
      <c r="G1348" s="1102">
        <v>0</v>
      </c>
      <c r="H1348" s="1104">
        <v>0.05</v>
      </c>
      <c r="I1348" s="1104">
        <v>534.95640000000003</v>
      </c>
      <c r="J1348" s="1102">
        <v>1245.8</v>
      </c>
      <c r="K1348" s="1102">
        <v>1E-3</v>
      </c>
      <c r="L1348" s="1102">
        <v>319.20000000000005</v>
      </c>
      <c r="M1348" s="1102">
        <v>0</v>
      </c>
      <c r="N1348" s="906">
        <v>7.71</v>
      </c>
      <c r="O1348" s="906">
        <v>330.22</v>
      </c>
      <c r="P1348" s="1737">
        <v>262.3</v>
      </c>
      <c r="Q1348" s="1737">
        <v>248.59</v>
      </c>
      <c r="R1348" s="1775">
        <v>0.74</v>
      </c>
      <c r="S1348" s="1102">
        <v>1E-3</v>
      </c>
      <c r="T1348" s="1102">
        <v>1E-3</v>
      </c>
      <c r="U1348" s="906">
        <v>0.28000000000000003</v>
      </c>
      <c r="V1348" s="1102"/>
    </row>
    <row r="1349" spans="1:22" s="907" customFormat="1" x14ac:dyDescent="0.25">
      <c r="A1349" s="1100">
        <v>200397</v>
      </c>
      <c r="B1349" s="1107" t="str">
        <f t="shared" si="40"/>
        <v>-13,04/+13,22  (EC  12,3)</v>
      </c>
      <c r="C1349" s="1101"/>
      <c r="D1349" s="1102">
        <v>7.25</v>
      </c>
      <c r="E1349" s="1102">
        <v>1.23</v>
      </c>
      <c r="F1349" s="1104">
        <v>17.48</v>
      </c>
      <c r="G1349" s="1102">
        <v>0</v>
      </c>
      <c r="H1349" s="1104">
        <v>0.06</v>
      </c>
      <c r="I1349" s="1104">
        <v>133.19640000000001</v>
      </c>
      <c r="J1349" s="1102">
        <v>174.95</v>
      </c>
      <c r="K1349" s="1735">
        <v>1E-3</v>
      </c>
      <c r="L1349" s="1735">
        <v>343.20000000000005</v>
      </c>
      <c r="M1349" s="1102">
        <v>0</v>
      </c>
      <c r="N1349" s="906">
        <v>1.79</v>
      </c>
      <c r="O1349" s="906">
        <v>82.22</v>
      </c>
      <c r="P1349" s="906">
        <v>101.27</v>
      </c>
      <c r="Q1349" s="906">
        <v>54.38</v>
      </c>
      <c r="R1349" s="1775">
        <v>1E-3</v>
      </c>
      <c r="S1349" s="1102">
        <v>1E-3</v>
      </c>
      <c r="T1349" s="1102">
        <v>1E-3</v>
      </c>
      <c r="U1349" s="906">
        <v>1E-3</v>
      </c>
      <c r="V1349" s="1102"/>
    </row>
    <row r="1350" spans="1:22" s="907" customFormat="1" x14ac:dyDescent="0.25">
      <c r="A1350" s="1100">
        <v>200398</v>
      </c>
      <c r="B1350" s="1107" t="str">
        <f t="shared" si="40"/>
        <v>-26,53/+25,93  (EC  24,1)</v>
      </c>
      <c r="C1350" s="1101"/>
      <c r="D1350" s="1102">
        <v>7.5</v>
      </c>
      <c r="E1350" s="1102">
        <v>2.41</v>
      </c>
      <c r="F1350" s="1104">
        <v>1.25</v>
      </c>
      <c r="G1350" s="1102">
        <v>0</v>
      </c>
      <c r="H1350" s="1104">
        <v>0.08</v>
      </c>
      <c r="I1350" s="1104">
        <v>465.74</v>
      </c>
      <c r="J1350" s="1102">
        <v>301.2</v>
      </c>
      <c r="K1350" s="1735">
        <v>1E-3</v>
      </c>
      <c r="L1350" s="1735">
        <v>410.23</v>
      </c>
      <c r="M1350" s="1102">
        <v>0</v>
      </c>
      <c r="N1350" s="906">
        <v>29.86</v>
      </c>
      <c r="O1350" s="906">
        <v>296.16000000000003</v>
      </c>
      <c r="P1350" s="906">
        <v>105.6</v>
      </c>
      <c r="Q1350" s="906">
        <v>84.01</v>
      </c>
      <c r="R1350" s="1775">
        <v>1E-3</v>
      </c>
      <c r="S1350" s="1102">
        <v>1E-3</v>
      </c>
      <c r="T1350" s="1102">
        <v>1E-3</v>
      </c>
      <c r="U1350" s="906">
        <v>1E-3</v>
      </c>
      <c r="V1350" s="1102"/>
    </row>
    <row r="1351" spans="1:22" s="907" customFormat="1" x14ac:dyDescent="0.25">
      <c r="A1351" s="1100">
        <v>200399</v>
      </c>
      <c r="B1351" s="1107" t="str">
        <f t="shared" si="40"/>
        <v>-23,71/+23,59  (EC  22,1)</v>
      </c>
      <c r="C1351" s="1101"/>
      <c r="D1351" s="1102">
        <v>7.13</v>
      </c>
      <c r="E1351" s="1102">
        <v>2.21</v>
      </c>
      <c r="F1351" s="1104">
        <v>25.42</v>
      </c>
      <c r="G1351" s="1102">
        <v>0</v>
      </c>
      <c r="H1351" s="1104">
        <v>0.06</v>
      </c>
      <c r="I1351" s="1104">
        <v>384.37740000000002</v>
      </c>
      <c r="J1351" s="1102">
        <v>368.95</v>
      </c>
      <c r="K1351" s="1735">
        <v>1E-3</v>
      </c>
      <c r="L1351" s="1735">
        <v>302.39999999999998</v>
      </c>
      <c r="M1351" s="1102">
        <v>0</v>
      </c>
      <c r="N1351" s="906">
        <v>3.09</v>
      </c>
      <c r="O1351" s="906">
        <v>237.27</v>
      </c>
      <c r="P1351" s="906">
        <v>149.66999999999999</v>
      </c>
      <c r="Q1351" s="906">
        <v>68.510000000000005</v>
      </c>
      <c r="R1351" s="1775">
        <v>0.01</v>
      </c>
      <c r="S1351" s="1102">
        <v>1E-3</v>
      </c>
      <c r="T1351" s="1102">
        <v>1E-3</v>
      </c>
      <c r="U1351" s="906">
        <v>1E-3</v>
      </c>
      <c r="V1351" s="1102"/>
    </row>
    <row r="1352" spans="1:22" s="907" customFormat="1" x14ac:dyDescent="0.25">
      <c r="A1352" s="1100">
        <v>200400</v>
      </c>
      <c r="B1352" s="1107" t="str">
        <f t="shared" si="40"/>
        <v>-25,33/+24,86  (EC  25,1)</v>
      </c>
      <c r="C1352" s="1101"/>
      <c r="D1352" s="1102">
        <v>6.9</v>
      </c>
      <c r="E1352" s="1102">
        <v>2.5099999999999998</v>
      </c>
      <c r="F1352" s="1104">
        <v>15.07</v>
      </c>
      <c r="G1352" s="1102">
        <v>0</v>
      </c>
      <c r="H1352" s="1104">
        <v>0.04</v>
      </c>
      <c r="I1352" s="1104">
        <v>327.74220000000003</v>
      </c>
      <c r="J1352" s="1102">
        <v>450.12</v>
      </c>
      <c r="K1352" s="1735">
        <v>1E-3</v>
      </c>
      <c r="L1352" s="1735">
        <v>316.8</v>
      </c>
      <c r="M1352" s="1102">
        <v>0</v>
      </c>
      <c r="N1352" s="906">
        <v>3.57</v>
      </c>
      <c r="O1352" s="906">
        <v>202.31</v>
      </c>
      <c r="P1352" s="906">
        <v>167.95</v>
      </c>
      <c r="Q1352" s="906">
        <v>90.88</v>
      </c>
      <c r="R1352" s="1775">
        <v>1E-3</v>
      </c>
      <c r="S1352" s="1102">
        <v>1E-3</v>
      </c>
      <c r="T1352" s="1102">
        <v>1E-3</v>
      </c>
      <c r="U1352" s="906">
        <v>1E-3</v>
      </c>
      <c r="V1352" s="1102"/>
    </row>
    <row r="1353" spans="1:22" s="907" customFormat="1" x14ac:dyDescent="0.25">
      <c r="A1353" s="1100">
        <v>200401</v>
      </c>
      <c r="B1353" s="1107" t="str">
        <f t="shared" si="40"/>
        <v>-10,06/+12,61  (EC  10,04)</v>
      </c>
      <c r="C1353" s="1101"/>
      <c r="D1353" s="1102">
        <v>7.3</v>
      </c>
      <c r="E1353" s="1102">
        <v>1.004</v>
      </c>
      <c r="F1353" s="1104">
        <v>94.45</v>
      </c>
      <c r="G1353" s="1102">
        <v>0</v>
      </c>
      <c r="H1353" s="1102">
        <v>0.12</v>
      </c>
      <c r="I1353" s="1104">
        <v>118.94040000000001</v>
      </c>
      <c r="J1353" s="1102">
        <v>62.68</v>
      </c>
      <c r="K1353" s="1735">
        <v>1E-3</v>
      </c>
      <c r="L1353" s="1735">
        <v>273.60000000000002</v>
      </c>
      <c r="M1353" s="1102">
        <v>0</v>
      </c>
      <c r="N1353" s="906">
        <v>5.88</v>
      </c>
      <c r="O1353" s="906">
        <v>73.42</v>
      </c>
      <c r="P1353" s="906">
        <v>98.04</v>
      </c>
      <c r="Q1353" s="906">
        <v>52.28</v>
      </c>
      <c r="R1353" s="1775">
        <v>1E-3</v>
      </c>
      <c r="S1353" s="1102">
        <v>1E-3</v>
      </c>
      <c r="T1353" s="1102">
        <v>1E-3</v>
      </c>
      <c r="U1353" s="906">
        <v>0.01</v>
      </c>
      <c r="V1353" s="1102"/>
    </row>
    <row r="1354" spans="1:22" s="907" customFormat="1" x14ac:dyDescent="0.25">
      <c r="A1354" s="1100">
        <v>200402</v>
      </c>
      <c r="B1354" s="1107" t="str">
        <f t="shared" si="40"/>
        <v>-44,38/+45,60  (EC  43,1)</v>
      </c>
      <c r="C1354" s="1101"/>
      <c r="D1354" s="1102">
        <v>7.25</v>
      </c>
      <c r="E1354" s="1102">
        <v>4.3099999999999996</v>
      </c>
      <c r="F1354" s="1104">
        <v>56.93</v>
      </c>
      <c r="G1354" s="1102">
        <v>0</v>
      </c>
      <c r="H1354" s="1102">
        <v>0.15</v>
      </c>
      <c r="I1354" s="1104">
        <v>823.52700000000004</v>
      </c>
      <c r="J1354" s="1102">
        <v>789.65</v>
      </c>
      <c r="K1354" s="1788">
        <v>1E-3</v>
      </c>
      <c r="L1354" s="1788">
        <v>220.3</v>
      </c>
      <c r="M1354" s="1102">
        <v>0</v>
      </c>
      <c r="N1354" s="906">
        <v>7.67</v>
      </c>
      <c r="O1354" s="906">
        <v>508.35</v>
      </c>
      <c r="P1354" s="906">
        <v>248.2</v>
      </c>
      <c r="Q1354" s="906">
        <v>130.58000000000001</v>
      </c>
      <c r="R1354" s="1775">
        <v>0.27</v>
      </c>
      <c r="S1354" s="1102">
        <v>1E-3</v>
      </c>
      <c r="T1354" s="1102">
        <v>1E-3</v>
      </c>
      <c r="U1354" s="906">
        <v>0.01</v>
      </c>
      <c r="V1354" s="1102"/>
    </row>
    <row r="1355" spans="1:22" s="907" customFormat="1" x14ac:dyDescent="0.25">
      <c r="A1355" s="1100">
        <v>200403</v>
      </c>
      <c r="B1355" s="1107" t="str">
        <f t="shared" si="40"/>
        <v>-39,65/+39,94  (EC  38,5)</v>
      </c>
      <c r="C1355" s="1101"/>
      <c r="D1355" s="1102">
        <v>7.22</v>
      </c>
      <c r="E1355" s="1102">
        <v>3.85</v>
      </c>
      <c r="F1355" s="1104">
        <v>69.38</v>
      </c>
      <c r="G1355" s="1102">
        <v>0</v>
      </c>
      <c r="H1355" s="1102">
        <v>0.14000000000000001</v>
      </c>
      <c r="I1355" s="1104">
        <v>825.6</v>
      </c>
      <c r="J1355" s="1102">
        <v>554.47</v>
      </c>
      <c r="K1355" s="1788">
        <v>1E-3</v>
      </c>
      <c r="L1355" s="1788">
        <v>218.4</v>
      </c>
      <c r="M1355" s="1102">
        <v>0</v>
      </c>
      <c r="N1355" s="906">
        <v>5.67</v>
      </c>
      <c r="O1355" s="906">
        <v>481.22</v>
      </c>
      <c r="P1355" s="906">
        <v>209.89</v>
      </c>
      <c r="Q1355" s="906">
        <v>100.45</v>
      </c>
      <c r="R1355" s="1775">
        <v>0.11</v>
      </c>
      <c r="S1355" s="1102">
        <v>1E-3</v>
      </c>
      <c r="T1355" s="1102">
        <v>1E-3</v>
      </c>
      <c r="U1355" s="906">
        <v>0.03</v>
      </c>
      <c r="V1355" s="1102"/>
    </row>
    <row r="1356" spans="1:22" s="907" customFormat="1" x14ac:dyDescent="0.25">
      <c r="A1356" s="1100">
        <v>200404</v>
      </c>
      <c r="B1356" s="1107" t="str">
        <f t="shared" si="40"/>
        <v>-52,61/+52,94  (EC  52,1)</v>
      </c>
      <c r="C1356" s="1101"/>
      <c r="D1356" s="1102">
        <v>7.12</v>
      </c>
      <c r="E1356" s="1102">
        <v>5.21</v>
      </c>
      <c r="F1356" s="1104">
        <v>78.150000000000006</v>
      </c>
      <c r="G1356" s="1102">
        <v>0</v>
      </c>
      <c r="H1356" s="1102">
        <v>0.2</v>
      </c>
      <c r="I1356" s="1104">
        <v>1328.886</v>
      </c>
      <c r="J1356" s="1102">
        <v>520</v>
      </c>
      <c r="K1356" s="1788">
        <v>1E-3</v>
      </c>
      <c r="L1356" s="1788">
        <v>224.1</v>
      </c>
      <c r="M1356" s="1102">
        <v>0</v>
      </c>
      <c r="N1356" s="906">
        <v>12.62</v>
      </c>
      <c r="O1356" s="906">
        <v>820.3</v>
      </c>
      <c r="P1356" s="906">
        <v>196.21</v>
      </c>
      <c r="Q1356" s="906">
        <v>85.5</v>
      </c>
      <c r="R1356" s="1775">
        <v>0.54</v>
      </c>
      <c r="S1356" s="1102">
        <v>1E-3</v>
      </c>
      <c r="T1356" s="1102">
        <v>1E-3</v>
      </c>
      <c r="U1356" s="906">
        <v>0.02</v>
      </c>
      <c r="V1356" s="1102"/>
    </row>
    <row r="1357" spans="1:22" s="907" customFormat="1" x14ac:dyDescent="0.25">
      <c r="A1357" s="1100">
        <v>200405</v>
      </c>
      <c r="B1357" s="1107" t="str">
        <f t="shared" si="40"/>
        <v>-30,38/+30,60  (EC  29,1)</v>
      </c>
      <c r="C1357" s="1101"/>
      <c r="D1357" s="1102">
        <v>7.09</v>
      </c>
      <c r="E1357" s="1102">
        <v>2.91</v>
      </c>
      <c r="F1357" s="1104">
        <v>41.76</v>
      </c>
      <c r="G1357" s="1102">
        <v>0</v>
      </c>
      <c r="H1357" s="1102">
        <v>0.17</v>
      </c>
      <c r="I1357" s="1104">
        <v>499.87</v>
      </c>
      <c r="J1357" s="1102">
        <v>546.87</v>
      </c>
      <c r="K1357" s="1788">
        <v>1E-3</v>
      </c>
      <c r="L1357" s="1788">
        <v>236.45</v>
      </c>
      <c r="M1357" s="1102">
        <v>0</v>
      </c>
      <c r="N1357" s="906">
        <v>4.2699999999999996</v>
      </c>
      <c r="O1357" s="906">
        <v>290.58999999999997</v>
      </c>
      <c r="P1357" s="906">
        <v>199.84</v>
      </c>
      <c r="Q1357" s="906">
        <v>94.19</v>
      </c>
      <c r="R1357" s="1775">
        <v>0.62</v>
      </c>
      <c r="S1357" s="1102">
        <v>1E-3</v>
      </c>
      <c r="T1357" s="1102">
        <v>1E-3</v>
      </c>
      <c r="U1357" s="906">
        <v>0.05</v>
      </c>
      <c r="V1357" s="1102"/>
    </row>
    <row r="1358" spans="1:22" s="907" customFormat="1" x14ac:dyDescent="0.25">
      <c r="A1358" s="1100">
        <v>200406</v>
      </c>
      <c r="B1358" s="1107" t="str">
        <f t="shared" si="40"/>
        <v>-63,86/+64,13  (EC  65,9)</v>
      </c>
      <c r="C1358" s="1101"/>
      <c r="D1358" s="1102">
        <v>7.56</v>
      </c>
      <c r="E1358" s="1102">
        <v>6.59</v>
      </c>
      <c r="F1358" s="1104">
        <v>63.94</v>
      </c>
      <c r="G1358" s="1102">
        <v>0</v>
      </c>
      <c r="H1358" s="1102">
        <v>0.18</v>
      </c>
      <c r="I1358" s="1104">
        <v>1035.6500000000001</v>
      </c>
      <c r="J1358" s="1102">
        <v>1232.2</v>
      </c>
      <c r="K1358" s="906">
        <v>1E-3</v>
      </c>
      <c r="L1358" s="1102">
        <v>480.23</v>
      </c>
      <c r="M1358" s="1102">
        <v>0</v>
      </c>
      <c r="N1358" s="906">
        <v>9.4700000000000006</v>
      </c>
      <c r="O1358" s="906">
        <v>627.19000000000005</v>
      </c>
      <c r="P1358" s="906">
        <v>408.92</v>
      </c>
      <c r="Q1358" s="906">
        <v>193.9</v>
      </c>
      <c r="R1358" s="906" t="s">
        <v>465</v>
      </c>
      <c r="S1358" s="906">
        <v>1E-3</v>
      </c>
      <c r="T1358" s="906">
        <v>1E-3</v>
      </c>
      <c r="U1358" s="906">
        <v>0.01</v>
      </c>
      <c r="V1358" s="1102"/>
    </row>
    <row r="1359" spans="1:22" s="907" customFormat="1" x14ac:dyDescent="0.25">
      <c r="A1359" s="1100">
        <v>200407</v>
      </c>
      <c r="B1359" s="1107" t="str">
        <f t="shared" si="40"/>
        <v>-10,73/+10,39  (EC  10,02)</v>
      </c>
      <c r="C1359" s="1101"/>
      <c r="D1359" s="1102">
        <v>7.53</v>
      </c>
      <c r="E1359" s="1102">
        <v>1.002</v>
      </c>
      <c r="F1359" s="1104">
        <v>70.680000000000007</v>
      </c>
      <c r="G1359" s="1102">
        <v>0</v>
      </c>
      <c r="H1359" s="1102">
        <v>0.19</v>
      </c>
      <c r="I1359" s="1104">
        <v>85.65</v>
      </c>
      <c r="J1359" s="1102">
        <v>51.27</v>
      </c>
      <c r="K1359" s="906">
        <v>1E-3</v>
      </c>
      <c r="L1359" s="1102">
        <v>360</v>
      </c>
      <c r="M1359" s="1102">
        <v>0</v>
      </c>
      <c r="N1359" s="906">
        <v>1.35</v>
      </c>
      <c r="O1359" s="906">
        <v>50.38</v>
      </c>
      <c r="P1359" s="906">
        <v>77.290000000000006</v>
      </c>
      <c r="Q1359" s="906">
        <v>51.43</v>
      </c>
      <c r="R1359" s="906" t="s">
        <v>599</v>
      </c>
      <c r="S1359" s="906">
        <v>1E-3</v>
      </c>
      <c r="T1359" s="906">
        <v>1E-3</v>
      </c>
      <c r="U1359" s="906">
        <v>0.02</v>
      </c>
      <c r="V1359" s="1102"/>
    </row>
    <row r="1360" spans="1:22" s="907" customFormat="1" x14ac:dyDescent="0.25">
      <c r="A1360" s="1100">
        <v>200408</v>
      </c>
      <c r="B1360" s="1107" t="str">
        <f t="shared" si="40"/>
        <v>-6,68/+8,01  (EC  7,48)</v>
      </c>
      <c r="C1360" s="1101"/>
      <c r="D1360" s="1102">
        <v>7.84</v>
      </c>
      <c r="E1360" s="1102">
        <v>0.748</v>
      </c>
      <c r="F1360" s="1104">
        <v>83.54</v>
      </c>
      <c r="G1360" s="1102">
        <v>0</v>
      </c>
      <c r="H1360" s="1102">
        <v>0.15</v>
      </c>
      <c r="I1360" s="1104">
        <v>34.99</v>
      </c>
      <c r="J1360" s="1102">
        <v>17.309999999999999</v>
      </c>
      <c r="K1360" s="906">
        <v>1E-3</v>
      </c>
      <c r="L1360" s="1102">
        <v>288</v>
      </c>
      <c r="M1360" s="1102">
        <v>0</v>
      </c>
      <c r="N1360" s="906">
        <v>0.01</v>
      </c>
      <c r="O1360" s="906">
        <v>21.71</v>
      </c>
      <c r="P1360" s="906">
        <v>88.63</v>
      </c>
      <c r="Q1360" s="906">
        <v>31.46</v>
      </c>
      <c r="R1360" s="906" t="s">
        <v>538</v>
      </c>
      <c r="S1360" s="906">
        <v>1E-3</v>
      </c>
      <c r="T1360" s="906">
        <v>1E-3</v>
      </c>
      <c r="U1360" s="906" t="s">
        <v>467</v>
      </c>
      <c r="V1360" s="1102"/>
    </row>
    <row r="1361" spans="1:22" s="907" customFormat="1" x14ac:dyDescent="0.25">
      <c r="A1361" s="1100">
        <v>100000</v>
      </c>
      <c r="B1361" s="1107" t="str">
        <f t="shared" si="40"/>
        <v>-78,08/+82,70  (EC  79,6)</v>
      </c>
      <c r="C1361" s="1101"/>
      <c r="D1361" s="1102">
        <v>7.33</v>
      </c>
      <c r="E1361" s="1102">
        <v>7.96</v>
      </c>
      <c r="F1361" s="1104">
        <v>38.119999999999997</v>
      </c>
      <c r="G1361" s="1102">
        <v>0</v>
      </c>
      <c r="H1361" s="1102">
        <v>0.35</v>
      </c>
      <c r="I1361" s="1104">
        <v>1325</v>
      </c>
      <c r="J1361" s="1102">
        <v>1651.12</v>
      </c>
      <c r="K1361" s="1102">
        <v>1E-3</v>
      </c>
      <c r="L1361" s="1102">
        <v>380.45</v>
      </c>
      <c r="M1361" s="1102">
        <v>0</v>
      </c>
      <c r="N1361" s="906">
        <v>18.940000000000001</v>
      </c>
      <c r="O1361" s="906">
        <v>742.1</v>
      </c>
      <c r="P1361" s="906">
        <v>464.27</v>
      </c>
      <c r="Q1361" s="906">
        <v>320.49</v>
      </c>
      <c r="R1361" s="1102">
        <v>1E-3</v>
      </c>
      <c r="S1361" s="1102">
        <v>1E-3</v>
      </c>
      <c r="T1361" s="1102">
        <v>1E-3</v>
      </c>
      <c r="U1361" s="1102">
        <v>1E-3</v>
      </c>
      <c r="V1361" s="1102"/>
    </row>
    <row r="1362" spans="1:22" s="907" customFormat="1" x14ac:dyDescent="0.25">
      <c r="A1362" s="1100">
        <v>100001</v>
      </c>
      <c r="B1362" s="1107" t="str">
        <f>"-"&amp;TEXT((F1362/62+G1362/46+I1362/35.5+J1362/48+K1362/97+L1362/61),"0,00")&amp;"/+"&amp;TEXT((N1362/39+O1362/23+P1362/20+Q1362/12+H1362/14),"0,00")&amp;"  (EC  "&amp;E1362*10&amp;")"</f>
        <v>-6,36/+6,35  (EC  5,67)</v>
      </c>
      <c r="C1362" s="1101"/>
      <c r="D1362" s="1102">
        <v>7.93</v>
      </c>
      <c r="E1362" s="1102">
        <v>0.56699999999999995</v>
      </c>
      <c r="F1362" s="1104">
        <v>7.45</v>
      </c>
      <c r="G1362" s="1102">
        <v>0</v>
      </c>
      <c r="H1362" s="1102">
        <v>0.15</v>
      </c>
      <c r="I1362" s="1104">
        <v>30.78</v>
      </c>
      <c r="J1362" s="1102">
        <v>50.12</v>
      </c>
      <c r="K1362" s="1102">
        <v>1E-3</v>
      </c>
      <c r="L1362" s="1102">
        <v>264</v>
      </c>
      <c r="M1362" s="1102">
        <v>0</v>
      </c>
      <c r="N1362" s="906">
        <v>0.9</v>
      </c>
      <c r="O1362" s="906">
        <v>18.39</v>
      </c>
      <c r="P1362" s="906">
        <v>74.14</v>
      </c>
      <c r="Q1362" s="906">
        <v>21.76</v>
      </c>
      <c r="R1362" s="1102">
        <v>1E-3</v>
      </c>
      <c r="S1362" s="1102">
        <v>1E-3</v>
      </c>
      <c r="T1362" s="1102">
        <v>1E-3</v>
      </c>
      <c r="U1362" s="1102">
        <v>1E-3</v>
      </c>
      <c r="V1362" s="1102"/>
    </row>
    <row r="1363" spans="1:22" s="907" customFormat="1" x14ac:dyDescent="0.25">
      <c r="A1363" s="1100">
        <v>100002</v>
      </c>
      <c r="B1363" s="1107" t="str">
        <f>"-"&amp;TEXT((F1363/62+G1363/46+I1363/35.5+J1363/48+K1363/97+L1363/61),"0,00")&amp;"/+"&amp;TEXT((N1363/39+O1363/23+P1363/20+Q1363/12+H1363/14),"0,00")&amp;"  (EC  "&amp;E1363*10&amp;")"</f>
        <v>-15,42/+14,37  (EC  15,95)</v>
      </c>
      <c r="C1363" s="1101"/>
      <c r="D1363" s="1102">
        <v>7.45</v>
      </c>
      <c r="E1363" s="1102">
        <v>1.595</v>
      </c>
      <c r="F1363" s="1104">
        <v>74.08</v>
      </c>
      <c r="G1363" s="1102">
        <v>0</v>
      </c>
      <c r="H1363" s="1102">
        <v>0.37</v>
      </c>
      <c r="I1363" s="1104">
        <v>295.45999999999998</v>
      </c>
      <c r="J1363" s="1102">
        <v>61.45</v>
      </c>
      <c r="K1363" s="1102">
        <v>1E-3</v>
      </c>
      <c r="L1363" s="1102">
        <v>282</v>
      </c>
      <c r="M1363" s="1102">
        <v>0</v>
      </c>
      <c r="N1363" s="906" t="s">
        <v>601</v>
      </c>
      <c r="O1363" s="906">
        <v>168.14</v>
      </c>
      <c r="P1363" s="906">
        <v>82.15</v>
      </c>
      <c r="Q1363" s="906">
        <v>34.32</v>
      </c>
      <c r="R1363" s="1102">
        <v>1E-3</v>
      </c>
      <c r="S1363" s="1102">
        <v>1E-3</v>
      </c>
      <c r="T1363" s="1102">
        <v>1E-3</v>
      </c>
      <c r="U1363" s="1102">
        <v>1E-3</v>
      </c>
      <c r="V1363" s="1102"/>
    </row>
    <row r="1364" spans="1:22" s="907" customFormat="1" x14ac:dyDescent="0.25">
      <c r="A1364" s="1100">
        <v>100003</v>
      </c>
      <c r="B1364" s="1107" t="str">
        <f>"-"&amp;TEXT((F1364/62+G1364/46+I1364/35.5+J1364/48+K1364/97+L1364/61),"0,00")&amp;"/+"&amp;TEXT((N1364/39+O1364/23+P1364/20+Q1364/12+H1364/14),"0,00")&amp;"  (EC  "&amp;E1364*10&amp;")"</f>
        <v>-5,83/+6,55  (EC  5,64)</v>
      </c>
      <c r="C1364" s="1101"/>
      <c r="D1364" s="1102">
        <v>7.72</v>
      </c>
      <c r="E1364" s="1102">
        <v>0.56399999999999995</v>
      </c>
      <c r="F1364" s="1104">
        <v>85.66</v>
      </c>
      <c r="G1364" s="1102">
        <v>0</v>
      </c>
      <c r="H1364" s="1102">
        <v>0.09</v>
      </c>
      <c r="I1364" s="1104">
        <v>7.15</v>
      </c>
      <c r="J1364" s="1102">
        <v>16.940000000000001</v>
      </c>
      <c r="K1364" s="1102">
        <v>1E-3</v>
      </c>
      <c r="L1364" s="1102">
        <v>237.60000000000002</v>
      </c>
      <c r="M1364" s="1102">
        <v>0</v>
      </c>
      <c r="N1364" s="906">
        <v>0.9</v>
      </c>
      <c r="O1364" s="906">
        <v>3.67</v>
      </c>
      <c r="P1364" s="906">
        <v>68.180000000000007</v>
      </c>
      <c r="Q1364" s="906">
        <v>35.43</v>
      </c>
      <c r="R1364" s="906">
        <v>1E-3</v>
      </c>
      <c r="S1364" s="906">
        <v>1E-3</v>
      </c>
      <c r="T1364" s="906">
        <v>0</v>
      </c>
      <c r="U1364" s="906">
        <v>0.01</v>
      </c>
      <c r="V1364" s="1102"/>
    </row>
    <row r="1365" spans="1:22" s="907" customFormat="1" x14ac:dyDescent="0.25">
      <c r="A1365" s="1100">
        <v>100004</v>
      </c>
      <c r="B1365" s="1107" t="str">
        <f t="shared" ref="B1365:B1428" si="41">"-"&amp;TEXT((F1365/62+G1365/46+I1365/35.5+J1365/48+K1365/97+L1365/61),"0,00")&amp;"/+"&amp;TEXT((N1365/39+O1365/23+P1365/20+Q1365/12+H1365/14),"0,00")&amp;"  (EC  "&amp;E1365*10&amp;")"</f>
        <v>-7,22/+7,84  (EC  6,7)</v>
      </c>
      <c r="C1365" s="1101"/>
      <c r="D1365" s="1102">
        <v>7.77</v>
      </c>
      <c r="E1365" s="1102">
        <v>0.67</v>
      </c>
      <c r="F1365" s="1104">
        <v>55.51</v>
      </c>
      <c r="G1365" s="1102">
        <v>0</v>
      </c>
      <c r="H1365" s="1102">
        <v>0.08</v>
      </c>
      <c r="I1365" s="1104">
        <v>20.45</v>
      </c>
      <c r="J1365" s="1102">
        <v>15.12</v>
      </c>
      <c r="K1365" s="1102">
        <v>1E-3</v>
      </c>
      <c r="L1365" s="1102">
        <v>331.20000000000005</v>
      </c>
      <c r="M1365" s="1102">
        <v>0</v>
      </c>
      <c r="N1365" s="906">
        <v>0.54</v>
      </c>
      <c r="O1365" s="906">
        <v>12.12</v>
      </c>
      <c r="P1365" s="906">
        <v>85.57</v>
      </c>
      <c r="Q1365" s="906">
        <v>36.14</v>
      </c>
      <c r="R1365" s="906">
        <v>1E-3</v>
      </c>
      <c r="S1365" s="906">
        <v>1E-3</v>
      </c>
      <c r="T1365" s="906">
        <v>0</v>
      </c>
      <c r="U1365" s="906">
        <v>0</v>
      </c>
      <c r="V1365" s="1102"/>
    </row>
    <row r="1366" spans="1:22" s="907" customFormat="1" x14ac:dyDescent="0.25">
      <c r="A1366" s="1100">
        <v>100005</v>
      </c>
      <c r="B1366" s="1107" t="str">
        <f>"-"&amp;TEXT((F1366/62+G1366/46+I1366/35.5+J1366/48+K1366/97+L1366/61),"0,00")&amp;"/+"&amp;TEXT((N1366/39+O1366/23+P1366/20+Q1366/12+H1366/14),"0,00")&amp;"  (EC  "&amp;E1366*10&amp;")"</f>
        <v>-31,43/+35,69  (EC  32,8)</v>
      </c>
      <c r="C1366" s="1101"/>
      <c r="D1366" s="1102">
        <v>6.96</v>
      </c>
      <c r="E1366" s="1102">
        <v>3.28</v>
      </c>
      <c r="F1366" s="1104">
        <v>14.6</v>
      </c>
      <c r="G1366" s="1102">
        <v>0</v>
      </c>
      <c r="H1366" s="1102">
        <v>0.25</v>
      </c>
      <c r="I1366" s="1104">
        <v>355.41</v>
      </c>
      <c r="J1366" s="1102">
        <v>705.12</v>
      </c>
      <c r="K1366" s="1102">
        <v>1E-3</v>
      </c>
      <c r="L1366" s="1102">
        <v>396</v>
      </c>
      <c r="M1366" s="1102">
        <v>0</v>
      </c>
      <c r="N1366" s="906">
        <v>5.16</v>
      </c>
      <c r="O1366" s="906">
        <v>213.07</v>
      </c>
      <c r="P1366" s="906">
        <v>224.85</v>
      </c>
      <c r="Q1366" s="906">
        <v>180.44</v>
      </c>
      <c r="R1366" s="906">
        <v>1E-3</v>
      </c>
      <c r="S1366" s="906">
        <v>1E-3</v>
      </c>
      <c r="T1366" s="906">
        <v>0</v>
      </c>
      <c r="U1366" s="906" t="s">
        <v>494</v>
      </c>
      <c r="V1366" s="1102"/>
    </row>
    <row r="1367" spans="1:22" s="907" customFormat="1" x14ac:dyDescent="0.25">
      <c r="A1367" s="1100">
        <v>100006</v>
      </c>
      <c r="B1367" s="1107" t="str">
        <f t="shared" si="41"/>
        <v>-9,59/+10,73  (EC  9,91)</v>
      </c>
      <c r="C1367" s="1101"/>
      <c r="D1367" s="1102">
        <v>7.26</v>
      </c>
      <c r="E1367" s="1102">
        <v>0.99099999999999999</v>
      </c>
      <c r="F1367" s="1104">
        <v>78</v>
      </c>
      <c r="G1367" s="1102">
        <v>0</v>
      </c>
      <c r="H1367" s="1102">
        <v>0.12</v>
      </c>
      <c r="I1367" s="1104">
        <v>72.45</v>
      </c>
      <c r="J1367" s="1102">
        <v>37.54</v>
      </c>
      <c r="K1367" s="1102">
        <v>1E-3</v>
      </c>
      <c r="L1367" s="1102">
        <v>336</v>
      </c>
      <c r="M1367" s="1102">
        <v>0</v>
      </c>
      <c r="N1367" s="906">
        <v>2.0299999999999998</v>
      </c>
      <c r="O1367" s="906">
        <v>43.21</v>
      </c>
      <c r="P1367" s="906">
        <v>87.51</v>
      </c>
      <c r="Q1367" s="906">
        <v>52.98</v>
      </c>
      <c r="R1367" s="906">
        <v>1E-3</v>
      </c>
      <c r="S1367" s="906">
        <v>1E-3</v>
      </c>
      <c r="T1367" s="906">
        <v>0</v>
      </c>
      <c r="U1367" s="906" t="s">
        <v>468</v>
      </c>
      <c r="V1367" s="1102"/>
    </row>
    <row r="1368" spans="1:22" s="907" customFormat="1" x14ac:dyDescent="0.25">
      <c r="A1368" s="1100">
        <v>100007</v>
      </c>
      <c r="B1368" s="1107" t="str">
        <f t="shared" si="41"/>
        <v>-11,14/+12,52  (EC  12)</v>
      </c>
      <c r="C1368" s="1101"/>
      <c r="D1368" s="1102">
        <v>7.16</v>
      </c>
      <c r="E1368" s="1102">
        <v>1.2</v>
      </c>
      <c r="F1368" s="1104">
        <v>46.73</v>
      </c>
      <c r="G1368" s="1102">
        <v>0</v>
      </c>
      <c r="H1368" s="1102">
        <v>0.15</v>
      </c>
      <c r="I1368" s="1104">
        <v>102.3</v>
      </c>
      <c r="J1368" s="1102">
        <v>72.12</v>
      </c>
      <c r="K1368" s="1102">
        <v>1E-3</v>
      </c>
      <c r="L1368" s="1102">
        <v>366.4</v>
      </c>
      <c r="M1368" s="1102">
        <v>0</v>
      </c>
      <c r="N1368" s="906">
        <v>2.82</v>
      </c>
      <c r="O1368" s="906">
        <v>51.09</v>
      </c>
      <c r="P1368" s="906">
        <v>89.76</v>
      </c>
      <c r="Q1368" s="906">
        <v>68.7</v>
      </c>
      <c r="R1368" s="906">
        <v>1E-3</v>
      </c>
      <c r="S1368" s="906">
        <v>1E-3</v>
      </c>
      <c r="T1368" s="906">
        <v>0</v>
      </c>
      <c r="U1368" s="906" t="s">
        <v>467</v>
      </c>
      <c r="V1368" s="1102"/>
    </row>
    <row r="1369" spans="1:22" s="907" customFormat="1" x14ac:dyDescent="0.25">
      <c r="A1369" s="1100">
        <v>100008</v>
      </c>
      <c r="B1369" s="1107" t="str">
        <f t="shared" si="41"/>
        <v>-30,37/+31,17  (EC  31,6)</v>
      </c>
      <c r="C1369" s="1101"/>
      <c r="D1369" s="1102">
        <v>6.6</v>
      </c>
      <c r="E1369" s="1102">
        <v>3.16</v>
      </c>
      <c r="F1369" s="1104">
        <v>887.5</v>
      </c>
      <c r="G1369" s="1102">
        <v>0</v>
      </c>
      <c r="H1369" s="1102">
        <v>0.56000000000000005</v>
      </c>
      <c r="I1369" s="1104">
        <v>137.56</v>
      </c>
      <c r="J1369" s="1102">
        <v>399.36</v>
      </c>
      <c r="K1369" s="1104">
        <v>141.7698</v>
      </c>
      <c r="L1369" s="1102">
        <v>146.39999999999998</v>
      </c>
      <c r="M1369" s="1102">
        <v>0</v>
      </c>
      <c r="N1369" s="906">
        <v>264.64999999999998</v>
      </c>
      <c r="O1369" s="906">
        <v>82.45</v>
      </c>
      <c r="P1369" s="906">
        <v>237.19</v>
      </c>
      <c r="Q1369" s="906">
        <v>106.74</v>
      </c>
      <c r="R1369" s="906">
        <v>1E-3</v>
      </c>
      <c r="S1369" s="906">
        <v>1E-3</v>
      </c>
      <c r="T1369" s="906">
        <v>0.08</v>
      </c>
      <c r="U1369" s="906">
        <v>0</v>
      </c>
      <c r="V1369" s="1102"/>
    </row>
    <row r="1370" spans="1:22" s="907" customFormat="1" x14ac:dyDescent="0.25">
      <c r="A1370" s="1100">
        <v>100009</v>
      </c>
      <c r="B1370" s="1107" t="str">
        <f t="shared" si="41"/>
        <v>-30,51/+28,46  (EC  29,8)</v>
      </c>
      <c r="C1370" s="1101"/>
      <c r="D1370" s="1102">
        <v>6.91</v>
      </c>
      <c r="E1370" s="1102">
        <v>2.98</v>
      </c>
      <c r="F1370" s="1104">
        <v>847.3</v>
      </c>
      <c r="G1370" s="1102">
        <v>0</v>
      </c>
      <c r="H1370" s="1102">
        <v>0.65</v>
      </c>
      <c r="I1370" s="1104">
        <v>197.12</v>
      </c>
      <c r="J1370" s="1102">
        <v>207.1</v>
      </c>
      <c r="K1370" s="1104">
        <v>134.7012</v>
      </c>
      <c r="L1370" s="1102">
        <v>340.79999999999995</v>
      </c>
      <c r="M1370" s="1102">
        <v>0</v>
      </c>
      <c r="N1370" s="906">
        <v>335.69</v>
      </c>
      <c r="O1370" s="906">
        <v>132.61000000000001</v>
      </c>
      <c r="P1370" s="906">
        <v>122.75</v>
      </c>
      <c r="Q1370" s="906">
        <v>94.84</v>
      </c>
      <c r="R1370" s="906">
        <v>1E-3</v>
      </c>
      <c r="S1370" s="906">
        <v>1E-3</v>
      </c>
      <c r="T1370" s="906">
        <v>0.01</v>
      </c>
      <c r="U1370" s="906" t="s">
        <v>468</v>
      </c>
      <c r="V1370" s="1102"/>
    </row>
    <row r="1371" spans="1:22" s="907" customFormat="1" x14ac:dyDescent="0.25">
      <c r="A1371" s="1100">
        <v>100010</v>
      </c>
      <c r="B1371" s="1107" t="str">
        <f t="shared" si="41"/>
        <v>-24,36/+22,43  (EC  23,95)</v>
      </c>
      <c r="C1371" s="1101"/>
      <c r="D1371" s="1102">
        <v>7.04</v>
      </c>
      <c r="E1371" s="1102">
        <v>2.395</v>
      </c>
      <c r="F1371" s="1104">
        <v>819.6</v>
      </c>
      <c r="G1371" s="1102">
        <v>0</v>
      </c>
      <c r="H1371" s="1102">
        <v>0.54</v>
      </c>
      <c r="I1371" s="1104">
        <v>180.65</v>
      </c>
      <c r="J1371" s="1102">
        <v>148.19999999999999</v>
      </c>
      <c r="K1371" s="1104">
        <v>77.173199999999994</v>
      </c>
      <c r="L1371" s="1102">
        <v>132</v>
      </c>
      <c r="M1371" s="1102">
        <v>0</v>
      </c>
      <c r="N1371" s="906">
        <v>224.33</v>
      </c>
      <c r="O1371" s="906">
        <v>108.27</v>
      </c>
      <c r="P1371" s="906">
        <v>92.59</v>
      </c>
      <c r="Q1371" s="906">
        <v>87.58</v>
      </c>
      <c r="R1371" s="906">
        <v>1E-3</v>
      </c>
      <c r="S1371" s="906">
        <v>1E-3</v>
      </c>
      <c r="T1371" s="906">
        <v>0.01</v>
      </c>
      <c r="U1371" s="906" t="s">
        <v>468</v>
      </c>
      <c r="V1371" s="1102"/>
    </row>
    <row r="1372" spans="1:22" s="907" customFormat="1" x14ac:dyDescent="0.25">
      <c r="A1372" s="1100">
        <v>100011</v>
      </c>
      <c r="B1372" s="1107" t="str">
        <f t="shared" si="41"/>
        <v>-27,17/+28,76  (EC  29,9)</v>
      </c>
      <c r="C1372" s="1101"/>
      <c r="D1372" s="1102">
        <v>6.8</v>
      </c>
      <c r="E1372" s="1102">
        <v>2.99</v>
      </c>
      <c r="F1372" s="1104">
        <v>886</v>
      </c>
      <c r="G1372" s="1102">
        <v>0</v>
      </c>
      <c r="H1372" s="1102">
        <v>0.68</v>
      </c>
      <c r="I1372" s="1104">
        <v>196.45</v>
      </c>
      <c r="J1372" s="1102">
        <v>207.5</v>
      </c>
      <c r="K1372" s="1104">
        <v>125.73540000000001</v>
      </c>
      <c r="L1372" s="1102">
        <v>105.60000000000001</v>
      </c>
      <c r="M1372" s="1102">
        <v>0</v>
      </c>
      <c r="N1372" s="906">
        <v>169.8</v>
      </c>
      <c r="O1372" s="906">
        <v>100</v>
      </c>
      <c r="P1372" s="906">
        <v>186.58</v>
      </c>
      <c r="Q1372" s="906">
        <v>128.19999999999999</v>
      </c>
      <c r="R1372" s="906">
        <v>1E-3</v>
      </c>
      <c r="S1372" s="906">
        <v>1E-3</v>
      </c>
      <c r="T1372" s="906">
        <v>0.02</v>
      </c>
      <c r="U1372" s="906" t="s">
        <v>468</v>
      </c>
      <c r="V1372" s="1102"/>
    </row>
    <row r="1373" spans="1:22" s="907" customFormat="1" x14ac:dyDescent="0.25">
      <c r="A1373" s="1100">
        <v>100012</v>
      </c>
      <c r="B1373" s="1107" t="str">
        <f t="shared" si="41"/>
        <v>-15,12/+16,93  (EC  16,93)</v>
      </c>
      <c r="C1373" s="1101"/>
      <c r="D1373" s="1102">
        <v>7.68</v>
      </c>
      <c r="E1373" s="1102">
        <v>1.6930000000000001</v>
      </c>
      <c r="F1373" s="1104">
        <v>49.97</v>
      </c>
      <c r="G1373" s="1102">
        <v>0</v>
      </c>
      <c r="H1373" s="1102">
        <v>0.36</v>
      </c>
      <c r="I1373" s="1104">
        <v>229.4</v>
      </c>
      <c r="J1373" s="1102">
        <v>156.4</v>
      </c>
      <c r="K1373" s="1102">
        <v>1E-3</v>
      </c>
      <c r="L1373" s="1102">
        <v>280.45</v>
      </c>
      <c r="M1373" s="1102">
        <v>0</v>
      </c>
      <c r="N1373" s="906">
        <v>2.79</v>
      </c>
      <c r="O1373" s="906">
        <v>106.29</v>
      </c>
      <c r="P1373" s="906">
        <v>105.49</v>
      </c>
      <c r="Q1373" s="906">
        <v>83.24</v>
      </c>
      <c r="R1373" s="906">
        <v>1E-3</v>
      </c>
      <c r="S1373" s="906">
        <v>1E-3</v>
      </c>
      <c r="T1373" s="906">
        <v>0</v>
      </c>
      <c r="U1373" s="906" t="s">
        <v>468</v>
      </c>
      <c r="V1373" s="1102"/>
    </row>
    <row r="1374" spans="1:22" s="907" customFormat="1" x14ac:dyDescent="0.25">
      <c r="A1374" s="1100">
        <v>100013</v>
      </c>
      <c r="B1374" s="1107" t="str">
        <f t="shared" si="41"/>
        <v>-58,81/+60,86  (EC  60,7)</v>
      </c>
      <c r="C1374" s="1101"/>
      <c r="D1374" s="1102">
        <v>7.35</v>
      </c>
      <c r="E1374" s="1102">
        <v>6.07</v>
      </c>
      <c r="F1374" s="1104">
        <v>20.420000000000002</v>
      </c>
      <c r="G1374" s="1102">
        <v>0</v>
      </c>
      <c r="H1374" s="1102">
        <v>0.47</v>
      </c>
      <c r="I1374" s="1104">
        <v>1350.14</v>
      </c>
      <c r="J1374" s="1102">
        <v>826.6</v>
      </c>
      <c r="K1374" s="1102">
        <v>1E-3</v>
      </c>
      <c r="L1374" s="1102">
        <v>196.79999999999998</v>
      </c>
      <c r="M1374" s="1102">
        <v>0</v>
      </c>
      <c r="N1374" s="906">
        <v>38.340000000000003</v>
      </c>
      <c r="O1374" s="906">
        <v>818.79</v>
      </c>
      <c r="P1374" s="906">
        <v>197.41</v>
      </c>
      <c r="Q1374" s="906">
        <v>172.49</v>
      </c>
      <c r="R1374" s="906">
        <v>1E-3</v>
      </c>
      <c r="S1374" s="906">
        <v>1E-3</v>
      </c>
      <c r="T1374" s="906">
        <v>0.01</v>
      </c>
      <c r="U1374" s="906" t="s">
        <v>468</v>
      </c>
      <c r="V1374" s="1102"/>
    </row>
    <row r="1375" spans="1:22" s="907" customFormat="1" x14ac:dyDescent="0.25">
      <c r="A1375" s="1100">
        <v>100014</v>
      </c>
      <c r="B1375" s="1107" t="str">
        <f t="shared" si="41"/>
        <v>-6,40/+7,49  (EC  6,48)</v>
      </c>
      <c r="C1375" s="1101"/>
      <c r="D1375" s="1102">
        <v>7.52</v>
      </c>
      <c r="E1375" s="1102">
        <v>0.64800000000000002</v>
      </c>
      <c r="F1375" s="1104">
        <v>18.7</v>
      </c>
      <c r="G1375" s="1102">
        <v>0</v>
      </c>
      <c r="H1375" s="1102">
        <v>0.12</v>
      </c>
      <c r="I1375" s="1104">
        <v>29.87</v>
      </c>
      <c r="J1375" s="1102">
        <v>25.83</v>
      </c>
      <c r="K1375" s="1102">
        <v>1E-3</v>
      </c>
      <c r="L1375" s="1102">
        <v>288</v>
      </c>
      <c r="M1375" s="1102">
        <v>0</v>
      </c>
      <c r="N1375" s="906">
        <v>3.07</v>
      </c>
      <c r="O1375" s="906">
        <v>17.14</v>
      </c>
      <c r="P1375" s="906">
        <v>56.99</v>
      </c>
      <c r="Q1375" s="906">
        <v>45.67</v>
      </c>
      <c r="R1375" s="906">
        <v>1E-3</v>
      </c>
      <c r="S1375" s="906">
        <v>1E-3</v>
      </c>
      <c r="T1375" s="906">
        <v>0</v>
      </c>
      <c r="U1375" s="906" t="s">
        <v>465</v>
      </c>
      <c r="V1375" s="1102"/>
    </row>
    <row r="1376" spans="1:22" s="907" customFormat="1" x14ac:dyDescent="0.25">
      <c r="A1376" s="1100">
        <v>100015</v>
      </c>
      <c r="B1376" s="1107" t="str">
        <f t="shared" si="41"/>
        <v>-7,58/+8,83  (EC  7,58)</v>
      </c>
      <c r="C1376" s="1101"/>
      <c r="D1376" s="1102">
        <v>7.38</v>
      </c>
      <c r="E1376" s="1102">
        <v>0.75800000000000001</v>
      </c>
      <c r="F1376" s="1104">
        <v>22.39</v>
      </c>
      <c r="G1376" s="1102">
        <v>0</v>
      </c>
      <c r="H1376" s="1102">
        <v>0.15</v>
      </c>
      <c r="I1376" s="1104">
        <v>40.65</v>
      </c>
      <c r="J1376" s="1102">
        <v>36.380000000000003</v>
      </c>
      <c r="K1376" s="1102">
        <v>1E-3</v>
      </c>
      <c r="L1376" s="1102">
        <v>324</v>
      </c>
      <c r="M1376" s="1102">
        <v>0</v>
      </c>
      <c r="N1376" s="906">
        <v>2.0099999999999998</v>
      </c>
      <c r="O1376" s="906">
        <v>23.34</v>
      </c>
      <c r="P1376" s="906">
        <v>77.010000000000005</v>
      </c>
      <c r="Q1376" s="906">
        <v>46.8</v>
      </c>
      <c r="R1376" s="906">
        <v>1E-3</v>
      </c>
      <c r="S1376" s="906">
        <v>1E-3</v>
      </c>
      <c r="T1376" s="906">
        <v>0.02</v>
      </c>
      <c r="U1376" s="906" t="s">
        <v>539</v>
      </c>
      <c r="V1376" s="1102"/>
    </row>
    <row r="1377" spans="1:22" s="907" customFormat="1" x14ac:dyDescent="0.25">
      <c r="A1377" s="1100">
        <v>100016</v>
      </c>
      <c r="B1377" s="1107" t="str">
        <f t="shared" si="41"/>
        <v>-13,07/+14,89  (EC  14,92)</v>
      </c>
      <c r="C1377" s="1101"/>
      <c r="D1377" s="1102">
        <v>7.24</v>
      </c>
      <c r="E1377" s="1102">
        <v>1.492</v>
      </c>
      <c r="F1377" s="1104">
        <v>81.430000000000007</v>
      </c>
      <c r="G1377" s="1102">
        <v>0</v>
      </c>
      <c r="H1377" s="1102">
        <v>0.13</v>
      </c>
      <c r="I1377" s="1104">
        <v>120.45</v>
      </c>
      <c r="J1377" s="1102">
        <v>224</v>
      </c>
      <c r="K1377" s="1102">
        <v>1E-3</v>
      </c>
      <c r="L1377" s="1102">
        <v>225.4</v>
      </c>
      <c r="M1377" s="1102">
        <v>0</v>
      </c>
      <c r="N1377" s="906">
        <v>1.98</v>
      </c>
      <c r="O1377" s="906">
        <v>65.7</v>
      </c>
      <c r="P1377" s="906">
        <v>106.22</v>
      </c>
      <c r="Q1377" s="906">
        <v>79.92</v>
      </c>
      <c r="R1377" s="906">
        <v>1E-3</v>
      </c>
      <c r="S1377" s="906">
        <v>1E-3</v>
      </c>
      <c r="T1377" s="906">
        <v>0</v>
      </c>
      <c r="U1377" s="906" t="s">
        <v>467</v>
      </c>
      <c r="V1377" s="1102"/>
    </row>
    <row r="1378" spans="1:22" s="907" customFormat="1" x14ac:dyDescent="0.25">
      <c r="A1378" s="1100">
        <v>100017</v>
      </c>
      <c r="B1378" s="1107" t="str">
        <f t="shared" si="41"/>
        <v>-43,77/+44,09  (EC  44,8)</v>
      </c>
      <c r="C1378" s="1101"/>
      <c r="D1378" s="1102">
        <v>6.87</v>
      </c>
      <c r="E1378" s="1102">
        <v>4.4800000000000004</v>
      </c>
      <c r="F1378" s="1104">
        <v>63.23</v>
      </c>
      <c r="G1378" s="1102">
        <v>0</v>
      </c>
      <c r="H1378" s="1102">
        <v>0.39</v>
      </c>
      <c r="I1378" s="1104">
        <v>550.12</v>
      </c>
      <c r="J1378" s="1102">
        <v>1056.23</v>
      </c>
      <c r="K1378" s="1102">
        <v>1E-3</v>
      </c>
      <c r="L1378" s="1102">
        <v>320</v>
      </c>
      <c r="M1378" s="1102">
        <v>0</v>
      </c>
      <c r="N1378" s="906">
        <v>2.66</v>
      </c>
      <c r="O1378" s="906">
        <v>295.89</v>
      </c>
      <c r="P1378" s="906">
        <v>301.39999999999998</v>
      </c>
      <c r="Q1378" s="906">
        <v>192.76</v>
      </c>
      <c r="R1378" s="906">
        <v>1E-3</v>
      </c>
      <c r="S1378" s="906">
        <v>1E-3</v>
      </c>
      <c r="T1378" s="906">
        <v>1E-3</v>
      </c>
      <c r="U1378" s="906" t="s">
        <v>532</v>
      </c>
      <c r="V1378" s="1102"/>
    </row>
    <row r="1379" spans="1:22" s="907" customFormat="1" x14ac:dyDescent="0.25">
      <c r="A1379" s="1100">
        <v>100018</v>
      </c>
      <c r="B1379" s="1107" t="str">
        <f t="shared" si="41"/>
        <v>-9,71/+10,76  (EC  9,75)</v>
      </c>
      <c r="C1379" s="1101"/>
      <c r="D1379" s="1102">
        <v>7.34</v>
      </c>
      <c r="E1379" s="1102">
        <v>0.97499999999999998</v>
      </c>
      <c r="F1379" s="1104">
        <v>19.2</v>
      </c>
      <c r="G1379" s="1102">
        <v>0</v>
      </c>
      <c r="H1379" s="1102">
        <v>0.14000000000000001</v>
      </c>
      <c r="I1379" s="1104">
        <v>104.5452928</v>
      </c>
      <c r="J1379" s="1102">
        <v>69.989999999999995</v>
      </c>
      <c r="K1379" s="1102">
        <v>1E-3</v>
      </c>
      <c r="L1379" s="1102">
        <v>304.79999999999995</v>
      </c>
      <c r="M1379" s="1102">
        <v>0</v>
      </c>
      <c r="N1379" s="906">
        <v>1.27</v>
      </c>
      <c r="O1379" s="906">
        <v>64.48</v>
      </c>
      <c r="P1379" s="906">
        <v>96.26</v>
      </c>
      <c r="Q1379" s="906">
        <v>37.200000000000003</v>
      </c>
      <c r="R1379" s="906">
        <v>1E-3</v>
      </c>
      <c r="S1379" s="906">
        <v>1E-3</v>
      </c>
      <c r="T1379" s="906">
        <v>1E-3</v>
      </c>
      <c r="U1379" s="906">
        <v>1E-3</v>
      </c>
      <c r="V1379" s="1102"/>
    </row>
    <row r="1380" spans="1:22" s="907" customFormat="1" x14ac:dyDescent="0.25">
      <c r="A1380" s="1100">
        <v>100019</v>
      </c>
      <c r="B1380" s="1107" t="str">
        <f t="shared" si="41"/>
        <v>-6,23/+5,96  (EC  5,47)</v>
      </c>
      <c r="C1380" s="1101"/>
      <c r="D1380" s="1102">
        <v>7.59</v>
      </c>
      <c r="E1380" s="1102">
        <v>0.54700000000000004</v>
      </c>
      <c r="F1380" s="1104">
        <v>76.42</v>
      </c>
      <c r="G1380" s="1102">
        <v>0</v>
      </c>
      <c r="H1380" s="1102">
        <v>0.12</v>
      </c>
      <c r="I1380" s="1104">
        <v>44.603613600000003</v>
      </c>
      <c r="J1380" s="1102">
        <v>13.22</v>
      </c>
      <c r="K1380" s="1102">
        <v>1E-3</v>
      </c>
      <c r="L1380" s="1102">
        <v>211.20000000000002</v>
      </c>
      <c r="M1380" s="1102">
        <v>0</v>
      </c>
      <c r="N1380" s="906">
        <v>0.7</v>
      </c>
      <c r="O1380" s="906">
        <v>27.51</v>
      </c>
      <c r="P1380" s="906">
        <v>77.650000000000006</v>
      </c>
      <c r="Q1380" s="906">
        <v>10.27</v>
      </c>
      <c r="R1380" s="906">
        <v>1E-3</v>
      </c>
      <c r="S1380" s="906">
        <v>0.01</v>
      </c>
      <c r="T1380" s="906">
        <v>1E-3</v>
      </c>
      <c r="U1380" s="906">
        <v>0.02</v>
      </c>
      <c r="V1380" s="1102"/>
    </row>
    <row r="1381" spans="1:22" s="907" customFormat="1" x14ac:dyDescent="0.25">
      <c r="A1381" s="1100">
        <v>100020</v>
      </c>
      <c r="B1381" s="1107" t="str">
        <f t="shared" si="41"/>
        <v>-23,24/+23,28  (EC  22,1)</v>
      </c>
      <c r="C1381" s="1101"/>
      <c r="D1381" s="1102">
        <v>6.6</v>
      </c>
      <c r="E1381" s="1102">
        <v>2.21</v>
      </c>
      <c r="F1381" s="1104">
        <v>35.270000000000003</v>
      </c>
      <c r="G1381" s="1102">
        <v>0</v>
      </c>
      <c r="H1381" s="1102">
        <v>0.12</v>
      </c>
      <c r="I1381" s="1104">
        <v>176.25682183999999</v>
      </c>
      <c r="J1381" s="1102">
        <v>621.32000000000005</v>
      </c>
      <c r="K1381" s="1102">
        <v>1E-3</v>
      </c>
      <c r="L1381" s="1102">
        <v>290.24</v>
      </c>
      <c r="M1381" s="1102">
        <v>0</v>
      </c>
      <c r="N1381" s="906" t="s">
        <v>615</v>
      </c>
      <c r="O1381" s="906">
        <v>108.56</v>
      </c>
      <c r="P1381" s="906">
        <v>200.01</v>
      </c>
      <c r="Q1381" s="906">
        <v>101.16</v>
      </c>
      <c r="R1381" s="906" t="s">
        <v>465</v>
      </c>
      <c r="S1381" s="1102">
        <v>1E-3</v>
      </c>
      <c r="T1381" s="906">
        <v>1E-3</v>
      </c>
      <c r="U1381" s="906">
        <v>1E-3</v>
      </c>
      <c r="V1381" s="1102"/>
    </row>
    <row r="1382" spans="1:22" s="907" customFormat="1" x14ac:dyDescent="0.25">
      <c r="A1382" s="1100">
        <v>100021</v>
      </c>
      <c r="B1382" s="1107" t="str">
        <f t="shared" si="41"/>
        <v>-8,83/+8,44  (EC  7,22)</v>
      </c>
      <c r="C1382" s="1101"/>
      <c r="D1382" s="1102">
        <v>7.89</v>
      </c>
      <c r="E1382" s="1102">
        <v>0.72199999999999998</v>
      </c>
      <c r="F1382" s="1104">
        <v>4.8600000000000003</v>
      </c>
      <c r="G1382" s="1102">
        <v>0</v>
      </c>
      <c r="H1382" s="1102">
        <v>0.14000000000000001</v>
      </c>
      <c r="I1382" s="1104">
        <v>40.865735130000004</v>
      </c>
      <c r="J1382" s="1102">
        <v>133</v>
      </c>
      <c r="K1382" s="1102">
        <v>1E-3</v>
      </c>
      <c r="L1382" s="1102">
        <v>294.35000000000002</v>
      </c>
      <c r="M1382" s="1102">
        <v>0</v>
      </c>
      <c r="N1382" s="906">
        <v>2.31</v>
      </c>
      <c r="O1382" s="906">
        <v>25.17</v>
      </c>
      <c r="P1382" s="906">
        <v>61.07</v>
      </c>
      <c r="Q1382" s="906">
        <v>50.69</v>
      </c>
      <c r="R1382" s="906" t="s">
        <v>465</v>
      </c>
      <c r="S1382" s="1102">
        <v>1E-3</v>
      </c>
      <c r="T1382" s="906">
        <v>0.02</v>
      </c>
      <c r="U1382" s="906" t="s">
        <v>494</v>
      </c>
      <c r="V1382" s="1102"/>
    </row>
    <row r="1383" spans="1:22" s="907" customFormat="1" x14ac:dyDescent="0.25">
      <c r="A1383" s="1100">
        <v>100024</v>
      </c>
      <c r="B1383" s="1107" t="str">
        <f t="shared" si="41"/>
        <v>-6,52/+6,55  (EC  5,64)</v>
      </c>
      <c r="C1383" s="1101"/>
      <c r="D1383" s="1102">
        <v>7.12</v>
      </c>
      <c r="E1383" s="1102">
        <v>0.56399999999999995</v>
      </c>
      <c r="F1383" s="1104">
        <v>42.82</v>
      </c>
      <c r="G1383" s="1102">
        <v>0</v>
      </c>
      <c r="H1383" s="1102">
        <v>0.06</v>
      </c>
      <c r="I1383" s="1104">
        <v>6.45</v>
      </c>
      <c r="J1383" s="1102">
        <v>11.23</v>
      </c>
      <c r="K1383" s="1102">
        <v>1E-3</v>
      </c>
      <c r="L1383" s="1102">
        <v>330.21</v>
      </c>
      <c r="M1383" s="1102">
        <v>0</v>
      </c>
      <c r="N1383" s="1102">
        <v>0.06</v>
      </c>
      <c r="O1383" s="1102">
        <v>3.28</v>
      </c>
      <c r="P1383" s="1102">
        <v>68.72</v>
      </c>
      <c r="Q1383" s="1102">
        <v>35.57</v>
      </c>
      <c r="R1383" s="1102">
        <v>2.87</v>
      </c>
      <c r="S1383" s="1102">
        <v>1E-3</v>
      </c>
      <c r="T1383" s="1102">
        <v>1E-3</v>
      </c>
      <c r="U1383" s="1102">
        <v>0.04</v>
      </c>
      <c r="V1383" s="1102"/>
    </row>
    <row r="1384" spans="1:22" s="1711" customFormat="1" x14ac:dyDescent="0.25">
      <c r="A1384" s="727">
        <v>100025</v>
      </c>
      <c r="B1384" s="1268" t="str">
        <f t="shared" si="41"/>
        <v>-59,18/+62,72  (EC  60,9)</v>
      </c>
      <c r="C1384" s="729"/>
      <c r="D1384" s="730">
        <v>6.65</v>
      </c>
      <c r="E1384" s="730">
        <v>6.09</v>
      </c>
      <c r="F1384" s="731">
        <v>51.01</v>
      </c>
      <c r="G1384" s="730">
        <v>0</v>
      </c>
      <c r="H1384" s="730">
        <v>0.23</v>
      </c>
      <c r="I1384" s="731">
        <v>1219.5999999999999</v>
      </c>
      <c r="J1384" s="730">
        <v>820.12</v>
      </c>
      <c r="K1384" s="730">
        <v>1E-3</v>
      </c>
      <c r="L1384" s="730">
        <v>422.2</v>
      </c>
      <c r="M1384" s="730">
        <v>0</v>
      </c>
      <c r="N1384" s="730">
        <v>13.3</v>
      </c>
      <c r="O1384" s="730">
        <v>676.38</v>
      </c>
      <c r="P1384" s="730">
        <v>286.66000000000003</v>
      </c>
      <c r="Q1384" s="730">
        <v>223.5</v>
      </c>
      <c r="R1384" s="730" t="s">
        <v>467</v>
      </c>
      <c r="S1384" s="730">
        <v>1E-3</v>
      </c>
      <c r="T1384" s="730">
        <v>1E-3</v>
      </c>
      <c r="U1384" s="730" t="s">
        <v>465</v>
      </c>
      <c r="V1384" s="730"/>
    </row>
    <row r="1385" spans="1:22" s="1711" customFormat="1" x14ac:dyDescent="0.25">
      <c r="A1385" s="727">
        <v>100026</v>
      </c>
      <c r="B1385" s="1268" t="str">
        <f t="shared" si="41"/>
        <v>-75,10/+74,18  (EC  74,6)</v>
      </c>
      <c r="C1385" s="729"/>
      <c r="D1385" s="730">
        <v>7.16</v>
      </c>
      <c r="E1385" s="730">
        <v>7.46</v>
      </c>
      <c r="F1385" s="731">
        <v>1.23</v>
      </c>
      <c r="G1385" s="730">
        <v>0</v>
      </c>
      <c r="H1385" s="730">
        <v>0.25</v>
      </c>
      <c r="I1385" s="731">
        <v>2122.21</v>
      </c>
      <c r="J1385" s="730">
        <v>471.7</v>
      </c>
      <c r="K1385" s="730">
        <v>1E-3</v>
      </c>
      <c r="L1385" s="730">
        <v>333.6</v>
      </c>
      <c r="M1385" s="730">
        <v>0</v>
      </c>
      <c r="N1385" s="730" t="s">
        <v>616</v>
      </c>
      <c r="O1385" s="730">
        <v>1336.44</v>
      </c>
      <c r="P1385" s="730">
        <v>151.49</v>
      </c>
      <c r="Q1385" s="730">
        <v>86.32</v>
      </c>
      <c r="R1385" s="730">
        <v>1E-3</v>
      </c>
      <c r="S1385" s="730">
        <v>1E-3</v>
      </c>
      <c r="T1385" s="730">
        <v>0.02</v>
      </c>
      <c r="U1385" s="730">
        <v>1E-3</v>
      </c>
      <c r="V1385" s="730"/>
    </row>
    <row r="1386" spans="1:22" s="1711" customFormat="1" x14ac:dyDescent="0.25">
      <c r="A1386" s="727">
        <v>100027</v>
      </c>
      <c r="B1386" s="1268" t="str">
        <f t="shared" si="41"/>
        <v>-7,41/+8,57  (EC  7,21)</v>
      </c>
      <c r="C1386" s="729"/>
      <c r="D1386" s="730">
        <v>7.21</v>
      </c>
      <c r="E1386" s="730">
        <v>0.72099999999999997</v>
      </c>
      <c r="F1386" s="731">
        <v>22.44</v>
      </c>
      <c r="G1386" s="730">
        <v>0</v>
      </c>
      <c r="H1386" s="730">
        <v>0.18</v>
      </c>
      <c r="I1386" s="731">
        <v>32.587063260000001</v>
      </c>
      <c r="J1386" s="730">
        <v>29.79</v>
      </c>
      <c r="K1386" s="730">
        <v>1E-3</v>
      </c>
      <c r="L1386" s="730">
        <v>336</v>
      </c>
      <c r="M1386" s="730">
        <v>0</v>
      </c>
      <c r="N1386" s="730" t="s">
        <v>617</v>
      </c>
      <c r="O1386" s="730">
        <v>19.920000000000002</v>
      </c>
      <c r="P1386" s="730">
        <v>71.58</v>
      </c>
      <c r="Q1386" s="730">
        <v>48.61</v>
      </c>
      <c r="R1386" s="730">
        <v>1E-3</v>
      </c>
      <c r="S1386" s="730">
        <v>1E-3</v>
      </c>
      <c r="T1386" s="730">
        <v>1E-3</v>
      </c>
      <c r="U1386" s="730">
        <v>1E-3</v>
      </c>
      <c r="V1386" s="730"/>
    </row>
    <row r="1387" spans="1:22" x14ac:dyDescent="0.25">
      <c r="A1387" s="727">
        <v>100028</v>
      </c>
      <c r="B1387" s="1107" t="str">
        <f t="shared" si="41"/>
        <v>-57,80/+61,82  (EC  60,6)</v>
      </c>
      <c r="D1387" s="3">
        <v>6.64</v>
      </c>
      <c r="E1387" s="3">
        <v>6.06</v>
      </c>
      <c r="F1387" s="26">
        <v>75.31</v>
      </c>
      <c r="G1387" s="1102">
        <v>0</v>
      </c>
      <c r="H1387" s="3">
        <v>0.39</v>
      </c>
      <c r="I1387" s="26">
        <v>1165.0999999999999</v>
      </c>
      <c r="J1387" s="3">
        <v>885.7</v>
      </c>
      <c r="K1387" s="1102">
        <v>1E-3</v>
      </c>
      <c r="L1387" s="3">
        <v>324</v>
      </c>
      <c r="M1387" s="730">
        <v>0</v>
      </c>
      <c r="N1387" s="3">
        <v>10.050000000000001</v>
      </c>
      <c r="O1387" s="3">
        <v>633.83000000000004</v>
      </c>
      <c r="P1387" s="3">
        <v>362.75</v>
      </c>
      <c r="Q1387" s="3">
        <v>190.08</v>
      </c>
      <c r="R1387" s="3">
        <v>1E-3</v>
      </c>
      <c r="S1387" s="730">
        <v>1E-3</v>
      </c>
      <c r="T1387" s="730">
        <v>1E-3</v>
      </c>
      <c r="U1387" s="730">
        <v>1E-3</v>
      </c>
    </row>
    <row r="1388" spans="1:22" x14ac:dyDescent="0.25">
      <c r="A1388" s="727">
        <v>100029</v>
      </c>
      <c r="B1388" s="1107" t="str">
        <f t="shared" si="41"/>
        <v>-57,63/+60,39  (EC  58)</v>
      </c>
      <c r="D1388" s="3">
        <v>6.67</v>
      </c>
      <c r="E1388" s="3">
        <v>5.8</v>
      </c>
      <c r="F1388" s="26">
        <v>1.25</v>
      </c>
      <c r="G1388" s="1102">
        <v>0</v>
      </c>
      <c r="H1388" s="3">
        <v>0.36</v>
      </c>
      <c r="I1388" s="26">
        <v>1160.23</v>
      </c>
      <c r="J1388" s="3">
        <v>879.45</v>
      </c>
      <c r="K1388" s="1102">
        <v>1E-3</v>
      </c>
      <c r="L1388" s="3">
        <v>403.20000000000005</v>
      </c>
      <c r="M1388" s="730">
        <v>0</v>
      </c>
      <c r="N1388" s="3">
        <v>5.99</v>
      </c>
      <c r="O1388" s="3">
        <v>627.29999999999995</v>
      </c>
      <c r="P1388" s="3">
        <v>354.74</v>
      </c>
      <c r="Q1388" s="3">
        <v>182.37</v>
      </c>
      <c r="R1388" s="3">
        <v>0.17</v>
      </c>
      <c r="S1388" s="730">
        <v>1E-3</v>
      </c>
      <c r="T1388" s="730">
        <v>1E-3</v>
      </c>
      <c r="U1388" s="730">
        <v>1E-3</v>
      </c>
    </row>
    <row r="1389" spans="1:22" x14ac:dyDescent="0.25">
      <c r="A1389" s="727">
        <v>100030</v>
      </c>
      <c r="B1389" s="1107" t="str">
        <f t="shared" si="41"/>
        <v>-27,31/+25,10  (EC  26,2)</v>
      </c>
      <c r="D1389" s="3">
        <v>7.22</v>
      </c>
      <c r="E1389" s="3">
        <v>2.62</v>
      </c>
      <c r="F1389" s="26">
        <v>54.98</v>
      </c>
      <c r="G1389" s="1102">
        <v>0</v>
      </c>
      <c r="H1389" s="3">
        <v>0.15</v>
      </c>
      <c r="I1389" s="26">
        <v>494.5651481902014</v>
      </c>
      <c r="J1389" s="3">
        <v>240.8</v>
      </c>
      <c r="K1389" s="1102">
        <v>1E-3</v>
      </c>
      <c r="L1389" s="3">
        <v>456</v>
      </c>
      <c r="M1389" s="730">
        <v>0</v>
      </c>
      <c r="N1389" s="3">
        <v>3.04</v>
      </c>
      <c r="O1389" s="3">
        <v>304.62</v>
      </c>
      <c r="P1389" s="3">
        <v>140.41</v>
      </c>
      <c r="Q1389" s="3">
        <v>56.99</v>
      </c>
      <c r="R1389" s="3">
        <v>0.23</v>
      </c>
      <c r="S1389" s="730">
        <v>1E-3</v>
      </c>
      <c r="T1389" s="730">
        <v>1E-3</v>
      </c>
      <c r="U1389" s="730">
        <v>1E-3</v>
      </c>
    </row>
    <row r="1390" spans="1:22" s="1711" customFormat="1" x14ac:dyDescent="0.25">
      <c r="A1390" s="727">
        <v>100031</v>
      </c>
      <c r="B1390" s="1268" t="str">
        <f t="shared" si="41"/>
        <v>-35,27/+35,79  (EC  36,9)</v>
      </c>
      <c r="C1390" s="729"/>
      <c r="D1390" s="730">
        <v>6.94</v>
      </c>
      <c r="E1390" s="730">
        <v>3.69</v>
      </c>
      <c r="F1390" s="731">
        <v>77.23</v>
      </c>
      <c r="G1390" s="730">
        <v>0</v>
      </c>
      <c r="H1390" s="730">
        <v>0.34</v>
      </c>
      <c r="I1390" s="1961">
        <v>495.65</v>
      </c>
      <c r="J1390" s="730">
        <v>640.15</v>
      </c>
      <c r="K1390" s="730">
        <v>1E-3</v>
      </c>
      <c r="L1390" s="730">
        <f>17.1*24</f>
        <v>410.40000000000003</v>
      </c>
      <c r="M1390" s="730">
        <v>0</v>
      </c>
      <c r="N1390" s="730">
        <v>22.93</v>
      </c>
      <c r="O1390" s="730">
        <v>288.93</v>
      </c>
      <c r="P1390" s="730">
        <v>274.12</v>
      </c>
      <c r="Q1390" s="730">
        <v>106.91</v>
      </c>
      <c r="R1390" s="730">
        <v>0.09</v>
      </c>
      <c r="S1390" s="730">
        <v>1E-3</v>
      </c>
      <c r="T1390" s="730">
        <v>0.16</v>
      </c>
      <c r="U1390" s="730">
        <v>0.01</v>
      </c>
      <c r="V1390" s="730"/>
    </row>
    <row r="1391" spans="1:22" s="1711" customFormat="1" x14ac:dyDescent="0.25">
      <c r="A1391" s="727">
        <v>100032</v>
      </c>
      <c r="B1391" s="1268" t="str">
        <f t="shared" si="41"/>
        <v>-2,09/+1,34  (EC  1,31)</v>
      </c>
      <c r="C1391" s="729"/>
      <c r="D1391" s="730">
        <v>7.64</v>
      </c>
      <c r="E1391" s="730">
        <v>0.13100000000000001</v>
      </c>
      <c r="F1391" s="731">
        <v>0.98</v>
      </c>
      <c r="G1391" s="730">
        <v>0</v>
      </c>
      <c r="H1391" s="730">
        <v>0.09</v>
      </c>
      <c r="I1391" s="1961">
        <v>20.260899999999999</v>
      </c>
      <c r="J1391" s="730">
        <v>11.56</v>
      </c>
      <c r="K1391" s="730">
        <v>1E-3</v>
      </c>
      <c r="L1391" s="730">
        <f>24*3.2</f>
        <v>76.800000000000011</v>
      </c>
      <c r="M1391" s="730">
        <v>0</v>
      </c>
      <c r="N1391" s="730">
        <v>3.3</v>
      </c>
      <c r="O1391" s="730">
        <v>12.43</v>
      </c>
      <c r="P1391" s="727">
        <v>9.2799999999999994</v>
      </c>
      <c r="Q1391" s="730">
        <v>2.94</v>
      </c>
      <c r="R1391" s="730">
        <v>0.02</v>
      </c>
      <c r="S1391" s="730">
        <v>0.01</v>
      </c>
      <c r="T1391" s="730">
        <v>0.01</v>
      </c>
      <c r="U1391" s="730">
        <v>1.34</v>
      </c>
      <c r="V1391" s="730"/>
    </row>
    <row r="1392" spans="1:22" s="1711" customFormat="1" x14ac:dyDescent="0.25">
      <c r="A1392" s="727">
        <v>100033</v>
      </c>
      <c r="B1392" s="1268" t="str">
        <f t="shared" si="41"/>
        <v>-10,58/+12,04  (EC  11,1)</v>
      </c>
      <c r="C1392" s="729"/>
      <c r="D1392" s="730">
        <v>7.51</v>
      </c>
      <c r="E1392" s="730">
        <v>1.1100000000000001</v>
      </c>
      <c r="F1392" s="731">
        <v>15.68</v>
      </c>
      <c r="G1392" s="730">
        <v>0</v>
      </c>
      <c r="H1392" s="730">
        <v>0.19</v>
      </c>
      <c r="I1392" s="1961">
        <v>74.112000000000009</v>
      </c>
      <c r="J1392" s="730">
        <v>76.44</v>
      </c>
      <c r="K1392" s="730">
        <v>1E-3</v>
      </c>
      <c r="L1392" s="730">
        <f>16.9*24</f>
        <v>405.59999999999997</v>
      </c>
      <c r="M1392" s="730">
        <v>0</v>
      </c>
      <c r="N1392" s="730">
        <v>2.71</v>
      </c>
      <c r="O1392" s="730">
        <v>46.32</v>
      </c>
      <c r="P1392" s="730">
        <v>87.26</v>
      </c>
      <c r="Q1392" s="730">
        <v>66.930000000000007</v>
      </c>
      <c r="R1392" s="730">
        <v>0.15</v>
      </c>
      <c r="S1392" s="730">
        <v>1E-3</v>
      </c>
      <c r="T1392" s="730">
        <v>1E-3</v>
      </c>
      <c r="U1392" s="730">
        <v>0.06</v>
      </c>
      <c r="V1392" s="730"/>
    </row>
    <row r="1393" spans="1:22" s="1711" customFormat="1" x14ac:dyDescent="0.25">
      <c r="A1393" s="727">
        <v>100034</v>
      </c>
      <c r="B1393" s="1268" t="str">
        <f t="shared" si="41"/>
        <v>-12,06/+12,73  (EC  12,8)</v>
      </c>
      <c r="C1393" s="729"/>
      <c r="D1393" s="730">
        <v>7.31</v>
      </c>
      <c r="E1393" s="730">
        <v>1.28</v>
      </c>
      <c r="F1393" s="731">
        <v>11.25</v>
      </c>
      <c r="G1393" s="730">
        <v>0</v>
      </c>
      <c r="H1393" s="730">
        <v>0.17</v>
      </c>
      <c r="I1393" s="1961">
        <v>99.75</v>
      </c>
      <c r="J1393" s="730">
        <v>180.24</v>
      </c>
      <c r="K1393" s="730">
        <v>1E-3</v>
      </c>
      <c r="L1393" s="730">
        <f>13.5*24</f>
        <v>324</v>
      </c>
      <c r="M1393" s="730">
        <v>0</v>
      </c>
      <c r="N1393" s="730">
        <v>3.19</v>
      </c>
      <c r="O1393" s="730">
        <v>48.72</v>
      </c>
      <c r="P1393" s="730">
        <v>91.48</v>
      </c>
      <c r="Q1393" s="730">
        <v>71.28</v>
      </c>
      <c r="R1393" s="730">
        <v>0.6</v>
      </c>
      <c r="S1393" s="730">
        <v>1E-3</v>
      </c>
      <c r="T1393" s="730">
        <v>1E-3</v>
      </c>
      <c r="U1393" s="730">
        <v>0.01</v>
      </c>
      <c r="V1393" s="730"/>
    </row>
    <row r="1394" spans="1:22" s="1057" customFormat="1" x14ac:dyDescent="0.25">
      <c r="A1394" s="1275">
        <v>100035</v>
      </c>
      <c r="B1394" s="1054" t="str">
        <f t="shared" si="41"/>
        <v>-8,15/+9,06  (EC  7,34)</v>
      </c>
      <c r="C1394" s="1055"/>
      <c r="D1394" s="1048">
        <v>8.02</v>
      </c>
      <c r="E1394" s="1048">
        <v>0.73399999999999999</v>
      </c>
      <c r="F1394" s="1050">
        <v>0.93</v>
      </c>
      <c r="G1394" s="1048">
        <v>0</v>
      </c>
      <c r="H1394" s="1048">
        <v>0.08</v>
      </c>
      <c r="I1394" s="1052">
        <v>39.072000000000003</v>
      </c>
      <c r="J1394" s="1048">
        <v>16.77</v>
      </c>
      <c r="K1394" s="1048">
        <v>1E-3</v>
      </c>
      <c r="L1394" s="1048">
        <v>408</v>
      </c>
      <c r="M1394" s="1048">
        <v>0</v>
      </c>
      <c r="N1394" s="1048">
        <v>1.02</v>
      </c>
      <c r="O1394" s="1048">
        <v>24.42</v>
      </c>
      <c r="P1394" s="1048">
        <v>85.34</v>
      </c>
      <c r="Q1394" s="1048">
        <v>44.34</v>
      </c>
      <c r="R1394" s="1048">
        <v>1E-3</v>
      </c>
      <c r="S1394" s="1048">
        <v>1E-3</v>
      </c>
      <c r="T1394" s="1048">
        <v>1E-3</v>
      </c>
      <c r="U1394" s="1048">
        <v>1E-3</v>
      </c>
      <c r="V1394" s="1048"/>
    </row>
    <row r="1395" spans="1:22" s="1057" customFormat="1" x14ac:dyDescent="0.25">
      <c r="A1395" s="1275">
        <v>100036</v>
      </c>
      <c r="B1395" s="1054" t="str">
        <f t="shared" si="41"/>
        <v>-16,37/+17,13  (EC  16,2)</v>
      </c>
      <c r="C1395" s="1055"/>
      <c r="D1395" s="1048">
        <v>7.04</v>
      </c>
      <c r="E1395" s="1048">
        <v>1.62</v>
      </c>
      <c r="F1395" s="1050">
        <v>2.06</v>
      </c>
      <c r="G1395" s="1048">
        <v>0</v>
      </c>
      <c r="H1395" s="1048">
        <v>0.12</v>
      </c>
      <c r="I1395" s="1052">
        <v>96.805700000000002</v>
      </c>
      <c r="J1395" s="1048">
        <v>158.37</v>
      </c>
      <c r="K1395" s="1048">
        <v>1E-3</v>
      </c>
      <c r="L1395" s="1048">
        <v>628.79999999999995</v>
      </c>
      <c r="M1395" s="1048">
        <v>0</v>
      </c>
      <c r="N1395" s="1048">
        <v>1.5</v>
      </c>
      <c r="O1395" s="1048">
        <v>59.39</v>
      </c>
      <c r="P1395" s="1048">
        <v>141.22</v>
      </c>
      <c r="Q1395" s="1048">
        <v>89.33</v>
      </c>
      <c r="R1395" s="1048">
        <v>1E-3</v>
      </c>
      <c r="S1395" s="1048">
        <v>1E-3</v>
      </c>
      <c r="T1395" s="1048">
        <v>0.26</v>
      </c>
      <c r="U1395" s="1275">
        <v>0.28000000000000003</v>
      </c>
      <c r="V1395" s="1048"/>
    </row>
    <row r="1396" spans="1:22" s="1057" customFormat="1" x14ac:dyDescent="0.25">
      <c r="A1396" s="1275">
        <v>100037</v>
      </c>
      <c r="B1396" s="1054" t="str">
        <f t="shared" si="41"/>
        <v>-13,56/+14,37  (EC  13,1)</v>
      </c>
      <c r="C1396" s="1055"/>
      <c r="D1396" s="1048">
        <v>6.86</v>
      </c>
      <c r="E1396" s="1048">
        <v>1.31</v>
      </c>
      <c r="F1396" s="1050">
        <v>37.93</v>
      </c>
      <c r="G1396" s="1048">
        <v>0</v>
      </c>
      <c r="H1396" s="1048">
        <v>0.25</v>
      </c>
      <c r="I1396" s="1052">
        <v>7.0840000000000014</v>
      </c>
      <c r="J1396" s="1048">
        <v>16.88</v>
      </c>
      <c r="K1396" s="1048">
        <v>1E-3</v>
      </c>
      <c r="L1396" s="1048">
        <v>756</v>
      </c>
      <c r="M1396" s="1048">
        <v>0</v>
      </c>
      <c r="N1396" s="1048">
        <v>0.82</v>
      </c>
      <c r="O1396" s="1048">
        <v>4.4000000000000004</v>
      </c>
      <c r="P1396" s="1048">
        <v>158.96</v>
      </c>
      <c r="Q1396" s="1048">
        <v>74.34</v>
      </c>
      <c r="R1396" s="1048">
        <v>1E-3</v>
      </c>
      <c r="S1396" s="1048">
        <v>1E-3</v>
      </c>
      <c r="T1396" s="1048">
        <v>1E-3</v>
      </c>
      <c r="U1396" s="1275">
        <v>0.11</v>
      </c>
      <c r="V1396" s="1048"/>
    </row>
    <row r="1397" spans="1:22" s="1057" customFormat="1" x14ac:dyDescent="0.25">
      <c r="A1397" s="1275">
        <v>100038</v>
      </c>
      <c r="B1397" s="1054" t="str">
        <f t="shared" si="41"/>
        <v>-14,36/+16,97  (EC  15,11)</v>
      </c>
      <c r="C1397" s="1055"/>
      <c r="D1397" s="1048">
        <v>6.84</v>
      </c>
      <c r="E1397" s="1048">
        <v>1.5109999999999999</v>
      </c>
      <c r="F1397" s="1050">
        <v>7.39</v>
      </c>
      <c r="G1397" s="1048">
        <v>0</v>
      </c>
      <c r="H1397" s="1048">
        <v>0.1</v>
      </c>
      <c r="I1397" s="1052">
        <v>128.9127</v>
      </c>
      <c r="J1397" s="1048">
        <v>27.59</v>
      </c>
      <c r="K1397" s="1048">
        <v>1E-3</v>
      </c>
      <c r="L1397" s="1048">
        <v>612</v>
      </c>
      <c r="M1397" s="1048">
        <v>0</v>
      </c>
      <c r="N1397" s="1048">
        <v>1.1100000000000001</v>
      </c>
      <c r="O1397" s="1048">
        <v>80.069999999999993</v>
      </c>
      <c r="P1397" s="1048">
        <v>161.21</v>
      </c>
      <c r="Q1397" s="1048">
        <v>64.680000000000007</v>
      </c>
      <c r="R1397" s="1275">
        <v>0.02</v>
      </c>
      <c r="S1397" s="1048">
        <v>1E-3</v>
      </c>
      <c r="T1397" s="1048">
        <v>1E-3</v>
      </c>
      <c r="U1397" s="1275">
        <v>1E-3</v>
      </c>
      <c r="V1397" s="1048"/>
    </row>
    <row r="1398" spans="1:22" s="922" customFormat="1" x14ac:dyDescent="0.25">
      <c r="A1398" s="915">
        <v>100039</v>
      </c>
      <c r="B1398" s="916" t="str">
        <f t="shared" si="41"/>
        <v>-7,30/+7,60  (EC  6,24)</v>
      </c>
      <c r="C1398" s="917"/>
      <c r="D1398" s="918">
        <v>7.15</v>
      </c>
      <c r="E1398" s="918">
        <v>0.624</v>
      </c>
      <c r="F1398" s="921">
        <v>23.21</v>
      </c>
      <c r="G1398" s="918">
        <v>0</v>
      </c>
      <c r="H1398" s="918">
        <v>0.09</v>
      </c>
      <c r="I1398" s="1973">
        <v>6.5205000000000002</v>
      </c>
      <c r="J1398" s="918">
        <v>15.71</v>
      </c>
      <c r="K1398" s="918">
        <v>1E-3</v>
      </c>
      <c r="L1398" s="918">
        <v>391.20000000000005</v>
      </c>
      <c r="M1398" s="918">
        <v>0</v>
      </c>
      <c r="N1398" s="918">
        <v>0.53</v>
      </c>
      <c r="O1398" s="918">
        <v>4.05</v>
      </c>
      <c r="P1398" s="918">
        <v>81.27</v>
      </c>
      <c r="Q1398" s="918">
        <v>40.130000000000003</v>
      </c>
      <c r="R1398" s="918"/>
      <c r="S1398" s="918"/>
      <c r="T1398" s="918"/>
      <c r="U1398" s="918"/>
      <c r="V1398" s="918"/>
    </row>
    <row r="1399" spans="1:22" s="922" customFormat="1" x14ac:dyDescent="0.25">
      <c r="A1399" s="915">
        <v>100040</v>
      </c>
      <c r="B1399" s="916" t="str">
        <f t="shared" si="41"/>
        <v>-6,43/+6,83  (EC  5,59)</v>
      </c>
      <c r="C1399" s="917"/>
      <c r="D1399" s="918">
        <v>7.23</v>
      </c>
      <c r="E1399" s="918">
        <v>0.55900000000000005</v>
      </c>
      <c r="F1399" s="921">
        <v>17.63</v>
      </c>
      <c r="G1399" s="918">
        <v>0</v>
      </c>
      <c r="H1399" s="918">
        <v>0.11</v>
      </c>
      <c r="I1399" s="1973">
        <v>5.4594000000000005</v>
      </c>
      <c r="J1399" s="918">
        <v>15.72</v>
      </c>
      <c r="K1399" s="918">
        <v>1E-3</v>
      </c>
      <c r="L1399" s="918">
        <v>345.6</v>
      </c>
      <c r="M1399" s="918">
        <v>0</v>
      </c>
      <c r="N1399" s="918">
        <v>0.49</v>
      </c>
      <c r="O1399" s="918">
        <v>3.37</v>
      </c>
      <c r="P1399" s="918">
        <v>71.52</v>
      </c>
      <c r="Q1399" s="918">
        <v>37.07</v>
      </c>
      <c r="R1399" s="918"/>
      <c r="S1399" s="918"/>
      <c r="T1399" s="918"/>
      <c r="U1399" s="918"/>
      <c r="V1399" s="918"/>
    </row>
    <row r="1400" spans="1:22" s="922" customFormat="1" x14ac:dyDescent="0.25">
      <c r="A1400" s="915">
        <v>100041</v>
      </c>
      <c r="B1400" s="916" t="str">
        <f t="shared" si="41"/>
        <v>-89,95/+92,71  (EC  89,1)</v>
      </c>
      <c r="C1400" s="917"/>
      <c r="D1400" s="918">
        <v>6.76</v>
      </c>
      <c r="E1400" s="918">
        <v>8.91</v>
      </c>
      <c r="F1400" s="921">
        <v>63.99</v>
      </c>
      <c r="G1400" s="918">
        <v>0</v>
      </c>
      <c r="H1400" s="918">
        <v>0.35</v>
      </c>
      <c r="I1400" s="1973">
        <v>1922.13</v>
      </c>
      <c r="J1400" s="918">
        <f>28.77*50</f>
        <v>1438.5</v>
      </c>
      <c r="K1400" s="918">
        <v>1E-3</v>
      </c>
      <c r="L1400" s="918">
        <v>292.79999999999995</v>
      </c>
      <c r="M1400" s="918">
        <v>0</v>
      </c>
      <c r="N1400" s="918">
        <v>12.33</v>
      </c>
      <c r="O1400" s="918">
        <v>1140.6400000000001</v>
      </c>
      <c r="P1400" s="918">
        <v>493.58</v>
      </c>
      <c r="Q1400" s="918">
        <v>217.13</v>
      </c>
      <c r="R1400" s="918"/>
      <c r="S1400" s="918"/>
      <c r="T1400" s="918"/>
      <c r="U1400" s="918"/>
      <c r="V1400" s="918"/>
    </row>
    <row r="1401" spans="1:22" s="922" customFormat="1" x14ac:dyDescent="0.25">
      <c r="A1401" s="915">
        <v>100042</v>
      </c>
      <c r="B1401" s="916" t="str">
        <f t="shared" si="41"/>
        <v>-54,17/+64,55  (EC  58)</v>
      </c>
      <c r="C1401" s="917"/>
      <c r="D1401" s="918">
        <v>7.09</v>
      </c>
      <c r="E1401" s="918">
        <v>5.8</v>
      </c>
      <c r="F1401" s="921">
        <v>57.26</v>
      </c>
      <c r="G1401" s="918">
        <v>0</v>
      </c>
      <c r="H1401" s="918">
        <v>0.33</v>
      </c>
      <c r="I1401" s="1973">
        <v>725.14</v>
      </c>
      <c r="J1401" s="918">
        <v>1420.31</v>
      </c>
      <c r="K1401" s="918">
        <v>1E-3</v>
      </c>
      <c r="L1401" s="918">
        <v>196.79999999999998</v>
      </c>
      <c r="M1401" s="918">
        <v>0</v>
      </c>
      <c r="N1401" s="918">
        <v>7.54</v>
      </c>
      <c r="O1401" s="918">
        <v>365.12</v>
      </c>
      <c r="P1401" s="918">
        <v>637.84</v>
      </c>
      <c r="Q1401" s="918">
        <v>198.81</v>
      </c>
      <c r="R1401" s="918"/>
      <c r="S1401" s="918"/>
      <c r="T1401" s="918"/>
      <c r="U1401" s="918"/>
      <c r="V1401" s="918"/>
    </row>
    <row r="1402" spans="1:22" s="922" customFormat="1" x14ac:dyDescent="0.25">
      <c r="A1402" s="915">
        <v>100043</v>
      </c>
      <c r="B1402" s="916" t="str">
        <f t="shared" si="41"/>
        <v>-15,27/+16,10  (EC  15,1)</v>
      </c>
      <c r="C1402" s="917"/>
      <c r="D1402" s="918">
        <v>7.17</v>
      </c>
      <c r="E1402" s="918">
        <v>1.51</v>
      </c>
      <c r="F1402" s="921">
        <v>10.88</v>
      </c>
      <c r="G1402" s="918">
        <v>0</v>
      </c>
      <c r="H1402" s="918">
        <v>0.12</v>
      </c>
      <c r="I1402" s="1973">
        <v>185.14</v>
      </c>
      <c r="J1402" s="918">
        <v>289.25</v>
      </c>
      <c r="K1402" s="918">
        <v>1E-3</v>
      </c>
      <c r="L1402" s="918">
        <v>235.20000000000002</v>
      </c>
      <c r="M1402" s="918">
        <v>0</v>
      </c>
      <c r="N1402" s="918">
        <v>4.1500000000000004</v>
      </c>
      <c r="O1402" s="918">
        <v>103.35</v>
      </c>
      <c r="P1402" s="918">
        <v>121.56</v>
      </c>
      <c r="Q1402" s="918">
        <v>64.98</v>
      </c>
      <c r="R1402" s="918">
        <v>1E-3</v>
      </c>
      <c r="S1402" s="918">
        <v>1E-3</v>
      </c>
      <c r="T1402" s="918">
        <v>1E-3</v>
      </c>
      <c r="U1402" s="918">
        <v>1E-3</v>
      </c>
      <c r="V1402" s="918"/>
    </row>
    <row r="1403" spans="1:22" s="642" customFormat="1" x14ac:dyDescent="0.25">
      <c r="A1403" s="788">
        <v>100044</v>
      </c>
      <c r="B1403" s="789" t="str">
        <f t="shared" si="41"/>
        <v>-46,71/+49,96  (EC  46,2)</v>
      </c>
      <c r="C1403" s="790"/>
      <c r="D1403" s="791">
        <v>7.11</v>
      </c>
      <c r="E1403" s="791">
        <v>4.62</v>
      </c>
      <c r="F1403" s="841">
        <v>4.7699999999999996</v>
      </c>
      <c r="G1403" s="791">
        <v>0</v>
      </c>
      <c r="H1403" s="791">
        <v>0.25</v>
      </c>
      <c r="I1403" s="1031">
        <v>634.93340000000001</v>
      </c>
      <c r="J1403" s="791">
        <f>159.06*7</f>
        <v>1113.42</v>
      </c>
      <c r="K1403" s="791">
        <v>1E-3</v>
      </c>
      <c r="L1403" s="791">
        <f>14.1*24</f>
        <v>338.4</v>
      </c>
      <c r="M1403" s="791">
        <v>0</v>
      </c>
      <c r="N1403" s="791">
        <v>12.42</v>
      </c>
      <c r="O1403" s="791">
        <v>362.49</v>
      </c>
      <c r="P1403" s="791">
        <v>328.95</v>
      </c>
      <c r="Q1403" s="791">
        <v>208.99</v>
      </c>
      <c r="R1403" s="791">
        <v>0.01</v>
      </c>
      <c r="S1403" s="791">
        <v>1E-3</v>
      </c>
      <c r="T1403" s="791">
        <v>1E-3</v>
      </c>
      <c r="U1403" s="791">
        <v>0.05</v>
      </c>
      <c r="V1403" s="791"/>
    </row>
    <row r="1404" spans="1:22" s="642" customFormat="1" x14ac:dyDescent="0.25">
      <c r="A1404" s="788">
        <v>100045</v>
      </c>
      <c r="B1404" s="789" t="str">
        <f t="shared" si="41"/>
        <v>-36,59/+37,45  (EC  36,1)</v>
      </c>
      <c r="C1404" s="790"/>
      <c r="D1404" s="791">
        <v>7.21</v>
      </c>
      <c r="E1404" s="791">
        <v>3.61</v>
      </c>
      <c r="F1404" s="841">
        <v>1.1599999999999999</v>
      </c>
      <c r="G1404" s="791">
        <v>0</v>
      </c>
      <c r="H1404" s="791">
        <v>0.24</v>
      </c>
      <c r="I1404" s="1031">
        <v>509.91289999999992</v>
      </c>
      <c r="J1404" s="791">
        <f>114*7</f>
        <v>798</v>
      </c>
      <c r="K1404" s="791">
        <v>1E-3</v>
      </c>
      <c r="L1404" s="791">
        <f>14.2*24</f>
        <v>340.79999999999995</v>
      </c>
      <c r="M1404" s="791">
        <v>0</v>
      </c>
      <c r="N1404" s="791">
        <v>13.16</v>
      </c>
      <c r="O1404" s="791">
        <v>280.7</v>
      </c>
      <c r="P1404" s="791">
        <v>212.4</v>
      </c>
      <c r="Q1404" s="791">
        <v>171.26</v>
      </c>
      <c r="R1404" s="791">
        <v>0.01</v>
      </c>
      <c r="S1404" s="791">
        <v>1E-3</v>
      </c>
      <c r="T1404" s="791">
        <v>0.31</v>
      </c>
      <c r="U1404" s="791">
        <v>1E-3</v>
      </c>
      <c r="V1404" s="791"/>
    </row>
    <row r="1405" spans="1:22" s="642" customFormat="1" x14ac:dyDescent="0.25">
      <c r="A1405" s="788">
        <v>100046</v>
      </c>
      <c r="B1405" s="789" t="str">
        <f t="shared" si="41"/>
        <v>-36,31/+37,56  (EC  37,8)</v>
      </c>
      <c r="C1405" s="790"/>
      <c r="D1405" s="791">
        <v>7.31</v>
      </c>
      <c r="E1405" s="791">
        <v>3.78</v>
      </c>
      <c r="F1405" s="841">
        <v>19.62</v>
      </c>
      <c r="G1405" s="791">
        <v>0</v>
      </c>
      <c r="H1405" s="791">
        <v>0.22</v>
      </c>
      <c r="I1405" s="1031">
        <v>920.13</v>
      </c>
      <c r="J1405" s="791">
        <v>238.2</v>
      </c>
      <c r="K1405" s="791">
        <v>1E-3</v>
      </c>
      <c r="L1405" s="791">
        <f>13*24</f>
        <v>312</v>
      </c>
      <c r="M1405" s="791">
        <v>0</v>
      </c>
      <c r="N1405" s="791">
        <v>10.47</v>
      </c>
      <c r="O1405" s="791">
        <v>533.86</v>
      </c>
      <c r="P1405" s="791">
        <v>128.97</v>
      </c>
      <c r="Q1405" s="791">
        <v>91.45</v>
      </c>
      <c r="R1405" s="791">
        <v>0.01</v>
      </c>
      <c r="S1405" s="791">
        <v>1E-3</v>
      </c>
      <c r="T1405" s="791">
        <v>0.01</v>
      </c>
      <c r="U1405" s="791">
        <v>0.04</v>
      </c>
      <c r="V1405" s="791"/>
    </row>
    <row r="1406" spans="1:22" s="1057" customFormat="1" x14ac:dyDescent="0.25">
      <c r="A1406" s="1275">
        <v>100047</v>
      </c>
      <c r="B1406" s="1054" t="str">
        <f t="shared" si="41"/>
        <v>-8,98/+9,02  (EC  8,01)</v>
      </c>
      <c r="C1406" s="1055"/>
      <c r="D1406" s="1048">
        <v>6.88</v>
      </c>
      <c r="E1406" s="1048">
        <v>0.80100000000000005</v>
      </c>
      <c r="F1406" s="1050">
        <v>28.06</v>
      </c>
      <c r="G1406" s="1048">
        <v>0</v>
      </c>
      <c r="H1406" s="1048">
        <v>0.15</v>
      </c>
      <c r="I1406" s="1052">
        <v>41.180400000000006</v>
      </c>
      <c r="J1406" s="1048">
        <v>38.31</v>
      </c>
      <c r="K1406" s="1048">
        <v>1E-3</v>
      </c>
      <c r="L1406" s="1048">
        <v>400.79999999999995</v>
      </c>
      <c r="M1406" s="1048">
        <v>0</v>
      </c>
      <c r="N1406" s="1048">
        <v>3.6</v>
      </c>
      <c r="O1406" s="1048">
        <v>25.42</v>
      </c>
      <c r="P1406" s="1048">
        <v>86.22</v>
      </c>
      <c r="Q1406" s="1048">
        <v>42.04</v>
      </c>
      <c r="R1406" s="1048">
        <v>0.01</v>
      </c>
      <c r="S1406" s="1048">
        <v>1E-3</v>
      </c>
      <c r="T1406" s="1048">
        <v>1E-3</v>
      </c>
      <c r="U1406" s="1048">
        <v>1E-3</v>
      </c>
      <c r="V1406" s="1048"/>
    </row>
    <row r="1407" spans="1:22" s="1057" customFormat="1" x14ac:dyDescent="0.25">
      <c r="A1407" s="1275">
        <v>100048</v>
      </c>
      <c r="B1407" s="1054" t="str">
        <f t="shared" si="41"/>
        <v>-10,63/+11,27  (EC  11,02)</v>
      </c>
      <c r="C1407" s="1055"/>
      <c r="D1407" s="1048">
        <v>6.97</v>
      </c>
      <c r="E1407" s="1048">
        <v>1.1020000000000001</v>
      </c>
      <c r="F1407" s="1050">
        <v>57.17</v>
      </c>
      <c r="G1407" s="1048">
        <v>0</v>
      </c>
      <c r="H1407" s="1048">
        <v>0.25</v>
      </c>
      <c r="I1407" s="1052">
        <v>153.30099999999999</v>
      </c>
      <c r="J1407" s="1048">
        <v>64.08</v>
      </c>
      <c r="K1407" s="1048">
        <v>1E-3</v>
      </c>
      <c r="L1407" s="1048">
        <v>247.20000000000002</v>
      </c>
      <c r="M1407" s="1048">
        <v>0</v>
      </c>
      <c r="N1407" s="1048">
        <v>1.82</v>
      </c>
      <c r="O1407" s="1048">
        <v>92.35</v>
      </c>
      <c r="P1407" s="1048">
        <v>74.77</v>
      </c>
      <c r="Q1407" s="1048">
        <v>41.48</v>
      </c>
      <c r="R1407" s="1048">
        <v>1E-3</v>
      </c>
      <c r="S1407" s="1048">
        <v>1E-3</v>
      </c>
      <c r="T1407" s="1048">
        <v>1E-3</v>
      </c>
      <c r="U1407" s="1048">
        <v>1E-3</v>
      </c>
      <c r="V1407" s="1048"/>
    </row>
    <row r="1408" spans="1:22" s="1057" customFormat="1" x14ac:dyDescent="0.25">
      <c r="A1408" s="1275">
        <v>100049</v>
      </c>
      <c r="B1408" s="1054" t="str">
        <f t="shared" si="41"/>
        <v>-26,16/+26,54  (EC  27,14)</v>
      </c>
      <c r="C1408" s="1055"/>
      <c r="D1408" s="1048">
        <v>6.97</v>
      </c>
      <c r="E1408" s="1048">
        <v>2.714</v>
      </c>
      <c r="F1408" s="1050">
        <v>17.47</v>
      </c>
      <c r="G1408" s="1048">
        <v>0</v>
      </c>
      <c r="H1408" s="1048">
        <v>0.2</v>
      </c>
      <c r="I1408" s="1052">
        <v>590.20989999999995</v>
      </c>
      <c r="J1408" s="1048">
        <v>210.12</v>
      </c>
      <c r="K1408" s="1048">
        <v>1E-3</v>
      </c>
      <c r="L1408" s="1048">
        <v>297.60000000000002</v>
      </c>
      <c r="M1408" s="1048">
        <v>0</v>
      </c>
      <c r="N1408" s="1048">
        <v>5.68</v>
      </c>
      <c r="O1408" s="1048">
        <v>366.59</v>
      </c>
      <c r="P1408" s="1048">
        <v>122.22</v>
      </c>
      <c r="Q1408" s="1048">
        <v>51.94</v>
      </c>
      <c r="R1408" s="1048">
        <v>1E-3</v>
      </c>
      <c r="S1408" s="1048">
        <v>1E-3</v>
      </c>
      <c r="T1408" s="1048">
        <v>1E-3</v>
      </c>
      <c r="U1408" s="1048">
        <v>1E-3</v>
      </c>
      <c r="V1408" s="1048"/>
    </row>
    <row r="1409" spans="1:22" s="1057" customFormat="1" x14ac:dyDescent="0.25">
      <c r="A1409" s="1275">
        <v>100050</v>
      </c>
      <c r="B1409" s="1054" t="str">
        <f t="shared" si="41"/>
        <v>-26,89/+28,04  (EC  28,9)</v>
      </c>
      <c r="C1409" s="1055"/>
      <c r="D1409" s="1048">
        <v>7.06</v>
      </c>
      <c r="E1409" s="1048">
        <v>2.89</v>
      </c>
      <c r="F1409" s="1050">
        <v>16.96</v>
      </c>
      <c r="G1409" s="1048">
        <v>0</v>
      </c>
      <c r="H1409" s="1048">
        <v>0.14000000000000001</v>
      </c>
      <c r="I1409" s="1052">
        <v>630.12</v>
      </c>
      <c r="J1409" s="1048">
        <v>229.31</v>
      </c>
      <c r="K1409" s="1048">
        <v>1E-3</v>
      </c>
      <c r="L1409" s="1048">
        <v>249.60000000000002</v>
      </c>
      <c r="M1409" s="1048">
        <v>0</v>
      </c>
      <c r="N1409" s="1048">
        <v>6.18</v>
      </c>
      <c r="O1409" s="1048">
        <v>382.58</v>
      </c>
      <c r="P1409" s="1048">
        <v>129.55000000000001</v>
      </c>
      <c r="Q1409" s="1048">
        <v>57.15</v>
      </c>
      <c r="R1409" s="1048">
        <v>1E-3</v>
      </c>
      <c r="S1409" s="1048">
        <v>1E-3</v>
      </c>
      <c r="T1409" s="1048">
        <v>1E-3</v>
      </c>
      <c r="U1409" s="1048">
        <v>0.23</v>
      </c>
      <c r="V1409" s="1048"/>
    </row>
    <row r="1410" spans="1:22" s="1057" customFormat="1" x14ac:dyDescent="0.25">
      <c r="A1410" s="1275">
        <v>100051</v>
      </c>
      <c r="B1410" s="1054" t="str">
        <f t="shared" si="41"/>
        <v>-0,81/+0,62  (EC  0,73)</v>
      </c>
      <c r="C1410" s="1055"/>
      <c r="D1410" s="1048">
        <v>7.83</v>
      </c>
      <c r="E1410" s="1048">
        <v>7.2999999999999995E-2</v>
      </c>
      <c r="F1410" s="1050">
        <v>0.31</v>
      </c>
      <c r="G1410" s="1048">
        <v>0</v>
      </c>
      <c r="H1410" s="1048">
        <v>0.05</v>
      </c>
      <c r="I1410" s="1052">
        <v>19.650600000000004</v>
      </c>
      <c r="J1410" s="1048">
        <v>2.6</v>
      </c>
      <c r="K1410" s="1048">
        <v>1E-3</v>
      </c>
      <c r="L1410" s="1048">
        <v>12</v>
      </c>
      <c r="M1410" s="1048">
        <v>0</v>
      </c>
      <c r="N1410" s="1048">
        <v>0.13</v>
      </c>
      <c r="O1410" s="1048">
        <v>12.13</v>
      </c>
      <c r="P1410" s="1048">
        <v>1.19</v>
      </c>
      <c r="Q1410" s="1048">
        <v>0.36</v>
      </c>
      <c r="R1410" s="1048">
        <v>0.01</v>
      </c>
      <c r="S1410" s="1048">
        <v>1E-3</v>
      </c>
      <c r="T1410" s="1048">
        <v>1E-3</v>
      </c>
      <c r="U1410" s="1048">
        <v>1E-3</v>
      </c>
      <c r="V1410" s="1048"/>
    </row>
    <row r="1411" spans="1:22" s="1057" customFormat="1" x14ac:dyDescent="0.25">
      <c r="A1411" s="1275">
        <v>100052</v>
      </c>
      <c r="B1411" s="1054" t="str">
        <f t="shared" si="41"/>
        <v>-19,09/+18,39  (EC  17,31)</v>
      </c>
      <c r="C1411" s="1055"/>
      <c r="D1411" s="1048">
        <v>7.09</v>
      </c>
      <c r="E1411" s="1048">
        <v>1.7310000000000001</v>
      </c>
      <c r="F1411" s="1050">
        <v>37.78</v>
      </c>
      <c r="G1411" s="1048">
        <v>0</v>
      </c>
      <c r="H1411" s="1048">
        <v>0.15</v>
      </c>
      <c r="I1411" s="1052">
        <v>235.3725</v>
      </c>
      <c r="J1411" s="1048">
        <v>106.06</v>
      </c>
      <c r="K1411" s="1048">
        <v>1E-3</v>
      </c>
      <c r="L1411" s="1048">
        <v>588</v>
      </c>
      <c r="M1411" s="1048">
        <v>0</v>
      </c>
      <c r="N1411" s="1048">
        <v>6.39</v>
      </c>
      <c r="O1411" s="1048">
        <v>142.65</v>
      </c>
      <c r="P1411" s="1048">
        <v>98.24</v>
      </c>
      <c r="Q1411" s="1048">
        <v>85.26</v>
      </c>
      <c r="R1411" s="1048">
        <v>1E-3</v>
      </c>
      <c r="S1411" s="1048">
        <v>1E-3</v>
      </c>
      <c r="T1411" s="1048">
        <v>1E-3</v>
      </c>
      <c r="U1411" s="1048">
        <v>1E-3</v>
      </c>
      <c r="V1411" s="1048"/>
    </row>
    <row r="1412" spans="1:22" s="1057" customFormat="1" x14ac:dyDescent="0.25">
      <c r="A1412" s="1275">
        <v>100053</v>
      </c>
      <c r="B1412" s="1054" t="str">
        <f t="shared" si="41"/>
        <v>-10,77/+9,85  (EC  9,11)</v>
      </c>
      <c r="C1412" s="1055"/>
      <c r="D1412" s="1048">
        <v>7.6</v>
      </c>
      <c r="E1412" s="1048">
        <v>0.91100000000000003</v>
      </c>
      <c r="F1412" s="1050">
        <v>0.66</v>
      </c>
      <c r="G1412" s="1048">
        <v>0</v>
      </c>
      <c r="H1412" s="1048">
        <v>0.17</v>
      </c>
      <c r="I1412" s="1052">
        <v>80.14</v>
      </c>
      <c r="J1412" s="1048">
        <v>30.14</v>
      </c>
      <c r="K1412" s="1048">
        <v>1E-3</v>
      </c>
      <c r="L1412" s="1048">
        <v>480.1</v>
      </c>
      <c r="M1412" s="1048">
        <v>0</v>
      </c>
      <c r="N1412" s="1048">
        <v>1.42</v>
      </c>
      <c r="O1412" s="1048">
        <v>53.44</v>
      </c>
      <c r="P1412" s="1048">
        <v>66.97</v>
      </c>
      <c r="Q1412" s="1048">
        <v>49.54</v>
      </c>
      <c r="R1412" s="1048">
        <v>1E-3</v>
      </c>
      <c r="S1412" s="1048">
        <v>1E-3</v>
      </c>
      <c r="T1412" s="1048">
        <v>1E-3</v>
      </c>
      <c r="U1412" s="1048">
        <v>1E-3</v>
      </c>
      <c r="V1412" s="1048"/>
    </row>
    <row r="1413" spans="1:22" s="697" customFormat="1" x14ac:dyDescent="0.25">
      <c r="A1413" s="2025">
        <v>100054</v>
      </c>
      <c r="B1413" s="2026" t="str">
        <f t="shared" si="41"/>
        <v>-28,57/+29,89  (EC  28)</v>
      </c>
      <c r="C1413" s="2027"/>
      <c r="D1413" s="692">
        <v>7.07</v>
      </c>
      <c r="E1413" s="692">
        <v>2.8</v>
      </c>
      <c r="F1413" s="2023">
        <v>65.819999999999993</v>
      </c>
      <c r="G1413" s="692">
        <v>0</v>
      </c>
      <c r="H1413" s="692">
        <v>0.26</v>
      </c>
      <c r="I1413" s="2028">
        <v>220.15</v>
      </c>
      <c r="J1413" s="692">
        <v>590.15</v>
      </c>
      <c r="K1413" s="692">
        <v>1E-3</v>
      </c>
      <c r="L1413" s="692">
        <v>549.6</v>
      </c>
      <c r="M1413" s="692">
        <v>0</v>
      </c>
      <c r="N1413" s="692">
        <v>12.32</v>
      </c>
      <c r="O1413" s="692">
        <v>124.95</v>
      </c>
      <c r="P1413" s="692">
        <v>187.3</v>
      </c>
      <c r="Q1413" s="692">
        <v>177.1</v>
      </c>
      <c r="R1413" s="692">
        <v>1E-3</v>
      </c>
      <c r="S1413" s="692">
        <v>1E-3</v>
      </c>
      <c r="T1413" s="692">
        <v>1E-3</v>
      </c>
      <c r="U1413" s="692">
        <v>1E-3</v>
      </c>
      <c r="V1413" s="692"/>
    </row>
    <row r="1414" spans="1:22" x14ac:dyDescent="0.25">
      <c r="A1414" s="585">
        <v>100055</v>
      </c>
      <c r="B1414" s="2026" t="str">
        <f t="shared" si="41"/>
        <v>-14,23/+14,86  (EC  15,5)</v>
      </c>
      <c r="D1414" s="3">
        <v>7.35</v>
      </c>
      <c r="E1414" s="3">
        <v>1.55</v>
      </c>
      <c r="F1414" s="26">
        <v>49.36</v>
      </c>
      <c r="G1414" s="3">
        <v>0</v>
      </c>
      <c r="H1414" s="3">
        <v>0.25</v>
      </c>
      <c r="I1414" s="939">
        <v>218.8</v>
      </c>
      <c r="J1414" s="3">
        <v>65.510000000000005</v>
      </c>
      <c r="K1414" s="3">
        <v>1E-3</v>
      </c>
      <c r="L1414" s="3">
        <v>360</v>
      </c>
      <c r="M1414" s="3">
        <v>0</v>
      </c>
      <c r="N1414" s="3">
        <v>2.9</v>
      </c>
      <c r="O1414" s="3">
        <v>132.6</v>
      </c>
      <c r="P1414" s="3">
        <v>85.82</v>
      </c>
      <c r="Q1414" s="3">
        <v>56.51</v>
      </c>
      <c r="R1414" s="3">
        <v>1E-3</v>
      </c>
      <c r="S1414" s="2031">
        <v>1E-3</v>
      </c>
      <c r="T1414" s="2031">
        <v>1E-3</v>
      </c>
      <c r="U1414" s="2031">
        <v>1E-3</v>
      </c>
    </row>
    <row r="1415" spans="1:22" s="642" customFormat="1" x14ac:dyDescent="0.25">
      <c r="A1415" s="788">
        <v>100056</v>
      </c>
      <c r="B1415" s="789" t="str">
        <f t="shared" si="41"/>
        <v>-9,02/+9,32  (EC  8,32)</v>
      </c>
      <c r="C1415" s="790"/>
      <c r="D1415" s="791">
        <v>7.28</v>
      </c>
      <c r="E1415" s="791">
        <v>0.83199999999999996</v>
      </c>
      <c r="F1415" s="841">
        <v>18.22</v>
      </c>
      <c r="G1415" s="791">
        <v>0</v>
      </c>
      <c r="H1415" s="791">
        <v>0.12</v>
      </c>
      <c r="I1415" s="1031">
        <v>37.01</v>
      </c>
      <c r="J1415" s="791">
        <v>34.47</v>
      </c>
      <c r="K1415" s="791">
        <v>1E-3</v>
      </c>
      <c r="L1415" s="791">
        <v>424.8</v>
      </c>
      <c r="M1415" s="791">
        <v>0</v>
      </c>
      <c r="N1415" s="791">
        <v>2.4</v>
      </c>
      <c r="O1415" s="791">
        <v>22.24</v>
      </c>
      <c r="P1415" s="791">
        <v>71.62</v>
      </c>
      <c r="Q1415" s="791">
        <v>56.43</v>
      </c>
      <c r="R1415" s="791">
        <v>0.01</v>
      </c>
      <c r="S1415" s="791">
        <v>1E-3</v>
      </c>
      <c r="T1415" s="791">
        <v>1E-3</v>
      </c>
      <c r="U1415" s="791">
        <v>1E-3</v>
      </c>
      <c r="V1415" s="791"/>
    </row>
    <row r="1416" spans="1:22" x14ac:dyDescent="0.25">
      <c r="A1416" s="585">
        <v>100057</v>
      </c>
      <c r="B1416" s="789" t="str">
        <f t="shared" si="41"/>
        <v>-9,07/+10,70  (EC  9,1)</v>
      </c>
      <c r="D1416" s="3">
        <v>7.12</v>
      </c>
      <c r="E1416" s="3">
        <v>0.91</v>
      </c>
      <c r="F1416" s="26">
        <v>23.52</v>
      </c>
      <c r="G1416" s="3">
        <v>0</v>
      </c>
      <c r="H1416" s="3">
        <v>0.15</v>
      </c>
      <c r="I1416" s="939">
        <v>30.12</v>
      </c>
      <c r="J1416" s="3">
        <v>44.36</v>
      </c>
      <c r="K1416" s="940">
        <f>3.06*0.09</f>
        <v>0.27539999999999998</v>
      </c>
      <c r="L1416" s="3">
        <v>422.1</v>
      </c>
      <c r="M1416" s="3">
        <v>0</v>
      </c>
      <c r="N1416" s="2051">
        <v>3.08</v>
      </c>
      <c r="O1416" s="2051">
        <v>18.309999999999999</v>
      </c>
      <c r="P1416" s="2051">
        <v>98.45</v>
      </c>
      <c r="Q1416" s="2051">
        <v>58.67</v>
      </c>
      <c r="R1416" s="2051">
        <v>0.01</v>
      </c>
      <c r="S1416" s="2051">
        <v>1E-3</v>
      </c>
      <c r="T1416" s="2051">
        <v>0.01</v>
      </c>
      <c r="U1416" s="585">
        <v>0.15</v>
      </c>
    </row>
    <row r="1417" spans="1:22" s="697" customFormat="1" x14ac:dyDescent="0.25">
      <c r="A1417" s="2025">
        <v>100058</v>
      </c>
      <c r="B1417" s="2026" t="str">
        <f t="shared" si="41"/>
        <v>-159,11/+159,45  (EC  153)</v>
      </c>
      <c r="C1417" s="2027"/>
      <c r="D1417" s="692">
        <v>6.02</v>
      </c>
      <c r="E1417" s="692">
        <v>15.3</v>
      </c>
      <c r="F1417" s="2023">
        <v>1.25</v>
      </c>
      <c r="G1417" s="692">
        <v>0</v>
      </c>
      <c r="H1417" s="692">
        <v>0.25</v>
      </c>
      <c r="I1417" s="2028">
        <v>4022.13</v>
      </c>
      <c r="J1417" s="692">
        <f>108*20</f>
        <v>2160</v>
      </c>
      <c r="K1417" s="692">
        <v>1E-3</v>
      </c>
      <c r="L1417" s="692">
        <f>24*2</f>
        <v>48</v>
      </c>
      <c r="M1417" s="692">
        <v>0</v>
      </c>
      <c r="N1417" s="692">
        <v>21.56</v>
      </c>
      <c r="O1417" s="692">
        <v>2727.23</v>
      </c>
      <c r="P1417" s="692">
        <v>631.12</v>
      </c>
      <c r="Q1417" s="692">
        <v>105.02</v>
      </c>
      <c r="R1417" s="692">
        <v>1E-3</v>
      </c>
      <c r="S1417" s="692">
        <v>1E-3</v>
      </c>
      <c r="T1417" s="692">
        <v>0.3</v>
      </c>
      <c r="U1417" s="2025">
        <v>0.04</v>
      </c>
      <c r="V1417" s="692"/>
    </row>
    <row r="1418" spans="1:22" s="697" customFormat="1" x14ac:dyDescent="0.25">
      <c r="A1418" s="2025">
        <v>100059</v>
      </c>
      <c r="B1418" s="2026" t="str">
        <f t="shared" si="41"/>
        <v>-346,86/+332,96  (EC  302)</v>
      </c>
      <c r="C1418" s="2027"/>
      <c r="D1418" s="2072">
        <v>6</v>
      </c>
      <c r="E1418" s="692">
        <v>30.2</v>
      </c>
      <c r="F1418" s="2023">
        <v>1.02</v>
      </c>
      <c r="G1418" s="692">
        <v>0</v>
      </c>
      <c r="H1418" s="692">
        <v>0.22</v>
      </c>
      <c r="I1418" s="2028">
        <v>10250</v>
      </c>
      <c r="J1418" s="692">
        <f>137*20</f>
        <v>2740</v>
      </c>
      <c r="K1418" s="692">
        <v>1E-3</v>
      </c>
      <c r="L1418" s="692">
        <v>62.4</v>
      </c>
      <c r="M1418" s="692">
        <v>0</v>
      </c>
      <c r="N1418" s="692">
        <v>29.35</v>
      </c>
      <c r="O1418" s="692">
        <v>7037.78</v>
      </c>
      <c r="P1418" s="692">
        <v>427.83</v>
      </c>
      <c r="Q1418" s="692">
        <v>57.72</v>
      </c>
      <c r="R1418" s="692">
        <v>1E-3</v>
      </c>
      <c r="S1418" s="692">
        <v>1E-3</v>
      </c>
      <c r="T1418" s="692">
        <v>0.14000000000000001</v>
      </c>
      <c r="U1418" s="2025">
        <v>0.01</v>
      </c>
      <c r="V1418" s="692"/>
    </row>
    <row r="1419" spans="1:22" s="1238" customFormat="1" x14ac:dyDescent="0.25">
      <c r="A1419" s="1230">
        <v>100060</v>
      </c>
      <c r="B1419" s="2026" t="str">
        <f t="shared" si="41"/>
        <v>-53,02/+60,38  (EC  57,4)</v>
      </c>
      <c r="C1419" s="1232"/>
      <c r="D1419" s="1233">
        <v>7.43</v>
      </c>
      <c r="E1419" s="1233">
        <v>5.74</v>
      </c>
      <c r="F1419" s="1235">
        <v>751.3</v>
      </c>
      <c r="G1419" s="1233">
        <v>0</v>
      </c>
      <c r="H1419" s="1233">
        <v>0.65</v>
      </c>
      <c r="I1419" s="1235">
        <v>590.56399999999996</v>
      </c>
      <c r="J1419" s="1235">
        <v>1065.1400000000001</v>
      </c>
      <c r="K1419" s="1235">
        <v>25.642800000000001</v>
      </c>
      <c r="L1419" s="1233">
        <v>110.39999999999999</v>
      </c>
      <c r="M1419" s="1233">
        <v>0</v>
      </c>
      <c r="N1419" s="1233">
        <v>341.65</v>
      </c>
      <c r="O1419" s="1233">
        <v>360.1</v>
      </c>
      <c r="P1419" s="1233">
        <v>395.3</v>
      </c>
      <c r="Q1419" s="1233">
        <v>193.87</v>
      </c>
      <c r="R1419" s="1233">
        <v>0.01</v>
      </c>
      <c r="S1419" s="1233">
        <v>0.12</v>
      </c>
      <c r="T1419" s="1233">
        <v>0.01</v>
      </c>
      <c r="U1419" s="1233">
        <v>0.25</v>
      </c>
      <c r="V1419" s="1233"/>
    </row>
    <row r="1420" spans="1:22" s="1238" customFormat="1" x14ac:dyDescent="0.25">
      <c r="A1420" s="1230">
        <v>100061</v>
      </c>
      <c r="B1420" s="2026" t="str">
        <f t="shared" si="41"/>
        <v>-57,33/+66,16  (EC  65,7)</v>
      </c>
      <c r="C1420" s="1232"/>
      <c r="D1420" s="1233">
        <v>7.59</v>
      </c>
      <c r="E1420" s="1233">
        <v>6.57</v>
      </c>
      <c r="F1420" s="1235">
        <v>753</v>
      </c>
      <c r="G1420" s="1233">
        <v>0</v>
      </c>
      <c r="H1420" s="1233">
        <v>0.64</v>
      </c>
      <c r="I1420" s="1235">
        <v>716.15719999999999</v>
      </c>
      <c r="J1420" s="1235">
        <v>1079.0999999999999</v>
      </c>
      <c r="K1420" s="1235">
        <v>16.6464</v>
      </c>
      <c r="L1420" s="1233">
        <v>144</v>
      </c>
      <c r="M1420" s="1233">
        <v>0</v>
      </c>
      <c r="N1420" s="1233">
        <v>296.47000000000003</v>
      </c>
      <c r="O1420" s="1233">
        <v>431.42</v>
      </c>
      <c r="P1420" s="1233">
        <v>424</v>
      </c>
      <c r="Q1420" s="1233">
        <v>222.65</v>
      </c>
      <c r="R1420" s="1233">
        <v>0.01</v>
      </c>
      <c r="S1420" s="1233">
        <v>0.16</v>
      </c>
      <c r="T1420" s="1233">
        <v>0.02</v>
      </c>
      <c r="U1420" s="1233">
        <v>0.26</v>
      </c>
      <c r="V1420" s="1233"/>
    </row>
    <row r="1421" spans="1:22" s="1238" customFormat="1" x14ac:dyDescent="0.25">
      <c r="A1421" s="1230">
        <v>100062</v>
      </c>
      <c r="B1421" s="2026" t="str">
        <f t="shared" si="41"/>
        <v>-56,97/+57,39  (EC  55,1)</v>
      </c>
      <c r="C1421" s="1232"/>
      <c r="D1421" s="1233">
        <v>7.46</v>
      </c>
      <c r="E1421" s="1233">
        <v>5.51</v>
      </c>
      <c r="F1421" s="1235">
        <v>752.1</v>
      </c>
      <c r="G1421" s="1233">
        <v>0</v>
      </c>
      <c r="H1421" s="1233">
        <v>0.6</v>
      </c>
      <c r="I1421" s="1235">
        <v>685.20839999999998</v>
      </c>
      <c r="J1421" s="1235">
        <v>1075.1400000000001</v>
      </c>
      <c r="K1421" s="1235">
        <v>59.945399999999999</v>
      </c>
      <c r="L1421" s="1233">
        <v>153.60000000000002</v>
      </c>
      <c r="M1421" s="1233">
        <v>0</v>
      </c>
      <c r="N1421" s="1233">
        <v>174.66</v>
      </c>
      <c r="O1421" s="1233">
        <v>417.81</v>
      </c>
      <c r="P1421" s="1233">
        <v>325.99</v>
      </c>
      <c r="Q1421" s="1233">
        <v>220.81</v>
      </c>
      <c r="R1421" s="1233">
        <v>0.02</v>
      </c>
      <c r="S1421" s="1233">
        <v>0.01</v>
      </c>
      <c r="T1421" s="1233">
        <v>0.01</v>
      </c>
      <c r="U1421" s="1233">
        <v>0.08</v>
      </c>
      <c r="V1421" s="1233"/>
    </row>
    <row r="1422" spans="1:22" s="1238" customFormat="1" x14ac:dyDescent="0.25">
      <c r="A1422" s="1230">
        <v>100063</v>
      </c>
      <c r="B1422" s="2026" t="str">
        <f t="shared" si="41"/>
        <v>-45,57/+47,00  (EC  45,5)</v>
      </c>
      <c r="C1422" s="1232"/>
      <c r="D1422" s="1233">
        <v>6.26</v>
      </c>
      <c r="E1422" s="1233">
        <v>4.55</v>
      </c>
      <c r="F1422" s="1235">
        <v>750.7</v>
      </c>
      <c r="G1422" s="1233">
        <v>0</v>
      </c>
      <c r="H1422" s="1233">
        <v>0.55000000000000004</v>
      </c>
      <c r="I1422" s="1235">
        <v>322.12</v>
      </c>
      <c r="J1422" s="1235">
        <v>1062.1199999999999</v>
      </c>
      <c r="K1422" s="1235">
        <v>96.879599999999996</v>
      </c>
      <c r="L1422" s="1233">
        <v>76.800000000000011</v>
      </c>
      <c r="M1422" s="1233">
        <v>0</v>
      </c>
      <c r="N1422" s="1233">
        <v>281.79000000000002</v>
      </c>
      <c r="O1422" s="1233">
        <v>179.35</v>
      </c>
      <c r="P1422" s="1233">
        <v>341.28</v>
      </c>
      <c r="Q1422" s="1233">
        <v>178.44</v>
      </c>
      <c r="R1422" s="1233">
        <v>0.33</v>
      </c>
      <c r="S1422" s="1233">
        <v>7.0000000000000007E-2</v>
      </c>
      <c r="T1422" s="1233">
        <v>0.94</v>
      </c>
      <c r="U1422" s="1233">
        <v>0.09</v>
      </c>
      <c r="V1422" s="1233"/>
    </row>
    <row r="1423" spans="1:22" s="1238" customFormat="1" x14ac:dyDescent="0.25">
      <c r="A1423" s="1230">
        <v>100064</v>
      </c>
      <c r="B1423" s="2026" t="str">
        <f t="shared" si="41"/>
        <v>-19,31/+19,96  (EC  19,3)</v>
      </c>
      <c r="C1423" s="1232"/>
      <c r="D1423" s="1233">
        <v>7.42</v>
      </c>
      <c r="E1423" s="1233">
        <v>1.93</v>
      </c>
      <c r="F1423" s="1235">
        <v>1.4</v>
      </c>
      <c r="G1423" s="1233">
        <v>0</v>
      </c>
      <c r="H1423" s="1233">
        <v>0.45</v>
      </c>
      <c r="I1423" s="1235">
        <v>342.15720000000005</v>
      </c>
      <c r="J1423" s="1235">
        <v>157.36000000000001</v>
      </c>
      <c r="K1423" s="2081">
        <v>1E-3</v>
      </c>
      <c r="L1423" s="1233">
        <v>388.79999999999995</v>
      </c>
      <c r="M1423" s="1233">
        <v>0</v>
      </c>
      <c r="N1423" s="1233">
        <v>4.8600000000000003</v>
      </c>
      <c r="O1423" s="1233">
        <v>212.52</v>
      </c>
      <c r="P1423" s="1233">
        <v>90.04</v>
      </c>
      <c r="Q1423" s="1233">
        <v>72.73</v>
      </c>
      <c r="R1423" s="1233">
        <v>0.04</v>
      </c>
      <c r="S1423" s="1233">
        <v>1E-3</v>
      </c>
      <c r="T1423" s="1233">
        <v>0.01</v>
      </c>
      <c r="U1423" s="1230">
        <v>0.02</v>
      </c>
      <c r="V1423" s="1233"/>
    </row>
    <row r="1424" spans="1:22" s="1238" customFormat="1" x14ac:dyDescent="0.25">
      <c r="A1424" s="1230">
        <v>100065</v>
      </c>
      <c r="B1424" s="2026" t="str">
        <f t="shared" si="41"/>
        <v>-12,67/+12,58  (EC  11,9)</v>
      </c>
      <c r="C1424" s="1232"/>
      <c r="D1424" s="1233">
        <v>7.58</v>
      </c>
      <c r="E1424" s="1233">
        <v>1.19</v>
      </c>
      <c r="F1424" s="1235">
        <v>7.7</v>
      </c>
      <c r="G1424" s="1233">
        <v>0</v>
      </c>
      <c r="H1424" s="1233">
        <v>0.49</v>
      </c>
      <c r="I1424" s="1235">
        <v>186.07439999999997</v>
      </c>
      <c r="J1424" s="1235">
        <v>91.65</v>
      </c>
      <c r="K1424" s="2081">
        <v>1E-3</v>
      </c>
      <c r="L1424" s="1233">
        <v>328.79999999999995</v>
      </c>
      <c r="M1424" s="1233">
        <v>0</v>
      </c>
      <c r="N1424" s="1233">
        <v>3.02</v>
      </c>
      <c r="O1424" s="1233">
        <v>113.46</v>
      </c>
      <c r="P1424" s="1233">
        <v>74.67</v>
      </c>
      <c r="Q1424" s="1233">
        <v>45.6</v>
      </c>
      <c r="R1424" s="1233">
        <v>0.01</v>
      </c>
      <c r="S1424" s="1233">
        <v>1E-3</v>
      </c>
      <c r="T1424" s="1233">
        <v>1E-3</v>
      </c>
      <c r="U1424" s="1233">
        <v>1E-3</v>
      </c>
      <c r="V1424" s="1233"/>
    </row>
    <row r="1425" spans="1:22" s="1711" customFormat="1" x14ac:dyDescent="0.25">
      <c r="A1425" s="727">
        <v>100066</v>
      </c>
      <c r="B1425" s="1268" t="str">
        <f t="shared" si="41"/>
        <v>-8,99/+9,91  (EC  8,96)</v>
      </c>
      <c r="C1425" s="729"/>
      <c r="D1425" s="730">
        <v>7.32</v>
      </c>
      <c r="E1425" s="730">
        <v>0.89600000000000002</v>
      </c>
      <c r="F1425" s="731">
        <v>20.02</v>
      </c>
      <c r="G1425" s="730">
        <v>0</v>
      </c>
      <c r="H1425" s="730">
        <v>0.23</v>
      </c>
      <c r="I1425" s="731">
        <v>88.789599999999993</v>
      </c>
      <c r="J1425" s="733">
        <v>39.11</v>
      </c>
      <c r="K1425" s="730">
        <v>1E-3</v>
      </c>
      <c r="L1425" s="730">
        <v>326.39999999999998</v>
      </c>
      <c r="M1425" s="730">
        <v>0</v>
      </c>
      <c r="N1425" s="730">
        <v>1.84</v>
      </c>
      <c r="O1425" s="730">
        <v>54.14</v>
      </c>
      <c r="P1425" s="730">
        <v>72.16</v>
      </c>
      <c r="Q1425" s="730">
        <v>46.63</v>
      </c>
      <c r="R1425" s="730">
        <v>1E-3</v>
      </c>
      <c r="S1425" s="730">
        <v>1E-3</v>
      </c>
      <c r="T1425" s="730">
        <v>1E-3</v>
      </c>
      <c r="U1425" s="730">
        <v>1E-3</v>
      </c>
      <c r="V1425" s="730"/>
    </row>
    <row r="1426" spans="1:22" s="1711" customFormat="1" x14ac:dyDescent="0.25">
      <c r="A1426" s="727">
        <v>100067</v>
      </c>
      <c r="B1426" s="1268" t="str">
        <f t="shared" si="41"/>
        <v>-9,00/+10,10  (EC  9,21)</v>
      </c>
      <c r="C1426" s="729"/>
      <c r="D1426" s="730">
        <v>7.33</v>
      </c>
      <c r="E1426" s="730">
        <v>0.92100000000000004</v>
      </c>
      <c r="F1426" s="731">
        <v>20.97</v>
      </c>
      <c r="G1426" s="730">
        <v>0</v>
      </c>
      <c r="H1426" s="730">
        <v>0.2</v>
      </c>
      <c r="I1426" s="731">
        <v>94.238200000000006</v>
      </c>
      <c r="J1426" s="730">
        <v>39.130000000000003</v>
      </c>
      <c r="K1426" s="730">
        <v>1E-3</v>
      </c>
      <c r="L1426" s="730">
        <v>316.79999999999995</v>
      </c>
      <c r="M1426" s="730">
        <v>0</v>
      </c>
      <c r="N1426" s="730">
        <v>1.88</v>
      </c>
      <c r="O1426" s="730">
        <v>56.77</v>
      </c>
      <c r="P1426" s="730">
        <v>72.5</v>
      </c>
      <c r="Q1426" s="730">
        <v>47.34</v>
      </c>
      <c r="R1426" s="730">
        <v>1E-3</v>
      </c>
      <c r="S1426" s="730">
        <v>1E-3</v>
      </c>
      <c r="T1426" s="730">
        <v>1E-3</v>
      </c>
      <c r="U1426" s="727">
        <v>0.04</v>
      </c>
      <c r="V1426" s="730"/>
    </row>
    <row r="1427" spans="1:22" s="1711" customFormat="1" x14ac:dyDescent="0.25">
      <c r="A1427" s="727">
        <v>100068</v>
      </c>
      <c r="B1427" s="1268" t="str">
        <f t="shared" si="41"/>
        <v>-8,54/+9,66  (EC  8,72)</v>
      </c>
      <c r="C1427" s="729"/>
      <c r="D1427" s="730">
        <v>7.32</v>
      </c>
      <c r="E1427" s="730">
        <v>0.872</v>
      </c>
      <c r="F1427" s="731">
        <v>19.87</v>
      </c>
      <c r="G1427" s="730">
        <v>0</v>
      </c>
      <c r="H1427" s="730">
        <v>0.19</v>
      </c>
      <c r="I1427" s="731">
        <v>80.033100000000005</v>
      </c>
      <c r="J1427" s="730">
        <v>39.119999999999997</v>
      </c>
      <c r="K1427" s="730">
        <v>1E-3</v>
      </c>
      <c r="L1427" s="730">
        <v>314.39999999999998</v>
      </c>
      <c r="M1427" s="730">
        <v>0</v>
      </c>
      <c r="N1427" s="730">
        <v>1.84</v>
      </c>
      <c r="O1427" s="730">
        <v>49.71</v>
      </c>
      <c r="P1427" s="730">
        <v>71.95</v>
      </c>
      <c r="Q1427" s="730">
        <v>46.14</v>
      </c>
      <c r="R1427" s="730">
        <v>1E-3</v>
      </c>
      <c r="S1427" s="730">
        <v>1E-3</v>
      </c>
      <c r="T1427" s="730">
        <v>1E-3</v>
      </c>
      <c r="U1427" s="730">
        <v>1E-3</v>
      </c>
      <c r="V1427" s="730"/>
    </row>
    <row r="1428" spans="1:22" s="1711" customFormat="1" x14ac:dyDescent="0.25">
      <c r="A1428" s="727">
        <v>100069</v>
      </c>
      <c r="B1428" s="1268" t="str">
        <f t="shared" si="41"/>
        <v>-9,14/+10,11  (EC  9,29)</v>
      </c>
      <c r="C1428" s="729"/>
      <c r="D1428" s="730">
        <v>7.46</v>
      </c>
      <c r="E1428" s="730">
        <v>0.92900000000000005</v>
      </c>
      <c r="F1428" s="731">
        <v>19.66</v>
      </c>
      <c r="G1428" s="730">
        <v>0</v>
      </c>
      <c r="H1428" s="730">
        <v>0.21</v>
      </c>
      <c r="I1428" s="731">
        <v>103.35600000000001</v>
      </c>
      <c r="J1428" s="730">
        <v>45.81</v>
      </c>
      <c r="K1428" s="730">
        <v>1E-3</v>
      </c>
      <c r="L1428" s="730">
        <v>302.39999999999998</v>
      </c>
      <c r="M1428" s="730">
        <v>0</v>
      </c>
      <c r="N1428" s="730">
        <v>2.0299999999999998</v>
      </c>
      <c r="O1428" s="730">
        <v>63.8</v>
      </c>
      <c r="P1428" s="730">
        <v>70.67</v>
      </c>
      <c r="Q1428" s="730">
        <v>44.86</v>
      </c>
      <c r="R1428" s="730">
        <v>1E-3</v>
      </c>
      <c r="S1428" s="730">
        <v>1E-3</v>
      </c>
      <c r="T1428" s="730">
        <v>1E-3</v>
      </c>
      <c r="U1428" s="727">
        <v>0.04</v>
      </c>
      <c r="V1428" s="730"/>
    </row>
    <row r="1429" spans="1:22" s="1711" customFormat="1" x14ac:dyDescent="0.25">
      <c r="A1429" s="727">
        <v>100070</v>
      </c>
      <c r="B1429" s="1268" t="str">
        <f t="shared" ref="B1429:B1444" si="42">"-"&amp;TEXT((F1429/62+G1429/46+I1429/35.5+J1429/48+K1429/97+L1429/61),"0,00")&amp;"/+"&amp;TEXT((N1429/39+O1429/23+P1429/20+Q1429/12+H1429/14),"0,00")&amp;"  (EC  "&amp;E1429*10&amp;")"</f>
        <v>-8,87/+9,77  (EC  8,91)</v>
      </c>
      <c r="C1429" s="729"/>
      <c r="D1429" s="730">
        <v>7.39</v>
      </c>
      <c r="E1429" s="730">
        <v>0.89100000000000001</v>
      </c>
      <c r="F1429" s="731">
        <v>16.57</v>
      </c>
      <c r="G1429" s="730">
        <v>0</v>
      </c>
      <c r="H1429" s="730">
        <v>0.25</v>
      </c>
      <c r="I1429" s="731">
        <v>98.191199999999995</v>
      </c>
      <c r="J1429" s="730">
        <v>48.08</v>
      </c>
      <c r="K1429" s="730">
        <v>1E-3</v>
      </c>
      <c r="L1429" s="730">
        <v>295.20000000000005</v>
      </c>
      <c r="M1429" s="730">
        <v>0</v>
      </c>
      <c r="N1429" s="730">
        <v>1.81</v>
      </c>
      <c r="O1429" s="730">
        <v>60.24</v>
      </c>
      <c r="P1429" s="730">
        <v>71.349999999999994</v>
      </c>
      <c r="Q1429" s="730">
        <v>42.19</v>
      </c>
      <c r="R1429" s="730">
        <v>1E-3</v>
      </c>
      <c r="S1429" s="730">
        <v>1E-3</v>
      </c>
      <c r="T1429" s="730">
        <v>1E-3</v>
      </c>
      <c r="U1429" s="730">
        <v>1E-3</v>
      </c>
      <c r="V1429" s="730"/>
    </row>
    <row r="1430" spans="1:22" s="1711" customFormat="1" x14ac:dyDescent="0.25">
      <c r="A1430" s="727">
        <v>100071</v>
      </c>
      <c r="B1430" s="1268" t="str">
        <f t="shared" si="42"/>
        <v>-10,06/+10,99  (EC  10,26)</v>
      </c>
      <c r="C1430" s="729"/>
      <c r="D1430" s="730">
        <v>7.42</v>
      </c>
      <c r="E1430" s="730">
        <v>1.026</v>
      </c>
      <c r="F1430" s="731">
        <v>19.02</v>
      </c>
      <c r="G1430" s="730">
        <v>0</v>
      </c>
      <c r="H1430" s="730">
        <v>0.22</v>
      </c>
      <c r="I1430" s="731">
        <v>136.76950000000002</v>
      </c>
      <c r="J1430" s="730">
        <v>66.12</v>
      </c>
      <c r="K1430" s="730">
        <v>1E-3</v>
      </c>
      <c r="L1430" s="730">
        <v>276</v>
      </c>
      <c r="M1430" s="730">
        <v>0</v>
      </c>
      <c r="N1430" s="730">
        <v>2.39</v>
      </c>
      <c r="O1430" s="730">
        <v>84.95</v>
      </c>
      <c r="P1430" s="730">
        <v>69.94</v>
      </c>
      <c r="Q1430" s="730">
        <v>44.68</v>
      </c>
      <c r="R1430" s="730">
        <v>1E-3</v>
      </c>
      <c r="S1430" s="730">
        <v>1E-3</v>
      </c>
      <c r="T1430" s="730">
        <v>1E-3</v>
      </c>
      <c r="U1430" s="727">
        <v>0.01</v>
      </c>
      <c r="V1430" s="730"/>
    </row>
    <row r="1431" spans="1:22" s="642" customFormat="1" x14ac:dyDescent="0.25">
      <c r="A1431" s="788">
        <v>100072</v>
      </c>
      <c r="B1431" s="789" t="str">
        <f t="shared" si="42"/>
        <v>-18,71/+19,03  (EC  18,14)</v>
      </c>
      <c r="C1431" s="790"/>
      <c r="D1431" s="791">
        <v>7.27</v>
      </c>
      <c r="E1431" s="791">
        <v>1.8140000000000001</v>
      </c>
      <c r="F1431" s="841">
        <v>34.15</v>
      </c>
      <c r="G1431" s="791">
        <v>0</v>
      </c>
      <c r="H1431" s="791">
        <v>0.22</v>
      </c>
      <c r="I1431" s="1031">
        <v>318.14</v>
      </c>
      <c r="J1431" s="791">
        <f>29.79*5</f>
        <v>148.94999999999999</v>
      </c>
      <c r="K1431" s="791">
        <f>3.06*0.02</f>
        <v>6.1200000000000004E-2</v>
      </c>
      <c r="L1431" s="791">
        <v>372</v>
      </c>
      <c r="M1431" s="791">
        <v>0</v>
      </c>
      <c r="N1431" s="791">
        <v>3.13</v>
      </c>
      <c r="O1431" s="791">
        <v>184.08</v>
      </c>
      <c r="P1431" s="791">
        <v>98.92</v>
      </c>
      <c r="Q1431" s="791">
        <v>71.77</v>
      </c>
      <c r="R1431" s="791">
        <v>1E-3</v>
      </c>
      <c r="S1431" s="791">
        <v>1E-3</v>
      </c>
      <c r="T1431" s="791">
        <v>1E-3</v>
      </c>
      <c r="U1431" s="791">
        <v>1E-3</v>
      </c>
      <c r="V1431" s="791"/>
    </row>
    <row r="1432" spans="1:22" s="642" customFormat="1" x14ac:dyDescent="0.25">
      <c r="A1432" s="788">
        <v>100073</v>
      </c>
      <c r="B1432" s="789" t="str">
        <f t="shared" si="42"/>
        <v>-18,18/+21,38  (EC  20,25)</v>
      </c>
      <c r="C1432" s="790"/>
      <c r="D1432" s="791">
        <v>7.32</v>
      </c>
      <c r="E1432" s="791">
        <v>2.0249999999999999</v>
      </c>
      <c r="F1432" s="841">
        <v>15.57</v>
      </c>
      <c r="G1432" s="791">
        <v>0</v>
      </c>
      <c r="H1432" s="791">
        <v>0.15</v>
      </c>
      <c r="I1432" s="1031">
        <v>291</v>
      </c>
      <c r="J1432" s="791">
        <v>233.12</v>
      </c>
      <c r="K1432" s="791">
        <f>3.06*0.02</f>
        <v>6.1200000000000004E-2</v>
      </c>
      <c r="L1432" s="791">
        <v>297.60000000000002</v>
      </c>
      <c r="M1432" s="791">
        <v>0</v>
      </c>
      <c r="N1432" s="791">
        <v>3.76</v>
      </c>
      <c r="O1432" s="791">
        <v>164.11</v>
      </c>
      <c r="P1432" s="791">
        <v>162.30000000000001</v>
      </c>
      <c r="Q1432" s="791">
        <v>72.31</v>
      </c>
      <c r="R1432" s="791">
        <v>1E-3</v>
      </c>
      <c r="S1432" s="791">
        <v>1E-3</v>
      </c>
      <c r="T1432" s="791">
        <v>1E-3</v>
      </c>
      <c r="U1432" s="791">
        <v>0.03</v>
      </c>
      <c r="V1432" s="791"/>
    </row>
    <row r="1433" spans="1:22" s="642" customFormat="1" x14ac:dyDescent="0.25">
      <c r="A1433" s="788">
        <v>100074</v>
      </c>
      <c r="B1433" s="789" t="str">
        <f t="shared" si="42"/>
        <v>-18,03/+19,82  (EC  20,15)</v>
      </c>
      <c r="C1433" s="788"/>
      <c r="D1433" s="791">
        <v>7.3</v>
      </c>
      <c r="E1433" s="791">
        <v>2.0150000000000001</v>
      </c>
      <c r="F1433" s="841">
        <v>14.97</v>
      </c>
      <c r="G1433" s="791">
        <v>0</v>
      </c>
      <c r="H1433" s="791">
        <v>0.14000000000000001</v>
      </c>
      <c r="I1433" s="1031">
        <v>299.14</v>
      </c>
      <c r="J1433" s="791">
        <v>220.14</v>
      </c>
      <c r="K1433" s="791">
        <f>3.06*0.01</f>
        <v>3.0600000000000002E-2</v>
      </c>
      <c r="L1433" s="791">
        <v>291.14</v>
      </c>
      <c r="M1433" s="791">
        <v>0</v>
      </c>
      <c r="N1433" s="791">
        <v>3.54</v>
      </c>
      <c r="O1433" s="791">
        <v>170.22</v>
      </c>
      <c r="P1433" s="791">
        <v>136.22999999999999</v>
      </c>
      <c r="Q1433" s="791">
        <v>66.14</v>
      </c>
      <c r="R1433" s="791">
        <v>1E-3</v>
      </c>
      <c r="S1433" s="791">
        <v>1E-3</v>
      </c>
      <c r="T1433" s="791">
        <v>1E-3</v>
      </c>
      <c r="U1433" s="791">
        <v>0.02</v>
      </c>
      <c r="V1433" s="791"/>
    </row>
    <row r="1434" spans="1:22" s="969" customFormat="1" ht="18.75" x14ac:dyDescent="0.3">
      <c r="A1434" s="970">
        <v>100075</v>
      </c>
      <c r="B1434" s="993" t="str">
        <f t="shared" si="42"/>
        <v>-40,81/+37,99  (EC  39,2)</v>
      </c>
      <c r="C1434" s="970"/>
      <c r="D1434" s="968">
        <v>8.0500000000000007</v>
      </c>
      <c r="E1434" s="968">
        <v>3.92</v>
      </c>
      <c r="F1434" s="2123">
        <v>1.25</v>
      </c>
      <c r="G1434" s="968">
        <v>0</v>
      </c>
      <c r="H1434" s="968">
        <v>0.28999999999999998</v>
      </c>
      <c r="I1434" s="2122">
        <v>877.6</v>
      </c>
      <c r="J1434" s="968">
        <f>113.65*5</f>
        <v>568.25</v>
      </c>
      <c r="K1434" s="968">
        <v>0.15300000000000002</v>
      </c>
      <c r="L1434" s="968">
        <v>258</v>
      </c>
      <c r="M1434" s="968">
        <v>0</v>
      </c>
      <c r="N1434" s="968">
        <v>10.5</v>
      </c>
      <c r="O1434" s="2124">
        <v>598.42999999999995</v>
      </c>
      <c r="P1434" s="968">
        <v>141.09</v>
      </c>
      <c r="Q1434" s="968">
        <v>55.53</v>
      </c>
      <c r="R1434" s="968">
        <v>1E-3</v>
      </c>
      <c r="S1434" s="968">
        <v>1E-3</v>
      </c>
      <c r="T1434" s="968">
        <v>1E-3</v>
      </c>
      <c r="U1434" s="968">
        <v>1E-3</v>
      </c>
      <c r="V1434" s="968"/>
    </row>
    <row r="1435" spans="1:22" s="969" customFormat="1" ht="18.75" x14ac:dyDescent="0.3">
      <c r="A1435" s="970">
        <v>100076</v>
      </c>
      <c r="B1435" s="993" t="str">
        <f t="shared" si="42"/>
        <v>-13,39/+12,88  (EC  12,1)</v>
      </c>
      <c r="C1435" s="970"/>
      <c r="D1435" s="968">
        <v>7.97</v>
      </c>
      <c r="E1435" s="968">
        <v>1.21</v>
      </c>
      <c r="F1435" s="2123">
        <v>1.02</v>
      </c>
      <c r="G1435" s="968">
        <v>0</v>
      </c>
      <c r="H1435" s="968">
        <v>0.13</v>
      </c>
      <c r="I1435" s="2122">
        <v>146.66099999999997</v>
      </c>
      <c r="J1435" s="968">
        <v>112.12</v>
      </c>
      <c r="K1435" s="968">
        <v>6.1200000000000004E-2</v>
      </c>
      <c r="L1435" s="968">
        <v>421.12</v>
      </c>
      <c r="M1435" s="968">
        <v>0</v>
      </c>
      <c r="N1435" s="968">
        <v>1.86</v>
      </c>
      <c r="O1435" s="968">
        <v>88.35</v>
      </c>
      <c r="P1435" s="968">
        <v>85.69</v>
      </c>
      <c r="Q1435" s="968">
        <v>56.34</v>
      </c>
      <c r="R1435" s="968">
        <v>1E-3</v>
      </c>
      <c r="S1435" s="968">
        <v>1E-3</v>
      </c>
      <c r="T1435" s="968">
        <v>1E-3</v>
      </c>
      <c r="U1435" s="968">
        <v>1E-3</v>
      </c>
      <c r="V1435" s="968"/>
    </row>
    <row r="1436" spans="1:22" s="1813" customFormat="1" x14ac:dyDescent="0.25">
      <c r="A1436" s="1299">
        <v>100077</v>
      </c>
      <c r="B1436" s="2128" t="str">
        <f t="shared" si="42"/>
        <v>-8,62/+9,19  (EC  8,84)</v>
      </c>
      <c r="C1436" s="1300"/>
      <c r="D1436" s="1301">
        <v>7.42</v>
      </c>
      <c r="E1436" s="1301">
        <v>0.88400000000000001</v>
      </c>
      <c r="F1436" s="2127">
        <v>38.5</v>
      </c>
      <c r="G1436" s="1301">
        <v>0</v>
      </c>
      <c r="H1436" s="1301">
        <v>0.14000000000000001</v>
      </c>
      <c r="I1436" s="2130">
        <v>146.0592</v>
      </c>
      <c r="J1436" s="2127">
        <v>12.51</v>
      </c>
      <c r="K1436" s="1301">
        <f>3.06*0.01</f>
        <v>3.0600000000000002E-2</v>
      </c>
      <c r="L1436" s="1301">
        <v>221.2</v>
      </c>
      <c r="M1436" s="1301">
        <v>0</v>
      </c>
      <c r="N1436" s="1301">
        <v>7.55</v>
      </c>
      <c r="O1436" s="1301">
        <v>90.16</v>
      </c>
      <c r="P1436" s="1301">
        <v>60.94</v>
      </c>
      <c r="Q1436" s="1301">
        <v>24.2</v>
      </c>
      <c r="R1436" s="1301">
        <v>0.04</v>
      </c>
      <c r="S1436" s="1301">
        <v>1E-3</v>
      </c>
      <c r="T1436" s="1301">
        <v>1E-3</v>
      </c>
      <c r="U1436" s="1301">
        <v>1E-3</v>
      </c>
      <c r="V1436" s="1301"/>
    </row>
    <row r="1437" spans="1:22" s="1813" customFormat="1" x14ac:dyDescent="0.25">
      <c r="A1437" s="1299">
        <v>100078</v>
      </c>
      <c r="B1437" s="2128" t="str">
        <f t="shared" si="42"/>
        <v>-10,06/+9,39  (EC  9,12)</v>
      </c>
      <c r="C1437" s="1300"/>
      <c r="D1437" s="1301">
        <v>6.65</v>
      </c>
      <c r="E1437" s="1301">
        <v>0.91200000000000003</v>
      </c>
      <c r="F1437" s="2127">
        <v>30.12</v>
      </c>
      <c r="G1437" s="1301">
        <v>0</v>
      </c>
      <c r="H1437" s="1301">
        <v>0.13</v>
      </c>
      <c r="I1437" s="2130">
        <v>171.08849999999998</v>
      </c>
      <c r="J1437" s="2127">
        <v>14.45</v>
      </c>
      <c r="K1437" s="1301">
        <f>3.06*0.15</f>
        <v>0.45899999999999996</v>
      </c>
      <c r="L1437" s="1301">
        <v>271.20999999999998</v>
      </c>
      <c r="M1437" s="1301">
        <v>0</v>
      </c>
      <c r="N1437" s="1301">
        <v>8.64</v>
      </c>
      <c r="O1437" s="1301">
        <v>103.69</v>
      </c>
      <c r="P1437" s="1301">
        <v>55.31</v>
      </c>
      <c r="Q1437" s="1301">
        <v>22.6</v>
      </c>
      <c r="R1437" s="1301">
        <v>0.11</v>
      </c>
      <c r="S1437" s="1301">
        <v>1E-3</v>
      </c>
      <c r="T1437" s="1301">
        <v>1E-3</v>
      </c>
      <c r="U1437" s="1301">
        <v>1E-3</v>
      </c>
      <c r="V1437" s="1301"/>
    </row>
    <row r="1438" spans="1:22" s="969" customFormat="1" x14ac:dyDescent="0.25">
      <c r="A1438" s="970">
        <v>100079</v>
      </c>
      <c r="B1438" s="993" t="str">
        <f t="shared" si="42"/>
        <v>-0,04/+0,01  (EC  0,02)</v>
      </c>
      <c r="C1438" s="971"/>
      <c r="D1438" s="968">
        <v>8.3699999999999992</v>
      </c>
      <c r="E1438" s="968">
        <v>2E-3</v>
      </c>
      <c r="F1438" s="1338">
        <v>0.01</v>
      </c>
      <c r="G1438" s="968">
        <v>0</v>
      </c>
      <c r="H1438" s="968">
        <v>0.03</v>
      </c>
      <c r="I1438" s="2122">
        <v>0.02</v>
      </c>
      <c r="J1438" s="968">
        <v>1E-3</v>
      </c>
      <c r="K1438" s="968">
        <v>1E-3</v>
      </c>
      <c r="L1438" s="968">
        <v>2.4</v>
      </c>
      <c r="M1438" s="968">
        <v>0</v>
      </c>
      <c r="N1438" s="968">
        <v>0.09</v>
      </c>
      <c r="O1438" s="968">
        <v>0.05</v>
      </c>
      <c r="P1438" s="968">
        <v>1E-3</v>
      </c>
      <c r="Q1438" s="968">
        <v>1E-3</v>
      </c>
      <c r="R1438" s="968"/>
      <c r="S1438" s="968"/>
      <c r="T1438" s="968"/>
      <c r="U1438" s="968"/>
      <c r="V1438" s="968"/>
    </row>
    <row r="1439" spans="1:22" s="969" customFormat="1" x14ac:dyDescent="0.25">
      <c r="A1439" s="970">
        <v>100080</v>
      </c>
      <c r="B1439" s="993" t="str">
        <f t="shared" si="42"/>
        <v>-12,38/+14,10  (EC  12,2)</v>
      </c>
      <c r="C1439" s="971"/>
      <c r="D1439" s="968">
        <v>7.45</v>
      </c>
      <c r="E1439" s="968">
        <v>1.22</v>
      </c>
      <c r="F1439" s="1338">
        <v>11.42</v>
      </c>
      <c r="G1439" s="968">
        <v>0</v>
      </c>
      <c r="H1439" s="968">
        <v>0.18</v>
      </c>
      <c r="I1439" s="2122">
        <v>84.544000000000011</v>
      </c>
      <c r="J1439" s="968">
        <v>199.19</v>
      </c>
      <c r="K1439" s="968">
        <v>1E-3</v>
      </c>
      <c r="L1439" s="968">
        <v>345.6</v>
      </c>
      <c r="M1439" s="968">
        <v>0</v>
      </c>
      <c r="N1439" s="968">
        <v>4.4400000000000004</v>
      </c>
      <c r="O1439" s="968">
        <v>52.84</v>
      </c>
      <c r="P1439" s="968">
        <v>85.78</v>
      </c>
      <c r="Q1439" s="968">
        <v>88.59</v>
      </c>
      <c r="R1439" s="968">
        <v>1E-3</v>
      </c>
      <c r="S1439" s="968">
        <v>1E-3</v>
      </c>
      <c r="T1439" s="968">
        <v>1E-3</v>
      </c>
      <c r="U1439" s="968">
        <v>0.03</v>
      </c>
      <c r="V1439" s="968"/>
    </row>
    <row r="1440" spans="1:22" s="969" customFormat="1" x14ac:dyDescent="0.25">
      <c r="A1440" s="970">
        <v>100081</v>
      </c>
      <c r="B1440" s="993" t="str">
        <f t="shared" si="42"/>
        <v>-12,42/+14,79  (EC  12,4)</v>
      </c>
      <c r="C1440" s="971"/>
      <c r="D1440" s="968">
        <v>7.3</v>
      </c>
      <c r="E1440" s="968">
        <v>1.24</v>
      </c>
      <c r="F1440" s="1338">
        <v>12.53</v>
      </c>
      <c r="G1440" s="968">
        <v>0</v>
      </c>
      <c r="H1440" s="968">
        <v>0.19</v>
      </c>
      <c r="I1440" s="2122">
        <v>88.9542</v>
      </c>
      <c r="J1440" s="968">
        <v>205.71</v>
      </c>
      <c r="K1440" s="968">
        <v>1E-3</v>
      </c>
      <c r="L1440" s="968">
        <v>331.20000000000005</v>
      </c>
      <c r="M1440" s="968">
        <v>0</v>
      </c>
      <c r="N1440" s="968">
        <v>5.39</v>
      </c>
      <c r="O1440" s="968">
        <v>54.91</v>
      </c>
      <c r="P1440" s="968">
        <v>87.54</v>
      </c>
      <c r="Q1440" s="968">
        <v>94.54</v>
      </c>
      <c r="R1440" s="968">
        <v>1E-3</v>
      </c>
      <c r="S1440" s="968">
        <v>1E-3</v>
      </c>
      <c r="T1440" s="968">
        <v>1E-3</v>
      </c>
      <c r="U1440" s="968">
        <v>0.01</v>
      </c>
      <c r="V1440" s="968"/>
    </row>
    <row r="1441" spans="1:22" s="969" customFormat="1" x14ac:dyDescent="0.25">
      <c r="A1441" s="970">
        <v>100082</v>
      </c>
      <c r="B1441" s="993" t="str">
        <f t="shared" si="42"/>
        <v>-2,60/+2,07  (EC  1,78)</v>
      </c>
      <c r="C1441" s="971"/>
      <c r="D1441" s="968">
        <v>7.54</v>
      </c>
      <c r="E1441" s="968">
        <v>0.17799999999999999</v>
      </c>
      <c r="F1441" s="1338">
        <v>0.45</v>
      </c>
      <c r="G1441" s="968">
        <v>0</v>
      </c>
      <c r="H1441" s="968">
        <v>0.11</v>
      </c>
      <c r="I1441" s="2122">
        <v>19.47</v>
      </c>
      <c r="J1441" s="968">
        <v>13.2</v>
      </c>
      <c r="K1441" s="968">
        <v>1E-3</v>
      </c>
      <c r="L1441" s="968">
        <v>108</v>
      </c>
      <c r="M1441" s="968">
        <v>0</v>
      </c>
      <c r="N1441" s="968">
        <v>0.55000000000000004</v>
      </c>
      <c r="O1441" s="968">
        <v>11.8</v>
      </c>
      <c r="P1441" s="968">
        <v>14.64</v>
      </c>
      <c r="Q1441" s="968">
        <v>9.6</v>
      </c>
      <c r="R1441" s="968">
        <v>1E-3</v>
      </c>
      <c r="S1441" s="968">
        <v>1E-3</v>
      </c>
      <c r="T1441" s="968">
        <v>0.46</v>
      </c>
      <c r="U1441" s="968">
        <v>0.23</v>
      </c>
      <c r="V1441" s="968"/>
    </row>
    <row r="1442" spans="1:22" s="969" customFormat="1" x14ac:dyDescent="0.25">
      <c r="A1442" s="970">
        <v>100083</v>
      </c>
      <c r="B1442" s="993" t="str">
        <f t="shared" si="42"/>
        <v>-4,68/+3,82  (EC  3,5)</v>
      </c>
      <c r="C1442" s="971"/>
      <c r="D1442" s="968">
        <v>7.67</v>
      </c>
      <c r="E1442" s="968">
        <v>0.35</v>
      </c>
      <c r="F1442" s="1338">
        <v>21.87</v>
      </c>
      <c r="G1442" s="968">
        <v>0</v>
      </c>
      <c r="H1442" s="968">
        <v>0.15</v>
      </c>
      <c r="I1442" s="2122">
        <v>39.163199999999996</v>
      </c>
      <c r="J1442" s="968">
        <v>1E-3</v>
      </c>
      <c r="K1442" s="968">
        <v>1E-3</v>
      </c>
      <c r="L1442" s="968">
        <v>196.79999999999998</v>
      </c>
      <c r="M1442" s="968">
        <v>0</v>
      </c>
      <c r="N1442" s="968">
        <v>22.54</v>
      </c>
      <c r="O1442" s="968">
        <v>23.88</v>
      </c>
      <c r="P1442" s="968">
        <v>20.170000000000002</v>
      </c>
      <c r="Q1442" s="968">
        <v>14.23</v>
      </c>
      <c r="R1442" s="968">
        <v>1E-3</v>
      </c>
      <c r="S1442" s="968">
        <v>1E-3</v>
      </c>
      <c r="T1442" s="968">
        <v>1E-3</v>
      </c>
      <c r="U1442" s="968">
        <v>1E-3</v>
      </c>
      <c r="V1442" s="968"/>
    </row>
    <row r="1443" spans="1:22" s="1062" customFormat="1" x14ac:dyDescent="0.25">
      <c r="A1443" s="771">
        <v>100084</v>
      </c>
      <c r="B1443" s="772" t="str">
        <f>"-"&amp;TEXT((F1443/62+G1443/46+I1443/35.5+J1443/48+K1443/97+L1443/61),"0,00")&amp;"/+"&amp;TEXT((N1443/39+O1443/23+P1443/20+Q1443/12+H1443/14),"0,00")&amp;"  (EC  "&amp;E1443*10&amp;")"</f>
        <v>-36,49/+37,68  (EC  34,1)</v>
      </c>
      <c r="C1443" s="773"/>
      <c r="D1443" s="774">
        <v>7.32</v>
      </c>
      <c r="E1443" s="774">
        <v>3.41</v>
      </c>
      <c r="F1443" s="775">
        <v>1.23</v>
      </c>
      <c r="G1443" s="774">
        <v>0</v>
      </c>
      <c r="H1443" s="774">
        <v>0.09</v>
      </c>
      <c r="I1443" s="2141">
        <v>330.59399999999999</v>
      </c>
      <c r="J1443" s="774">
        <v>1067.5</v>
      </c>
      <c r="K1443" s="774">
        <v>1E-3</v>
      </c>
      <c r="L1443" s="774">
        <v>300</v>
      </c>
      <c r="M1443" s="774">
        <v>0</v>
      </c>
      <c r="N1443" s="774">
        <v>18.03</v>
      </c>
      <c r="O1443" s="774">
        <v>200.36</v>
      </c>
      <c r="P1443" s="774">
        <v>322.83</v>
      </c>
      <c r="Q1443" s="774">
        <v>148.31</v>
      </c>
      <c r="R1443" s="774">
        <v>0.53</v>
      </c>
      <c r="S1443" s="774">
        <v>1E-3</v>
      </c>
      <c r="T1443" s="774">
        <v>0.03</v>
      </c>
      <c r="U1443" s="774">
        <v>1E-3</v>
      </c>
      <c r="V1443" s="774"/>
    </row>
    <row r="1444" spans="1:22" s="1062" customFormat="1" x14ac:dyDescent="0.25">
      <c r="A1444" s="771">
        <v>100085</v>
      </c>
      <c r="B1444" s="772" t="str">
        <f>"-"&amp;TEXT((F1444/62+G1444/46+I1444/35.5+J1444/48+K1444/97+L1444/61),"0,00")&amp;"/+"&amp;TEXT((N1444/39+O1444/23+P1444/20+Q1444/12+H1444/14),"0,00")&amp;"  (EC  "&amp;E1444*10&amp;")"</f>
        <v>-19,51/+19,28  (EC  19,5)</v>
      </c>
      <c r="C1444" s="773"/>
      <c r="D1444" s="774">
        <v>6.88</v>
      </c>
      <c r="E1444" s="774">
        <v>1.95</v>
      </c>
      <c r="F1444" s="775">
        <v>688.25</v>
      </c>
      <c r="G1444" s="774">
        <v>0</v>
      </c>
      <c r="H1444" s="774">
        <v>0.39</v>
      </c>
      <c r="I1444" s="2141">
        <v>71</v>
      </c>
      <c r="J1444" s="774">
        <v>109.23</v>
      </c>
      <c r="K1444" s="774">
        <v>1E-3</v>
      </c>
      <c r="L1444" s="774">
        <v>252</v>
      </c>
      <c r="M1444" s="774">
        <v>0</v>
      </c>
      <c r="N1444" s="774">
        <v>118.82</v>
      </c>
      <c r="O1444" s="774">
        <v>38.35</v>
      </c>
      <c r="P1444" s="774">
        <v>200.4</v>
      </c>
      <c r="Q1444" s="774">
        <v>54.25</v>
      </c>
      <c r="R1444" s="774">
        <v>0.01</v>
      </c>
      <c r="S1444" s="774">
        <v>1E-3</v>
      </c>
      <c r="T1444" s="774">
        <v>0.01</v>
      </c>
      <c r="U1444" s="774">
        <v>1E-3</v>
      </c>
      <c r="V1444" s="774"/>
    </row>
    <row r="1445" spans="1:22" s="1711" customFormat="1" x14ac:dyDescent="0.25">
      <c r="A1445" s="727">
        <v>100086</v>
      </c>
      <c r="B1445" s="1268" t="str">
        <f t="shared" ref="B1445:B1446" si="43">"-"&amp;TEXT((F1445/62+G1445/46+I1445/35.5+J1445/48+K1445/97+L1445/61),"0,00")&amp;"/+"&amp;TEXT((N1445/39+O1445/23+P1445/20+Q1445/12+H1445/14),"0,00")&amp;"  (EC  "&amp;E1445*10&amp;")"</f>
        <v>-14,27/+14,39  (EC  13,2)</v>
      </c>
      <c r="C1445" s="729"/>
      <c r="D1445" s="730">
        <v>7.86</v>
      </c>
      <c r="E1445" s="730">
        <v>1.32</v>
      </c>
      <c r="F1445" s="731">
        <v>41.04</v>
      </c>
      <c r="G1445" s="730">
        <v>0</v>
      </c>
      <c r="H1445" s="730">
        <v>0.25</v>
      </c>
      <c r="I1445" s="1961">
        <v>163.57359999999997</v>
      </c>
      <c r="J1445" s="730">
        <v>243.4</v>
      </c>
      <c r="K1445" s="730">
        <v>1E-3</v>
      </c>
      <c r="L1445" s="730">
        <v>240</v>
      </c>
      <c r="M1445" s="730">
        <v>0</v>
      </c>
      <c r="N1445" s="730">
        <v>5.24</v>
      </c>
      <c r="O1445" s="730">
        <v>99.74</v>
      </c>
      <c r="P1445" s="730">
        <v>101.06</v>
      </c>
      <c r="Q1445" s="730">
        <v>58.18</v>
      </c>
      <c r="R1445" s="730">
        <v>1E-3</v>
      </c>
      <c r="S1445" s="730">
        <v>1E-3</v>
      </c>
      <c r="T1445" s="730">
        <v>1E-3</v>
      </c>
      <c r="U1445" s="730">
        <v>1E-3</v>
      </c>
      <c r="V1445" s="730"/>
    </row>
    <row r="1446" spans="1:22" s="1711" customFormat="1" x14ac:dyDescent="0.25">
      <c r="A1446" s="727">
        <v>100087</v>
      </c>
      <c r="B1446" s="1268" t="str">
        <f t="shared" si="43"/>
        <v>-8,96/+8,49  (EC  7,96)</v>
      </c>
      <c r="C1446" s="729"/>
      <c r="D1446" s="730">
        <v>7.84</v>
      </c>
      <c r="E1446" s="730">
        <v>0.79600000000000004</v>
      </c>
      <c r="F1446" s="731">
        <v>12.28</v>
      </c>
      <c r="G1446" s="730">
        <v>0</v>
      </c>
      <c r="H1446" s="730">
        <v>0.19</v>
      </c>
      <c r="I1446" s="1961">
        <v>112.84349999999999</v>
      </c>
      <c r="J1446" s="730">
        <v>75.349999999999994</v>
      </c>
      <c r="K1446" s="730">
        <v>1E-3</v>
      </c>
      <c r="L1446" s="730">
        <f>10.2*24</f>
        <v>244.79999999999998</v>
      </c>
      <c r="M1446" s="730">
        <v>0</v>
      </c>
      <c r="N1446" s="730">
        <v>1.49</v>
      </c>
      <c r="O1446" s="730">
        <v>68.39</v>
      </c>
      <c r="P1446" s="730">
        <v>74.819999999999993</v>
      </c>
      <c r="Q1446" s="730">
        <v>20.63</v>
      </c>
      <c r="R1446" s="730">
        <v>1E-3</v>
      </c>
      <c r="S1446" s="730">
        <v>1E-3</v>
      </c>
      <c r="T1446" s="730">
        <v>1E-3</v>
      </c>
      <c r="U1446" s="730">
        <v>1E-3</v>
      </c>
      <c r="V1446" s="730"/>
    </row>
  </sheetData>
  <sheetProtection selectLockedCells="1" selectUnlockedCells="1"/>
  <mergeCells count="5">
    <mergeCell ref="A3:A4"/>
    <mergeCell ref="B3:B4"/>
    <mergeCell ref="D558:G558"/>
    <mergeCell ref="B1242:B1243"/>
    <mergeCell ref="C1242:C1243"/>
  </mergeCells>
  <phoneticPr fontId="95" type="noConversion"/>
  <conditionalFormatting sqref="A1:A2">
    <cfRule type="duplicateValues" dxfId="1021" priority="345"/>
  </conditionalFormatting>
  <conditionalFormatting sqref="A187">
    <cfRule type="duplicateValues" dxfId="1020" priority="342"/>
  </conditionalFormatting>
  <conditionalFormatting sqref="A188:A233">
    <cfRule type="duplicateValues" dxfId="1019" priority="341"/>
  </conditionalFormatting>
  <conditionalFormatting sqref="A234:A249">
    <cfRule type="duplicateValues" dxfId="1018" priority="340"/>
  </conditionalFormatting>
  <conditionalFormatting sqref="A250:A257">
    <cfRule type="duplicateValues" dxfId="1017" priority="339"/>
  </conditionalFormatting>
  <conditionalFormatting sqref="T594 Q875:Q876 S854:U876">
    <cfRule type="containsText" dxfId="1016" priority="338" operator="containsText" text="o">
      <formula>NOT(ISERROR(SEARCH("o",Q594)))</formula>
    </cfRule>
  </conditionalFormatting>
  <conditionalFormatting sqref="R590">
    <cfRule type="containsText" dxfId="1015" priority="337" operator="containsText" text="o">
      <formula>NOT(ISERROR(SEARCH("o",R590)))</formula>
    </cfRule>
  </conditionalFormatting>
  <conditionalFormatting sqref="N590:N594">
    <cfRule type="containsText" dxfId="1014" priority="336" operator="containsText" text="o">
      <formula>NOT(ISERROR(SEARCH("o",N590)))</formula>
    </cfRule>
  </conditionalFormatting>
  <conditionalFormatting sqref="P610:P611 P614:P618 P620:P621">
    <cfRule type="containsText" dxfId="1013" priority="335" operator="containsText" text="o">
      <formula>NOT(ISERROR(SEARCH("o",P610)))</formula>
    </cfRule>
  </conditionalFormatting>
  <conditionalFormatting sqref="N610:N621">
    <cfRule type="containsText" dxfId="1012" priority="334" operator="containsText" text="o">
      <formula>NOT(ISERROR(SEARCH("o",N610)))</formula>
    </cfRule>
  </conditionalFormatting>
  <conditionalFormatting sqref="Q610:Q621">
    <cfRule type="containsText" dxfId="1011" priority="333" operator="containsText" text="o">
      <formula>NOT(ISERROR(SEARCH("o",Q610)))</formula>
    </cfRule>
  </conditionalFormatting>
  <conditionalFormatting sqref="O610:O618 O620:O621">
    <cfRule type="containsText" dxfId="1010" priority="332" operator="containsText" text="o">
      <formula>NOT(ISERROR(SEARCH("o",O610)))</formula>
    </cfRule>
  </conditionalFormatting>
  <conditionalFormatting sqref="K610:K621">
    <cfRule type="containsText" dxfId="1009" priority="331" operator="containsText" text="o">
      <formula>NOT(ISERROR(SEARCH("o",K610)))</formula>
    </cfRule>
  </conditionalFormatting>
  <conditionalFormatting sqref="U610:U621">
    <cfRule type="containsText" dxfId="1008" priority="329" operator="containsText" text="o">
      <formula>NOT(ISERROR(SEARCH("o",U610)))</formula>
    </cfRule>
  </conditionalFormatting>
  <conditionalFormatting sqref="A622:A640">
    <cfRule type="duplicateValues" dxfId="1007" priority="320"/>
  </conditionalFormatting>
  <conditionalFormatting sqref="A644:A648">
    <cfRule type="duplicateValues" dxfId="1006" priority="313"/>
  </conditionalFormatting>
  <conditionalFormatting sqref="A647:A657">
    <cfRule type="duplicateValues" dxfId="1005" priority="307"/>
  </conditionalFormatting>
  <conditionalFormatting sqref="A658:A666">
    <cfRule type="duplicateValues" dxfId="1004" priority="306"/>
  </conditionalFormatting>
  <conditionalFormatting sqref="A658:A666">
    <cfRule type="duplicateValues" dxfId="1003" priority="305"/>
  </conditionalFormatting>
  <conditionalFormatting sqref="N685:N699">
    <cfRule type="containsText" dxfId="1002" priority="301" operator="containsText" text="o">
      <formula>NOT(ISERROR(SEARCH("o",N685)))</formula>
    </cfRule>
  </conditionalFormatting>
  <conditionalFormatting sqref="Q685:Q691 Q693:Q699">
    <cfRule type="containsText" dxfId="1001" priority="300" operator="containsText" text="o">
      <formula>NOT(ISERROR(SEARCH("o",Q685)))</formula>
    </cfRule>
  </conditionalFormatting>
  <conditionalFormatting sqref="O685:O686 O696:O697 O699 O690:O692">
    <cfRule type="containsText" dxfId="1000" priority="299" operator="containsText" text="o">
      <formula>NOT(ISERROR(SEARCH("o",O685)))</formula>
    </cfRule>
  </conditionalFormatting>
  <conditionalFormatting sqref="P690 P685:P687 P693 P699 P695:P697">
    <cfRule type="containsText" dxfId="999" priority="298" operator="containsText" text="o">
      <formula>NOT(ISERROR(SEARCH("o",P685)))</formula>
    </cfRule>
  </conditionalFormatting>
  <conditionalFormatting sqref="K685:K699">
    <cfRule type="containsText" dxfId="998" priority="297" operator="containsText" text="o">
      <formula>NOT(ISERROR(SEARCH("o",K685)))</formula>
    </cfRule>
  </conditionalFormatting>
  <conditionalFormatting sqref="M685:M699">
    <cfRule type="containsText" dxfId="997" priority="296" operator="containsText" text="o">
      <formula>NOT(ISERROR(SEARCH("o",M685)))</formula>
    </cfRule>
  </conditionalFormatting>
  <conditionalFormatting sqref="T687:T699">
    <cfRule type="containsText" dxfId="996" priority="295" operator="containsText" text="o">
      <formula>NOT(ISERROR(SEARCH("o",T687)))</formula>
    </cfRule>
  </conditionalFormatting>
  <conditionalFormatting sqref="U690:U699">
    <cfRule type="containsText" dxfId="995" priority="294" operator="containsText" text="o">
      <formula>NOT(ISERROR(SEARCH("o",U690)))</formula>
    </cfRule>
  </conditionalFormatting>
  <conditionalFormatting sqref="R694:R698">
    <cfRule type="containsText" dxfId="994" priority="293" operator="containsText" text="o">
      <formula>NOT(ISERROR(SEARCH("o",R694)))</formula>
    </cfRule>
  </conditionalFormatting>
  <conditionalFormatting sqref="Q701">
    <cfRule type="containsText" dxfId="993" priority="292" operator="containsText" text="o">
      <formula>NOT(ISERROR(SEARCH("o",Q701)))</formula>
    </cfRule>
  </conditionalFormatting>
  <conditionalFormatting sqref="P701">
    <cfRule type="containsText" dxfId="992" priority="291" operator="containsText" text="o">
      <formula>NOT(ISERROR(SEARCH("o",P701)))</formula>
    </cfRule>
  </conditionalFormatting>
  <conditionalFormatting sqref="U701">
    <cfRule type="containsText" dxfId="991" priority="290" operator="containsText" text="o">
      <formula>NOT(ISERROR(SEARCH("o",U701)))</formula>
    </cfRule>
  </conditionalFormatting>
  <conditionalFormatting sqref="N701">
    <cfRule type="containsText" dxfId="990" priority="289" operator="containsText" text="o">
      <formula>NOT(ISERROR(SEARCH("o",N701)))</formula>
    </cfRule>
  </conditionalFormatting>
  <conditionalFormatting sqref="P721 P723 P727:P729">
    <cfRule type="containsText" dxfId="989" priority="286" operator="containsText" text="o">
      <formula>NOT(ISERROR(SEARCH("o",P721)))</formula>
    </cfRule>
  </conditionalFormatting>
  <conditionalFormatting sqref="Q721 Q723 Q725:Q729">
    <cfRule type="containsText" dxfId="988" priority="285" operator="containsText" text="o">
      <formula>NOT(ISERROR(SEARCH("o",Q721)))</formula>
    </cfRule>
  </conditionalFormatting>
  <conditionalFormatting sqref="O725:O729">
    <cfRule type="containsText" dxfId="987" priority="284" operator="containsText" text="o">
      <formula>NOT(ISERROR(SEARCH("o",O725)))</formula>
    </cfRule>
  </conditionalFormatting>
  <conditionalFormatting sqref="N721:N729">
    <cfRule type="containsText" dxfId="986" priority="283" operator="containsText" text="o">
      <formula>NOT(ISERROR(SEARCH("o",N721)))</formula>
    </cfRule>
  </conditionalFormatting>
  <conditionalFormatting sqref="R721:R729">
    <cfRule type="containsText" dxfId="985" priority="282" operator="containsText" text="o">
      <formula>NOT(ISERROR(SEARCH("o",R721)))</formula>
    </cfRule>
  </conditionalFormatting>
  <conditionalFormatting sqref="T723:T724">
    <cfRule type="containsText" dxfId="984" priority="281" operator="containsText" text="o">
      <formula>NOT(ISERROR(SEARCH("o",T723)))</formula>
    </cfRule>
  </conditionalFormatting>
  <conditionalFormatting sqref="U721:U729">
    <cfRule type="containsText" dxfId="983" priority="279" operator="containsText" text="o">
      <formula>NOT(ISERROR(SEARCH("o",U721)))</formula>
    </cfRule>
  </conditionalFormatting>
  <conditionalFormatting sqref="T721:T722">
    <cfRule type="containsText" dxfId="982" priority="278" operator="containsText" text="o">
      <formula>NOT(ISERROR(SEARCH("o",T721)))</formula>
    </cfRule>
  </conditionalFormatting>
  <conditionalFormatting sqref="P738 P730:P736">
    <cfRule type="containsText" dxfId="981" priority="271" operator="containsText" text="o">
      <formula>NOT(ISERROR(SEARCH("o",P730)))</formula>
    </cfRule>
  </conditionalFormatting>
  <conditionalFormatting sqref="N730:N739">
    <cfRule type="containsText" dxfId="980" priority="270" operator="containsText" text="o">
      <formula>NOT(ISERROR(SEARCH("o",N730)))</formula>
    </cfRule>
  </conditionalFormatting>
  <conditionalFormatting sqref="Q738:Q739 Q730:Q736">
    <cfRule type="containsText" dxfId="979" priority="269" operator="containsText" text="o">
      <formula>NOT(ISERROR(SEARCH("o",Q730)))</formula>
    </cfRule>
  </conditionalFormatting>
  <conditionalFormatting sqref="O731:O735 O738">
    <cfRule type="containsText" dxfId="978" priority="268" operator="containsText" text="o">
      <formula>NOT(ISERROR(SEARCH("o",O731)))</formula>
    </cfRule>
  </conditionalFormatting>
  <conditionalFormatting sqref="J730:J739">
    <cfRule type="containsText" dxfId="977" priority="267" operator="containsText" text="o">
      <formula>NOT(ISERROR(SEARCH("o",J730)))</formula>
    </cfRule>
  </conditionalFormatting>
  <conditionalFormatting sqref="R730:R739">
    <cfRule type="containsText" dxfId="976" priority="266" operator="containsText" text="o">
      <formula>NOT(ISERROR(SEARCH("o",R730)))</formula>
    </cfRule>
  </conditionalFormatting>
  <conditionalFormatting sqref="A740:A746">
    <cfRule type="containsText" dxfId="975" priority="265" operator="containsText" text="o">
      <formula>NOT(ISERROR(SEARCH("o",A740)))</formula>
    </cfRule>
  </conditionalFormatting>
  <conditionalFormatting sqref="P740:P744">
    <cfRule type="containsText" dxfId="974" priority="264" operator="containsText" text="o">
      <formula>NOT(ISERROR(SEARCH("o",P740)))</formula>
    </cfRule>
  </conditionalFormatting>
  <conditionalFormatting sqref="Q740:Q744">
    <cfRule type="containsText" dxfId="973" priority="263" operator="containsText" text="o">
      <formula>NOT(ISERROR(SEARCH("o",Q740)))</formula>
    </cfRule>
  </conditionalFormatting>
  <conditionalFormatting sqref="O740:O744">
    <cfRule type="containsText" dxfId="972" priority="262" operator="containsText" text="o">
      <formula>NOT(ISERROR(SEARCH("o",O740)))</formula>
    </cfRule>
  </conditionalFormatting>
  <conditionalFormatting sqref="N740:N743">
    <cfRule type="containsText" dxfId="971" priority="261" operator="containsText" text="o">
      <formula>NOT(ISERROR(SEARCH("o",N740)))</formula>
    </cfRule>
  </conditionalFormatting>
  <conditionalFormatting sqref="T740:T743">
    <cfRule type="containsText" dxfId="970" priority="260" operator="containsText" text="o">
      <formula>NOT(ISERROR(SEARCH("o",T740)))</formula>
    </cfRule>
  </conditionalFormatting>
  <conditionalFormatting sqref="U740:U744">
    <cfRule type="containsText" dxfId="969" priority="254" operator="containsText" text="o">
      <formula>NOT(ISERROR(SEARCH("o",U740)))</formula>
    </cfRule>
  </conditionalFormatting>
  <conditionalFormatting sqref="C757">
    <cfRule type="duplicateValues" dxfId="968" priority="251"/>
  </conditionalFormatting>
  <conditionalFormatting sqref="A758:A766 A775">
    <cfRule type="duplicateValues" dxfId="967" priority="249"/>
  </conditionalFormatting>
  <conditionalFormatting sqref="P775:P783">
    <cfRule type="containsText" dxfId="966" priority="248" operator="containsText" text="o">
      <formula>NOT(ISERROR(SEARCH("o",P775)))</formula>
    </cfRule>
  </conditionalFormatting>
  <conditionalFormatting sqref="N775:N783">
    <cfRule type="containsText" dxfId="965" priority="247" operator="containsText" text="o">
      <formula>NOT(ISERROR(SEARCH("o",N775)))</formula>
    </cfRule>
  </conditionalFormatting>
  <conditionalFormatting sqref="O775:O783">
    <cfRule type="containsText" dxfId="964" priority="246" operator="containsText" text="o">
      <formula>NOT(ISERROR(SEARCH("o",O775)))</formula>
    </cfRule>
  </conditionalFormatting>
  <conditionalFormatting sqref="Q775:Q783">
    <cfRule type="containsText" dxfId="963" priority="244" operator="containsText" text="o">
      <formula>NOT(ISERROR(SEARCH("o",Q775)))</formula>
    </cfRule>
  </conditionalFormatting>
  <conditionalFormatting sqref="R775:R783">
    <cfRule type="containsText" dxfId="962" priority="243" operator="containsText" text="o">
      <formula>NOT(ISERROR(SEARCH("o",R775)))</formula>
    </cfRule>
  </conditionalFormatting>
  <conditionalFormatting sqref="S775:S783">
    <cfRule type="containsText" dxfId="961" priority="242" operator="containsText" text="o">
      <formula>NOT(ISERROR(SEARCH("o",S775)))</formula>
    </cfRule>
  </conditionalFormatting>
  <conditionalFormatting sqref="U775:U783">
    <cfRule type="containsText" dxfId="960" priority="241" operator="containsText" text="o">
      <formula>NOT(ISERROR(SEARCH("o",U775)))</formula>
    </cfRule>
  </conditionalFormatting>
  <conditionalFormatting sqref="T775:T783">
    <cfRule type="containsText" dxfId="959" priority="240" operator="containsText" text="o">
      <formula>NOT(ISERROR(SEARCH("o",T775)))</formula>
    </cfRule>
  </conditionalFormatting>
  <conditionalFormatting sqref="K775:K783">
    <cfRule type="containsText" dxfId="958" priority="238" operator="containsText" text="o">
      <formula>NOT(ISERROR(SEARCH("o",K775)))</formula>
    </cfRule>
  </conditionalFormatting>
  <conditionalFormatting sqref="P789:P790 P794:P798 P800:P801">
    <cfRule type="containsText" dxfId="957" priority="236" operator="containsText" text="o">
      <formula>NOT(ISERROR(SEARCH("o",P789)))</formula>
    </cfRule>
  </conditionalFormatting>
  <conditionalFormatting sqref="O794:O796 O798:O799 O801">
    <cfRule type="containsText" dxfId="956" priority="235" operator="containsText" text="o">
      <formula>NOT(ISERROR(SEARCH("o",O794)))</formula>
    </cfRule>
  </conditionalFormatting>
  <conditionalFormatting sqref="Q789:Q790 Q794:Q801">
    <cfRule type="containsText" dxfId="955" priority="234" operator="containsText" text="o">
      <formula>NOT(ISERROR(SEARCH("o",Q789)))</formula>
    </cfRule>
  </conditionalFormatting>
  <conditionalFormatting sqref="N789:N801">
    <cfRule type="containsText" dxfId="954" priority="233" operator="containsText" text="o">
      <formula>NOT(ISERROR(SEARCH("o",N789)))</formula>
    </cfRule>
  </conditionalFormatting>
  <conditionalFormatting sqref="T789:T801">
    <cfRule type="containsText" dxfId="953" priority="232" operator="containsText" text="o">
      <formula>NOT(ISERROR(SEARCH("o",T789)))</formula>
    </cfRule>
  </conditionalFormatting>
  <conditionalFormatting sqref="U789:U801">
    <cfRule type="containsText" dxfId="952" priority="231" operator="containsText" text="o">
      <formula>NOT(ISERROR(SEARCH("o",U789)))</formula>
    </cfRule>
  </conditionalFormatting>
  <conditionalFormatting sqref="A789:A816">
    <cfRule type="duplicateValues" dxfId="951" priority="237"/>
  </conditionalFormatting>
  <conditionalFormatting sqref="U802:U805">
    <cfRule type="containsText" dxfId="950" priority="229" operator="containsText" text="o">
      <formula>NOT(ISERROR(SEARCH("o",U802)))</formula>
    </cfRule>
  </conditionalFormatting>
  <conditionalFormatting sqref="S802:S805">
    <cfRule type="containsText" dxfId="949" priority="228" operator="containsText" text="o">
      <formula>NOT(ISERROR(SEARCH("o",S802)))</formula>
    </cfRule>
  </conditionalFormatting>
  <conditionalFormatting sqref="N802:N805">
    <cfRule type="containsText" dxfId="948" priority="227" operator="containsText" text="o">
      <formula>NOT(ISERROR(SEARCH("o",N802)))</formula>
    </cfRule>
  </conditionalFormatting>
  <conditionalFormatting sqref="Q802:Q805">
    <cfRule type="containsText" dxfId="947" priority="226" operator="containsText" text="o">
      <formula>NOT(ISERROR(SEARCH("o",Q802)))</formula>
    </cfRule>
  </conditionalFormatting>
  <conditionalFormatting sqref="T802:T805">
    <cfRule type="containsText" dxfId="946" priority="225" operator="containsText" text="o">
      <formula>NOT(ISERROR(SEARCH("o",T802)))</formula>
    </cfRule>
  </conditionalFormatting>
  <conditionalFormatting sqref="O802:O805">
    <cfRule type="containsText" dxfId="945" priority="224" operator="containsText" text="o">
      <formula>NOT(ISERROR(SEARCH("o",O802)))</formula>
    </cfRule>
  </conditionalFormatting>
  <conditionalFormatting sqref="P802:P805">
    <cfRule type="containsText" dxfId="944" priority="223" operator="containsText" text="o">
      <formula>NOT(ISERROR(SEARCH("o",P802)))</formula>
    </cfRule>
  </conditionalFormatting>
  <conditionalFormatting sqref="N806:N816">
    <cfRule type="containsText" dxfId="943" priority="221" operator="containsText" text="o">
      <formula>NOT(ISERROR(SEARCH("o",N806)))</formula>
    </cfRule>
  </conditionalFormatting>
  <conditionalFormatting sqref="Q816">
    <cfRule type="containsText" dxfId="942" priority="220" operator="containsText" text="o">
      <formula>NOT(ISERROR(SEARCH("o",Q816)))</formula>
    </cfRule>
  </conditionalFormatting>
  <conditionalFormatting sqref="O816">
    <cfRule type="containsText" dxfId="941" priority="219" operator="containsText" text="o">
      <formula>NOT(ISERROR(SEARCH("o",O816)))</formula>
    </cfRule>
  </conditionalFormatting>
  <conditionalFormatting sqref="P816">
    <cfRule type="containsText" dxfId="940" priority="218" operator="containsText" text="o">
      <formula>NOT(ISERROR(SEARCH("o",P816)))</formula>
    </cfRule>
  </conditionalFormatting>
  <conditionalFormatting sqref="U816">
    <cfRule type="containsText" dxfId="939" priority="217" operator="containsText" text="o">
      <formula>NOT(ISERROR(SEARCH("o",U816)))</formula>
    </cfRule>
  </conditionalFormatting>
  <conditionalFormatting sqref="S816">
    <cfRule type="containsText" dxfId="938" priority="216" operator="containsText" text="o">
      <formula>NOT(ISERROR(SEARCH("o",S816)))</formula>
    </cfRule>
  </conditionalFormatting>
  <conditionalFormatting sqref="T816">
    <cfRule type="containsText" dxfId="937" priority="215" operator="containsText" text="o">
      <formula>NOT(ISERROR(SEARCH("o",T816)))</formula>
    </cfRule>
  </conditionalFormatting>
  <conditionalFormatting sqref="A817:A821 A823">
    <cfRule type="duplicateValues" dxfId="936" priority="214"/>
  </conditionalFormatting>
  <conditionalFormatting sqref="P817:P821 P823">
    <cfRule type="containsText" dxfId="935" priority="213" operator="containsText" text="o">
      <formula>NOT(ISERROR(SEARCH("o",P817)))</formula>
    </cfRule>
  </conditionalFormatting>
  <conditionalFormatting sqref="N817:N821 N823">
    <cfRule type="containsText" dxfId="934" priority="212" operator="containsText" text="o">
      <formula>NOT(ISERROR(SEARCH("o",N817)))</formula>
    </cfRule>
  </conditionalFormatting>
  <conditionalFormatting sqref="Q817:Q821 Q823">
    <cfRule type="containsText" dxfId="933" priority="211" operator="containsText" text="o">
      <formula>NOT(ISERROR(SEARCH("o",Q817)))</formula>
    </cfRule>
  </conditionalFormatting>
  <conditionalFormatting sqref="O817:O821 O823">
    <cfRule type="containsText" dxfId="932" priority="210" operator="containsText" text="o">
      <formula>NOT(ISERROR(SEARCH("o",O817)))</formula>
    </cfRule>
  </conditionalFormatting>
  <conditionalFormatting sqref="R817:R821 R823">
    <cfRule type="containsText" dxfId="931" priority="209" operator="containsText" text="o">
      <formula>NOT(ISERROR(SEARCH("o",R817)))</formula>
    </cfRule>
  </conditionalFormatting>
  <conditionalFormatting sqref="S817:T821 S823:T823">
    <cfRule type="containsText" dxfId="930" priority="208" operator="containsText" text="o">
      <formula>NOT(ISERROR(SEARCH("o",S817)))</formula>
    </cfRule>
  </conditionalFormatting>
  <conditionalFormatting sqref="U817:U821 U823">
    <cfRule type="containsText" dxfId="929" priority="207" operator="containsText" text="o">
      <formula>NOT(ISERROR(SEARCH("o",U817)))</formula>
    </cfRule>
  </conditionalFormatting>
  <conditionalFormatting sqref="P825:P850">
    <cfRule type="containsText" dxfId="928" priority="202" operator="containsText" text="o">
      <formula>NOT(ISERROR(SEARCH("o",P825)))</formula>
    </cfRule>
  </conditionalFormatting>
  <conditionalFormatting sqref="Q825:Q850">
    <cfRule type="containsText" dxfId="927" priority="201" operator="containsText" text="o">
      <formula>NOT(ISERROR(SEARCH("o",Q825)))</formula>
    </cfRule>
  </conditionalFormatting>
  <conditionalFormatting sqref="O825:O850">
    <cfRule type="containsText" dxfId="926" priority="200" operator="containsText" text="o">
      <formula>NOT(ISERROR(SEARCH("o",O825)))</formula>
    </cfRule>
  </conditionalFormatting>
  <conditionalFormatting sqref="N825:N850">
    <cfRule type="containsText" dxfId="925" priority="199" operator="containsText" text="o">
      <formula>NOT(ISERROR(SEARCH("o",N825)))</formula>
    </cfRule>
  </conditionalFormatting>
  <conditionalFormatting sqref="Q854:Q873">
    <cfRule type="containsText" dxfId="924" priority="197" operator="containsText" text="o">
      <formula>NOT(ISERROR(SEARCH("o",Q854)))</formula>
    </cfRule>
  </conditionalFormatting>
  <conditionalFormatting sqref="O855:O872">
    <cfRule type="containsText" dxfId="923" priority="195" operator="containsText" text="o">
      <formula>NOT(ISERROR(SEARCH("o",O855)))</formula>
    </cfRule>
  </conditionalFormatting>
  <conditionalFormatting sqref="R854:R876">
    <cfRule type="containsText" dxfId="922" priority="191" operator="containsText" text="o">
      <formula>NOT(ISERROR(SEARCH("o",R854)))</formula>
    </cfRule>
  </conditionalFormatting>
  <conditionalFormatting sqref="S877:T883">
    <cfRule type="containsText" dxfId="921" priority="188" operator="containsText" text="o">
      <formula>NOT(ISERROR(SEARCH("o",S877)))</formula>
    </cfRule>
  </conditionalFormatting>
  <conditionalFormatting sqref="P884:P902">
    <cfRule type="containsText" dxfId="920" priority="187" operator="containsText" text="o">
      <formula>NOT(ISERROR(SEARCH("o",P884)))</formula>
    </cfRule>
  </conditionalFormatting>
  <conditionalFormatting sqref="N884:N904">
    <cfRule type="containsText" dxfId="919" priority="186" operator="containsText" text="o">
      <formula>NOT(ISERROR(SEARCH("o",N884)))</formula>
    </cfRule>
  </conditionalFormatting>
  <conditionalFormatting sqref="O884:O904">
    <cfRule type="containsText" dxfId="918" priority="185" operator="containsText" text="o">
      <formula>NOT(ISERROR(SEARCH("o",O884)))</formula>
    </cfRule>
  </conditionalFormatting>
  <conditionalFormatting sqref="R884:R904">
    <cfRule type="containsText" dxfId="917" priority="184" operator="containsText" text="o">
      <formula>NOT(ISERROR(SEARCH("o",R884)))</formula>
    </cfRule>
  </conditionalFormatting>
  <conditionalFormatting sqref="S884:S904">
    <cfRule type="containsText" dxfId="916" priority="183" operator="containsText" text="o">
      <formula>NOT(ISERROR(SEARCH("o",S884)))</formula>
    </cfRule>
  </conditionalFormatting>
  <conditionalFormatting sqref="T884:T904">
    <cfRule type="containsText" dxfId="915" priority="182" operator="containsText" text="o">
      <formula>NOT(ISERROR(SEARCH("o",T884)))</formula>
    </cfRule>
  </conditionalFormatting>
  <conditionalFormatting sqref="U884:U904">
    <cfRule type="containsText" dxfId="914" priority="181" operator="containsText" text="o">
      <formula>NOT(ISERROR(SEARCH("o",U884)))</formula>
    </cfRule>
  </conditionalFormatting>
  <conditionalFormatting sqref="Q884:Q904">
    <cfRule type="containsText" dxfId="913" priority="180" operator="containsText" text="o">
      <formula>NOT(ISERROR(SEARCH("o",Q884)))</formula>
    </cfRule>
  </conditionalFormatting>
  <conditionalFormatting sqref="N907:N922">
    <cfRule type="containsText" dxfId="912" priority="179" operator="containsText" text="o">
      <formula>NOT(ISERROR(SEARCH("o",N907)))</formula>
    </cfRule>
  </conditionalFormatting>
  <conditionalFormatting sqref="N905:N906 N923:N929">
    <cfRule type="containsText" dxfId="911" priority="178" operator="containsText" text="o">
      <formula>NOT(ISERROR(SEARCH("o",N905)))</formula>
    </cfRule>
  </conditionalFormatting>
  <conditionalFormatting sqref="Q907:Q922">
    <cfRule type="containsText" dxfId="910" priority="177" operator="containsText" text="o">
      <formula>NOT(ISERROR(SEARCH("o",Q907)))</formula>
    </cfRule>
  </conditionalFormatting>
  <conditionalFormatting sqref="Q905:Q906 Q923 Q925:Q930">
    <cfRule type="containsText" dxfId="909" priority="176" operator="containsText" text="o">
      <formula>NOT(ISERROR(SEARCH("o",Q905)))</formula>
    </cfRule>
  </conditionalFormatting>
  <conditionalFormatting sqref="O907:O922">
    <cfRule type="containsText" dxfId="908" priority="175" operator="containsText" text="o">
      <formula>NOT(ISERROR(SEARCH("o",O907)))</formula>
    </cfRule>
  </conditionalFormatting>
  <conditionalFormatting sqref="O905:O906 O925 O927:O930">
    <cfRule type="containsText" dxfId="907" priority="174" operator="containsText" text="o">
      <formula>NOT(ISERROR(SEARCH("o",O905)))</formula>
    </cfRule>
  </conditionalFormatting>
  <conditionalFormatting sqref="T907:T922">
    <cfRule type="containsText" dxfId="906" priority="173" operator="containsText" text="o">
      <formula>NOT(ISERROR(SEARCH("o",T907)))</formula>
    </cfRule>
  </conditionalFormatting>
  <conditionalFormatting sqref="T905:T906 T923 T925:T930">
    <cfRule type="containsText" dxfId="905" priority="172" operator="containsText" text="o">
      <formula>NOT(ISERROR(SEARCH("o",T905)))</formula>
    </cfRule>
  </conditionalFormatting>
  <conditionalFormatting sqref="T924">
    <cfRule type="containsText" dxfId="904" priority="171" operator="containsText" text="o">
      <formula>NOT(ISERROR(SEARCH("o",T924)))</formula>
    </cfRule>
  </conditionalFormatting>
  <conditionalFormatting sqref="P931:P940">
    <cfRule type="containsText" dxfId="903" priority="170" operator="containsText" text="o">
      <formula>NOT(ISERROR(SEARCH("o",P931)))</formula>
    </cfRule>
  </conditionalFormatting>
  <conditionalFormatting sqref="U931:U940">
    <cfRule type="containsText" dxfId="902" priority="169" operator="containsText" text="o">
      <formula>NOT(ISERROR(SEARCH("o",U931)))</formula>
    </cfRule>
  </conditionalFormatting>
  <conditionalFormatting sqref="N931:N940">
    <cfRule type="containsText" dxfId="901" priority="168" operator="containsText" text="o">
      <formula>NOT(ISERROR(SEARCH("o",N931)))</formula>
    </cfRule>
  </conditionalFormatting>
  <conditionalFormatting sqref="Q931:Q940">
    <cfRule type="containsText" dxfId="900" priority="167" operator="containsText" text="o">
      <formula>NOT(ISERROR(SEARCH("o",Q931)))</formula>
    </cfRule>
  </conditionalFormatting>
  <conditionalFormatting sqref="T931:T940">
    <cfRule type="containsText" dxfId="899" priority="166" operator="containsText" text="o">
      <formula>NOT(ISERROR(SEARCH("o",T931)))</formula>
    </cfRule>
  </conditionalFormatting>
  <conditionalFormatting sqref="O931:O940">
    <cfRule type="containsText" dxfId="898" priority="165" operator="containsText" text="o">
      <formula>NOT(ISERROR(SEARCH("o",O931)))</formula>
    </cfRule>
  </conditionalFormatting>
  <conditionalFormatting sqref="R931:R940 S932:S935 S937:S940">
    <cfRule type="containsText" dxfId="897" priority="164" operator="containsText" text="o">
      <formula>NOT(ISERROR(SEARCH("o",R931)))</formula>
    </cfRule>
  </conditionalFormatting>
  <conditionalFormatting sqref="S941:U941 S943:U946">
    <cfRule type="containsText" dxfId="896" priority="163" operator="containsText" text="o">
      <formula>NOT(ISERROR(SEARCH("o",S941)))</formula>
    </cfRule>
  </conditionalFormatting>
  <conditionalFormatting sqref="P948:P962">
    <cfRule type="containsText" dxfId="895" priority="162" operator="containsText" text="o">
      <formula>NOT(ISERROR(SEARCH("o",P948)))</formula>
    </cfRule>
  </conditionalFormatting>
  <conditionalFormatting sqref="U981:U991">
    <cfRule type="containsText" dxfId="894" priority="156" operator="containsText" text="o">
      <formula>NOT(ISERROR(SEARCH("o",U981)))</formula>
    </cfRule>
  </conditionalFormatting>
  <conditionalFormatting sqref="T990">
    <cfRule type="containsText" dxfId="893" priority="153" operator="containsText" text="o">
      <formula>NOT(ISERROR(SEARCH("o",T990)))</formula>
    </cfRule>
  </conditionalFormatting>
  <conditionalFormatting sqref="R981:R990">
    <cfRule type="containsText" dxfId="892" priority="151" operator="containsText" text="o">
      <formula>NOT(ISERROR(SEARCH("o",R981)))</formula>
    </cfRule>
  </conditionalFormatting>
  <conditionalFormatting sqref="S981:S990">
    <cfRule type="containsText" dxfId="891" priority="150" operator="containsText" text="o">
      <formula>NOT(ISERROR(SEARCH("o",S981)))</formula>
    </cfRule>
  </conditionalFormatting>
  <conditionalFormatting sqref="T981:T989">
    <cfRule type="containsText" dxfId="890" priority="148" operator="containsText" text="o">
      <formula>NOT(ISERROR(SEARCH("o",T981)))</formula>
    </cfRule>
  </conditionalFormatting>
  <conditionalFormatting sqref="P981:P990">
    <cfRule type="containsText" dxfId="889" priority="147" operator="containsText" text="o">
      <formula>NOT(ISERROR(SEARCH("o",P981)))</formula>
    </cfRule>
  </conditionalFormatting>
  <conditionalFormatting sqref="N981:N990">
    <cfRule type="containsText" dxfId="888" priority="146" operator="containsText" text="o">
      <formula>NOT(ISERROR(SEARCH("o",N981)))</formula>
    </cfRule>
  </conditionalFormatting>
  <conditionalFormatting sqref="Q981:Q990">
    <cfRule type="containsText" dxfId="887" priority="145" operator="containsText" text="o">
      <formula>NOT(ISERROR(SEARCH("o",Q981)))</formula>
    </cfRule>
  </conditionalFormatting>
  <conditionalFormatting sqref="O981:O990">
    <cfRule type="containsText" dxfId="886" priority="144" operator="containsText" text="o">
      <formula>NOT(ISERROR(SEARCH("o",O981)))</formula>
    </cfRule>
  </conditionalFormatting>
  <conditionalFormatting sqref="P999:P1007">
    <cfRule type="containsText" dxfId="885" priority="138" operator="containsText" text="o">
      <formula>NOT(ISERROR(SEARCH("o",P999)))</formula>
    </cfRule>
  </conditionalFormatting>
  <conditionalFormatting sqref="P999">
    <cfRule type="containsText" dxfId="884" priority="137" operator="containsText" text="o">
      <formula>NOT(ISERROR(SEARCH("o",P999)))</formula>
    </cfRule>
  </conditionalFormatting>
  <conditionalFormatting sqref="N999:N1007">
    <cfRule type="containsText" dxfId="883" priority="136" operator="containsText" text="o">
      <formula>NOT(ISERROR(SEARCH("o",N999)))</formula>
    </cfRule>
  </conditionalFormatting>
  <conditionalFormatting sqref="Q999:Q1007">
    <cfRule type="containsText" dxfId="882" priority="135" operator="containsText" text="o">
      <formula>NOT(ISERROR(SEARCH("o",Q999)))</formula>
    </cfRule>
  </conditionalFormatting>
  <conditionalFormatting sqref="O999:O1007">
    <cfRule type="containsText" dxfId="881" priority="134" operator="containsText" text="o">
      <formula>NOT(ISERROR(SEARCH("o",O999)))</formula>
    </cfRule>
  </conditionalFormatting>
  <conditionalFormatting sqref="O999">
    <cfRule type="containsText" dxfId="880" priority="133" operator="containsText" text="o">
      <formula>NOT(ISERROR(SEARCH("o",O999)))</formula>
    </cfRule>
  </conditionalFormatting>
  <conditionalFormatting sqref="R999:R1007">
    <cfRule type="containsText" dxfId="879" priority="132" operator="containsText" text="o">
      <formula>NOT(ISERROR(SEARCH("o",R999)))</formula>
    </cfRule>
  </conditionalFormatting>
  <conditionalFormatting sqref="T999:T1007">
    <cfRule type="containsText" dxfId="878" priority="131" operator="containsText" text="o">
      <formula>NOT(ISERROR(SEARCH("o",T999)))</formula>
    </cfRule>
  </conditionalFormatting>
  <conditionalFormatting sqref="U999:U1007">
    <cfRule type="containsText" dxfId="877" priority="130" operator="containsText" text="o">
      <formula>NOT(ISERROR(SEARCH("o",U999)))</formula>
    </cfRule>
  </conditionalFormatting>
  <conditionalFormatting sqref="A1022:A1033">
    <cfRule type="duplicateValues" dxfId="876" priority="463"/>
  </conditionalFormatting>
  <conditionalFormatting sqref="P1038:P1046">
    <cfRule type="containsText" dxfId="875" priority="122" operator="containsText" text="o">
      <formula>NOT(ISERROR(SEARCH("o",P1038)))</formula>
    </cfRule>
  </conditionalFormatting>
  <conditionalFormatting sqref="P1038:P1046">
    <cfRule type="containsText" dxfId="874" priority="121" operator="containsText" text="u">
      <formula>NOT(ISERROR(SEARCH("u",P1038)))</formula>
    </cfRule>
  </conditionalFormatting>
  <conditionalFormatting sqref="U1038:U1039 U1041 U1043:U1046">
    <cfRule type="containsText" dxfId="873" priority="120" operator="containsText" text="o">
      <formula>NOT(ISERROR(SEARCH("o",U1038)))</formula>
    </cfRule>
  </conditionalFormatting>
  <conditionalFormatting sqref="U1038:U1039 U1041 U1043:U1046">
    <cfRule type="containsText" dxfId="872" priority="119" operator="containsText" text="u">
      <formula>NOT(ISERROR(SEARCH("u",U1038)))</formula>
    </cfRule>
  </conditionalFormatting>
  <conditionalFormatting sqref="N1038:N1046">
    <cfRule type="containsText" dxfId="871" priority="118" operator="containsText" text="o">
      <formula>NOT(ISERROR(SEARCH("o",N1038)))</formula>
    </cfRule>
  </conditionalFormatting>
  <conditionalFormatting sqref="N1038:N1046">
    <cfRule type="containsText" dxfId="870" priority="117" operator="containsText" text="u">
      <formula>NOT(ISERROR(SEARCH("u",N1038)))</formula>
    </cfRule>
  </conditionalFormatting>
  <conditionalFormatting sqref="Q1038:Q1046">
    <cfRule type="containsText" dxfId="869" priority="116" operator="containsText" text="o">
      <formula>NOT(ISERROR(SEARCH("o",Q1038)))</formula>
    </cfRule>
  </conditionalFormatting>
  <conditionalFormatting sqref="Q1038:Q1046">
    <cfRule type="containsText" dxfId="868" priority="115" operator="containsText" text="u">
      <formula>NOT(ISERROR(SEARCH("u",Q1038)))</formula>
    </cfRule>
  </conditionalFormatting>
  <conditionalFormatting sqref="T1039 T1041 T1046">
    <cfRule type="containsText" dxfId="867" priority="114" operator="containsText" text="o">
      <formula>NOT(ISERROR(SEARCH("o",T1039)))</formula>
    </cfRule>
  </conditionalFormatting>
  <conditionalFormatting sqref="T1039 T1041 T1046">
    <cfRule type="containsText" dxfId="866" priority="113" operator="containsText" text="u">
      <formula>NOT(ISERROR(SEARCH("u",T1039)))</formula>
    </cfRule>
  </conditionalFormatting>
  <conditionalFormatting sqref="O1038:O1046">
    <cfRule type="containsText" dxfId="865" priority="112" operator="containsText" text="o">
      <formula>NOT(ISERROR(SEARCH("o",O1038)))</formula>
    </cfRule>
  </conditionalFormatting>
  <conditionalFormatting sqref="O1038:O1046">
    <cfRule type="containsText" dxfId="864" priority="111" operator="containsText" text="u">
      <formula>NOT(ISERROR(SEARCH("u",O1038)))</formula>
    </cfRule>
  </conditionalFormatting>
  <conditionalFormatting sqref="R1038:R1041 R1045">
    <cfRule type="containsText" dxfId="863" priority="110" operator="containsText" text="o">
      <formula>NOT(ISERROR(SEARCH("o",R1038)))</formula>
    </cfRule>
  </conditionalFormatting>
  <conditionalFormatting sqref="R1038:R1041 R1045">
    <cfRule type="containsText" dxfId="862" priority="109" operator="containsText" text="u">
      <formula>NOT(ISERROR(SEARCH("u",R1038)))</formula>
    </cfRule>
  </conditionalFormatting>
  <conditionalFormatting sqref="P1047:P1051">
    <cfRule type="containsText" dxfId="861" priority="108" operator="containsText" text="o">
      <formula>NOT(ISERROR(SEARCH("o",P1047)))</formula>
    </cfRule>
  </conditionalFormatting>
  <conditionalFormatting sqref="U1047:U1051">
    <cfRule type="containsText" dxfId="860" priority="107" operator="containsText" text="o">
      <formula>NOT(ISERROR(SEARCH("o",U1047)))</formula>
    </cfRule>
  </conditionalFormatting>
  <conditionalFormatting sqref="R1047:R1051">
    <cfRule type="containsText" dxfId="859" priority="106" operator="containsText" text="o">
      <formula>NOT(ISERROR(SEARCH("o",R1047)))</formula>
    </cfRule>
  </conditionalFormatting>
  <conditionalFormatting sqref="Q1047:Q1051">
    <cfRule type="containsText" dxfId="858" priority="105" operator="containsText" text="o">
      <formula>NOT(ISERROR(SEARCH("o",Q1047)))</formula>
    </cfRule>
  </conditionalFormatting>
  <conditionalFormatting sqref="O1047:O1048">
    <cfRule type="containsText" dxfId="857" priority="104" operator="containsText" text="o">
      <formula>NOT(ISERROR(SEARCH("o",O1047)))</formula>
    </cfRule>
  </conditionalFormatting>
  <conditionalFormatting sqref="N1047:N1051">
    <cfRule type="containsText" dxfId="856" priority="103" operator="containsText" text="o">
      <formula>NOT(ISERROR(SEARCH("o",N1047)))</formula>
    </cfRule>
  </conditionalFormatting>
  <conditionalFormatting sqref="N1052:N1059">
    <cfRule type="containsText" dxfId="855" priority="102" operator="containsText" text="o">
      <formula>NOT(ISERROR(SEARCH("o",N1052)))</formula>
    </cfRule>
  </conditionalFormatting>
  <conditionalFormatting sqref="Q1052:Q1059">
    <cfRule type="containsText" dxfId="854" priority="101" operator="containsText" text="o">
      <formula>NOT(ISERROR(SEARCH("o",Q1052)))</formula>
    </cfRule>
  </conditionalFormatting>
  <conditionalFormatting sqref="O1052:O1059">
    <cfRule type="containsText" dxfId="853" priority="100" operator="containsText" text="o">
      <formula>NOT(ISERROR(SEARCH("o",O1052)))</formula>
    </cfRule>
  </conditionalFormatting>
  <conditionalFormatting sqref="K1052:K1059">
    <cfRule type="containsText" dxfId="852" priority="99" operator="containsText" text="o">
      <formula>NOT(ISERROR(SEARCH("o",K1052)))</formula>
    </cfRule>
  </conditionalFormatting>
  <conditionalFormatting sqref="R1052:R1059">
    <cfRule type="containsText" dxfId="851" priority="98" operator="containsText" text="o">
      <formula>NOT(ISERROR(SEARCH("o",R1052)))</formula>
    </cfRule>
  </conditionalFormatting>
  <conditionalFormatting sqref="P1052:P1059">
    <cfRule type="containsText" dxfId="850" priority="97" operator="containsText" text="o">
      <formula>NOT(ISERROR(SEARCH("o",P1052)))</formula>
    </cfRule>
  </conditionalFormatting>
  <conditionalFormatting sqref="S1052:S1059">
    <cfRule type="containsText" dxfId="849" priority="96" operator="containsText" text="o">
      <formula>NOT(ISERROR(SEARCH("o",S1052)))</formula>
    </cfRule>
  </conditionalFormatting>
  <conditionalFormatting sqref="U1052:U1059">
    <cfRule type="containsText" dxfId="848" priority="95" operator="containsText" text="o">
      <formula>NOT(ISERROR(SEARCH("o",U1052)))</formula>
    </cfRule>
  </conditionalFormatting>
  <conditionalFormatting sqref="D1074:E1075">
    <cfRule type="duplicateValues" dxfId="847" priority="94"/>
  </conditionalFormatting>
  <conditionalFormatting sqref="P1071:P1075 P1077">
    <cfRule type="containsText" dxfId="846" priority="93" operator="containsText" text="o">
      <formula>NOT(ISERROR(SEARCH("o",P1071)))</formula>
    </cfRule>
  </conditionalFormatting>
  <conditionalFormatting sqref="S1071:S1077">
    <cfRule type="containsText" dxfId="845" priority="92" operator="containsText" text="o">
      <formula>NOT(ISERROR(SEARCH("o",S1071)))</formula>
    </cfRule>
  </conditionalFormatting>
  <conditionalFormatting sqref="U1071:U1077">
    <cfRule type="containsText" dxfId="844" priority="91" operator="containsText" text="o">
      <formula>NOT(ISERROR(SEARCH("o",U1071)))</formula>
    </cfRule>
  </conditionalFormatting>
  <conditionalFormatting sqref="N1071:N1077">
    <cfRule type="containsText" dxfId="843" priority="90" operator="containsText" text="o">
      <formula>NOT(ISERROR(SEARCH("o",N1071)))</formula>
    </cfRule>
  </conditionalFormatting>
  <conditionalFormatting sqref="T1071:T1077">
    <cfRule type="containsText" dxfId="842" priority="88" operator="containsText" text="o">
      <formula>NOT(ISERROR(SEARCH("o",T1071)))</formula>
    </cfRule>
  </conditionalFormatting>
  <conditionalFormatting sqref="O1071:O1077">
    <cfRule type="containsText" dxfId="841" priority="87" operator="containsText" text="o">
      <formula>NOT(ISERROR(SEARCH("o",O1071)))</formula>
    </cfRule>
  </conditionalFormatting>
  <conditionalFormatting sqref="R1071:R1077">
    <cfRule type="containsText" dxfId="840" priority="86" operator="containsText" text="o">
      <formula>NOT(ISERROR(SEARCH("o",R1071)))</formula>
    </cfRule>
  </conditionalFormatting>
  <conditionalFormatting sqref="P1078:P1083">
    <cfRule type="containsText" dxfId="839" priority="85" operator="containsText" text="o">
      <formula>NOT(ISERROR(SEARCH("o",P1078)))</formula>
    </cfRule>
  </conditionalFormatting>
  <conditionalFormatting sqref="N1078:N1083">
    <cfRule type="containsText" dxfId="838" priority="84" operator="containsText" text="o">
      <formula>NOT(ISERROR(SEARCH("o",N1078)))</formula>
    </cfRule>
  </conditionalFormatting>
  <conditionalFormatting sqref="O1079:O1083">
    <cfRule type="containsText" dxfId="837" priority="83" operator="containsText" text="o">
      <formula>NOT(ISERROR(SEARCH("o",O1079)))</formula>
    </cfRule>
  </conditionalFormatting>
  <conditionalFormatting sqref="Q1078:Q1083">
    <cfRule type="containsText" dxfId="836" priority="82" operator="containsText" text="o">
      <formula>NOT(ISERROR(SEARCH("o",Q1078)))</formula>
    </cfRule>
  </conditionalFormatting>
  <conditionalFormatting sqref="S1078:S1083">
    <cfRule type="containsText" dxfId="835" priority="81" operator="containsText" text="o">
      <formula>NOT(ISERROR(SEARCH("o",S1078)))</formula>
    </cfRule>
  </conditionalFormatting>
  <conditionalFormatting sqref="U1078:U1083">
    <cfRule type="containsText" dxfId="834" priority="80" operator="containsText" text="o">
      <formula>NOT(ISERROR(SEARCH("o",U1078)))</formula>
    </cfRule>
  </conditionalFormatting>
  <conditionalFormatting sqref="N1091:N1099">
    <cfRule type="containsText" dxfId="833" priority="79" operator="containsText" text="o">
      <formula>NOT(ISERROR(SEARCH("o",N1091)))</formula>
    </cfRule>
  </conditionalFormatting>
  <conditionalFormatting sqref="Q1091:Q1099">
    <cfRule type="containsText" dxfId="832" priority="78" operator="containsText" text="o">
      <formula>NOT(ISERROR(SEARCH("o",Q1091)))</formula>
    </cfRule>
  </conditionalFormatting>
  <conditionalFormatting sqref="O1091:O1099">
    <cfRule type="containsText" dxfId="831" priority="77" operator="containsText" text="o">
      <formula>NOT(ISERROR(SEARCH("o",O1091)))</formula>
    </cfRule>
  </conditionalFormatting>
  <conditionalFormatting sqref="J1091:J1099">
    <cfRule type="containsText" dxfId="830" priority="76" operator="containsText" text="o">
      <formula>NOT(ISERROR(SEARCH("o",J1091)))</formula>
    </cfRule>
  </conditionalFormatting>
  <conditionalFormatting sqref="R1091:R1099">
    <cfRule type="containsText" dxfId="829" priority="75" operator="containsText" text="o">
      <formula>NOT(ISERROR(SEARCH("o",R1091)))</formula>
    </cfRule>
  </conditionalFormatting>
  <conditionalFormatting sqref="T1091:T1099">
    <cfRule type="containsText" dxfId="828" priority="74" operator="containsText" text="o">
      <formula>NOT(ISERROR(SEARCH("o",T1091)))</formula>
    </cfRule>
  </conditionalFormatting>
  <conditionalFormatting sqref="A367:A369 A1:A6 A555:A567 A570:A580 A589:A621 A641:A643 A653:A657 A667:A739 A747:A757 A776:A788 A824:A853 A905:A1021 A1034:A1057 A8:A186 A1061:A1115 A1118:A1301 A1306:A1048576">
    <cfRule type="duplicateValues" dxfId="0" priority="612"/>
  </conditionalFormatting>
  <conditionalFormatting sqref="P1104:P1111">
    <cfRule type="containsText" dxfId="827" priority="73" operator="containsText" text="o">
      <formula>NOT(ISERROR(SEARCH("o",P1104)))</formula>
    </cfRule>
  </conditionalFormatting>
  <conditionalFormatting sqref="Q1104:Q1111">
    <cfRule type="containsText" dxfId="826" priority="72" operator="containsText" text="o">
      <formula>NOT(ISERROR(SEARCH("o",Q1104)))</formula>
    </cfRule>
  </conditionalFormatting>
  <conditionalFormatting sqref="T1104:T1111">
    <cfRule type="containsText" dxfId="825" priority="71" operator="containsText" text="o">
      <formula>NOT(ISERROR(SEARCH("o",T1104)))</formula>
    </cfRule>
  </conditionalFormatting>
  <conditionalFormatting sqref="O1104:O1111">
    <cfRule type="containsText" dxfId="824" priority="70" operator="containsText" text="o">
      <formula>NOT(ISERROR(SEARCH("o",O1104)))</formula>
    </cfRule>
  </conditionalFormatting>
  <conditionalFormatting sqref="K1104:K1111">
    <cfRule type="containsText" dxfId="823" priority="69" operator="containsText" text="o">
      <formula>NOT(ISERROR(SEARCH("o",K1104)))</formula>
    </cfRule>
  </conditionalFormatting>
  <conditionalFormatting sqref="R1104:R1111">
    <cfRule type="containsText" dxfId="822" priority="68" operator="containsText" text="o">
      <formula>NOT(ISERROR(SEARCH("o",R1104)))</formula>
    </cfRule>
  </conditionalFormatting>
  <conditionalFormatting sqref="S1104:S1111">
    <cfRule type="containsText" dxfId="821" priority="67" operator="containsText" text="o">
      <formula>NOT(ISERROR(SEARCH("o",S1104)))</formula>
    </cfRule>
  </conditionalFormatting>
  <conditionalFormatting sqref="N1104:N1111">
    <cfRule type="containsText" dxfId="820" priority="66" operator="containsText" text="o">
      <formula>NOT(ISERROR(SEARCH("o",N1104)))</formula>
    </cfRule>
  </conditionalFormatting>
  <conditionalFormatting sqref="U1104:U1111">
    <cfRule type="containsText" dxfId="819" priority="65" operator="containsText" text="o">
      <formula>NOT(ISERROR(SEARCH("o",U1104)))</formula>
    </cfRule>
  </conditionalFormatting>
  <conditionalFormatting sqref="V1104:V1111">
    <cfRule type="containsText" dxfId="818" priority="64" operator="containsText" text="o">
      <formula>NOT(ISERROR(SEARCH("o",V1104)))</formula>
    </cfRule>
  </conditionalFormatting>
  <conditionalFormatting sqref="A7">
    <cfRule type="duplicateValues" dxfId="817" priority="63"/>
  </conditionalFormatting>
  <conditionalFormatting sqref="N1203:N1221">
    <cfRule type="containsText" dxfId="816" priority="62" operator="containsText" text="o">
      <formula>NOT(ISERROR(SEARCH("o",N1203)))</formula>
    </cfRule>
  </conditionalFormatting>
  <conditionalFormatting sqref="O1203:O1221">
    <cfRule type="containsText" dxfId="815" priority="61" operator="containsText" text="o">
      <formula>NOT(ISERROR(SEARCH("o",O1203)))</formula>
    </cfRule>
  </conditionalFormatting>
  <conditionalFormatting sqref="P1203:P1221">
    <cfRule type="containsText" dxfId="814" priority="60" operator="containsText" text="o">
      <formula>NOT(ISERROR(SEARCH("o",P1203)))</formula>
    </cfRule>
  </conditionalFormatting>
  <conditionalFormatting sqref="Q1203:Q1221">
    <cfRule type="containsText" dxfId="813" priority="59" operator="containsText" text="o">
      <formula>NOT(ISERROR(SEARCH("o",Q1203)))</formula>
    </cfRule>
  </conditionalFormatting>
  <conditionalFormatting sqref="R1203:R1221">
    <cfRule type="containsText" dxfId="812" priority="58" operator="containsText" text="o">
      <formula>NOT(ISERROR(SEARCH("o",R1203)))</formula>
    </cfRule>
  </conditionalFormatting>
  <conditionalFormatting sqref="S1203:S1221">
    <cfRule type="containsText" dxfId="811" priority="57" operator="containsText" text="o">
      <formula>NOT(ISERROR(SEARCH("o",S1203)))</formula>
    </cfRule>
  </conditionalFormatting>
  <conditionalFormatting sqref="T1203:T1221">
    <cfRule type="containsText" dxfId="810" priority="56" operator="containsText" text="o">
      <formula>NOT(ISERROR(SEARCH("o",T1203)))</formula>
    </cfRule>
  </conditionalFormatting>
  <conditionalFormatting sqref="U1203:U1221">
    <cfRule type="containsText" dxfId="809" priority="55" operator="containsText" text="o">
      <formula>NOT(ISERROR(SEARCH("o",U1203)))</formula>
    </cfRule>
  </conditionalFormatting>
  <conditionalFormatting sqref="V1203:V1221">
    <cfRule type="containsText" dxfId="808" priority="54" operator="containsText" text="o">
      <formula>NOT(ISERROR(SEARCH("o",V1203)))</formula>
    </cfRule>
  </conditionalFormatting>
  <conditionalFormatting sqref="K1203:K1221">
    <cfRule type="containsText" dxfId="807" priority="53" operator="containsText" text="o">
      <formula>NOT(ISERROR(SEARCH("o",K1203)))</formula>
    </cfRule>
  </conditionalFormatting>
  <conditionalFormatting sqref="N1228:N1238">
    <cfRule type="containsText" dxfId="806" priority="52" operator="containsText" text="o">
      <formula>NOT(ISERROR(SEARCH("o",N1228)))</formula>
    </cfRule>
  </conditionalFormatting>
  <conditionalFormatting sqref="Q1228:Q1238">
    <cfRule type="containsText" dxfId="805" priority="51" operator="containsText" text="o">
      <formula>NOT(ISERROR(SEARCH("o",Q1228)))</formula>
    </cfRule>
  </conditionalFormatting>
  <conditionalFormatting sqref="P1228:P1238">
    <cfRule type="containsText" dxfId="804" priority="50" operator="containsText" text="o">
      <formula>NOT(ISERROR(SEARCH("o",P1228)))</formula>
    </cfRule>
  </conditionalFormatting>
  <conditionalFormatting sqref="O1228:O1238">
    <cfRule type="containsText" dxfId="803" priority="49" operator="containsText" text="o">
      <formula>NOT(ISERROR(SEARCH("o",O1228)))</formula>
    </cfRule>
  </conditionalFormatting>
  <conditionalFormatting sqref="S1228:S1238">
    <cfRule type="containsText" dxfId="802" priority="48" operator="containsText" text="o">
      <formula>NOT(ISERROR(SEARCH("o",S1228)))</formula>
    </cfRule>
  </conditionalFormatting>
  <conditionalFormatting sqref="U1228:U1238">
    <cfRule type="containsText" dxfId="801" priority="47" operator="containsText" text="o">
      <formula>NOT(ISERROR(SEARCH("o",U1228)))</formula>
    </cfRule>
  </conditionalFormatting>
  <conditionalFormatting sqref="R1228:R1238">
    <cfRule type="containsText" dxfId="800" priority="46" operator="containsText" text="o">
      <formula>NOT(ISERROR(SEARCH("o",R1228)))</formula>
    </cfRule>
  </conditionalFormatting>
  <conditionalFormatting sqref="T1229:T1230 T1237:T1238">
    <cfRule type="containsText" dxfId="799" priority="45" operator="containsText" text="o">
      <formula>NOT(ISERROR(SEARCH("o",T1229)))</formula>
    </cfRule>
  </conditionalFormatting>
  <conditionalFormatting sqref="V1228:V1238">
    <cfRule type="containsText" dxfId="798" priority="44" operator="containsText" text="o">
      <formula>NOT(ISERROR(SEARCH("o",V1228)))</formula>
    </cfRule>
  </conditionalFormatting>
  <conditionalFormatting sqref="V1246:V1282">
    <cfRule type="containsText" dxfId="797" priority="43" operator="containsText" text="o">
      <formula>NOT(ISERROR(SEARCH("o",V1246)))</formula>
    </cfRule>
  </conditionalFormatting>
  <conditionalFormatting sqref="U1246:U1282">
    <cfRule type="containsText" dxfId="796" priority="42" operator="containsText" text="o">
      <formula>NOT(ISERROR(SEARCH("o",U1246)))</formula>
    </cfRule>
  </conditionalFormatting>
  <conditionalFormatting sqref="T1246:T1282">
    <cfRule type="containsText" dxfId="795" priority="41" operator="containsText" text="o">
      <formula>NOT(ISERROR(SEARCH("o",T1246)))</formula>
    </cfRule>
  </conditionalFormatting>
  <conditionalFormatting sqref="S1246:S1282">
    <cfRule type="containsText" dxfId="794" priority="40" operator="containsText" text="o">
      <formula>NOT(ISERROR(SEARCH("o",S1246)))</formula>
    </cfRule>
  </conditionalFormatting>
  <conditionalFormatting sqref="R1246:R1282">
    <cfRule type="containsText" dxfId="793" priority="39" operator="containsText" text="o">
      <formula>NOT(ISERROR(SEARCH("o",R1246)))</formula>
    </cfRule>
  </conditionalFormatting>
  <conditionalFormatting sqref="Q1246:Q1282">
    <cfRule type="containsText" dxfId="792" priority="38" operator="containsText" text="o">
      <formula>NOT(ISERROR(SEARCH("o",Q1246)))</formula>
    </cfRule>
  </conditionalFormatting>
  <conditionalFormatting sqref="P1246:P1282">
    <cfRule type="containsText" dxfId="791" priority="37" operator="containsText" text="o">
      <formula>NOT(ISERROR(SEARCH("o",P1246)))</formula>
    </cfRule>
  </conditionalFormatting>
  <conditionalFormatting sqref="O1246:O1282">
    <cfRule type="containsText" dxfId="790" priority="36" operator="containsText" text="o">
      <formula>NOT(ISERROR(SEARCH("o",O1246)))</formula>
    </cfRule>
  </conditionalFormatting>
  <conditionalFormatting sqref="N1246:N1282">
    <cfRule type="containsText" dxfId="789" priority="35" operator="containsText" text="o">
      <formula>NOT(ISERROR(SEARCH("o",N1246)))</formula>
    </cfRule>
  </conditionalFormatting>
  <conditionalFormatting sqref="A1302:A1305">
    <cfRule type="duplicateValues" dxfId="788" priority="34"/>
  </conditionalFormatting>
  <conditionalFormatting sqref="V1315:V1317">
    <cfRule type="containsText" dxfId="787" priority="33" operator="containsText" text="o">
      <formula>NOT(ISERROR(SEARCH("o",V1315)))</formula>
    </cfRule>
  </conditionalFormatting>
  <conditionalFormatting sqref="P1315:P1317">
    <cfRule type="containsText" dxfId="786" priority="32" operator="containsText" text="o">
      <formula>NOT(ISERROR(SEARCH("o",P1315)))</formula>
    </cfRule>
  </conditionalFormatting>
  <conditionalFormatting sqref="N1315:N1317">
    <cfRule type="containsText" dxfId="785" priority="31" operator="containsText" text="o">
      <formula>NOT(ISERROR(SEARCH("o",N1315)))</formula>
    </cfRule>
  </conditionalFormatting>
  <conditionalFormatting sqref="Q1315:Q1317">
    <cfRule type="containsText" dxfId="784" priority="30" operator="containsText" text="o">
      <formula>NOT(ISERROR(SEARCH("o",Q1315)))</formula>
    </cfRule>
  </conditionalFormatting>
  <conditionalFormatting sqref="O1314:O1317">
    <cfRule type="containsText" dxfId="783" priority="29" operator="containsText" text="o">
      <formula>NOT(ISERROR(SEARCH("o",O1314)))</formula>
    </cfRule>
  </conditionalFormatting>
  <conditionalFormatting sqref="P1323:P1327">
    <cfRule type="containsText" dxfId="782" priority="28" operator="containsText" text="o">
      <formula>NOT(ISERROR(SEARCH("o",P1323)))</formula>
    </cfRule>
  </conditionalFormatting>
  <conditionalFormatting sqref="S1323:S1327">
    <cfRule type="containsText" dxfId="781" priority="27" operator="containsText" text="o">
      <formula>NOT(ISERROR(SEARCH("o",S1323)))</formula>
    </cfRule>
  </conditionalFormatting>
  <conditionalFormatting sqref="U1323:U1327">
    <cfRule type="containsText" dxfId="780" priority="26" operator="containsText" text="o">
      <formula>NOT(ISERROR(SEARCH("o",U1323)))</formula>
    </cfRule>
  </conditionalFormatting>
  <conditionalFormatting sqref="N1323:N1327">
    <cfRule type="containsText" dxfId="779" priority="25" operator="containsText" text="o">
      <formula>NOT(ISERROR(SEARCH("o",N1323)))</formula>
    </cfRule>
  </conditionalFormatting>
  <conditionalFormatting sqref="Q1323:Q1327">
    <cfRule type="containsText" dxfId="778" priority="24" operator="containsText" text="o">
      <formula>NOT(ISERROR(SEARCH("o",Q1323)))</formula>
    </cfRule>
  </conditionalFormatting>
  <conditionalFormatting sqref="T1323:T1327">
    <cfRule type="containsText" dxfId="777" priority="23" operator="containsText" text="o">
      <formula>NOT(ISERROR(SEARCH("o",T1323)))</formula>
    </cfRule>
  </conditionalFormatting>
  <conditionalFormatting sqref="O1323:O1327">
    <cfRule type="containsText" dxfId="776" priority="22" operator="containsText" text="o">
      <formula>NOT(ISERROR(SEARCH("o",O1323)))</formula>
    </cfRule>
  </conditionalFormatting>
  <conditionalFormatting sqref="K1323:K1327">
    <cfRule type="containsText" dxfId="775" priority="21" operator="containsText" text="o">
      <formula>NOT(ISERROR(SEARCH("o",K1323)))</formula>
    </cfRule>
  </conditionalFormatting>
  <conditionalFormatting sqref="R1323:R1327">
    <cfRule type="containsText" dxfId="774" priority="20" operator="containsText" text="o">
      <formula>NOT(ISERROR(SEARCH("o",R1323)))</formula>
    </cfRule>
  </conditionalFormatting>
  <conditionalFormatting sqref="P1341:P1344 P1346 P1353 P1349:P1350">
    <cfRule type="containsText" dxfId="773" priority="19" operator="containsText" text="o">
      <formula>NOT(ISERROR(SEARCH("o",P1341)))</formula>
    </cfRule>
  </conditionalFormatting>
  <conditionalFormatting sqref="N1341:N1357">
    <cfRule type="containsText" dxfId="772" priority="18" operator="containsText" text="o">
      <formula>NOT(ISERROR(SEARCH("o",N1341)))</formula>
    </cfRule>
  </conditionalFormatting>
  <conditionalFormatting sqref="Q1355:Q1357 Q1349:Q1353 Q1346 Q1341:Q1344">
    <cfRule type="containsText" dxfId="771" priority="17" operator="containsText" text="o">
      <formula>NOT(ISERROR(SEARCH("o",Q1341)))</formula>
    </cfRule>
  </conditionalFormatting>
  <conditionalFormatting sqref="O1341 O1353 O1349 O1346 O1344">
    <cfRule type="containsText" dxfId="770" priority="16" operator="containsText" text="o">
      <formula>NOT(ISERROR(SEARCH("o",O1341)))</formula>
    </cfRule>
  </conditionalFormatting>
  <conditionalFormatting sqref="O1342">
    <cfRule type="containsText" dxfId="769" priority="15" operator="containsText" text="o">
      <formula>NOT(ISERROR(SEARCH("o",O1342)))</formula>
    </cfRule>
  </conditionalFormatting>
  <conditionalFormatting sqref="R1341:R1357">
    <cfRule type="containsText" dxfId="768" priority="14" operator="containsText" text="o">
      <formula>NOT(ISERROR(SEARCH("o",R1341)))</formula>
    </cfRule>
  </conditionalFormatting>
  <conditionalFormatting sqref="U1341:U1357">
    <cfRule type="containsText" dxfId="767" priority="13" operator="containsText" text="o">
      <formula>NOT(ISERROR(SEARCH("o",U1341)))</formula>
    </cfRule>
  </conditionalFormatting>
  <conditionalFormatting sqref="A1116">
    <cfRule type="duplicateValues" dxfId="766" priority="12"/>
  </conditionalFormatting>
  <conditionalFormatting sqref="A1117">
    <cfRule type="duplicateValues" dxfId="765" priority="11"/>
  </conditionalFormatting>
  <conditionalFormatting sqref="J1425">
    <cfRule type="containsText" dxfId="764" priority="10" operator="containsText" text="o">
      <formula>NOT(ISERROR(SEARCH("o",J1425)))</formula>
    </cfRule>
  </conditionalFormatting>
  <conditionalFormatting sqref="C1433:C1434">
    <cfRule type="duplicateValues" dxfId="763" priority="5"/>
  </conditionalFormatting>
  <conditionalFormatting sqref="C1435">
    <cfRule type="duplicateValues" dxfId="762" priority="4"/>
  </conditionalFormatting>
  <pageMargins left="0.75" right="0.75" top="1" bottom="1" header="0.5" footer="0.5"/>
  <pageSetup paperSize="9" orientation="portrait" r:id="rId1"/>
  <ignoredErrors>
    <ignoredError sqref="K668 L707" formula="1"/>
    <ignoredError sqref="I873:I874" unlocked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6D557D3C-F0E4-4F8E-B6D6-2920A55437D4}">
            <xm:f>AND($U1434&lt;#REF!,$U1434&lt;&gt;"")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F1434</xm:sqref>
        </x14:conditionalFormatting>
        <x14:conditionalFormatting xmlns:xm="http://schemas.microsoft.com/office/excel/2006/main">
          <x14:cfRule type="expression" priority="1" id="{7544C7D3-04F7-4FA9-A1DB-108705C7D308}">
            <xm:f>AND($U1435&lt;#REF!,$U1435&lt;&gt;"")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F1435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theme="7" tint="-0.499984740745262"/>
  </sheetPr>
  <dimension ref="A1:CV1727"/>
  <sheetViews>
    <sheetView tabSelected="1" zoomScale="90" zoomScaleNormal="90" workbookViewId="0">
      <pane xSplit="1" ySplit="4" topLeftCell="B1693" activePane="bottomRight" state="frozen"/>
      <selection activeCell="O1364" sqref="O1363:O1364"/>
      <selection pane="topRight" activeCell="O1364" sqref="O1363:O1364"/>
      <selection pane="bottomLeft" activeCell="O1364" sqref="O1363:O1364"/>
      <selection pane="bottomRight" activeCell="H1710" sqref="H1710"/>
    </sheetView>
  </sheetViews>
  <sheetFormatPr baseColWidth="10" defaultColWidth="10.875" defaultRowHeight="15.75" x14ac:dyDescent="0.25"/>
  <cols>
    <col min="1" max="1" width="10.875" style="37"/>
    <col min="2" max="2" width="10.375" style="34" customWidth="1"/>
    <col min="3" max="3" width="11.875" style="35" bestFit="1" customWidth="1"/>
    <col min="4" max="6" width="10.875" style="35"/>
    <col min="7" max="18" width="10.875" style="35" customWidth="1"/>
    <col min="19" max="16384" width="10.875" style="35"/>
  </cols>
  <sheetData>
    <row r="1" spans="1:31" ht="18.75" x14ac:dyDescent="0.3">
      <c r="A1" s="2108" t="s">
        <v>130</v>
      </c>
      <c r="B1" s="2108"/>
      <c r="C1" s="2108"/>
      <c r="AA1" s="36"/>
      <c r="AB1" s="36"/>
    </row>
    <row r="2" spans="1:31" ht="18.75" x14ac:dyDescent="0.3">
      <c r="A2" s="2109" t="s">
        <v>131</v>
      </c>
      <c r="B2" s="2109"/>
      <c r="C2" s="2109"/>
      <c r="AA2" s="36"/>
      <c r="AB2" s="36"/>
    </row>
    <row r="3" spans="1:31" s="651" customFormat="1" x14ac:dyDescent="0.25">
      <c r="A3" s="2105" t="s">
        <v>0</v>
      </c>
      <c r="B3" s="649" t="s">
        <v>42</v>
      </c>
      <c r="C3" s="650" t="s">
        <v>475</v>
      </c>
      <c r="D3" s="650" t="s">
        <v>3</v>
      </c>
      <c r="E3" s="650" t="s">
        <v>4</v>
      </c>
      <c r="F3" s="651" t="s">
        <v>43</v>
      </c>
      <c r="G3" s="651" t="s">
        <v>44</v>
      </c>
      <c r="H3" s="651" t="s">
        <v>38</v>
      </c>
      <c r="I3" s="651" t="s">
        <v>39</v>
      </c>
      <c r="J3" s="651" t="s">
        <v>40</v>
      </c>
      <c r="K3" s="651" t="s">
        <v>41</v>
      </c>
      <c r="L3" s="651" t="s">
        <v>45</v>
      </c>
      <c r="M3" s="651" t="s">
        <v>13</v>
      </c>
      <c r="N3" s="651" t="s">
        <v>14</v>
      </c>
      <c r="O3" s="651" t="s">
        <v>15</v>
      </c>
      <c r="P3" s="651" t="s">
        <v>16</v>
      </c>
      <c r="Q3" s="651" t="s">
        <v>17</v>
      </c>
      <c r="R3" s="651" t="s">
        <v>8</v>
      </c>
      <c r="S3" s="651" t="s">
        <v>70</v>
      </c>
      <c r="T3" s="651" t="s">
        <v>69</v>
      </c>
      <c r="U3" s="651" t="s">
        <v>19</v>
      </c>
      <c r="V3" s="651" t="s">
        <v>22</v>
      </c>
      <c r="W3" s="651" t="s">
        <v>78</v>
      </c>
      <c r="X3" s="651" t="s">
        <v>23</v>
      </c>
      <c r="Y3" s="651" t="s">
        <v>27</v>
      </c>
      <c r="Z3" s="651" t="s">
        <v>79</v>
      </c>
      <c r="AA3" s="651" t="s">
        <v>20</v>
      </c>
      <c r="AB3" s="651" t="s">
        <v>21</v>
      </c>
      <c r="AC3" s="651" t="s">
        <v>25</v>
      </c>
      <c r="AD3" s="651" t="s">
        <v>627</v>
      </c>
      <c r="AE3" s="651" t="s">
        <v>629</v>
      </c>
    </row>
    <row r="4" spans="1:31" s="651" customFormat="1" x14ac:dyDescent="0.25">
      <c r="A4" s="2105"/>
      <c r="B4" s="649" t="s">
        <v>46</v>
      </c>
      <c r="C4" s="650"/>
      <c r="D4" s="650" t="s">
        <v>34</v>
      </c>
      <c r="E4" s="650" t="s">
        <v>35</v>
      </c>
      <c r="F4" s="651" t="s">
        <v>46</v>
      </c>
      <c r="G4" s="651" t="s">
        <v>46</v>
      </c>
      <c r="H4" s="651" t="s">
        <v>46</v>
      </c>
      <c r="I4" s="651" t="s">
        <v>46</v>
      </c>
      <c r="J4" s="651" t="s">
        <v>46</v>
      </c>
      <c r="K4" s="651" t="s">
        <v>46</v>
      </c>
      <c r="L4" s="651" t="s">
        <v>46</v>
      </c>
      <c r="M4" s="651" t="s">
        <v>47</v>
      </c>
      <c r="N4" s="651" t="s">
        <v>47</v>
      </c>
      <c r="O4" s="651" t="s">
        <v>47</v>
      </c>
      <c r="P4" s="651" t="s">
        <v>47</v>
      </c>
      <c r="Q4" s="651" t="s">
        <v>47</v>
      </c>
      <c r="R4" s="651" t="s">
        <v>46</v>
      </c>
      <c r="S4" s="651" t="s">
        <v>72</v>
      </c>
      <c r="T4" s="651" t="s">
        <v>47</v>
      </c>
      <c r="U4" s="651" t="s">
        <v>47</v>
      </c>
      <c r="V4" s="651" t="s">
        <v>47</v>
      </c>
      <c r="W4" s="651" t="s">
        <v>47</v>
      </c>
      <c r="X4" s="651" t="s">
        <v>47</v>
      </c>
      <c r="Y4" s="651" t="s">
        <v>47</v>
      </c>
      <c r="Z4" s="651" t="s">
        <v>47</v>
      </c>
      <c r="AA4" s="651" t="s">
        <v>47</v>
      </c>
      <c r="AB4" s="651" t="s">
        <v>47</v>
      </c>
      <c r="AC4" s="651" t="s">
        <v>47</v>
      </c>
      <c r="AD4" s="651" t="s">
        <v>628</v>
      </c>
      <c r="AE4" s="651" t="s">
        <v>46</v>
      </c>
    </row>
    <row r="5" spans="1:31" s="34" customFormat="1" x14ac:dyDescent="0.25">
      <c r="A5" s="38">
        <v>183442</v>
      </c>
      <c r="B5" s="236">
        <v>9.6014492753623202</v>
      </c>
      <c r="C5" s="236"/>
      <c r="D5" s="236">
        <v>7.03</v>
      </c>
      <c r="E5" s="236">
        <v>36.44</v>
      </c>
      <c r="F5" s="236">
        <v>0.30814740000000002</v>
      </c>
      <c r="G5" s="236">
        <f>22058.65/10000</f>
        <v>2.2058650000000002</v>
      </c>
      <c r="H5" s="236">
        <f>74607.84/10000</f>
        <v>7.4607839999999994</v>
      </c>
      <c r="I5" s="236">
        <f>138714.73/10000</f>
        <v>13.871473000000002</v>
      </c>
      <c r="J5" s="236">
        <f>52251.27/10000</f>
        <v>5.2251269999999996</v>
      </c>
      <c r="K5" s="236">
        <f>8636.42/10000</f>
        <v>0.86364200000000002</v>
      </c>
      <c r="L5" s="236">
        <v>61.199999999999903</v>
      </c>
      <c r="M5" s="237">
        <v>116.41</v>
      </c>
      <c r="N5" s="237">
        <v>44.65</v>
      </c>
      <c r="O5" s="237">
        <v>207.44</v>
      </c>
      <c r="P5" s="237">
        <v>6765.86</v>
      </c>
      <c r="Q5" s="236">
        <v>31.61</v>
      </c>
      <c r="R5" s="236"/>
      <c r="S5" s="236">
        <v>0.89999999999999991</v>
      </c>
      <c r="T5" s="236">
        <v>10</v>
      </c>
    </row>
    <row r="6" spans="1:31" s="34" customFormat="1" x14ac:dyDescent="0.25">
      <c r="A6" s="38">
        <v>183443</v>
      </c>
      <c r="B6" s="236">
        <v>10.937345342967438</v>
      </c>
      <c r="C6" s="236"/>
      <c r="D6" s="236">
        <v>7</v>
      </c>
      <c r="E6" s="236">
        <v>38.79</v>
      </c>
      <c r="F6" s="236">
        <v>0.42020100000000005</v>
      </c>
      <c r="G6" s="236">
        <f>2874.98/10000</f>
        <v>0.28749799999999998</v>
      </c>
      <c r="H6" s="236">
        <f>14802.92/10000</f>
        <v>1.4802919999999999</v>
      </c>
      <c r="I6" s="236">
        <f>62797.9/10000</f>
        <v>6.2797900000000002</v>
      </c>
      <c r="J6" s="236">
        <f>35097.68/10000</f>
        <v>3.5097680000000002</v>
      </c>
      <c r="K6" s="236">
        <f>5214.82/10000</f>
        <v>0.521482</v>
      </c>
      <c r="L6" s="236">
        <v>71.399999999999864</v>
      </c>
      <c r="M6" s="237">
        <v>58.82</v>
      </c>
      <c r="N6" s="237">
        <v>30.63</v>
      </c>
      <c r="O6" s="237">
        <v>125.92</v>
      </c>
      <c r="P6" s="237">
        <v>4379.9799999999996</v>
      </c>
      <c r="Q6" s="236">
        <v>22.85</v>
      </c>
      <c r="R6" s="236"/>
      <c r="S6" s="236">
        <v>0.89444444444444449</v>
      </c>
      <c r="T6" s="236">
        <v>10</v>
      </c>
    </row>
    <row r="7" spans="1:31" s="34" customFormat="1" x14ac:dyDescent="0.25">
      <c r="A7" s="38">
        <v>183444</v>
      </c>
      <c r="B7" s="236">
        <v>10.979906675554711</v>
      </c>
      <c r="C7" s="236"/>
      <c r="D7" s="236">
        <v>7.79</v>
      </c>
      <c r="E7" s="236">
        <v>15.29</v>
      </c>
      <c r="F7" s="236">
        <v>0.50424120000000006</v>
      </c>
      <c r="G7" s="236">
        <f>23766.98/10000</f>
        <v>2.3766979999999998</v>
      </c>
      <c r="H7" s="236">
        <f>60386.31/10000</f>
        <v>6.0386309999999996</v>
      </c>
      <c r="I7" s="236">
        <f>13540.45/10000</f>
        <v>1.3540450000000002</v>
      </c>
      <c r="J7" s="236">
        <f>111080.79/10000</f>
        <v>11.108079</v>
      </c>
      <c r="K7" s="236">
        <f>16657.13/10000</f>
        <v>1.665713</v>
      </c>
      <c r="L7" s="236">
        <v>38.399999999999892</v>
      </c>
      <c r="M7" s="237">
        <v>627.32000000000005</v>
      </c>
      <c r="N7" s="237">
        <v>257.85000000000002</v>
      </c>
      <c r="O7" s="237">
        <v>815.05</v>
      </c>
      <c r="P7" s="237">
        <v>22041.38</v>
      </c>
      <c r="Q7" s="236">
        <v>57.66</v>
      </c>
      <c r="R7" s="236"/>
      <c r="S7" s="236">
        <v>1.03111111111111</v>
      </c>
      <c r="T7" s="236">
        <v>10</v>
      </c>
    </row>
    <row r="8" spans="1:31" s="34" customFormat="1" x14ac:dyDescent="0.25">
      <c r="A8" s="38">
        <v>183445</v>
      </c>
      <c r="B8" s="236">
        <v>11.851352652353899</v>
      </c>
      <c r="C8" s="236"/>
      <c r="D8" s="236">
        <v>7.6</v>
      </c>
      <c r="E8" s="236">
        <v>17.940000000000001</v>
      </c>
      <c r="F8" s="236">
        <v>0.50424120000000006</v>
      </c>
      <c r="G8" s="236">
        <f>27084.5/10000</f>
        <v>2.70845</v>
      </c>
      <c r="H8" s="236">
        <f>60079.98/10000</f>
        <v>6.0079980000000006</v>
      </c>
      <c r="I8" s="236">
        <f>10140.5/10000</f>
        <v>1.0140499999999999</v>
      </c>
      <c r="J8" s="236">
        <f>99144.07/10000</f>
        <v>9.9144070000000006</v>
      </c>
      <c r="K8" s="236">
        <f>14078.92/10000</f>
        <v>1.4078919999999999</v>
      </c>
      <c r="L8" s="236">
        <v>37.800000000000011</v>
      </c>
      <c r="M8" s="237">
        <v>520.66999999999996</v>
      </c>
      <c r="N8" s="237">
        <v>187.84</v>
      </c>
      <c r="O8" s="237">
        <v>683.12</v>
      </c>
      <c r="P8" s="237">
        <v>18429.62</v>
      </c>
      <c r="Q8" s="236">
        <v>43.43</v>
      </c>
      <c r="R8" s="236"/>
      <c r="S8" s="236">
        <v>0.87222222222222223</v>
      </c>
      <c r="T8" s="236">
        <v>10</v>
      </c>
    </row>
    <row r="9" spans="1:31" s="34" customFormat="1" x14ac:dyDescent="0.25">
      <c r="A9" s="38">
        <v>183446</v>
      </c>
      <c r="B9" s="236">
        <v>13.759286775631507</v>
      </c>
      <c r="C9" s="236"/>
      <c r="D9" s="236">
        <v>8.1</v>
      </c>
      <c r="E9" s="236">
        <v>17.84</v>
      </c>
      <c r="F9" s="236">
        <v>0.67232160000000007</v>
      </c>
      <c r="G9" s="236">
        <f>18469.08/10000</f>
        <v>1.8469080000000002</v>
      </c>
      <c r="H9" s="236">
        <f>79230.3/10000</f>
        <v>7.9230300000000007</v>
      </c>
      <c r="I9" s="236">
        <f>17302.35/10000</f>
        <v>1.7302349999999997</v>
      </c>
      <c r="J9" s="236">
        <f>113493.67/10000</f>
        <v>11.349366999999999</v>
      </c>
      <c r="K9" s="236">
        <f>21482.52/10000</f>
        <v>2.1482519999999998</v>
      </c>
      <c r="L9" s="236">
        <v>44.600000000000087</v>
      </c>
      <c r="M9" s="237">
        <v>466.52</v>
      </c>
      <c r="N9" s="237">
        <v>244.5</v>
      </c>
      <c r="O9" s="237">
        <v>1026.29</v>
      </c>
      <c r="P9" s="237">
        <v>24484.74</v>
      </c>
      <c r="Q9" s="236">
        <v>80.97</v>
      </c>
      <c r="R9" s="236"/>
      <c r="S9" s="236">
        <v>0.84444444444444444</v>
      </c>
      <c r="T9" s="236">
        <v>10</v>
      </c>
    </row>
    <row r="10" spans="1:31" s="34" customFormat="1" x14ac:dyDescent="0.25">
      <c r="A10" s="38">
        <v>183447</v>
      </c>
      <c r="B10" s="236">
        <v>10.643653362099968</v>
      </c>
      <c r="C10" s="236"/>
      <c r="D10" s="236">
        <v>8</v>
      </c>
      <c r="E10" s="236">
        <v>21.19</v>
      </c>
      <c r="F10" s="236">
        <v>0.7563618000000002</v>
      </c>
      <c r="G10" s="236">
        <f>25789.51/10000</f>
        <v>2.578951</v>
      </c>
      <c r="H10" s="236">
        <f>101711.73/10000</f>
        <v>10.171173</v>
      </c>
      <c r="I10" s="236">
        <f>18438.58/10000</f>
        <v>1.8438580000000002</v>
      </c>
      <c r="J10" s="236">
        <f>94837.67/10000</f>
        <v>9.4837670000000003</v>
      </c>
      <c r="K10" s="236">
        <f>18465.64/10000</f>
        <v>1.8465639999999999</v>
      </c>
      <c r="L10" s="236">
        <v>44.000000000000099</v>
      </c>
      <c r="M10" s="237">
        <v>413.62</v>
      </c>
      <c r="N10" s="237">
        <v>246.65</v>
      </c>
      <c r="O10" s="237">
        <v>906.53</v>
      </c>
      <c r="P10" s="237">
        <v>21812.21</v>
      </c>
      <c r="Q10" s="236">
        <v>81.86</v>
      </c>
      <c r="R10" s="236"/>
      <c r="S10" s="236">
        <v>1.3155555555555534</v>
      </c>
      <c r="T10" s="236">
        <v>10</v>
      </c>
    </row>
    <row r="11" spans="1:31" s="34" customFormat="1" x14ac:dyDescent="0.25">
      <c r="A11" s="38">
        <v>809503</v>
      </c>
      <c r="B11" s="236">
        <f>100-37.4</f>
        <v>62.6</v>
      </c>
      <c r="C11" s="236"/>
      <c r="D11" s="236"/>
      <c r="E11" s="236"/>
      <c r="F11" s="236"/>
      <c r="G11" s="236"/>
      <c r="H11" s="236"/>
      <c r="I11" s="236"/>
      <c r="J11" s="236"/>
      <c r="K11" s="236"/>
      <c r="L11" s="236">
        <v>41</v>
      </c>
      <c r="M11" s="237"/>
      <c r="N11" s="237"/>
      <c r="O11" s="237"/>
      <c r="P11" s="237"/>
      <c r="Q11" s="236"/>
      <c r="R11" s="236"/>
      <c r="S11" s="236"/>
      <c r="T11" s="236"/>
    </row>
    <row r="12" spans="1:31" s="34" customFormat="1" x14ac:dyDescent="0.25">
      <c r="A12" s="38">
        <v>183450</v>
      </c>
      <c r="B12" s="236">
        <v>33.037521407442</v>
      </c>
      <c r="C12" s="236"/>
      <c r="D12" s="236">
        <v>8.99</v>
      </c>
      <c r="E12" s="236">
        <v>1.87</v>
      </c>
      <c r="F12" s="236">
        <v>1.9329246000000002</v>
      </c>
      <c r="G12" s="236">
        <v>1.1207</v>
      </c>
      <c r="H12" s="236">
        <f>54709.23/10000</f>
        <v>5.470923</v>
      </c>
      <c r="I12" s="236">
        <v>0.21690000000000001</v>
      </c>
      <c r="J12" s="236">
        <f>170491.38/10000</f>
        <v>17.049137999999999</v>
      </c>
      <c r="K12" s="236">
        <v>0.63449999999999995</v>
      </c>
      <c r="L12" s="236">
        <v>69.399999999999977</v>
      </c>
      <c r="M12" s="237">
        <v>246.68</v>
      </c>
      <c r="N12" s="237">
        <v>39.270000000000003</v>
      </c>
      <c r="O12" s="237">
        <v>291.83999999999997</v>
      </c>
      <c r="P12" s="237">
        <v>1364</v>
      </c>
      <c r="Q12" s="236">
        <v>39.64</v>
      </c>
      <c r="R12" s="236"/>
      <c r="S12" s="236">
        <v>0.9</v>
      </c>
      <c r="T12" s="236">
        <v>10</v>
      </c>
    </row>
    <row r="13" spans="1:31" s="34" customFormat="1" x14ac:dyDescent="0.25">
      <c r="A13" s="38">
        <v>183451</v>
      </c>
      <c r="B13" s="236">
        <v>30.372639101582426</v>
      </c>
      <c r="C13" s="236"/>
      <c r="D13" s="236">
        <v>8.32</v>
      </c>
      <c r="E13" s="236">
        <v>1.73</v>
      </c>
      <c r="F13" s="236">
        <v>2.241072</v>
      </c>
      <c r="G13" s="236">
        <v>1.3275999999999999</v>
      </c>
      <c r="H13" s="236">
        <v>1.3485</v>
      </c>
      <c r="I13" s="236">
        <v>0.1736</v>
      </c>
      <c r="J13" s="236">
        <f>222551.83/10000</f>
        <v>22.255182999999999</v>
      </c>
      <c r="K13" s="236">
        <v>0.71970000000000001</v>
      </c>
      <c r="L13" s="236">
        <v>61.599999999999966</v>
      </c>
      <c r="M13" s="237">
        <v>299</v>
      </c>
      <c r="N13" s="237">
        <v>47.3</v>
      </c>
      <c r="O13" s="237">
        <v>350</v>
      </c>
      <c r="P13" s="237">
        <v>1458</v>
      </c>
      <c r="Q13" s="236">
        <v>41.37</v>
      </c>
      <c r="R13" s="236"/>
      <c r="S13" s="236">
        <v>1.8</v>
      </c>
      <c r="T13" s="236">
        <v>10</v>
      </c>
    </row>
    <row r="14" spans="1:31" s="34" customFormat="1" x14ac:dyDescent="0.25">
      <c r="A14" s="38">
        <v>183452</v>
      </c>
      <c r="B14" s="236">
        <v>42.38698576568121</v>
      </c>
      <c r="C14" s="236"/>
      <c r="D14" s="236">
        <v>8.92</v>
      </c>
      <c r="E14" s="236">
        <v>4.6500000000000004</v>
      </c>
      <c r="F14" s="236">
        <v>2.1850452000000002</v>
      </c>
      <c r="G14" s="236">
        <v>0.57999999999999996</v>
      </c>
      <c r="H14" s="236">
        <v>8.6935389999999995</v>
      </c>
      <c r="I14" s="236">
        <v>0.5232</v>
      </c>
      <c r="J14" s="236">
        <v>5.0925000000000002</v>
      </c>
      <c r="K14" s="236">
        <v>0.87060000000000004</v>
      </c>
      <c r="L14" s="236">
        <v>53.400000000000034</v>
      </c>
      <c r="M14" s="237">
        <v>138</v>
      </c>
      <c r="N14" s="237">
        <v>69</v>
      </c>
      <c r="O14" s="237">
        <v>346</v>
      </c>
      <c r="P14" s="237">
        <v>9521</v>
      </c>
      <c r="Q14" s="236">
        <v>40.64</v>
      </c>
      <c r="R14" s="236"/>
      <c r="S14" s="236"/>
      <c r="T14" s="236"/>
    </row>
    <row r="15" spans="1:31" s="34" customFormat="1" x14ac:dyDescent="0.25">
      <c r="A15" s="38">
        <v>183453</v>
      </c>
      <c r="B15" s="236">
        <v>53.537670918601457</v>
      </c>
      <c r="C15" s="236"/>
      <c r="D15" s="236">
        <v>9.43</v>
      </c>
      <c r="E15" s="236">
        <v>2.59</v>
      </c>
      <c r="F15" s="236">
        <v>1.6808040000000002</v>
      </c>
      <c r="G15" s="236">
        <v>0.45419999999999999</v>
      </c>
      <c r="H15" s="236">
        <v>3.6484320000000001</v>
      </c>
      <c r="I15" s="236">
        <v>0.35270000000000001</v>
      </c>
      <c r="J15" s="236">
        <v>0.89339999999999997</v>
      </c>
      <c r="K15" s="236">
        <v>0.70620000000000005</v>
      </c>
      <c r="L15" s="236">
        <v>41.000000000000078</v>
      </c>
      <c r="M15" s="237">
        <v>106</v>
      </c>
      <c r="N15" s="237">
        <v>33.090000000000003</v>
      </c>
      <c r="O15" s="237">
        <v>447</v>
      </c>
      <c r="P15" s="237">
        <v>30208</v>
      </c>
      <c r="Q15" s="236">
        <v>35.86</v>
      </c>
      <c r="R15" s="236"/>
      <c r="S15" s="236"/>
      <c r="T15" s="236"/>
    </row>
    <row r="16" spans="1:31" s="34" customFormat="1" x14ac:dyDescent="0.25">
      <c r="A16" s="38">
        <v>183454</v>
      </c>
      <c r="B16" s="236">
        <v>62.436028659160691</v>
      </c>
      <c r="C16" s="236"/>
      <c r="D16" s="236">
        <v>9.3699999999999992</v>
      </c>
      <c r="E16" s="236">
        <v>5.78</v>
      </c>
      <c r="F16" s="236">
        <v>1.6527906000000001</v>
      </c>
      <c r="G16" s="236">
        <v>0.84460000000000002</v>
      </c>
      <c r="H16" s="236">
        <v>6.4125309999999995</v>
      </c>
      <c r="I16" s="236">
        <v>0.49819999999999998</v>
      </c>
      <c r="J16" s="236">
        <v>13.316018</v>
      </c>
      <c r="K16" s="236">
        <v>0.92749999999999999</v>
      </c>
      <c r="L16" s="236">
        <v>41.200000000000045</v>
      </c>
      <c r="M16" s="237">
        <v>215</v>
      </c>
      <c r="N16" s="237">
        <v>75.7</v>
      </c>
      <c r="O16" s="237">
        <v>422</v>
      </c>
      <c r="P16" s="237">
        <v>9199</v>
      </c>
      <c r="Q16" s="236">
        <v>51.36</v>
      </c>
      <c r="R16" s="236"/>
      <c r="S16" s="236"/>
      <c r="T16" s="236"/>
    </row>
    <row r="17" spans="1:29" s="34" customFormat="1" x14ac:dyDescent="0.25">
      <c r="A17" s="38">
        <v>183455</v>
      </c>
      <c r="B17" s="236">
        <v>59.59561047265187</v>
      </c>
      <c r="C17" s="236"/>
      <c r="D17" s="236">
        <v>8.26</v>
      </c>
      <c r="E17" s="236">
        <v>2.21</v>
      </c>
      <c r="F17" s="236">
        <v>1.2606030000000001</v>
      </c>
      <c r="G17" s="236">
        <v>0.26829999999999998</v>
      </c>
      <c r="H17" s="236">
        <v>0.60070000000000001</v>
      </c>
      <c r="I17" s="236">
        <v>0.33400000000000002</v>
      </c>
      <c r="J17" s="236">
        <f>140653.13/10000</f>
        <v>14.065313</v>
      </c>
      <c r="K17" s="236">
        <v>0.4163</v>
      </c>
      <c r="L17" s="236">
        <v>33.400000000000034</v>
      </c>
      <c r="M17" s="237">
        <v>106</v>
      </c>
      <c r="N17" s="237">
        <v>26.93</v>
      </c>
      <c r="O17" s="237">
        <v>217</v>
      </c>
      <c r="P17" s="237">
        <v>7745</v>
      </c>
      <c r="Q17" s="236">
        <v>24.14</v>
      </c>
      <c r="R17" s="236"/>
      <c r="S17" s="236"/>
      <c r="T17" s="236"/>
    </row>
    <row r="18" spans="1:29" s="34" customFormat="1" x14ac:dyDescent="0.25">
      <c r="A18" s="38">
        <v>183457</v>
      </c>
      <c r="B18" s="236">
        <v>87.609771674916232</v>
      </c>
      <c r="C18" s="236"/>
      <c r="D18" s="236">
        <v>7.38</v>
      </c>
      <c r="E18" s="236">
        <v>0.62</v>
      </c>
      <c r="F18" s="236">
        <v>1.1765628000000001</v>
      </c>
      <c r="G18" s="236">
        <v>5.6569000000000008E-2</v>
      </c>
      <c r="H18" s="236">
        <v>1.6819999999999999</v>
      </c>
      <c r="I18" s="236">
        <v>3.9991000000000006E-2</v>
      </c>
      <c r="J18" s="236">
        <f>34853.02/10000</f>
        <v>3.4853019999999999</v>
      </c>
      <c r="K18" s="236">
        <v>0.35170000000000001</v>
      </c>
      <c r="L18" s="236">
        <v>88.200000000000074</v>
      </c>
      <c r="M18" s="237">
        <v>18.010000000000002</v>
      </c>
      <c r="N18" s="237">
        <v>5.51</v>
      </c>
      <c r="O18" s="237">
        <v>54.79</v>
      </c>
      <c r="P18" s="237">
        <v>1995.38</v>
      </c>
      <c r="Q18" s="236">
        <v>37.83</v>
      </c>
      <c r="R18" s="236"/>
      <c r="S18" s="236"/>
      <c r="T18" s="236"/>
    </row>
    <row r="19" spans="1:29" s="34" customFormat="1" x14ac:dyDescent="0.25">
      <c r="A19" s="38">
        <v>183294</v>
      </c>
      <c r="B19" s="236"/>
      <c r="C19" s="236"/>
      <c r="D19" s="236"/>
      <c r="E19" s="236"/>
      <c r="F19" s="236"/>
      <c r="G19" s="236"/>
      <c r="H19" s="236"/>
      <c r="I19" s="236"/>
      <c r="J19" s="236"/>
      <c r="K19" s="236"/>
      <c r="L19" s="236"/>
      <c r="M19" s="237"/>
      <c r="N19" s="237"/>
      <c r="O19" s="237"/>
      <c r="P19" s="237"/>
      <c r="Q19" s="236"/>
      <c r="R19" s="236"/>
      <c r="S19" s="236"/>
      <c r="T19" s="236"/>
    </row>
    <row r="20" spans="1:29" s="34" customFormat="1" x14ac:dyDescent="0.25">
      <c r="A20" s="38">
        <v>183295</v>
      </c>
      <c r="B20" s="236"/>
      <c r="C20" s="236"/>
      <c r="D20" s="236"/>
      <c r="E20" s="236"/>
      <c r="F20" s="236">
        <v>17.36</v>
      </c>
      <c r="G20" s="236">
        <v>33.57</v>
      </c>
      <c r="H20" s="236">
        <v>0.03</v>
      </c>
      <c r="I20" s="236"/>
      <c r="J20" s="236"/>
      <c r="K20" s="236"/>
      <c r="L20" s="236"/>
      <c r="M20" s="237"/>
      <c r="N20" s="237"/>
      <c r="O20" s="237"/>
      <c r="P20" s="237"/>
      <c r="Q20" s="236"/>
      <c r="R20" s="236"/>
      <c r="S20" s="236"/>
      <c r="T20" s="236"/>
    </row>
    <row r="21" spans="1:29" s="34" customFormat="1" x14ac:dyDescent="0.25">
      <c r="A21" s="38">
        <v>183296</v>
      </c>
      <c r="B21" s="236"/>
      <c r="C21" s="236"/>
      <c r="D21" s="236"/>
      <c r="E21" s="236"/>
      <c r="F21" s="236">
        <v>23.61</v>
      </c>
      <c r="G21" s="236">
        <v>0.18</v>
      </c>
      <c r="H21" s="236">
        <v>0.02</v>
      </c>
      <c r="I21" s="236"/>
      <c r="J21" s="236"/>
      <c r="K21" s="236"/>
      <c r="L21" s="236"/>
      <c r="M21" s="237"/>
      <c r="N21" s="237"/>
      <c r="O21" s="237"/>
      <c r="P21" s="237"/>
      <c r="Q21" s="236"/>
      <c r="R21" s="236"/>
      <c r="S21" s="236"/>
      <c r="T21" s="236"/>
    </row>
    <row r="22" spans="1:29" s="34" customFormat="1" x14ac:dyDescent="0.25">
      <c r="A22" s="38">
        <v>809502</v>
      </c>
      <c r="B22" s="238">
        <v>18.636926889714996</v>
      </c>
      <c r="C22" s="236"/>
      <c r="D22" s="236">
        <v>7.78</v>
      </c>
      <c r="E22" s="238">
        <v>2.2599999999999998</v>
      </c>
      <c r="F22" s="238">
        <v>2.4651792000000001</v>
      </c>
      <c r="G22" s="238">
        <v>3.7189999999999999</v>
      </c>
      <c r="H22" s="238">
        <v>0.14000000000000001</v>
      </c>
      <c r="I22" s="238">
        <v>2.794</v>
      </c>
      <c r="J22" s="238">
        <v>10.44</v>
      </c>
      <c r="K22" s="238">
        <v>0.72</v>
      </c>
      <c r="L22" s="236">
        <v>76.599999999999966</v>
      </c>
      <c r="M22" s="237"/>
      <c r="N22" s="237"/>
      <c r="O22" s="237"/>
      <c r="P22" s="237"/>
      <c r="Q22" s="236"/>
      <c r="R22" s="236"/>
      <c r="S22" s="236"/>
      <c r="T22" s="236"/>
    </row>
    <row r="23" spans="1:29" s="34" customFormat="1" x14ac:dyDescent="0.25">
      <c r="A23" s="38">
        <v>809500</v>
      </c>
      <c r="B23" s="238">
        <v>61.530317613089515</v>
      </c>
      <c r="C23" s="236"/>
      <c r="D23" s="236">
        <v>7.47</v>
      </c>
      <c r="E23" s="238">
        <v>0.63</v>
      </c>
      <c r="F23" s="238">
        <v>0.98046900000000003</v>
      </c>
      <c r="G23" s="238">
        <v>0.18459999999999999</v>
      </c>
      <c r="H23" s="238">
        <v>0.97500000000000009</v>
      </c>
      <c r="I23" s="238">
        <v>0.1963</v>
      </c>
      <c r="J23" s="238">
        <v>3.7570000000000001</v>
      </c>
      <c r="K23" s="238">
        <v>0.312</v>
      </c>
      <c r="L23" s="236">
        <v>79.80000000000004</v>
      </c>
      <c r="M23" s="237"/>
      <c r="N23" s="237"/>
      <c r="O23" s="237"/>
      <c r="P23" s="237"/>
      <c r="Q23" s="236"/>
      <c r="R23" s="236"/>
      <c r="S23" s="236"/>
      <c r="T23" s="236"/>
    </row>
    <row r="24" spans="1:29" s="34" customFormat="1" x14ac:dyDescent="0.25">
      <c r="A24" s="38">
        <v>809501</v>
      </c>
      <c r="B24" s="238">
        <v>1.3015184381778657</v>
      </c>
      <c r="C24" s="236"/>
      <c r="D24" s="236">
        <v>7.32</v>
      </c>
      <c r="E24" s="238">
        <v>12.64</v>
      </c>
      <c r="F24" s="238">
        <v>0.13884192419825075</v>
      </c>
      <c r="G24" s="238">
        <v>2.6000000000000002E-2</v>
      </c>
      <c r="H24" s="238">
        <v>0.10400000000000001</v>
      </c>
      <c r="I24" s="238">
        <v>0.10400000000000001</v>
      </c>
      <c r="J24" s="238">
        <v>0.27300000000000002</v>
      </c>
      <c r="K24" s="238">
        <v>6.5000000000000002E-2</v>
      </c>
      <c r="L24" s="236">
        <v>77.600000000000051</v>
      </c>
      <c r="M24" s="237">
        <v>12.94</v>
      </c>
      <c r="N24" s="237">
        <v>5.57</v>
      </c>
      <c r="O24" s="237">
        <v>16.71</v>
      </c>
      <c r="P24" s="237">
        <v>70.58</v>
      </c>
      <c r="Q24" s="236">
        <v>4.47</v>
      </c>
      <c r="R24" s="236"/>
      <c r="S24" s="236"/>
      <c r="T24" s="236"/>
      <c r="U24" s="34">
        <v>0</v>
      </c>
      <c r="V24" s="34">
        <v>0</v>
      </c>
      <c r="W24" s="34">
        <v>0</v>
      </c>
      <c r="X24" s="34">
        <v>1.44</v>
      </c>
      <c r="Y24" s="34">
        <v>0</v>
      </c>
      <c r="Z24" s="34">
        <v>0.5</v>
      </c>
      <c r="AA24" s="34">
        <v>0.47</v>
      </c>
      <c r="AB24" s="34">
        <v>0</v>
      </c>
      <c r="AC24" s="34">
        <v>0</v>
      </c>
    </row>
    <row r="25" spans="1:29" s="34" customFormat="1" x14ac:dyDescent="0.25">
      <c r="A25" s="38">
        <v>809504</v>
      </c>
      <c r="B25" s="238">
        <v>35.965819653699135</v>
      </c>
      <c r="C25" s="236"/>
      <c r="D25" s="236">
        <v>9.6199999999999992</v>
      </c>
      <c r="E25" s="238">
        <v>3.14</v>
      </c>
      <c r="F25" s="238">
        <v>3.3896214000000002</v>
      </c>
      <c r="G25" s="238">
        <v>0.54600000000000004</v>
      </c>
      <c r="H25" s="238">
        <v>2.1</v>
      </c>
      <c r="I25" s="238">
        <v>1.0010000000000001</v>
      </c>
      <c r="J25" s="238">
        <v>4.8490000000000002</v>
      </c>
      <c r="K25" s="238">
        <v>0.61099999999999999</v>
      </c>
      <c r="L25" s="236">
        <v>48.152059134107738</v>
      </c>
      <c r="M25" s="237"/>
      <c r="N25" s="237"/>
      <c r="O25" s="237"/>
      <c r="P25" s="237"/>
      <c r="Q25" s="236"/>
      <c r="R25" s="236"/>
      <c r="S25" s="236"/>
      <c r="T25" s="236"/>
    </row>
    <row r="26" spans="1:29" s="34" customFormat="1" x14ac:dyDescent="0.25">
      <c r="A26" s="38">
        <v>809505</v>
      </c>
      <c r="B26" s="238">
        <v>85.640404929577457</v>
      </c>
      <c r="C26" s="236"/>
      <c r="D26" s="236">
        <v>9.2200000000000006</v>
      </c>
      <c r="E26" s="238">
        <v>4.3099999999999996</v>
      </c>
      <c r="F26" s="238">
        <v>3.9218760000000001</v>
      </c>
      <c r="G26" s="238">
        <v>0.59800000000000009</v>
      </c>
      <c r="H26" s="238">
        <v>4.04</v>
      </c>
      <c r="I26" s="238">
        <v>1.131</v>
      </c>
      <c r="J26" s="238">
        <v>3.1330000000000005</v>
      </c>
      <c r="K26" s="238">
        <v>0.54600000000000004</v>
      </c>
      <c r="L26" s="236">
        <v>81.599999999999966</v>
      </c>
      <c r="M26" s="237"/>
      <c r="N26" s="237"/>
      <c r="O26" s="237"/>
      <c r="P26" s="237"/>
      <c r="Q26" s="236"/>
      <c r="R26" s="236"/>
      <c r="S26" s="236"/>
      <c r="T26" s="236"/>
    </row>
    <row r="27" spans="1:29" s="34" customFormat="1" x14ac:dyDescent="0.25">
      <c r="A27" s="38">
        <v>809506</v>
      </c>
      <c r="B27" s="238">
        <v>77.315175097276295</v>
      </c>
      <c r="C27" s="236"/>
      <c r="D27" s="236">
        <v>7.7</v>
      </c>
      <c r="E27" s="238">
        <v>9.9000000000000005E-2</v>
      </c>
      <c r="F27" s="238">
        <v>1.2606030000000001</v>
      </c>
      <c r="G27" s="238">
        <v>3.9E-2</v>
      </c>
      <c r="H27" s="238">
        <v>0.19500000000000001</v>
      </c>
      <c r="I27" s="238">
        <v>5.2000000000000005E-2</v>
      </c>
      <c r="J27" s="238">
        <v>0.87100000000000011</v>
      </c>
      <c r="K27" s="238">
        <v>0.11699999999999999</v>
      </c>
      <c r="L27" s="236">
        <v>95.200000000000102</v>
      </c>
      <c r="M27" s="237"/>
      <c r="N27" s="237"/>
      <c r="O27" s="237"/>
      <c r="P27" s="237"/>
      <c r="Q27" s="236"/>
      <c r="R27" s="236"/>
      <c r="S27" s="236"/>
      <c r="T27" s="236"/>
    </row>
    <row r="28" spans="1:29" s="34" customFormat="1" x14ac:dyDescent="0.25">
      <c r="A28" s="38">
        <v>809507</v>
      </c>
      <c r="B28" s="238">
        <v>64.952814838919636</v>
      </c>
      <c r="C28" s="236"/>
      <c r="D28" s="236">
        <v>7.9</v>
      </c>
      <c r="E28" s="238">
        <v>2.9</v>
      </c>
      <c r="F28" s="238">
        <v>2.2690854000000003</v>
      </c>
      <c r="G28" s="238">
        <v>0.29900000000000004</v>
      </c>
      <c r="H28" s="238">
        <v>0.63700000000000001</v>
      </c>
      <c r="I28" s="238">
        <v>0.33800000000000002</v>
      </c>
      <c r="J28" s="238">
        <v>13.273000000000001</v>
      </c>
      <c r="K28" s="238">
        <v>0.45499999999999996</v>
      </c>
      <c r="L28" s="236">
        <v>31.599999999999966</v>
      </c>
      <c r="M28" s="237"/>
      <c r="N28" s="237"/>
      <c r="O28" s="237"/>
      <c r="P28" s="237"/>
      <c r="Q28" s="236"/>
      <c r="R28" s="236"/>
      <c r="S28" s="236"/>
      <c r="T28" s="236"/>
    </row>
    <row r="29" spans="1:29" s="34" customFormat="1" x14ac:dyDescent="0.25">
      <c r="A29" s="38">
        <v>809508</v>
      </c>
      <c r="B29" s="34">
        <v>60.12</v>
      </c>
      <c r="F29" s="41"/>
      <c r="L29" s="41">
        <v>31.200000000000045</v>
      </c>
    </row>
    <row r="30" spans="1:29" s="34" customFormat="1" x14ac:dyDescent="0.25">
      <c r="A30" s="38">
        <v>809509</v>
      </c>
      <c r="B30" s="34">
        <v>40.33</v>
      </c>
      <c r="L30" s="41">
        <v>55.333333333333456</v>
      </c>
    </row>
    <row r="31" spans="1:29" s="34" customFormat="1" x14ac:dyDescent="0.25">
      <c r="A31" s="38">
        <v>809510</v>
      </c>
      <c r="B31" s="34">
        <v>48.01</v>
      </c>
      <c r="L31" s="41">
        <v>50</v>
      </c>
    </row>
    <row r="32" spans="1:29" s="34" customFormat="1" x14ac:dyDescent="0.25">
      <c r="A32" s="38">
        <v>809518</v>
      </c>
      <c r="B32" s="34">
        <v>64.710000000000008</v>
      </c>
      <c r="G32" s="41"/>
      <c r="H32" s="41"/>
      <c r="I32" s="41"/>
      <c r="J32" s="41"/>
      <c r="K32" s="41"/>
      <c r="L32" s="34">
        <v>29</v>
      </c>
    </row>
    <row r="33" spans="1:20" s="34" customFormat="1" x14ac:dyDescent="0.25">
      <c r="A33" s="38">
        <v>809519</v>
      </c>
      <c r="B33" s="34">
        <v>66.849999999999994</v>
      </c>
      <c r="G33" s="41"/>
      <c r="H33" s="41"/>
      <c r="I33" s="41"/>
      <c r="J33" s="41"/>
      <c r="K33" s="41"/>
      <c r="L33" s="34">
        <v>27.4</v>
      </c>
    </row>
    <row r="34" spans="1:20" s="34" customFormat="1" x14ac:dyDescent="0.25">
      <c r="A34" s="38">
        <v>809521</v>
      </c>
      <c r="B34" s="238">
        <v>87.08</v>
      </c>
      <c r="C34" s="236"/>
      <c r="D34" s="236"/>
      <c r="E34" s="238"/>
      <c r="F34" s="238"/>
      <c r="G34" s="238"/>
      <c r="H34" s="238"/>
      <c r="I34" s="238"/>
      <c r="J34" s="238"/>
      <c r="K34" s="238"/>
      <c r="L34" s="236">
        <v>26</v>
      </c>
      <c r="M34" s="237"/>
      <c r="N34" s="237"/>
      <c r="O34" s="237"/>
      <c r="P34" s="237"/>
      <c r="Q34" s="236"/>
      <c r="R34" s="236"/>
      <c r="S34" s="236"/>
      <c r="T34" s="236"/>
    </row>
    <row r="35" spans="1:20" s="34" customFormat="1" x14ac:dyDescent="0.25">
      <c r="A35" s="38">
        <v>809511</v>
      </c>
      <c r="B35" s="238">
        <v>61.387170097234502</v>
      </c>
      <c r="C35" s="236"/>
      <c r="D35" s="236">
        <v>7.66</v>
      </c>
      <c r="E35" s="238">
        <v>1.71</v>
      </c>
      <c r="F35" s="238">
        <v>0.86841540000000017</v>
      </c>
      <c r="G35" s="238">
        <v>0.22</v>
      </c>
      <c r="H35" s="238">
        <v>0.56000000000000005</v>
      </c>
      <c r="I35" s="238">
        <v>0.28999999999999998</v>
      </c>
      <c r="J35" s="238">
        <v>4.13</v>
      </c>
      <c r="K35" s="238">
        <v>0.31</v>
      </c>
      <c r="L35" s="236">
        <v>28.399999999999892</v>
      </c>
      <c r="M35" s="237"/>
      <c r="N35" s="237"/>
      <c r="O35" s="237"/>
      <c r="P35" s="237"/>
      <c r="Q35" s="236"/>
      <c r="R35" s="236"/>
      <c r="S35" s="236"/>
      <c r="T35" s="236"/>
    </row>
    <row r="36" spans="1:20" s="34" customFormat="1" x14ac:dyDescent="0.25">
      <c r="A36" s="38">
        <v>809512</v>
      </c>
      <c r="B36" s="238">
        <v>52.20364456133759</v>
      </c>
      <c r="C36" s="236"/>
      <c r="D36" s="236">
        <v>8.77</v>
      </c>
      <c r="E36" s="238">
        <v>0.32</v>
      </c>
      <c r="F36" s="238">
        <v>0.47622780000000003</v>
      </c>
      <c r="G36" s="238">
        <v>0.12</v>
      </c>
      <c r="H36" s="238">
        <v>0.4</v>
      </c>
      <c r="I36" s="238">
        <v>0.09</v>
      </c>
      <c r="J36" s="238">
        <v>5.29</v>
      </c>
      <c r="K36" s="238">
        <v>1.53</v>
      </c>
      <c r="L36" s="236">
        <v>47.599999999999909</v>
      </c>
      <c r="M36" s="237"/>
      <c r="N36" s="237"/>
      <c r="O36" s="237"/>
      <c r="P36" s="237"/>
      <c r="Q36" s="236"/>
      <c r="R36" s="236"/>
      <c r="S36" s="236"/>
      <c r="T36" s="236"/>
    </row>
    <row r="37" spans="1:20" s="34" customFormat="1" x14ac:dyDescent="0.25">
      <c r="A37" s="38">
        <v>809513</v>
      </c>
      <c r="B37" s="238">
        <v>43.819155264723378</v>
      </c>
      <c r="C37" s="236"/>
      <c r="D37" s="236">
        <v>8.93</v>
      </c>
      <c r="E37" s="238">
        <v>0.83</v>
      </c>
      <c r="F37" s="238">
        <v>1.0645092</v>
      </c>
      <c r="G37" s="238">
        <v>0.28000000000000003</v>
      </c>
      <c r="H37" s="238">
        <v>0.82</v>
      </c>
      <c r="I37" s="238">
        <v>0.12</v>
      </c>
      <c r="J37" s="238">
        <v>2.4700000000000002</v>
      </c>
      <c r="K37" s="238">
        <v>1.04</v>
      </c>
      <c r="L37" s="236">
        <v>50.19999999999996</v>
      </c>
      <c r="M37" s="237"/>
      <c r="N37" s="237"/>
      <c r="O37" s="237"/>
      <c r="P37" s="237"/>
      <c r="Q37" s="236"/>
      <c r="R37" s="236"/>
      <c r="S37" s="236"/>
      <c r="T37" s="236"/>
    </row>
    <row r="38" spans="1:20" s="34" customFormat="1" x14ac:dyDescent="0.25">
      <c r="A38" s="38">
        <v>809514</v>
      </c>
      <c r="B38" s="238">
        <v>64.191580437493684</v>
      </c>
      <c r="C38" s="236"/>
      <c r="D38" s="236">
        <v>9.44</v>
      </c>
      <c r="E38" s="238">
        <v>5.74</v>
      </c>
      <c r="F38" s="238">
        <v>1.540737</v>
      </c>
      <c r="G38" s="238">
        <v>0.83</v>
      </c>
      <c r="H38" s="238">
        <v>4.67</v>
      </c>
      <c r="I38" s="238">
        <v>0.61</v>
      </c>
      <c r="J38" s="238">
        <v>7.32</v>
      </c>
      <c r="K38" s="238">
        <v>1.74</v>
      </c>
      <c r="L38" s="236">
        <v>42.199999999999996</v>
      </c>
      <c r="M38" s="237"/>
      <c r="N38" s="237"/>
      <c r="O38" s="237"/>
      <c r="P38" s="237"/>
      <c r="Q38" s="236"/>
      <c r="R38" s="236"/>
      <c r="S38" s="236"/>
      <c r="T38" s="236"/>
    </row>
    <row r="39" spans="1:20" s="34" customFormat="1" x14ac:dyDescent="0.25">
      <c r="A39" s="38">
        <v>809515</v>
      </c>
      <c r="B39" s="238">
        <v>50.731089869495008</v>
      </c>
      <c r="C39" s="236"/>
      <c r="D39" s="236">
        <v>8.7799999999999994</v>
      </c>
      <c r="E39" s="238">
        <v>3.68</v>
      </c>
      <c r="F39" s="238">
        <v>1.8488844000000004</v>
      </c>
      <c r="G39" s="238">
        <v>0.74</v>
      </c>
      <c r="H39" s="238">
        <v>3.01</v>
      </c>
      <c r="I39" s="238">
        <v>0.41</v>
      </c>
      <c r="J39" s="238">
        <v>5.62</v>
      </c>
      <c r="K39" s="238">
        <v>2.2999999999999998</v>
      </c>
      <c r="L39" s="236">
        <v>59.200000000000017</v>
      </c>
      <c r="M39" s="237"/>
      <c r="N39" s="237"/>
      <c r="O39" s="237"/>
      <c r="P39" s="237"/>
      <c r="Q39" s="236"/>
      <c r="R39" s="236"/>
      <c r="S39" s="236"/>
      <c r="T39" s="236"/>
    </row>
    <row r="40" spans="1:20" s="34" customFormat="1" x14ac:dyDescent="0.25">
      <c r="A40" s="38">
        <v>809516</v>
      </c>
      <c r="B40" s="238">
        <v>40.924024640657088</v>
      </c>
      <c r="C40" s="236"/>
      <c r="D40" s="236">
        <v>8.8800000000000008</v>
      </c>
      <c r="E40" s="238">
        <v>3.15</v>
      </c>
      <c r="F40" s="238">
        <v>1.2606030000000001</v>
      </c>
      <c r="G40" s="238">
        <v>0.51</v>
      </c>
      <c r="H40" s="238">
        <v>2.93</v>
      </c>
      <c r="I40" s="238">
        <v>0.47</v>
      </c>
      <c r="J40" s="238">
        <v>7.65</v>
      </c>
      <c r="K40" s="238">
        <v>0.75</v>
      </c>
      <c r="L40" s="236">
        <v>57.600000000000051</v>
      </c>
      <c r="M40" s="237"/>
      <c r="N40" s="237"/>
      <c r="O40" s="237"/>
      <c r="P40" s="237"/>
      <c r="Q40" s="236"/>
      <c r="R40" s="236"/>
      <c r="S40" s="236"/>
      <c r="T40" s="236"/>
    </row>
    <row r="41" spans="1:20" s="34" customFormat="1" x14ac:dyDescent="0.25">
      <c r="A41" s="38">
        <v>809517</v>
      </c>
      <c r="B41" s="238">
        <v>63.0259794758326</v>
      </c>
      <c r="C41" s="236"/>
      <c r="D41" s="236">
        <v>8.67</v>
      </c>
      <c r="E41" s="238">
        <v>1.8</v>
      </c>
      <c r="F41" s="238">
        <v>0.92</v>
      </c>
      <c r="G41" s="238">
        <v>0.37</v>
      </c>
      <c r="H41" s="238">
        <v>0.64</v>
      </c>
      <c r="I41" s="238">
        <v>0.28999999999999998</v>
      </c>
      <c r="J41" s="238">
        <v>4.3099999999999996</v>
      </c>
      <c r="K41" s="238">
        <v>0.39</v>
      </c>
      <c r="L41" s="236">
        <v>22.399999999999949</v>
      </c>
      <c r="M41" s="237"/>
      <c r="N41" s="237"/>
      <c r="O41" s="237"/>
      <c r="P41" s="237"/>
      <c r="Q41" s="236"/>
      <c r="R41" s="236"/>
      <c r="S41" s="236"/>
      <c r="T41" s="236"/>
    </row>
    <row r="42" spans="1:20" s="34" customFormat="1" x14ac:dyDescent="0.25">
      <c r="A42" s="38">
        <v>809520</v>
      </c>
      <c r="B42" s="41">
        <v>87.506768220048372</v>
      </c>
      <c r="D42" s="34">
        <v>8.3000000000000007</v>
      </c>
      <c r="E42" s="34">
        <v>5.34</v>
      </c>
      <c r="F42" s="34">
        <v>1.82</v>
      </c>
      <c r="G42" s="34">
        <v>0.87</v>
      </c>
      <c r="H42" s="34">
        <v>2.17</v>
      </c>
      <c r="I42" s="34">
        <v>0.34</v>
      </c>
      <c r="J42" s="34">
        <v>6.98</v>
      </c>
      <c r="K42" s="34">
        <v>0.9</v>
      </c>
      <c r="L42" s="34">
        <v>28.599999999999994</v>
      </c>
    </row>
    <row r="43" spans="1:20" s="34" customFormat="1" x14ac:dyDescent="0.25">
      <c r="A43" s="34">
        <v>806525</v>
      </c>
      <c r="B43" s="34">
        <v>16.870000000000005</v>
      </c>
      <c r="C43" s="34">
        <v>69.710999999999999</v>
      </c>
      <c r="F43" s="41">
        <v>0.64</v>
      </c>
      <c r="G43" s="34">
        <v>0.08</v>
      </c>
      <c r="H43" s="34">
        <v>0.75</v>
      </c>
      <c r="I43" s="34">
        <v>0.03</v>
      </c>
      <c r="J43" s="41">
        <v>0.1</v>
      </c>
      <c r="K43" s="34">
        <v>0.09</v>
      </c>
      <c r="M43" s="41">
        <v>7</v>
      </c>
      <c r="N43" s="34">
        <v>3.57</v>
      </c>
      <c r="O43" s="34">
        <v>9.6</v>
      </c>
      <c r="P43" s="34">
        <v>120.91</v>
      </c>
      <c r="Q43" s="34">
        <v>26.4</v>
      </c>
      <c r="R43" s="34">
        <v>11.91</v>
      </c>
    </row>
    <row r="44" spans="1:20" s="34" customFormat="1" x14ac:dyDescent="0.25">
      <c r="A44" s="34">
        <v>806528</v>
      </c>
      <c r="B44" s="34">
        <v>15.579999999999998</v>
      </c>
      <c r="C44" s="34">
        <v>76.049000000000007</v>
      </c>
      <c r="F44" s="41">
        <v>0.67</v>
      </c>
      <c r="G44" s="34">
        <v>0.09</v>
      </c>
      <c r="H44" s="34">
        <v>0.78</v>
      </c>
      <c r="I44" s="34">
        <v>0.04</v>
      </c>
      <c r="J44" s="41">
        <v>0.12</v>
      </c>
      <c r="K44" s="34">
        <v>0.09</v>
      </c>
      <c r="M44" s="41">
        <v>8.09</v>
      </c>
      <c r="N44" s="34">
        <v>2.89</v>
      </c>
      <c r="O44" s="34">
        <v>11.02</v>
      </c>
      <c r="P44" s="34">
        <v>252.62</v>
      </c>
      <c r="Q44" s="34">
        <v>46.04</v>
      </c>
      <c r="R44" s="34">
        <v>11.98</v>
      </c>
    </row>
    <row r="45" spans="1:20" s="34" customFormat="1" x14ac:dyDescent="0.25">
      <c r="A45" s="239">
        <v>809522</v>
      </c>
      <c r="B45" s="41">
        <v>67.459999999999994</v>
      </c>
      <c r="D45" s="34">
        <v>8.67</v>
      </c>
      <c r="E45" s="34">
        <v>2.25</v>
      </c>
      <c r="F45" s="34">
        <v>0.92</v>
      </c>
      <c r="G45" s="34">
        <v>0.39</v>
      </c>
      <c r="H45" s="34">
        <v>0.79</v>
      </c>
      <c r="I45" s="34">
        <v>0.35</v>
      </c>
      <c r="J45" s="34">
        <v>5.2</v>
      </c>
      <c r="K45" s="34">
        <v>0.5</v>
      </c>
      <c r="L45" s="34">
        <v>24.2</v>
      </c>
    </row>
    <row r="46" spans="1:20" s="34" customFormat="1" x14ac:dyDescent="0.25">
      <c r="A46" s="239">
        <v>809523</v>
      </c>
      <c r="B46" s="34">
        <v>65.290000000000006</v>
      </c>
      <c r="L46" s="34">
        <v>30.2</v>
      </c>
    </row>
    <row r="47" spans="1:20" s="34" customFormat="1" x14ac:dyDescent="0.25">
      <c r="A47" s="239">
        <v>809524</v>
      </c>
      <c r="B47" s="41">
        <v>74.33</v>
      </c>
      <c r="D47" s="34">
        <v>8.18</v>
      </c>
      <c r="E47" s="34">
        <v>2.8</v>
      </c>
      <c r="F47" s="34">
        <v>2.0699999999999998</v>
      </c>
      <c r="G47" s="34">
        <v>0.44</v>
      </c>
      <c r="H47" s="34">
        <v>0.25</v>
      </c>
      <c r="I47" s="34">
        <v>0.23</v>
      </c>
      <c r="J47" s="34">
        <v>4.7699999999999996</v>
      </c>
      <c r="K47" s="34">
        <v>0.63</v>
      </c>
      <c r="L47" s="34">
        <v>65</v>
      </c>
    </row>
    <row r="48" spans="1:20" s="34" customFormat="1" x14ac:dyDescent="0.25">
      <c r="A48" s="239">
        <v>809525</v>
      </c>
      <c r="B48" s="41">
        <v>90.75</v>
      </c>
      <c r="D48" s="34">
        <v>8.36</v>
      </c>
      <c r="E48" s="34">
        <v>3.08</v>
      </c>
      <c r="F48" s="34">
        <v>2.44</v>
      </c>
      <c r="G48" s="34">
        <v>0.49</v>
      </c>
      <c r="H48" s="34">
        <v>3.61</v>
      </c>
      <c r="I48" s="34">
        <v>0.26</v>
      </c>
      <c r="J48" s="34">
        <v>22.39</v>
      </c>
      <c r="K48" s="34">
        <v>0.85</v>
      </c>
      <c r="L48" s="34">
        <v>55</v>
      </c>
    </row>
    <row r="49" spans="1:12" s="34" customFormat="1" x14ac:dyDescent="0.25">
      <c r="A49" s="239">
        <v>809526</v>
      </c>
      <c r="B49" s="41">
        <v>63.042755502360535</v>
      </c>
      <c r="D49" s="34">
        <v>9.8699999999999992</v>
      </c>
      <c r="E49" s="34">
        <v>3.59</v>
      </c>
      <c r="F49" s="41">
        <v>1.4847102000000001</v>
      </c>
      <c r="G49" s="34">
        <v>0.54</v>
      </c>
      <c r="H49" s="34">
        <v>2.08</v>
      </c>
      <c r="I49" s="34">
        <v>0.27</v>
      </c>
      <c r="J49" s="34">
        <v>0.62</v>
      </c>
      <c r="K49" s="34">
        <v>0.4</v>
      </c>
      <c r="L49" s="34">
        <v>41.000000000000078</v>
      </c>
    </row>
    <row r="50" spans="1:12" s="34" customFormat="1" x14ac:dyDescent="0.25">
      <c r="A50" s="239">
        <v>809527</v>
      </c>
      <c r="B50" s="41">
        <v>59.492550523676044</v>
      </c>
      <c r="D50" s="34">
        <v>9.17</v>
      </c>
      <c r="E50" s="34">
        <v>1.74</v>
      </c>
      <c r="F50" s="41">
        <v>1.540737</v>
      </c>
      <c r="G50" s="34">
        <v>0.5</v>
      </c>
      <c r="H50" s="34">
        <v>2.73</v>
      </c>
      <c r="I50" s="34">
        <v>0.25</v>
      </c>
      <c r="J50" s="34">
        <v>0.74</v>
      </c>
      <c r="K50" s="34">
        <v>0.39</v>
      </c>
      <c r="L50" s="34">
        <v>40.19999999999996</v>
      </c>
    </row>
    <row r="51" spans="1:12" s="34" customFormat="1" x14ac:dyDescent="0.25">
      <c r="A51" s="239">
        <v>809528</v>
      </c>
      <c r="B51" s="41">
        <v>65.660664468678675</v>
      </c>
      <c r="D51" s="34">
        <v>8.2799999999999994</v>
      </c>
      <c r="E51" s="34">
        <v>1.1399999999999999</v>
      </c>
      <c r="F51" s="41">
        <v>1.4006700000000003</v>
      </c>
      <c r="G51" s="34">
        <v>0.42</v>
      </c>
      <c r="H51" s="34">
        <v>2.23</v>
      </c>
      <c r="I51" s="34">
        <v>0.3</v>
      </c>
      <c r="J51" s="34">
        <v>0.77</v>
      </c>
      <c r="K51" s="34">
        <v>0.32</v>
      </c>
      <c r="L51" s="34">
        <v>40.19999999999996</v>
      </c>
    </row>
    <row r="52" spans="1:12" s="34" customFormat="1" x14ac:dyDescent="0.25">
      <c r="A52" s="239">
        <v>809529</v>
      </c>
      <c r="B52" s="41">
        <v>89.524922118380061</v>
      </c>
      <c r="D52" s="34">
        <v>8.26</v>
      </c>
      <c r="E52" s="34">
        <v>2.61</v>
      </c>
      <c r="F52" s="41">
        <v>1.8488844000000004</v>
      </c>
      <c r="G52" s="34">
        <v>0.56000000000000005</v>
      </c>
      <c r="H52" s="34">
        <v>2.48</v>
      </c>
      <c r="I52" s="34">
        <v>0.14000000000000001</v>
      </c>
      <c r="J52" s="34">
        <v>0.33</v>
      </c>
      <c r="K52" s="34">
        <v>0.38</v>
      </c>
      <c r="L52" s="34">
        <v>60.39999999999992</v>
      </c>
    </row>
    <row r="53" spans="1:12" s="34" customFormat="1" x14ac:dyDescent="0.25">
      <c r="A53" s="239">
        <v>809530</v>
      </c>
      <c r="B53" s="41">
        <v>24.557142857142857</v>
      </c>
      <c r="D53" s="34">
        <v>8.6999999999999993</v>
      </c>
      <c r="E53" s="34">
        <v>1.47</v>
      </c>
      <c r="F53" s="41">
        <v>1.6247772</v>
      </c>
      <c r="G53" s="34">
        <v>0.42</v>
      </c>
      <c r="H53" s="34">
        <v>0.5</v>
      </c>
      <c r="I53" s="34">
        <v>0.99</v>
      </c>
      <c r="J53" s="34">
        <v>0.4</v>
      </c>
      <c r="K53" s="34">
        <v>0.15</v>
      </c>
      <c r="L53" s="34">
        <v>83.000000000000114</v>
      </c>
    </row>
    <row r="54" spans="1:12" s="34" customFormat="1" x14ac:dyDescent="0.25">
      <c r="A54" s="239">
        <v>809531</v>
      </c>
      <c r="B54" s="41">
        <v>96.939586645469006</v>
      </c>
      <c r="D54" s="34">
        <v>7.86</v>
      </c>
      <c r="E54" s="34">
        <v>1.0900000000000001</v>
      </c>
      <c r="F54" s="41">
        <v>0.25212059999999997</v>
      </c>
      <c r="G54" s="34">
        <v>10.91</v>
      </c>
      <c r="H54" s="34">
        <v>0.15</v>
      </c>
      <c r="I54" s="34">
        <v>0.15</v>
      </c>
      <c r="J54" s="34">
        <v>27.34</v>
      </c>
      <c r="K54" s="34">
        <v>0.11</v>
      </c>
      <c r="L54" s="34">
        <v>3.4000000000000341</v>
      </c>
    </row>
    <row r="55" spans="1:12" s="34" customFormat="1" x14ac:dyDescent="0.25">
      <c r="A55" s="239">
        <v>809532</v>
      </c>
      <c r="B55" s="41">
        <v>80.691949434464377</v>
      </c>
      <c r="D55" s="34">
        <v>4.28</v>
      </c>
      <c r="E55" s="34">
        <v>0.28999999999999998</v>
      </c>
      <c r="F55" s="41">
        <v>0.53225460000000013</v>
      </c>
      <c r="G55" s="34">
        <v>0.05</v>
      </c>
      <c r="H55" s="34">
        <v>0.26</v>
      </c>
      <c r="I55" s="34">
        <v>0.03</v>
      </c>
      <c r="J55" s="34">
        <v>0.1</v>
      </c>
      <c r="K55" s="34">
        <v>0.05</v>
      </c>
      <c r="L55" s="34">
        <v>58.400000000000034</v>
      </c>
    </row>
    <row r="56" spans="1:12" s="34" customFormat="1" x14ac:dyDescent="0.25">
      <c r="A56" s="239">
        <v>809533</v>
      </c>
      <c r="B56" s="41">
        <v>48.908564916279488</v>
      </c>
      <c r="D56" s="34">
        <v>4.37</v>
      </c>
      <c r="E56" s="34">
        <v>1.71</v>
      </c>
      <c r="F56" s="41">
        <v>1.4847102000000001</v>
      </c>
      <c r="G56" s="34">
        <v>0.32</v>
      </c>
      <c r="H56" s="34">
        <v>1.52</v>
      </c>
      <c r="I56" s="34">
        <v>0.03</v>
      </c>
      <c r="J56" s="34">
        <v>0.71</v>
      </c>
      <c r="K56" s="34">
        <v>0.21</v>
      </c>
      <c r="L56" s="34">
        <v>91.4</v>
      </c>
    </row>
    <row r="57" spans="1:12" s="34" customFormat="1" x14ac:dyDescent="0.25">
      <c r="A57" s="239">
        <v>809534</v>
      </c>
      <c r="B57" s="41">
        <v>93.078758949880665</v>
      </c>
      <c r="D57" s="34">
        <v>6.94</v>
      </c>
      <c r="E57" s="34">
        <v>0.66</v>
      </c>
      <c r="F57" s="41">
        <v>0.86841540000000017</v>
      </c>
      <c r="G57" s="34">
        <v>0.1</v>
      </c>
      <c r="H57" s="34">
        <v>0.91</v>
      </c>
      <c r="I57" s="34">
        <v>0.59</v>
      </c>
      <c r="J57" s="34">
        <v>0.33</v>
      </c>
      <c r="K57" s="34">
        <v>0.16</v>
      </c>
      <c r="L57" s="34">
        <v>84.599999999999937</v>
      </c>
    </row>
    <row r="58" spans="1:12" s="34" customFormat="1" x14ac:dyDescent="0.25">
      <c r="A58" s="239">
        <v>809535</v>
      </c>
      <c r="B58" s="41">
        <v>92.26536544850498</v>
      </c>
      <c r="D58" s="34">
        <v>8.89</v>
      </c>
      <c r="E58" s="34">
        <v>0.77</v>
      </c>
      <c r="F58" s="41">
        <v>5.0984388000000003</v>
      </c>
      <c r="G58" s="34">
        <v>10.27</v>
      </c>
      <c r="H58" s="34">
        <v>7.0000000000000007E-2</v>
      </c>
      <c r="I58" s="34">
        <v>0.64</v>
      </c>
      <c r="J58" s="34">
        <v>25.99</v>
      </c>
      <c r="K58" s="34">
        <v>0.36</v>
      </c>
      <c r="L58" s="34">
        <v>33.799999999999955</v>
      </c>
    </row>
    <row r="59" spans="1:12" s="34" customFormat="1" x14ac:dyDescent="0.25">
      <c r="A59" s="239">
        <v>809536</v>
      </c>
      <c r="B59" s="41">
        <v>89.190285225070966</v>
      </c>
      <c r="D59" s="34">
        <v>7.38</v>
      </c>
      <c r="E59" s="34">
        <v>3.75</v>
      </c>
      <c r="F59" s="41">
        <v>3.1935276000000004</v>
      </c>
      <c r="G59" s="34">
        <v>1.98</v>
      </c>
      <c r="H59" s="34">
        <v>2.3199999999999998</v>
      </c>
      <c r="I59" s="34">
        <v>0.38</v>
      </c>
      <c r="J59" s="34">
        <v>6.3</v>
      </c>
      <c r="K59" s="34">
        <v>0.52</v>
      </c>
      <c r="L59" s="34">
        <v>67.599999999999909</v>
      </c>
    </row>
    <row r="60" spans="1:12" s="34" customFormat="1" x14ac:dyDescent="0.25">
      <c r="A60" s="239">
        <v>809537</v>
      </c>
      <c r="B60" s="41">
        <v>63.19553072625699</v>
      </c>
      <c r="D60" s="34">
        <v>9</v>
      </c>
      <c r="E60" s="34">
        <v>2.98</v>
      </c>
      <c r="F60" s="41">
        <v>2.0169648000000002</v>
      </c>
      <c r="G60" s="34">
        <v>0.71</v>
      </c>
      <c r="H60" s="34">
        <v>2.0099999999999998</v>
      </c>
      <c r="I60" s="34">
        <v>0.22</v>
      </c>
      <c r="J60" s="34">
        <v>0.34</v>
      </c>
      <c r="K60" s="34">
        <v>0.48</v>
      </c>
      <c r="L60" s="34">
        <v>65.400000000000063</v>
      </c>
    </row>
    <row r="61" spans="1:12" s="34" customFormat="1" x14ac:dyDescent="0.25">
      <c r="A61" s="239">
        <v>809538</v>
      </c>
      <c r="B61" s="41">
        <v>92.203552568410956</v>
      </c>
      <c r="D61" s="34">
        <v>7.81</v>
      </c>
      <c r="E61" s="34">
        <v>2.89</v>
      </c>
      <c r="F61" s="41">
        <v>2.2130586000000001</v>
      </c>
      <c r="G61" s="34">
        <v>9.91</v>
      </c>
      <c r="H61" s="34">
        <v>0.11</v>
      </c>
      <c r="I61" s="34">
        <v>0.63</v>
      </c>
      <c r="J61" s="34">
        <v>22.31</v>
      </c>
      <c r="K61" s="34">
        <v>0.36</v>
      </c>
      <c r="L61" s="34">
        <v>17.000000000000028</v>
      </c>
    </row>
    <row r="62" spans="1:12" s="34" customFormat="1" x14ac:dyDescent="0.25">
      <c r="A62" s="239">
        <v>809539</v>
      </c>
      <c r="B62" s="41">
        <v>91.564837905236928</v>
      </c>
      <c r="D62" s="34">
        <v>7.64</v>
      </c>
      <c r="E62" s="34">
        <v>9.24</v>
      </c>
      <c r="F62" s="41">
        <v>4.6502243999999999</v>
      </c>
      <c r="G62" s="34">
        <v>2.2999999999999998</v>
      </c>
      <c r="H62" s="34">
        <v>0.23</v>
      </c>
      <c r="I62" s="34">
        <v>0.19</v>
      </c>
      <c r="J62" s="34">
        <v>5.94</v>
      </c>
      <c r="K62" s="34">
        <v>0.22</v>
      </c>
      <c r="L62" s="34">
        <v>40.600000000000023</v>
      </c>
    </row>
    <row r="63" spans="1:12" s="34" customFormat="1" x14ac:dyDescent="0.25">
      <c r="A63" s="239">
        <v>809540</v>
      </c>
      <c r="B63" s="41">
        <v>90.699683270947318</v>
      </c>
      <c r="D63" s="34">
        <v>9.18</v>
      </c>
      <c r="E63" s="34">
        <v>1.57</v>
      </c>
      <c r="F63" s="41">
        <v>1.5967638000000002</v>
      </c>
      <c r="G63" s="34">
        <v>0.37</v>
      </c>
      <c r="H63" s="34">
        <v>5.91</v>
      </c>
      <c r="I63" s="34">
        <v>0.83</v>
      </c>
      <c r="J63" s="34">
        <v>1.54</v>
      </c>
      <c r="K63" s="34">
        <v>0.47</v>
      </c>
      <c r="L63" s="34">
        <v>70.999999999999943</v>
      </c>
    </row>
    <row r="64" spans="1:12" s="34" customFormat="1" x14ac:dyDescent="0.25">
      <c r="A64" s="239">
        <v>809541</v>
      </c>
      <c r="B64" s="41">
        <v>87.421827718378054</v>
      </c>
      <c r="D64" s="34">
        <v>6.37</v>
      </c>
      <c r="E64" s="34">
        <v>1.06</v>
      </c>
      <c r="F64" s="41">
        <v>2.241072</v>
      </c>
      <c r="G64" s="34">
        <v>0.37</v>
      </c>
      <c r="H64" s="34">
        <v>0.71</v>
      </c>
      <c r="I64" s="34">
        <v>0.11</v>
      </c>
      <c r="J64" s="34">
        <v>0.22</v>
      </c>
      <c r="K64" s="34">
        <v>0.3</v>
      </c>
      <c r="L64" s="34">
        <v>52.800000000000011</v>
      </c>
    </row>
    <row r="65" spans="1:12" s="34" customFormat="1" x14ac:dyDescent="0.25">
      <c r="A65" s="239">
        <v>809542</v>
      </c>
      <c r="B65" s="41">
        <v>98.021438589461042</v>
      </c>
      <c r="D65" s="34">
        <v>10.37</v>
      </c>
      <c r="E65" s="34">
        <v>5.0999999999999996</v>
      </c>
      <c r="F65" s="41">
        <v>0.16808040000000002</v>
      </c>
      <c r="G65" s="34">
        <v>0.31</v>
      </c>
      <c r="H65" s="34">
        <v>1.76</v>
      </c>
      <c r="I65" s="34">
        <v>0.18</v>
      </c>
      <c r="J65" s="34">
        <v>12.14</v>
      </c>
      <c r="K65" s="34">
        <v>0.88</v>
      </c>
      <c r="L65" s="34">
        <v>6.1999999999999744</v>
      </c>
    </row>
    <row r="66" spans="1:12" s="34" customFormat="1" x14ac:dyDescent="0.25">
      <c r="A66" s="239">
        <v>809543</v>
      </c>
      <c r="B66" s="41">
        <v>68.147277003799516</v>
      </c>
      <c r="D66" s="34">
        <v>8.5</v>
      </c>
      <c r="E66" s="34">
        <v>2.36</v>
      </c>
      <c r="F66" s="41">
        <v>0.9</v>
      </c>
      <c r="G66" s="34">
        <v>0.38</v>
      </c>
      <c r="H66" s="34">
        <v>0.76</v>
      </c>
      <c r="I66" s="34">
        <v>0.39</v>
      </c>
      <c r="J66" s="34">
        <v>6.11</v>
      </c>
      <c r="K66" s="34">
        <v>0.46</v>
      </c>
      <c r="L66" s="34">
        <v>23.200000000000003</v>
      </c>
    </row>
    <row r="67" spans="1:12" s="34" customFormat="1" x14ac:dyDescent="0.25">
      <c r="A67" s="239">
        <v>809544</v>
      </c>
      <c r="B67" s="34">
        <f>100-31.64</f>
        <v>68.36</v>
      </c>
      <c r="L67" s="34">
        <v>29.80000000000004</v>
      </c>
    </row>
    <row r="68" spans="1:12" s="34" customFormat="1" x14ac:dyDescent="0.25">
      <c r="A68" s="239">
        <v>809545</v>
      </c>
      <c r="B68" s="41">
        <v>82.312379730596533</v>
      </c>
      <c r="D68" s="34">
        <v>8.4499999999999993</v>
      </c>
      <c r="E68" s="41">
        <v>0.86</v>
      </c>
      <c r="F68" s="41">
        <v>1.120536</v>
      </c>
      <c r="G68" s="41">
        <v>0.09</v>
      </c>
      <c r="H68" s="34">
        <v>0.8</v>
      </c>
      <c r="I68" s="34">
        <v>0.1</v>
      </c>
      <c r="J68" s="34">
        <v>1.75</v>
      </c>
      <c r="K68" s="34">
        <v>0.37</v>
      </c>
      <c r="L68" s="34">
        <v>82.20000000000006</v>
      </c>
    </row>
    <row r="69" spans="1:12" s="34" customFormat="1" x14ac:dyDescent="0.25">
      <c r="A69" s="239">
        <v>809546</v>
      </c>
      <c r="B69" s="41">
        <v>34.271023878973644</v>
      </c>
      <c r="D69" s="34">
        <v>8.2799999999999994</v>
      </c>
      <c r="E69" s="41">
        <v>1.97</v>
      </c>
      <c r="F69" s="41">
        <v>2.8013400000000006</v>
      </c>
      <c r="G69" s="41">
        <v>1.94</v>
      </c>
      <c r="H69" s="34">
        <v>3.28</v>
      </c>
      <c r="I69" s="34">
        <v>0.3</v>
      </c>
      <c r="J69" s="34">
        <v>6.86</v>
      </c>
      <c r="K69" s="34">
        <v>0.78</v>
      </c>
      <c r="L69" s="34">
        <v>62.600000000000051</v>
      </c>
    </row>
    <row r="70" spans="1:12" s="34" customFormat="1" x14ac:dyDescent="0.25">
      <c r="A70" s="239">
        <v>809547</v>
      </c>
      <c r="B70" s="34">
        <v>57.61</v>
      </c>
      <c r="L70" s="34">
        <v>37.59999999999998</v>
      </c>
    </row>
    <row r="71" spans="1:12" s="34" customFormat="1" x14ac:dyDescent="0.25">
      <c r="A71" s="34">
        <v>809548</v>
      </c>
      <c r="B71" s="34">
        <v>59.06</v>
      </c>
      <c r="D71" s="34">
        <v>8.83</v>
      </c>
      <c r="E71" s="34">
        <v>2.37</v>
      </c>
      <c r="F71" s="34">
        <v>1.2886164000000002</v>
      </c>
      <c r="G71" s="34">
        <v>0.48</v>
      </c>
      <c r="H71" s="34">
        <v>0.94</v>
      </c>
      <c r="I71" s="34">
        <v>0.52</v>
      </c>
      <c r="J71" s="34">
        <v>7.69</v>
      </c>
      <c r="K71" s="34">
        <v>0.55000000000000004</v>
      </c>
      <c r="L71" s="34">
        <v>32.6</v>
      </c>
    </row>
    <row r="72" spans="1:12" s="34" customFormat="1" x14ac:dyDescent="0.25">
      <c r="A72" s="34">
        <v>809559</v>
      </c>
      <c r="B72" s="34">
        <v>65.31</v>
      </c>
      <c r="L72" s="34">
        <v>28.6</v>
      </c>
    </row>
    <row r="73" spans="1:12" s="34" customFormat="1" x14ac:dyDescent="0.25">
      <c r="A73" s="34">
        <v>809561</v>
      </c>
      <c r="B73" s="34">
        <v>60.34</v>
      </c>
      <c r="L73" s="34">
        <v>40</v>
      </c>
    </row>
    <row r="74" spans="1:12" s="34" customFormat="1" x14ac:dyDescent="0.25">
      <c r="A74" s="34">
        <v>809563</v>
      </c>
      <c r="B74" s="41">
        <f>100-37</f>
        <v>63</v>
      </c>
      <c r="L74" s="39">
        <v>25.999999999999943</v>
      </c>
    </row>
    <row r="75" spans="1:12" s="34" customFormat="1" x14ac:dyDescent="0.25">
      <c r="A75" s="34">
        <v>809549</v>
      </c>
      <c r="B75" s="41">
        <v>62.672176308539953</v>
      </c>
      <c r="D75" s="34">
        <v>8.61</v>
      </c>
      <c r="E75" s="34">
        <v>3.01</v>
      </c>
      <c r="F75" s="41">
        <v>2.19</v>
      </c>
      <c r="G75" s="41">
        <f>14073.67/10000</f>
        <v>1.407367</v>
      </c>
      <c r="H75" s="41">
        <v>0.95299999999999996</v>
      </c>
      <c r="I75" s="41">
        <v>0.24</v>
      </c>
      <c r="J75" s="41">
        <v>4.7699999999999996</v>
      </c>
      <c r="K75" s="41">
        <v>0.32</v>
      </c>
      <c r="L75" s="34">
        <v>44.80000000000004</v>
      </c>
    </row>
    <row r="76" spans="1:12" s="34" customFormat="1" x14ac:dyDescent="0.25">
      <c r="A76" s="34">
        <v>809550</v>
      </c>
      <c r="B76" s="41">
        <v>56.335705197681527</v>
      </c>
      <c r="D76" s="34">
        <v>8.7899999999999991</v>
      </c>
      <c r="E76" s="34">
        <v>3.02</v>
      </c>
      <c r="F76" s="41">
        <v>2.4700000000000002</v>
      </c>
      <c r="G76" s="41">
        <f>15020.91/10000</f>
        <v>1.5020910000000001</v>
      </c>
      <c r="H76" s="41">
        <v>1.5057</v>
      </c>
      <c r="I76" s="41">
        <v>0.31</v>
      </c>
      <c r="J76" s="41">
        <v>4.7679999999999998</v>
      </c>
      <c r="K76" s="41">
        <v>0.42</v>
      </c>
      <c r="L76" s="34">
        <v>47.600000000000051</v>
      </c>
    </row>
    <row r="77" spans="1:12" s="34" customFormat="1" x14ac:dyDescent="0.25">
      <c r="A77" s="34">
        <v>809551</v>
      </c>
      <c r="B77" s="41">
        <v>60.023120172350374</v>
      </c>
      <c r="D77" s="34">
        <v>8.9</v>
      </c>
      <c r="E77" s="34">
        <v>1.1000000000000001</v>
      </c>
      <c r="F77" s="41">
        <v>2.21</v>
      </c>
      <c r="G77" s="41">
        <f>5055.94/10000</f>
        <v>0.50559399999999999</v>
      </c>
      <c r="H77" s="41">
        <v>0.93210000000000004</v>
      </c>
      <c r="I77" s="41">
        <v>0.16</v>
      </c>
      <c r="J77" s="41">
        <v>1.33</v>
      </c>
      <c r="K77" s="41">
        <v>0.28999999999999998</v>
      </c>
      <c r="L77" s="34">
        <v>69.80000000000004</v>
      </c>
    </row>
    <row r="78" spans="1:12" s="34" customFormat="1" x14ac:dyDescent="0.25">
      <c r="A78" s="34">
        <v>809552</v>
      </c>
      <c r="B78" s="41">
        <v>59.879646017699116</v>
      </c>
      <c r="D78" s="34">
        <v>8.09</v>
      </c>
      <c r="E78" s="34">
        <v>1.1200000000000001</v>
      </c>
      <c r="F78" s="41">
        <v>1.99</v>
      </c>
      <c r="G78" s="41">
        <f>4205.61/10000</f>
        <v>0.42056099999999996</v>
      </c>
      <c r="H78" s="41">
        <v>0.81759999999999999</v>
      </c>
      <c r="I78" s="41">
        <v>0.19</v>
      </c>
      <c r="J78" s="41">
        <v>0.82599999999999996</v>
      </c>
      <c r="K78" s="41">
        <v>0.26</v>
      </c>
      <c r="L78" s="34">
        <v>35</v>
      </c>
    </row>
    <row r="79" spans="1:12" s="34" customFormat="1" x14ac:dyDescent="0.25">
      <c r="A79" s="34">
        <v>809553</v>
      </c>
      <c r="B79" s="41">
        <v>56.337474187944537</v>
      </c>
      <c r="D79" s="34">
        <v>8.98</v>
      </c>
      <c r="E79" s="34">
        <v>1.34</v>
      </c>
      <c r="F79" s="41">
        <v>1.46</v>
      </c>
      <c r="G79" s="41">
        <f>4239.99/10000</f>
        <v>0.42399899999999996</v>
      </c>
      <c r="H79" s="41">
        <v>0.78559999999999997</v>
      </c>
      <c r="I79" s="41">
        <v>0.19</v>
      </c>
      <c r="J79" s="41">
        <v>0.79800000000000004</v>
      </c>
      <c r="K79" s="41">
        <v>0.26</v>
      </c>
      <c r="L79" s="34">
        <v>25.19999999999996</v>
      </c>
    </row>
    <row r="80" spans="1:12" s="34" customFormat="1" x14ac:dyDescent="0.25">
      <c r="A80" s="34">
        <v>809554</v>
      </c>
      <c r="B80" s="41">
        <v>62.530608400828768</v>
      </c>
      <c r="D80" s="34">
        <v>9.01</v>
      </c>
      <c r="E80" s="34">
        <v>1.75</v>
      </c>
      <c r="F80" s="41">
        <v>1.51</v>
      </c>
      <c r="G80" s="41">
        <f>5604.15/10000</f>
        <v>0.560415</v>
      </c>
      <c r="H80" s="41">
        <v>0.86029999999999995</v>
      </c>
      <c r="I80" s="41">
        <v>0.18</v>
      </c>
      <c r="J80" s="41">
        <v>1.462</v>
      </c>
      <c r="K80" s="41">
        <v>0.3</v>
      </c>
      <c r="L80" s="34">
        <v>93.6</v>
      </c>
    </row>
    <row r="81" spans="1:17" s="34" customFormat="1" x14ac:dyDescent="0.25">
      <c r="A81" s="34">
        <v>809555</v>
      </c>
      <c r="B81" s="41">
        <v>44.297314178638345</v>
      </c>
      <c r="D81" s="34">
        <v>8.36</v>
      </c>
      <c r="E81" s="34">
        <v>0.04</v>
      </c>
      <c r="F81" s="41">
        <v>1.32</v>
      </c>
      <c r="G81" s="41">
        <f>2937.68/10000</f>
        <v>0.29376799999999997</v>
      </c>
      <c r="H81" s="41">
        <v>0.43890000000000001</v>
      </c>
      <c r="I81" s="41">
        <v>0.09</v>
      </c>
      <c r="J81" s="41">
        <v>1.5649999999999999</v>
      </c>
      <c r="K81" s="41">
        <v>0.22</v>
      </c>
      <c r="L81" s="34">
        <v>51.200000000000045</v>
      </c>
    </row>
    <row r="82" spans="1:17" s="34" customFormat="1" x14ac:dyDescent="0.25">
      <c r="A82" s="34">
        <v>809556</v>
      </c>
      <c r="B82" s="41">
        <v>65.0599128540305</v>
      </c>
      <c r="D82" s="34">
        <v>9.0299999999999994</v>
      </c>
      <c r="E82" s="34">
        <v>2.83</v>
      </c>
      <c r="F82" s="41">
        <v>1.74</v>
      </c>
      <c r="G82" s="41">
        <f>7731.53/10000</f>
        <v>0.77315299999999998</v>
      </c>
      <c r="H82" s="41">
        <v>1.0357000000000001</v>
      </c>
      <c r="I82" s="41">
        <v>0.21</v>
      </c>
      <c r="J82" s="41">
        <v>3.11</v>
      </c>
      <c r="K82" s="41">
        <v>0.44</v>
      </c>
      <c r="L82" s="34">
        <v>28.800000000000097</v>
      </c>
    </row>
    <row r="83" spans="1:17" s="34" customFormat="1" x14ac:dyDescent="0.25">
      <c r="A83" s="34">
        <v>809557</v>
      </c>
      <c r="B83" s="41">
        <v>40.102101506740695</v>
      </c>
      <c r="D83" s="34">
        <v>7.84</v>
      </c>
      <c r="E83" s="34">
        <v>5</v>
      </c>
      <c r="F83" s="41">
        <v>2.44</v>
      </c>
      <c r="G83" s="41">
        <f>8524.59/10000</f>
        <v>0.85245899999999997</v>
      </c>
      <c r="H83" s="41">
        <v>1.0357000000000001</v>
      </c>
      <c r="I83" s="41">
        <v>0.21</v>
      </c>
      <c r="J83" s="41">
        <v>1.843</v>
      </c>
      <c r="K83" s="41">
        <v>0.44</v>
      </c>
      <c r="L83" s="34">
        <v>66.200000000000045</v>
      </c>
    </row>
    <row r="84" spans="1:17" s="34" customFormat="1" x14ac:dyDescent="0.25">
      <c r="A84" s="34">
        <v>809558</v>
      </c>
      <c r="B84" s="41">
        <v>75.778085422755481</v>
      </c>
      <c r="D84" s="34">
        <v>8.82</v>
      </c>
      <c r="E84" s="34">
        <v>5.21</v>
      </c>
      <c r="F84" s="41">
        <v>1.4</v>
      </c>
      <c r="G84" s="41">
        <f>24570.71/10000</f>
        <v>2.457071</v>
      </c>
      <c r="H84" s="41">
        <v>3.2806999999999999</v>
      </c>
      <c r="I84" s="41">
        <v>0.43</v>
      </c>
      <c r="J84" s="41">
        <v>9.8309999999999995</v>
      </c>
      <c r="K84" s="41">
        <v>0.73</v>
      </c>
      <c r="L84" s="34">
        <v>58.400000000000034</v>
      </c>
    </row>
    <row r="85" spans="1:17" s="34" customFormat="1" x14ac:dyDescent="0.25">
      <c r="A85" s="34">
        <v>809560</v>
      </c>
      <c r="B85" s="41">
        <v>64.030204753376253</v>
      </c>
      <c r="D85" s="34">
        <v>8.5500000000000007</v>
      </c>
      <c r="E85" s="34">
        <v>2.5099999999999998</v>
      </c>
      <c r="F85" s="41">
        <v>2.0699999999999998</v>
      </c>
      <c r="G85" s="41">
        <v>0.31680999999999998</v>
      </c>
      <c r="H85" s="41">
        <v>0.67020000000000002</v>
      </c>
      <c r="I85" s="41">
        <v>0.33</v>
      </c>
      <c r="J85" s="41">
        <v>7.0069999999999997</v>
      </c>
      <c r="K85" s="41">
        <v>0.45</v>
      </c>
      <c r="L85" s="34">
        <v>24.60000000000008</v>
      </c>
    </row>
    <row r="86" spans="1:17" s="34" customFormat="1" x14ac:dyDescent="0.25">
      <c r="A86" s="34">
        <v>809562</v>
      </c>
      <c r="B86" s="41">
        <v>59.586330935251809</v>
      </c>
      <c r="D86" s="34">
        <v>9.44</v>
      </c>
      <c r="E86" s="34">
        <v>5.39</v>
      </c>
      <c r="F86" s="41">
        <v>1.32</v>
      </c>
      <c r="G86" s="41">
        <v>0.69501499999999994</v>
      </c>
      <c r="H86" s="41">
        <v>3.1</v>
      </c>
      <c r="I86" s="41">
        <v>0.47</v>
      </c>
      <c r="J86" s="41">
        <v>5.8780000000000001</v>
      </c>
      <c r="K86" s="41">
        <v>1.06</v>
      </c>
      <c r="L86" s="34">
        <v>41.800000000000068</v>
      </c>
    </row>
    <row r="87" spans="1:17" s="34" customFormat="1" x14ac:dyDescent="0.25">
      <c r="A87" s="858">
        <v>809564</v>
      </c>
      <c r="B87" s="41">
        <v>63.490755994874618</v>
      </c>
      <c r="D87" s="34">
        <v>8.3699999999999992</v>
      </c>
      <c r="E87" s="34">
        <v>2.83</v>
      </c>
      <c r="F87" s="34">
        <v>1.51</v>
      </c>
      <c r="G87" s="41">
        <v>0.30719800000000003</v>
      </c>
      <c r="H87" s="41">
        <v>0.68459999999999999</v>
      </c>
      <c r="I87" s="41">
        <v>0.3</v>
      </c>
      <c r="J87" s="41">
        <v>6.7859999999999996</v>
      </c>
      <c r="K87" s="41">
        <v>0.42</v>
      </c>
      <c r="L87" s="34">
        <v>27.199999999999989</v>
      </c>
    </row>
    <row r="88" spans="1:17" s="34" customFormat="1" x14ac:dyDescent="0.25">
      <c r="A88" s="34">
        <v>809565</v>
      </c>
      <c r="B88" s="41">
        <v>40.940727933679121</v>
      </c>
      <c r="D88" s="34">
        <v>9.16</v>
      </c>
      <c r="E88" s="34">
        <v>4.68</v>
      </c>
      <c r="F88" s="34">
        <v>1.43</v>
      </c>
      <c r="G88" s="41">
        <v>0.52013900000000002</v>
      </c>
      <c r="H88" s="41">
        <v>3.6591</v>
      </c>
      <c r="I88" s="41">
        <v>0.5</v>
      </c>
      <c r="J88" s="41">
        <v>6.0229999999999997</v>
      </c>
      <c r="K88" s="41">
        <v>0.91</v>
      </c>
      <c r="L88" s="34">
        <v>53.999999999999915</v>
      </c>
    </row>
    <row r="89" spans="1:17" s="34" customFormat="1" x14ac:dyDescent="0.25">
      <c r="A89" s="34">
        <v>809572</v>
      </c>
      <c r="B89" s="34">
        <v>56.82</v>
      </c>
      <c r="L89" s="34">
        <v>39.159999999999997</v>
      </c>
    </row>
    <row r="90" spans="1:17" s="34" customFormat="1" x14ac:dyDescent="0.25">
      <c r="A90" s="34">
        <v>809566</v>
      </c>
      <c r="B90" s="41">
        <v>68.737819088765619</v>
      </c>
      <c r="D90" s="34">
        <v>9.57</v>
      </c>
      <c r="E90" s="34">
        <v>0.59</v>
      </c>
      <c r="F90" s="240">
        <v>1.540737</v>
      </c>
      <c r="G90" s="34">
        <v>0.87</v>
      </c>
      <c r="H90" s="34">
        <v>3.05</v>
      </c>
      <c r="I90" s="34">
        <v>0.49</v>
      </c>
      <c r="J90" s="34">
        <v>3.76</v>
      </c>
      <c r="K90" s="34">
        <v>0.99</v>
      </c>
      <c r="L90" s="34">
        <v>37.979999999999997</v>
      </c>
    </row>
    <row r="91" spans="1:17" s="34" customFormat="1" x14ac:dyDescent="0.25">
      <c r="A91" s="34">
        <v>809567</v>
      </c>
      <c r="B91" s="41">
        <v>77.127574405059747</v>
      </c>
      <c r="D91" s="34">
        <v>9.7200000000000006</v>
      </c>
      <c r="E91" s="34">
        <v>0.69</v>
      </c>
      <c r="F91" s="240">
        <v>1.4006700000000003</v>
      </c>
      <c r="G91" s="34">
        <v>0.87</v>
      </c>
      <c r="H91" s="34">
        <v>3.29</v>
      </c>
      <c r="I91" s="34">
        <v>0.51</v>
      </c>
      <c r="J91" s="34">
        <v>4.3099999999999996</v>
      </c>
      <c r="K91" s="34">
        <v>1.08</v>
      </c>
      <c r="L91" s="34">
        <v>41.460000000000008</v>
      </c>
    </row>
    <row r="92" spans="1:17" s="34" customFormat="1" x14ac:dyDescent="0.25">
      <c r="A92" s="34">
        <v>809568</v>
      </c>
      <c r="B92" s="41">
        <v>72.064905226881109</v>
      </c>
      <c r="D92" s="34">
        <v>9.14</v>
      </c>
      <c r="E92" s="34">
        <v>0.56999999999999995</v>
      </c>
      <c r="F92" s="240">
        <v>1.8488844000000004</v>
      </c>
      <c r="G92" s="34">
        <v>1.41</v>
      </c>
      <c r="H92" s="34">
        <v>2.82</v>
      </c>
      <c r="I92" s="34">
        <v>0.5</v>
      </c>
      <c r="J92" s="34">
        <v>3.08</v>
      </c>
      <c r="K92" s="34">
        <v>0.78</v>
      </c>
      <c r="L92" s="34">
        <v>52.320000000000135</v>
      </c>
    </row>
    <row r="93" spans="1:17" s="34" customFormat="1" x14ac:dyDescent="0.25">
      <c r="A93" s="34">
        <v>809569</v>
      </c>
      <c r="B93" s="41">
        <v>91.558850608131038</v>
      </c>
      <c r="D93" s="34">
        <v>8.34</v>
      </c>
      <c r="E93" s="34">
        <v>0.55000000000000004</v>
      </c>
      <c r="F93" s="240">
        <v>1.6247772</v>
      </c>
      <c r="G93" s="34">
        <v>0.81</v>
      </c>
      <c r="H93" s="34">
        <v>2.2999999999999998</v>
      </c>
      <c r="I93" s="34">
        <v>0.33</v>
      </c>
      <c r="J93" s="34">
        <v>2.7</v>
      </c>
      <c r="K93" s="34">
        <v>1</v>
      </c>
      <c r="L93" s="34">
        <v>32.379999999999995</v>
      </c>
      <c r="M93" s="38">
        <v>1026.6600000000001</v>
      </c>
      <c r="N93" s="38">
        <v>616.85</v>
      </c>
      <c r="O93" s="38">
        <v>3175.79</v>
      </c>
      <c r="P93" s="38">
        <v>15174.27</v>
      </c>
      <c r="Q93" s="38">
        <v>405.01</v>
      </c>
    </row>
    <row r="94" spans="1:17" s="34" customFormat="1" x14ac:dyDescent="0.25">
      <c r="A94" s="34">
        <v>809570</v>
      </c>
      <c r="B94" s="41">
        <v>51.533926626863447</v>
      </c>
      <c r="D94" s="34">
        <v>7.86</v>
      </c>
      <c r="E94" s="34">
        <v>0.37</v>
      </c>
      <c r="F94" s="34">
        <v>1.96</v>
      </c>
      <c r="G94" s="34">
        <v>0.13</v>
      </c>
      <c r="H94" s="34">
        <v>0.41</v>
      </c>
      <c r="I94" s="34">
        <v>0.06</v>
      </c>
      <c r="J94" s="34">
        <v>6.45</v>
      </c>
      <c r="K94" s="34">
        <v>1.01</v>
      </c>
      <c r="L94" s="34">
        <v>39.159999999999975</v>
      </c>
      <c r="M94" s="38">
        <v>72.55</v>
      </c>
      <c r="N94" s="38">
        <v>21.027000000000001</v>
      </c>
      <c r="O94" s="38">
        <v>319.55100000000004</v>
      </c>
      <c r="P94" s="38">
        <v>1749.3820000000001</v>
      </c>
      <c r="Q94" s="38"/>
    </row>
    <row r="95" spans="1:17" s="34" customFormat="1" x14ac:dyDescent="0.25">
      <c r="A95" s="34">
        <v>809571</v>
      </c>
      <c r="B95" s="41">
        <v>58.445452160551667</v>
      </c>
      <c r="D95" s="34">
        <v>8.57</v>
      </c>
      <c r="E95" s="34">
        <v>2.1800000000000002</v>
      </c>
      <c r="F95" s="34">
        <v>1.79</v>
      </c>
      <c r="G95" s="34">
        <v>0.36</v>
      </c>
      <c r="H95" s="34">
        <v>0.82</v>
      </c>
      <c r="I95" s="34">
        <v>0.43</v>
      </c>
      <c r="J95" s="34">
        <v>2.31</v>
      </c>
      <c r="K95" s="34">
        <v>0.49</v>
      </c>
      <c r="L95" s="34">
        <v>35.400000000000063</v>
      </c>
      <c r="M95" s="38">
        <v>649.02</v>
      </c>
      <c r="N95" s="38">
        <v>26.433999999999997</v>
      </c>
      <c r="O95" s="38">
        <v>255.71199999999999</v>
      </c>
      <c r="P95" s="38">
        <v>996.72</v>
      </c>
      <c r="Q95" s="38"/>
    </row>
    <row r="96" spans="1:17" s="34" customFormat="1" x14ac:dyDescent="0.25">
      <c r="A96" s="34">
        <v>809573</v>
      </c>
      <c r="B96" s="41">
        <v>43.786013222538948</v>
      </c>
      <c r="D96" s="34">
        <v>9.51</v>
      </c>
      <c r="E96" s="34">
        <v>2.06</v>
      </c>
      <c r="F96" s="34">
        <v>1.69</v>
      </c>
      <c r="G96" s="34">
        <v>0.67</v>
      </c>
      <c r="H96" s="34">
        <v>3.75</v>
      </c>
      <c r="I96" s="34">
        <v>0.39</v>
      </c>
      <c r="J96" s="34">
        <v>2.2799999999999998</v>
      </c>
      <c r="K96" s="34">
        <v>0.57999999999999996</v>
      </c>
      <c r="L96" s="34">
        <v>72.599999999999909</v>
      </c>
      <c r="M96" s="38">
        <v>658.971</v>
      </c>
      <c r="N96" s="38">
        <v>21.241999999999997</v>
      </c>
      <c r="O96" s="38">
        <v>256.916</v>
      </c>
      <c r="P96" s="38">
        <v>793.58600000000001</v>
      </c>
      <c r="Q96" s="38"/>
    </row>
    <row r="97" spans="1:17" s="34" customFormat="1" x14ac:dyDescent="0.25">
      <c r="A97" s="34">
        <v>809574</v>
      </c>
      <c r="B97" s="41">
        <v>33.676146500157415</v>
      </c>
      <c r="D97" s="34">
        <v>9.15</v>
      </c>
      <c r="E97" s="34">
        <v>2.72</v>
      </c>
      <c r="F97" s="34">
        <v>1.67</v>
      </c>
      <c r="G97" s="34">
        <v>0.51</v>
      </c>
      <c r="H97" s="34">
        <v>2.84</v>
      </c>
      <c r="I97" s="34">
        <v>0.61</v>
      </c>
      <c r="J97" s="34">
        <v>5.33</v>
      </c>
      <c r="K97" s="34">
        <v>0.84</v>
      </c>
      <c r="L97" s="34">
        <v>55</v>
      </c>
      <c r="M97" s="38">
        <v>102.79900000000001</v>
      </c>
      <c r="N97" s="38">
        <v>21.103999999999999</v>
      </c>
      <c r="O97" s="38">
        <v>319.15199999999999</v>
      </c>
      <c r="P97" s="38">
        <v>730.74</v>
      </c>
      <c r="Q97" s="38"/>
    </row>
    <row r="98" spans="1:17" s="34" customFormat="1" x14ac:dyDescent="0.25">
      <c r="A98" s="34">
        <v>809575</v>
      </c>
      <c r="B98" s="41">
        <v>54.69511634323554</v>
      </c>
      <c r="D98" s="34">
        <v>6.4</v>
      </c>
      <c r="E98" s="34">
        <v>0.05</v>
      </c>
      <c r="F98" s="34">
        <v>1.37</v>
      </c>
      <c r="G98" s="34">
        <v>0.01</v>
      </c>
      <c r="H98" s="34">
        <v>0.06</v>
      </c>
      <c r="I98" s="34">
        <v>0.02</v>
      </c>
      <c r="J98" s="34">
        <v>0.25</v>
      </c>
      <c r="K98" s="34">
        <v>0.02</v>
      </c>
      <c r="L98" s="34">
        <v>98.6</v>
      </c>
      <c r="M98" s="38">
        <v>12.673999999999999</v>
      </c>
      <c r="N98" s="38">
        <v>1.2509999999999999</v>
      </c>
      <c r="O98" s="38">
        <v>18.509999999999998</v>
      </c>
      <c r="P98" s="38">
        <v>18.032</v>
      </c>
      <c r="Q98" s="38"/>
    </row>
    <row r="99" spans="1:17" s="34" customFormat="1" ht="15.95" customHeight="1" x14ac:dyDescent="0.25">
      <c r="A99" s="34">
        <v>809576</v>
      </c>
      <c r="B99" s="41">
        <v>65.694747839300973</v>
      </c>
      <c r="D99" s="34">
        <v>8.58</v>
      </c>
      <c r="E99" s="34">
        <v>2.04</v>
      </c>
      <c r="F99" s="34">
        <v>1.61</v>
      </c>
      <c r="G99" s="34">
        <v>0.54</v>
      </c>
      <c r="H99" s="34">
        <v>2</v>
      </c>
      <c r="I99" s="34">
        <v>0.22</v>
      </c>
      <c r="J99" s="34">
        <v>5.1100000000000003</v>
      </c>
      <c r="K99" s="34">
        <v>0.73</v>
      </c>
      <c r="L99" s="34">
        <v>68.599999999999994</v>
      </c>
      <c r="M99" s="38">
        <v>102.14</v>
      </c>
      <c r="N99" s="38">
        <v>13.527000000000001</v>
      </c>
      <c r="O99" s="38">
        <v>304.39299999999997</v>
      </c>
      <c r="P99" s="38">
        <v>655.48800000000006</v>
      </c>
      <c r="Q99" s="38"/>
    </row>
    <row r="100" spans="1:17" s="34" customFormat="1" x14ac:dyDescent="0.25">
      <c r="A100" s="34">
        <v>809577</v>
      </c>
      <c r="B100" s="41">
        <v>51.689964951859181</v>
      </c>
      <c r="D100" s="34">
        <v>8.2200000000000006</v>
      </c>
      <c r="E100" s="34">
        <v>0.32</v>
      </c>
      <c r="F100" s="34">
        <v>1.84</v>
      </c>
      <c r="G100" s="34">
        <v>0.15</v>
      </c>
      <c r="H100" s="34">
        <v>0.43</v>
      </c>
      <c r="I100" s="34">
        <v>7.0000000000000007E-2</v>
      </c>
      <c r="J100" s="34">
        <v>14.25</v>
      </c>
      <c r="K100" s="34">
        <v>1.03</v>
      </c>
      <c r="L100" s="34">
        <v>35.39999999999992</v>
      </c>
      <c r="M100" s="38">
        <v>68.676999999999992</v>
      </c>
      <c r="N100" s="38">
        <v>19.824999999999999</v>
      </c>
      <c r="O100" s="38">
        <v>625.17499999999995</v>
      </c>
      <c r="P100" s="38">
        <v>2020.6320000000001</v>
      </c>
      <c r="Q100" s="38"/>
    </row>
    <row r="101" spans="1:17" s="34" customFormat="1" x14ac:dyDescent="0.25">
      <c r="A101" s="34">
        <v>809578</v>
      </c>
      <c r="B101" s="41">
        <v>48.93315653064915</v>
      </c>
      <c r="D101" s="34">
        <v>8.06</v>
      </c>
      <c r="E101" s="34">
        <v>0.34</v>
      </c>
      <c r="F101" s="34">
        <v>1.86</v>
      </c>
      <c r="G101" s="34">
        <v>0.16</v>
      </c>
      <c r="H101" s="34">
        <v>0.38</v>
      </c>
      <c r="I101" s="34">
        <v>7.0000000000000007E-2</v>
      </c>
      <c r="J101" s="34">
        <v>3.81</v>
      </c>
      <c r="K101" s="34">
        <v>0.68</v>
      </c>
      <c r="L101" s="34">
        <v>38.200000000000081</v>
      </c>
      <c r="M101" s="38">
        <v>70.867999999999995</v>
      </c>
      <c r="N101" s="38">
        <v>19.830000000000002</v>
      </c>
      <c r="O101" s="38">
        <v>369.93400000000003</v>
      </c>
      <c r="P101" s="38">
        <v>2032.0250000000001</v>
      </c>
      <c r="Q101" s="38"/>
    </row>
    <row r="102" spans="1:17" s="34" customFormat="1" x14ac:dyDescent="0.25">
      <c r="A102" s="34">
        <v>809579</v>
      </c>
      <c r="B102" s="41">
        <v>49.746596066565814</v>
      </c>
      <c r="D102" s="34">
        <v>8.09</v>
      </c>
      <c r="E102" s="34">
        <v>0.34</v>
      </c>
      <c r="F102" s="34">
        <v>1.2</v>
      </c>
      <c r="G102" s="34">
        <v>0.15</v>
      </c>
      <c r="H102" s="34">
        <v>0.37</v>
      </c>
      <c r="I102" s="34">
        <v>0.08</v>
      </c>
      <c r="J102" s="34">
        <v>6.29</v>
      </c>
      <c r="K102" s="34">
        <v>0.83</v>
      </c>
      <c r="L102" s="34">
        <v>53.460000000000036</v>
      </c>
      <c r="M102" s="38">
        <v>81.382000000000005</v>
      </c>
      <c r="N102" s="38">
        <v>29.681000000000001</v>
      </c>
      <c r="O102" s="38">
        <v>540.56299999999999</v>
      </c>
      <c r="P102" s="38">
        <v>1895.664</v>
      </c>
      <c r="Q102" s="38"/>
    </row>
    <row r="103" spans="1:17" s="34" customFormat="1" x14ac:dyDescent="0.25">
      <c r="A103" s="34">
        <v>809580</v>
      </c>
      <c r="B103" s="41">
        <v>12.078105672380278</v>
      </c>
      <c r="D103" s="34">
        <v>6.96</v>
      </c>
      <c r="E103" s="34">
        <v>2.85</v>
      </c>
      <c r="F103" s="34">
        <v>1.89</v>
      </c>
      <c r="G103" s="34">
        <v>2.5099999999999998</v>
      </c>
      <c r="H103" s="34">
        <v>0.72</v>
      </c>
      <c r="I103" s="34">
        <v>7.0000000000000007E-2</v>
      </c>
      <c r="J103" s="34">
        <v>8.68</v>
      </c>
      <c r="K103" s="34">
        <v>0.87</v>
      </c>
      <c r="L103" s="41">
        <v>76.400000000000006</v>
      </c>
      <c r="M103" s="38">
        <v>414.87299999999993</v>
      </c>
      <c r="N103" s="38">
        <v>75.49199999999999</v>
      </c>
      <c r="O103" s="38">
        <v>450.79700000000003</v>
      </c>
      <c r="P103" s="38">
        <v>523.58400000000006</v>
      </c>
      <c r="Q103" s="38">
        <v>51.225999999999999</v>
      </c>
    </row>
    <row r="104" spans="1:17" s="34" customFormat="1" x14ac:dyDescent="0.25">
      <c r="A104" s="34">
        <v>809581</v>
      </c>
      <c r="B104" s="41">
        <v>11.094514978010121</v>
      </c>
      <c r="D104" s="34">
        <v>6.75</v>
      </c>
      <c r="E104" s="34">
        <v>4.03</v>
      </c>
      <c r="F104" s="34">
        <v>1.46</v>
      </c>
      <c r="G104" s="34">
        <v>3.49</v>
      </c>
      <c r="H104" s="34">
        <v>2.23</v>
      </c>
      <c r="I104" s="34">
        <v>0.1</v>
      </c>
      <c r="J104" s="34">
        <v>7.75</v>
      </c>
      <c r="K104" s="34">
        <v>0.88</v>
      </c>
      <c r="L104" s="41">
        <v>73.599999999999994</v>
      </c>
      <c r="M104" s="38">
        <v>422.666</v>
      </c>
      <c r="N104" s="38">
        <v>62.152999999999999</v>
      </c>
      <c r="O104" s="38">
        <v>460.62799999999999</v>
      </c>
      <c r="P104" s="38">
        <v>560.39</v>
      </c>
      <c r="Q104" s="38">
        <v>39.418999999999997</v>
      </c>
    </row>
    <row r="105" spans="1:17" s="34" customFormat="1" x14ac:dyDescent="0.25">
      <c r="A105" s="34">
        <v>809582</v>
      </c>
      <c r="B105" s="41">
        <v>12.181931022253741</v>
      </c>
      <c r="D105" s="34">
        <v>7.14</v>
      </c>
      <c r="E105" s="34">
        <v>8.6300000000000008</v>
      </c>
      <c r="F105" s="34">
        <v>1.2</v>
      </c>
      <c r="G105" s="34">
        <v>3</v>
      </c>
      <c r="H105" s="34">
        <v>3.97</v>
      </c>
      <c r="I105" s="34">
        <v>0.28000000000000003</v>
      </c>
      <c r="J105" s="34">
        <v>14.33</v>
      </c>
      <c r="K105" s="34">
        <v>0.97</v>
      </c>
      <c r="L105" s="41">
        <v>77.000000000000028</v>
      </c>
      <c r="M105" s="38">
        <v>1034.8499999999999</v>
      </c>
      <c r="N105" s="38">
        <v>97.518000000000001</v>
      </c>
      <c r="O105" s="38">
        <v>806.00400000000002</v>
      </c>
      <c r="P105" s="38">
        <v>196.06</v>
      </c>
      <c r="Q105" s="38">
        <v>63.308000000000007</v>
      </c>
    </row>
    <row r="106" spans="1:17" s="34" customFormat="1" x14ac:dyDescent="0.25">
      <c r="A106" s="34">
        <v>809583</v>
      </c>
      <c r="B106" s="41">
        <v>9.8215041028677774</v>
      </c>
      <c r="D106" s="34">
        <v>6.77</v>
      </c>
      <c r="E106" s="34">
        <v>10.66</v>
      </c>
      <c r="F106" s="34">
        <v>1.99</v>
      </c>
      <c r="G106" s="34">
        <v>5.23</v>
      </c>
      <c r="H106" s="34">
        <v>8.14</v>
      </c>
      <c r="I106" s="34">
        <v>0.41</v>
      </c>
      <c r="J106" s="34">
        <v>6.19</v>
      </c>
      <c r="K106" s="34">
        <v>0.91</v>
      </c>
      <c r="L106" s="41">
        <v>76.599999999999966</v>
      </c>
      <c r="M106" s="38">
        <v>1116.675</v>
      </c>
      <c r="N106" s="38">
        <v>65.882000000000005</v>
      </c>
      <c r="O106" s="38">
        <v>708.70900000000006</v>
      </c>
      <c r="P106" s="38">
        <v>172.77100000000002</v>
      </c>
      <c r="Q106" s="38">
        <v>81.469000000000008</v>
      </c>
    </row>
    <row r="107" spans="1:17" s="34" customFormat="1" x14ac:dyDescent="0.25">
      <c r="A107" s="34">
        <v>809585</v>
      </c>
      <c r="B107" s="41">
        <v>65.854474025159874</v>
      </c>
      <c r="D107" s="34">
        <v>8.99</v>
      </c>
      <c r="E107" s="34">
        <v>4.9800000000000004</v>
      </c>
      <c r="F107" s="34">
        <v>1.51</v>
      </c>
      <c r="G107" s="34">
        <v>0.86</v>
      </c>
      <c r="H107" s="34">
        <v>3.43</v>
      </c>
      <c r="I107" s="34">
        <v>0.44</v>
      </c>
      <c r="J107" s="34">
        <v>10.25</v>
      </c>
      <c r="K107" s="34">
        <v>1.55</v>
      </c>
      <c r="L107" s="34">
        <v>41.799999999999926</v>
      </c>
      <c r="M107" s="38">
        <v>355.89</v>
      </c>
      <c r="N107" s="38">
        <v>70.36</v>
      </c>
      <c r="O107" s="38">
        <v>549.67999999999995</v>
      </c>
      <c r="P107" s="38">
        <v>8646.2099999999991</v>
      </c>
      <c r="Q107" s="38">
        <v>41</v>
      </c>
    </row>
    <row r="108" spans="1:17" s="34" customFormat="1" x14ac:dyDescent="0.25">
      <c r="A108" s="45">
        <v>809584</v>
      </c>
      <c r="B108" s="241">
        <v>65.024979954357619</v>
      </c>
      <c r="C108" s="45"/>
      <c r="D108" s="45">
        <v>9.8000000000000007</v>
      </c>
      <c r="E108" s="45">
        <v>5.54</v>
      </c>
      <c r="F108" s="45">
        <v>1.42</v>
      </c>
      <c r="G108" s="45">
        <v>1.37</v>
      </c>
      <c r="H108" s="45">
        <v>4.0199999999999996</v>
      </c>
      <c r="I108" s="45">
        <v>0.61</v>
      </c>
      <c r="J108" s="45">
        <v>8.42</v>
      </c>
      <c r="K108" s="45">
        <v>1.51</v>
      </c>
      <c r="L108" s="241">
        <v>42.6</v>
      </c>
      <c r="M108" s="242">
        <v>189.15</v>
      </c>
      <c r="N108" s="242">
        <v>96.93</v>
      </c>
      <c r="O108" s="242">
        <v>526.89</v>
      </c>
      <c r="P108" s="242">
        <v>13658.68</v>
      </c>
      <c r="Q108" s="242">
        <v>78.58</v>
      </c>
    </row>
    <row r="109" spans="1:17" s="34" customFormat="1" x14ac:dyDescent="0.25">
      <c r="A109" s="243">
        <v>809586</v>
      </c>
      <c r="B109" s="44">
        <v>48.160828724431582</v>
      </c>
      <c r="D109" s="42">
        <v>7.77</v>
      </c>
      <c r="E109" s="42">
        <v>1.38</v>
      </c>
      <c r="F109" s="34">
        <v>1.1000000000000001</v>
      </c>
      <c r="G109" s="42">
        <v>0.23</v>
      </c>
      <c r="H109" s="42">
        <v>0.54</v>
      </c>
      <c r="I109" s="42">
        <v>0.25</v>
      </c>
      <c r="J109" s="42">
        <v>5.22</v>
      </c>
      <c r="K109" s="42">
        <v>0.35</v>
      </c>
      <c r="L109" s="44">
        <v>41.400000000000006</v>
      </c>
    </row>
    <row r="110" spans="1:17" s="34" customFormat="1" ht="17.100000000000001" customHeight="1" x14ac:dyDescent="0.25">
      <c r="A110" s="243">
        <v>809587</v>
      </c>
      <c r="B110" s="44">
        <v>53.652014039779395</v>
      </c>
      <c r="D110" s="42">
        <v>8.8000000000000007</v>
      </c>
      <c r="E110" s="42">
        <v>0.5</v>
      </c>
      <c r="F110" s="34">
        <v>1.1000000000000001</v>
      </c>
      <c r="G110" s="42">
        <v>0.23</v>
      </c>
      <c r="H110" s="42">
        <v>0.56999999999999995</v>
      </c>
      <c r="I110" s="42">
        <v>0.1</v>
      </c>
      <c r="J110" s="42">
        <v>5.28</v>
      </c>
      <c r="K110" s="42">
        <v>0.71</v>
      </c>
      <c r="L110" s="44">
        <v>38.599999999999987</v>
      </c>
    </row>
    <row r="111" spans="1:17" s="34" customFormat="1" x14ac:dyDescent="0.25">
      <c r="A111" s="243">
        <v>809590</v>
      </c>
      <c r="B111" s="44">
        <v>47.239657984480786</v>
      </c>
      <c r="D111" s="42">
        <v>8.64</v>
      </c>
      <c r="E111" s="42">
        <v>0.8</v>
      </c>
      <c r="F111" s="34">
        <v>1.38</v>
      </c>
      <c r="G111" s="42">
        <v>0.32</v>
      </c>
      <c r="H111" s="42">
        <v>0.89</v>
      </c>
      <c r="I111" s="42">
        <v>0.16</v>
      </c>
      <c r="J111" s="42">
        <v>3.17</v>
      </c>
      <c r="K111" s="42">
        <v>0.75</v>
      </c>
      <c r="L111" s="44">
        <v>50</v>
      </c>
    </row>
    <row r="112" spans="1:17" s="34" customFormat="1" x14ac:dyDescent="0.25">
      <c r="A112" s="243">
        <v>809591</v>
      </c>
      <c r="B112" s="44">
        <v>58.36395118037079</v>
      </c>
      <c r="D112" s="42">
        <v>8.59</v>
      </c>
      <c r="E112" s="42">
        <v>0.87</v>
      </c>
      <c r="F112" s="34">
        <v>1.39</v>
      </c>
      <c r="G112" s="42">
        <v>0.27</v>
      </c>
      <c r="H112" s="42">
        <v>0.77</v>
      </c>
      <c r="I112" s="42">
        <v>0.13</v>
      </c>
      <c r="J112" s="42">
        <v>4.59</v>
      </c>
      <c r="K112" s="42">
        <v>1.82</v>
      </c>
      <c r="L112" s="44">
        <v>47.800000000000011</v>
      </c>
    </row>
    <row r="113" spans="1:12" s="34" customFormat="1" x14ac:dyDescent="0.25">
      <c r="A113" s="243">
        <v>809592</v>
      </c>
      <c r="B113" s="44">
        <v>49.026690748545043</v>
      </c>
      <c r="D113" s="42">
        <v>8.01</v>
      </c>
      <c r="E113" s="42">
        <v>1.3</v>
      </c>
      <c r="F113" s="34">
        <v>1.0900000000000001</v>
      </c>
      <c r="G113" s="42">
        <v>0.26</v>
      </c>
      <c r="H113" s="42">
        <v>0.56000000000000005</v>
      </c>
      <c r="I113" s="42">
        <v>0.28000000000000003</v>
      </c>
      <c r="J113" s="42">
        <v>5.6</v>
      </c>
      <c r="K113" s="42">
        <v>0.36</v>
      </c>
      <c r="L113" s="44">
        <v>40.799999999999983</v>
      </c>
    </row>
    <row r="114" spans="1:12" s="34" customFormat="1" x14ac:dyDescent="0.25">
      <c r="A114" s="243">
        <v>809593</v>
      </c>
      <c r="B114" s="44">
        <v>54.471638132444753</v>
      </c>
      <c r="D114" s="42">
        <v>8.08</v>
      </c>
      <c r="E114" s="42">
        <v>1.89</v>
      </c>
      <c r="F114" s="34">
        <v>1.26</v>
      </c>
      <c r="G114" s="42">
        <v>0.28999999999999998</v>
      </c>
      <c r="H114" s="42">
        <v>0.62</v>
      </c>
      <c r="I114" s="42">
        <v>0.32</v>
      </c>
      <c r="J114" s="42">
        <v>6.76</v>
      </c>
      <c r="K114" s="42">
        <v>0.37</v>
      </c>
      <c r="L114" s="44">
        <v>36.400000000000013</v>
      </c>
    </row>
    <row r="115" spans="1:12" s="34" customFormat="1" x14ac:dyDescent="0.25">
      <c r="A115" s="243">
        <v>809594</v>
      </c>
      <c r="B115" s="44">
        <v>53.913043478260882</v>
      </c>
      <c r="D115" s="42">
        <v>7.91</v>
      </c>
      <c r="E115" s="42">
        <v>1.87</v>
      </c>
      <c r="F115" s="34">
        <v>1.06</v>
      </c>
      <c r="G115" s="42">
        <v>0.28999999999999998</v>
      </c>
      <c r="H115" s="42">
        <v>0.64</v>
      </c>
      <c r="I115" s="42">
        <v>0.32</v>
      </c>
      <c r="J115" s="42">
        <v>5.18</v>
      </c>
      <c r="K115" s="42">
        <v>0.4</v>
      </c>
      <c r="L115" s="44">
        <v>36.400000000000013</v>
      </c>
    </row>
    <row r="116" spans="1:12" s="34" customFormat="1" x14ac:dyDescent="0.25">
      <c r="A116" s="243">
        <v>809595</v>
      </c>
      <c r="B116" s="44">
        <v>61.79084823877978</v>
      </c>
      <c r="D116" s="42">
        <v>9.52</v>
      </c>
      <c r="E116" s="42">
        <v>3.84</v>
      </c>
      <c r="F116" s="34">
        <v>1.78</v>
      </c>
      <c r="G116" s="42">
        <v>0.65</v>
      </c>
      <c r="H116" s="42">
        <v>2.7</v>
      </c>
      <c r="I116" s="42">
        <v>0.46</v>
      </c>
      <c r="J116" s="42">
        <v>8.82</v>
      </c>
      <c r="K116" s="42">
        <v>1</v>
      </c>
      <c r="L116" s="44">
        <v>43.200000000000074</v>
      </c>
    </row>
    <row r="117" spans="1:12" s="34" customFormat="1" x14ac:dyDescent="0.25">
      <c r="A117" s="38">
        <v>809603</v>
      </c>
      <c r="B117" s="41">
        <v>61.041439476553997</v>
      </c>
      <c r="D117" s="42">
        <v>9.5500000000000007</v>
      </c>
      <c r="E117" s="42">
        <v>4.2300000000000004</v>
      </c>
      <c r="F117" s="34">
        <v>2.63</v>
      </c>
      <c r="G117" s="41">
        <v>1</v>
      </c>
      <c r="H117" s="34">
        <v>2.27</v>
      </c>
      <c r="I117" s="34">
        <v>0.49</v>
      </c>
      <c r="J117" s="34">
        <v>5.83</v>
      </c>
      <c r="K117" s="34">
        <v>1.03</v>
      </c>
      <c r="L117" s="34">
        <v>47.000000000000028</v>
      </c>
    </row>
    <row r="118" spans="1:12" s="34" customFormat="1" x14ac:dyDescent="0.25">
      <c r="A118" s="38">
        <v>809604</v>
      </c>
      <c r="B118" s="41">
        <v>58.187581985133377</v>
      </c>
      <c r="D118" s="42">
        <v>9.59</v>
      </c>
      <c r="E118" s="42">
        <v>2.82</v>
      </c>
      <c r="F118" s="34">
        <v>2.0699999999999998</v>
      </c>
      <c r="G118" s="34">
        <v>0.54</v>
      </c>
      <c r="H118" s="34">
        <v>2.67</v>
      </c>
      <c r="I118" s="34">
        <v>0.38</v>
      </c>
      <c r="J118" s="34">
        <v>6.6</v>
      </c>
      <c r="K118" s="34">
        <v>0.92</v>
      </c>
      <c r="L118" s="34">
        <v>41.599999999999973</v>
      </c>
    </row>
    <row r="119" spans="1:12" s="34" customFormat="1" x14ac:dyDescent="0.25">
      <c r="A119" s="38">
        <v>809596</v>
      </c>
      <c r="B119" s="41">
        <v>75.263838035752755</v>
      </c>
      <c r="D119" s="42">
        <v>8.2799999999999994</v>
      </c>
      <c r="E119" s="42">
        <v>0.13</v>
      </c>
      <c r="F119" s="41">
        <v>1.3726566000000004</v>
      </c>
      <c r="G119" s="42">
        <v>0.05</v>
      </c>
      <c r="H119" s="42">
        <v>0.27</v>
      </c>
      <c r="I119" s="42">
        <v>0.03</v>
      </c>
      <c r="J119" s="42">
        <v>2.2799999999999998</v>
      </c>
      <c r="K119" s="42">
        <v>0.16</v>
      </c>
      <c r="L119" s="34">
        <v>81.400000000000006</v>
      </c>
    </row>
    <row r="120" spans="1:12" s="34" customFormat="1" x14ac:dyDescent="0.25">
      <c r="A120" s="38">
        <v>809597</v>
      </c>
      <c r="B120" s="41">
        <v>70.691805443474436</v>
      </c>
      <c r="D120" s="42">
        <v>7.53</v>
      </c>
      <c r="E120" s="42">
        <v>0.05</v>
      </c>
      <c r="F120" s="41">
        <v>1.2325896000000003</v>
      </c>
      <c r="G120" s="42">
        <v>0.03</v>
      </c>
      <c r="H120" s="42">
        <v>0.06</v>
      </c>
      <c r="I120" s="42">
        <v>0.03</v>
      </c>
      <c r="J120" s="244">
        <v>1</v>
      </c>
      <c r="K120" s="42">
        <v>0.2</v>
      </c>
      <c r="L120" s="34">
        <v>91.199999999999903</v>
      </c>
    </row>
    <row r="121" spans="1:12" s="34" customFormat="1" x14ac:dyDescent="0.25">
      <c r="A121" s="38">
        <v>809598</v>
      </c>
      <c r="B121" s="41">
        <v>46.670046825136438</v>
      </c>
      <c r="D121" s="42">
        <v>9.15</v>
      </c>
      <c r="E121" s="42">
        <v>0.63</v>
      </c>
      <c r="F121" s="41">
        <v>1.7928576000000003</v>
      </c>
      <c r="G121" s="244">
        <v>0.2</v>
      </c>
      <c r="H121" s="42">
        <v>0.71</v>
      </c>
      <c r="I121" s="42">
        <v>0.17</v>
      </c>
      <c r="J121" s="42">
        <v>3.58</v>
      </c>
      <c r="K121" s="42">
        <v>0.9</v>
      </c>
      <c r="L121" s="34">
        <v>54.200000000000017</v>
      </c>
    </row>
    <row r="122" spans="1:12" s="34" customFormat="1" x14ac:dyDescent="0.25">
      <c r="A122" s="38">
        <v>809599</v>
      </c>
      <c r="B122" s="41">
        <v>51.029583670533242</v>
      </c>
      <c r="D122" s="42">
        <v>9.0500000000000007</v>
      </c>
      <c r="E122" s="42">
        <v>0.61</v>
      </c>
      <c r="F122" s="41">
        <v>1.5127236000000004</v>
      </c>
      <c r="G122" s="42">
        <v>0.15</v>
      </c>
      <c r="H122" s="42">
        <v>0.63</v>
      </c>
      <c r="I122" s="42">
        <v>0.14000000000000001</v>
      </c>
      <c r="J122" s="42">
        <v>3.28</v>
      </c>
      <c r="K122" s="42">
        <v>0.69</v>
      </c>
      <c r="L122" s="34">
        <v>52.000000000000028</v>
      </c>
    </row>
    <row r="123" spans="1:12" s="34" customFormat="1" x14ac:dyDescent="0.25">
      <c r="A123" s="38">
        <v>809600</v>
      </c>
      <c r="B123" s="41">
        <v>23.956900504355794</v>
      </c>
      <c r="D123" s="42">
        <v>9.0500000000000007</v>
      </c>
      <c r="E123" s="42">
        <v>1.07</v>
      </c>
      <c r="F123" s="41">
        <v>2.6332596000000001</v>
      </c>
      <c r="G123" s="34">
        <v>0.28999999999999998</v>
      </c>
      <c r="H123" s="34">
        <v>1.87</v>
      </c>
      <c r="I123" s="34">
        <v>0.32</v>
      </c>
      <c r="J123" s="34">
        <v>0.87</v>
      </c>
      <c r="K123" s="34">
        <v>0.33</v>
      </c>
      <c r="L123" s="34">
        <v>85</v>
      </c>
    </row>
    <row r="124" spans="1:12" s="34" customFormat="1" x14ac:dyDescent="0.25">
      <c r="A124" s="38">
        <v>809601</v>
      </c>
      <c r="B124" s="41">
        <v>82.85123966942146</v>
      </c>
      <c r="D124" s="42">
        <v>6.94</v>
      </c>
      <c r="E124" s="42">
        <v>0.04</v>
      </c>
      <c r="F124" s="41">
        <v>0.67232159999999996</v>
      </c>
      <c r="G124" s="34">
        <v>0.01</v>
      </c>
      <c r="H124" s="34">
        <v>0.03</v>
      </c>
      <c r="I124" s="34">
        <v>0.02</v>
      </c>
      <c r="J124" s="34">
        <v>0.18</v>
      </c>
      <c r="K124" s="34">
        <v>0.05</v>
      </c>
      <c r="L124" s="34">
        <v>97.999999999999972</v>
      </c>
    </row>
    <row r="125" spans="1:12" s="34" customFormat="1" x14ac:dyDescent="0.25">
      <c r="A125" s="38">
        <v>809602</v>
      </c>
      <c r="B125" s="41">
        <v>89.629327902240348</v>
      </c>
      <c r="D125" s="42">
        <v>6.44</v>
      </c>
      <c r="E125" s="42">
        <v>0.11</v>
      </c>
      <c r="F125" s="41">
        <v>0.30814740000000002</v>
      </c>
      <c r="G125" s="34">
        <v>0.06</v>
      </c>
      <c r="H125" s="34">
        <v>0.09</v>
      </c>
      <c r="I125" s="34">
        <v>0.02</v>
      </c>
      <c r="J125" s="34">
        <v>1.5</v>
      </c>
      <c r="K125" s="34">
        <v>0.43</v>
      </c>
      <c r="L125" s="34">
        <v>81.800000000000068</v>
      </c>
    </row>
    <row r="126" spans="1:12" s="34" customFormat="1" x14ac:dyDescent="0.25">
      <c r="A126" s="38">
        <v>809605</v>
      </c>
      <c r="B126" s="41">
        <v>45.673603504928792</v>
      </c>
      <c r="D126" s="42">
        <v>8.92</v>
      </c>
      <c r="E126" s="42">
        <v>1.63</v>
      </c>
      <c r="F126" s="41">
        <v>2.1570317999999999</v>
      </c>
      <c r="G126" s="34">
        <v>0.52</v>
      </c>
      <c r="H126" s="34">
        <v>1.66</v>
      </c>
      <c r="I126" s="34">
        <v>0.41</v>
      </c>
      <c r="J126" s="34">
        <v>2.4500000000000002</v>
      </c>
      <c r="K126" s="34">
        <v>0.68</v>
      </c>
      <c r="L126" s="34">
        <v>78.199999999999932</v>
      </c>
    </row>
    <row r="127" spans="1:12" s="34" customFormat="1" x14ac:dyDescent="0.25">
      <c r="A127" s="38">
        <v>809606</v>
      </c>
      <c r="B127" s="41">
        <v>61.239331872321436</v>
      </c>
      <c r="D127" s="42">
        <v>8.44</v>
      </c>
      <c r="E127" s="42">
        <v>2.38</v>
      </c>
      <c r="F127" s="41">
        <v>1.2606030000000001</v>
      </c>
      <c r="G127" s="34">
        <v>0.15</v>
      </c>
      <c r="H127" s="34">
        <v>0.49</v>
      </c>
      <c r="I127" s="34">
        <v>0.24</v>
      </c>
      <c r="J127" s="34">
        <v>4.71</v>
      </c>
      <c r="K127" s="34">
        <v>0.53</v>
      </c>
      <c r="L127" s="34">
        <v>28.400000000000034</v>
      </c>
    </row>
    <row r="128" spans="1:12" s="34" customFormat="1" x14ac:dyDescent="0.25">
      <c r="A128" s="38">
        <v>809607</v>
      </c>
      <c r="B128" s="41">
        <v>73.910260696783553</v>
      </c>
      <c r="D128" s="42">
        <v>8.2899999999999991</v>
      </c>
      <c r="E128" s="42">
        <v>2.0499999999999998</v>
      </c>
      <c r="F128" s="41">
        <v>0.75636179999999997</v>
      </c>
      <c r="G128" s="34">
        <v>0.15</v>
      </c>
      <c r="H128" s="34">
        <v>0.46</v>
      </c>
      <c r="I128" s="34">
        <v>0.2</v>
      </c>
      <c r="J128" s="34">
        <v>5.0199999999999996</v>
      </c>
      <c r="K128" s="34">
        <v>0.51</v>
      </c>
      <c r="L128" s="34">
        <v>20.600000000000023</v>
      </c>
    </row>
    <row r="129" spans="1:12" s="34" customFormat="1" x14ac:dyDescent="0.25">
      <c r="A129" s="38">
        <v>809608</v>
      </c>
      <c r="B129" s="41">
        <v>64.438899039749231</v>
      </c>
      <c r="D129" s="42">
        <v>8.32</v>
      </c>
      <c r="E129" s="42">
        <v>1.68</v>
      </c>
      <c r="F129" s="41">
        <v>0.78437519999999994</v>
      </c>
      <c r="G129" s="34">
        <v>0.15</v>
      </c>
      <c r="H129" s="34">
        <v>0.59</v>
      </c>
      <c r="I129" s="34">
        <v>0.23</v>
      </c>
      <c r="J129" s="34">
        <v>9.98</v>
      </c>
      <c r="K129" s="34">
        <v>0.57999999999999996</v>
      </c>
      <c r="L129" s="34">
        <v>22.199999999999989</v>
      </c>
    </row>
    <row r="130" spans="1:12" s="34" customFormat="1" x14ac:dyDescent="0.25">
      <c r="A130" s="38">
        <v>809609</v>
      </c>
      <c r="B130" s="41">
        <v>63.763662543360176</v>
      </c>
      <c r="D130" s="42">
        <v>8.35</v>
      </c>
      <c r="E130" s="42">
        <v>1.67</v>
      </c>
      <c r="F130" s="41">
        <v>0.86841540000000017</v>
      </c>
      <c r="G130" s="34">
        <v>0.15</v>
      </c>
      <c r="H130" s="34">
        <v>0.52</v>
      </c>
      <c r="I130" s="34">
        <v>0.21</v>
      </c>
      <c r="J130" s="34">
        <v>4.0199999999999996</v>
      </c>
      <c r="K130" s="34">
        <v>0.54</v>
      </c>
      <c r="L130" s="34">
        <v>23.599999999999994</v>
      </c>
    </row>
    <row r="131" spans="1:12" s="34" customFormat="1" x14ac:dyDescent="0.25">
      <c r="A131" s="38">
        <v>809610</v>
      </c>
      <c r="B131" s="41">
        <v>62.606869908457206</v>
      </c>
      <c r="D131" s="42">
        <v>8.57</v>
      </c>
      <c r="E131" s="42">
        <v>1.41</v>
      </c>
      <c r="F131" s="41">
        <v>1.2886164000000002</v>
      </c>
      <c r="G131" s="34">
        <v>0.19</v>
      </c>
      <c r="H131" s="34">
        <v>0.49</v>
      </c>
      <c r="I131" s="34">
        <v>0.21</v>
      </c>
      <c r="J131" s="34">
        <v>3.79</v>
      </c>
      <c r="K131" s="34">
        <v>0.49</v>
      </c>
      <c r="L131" s="34">
        <v>25.799999999999983</v>
      </c>
    </row>
    <row r="132" spans="1:12" s="34" customFormat="1" x14ac:dyDescent="0.25">
      <c r="A132" s="38">
        <v>809611</v>
      </c>
      <c r="B132" s="41">
        <v>57.198931436041619</v>
      </c>
      <c r="D132" s="42">
        <v>8.75</v>
      </c>
      <c r="E132" s="42">
        <v>1.35</v>
      </c>
      <c r="F132" s="41">
        <v>1.0364958000000002</v>
      </c>
      <c r="G132" s="34">
        <v>0.14000000000000001</v>
      </c>
      <c r="H132" s="34">
        <v>0.5</v>
      </c>
      <c r="I132" s="34">
        <v>0.23</v>
      </c>
      <c r="J132" s="34">
        <v>5.36</v>
      </c>
      <c r="K132" s="34">
        <v>0.53</v>
      </c>
      <c r="L132" s="34">
        <v>25.799999999999983</v>
      </c>
    </row>
    <row r="133" spans="1:12" s="34" customFormat="1" x14ac:dyDescent="0.25">
      <c r="A133" s="38">
        <v>809612</v>
      </c>
      <c r="B133" s="41">
        <v>66.965964363257044</v>
      </c>
      <c r="D133" s="42">
        <v>8.85</v>
      </c>
      <c r="E133" s="42">
        <v>1.1100000000000001</v>
      </c>
      <c r="F133" s="41">
        <v>1.0084824000000001</v>
      </c>
      <c r="G133" s="34">
        <v>0.15</v>
      </c>
      <c r="H133" s="34">
        <v>0.57999999999999996</v>
      </c>
      <c r="I133" s="34">
        <v>0.3</v>
      </c>
      <c r="J133" s="34">
        <v>4.1500000000000004</v>
      </c>
      <c r="K133" s="34">
        <v>0.59</v>
      </c>
      <c r="L133" s="34">
        <v>25.19999999999996</v>
      </c>
    </row>
    <row r="134" spans="1:12" s="34" customFormat="1" x14ac:dyDescent="0.25">
      <c r="A134" s="38">
        <v>809613</v>
      </c>
      <c r="B134" s="41">
        <v>64.314556395939519</v>
      </c>
      <c r="D134" s="42">
        <v>8.6</v>
      </c>
      <c r="E134" s="42">
        <v>1.65</v>
      </c>
      <c r="F134" s="41">
        <v>0.84040200000000009</v>
      </c>
      <c r="G134" s="34">
        <v>0.15</v>
      </c>
      <c r="H134" s="34">
        <v>0.56000000000000005</v>
      </c>
      <c r="I134" s="34">
        <v>0.24</v>
      </c>
      <c r="J134" s="34">
        <v>3.89</v>
      </c>
      <c r="K134" s="34">
        <v>0.52</v>
      </c>
      <c r="L134" s="34">
        <v>22.399999999999949</v>
      </c>
    </row>
    <row r="135" spans="1:12" s="34" customFormat="1" x14ac:dyDescent="0.25">
      <c r="A135" s="38">
        <v>809614</v>
      </c>
      <c r="B135" s="41">
        <v>70.69824883409126</v>
      </c>
      <c r="D135" s="42">
        <v>8.81</v>
      </c>
      <c r="E135" s="42">
        <v>2.02</v>
      </c>
      <c r="F135" s="41">
        <v>0.89642880000000003</v>
      </c>
      <c r="G135" s="34">
        <v>0.17</v>
      </c>
      <c r="H135" s="34">
        <v>0.52</v>
      </c>
      <c r="I135" s="34">
        <v>0.23</v>
      </c>
      <c r="J135" s="34">
        <v>5.14</v>
      </c>
      <c r="K135" s="34">
        <v>0.54</v>
      </c>
      <c r="L135" s="34">
        <v>24.599999999999937</v>
      </c>
    </row>
    <row r="136" spans="1:12" s="34" customFormat="1" x14ac:dyDescent="0.25">
      <c r="A136" s="38">
        <v>809615</v>
      </c>
      <c r="B136" s="41">
        <v>70.655431524996743</v>
      </c>
      <c r="D136" s="42">
        <v>8.39</v>
      </c>
      <c r="E136" s="42">
        <v>2.17</v>
      </c>
      <c r="F136" s="41">
        <v>2.241072</v>
      </c>
      <c r="G136" s="34">
        <v>0.16</v>
      </c>
      <c r="H136" s="34">
        <v>0.55000000000000004</v>
      </c>
      <c r="I136" s="34">
        <v>0.3</v>
      </c>
      <c r="J136" s="34">
        <v>5.37</v>
      </c>
      <c r="K136" s="34">
        <v>0.56000000000000005</v>
      </c>
      <c r="L136" s="34">
        <v>29.799999999999969</v>
      </c>
    </row>
    <row r="137" spans="1:12" s="34" customFormat="1" x14ac:dyDescent="0.25">
      <c r="A137" s="38">
        <v>809616</v>
      </c>
      <c r="B137" s="41">
        <v>71.415949457369294</v>
      </c>
      <c r="D137" s="42">
        <v>8.6300000000000008</v>
      </c>
      <c r="E137" s="42">
        <v>2</v>
      </c>
      <c r="F137" s="41">
        <v>2.3531256000000003</v>
      </c>
      <c r="G137" s="34">
        <v>0.16</v>
      </c>
      <c r="H137" s="34">
        <v>0.56999999999999995</v>
      </c>
      <c r="I137" s="34">
        <v>0.27</v>
      </c>
      <c r="J137" s="34">
        <v>4.76</v>
      </c>
      <c r="K137" s="34">
        <v>0.54</v>
      </c>
      <c r="L137" s="34">
        <v>25</v>
      </c>
    </row>
    <row r="138" spans="1:12" s="34" customFormat="1" x14ac:dyDescent="0.25">
      <c r="A138" s="38">
        <v>809617</v>
      </c>
      <c r="B138" s="41">
        <v>72.345918038076789</v>
      </c>
      <c r="D138" s="42">
        <v>9.9700000000000006</v>
      </c>
      <c r="E138" s="42">
        <v>3.59</v>
      </c>
      <c r="F138" s="41">
        <v>1.8488844</v>
      </c>
      <c r="G138" s="34">
        <v>0.45</v>
      </c>
      <c r="H138" s="34">
        <v>2.4900000000000002</v>
      </c>
      <c r="I138" s="34">
        <v>0.44</v>
      </c>
      <c r="J138" s="34">
        <v>5.46</v>
      </c>
      <c r="K138" s="34">
        <v>1.01</v>
      </c>
      <c r="L138" s="34">
        <v>43</v>
      </c>
    </row>
    <row r="139" spans="1:12" s="34" customFormat="1" x14ac:dyDescent="0.25">
      <c r="A139" s="38">
        <v>809618</v>
      </c>
      <c r="B139" s="41">
        <v>76.514754670857315</v>
      </c>
      <c r="D139" s="42">
        <v>7.38</v>
      </c>
      <c r="E139" s="42">
        <v>3.45</v>
      </c>
      <c r="F139" s="41">
        <v>3.1094873999999999</v>
      </c>
      <c r="G139" s="34">
        <v>0.7</v>
      </c>
      <c r="H139" s="34">
        <v>2.31</v>
      </c>
      <c r="I139" s="34">
        <v>0.31</v>
      </c>
      <c r="J139" s="34">
        <v>4.2</v>
      </c>
      <c r="K139" s="34">
        <v>1.67</v>
      </c>
      <c r="L139" s="34">
        <v>66.8</v>
      </c>
    </row>
    <row r="140" spans="1:12" s="34" customFormat="1" x14ac:dyDescent="0.25">
      <c r="A140" s="38">
        <v>809619</v>
      </c>
      <c r="B140" s="41">
        <v>62.187724889482901</v>
      </c>
      <c r="D140" s="42">
        <v>9.67</v>
      </c>
      <c r="E140" s="42">
        <v>4.84</v>
      </c>
      <c r="F140" s="41">
        <v>1.9889514000000001</v>
      </c>
      <c r="G140" s="34">
        <v>0.56999999999999995</v>
      </c>
      <c r="H140" s="34">
        <v>2.9</v>
      </c>
      <c r="I140" s="34">
        <v>0.45</v>
      </c>
      <c r="J140" s="34">
        <v>6.64</v>
      </c>
      <c r="K140" s="34">
        <v>0.81</v>
      </c>
      <c r="L140" s="34">
        <v>46</v>
      </c>
    </row>
    <row r="141" spans="1:12" s="34" customFormat="1" x14ac:dyDescent="0.25">
      <c r="A141" s="38">
        <v>809620</v>
      </c>
      <c r="B141" s="41">
        <v>62.068074105988799</v>
      </c>
      <c r="D141" s="42">
        <v>9.84</v>
      </c>
      <c r="E141" s="42">
        <v>5.34</v>
      </c>
      <c r="F141" s="41">
        <v>2.1290184000000001</v>
      </c>
      <c r="G141" s="34">
        <v>0.47</v>
      </c>
      <c r="H141" s="34">
        <v>2.94</v>
      </c>
      <c r="I141" s="34">
        <v>0.5</v>
      </c>
      <c r="J141" s="34">
        <v>5.78</v>
      </c>
      <c r="K141" s="34">
        <v>0.88</v>
      </c>
      <c r="L141" s="34">
        <v>43.6</v>
      </c>
    </row>
    <row r="142" spans="1:12" s="34" customFormat="1" x14ac:dyDescent="0.25">
      <c r="A142" s="38">
        <v>809621</v>
      </c>
      <c r="B142" s="41">
        <v>88.641843021698378</v>
      </c>
      <c r="D142" s="42">
        <v>8.84</v>
      </c>
      <c r="E142" s="42">
        <v>2.96</v>
      </c>
      <c r="F142" s="41">
        <v>2.2130586000000005</v>
      </c>
      <c r="G142" s="34">
        <v>0.56000000000000005</v>
      </c>
      <c r="H142" s="34">
        <v>1.93</v>
      </c>
      <c r="I142" s="34">
        <v>0.31</v>
      </c>
      <c r="J142" s="34">
        <v>4.97</v>
      </c>
      <c r="K142" s="34">
        <v>0.78</v>
      </c>
      <c r="L142" s="34">
        <v>55.6</v>
      </c>
    </row>
    <row r="143" spans="1:12" s="34" customFormat="1" x14ac:dyDescent="0.25">
      <c r="A143" s="38">
        <v>809622</v>
      </c>
      <c r="B143" s="41">
        <v>66.464941569282132</v>
      </c>
      <c r="D143" s="42">
        <v>9.24</v>
      </c>
      <c r="E143" s="42">
        <v>3.32</v>
      </c>
      <c r="F143" s="41">
        <v>2.1570317999999999</v>
      </c>
      <c r="G143" s="34">
        <v>0.44</v>
      </c>
      <c r="H143" s="34">
        <v>2.0699999999999998</v>
      </c>
      <c r="I143" s="34">
        <v>0.38</v>
      </c>
      <c r="J143" s="34">
        <v>4.42</v>
      </c>
      <c r="K143" s="34">
        <v>0.62</v>
      </c>
      <c r="L143" s="34">
        <v>51.2</v>
      </c>
    </row>
    <row r="144" spans="1:12" s="34" customFormat="1" x14ac:dyDescent="0.25">
      <c r="A144" s="38">
        <v>809623</v>
      </c>
      <c r="B144" s="41">
        <v>71.669823232323225</v>
      </c>
      <c r="D144" s="42">
        <v>9.25</v>
      </c>
      <c r="E144" s="42">
        <v>2.95</v>
      </c>
      <c r="F144" s="41">
        <v>2.0169647999999998</v>
      </c>
      <c r="G144" s="34">
        <v>0.41</v>
      </c>
      <c r="H144" s="34">
        <v>1.66</v>
      </c>
      <c r="I144" s="34">
        <v>0.39</v>
      </c>
      <c r="J144" s="34">
        <v>5.25</v>
      </c>
      <c r="K144" s="34">
        <v>0.87</v>
      </c>
      <c r="L144" s="34">
        <v>43.4</v>
      </c>
    </row>
    <row r="145" spans="1:12" s="34" customFormat="1" x14ac:dyDescent="0.25">
      <c r="A145" s="38">
        <v>809624</v>
      </c>
      <c r="B145" s="41">
        <v>75.429113323850174</v>
      </c>
      <c r="D145" s="42">
        <v>9.33</v>
      </c>
      <c r="E145" s="42">
        <v>3.03</v>
      </c>
      <c r="F145" s="41">
        <v>2.0729916000000004</v>
      </c>
      <c r="G145" s="34">
        <v>0.6</v>
      </c>
      <c r="H145" s="34">
        <v>1.82</v>
      </c>
      <c r="I145" s="34">
        <v>0.4</v>
      </c>
      <c r="J145" s="34">
        <v>5.44</v>
      </c>
      <c r="K145" s="34">
        <v>0.94</v>
      </c>
      <c r="L145" s="34">
        <v>48.4</v>
      </c>
    </row>
    <row r="146" spans="1:12" s="34" customFormat="1" x14ac:dyDescent="0.25">
      <c r="A146" s="38">
        <v>809625</v>
      </c>
      <c r="B146" s="41">
        <v>68.155355291490565</v>
      </c>
      <c r="D146" s="42">
        <v>9.3800000000000008</v>
      </c>
      <c r="E146" s="42">
        <v>3.51</v>
      </c>
      <c r="F146" s="41">
        <v>1.9049112000000001</v>
      </c>
      <c r="G146" s="34">
        <v>0.46</v>
      </c>
      <c r="H146" s="34">
        <v>2.13</v>
      </c>
      <c r="I146" s="34">
        <v>0.36</v>
      </c>
      <c r="J146" s="34">
        <v>6.35</v>
      </c>
      <c r="K146" s="34">
        <v>0.81</v>
      </c>
      <c r="L146" s="34">
        <v>46.2</v>
      </c>
    </row>
    <row r="147" spans="1:12" s="34" customFormat="1" x14ac:dyDescent="0.25">
      <c r="A147" s="38">
        <v>809626</v>
      </c>
      <c r="B147" s="41">
        <v>73.681818181818187</v>
      </c>
      <c r="D147" s="42">
        <v>9.17</v>
      </c>
      <c r="E147" s="42">
        <v>3.02</v>
      </c>
      <c r="F147" s="41">
        <v>1.7928576000000001</v>
      </c>
      <c r="G147" s="34">
        <v>0.46</v>
      </c>
      <c r="H147" s="34">
        <v>1.75</v>
      </c>
      <c r="I147" s="34">
        <v>0.32</v>
      </c>
      <c r="J147" s="34">
        <v>4.45</v>
      </c>
      <c r="K147" s="34">
        <v>0.72</v>
      </c>
      <c r="L147" s="34">
        <v>43.2</v>
      </c>
    </row>
    <row r="148" spans="1:12" s="34" customFormat="1" x14ac:dyDescent="0.25">
      <c r="A148" s="38">
        <v>809627</v>
      </c>
      <c r="B148" s="41">
        <v>90.538067349926791</v>
      </c>
      <c r="D148" s="42">
        <v>8.2200000000000006</v>
      </c>
      <c r="E148" s="42">
        <v>7.45</v>
      </c>
      <c r="F148" s="41">
        <v>2.8853802000000002</v>
      </c>
      <c r="G148" s="34">
        <v>2.25</v>
      </c>
      <c r="H148" s="34">
        <v>2.06</v>
      </c>
      <c r="I148" s="34">
        <v>0.31</v>
      </c>
      <c r="J148" s="34">
        <v>10.77</v>
      </c>
      <c r="K148" s="34">
        <v>0.72</v>
      </c>
      <c r="L148" s="34">
        <v>38.6</v>
      </c>
    </row>
    <row r="149" spans="1:12" s="34" customFormat="1" x14ac:dyDescent="0.25">
      <c r="A149" s="38">
        <v>809628</v>
      </c>
      <c r="B149" s="41">
        <v>78.810944250154279</v>
      </c>
      <c r="D149" s="244">
        <v>7.78</v>
      </c>
      <c r="E149" s="42">
        <v>5.72</v>
      </c>
      <c r="F149" s="41">
        <v>2.6332596000000001</v>
      </c>
      <c r="G149" s="34">
        <v>0.77</v>
      </c>
      <c r="H149" s="41">
        <v>1.8</v>
      </c>
      <c r="I149" s="34">
        <v>0.31</v>
      </c>
      <c r="J149" s="34">
        <v>3.53</v>
      </c>
      <c r="K149" s="34">
        <v>0.67</v>
      </c>
      <c r="L149" s="39">
        <v>45</v>
      </c>
    </row>
    <row r="150" spans="1:12" s="34" customFormat="1" x14ac:dyDescent="0.25">
      <c r="A150" s="38">
        <v>809629</v>
      </c>
      <c r="B150" s="41">
        <v>77.143411981745828</v>
      </c>
      <c r="D150" s="244">
        <v>7.1</v>
      </c>
      <c r="E150" s="42">
        <v>5.59</v>
      </c>
      <c r="F150" s="41">
        <v>5.2104924000000015</v>
      </c>
      <c r="G150" s="34">
        <v>0.94</v>
      </c>
      <c r="H150" s="41">
        <v>3</v>
      </c>
      <c r="I150" s="34">
        <v>0.26</v>
      </c>
      <c r="J150" s="34">
        <v>1.81</v>
      </c>
      <c r="K150" s="34">
        <v>0.48</v>
      </c>
      <c r="L150" s="34">
        <v>96.2</v>
      </c>
    </row>
    <row r="151" spans="1:12" s="34" customFormat="1" x14ac:dyDescent="0.25">
      <c r="A151" s="38">
        <v>809630</v>
      </c>
      <c r="B151" s="41">
        <v>83.62952629344332</v>
      </c>
      <c r="D151" s="42">
        <v>8.26</v>
      </c>
      <c r="E151" s="42">
        <v>0.15</v>
      </c>
      <c r="F151" s="41">
        <v>2.3251122000000004</v>
      </c>
      <c r="G151" s="34">
        <v>0.16</v>
      </c>
      <c r="H151" s="34">
        <v>0.23</v>
      </c>
      <c r="I151" s="34">
        <v>0.09</v>
      </c>
      <c r="J151" s="34">
        <v>1.62</v>
      </c>
      <c r="K151" s="34">
        <v>0.24</v>
      </c>
      <c r="L151" s="34">
        <v>89.599999999999937</v>
      </c>
    </row>
    <row r="152" spans="1:12" s="34" customFormat="1" x14ac:dyDescent="0.25">
      <c r="A152" s="38">
        <v>809631</v>
      </c>
      <c r="B152" s="41">
        <v>85.077492799341641</v>
      </c>
      <c r="D152" s="42">
        <v>9.7200000000000006</v>
      </c>
      <c r="E152" s="42">
        <v>6.75</v>
      </c>
      <c r="F152" s="41">
        <v>1.6808040000000002</v>
      </c>
      <c r="G152" s="34">
        <v>0.52</v>
      </c>
      <c r="H152" s="34">
        <v>1.85</v>
      </c>
      <c r="I152" s="34">
        <v>0.61</v>
      </c>
      <c r="J152" s="34">
        <v>7.12</v>
      </c>
      <c r="K152" s="34">
        <v>0.89</v>
      </c>
      <c r="L152" s="34">
        <v>24.60000000000008</v>
      </c>
    </row>
    <row r="153" spans="1:12" s="34" customFormat="1" x14ac:dyDescent="0.25">
      <c r="A153" s="38">
        <v>809632</v>
      </c>
      <c r="B153" s="41">
        <v>90.407476121761832</v>
      </c>
      <c r="D153" s="42">
        <v>9.82</v>
      </c>
      <c r="E153" s="42">
        <v>4.8</v>
      </c>
      <c r="F153" s="41">
        <v>1.8488844</v>
      </c>
      <c r="G153" s="34">
        <v>0.21</v>
      </c>
      <c r="H153" s="34">
        <v>2.31</v>
      </c>
      <c r="I153" s="34">
        <v>0.39</v>
      </c>
      <c r="J153" s="34">
        <v>7.44</v>
      </c>
      <c r="K153" s="34">
        <v>0.94</v>
      </c>
      <c r="L153" s="34">
        <v>15.799999999999983</v>
      </c>
    </row>
    <row r="154" spans="1:12" s="34" customFormat="1" x14ac:dyDescent="0.25">
      <c r="A154" s="38">
        <v>809633</v>
      </c>
      <c r="B154" s="41">
        <v>61.520748380906689</v>
      </c>
      <c r="D154" s="42">
        <v>9.75</v>
      </c>
      <c r="E154" s="42">
        <v>3.25</v>
      </c>
      <c r="F154" s="41">
        <v>1.9609380000000001</v>
      </c>
      <c r="G154" s="34">
        <v>0.75</v>
      </c>
      <c r="H154" s="34">
        <v>2.21</v>
      </c>
      <c r="I154" s="34">
        <v>0.4</v>
      </c>
      <c r="J154" s="34">
        <v>6.86</v>
      </c>
      <c r="K154" s="34">
        <v>0.95</v>
      </c>
      <c r="L154" s="34">
        <v>43.399999999999892</v>
      </c>
    </row>
    <row r="155" spans="1:12" s="34" customFormat="1" x14ac:dyDescent="0.25">
      <c r="A155" s="38">
        <v>809634</v>
      </c>
      <c r="B155" s="41">
        <v>90.763481046449542</v>
      </c>
      <c r="D155" s="42">
        <v>9.93</v>
      </c>
      <c r="E155" s="42">
        <v>1.36</v>
      </c>
      <c r="F155" s="41">
        <v>1.9889514000000001</v>
      </c>
      <c r="G155" s="34">
        <v>0.53</v>
      </c>
      <c r="H155" s="34">
        <v>1.84</v>
      </c>
      <c r="I155" s="34">
        <v>0.73</v>
      </c>
      <c r="J155" s="34">
        <v>10.38</v>
      </c>
      <c r="K155" s="34">
        <v>0.48</v>
      </c>
      <c r="L155" s="34">
        <v>38.599999999999987</v>
      </c>
    </row>
    <row r="156" spans="1:12" s="34" customFormat="1" x14ac:dyDescent="0.25">
      <c r="A156" s="38">
        <v>809636</v>
      </c>
      <c r="B156" s="41">
        <v>48.084898755794079</v>
      </c>
      <c r="D156" s="42">
        <v>7.58</v>
      </c>
      <c r="E156" s="42">
        <v>0.23</v>
      </c>
      <c r="F156" s="41">
        <v>2.3531256000000003</v>
      </c>
      <c r="G156" s="34">
        <v>0.19</v>
      </c>
      <c r="H156" s="34">
        <v>0.24</v>
      </c>
      <c r="I156" s="34">
        <v>0.08</v>
      </c>
      <c r="J156" s="34">
        <v>1.23</v>
      </c>
      <c r="K156" s="34">
        <v>0.28000000000000003</v>
      </c>
      <c r="L156" s="34">
        <v>85.799999999999983</v>
      </c>
    </row>
    <row r="157" spans="1:12" s="34" customFormat="1" x14ac:dyDescent="0.25">
      <c r="A157" s="38">
        <v>809637</v>
      </c>
      <c r="B157" s="41">
        <v>90.49286291408562</v>
      </c>
      <c r="D157" s="42">
        <v>7.98</v>
      </c>
      <c r="E157" s="42">
        <v>2.41</v>
      </c>
      <c r="F157" s="41">
        <v>2.4651792000000006</v>
      </c>
      <c r="G157" s="34">
        <v>0.46</v>
      </c>
      <c r="H157" s="34">
        <v>1.79</v>
      </c>
      <c r="I157" s="34">
        <v>0.31</v>
      </c>
      <c r="J157" s="34">
        <v>1.68</v>
      </c>
      <c r="K157" s="34">
        <v>0.4</v>
      </c>
      <c r="L157" s="34">
        <v>78.800000000000097</v>
      </c>
    </row>
    <row r="158" spans="1:12" s="34" customFormat="1" x14ac:dyDescent="0.25">
      <c r="A158" s="38">
        <v>809638</v>
      </c>
      <c r="B158" s="41">
        <v>95.215118616807388</v>
      </c>
      <c r="D158" s="42">
        <v>8.27</v>
      </c>
      <c r="E158" s="42">
        <v>2.44</v>
      </c>
      <c r="F158" s="41">
        <v>1.4006700000000003</v>
      </c>
      <c r="G158" s="34">
        <v>0.6</v>
      </c>
      <c r="H158" s="34">
        <v>0.7</v>
      </c>
      <c r="I158" s="34">
        <v>0.08</v>
      </c>
      <c r="J158" s="34">
        <v>2.0699999999999998</v>
      </c>
      <c r="K158" s="34">
        <v>0.44</v>
      </c>
      <c r="L158" s="34">
        <v>32.800000000000011</v>
      </c>
    </row>
    <row r="159" spans="1:12" s="34" customFormat="1" x14ac:dyDescent="0.25">
      <c r="A159" s="38">
        <v>809639</v>
      </c>
      <c r="B159" s="41">
        <v>65.519243530192426</v>
      </c>
      <c r="D159" s="42">
        <v>9.32</v>
      </c>
      <c r="E159" s="42">
        <v>5.01</v>
      </c>
      <c r="F159" s="41">
        <v>1.6527905999999999</v>
      </c>
      <c r="G159" s="34">
        <v>0.71</v>
      </c>
      <c r="H159" s="34">
        <v>2.82</v>
      </c>
      <c r="I159" s="34">
        <v>0.45</v>
      </c>
      <c r="J159" s="34">
        <v>7.11</v>
      </c>
      <c r="K159" s="34">
        <v>0.9</v>
      </c>
      <c r="L159" s="34">
        <v>38.599999999999987</v>
      </c>
    </row>
    <row r="160" spans="1:12" s="34" customFormat="1" x14ac:dyDescent="0.25">
      <c r="A160" s="38">
        <v>809640</v>
      </c>
      <c r="B160" s="41">
        <v>88.756018015219723</v>
      </c>
      <c r="D160" s="42">
        <v>9.09</v>
      </c>
      <c r="E160" s="42">
        <v>1.1299999999999999</v>
      </c>
      <c r="F160" s="41">
        <v>1.4006700000000003</v>
      </c>
      <c r="G160" s="34">
        <v>0.21</v>
      </c>
      <c r="H160" s="34">
        <v>0.79</v>
      </c>
      <c r="I160" s="34">
        <v>0.12</v>
      </c>
      <c r="J160" s="34">
        <v>3.65</v>
      </c>
      <c r="K160" s="34">
        <v>0.36</v>
      </c>
      <c r="L160" s="34">
        <v>55</v>
      </c>
    </row>
    <row r="161" spans="1:12" s="34" customFormat="1" x14ac:dyDescent="0.25">
      <c r="A161" s="38">
        <v>809641</v>
      </c>
      <c r="B161" s="41">
        <v>91.190619362597673</v>
      </c>
      <c r="D161" s="42">
        <v>7.38</v>
      </c>
      <c r="E161" s="42">
        <v>0.75</v>
      </c>
      <c r="F161" s="41">
        <v>1.4286833999999999</v>
      </c>
      <c r="G161" s="34">
        <v>0.15</v>
      </c>
      <c r="H161" s="34">
        <v>0.7</v>
      </c>
      <c r="I161" s="34">
        <v>0.16</v>
      </c>
      <c r="J161" s="34">
        <v>0.26</v>
      </c>
      <c r="K161" s="34">
        <v>0.13</v>
      </c>
      <c r="L161" s="34">
        <v>91.4</v>
      </c>
    </row>
    <row r="162" spans="1:12" s="34" customFormat="1" x14ac:dyDescent="0.25">
      <c r="A162" s="38">
        <v>809642</v>
      </c>
      <c r="B162" s="41">
        <v>86.827717736808623</v>
      </c>
      <c r="D162" s="42">
        <v>7.75</v>
      </c>
      <c r="E162" s="42">
        <v>0.32</v>
      </c>
      <c r="F162" s="41">
        <v>3.4456482000000008</v>
      </c>
      <c r="G162" s="34">
        <v>0.8</v>
      </c>
      <c r="H162" s="34">
        <v>1.94</v>
      </c>
      <c r="I162" s="34">
        <v>0.41</v>
      </c>
      <c r="J162" s="34">
        <v>7</v>
      </c>
      <c r="K162" s="34">
        <v>0.46</v>
      </c>
      <c r="L162" s="34">
        <v>67.800000000000011</v>
      </c>
    </row>
    <row r="163" spans="1:12" s="34" customFormat="1" x14ac:dyDescent="0.25">
      <c r="A163" s="38">
        <v>809643</v>
      </c>
      <c r="B163" s="41">
        <v>66.743161373232979</v>
      </c>
      <c r="D163" s="42">
        <v>9.06</v>
      </c>
      <c r="E163" s="42">
        <v>2.4500000000000002</v>
      </c>
      <c r="F163" s="41">
        <v>2.2690854000000007</v>
      </c>
      <c r="G163" s="34">
        <v>0.41</v>
      </c>
      <c r="H163" s="34">
        <v>1.5</v>
      </c>
      <c r="I163" s="34">
        <v>0.3</v>
      </c>
      <c r="J163" s="34">
        <v>1.83</v>
      </c>
      <c r="K163" s="34">
        <v>0.59</v>
      </c>
      <c r="L163" s="34">
        <v>78.200000000000074</v>
      </c>
    </row>
    <row r="164" spans="1:12" s="34" customFormat="1" x14ac:dyDescent="0.25">
      <c r="A164" s="38">
        <v>809644</v>
      </c>
      <c r="B164" s="41">
        <v>61.271144888453065</v>
      </c>
      <c r="D164" s="42">
        <v>8.09</v>
      </c>
      <c r="E164" s="42">
        <v>1.0900000000000001</v>
      </c>
      <c r="F164" s="41">
        <v>1.8488844</v>
      </c>
      <c r="G164" s="34">
        <v>0.13</v>
      </c>
      <c r="H164" s="34">
        <v>0.53</v>
      </c>
      <c r="I164" s="34">
        <v>0.12</v>
      </c>
      <c r="J164" s="34">
        <v>1.05</v>
      </c>
      <c r="K164" s="34">
        <v>0.24</v>
      </c>
      <c r="L164" s="34">
        <v>77.999999999999972</v>
      </c>
    </row>
    <row r="165" spans="1:12" s="34" customFormat="1" x14ac:dyDescent="0.25">
      <c r="A165" s="38">
        <v>809645</v>
      </c>
      <c r="B165" s="41">
        <v>61.286303076775617</v>
      </c>
      <c r="D165" s="42">
        <v>9.0399999999999991</v>
      </c>
      <c r="E165" s="42">
        <v>5.25</v>
      </c>
      <c r="F165" s="41">
        <v>2.1290184000000001</v>
      </c>
      <c r="G165" s="34">
        <v>0.54</v>
      </c>
      <c r="H165" s="34">
        <v>2.8</v>
      </c>
      <c r="I165" s="34">
        <v>0.39</v>
      </c>
      <c r="J165" s="34">
        <v>6.84</v>
      </c>
      <c r="K165" s="34">
        <v>0.77</v>
      </c>
      <c r="L165" s="34">
        <v>51.800000000000068</v>
      </c>
    </row>
    <row r="166" spans="1:12" s="34" customFormat="1" x14ac:dyDescent="0.25">
      <c r="A166" s="38">
        <v>809646</v>
      </c>
      <c r="B166" s="41">
        <v>57.285810658871149</v>
      </c>
      <c r="D166" s="42">
        <v>9.31</v>
      </c>
      <c r="E166" s="42">
        <v>1.06</v>
      </c>
      <c r="F166" s="41">
        <v>1.9609380000000001</v>
      </c>
      <c r="G166" s="34">
        <v>0.31</v>
      </c>
      <c r="H166" s="34">
        <v>1.07</v>
      </c>
      <c r="I166" s="34">
        <v>0.09</v>
      </c>
      <c r="J166" s="34">
        <v>3.59</v>
      </c>
      <c r="K166" s="34">
        <v>1.07</v>
      </c>
      <c r="L166" s="34">
        <v>63.400000000000034</v>
      </c>
    </row>
    <row r="167" spans="1:12" s="34" customFormat="1" x14ac:dyDescent="0.25">
      <c r="A167" s="38">
        <v>809647</v>
      </c>
      <c r="B167" s="41">
        <v>47.07509881422925</v>
      </c>
      <c r="D167" s="42">
        <v>8.64</v>
      </c>
      <c r="E167" s="42">
        <v>2.38</v>
      </c>
      <c r="F167" s="41">
        <v>2.1010050000000002</v>
      </c>
      <c r="G167" s="34">
        <v>0.99</v>
      </c>
      <c r="H167" s="34">
        <v>1.97</v>
      </c>
      <c r="I167" s="34">
        <v>0.49</v>
      </c>
      <c r="J167" s="34">
        <v>4.08</v>
      </c>
      <c r="K167" s="34">
        <v>2.1</v>
      </c>
      <c r="L167" s="34">
        <v>43.999999999999915</v>
      </c>
    </row>
    <row r="168" spans="1:12" s="34" customFormat="1" x14ac:dyDescent="0.25">
      <c r="A168" s="38">
        <v>809648</v>
      </c>
      <c r="B168" s="41">
        <v>80.344024368392752</v>
      </c>
      <c r="D168" s="42">
        <v>8.6300000000000008</v>
      </c>
      <c r="E168" s="42">
        <v>1.42</v>
      </c>
      <c r="F168" s="41">
        <v>1.9889514000000001</v>
      </c>
      <c r="G168" s="34">
        <v>0.3</v>
      </c>
      <c r="H168" s="34">
        <v>0.93</v>
      </c>
      <c r="I168" s="34">
        <v>0.16</v>
      </c>
      <c r="J168" s="34">
        <v>2.89</v>
      </c>
      <c r="K168" s="34">
        <v>0.44</v>
      </c>
      <c r="L168" s="34">
        <v>51.599999999999966</v>
      </c>
    </row>
    <row r="169" spans="1:12" s="34" customFormat="1" x14ac:dyDescent="0.25">
      <c r="A169" s="38">
        <v>809649</v>
      </c>
      <c r="B169" s="41">
        <v>39.241642360332058</v>
      </c>
      <c r="D169" s="42">
        <v>8.5500000000000007</v>
      </c>
      <c r="E169" s="42">
        <v>1.91</v>
      </c>
      <c r="F169" s="41">
        <v>2.1850452000000002</v>
      </c>
      <c r="G169" s="34">
        <v>0.47</v>
      </c>
      <c r="H169" s="34">
        <v>1.55</v>
      </c>
      <c r="I169" s="34">
        <v>0.26</v>
      </c>
      <c r="J169" s="34">
        <v>2.4</v>
      </c>
      <c r="K169" s="34">
        <v>0.65</v>
      </c>
      <c r="L169" s="34">
        <v>45.200000000000109</v>
      </c>
    </row>
    <row r="170" spans="1:12" s="34" customFormat="1" x14ac:dyDescent="0.25">
      <c r="A170" s="38">
        <v>809650</v>
      </c>
      <c r="B170" s="41">
        <v>77.811653116531147</v>
      </c>
      <c r="D170" s="42">
        <v>8.67</v>
      </c>
      <c r="E170" s="42">
        <v>1.66</v>
      </c>
      <c r="F170" s="41">
        <v>1.8768978000000001</v>
      </c>
      <c r="G170" s="34">
        <v>0.47</v>
      </c>
      <c r="H170" s="34">
        <v>1.18</v>
      </c>
      <c r="I170" s="34">
        <v>0.31</v>
      </c>
      <c r="J170" s="34">
        <v>1.61</v>
      </c>
      <c r="K170" s="34">
        <v>0.45</v>
      </c>
      <c r="L170" s="34">
        <v>67.999999999999972</v>
      </c>
    </row>
    <row r="171" spans="1:12" s="34" customFormat="1" x14ac:dyDescent="0.25">
      <c r="A171" s="38">
        <v>809651</v>
      </c>
      <c r="B171" s="41">
        <v>66.180771770921794</v>
      </c>
      <c r="D171" s="42">
        <v>9.49</v>
      </c>
      <c r="E171" s="42">
        <v>5.37</v>
      </c>
      <c r="F171" s="41">
        <v>2.1850452000000002</v>
      </c>
      <c r="G171" s="34">
        <v>1.25</v>
      </c>
      <c r="H171" s="34">
        <v>2.39</v>
      </c>
      <c r="I171" s="34">
        <v>0.37</v>
      </c>
      <c r="J171" s="34">
        <v>5.22</v>
      </c>
      <c r="K171" s="34">
        <v>0.69</v>
      </c>
      <c r="L171" s="34">
        <v>51.400000000000006</v>
      </c>
    </row>
    <row r="172" spans="1:12" s="34" customFormat="1" x14ac:dyDescent="0.25">
      <c r="A172" s="38">
        <v>809652</v>
      </c>
      <c r="B172" s="41">
        <v>64.09618929229714</v>
      </c>
      <c r="D172" s="42">
        <v>9.73</v>
      </c>
      <c r="E172" s="42">
        <v>4.7</v>
      </c>
      <c r="F172" s="41">
        <v>2.1290184000000001</v>
      </c>
      <c r="G172" s="34">
        <v>0.7</v>
      </c>
      <c r="H172" s="34">
        <v>2.46</v>
      </c>
      <c r="I172" s="34">
        <v>0.41</v>
      </c>
      <c r="J172" s="34">
        <v>5.9</v>
      </c>
      <c r="K172" s="34">
        <v>0.87</v>
      </c>
      <c r="L172" s="34">
        <v>39.599999999999937</v>
      </c>
    </row>
    <row r="173" spans="1:12" s="34" customFormat="1" x14ac:dyDescent="0.25">
      <c r="A173" s="38">
        <v>809653</v>
      </c>
      <c r="B173" s="41">
        <v>62.144183168316815</v>
      </c>
      <c r="D173" s="42">
        <v>9.86</v>
      </c>
      <c r="E173" s="42">
        <v>4.18</v>
      </c>
      <c r="F173" s="41">
        <v>2.241072</v>
      </c>
      <c r="G173" s="34">
        <v>0.78</v>
      </c>
      <c r="H173" s="34">
        <v>2.46</v>
      </c>
      <c r="I173" s="34">
        <v>0.41</v>
      </c>
      <c r="J173" s="34">
        <v>5.75</v>
      </c>
      <c r="K173" s="34">
        <v>1.06</v>
      </c>
      <c r="L173" s="34">
        <v>43.400000000000041</v>
      </c>
    </row>
    <row r="174" spans="1:12" s="34" customFormat="1" x14ac:dyDescent="0.25">
      <c r="A174" s="38">
        <v>809654</v>
      </c>
      <c r="B174" s="41">
        <v>63.588432656973936</v>
      </c>
      <c r="D174" s="42">
        <v>6.6</v>
      </c>
      <c r="E174" s="42">
        <v>6.75</v>
      </c>
      <c r="F174" s="41">
        <v>5.4345996000000003</v>
      </c>
      <c r="G174" s="34">
        <v>1.07</v>
      </c>
      <c r="H174" s="34">
        <v>2.5299999999999998</v>
      </c>
      <c r="I174" s="34">
        <v>0.41</v>
      </c>
      <c r="J174" s="34">
        <v>1.44</v>
      </c>
      <c r="K174" s="34">
        <v>0.39</v>
      </c>
      <c r="L174" s="34">
        <v>86.200000000000045</v>
      </c>
    </row>
    <row r="175" spans="1:12" s="34" customFormat="1" x14ac:dyDescent="0.25">
      <c r="A175" s="38">
        <v>809655</v>
      </c>
      <c r="B175" s="41">
        <v>80.543984317569212</v>
      </c>
      <c r="D175" s="42">
        <v>8.8800000000000008</v>
      </c>
      <c r="E175" s="42">
        <v>4.26</v>
      </c>
      <c r="F175" s="41">
        <v>2.6052462000000007</v>
      </c>
      <c r="G175" s="34">
        <v>0.6</v>
      </c>
      <c r="H175" s="34">
        <v>2.06</v>
      </c>
      <c r="I175" s="34">
        <v>0.14000000000000001</v>
      </c>
      <c r="J175" s="34">
        <v>6.41</v>
      </c>
      <c r="K175" s="34">
        <v>1.54</v>
      </c>
      <c r="L175" s="34">
        <v>47.599999999999909</v>
      </c>
    </row>
    <row r="176" spans="1:12" s="34" customFormat="1" x14ac:dyDescent="0.25">
      <c r="A176" s="38">
        <v>809656</v>
      </c>
      <c r="B176" s="41">
        <v>84.755158607945788</v>
      </c>
      <c r="D176" s="42">
        <v>5.0199999999999996</v>
      </c>
      <c r="E176" s="42">
        <v>7.0000000000000007E-2</v>
      </c>
      <c r="F176" s="41">
        <v>1.0645092</v>
      </c>
      <c r="G176" s="34">
        <v>0.01</v>
      </c>
      <c r="H176" s="34">
        <v>0.04</v>
      </c>
      <c r="I176" s="34">
        <v>0.02</v>
      </c>
      <c r="J176" s="34">
        <v>0.22</v>
      </c>
      <c r="K176" s="34">
        <v>0.06</v>
      </c>
      <c r="L176" s="34">
        <v>97.000000000000028</v>
      </c>
    </row>
    <row r="177" spans="1:12" s="34" customFormat="1" x14ac:dyDescent="0.25">
      <c r="A177" s="38">
        <v>809657</v>
      </c>
      <c r="B177" s="41">
        <v>82.082827932767259</v>
      </c>
      <c r="D177" s="42">
        <v>9.76</v>
      </c>
      <c r="E177" s="42">
        <v>2.54</v>
      </c>
      <c r="F177" s="41">
        <v>2.8013400000000006</v>
      </c>
      <c r="G177" s="34">
        <v>0.56999999999999995</v>
      </c>
      <c r="H177" s="34">
        <v>1.91</v>
      </c>
      <c r="I177" s="34">
        <v>0.09</v>
      </c>
      <c r="J177" s="34">
        <v>5.66</v>
      </c>
      <c r="K177" s="34">
        <v>1.51</v>
      </c>
      <c r="L177" s="34">
        <v>58.599999999999994</v>
      </c>
    </row>
    <row r="178" spans="1:12" s="34" customFormat="1" x14ac:dyDescent="0.25">
      <c r="A178" s="38">
        <v>809658</v>
      </c>
      <c r="B178" s="41">
        <v>25.39662066296917</v>
      </c>
      <c r="D178" s="42">
        <v>9.27</v>
      </c>
      <c r="E178" s="42">
        <v>1.1100000000000001</v>
      </c>
      <c r="F178" s="41">
        <v>2.1290184000000001</v>
      </c>
      <c r="G178" s="34">
        <v>0.39</v>
      </c>
      <c r="H178" s="34">
        <v>1.32</v>
      </c>
      <c r="I178" s="34">
        <v>0.24</v>
      </c>
      <c r="J178" s="34">
        <v>2.2000000000000002</v>
      </c>
      <c r="K178" s="34">
        <v>0.48</v>
      </c>
      <c r="L178" s="34">
        <v>75.400000000000063</v>
      </c>
    </row>
    <row r="179" spans="1:12" s="34" customFormat="1" x14ac:dyDescent="0.25">
      <c r="A179" s="38">
        <v>809659</v>
      </c>
      <c r="B179" s="41">
        <v>82.114460463084299</v>
      </c>
      <c r="D179" s="42">
        <v>6.16</v>
      </c>
      <c r="E179" s="42">
        <v>0.43</v>
      </c>
      <c r="F179" s="41">
        <v>2.241072</v>
      </c>
      <c r="G179" s="34">
        <v>0.05</v>
      </c>
      <c r="H179" s="34">
        <v>0.18</v>
      </c>
      <c r="I179" s="34">
        <v>0.14000000000000001</v>
      </c>
      <c r="J179" s="34">
        <v>0.99</v>
      </c>
      <c r="K179" s="34">
        <v>0.12</v>
      </c>
      <c r="L179" s="34">
        <v>78.200000000000074</v>
      </c>
    </row>
    <row r="180" spans="1:12" s="34" customFormat="1" x14ac:dyDescent="0.25">
      <c r="A180" s="38">
        <v>809660</v>
      </c>
      <c r="B180" s="41">
        <v>44.964539007092228</v>
      </c>
      <c r="D180" s="42">
        <v>9</v>
      </c>
      <c r="E180" s="42">
        <v>1.38</v>
      </c>
      <c r="F180" s="41">
        <v>2.5212060000000003</v>
      </c>
      <c r="G180" s="34">
        <v>0.38</v>
      </c>
      <c r="H180" s="34">
        <v>1.41</v>
      </c>
      <c r="I180" s="34">
        <v>0.4</v>
      </c>
      <c r="J180" s="34">
        <v>0.8</v>
      </c>
      <c r="K180" s="34">
        <v>0.28000000000000003</v>
      </c>
      <c r="L180" s="34">
        <v>82.199999999999989</v>
      </c>
    </row>
    <row r="181" spans="1:12" s="34" customFormat="1" x14ac:dyDescent="0.25">
      <c r="A181" s="38">
        <v>809661</v>
      </c>
      <c r="B181" s="41">
        <v>74.57171649311384</v>
      </c>
      <c r="D181" s="42">
        <v>9.07</v>
      </c>
      <c r="E181" s="42">
        <v>1.43</v>
      </c>
      <c r="F181" s="41">
        <v>1.9049112000000001</v>
      </c>
      <c r="G181" s="34">
        <v>0.3</v>
      </c>
      <c r="H181" s="34">
        <v>0.95</v>
      </c>
      <c r="I181" s="34">
        <v>0.35</v>
      </c>
      <c r="J181" s="34">
        <v>0.41</v>
      </c>
      <c r="K181" s="34">
        <v>0.18</v>
      </c>
      <c r="L181" s="34">
        <v>86.799999999999926</v>
      </c>
    </row>
    <row r="182" spans="1:12" s="34" customFormat="1" x14ac:dyDescent="0.25">
      <c r="A182" s="38">
        <v>809662</v>
      </c>
      <c r="B182" s="41">
        <v>47.447415137984841</v>
      </c>
      <c r="D182" s="42">
        <v>9.02</v>
      </c>
      <c r="E182" s="42">
        <v>0.43</v>
      </c>
      <c r="F182" s="41">
        <v>1.7368308000000003</v>
      </c>
      <c r="G182" s="34">
        <v>0.21</v>
      </c>
      <c r="H182" s="34">
        <v>0.55000000000000004</v>
      </c>
      <c r="I182" s="34">
        <v>0.16</v>
      </c>
      <c r="J182" s="34">
        <v>2.81</v>
      </c>
      <c r="K182" s="34">
        <v>0.64</v>
      </c>
      <c r="L182" s="34">
        <v>56.800000000000068</v>
      </c>
    </row>
    <row r="183" spans="1:12" s="34" customFormat="1" x14ac:dyDescent="0.25">
      <c r="A183" s="38">
        <v>809663</v>
      </c>
      <c r="B183" s="41">
        <v>46.214766243719644</v>
      </c>
      <c r="D183" s="42">
        <v>8.74</v>
      </c>
      <c r="E183" s="42">
        <v>0.65</v>
      </c>
      <c r="F183" s="41">
        <v>1.7648442</v>
      </c>
      <c r="G183" s="34">
        <v>0.23</v>
      </c>
      <c r="H183" s="34">
        <v>0.59</v>
      </c>
      <c r="I183" s="34">
        <v>0.1</v>
      </c>
      <c r="J183" s="34">
        <v>3.18</v>
      </c>
      <c r="K183" s="34">
        <v>0.65</v>
      </c>
      <c r="L183" s="34">
        <v>52.199999999999989</v>
      </c>
    </row>
    <row r="184" spans="1:12" s="34" customFormat="1" x14ac:dyDescent="0.25">
      <c r="A184" s="38">
        <v>809664</v>
      </c>
      <c r="B184" s="41">
        <v>47.671840354767184</v>
      </c>
      <c r="D184" s="42">
        <v>8.93</v>
      </c>
      <c r="E184" s="42">
        <v>0.98</v>
      </c>
      <c r="F184" s="41">
        <v>1.9889514000000001</v>
      </c>
      <c r="G184" s="34">
        <v>0.37</v>
      </c>
      <c r="H184" s="34">
        <v>0.77</v>
      </c>
      <c r="I184" s="34">
        <v>0.11</v>
      </c>
      <c r="J184" s="34">
        <v>3.38</v>
      </c>
      <c r="K184" s="34">
        <v>0.72</v>
      </c>
      <c r="L184" s="34">
        <v>52.199999999999989</v>
      </c>
    </row>
    <row r="185" spans="1:12" s="34" customFormat="1" x14ac:dyDescent="0.25">
      <c r="A185" s="38">
        <v>809665</v>
      </c>
      <c r="B185" s="41">
        <v>78.247773139980197</v>
      </c>
      <c r="D185" s="42">
        <v>9.09</v>
      </c>
      <c r="E185" s="42">
        <v>5.92</v>
      </c>
      <c r="F185" s="41">
        <v>2.8853802000000002</v>
      </c>
      <c r="G185" s="34">
        <v>2.0499999999999998</v>
      </c>
      <c r="H185" s="34">
        <v>2.46</v>
      </c>
      <c r="I185" s="34">
        <v>0.3</v>
      </c>
      <c r="J185" s="34">
        <v>9.34</v>
      </c>
      <c r="K185" s="34">
        <v>0.84</v>
      </c>
      <c r="L185" s="34">
        <v>39.599999999999937</v>
      </c>
    </row>
    <row r="186" spans="1:12" s="34" customFormat="1" x14ac:dyDescent="0.25">
      <c r="A186" s="38">
        <v>809666</v>
      </c>
      <c r="B186" s="41">
        <v>46.61462029808375</v>
      </c>
      <c r="D186" s="42">
        <v>7.1</v>
      </c>
      <c r="E186" s="42">
        <v>4.2699999999999996</v>
      </c>
      <c r="F186" s="41">
        <v>1.6247772</v>
      </c>
      <c r="G186" s="34">
        <v>0.83399999999999996</v>
      </c>
      <c r="H186" s="34">
        <v>1.9</v>
      </c>
      <c r="I186" s="34">
        <v>7.0000000000000007E-2</v>
      </c>
      <c r="J186" s="34">
        <v>1.77</v>
      </c>
      <c r="K186" s="34">
        <v>0.11</v>
      </c>
      <c r="L186" s="34">
        <v>78.199999999999932</v>
      </c>
    </row>
    <row r="187" spans="1:12" s="34" customFormat="1" x14ac:dyDescent="0.25">
      <c r="A187" s="38">
        <v>809667</v>
      </c>
      <c r="B187" s="41">
        <v>43.562005277044854</v>
      </c>
      <c r="D187" s="42">
        <v>9.48</v>
      </c>
      <c r="E187" s="42">
        <v>1.47</v>
      </c>
      <c r="F187" s="41">
        <v>1.4286833999999999</v>
      </c>
      <c r="G187" s="34">
        <v>0.38200000000000001</v>
      </c>
      <c r="H187" s="34">
        <v>2.93</v>
      </c>
      <c r="I187" s="34">
        <v>0.06</v>
      </c>
      <c r="J187" s="34">
        <v>2.58</v>
      </c>
      <c r="K187" s="34">
        <v>0.46</v>
      </c>
      <c r="L187" s="34">
        <v>73.800000000000097</v>
      </c>
    </row>
    <row r="188" spans="1:12" s="34" customFormat="1" x14ac:dyDescent="0.25">
      <c r="A188" s="38">
        <v>809668</v>
      </c>
      <c r="B188" s="41">
        <v>28.625399593141537</v>
      </c>
      <c r="D188" s="42">
        <v>7.19</v>
      </c>
      <c r="E188" s="42">
        <v>0.91</v>
      </c>
      <c r="F188" s="41">
        <v>1.0925226000000001</v>
      </c>
      <c r="G188" s="34">
        <v>0.26</v>
      </c>
      <c r="H188" s="34">
        <v>2.5099999999999998</v>
      </c>
      <c r="I188" s="34">
        <v>0.05</v>
      </c>
      <c r="J188" s="34">
        <v>0.19</v>
      </c>
      <c r="K188" s="34">
        <v>0.14000000000000001</v>
      </c>
      <c r="L188" s="34">
        <v>88.199999999999932</v>
      </c>
    </row>
    <row r="189" spans="1:12" s="34" customFormat="1" x14ac:dyDescent="0.25">
      <c r="A189" s="38">
        <v>809669</v>
      </c>
      <c r="B189" s="41">
        <v>70.537718356592165</v>
      </c>
      <c r="D189" s="42">
        <v>7.35</v>
      </c>
      <c r="E189" s="42">
        <v>3.06</v>
      </c>
      <c r="F189" s="41">
        <v>1.5687503999999999</v>
      </c>
      <c r="G189" s="34">
        <v>0.76700000000000002</v>
      </c>
      <c r="H189" s="34">
        <v>1.1599999999999999</v>
      </c>
      <c r="I189" s="34">
        <v>0.21</v>
      </c>
      <c r="J189" s="34">
        <v>2.2400000000000002</v>
      </c>
      <c r="K189" s="34">
        <v>0.45</v>
      </c>
      <c r="L189" s="34">
        <v>36.400000000000013</v>
      </c>
    </row>
    <row r="190" spans="1:12" s="34" customFormat="1" x14ac:dyDescent="0.25">
      <c r="A190" s="38">
        <v>809670</v>
      </c>
      <c r="B190" s="41">
        <v>47.650387254705251</v>
      </c>
      <c r="D190" s="42">
        <v>8.73</v>
      </c>
      <c r="E190" s="42">
        <v>2.8</v>
      </c>
      <c r="F190" s="41">
        <v>1.9049112000000001</v>
      </c>
      <c r="G190" s="34">
        <v>0.42499999999999999</v>
      </c>
      <c r="H190" s="34">
        <v>1.99</v>
      </c>
      <c r="I190" s="34">
        <v>0.39</v>
      </c>
      <c r="J190" s="34">
        <v>0.74</v>
      </c>
      <c r="K190" s="34">
        <v>0.38</v>
      </c>
      <c r="L190" s="34">
        <v>50</v>
      </c>
    </row>
    <row r="191" spans="1:12" s="34" customFormat="1" x14ac:dyDescent="0.25">
      <c r="A191" s="38">
        <v>809674</v>
      </c>
      <c r="B191" s="41">
        <v>62.932233035834415</v>
      </c>
      <c r="D191" s="42">
        <v>8.9499999999999993</v>
      </c>
      <c r="E191" s="42">
        <v>3.66</v>
      </c>
      <c r="F191" s="41">
        <v>1.82</v>
      </c>
      <c r="G191" s="34">
        <v>0.70799999999999996</v>
      </c>
      <c r="H191" s="34">
        <v>2.93</v>
      </c>
      <c r="I191" s="34">
        <v>0.48</v>
      </c>
      <c r="J191" s="34">
        <v>5.5</v>
      </c>
      <c r="K191" s="34">
        <v>1.04</v>
      </c>
      <c r="L191" s="34">
        <v>51.200000000000045</v>
      </c>
    </row>
    <row r="192" spans="1:12" s="34" customFormat="1" x14ac:dyDescent="0.25">
      <c r="A192" s="38">
        <v>809675</v>
      </c>
      <c r="B192" s="41">
        <v>68.966429926331131</v>
      </c>
      <c r="D192" s="42">
        <v>8.99</v>
      </c>
      <c r="E192" s="42">
        <v>4.03</v>
      </c>
      <c r="F192" s="41">
        <v>1.48</v>
      </c>
      <c r="G192" s="34">
        <v>0.46700000000000003</v>
      </c>
      <c r="H192" s="34">
        <v>1.85</v>
      </c>
      <c r="I192" s="34">
        <v>0.44</v>
      </c>
      <c r="J192" s="34">
        <v>6.24</v>
      </c>
      <c r="K192" s="34">
        <v>1.42</v>
      </c>
      <c r="L192" s="34">
        <v>43.599999999999994</v>
      </c>
    </row>
    <row r="193" spans="1:17" s="34" customFormat="1" x14ac:dyDescent="0.25">
      <c r="A193" s="38">
        <v>809677</v>
      </c>
      <c r="B193" s="41">
        <v>78.661675245671489</v>
      </c>
      <c r="D193" s="42">
        <v>7.94</v>
      </c>
      <c r="E193" s="42">
        <v>3.15</v>
      </c>
      <c r="F193" s="41">
        <v>4.62</v>
      </c>
      <c r="G193" s="34">
        <v>1.2769999999999999</v>
      </c>
      <c r="H193" s="34">
        <v>2.95</v>
      </c>
      <c r="I193" s="34">
        <v>0.28999999999999998</v>
      </c>
      <c r="J193" s="34">
        <v>2.59</v>
      </c>
      <c r="K193" s="34">
        <v>0.67</v>
      </c>
      <c r="L193" s="34">
        <v>83.6</v>
      </c>
    </row>
    <row r="194" spans="1:17" s="34" customFormat="1" x14ac:dyDescent="0.25">
      <c r="A194" s="38">
        <v>809678</v>
      </c>
      <c r="B194" s="41">
        <v>74.667732587188979</v>
      </c>
      <c r="D194" s="42">
        <v>8.26</v>
      </c>
      <c r="E194" s="42">
        <v>4.1100000000000003</v>
      </c>
      <c r="F194" s="41">
        <v>1.85</v>
      </c>
      <c r="G194" s="34">
        <v>0.9</v>
      </c>
      <c r="H194" s="34">
        <v>1.06</v>
      </c>
      <c r="I194" s="34">
        <v>0.38</v>
      </c>
      <c r="J194" s="34">
        <v>3.03</v>
      </c>
      <c r="K194" s="34">
        <v>0.75</v>
      </c>
      <c r="L194" s="34">
        <v>34.399999999999977</v>
      </c>
    </row>
    <row r="195" spans="1:17" s="34" customFormat="1" x14ac:dyDescent="0.25">
      <c r="A195" s="38">
        <v>809679</v>
      </c>
      <c r="B195" s="41">
        <v>59.599393916996199</v>
      </c>
      <c r="D195" s="42">
        <v>9.1300000000000008</v>
      </c>
      <c r="E195" s="42">
        <v>1.36</v>
      </c>
      <c r="F195" s="41">
        <v>2.13</v>
      </c>
      <c r="G195" s="34">
        <v>0.45700000000000002</v>
      </c>
      <c r="H195" s="34">
        <v>1.38</v>
      </c>
      <c r="I195" s="34">
        <v>0.14000000000000001</v>
      </c>
      <c r="J195" s="34">
        <v>4.91</v>
      </c>
      <c r="K195" s="34">
        <v>1.56</v>
      </c>
      <c r="L195" s="34">
        <v>45.39999999999992</v>
      </c>
    </row>
    <row r="196" spans="1:17" s="34" customFormat="1" x14ac:dyDescent="0.25">
      <c r="A196" s="38">
        <v>809680</v>
      </c>
      <c r="B196" s="41">
        <v>71.126364352424901</v>
      </c>
      <c r="D196" s="42">
        <v>7.93</v>
      </c>
      <c r="E196" s="42">
        <v>4.53</v>
      </c>
      <c r="F196" s="41">
        <v>4.12</v>
      </c>
      <c r="G196" s="34">
        <v>1.0309999999999999</v>
      </c>
      <c r="H196" s="34">
        <v>2.4500000000000002</v>
      </c>
      <c r="I196" s="34">
        <v>0.22</v>
      </c>
      <c r="J196" s="34">
        <v>2.14</v>
      </c>
      <c r="K196" s="34">
        <v>0.56000000000000005</v>
      </c>
      <c r="L196" s="34">
        <v>87.400000000000091</v>
      </c>
    </row>
    <row r="197" spans="1:17" s="34" customFormat="1" x14ac:dyDescent="0.25">
      <c r="A197" s="38">
        <v>809671</v>
      </c>
      <c r="B197" s="41">
        <v>74.87</v>
      </c>
      <c r="D197" s="42">
        <v>9.24</v>
      </c>
      <c r="E197" s="42">
        <v>3.75</v>
      </c>
      <c r="F197" s="41">
        <v>1.76</v>
      </c>
      <c r="G197" s="34">
        <v>0.224</v>
      </c>
      <c r="H197" s="34">
        <v>1.71</v>
      </c>
      <c r="I197" s="34">
        <v>0.28000000000000003</v>
      </c>
      <c r="J197" s="34">
        <v>6.19</v>
      </c>
      <c r="K197" s="34">
        <v>0.99</v>
      </c>
      <c r="L197" s="34">
        <v>49.2</v>
      </c>
    </row>
    <row r="198" spans="1:17" s="34" customFormat="1" x14ac:dyDescent="0.25">
      <c r="A198" s="38">
        <v>809672</v>
      </c>
      <c r="B198" s="41">
        <v>61.93</v>
      </c>
      <c r="D198" s="42">
        <v>9.52</v>
      </c>
      <c r="E198" s="42">
        <v>2.4900000000000002</v>
      </c>
      <c r="F198" s="41">
        <v>1.57</v>
      </c>
      <c r="G198" s="34">
        <v>0.214</v>
      </c>
      <c r="H198" s="34">
        <v>1.7</v>
      </c>
      <c r="I198" s="34">
        <v>0.33</v>
      </c>
      <c r="J198" s="34">
        <v>5.05</v>
      </c>
      <c r="K198" s="34">
        <v>0.61</v>
      </c>
      <c r="L198" s="34">
        <v>40.4</v>
      </c>
    </row>
    <row r="199" spans="1:17" s="34" customFormat="1" x14ac:dyDescent="0.25">
      <c r="A199" s="38">
        <v>809673</v>
      </c>
      <c r="B199" s="41">
        <v>55.69</v>
      </c>
      <c r="D199" s="42">
        <v>9.6199999999999992</v>
      </c>
      <c r="E199" s="42">
        <v>3.23</v>
      </c>
      <c r="F199" s="41">
        <v>1.71</v>
      </c>
      <c r="G199" s="34">
        <v>0.318</v>
      </c>
      <c r="H199" s="34">
        <v>2.14</v>
      </c>
      <c r="I199" s="34">
        <v>0.35</v>
      </c>
      <c r="J199" s="34">
        <v>4.28</v>
      </c>
      <c r="K199" s="34">
        <v>0.86</v>
      </c>
      <c r="L199" s="34">
        <v>44.8</v>
      </c>
    </row>
    <row r="200" spans="1:17" s="34" customFormat="1" x14ac:dyDescent="0.25">
      <c r="A200" s="38">
        <v>809676</v>
      </c>
      <c r="B200" s="41">
        <v>71.22</v>
      </c>
      <c r="D200" s="42">
        <v>9.6300000000000008</v>
      </c>
      <c r="E200" s="42">
        <v>2.7</v>
      </c>
      <c r="F200" s="41">
        <v>1.54</v>
      </c>
      <c r="G200" s="34">
        <v>0.27700000000000002</v>
      </c>
      <c r="H200" s="34">
        <v>1.97</v>
      </c>
      <c r="I200" s="34">
        <v>0.35</v>
      </c>
      <c r="J200" s="34">
        <v>7.16</v>
      </c>
      <c r="K200" s="34">
        <v>1.56</v>
      </c>
      <c r="L200" s="34">
        <v>40.6</v>
      </c>
    </row>
    <row r="201" spans="1:17" s="34" customFormat="1" x14ac:dyDescent="0.25">
      <c r="A201" s="38">
        <v>809681</v>
      </c>
      <c r="B201" s="41">
        <v>47.056700255677548</v>
      </c>
      <c r="D201" s="42">
        <v>9.08</v>
      </c>
      <c r="E201" s="42">
        <v>1.1100000000000001</v>
      </c>
      <c r="F201" s="41">
        <v>1.3446431999999999</v>
      </c>
      <c r="G201" s="34">
        <v>0.25</v>
      </c>
      <c r="H201" s="34">
        <v>0.91</v>
      </c>
      <c r="I201" s="34">
        <v>0.12</v>
      </c>
      <c r="J201" s="34">
        <v>3.65</v>
      </c>
      <c r="K201" s="34">
        <v>0.73</v>
      </c>
      <c r="L201" s="34">
        <v>50.39999999999992</v>
      </c>
    </row>
    <row r="202" spans="1:17" s="34" customFormat="1" x14ac:dyDescent="0.25">
      <c r="A202" s="38">
        <v>809683</v>
      </c>
      <c r="B202" s="41">
        <v>61.691898234267228</v>
      </c>
      <c r="D202" s="42">
        <v>9.86</v>
      </c>
      <c r="E202" s="42">
        <v>3.98</v>
      </c>
      <c r="F202" s="41">
        <v>1.6247772</v>
      </c>
      <c r="G202" s="34">
        <v>0.48899999999999999</v>
      </c>
      <c r="H202" s="34">
        <v>3.54</v>
      </c>
      <c r="I202" s="34">
        <v>0.41</v>
      </c>
      <c r="J202" s="34">
        <v>7.67</v>
      </c>
      <c r="K202" s="34">
        <v>0.92</v>
      </c>
      <c r="L202" s="34">
        <v>40.99999999999995</v>
      </c>
    </row>
    <row r="203" spans="1:17" s="34" customFormat="1" x14ac:dyDescent="0.25">
      <c r="A203" s="38">
        <v>809682</v>
      </c>
      <c r="B203" s="41">
        <v>76.854584045141607</v>
      </c>
      <c r="D203" s="42">
        <v>7.35</v>
      </c>
      <c r="E203" s="42">
        <v>4.04</v>
      </c>
      <c r="F203" s="41">
        <v>4.1459832000000008</v>
      </c>
      <c r="G203" s="34">
        <v>0.60099999999999998</v>
      </c>
      <c r="H203" s="34">
        <v>1.57</v>
      </c>
      <c r="I203" s="34">
        <v>0.09</v>
      </c>
      <c r="J203" s="34">
        <v>1.01</v>
      </c>
      <c r="K203" s="34">
        <v>0.51</v>
      </c>
      <c r="L203" s="34">
        <v>87.399999999999949</v>
      </c>
    </row>
    <row r="204" spans="1:17" s="34" customFormat="1" x14ac:dyDescent="0.25">
      <c r="A204" s="38">
        <v>809684</v>
      </c>
      <c r="B204" s="41">
        <v>90.07</v>
      </c>
      <c r="D204" s="42">
        <v>9.93</v>
      </c>
      <c r="E204" s="42">
        <v>0.1</v>
      </c>
      <c r="F204" s="41">
        <v>0.78</v>
      </c>
      <c r="G204" s="34">
        <v>0.01</v>
      </c>
      <c r="H204" s="34">
        <v>0.13</v>
      </c>
      <c r="I204" s="34">
        <v>0.03</v>
      </c>
      <c r="J204" s="34">
        <v>0.71</v>
      </c>
      <c r="K204" s="34">
        <v>0.03</v>
      </c>
      <c r="L204" s="34">
        <v>70</v>
      </c>
      <c r="M204" s="34">
        <v>16.7</v>
      </c>
      <c r="N204" s="34">
        <v>6.87</v>
      </c>
      <c r="O204" s="34">
        <v>27.43</v>
      </c>
      <c r="P204" s="34">
        <v>1021.31</v>
      </c>
      <c r="Q204" s="34">
        <v>5.51</v>
      </c>
    </row>
    <row r="205" spans="1:17" s="34" customFormat="1" x14ac:dyDescent="0.25">
      <c r="A205" s="38">
        <v>809685</v>
      </c>
      <c r="B205" s="41">
        <v>96.48</v>
      </c>
      <c r="D205" s="42">
        <v>10.38</v>
      </c>
      <c r="E205" s="42">
        <v>3.54</v>
      </c>
      <c r="F205" s="41">
        <v>1.34</v>
      </c>
      <c r="G205" s="34">
        <v>0.2</v>
      </c>
      <c r="H205" s="34">
        <v>6.95</v>
      </c>
      <c r="I205" s="34">
        <v>0.08</v>
      </c>
      <c r="J205" s="34">
        <v>4.1900000000000004</v>
      </c>
      <c r="K205" s="34">
        <v>0.84</v>
      </c>
      <c r="L205" s="34">
        <v>58</v>
      </c>
      <c r="M205" s="34">
        <v>90.32</v>
      </c>
      <c r="N205" s="34">
        <v>26.04</v>
      </c>
      <c r="O205" s="34">
        <v>82.44</v>
      </c>
      <c r="P205" s="34">
        <v>502.07</v>
      </c>
      <c r="Q205" s="34">
        <v>27.55</v>
      </c>
    </row>
    <row r="206" spans="1:17" s="34" customFormat="1" x14ac:dyDescent="0.25">
      <c r="A206" s="38">
        <v>809686</v>
      </c>
      <c r="B206" s="41">
        <v>53.326595336841734</v>
      </c>
      <c r="D206" s="42">
        <v>9.3000000000000007</v>
      </c>
      <c r="E206" s="42">
        <v>0.69499999999999995</v>
      </c>
      <c r="F206" s="41">
        <v>1.4006700000000003</v>
      </c>
      <c r="G206" s="34">
        <v>0.28999999999999998</v>
      </c>
      <c r="H206" s="34">
        <v>0.83</v>
      </c>
      <c r="I206" s="34">
        <v>0.13</v>
      </c>
      <c r="J206" s="34">
        <v>2.59</v>
      </c>
      <c r="K206" s="34">
        <v>0.73</v>
      </c>
      <c r="L206" s="34">
        <v>48.400000000000034</v>
      </c>
    </row>
    <row r="207" spans="1:17" s="34" customFormat="1" x14ac:dyDescent="0.25">
      <c r="A207" s="38">
        <v>809687</v>
      </c>
      <c r="B207" s="41">
        <v>43.588733504037819</v>
      </c>
      <c r="D207" s="42">
        <v>8.9600000000000009</v>
      </c>
      <c r="E207" s="42">
        <v>1.39</v>
      </c>
      <c r="F207" s="41">
        <v>1.6247772</v>
      </c>
      <c r="G207" s="34">
        <v>0.35</v>
      </c>
      <c r="H207" s="34">
        <v>1.24</v>
      </c>
      <c r="I207" s="34">
        <v>0.14000000000000001</v>
      </c>
      <c r="J207" s="34">
        <v>2.42</v>
      </c>
      <c r="K207" s="34">
        <v>0.81</v>
      </c>
      <c r="L207" s="34">
        <v>54.60000000000008</v>
      </c>
    </row>
    <row r="208" spans="1:17" s="34" customFormat="1" x14ac:dyDescent="0.25">
      <c r="A208" s="38">
        <v>809688</v>
      </c>
      <c r="B208" s="41">
        <v>46.205936920222641</v>
      </c>
      <c r="D208" s="42">
        <v>9.0399999999999991</v>
      </c>
      <c r="E208" s="42">
        <v>0.90900000000000003</v>
      </c>
      <c r="F208" s="41">
        <v>1.2325896000000001</v>
      </c>
      <c r="G208" s="34">
        <v>0.21</v>
      </c>
      <c r="H208" s="34">
        <v>0.73</v>
      </c>
      <c r="I208" s="34">
        <v>0.11</v>
      </c>
      <c r="J208" s="34">
        <v>2.59</v>
      </c>
      <c r="K208" s="34">
        <v>0.67</v>
      </c>
      <c r="L208" s="34">
        <v>52.400000000000091</v>
      </c>
    </row>
    <row r="209" spans="1:12" s="34" customFormat="1" x14ac:dyDescent="0.25">
      <c r="A209" s="38">
        <v>809689</v>
      </c>
      <c r="B209" s="41">
        <v>59.468852459016396</v>
      </c>
      <c r="D209" s="42">
        <v>9.85</v>
      </c>
      <c r="E209" s="42">
        <v>4</v>
      </c>
      <c r="F209" s="41">
        <v>1.4566968</v>
      </c>
      <c r="G209" s="34">
        <v>0.54</v>
      </c>
      <c r="H209" s="34">
        <v>2.27</v>
      </c>
      <c r="I209" s="34">
        <v>0.39</v>
      </c>
      <c r="J209" s="34">
        <v>5.16</v>
      </c>
      <c r="K209" s="34">
        <v>0.87</v>
      </c>
      <c r="L209" s="34">
        <v>41.800000000000068</v>
      </c>
    </row>
    <row r="210" spans="1:12" s="34" customFormat="1" x14ac:dyDescent="0.25">
      <c r="A210" s="38">
        <v>809690</v>
      </c>
      <c r="B210" s="41">
        <v>58.045082872928177</v>
      </c>
      <c r="D210" s="42">
        <v>8.85</v>
      </c>
      <c r="E210" s="42">
        <v>1.3620000000000001</v>
      </c>
      <c r="F210" s="41">
        <v>1.2325896000000001</v>
      </c>
      <c r="G210" s="34">
        <v>0.26</v>
      </c>
      <c r="H210" s="34">
        <v>1.02</v>
      </c>
      <c r="I210" s="34">
        <v>0.1</v>
      </c>
      <c r="J210" s="34">
        <v>4.47</v>
      </c>
      <c r="K210" s="34">
        <v>0.91</v>
      </c>
      <c r="L210" s="34">
        <v>47.999999999999979</v>
      </c>
    </row>
    <row r="211" spans="1:12" s="34" customFormat="1" x14ac:dyDescent="0.25">
      <c r="A211" s="38">
        <v>809695</v>
      </c>
      <c r="B211" s="39">
        <v>85.346449165870041</v>
      </c>
      <c r="D211" s="34">
        <v>8.35</v>
      </c>
      <c r="E211" s="27">
        <v>2.81</v>
      </c>
      <c r="F211" s="34">
        <v>1.65</v>
      </c>
      <c r="G211" s="40">
        <v>0.59</v>
      </c>
      <c r="H211" s="34">
        <v>0.99</v>
      </c>
      <c r="I211" s="40">
        <v>0.23</v>
      </c>
      <c r="J211" s="40">
        <v>4.04</v>
      </c>
      <c r="K211" s="40">
        <v>0.7</v>
      </c>
      <c r="L211" s="34">
        <v>28.400000000000034</v>
      </c>
    </row>
    <row r="212" spans="1:12" s="34" customFormat="1" x14ac:dyDescent="0.25">
      <c r="A212" s="38">
        <v>809692</v>
      </c>
      <c r="B212" s="41">
        <v>54.31</v>
      </c>
      <c r="D212" s="244">
        <v>8.65</v>
      </c>
      <c r="E212" s="42">
        <v>1.29</v>
      </c>
      <c r="F212" s="41">
        <v>1.29</v>
      </c>
      <c r="G212" s="34">
        <v>0.71</v>
      </c>
      <c r="H212" s="34">
        <v>2.4900000000000002</v>
      </c>
      <c r="I212" s="34">
        <v>0.45</v>
      </c>
      <c r="J212" s="34">
        <v>6.73</v>
      </c>
      <c r="K212" s="41">
        <v>1</v>
      </c>
      <c r="L212" s="34">
        <v>43</v>
      </c>
    </row>
    <row r="213" spans="1:12" s="34" customFormat="1" x14ac:dyDescent="0.25">
      <c r="A213" s="38">
        <v>809693</v>
      </c>
      <c r="B213" s="41">
        <v>58.18</v>
      </c>
      <c r="D213" s="244">
        <v>8.5</v>
      </c>
      <c r="E213" s="42">
        <v>1.43</v>
      </c>
      <c r="F213" s="41">
        <v>1.43</v>
      </c>
      <c r="G213" s="34">
        <v>0.85</v>
      </c>
      <c r="H213" s="34">
        <v>1.81</v>
      </c>
      <c r="I213" s="34">
        <v>0.16</v>
      </c>
      <c r="J213" s="34">
        <v>5.21</v>
      </c>
      <c r="K213" s="41">
        <v>1.05</v>
      </c>
      <c r="L213" s="34">
        <v>40.6</v>
      </c>
    </row>
    <row r="214" spans="1:12" s="34" customFormat="1" x14ac:dyDescent="0.25">
      <c r="A214" s="38">
        <v>809696</v>
      </c>
      <c r="B214" s="41">
        <v>17.723643513079342</v>
      </c>
      <c r="D214" s="244">
        <v>8.26</v>
      </c>
      <c r="E214" s="42">
        <v>3.86</v>
      </c>
      <c r="F214" s="41">
        <v>2.4651792000000006</v>
      </c>
      <c r="G214" s="34">
        <v>1</v>
      </c>
      <c r="H214" s="34">
        <v>1.9</v>
      </c>
      <c r="I214" s="34">
        <v>1.65</v>
      </c>
      <c r="J214" s="34">
        <v>3.3</v>
      </c>
      <c r="K214" s="41">
        <v>0.78</v>
      </c>
      <c r="L214" s="34">
        <v>76.199999999999903</v>
      </c>
    </row>
    <row r="215" spans="1:12" s="34" customFormat="1" x14ac:dyDescent="0.25">
      <c r="A215" s="38">
        <v>809697</v>
      </c>
      <c r="B215" s="41">
        <v>31.550592264877984</v>
      </c>
      <c r="D215" s="244">
        <v>8.6</v>
      </c>
      <c r="E215" s="42">
        <v>4.6900000000000004</v>
      </c>
      <c r="F215" s="41">
        <v>2.3251122000000004</v>
      </c>
      <c r="G215" s="34">
        <v>0.71</v>
      </c>
      <c r="H215" s="34">
        <v>3.16</v>
      </c>
      <c r="I215" s="34">
        <v>1.89</v>
      </c>
      <c r="J215" s="34">
        <v>2.5</v>
      </c>
      <c r="K215" s="41">
        <v>0.66</v>
      </c>
      <c r="L215" s="34">
        <v>74.200000000000017</v>
      </c>
    </row>
    <row r="216" spans="1:12" s="34" customFormat="1" x14ac:dyDescent="0.25">
      <c r="A216" s="38">
        <v>809698</v>
      </c>
      <c r="B216" s="41">
        <v>45.926310326933056</v>
      </c>
      <c r="D216" s="244">
        <v>9.06</v>
      </c>
      <c r="E216" s="42">
        <v>2.96</v>
      </c>
      <c r="F216" s="41">
        <v>1.9609380000000001</v>
      </c>
      <c r="G216" s="34">
        <v>2.0099999999999998</v>
      </c>
      <c r="H216" s="34">
        <v>1.79</v>
      </c>
      <c r="I216" s="34">
        <v>0.68</v>
      </c>
      <c r="J216" s="34">
        <v>2.9</v>
      </c>
      <c r="K216" s="41">
        <v>0.87</v>
      </c>
      <c r="L216" s="34">
        <v>61.599999999999966</v>
      </c>
    </row>
    <row r="217" spans="1:12" s="34" customFormat="1" x14ac:dyDescent="0.25">
      <c r="A217" s="38">
        <v>809699</v>
      </c>
      <c r="B217" s="41">
        <v>40.345316540161811</v>
      </c>
      <c r="D217" s="244">
        <v>9.3800000000000008</v>
      </c>
      <c r="E217" s="42">
        <v>2.5299999999999998</v>
      </c>
      <c r="F217" s="41">
        <v>2.5772328000000004</v>
      </c>
      <c r="G217" s="34">
        <v>2.09</v>
      </c>
      <c r="H217" s="34">
        <v>2.48</v>
      </c>
      <c r="I217" s="34">
        <v>0.81</v>
      </c>
      <c r="J217" s="34">
        <v>4.5199999999999996</v>
      </c>
      <c r="K217" s="41">
        <v>0.9</v>
      </c>
      <c r="L217" s="34">
        <v>73.199999999999932</v>
      </c>
    </row>
    <row r="218" spans="1:12" s="34" customFormat="1" x14ac:dyDescent="0.25">
      <c r="A218" s="38">
        <v>809700</v>
      </c>
      <c r="B218" s="41">
        <v>22.869888475836433</v>
      </c>
      <c r="D218" s="244">
        <v>8.69</v>
      </c>
      <c r="E218" s="42">
        <v>2.33</v>
      </c>
      <c r="F218" s="41">
        <v>2.1850452000000002</v>
      </c>
      <c r="G218" s="34">
        <v>0.79</v>
      </c>
      <c r="H218" s="34">
        <v>1.56</v>
      </c>
      <c r="I218" s="34">
        <v>0.76</v>
      </c>
      <c r="J218" s="34">
        <v>2.58</v>
      </c>
      <c r="K218" s="41">
        <v>0.55000000000000004</v>
      </c>
      <c r="L218" s="34">
        <v>82.399999999999949</v>
      </c>
    </row>
    <row r="219" spans="1:12" s="34" customFormat="1" x14ac:dyDescent="0.25">
      <c r="A219" s="38">
        <v>809701</v>
      </c>
      <c r="B219" s="41">
        <v>27.439766711021775</v>
      </c>
      <c r="D219" s="244">
        <v>4.17</v>
      </c>
      <c r="E219" s="42">
        <v>0.93</v>
      </c>
      <c r="F219" s="41">
        <v>1.3446431999999999</v>
      </c>
      <c r="G219" s="34">
        <v>0.1</v>
      </c>
      <c r="H219" s="34">
        <v>0.76</v>
      </c>
      <c r="I219" s="34">
        <v>0.04</v>
      </c>
      <c r="J219" s="34">
        <v>0.63</v>
      </c>
      <c r="K219" s="41">
        <v>0.11</v>
      </c>
      <c r="L219" s="34">
        <v>90.400000000000063</v>
      </c>
    </row>
    <row r="220" spans="1:12" s="34" customFormat="1" ht="17.100000000000001" customHeight="1" x14ac:dyDescent="0.25">
      <c r="A220" s="38">
        <v>809711</v>
      </c>
      <c r="B220" s="41">
        <v>63.913853572994306</v>
      </c>
      <c r="D220" s="244">
        <v>9.5500000000000007</v>
      </c>
      <c r="E220" s="42">
        <v>5.35</v>
      </c>
      <c r="F220" s="41">
        <v>2.36</v>
      </c>
      <c r="G220" s="34">
        <v>0.72</v>
      </c>
      <c r="H220" s="34">
        <v>2.0099999999999998</v>
      </c>
      <c r="I220" s="34">
        <v>0.43</v>
      </c>
      <c r="J220" s="34">
        <v>6.87</v>
      </c>
      <c r="K220" s="41">
        <v>0.67</v>
      </c>
      <c r="L220" s="34">
        <v>47.800000000000011</v>
      </c>
    </row>
    <row r="221" spans="1:12" s="34" customFormat="1" ht="17.100000000000001" customHeight="1" x14ac:dyDescent="0.25">
      <c r="A221" s="38">
        <v>809712</v>
      </c>
      <c r="B221" s="41">
        <v>61.920612988318055</v>
      </c>
      <c r="D221" s="244">
        <v>9.41</v>
      </c>
      <c r="E221" s="42">
        <v>3.75</v>
      </c>
      <c r="F221" s="41">
        <v>2.11</v>
      </c>
      <c r="G221" s="34">
        <v>0.63</v>
      </c>
      <c r="H221" s="34">
        <v>2.09</v>
      </c>
      <c r="I221" s="34">
        <v>0.4</v>
      </c>
      <c r="J221" s="34">
        <v>5.33</v>
      </c>
      <c r="K221" s="41">
        <v>0.72</v>
      </c>
      <c r="L221" s="34">
        <v>43.000000000000114</v>
      </c>
    </row>
    <row r="222" spans="1:12" s="34" customFormat="1" x14ac:dyDescent="0.25">
      <c r="A222" s="38">
        <v>809704</v>
      </c>
      <c r="B222" s="41">
        <v>57.204968944099377</v>
      </c>
      <c r="D222" s="42">
        <v>6.66</v>
      </c>
      <c r="E222" s="34">
        <v>3.9E-2</v>
      </c>
      <c r="F222" s="41">
        <v>1.7928576000000001</v>
      </c>
      <c r="G222" s="34">
        <v>0.02</v>
      </c>
      <c r="H222" s="34">
        <v>0.06</v>
      </c>
      <c r="I222" s="34">
        <v>0.02</v>
      </c>
      <c r="J222" s="34">
        <v>0.26</v>
      </c>
      <c r="K222" s="34">
        <v>0.04</v>
      </c>
      <c r="L222" s="34">
        <v>97.800000000000011</v>
      </c>
    </row>
    <row r="223" spans="1:12" s="34" customFormat="1" x14ac:dyDescent="0.25">
      <c r="A223" s="38">
        <v>809705</v>
      </c>
      <c r="B223" s="41">
        <v>64.240783501871164</v>
      </c>
      <c r="D223" s="42">
        <v>6.68</v>
      </c>
      <c r="E223" s="34">
        <v>7.52</v>
      </c>
      <c r="F223" s="41">
        <v>6.7232160000000007</v>
      </c>
      <c r="G223" s="34">
        <v>2.1800000000000002</v>
      </c>
      <c r="H223" s="34">
        <v>2.5</v>
      </c>
      <c r="I223" s="34">
        <v>0.21</v>
      </c>
      <c r="J223" s="34">
        <v>2.36</v>
      </c>
      <c r="K223" s="34">
        <v>0.72</v>
      </c>
      <c r="L223" s="34">
        <v>82.000000000000028</v>
      </c>
    </row>
    <row r="224" spans="1:12" s="34" customFormat="1" x14ac:dyDescent="0.25">
      <c r="A224" s="38">
        <v>809706</v>
      </c>
      <c r="B224" s="41">
        <v>55.879994654550316</v>
      </c>
      <c r="D224" s="42">
        <v>9.49</v>
      </c>
      <c r="E224" s="34">
        <v>1.88</v>
      </c>
      <c r="F224" s="41">
        <v>1.5127235999999999</v>
      </c>
      <c r="G224" s="34">
        <v>0.43</v>
      </c>
      <c r="H224" s="34">
        <v>1.38</v>
      </c>
      <c r="I224" s="34">
        <v>0.27</v>
      </c>
      <c r="J224" s="34">
        <v>5.47</v>
      </c>
      <c r="K224" s="34">
        <v>0.62</v>
      </c>
      <c r="L224" s="34">
        <v>36.199999999999896</v>
      </c>
    </row>
    <row r="225" spans="1:17" s="34" customFormat="1" x14ac:dyDescent="0.25">
      <c r="A225" s="38">
        <v>809707</v>
      </c>
      <c r="B225" s="41">
        <v>29.164351594621628</v>
      </c>
      <c r="D225" s="42">
        <v>8.98</v>
      </c>
      <c r="E225" s="34">
        <v>2.5</v>
      </c>
      <c r="F225" s="41">
        <v>1.8488844</v>
      </c>
      <c r="G225" s="34">
        <v>0.23</v>
      </c>
      <c r="H225" s="34">
        <v>2.0699999999999998</v>
      </c>
      <c r="I225" s="34">
        <v>0.45</v>
      </c>
      <c r="J225" s="34">
        <v>4.63</v>
      </c>
      <c r="K225" s="34">
        <v>0.87</v>
      </c>
      <c r="L225" s="34">
        <v>60.599999999999881</v>
      </c>
    </row>
    <row r="226" spans="1:17" s="34" customFormat="1" x14ac:dyDescent="0.25">
      <c r="A226" s="38">
        <v>809708</v>
      </c>
      <c r="B226" s="41">
        <v>38.218763510592311</v>
      </c>
      <c r="D226" s="42">
        <v>9.07</v>
      </c>
      <c r="E226" s="34">
        <v>1.1020000000000001</v>
      </c>
      <c r="F226" s="41">
        <v>2.0449782000000001</v>
      </c>
      <c r="G226" s="34">
        <v>0.25</v>
      </c>
      <c r="H226" s="34">
        <v>2.41</v>
      </c>
      <c r="I226" s="34">
        <v>0.12</v>
      </c>
      <c r="J226" s="34">
        <v>1.77</v>
      </c>
      <c r="K226" s="34">
        <v>0.35</v>
      </c>
      <c r="L226" s="34">
        <v>83.6</v>
      </c>
    </row>
    <row r="227" spans="1:17" s="34" customFormat="1" x14ac:dyDescent="0.25">
      <c r="A227" s="38">
        <v>809709</v>
      </c>
      <c r="B227" s="41">
        <v>85.628029594353265</v>
      </c>
      <c r="D227" s="42">
        <v>7.01</v>
      </c>
      <c r="E227" s="34">
        <v>5.91</v>
      </c>
      <c r="F227" s="41">
        <v>5.7427470000000005</v>
      </c>
      <c r="G227" s="34">
        <v>1.63</v>
      </c>
      <c r="H227" s="34">
        <v>2.46</v>
      </c>
      <c r="I227" s="34">
        <v>0.28000000000000003</v>
      </c>
      <c r="J227" s="34">
        <v>6.77</v>
      </c>
      <c r="K227" s="34">
        <v>0.51</v>
      </c>
      <c r="L227" s="34">
        <v>76.200000000000045</v>
      </c>
    </row>
    <row r="228" spans="1:17" s="34" customFormat="1" x14ac:dyDescent="0.25">
      <c r="A228" s="38">
        <v>809710</v>
      </c>
      <c r="B228" s="41">
        <v>52.53605171556439</v>
      </c>
      <c r="D228" s="42">
        <v>5.91</v>
      </c>
      <c r="E228" s="34">
        <v>0.11700000000000001</v>
      </c>
      <c r="F228" s="41">
        <v>1.4566968</v>
      </c>
      <c r="G228" s="34">
        <v>0.21</v>
      </c>
      <c r="H228" s="34">
        <v>0.3</v>
      </c>
      <c r="I228" s="34">
        <v>7.0000000000000007E-2</v>
      </c>
      <c r="J228" s="34">
        <v>1.17</v>
      </c>
      <c r="K228" s="34">
        <v>0.15</v>
      </c>
      <c r="L228" s="34">
        <v>82.800000000000011</v>
      </c>
    </row>
    <row r="229" spans="1:17" s="39" customFormat="1" x14ac:dyDescent="0.25">
      <c r="A229" s="43">
        <v>809713</v>
      </c>
      <c r="B229" s="39">
        <v>45.878787878787875</v>
      </c>
      <c r="D229" s="44">
        <v>8.85</v>
      </c>
      <c r="E229" s="39">
        <v>2.27</v>
      </c>
      <c r="F229" s="39">
        <v>1.9609380000000001</v>
      </c>
      <c r="G229" s="39">
        <v>0.48</v>
      </c>
      <c r="H229" s="39">
        <v>2.2799999999999998</v>
      </c>
      <c r="I229" s="41">
        <v>0.53</v>
      </c>
      <c r="J229" s="41">
        <v>4.5999999999999996</v>
      </c>
      <c r="K229" s="41">
        <v>0.94</v>
      </c>
      <c r="L229" s="39">
        <v>37.000000000000036</v>
      </c>
    </row>
    <row r="230" spans="1:17" s="39" customFormat="1" x14ac:dyDescent="0.25">
      <c r="A230" s="43">
        <v>809714</v>
      </c>
      <c r="B230" s="39">
        <v>69.816756943644123</v>
      </c>
      <c r="D230" s="44">
        <v>9.25</v>
      </c>
      <c r="E230" s="39">
        <v>1.97</v>
      </c>
      <c r="F230" s="39">
        <v>2.1850452000000002</v>
      </c>
      <c r="G230" s="39">
        <v>0.62</v>
      </c>
      <c r="H230" s="39">
        <v>1.56</v>
      </c>
      <c r="I230" s="41">
        <v>0.7</v>
      </c>
      <c r="J230" s="41">
        <v>7.24</v>
      </c>
      <c r="K230" s="41">
        <v>1.92</v>
      </c>
      <c r="L230" s="39">
        <v>51.599999999999966</v>
      </c>
    </row>
    <row r="231" spans="1:17" s="34" customFormat="1" x14ac:dyDescent="0.25">
      <c r="A231" s="38">
        <v>809715</v>
      </c>
      <c r="B231" s="41">
        <v>46.277580824382234</v>
      </c>
      <c r="D231" s="42">
        <v>8.91</v>
      </c>
      <c r="E231" s="34">
        <v>2.0099999999999998</v>
      </c>
      <c r="F231" s="41">
        <v>2.0449782000000001</v>
      </c>
      <c r="G231" s="34">
        <v>0.57999999999999996</v>
      </c>
      <c r="H231" s="34">
        <v>1.91</v>
      </c>
      <c r="I231" s="34">
        <v>0.42</v>
      </c>
      <c r="J231" s="34">
        <v>8.1</v>
      </c>
      <c r="K231" s="34">
        <v>0.87</v>
      </c>
      <c r="L231" s="34">
        <v>45.19999999999996</v>
      </c>
    </row>
    <row r="232" spans="1:17" s="34" customFormat="1" x14ac:dyDescent="0.25">
      <c r="A232" s="38">
        <v>809716</v>
      </c>
      <c r="B232" s="41">
        <v>48.564311000393353</v>
      </c>
      <c r="D232" s="42">
        <v>9.11</v>
      </c>
      <c r="E232" s="34">
        <v>2.6</v>
      </c>
      <c r="F232" s="41">
        <v>1.9609380000000001</v>
      </c>
      <c r="G232" s="34">
        <v>0.54</v>
      </c>
      <c r="H232" s="34">
        <v>2.21</v>
      </c>
      <c r="I232" s="34">
        <v>0.67</v>
      </c>
      <c r="J232" s="34">
        <v>5.39</v>
      </c>
      <c r="K232" s="34">
        <v>1.38</v>
      </c>
      <c r="L232" s="34">
        <v>46.600000000000108</v>
      </c>
    </row>
    <row r="233" spans="1:17" s="34" customFormat="1" x14ac:dyDescent="0.25">
      <c r="A233" s="38">
        <v>809717</v>
      </c>
      <c r="B233" s="41">
        <v>49.853811110355615</v>
      </c>
      <c r="D233" s="42">
        <v>9.36</v>
      </c>
      <c r="E233" s="34">
        <v>2.79</v>
      </c>
      <c r="F233" s="41">
        <v>1.6808040000000002</v>
      </c>
      <c r="G233" s="34">
        <v>0.33</v>
      </c>
      <c r="H233" s="34">
        <v>2.1</v>
      </c>
      <c r="I233" s="34">
        <v>0.41</v>
      </c>
      <c r="J233" s="34">
        <v>6.91</v>
      </c>
      <c r="K233" s="34">
        <v>1.05</v>
      </c>
      <c r="L233" s="34">
        <v>54.400000000000119</v>
      </c>
    </row>
    <row r="234" spans="1:17" s="34" customFormat="1" x14ac:dyDescent="0.25">
      <c r="A234" s="38">
        <v>809718</v>
      </c>
      <c r="B234" s="41">
        <v>84.324577129939996</v>
      </c>
      <c r="D234" s="42">
        <v>8.56</v>
      </c>
      <c r="E234" s="34">
        <v>4.18</v>
      </c>
      <c r="F234" s="41">
        <v>3.7257822000000003</v>
      </c>
      <c r="G234" s="34">
        <v>0.44</v>
      </c>
      <c r="H234" s="34">
        <v>2.46</v>
      </c>
      <c r="I234" s="34">
        <v>0.21</v>
      </c>
      <c r="J234" s="34">
        <v>10.8</v>
      </c>
      <c r="K234" s="34">
        <v>0.63</v>
      </c>
      <c r="L234" s="34">
        <v>63.799999999999955</v>
      </c>
    </row>
    <row r="235" spans="1:17" s="34" customFormat="1" x14ac:dyDescent="0.25">
      <c r="A235" s="38">
        <v>809719</v>
      </c>
      <c r="B235" s="41">
        <v>21.385681293302536</v>
      </c>
      <c r="D235" s="42">
        <v>8.6999999999999993</v>
      </c>
      <c r="E235" s="34">
        <v>2.46</v>
      </c>
      <c r="F235" s="41">
        <v>4.1459832000000008</v>
      </c>
      <c r="G235" s="34">
        <v>0.41</v>
      </c>
      <c r="H235" s="34">
        <v>2.31</v>
      </c>
      <c r="I235" s="34">
        <v>0.89</v>
      </c>
      <c r="J235" s="34">
        <v>4.76</v>
      </c>
      <c r="K235" s="34">
        <v>0.66</v>
      </c>
      <c r="L235" s="34">
        <v>66.599999999999966</v>
      </c>
    </row>
    <row r="236" spans="1:17" s="34" customFormat="1" x14ac:dyDescent="0.25">
      <c r="A236" s="38">
        <v>809720</v>
      </c>
      <c r="B236" s="41">
        <v>23.499392466585665</v>
      </c>
      <c r="D236" s="42">
        <v>7.65</v>
      </c>
      <c r="E236" s="34">
        <v>1.5680000000000001</v>
      </c>
      <c r="F236" s="41">
        <v>1.6247772</v>
      </c>
      <c r="G236" s="34">
        <v>0.38</v>
      </c>
      <c r="H236" s="34">
        <v>1.42</v>
      </c>
      <c r="I236" s="34">
        <v>0.3</v>
      </c>
      <c r="J236" s="34">
        <v>1.88</v>
      </c>
      <c r="K236" s="34">
        <v>0.52</v>
      </c>
      <c r="L236" s="34">
        <v>83.6</v>
      </c>
    </row>
    <row r="237" spans="1:17" s="34" customFormat="1" x14ac:dyDescent="0.25">
      <c r="A237" s="38">
        <v>809721</v>
      </c>
      <c r="B237" s="41">
        <v>49.67540274104352</v>
      </c>
      <c r="D237" s="42">
        <v>9.31</v>
      </c>
      <c r="E237" s="34">
        <v>3.69</v>
      </c>
      <c r="F237" s="41">
        <v>2.2690854000000007</v>
      </c>
      <c r="G237" s="34">
        <v>0.51</v>
      </c>
      <c r="H237" s="34">
        <v>3.58</v>
      </c>
      <c r="I237" s="34">
        <v>0.45</v>
      </c>
      <c r="J237" s="34">
        <v>4.92</v>
      </c>
      <c r="K237" s="34">
        <v>1.75</v>
      </c>
      <c r="L237" s="34">
        <v>42.399999999999949</v>
      </c>
    </row>
    <row r="238" spans="1:17" s="34" customFormat="1" x14ac:dyDescent="0.25">
      <c r="A238" s="38">
        <v>809722</v>
      </c>
      <c r="B238" s="41">
        <v>53.716596703184194</v>
      </c>
      <c r="D238" s="42">
        <v>8.94</v>
      </c>
      <c r="E238" s="34">
        <v>1.58</v>
      </c>
      <c r="F238" s="41">
        <v>1.6527905999999999</v>
      </c>
      <c r="G238" s="34">
        <v>0.62</v>
      </c>
      <c r="H238" s="34">
        <v>1.55</v>
      </c>
      <c r="I238" s="34">
        <v>0.34</v>
      </c>
      <c r="J238" s="34">
        <v>4.79</v>
      </c>
      <c r="K238" s="34">
        <v>0.76</v>
      </c>
      <c r="L238" s="34">
        <v>29.200000000000017</v>
      </c>
    </row>
    <row r="239" spans="1:17" s="34" customFormat="1" x14ac:dyDescent="0.25">
      <c r="A239" s="38">
        <v>809723</v>
      </c>
      <c r="B239" s="41">
        <v>21.602160216021602</v>
      </c>
      <c r="D239" s="42">
        <v>7.63</v>
      </c>
      <c r="E239" s="34">
        <v>1.96</v>
      </c>
      <c r="F239" s="41">
        <v>2.2970988000000006</v>
      </c>
      <c r="G239" s="34">
        <v>0.49</v>
      </c>
      <c r="H239" s="34">
        <v>1.34</v>
      </c>
      <c r="I239" s="34">
        <v>0.28999999999999998</v>
      </c>
      <c r="J239" s="34">
        <v>1.82</v>
      </c>
      <c r="K239" s="34">
        <v>0.47</v>
      </c>
      <c r="L239" s="34">
        <v>81.800000000000068</v>
      </c>
    </row>
    <row r="240" spans="1:17" s="34" customFormat="1" x14ac:dyDescent="0.25">
      <c r="A240" s="38">
        <v>809724</v>
      </c>
      <c r="B240" s="41">
        <v>29.597607982996504</v>
      </c>
      <c r="D240" s="42">
        <v>9.02</v>
      </c>
      <c r="E240" s="34">
        <v>2.06</v>
      </c>
      <c r="F240" s="41">
        <v>2.1570317999999999</v>
      </c>
      <c r="G240" s="34">
        <v>0.42</v>
      </c>
      <c r="H240" s="34">
        <v>2.7</v>
      </c>
      <c r="I240" s="34">
        <v>0.48</v>
      </c>
      <c r="J240" s="34">
        <v>2.68</v>
      </c>
      <c r="K240" s="34">
        <v>0.56999999999999995</v>
      </c>
      <c r="L240" s="39">
        <v>47.000000000000028</v>
      </c>
      <c r="M240" s="34">
        <v>62.56</v>
      </c>
      <c r="N240" s="34">
        <v>16.5</v>
      </c>
      <c r="O240" s="34">
        <v>256.04000000000002</v>
      </c>
      <c r="P240" s="34">
        <v>10605.02</v>
      </c>
      <c r="Q240" s="34">
        <v>17.690000000000001</v>
      </c>
    </row>
    <row r="241" spans="1:17" s="34" customFormat="1" x14ac:dyDescent="0.25">
      <c r="A241" s="38">
        <v>809725</v>
      </c>
      <c r="B241" s="41">
        <v>0.44528172632299712</v>
      </c>
      <c r="D241" s="42">
        <v>7.96</v>
      </c>
      <c r="E241" s="34">
        <v>4.9000000000000004</v>
      </c>
      <c r="F241" s="41">
        <v>0.140067</v>
      </c>
      <c r="G241" s="34">
        <v>0.33</v>
      </c>
      <c r="H241" s="34">
        <v>28.32</v>
      </c>
      <c r="I241" s="34">
        <v>5.72</v>
      </c>
      <c r="J241" s="34">
        <v>1.1499999999999999</v>
      </c>
      <c r="K241" s="34">
        <v>0.68</v>
      </c>
      <c r="L241" s="39">
        <v>93.520000000000039</v>
      </c>
      <c r="M241" s="34">
        <v>22.48</v>
      </c>
      <c r="N241" s="34">
        <v>10.06</v>
      </c>
      <c r="O241" s="34">
        <v>94.3</v>
      </c>
      <c r="P241" s="34">
        <v>2510.37</v>
      </c>
      <c r="Q241" s="34">
        <v>28.84</v>
      </c>
    </row>
    <row r="242" spans="1:17" s="34" customFormat="1" x14ac:dyDescent="0.25">
      <c r="A242" s="38">
        <v>809726</v>
      </c>
      <c r="B242" s="41">
        <v>53.3762780420209</v>
      </c>
      <c r="D242" s="42">
        <v>9.41</v>
      </c>
      <c r="E242" s="34">
        <v>1.66</v>
      </c>
      <c r="F242" s="41">
        <v>1.5127235999999999</v>
      </c>
      <c r="G242" s="34">
        <v>0.53</v>
      </c>
      <c r="H242" s="34">
        <v>1.1499999999999999</v>
      </c>
      <c r="I242" s="34">
        <v>0.23</v>
      </c>
      <c r="J242" s="34">
        <v>1.18</v>
      </c>
      <c r="K242" s="34">
        <v>0.39</v>
      </c>
      <c r="L242" s="39">
        <v>37.800000000000011</v>
      </c>
    </row>
    <row r="243" spans="1:17" s="34" customFormat="1" x14ac:dyDescent="0.25">
      <c r="A243" s="38">
        <v>809727</v>
      </c>
      <c r="B243" s="41">
        <v>95.032191069574239</v>
      </c>
      <c r="D243" s="42">
        <v>8.4700000000000006</v>
      </c>
      <c r="E243" s="34">
        <v>3.39</v>
      </c>
      <c r="F243" s="41">
        <v>2.7453132000000009</v>
      </c>
      <c r="G243" s="34">
        <v>1.01</v>
      </c>
      <c r="H243" s="34">
        <v>1.65</v>
      </c>
      <c r="I243" s="34">
        <v>0.26</v>
      </c>
      <c r="J243" s="34">
        <v>4.76</v>
      </c>
      <c r="K243" s="34">
        <v>0.46</v>
      </c>
      <c r="L243" s="39">
        <v>41.599999999999973</v>
      </c>
    </row>
    <row r="244" spans="1:17" s="34" customFormat="1" x14ac:dyDescent="0.25">
      <c r="A244" s="38">
        <v>809728</v>
      </c>
      <c r="B244" s="41">
        <v>53.663420405934282</v>
      </c>
      <c r="D244" s="42">
        <v>9.23</v>
      </c>
      <c r="E244" s="34">
        <v>2.12</v>
      </c>
      <c r="F244" s="41">
        <v>1.5967638000000002</v>
      </c>
      <c r="G244" s="34">
        <v>0.56999999999999995</v>
      </c>
      <c r="H244" s="41">
        <v>1</v>
      </c>
      <c r="I244" s="34">
        <v>0.25</v>
      </c>
      <c r="J244" s="34">
        <v>1.25</v>
      </c>
      <c r="K244" s="34">
        <v>0.35</v>
      </c>
      <c r="L244" s="39">
        <v>35.600000000000023</v>
      </c>
    </row>
    <row r="245" spans="1:17" s="34" customFormat="1" x14ac:dyDescent="0.25">
      <c r="A245" s="38">
        <v>809729</v>
      </c>
      <c r="B245" s="41">
        <v>63.820965341271531</v>
      </c>
      <c r="D245" s="42">
        <v>9.07</v>
      </c>
      <c r="E245" s="34">
        <v>1.61</v>
      </c>
      <c r="F245" s="41">
        <v>1.1765628000000001</v>
      </c>
      <c r="G245" s="34">
        <v>0.37</v>
      </c>
      <c r="H245" s="34">
        <v>0.75</v>
      </c>
      <c r="I245" s="34">
        <v>0.19</v>
      </c>
      <c r="J245" s="34">
        <v>0.81</v>
      </c>
      <c r="K245" s="34">
        <v>0.28000000000000003</v>
      </c>
      <c r="L245" s="39">
        <v>30.600000000000023</v>
      </c>
    </row>
    <row r="246" spans="1:17" s="34" customFormat="1" x14ac:dyDescent="0.25">
      <c r="A246" s="38">
        <v>809730</v>
      </c>
      <c r="B246" s="41">
        <v>94.79068847921711</v>
      </c>
      <c r="D246" s="42">
        <v>5.24</v>
      </c>
      <c r="E246" s="34">
        <v>3.86</v>
      </c>
      <c r="F246" s="41">
        <v>5.8828139999999998</v>
      </c>
      <c r="G246" s="34">
        <v>0.96</v>
      </c>
      <c r="H246" s="34">
        <v>1.55</v>
      </c>
      <c r="I246" s="34">
        <v>0.04</v>
      </c>
      <c r="J246" s="34">
        <v>0.3</v>
      </c>
      <c r="K246" s="34">
        <v>0.63</v>
      </c>
      <c r="L246" s="39">
        <v>88.199999999999932</v>
      </c>
    </row>
    <row r="247" spans="1:17" s="34" customFormat="1" x14ac:dyDescent="0.25">
      <c r="A247" s="38">
        <v>809731</v>
      </c>
      <c r="B247" s="41">
        <v>51.439673209126227</v>
      </c>
      <c r="D247" s="42">
        <v>9.3000000000000007</v>
      </c>
      <c r="E247" s="34">
        <v>1.59</v>
      </c>
      <c r="F247" s="41">
        <v>1.7368308000000003</v>
      </c>
      <c r="G247" s="34">
        <v>0.59</v>
      </c>
      <c r="H247" s="34">
        <v>1.07</v>
      </c>
      <c r="I247" s="34">
        <v>0.2</v>
      </c>
      <c r="J247" s="34">
        <v>1.05</v>
      </c>
      <c r="K247" s="34">
        <v>0.44</v>
      </c>
      <c r="L247" s="39">
        <v>40.200000000000102</v>
      </c>
    </row>
    <row r="248" spans="1:17" s="34" customFormat="1" x14ac:dyDescent="0.25">
      <c r="A248" s="38">
        <v>809732</v>
      </c>
      <c r="B248" s="41">
        <v>54.235254415238678</v>
      </c>
      <c r="D248" s="42">
        <v>9.15</v>
      </c>
      <c r="E248" s="34">
        <v>2.2799999999999998</v>
      </c>
      <c r="F248" s="41">
        <v>1.5687503999999999</v>
      </c>
      <c r="G248" s="34">
        <v>0.54</v>
      </c>
      <c r="H248" s="34">
        <v>1.03</v>
      </c>
      <c r="I248" s="34">
        <v>0.19</v>
      </c>
      <c r="J248" s="34">
        <v>1.32</v>
      </c>
      <c r="K248" s="34">
        <v>0.39</v>
      </c>
      <c r="L248" s="39">
        <v>35.999999999999943</v>
      </c>
    </row>
    <row r="249" spans="1:17" s="34" customFormat="1" x14ac:dyDescent="0.25">
      <c r="A249" s="38">
        <v>809733</v>
      </c>
      <c r="B249" s="41">
        <v>60.255464533913106</v>
      </c>
      <c r="D249" s="42">
        <v>9.6</v>
      </c>
      <c r="E249" s="34">
        <v>3.77</v>
      </c>
      <c r="F249" s="41">
        <v>2.241072</v>
      </c>
      <c r="G249" s="34">
        <v>0.64</v>
      </c>
      <c r="H249" s="34">
        <v>2.3199999999999998</v>
      </c>
      <c r="I249" s="34">
        <v>0.47</v>
      </c>
      <c r="J249" s="34">
        <v>6.48</v>
      </c>
      <c r="K249" s="34">
        <v>0.94</v>
      </c>
      <c r="L249" s="39">
        <v>39.599999999999937</v>
      </c>
    </row>
    <row r="250" spans="1:17" s="34" customFormat="1" x14ac:dyDescent="0.25">
      <c r="A250" s="38">
        <v>809734</v>
      </c>
      <c r="B250" s="41">
        <v>21.924060594137316</v>
      </c>
      <c r="D250" s="42">
        <v>7.89</v>
      </c>
      <c r="E250" s="34">
        <v>3.66</v>
      </c>
      <c r="F250" s="41">
        <v>2.3251122000000004</v>
      </c>
      <c r="G250" s="34">
        <v>1.64</v>
      </c>
      <c r="H250" s="34">
        <v>2.83</v>
      </c>
      <c r="I250" s="34">
        <v>0.61</v>
      </c>
      <c r="J250" s="41">
        <v>1</v>
      </c>
      <c r="K250" s="34">
        <v>0.87</v>
      </c>
      <c r="L250" s="39">
        <v>81.199999999999903</v>
      </c>
    </row>
    <row r="251" spans="1:17" s="34" customFormat="1" x14ac:dyDescent="0.25">
      <c r="A251" s="38">
        <v>809735</v>
      </c>
      <c r="B251" s="41">
        <v>23.591410559495667</v>
      </c>
      <c r="D251" s="42">
        <v>8.1999999999999993</v>
      </c>
      <c r="E251" s="34">
        <v>7.11</v>
      </c>
      <c r="F251" s="41">
        <v>2.0449782000000001</v>
      </c>
      <c r="G251" s="34">
        <v>1.36</v>
      </c>
      <c r="H251" s="34">
        <v>2.8</v>
      </c>
      <c r="I251" s="34">
        <v>0.83</v>
      </c>
      <c r="J251" s="34">
        <v>1.76</v>
      </c>
      <c r="K251" s="34">
        <v>0.81</v>
      </c>
      <c r="L251" s="39">
        <v>80</v>
      </c>
    </row>
    <row r="252" spans="1:17" s="34" customFormat="1" x14ac:dyDescent="0.25">
      <c r="A252" s="38">
        <v>809736</v>
      </c>
      <c r="B252" s="41">
        <v>20.11345218800648</v>
      </c>
      <c r="D252" s="42">
        <v>7.75</v>
      </c>
      <c r="E252" s="34">
        <v>3.51</v>
      </c>
      <c r="F252" s="41">
        <v>1.9889514000000001</v>
      </c>
      <c r="G252" s="34">
        <v>1.1100000000000001</v>
      </c>
      <c r="H252" s="34">
        <v>2.56</v>
      </c>
      <c r="I252" s="34">
        <v>0.61</v>
      </c>
      <c r="J252" s="34">
        <v>0.88</v>
      </c>
      <c r="K252" s="34">
        <v>0.62</v>
      </c>
      <c r="L252" s="39">
        <v>84.000000000000057</v>
      </c>
    </row>
    <row r="253" spans="1:17" s="34" customFormat="1" x14ac:dyDescent="0.25">
      <c r="A253" s="38">
        <v>809737</v>
      </c>
      <c r="B253" s="41">
        <v>70.266189908621385</v>
      </c>
      <c r="D253" s="42">
        <v>9.11</v>
      </c>
      <c r="E253" s="34">
        <v>0.55000000000000004</v>
      </c>
      <c r="F253" s="41">
        <v>1.9329245999999998</v>
      </c>
      <c r="G253" s="34">
        <v>0.42</v>
      </c>
      <c r="H253" s="34">
        <v>1.01</v>
      </c>
      <c r="I253" s="34">
        <v>0.28999999999999998</v>
      </c>
      <c r="J253" s="34">
        <v>3.79</v>
      </c>
      <c r="K253" s="34">
        <v>0.38</v>
      </c>
      <c r="L253" s="39">
        <v>55.599999999999952</v>
      </c>
    </row>
    <row r="254" spans="1:17" s="34" customFormat="1" x14ac:dyDescent="0.25">
      <c r="A254" s="38">
        <v>809738</v>
      </c>
      <c r="B254" s="41">
        <v>52.154470246270805</v>
      </c>
      <c r="D254" s="42">
        <v>8.74</v>
      </c>
      <c r="E254" s="34">
        <v>0.91</v>
      </c>
      <c r="F254" s="41">
        <v>1.9049112000000001</v>
      </c>
      <c r="G254" s="34">
        <v>1.22</v>
      </c>
      <c r="H254" s="34">
        <v>2.39</v>
      </c>
      <c r="I254" s="34">
        <v>0.75</v>
      </c>
      <c r="J254" s="34">
        <v>6.14</v>
      </c>
      <c r="K254" s="34">
        <v>0.61</v>
      </c>
      <c r="L254" s="39">
        <v>38.599999999999987</v>
      </c>
    </row>
    <row r="255" spans="1:17" s="34" customFormat="1" x14ac:dyDescent="0.25">
      <c r="A255" s="38">
        <v>809739</v>
      </c>
      <c r="B255" s="41">
        <v>63.430613460393083</v>
      </c>
      <c r="D255" s="42">
        <v>8.9600000000000009</v>
      </c>
      <c r="E255" s="34">
        <v>3.79</v>
      </c>
      <c r="F255" s="41">
        <v>2.8853802000000002</v>
      </c>
      <c r="G255" s="34">
        <v>0.5</v>
      </c>
      <c r="H255" s="34">
        <v>1.37</v>
      </c>
      <c r="I255" s="34">
        <v>0.61</v>
      </c>
      <c r="J255" s="34">
        <v>5.81</v>
      </c>
      <c r="K255" s="34">
        <v>0.52</v>
      </c>
      <c r="L255" s="39">
        <v>70.999999999999943</v>
      </c>
    </row>
    <row r="256" spans="1:17" s="34" customFormat="1" x14ac:dyDescent="0.25">
      <c r="A256" s="38">
        <v>809740</v>
      </c>
      <c r="B256" s="41">
        <v>73.230789988531342</v>
      </c>
      <c r="D256" s="42">
        <v>8.9700000000000006</v>
      </c>
      <c r="E256" s="34">
        <v>6.06</v>
      </c>
      <c r="F256" s="41">
        <v>2.9414069999999999</v>
      </c>
      <c r="G256" s="34">
        <v>1.72</v>
      </c>
      <c r="H256" s="34">
        <v>2.5499999999999998</v>
      </c>
      <c r="I256" s="34">
        <v>0.7</v>
      </c>
      <c r="J256" s="34">
        <v>7.72</v>
      </c>
      <c r="K256" s="34">
        <v>0.77</v>
      </c>
      <c r="L256" s="39">
        <v>65.39999999999992</v>
      </c>
    </row>
    <row r="257" spans="1:30" s="34" customFormat="1" x14ac:dyDescent="0.25">
      <c r="A257" s="38">
        <v>809741</v>
      </c>
      <c r="B257" s="41">
        <v>67.578535998797534</v>
      </c>
      <c r="D257" s="42">
        <v>9.33</v>
      </c>
      <c r="E257" s="34">
        <v>5.31</v>
      </c>
      <c r="F257" s="41">
        <v>2.5492194000000006</v>
      </c>
      <c r="G257" s="34">
        <v>2.06</v>
      </c>
      <c r="H257" s="34">
        <v>2.99</v>
      </c>
      <c r="I257" s="34">
        <v>0.81</v>
      </c>
      <c r="J257" s="34">
        <v>11.46</v>
      </c>
      <c r="K257" s="34">
        <v>0.88</v>
      </c>
      <c r="L257" s="39">
        <v>55.600000000000023</v>
      </c>
    </row>
    <row r="258" spans="1:30" s="34" customFormat="1" x14ac:dyDescent="0.25">
      <c r="A258" s="38">
        <v>809742</v>
      </c>
      <c r="B258" s="41">
        <v>72.070223438212494</v>
      </c>
      <c r="D258" s="42">
        <v>9.0299999999999994</v>
      </c>
      <c r="E258" s="34">
        <v>5.25</v>
      </c>
      <c r="F258" s="41">
        <v>2.7453132000000009</v>
      </c>
      <c r="G258" s="34">
        <v>1.79</v>
      </c>
      <c r="H258" s="34">
        <v>2.62</v>
      </c>
      <c r="I258" s="34">
        <v>0.75</v>
      </c>
      <c r="J258" s="34">
        <v>10.130000000000001</v>
      </c>
      <c r="K258" s="34">
        <v>0.77</v>
      </c>
      <c r="L258" s="39">
        <v>62.599999999999909</v>
      </c>
    </row>
    <row r="259" spans="1:30" s="34" customFormat="1" x14ac:dyDescent="0.25">
      <c r="A259" s="38">
        <v>809753</v>
      </c>
      <c r="B259" s="41">
        <v>61.087735702041456</v>
      </c>
      <c r="L259" s="34">
        <v>39.800000000000033</v>
      </c>
    </row>
    <row r="260" spans="1:30" s="34" customFormat="1" x14ac:dyDescent="0.25">
      <c r="A260" s="38">
        <v>809743</v>
      </c>
      <c r="B260" s="41">
        <v>45.18</v>
      </c>
      <c r="D260" s="34">
        <v>9.1</v>
      </c>
      <c r="E260" s="34">
        <v>1.3</v>
      </c>
      <c r="F260" s="41">
        <v>1.76</v>
      </c>
      <c r="G260" s="34">
        <v>0.35</v>
      </c>
      <c r="H260" s="34">
        <v>1.63</v>
      </c>
      <c r="I260" s="34">
        <v>0.65</v>
      </c>
      <c r="J260" s="34">
        <v>1.0900000000000001</v>
      </c>
      <c r="K260" s="34">
        <v>0.33</v>
      </c>
      <c r="L260" s="34">
        <v>87</v>
      </c>
    </row>
    <row r="261" spans="1:30" s="34" customFormat="1" x14ac:dyDescent="0.25">
      <c r="A261" s="38">
        <v>809744</v>
      </c>
      <c r="B261" s="41">
        <v>59.64</v>
      </c>
      <c r="D261" s="34">
        <v>8.56</v>
      </c>
      <c r="E261" s="34">
        <v>3.67</v>
      </c>
      <c r="F261" s="41">
        <v>4.82</v>
      </c>
      <c r="G261" s="34">
        <v>1.31</v>
      </c>
      <c r="H261" s="34">
        <v>2.59</v>
      </c>
      <c r="I261" s="34">
        <v>0.39</v>
      </c>
      <c r="J261" s="34">
        <v>1.95</v>
      </c>
      <c r="K261" s="34">
        <v>0.69</v>
      </c>
      <c r="L261" s="34">
        <v>85.2</v>
      </c>
    </row>
    <row r="262" spans="1:30" s="34" customFormat="1" x14ac:dyDescent="0.25">
      <c r="A262" s="38">
        <v>809745</v>
      </c>
      <c r="B262" s="41">
        <v>42.99</v>
      </c>
      <c r="D262" s="34">
        <v>7.93</v>
      </c>
      <c r="E262" s="34">
        <v>0.1</v>
      </c>
      <c r="F262" s="41">
        <v>1.74</v>
      </c>
      <c r="G262" s="34">
        <v>0.09</v>
      </c>
      <c r="H262" s="34">
        <v>0.22</v>
      </c>
      <c r="I262" s="34">
        <v>0.04</v>
      </c>
      <c r="J262" s="34">
        <v>1.68</v>
      </c>
      <c r="K262" s="34">
        <v>0.18</v>
      </c>
      <c r="L262" s="34">
        <v>90.8</v>
      </c>
    </row>
    <row r="263" spans="1:30" s="34" customFormat="1" x14ac:dyDescent="0.25">
      <c r="A263" s="38">
        <v>809746</v>
      </c>
      <c r="B263" s="41">
        <v>63.25</v>
      </c>
      <c r="D263" s="34">
        <v>9.41</v>
      </c>
      <c r="E263" s="34">
        <v>5</v>
      </c>
      <c r="F263" s="41">
        <v>3.92</v>
      </c>
      <c r="G263" s="34">
        <v>1.24</v>
      </c>
      <c r="H263" s="34">
        <v>3.45</v>
      </c>
      <c r="I263" s="34">
        <v>0.56999999999999995</v>
      </c>
      <c r="J263" s="34">
        <v>4.5999999999999996</v>
      </c>
      <c r="K263" s="34">
        <v>1.07</v>
      </c>
      <c r="L263" s="34">
        <v>61.4</v>
      </c>
    </row>
    <row r="264" spans="1:30" s="34" customFormat="1" x14ac:dyDescent="0.25">
      <c r="A264" s="38">
        <v>809750</v>
      </c>
      <c r="B264" s="41">
        <v>71.08</v>
      </c>
      <c r="D264" s="34">
        <v>8.32</v>
      </c>
      <c r="E264" s="34">
        <v>3.03</v>
      </c>
      <c r="F264" s="41">
        <v>2.27</v>
      </c>
      <c r="G264" s="34">
        <v>0.33</v>
      </c>
      <c r="H264" s="34">
        <v>1.06</v>
      </c>
      <c r="I264" s="34">
        <v>0.62</v>
      </c>
      <c r="J264" s="34">
        <v>5.88</v>
      </c>
      <c r="K264" s="34">
        <v>0.9</v>
      </c>
      <c r="L264" s="34">
        <v>17</v>
      </c>
      <c r="M264" s="34">
        <v>91.99</v>
      </c>
      <c r="N264" s="34">
        <v>30.85</v>
      </c>
      <c r="O264" s="34">
        <v>502.35</v>
      </c>
      <c r="P264" s="34">
        <v>30947.86</v>
      </c>
      <c r="Q264" s="34">
        <v>22.82</v>
      </c>
    </row>
    <row r="265" spans="1:30" s="34" customFormat="1" x14ac:dyDescent="0.25">
      <c r="A265" s="38">
        <v>809751</v>
      </c>
      <c r="B265" s="41">
        <v>69.650000000000006</v>
      </c>
      <c r="D265" s="34">
        <v>7.64</v>
      </c>
      <c r="E265" s="34">
        <v>2.56</v>
      </c>
      <c r="F265" s="41">
        <v>4.2</v>
      </c>
      <c r="G265" s="41">
        <v>1</v>
      </c>
      <c r="H265" s="34">
        <v>0.89</v>
      </c>
      <c r="I265" s="34">
        <v>0.1</v>
      </c>
      <c r="J265" s="34">
        <v>5.73</v>
      </c>
      <c r="K265" s="34">
        <v>0.96</v>
      </c>
      <c r="L265" s="34">
        <v>27.8</v>
      </c>
      <c r="M265" s="34">
        <v>175.52</v>
      </c>
      <c r="N265" s="34">
        <v>66.569999999999993</v>
      </c>
      <c r="O265" s="34">
        <v>625.86</v>
      </c>
      <c r="P265" s="34">
        <v>30108.77</v>
      </c>
      <c r="Q265" s="34">
        <v>16.079999999999998</v>
      </c>
    </row>
    <row r="266" spans="1:30" s="34" customFormat="1" x14ac:dyDescent="0.25">
      <c r="A266" s="38">
        <v>809752</v>
      </c>
      <c r="B266" s="41">
        <v>73.569999999999993</v>
      </c>
      <c r="D266" s="34">
        <v>8.4</v>
      </c>
      <c r="E266" s="34">
        <v>1.62</v>
      </c>
      <c r="F266" s="41">
        <v>5.38</v>
      </c>
      <c r="G266" s="34">
        <v>1.74</v>
      </c>
      <c r="H266" s="34">
        <v>0.83</v>
      </c>
      <c r="I266" s="34">
        <v>0.11</v>
      </c>
      <c r="J266" s="34">
        <v>4.8</v>
      </c>
      <c r="K266" s="34">
        <v>0.92</v>
      </c>
      <c r="L266" s="34">
        <v>56.4</v>
      </c>
      <c r="M266" s="34">
        <v>170.39</v>
      </c>
      <c r="N266" s="34">
        <v>57.07</v>
      </c>
      <c r="O266" s="34">
        <v>418.47</v>
      </c>
      <c r="P266" s="34">
        <v>10032.93</v>
      </c>
      <c r="Q266" s="34">
        <v>13.3</v>
      </c>
    </row>
    <row r="267" spans="1:30" s="34" customFormat="1" x14ac:dyDescent="0.25">
      <c r="A267" s="38">
        <v>809747</v>
      </c>
      <c r="B267" s="41">
        <v>61.77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34">
        <v>136.44</v>
      </c>
      <c r="N267" s="34">
        <v>54.06</v>
      </c>
      <c r="O267" s="34">
        <v>448.75</v>
      </c>
      <c r="P267" s="34">
        <v>15617.22</v>
      </c>
      <c r="Q267" s="34">
        <v>42.2</v>
      </c>
      <c r="U267" s="34">
        <v>7.88</v>
      </c>
      <c r="V267" s="34">
        <v>1.5</v>
      </c>
      <c r="W267" s="34">
        <v>6.82</v>
      </c>
      <c r="X267" s="34">
        <v>32.880000000000003</v>
      </c>
      <c r="Z267" s="34">
        <v>34.450000000000003</v>
      </c>
      <c r="AA267" s="34">
        <v>19.600000000000001</v>
      </c>
      <c r="AB267" s="34">
        <v>84.49</v>
      </c>
      <c r="AC267" s="34">
        <v>5.61</v>
      </c>
      <c r="AD267" s="34">
        <v>7319.82</v>
      </c>
    </row>
    <row r="268" spans="1:30" s="34" customFormat="1" x14ac:dyDescent="0.25">
      <c r="A268" s="38">
        <v>809748</v>
      </c>
      <c r="B268" s="41">
        <v>68.42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34">
        <v>300.44</v>
      </c>
      <c r="N268" s="34">
        <v>151.88999999999999</v>
      </c>
      <c r="O268" s="34">
        <v>519.12</v>
      </c>
      <c r="P268" s="34">
        <v>9197.77</v>
      </c>
      <c r="Q268" s="34">
        <v>54.19</v>
      </c>
      <c r="U268" s="34">
        <v>5.7</v>
      </c>
      <c r="V268" s="34">
        <v>1.08</v>
      </c>
      <c r="W268" s="34">
        <v>4.92</v>
      </c>
      <c r="X268" s="34">
        <v>20.83</v>
      </c>
      <c r="Z268" s="34">
        <v>22.59</v>
      </c>
      <c r="AA268" s="34">
        <v>14.58</v>
      </c>
      <c r="AB268" s="34">
        <v>54.02</v>
      </c>
      <c r="AC268" s="34">
        <v>7.74</v>
      </c>
      <c r="AD268" s="34">
        <v>9575.02</v>
      </c>
    </row>
    <row r="269" spans="1:30" s="34" customFormat="1" x14ac:dyDescent="0.25">
      <c r="A269" s="38">
        <v>809749</v>
      </c>
      <c r="B269" s="41">
        <v>84.1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34">
        <v>275.29000000000002</v>
      </c>
      <c r="N269" s="34">
        <v>41.67</v>
      </c>
      <c r="O269" s="34">
        <v>259.23</v>
      </c>
      <c r="P269" s="34">
        <v>1049.23</v>
      </c>
      <c r="Q269" s="34">
        <v>32.840000000000003</v>
      </c>
      <c r="U269" s="34">
        <v>2.4300000000000002</v>
      </c>
      <c r="V269" s="34">
        <v>0.5</v>
      </c>
      <c r="W269" s="34">
        <v>1.95</v>
      </c>
      <c r="X269" s="34">
        <v>6.19</v>
      </c>
      <c r="Z269" s="34">
        <v>3.37</v>
      </c>
      <c r="AA269" s="34">
        <v>10.33</v>
      </c>
      <c r="AB269" s="34">
        <v>5.14</v>
      </c>
      <c r="AC269" s="34">
        <v>3.45</v>
      </c>
      <c r="AD269" s="34">
        <v>9663.2800000000007</v>
      </c>
    </row>
    <row r="270" spans="1:30" s="34" customFormat="1" x14ac:dyDescent="0.25">
      <c r="A270" s="38">
        <v>809754</v>
      </c>
      <c r="B270" s="41">
        <v>36.549999999999997</v>
      </c>
      <c r="D270" s="34">
        <v>8.52</v>
      </c>
      <c r="E270" s="34">
        <v>2.87</v>
      </c>
      <c r="F270" s="41">
        <v>1.6</v>
      </c>
      <c r="G270" s="41">
        <v>0.35</v>
      </c>
      <c r="H270" s="34">
        <v>0.95</v>
      </c>
      <c r="I270" s="34">
        <v>0.46</v>
      </c>
      <c r="J270" s="34">
        <v>4.24</v>
      </c>
      <c r="K270" s="34">
        <v>0.45</v>
      </c>
      <c r="L270" s="34">
        <v>37.4</v>
      </c>
    </row>
    <row r="271" spans="1:30" s="34" customFormat="1" x14ac:dyDescent="0.25">
      <c r="A271" s="38">
        <v>809755</v>
      </c>
      <c r="B271" s="41">
        <v>23.23</v>
      </c>
      <c r="D271" s="34">
        <v>8.91</v>
      </c>
      <c r="E271" s="34">
        <v>4.5199999999999996</v>
      </c>
      <c r="F271" s="41">
        <v>2.2000000000000002</v>
      </c>
      <c r="G271" s="41">
        <v>0.49</v>
      </c>
      <c r="H271" s="34">
        <v>1.78</v>
      </c>
      <c r="I271" s="34">
        <v>0.99</v>
      </c>
      <c r="J271" s="34">
        <v>4.2</v>
      </c>
      <c r="K271" s="34">
        <v>0.48</v>
      </c>
      <c r="L271" s="34">
        <v>61</v>
      </c>
    </row>
    <row r="272" spans="1:30" s="34" customFormat="1" x14ac:dyDescent="0.25">
      <c r="A272" s="38">
        <v>809756</v>
      </c>
      <c r="B272" s="41">
        <v>63.74</v>
      </c>
      <c r="D272" s="34">
        <v>8.09</v>
      </c>
      <c r="E272" s="34">
        <v>5.8</v>
      </c>
      <c r="F272" s="41">
        <v>2.8</v>
      </c>
      <c r="G272" s="41">
        <v>0.88</v>
      </c>
      <c r="H272" s="34">
        <v>1.37</v>
      </c>
      <c r="I272" s="34">
        <v>0.54</v>
      </c>
      <c r="J272" s="34">
        <v>3.11</v>
      </c>
      <c r="K272" s="34">
        <v>0.45</v>
      </c>
      <c r="L272" s="34">
        <v>45</v>
      </c>
    </row>
    <row r="273" spans="1:12" s="34" customFormat="1" x14ac:dyDescent="0.25">
      <c r="A273" s="38">
        <v>809757</v>
      </c>
      <c r="B273" s="41">
        <v>69.09</v>
      </c>
      <c r="D273" s="34">
        <v>5.41</v>
      </c>
      <c r="E273" s="34">
        <v>0.48</v>
      </c>
      <c r="F273" s="41">
        <v>2.1</v>
      </c>
      <c r="G273" s="41">
        <v>0.12</v>
      </c>
      <c r="H273" s="34">
        <v>0.56999999999999995</v>
      </c>
      <c r="I273" s="34">
        <v>0.1</v>
      </c>
      <c r="J273" s="34">
        <v>0.63</v>
      </c>
      <c r="K273" s="34">
        <v>0.09</v>
      </c>
      <c r="L273" s="34">
        <v>94.8</v>
      </c>
    </row>
    <row r="274" spans="1:12" s="34" customFormat="1" x14ac:dyDescent="0.25">
      <c r="A274" s="38">
        <v>809758</v>
      </c>
      <c r="B274" s="41">
        <v>47.61</v>
      </c>
      <c r="D274" s="34">
        <v>7.29</v>
      </c>
      <c r="E274" s="34">
        <v>0.45</v>
      </c>
      <c r="F274" s="41">
        <v>2.1</v>
      </c>
      <c r="G274" s="41">
        <v>0.43</v>
      </c>
      <c r="H274" s="34">
        <v>1.59</v>
      </c>
      <c r="I274" s="34">
        <v>0.44</v>
      </c>
      <c r="J274" s="34">
        <v>0.83</v>
      </c>
      <c r="K274" s="34">
        <v>0.24</v>
      </c>
      <c r="L274" s="34">
        <v>85</v>
      </c>
    </row>
    <row r="275" spans="1:12" s="34" customFormat="1" x14ac:dyDescent="0.25">
      <c r="A275" s="38">
        <v>809759</v>
      </c>
      <c r="B275" s="41">
        <v>56.11</v>
      </c>
      <c r="D275" s="34">
        <v>7.71</v>
      </c>
      <c r="E275" s="34">
        <v>2.73</v>
      </c>
      <c r="F275" s="41">
        <v>2.9</v>
      </c>
      <c r="G275" s="41">
        <v>0.86</v>
      </c>
      <c r="H275" s="34">
        <v>1.38</v>
      </c>
      <c r="I275" s="34">
        <v>0.32</v>
      </c>
      <c r="J275" s="34">
        <v>3.28</v>
      </c>
      <c r="K275" s="34">
        <v>0.66</v>
      </c>
      <c r="L275" s="34">
        <v>44</v>
      </c>
    </row>
    <row r="276" spans="1:12" s="34" customFormat="1" x14ac:dyDescent="0.25">
      <c r="A276" s="38">
        <v>809760</v>
      </c>
      <c r="B276" s="41">
        <v>55.2</v>
      </c>
      <c r="D276" s="34">
        <v>8.3800000000000008</v>
      </c>
      <c r="E276" s="34">
        <v>1.53</v>
      </c>
      <c r="F276" s="41">
        <v>3.4</v>
      </c>
      <c r="G276" s="41">
        <v>0.6</v>
      </c>
      <c r="H276" s="34">
        <v>2.1800000000000002</v>
      </c>
      <c r="I276" s="34">
        <v>1.0900000000000001</v>
      </c>
      <c r="J276" s="34">
        <v>2.2799999999999998</v>
      </c>
      <c r="K276" s="34">
        <v>0.56000000000000005</v>
      </c>
      <c r="L276" s="34">
        <v>69.400000000000006</v>
      </c>
    </row>
    <row r="277" spans="1:12" s="34" customFormat="1" x14ac:dyDescent="0.25">
      <c r="A277" s="38">
        <v>809761</v>
      </c>
      <c r="B277" s="41">
        <v>31.85</v>
      </c>
      <c r="D277" s="34">
        <v>8.16</v>
      </c>
      <c r="E277" s="34">
        <v>5.45</v>
      </c>
      <c r="F277" s="41">
        <v>1.8</v>
      </c>
      <c r="G277" s="41">
        <v>0.39</v>
      </c>
      <c r="H277" s="34">
        <v>1.95</v>
      </c>
      <c r="I277" s="34">
        <v>1.06</v>
      </c>
      <c r="J277" s="34">
        <v>8.5399999999999991</v>
      </c>
      <c r="K277" s="34">
        <v>0.56999999999999995</v>
      </c>
      <c r="L277" s="34">
        <v>32.799999999999997</v>
      </c>
    </row>
    <row r="278" spans="1:12" s="34" customFormat="1" x14ac:dyDescent="0.25">
      <c r="A278" s="38">
        <v>809762</v>
      </c>
      <c r="B278" s="41">
        <v>28.36</v>
      </c>
      <c r="D278" s="34">
        <v>8.9</v>
      </c>
      <c r="E278" s="34">
        <v>2.35</v>
      </c>
      <c r="F278" s="41">
        <v>2.4</v>
      </c>
      <c r="G278" s="41">
        <v>1.04</v>
      </c>
      <c r="H278" s="34">
        <v>2.2599999999999998</v>
      </c>
      <c r="I278" s="34">
        <v>0.48</v>
      </c>
      <c r="J278" s="34">
        <v>1.2</v>
      </c>
      <c r="K278" s="34">
        <v>0.74</v>
      </c>
      <c r="L278" s="34">
        <v>76.599999999999994</v>
      </c>
    </row>
    <row r="279" spans="1:12" s="34" customFormat="1" x14ac:dyDescent="0.25">
      <c r="A279" s="38">
        <v>809763</v>
      </c>
      <c r="B279" s="41">
        <v>21.12</v>
      </c>
      <c r="D279" s="34">
        <v>8.83</v>
      </c>
      <c r="E279" s="34">
        <v>4.7300000000000004</v>
      </c>
      <c r="F279" s="41">
        <v>2.2999999999999998</v>
      </c>
      <c r="G279" s="41">
        <v>0.67</v>
      </c>
      <c r="H279" s="34">
        <v>2.73</v>
      </c>
      <c r="I279" s="34">
        <v>1.02</v>
      </c>
      <c r="J279" s="34">
        <v>2.13</v>
      </c>
      <c r="K279" s="34">
        <v>0.69</v>
      </c>
      <c r="L279" s="34">
        <v>76.8</v>
      </c>
    </row>
    <row r="280" spans="1:12" s="34" customFormat="1" x14ac:dyDescent="0.25">
      <c r="A280" s="38">
        <v>809764</v>
      </c>
      <c r="B280" s="41">
        <v>16.350000000000001</v>
      </c>
      <c r="D280" s="34">
        <v>8.74</v>
      </c>
      <c r="E280" s="34">
        <v>2.57</v>
      </c>
      <c r="F280" s="41">
        <v>2</v>
      </c>
      <c r="G280" s="41">
        <v>0.5</v>
      </c>
      <c r="H280" s="34">
        <v>1.57</v>
      </c>
      <c r="I280" s="34">
        <v>0.33</v>
      </c>
      <c r="J280" s="34">
        <v>1.58</v>
      </c>
      <c r="K280" s="34">
        <v>0.6</v>
      </c>
      <c r="L280" s="34">
        <v>95</v>
      </c>
    </row>
    <row r="281" spans="1:12" s="34" customFormat="1" x14ac:dyDescent="0.25">
      <c r="A281" s="38">
        <v>809765</v>
      </c>
      <c r="B281" s="41">
        <v>23.23</v>
      </c>
      <c r="D281" s="34">
        <v>8.6999999999999993</v>
      </c>
      <c r="E281" s="34">
        <v>1.67</v>
      </c>
      <c r="F281" s="41">
        <v>2.2999999999999998</v>
      </c>
      <c r="G281" s="41">
        <v>0.64</v>
      </c>
      <c r="H281" s="34">
        <v>1.82</v>
      </c>
      <c r="I281" s="34">
        <v>0.49</v>
      </c>
      <c r="J281" s="34">
        <v>1.56</v>
      </c>
      <c r="K281" s="34">
        <v>0.56999999999999995</v>
      </c>
      <c r="L281" s="34">
        <v>63</v>
      </c>
    </row>
    <row r="282" spans="1:12" s="34" customFormat="1" x14ac:dyDescent="0.25">
      <c r="A282" s="38">
        <v>809766</v>
      </c>
      <c r="B282" s="41">
        <v>68.09</v>
      </c>
      <c r="D282" s="34">
        <v>8.92</v>
      </c>
      <c r="E282" s="34">
        <v>7.34</v>
      </c>
      <c r="F282" s="41">
        <v>1.8</v>
      </c>
      <c r="G282" s="41">
        <v>0.47</v>
      </c>
      <c r="H282" s="34">
        <v>2.16</v>
      </c>
      <c r="I282" s="34">
        <v>1.42</v>
      </c>
      <c r="J282" s="34">
        <v>5.52</v>
      </c>
      <c r="K282" s="34">
        <v>0.64</v>
      </c>
      <c r="L282" s="34">
        <v>37.4</v>
      </c>
    </row>
    <row r="283" spans="1:12" s="34" customFormat="1" x14ac:dyDescent="0.25">
      <c r="A283" s="38">
        <v>809767</v>
      </c>
      <c r="B283" s="41">
        <v>60.21</v>
      </c>
      <c r="D283" s="34">
        <v>8.36</v>
      </c>
      <c r="E283" s="34">
        <v>6.53</v>
      </c>
      <c r="F283" s="41">
        <v>2</v>
      </c>
      <c r="G283" s="41">
        <v>0.7</v>
      </c>
      <c r="H283" s="34">
        <v>2.2599999999999998</v>
      </c>
      <c r="I283" s="34">
        <v>0.5</v>
      </c>
      <c r="J283" s="34">
        <v>5.89</v>
      </c>
      <c r="K283" s="34">
        <v>0.81</v>
      </c>
      <c r="L283" s="34">
        <v>36.799999999999997</v>
      </c>
    </row>
    <row r="284" spans="1:12" s="34" customFormat="1" x14ac:dyDescent="0.25">
      <c r="A284" s="46">
        <v>909004</v>
      </c>
      <c r="B284" s="47">
        <v>54.799029086271453</v>
      </c>
      <c r="C284" s="48"/>
      <c r="D284" s="49"/>
      <c r="E284" s="49"/>
      <c r="F284" s="47">
        <v>1.3446431999999999</v>
      </c>
      <c r="G284" s="50"/>
      <c r="H284" s="50"/>
      <c r="I284" s="50"/>
      <c r="J284" s="50"/>
      <c r="K284" s="50"/>
      <c r="L284" s="47">
        <v>43.599999999999994</v>
      </c>
    </row>
    <row r="285" spans="1:12" s="34" customFormat="1" x14ac:dyDescent="0.25">
      <c r="A285" s="46">
        <v>909005</v>
      </c>
      <c r="B285" s="47">
        <v>55.066038607185739</v>
      </c>
      <c r="C285" s="48"/>
      <c r="D285" s="49"/>
      <c r="E285" s="49"/>
      <c r="F285" s="47">
        <v>1.4286833999999999</v>
      </c>
      <c r="G285" s="50"/>
      <c r="H285" s="50"/>
      <c r="I285" s="50"/>
      <c r="J285" s="50"/>
      <c r="K285" s="50"/>
      <c r="L285" s="47">
        <v>46.400000000000006</v>
      </c>
    </row>
    <row r="286" spans="1:12" s="34" customFormat="1" x14ac:dyDescent="0.25">
      <c r="A286" s="46">
        <v>909006</v>
      </c>
      <c r="B286" s="47">
        <v>55.898366606170605</v>
      </c>
      <c r="C286" s="48"/>
      <c r="D286" s="49"/>
      <c r="E286" s="49"/>
      <c r="F286" s="47">
        <v>1.4847102000000001</v>
      </c>
      <c r="G286" s="50"/>
      <c r="H286" s="50"/>
      <c r="I286" s="50"/>
      <c r="J286" s="50"/>
      <c r="K286" s="50"/>
      <c r="L286" s="47">
        <v>44.600000000000087</v>
      </c>
    </row>
    <row r="287" spans="1:12" s="34" customFormat="1" x14ac:dyDescent="0.25">
      <c r="A287" s="239">
        <v>909007</v>
      </c>
      <c r="B287" s="34">
        <v>60.23</v>
      </c>
      <c r="L287" s="34">
        <v>55.19999999999996</v>
      </c>
    </row>
    <row r="288" spans="1:12" s="34" customFormat="1" x14ac:dyDescent="0.25">
      <c r="A288" s="239">
        <v>909000</v>
      </c>
      <c r="B288" s="41">
        <v>63.447632376953592</v>
      </c>
      <c r="C288" s="236"/>
      <c r="D288" s="238">
        <v>9.5860000000000003</v>
      </c>
      <c r="E288" s="238">
        <v>3.1</v>
      </c>
      <c r="F288" s="241">
        <v>2.4651792000000006</v>
      </c>
      <c r="G288" s="34">
        <v>0.7</v>
      </c>
      <c r="H288" s="34">
        <v>2.5</v>
      </c>
      <c r="I288" s="34">
        <v>0.57999999999999996</v>
      </c>
      <c r="J288" s="34">
        <v>7.9</v>
      </c>
      <c r="K288" s="34">
        <v>0.93</v>
      </c>
      <c r="L288" s="41">
        <v>48.800000000000097</v>
      </c>
    </row>
    <row r="289" spans="1:30" s="34" customFormat="1" x14ac:dyDescent="0.25">
      <c r="A289" s="239">
        <v>909001</v>
      </c>
      <c r="B289" s="41">
        <v>61.360550082986641</v>
      </c>
      <c r="C289" s="236"/>
      <c r="D289" s="238">
        <v>9.42</v>
      </c>
      <c r="E289" s="238">
        <v>3.35</v>
      </c>
      <c r="F289" s="241">
        <v>2.241072</v>
      </c>
      <c r="G289" s="34">
        <v>0.5</v>
      </c>
      <c r="H289" s="34">
        <v>2.3199999999999998</v>
      </c>
      <c r="I289" s="34">
        <v>0.42</v>
      </c>
      <c r="J289" s="34">
        <v>7.05</v>
      </c>
      <c r="K289" s="34">
        <v>0.93</v>
      </c>
      <c r="L289" s="41">
        <v>41.000000000000078</v>
      </c>
    </row>
    <row r="290" spans="1:30" s="34" customFormat="1" x14ac:dyDescent="0.25">
      <c r="A290" s="239">
        <v>909002</v>
      </c>
      <c r="B290" s="41">
        <v>46.914393639917428</v>
      </c>
      <c r="C290" s="236"/>
      <c r="D290" s="238">
        <v>8.92</v>
      </c>
      <c r="E290" s="238">
        <v>3.2</v>
      </c>
      <c r="F290" s="241">
        <v>2.2970988000000006</v>
      </c>
      <c r="G290" s="34">
        <v>0.71</v>
      </c>
      <c r="H290" s="34">
        <v>2.54</v>
      </c>
      <c r="I290" s="34">
        <v>0.52</v>
      </c>
      <c r="J290" s="34">
        <v>5.47</v>
      </c>
      <c r="K290" s="34">
        <v>0.84</v>
      </c>
      <c r="L290" s="41">
        <v>53.000000000000114</v>
      </c>
    </row>
    <row r="291" spans="1:30" s="34" customFormat="1" x14ac:dyDescent="0.25">
      <c r="A291" s="239">
        <v>909003</v>
      </c>
      <c r="B291" s="41">
        <v>55.802007008601464</v>
      </c>
      <c r="C291" s="236"/>
      <c r="D291" s="238">
        <v>8.98</v>
      </c>
      <c r="E291" s="238">
        <v>3.7</v>
      </c>
      <c r="F291" s="241">
        <v>2.0169648000000002</v>
      </c>
      <c r="G291" s="34">
        <v>0.57999999999999996</v>
      </c>
      <c r="H291" s="34">
        <v>2.14</v>
      </c>
      <c r="I291" s="34">
        <v>0.48</v>
      </c>
      <c r="J291" s="34">
        <v>7.88</v>
      </c>
      <c r="K291" s="34">
        <v>1.65</v>
      </c>
      <c r="L291" s="41">
        <v>52.199999999999989</v>
      </c>
    </row>
    <row r="292" spans="1:30" s="34" customFormat="1" x14ac:dyDescent="0.25">
      <c r="A292" s="239">
        <v>909008</v>
      </c>
      <c r="B292" s="41">
        <v>53.609638953295793</v>
      </c>
      <c r="C292" s="236"/>
      <c r="D292" s="238">
        <v>8.5</v>
      </c>
      <c r="E292" s="238">
        <v>1.72</v>
      </c>
      <c r="F292" s="241">
        <v>2.7453132000000009</v>
      </c>
      <c r="G292" s="34">
        <v>0.54</v>
      </c>
      <c r="H292" s="34">
        <v>1.19</v>
      </c>
      <c r="I292" s="34">
        <v>0.23</v>
      </c>
      <c r="J292" s="34">
        <v>0.92</v>
      </c>
      <c r="K292" s="34">
        <v>0.36</v>
      </c>
      <c r="L292" s="41">
        <v>34.332533972821707</v>
      </c>
    </row>
    <row r="293" spans="1:30" s="34" customFormat="1" x14ac:dyDescent="0.25">
      <c r="A293" s="239">
        <v>909009</v>
      </c>
      <c r="B293" s="41">
        <v>39.177142857142854</v>
      </c>
      <c r="C293" s="236"/>
      <c r="D293" s="238">
        <v>9.76</v>
      </c>
      <c r="E293" s="238">
        <v>1.26</v>
      </c>
      <c r="F293" s="241">
        <v>3.6417419999999998</v>
      </c>
      <c r="G293" s="34">
        <v>0.93</v>
      </c>
      <c r="H293" s="34">
        <v>1.5</v>
      </c>
      <c r="I293" s="34">
        <v>0.1</v>
      </c>
      <c r="J293" s="34">
        <v>0.66</v>
      </c>
      <c r="K293" s="34">
        <v>0.48</v>
      </c>
      <c r="L293" s="41">
        <v>67.470832509392864</v>
      </c>
    </row>
    <row r="294" spans="1:30" s="34" customFormat="1" x14ac:dyDescent="0.25">
      <c r="A294" s="239">
        <v>909010</v>
      </c>
      <c r="B294" s="41">
        <v>56.099525795577897</v>
      </c>
      <c r="C294" s="236"/>
      <c r="D294" s="238">
        <v>9.01</v>
      </c>
      <c r="E294" s="238">
        <v>1.91</v>
      </c>
      <c r="F294" s="241">
        <v>2.4651792000000006</v>
      </c>
      <c r="G294" s="34">
        <v>0.59</v>
      </c>
      <c r="H294" s="34">
        <v>1.08</v>
      </c>
      <c r="I294" s="34">
        <v>0.18</v>
      </c>
      <c r="J294" s="34">
        <v>1.56</v>
      </c>
      <c r="K294" s="34">
        <v>0.41</v>
      </c>
      <c r="L294" s="41">
        <v>30.069930069930066</v>
      </c>
    </row>
    <row r="295" spans="1:30" s="34" customFormat="1" x14ac:dyDescent="0.25">
      <c r="A295" s="239">
        <v>909011</v>
      </c>
      <c r="B295" s="41">
        <v>53.116617080427254</v>
      </c>
      <c r="C295" s="236"/>
      <c r="D295" s="238">
        <v>7.9</v>
      </c>
      <c r="E295" s="238">
        <v>1.0900000000000001</v>
      </c>
      <c r="F295" s="241">
        <v>4.2860502</v>
      </c>
      <c r="G295" s="34">
        <v>0.43</v>
      </c>
      <c r="H295" s="34">
        <v>0.84</v>
      </c>
      <c r="I295" s="34">
        <v>0.15</v>
      </c>
      <c r="J295" s="34">
        <v>0.67</v>
      </c>
      <c r="K295" s="34">
        <v>0.35</v>
      </c>
      <c r="L295" s="41">
        <v>32.619896948077724</v>
      </c>
    </row>
    <row r="296" spans="1:30" s="34" customFormat="1" x14ac:dyDescent="0.25">
      <c r="A296" s="239">
        <v>909012</v>
      </c>
      <c r="B296" s="41">
        <v>55.303382734099827</v>
      </c>
      <c r="C296" s="236"/>
      <c r="D296" s="238">
        <v>7.93</v>
      </c>
      <c r="E296" s="238">
        <v>1.4</v>
      </c>
      <c r="F296" s="241">
        <v>3.3896214000000007</v>
      </c>
      <c r="G296" s="34">
        <v>0.59</v>
      </c>
      <c r="H296" s="34">
        <v>1.02</v>
      </c>
      <c r="I296" s="34">
        <v>0.18</v>
      </c>
      <c r="J296" s="34">
        <v>0.83</v>
      </c>
      <c r="K296" s="34">
        <v>0.43</v>
      </c>
      <c r="L296" s="41">
        <v>34.005994005994054</v>
      </c>
    </row>
    <row r="297" spans="1:30" s="34" customFormat="1" x14ac:dyDescent="0.25">
      <c r="A297" s="239">
        <v>909013</v>
      </c>
      <c r="B297" s="41">
        <v>61.53200958575831</v>
      </c>
      <c r="C297" s="236"/>
      <c r="D297" s="238">
        <v>8.83</v>
      </c>
      <c r="E297" s="238">
        <v>2.35</v>
      </c>
      <c r="F297" s="241">
        <v>6.1069212000000004</v>
      </c>
      <c r="G297" s="34">
        <v>0.65</v>
      </c>
      <c r="H297" s="34">
        <v>1.24</v>
      </c>
      <c r="I297" s="34">
        <v>0.24</v>
      </c>
      <c r="J297" s="34">
        <v>2.04</v>
      </c>
      <c r="K297" s="34">
        <v>0.41</v>
      </c>
      <c r="L297" s="41">
        <v>33.865877712031661</v>
      </c>
    </row>
    <row r="298" spans="1:30" s="34" customFormat="1" x14ac:dyDescent="0.25">
      <c r="A298" s="239">
        <v>909014</v>
      </c>
      <c r="B298" s="41">
        <v>59.997293456932134</v>
      </c>
      <c r="C298" s="236"/>
      <c r="D298" s="238">
        <v>8.48</v>
      </c>
      <c r="E298" s="238">
        <v>1.78</v>
      </c>
      <c r="F298" s="241">
        <v>3.4176348000000005</v>
      </c>
      <c r="G298" s="34">
        <v>0.57999999999999996</v>
      </c>
      <c r="H298" s="34">
        <v>1.08</v>
      </c>
      <c r="I298" s="34">
        <v>0.23</v>
      </c>
      <c r="J298" s="34">
        <v>0.97</v>
      </c>
      <c r="K298" s="34">
        <v>0.38</v>
      </c>
      <c r="L298" s="41">
        <v>35.515873015873012</v>
      </c>
    </row>
    <row r="299" spans="1:30" s="34" customFormat="1" x14ac:dyDescent="0.25">
      <c r="A299" s="239">
        <v>909015</v>
      </c>
      <c r="B299" s="41">
        <v>58.0068865711862</v>
      </c>
      <c r="C299" s="236"/>
      <c r="D299" s="238">
        <v>8.2100000000000009</v>
      </c>
      <c r="E299" s="238">
        <v>1.71</v>
      </c>
      <c r="F299" s="241">
        <v>2.8013400000000006</v>
      </c>
      <c r="G299" s="34">
        <v>0.43</v>
      </c>
      <c r="H299" s="34">
        <v>1</v>
      </c>
      <c r="I299" s="34">
        <v>0.2</v>
      </c>
      <c r="J299" s="34">
        <v>0.9</v>
      </c>
      <c r="K299" s="34">
        <v>0.32</v>
      </c>
      <c r="L299" s="41">
        <v>31.353069739717895</v>
      </c>
    </row>
    <row r="300" spans="1:30" s="34" customFormat="1" x14ac:dyDescent="0.25">
      <c r="A300" s="239">
        <v>909016</v>
      </c>
      <c r="B300" s="41">
        <v>57.032789038217388</v>
      </c>
      <c r="C300" s="236"/>
      <c r="D300" s="238">
        <v>9.07</v>
      </c>
      <c r="E300" s="238">
        <v>1.8</v>
      </c>
      <c r="F300" s="241">
        <v>2.6892864000000003</v>
      </c>
      <c r="G300" s="34">
        <v>0.45</v>
      </c>
      <c r="H300" s="34">
        <v>1.31</v>
      </c>
      <c r="I300" s="34">
        <v>0.25</v>
      </c>
      <c r="J300" s="34">
        <v>0.81</v>
      </c>
      <c r="K300" s="34">
        <v>0.35</v>
      </c>
      <c r="L300" s="41">
        <v>32.853717026378902</v>
      </c>
    </row>
    <row r="301" spans="1:30" s="34" customFormat="1" x14ac:dyDescent="0.25">
      <c r="A301" s="239">
        <v>909017</v>
      </c>
      <c r="B301" s="41">
        <v>45.155472636815915</v>
      </c>
      <c r="C301" s="236"/>
      <c r="D301" s="238">
        <v>6.73</v>
      </c>
      <c r="E301" s="238">
        <v>1.24</v>
      </c>
      <c r="F301" s="241">
        <v>2.4651792000000006</v>
      </c>
      <c r="G301" s="34">
        <v>7.0000000000000007E-2</v>
      </c>
      <c r="H301" s="34">
        <v>0.46</v>
      </c>
      <c r="I301" s="34">
        <v>0.05</v>
      </c>
      <c r="J301" s="34">
        <v>0.63</v>
      </c>
      <c r="K301" s="34">
        <v>0.21</v>
      </c>
      <c r="L301" s="41">
        <v>86.35369007360255</v>
      </c>
      <c r="M301" s="34">
        <v>12.02</v>
      </c>
      <c r="N301" s="34">
        <v>3.2</v>
      </c>
      <c r="O301" s="34">
        <v>54.17</v>
      </c>
      <c r="P301" s="34">
        <v>1162.29</v>
      </c>
      <c r="Q301" s="34">
        <v>16.600000000000001</v>
      </c>
      <c r="U301" s="34">
        <v>1.0000000000000001E-5</v>
      </c>
      <c r="V301" s="34">
        <v>0.04</v>
      </c>
      <c r="W301" s="34">
        <v>0.5</v>
      </c>
      <c r="X301" s="34">
        <v>7.45</v>
      </c>
      <c r="Y301" s="34">
        <v>1E-3</v>
      </c>
      <c r="Z301" s="34">
        <v>2.87</v>
      </c>
      <c r="AA301" s="34">
        <v>3.28</v>
      </c>
      <c r="AB301" s="34">
        <v>2.2000000000000002</v>
      </c>
      <c r="AC301" s="34">
        <v>0.43</v>
      </c>
      <c r="AD301" s="34">
        <v>3498.41</v>
      </c>
    </row>
    <row r="302" spans="1:30" s="34" customFormat="1" x14ac:dyDescent="0.25">
      <c r="A302" s="239">
        <v>909018</v>
      </c>
      <c r="B302" s="41">
        <v>37.304800462695198</v>
      </c>
      <c r="C302" s="236"/>
      <c r="D302" s="238">
        <v>6.15</v>
      </c>
      <c r="E302" s="238">
        <v>1.17</v>
      </c>
      <c r="F302" s="241">
        <v>2.6052462000000007</v>
      </c>
      <c r="G302" s="34">
        <v>0.11</v>
      </c>
      <c r="H302" s="34">
        <v>0.43</v>
      </c>
      <c r="I302" s="34">
        <v>7.0000000000000007E-2</v>
      </c>
      <c r="J302" s="34">
        <v>0.72</v>
      </c>
      <c r="K302" s="34">
        <v>0.26</v>
      </c>
      <c r="L302" s="41">
        <v>84.581673306772885</v>
      </c>
      <c r="M302" s="34">
        <v>18.52</v>
      </c>
      <c r="N302" s="34">
        <v>5.05</v>
      </c>
      <c r="O302" s="34">
        <v>68.319999999999993</v>
      </c>
      <c r="P302" s="34">
        <v>1261.48</v>
      </c>
      <c r="Q302" s="34">
        <v>16.87</v>
      </c>
      <c r="U302" s="34">
        <v>1E-4</v>
      </c>
      <c r="V302" s="34">
        <v>0.03</v>
      </c>
      <c r="W302" s="34">
        <v>0.72</v>
      </c>
      <c r="X302" s="34">
        <v>2.77</v>
      </c>
      <c r="Y302" s="34">
        <v>1E-3</v>
      </c>
      <c r="Z302" s="34">
        <v>3.11</v>
      </c>
      <c r="AA302" s="34">
        <v>2.0499999999999998</v>
      </c>
      <c r="AB302" s="34">
        <v>2.02</v>
      </c>
      <c r="AC302" s="34">
        <v>0.08</v>
      </c>
      <c r="AD302" s="34">
        <v>7101.37</v>
      </c>
    </row>
    <row r="303" spans="1:30" s="34" customFormat="1" x14ac:dyDescent="0.25">
      <c r="A303" s="38">
        <v>909019</v>
      </c>
      <c r="B303" s="34">
        <v>29.81</v>
      </c>
      <c r="D303" s="34">
        <v>9.15</v>
      </c>
      <c r="E303" s="34">
        <v>3.22</v>
      </c>
      <c r="F303" s="34">
        <v>2.52</v>
      </c>
      <c r="G303" s="34">
        <v>0.87</v>
      </c>
      <c r="H303" s="34">
        <v>2.1</v>
      </c>
      <c r="I303" s="34">
        <v>0.42</v>
      </c>
      <c r="J303" s="34">
        <v>0.97</v>
      </c>
      <c r="K303" s="34">
        <v>0.64</v>
      </c>
      <c r="L303" s="34">
        <v>78.8</v>
      </c>
    </row>
    <row r="304" spans="1:30" s="34" customFormat="1" x14ac:dyDescent="0.25">
      <c r="A304" s="38">
        <v>909020</v>
      </c>
      <c r="B304" s="34">
        <v>56.66</v>
      </c>
      <c r="D304" s="34">
        <v>9.68</v>
      </c>
      <c r="E304" s="34">
        <v>1.1100000000000001</v>
      </c>
      <c r="F304" s="34">
        <v>2.33</v>
      </c>
      <c r="G304" s="34">
        <v>0.42</v>
      </c>
      <c r="H304" s="34">
        <v>1</v>
      </c>
      <c r="I304" s="34">
        <v>0.21</v>
      </c>
      <c r="J304" s="34">
        <v>3.58</v>
      </c>
      <c r="K304" s="34">
        <v>0.72</v>
      </c>
      <c r="L304" s="34">
        <v>43.2</v>
      </c>
    </row>
    <row r="305" spans="1:12" s="34" customFormat="1" x14ac:dyDescent="0.25">
      <c r="A305" s="38">
        <v>909021</v>
      </c>
      <c r="B305" s="34">
        <v>34.68</v>
      </c>
      <c r="D305" s="34">
        <v>9.5500000000000007</v>
      </c>
      <c r="E305" s="34">
        <v>1.33</v>
      </c>
      <c r="F305" s="34">
        <v>2.8</v>
      </c>
      <c r="G305" s="34">
        <v>0.69</v>
      </c>
      <c r="H305" s="34">
        <v>1.54</v>
      </c>
      <c r="I305" s="34">
        <v>0.18</v>
      </c>
      <c r="J305" s="34">
        <v>4.01</v>
      </c>
      <c r="K305" s="34">
        <v>0.79</v>
      </c>
      <c r="L305" s="34">
        <v>60</v>
      </c>
    </row>
    <row r="306" spans="1:12" s="34" customFormat="1" x14ac:dyDescent="0.25">
      <c r="A306" s="38">
        <v>909022</v>
      </c>
      <c r="B306" s="34">
        <v>55.97</v>
      </c>
      <c r="D306" s="34">
        <v>6.92</v>
      </c>
      <c r="E306" s="34">
        <v>1.1399999999999999</v>
      </c>
      <c r="F306" s="34">
        <v>1.74</v>
      </c>
      <c r="G306" s="34">
        <v>0.16</v>
      </c>
      <c r="H306" s="34">
        <v>0.99</v>
      </c>
      <c r="I306" s="34">
        <v>0.06</v>
      </c>
      <c r="J306" s="34">
        <v>6.19</v>
      </c>
      <c r="K306" s="34">
        <v>0.48</v>
      </c>
      <c r="L306" s="34">
        <v>67.599999999999994</v>
      </c>
    </row>
    <row r="307" spans="1:12" s="34" customFormat="1" x14ac:dyDescent="0.25">
      <c r="A307" s="38">
        <v>909023</v>
      </c>
      <c r="B307" s="34">
        <v>16.66</v>
      </c>
      <c r="D307" s="34">
        <v>9.4</v>
      </c>
      <c r="E307" s="34">
        <v>2.94</v>
      </c>
      <c r="F307" s="34">
        <v>2.44</v>
      </c>
      <c r="G307" s="34">
        <v>0.68</v>
      </c>
      <c r="H307" s="34">
        <v>1.44</v>
      </c>
      <c r="I307" s="34">
        <v>0.17</v>
      </c>
      <c r="J307" s="34">
        <v>3.52</v>
      </c>
      <c r="K307" s="34">
        <v>0.71</v>
      </c>
      <c r="L307" s="34">
        <v>78.2</v>
      </c>
    </row>
    <row r="308" spans="1:12" s="34" customFormat="1" x14ac:dyDescent="0.25">
      <c r="A308" s="38">
        <v>909024</v>
      </c>
      <c r="B308" s="34">
        <v>28.29</v>
      </c>
      <c r="D308" s="34">
        <v>8.68</v>
      </c>
      <c r="E308" s="34">
        <v>3.13</v>
      </c>
      <c r="F308" s="34">
        <v>2.4700000000000002</v>
      </c>
      <c r="G308" s="34">
        <v>0.89</v>
      </c>
      <c r="H308" s="34">
        <v>1.83</v>
      </c>
      <c r="I308" s="34">
        <v>0.28999999999999998</v>
      </c>
      <c r="J308" s="34">
        <v>1.47</v>
      </c>
      <c r="K308" s="34">
        <v>0.62</v>
      </c>
      <c r="L308" s="34">
        <v>65.2</v>
      </c>
    </row>
    <row r="309" spans="1:12" s="34" customFormat="1" x14ac:dyDescent="0.25">
      <c r="A309" s="38">
        <v>909025</v>
      </c>
      <c r="B309" s="34">
        <v>32.28</v>
      </c>
      <c r="D309" s="34">
        <v>9.48</v>
      </c>
      <c r="E309" s="34">
        <v>2.46</v>
      </c>
      <c r="F309" s="34">
        <v>2.4700000000000002</v>
      </c>
      <c r="G309" s="34">
        <v>1</v>
      </c>
      <c r="H309" s="34">
        <v>1.91</v>
      </c>
      <c r="I309" s="34">
        <v>0.33</v>
      </c>
      <c r="J309" s="34">
        <v>1.54</v>
      </c>
      <c r="K309" s="34">
        <v>0.69</v>
      </c>
      <c r="L309" s="34">
        <v>73</v>
      </c>
    </row>
    <row r="310" spans="1:12" s="34" customFormat="1" x14ac:dyDescent="0.25">
      <c r="A310" s="38">
        <v>909026</v>
      </c>
      <c r="B310" s="34">
        <v>28.52</v>
      </c>
      <c r="D310" s="34">
        <v>9.1</v>
      </c>
      <c r="E310" s="34">
        <v>4.3600000000000003</v>
      </c>
      <c r="F310" s="34">
        <v>2.27</v>
      </c>
      <c r="G310" s="34">
        <v>0.5</v>
      </c>
      <c r="H310" s="34">
        <v>1.8</v>
      </c>
      <c r="I310" s="34">
        <v>0.6</v>
      </c>
      <c r="J310" s="34">
        <v>1.9</v>
      </c>
      <c r="K310" s="34">
        <v>0.65</v>
      </c>
      <c r="L310" s="34">
        <v>73.599999999999994</v>
      </c>
    </row>
    <row r="311" spans="1:12" s="34" customFormat="1" x14ac:dyDescent="0.25">
      <c r="A311" s="38">
        <v>909027</v>
      </c>
      <c r="B311" s="34">
        <v>29.54</v>
      </c>
      <c r="D311" s="34">
        <v>9.49</v>
      </c>
      <c r="E311" s="34">
        <v>4.2300000000000004</v>
      </c>
      <c r="F311" s="34">
        <v>2.4700000000000002</v>
      </c>
      <c r="G311" s="34">
        <v>0.76</v>
      </c>
      <c r="H311" s="34">
        <v>2.42</v>
      </c>
      <c r="I311" s="34">
        <v>1.04</v>
      </c>
      <c r="J311" s="34">
        <v>2.63</v>
      </c>
      <c r="K311" s="34">
        <v>0.64</v>
      </c>
      <c r="L311" s="34">
        <v>47.4</v>
      </c>
    </row>
    <row r="312" spans="1:12" s="34" customFormat="1" x14ac:dyDescent="0.25">
      <c r="A312" s="38">
        <v>909028</v>
      </c>
      <c r="B312" s="34">
        <v>23.83</v>
      </c>
      <c r="D312" s="34">
        <v>9.44</v>
      </c>
      <c r="E312" s="34">
        <v>3.38</v>
      </c>
      <c r="F312" s="34">
        <v>2.75</v>
      </c>
      <c r="G312" s="34">
        <v>1.46</v>
      </c>
      <c r="H312" s="34">
        <v>2.93</v>
      </c>
      <c r="I312" s="34">
        <v>0.78</v>
      </c>
      <c r="J312" s="34">
        <v>0.95</v>
      </c>
      <c r="K312" s="34">
        <v>0.85</v>
      </c>
      <c r="L312" s="34">
        <v>79.2</v>
      </c>
    </row>
    <row r="313" spans="1:12" s="34" customFormat="1" x14ac:dyDescent="0.25">
      <c r="A313" s="38">
        <v>909029</v>
      </c>
      <c r="B313" s="34">
        <v>37.99</v>
      </c>
      <c r="D313" s="34">
        <v>8.5399999999999991</v>
      </c>
      <c r="E313" s="34">
        <v>2.77</v>
      </c>
      <c r="F313" s="34">
        <v>2.69</v>
      </c>
      <c r="G313" s="34">
        <v>0.97</v>
      </c>
      <c r="H313" s="34">
        <v>1.97</v>
      </c>
      <c r="I313" s="34">
        <v>0.8</v>
      </c>
      <c r="J313" s="34">
        <v>3.7</v>
      </c>
      <c r="K313" s="34">
        <v>0.75</v>
      </c>
      <c r="L313" s="34">
        <v>77.400000000000006</v>
      </c>
    </row>
    <row r="314" spans="1:12" s="34" customFormat="1" x14ac:dyDescent="0.25">
      <c r="A314" s="38">
        <v>909030</v>
      </c>
      <c r="B314" s="34">
        <v>30.1</v>
      </c>
      <c r="D314" s="34">
        <v>8.7799999999999994</v>
      </c>
      <c r="E314" s="34">
        <v>3.29</v>
      </c>
      <c r="F314" s="34">
        <v>2.86</v>
      </c>
      <c r="G314" s="34">
        <v>0.56999999999999995</v>
      </c>
      <c r="H314" s="34">
        <v>1.96</v>
      </c>
      <c r="I314" s="34">
        <v>0.65</v>
      </c>
      <c r="J314" s="34">
        <v>2.2999999999999998</v>
      </c>
      <c r="K314" s="34">
        <v>0.51</v>
      </c>
      <c r="L314" s="34">
        <v>81.2</v>
      </c>
    </row>
    <row r="315" spans="1:12" s="34" customFormat="1" x14ac:dyDescent="0.25">
      <c r="A315" s="38">
        <v>909031</v>
      </c>
      <c r="B315" s="34">
        <v>35.71</v>
      </c>
      <c r="D315" s="34">
        <v>8.5</v>
      </c>
      <c r="E315" s="34">
        <v>3.13</v>
      </c>
      <c r="F315" s="34">
        <v>2.94</v>
      </c>
      <c r="G315" s="34">
        <v>0.49</v>
      </c>
      <c r="H315" s="34">
        <v>1.6</v>
      </c>
      <c r="I315" s="34">
        <v>0.72</v>
      </c>
      <c r="J315" s="34">
        <v>1.53</v>
      </c>
      <c r="K315" s="34">
        <v>0.46</v>
      </c>
      <c r="L315" s="34">
        <v>78.400000000000006</v>
      </c>
    </row>
    <row r="316" spans="1:12" s="34" customFormat="1" x14ac:dyDescent="0.25">
      <c r="A316" s="38">
        <v>909032</v>
      </c>
      <c r="B316" s="34">
        <v>39.81</v>
      </c>
      <c r="D316" s="34">
        <v>9.8000000000000007</v>
      </c>
      <c r="E316" s="34">
        <v>6.6</v>
      </c>
      <c r="F316" s="34">
        <v>2.4700000000000002</v>
      </c>
      <c r="G316" s="34">
        <v>0.71</v>
      </c>
      <c r="H316" s="34">
        <v>2.0099999999999998</v>
      </c>
      <c r="I316" s="34">
        <v>1.18</v>
      </c>
      <c r="J316" s="34">
        <v>3.14</v>
      </c>
      <c r="K316" s="34">
        <v>0.7</v>
      </c>
      <c r="L316" s="34">
        <v>66.599999999999994</v>
      </c>
    </row>
    <row r="317" spans="1:12" s="34" customFormat="1" x14ac:dyDescent="0.25">
      <c r="A317" s="38">
        <v>909033</v>
      </c>
      <c r="B317" s="34">
        <v>47.92</v>
      </c>
      <c r="D317" s="34">
        <v>9.86</v>
      </c>
      <c r="E317" s="34">
        <v>3.46</v>
      </c>
      <c r="F317" s="34">
        <v>3.17</v>
      </c>
      <c r="G317" s="34">
        <v>0.99</v>
      </c>
      <c r="H317" s="34">
        <v>2.86</v>
      </c>
      <c r="I317" s="34">
        <v>1.57</v>
      </c>
      <c r="J317" s="34">
        <v>2.97</v>
      </c>
      <c r="K317" s="34">
        <v>0.76</v>
      </c>
      <c r="L317" s="34">
        <v>66</v>
      </c>
    </row>
    <row r="318" spans="1:12" s="34" customFormat="1" x14ac:dyDescent="0.25">
      <c r="A318" s="38">
        <v>909034</v>
      </c>
      <c r="B318" s="34">
        <v>55.4</v>
      </c>
      <c r="D318" s="34">
        <v>10.1</v>
      </c>
      <c r="E318" s="34">
        <v>2.78</v>
      </c>
      <c r="F318" s="34">
        <v>1.9</v>
      </c>
      <c r="G318" s="34">
        <v>0.51</v>
      </c>
      <c r="H318" s="34">
        <v>1.29</v>
      </c>
      <c r="I318" s="34">
        <v>0.43</v>
      </c>
      <c r="J318" s="34">
        <v>2.5299999999999998</v>
      </c>
      <c r="K318" s="34">
        <v>0.44</v>
      </c>
      <c r="L318" s="34">
        <v>27.2</v>
      </c>
    </row>
    <row r="319" spans="1:12" s="34" customFormat="1" x14ac:dyDescent="0.25">
      <c r="A319" s="38">
        <v>909035</v>
      </c>
      <c r="B319" s="34">
        <v>61.28</v>
      </c>
      <c r="D319" s="34">
        <v>9.99</v>
      </c>
      <c r="E319" s="34">
        <v>3.6</v>
      </c>
      <c r="F319" s="34">
        <v>2.0699999999999998</v>
      </c>
      <c r="G319" s="34">
        <v>0.65</v>
      </c>
      <c r="H319" s="34">
        <v>1.84</v>
      </c>
      <c r="I319" s="34">
        <v>0.57999999999999996</v>
      </c>
      <c r="J319" s="34">
        <v>4.47</v>
      </c>
      <c r="K319" s="34">
        <v>0.56999999999999995</v>
      </c>
      <c r="L319" s="34">
        <v>34.4</v>
      </c>
    </row>
    <row r="320" spans="1:12" s="34" customFormat="1" x14ac:dyDescent="0.25">
      <c r="A320" s="38">
        <v>909036</v>
      </c>
      <c r="B320" s="34">
        <v>41.5</v>
      </c>
      <c r="D320" s="34">
        <v>9.6999999999999993</v>
      </c>
      <c r="E320" s="34">
        <v>5.28</v>
      </c>
      <c r="F320" s="34">
        <v>2.75</v>
      </c>
      <c r="G320" s="34">
        <v>0.74</v>
      </c>
      <c r="H320" s="34">
        <v>3.32</v>
      </c>
      <c r="I320" s="34">
        <v>1.32</v>
      </c>
      <c r="J320" s="34">
        <v>4.8600000000000003</v>
      </c>
      <c r="K320" s="34">
        <v>0.55000000000000004</v>
      </c>
      <c r="L320" s="34">
        <v>72.2</v>
      </c>
    </row>
    <row r="321" spans="1:17" s="34" customFormat="1" x14ac:dyDescent="0.25">
      <c r="A321" s="38">
        <v>909037</v>
      </c>
      <c r="B321" s="34">
        <v>63.6</v>
      </c>
      <c r="D321" s="34">
        <v>10.08</v>
      </c>
      <c r="E321" s="34">
        <v>4.54</v>
      </c>
      <c r="F321" s="34">
        <v>2.2400000000000002</v>
      </c>
      <c r="G321" s="34">
        <v>0.82</v>
      </c>
      <c r="H321" s="34">
        <v>2.48</v>
      </c>
      <c r="I321" s="34">
        <v>0.52</v>
      </c>
      <c r="J321" s="34">
        <v>5.83</v>
      </c>
      <c r="K321" s="34">
        <v>0.9</v>
      </c>
      <c r="L321" s="34">
        <v>39.200000000000003</v>
      </c>
    </row>
    <row r="322" spans="1:17" s="34" customFormat="1" x14ac:dyDescent="0.25">
      <c r="A322" s="38">
        <v>909038</v>
      </c>
      <c r="B322" s="34">
        <v>68.459999999999994</v>
      </c>
      <c r="D322" s="34">
        <v>8.73</v>
      </c>
      <c r="E322" s="34">
        <v>7.1</v>
      </c>
      <c r="F322" s="34">
        <v>2.89</v>
      </c>
      <c r="G322" s="34">
        <v>1.05</v>
      </c>
      <c r="H322" s="34">
        <v>2.62</v>
      </c>
      <c r="I322" s="34">
        <v>0.46</v>
      </c>
      <c r="J322" s="34">
        <v>5.53</v>
      </c>
      <c r="K322" s="34">
        <v>0.92</v>
      </c>
      <c r="L322" s="34">
        <v>49.8</v>
      </c>
    </row>
    <row r="323" spans="1:17" s="34" customFormat="1" x14ac:dyDescent="0.25">
      <c r="A323" s="33">
        <v>909040</v>
      </c>
      <c r="B323" s="30">
        <v>76.598881857836204</v>
      </c>
      <c r="C323" s="31"/>
      <c r="D323" s="31">
        <v>9.9</v>
      </c>
      <c r="E323" s="31">
        <v>4.66</v>
      </c>
      <c r="F323" s="32">
        <v>4.1459832000000008</v>
      </c>
      <c r="G323" s="31">
        <v>1.24</v>
      </c>
      <c r="H323" s="31">
        <v>2.86</v>
      </c>
      <c r="I323" s="31">
        <v>0.05</v>
      </c>
      <c r="J323" s="31">
        <v>6.55</v>
      </c>
      <c r="K323" s="31">
        <v>1.07</v>
      </c>
      <c r="L323" s="32">
        <v>53.560000000000088</v>
      </c>
    </row>
    <row r="324" spans="1:17" s="34" customFormat="1" x14ac:dyDescent="0.25">
      <c r="A324" s="33">
        <v>909041</v>
      </c>
      <c r="B324" s="30">
        <v>56.820197884680987</v>
      </c>
      <c r="C324" s="31"/>
      <c r="D324" s="31">
        <v>4.63</v>
      </c>
      <c r="E324" s="31">
        <v>0.81</v>
      </c>
      <c r="F324" s="32">
        <v>2.661273</v>
      </c>
      <c r="G324" s="31">
        <v>0.17</v>
      </c>
      <c r="H324" s="31">
        <v>1.25</v>
      </c>
      <c r="I324" s="31">
        <v>0.21</v>
      </c>
      <c r="J324" s="31">
        <v>0.96</v>
      </c>
      <c r="K324" s="31">
        <v>0.17</v>
      </c>
      <c r="L324" s="32">
        <v>94.403357985208928</v>
      </c>
    </row>
    <row r="325" spans="1:17" s="34" customFormat="1" x14ac:dyDescent="0.25">
      <c r="A325" s="33">
        <v>909042</v>
      </c>
      <c r="B325" s="30">
        <v>66.744966442953015</v>
      </c>
      <c r="C325" s="31"/>
      <c r="D325" s="31">
        <v>9.68</v>
      </c>
      <c r="E325" s="31">
        <v>1.1100000000000001</v>
      </c>
      <c r="F325" s="32">
        <v>1.9049112000000001</v>
      </c>
      <c r="G325" s="31">
        <v>0.3</v>
      </c>
      <c r="H325" s="31">
        <v>1.92</v>
      </c>
      <c r="I325" s="31">
        <v>0.54</v>
      </c>
      <c r="J325" s="31">
        <v>4.4800000000000004</v>
      </c>
      <c r="K325" s="31">
        <v>1.52</v>
      </c>
      <c r="L325" s="32">
        <v>49.539999999999942</v>
      </c>
    </row>
    <row r="326" spans="1:17" s="34" customFormat="1" x14ac:dyDescent="0.25">
      <c r="A326" s="33">
        <v>909043</v>
      </c>
      <c r="B326" s="30">
        <v>43.908601559925295</v>
      </c>
      <c r="D326" s="31">
        <v>9.56</v>
      </c>
      <c r="E326" s="31">
        <v>2.69</v>
      </c>
      <c r="F326" s="32">
        <v>2.5772328000000004</v>
      </c>
      <c r="G326" s="31">
        <v>0.73</v>
      </c>
      <c r="H326" s="31">
        <v>2.4</v>
      </c>
      <c r="I326" s="31">
        <v>0.5</v>
      </c>
      <c r="J326" s="31">
        <v>2.69</v>
      </c>
      <c r="K326" s="31">
        <v>0.66</v>
      </c>
      <c r="L326" s="32">
        <v>70.999999999999943</v>
      </c>
    </row>
    <row r="327" spans="1:17" s="34" customFormat="1" x14ac:dyDescent="0.25">
      <c r="A327" s="33">
        <v>909044</v>
      </c>
      <c r="B327" s="30">
        <v>75.703186171173869</v>
      </c>
      <c r="D327" s="31">
        <v>9.91</v>
      </c>
      <c r="E327" s="31">
        <v>4.87</v>
      </c>
      <c r="F327" s="32">
        <v>4.3700904000000005</v>
      </c>
      <c r="G327" s="31">
        <v>1.3</v>
      </c>
      <c r="H327" s="31">
        <v>3.22</v>
      </c>
      <c r="I327" s="31">
        <v>0.21</v>
      </c>
      <c r="J327" s="31">
        <v>6.75</v>
      </c>
      <c r="K327" s="31">
        <v>1.02</v>
      </c>
      <c r="L327" s="32">
        <v>51.980000000000075</v>
      </c>
    </row>
    <row r="328" spans="1:17" s="34" customFormat="1" x14ac:dyDescent="0.25">
      <c r="A328" s="33">
        <v>909045</v>
      </c>
      <c r="B328" s="30">
        <v>58.428842941887929</v>
      </c>
      <c r="D328" s="31">
        <v>9.56</v>
      </c>
      <c r="E328" s="31">
        <v>1.7</v>
      </c>
      <c r="F328" s="32">
        <v>2.0729916000000004</v>
      </c>
      <c r="G328" s="31">
        <v>0.56000000000000005</v>
      </c>
      <c r="H328" s="31">
        <v>1.9</v>
      </c>
      <c r="I328" s="31">
        <v>0.45</v>
      </c>
      <c r="J328" s="31">
        <v>5.01</v>
      </c>
      <c r="K328" s="31">
        <v>1.38</v>
      </c>
      <c r="L328" s="32">
        <v>43.800000000000097</v>
      </c>
    </row>
    <row r="329" spans="1:17" s="34" customFormat="1" x14ac:dyDescent="0.25">
      <c r="A329" s="33">
        <v>909046</v>
      </c>
      <c r="B329" s="30">
        <v>74.063692283734312</v>
      </c>
      <c r="D329" s="31">
        <v>9.9</v>
      </c>
      <c r="E329" s="31">
        <v>5.04</v>
      </c>
      <c r="F329" s="32">
        <v>4.2580368000000011</v>
      </c>
      <c r="G329" s="31">
        <v>1.22</v>
      </c>
      <c r="H329" s="31">
        <v>2.87</v>
      </c>
      <c r="I329" s="31">
        <v>0.17</v>
      </c>
      <c r="J329" s="31">
        <v>6.58</v>
      </c>
      <c r="K329" s="31">
        <v>1.03</v>
      </c>
      <c r="L329" s="32">
        <v>56.22</v>
      </c>
    </row>
    <row r="330" spans="1:17" s="34" customFormat="1" x14ac:dyDescent="0.25">
      <c r="A330" s="33">
        <v>909047</v>
      </c>
      <c r="B330" s="30">
        <v>93.33043801960541</v>
      </c>
      <c r="D330" s="31">
        <v>9.89</v>
      </c>
      <c r="E330" s="31">
        <v>2.75</v>
      </c>
      <c r="F330" s="32">
        <v>2.661273</v>
      </c>
      <c r="G330" s="31">
        <v>0.16</v>
      </c>
      <c r="H330" s="31">
        <v>2.6</v>
      </c>
      <c r="I330" s="31">
        <v>0.53</v>
      </c>
      <c r="J330" s="31">
        <v>6.3</v>
      </c>
      <c r="K330" s="31">
        <v>1.02</v>
      </c>
      <c r="L330" s="32">
        <v>51.580000000000013</v>
      </c>
      <c r="M330" s="31">
        <v>38.29</v>
      </c>
      <c r="N330" s="31">
        <v>14.57</v>
      </c>
      <c r="O330" s="31">
        <v>200.88</v>
      </c>
      <c r="P330" s="31">
        <v>5680.25</v>
      </c>
      <c r="Q330" s="31">
        <v>22.8</v>
      </c>
    </row>
    <row r="331" spans="1:17" s="34" customFormat="1" x14ac:dyDescent="0.25">
      <c r="A331" s="33">
        <v>909048</v>
      </c>
      <c r="B331" s="30">
        <v>68.0439597887204</v>
      </c>
      <c r="D331" s="31">
        <v>9.56</v>
      </c>
      <c r="E331" s="31">
        <v>5.34</v>
      </c>
      <c r="F331" s="32">
        <v>3.3335946000000001</v>
      </c>
      <c r="G331" s="31">
        <v>1.05</v>
      </c>
      <c r="H331" s="31">
        <v>2.85</v>
      </c>
      <c r="I331" s="31">
        <v>0.24</v>
      </c>
      <c r="J331" s="31">
        <v>7.18</v>
      </c>
      <c r="K331" s="31">
        <v>1.35</v>
      </c>
      <c r="L331" s="32">
        <v>47.30000000000004</v>
      </c>
    </row>
    <row r="332" spans="1:17" s="34" customFormat="1" x14ac:dyDescent="0.25">
      <c r="A332" s="33">
        <v>909049</v>
      </c>
      <c r="B332" s="30">
        <v>46.310472322033014</v>
      </c>
      <c r="D332" s="31">
        <v>9.91</v>
      </c>
      <c r="E332" s="31">
        <v>1.8</v>
      </c>
      <c r="F332" s="32">
        <v>3.081474</v>
      </c>
      <c r="G332" s="31">
        <v>0.51</v>
      </c>
      <c r="H332" s="31">
        <v>1.74</v>
      </c>
      <c r="I332" s="31">
        <v>0.12</v>
      </c>
      <c r="J332" s="31">
        <v>3.71</v>
      </c>
      <c r="K332" s="31">
        <v>1.31</v>
      </c>
      <c r="L332" s="32">
        <v>48.119999999999976</v>
      </c>
    </row>
    <row r="333" spans="1:17" s="34" customFormat="1" x14ac:dyDescent="0.25">
      <c r="A333" s="33">
        <v>909050</v>
      </c>
      <c r="B333" s="30">
        <v>82.543640897755623</v>
      </c>
      <c r="D333" s="31"/>
      <c r="E333" s="31"/>
      <c r="F333" s="32"/>
      <c r="G333" s="31"/>
      <c r="H333" s="31"/>
      <c r="I333" s="31"/>
      <c r="J333" s="31"/>
      <c r="K333" s="31"/>
      <c r="L333" s="32">
        <v>94.94</v>
      </c>
    </row>
    <row r="334" spans="1:17" s="34" customFormat="1" x14ac:dyDescent="0.25">
      <c r="A334" s="38">
        <v>909051</v>
      </c>
      <c r="B334" s="39">
        <v>52.5</v>
      </c>
      <c r="D334" s="34">
        <v>9.23</v>
      </c>
      <c r="E334" s="34">
        <v>4.0199999999999996</v>
      </c>
      <c r="F334" s="39">
        <v>1.4</v>
      </c>
      <c r="G334" s="34">
        <v>0.85</v>
      </c>
      <c r="H334" s="34">
        <v>2.11</v>
      </c>
      <c r="I334" s="34">
        <v>0.43</v>
      </c>
      <c r="J334" s="34">
        <v>12.31</v>
      </c>
      <c r="K334" s="34">
        <v>1.62</v>
      </c>
      <c r="L334" s="34">
        <v>48.2</v>
      </c>
    </row>
    <row r="335" spans="1:17" s="34" customFormat="1" x14ac:dyDescent="0.25">
      <c r="A335" s="38">
        <v>909052</v>
      </c>
      <c r="B335" s="39">
        <v>59.4</v>
      </c>
      <c r="D335" s="34">
        <v>8.7200000000000006</v>
      </c>
      <c r="E335" s="34">
        <v>2.58</v>
      </c>
      <c r="F335" s="39">
        <v>1.5</v>
      </c>
      <c r="G335" s="34">
        <v>0.65</v>
      </c>
      <c r="H335" s="34">
        <v>1.95</v>
      </c>
      <c r="I335" s="34">
        <v>0.26</v>
      </c>
      <c r="J335" s="34">
        <v>5.59</v>
      </c>
      <c r="K335" s="34">
        <v>1.44</v>
      </c>
      <c r="L335" s="34">
        <v>44.4</v>
      </c>
    </row>
    <row r="336" spans="1:17" s="34" customFormat="1" x14ac:dyDescent="0.25">
      <c r="A336" s="38">
        <v>909053</v>
      </c>
      <c r="B336" s="39">
        <v>24.4</v>
      </c>
      <c r="D336" s="34">
        <v>9.14</v>
      </c>
      <c r="E336" s="34">
        <v>3.69</v>
      </c>
      <c r="F336" s="39">
        <v>2</v>
      </c>
      <c r="G336" s="34">
        <v>0.98</v>
      </c>
      <c r="H336" s="34">
        <v>2.15</v>
      </c>
      <c r="I336" s="34">
        <v>1.23</v>
      </c>
      <c r="J336" s="34">
        <v>3.6</v>
      </c>
      <c r="K336" s="34">
        <v>0.81</v>
      </c>
      <c r="L336" s="34">
        <v>75.400000000000006</v>
      </c>
    </row>
    <row r="337" spans="1:12" s="34" customFormat="1" x14ac:dyDescent="0.25">
      <c r="A337" s="38">
        <v>909054</v>
      </c>
      <c r="B337" s="39">
        <v>34.299999999999997</v>
      </c>
      <c r="D337" s="34">
        <v>9.25</v>
      </c>
      <c r="E337" s="34">
        <v>2.35</v>
      </c>
      <c r="F337" s="39">
        <v>1.6</v>
      </c>
      <c r="G337" s="34">
        <v>0.86</v>
      </c>
      <c r="H337" s="34">
        <v>1.78</v>
      </c>
      <c r="I337" s="34">
        <v>0.46</v>
      </c>
      <c r="J337" s="34">
        <v>5.15</v>
      </c>
      <c r="K337" s="34">
        <v>1.08</v>
      </c>
      <c r="L337" s="34">
        <v>57.8</v>
      </c>
    </row>
    <row r="338" spans="1:12" s="34" customFormat="1" x14ac:dyDescent="0.25">
      <c r="A338" s="38">
        <v>909055</v>
      </c>
      <c r="B338" s="39">
        <v>40.6</v>
      </c>
      <c r="D338" s="34">
        <v>9.34</v>
      </c>
      <c r="E338" s="34">
        <v>1.78</v>
      </c>
      <c r="F338" s="39">
        <v>1.7</v>
      </c>
      <c r="G338" s="34">
        <v>0.57999999999999996</v>
      </c>
      <c r="H338" s="34">
        <v>2.06</v>
      </c>
      <c r="I338" s="34">
        <v>0.53</v>
      </c>
      <c r="J338" s="34">
        <v>6.59</v>
      </c>
      <c r="K338" s="34">
        <v>1.93</v>
      </c>
      <c r="L338" s="39">
        <v>61</v>
      </c>
    </row>
    <row r="339" spans="1:12" s="34" customFormat="1" x14ac:dyDescent="0.25">
      <c r="A339" s="38">
        <v>909056</v>
      </c>
      <c r="B339" s="39">
        <v>60.6</v>
      </c>
      <c r="D339" s="34">
        <v>8.4600000000000009</v>
      </c>
      <c r="E339" s="34">
        <v>2.04</v>
      </c>
      <c r="F339" s="39">
        <v>1.5</v>
      </c>
      <c r="G339" s="34">
        <v>0.53</v>
      </c>
      <c r="H339" s="34">
        <v>1.46</v>
      </c>
      <c r="I339" s="34">
        <v>0.18</v>
      </c>
      <c r="J339" s="34">
        <v>4.8899999999999997</v>
      </c>
      <c r="K339" s="34">
        <v>1.93</v>
      </c>
      <c r="L339" s="34">
        <v>44.4</v>
      </c>
    </row>
    <row r="340" spans="1:12" s="34" customFormat="1" x14ac:dyDescent="0.25">
      <c r="A340" s="38">
        <v>909057</v>
      </c>
      <c r="B340" s="39">
        <v>66.076156549366971</v>
      </c>
      <c r="D340" s="34">
        <v>9.32</v>
      </c>
      <c r="E340" s="34">
        <v>4.41</v>
      </c>
      <c r="F340" s="39">
        <v>2.1570317999999999</v>
      </c>
      <c r="G340" s="34">
        <v>1.03</v>
      </c>
      <c r="H340" s="34">
        <v>2.4900000000000002</v>
      </c>
      <c r="I340" s="34">
        <v>0.51</v>
      </c>
      <c r="J340" s="34">
        <v>7.39</v>
      </c>
      <c r="K340" s="34">
        <v>0.94</v>
      </c>
      <c r="L340" s="34">
        <v>46.799999999999933</v>
      </c>
    </row>
    <row r="341" spans="1:12" s="34" customFormat="1" x14ac:dyDescent="0.25">
      <c r="A341" s="38">
        <v>909058</v>
      </c>
      <c r="B341" s="39">
        <v>62.069981149858634</v>
      </c>
      <c r="D341" s="34">
        <v>9.84</v>
      </c>
      <c r="E341" s="34">
        <v>3.94</v>
      </c>
      <c r="F341" s="39">
        <v>1.9329246000000002</v>
      </c>
      <c r="G341" s="34">
        <v>0.84</v>
      </c>
      <c r="H341" s="34">
        <v>2.52</v>
      </c>
      <c r="I341" s="34">
        <v>0.5</v>
      </c>
      <c r="J341" s="34">
        <v>7.22</v>
      </c>
      <c r="K341" s="34">
        <v>0.92</v>
      </c>
      <c r="L341" s="34">
        <v>40.599999999999881</v>
      </c>
    </row>
    <row r="342" spans="1:12" s="34" customFormat="1" x14ac:dyDescent="0.25">
      <c r="A342" s="38">
        <v>909059</v>
      </c>
      <c r="B342" s="39">
        <v>13.227901131126938</v>
      </c>
      <c r="D342" s="34">
        <v>8.39</v>
      </c>
      <c r="E342" s="34">
        <v>2.5299999999999998</v>
      </c>
      <c r="F342" s="39">
        <v>1.9889514000000006</v>
      </c>
      <c r="G342" s="34">
        <v>0.4</v>
      </c>
      <c r="H342" s="34">
        <v>1.82</v>
      </c>
      <c r="I342" s="34">
        <v>0.44</v>
      </c>
      <c r="J342" s="34">
        <v>1.67</v>
      </c>
      <c r="K342" s="34">
        <v>0.45</v>
      </c>
      <c r="L342" s="34">
        <v>77.199999999999989</v>
      </c>
    </row>
    <row r="343" spans="1:12" s="34" customFormat="1" x14ac:dyDescent="0.25">
      <c r="A343" s="38">
        <v>909060</v>
      </c>
      <c r="B343" s="39">
        <v>54.088662573011838</v>
      </c>
      <c r="D343" s="34">
        <v>8.4</v>
      </c>
      <c r="E343" s="34">
        <v>2.37</v>
      </c>
      <c r="F343" s="39">
        <v>3.0534606000000002</v>
      </c>
      <c r="G343" s="34">
        <v>0.84</v>
      </c>
      <c r="H343" s="34">
        <v>1.67</v>
      </c>
      <c r="I343" s="34">
        <v>0.56000000000000005</v>
      </c>
      <c r="J343" s="34">
        <v>5.41</v>
      </c>
      <c r="K343" s="34">
        <v>0.8</v>
      </c>
      <c r="L343" s="34">
        <v>24.60000000000008</v>
      </c>
    </row>
    <row r="344" spans="1:12" s="34" customFormat="1" x14ac:dyDescent="0.25">
      <c r="A344" s="38">
        <v>909061</v>
      </c>
      <c r="B344" s="39">
        <v>31.947566970239684</v>
      </c>
      <c r="D344" s="34">
        <v>9</v>
      </c>
      <c r="E344" s="34">
        <v>5.69</v>
      </c>
      <c r="F344" s="39">
        <v>2.9694204000000002</v>
      </c>
      <c r="G344" s="34">
        <v>0.6</v>
      </c>
      <c r="H344" s="34">
        <v>2.58</v>
      </c>
      <c r="I344" s="34">
        <v>1.6</v>
      </c>
      <c r="J344" s="34">
        <v>2.95</v>
      </c>
      <c r="K344" s="34">
        <v>0.68</v>
      </c>
      <c r="L344" s="34">
        <v>70.600000000000023</v>
      </c>
    </row>
    <row r="345" spans="1:12" s="34" customFormat="1" x14ac:dyDescent="0.25">
      <c r="A345" s="38">
        <v>909062</v>
      </c>
      <c r="B345" s="39">
        <v>28.245746691871453</v>
      </c>
      <c r="D345" s="34">
        <v>8.92</v>
      </c>
      <c r="E345" s="34">
        <v>6.23</v>
      </c>
      <c r="F345" s="39">
        <v>2.2970988000000006</v>
      </c>
      <c r="G345" s="34">
        <v>0.51</v>
      </c>
      <c r="H345" s="34">
        <v>2.19</v>
      </c>
      <c r="I345" s="34">
        <v>1.27</v>
      </c>
      <c r="J345" s="34">
        <v>4.8</v>
      </c>
      <c r="K345" s="34">
        <v>0.66</v>
      </c>
      <c r="L345" s="34">
        <v>59.000000000000057</v>
      </c>
    </row>
    <row r="346" spans="1:12" s="34" customFormat="1" x14ac:dyDescent="0.25">
      <c r="A346" s="38">
        <v>909063</v>
      </c>
      <c r="B346" s="39">
        <v>61.248345336653884</v>
      </c>
      <c r="D346" s="34">
        <v>9.41</v>
      </c>
      <c r="E346" s="34">
        <v>2.2200000000000002</v>
      </c>
      <c r="F346" s="39">
        <v>0.92444219999999999</v>
      </c>
      <c r="G346" s="34">
        <v>0.22</v>
      </c>
      <c r="H346" s="34">
        <v>0.53</v>
      </c>
      <c r="I346" s="34">
        <v>0.36</v>
      </c>
      <c r="J346" s="34">
        <v>2.4700000000000002</v>
      </c>
      <c r="K346" s="34">
        <v>0.5</v>
      </c>
      <c r="L346" s="34">
        <v>14.399999999999977</v>
      </c>
    </row>
    <row r="347" spans="1:12" s="34" customFormat="1" x14ac:dyDescent="0.25">
      <c r="A347" s="38">
        <v>909064</v>
      </c>
      <c r="B347" s="39">
        <v>49.899122601229294</v>
      </c>
      <c r="D347" s="34">
        <v>9.35</v>
      </c>
      <c r="E347" s="34">
        <v>4.1500000000000004</v>
      </c>
      <c r="F347" s="39">
        <v>2.4371658000000007</v>
      </c>
      <c r="G347" s="34">
        <v>0.6</v>
      </c>
      <c r="H347" s="34">
        <v>2.46</v>
      </c>
      <c r="I347" s="34">
        <v>0.56000000000000005</v>
      </c>
      <c r="J347" s="34">
        <v>2</v>
      </c>
      <c r="K347" s="34">
        <v>0.45</v>
      </c>
      <c r="L347" s="34">
        <v>81.200000000000045</v>
      </c>
    </row>
    <row r="348" spans="1:12" s="34" customFormat="1" x14ac:dyDescent="0.25">
      <c r="A348" s="38">
        <v>909065</v>
      </c>
      <c r="B348" s="39">
        <v>32.018376722817763</v>
      </c>
      <c r="D348" s="34">
        <v>8</v>
      </c>
      <c r="E348" s="34">
        <v>4.3499999999999996</v>
      </c>
      <c r="F348" s="39">
        <v>3.1655142000000001</v>
      </c>
      <c r="G348" s="34">
        <v>0.73</v>
      </c>
      <c r="H348" s="34">
        <v>3.11</v>
      </c>
      <c r="I348" s="34">
        <v>1.07</v>
      </c>
      <c r="J348" s="34">
        <v>2.37</v>
      </c>
      <c r="K348" s="34">
        <v>0.59</v>
      </c>
      <c r="L348" s="34">
        <v>63.200000000000074</v>
      </c>
    </row>
    <row r="349" spans="1:12" s="34" customFormat="1" x14ac:dyDescent="0.25">
      <c r="A349" s="38">
        <v>909066</v>
      </c>
      <c r="B349" s="39">
        <v>36.869688385269129</v>
      </c>
      <c r="D349" s="34">
        <v>9.1300000000000008</v>
      </c>
      <c r="E349" s="34">
        <v>6.71</v>
      </c>
      <c r="F349" s="39">
        <v>2.2130586000000005</v>
      </c>
      <c r="G349" s="34">
        <v>0.74</v>
      </c>
      <c r="H349" s="34">
        <v>5.0999999999999996</v>
      </c>
      <c r="I349" s="34">
        <v>1.19</v>
      </c>
      <c r="J349" s="34">
        <v>1.66</v>
      </c>
      <c r="K349" s="34">
        <v>0.48</v>
      </c>
      <c r="L349" s="34">
        <v>71.8</v>
      </c>
    </row>
    <row r="350" spans="1:12" s="34" customFormat="1" x14ac:dyDescent="0.25">
      <c r="A350" s="38">
        <v>909067</v>
      </c>
      <c r="B350" s="39">
        <v>69.990728340372925</v>
      </c>
      <c r="D350" s="34">
        <v>6.02</v>
      </c>
      <c r="E350" s="34">
        <v>0.86</v>
      </c>
      <c r="F350" s="39">
        <v>2.241072</v>
      </c>
      <c r="G350" s="34">
        <v>0.13</v>
      </c>
      <c r="H350" s="34">
        <v>1.25</v>
      </c>
      <c r="I350" s="34">
        <v>0.04</v>
      </c>
      <c r="J350" s="34">
        <v>0.46</v>
      </c>
      <c r="K350" s="34">
        <v>0.1</v>
      </c>
      <c r="L350" s="34">
        <v>95</v>
      </c>
    </row>
    <row r="351" spans="1:12" s="34" customFormat="1" x14ac:dyDescent="0.25">
      <c r="A351" s="38">
        <v>909068</v>
      </c>
      <c r="B351" s="39">
        <v>49.971274273239111</v>
      </c>
      <c r="D351" s="34">
        <v>9.3000000000000007</v>
      </c>
      <c r="E351" s="34">
        <v>4.88</v>
      </c>
      <c r="F351" s="39">
        <v>2.2130586000000005</v>
      </c>
      <c r="G351" s="34">
        <v>0.75</v>
      </c>
      <c r="H351" s="34">
        <v>5.35</v>
      </c>
      <c r="I351" s="34">
        <v>1.23</v>
      </c>
      <c r="J351" s="34">
        <v>1.73</v>
      </c>
      <c r="K351" s="34">
        <v>0.49</v>
      </c>
      <c r="L351" s="34">
        <v>81.799999999999926</v>
      </c>
    </row>
    <row r="352" spans="1:12" s="34" customFormat="1" x14ac:dyDescent="0.25">
      <c r="A352" s="38">
        <v>909069</v>
      </c>
      <c r="B352" s="39">
        <v>58.300462075960766</v>
      </c>
      <c r="D352" s="34">
        <v>8.3699999999999992</v>
      </c>
      <c r="E352" s="34">
        <v>2.38</v>
      </c>
      <c r="F352" s="39">
        <v>1.540737</v>
      </c>
      <c r="G352" s="34">
        <v>0.69</v>
      </c>
      <c r="H352" s="34">
        <v>1.3</v>
      </c>
      <c r="I352" s="34">
        <v>0.5</v>
      </c>
      <c r="J352" s="34">
        <v>4.71</v>
      </c>
      <c r="K352" s="34">
        <v>0.67</v>
      </c>
      <c r="L352" s="34">
        <v>30.800000000000125</v>
      </c>
    </row>
    <row r="353" spans="1:17" s="34" customFormat="1" x14ac:dyDescent="0.25">
      <c r="A353" s="38">
        <v>909070</v>
      </c>
      <c r="B353" s="39">
        <v>50.9639303482587</v>
      </c>
      <c r="D353" s="34">
        <v>8.65</v>
      </c>
      <c r="E353" s="34">
        <v>3.22</v>
      </c>
      <c r="F353" s="39">
        <v>1.4286834000000002</v>
      </c>
      <c r="G353" s="34">
        <v>0.49</v>
      </c>
      <c r="H353" s="34">
        <v>0.75</v>
      </c>
      <c r="I353" s="34">
        <v>0.39</v>
      </c>
      <c r="J353" s="34">
        <v>4.55</v>
      </c>
      <c r="K353" s="34">
        <v>0.36</v>
      </c>
      <c r="L353" s="34">
        <v>25.600000000000023</v>
      </c>
    </row>
    <row r="354" spans="1:17" s="34" customFormat="1" x14ac:dyDescent="0.25">
      <c r="A354" s="245">
        <v>909071</v>
      </c>
      <c r="B354" s="246">
        <v>32.710549008335725</v>
      </c>
      <c r="C354" s="247"/>
      <c r="D354" s="248">
        <v>6.14</v>
      </c>
      <c r="E354" s="246">
        <v>1.85</v>
      </c>
      <c r="F354" s="246">
        <v>2.7733266000000003</v>
      </c>
      <c r="G354" s="248">
        <v>0.14000000000000001</v>
      </c>
      <c r="H354" s="246">
        <v>0.56999999999999995</v>
      </c>
      <c r="I354" s="248">
        <v>0.09</v>
      </c>
      <c r="J354" s="248">
        <v>1.54</v>
      </c>
      <c r="K354" s="248">
        <v>0.31</v>
      </c>
      <c r="L354" s="246">
        <v>82.199999999999989</v>
      </c>
      <c r="M354" s="34">
        <v>12.02</v>
      </c>
      <c r="N354" s="34">
        <v>3.2</v>
      </c>
      <c r="O354" s="34">
        <v>34.17</v>
      </c>
      <c r="P354" s="34">
        <v>432.29</v>
      </c>
      <c r="Q354" s="34">
        <v>11.6</v>
      </c>
    </row>
    <row r="355" spans="1:17" s="34" customFormat="1" x14ac:dyDescent="0.25">
      <c r="A355" s="245">
        <v>909072</v>
      </c>
      <c r="B355" s="246">
        <v>21.144837322723482</v>
      </c>
      <c r="C355" s="247"/>
      <c r="D355" s="248">
        <v>8.6</v>
      </c>
      <c r="E355" s="246">
        <v>2.4300000000000002</v>
      </c>
      <c r="F355" s="246">
        <v>2.6052462000000007</v>
      </c>
      <c r="G355" s="248">
        <v>0.67</v>
      </c>
      <c r="H355" s="246">
        <v>2.5</v>
      </c>
      <c r="I355" s="248">
        <v>0.7</v>
      </c>
      <c r="J355" s="248">
        <v>1.49</v>
      </c>
      <c r="K355" s="248">
        <v>0.43</v>
      </c>
      <c r="L355" s="246">
        <v>69.000000000000057</v>
      </c>
    </row>
    <row r="356" spans="1:17" s="34" customFormat="1" x14ac:dyDescent="0.25">
      <c r="A356" s="245">
        <v>909073</v>
      </c>
      <c r="B356" s="246">
        <v>28.16467307551185</v>
      </c>
      <c r="C356" s="247"/>
      <c r="D356" s="248">
        <v>7.97</v>
      </c>
      <c r="E356" s="246">
        <v>3.1</v>
      </c>
      <c r="F356" s="246">
        <v>2.7172998000000002</v>
      </c>
      <c r="G356" s="248">
        <v>0.49</v>
      </c>
      <c r="H356" s="246">
        <v>2.38</v>
      </c>
      <c r="I356" s="248">
        <v>0.64</v>
      </c>
      <c r="J356" s="248">
        <v>3.87</v>
      </c>
      <c r="K356" s="248">
        <v>0.8</v>
      </c>
      <c r="L356" s="246">
        <v>64.000000000000057</v>
      </c>
    </row>
    <row r="357" spans="1:17" s="34" customFormat="1" x14ac:dyDescent="0.25">
      <c r="A357" s="245">
        <v>909074</v>
      </c>
      <c r="B357" s="246">
        <v>39.531950672645742</v>
      </c>
      <c r="C357" s="247"/>
      <c r="D357" s="248">
        <v>8.06</v>
      </c>
      <c r="E357" s="246">
        <v>0.67</v>
      </c>
      <c r="F357" s="246">
        <v>1.7368308000000003</v>
      </c>
      <c r="G357" s="248">
        <v>0.23</v>
      </c>
      <c r="H357" s="246">
        <v>0.47</v>
      </c>
      <c r="I357" s="248">
        <v>0.18</v>
      </c>
      <c r="J357" s="248">
        <v>0.95</v>
      </c>
      <c r="K357" s="248">
        <v>0.24</v>
      </c>
      <c r="L357" s="246">
        <v>92.600000000000051</v>
      </c>
    </row>
    <row r="358" spans="1:17" s="34" customFormat="1" x14ac:dyDescent="0.25">
      <c r="A358" s="245">
        <v>909075</v>
      </c>
      <c r="B358" s="246">
        <v>26.002496065982967</v>
      </c>
      <c r="C358" s="247"/>
      <c r="D358" s="248">
        <v>7.9</v>
      </c>
      <c r="E358" s="246">
        <v>1.27</v>
      </c>
      <c r="F358" s="246">
        <v>2.4931926000000004</v>
      </c>
      <c r="G358" s="248">
        <v>0.36</v>
      </c>
      <c r="H358" s="246">
        <v>1.36</v>
      </c>
      <c r="I358" s="248">
        <v>0.35</v>
      </c>
      <c r="J358" s="248">
        <v>2.83</v>
      </c>
      <c r="K358" s="248">
        <v>0.35</v>
      </c>
      <c r="L358" s="246">
        <v>72.199999999999989</v>
      </c>
    </row>
    <row r="359" spans="1:17" s="34" customFormat="1" x14ac:dyDescent="0.25">
      <c r="A359" s="38">
        <v>909076</v>
      </c>
      <c r="B359" s="34">
        <v>76.599999999999994</v>
      </c>
      <c r="D359" s="34">
        <v>8.48</v>
      </c>
      <c r="E359" s="34">
        <v>5.0999999999999996</v>
      </c>
      <c r="F359" s="34">
        <v>3.6</v>
      </c>
      <c r="G359" s="34">
        <v>1.38</v>
      </c>
      <c r="H359" s="34">
        <v>2.44</v>
      </c>
      <c r="I359" s="34">
        <v>0.41</v>
      </c>
      <c r="J359" s="34">
        <v>8.2100000000000009</v>
      </c>
      <c r="K359" s="34">
        <v>0.79</v>
      </c>
      <c r="L359" s="34">
        <v>56.6</v>
      </c>
    </row>
    <row r="360" spans="1:17" s="34" customFormat="1" x14ac:dyDescent="0.25">
      <c r="A360" s="38">
        <v>909077</v>
      </c>
      <c r="B360" s="34">
        <v>76</v>
      </c>
      <c r="D360" s="34">
        <v>8.19</v>
      </c>
      <c r="E360" s="34">
        <v>5.54</v>
      </c>
      <c r="F360" s="34">
        <v>3.3</v>
      </c>
      <c r="G360" s="34">
        <v>1.3</v>
      </c>
      <c r="H360" s="34">
        <v>2.34</v>
      </c>
      <c r="I360" s="34">
        <v>0.4</v>
      </c>
      <c r="J360" s="34">
        <v>8.07</v>
      </c>
      <c r="K360" s="34">
        <v>0.75</v>
      </c>
      <c r="L360" s="34">
        <v>56.8</v>
      </c>
    </row>
    <row r="361" spans="1:17" s="34" customFormat="1" x14ac:dyDescent="0.25">
      <c r="A361" s="38">
        <v>909078</v>
      </c>
      <c r="B361" s="34">
        <v>75.3</v>
      </c>
      <c r="D361" s="34">
        <v>8.09</v>
      </c>
      <c r="E361" s="34">
        <v>5.64</v>
      </c>
      <c r="F361" s="34">
        <v>3.2</v>
      </c>
      <c r="G361" s="34">
        <v>1.25</v>
      </c>
      <c r="H361" s="34">
        <v>2.25</v>
      </c>
      <c r="I361" s="34">
        <v>0.46</v>
      </c>
      <c r="J361" s="34">
        <v>7.87</v>
      </c>
      <c r="K361" s="34">
        <v>0.84</v>
      </c>
      <c r="L361" s="34">
        <v>55.2</v>
      </c>
    </row>
    <row r="362" spans="1:17" s="34" customFormat="1" x14ac:dyDescent="0.25">
      <c r="A362" s="38">
        <v>909079</v>
      </c>
      <c r="B362" s="34">
        <v>76.099999999999994</v>
      </c>
      <c r="D362" s="34">
        <v>7.47</v>
      </c>
      <c r="E362" s="34">
        <v>19.260000000000002</v>
      </c>
      <c r="F362" s="34">
        <v>3.5</v>
      </c>
      <c r="G362" s="34">
        <v>2.5099999999999998</v>
      </c>
      <c r="H362" s="34">
        <v>1.84</v>
      </c>
      <c r="I362" s="34">
        <v>3.46</v>
      </c>
      <c r="J362" s="34">
        <v>10.14</v>
      </c>
      <c r="K362" s="34">
        <v>0.66</v>
      </c>
      <c r="L362" s="34">
        <v>45.6</v>
      </c>
    </row>
    <row r="363" spans="1:17" s="34" customFormat="1" x14ac:dyDescent="0.25">
      <c r="A363" s="38">
        <v>909080</v>
      </c>
      <c r="B363" s="34">
        <v>76.400000000000006</v>
      </c>
      <c r="D363" s="34">
        <v>7.39</v>
      </c>
      <c r="E363" s="34">
        <v>18.7</v>
      </c>
      <c r="F363" s="34">
        <v>3.6</v>
      </c>
      <c r="G363" s="34">
        <v>2.34</v>
      </c>
      <c r="H363" s="34">
        <v>1.7</v>
      </c>
      <c r="I363" s="34">
        <v>3.19</v>
      </c>
      <c r="J363" s="34">
        <v>8.34</v>
      </c>
      <c r="K363" s="34">
        <v>0.66</v>
      </c>
      <c r="L363" s="34">
        <v>45.6</v>
      </c>
    </row>
    <row r="364" spans="1:17" s="34" customFormat="1" x14ac:dyDescent="0.25">
      <c r="A364" s="38">
        <v>909081</v>
      </c>
      <c r="B364" s="34">
        <v>75.900000000000006</v>
      </c>
      <c r="D364" s="34">
        <v>7.47</v>
      </c>
      <c r="E364" s="34">
        <v>17.760000000000002</v>
      </c>
      <c r="F364" s="34">
        <v>3.3</v>
      </c>
      <c r="G364" s="34">
        <v>2.16</v>
      </c>
      <c r="H364" s="34">
        <v>1.72</v>
      </c>
      <c r="I364" s="34">
        <v>3.24</v>
      </c>
      <c r="J364" s="34">
        <v>9.49</v>
      </c>
      <c r="K364" s="34">
        <v>0.68</v>
      </c>
      <c r="L364" s="34">
        <v>45.8</v>
      </c>
    </row>
    <row r="365" spans="1:17" s="34" customFormat="1" x14ac:dyDescent="0.25">
      <c r="A365" s="38">
        <v>909082</v>
      </c>
      <c r="B365" s="34">
        <v>69.900000000000006</v>
      </c>
      <c r="D365" s="34">
        <v>9.98</v>
      </c>
      <c r="E365" s="34">
        <v>18.18</v>
      </c>
      <c r="F365" s="34">
        <v>2.2999999999999998</v>
      </c>
      <c r="G365" s="34">
        <v>1.44</v>
      </c>
      <c r="H365" s="34">
        <v>6.87</v>
      </c>
      <c r="I365" s="34">
        <v>0.68</v>
      </c>
      <c r="J365" s="34">
        <v>7.38</v>
      </c>
      <c r="K365" s="34">
        <v>1.07</v>
      </c>
      <c r="L365" s="34">
        <v>38.200000000000003</v>
      </c>
    </row>
    <row r="366" spans="1:17" s="34" customFormat="1" x14ac:dyDescent="0.25">
      <c r="A366" s="38">
        <v>909083</v>
      </c>
      <c r="B366" s="34">
        <v>78.3</v>
      </c>
      <c r="D366" s="34">
        <v>7.95</v>
      </c>
      <c r="E366" s="34">
        <v>5.27</v>
      </c>
      <c r="F366" s="34">
        <v>5.4</v>
      </c>
      <c r="G366" s="34">
        <v>1.53</v>
      </c>
      <c r="H366" s="34">
        <v>2.14</v>
      </c>
      <c r="I366" s="34">
        <v>0.24</v>
      </c>
      <c r="J366" s="34">
        <v>8.56</v>
      </c>
      <c r="K366" s="34">
        <v>0.5</v>
      </c>
      <c r="L366" s="34">
        <v>70</v>
      </c>
    </row>
    <row r="367" spans="1:17" s="34" customFormat="1" x14ac:dyDescent="0.25">
      <c r="A367" s="38">
        <v>909084</v>
      </c>
      <c r="B367" s="34">
        <v>75.040000000000006</v>
      </c>
      <c r="D367" s="34">
        <v>9.6300000000000008</v>
      </c>
      <c r="E367" s="34">
        <v>5.07</v>
      </c>
      <c r="F367" s="34">
        <v>2.2999999999999998</v>
      </c>
      <c r="G367" s="34">
        <v>3.74</v>
      </c>
      <c r="H367" s="34">
        <v>2.0699999999999998</v>
      </c>
      <c r="I367" s="34">
        <v>0.5</v>
      </c>
      <c r="J367" s="34">
        <v>15.04</v>
      </c>
      <c r="K367" s="34">
        <v>0.8</v>
      </c>
      <c r="L367" s="34">
        <v>30.4</v>
      </c>
    </row>
    <row r="368" spans="1:17" s="34" customFormat="1" x14ac:dyDescent="0.25">
      <c r="A368" s="38">
        <v>909085</v>
      </c>
      <c r="B368" s="34">
        <v>40.6</v>
      </c>
      <c r="D368" s="34">
        <v>9.6300000000000008</v>
      </c>
      <c r="E368" s="34">
        <v>3.49</v>
      </c>
      <c r="F368" s="34">
        <v>2.5</v>
      </c>
      <c r="G368" s="34">
        <v>0.56999999999999995</v>
      </c>
      <c r="H368" s="34">
        <v>1.66</v>
      </c>
      <c r="I368" s="34">
        <v>0.36</v>
      </c>
      <c r="J368" s="34">
        <v>5.6</v>
      </c>
      <c r="K368" s="34">
        <v>0.26</v>
      </c>
      <c r="L368" s="34">
        <v>59</v>
      </c>
    </row>
    <row r="369" spans="1:97" s="34" customFormat="1" x14ac:dyDescent="0.25">
      <c r="A369" s="38">
        <v>909086</v>
      </c>
      <c r="B369" s="34">
        <v>92.46</v>
      </c>
      <c r="D369" s="34">
        <v>5.7</v>
      </c>
      <c r="E369" s="34">
        <v>2.62</v>
      </c>
      <c r="F369" s="34">
        <v>6.4</v>
      </c>
      <c r="G369" s="34">
        <v>2.09</v>
      </c>
      <c r="H369" s="34">
        <v>0.5</v>
      </c>
      <c r="I369" s="34">
        <v>9.84</v>
      </c>
      <c r="J369" s="34">
        <v>4.13</v>
      </c>
      <c r="K369" s="34">
        <v>0.26</v>
      </c>
      <c r="L369" s="34">
        <v>57.4</v>
      </c>
    </row>
    <row r="370" spans="1:97" s="51" customFormat="1" x14ac:dyDescent="0.25">
      <c r="A370" s="239">
        <v>909087</v>
      </c>
      <c r="B370" s="249">
        <v>60.2</v>
      </c>
      <c r="D370" s="51">
        <v>9.35</v>
      </c>
      <c r="E370" s="51">
        <v>3.47</v>
      </c>
      <c r="F370" s="249">
        <v>2.2999999999999998</v>
      </c>
      <c r="G370" s="51">
        <v>1.02</v>
      </c>
      <c r="H370" s="51">
        <v>2.3199999999999998</v>
      </c>
      <c r="I370" s="51">
        <v>0.51</v>
      </c>
      <c r="J370" s="51">
        <v>6.92</v>
      </c>
      <c r="K370" s="51">
        <v>1.292</v>
      </c>
      <c r="L370" s="51">
        <v>43.6</v>
      </c>
    </row>
    <row r="371" spans="1:97" s="34" customFormat="1" x14ac:dyDescent="0.25">
      <c r="A371" s="64">
        <v>909088</v>
      </c>
      <c r="B371" s="62">
        <v>98.22</v>
      </c>
      <c r="C371" s="62"/>
      <c r="D371" s="62">
        <v>8.35</v>
      </c>
      <c r="E371" s="62">
        <v>0.23</v>
      </c>
      <c r="F371" s="62">
        <v>1.0900000000000001</v>
      </c>
      <c r="G371" s="62">
        <v>0.02</v>
      </c>
      <c r="H371" s="62">
        <v>0.26</v>
      </c>
      <c r="I371" s="62">
        <v>0.06</v>
      </c>
      <c r="J371" s="62">
        <v>0.27</v>
      </c>
      <c r="K371" s="62">
        <v>0.22</v>
      </c>
      <c r="L371" s="62">
        <v>3</v>
      </c>
      <c r="M371" s="34">
        <v>12.02</v>
      </c>
      <c r="N371" s="34">
        <v>3.2</v>
      </c>
      <c r="O371" s="34">
        <v>34.17</v>
      </c>
      <c r="P371" s="34">
        <v>432.29</v>
      </c>
      <c r="Q371" s="34">
        <v>11.6</v>
      </c>
      <c r="U371" s="34">
        <v>1.0000000000000001E-5</v>
      </c>
      <c r="V371" s="34">
        <v>0.04</v>
      </c>
      <c r="W371" s="34">
        <v>0.5</v>
      </c>
      <c r="X371" s="34">
        <v>3.45</v>
      </c>
      <c r="Y371" s="34">
        <v>1E-3</v>
      </c>
      <c r="Z371" s="34">
        <v>2.87</v>
      </c>
      <c r="AA371" s="34">
        <v>2.2799999999999998</v>
      </c>
      <c r="AB371" s="34">
        <v>1.2</v>
      </c>
      <c r="AC371" s="34">
        <v>0.43</v>
      </c>
      <c r="AD371" s="34">
        <v>3498.41</v>
      </c>
      <c r="AE371" s="251"/>
      <c r="AF371" s="251"/>
      <c r="AG371" s="251"/>
      <c r="AH371" s="251"/>
      <c r="AI371" s="251"/>
      <c r="AJ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1"/>
      <c r="AZ371" s="251"/>
      <c r="BA371" s="251"/>
      <c r="BB371" s="251"/>
      <c r="BC371" s="251"/>
      <c r="BD371" s="251"/>
      <c r="BE371" s="251"/>
      <c r="BF371" s="251"/>
      <c r="BG371" s="251"/>
      <c r="BH371" s="251"/>
      <c r="BI371" s="251"/>
      <c r="BJ371" s="251"/>
      <c r="BK371" s="251"/>
      <c r="BL371" s="251"/>
      <c r="BM371" s="251"/>
      <c r="BN371" s="251"/>
      <c r="BO371" s="251"/>
      <c r="BP371" s="251"/>
      <c r="BQ371" s="251"/>
      <c r="BR371" s="251"/>
      <c r="BS371" s="251"/>
      <c r="BT371" s="251"/>
      <c r="BU371" s="251"/>
      <c r="BV371" s="251"/>
      <c r="BW371" s="251"/>
      <c r="BX371" s="251"/>
      <c r="BY371" s="251"/>
      <c r="BZ371" s="251"/>
      <c r="CA371" s="251"/>
      <c r="CB371" s="251"/>
      <c r="CC371" s="251"/>
      <c r="CD371" s="251"/>
      <c r="CE371" s="251"/>
      <c r="CF371" s="251"/>
      <c r="CG371" s="251"/>
      <c r="CH371" s="251"/>
      <c r="CI371" s="251"/>
      <c r="CJ371" s="251"/>
      <c r="CK371" s="251"/>
      <c r="CL371" s="251"/>
      <c r="CM371" s="251"/>
      <c r="CN371" s="251"/>
      <c r="CO371" s="251"/>
      <c r="CP371" s="251"/>
      <c r="CQ371" s="251"/>
      <c r="CR371" s="251"/>
      <c r="CS371" s="251"/>
    </row>
    <row r="372" spans="1:97" s="34" customFormat="1" x14ac:dyDescent="0.25">
      <c r="A372" s="64">
        <v>909089</v>
      </c>
      <c r="B372" s="62">
        <v>93.1</v>
      </c>
      <c r="C372" s="62"/>
      <c r="D372" s="62">
        <v>6.72</v>
      </c>
      <c r="E372" s="62">
        <v>1.1200000000000001</v>
      </c>
      <c r="F372" s="62">
        <v>1.37</v>
      </c>
      <c r="G372" s="62">
        <v>0.24</v>
      </c>
      <c r="H372" s="62">
        <v>0.56000000000000005</v>
      </c>
      <c r="I372" s="62">
        <v>0.09</v>
      </c>
      <c r="J372" s="62">
        <v>0.5</v>
      </c>
      <c r="K372" s="62">
        <v>0.23</v>
      </c>
      <c r="L372" s="62">
        <v>27.8</v>
      </c>
      <c r="M372" s="34">
        <v>18.52</v>
      </c>
      <c r="N372" s="34">
        <v>5.05</v>
      </c>
      <c r="O372" s="34">
        <v>68.319999999999993</v>
      </c>
      <c r="P372" s="34">
        <v>1261.48</v>
      </c>
      <c r="Q372" s="34">
        <v>26.87</v>
      </c>
      <c r="U372" s="34">
        <v>1E-4</v>
      </c>
      <c r="V372" s="34">
        <v>0.03</v>
      </c>
      <c r="W372" s="34">
        <v>0.72</v>
      </c>
      <c r="X372" s="34">
        <v>2.77</v>
      </c>
      <c r="Y372" s="34">
        <v>1E-3</v>
      </c>
      <c r="Z372" s="34">
        <v>3.11</v>
      </c>
      <c r="AA372" s="34">
        <v>2.0499999999999998</v>
      </c>
      <c r="AB372" s="34">
        <v>2.02</v>
      </c>
      <c r="AC372" s="34">
        <v>0.08</v>
      </c>
      <c r="AD372" s="34">
        <v>7101.37</v>
      </c>
      <c r="AE372" s="251"/>
      <c r="AF372" s="251"/>
      <c r="AG372" s="251"/>
      <c r="AH372" s="251"/>
      <c r="AI372" s="251"/>
      <c r="AJ372" s="251"/>
      <c r="AK372" s="251"/>
      <c r="AL372" s="251"/>
      <c r="AM372" s="251"/>
      <c r="AN372" s="251"/>
      <c r="AO372" s="251"/>
      <c r="AP372" s="251"/>
      <c r="AQ372" s="251"/>
      <c r="AR372" s="251"/>
      <c r="AS372" s="251"/>
      <c r="AT372" s="251"/>
      <c r="AU372" s="251"/>
      <c r="AV372" s="251"/>
      <c r="AW372" s="251"/>
      <c r="AX372" s="251"/>
      <c r="AY372" s="251"/>
      <c r="AZ372" s="251"/>
      <c r="BA372" s="251"/>
      <c r="BB372" s="251"/>
      <c r="BC372" s="251"/>
      <c r="BD372" s="251"/>
      <c r="BE372" s="251"/>
      <c r="BF372" s="251"/>
      <c r="BG372" s="251"/>
      <c r="BH372" s="251"/>
      <c r="BI372" s="251"/>
      <c r="BJ372" s="251"/>
      <c r="BK372" s="251"/>
      <c r="BL372" s="251"/>
      <c r="BM372" s="251"/>
      <c r="BN372" s="251"/>
      <c r="BO372" s="251"/>
      <c r="BP372" s="251"/>
      <c r="BQ372" s="251"/>
      <c r="BR372" s="251"/>
      <c r="BS372" s="251"/>
      <c r="BT372" s="251"/>
      <c r="BU372" s="251"/>
      <c r="BV372" s="251"/>
      <c r="BW372" s="251"/>
      <c r="BX372" s="251"/>
      <c r="BY372" s="251"/>
      <c r="BZ372" s="251"/>
      <c r="CA372" s="251"/>
      <c r="CB372" s="251"/>
      <c r="CC372" s="251"/>
      <c r="CD372" s="251"/>
      <c r="CE372" s="251"/>
      <c r="CF372" s="251"/>
      <c r="CG372" s="251"/>
      <c r="CH372" s="251"/>
      <c r="CI372" s="251"/>
      <c r="CJ372" s="251"/>
      <c r="CK372" s="251"/>
      <c r="CL372" s="251"/>
      <c r="CM372" s="251"/>
      <c r="CN372" s="251"/>
      <c r="CO372" s="251"/>
      <c r="CP372" s="251"/>
      <c r="CQ372" s="251"/>
      <c r="CR372" s="251"/>
      <c r="CS372" s="251"/>
    </row>
    <row r="373" spans="1:97" s="34" customFormat="1" x14ac:dyDescent="0.25">
      <c r="A373" s="64">
        <v>909090</v>
      </c>
      <c r="B373" s="62">
        <v>95.31</v>
      </c>
      <c r="C373" s="62"/>
      <c r="D373" s="62">
        <v>6.84</v>
      </c>
      <c r="E373" s="62">
        <v>1.52</v>
      </c>
      <c r="F373" s="62">
        <v>1.88</v>
      </c>
      <c r="G373" s="62">
        <v>0.19</v>
      </c>
      <c r="H373" s="62">
        <v>0.94</v>
      </c>
      <c r="I373" s="62">
        <v>7.0000000000000007E-2</v>
      </c>
      <c r="J373" s="62">
        <v>1.47</v>
      </c>
      <c r="K373" s="62">
        <v>0.26</v>
      </c>
      <c r="L373" s="62">
        <v>47.2</v>
      </c>
      <c r="M373" s="252"/>
      <c r="N373" s="252"/>
      <c r="O373" s="252"/>
      <c r="P373" s="252"/>
      <c r="Q373" s="252"/>
      <c r="R373" s="252"/>
      <c r="S373" s="252"/>
      <c r="T373" s="251"/>
      <c r="U373" s="251"/>
      <c r="V373" s="251"/>
      <c r="W373" s="251"/>
      <c r="X373" s="251"/>
      <c r="Y373" s="251"/>
      <c r="Z373" s="251"/>
      <c r="AA373" s="251"/>
      <c r="AB373" s="251"/>
      <c r="AC373" s="251"/>
      <c r="AD373" s="251"/>
      <c r="AE373" s="251"/>
      <c r="AF373" s="251"/>
      <c r="AG373" s="251"/>
      <c r="AH373" s="251"/>
      <c r="AI373" s="251"/>
      <c r="AJ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1"/>
      <c r="AZ373" s="251"/>
      <c r="BA373" s="251"/>
      <c r="BB373" s="251"/>
      <c r="BC373" s="251"/>
      <c r="BD373" s="251"/>
      <c r="BE373" s="251"/>
      <c r="BF373" s="251"/>
      <c r="BG373" s="251"/>
      <c r="BH373" s="251"/>
      <c r="BI373" s="251"/>
      <c r="BJ373" s="251"/>
      <c r="BK373" s="251"/>
      <c r="BL373" s="251"/>
      <c r="BM373" s="251"/>
      <c r="BN373" s="251"/>
      <c r="BO373" s="251"/>
      <c r="BP373" s="251"/>
      <c r="BQ373" s="251"/>
      <c r="BR373" s="251"/>
      <c r="BS373" s="251"/>
      <c r="BT373" s="251"/>
      <c r="BU373" s="251"/>
      <c r="BV373" s="251"/>
      <c r="BW373" s="251"/>
      <c r="BX373" s="251"/>
      <c r="BY373" s="251"/>
      <c r="BZ373" s="251"/>
      <c r="CA373" s="251"/>
      <c r="CB373" s="251"/>
      <c r="CC373" s="251"/>
      <c r="CD373" s="251"/>
      <c r="CE373" s="251"/>
      <c r="CF373" s="251"/>
      <c r="CG373" s="251"/>
      <c r="CH373" s="251"/>
      <c r="CI373" s="251"/>
      <c r="CJ373" s="251"/>
      <c r="CK373" s="251"/>
      <c r="CL373" s="251"/>
      <c r="CM373" s="251"/>
      <c r="CN373" s="251"/>
      <c r="CO373" s="251"/>
      <c r="CP373" s="251"/>
      <c r="CQ373" s="251"/>
      <c r="CR373" s="251"/>
      <c r="CS373" s="251"/>
    </row>
    <row r="374" spans="1:97" s="34" customFormat="1" x14ac:dyDescent="0.25">
      <c r="A374" s="64">
        <v>909091</v>
      </c>
      <c r="B374" s="62">
        <v>76.8</v>
      </c>
      <c r="C374" s="62"/>
      <c r="D374" s="62">
        <v>9.06</v>
      </c>
      <c r="E374" s="62">
        <v>1.8</v>
      </c>
      <c r="F374" s="62">
        <v>1.93</v>
      </c>
      <c r="G374" s="62">
        <v>0.67</v>
      </c>
      <c r="H374" s="62">
        <v>1.1599999999999999</v>
      </c>
      <c r="I374" s="62">
        <v>0.25</v>
      </c>
      <c r="J374" s="62">
        <v>1.62</v>
      </c>
      <c r="K374" s="62">
        <v>0.39</v>
      </c>
      <c r="L374" s="62">
        <v>29.6</v>
      </c>
      <c r="M374" s="252"/>
      <c r="N374" s="252"/>
      <c r="O374" s="252"/>
      <c r="P374" s="252"/>
      <c r="Q374" s="252"/>
      <c r="R374" s="252"/>
      <c r="S374" s="252"/>
      <c r="T374" s="251"/>
      <c r="U374" s="251"/>
      <c r="V374" s="251"/>
      <c r="W374" s="251"/>
      <c r="X374" s="251"/>
      <c r="Y374" s="251"/>
      <c r="Z374" s="251"/>
      <c r="AA374" s="251"/>
      <c r="AB374" s="251"/>
      <c r="AC374" s="251"/>
      <c r="AD374" s="251"/>
      <c r="AE374" s="251"/>
      <c r="AF374" s="251"/>
      <c r="AG374" s="251"/>
      <c r="AH374" s="251"/>
      <c r="AI374" s="251"/>
      <c r="AJ374" s="251"/>
      <c r="AK374" s="251"/>
      <c r="AL374" s="251"/>
      <c r="AM374" s="251"/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1"/>
      <c r="AZ374" s="251"/>
      <c r="BA374" s="251"/>
      <c r="BB374" s="251"/>
      <c r="BC374" s="251"/>
      <c r="BD374" s="251"/>
      <c r="BE374" s="251"/>
      <c r="BF374" s="251"/>
      <c r="BG374" s="251"/>
      <c r="BH374" s="251"/>
      <c r="BI374" s="251"/>
      <c r="BJ374" s="251"/>
      <c r="BK374" s="251"/>
      <c r="BL374" s="251"/>
      <c r="BM374" s="251"/>
      <c r="BN374" s="251"/>
      <c r="BO374" s="251"/>
      <c r="BP374" s="251"/>
      <c r="BQ374" s="251"/>
      <c r="BR374" s="251"/>
      <c r="BS374" s="251"/>
      <c r="BT374" s="251"/>
      <c r="BU374" s="251"/>
      <c r="BV374" s="251"/>
      <c r="BW374" s="251"/>
      <c r="BX374" s="251"/>
      <c r="BY374" s="251"/>
      <c r="BZ374" s="251"/>
      <c r="CA374" s="251"/>
      <c r="CB374" s="251"/>
      <c r="CC374" s="251"/>
      <c r="CD374" s="251"/>
      <c r="CE374" s="251"/>
      <c r="CF374" s="251"/>
      <c r="CG374" s="251"/>
      <c r="CH374" s="251"/>
      <c r="CI374" s="251"/>
      <c r="CJ374" s="251"/>
      <c r="CK374" s="251"/>
      <c r="CL374" s="251"/>
      <c r="CM374" s="251"/>
      <c r="CN374" s="251"/>
      <c r="CO374" s="251"/>
      <c r="CP374" s="251"/>
      <c r="CQ374" s="251"/>
      <c r="CR374" s="251"/>
      <c r="CS374" s="251"/>
    </row>
    <row r="375" spans="1:97" s="34" customFormat="1" x14ac:dyDescent="0.25">
      <c r="A375" s="64">
        <v>909092</v>
      </c>
      <c r="B375" s="62">
        <v>63.12</v>
      </c>
      <c r="C375" s="62"/>
      <c r="D375" s="62">
        <v>8.0299999999999994</v>
      </c>
      <c r="E375" s="62">
        <v>2.95</v>
      </c>
      <c r="F375" s="62">
        <v>1.88</v>
      </c>
      <c r="G375" s="62">
        <v>0.62</v>
      </c>
      <c r="H375" s="62">
        <v>1.21</v>
      </c>
      <c r="I375" s="62">
        <v>0.2</v>
      </c>
      <c r="J375" s="62">
        <v>1.42</v>
      </c>
      <c r="K375" s="62">
        <v>0.31</v>
      </c>
      <c r="L375" s="62">
        <v>43.8</v>
      </c>
      <c r="M375" s="252"/>
      <c r="N375" s="252"/>
      <c r="O375" s="252"/>
      <c r="P375" s="252"/>
      <c r="Q375" s="252"/>
      <c r="R375" s="252"/>
      <c r="S375" s="252"/>
      <c r="T375" s="251"/>
      <c r="U375" s="251"/>
      <c r="V375" s="251"/>
      <c r="W375" s="251"/>
      <c r="X375" s="251"/>
      <c r="Y375" s="251"/>
      <c r="Z375" s="251"/>
      <c r="AA375" s="251"/>
      <c r="AB375" s="251"/>
      <c r="AC375" s="251"/>
      <c r="AD375" s="251"/>
      <c r="AE375" s="251"/>
      <c r="AF375" s="251"/>
      <c r="AG375" s="251"/>
      <c r="AH375" s="251"/>
      <c r="AI375" s="251"/>
      <c r="AJ375" s="251"/>
      <c r="AK375" s="251"/>
      <c r="AL375" s="251"/>
      <c r="AM375" s="251"/>
      <c r="AN375" s="251"/>
      <c r="AO375" s="251"/>
      <c r="AP375" s="251"/>
      <c r="AQ375" s="251"/>
      <c r="AR375" s="251"/>
      <c r="AS375" s="251"/>
      <c r="AT375" s="251"/>
      <c r="AU375" s="251"/>
      <c r="AV375" s="251"/>
      <c r="AW375" s="251"/>
      <c r="AX375" s="251"/>
      <c r="AY375" s="251"/>
      <c r="AZ375" s="251"/>
      <c r="BA375" s="251"/>
      <c r="BB375" s="251"/>
      <c r="BC375" s="251"/>
      <c r="BD375" s="251"/>
      <c r="BE375" s="251"/>
      <c r="BF375" s="251"/>
      <c r="BG375" s="251"/>
      <c r="BH375" s="251"/>
      <c r="BI375" s="251"/>
      <c r="BJ375" s="251"/>
      <c r="BK375" s="251"/>
      <c r="BL375" s="251"/>
      <c r="BM375" s="251"/>
      <c r="BN375" s="251"/>
      <c r="BO375" s="251"/>
      <c r="BP375" s="251"/>
      <c r="BQ375" s="251"/>
      <c r="BR375" s="251"/>
      <c r="BS375" s="251"/>
      <c r="BT375" s="251"/>
      <c r="BU375" s="251"/>
      <c r="BV375" s="251"/>
      <c r="BW375" s="251"/>
      <c r="BX375" s="251"/>
      <c r="BY375" s="251"/>
      <c r="BZ375" s="251"/>
      <c r="CA375" s="251"/>
      <c r="CB375" s="251"/>
      <c r="CC375" s="251"/>
      <c r="CD375" s="251"/>
      <c r="CE375" s="251"/>
      <c r="CF375" s="251"/>
      <c r="CG375" s="251"/>
      <c r="CH375" s="251"/>
      <c r="CI375" s="251"/>
      <c r="CJ375" s="251"/>
      <c r="CK375" s="251"/>
      <c r="CL375" s="251"/>
      <c r="CM375" s="251"/>
      <c r="CN375" s="251"/>
      <c r="CO375" s="251"/>
      <c r="CP375" s="251"/>
      <c r="CQ375" s="251"/>
      <c r="CR375" s="251"/>
      <c r="CS375" s="251"/>
    </row>
    <row r="376" spans="1:97" s="34" customFormat="1" x14ac:dyDescent="0.25">
      <c r="A376" s="64">
        <v>909093</v>
      </c>
      <c r="B376" s="62">
        <v>50.86</v>
      </c>
      <c r="C376" s="62"/>
      <c r="D376" s="62">
        <v>9.44</v>
      </c>
      <c r="E376" s="62">
        <v>2.93</v>
      </c>
      <c r="F376" s="62">
        <v>3.61</v>
      </c>
      <c r="G376" s="62">
        <v>0.5</v>
      </c>
      <c r="H376" s="62">
        <v>1.03</v>
      </c>
      <c r="I376" s="62">
        <v>0.21</v>
      </c>
      <c r="J376" s="62">
        <v>1.23</v>
      </c>
      <c r="K376" s="62">
        <v>0.36</v>
      </c>
      <c r="L376" s="62">
        <v>43.8</v>
      </c>
      <c r="M376" s="252"/>
      <c r="N376" s="252"/>
      <c r="O376" s="252"/>
      <c r="P376" s="252"/>
      <c r="Q376" s="252"/>
      <c r="R376" s="252"/>
      <c r="S376" s="252"/>
      <c r="T376" s="251"/>
      <c r="U376" s="251"/>
      <c r="V376" s="251"/>
      <c r="W376" s="251"/>
      <c r="X376" s="251"/>
      <c r="Y376" s="251"/>
      <c r="Z376" s="251"/>
      <c r="AA376" s="251"/>
      <c r="AB376" s="251"/>
      <c r="AC376" s="251"/>
      <c r="AD376" s="251"/>
      <c r="AE376" s="251"/>
      <c r="AF376" s="251"/>
      <c r="AG376" s="251"/>
      <c r="AH376" s="251"/>
      <c r="AI376" s="251"/>
      <c r="AJ376" s="251"/>
      <c r="AK376" s="251"/>
      <c r="AL376" s="251"/>
      <c r="AM376" s="251"/>
      <c r="AN376" s="251"/>
      <c r="AO376" s="251"/>
      <c r="AP376" s="251"/>
      <c r="AQ376" s="251"/>
      <c r="AR376" s="251"/>
      <c r="AS376" s="251"/>
      <c r="AT376" s="251"/>
      <c r="AU376" s="251"/>
      <c r="AV376" s="251"/>
      <c r="AW376" s="251"/>
      <c r="AX376" s="251"/>
      <c r="AY376" s="251"/>
      <c r="AZ376" s="251"/>
      <c r="BA376" s="251"/>
      <c r="BB376" s="251"/>
      <c r="BC376" s="251"/>
      <c r="BD376" s="251"/>
      <c r="BE376" s="251"/>
      <c r="BF376" s="251"/>
      <c r="BG376" s="251"/>
      <c r="BH376" s="251"/>
      <c r="BI376" s="251"/>
      <c r="BJ376" s="251"/>
      <c r="BK376" s="251"/>
      <c r="BL376" s="251"/>
      <c r="BM376" s="251"/>
      <c r="BN376" s="251"/>
      <c r="BO376" s="251"/>
      <c r="BP376" s="251"/>
      <c r="BQ376" s="251"/>
      <c r="BR376" s="251"/>
      <c r="BS376" s="251"/>
      <c r="BT376" s="251"/>
      <c r="BU376" s="251"/>
      <c r="BV376" s="251"/>
      <c r="BW376" s="251"/>
      <c r="BX376" s="251"/>
      <c r="BY376" s="251"/>
      <c r="BZ376" s="251"/>
      <c r="CA376" s="251"/>
      <c r="CB376" s="251"/>
      <c r="CC376" s="251"/>
      <c r="CD376" s="251"/>
      <c r="CE376" s="251"/>
      <c r="CF376" s="251"/>
      <c r="CG376" s="251"/>
      <c r="CH376" s="251"/>
      <c r="CI376" s="251"/>
      <c r="CJ376" s="251"/>
      <c r="CK376" s="251"/>
      <c r="CL376" s="251"/>
      <c r="CM376" s="251"/>
      <c r="CN376" s="251"/>
      <c r="CO376" s="251"/>
      <c r="CP376" s="251"/>
      <c r="CQ376" s="251"/>
      <c r="CR376" s="251"/>
      <c r="CS376" s="251"/>
    </row>
    <row r="377" spans="1:97" s="34" customFormat="1" x14ac:dyDescent="0.25">
      <c r="A377" s="64">
        <v>909094</v>
      </c>
      <c r="B377" s="62">
        <v>71.47</v>
      </c>
      <c r="C377" s="62"/>
      <c r="D377" s="62">
        <v>7.88</v>
      </c>
      <c r="E377" s="62">
        <v>2.4500000000000002</v>
      </c>
      <c r="F377" s="62">
        <v>1.23</v>
      </c>
      <c r="G377" s="62">
        <v>0.38</v>
      </c>
      <c r="H377" s="62">
        <v>3.64</v>
      </c>
      <c r="I377" s="62">
        <v>0.18</v>
      </c>
      <c r="J377" s="62">
        <v>4.5999999999999996</v>
      </c>
      <c r="K377" s="62">
        <v>0.85</v>
      </c>
      <c r="L377" s="62">
        <v>33.799999999999997</v>
      </c>
      <c r="M377" s="252"/>
      <c r="N377" s="252"/>
      <c r="O377" s="252"/>
      <c r="P377" s="252"/>
      <c r="Q377" s="252"/>
      <c r="R377" s="252"/>
      <c r="S377" s="252"/>
      <c r="T377" s="251"/>
      <c r="U377" s="251"/>
      <c r="V377" s="251"/>
      <c r="W377" s="251"/>
      <c r="X377" s="251"/>
      <c r="Y377" s="251"/>
      <c r="Z377" s="251"/>
      <c r="AA377" s="251"/>
      <c r="AB377" s="251"/>
      <c r="AC377" s="251"/>
      <c r="AD377" s="251"/>
      <c r="AE377" s="251"/>
      <c r="AF377" s="251"/>
      <c r="AG377" s="251"/>
      <c r="AH377" s="251"/>
      <c r="AI377" s="251"/>
      <c r="AJ377" s="251"/>
      <c r="AK377" s="251"/>
      <c r="AL377" s="251"/>
      <c r="AM377" s="251"/>
      <c r="AN377" s="251"/>
      <c r="AO377" s="251"/>
      <c r="AP377" s="251"/>
      <c r="AQ377" s="251"/>
      <c r="AR377" s="251"/>
      <c r="AS377" s="251"/>
      <c r="AT377" s="251"/>
      <c r="AU377" s="251"/>
      <c r="AV377" s="251"/>
      <c r="AW377" s="251"/>
      <c r="AX377" s="251"/>
      <c r="AY377" s="251"/>
      <c r="AZ377" s="251"/>
      <c r="BA377" s="251"/>
      <c r="BB377" s="251"/>
      <c r="BC377" s="251"/>
      <c r="BD377" s="251"/>
      <c r="BE377" s="251"/>
      <c r="BF377" s="251"/>
      <c r="BG377" s="251"/>
      <c r="BH377" s="251"/>
      <c r="BI377" s="251"/>
      <c r="BJ377" s="251"/>
      <c r="BK377" s="251"/>
      <c r="BL377" s="251"/>
      <c r="BM377" s="251"/>
      <c r="BN377" s="251"/>
      <c r="BO377" s="251"/>
      <c r="BP377" s="251"/>
      <c r="BQ377" s="251"/>
      <c r="BR377" s="251"/>
      <c r="BS377" s="251"/>
      <c r="BT377" s="251"/>
      <c r="BU377" s="251"/>
      <c r="BV377" s="251"/>
      <c r="BW377" s="251"/>
      <c r="BX377" s="251"/>
      <c r="BY377" s="251"/>
      <c r="BZ377" s="251"/>
      <c r="CA377" s="251"/>
      <c r="CB377" s="251"/>
      <c r="CC377" s="251"/>
      <c r="CD377" s="251"/>
      <c r="CE377" s="251"/>
      <c r="CF377" s="251"/>
      <c r="CG377" s="251"/>
      <c r="CH377" s="251"/>
      <c r="CI377" s="251"/>
      <c r="CJ377" s="251"/>
      <c r="CK377" s="251"/>
      <c r="CL377" s="251"/>
      <c r="CM377" s="251"/>
      <c r="CN377" s="251"/>
      <c r="CO377" s="251"/>
      <c r="CP377" s="251"/>
      <c r="CQ377" s="251"/>
      <c r="CR377" s="251"/>
      <c r="CS377" s="251"/>
    </row>
    <row r="378" spans="1:97" s="34" customFormat="1" x14ac:dyDescent="0.25">
      <c r="A378" s="64">
        <v>909095</v>
      </c>
      <c r="B378" s="62">
        <v>73.22</v>
      </c>
      <c r="C378" s="62"/>
      <c r="D378" s="62">
        <v>8.65</v>
      </c>
      <c r="E378" s="62">
        <v>2.34</v>
      </c>
      <c r="F378" s="62">
        <v>1.51</v>
      </c>
      <c r="G378" s="62">
        <v>0.63</v>
      </c>
      <c r="H378" s="62">
        <v>1.08</v>
      </c>
      <c r="I378" s="62">
        <v>0.21</v>
      </c>
      <c r="J378" s="62">
        <v>1.3</v>
      </c>
      <c r="K378" s="62">
        <v>0.41</v>
      </c>
      <c r="L378" s="62">
        <v>30.4</v>
      </c>
      <c r="M378" s="252"/>
      <c r="N378" s="252"/>
      <c r="O378" s="252"/>
      <c r="P378" s="252"/>
      <c r="Q378" s="252"/>
      <c r="R378" s="252"/>
      <c r="S378" s="252"/>
      <c r="T378" s="251"/>
      <c r="U378" s="251"/>
      <c r="V378" s="251"/>
      <c r="W378" s="251"/>
      <c r="X378" s="251"/>
      <c r="Y378" s="251"/>
      <c r="Z378" s="251"/>
      <c r="AA378" s="251"/>
      <c r="AB378" s="251"/>
      <c r="AC378" s="251"/>
      <c r="AD378" s="251"/>
      <c r="AE378" s="251"/>
      <c r="AF378" s="251"/>
      <c r="AG378" s="251"/>
      <c r="AH378" s="251"/>
      <c r="AI378" s="251"/>
      <c r="AJ378" s="251"/>
      <c r="AK378" s="251"/>
      <c r="AL378" s="251"/>
      <c r="AM378" s="251"/>
      <c r="AN378" s="251"/>
      <c r="AO378" s="251"/>
      <c r="AP378" s="251"/>
      <c r="AQ378" s="251"/>
      <c r="AR378" s="251"/>
      <c r="AS378" s="251"/>
      <c r="AT378" s="251"/>
      <c r="AU378" s="251"/>
      <c r="AV378" s="251"/>
      <c r="AW378" s="251"/>
      <c r="AX378" s="251"/>
      <c r="AY378" s="251"/>
      <c r="AZ378" s="251"/>
      <c r="BA378" s="251"/>
      <c r="BB378" s="251"/>
      <c r="BC378" s="251"/>
      <c r="BD378" s="251"/>
      <c r="BE378" s="251"/>
      <c r="BF378" s="251"/>
      <c r="BG378" s="251"/>
      <c r="BH378" s="251"/>
      <c r="BI378" s="251"/>
      <c r="BJ378" s="251"/>
      <c r="BK378" s="251"/>
      <c r="BL378" s="251"/>
      <c r="BM378" s="251"/>
      <c r="BN378" s="251"/>
      <c r="BO378" s="251"/>
      <c r="BP378" s="251"/>
      <c r="BQ378" s="251"/>
      <c r="BR378" s="251"/>
      <c r="BS378" s="251"/>
      <c r="BT378" s="251"/>
      <c r="BU378" s="251"/>
      <c r="BV378" s="251"/>
      <c r="BW378" s="251"/>
      <c r="BX378" s="251"/>
      <c r="BY378" s="251"/>
      <c r="BZ378" s="251"/>
      <c r="CA378" s="251"/>
      <c r="CB378" s="251"/>
      <c r="CC378" s="251"/>
      <c r="CD378" s="251"/>
      <c r="CE378" s="251"/>
      <c r="CF378" s="251"/>
      <c r="CG378" s="251"/>
      <c r="CH378" s="251"/>
      <c r="CI378" s="251"/>
      <c r="CJ378" s="251"/>
      <c r="CK378" s="251"/>
      <c r="CL378" s="251"/>
      <c r="CM378" s="251"/>
      <c r="CN378" s="251"/>
      <c r="CO378" s="251"/>
      <c r="CP378" s="251"/>
      <c r="CQ378" s="251"/>
      <c r="CR378" s="251"/>
      <c r="CS378" s="251"/>
    </row>
    <row r="379" spans="1:97" s="34" customFormat="1" x14ac:dyDescent="0.25">
      <c r="A379" s="64">
        <v>909096</v>
      </c>
      <c r="B379" s="62">
        <v>90.01</v>
      </c>
      <c r="C379" s="62"/>
      <c r="D379" s="62">
        <v>7.77</v>
      </c>
      <c r="E379" s="62">
        <v>3.05</v>
      </c>
      <c r="F379" s="62">
        <v>3.28</v>
      </c>
      <c r="G379" s="62">
        <v>0.53</v>
      </c>
      <c r="H379" s="62">
        <v>0.59</v>
      </c>
      <c r="I379" s="62">
        <v>0.28000000000000003</v>
      </c>
      <c r="J379" s="62">
        <v>2.09</v>
      </c>
      <c r="K379" s="62">
        <v>0.27</v>
      </c>
      <c r="L379" s="62">
        <v>37</v>
      </c>
      <c r="M379" s="252"/>
      <c r="N379" s="252"/>
      <c r="O379" s="252"/>
      <c r="P379" s="252"/>
      <c r="Q379" s="252"/>
      <c r="R379" s="252"/>
      <c r="S379" s="252"/>
      <c r="T379" s="251"/>
      <c r="U379" s="251"/>
      <c r="V379" s="251"/>
      <c r="W379" s="251"/>
      <c r="X379" s="251"/>
      <c r="Y379" s="251"/>
      <c r="Z379" s="251"/>
      <c r="AA379" s="251"/>
      <c r="AB379" s="251"/>
      <c r="AC379" s="251"/>
      <c r="AD379" s="251"/>
      <c r="AE379" s="251"/>
      <c r="AF379" s="251"/>
      <c r="AG379" s="251"/>
      <c r="AH379" s="251"/>
      <c r="AI379" s="251"/>
      <c r="AJ379" s="251"/>
      <c r="AK379" s="251"/>
      <c r="AL379" s="251"/>
      <c r="AM379" s="251"/>
      <c r="AN379" s="251"/>
      <c r="AO379" s="251"/>
      <c r="AP379" s="251"/>
      <c r="AQ379" s="251"/>
      <c r="AR379" s="251"/>
      <c r="AS379" s="251"/>
      <c r="AT379" s="251"/>
      <c r="AU379" s="251"/>
      <c r="AV379" s="251"/>
      <c r="AW379" s="251"/>
      <c r="AX379" s="251"/>
      <c r="AY379" s="251"/>
      <c r="AZ379" s="251"/>
      <c r="BA379" s="251"/>
      <c r="BB379" s="251"/>
      <c r="BC379" s="251"/>
      <c r="BD379" s="251"/>
      <c r="BE379" s="251"/>
      <c r="BF379" s="251"/>
      <c r="BG379" s="251"/>
      <c r="BH379" s="251"/>
      <c r="BI379" s="251"/>
      <c r="BJ379" s="251"/>
      <c r="BK379" s="251"/>
      <c r="BL379" s="251"/>
      <c r="BM379" s="251"/>
      <c r="BN379" s="251"/>
      <c r="BO379" s="251"/>
      <c r="BP379" s="251"/>
      <c r="BQ379" s="251"/>
      <c r="BR379" s="251"/>
      <c r="BS379" s="251"/>
      <c r="BT379" s="251"/>
      <c r="BU379" s="251"/>
      <c r="BV379" s="251"/>
      <c r="BW379" s="251"/>
      <c r="BX379" s="251"/>
      <c r="BY379" s="251"/>
      <c r="BZ379" s="251"/>
      <c r="CA379" s="251"/>
      <c r="CB379" s="251"/>
      <c r="CC379" s="251"/>
      <c r="CD379" s="251"/>
      <c r="CE379" s="251"/>
      <c r="CF379" s="251"/>
      <c r="CG379" s="251"/>
      <c r="CH379" s="251"/>
      <c r="CI379" s="251"/>
      <c r="CJ379" s="251"/>
      <c r="CK379" s="251"/>
      <c r="CL379" s="251"/>
      <c r="CM379" s="251"/>
      <c r="CN379" s="251"/>
      <c r="CO379" s="251"/>
      <c r="CP379" s="251"/>
      <c r="CQ379" s="251"/>
      <c r="CR379" s="251"/>
      <c r="CS379" s="251"/>
    </row>
    <row r="380" spans="1:97" s="34" customFormat="1" x14ac:dyDescent="0.25">
      <c r="A380" s="64">
        <v>909097</v>
      </c>
      <c r="B380" s="62">
        <v>66.2</v>
      </c>
      <c r="C380" s="62"/>
      <c r="D380" s="62">
        <v>7.81</v>
      </c>
      <c r="E380" s="62">
        <v>2.11</v>
      </c>
      <c r="F380" s="62">
        <v>1.48</v>
      </c>
      <c r="G380" s="62">
        <v>0.66</v>
      </c>
      <c r="H380" s="62">
        <v>1.1399999999999999</v>
      </c>
      <c r="I380" s="62">
        <v>0.21</v>
      </c>
      <c r="J380" s="62">
        <v>1.29</v>
      </c>
      <c r="K380" s="62">
        <v>0.45</v>
      </c>
      <c r="L380" s="62">
        <v>35.4</v>
      </c>
      <c r="M380" s="252"/>
      <c r="N380" s="252"/>
      <c r="O380" s="252"/>
      <c r="P380" s="252"/>
      <c r="Q380" s="252"/>
      <c r="R380" s="252"/>
      <c r="S380" s="252"/>
      <c r="T380" s="251"/>
      <c r="U380" s="251"/>
      <c r="V380" s="251"/>
      <c r="W380" s="251"/>
      <c r="X380" s="251"/>
      <c r="Y380" s="251"/>
      <c r="Z380" s="251"/>
      <c r="AA380" s="251"/>
      <c r="AB380" s="251"/>
      <c r="AC380" s="251"/>
      <c r="AD380" s="251"/>
      <c r="AE380" s="251"/>
      <c r="AF380" s="251"/>
      <c r="AG380" s="251"/>
      <c r="AH380" s="251"/>
      <c r="AI380" s="251"/>
      <c r="AJ380" s="251"/>
      <c r="AK380" s="251"/>
      <c r="AL380" s="251"/>
      <c r="AM380" s="251"/>
      <c r="AN380" s="251"/>
      <c r="AO380" s="251"/>
      <c r="AP380" s="251"/>
      <c r="AQ380" s="251"/>
      <c r="AR380" s="251"/>
      <c r="AS380" s="251"/>
      <c r="AT380" s="251"/>
      <c r="AU380" s="251"/>
      <c r="AV380" s="251"/>
      <c r="AW380" s="251"/>
      <c r="AX380" s="251"/>
      <c r="AY380" s="251"/>
      <c r="AZ380" s="251"/>
      <c r="BA380" s="251"/>
      <c r="BB380" s="251"/>
      <c r="BC380" s="251"/>
      <c r="BD380" s="251"/>
      <c r="BE380" s="251"/>
      <c r="BF380" s="251"/>
      <c r="BG380" s="251"/>
      <c r="BH380" s="251"/>
      <c r="BI380" s="251"/>
      <c r="BJ380" s="251"/>
      <c r="BK380" s="251"/>
      <c r="BL380" s="251"/>
      <c r="BM380" s="251"/>
      <c r="BN380" s="251"/>
      <c r="BO380" s="251"/>
      <c r="BP380" s="251"/>
      <c r="BQ380" s="251"/>
      <c r="BR380" s="251"/>
      <c r="BS380" s="251"/>
      <c r="BT380" s="251"/>
      <c r="BU380" s="251"/>
      <c r="BV380" s="251"/>
      <c r="BW380" s="251"/>
      <c r="BX380" s="251"/>
      <c r="BY380" s="251"/>
      <c r="BZ380" s="251"/>
      <c r="CA380" s="251"/>
      <c r="CB380" s="251"/>
      <c r="CC380" s="251"/>
      <c r="CD380" s="251"/>
      <c r="CE380" s="251"/>
      <c r="CF380" s="251"/>
      <c r="CG380" s="251"/>
      <c r="CH380" s="251"/>
      <c r="CI380" s="251"/>
      <c r="CJ380" s="251"/>
      <c r="CK380" s="251"/>
      <c r="CL380" s="251"/>
      <c r="CM380" s="251"/>
      <c r="CN380" s="251"/>
      <c r="CO380" s="251"/>
      <c r="CP380" s="251"/>
      <c r="CQ380" s="251"/>
      <c r="CR380" s="251"/>
      <c r="CS380" s="251"/>
    </row>
    <row r="381" spans="1:97" s="34" customFormat="1" x14ac:dyDescent="0.25">
      <c r="A381" s="64">
        <v>909098</v>
      </c>
      <c r="B381" s="62">
        <v>98.4</v>
      </c>
      <c r="C381" s="62"/>
      <c r="D381" s="62">
        <v>10.37</v>
      </c>
      <c r="E381" s="62">
        <v>16.2</v>
      </c>
      <c r="F381" s="62">
        <v>0.48</v>
      </c>
      <c r="G381" s="62">
        <v>0.42</v>
      </c>
      <c r="H381" s="62">
        <v>8.86</v>
      </c>
      <c r="I381" s="62">
        <v>0.37</v>
      </c>
      <c r="J381" s="62">
        <v>1.84</v>
      </c>
      <c r="K381" s="62">
        <v>0.84</v>
      </c>
      <c r="L381" s="62">
        <v>7.4</v>
      </c>
      <c r="M381" s="252"/>
      <c r="N381" s="252"/>
      <c r="O381" s="252"/>
      <c r="P381" s="252"/>
      <c r="Q381" s="252"/>
      <c r="R381" s="252"/>
      <c r="S381" s="252"/>
      <c r="T381" s="251"/>
      <c r="U381" s="251"/>
      <c r="V381" s="251"/>
      <c r="W381" s="251"/>
      <c r="X381" s="251"/>
      <c r="Y381" s="251"/>
      <c r="Z381" s="251"/>
      <c r="AA381" s="251"/>
      <c r="AB381" s="251"/>
      <c r="AC381" s="251"/>
      <c r="AD381" s="251"/>
      <c r="AE381" s="251"/>
      <c r="AF381" s="251"/>
      <c r="AG381" s="251"/>
      <c r="AH381" s="251"/>
      <c r="AI381" s="251"/>
      <c r="AJ381" s="251"/>
      <c r="AK381" s="251"/>
      <c r="AL381" s="251"/>
      <c r="AM381" s="251"/>
      <c r="AN381" s="251"/>
      <c r="AO381" s="251"/>
      <c r="AP381" s="251"/>
      <c r="AQ381" s="251"/>
      <c r="AR381" s="251"/>
      <c r="AS381" s="251"/>
      <c r="AT381" s="251"/>
      <c r="AU381" s="251"/>
      <c r="AV381" s="251"/>
      <c r="AW381" s="251"/>
      <c r="AX381" s="251"/>
      <c r="AY381" s="251"/>
      <c r="AZ381" s="251"/>
      <c r="BA381" s="251"/>
      <c r="BB381" s="251"/>
      <c r="BC381" s="251"/>
      <c r="BD381" s="251"/>
      <c r="BE381" s="251"/>
      <c r="BF381" s="251"/>
      <c r="BG381" s="251"/>
      <c r="BH381" s="251"/>
      <c r="BI381" s="251"/>
      <c r="BJ381" s="251"/>
      <c r="BK381" s="251"/>
      <c r="BL381" s="251"/>
      <c r="BM381" s="251"/>
      <c r="BN381" s="251"/>
      <c r="BO381" s="251"/>
      <c r="BP381" s="251"/>
      <c r="BQ381" s="251"/>
      <c r="BR381" s="251"/>
      <c r="BS381" s="251"/>
      <c r="BT381" s="251"/>
      <c r="BU381" s="251"/>
      <c r="BV381" s="251"/>
      <c r="BW381" s="251"/>
      <c r="BX381" s="251"/>
      <c r="BY381" s="251"/>
      <c r="BZ381" s="251"/>
      <c r="CA381" s="251"/>
      <c r="CB381" s="251"/>
      <c r="CC381" s="251"/>
      <c r="CD381" s="251"/>
      <c r="CE381" s="251"/>
      <c r="CF381" s="251"/>
      <c r="CG381" s="251"/>
      <c r="CH381" s="251"/>
      <c r="CI381" s="251"/>
      <c r="CJ381" s="251"/>
      <c r="CK381" s="251"/>
      <c r="CL381" s="251"/>
      <c r="CM381" s="251"/>
      <c r="CN381" s="251"/>
      <c r="CO381" s="251"/>
      <c r="CP381" s="251"/>
      <c r="CQ381" s="251"/>
      <c r="CR381" s="251"/>
      <c r="CS381" s="251"/>
    </row>
    <row r="382" spans="1:97" s="34" customFormat="1" x14ac:dyDescent="0.25">
      <c r="A382" s="64">
        <v>909099</v>
      </c>
      <c r="B382" s="62">
        <v>77.849999999999994</v>
      </c>
      <c r="C382" s="62"/>
      <c r="D382" s="62">
        <v>8.99</v>
      </c>
      <c r="E382" s="62">
        <v>2.78</v>
      </c>
      <c r="F382" s="62">
        <v>3.05</v>
      </c>
      <c r="G382" s="62">
        <v>0.78</v>
      </c>
      <c r="H382" s="62">
        <v>1.9</v>
      </c>
      <c r="I382" s="62">
        <v>0.63</v>
      </c>
      <c r="J382" s="62">
        <v>2.81</v>
      </c>
      <c r="K382" s="62">
        <v>0.74</v>
      </c>
      <c r="L382" s="62">
        <v>80.8</v>
      </c>
      <c r="M382" s="252"/>
      <c r="N382" s="252"/>
      <c r="O382" s="252"/>
      <c r="P382" s="252"/>
      <c r="Q382" s="252"/>
      <c r="R382" s="252"/>
      <c r="S382" s="252"/>
      <c r="T382" s="251"/>
      <c r="U382" s="251"/>
      <c r="V382" s="251"/>
      <c r="W382" s="251"/>
      <c r="X382" s="251"/>
      <c r="Y382" s="251"/>
      <c r="Z382" s="251"/>
      <c r="AA382" s="251"/>
      <c r="AB382" s="251"/>
      <c r="AC382" s="251"/>
      <c r="AD382" s="251"/>
      <c r="AE382" s="251"/>
      <c r="AF382" s="251"/>
      <c r="AG382" s="251"/>
      <c r="AH382" s="251"/>
      <c r="AI382" s="251"/>
      <c r="AJ382" s="251"/>
      <c r="AK382" s="251"/>
      <c r="AL382" s="251"/>
      <c r="AM382" s="251"/>
      <c r="AN382" s="251"/>
      <c r="AO382" s="251"/>
      <c r="AP382" s="251"/>
      <c r="AQ382" s="251"/>
      <c r="AR382" s="251"/>
      <c r="AS382" s="251"/>
      <c r="AT382" s="251"/>
      <c r="AU382" s="251"/>
      <c r="AV382" s="251"/>
      <c r="AW382" s="251"/>
      <c r="AX382" s="251"/>
      <c r="AY382" s="251"/>
      <c r="AZ382" s="251"/>
      <c r="BA382" s="251"/>
      <c r="BB382" s="251"/>
      <c r="BC382" s="251"/>
      <c r="BD382" s="251"/>
      <c r="BE382" s="251"/>
      <c r="BF382" s="251"/>
      <c r="BG382" s="251"/>
      <c r="BH382" s="251"/>
      <c r="BI382" s="251"/>
      <c r="BJ382" s="251"/>
      <c r="BK382" s="251"/>
      <c r="BL382" s="251"/>
      <c r="BM382" s="251"/>
      <c r="BN382" s="251"/>
      <c r="BO382" s="251"/>
      <c r="BP382" s="251"/>
      <c r="BQ382" s="251"/>
      <c r="BR382" s="251"/>
      <c r="BS382" s="251"/>
      <c r="BT382" s="251"/>
      <c r="BU382" s="251"/>
      <c r="BV382" s="251"/>
      <c r="BW382" s="251"/>
      <c r="BX382" s="251"/>
      <c r="BY382" s="251"/>
      <c r="BZ382" s="251"/>
      <c r="CA382" s="251"/>
      <c r="CB382" s="251"/>
      <c r="CC382" s="251"/>
      <c r="CD382" s="251"/>
      <c r="CE382" s="251"/>
      <c r="CF382" s="251"/>
      <c r="CG382" s="251"/>
      <c r="CH382" s="251"/>
      <c r="CI382" s="251"/>
      <c r="CJ382" s="251"/>
      <c r="CK382" s="251"/>
      <c r="CL382" s="251"/>
      <c r="CM382" s="251"/>
      <c r="CN382" s="251"/>
      <c r="CO382" s="251"/>
      <c r="CP382" s="251"/>
      <c r="CQ382" s="251"/>
      <c r="CR382" s="251"/>
      <c r="CS382" s="251"/>
    </row>
    <row r="383" spans="1:97" s="34" customFormat="1" x14ac:dyDescent="0.25">
      <c r="A383" s="64">
        <v>909100</v>
      </c>
      <c r="B383" s="62">
        <v>30.62</v>
      </c>
      <c r="C383" s="62"/>
      <c r="D383" s="62">
        <v>9.2899999999999991</v>
      </c>
      <c r="E383" s="62">
        <v>3.36</v>
      </c>
      <c r="F383" s="62">
        <v>2.77</v>
      </c>
      <c r="G383" s="62">
        <v>0.76</v>
      </c>
      <c r="H383" s="62">
        <v>2.4300000000000002</v>
      </c>
      <c r="I383" s="62">
        <v>0.79</v>
      </c>
      <c r="J383" s="62">
        <v>3.68</v>
      </c>
      <c r="K383" s="62">
        <v>1</v>
      </c>
      <c r="L383" s="62">
        <v>58</v>
      </c>
      <c r="M383" s="252"/>
      <c r="N383" s="252"/>
      <c r="O383" s="252"/>
      <c r="P383" s="252"/>
      <c r="Q383" s="252"/>
      <c r="R383" s="252"/>
      <c r="S383" s="252"/>
      <c r="T383" s="251"/>
      <c r="U383" s="251"/>
      <c r="V383" s="251"/>
      <c r="W383" s="251"/>
      <c r="X383" s="251"/>
      <c r="Y383" s="251"/>
      <c r="Z383" s="251"/>
      <c r="AA383" s="251"/>
      <c r="AB383" s="251"/>
      <c r="AC383" s="251"/>
      <c r="AD383" s="251"/>
      <c r="AE383" s="251"/>
      <c r="AF383" s="251"/>
      <c r="AG383" s="251"/>
      <c r="AH383" s="251"/>
      <c r="AI383" s="251"/>
      <c r="AJ383" s="251"/>
      <c r="AK383" s="251"/>
      <c r="AL383" s="251"/>
      <c r="AM383" s="251"/>
      <c r="AN383" s="251"/>
      <c r="AO383" s="251"/>
      <c r="AP383" s="251"/>
      <c r="AQ383" s="251"/>
      <c r="AR383" s="251"/>
      <c r="AS383" s="251"/>
      <c r="AT383" s="251"/>
      <c r="AU383" s="251"/>
      <c r="AV383" s="251"/>
      <c r="AW383" s="251"/>
      <c r="AX383" s="251"/>
      <c r="AY383" s="251"/>
      <c r="AZ383" s="251"/>
      <c r="BA383" s="251"/>
      <c r="BB383" s="251"/>
      <c r="BC383" s="251"/>
      <c r="BD383" s="251"/>
      <c r="BE383" s="251"/>
      <c r="BF383" s="251"/>
      <c r="BG383" s="251"/>
      <c r="BH383" s="251"/>
      <c r="BI383" s="251"/>
      <c r="BJ383" s="251"/>
      <c r="BK383" s="251"/>
      <c r="BL383" s="251"/>
      <c r="BM383" s="251"/>
      <c r="BN383" s="251"/>
      <c r="BO383" s="251"/>
      <c r="BP383" s="251"/>
      <c r="BQ383" s="251"/>
      <c r="BR383" s="251"/>
      <c r="BS383" s="251"/>
      <c r="BT383" s="251"/>
      <c r="BU383" s="251"/>
      <c r="BV383" s="251"/>
      <c r="BW383" s="251"/>
      <c r="BX383" s="251"/>
      <c r="BY383" s="251"/>
      <c r="BZ383" s="251"/>
      <c r="CA383" s="251"/>
      <c r="CB383" s="251"/>
      <c r="CC383" s="251"/>
      <c r="CD383" s="251"/>
      <c r="CE383" s="251"/>
      <c r="CF383" s="251"/>
      <c r="CG383" s="251"/>
      <c r="CH383" s="251"/>
      <c r="CI383" s="251"/>
      <c r="CJ383" s="251"/>
      <c r="CK383" s="251"/>
      <c r="CL383" s="251"/>
      <c r="CM383" s="251"/>
      <c r="CN383" s="251"/>
      <c r="CO383" s="251"/>
      <c r="CP383" s="251"/>
      <c r="CQ383" s="251"/>
      <c r="CR383" s="251"/>
      <c r="CS383" s="251"/>
    </row>
    <row r="384" spans="1:97" s="34" customFormat="1" x14ac:dyDescent="0.25">
      <c r="A384" s="64">
        <v>909101</v>
      </c>
      <c r="B384" s="62">
        <v>36.53</v>
      </c>
      <c r="C384" s="62"/>
      <c r="D384" s="62">
        <v>9.11</v>
      </c>
      <c r="E384" s="62">
        <v>4.41</v>
      </c>
      <c r="F384" s="62">
        <v>2.58</v>
      </c>
      <c r="G384" s="62">
        <v>1.37</v>
      </c>
      <c r="H384" s="62">
        <v>2.82</v>
      </c>
      <c r="I384" s="62">
        <v>1.82</v>
      </c>
      <c r="J384" s="62">
        <v>4.91</v>
      </c>
      <c r="K384" s="62">
        <v>0.99</v>
      </c>
      <c r="L384" s="62">
        <v>59</v>
      </c>
      <c r="M384" s="252"/>
      <c r="N384" s="252"/>
      <c r="O384" s="252"/>
      <c r="P384" s="252"/>
      <c r="Q384" s="252"/>
      <c r="R384" s="252"/>
      <c r="S384" s="252"/>
      <c r="T384" s="251"/>
      <c r="U384" s="251"/>
      <c r="V384" s="251"/>
      <c r="W384" s="251"/>
      <c r="X384" s="251"/>
      <c r="Y384" s="251"/>
      <c r="Z384" s="251"/>
      <c r="AA384" s="251"/>
      <c r="AB384" s="251"/>
      <c r="AC384" s="251"/>
      <c r="AD384" s="251"/>
      <c r="AE384" s="251"/>
      <c r="AF384" s="251"/>
      <c r="AG384" s="251"/>
      <c r="AH384" s="251"/>
      <c r="AI384" s="251"/>
      <c r="AJ384" s="251"/>
      <c r="AK384" s="251"/>
      <c r="AL384" s="251"/>
      <c r="AM384" s="251"/>
      <c r="AN384" s="251"/>
      <c r="AO384" s="251"/>
      <c r="AP384" s="251"/>
      <c r="AQ384" s="251"/>
      <c r="AR384" s="251"/>
      <c r="AS384" s="251"/>
      <c r="AT384" s="251"/>
      <c r="AU384" s="251"/>
      <c r="AV384" s="251"/>
      <c r="AW384" s="251"/>
      <c r="AX384" s="251"/>
      <c r="AY384" s="251"/>
      <c r="AZ384" s="251"/>
      <c r="BA384" s="251"/>
      <c r="BB384" s="251"/>
      <c r="BC384" s="251"/>
      <c r="BD384" s="251"/>
      <c r="BE384" s="251"/>
      <c r="BF384" s="251"/>
      <c r="BG384" s="251"/>
      <c r="BH384" s="251"/>
      <c r="BI384" s="251"/>
      <c r="BJ384" s="251"/>
      <c r="BK384" s="251"/>
      <c r="BL384" s="251"/>
      <c r="BM384" s="251"/>
      <c r="BN384" s="251"/>
      <c r="BO384" s="251"/>
      <c r="BP384" s="251"/>
      <c r="BQ384" s="251"/>
      <c r="BR384" s="251"/>
      <c r="BS384" s="251"/>
      <c r="BT384" s="251"/>
      <c r="BU384" s="251"/>
      <c r="BV384" s="251"/>
      <c r="BW384" s="251"/>
      <c r="BX384" s="251"/>
      <c r="BY384" s="251"/>
      <c r="BZ384" s="251"/>
      <c r="CA384" s="251"/>
      <c r="CB384" s="251"/>
      <c r="CC384" s="251"/>
      <c r="CD384" s="251"/>
      <c r="CE384" s="251"/>
      <c r="CF384" s="251"/>
      <c r="CG384" s="251"/>
      <c r="CH384" s="251"/>
      <c r="CI384" s="251"/>
      <c r="CJ384" s="251"/>
      <c r="CK384" s="251"/>
      <c r="CL384" s="251"/>
      <c r="CM384" s="251"/>
      <c r="CN384" s="251"/>
      <c r="CO384" s="251"/>
      <c r="CP384" s="251"/>
      <c r="CQ384" s="251"/>
      <c r="CR384" s="251"/>
      <c r="CS384" s="251"/>
    </row>
    <row r="385" spans="1:97" s="34" customFormat="1" x14ac:dyDescent="0.25">
      <c r="A385" s="64">
        <v>909102</v>
      </c>
      <c r="B385" s="62">
        <v>68.95</v>
      </c>
      <c r="C385" s="62"/>
      <c r="D385" s="62">
        <v>8.5299999999999994</v>
      </c>
      <c r="E385" s="62">
        <v>5.8</v>
      </c>
      <c r="F385" s="62">
        <v>2.91</v>
      </c>
      <c r="G385" s="62">
        <v>0.89</v>
      </c>
      <c r="H385" s="62">
        <v>3.18</v>
      </c>
      <c r="I385" s="62">
        <v>0.7</v>
      </c>
      <c r="J385" s="62">
        <v>3.22</v>
      </c>
      <c r="K385" s="62">
        <v>0.85</v>
      </c>
      <c r="L385" s="62">
        <v>76.8</v>
      </c>
      <c r="M385" s="252"/>
      <c r="N385" s="252"/>
      <c r="O385" s="252"/>
      <c r="P385" s="252"/>
      <c r="Q385" s="252"/>
      <c r="R385" s="252"/>
      <c r="S385" s="252"/>
      <c r="T385" s="251"/>
      <c r="U385" s="251"/>
      <c r="V385" s="251"/>
      <c r="W385" s="251"/>
      <c r="X385" s="251"/>
      <c r="Y385" s="251"/>
      <c r="Z385" s="251"/>
      <c r="AA385" s="251"/>
      <c r="AB385" s="251"/>
      <c r="AC385" s="251"/>
      <c r="AD385" s="251"/>
      <c r="AE385" s="251"/>
      <c r="AF385" s="251"/>
      <c r="AG385" s="251"/>
      <c r="AH385" s="251"/>
      <c r="AI385" s="251"/>
      <c r="AJ385" s="251"/>
      <c r="AK385" s="251"/>
      <c r="AL385" s="251"/>
      <c r="AM385" s="251"/>
      <c r="AN385" s="251"/>
      <c r="AO385" s="251"/>
      <c r="AP385" s="251"/>
      <c r="AQ385" s="251"/>
      <c r="AR385" s="251"/>
      <c r="AS385" s="251"/>
      <c r="AT385" s="251"/>
      <c r="AU385" s="251"/>
      <c r="AV385" s="251"/>
      <c r="AW385" s="251"/>
      <c r="AX385" s="251"/>
      <c r="AY385" s="251"/>
      <c r="AZ385" s="251"/>
      <c r="BA385" s="251"/>
      <c r="BB385" s="251"/>
      <c r="BC385" s="251"/>
      <c r="BD385" s="251"/>
      <c r="BE385" s="251"/>
      <c r="BF385" s="251"/>
      <c r="BG385" s="251"/>
      <c r="BH385" s="251"/>
      <c r="BI385" s="251"/>
      <c r="BJ385" s="251"/>
      <c r="BK385" s="251"/>
      <c r="BL385" s="251"/>
      <c r="BM385" s="251"/>
      <c r="BN385" s="251"/>
      <c r="BO385" s="251"/>
      <c r="BP385" s="251"/>
      <c r="BQ385" s="251"/>
      <c r="BR385" s="251"/>
      <c r="BS385" s="251"/>
      <c r="BT385" s="251"/>
      <c r="BU385" s="251"/>
      <c r="BV385" s="251"/>
      <c r="BW385" s="251"/>
      <c r="BX385" s="251"/>
      <c r="BY385" s="251"/>
      <c r="BZ385" s="251"/>
      <c r="CA385" s="251"/>
      <c r="CB385" s="251"/>
      <c r="CC385" s="251"/>
      <c r="CD385" s="251"/>
      <c r="CE385" s="251"/>
      <c r="CF385" s="251"/>
      <c r="CG385" s="251"/>
      <c r="CH385" s="251"/>
      <c r="CI385" s="251"/>
      <c r="CJ385" s="251"/>
      <c r="CK385" s="251"/>
      <c r="CL385" s="251"/>
      <c r="CM385" s="251"/>
      <c r="CN385" s="251"/>
      <c r="CO385" s="251"/>
      <c r="CP385" s="251"/>
      <c r="CQ385" s="251"/>
      <c r="CR385" s="251"/>
      <c r="CS385" s="251"/>
    </row>
    <row r="386" spans="1:97" s="34" customFormat="1" x14ac:dyDescent="0.25">
      <c r="A386" s="64">
        <v>909103</v>
      </c>
      <c r="B386" s="62">
        <v>30.07</v>
      </c>
      <c r="C386" s="62"/>
      <c r="D386" s="62">
        <v>8.76</v>
      </c>
      <c r="E386" s="62">
        <v>1.06</v>
      </c>
      <c r="F386" s="62">
        <v>2.83</v>
      </c>
      <c r="G386" s="62">
        <v>0.4</v>
      </c>
      <c r="H386" s="62">
        <v>1.53</v>
      </c>
      <c r="I386" s="62">
        <v>0.49</v>
      </c>
      <c r="J386" s="62">
        <v>1.27</v>
      </c>
      <c r="K386" s="62">
        <v>0.35</v>
      </c>
      <c r="L386" s="62">
        <v>82</v>
      </c>
      <c r="M386" s="252"/>
      <c r="N386" s="252"/>
      <c r="O386" s="252"/>
      <c r="P386" s="252"/>
      <c r="Q386" s="252"/>
      <c r="R386" s="252"/>
      <c r="S386" s="252"/>
      <c r="T386" s="251"/>
      <c r="U386" s="251"/>
      <c r="V386" s="251"/>
      <c r="W386" s="251"/>
      <c r="X386" s="251"/>
      <c r="Y386" s="251"/>
      <c r="Z386" s="251"/>
      <c r="AA386" s="251"/>
      <c r="AB386" s="251"/>
      <c r="AC386" s="251"/>
      <c r="AD386" s="251"/>
      <c r="AE386" s="251"/>
      <c r="AF386" s="251"/>
      <c r="AG386" s="251"/>
      <c r="AH386" s="251"/>
      <c r="AI386" s="251"/>
      <c r="AJ386" s="251"/>
      <c r="AK386" s="251"/>
      <c r="AL386" s="251"/>
      <c r="AM386" s="251"/>
      <c r="AN386" s="251"/>
      <c r="AO386" s="251"/>
      <c r="AP386" s="251"/>
      <c r="AQ386" s="251"/>
      <c r="AR386" s="251"/>
      <c r="AS386" s="251"/>
      <c r="AT386" s="251"/>
      <c r="AU386" s="251"/>
      <c r="AV386" s="251"/>
      <c r="AW386" s="251"/>
      <c r="AX386" s="251"/>
      <c r="AY386" s="251"/>
      <c r="AZ386" s="251"/>
      <c r="BA386" s="251"/>
      <c r="BB386" s="251"/>
      <c r="BC386" s="251"/>
      <c r="BD386" s="251"/>
      <c r="BE386" s="251"/>
      <c r="BF386" s="251"/>
      <c r="BG386" s="251"/>
      <c r="BH386" s="251"/>
      <c r="BI386" s="251"/>
      <c r="BJ386" s="251"/>
      <c r="BK386" s="251"/>
      <c r="BL386" s="251"/>
      <c r="BM386" s="251"/>
      <c r="BN386" s="251"/>
      <c r="BO386" s="251"/>
      <c r="BP386" s="251"/>
      <c r="BQ386" s="251"/>
      <c r="BR386" s="251"/>
      <c r="BS386" s="251"/>
      <c r="BT386" s="251"/>
      <c r="BU386" s="251"/>
      <c r="BV386" s="251"/>
      <c r="BW386" s="251"/>
      <c r="BX386" s="251"/>
      <c r="BY386" s="251"/>
      <c r="BZ386" s="251"/>
      <c r="CA386" s="251"/>
      <c r="CB386" s="251"/>
      <c r="CC386" s="251"/>
      <c r="CD386" s="251"/>
      <c r="CE386" s="251"/>
      <c r="CF386" s="251"/>
      <c r="CG386" s="251"/>
      <c r="CH386" s="251"/>
      <c r="CI386" s="251"/>
      <c r="CJ386" s="251"/>
      <c r="CK386" s="251"/>
      <c r="CL386" s="251"/>
      <c r="CM386" s="251"/>
      <c r="CN386" s="251"/>
      <c r="CO386" s="251"/>
      <c r="CP386" s="251"/>
      <c r="CQ386" s="251"/>
      <c r="CR386" s="251"/>
      <c r="CS386" s="251"/>
    </row>
    <row r="387" spans="1:97" s="34" customFormat="1" x14ac:dyDescent="0.25">
      <c r="A387" s="64">
        <v>909104</v>
      </c>
      <c r="B387" s="62">
        <v>76.58</v>
      </c>
      <c r="C387" s="62"/>
      <c r="D387" s="62">
        <v>6.35</v>
      </c>
      <c r="E387" s="62">
        <v>0.6</v>
      </c>
      <c r="F387" s="62">
        <v>2.21</v>
      </c>
      <c r="G387" s="62">
        <v>0.1</v>
      </c>
      <c r="H387" s="62">
        <v>0.67</v>
      </c>
      <c r="I387" s="62">
        <v>0.21</v>
      </c>
      <c r="J387" s="62">
        <v>0.47</v>
      </c>
      <c r="K387" s="62">
        <v>0.05</v>
      </c>
      <c r="L387" s="62">
        <v>95.4</v>
      </c>
      <c r="M387" s="252"/>
      <c r="N387" s="252"/>
      <c r="O387" s="252"/>
      <c r="P387" s="252"/>
      <c r="Q387" s="252"/>
      <c r="R387" s="252"/>
      <c r="S387" s="252"/>
      <c r="T387" s="251"/>
      <c r="U387" s="251"/>
      <c r="V387" s="251"/>
      <c r="W387" s="251"/>
      <c r="X387" s="251"/>
      <c r="Y387" s="251"/>
      <c r="Z387" s="251"/>
      <c r="AA387" s="251"/>
      <c r="AB387" s="251"/>
      <c r="AC387" s="251"/>
      <c r="AD387" s="251"/>
      <c r="AE387" s="251"/>
      <c r="AF387" s="251"/>
      <c r="AG387" s="251"/>
      <c r="AH387" s="251"/>
      <c r="AI387" s="251"/>
      <c r="AJ387" s="251"/>
      <c r="AK387" s="251"/>
      <c r="AL387" s="251"/>
      <c r="AM387" s="251"/>
      <c r="AN387" s="251"/>
      <c r="AO387" s="251"/>
      <c r="AP387" s="251"/>
      <c r="AQ387" s="251"/>
      <c r="AR387" s="251"/>
      <c r="AS387" s="251"/>
      <c r="AT387" s="251"/>
      <c r="AU387" s="251"/>
      <c r="AV387" s="251"/>
      <c r="AW387" s="251"/>
      <c r="AX387" s="251"/>
      <c r="AY387" s="251"/>
      <c r="AZ387" s="251"/>
      <c r="BA387" s="251"/>
      <c r="BB387" s="251"/>
      <c r="BC387" s="251"/>
      <c r="BD387" s="251"/>
      <c r="BE387" s="251"/>
      <c r="BF387" s="251"/>
      <c r="BG387" s="251"/>
      <c r="BH387" s="251"/>
      <c r="BI387" s="251"/>
      <c r="BJ387" s="251"/>
      <c r="BK387" s="251"/>
      <c r="BL387" s="251"/>
      <c r="BM387" s="251"/>
      <c r="BN387" s="251"/>
      <c r="BO387" s="251"/>
      <c r="BP387" s="251"/>
      <c r="BQ387" s="251"/>
      <c r="BR387" s="251"/>
      <c r="BS387" s="251"/>
      <c r="BT387" s="251"/>
      <c r="BU387" s="251"/>
      <c r="BV387" s="251"/>
      <c r="BW387" s="251"/>
      <c r="BX387" s="251"/>
      <c r="BY387" s="251"/>
      <c r="BZ387" s="251"/>
      <c r="CA387" s="251"/>
      <c r="CB387" s="251"/>
      <c r="CC387" s="251"/>
      <c r="CD387" s="251"/>
      <c r="CE387" s="251"/>
      <c r="CF387" s="251"/>
      <c r="CG387" s="251"/>
      <c r="CH387" s="251"/>
      <c r="CI387" s="251"/>
      <c r="CJ387" s="251"/>
      <c r="CK387" s="251"/>
      <c r="CL387" s="251"/>
      <c r="CM387" s="251"/>
      <c r="CN387" s="251"/>
      <c r="CO387" s="251"/>
      <c r="CP387" s="251"/>
      <c r="CQ387" s="251"/>
      <c r="CR387" s="251"/>
      <c r="CS387" s="251"/>
    </row>
    <row r="388" spans="1:97" s="34" customFormat="1" x14ac:dyDescent="0.25">
      <c r="A388" s="64">
        <v>909105</v>
      </c>
      <c r="B388" s="62">
        <v>57.79</v>
      </c>
      <c r="C388" s="62"/>
      <c r="D388" s="62">
        <v>6.34</v>
      </c>
      <c r="E388" s="62">
        <v>1.23</v>
      </c>
      <c r="F388" s="62">
        <v>3.53</v>
      </c>
      <c r="G388" s="62">
        <v>0.52</v>
      </c>
      <c r="H388" s="62">
        <v>2.2200000000000002</v>
      </c>
      <c r="I388" s="62">
        <v>0.1</v>
      </c>
      <c r="J388" s="62">
        <v>1.21</v>
      </c>
      <c r="K388" s="62">
        <v>0.21</v>
      </c>
      <c r="L388" s="62">
        <v>89.8</v>
      </c>
      <c r="M388" s="252"/>
      <c r="N388" s="252"/>
      <c r="O388" s="252"/>
      <c r="P388" s="252"/>
      <c r="Q388" s="252"/>
      <c r="R388" s="252"/>
      <c r="S388" s="252"/>
      <c r="T388" s="251"/>
      <c r="U388" s="251"/>
      <c r="V388" s="251"/>
      <c r="W388" s="251"/>
      <c r="X388" s="251"/>
      <c r="Y388" s="251"/>
      <c r="Z388" s="251"/>
      <c r="AA388" s="251"/>
      <c r="AB388" s="251"/>
      <c r="AC388" s="251"/>
      <c r="AD388" s="251"/>
      <c r="AE388" s="251"/>
      <c r="AF388" s="251"/>
      <c r="AG388" s="251"/>
      <c r="AH388" s="251"/>
      <c r="AI388" s="251"/>
      <c r="AJ388" s="251"/>
      <c r="AK388" s="251"/>
      <c r="AL388" s="251"/>
      <c r="AM388" s="251"/>
      <c r="AN388" s="251"/>
      <c r="AO388" s="251"/>
      <c r="AP388" s="251"/>
      <c r="AQ388" s="251"/>
      <c r="AR388" s="251"/>
      <c r="AS388" s="251"/>
      <c r="AT388" s="251"/>
      <c r="AU388" s="251"/>
      <c r="AV388" s="251"/>
      <c r="AW388" s="251"/>
      <c r="AX388" s="251"/>
      <c r="AY388" s="251"/>
      <c r="AZ388" s="251"/>
      <c r="BA388" s="251"/>
      <c r="BB388" s="251"/>
      <c r="BC388" s="251"/>
      <c r="BD388" s="251"/>
      <c r="BE388" s="251"/>
      <c r="BF388" s="251"/>
      <c r="BG388" s="251"/>
      <c r="BH388" s="251"/>
      <c r="BI388" s="251"/>
      <c r="BJ388" s="251"/>
      <c r="BK388" s="251"/>
      <c r="BL388" s="251"/>
      <c r="BM388" s="251"/>
      <c r="BN388" s="251"/>
      <c r="BO388" s="251"/>
      <c r="BP388" s="251"/>
      <c r="BQ388" s="251"/>
      <c r="BR388" s="251"/>
      <c r="BS388" s="251"/>
      <c r="BT388" s="251"/>
      <c r="BU388" s="251"/>
      <c r="BV388" s="251"/>
      <c r="BW388" s="251"/>
      <c r="BX388" s="251"/>
      <c r="BY388" s="251"/>
      <c r="BZ388" s="251"/>
      <c r="CA388" s="251"/>
      <c r="CB388" s="251"/>
      <c r="CC388" s="251"/>
      <c r="CD388" s="251"/>
      <c r="CE388" s="251"/>
      <c r="CF388" s="251"/>
      <c r="CG388" s="251"/>
      <c r="CH388" s="251"/>
      <c r="CI388" s="251"/>
      <c r="CJ388" s="251"/>
      <c r="CK388" s="251"/>
      <c r="CL388" s="251"/>
      <c r="CM388" s="251"/>
      <c r="CN388" s="251"/>
      <c r="CO388" s="251"/>
      <c r="CP388" s="251"/>
      <c r="CQ388" s="251"/>
      <c r="CR388" s="251"/>
      <c r="CS388" s="251"/>
    </row>
    <row r="389" spans="1:97" s="34" customFormat="1" x14ac:dyDescent="0.25">
      <c r="A389" s="64">
        <v>909106</v>
      </c>
      <c r="B389" s="62">
        <v>66.3</v>
      </c>
      <c r="C389" s="62"/>
      <c r="D389" s="62">
        <v>9.24</v>
      </c>
      <c r="E389" s="62">
        <v>5.8</v>
      </c>
      <c r="F389" s="62">
        <v>3.28</v>
      </c>
      <c r="G389" s="62">
        <v>0.72</v>
      </c>
      <c r="H389" s="62">
        <v>3.44</v>
      </c>
      <c r="I389" s="62">
        <v>1.5</v>
      </c>
      <c r="J389" s="62">
        <v>4.45</v>
      </c>
      <c r="K389" s="62">
        <v>0.76</v>
      </c>
      <c r="L389" s="62">
        <v>63</v>
      </c>
      <c r="M389" s="252"/>
      <c r="N389" s="252"/>
      <c r="O389" s="252"/>
      <c r="P389" s="252"/>
      <c r="Q389" s="252"/>
      <c r="R389" s="252"/>
      <c r="S389" s="252"/>
      <c r="T389" s="251"/>
      <c r="U389" s="251"/>
      <c r="V389" s="251"/>
      <c r="W389" s="251"/>
      <c r="X389" s="251"/>
      <c r="Y389" s="251"/>
      <c r="Z389" s="251"/>
      <c r="AA389" s="251"/>
      <c r="AB389" s="251"/>
      <c r="AC389" s="251"/>
      <c r="AD389" s="251"/>
      <c r="AE389" s="251"/>
      <c r="AF389" s="251"/>
      <c r="AG389" s="251"/>
      <c r="AH389" s="251"/>
      <c r="AI389" s="251"/>
      <c r="AJ389" s="251"/>
      <c r="AK389" s="251"/>
      <c r="AL389" s="251"/>
      <c r="AM389" s="251"/>
      <c r="AN389" s="251"/>
      <c r="AO389" s="251"/>
      <c r="AP389" s="251"/>
      <c r="AQ389" s="251"/>
      <c r="AR389" s="251"/>
      <c r="AS389" s="251"/>
      <c r="AT389" s="251"/>
      <c r="AU389" s="251"/>
      <c r="AV389" s="251"/>
      <c r="AW389" s="251"/>
      <c r="AX389" s="251"/>
      <c r="AY389" s="251"/>
      <c r="AZ389" s="251"/>
      <c r="BA389" s="251"/>
      <c r="BB389" s="251"/>
      <c r="BC389" s="251"/>
      <c r="BD389" s="251"/>
      <c r="BE389" s="251"/>
      <c r="BF389" s="251"/>
      <c r="BG389" s="251"/>
      <c r="BH389" s="251"/>
      <c r="BI389" s="251"/>
      <c r="BJ389" s="251"/>
      <c r="BK389" s="251"/>
      <c r="BL389" s="251"/>
      <c r="BM389" s="251"/>
      <c r="BN389" s="251"/>
      <c r="BO389" s="251"/>
      <c r="BP389" s="251"/>
      <c r="BQ389" s="251"/>
      <c r="BR389" s="251"/>
      <c r="BS389" s="251"/>
      <c r="BT389" s="251"/>
      <c r="BU389" s="251"/>
      <c r="BV389" s="251"/>
      <c r="BW389" s="251"/>
      <c r="BX389" s="251"/>
      <c r="BY389" s="251"/>
      <c r="BZ389" s="251"/>
      <c r="CA389" s="251"/>
      <c r="CB389" s="251"/>
      <c r="CC389" s="251"/>
      <c r="CD389" s="251"/>
      <c r="CE389" s="251"/>
      <c r="CF389" s="251"/>
      <c r="CG389" s="251"/>
      <c r="CH389" s="251"/>
      <c r="CI389" s="251"/>
      <c r="CJ389" s="251"/>
      <c r="CK389" s="251"/>
      <c r="CL389" s="251"/>
      <c r="CM389" s="251"/>
      <c r="CN389" s="251"/>
      <c r="CO389" s="251"/>
      <c r="CP389" s="251"/>
      <c r="CQ389" s="251"/>
      <c r="CR389" s="251"/>
      <c r="CS389" s="251"/>
    </row>
    <row r="390" spans="1:97" s="34" customFormat="1" x14ac:dyDescent="0.25">
      <c r="A390" s="64">
        <v>909107</v>
      </c>
      <c r="B390" s="62">
        <v>73.989999999999995</v>
      </c>
      <c r="C390" s="62"/>
      <c r="D390" s="62">
        <v>8.91</v>
      </c>
      <c r="E390" s="62">
        <v>4.91</v>
      </c>
      <c r="F390" s="62">
        <v>3.42</v>
      </c>
      <c r="G390" s="62">
        <v>1.94</v>
      </c>
      <c r="H390" s="62">
        <v>2.4300000000000002</v>
      </c>
      <c r="I390" s="62">
        <v>0.56000000000000005</v>
      </c>
      <c r="J390" s="62">
        <v>8.23</v>
      </c>
      <c r="K390" s="62">
        <v>0.62</v>
      </c>
      <c r="L390" s="62">
        <v>67</v>
      </c>
      <c r="M390" s="252"/>
      <c r="N390" s="252"/>
      <c r="O390" s="252"/>
      <c r="P390" s="252"/>
      <c r="Q390" s="252"/>
      <c r="R390" s="252"/>
      <c r="S390" s="252"/>
      <c r="T390" s="251"/>
      <c r="U390" s="251"/>
      <c r="V390" s="251"/>
      <c r="W390" s="251"/>
      <c r="X390" s="251"/>
      <c r="Y390" s="251"/>
      <c r="Z390" s="251"/>
      <c r="AA390" s="251"/>
      <c r="AB390" s="251"/>
      <c r="AC390" s="251"/>
      <c r="AD390" s="251"/>
      <c r="AE390" s="251"/>
      <c r="AF390" s="251"/>
      <c r="AG390" s="251"/>
      <c r="AH390" s="251"/>
      <c r="AI390" s="251"/>
      <c r="AJ390" s="251"/>
      <c r="AK390" s="251"/>
      <c r="AL390" s="251"/>
      <c r="AM390" s="251"/>
      <c r="AN390" s="251"/>
      <c r="AO390" s="251"/>
      <c r="AP390" s="251"/>
      <c r="AQ390" s="251"/>
      <c r="AR390" s="251"/>
      <c r="AS390" s="251"/>
      <c r="AT390" s="251"/>
      <c r="AU390" s="251"/>
      <c r="AV390" s="251"/>
      <c r="AW390" s="251"/>
      <c r="AX390" s="251"/>
      <c r="AY390" s="251"/>
      <c r="AZ390" s="251"/>
      <c r="BA390" s="251"/>
      <c r="BB390" s="251"/>
      <c r="BC390" s="251"/>
      <c r="BD390" s="251"/>
      <c r="BE390" s="251"/>
      <c r="BF390" s="251"/>
      <c r="BG390" s="251"/>
      <c r="BH390" s="251"/>
      <c r="BI390" s="251"/>
      <c r="BJ390" s="251"/>
      <c r="BK390" s="251"/>
      <c r="BL390" s="251"/>
      <c r="BM390" s="251"/>
      <c r="BN390" s="251"/>
      <c r="BO390" s="251"/>
      <c r="BP390" s="251"/>
      <c r="BQ390" s="251"/>
      <c r="BR390" s="251"/>
      <c r="BS390" s="251"/>
      <c r="BT390" s="251"/>
      <c r="BU390" s="251"/>
      <c r="BV390" s="251"/>
      <c r="BW390" s="251"/>
      <c r="BX390" s="251"/>
      <c r="BY390" s="251"/>
      <c r="BZ390" s="251"/>
      <c r="CA390" s="251"/>
      <c r="CB390" s="251"/>
      <c r="CC390" s="251"/>
      <c r="CD390" s="251"/>
      <c r="CE390" s="251"/>
      <c r="CF390" s="251"/>
      <c r="CG390" s="251"/>
      <c r="CH390" s="251"/>
      <c r="CI390" s="251"/>
      <c r="CJ390" s="251"/>
      <c r="CK390" s="251"/>
      <c r="CL390" s="251"/>
      <c r="CM390" s="251"/>
      <c r="CN390" s="251"/>
      <c r="CO390" s="251"/>
      <c r="CP390" s="251"/>
      <c r="CQ390" s="251"/>
      <c r="CR390" s="251"/>
      <c r="CS390" s="251"/>
    </row>
    <row r="391" spans="1:97" s="34" customFormat="1" x14ac:dyDescent="0.25">
      <c r="A391" s="64">
        <v>909108</v>
      </c>
      <c r="B391" s="62">
        <v>91.56</v>
      </c>
      <c r="C391" s="62"/>
      <c r="D391" s="62">
        <v>5.64</v>
      </c>
      <c r="E391" s="62">
        <v>41.31</v>
      </c>
      <c r="F391" s="62">
        <v>3.28</v>
      </c>
      <c r="G391" s="62">
        <v>1.75</v>
      </c>
      <c r="H391" s="62">
        <v>0.51</v>
      </c>
      <c r="I391" s="62">
        <v>8.9499999999999993</v>
      </c>
      <c r="J391" s="62">
        <v>3.11</v>
      </c>
      <c r="K391" s="62">
        <v>0.25</v>
      </c>
      <c r="L391" s="62">
        <v>61.2</v>
      </c>
      <c r="M391" s="252"/>
      <c r="N391" s="252"/>
      <c r="O391" s="252"/>
      <c r="P391" s="252"/>
      <c r="Q391" s="252"/>
      <c r="R391" s="252"/>
      <c r="S391" s="252"/>
      <c r="T391" s="251"/>
      <c r="U391" s="251"/>
      <c r="V391" s="251"/>
      <c r="W391" s="251"/>
      <c r="X391" s="251"/>
      <c r="Y391" s="251"/>
      <c r="Z391" s="251"/>
      <c r="AA391" s="251"/>
      <c r="AB391" s="251"/>
      <c r="AC391" s="251"/>
      <c r="AD391" s="251"/>
      <c r="AE391" s="251"/>
      <c r="AF391" s="251"/>
      <c r="AG391" s="251"/>
      <c r="AH391" s="251"/>
      <c r="AI391" s="251"/>
      <c r="AJ391" s="251"/>
      <c r="AK391" s="251"/>
      <c r="AL391" s="251"/>
      <c r="AM391" s="251"/>
      <c r="AN391" s="251"/>
      <c r="AO391" s="251"/>
      <c r="AP391" s="251"/>
      <c r="AQ391" s="251"/>
      <c r="AR391" s="251"/>
      <c r="AS391" s="251"/>
      <c r="AT391" s="251"/>
      <c r="AU391" s="251"/>
      <c r="AV391" s="251"/>
      <c r="AW391" s="251"/>
      <c r="AX391" s="251"/>
      <c r="AY391" s="251"/>
      <c r="AZ391" s="251"/>
      <c r="BA391" s="251"/>
      <c r="BB391" s="251"/>
      <c r="BC391" s="251"/>
      <c r="BD391" s="251"/>
      <c r="BE391" s="251"/>
      <c r="BF391" s="251"/>
      <c r="BG391" s="251"/>
      <c r="BH391" s="251"/>
      <c r="BI391" s="251"/>
      <c r="BJ391" s="251"/>
      <c r="BK391" s="251"/>
      <c r="BL391" s="251"/>
      <c r="BM391" s="251"/>
      <c r="BN391" s="251"/>
      <c r="BO391" s="251"/>
      <c r="BP391" s="251"/>
      <c r="BQ391" s="251"/>
      <c r="BR391" s="251"/>
      <c r="BS391" s="251"/>
      <c r="BT391" s="251"/>
      <c r="BU391" s="251"/>
      <c r="BV391" s="251"/>
      <c r="BW391" s="251"/>
      <c r="BX391" s="251"/>
      <c r="BY391" s="251"/>
      <c r="BZ391" s="251"/>
      <c r="CA391" s="251"/>
      <c r="CB391" s="251"/>
      <c r="CC391" s="251"/>
      <c r="CD391" s="251"/>
      <c r="CE391" s="251"/>
      <c r="CF391" s="251"/>
      <c r="CG391" s="251"/>
      <c r="CH391" s="251"/>
      <c r="CI391" s="251"/>
      <c r="CJ391" s="251"/>
      <c r="CK391" s="251"/>
      <c r="CL391" s="251"/>
      <c r="CM391" s="251"/>
      <c r="CN391" s="251"/>
      <c r="CO391" s="251"/>
      <c r="CP391" s="251"/>
      <c r="CQ391" s="251"/>
      <c r="CR391" s="251"/>
      <c r="CS391" s="251"/>
    </row>
    <row r="392" spans="1:97" s="34" customFormat="1" x14ac:dyDescent="0.25">
      <c r="A392" s="64">
        <v>909109</v>
      </c>
      <c r="B392" s="62">
        <v>92.3</v>
      </c>
      <c r="C392" s="62"/>
      <c r="D392" s="62">
        <v>5.6</v>
      </c>
      <c r="E392" s="62">
        <v>50</v>
      </c>
      <c r="F392" s="62">
        <v>6.7</v>
      </c>
      <c r="G392" s="62">
        <v>1.58</v>
      </c>
      <c r="H392" s="62">
        <v>0.52</v>
      </c>
      <c r="I392" s="62">
        <v>9.8699999999999992</v>
      </c>
      <c r="J392" s="62">
        <v>2.74</v>
      </c>
      <c r="K392" s="62">
        <v>0.26</v>
      </c>
      <c r="L392" s="62">
        <v>59</v>
      </c>
      <c r="M392" s="252"/>
      <c r="N392" s="252"/>
      <c r="O392" s="252"/>
      <c r="P392" s="252"/>
      <c r="Q392" s="252"/>
      <c r="R392" s="252"/>
      <c r="S392" s="252"/>
      <c r="T392" s="251"/>
      <c r="U392" s="251"/>
      <c r="V392" s="251"/>
      <c r="W392" s="251"/>
      <c r="X392" s="251"/>
      <c r="Y392" s="251"/>
      <c r="Z392" s="251"/>
      <c r="AA392" s="251"/>
      <c r="AB392" s="251"/>
      <c r="AC392" s="251"/>
      <c r="AD392" s="251"/>
      <c r="AE392" s="251"/>
      <c r="AF392" s="251"/>
      <c r="AG392" s="251"/>
      <c r="AH392" s="251"/>
      <c r="AI392" s="251"/>
      <c r="AJ392" s="251"/>
      <c r="AK392" s="251"/>
      <c r="AL392" s="251"/>
      <c r="AM392" s="251"/>
      <c r="AN392" s="251"/>
      <c r="AO392" s="251"/>
      <c r="AP392" s="251"/>
      <c r="AQ392" s="251"/>
      <c r="AR392" s="251"/>
      <c r="AS392" s="251"/>
      <c r="AT392" s="251"/>
      <c r="AU392" s="251"/>
      <c r="AV392" s="251"/>
      <c r="AW392" s="251"/>
      <c r="AX392" s="251"/>
      <c r="AY392" s="251"/>
      <c r="AZ392" s="251"/>
      <c r="BA392" s="251"/>
      <c r="BB392" s="251"/>
      <c r="BC392" s="251"/>
      <c r="BD392" s="251"/>
      <c r="BE392" s="251"/>
      <c r="BF392" s="251"/>
      <c r="BG392" s="251"/>
      <c r="BH392" s="251"/>
      <c r="BI392" s="251"/>
      <c r="BJ392" s="251"/>
      <c r="BK392" s="251"/>
      <c r="BL392" s="251"/>
      <c r="BM392" s="251"/>
      <c r="BN392" s="251"/>
      <c r="BO392" s="251"/>
      <c r="BP392" s="251"/>
      <c r="BQ392" s="251"/>
      <c r="BR392" s="251"/>
      <c r="BS392" s="251"/>
      <c r="BT392" s="251"/>
      <c r="BU392" s="251"/>
      <c r="BV392" s="251"/>
      <c r="BW392" s="251"/>
      <c r="BX392" s="251"/>
      <c r="BY392" s="251"/>
      <c r="BZ392" s="251"/>
      <c r="CA392" s="251"/>
      <c r="CB392" s="251"/>
      <c r="CC392" s="251"/>
      <c r="CD392" s="251"/>
      <c r="CE392" s="251"/>
      <c r="CF392" s="251"/>
      <c r="CG392" s="251"/>
      <c r="CH392" s="251"/>
      <c r="CI392" s="251"/>
      <c r="CJ392" s="251"/>
      <c r="CK392" s="251"/>
      <c r="CL392" s="251"/>
      <c r="CM392" s="251"/>
      <c r="CN392" s="251"/>
      <c r="CO392" s="251"/>
      <c r="CP392" s="251"/>
      <c r="CQ392" s="251"/>
      <c r="CR392" s="251"/>
      <c r="CS392" s="251"/>
    </row>
    <row r="393" spans="1:97" s="14" customFormat="1" x14ac:dyDescent="0.25">
      <c r="A393" s="253">
        <v>909110</v>
      </c>
      <c r="B393" s="254">
        <v>38.088429388473379</v>
      </c>
      <c r="C393" s="254"/>
      <c r="D393" s="254">
        <v>8.94</v>
      </c>
      <c r="E393" s="254">
        <v>3.01</v>
      </c>
      <c r="F393" s="255">
        <v>1.4286834000000002</v>
      </c>
      <c r="G393" s="254">
        <v>0.71</v>
      </c>
      <c r="H393" s="254">
        <v>2.44</v>
      </c>
      <c r="I393" s="254">
        <v>0.52</v>
      </c>
      <c r="J393" s="254">
        <v>6.5</v>
      </c>
      <c r="K393" s="254">
        <v>0.91</v>
      </c>
      <c r="L393" s="256">
        <v>54.000000000000057</v>
      </c>
      <c r="M393" s="256"/>
      <c r="N393" s="256"/>
      <c r="O393" s="256"/>
      <c r="P393" s="256"/>
      <c r="Q393" s="256"/>
      <c r="R393" s="256"/>
      <c r="S393" s="256"/>
    </row>
    <row r="394" spans="1:97" s="14" customFormat="1" x14ac:dyDescent="0.25">
      <c r="A394" s="253">
        <v>909111</v>
      </c>
      <c r="B394" s="254">
        <v>31.810662255189715</v>
      </c>
      <c r="C394" s="254"/>
      <c r="D394" s="254">
        <v>9.19</v>
      </c>
      <c r="E394" s="254">
        <v>3.09</v>
      </c>
      <c r="F394" s="255">
        <v>1.8488844000000004</v>
      </c>
      <c r="G394" s="254">
        <v>1.2</v>
      </c>
      <c r="H394" s="254">
        <v>2.2000000000000002</v>
      </c>
      <c r="I394" s="254">
        <v>0.51</v>
      </c>
      <c r="J394" s="254">
        <v>5.36</v>
      </c>
      <c r="K394" s="254">
        <v>0.65</v>
      </c>
      <c r="L394" s="256">
        <v>60.799999999999983</v>
      </c>
      <c r="M394" s="256"/>
      <c r="N394" s="256"/>
      <c r="O394" s="256"/>
      <c r="P394" s="256"/>
      <c r="Q394" s="256"/>
      <c r="R394" s="256"/>
      <c r="S394" s="256"/>
    </row>
    <row r="395" spans="1:97" s="14" customFormat="1" x14ac:dyDescent="0.25">
      <c r="A395" s="253">
        <v>909112</v>
      </c>
      <c r="B395" s="254">
        <v>44.454016799483092</v>
      </c>
      <c r="C395" s="254"/>
      <c r="D395" s="254">
        <v>8.7100000000000009</v>
      </c>
      <c r="E395" s="254">
        <v>2.65</v>
      </c>
      <c r="F395" s="255">
        <v>2.3251122000000004</v>
      </c>
      <c r="G395" s="254">
        <v>0.67</v>
      </c>
      <c r="H395" s="254">
        <v>2.17</v>
      </c>
      <c r="I395" s="254">
        <v>0.51</v>
      </c>
      <c r="J395" s="254">
        <v>4.7699999999999996</v>
      </c>
      <c r="K395" s="254">
        <v>0.56999999999999995</v>
      </c>
      <c r="L395" s="256">
        <v>64.200000000000017</v>
      </c>
      <c r="M395" s="256"/>
      <c r="N395" s="256"/>
      <c r="O395" s="256"/>
      <c r="P395" s="256"/>
      <c r="Q395" s="256"/>
      <c r="R395" s="256"/>
      <c r="S395" s="256"/>
    </row>
    <row r="396" spans="1:97" s="14" customFormat="1" x14ac:dyDescent="0.25">
      <c r="A396" s="253">
        <v>909113</v>
      </c>
      <c r="B396" s="254">
        <v>49.250804110771163</v>
      </c>
      <c r="C396" s="254"/>
      <c r="D396" s="254">
        <v>8.9700000000000006</v>
      </c>
      <c r="E396" s="254">
        <v>2.98</v>
      </c>
      <c r="F396" s="255">
        <v>1.8488844000000004</v>
      </c>
      <c r="G396" s="254">
        <v>0.6</v>
      </c>
      <c r="H396" s="254">
        <v>2.19</v>
      </c>
      <c r="I396" s="254">
        <v>0.23</v>
      </c>
      <c r="J396" s="254">
        <v>2.48</v>
      </c>
      <c r="K396" s="254">
        <v>0.72</v>
      </c>
      <c r="L396" s="256">
        <v>68.999999999999915</v>
      </c>
      <c r="M396" s="256"/>
      <c r="N396" s="256"/>
      <c r="O396" s="256"/>
      <c r="P396" s="256"/>
      <c r="Q396" s="256"/>
      <c r="R396" s="256"/>
      <c r="S396" s="256"/>
    </row>
    <row r="397" spans="1:97" s="14" customFormat="1" x14ac:dyDescent="0.25">
      <c r="A397" s="253">
        <v>909114</v>
      </c>
      <c r="B397" s="254">
        <v>26.509106678230705</v>
      </c>
      <c r="C397" s="254"/>
      <c r="D397" s="254">
        <v>8.43</v>
      </c>
      <c r="E397" s="254">
        <v>3.81</v>
      </c>
      <c r="F397" s="255">
        <v>1.7368308000000003</v>
      </c>
      <c r="G397" s="254">
        <v>0.41</v>
      </c>
      <c r="H397" s="254">
        <v>2.84</v>
      </c>
      <c r="I397" s="254">
        <v>0.69</v>
      </c>
      <c r="J397" s="254">
        <v>2.2599999999999998</v>
      </c>
      <c r="K397" s="254">
        <v>0.48</v>
      </c>
      <c r="L397" s="256">
        <v>60.600000000000023</v>
      </c>
      <c r="M397" s="256"/>
      <c r="N397" s="256"/>
      <c r="O397" s="256"/>
      <c r="P397" s="256"/>
      <c r="Q397" s="256"/>
      <c r="R397" s="256"/>
      <c r="S397" s="256"/>
    </row>
    <row r="398" spans="1:97" s="14" customFormat="1" x14ac:dyDescent="0.25">
      <c r="A398" s="253">
        <v>909115</v>
      </c>
      <c r="B398" s="254">
        <v>61.554291903601396</v>
      </c>
      <c r="C398" s="254"/>
      <c r="D398" s="254">
        <v>9.5399999999999991</v>
      </c>
      <c r="E398" s="254">
        <v>4</v>
      </c>
      <c r="F398" s="255">
        <v>1.5967638000000002</v>
      </c>
      <c r="G398" s="254">
        <v>0.69</v>
      </c>
      <c r="H398" s="254">
        <v>2.0099999999999998</v>
      </c>
      <c r="I398" s="254">
        <v>0.53</v>
      </c>
      <c r="J398" s="254">
        <v>7.55</v>
      </c>
      <c r="K398" s="254">
        <v>1.46</v>
      </c>
      <c r="L398" s="256">
        <v>39.20000000000001</v>
      </c>
      <c r="M398" s="256"/>
      <c r="N398" s="256"/>
      <c r="O398" s="256"/>
      <c r="P398" s="256"/>
      <c r="Q398" s="256"/>
      <c r="R398" s="256"/>
      <c r="S398" s="256"/>
    </row>
    <row r="399" spans="1:97" s="14" customFormat="1" x14ac:dyDescent="0.25">
      <c r="A399" s="253">
        <v>909116</v>
      </c>
      <c r="B399" s="254">
        <v>82.707215265354805</v>
      </c>
      <c r="C399" s="254"/>
      <c r="D399" s="254">
        <v>8.4499999999999993</v>
      </c>
      <c r="E399" s="254">
        <v>0.84399999999999997</v>
      </c>
      <c r="F399" s="255">
        <v>1.0364958000000002</v>
      </c>
      <c r="G399" s="254">
        <v>0.15</v>
      </c>
      <c r="H399" s="254">
        <v>0.76</v>
      </c>
      <c r="I399" s="254">
        <v>0.52</v>
      </c>
      <c r="J399" s="254">
        <v>0.54</v>
      </c>
      <c r="K399" s="254">
        <v>0.12</v>
      </c>
      <c r="L399" s="256">
        <v>91.999999999999886</v>
      </c>
      <c r="M399" s="256"/>
      <c r="N399" s="256"/>
      <c r="O399" s="256"/>
      <c r="P399" s="256"/>
      <c r="Q399" s="256"/>
      <c r="R399" s="256"/>
      <c r="S399" s="256"/>
    </row>
    <row r="400" spans="1:97" s="14" customFormat="1" x14ac:dyDescent="0.25">
      <c r="A400" s="253">
        <v>909117</v>
      </c>
      <c r="B400" s="254">
        <v>25.885610617779054</v>
      </c>
      <c r="C400" s="254"/>
      <c r="D400" s="254">
        <v>8.5</v>
      </c>
      <c r="E400" s="254">
        <v>1</v>
      </c>
      <c r="F400" s="255">
        <v>2.8573668000000003</v>
      </c>
      <c r="G400" s="254">
        <v>0.54</v>
      </c>
      <c r="H400" s="254">
        <v>1.62</v>
      </c>
      <c r="I400" s="254">
        <v>0.42</v>
      </c>
      <c r="J400" s="254">
        <v>1.99</v>
      </c>
      <c r="K400" s="254">
        <v>0.36</v>
      </c>
      <c r="L400" s="256">
        <v>74.000000000000057</v>
      </c>
      <c r="M400" s="256"/>
      <c r="N400" s="256"/>
      <c r="O400" s="256"/>
      <c r="P400" s="256"/>
      <c r="Q400" s="256"/>
      <c r="R400" s="256"/>
      <c r="S400" s="256"/>
    </row>
    <row r="401" spans="1:19" s="14" customFormat="1" x14ac:dyDescent="0.25">
      <c r="A401" s="253">
        <v>909118</v>
      </c>
      <c r="B401" s="254">
        <v>55.504927413372883</v>
      </c>
      <c r="C401" s="254"/>
      <c r="D401" s="254">
        <v>8.75</v>
      </c>
      <c r="E401" s="254">
        <v>1.76</v>
      </c>
      <c r="F401" s="255">
        <v>1.9889514000000006</v>
      </c>
      <c r="G401" s="254">
        <v>0.45</v>
      </c>
      <c r="H401" s="254">
        <v>1.47</v>
      </c>
      <c r="I401" s="254">
        <v>0.2</v>
      </c>
      <c r="J401" s="254">
        <v>3.52</v>
      </c>
      <c r="K401" s="254">
        <v>1.44</v>
      </c>
      <c r="L401" s="256">
        <v>48.6</v>
      </c>
      <c r="M401" s="256"/>
      <c r="N401" s="256"/>
      <c r="O401" s="256"/>
      <c r="P401" s="256"/>
      <c r="Q401" s="256"/>
      <c r="R401" s="256"/>
      <c r="S401" s="256"/>
    </row>
    <row r="402" spans="1:19" s="34" customFormat="1" x14ac:dyDescent="0.25">
      <c r="A402" s="257">
        <v>909119</v>
      </c>
      <c r="B402" s="257">
        <v>64.599999999999994</v>
      </c>
      <c r="L402" s="257">
        <v>48.4</v>
      </c>
    </row>
    <row r="403" spans="1:19" s="14" customFormat="1" x14ac:dyDescent="0.25">
      <c r="A403" s="253">
        <v>909120</v>
      </c>
      <c r="B403" s="258">
        <v>60.209951960144714</v>
      </c>
      <c r="C403" s="256"/>
      <c r="D403" s="256">
        <v>9.51</v>
      </c>
      <c r="E403" s="256">
        <v>3.81</v>
      </c>
      <c r="F403" s="255">
        <v>1.9049112000000004</v>
      </c>
      <c r="G403" s="256">
        <v>0.62</v>
      </c>
      <c r="H403" s="256">
        <v>2.21</v>
      </c>
      <c r="I403" s="256">
        <v>0.53</v>
      </c>
      <c r="J403" s="256">
        <v>5.68</v>
      </c>
      <c r="K403" s="256">
        <v>1.2</v>
      </c>
      <c r="L403" s="256">
        <v>41.199999999999903</v>
      </c>
      <c r="M403" s="256"/>
      <c r="N403" s="256"/>
      <c r="O403" s="256"/>
      <c r="P403" s="256"/>
      <c r="Q403" s="256"/>
      <c r="R403" s="256"/>
      <c r="S403" s="256"/>
    </row>
    <row r="404" spans="1:19" s="14" customFormat="1" x14ac:dyDescent="0.25">
      <c r="A404" s="253">
        <v>909121</v>
      </c>
      <c r="B404" s="258">
        <v>63.473818646232438</v>
      </c>
      <c r="C404" s="256"/>
      <c r="D404" s="256">
        <v>9.24</v>
      </c>
      <c r="E404" s="256">
        <v>4.68</v>
      </c>
      <c r="F404" s="255">
        <v>2.0729916000000004</v>
      </c>
      <c r="G404" s="256">
        <v>0.38</v>
      </c>
      <c r="H404" s="256">
        <v>1.39</v>
      </c>
      <c r="I404" s="256">
        <v>0.13</v>
      </c>
      <c r="J404" s="256">
        <v>5.37</v>
      </c>
      <c r="K404" s="256">
        <v>0.4</v>
      </c>
      <c r="L404" s="256">
        <v>41.200000000000045</v>
      </c>
      <c r="M404" s="256"/>
      <c r="N404" s="256"/>
      <c r="O404" s="256"/>
      <c r="P404" s="256"/>
      <c r="Q404" s="256"/>
      <c r="R404" s="256"/>
      <c r="S404" s="256"/>
    </row>
    <row r="405" spans="1:19" s="34" customFormat="1" x14ac:dyDescent="0.25">
      <c r="A405" s="38">
        <v>909130</v>
      </c>
      <c r="B405" s="34">
        <v>60.8</v>
      </c>
      <c r="D405" s="252">
        <v>9.64</v>
      </c>
      <c r="E405" s="252">
        <v>3.83</v>
      </c>
      <c r="F405" s="252">
        <v>1.7</v>
      </c>
      <c r="G405" s="252">
        <v>0.57999999999999996</v>
      </c>
      <c r="H405" s="252">
        <v>2.3199999999999998</v>
      </c>
      <c r="I405" s="252">
        <v>0.49</v>
      </c>
      <c r="J405" s="252">
        <v>5.72</v>
      </c>
      <c r="K405" s="252">
        <v>1.0900000000000001</v>
      </c>
      <c r="L405" s="34">
        <v>45</v>
      </c>
    </row>
    <row r="406" spans="1:19" s="14" customFormat="1" x14ac:dyDescent="0.25">
      <c r="A406" s="253">
        <v>909126</v>
      </c>
      <c r="B406" s="254">
        <v>17.681995587985746</v>
      </c>
      <c r="C406" s="256"/>
      <c r="D406" s="256">
        <v>8.7899999999999991</v>
      </c>
      <c r="E406" s="256">
        <v>3.24</v>
      </c>
      <c r="F406" s="254">
        <v>2.6052462000000007</v>
      </c>
      <c r="G406" s="256">
        <v>0.61</v>
      </c>
      <c r="H406" s="256">
        <v>2.68</v>
      </c>
      <c r="I406" s="256">
        <v>1.48</v>
      </c>
      <c r="J406" s="256">
        <v>2.2599999999999998</v>
      </c>
      <c r="K406" s="256">
        <v>0.57999999999999996</v>
      </c>
      <c r="L406" s="256">
        <v>76.400000000000006</v>
      </c>
      <c r="M406" s="256"/>
      <c r="N406" s="256"/>
      <c r="O406" s="256"/>
      <c r="P406" s="256"/>
      <c r="Q406" s="256"/>
      <c r="R406" s="256"/>
      <c r="S406" s="256"/>
    </row>
    <row r="407" spans="1:19" s="14" customFormat="1" x14ac:dyDescent="0.25">
      <c r="A407" s="253">
        <v>909127</v>
      </c>
      <c r="B407" s="254">
        <v>68.838907305610348</v>
      </c>
      <c r="C407" s="256"/>
      <c r="D407" s="256">
        <v>8.11</v>
      </c>
      <c r="E407" s="256">
        <v>2.2200000000000002</v>
      </c>
      <c r="F407" s="254">
        <v>1.7088174000000003</v>
      </c>
      <c r="G407" s="256">
        <v>0.42</v>
      </c>
      <c r="H407" s="256">
        <v>1.02</v>
      </c>
      <c r="I407" s="256">
        <v>0.28000000000000003</v>
      </c>
      <c r="J407" s="256">
        <v>4.99</v>
      </c>
      <c r="K407" s="256">
        <v>0.69</v>
      </c>
      <c r="L407" s="256">
        <v>28.599999999999994</v>
      </c>
      <c r="M407" s="256"/>
      <c r="N407" s="256"/>
      <c r="O407" s="256"/>
      <c r="P407" s="256"/>
      <c r="Q407" s="256"/>
      <c r="R407" s="256"/>
      <c r="S407" s="256"/>
    </row>
    <row r="408" spans="1:19" s="14" customFormat="1" x14ac:dyDescent="0.25">
      <c r="A408" s="253">
        <v>909128</v>
      </c>
      <c r="B408" s="254">
        <v>32.541776605101141</v>
      </c>
      <c r="C408" s="256"/>
      <c r="D408" s="256">
        <v>8.83</v>
      </c>
      <c r="E408" s="256">
        <v>4.3499999999999996</v>
      </c>
      <c r="F408" s="254">
        <v>2.0729916000000004</v>
      </c>
      <c r="G408" s="256">
        <v>0.6</v>
      </c>
      <c r="H408" s="256">
        <v>2.34</v>
      </c>
      <c r="I408" s="256">
        <v>1.33</v>
      </c>
      <c r="J408" s="256">
        <v>2.1800000000000002</v>
      </c>
      <c r="K408" s="256">
        <v>0.52</v>
      </c>
      <c r="L408" s="256">
        <v>56.000000000000085</v>
      </c>
      <c r="M408" s="256"/>
      <c r="N408" s="256"/>
      <c r="O408" s="256"/>
      <c r="P408" s="256"/>
      <c r="Q408" s="256"/>
      <c r="R408" s="256"/>
      <c r="S408" s="256"/>
    </row>
    <row r="409" spans="1:19" s="14" customFormat="1" x14ac:dyDescent="0.25">
      <c r="A409" s="253">
        <v>909129</v>
      </c>
      <c r="B409" s="254">
        <v>49.272989889263364</v>
      </c>
      <c r="C409" s="256"/>
      <c r="D409" s="256">
        <v>9.1199999999999992</v>
      </c>
      <c r="E409" s="256">
        <v>2.5</v>
      </c>
      <c r="F409" s="254">
        <v>1.2325896000000003</v>
      </c>
      <c r="G409" s="256">
        <v>0.22</v>
      </c>
      <c r="H409" s="256">
        <v>0.69</v>
      </c>
      <c r="I409" s="256">
        <v>0.39</v>
      </c>
      <c r="J409" s="256">
        <v>3.72</v>
      </c>
      <c r="K409" s="256">
        <v>0.44</v>
      </c>
      <c r="L409" s="256">
        <v>23.200000000000074</v>
      </c>
      <c r="M409" s="256"/>
      <c r="N409" s="256"/>
      <c r="O409" s="256"/>
      <c r="P409" s="256"/>
      <c r="Q409" s="256"/>
      <c r="R409" s="256"/>
      <c r="S409" s="256"/>
    </row>
    <row r="410" spans="1:19" s="14" customFormat="1" x14ac:dyDescent="0.25">
      <c r="A410" s="253">
        <v>909131</v>
      </c>
      <c r="B410" s="254">
        <v>27.009222661396571</v>
      </c>
      <c r="C410" s="256"/>
      <c r="D410" s="256">
        <v>8.64</v>
      </c>
      <c r="E410" s="256">
        <v>1.48</v>
      </c>
      <c r="F410" s="254">
        <v>2.6052462000000007</v>
      </c>
      <c r="G410" s="256">
        <v>0.46</v>
      </c>
      <c r="H410" s="256">
        <v>0.93</v>
      </c>
      <c r="I410" s="256">
        <v>0.68</v>
      </c>
      <c r="J410" s="256">
        <v>3.75</v>
      </c>
      <c r="K410" s="256">
        <v>0.66</v>
      </c>
      <c r="L410" s="256">
        <v>72.399999999999949</v>
      </c>
      <c r="M410" s="256"/>
      <c r="N410" s="256"/>
      <c r="O410" s="256"/>
      <c r="P410" s="256"/>
      <c r="Q410" s="256"/>
      <c r="R410" s="256"/>
      <c r="S410" s="256"/>
    </row>
    <row r="411" spans="1:19" s="14" customFormat="1" x14ac:dyDescent="0.25">
      <c r="A411" s="253">
        <v>909132</v>
      </c>
      <c r="B411" s="254">
        <v>81.887670322366233</v>
      </c>
      <c r="C411" s="256"/>
      <c r="D411" s="256">
        <v>9.0399999999999991</v>
      </c>
      <c r="E411" s="256">
        <v>2.12</v>
      </c>
      <c r="F411" s="254">
        <v>2.5492194000000001</v>
      </c>
      <c r="G411" s="256">
        <v>0.52</v>
      </c>
      <c r="H411" s="256">
        <v>1.1599999999999999</v>
      </c>
      <c r="I411" s="256">
        <v>0.75</v>
      </c>
      <c r="J411" s="256">
        <v>1.83</v>
      </c>
      <c r="K411" s="256">
        <v>0.41</v>
      </c>
      <c r="L411" s="256">
        <v>82.600000000000051</v>
      </c>
      <c r="M411" s="256"/>
      <c r="N411" s="256"/>
      <c r="O411" s="256"/>
      <c r="P411" s="256"/>
      <c r="Q411" s="256"/>
      <c r="R411" s="256"/>
      <c r="S411" s="256"/>
    </row>
    <row r="412" spans="1:19" s="14" customFormat="1" x14ac:dyDescent="0.25">
      <c r="A412" s="253">
        <v>909133</v>
      </c>
      <c r="B412" s="254">
        <v>63.974852155939601</v>
      </c>
      <c r="C412" s="256"/>
      <c r="D412" s="256">
        <v>9.07</v>
      </c>
      <c r="E412" s="256">
        <v>4.8499999999999996</v>
      </c>
      <c r="F412" s="254">
        <v>1.4286834000000002</v>
      </c>
      <c r="G412" s="256">
        <v>0.39</v>
      </c>
      <c r="H412" s="256">
        <v>1.08</v>
      </c>
      <c r="I412" s="256">
        <v>0.52</v>
      </c>
      <c r="J412" s="256">
        <v>6.55</v>
      </c>
      <c r="K412" s="256">
        <v>0.72</v>
      </c>
      <c r="L412" s="256">
        <v>19.399999999999977</v>
      </c>
      <c r="M412" s="256"/>
      <c r="N412" s="256"/>
      <c r="O412" s="256"/>
      <c r="P412" s="256"/>
      <c r="Q412" s="256"/>
      <c r="R412" s="256"/>
      <c r="S412" s="256"/>
    </row>
    <row r="413" spans="1:19" s="14" customFormat="1" x14ac:dyDescent="0.25">
      <c r="A413" s="253">
        <v>909134</v>
      </c>
      <c r="B413" s="254">
        <v>17.444971136246306</v>
      </c>
      <c r="C413" s="256"/>
      <c r="D413" s="256">
        <v>8.42</v>
      </c>
      <c r="E413" s="256">
        <v>1.93</v>
      </c>
      <c r="F413" s="254">
        <v>2.0729916000000004</v>
      </c>
      <c r="G413" s="256">
        <v>0.33</v>
      </c>
      <c r="H413" s="256">
        <v>1.01</v>
      </c>
      <c r="I413" s="256">
        <v>0.79</v>
      </c>
      <c r="J413" s="256">
        <v>1.95</v>
      </c>
      <c r="K413" s="256">
        <v>0.53</v>
      </c>
      <c r="L413" s="256">
        <v>83.6</v>
      </c>
      <c r="M413" s="256"/>
      <c r="N413" s="256"/>
      <c r="O413" s="256"/>
      <c r="P413" s="256"/>
      <c r="Q413" s="256"/>
      <c r="R413" s="256"/>
      <c r="S413" s="256"/>
    </row>
    <row r="414" spans="1:19" s="14" customFormat="1" x14ac:dyDescent="0.25">
      <c r="A414" s="253">
        <v>909135</v>
      </c>
      <c r="B414" s="254">
        <v>83.001502629601802</v>
      </c>
      <c r="C414" s="256"/>
      <c r="D414" s="256">
        <v>9.3800000000000008</v>
      </c>
      <c r="E414" s="256">
        <v>2.36</v>
      </c>
      <c r="F414" s="254">
        <v>0.84040200000000009</v>
      </c>
      <c r="G414" s="256">
        <v>0.11</v>
      </c>
      <c r="H414" s="256">
        <v>0.47</v>
      </c>
      <c r="I414" s="256">
        <v>0.24</v>
      </c>
      <c r="J414" s="256">
        <v>2.4700000000000002</v>
      </c>
      <c r="K414" s="256">
        <v>0.37</v>
      </c>
      <c r="L414" s="256">
        <v>7.8000000000000114</v>
      </c>
      <c r="M414" s="256"/>
      <c r="N414" s="256"/>
      <c r="O414" s="256"/>
      <c r="P414" s="256"/>
      <c r="Q414" s="256"/>
      <c r="R414" s="256"/>
      <c r="S414" s="256"/>
    </row>
    <row r="415" spans="1:19" s="14" customFormat="1" x14ac:dyDescent="0.25">
      <c r="A415" s="253">
        <v>909136</v>
      </c>
      <c r="B415" s="254">
        <v>13.68096357226792</v>
      </c>
      <c r="C415" s="256"/>
      <c r="D415" s="256">
        <v>9.68</v>
      </c>
      <c r="E415" s="256">
        <v>2.86</v>
      </c>
      <c r="F415" s="254">
        <v>1.9049112000000004</v>
      </c>
      <c r="G415" s="256">
        <v>0.32</v>
      </c>
      <c r="H415" s="256">
        <v>0.97</v>
      </c>
      <c r="I415" s="256">
        <v>0.79</v>
      </c>
      <c r="J415" s="256">
        <v>1.8</v>
      </c>
      <c r="K415" s="256">
        <v>0.52</v>
      </c>
      <c r="L415" s="256">
        <v>83.399999999999892</v>
      </c>
      <c r="M415" s="256"/>
      <c r="N415" s="256"/>
      <c r="O415" s="256"/>
      <c r="P415" s="256"/>
      <c r="Q415" s="256"/>
      <c r="R415" s="256"/>
      <c r="S415" s="256"/>
    </row>
    <row r="416" spans="1:19" s="14" customFormat="1" x14ac:dyDescent="0.25">
      <c r="A416" s="253">
        <v>909137</v>
      </c>
      <c r="B416" s="254">
        <v>49.379922150810174</v>
      </c>
      <c r="C416" s="256"/>
      <c r="D416" s="256">
        <v>8.9</v>
      </c>
      <c r="E416" s="256">
        <v>1.56</v>
      </c>
      <c r="F416" s="254">
        <v>1.7928576000000003</v>
      </c>
      <c r="G416" s="256">
        <v>0.46</v>
      </c>
      <c r="H416" s="256">
        <v>1.37</v>
      </c>
      <c r="I416" s="256">
        <v>0.18</v>
      </c>
      <c r="J416" s="256">
        <v>3.1</v>
      </c>
      <c r="K416" s="256">
        <v>1.0900000000000001</v>
      </c>
      <c r="L416" s="256">
        <v>46.599999999999966</v>
      </c>
      <c r="M416" s="256"/>
      <c r="N416" s="256"/>
      <c r="O416" s="256"/>
      <c r="P416" s="256"/>
      <c r="Q416" s="256"/>
      <c r="R416" s="256"/>
      <c r="S416" s="256"/>
    </row>
    <row r="417" spans="1:97" s="34" customFormat="1" x14ac:dyDescent="0.25">
      <c r="A417" s="259">
        <v>912002</v>
      </c>
      <c r="B417" s="259">
        <v>9.4</v>
      </c>
      <c r="C417" s="259"/>
      <c r="D417" s="259"/>
      <c r="E417" s="259"/>
      <c r="F417" s="259"/>
      <c r="G417" s="259"/>
      <c r="H417" s="259"/>
      <c r="I417" s="259"/>
      <c r="J417" s="259"/>
      <c r="K417" s="259"/>
      <c r="L417" s="259"/>
      <c r="M417" s="259">
        <v>109.8</v>
      </c>
      <c r="N417" s="259">
        <v>239.74</v>
      </c>
      <c r="O417" s="259"/>
      <c r="P417" s="259"/>
      <c r="Q417" s="259"/>
      <c r="R417" s="259"/>
      <c r="S417" s="259"/>
      <c r="T417" s="259"/>
      <c r="U417" s="259"/>
      <c r="V417" s="259"/>
      <c r="W417" s="259"/>
      <c r="X417" s="259"/>
      <c r="Y417" s="259"/>
      <c r="Z417" s="259"/>
      <c r="AA417" s="259"/>
      <c r="AB417" s="259"/>
      <c r="AC417" s="259"/>
      <c r="AD417" s="259">
        <v>33.799999999999997</v>
      </c>
      <c r="AF417" s="259"/>
      <c r="AG417" s="259"/>
      <c r="AH417" s="259"/>
      <c r="AI417" s="259"/>
      <c r="AJ417" s="259"/>
      <c r="AK417" s="259"/>
      <c r="AL417" s="259"/>
      <c r="AM417" s="259"/>
      <c r="AN417" s="259"/>
      <c r="AO417" s="259"/>
      <c r="AP417" s="259"/>
      <c r="AQ417" s="259"/>
      <c r="AR417" s="259"/>
      <c r="AS417" s="259"/>
      <c r="AT417" s="259"/>
      <c r="AU417" s="259"/>
      <c r="AV417" s="259"/>
      <c r="AW417" s="259"/>
      <c r="AX417" s="259"/>
      <c r="AY417" s="259"/>
      <c r="AZ417" s="259"/>
      <c r="BA417" s="259"/>
      <c r="BB417" s="259"/>
      <c r="BC417" s="259"/>
      <c r="BD417" s="259"/>
      <c r="BE417" s="259"/>
      <c r="BF417" s="259"/>
      <c r="BG417" s="259"/>
      <c r="BH417" s="259"/>
      <c r="BI417" s="259"/>
      <c r="BJ417" s="259"/>
      <c r="BK417" s="259"/>
      <c r="BL417" s="259"/>
      <c r="BM417" s="259"/>
      <c r="BN417" s="259"/>
      <c r="BO417" s="259"/>
      <c r="BP417" s="259"/>
      <c r="BQ417" s="259"/>
      <c r="BR417" s="259"/>
      <c r="BS417" s="259"/>
      <c r="BT417" s="259"/>
      <c r="BU417" s="259"/>
      <c r="BV417" s="259"/>
      <c r="BW417" s="259"/>
      <c r="BX417" s="259"/>
      <c r="BY417" s="259"/>
      <c r="BZ417" s="259"/>
      <c r="CA417" s="259"/>
      <c r="CB417" s="259"/>
      <c r="CC417" s="259"/>
      <c r="CD417" s="259"/>
      <c r="CE417" s="259"/>
      <c r="CF417" s="259"/>
      <c r="CG417" s="259"/>
      <c r="CH417" s="259"/>
      <c r="CI417" s="259"/>
      <c r="CJ417" s="259"/>
      <c r="CK417" s="259"/>
      <c r="CL417" s="259"/>
      <c r="CM417" s="259"/>
      <c r="CN417" s="259"/>
      <c r="CO417" s="259"/>
      <c r="CP417" s="259"/>
      <c r="CQ417" s="259"/>
      <c r="CR417" s="259"/>
      <c r="CS417" s="259"/>
    </row>
    <row r="418" spans="1:97" s="34" customFormat="1" x14ac:dyDescent="0.25">
      <c r="A418" s="253">
        <v>909138</v>
      </c>
      <c r="B418" s="254">
        <v>70.607119925804383</v>
      </c>
      <c r="C418" s="256"/>
      <c r="D418" s="256">
        <v>9.06</v>
      </c>
      <c r="E418" s="256">
        <v>1.72</v>
      </c>
      <c r="F418" s="254">
        <v>1.78</v>
      </c>
      <c r="G418" s="256">
        <v>0.67</v>
      </c>
      <c r="H418" s="256">
        <v>1.1599999999999999</v>
      </c>
      <c r="I418" s="256">
        <v>0.25</v>
      </c>
      <c r="J418" s="256">
        <v>1.52</v>
      </c>
      <c r="K418" s="256">
        <v>0.36899999999999999</v>
      </c>
      <c r="L418" s="256">
        <v>33.599999999999994</v>
      </c>
    </row>
    <row r="419" spans="1:97" s="250" customFormat="1" x14ac:dyDescent="0.25">
      <c r="A419" s="253">
        <v>909139</v>
      </c>
      <c r="B419" s="254">
        <v>63.277477989207611</v>
      </c>
      <c r="C419" s="256"/>
      <c r="D419" s="256">
        <v>9.64</v>
      </c>
      <c r="E419" s="256">
        <v>3.83</v>
      </c>
      <c r="F419" s="254">
        <v>1.7</v>
      </c>
      <c r="G419" s="256">
        <v>0.78</v>
      </c>
      <c r="H419" s="256">
        <v>2.13</v>
      </c>
      <c r="I419" s="256">
        <v>0.59</v>
      </c>
      <c r="J419" s="256">
        <v>5.12</v>
      </c>
      <c r="K419" s="256">
        <v>1.0900000000000001</v>
      </c>
      <c r="L419" s="256">
        <v>51.599999999999966</v>
      </c>
    </row>
    <row r="420" spans="1:97" s="34" customFormat="1" x14ac:dyDescent="0.25">
      <c r="A420" s="64">
        <v>909140</v>
      </c>
      <c r="B420" s="34">
        <v>55.2</v>
      </c>
      <c r="C420" s="252"/>
      <c r="D420" s="252">
        <v>8.1199999999999992</v>
      </c>
      <c r="E420" s="252">
        <v>1.24</v>
      </c>
      <c r="F420" s="62">
        <v>1.1499999999999999</v>
      </c>
      <c r="G420" s="252">
        <v>0.28999999999999998</v>
      </c>
      <c r="H420" s="252">
        <v>0.89</v>
      </c>
      <c r="I420" s="252">
        <v>0.4</v>
      </c>
      <c r="J420" s="252">
        <v>2.08</v>
      </c>
      <c r="K420" s="252">
        <v>0.42</v>
      </c>
      <c r="L420" s="252">
        <v>82.4</v>
      </c>
      <c r="M420" s="252"/>
      <c r="N420" s="252"/>
      <c r="O420" s="252"/>
      <c r="P420" s="252"/>
      <c r="Q420" s="252"/>
      <c r="R420" s="252"/>
      <c r="S420" s="252"/>
      <c r="T420" s="251"/>
      <c r="U420" s="251"/>
      <c r="V420" s="251"/>
      <c r="W420" s="251"/>
      <c r="X420" s="251"/>
      <c r="Y420" s="251"/>
      <c r="Z420" s="251"/>
      <c r="AA420" s="251"/>
      <c r="AB420" s="251"/>
      <c r="AC420" s="251"/>
      <c r="AD420" s="251"/>
      <c r="AE420" s="251"/>
      <c r="AF420" s="251"/>
      <c r="AG420" s="251"/>
      <c r="AH420" s="251"/>
      <c r="AI420" s="251"/>
      <c r="AJ420" s="251"/>
      <c r="AK420" s="251"/>
      <c r="AL420" s="251"/>
      <c r="AM420" s="251"/>
      <c r="AN420" s="251"/>
      <c r="AO420" s="251"/>
      <c r="AP420" s="251"/>
      <c r="AQ420" s="251"/>
      <c r="AR420" s="251"/>
      <c r="AS420" s="251"/>
      <c r="AT420" s="251"/>
      <c r="AU420" s="251"/>
      <c r="AV420" s="251"/>
      <c r="AW420" s="251"/>
      <c r="AX420" s="251"/>
      <c r="AY420" s="251"/>
      <c r="AZ420" s="251"/>
      <c r="BA420" s="251"/>
      <c r="BB420" s="251"/>
      <c r="BC420" s="251"/>
      <c r="BD420" s="251"/>
      <c r="BE420" s="251"/>
      <c r="BF420" s="251"/>
      <c r="BG420" s="251"/>
      <c r="BH420" s="251"/>
      <c r="BI420" s="251"/>
      <c r="BJ420" s="251"/>
      <c r="BK420" s="251"/>
      <c r="BL420" s="251"/>
      <c r="BM420" s="251"/>
      <c r="BN420" s="251"/>
      <c r="BO420" s="251"/>
      <c r="BP420" s="251"/>
      <c r="BQ420" s="251"/>
      <c r="BR420" s="251"/>
      <c r="BS420" s="251"/>
      <c r="BT420" s="251"/>
      <c r="BU420" s="251"/>
      <c r="BV420" s="251"/>
      <c r="BW420" s="251"/>
      <c r="BX420" s="251"/>
      <c r="BY420" s="251"/>
      <c r="BZ420" s="251"/>
      <c r="CA420" s="251"/>
      <c r="CB420" s="251"/>
      <c r="CC420" s="251"/>
      <c r="CD420" s="251"/>
      <c r="CE420" s="251"/>
      <c r="CF420" s="251"/>
      <c r="CG420" s="251"/>
      <c r="CH420" s="251"/>
      <c r="CI420" s="251"/>
      <c r="CJ420" s="251"/>
      <c r="CK420" s="251"/>
      <c r="CL420" s="251"/>
      <c r="CM420" s="251"/>
      <c r="CN420" s="251"/>
      <c r="CO420" s="251"/>
      <c r="CP420" s="251"/>
      <c r="CQ420" s="251"/>
      <c r="CR420" s="251"/>
      <c r="CS420" s="251"/>
    </row>
    <row r="421" spans="1:97" s="34" customFormat="1" x14ac:dyDescent="0.25">
      <c r="A421" s="64">
        <v>909141</v>
      </c>
      <c r="B421" s="34">
        <v>71.2</v>
      </c>
      <c r="C421" s="252"/>
      <c r="D421" s="252">
        <v>7.37</v>
      </c>
      <c r="E421" s="252">
        <v>1.35</v>
      </c>
      <c r="F421" s="62">
        <v>1.18</v>
      </c>
      <c r="G421" s="252">
        <v>0.16</v>
      </c>
      <c r="H421" s="252">
        <v>1.23</v>
      </c>
      <c r="I421" s="252">
        <v>0.43</v>
      </c>
      <c r="J421" s="252">
        <v>1.29</v>
      </c>
      <c r="K421" s="252">
        <v>0.23</v>
      </c>
      <c r="L421" s="252">
        <v>80.599999999999994</v>
      </c>
      <c r="M421" s="252"/>
      <c r="N421" s="252"/>
      <c r="O421" s="252"/>
      <c r="P421" s="252"/>
      <c r="Q421" s="252"/>
      <c r="R421" s="252"/>
      <c r="S421" s="252"/>
      <c r="T421" s="251"/>
      <c r="U421" s="251"/>
      <c r="V421" s="251"/>
      <c r="W421" s="251"/>
      <c r="X421" s="251"/>
      <c r="Y421" s="251"/>
      <c r="Z421" s="251"/>
      <c r="AA421" s="251"/>
      <c r="AB421" s="251"/>
      <c r="AC421" s="251"/>
      <c r="AD421" s="251"/>
      <c r="AE421" s="251"/>
      <c r="AF421" s="251"/>
      <c r="AG421" s="251"/>
      <c r="AH421" s="251"/>
      <c r="AI421" s="251"/>
      <c r="AJ421" s="251"/>
      <c r="AK421" s="251"/>
      <c r="AL421" s="251"/>
      <c r="AM421" s="251"/>
      <c r="AN421" s="251"/>
      <c r="AO421" s="251"/>
      <c r="AP421" s="251"/>
      <c r="AQ421" s="251"/>
      <c r="AR421" s="251"/>
      <c r="AS421" s="251"/>
      <c r="AT421" s="251"/>
      <c r="AU421" s="251"/>
      <c r="AV421" s="251"/>
      <c r="AW421" s="251"/>
      <c r="AX421" s="251"/>
      <c r="AY421" s="251"/>
      <c r="AZ421" s="251"/>
      <c r="BA421" s="251"/>
      <c r="BB421" s="251"/>
      <c r="BC421" s="251"/>
      <c r="BD421" s="251"/>
      <c r="BE421" s="251"/>
      <c r="BF421" s="251"/>
      <c r="BG421" s="251"/>
      <c r="BH421" s="251"/>
      <c r="BI421" s="251"/>
      <c r="BJ421" s="251"/>
      <c r="BK421" s="251"/>
      <c r="BL421" s="251"/>
      <c r="BM421" s="251"/>
      <c r="BN421" s="251"/>
      <c r="BO421" s="251"/>
      <c r="BP421" s="251"/>
      <c r="BQ421" s="251"/>
      <c r="BR421" s="251"/>
      <c r="BS421" s="251"/>
      <c r="BT421" s="251"/>
      <c r="BU421" s="251"/>
      <c r="BV421" s="251"/>
      <c r="BW421" s="251"/>
      <c r="BX421" s="251"/>
      <c r="BY421" s="251"/>
      <c r="BZ421" s="251"/>
      <c r="CA421" s="251"/>
      <c r="CB421" s="251"/>
      <c r="CC421" s="251"/>
      <c r="CD421" s="251"/>
      <c r="CE421" s="251"/>
      <c r="CF421" s="251"/>
      <c r="CG421" s="251"/>
      <c r="CH421" s="251"/>
      <c r="CI421" s="251"/>
      <c r="CJ421" s="251"/>
      <c r="CK421" s="251"/>
      <c r="CL421" s="251"/>
      <c r="CM421" s="251"/>
      <c r="CN421" s="251"/>
      <c r="CO421" s="251"/>
      <c r="CP421" s="251"/>
      <c r="CQ421" s="251"/>
      <c r="CR421" s="251"/>
      <c r="CS421" s="251"/>
    </row>
    <row r="422" spans="1:97" s="34" customFormat="1" x14ac:dyDescent="0.25">
      <c r="A422" s="64">
        <v>909142</v>
      </c>
      <c r="B422" s="62">
        <v>35.270000000000003</v>
      </c>
      <c r="C422" s="252"/>
      <c r="D422" s="252">
        <v>8.6199999999999992</v>
      </c>
      <c r="E422" s="252">
        <v>2.2400000000000002</v>
      </c>
      <c r="F422" s="62">
        <v>2.0699999999999998</v>
      </c>
      <c r="G422" s="252">
        <v>0.77</v>
      </c>
      <c r="H422" s="252">
        <v>0.88</v>
      </c>
      <c r="I422" s="252">
        <v>0.15</v>
      </c>
      <c r="J422" s="252">
        <v>9.11</v>
      </c>
      <c r="K422" s="252">
        <v>0.27</v>
      </c>
      <c r="L422" s="252">
        <v>52</v>
      </c>
      <c r="M422" s="252"/>
      <c r="N422" s="252"/>
      <c r="O422" s="252"/>
      <c r="P422" s="252"/>
      <c r="Q422" s="252"/>
      <c r="R422" s="252"/>
      <c r="S422" s="252"/>
      <c r="T422" s="251"/>
      <c r="U422" s="251"/>
      <c r="V422" s="251"/>
      <c r="W422" s="251"/>
      <c r="X422" s="251"/>
      <c r="Y422" s="251"/>
      <c r="Z422" s="251"/>
      <c r="AA422" s="251"/>
      <c r="AB422" s="251"/>
      <c r="AC422" s="251"/>
      <c r="AD422" s="251"/>
      <c r="AE422" s="251"/>
      <c r="AF422" s="251"/>
      <c r="AG422" s="251"/>
      <c r="AH422" s="251"/>
      <c r="AI422" s="251"/>
      <c r="AJ422" s="251"/>
      <c r="AK422" s="251"/>
      <c r="AL422" s="251"/>
      <c r="AM422" s="251"/>
      <c r="AN422" s="251"/>
      <c r="AO422" s="251"/>
      <c r="AP422" s="251"/>
      <c r="AQ422" s="251"/>
      <c r="AR422" s="251"/>
      <c r="AS422" s="251"/>
      <c r="AT422" s="251"/>
      <c r="AU422" s="251"/>
      <c r="AV422" s="251"/>
      <c r="AW422" s="251"/>
      <c r="AX422" s="251"/>
      <c r="AY422" s="251"/>
      <c r="AZ422" s="251"/>
      <c r="BA422" s="251"/>
      <c r="BB422" s="251"/>
      <c r="BC422" s="251"/>
      <c r="BD422" s="251"/>
      <c r="BE422" s="251"/>
      <c r="BF422" s="251"/>
      <c r="BG422" s="251"/>
      <c r="BH422" s="251"/>
      <c r="BI422" s="251"/>
      <c r="BJ422" s="251"/>
      <c r="BK422" s="251"/>
      <c r="BL422" s="251"/>
      <c r="BM422" s="251"/>
      <c r="BN422" s="251"/>
      <c r="BO422" s="251"/>
      <c r="BP422" s="251"/>
      <c r="BQ422" s="251"/>
      <c r="BR422" s="251"/>
      <c r="BS422" s="251"/>
      <c r="BT422" s="251"/>
      <c r="BU422" s="251"/>
      <c r="BV422" s="251"/>
      <c r="BW422" s="251"/>
      <c r="BX422" s="251"/>
      <c r="BY422" s="251"/>
      <c r="BZ422" s="251"/>
      <c r="CA422" s="251"/>
      <c r="CB422" s="251"/>
      <c r="CC422" s="251"/>
      <c r="CD422" s="251"/>
      <c r="CE422" s="251"/>
      <c r="CF422" s="251"/>
      <c r="CG422" s="251"/>
      <c r="CH422" s="251"/>
      <c r="CI422" s="251"/>
      <c r="CJ422" s="251"/>
      <c r="CK422" s="251"/>
      <c r="CL422" s="251"/>
      <c r="CM422" s="251"/>
      <c r="CN422" s="251"/>
      <c r="CO422" s="251"/>
      <c r="CP422" s="251"/>
      <c r="CQ422" s="251"/>
      <c r="CR422" s="251"/>
      <c r="CS422" s="251"/>
    </row>
    <row r="423" spans="1:97" s="34" customFormat="1" x14ac:dyDescent="0.25">
      <c r="A423" s="64">
        <v>909143</v>
      </c>
      <c r="B423" s="34">
        <v>60.2</v>
      </c>
      <c r="C423" s="252"/>
      <c r="D423" s="252">
        <v>9.2200000000000006</v>
      </c>
      <c r="E423" s="252">
        <v>4.1399999999999997</v>
      </c>
      <c r="F423" s="62">
        <v>1.37</v>
      </c>
      <c r="G423" s="252">
        <v>0.54</v>
      </c>
      <c r="H423" s="252">
        <v>2.16</v>
      </c>
      <c r="I423" s="252">
        <v>0.56000000000000005</v>
      </c>
      <c r="J423" s="252">
        <v>6.84</v>
      </c>
      <c r="K423" s="252">
        <v>1.43</v>
      </c>
      <c r="L423" s="252">
        <v>28.4</v>
      </c>
      <c r="M423" s="252"/>
      <c r="N423" s="252"/>
      <c r="O423" s="252"/>
      <c r="P423" s="252"/>
      <c r="Q423" s="252"/>
      <c r="R423" s="252"/>
      <c r="S423" s="252"/>
      <c r="T423" s="251"/>
      <c r="U423" s="251"/>
      <c r="V423" s="251"/>
      <c r="W423" s="251"/>
      <c r="X423" s="251"/>
      <c r="Y423" s="251"/>
      <c r="Z423" s="251"/>
      <c r="AA423" s="251"/>
      <c r="AB423" s="251"/>
      <c r="AC423" s="251"/>
      <c r="AD423" s="251"/>
      <c r="AE423" s="251"/>
      <c r="AF423" s="251"/>
      <c r="AG423" s="251"/>
      <c r="AH423" s="251"/>
      <c r="AI423" s="251"/>
      <c r="AJ423" s="251"/>
      <c r="AK423" s="251"/>
      <c r="AL423" s="251"/>
      <c r="AM423" s="251"/>
      <c r="AN423" s="251"/>
      <c r="AO423" s="251"/>
      <c r="AP423" s="251"/>
      <c r="AQ423" s="251"/>
      <c r="AR423" s="251"/>
      <c r="AS423" s="251"/>
      <c r="AT423" s="251"/>
      <c r="AU423" s="251"/>
      <c r="AV423" s="251"/>
      <c r="AW423" s="251"/>
      <c r="AX423" s="251"/>
      <c r="AY423" s="251"/>
      <c r="AZ423" s="251"/>
      <c r="BA423" s="251"/>
      <c r="BB423" s="251"/>
      <c r="BC423" s="251"/>
      <c r="BD423" s="251"/>
      <c r="BE423" s="251"/>
      <c r="BF423" s="251"/>
      <c r="BG423" s="251"/>
      <c r="BH423" s="251"/>
      <c r="BI423" s="251"/>
      <c r="BJ423" s="251"/>
      <c r="BK423" s="251"/>
      <c r="BL423" s="251"/>
      <c r="BM423" s="251"/>
      <c r="BN423" s="251"/>
      <c r="BO423" s="251"/>
      <c r="BP423" s="251"/>
      <c r="BQ423" s="251"/>
      <c r="BR423" s="251"/>
      <c r="BS423" s="251"/>
      <c r="BT423" s="251"/>
      <c r="BU423" s="251"/>
      <c r="BV423" s="251"/>
      <c r="BW423" s="251"/>
      <c r="BX423" s="251"/>
      <c r="BY423" s="251"/>
      <c r="BZ423" s="251"/>
      <c r="CA423" s="251"/>
      <c r="CB423" s="251"/>
      <c r="CC423" s="251"/>
      <c r="CD423" s="251"/>
      <c r="CE423" s="251"/>
      <c r="CF423" s="251"/>
      <c r="CG423" s="251"/>
      <c r="CH423" s="251"/>
      <c r="CI423" s="251"/>
      <c r="CJ423" s="251"/>
      <c r="CK423" s="251"/>
      <c r="CL423" s="251"/>
      <c r="CM423" s="251"/>
      <c r="CN423" s="251"/>
      <c r="CO423" s="251"/>
      <c r="CP423" s="251"/>
      <c r="CQ423" s="251"/>
      <c r="CR423" s="251"/>
      <c r="CS423" s="251"/>
    </row>
    <row r="424" spans="1:97" s="34" customFormat="1" x14ac:dyDescent="0.25">
      <c r="A424" s="64">
        <v>909144</v>
      </c>
      <c r="B424" s="34">
        <v>62.4</v>
      </c>
      <c r="C424" s="252"/>
      <c r="D424" s="252">
        <v>8.02</v>
      </c>
      <c r="E424" s="252">
        <v>7.67</v>
      </c>
      <c r="F424" s="62">
        <v>2.1</v>
      </c>
      <c r="G424" s="252">
        <v>0.95</v>
      </c>
      <c r="H424" s="252">
        <v>2.6</v>
      </c>
      <c r="I424" s="252">
        <v>0.44</v>
      </c>
      <c r="J424" s="252">
        <v>6.23</v>
      </c>
      <c r="K424" s="252">
        <v>0.89</v>
      </c>
      <c r="L424" s="252">
        <v>50.6</v>
      </c>
      <c r="M424" s="252"/>
      <c r="N424" s="252"/>
      <c r="O424" s="252"/>
      <c r="P424" s="252"/>
      <c r="Q424" s="252"/>
      <c r="R424" s="252"/>
      <c r="S424" s="252"/>
      <c r="T424" s="251"/>
      <c r="U424" s="251"/>
      <c r="V424" s="251"/>
      <c r="W424" s="251"/>
      <c r="X424" s="251"/>
      <c r="Y424" s="251"/>
      <c r="Z424" s="251"/>
      <c r="AA424" s="251"/>
      <c r="AB424" s="251"/>
      <c r="AC424" s="251"/>
      <c r="AD424" s="251"/>
      <c r="AE424" s="251"/>
      <c r="AF424" s="251"/>
      <c r="AG424" s="251"/>
      <c r="AH424" s="251"/>
      <c r="AI424" s="251"/>
      <c r="AJ424" s="251"/>
      <c r="AK424" s="251"/>
      <c r="AL424" s="251"/>
      <c r="AM424" s="251"/>
      <c r="AN424" s="251"/>
      <c r="AO424" s="251"/>
      <c r="AP424" s="251"/>
      <c r="AQ424" s="251"/>
      <c r="AR424" s="251"/>
      <c r="AS424" s="251"/>
      <c r="AT424" s="251"/>
      <c r="AU424" s="251"/>
      <c r="AV424" s="251"/>
      <c r="AW424" s="251"/>
      <c r="AX424" s="251"/>
      <c r="AY424" s="251"/>
      <c r="AZ424" s="251"/>
      <c r="BA424" s="251"/>
      <c r="BB424" s="251"/>
      <c r="BC424" s="251"/>
      <c r="BD424" s="251"/>
      <c r="BE424" s="251"/>
      <c r="BF424" s="251"/>
      <c r="BG424" s="251"/>
      <c r="BH424" s="251"/>
      <c r="BI424" s="251"/>
      <c r="BJ424" s="251"/>
      <c r="BK424" s="251"/>
      <c r="BL424" s="251"/>
      <c r="BM424" s="251"/>
      <c r="BN424" s="251"/>
      <c r="BO424" s="251"/>
      <c r="BP424" s="251"/>
      <c r="BQ424" s="251"/>
      <c r="BR424" s="251"/>
      <c r="BS424" s="251"/>
      <c r="BT424" s="251"/>
      <c r="BU424" s="251"/>
      <c r="BV424" s="251"/>
      <c r="BW424" s="251"/>
      <c r="BX424" s="251"/>
      <c r="BY424" s="251"/>
      <c r="BZ424" s="251"/>
      <c r="CA424" s="251"/>
      <c r="CB424" s="251"/>
      <c r="CC424" s="251"/>
      <c r="CD424" s="251"/>
      <c r="CE424" s="251"/>
      <c r="CF424" s="251"/>
      <c r="CG424" s="251"/>
      <c r="CH424" s="251"/>
      <c r="CI424" s="251"/>
      <c r="CJ424" s="251"/>
      <c r="CK424" s="251"/>
      <c r="CL424" s="251"/>
      <c r="CM424" s="251"/>
      <c r="CN424" s="251"/>
      <c r="CO424" s="251"/>
      <c r="CP424" s="251"/>
      <c r="CQ424" s="251"/>
      <c r="CR424" s="251"/>
      <c r="CS424" s="251"/>
    </row>
    <row r="425" spans="1:97" s="339" customFormat="1" x14ac:dyDescent="0.25">
      <c r="A425" s="336" t="s">
        <v>306</v>
      </c>
      <c r="B425" s="337">
        <v>31.4</v>
      </c>
      <c r="C425" s="336"/>
      <c r="D425" s="336">
        <v>8.0399999999999991</v>
      </c>
      <c r="E425" s="336">
        <v>1.4</v>
      </c>
      <c r="F425" s="338">
        <v>2</v>
      </c>
      <c r="G425" s="336">
        <v>0.77</v>
      </c>
      <c r="H425" s="336">
        <v>2.23</v>
      </c>
      <c r="I425" s="336">
        <v>0.49</v>
      </c>
      <c r="J425" s="336">
        <v>7.38</v>
      </c>
      <c r="K425" s="336">
        <v>1.25</v>
      </c>
      <c r="L425" s="336">
        <v>51</v>
      </c>
    </row>
    <row r="426" spans="1:97" s="34" customFormat="1" x14ac:dyDescent="0.25">
      <c r="A426" s="64">
        <v>909145</v>
      </c>
      <c r="B426" s="34">
        <v>65.8</v>
      </c>
      <c r="C426" s="252"/>
      <c r="D426" s="252"/>
      <c r="E426" s="252"/>
      <c r="F426" s="62"/>
      <c r="G426" s="252"/>
      <c r="H426" s="252"/>
      <c r="I426" s="252"/>
      <c r="J426" s="252"/>
      <c r="K426" s="252"/>
      <c r="L426" s="252">
        <v>23</v>
      </c>
      <c r="M426" s="252"/>
      <c r="N426" s="252"/>
      <c r="O426" s="252"/>
      <c r="P426" s="252"/>
      <c r="Q426" s="252"/>
      <c r="R426" s="252"/>
      <c r="S426" s="252"/>
      <c r="T426" s="251"/>
      <c r="U426" s="251"/>
      <c r="V426" s="251"/>
      <c r="W426" s="251"/>
      <c r="X426" s="251"/>
      <c r="Y426" s="251"/>
      <c r="Z426" s="251"/>
      <c r="AA426" s="251"/>
      <c r="AB426" s="251"/>
      <c r="AC426" s="251"/>
      <c r="AD426" s="251"/>
      <c r="AE426" s="251"/>
      <c r="AF426" s="251"/>
      <c r="AG426" s="251"/>
      <c r="AH426" s="251"/>
      <c r="AI426" s="251"/>
      <c r="AJ426" s="251"/>
      <c r="AK426" s="251"/>
      <c r="AL426" s="251"/>
      <c r="AM426" s="251"/>
      <c r="AN426" s="251"/>
      <c r="AO426" s="251"/>
      <c r="AP426" s="251"/>
      <c r="AQ426" s="251"/>
      <c r="AR426" s="251"/>
      <c r="AS426" s="251"/>
      <c r="AT426" s="251"/>
      <c r="AU426" s="251"/>
      <c r="AV426" s="251"/>
      <c r="AW426" s="251"/>
      <c r="AX426" s="251"/>
      <c r="AY426" s="251"/>
      <c r="AZ426" s="251"/>
      <c r="BA426" s="251"/>
      <c r="BB426" s="251"/>
      <c r="BC426" s="251"/>
      <c r="BD426" s="251"/>
      <c r="BE426" s="251"/>
      <c r="BF426" s="251"/>
      <c r="BG426" s="251"/>
      <c r="BH426" s="251"/>
      <c r="BI426" s="251"/>
      <c r="BJ426" s="251"/>
      <c r="BK426" s="251"/>
      <c r="BL426" s="251"/>
      <c r="BM426" s="251"/>
      <c r="BN426" s="251"/>
      <c r="BO426" s="251"/>
      <c r="BP426" s="251"/>
      <c r="BQ426" s="251"/>
      <c r="BR426" s="251"/>
      <c r="BS426" s="251"/>
      <c r="BT426" s="251"/>
      <c r="BU426" s="251"/>
      <c r="BV426" s="251"/>
      <c r="BW426" s="251"/>
      <c r="BX426" s="251"/>
      <c r="BY426" s="251"/>
      <c r="BZ426" s="251"/>
      <c r="CA426" s="251"/>
      <c r="CB426" s="251"/>
      <c r="CC426" s="251"/>
      <c r="CD426" s="251"/>
      <c r="CE426" s="251"/>
      <c r="CF426" s="251"/>
      <c r="CG426" s="251"/>
      <c r="CH426" s="251"/>
      <c r="CI426" s="251"/>
      <c r="CJ426" s="251"/>
      <c r="CK426" s="251"/>
      <c r="CL426" s="251"/>
      <c r="CM426" s="251"/>
      <c r="CN426" s="251"/>
      <c r="CO426" s="251"/>
      <c r="CP426" s="251"/>
      <c r="CQ426" s="251"/>
      <c r="CR426" s="251"/>
      <c r="CS426" s="251"/>
    </row>
    <row r="427" spans="1:97" s="5" customFormat="1" x14ac:dyDescent="0.25">
      <c r="A427" s="63">
        <v>909146</v>
      </c>
      <c r="B427" s="255">
        <v>29.234519240742664</v>
      </c>
      <c r="C427" s="340"/>
      <c r="D427" s="55">
        <v>8.76</v>
      </c>
      <c r="E427" s="55">
        <v>2.92</v>
      </c>
      <c r="F427" s="55">
        <v>2.1010050000000002</v>
      </c>
      <c r="G427" s="55">
        <v>0.39</v>
      </c>
      <c r="H427" s="55">
        <v>1.72</v>
      </c>
      <c r="I427" s="55">
        <v>0.5</v>
      </c>
      <c r="J427" s="55">
        <v>3.14</v>
      </c>
      <c r="K427" s="55">
        <v>0.54</v>
      </c>
      <c r="L427" s="341">
        <v>62.599999999999909</v>
      </c>
      <c r="M427" s="340"/>
      <c r="N427" s="340"/>
      <c r="O427" s="340"/>
      <c r="P427" s="340"/>
      <c r="Q427" s="340"/>
      <c r="R427" s="340"/>
      <c r="S427" s="340"/>
    </row>
    <row r="428" spans="1:97" s="5" customFormat="1" x14ac:dyDescent="0.25">
      <c r="A428" s="63">
        <v>909147</v>
      </c>
      <c r="B428" s="255">
        <v>35.91463414634147</v>
      </c>
      <c r="C428" s="340"/>
      <c r="D428" s="55">
        <v>9.2200000000000006</v>
      </c>
      <c r="E428" s="55">
        <v>3.72</v>
      </c>
      <c r="F428" s="55">
        <v>2.3251122000000004</v>
      </c>
      <c r="G428" s="55">
        <v>0.61</v>
      </c>
      <c r="H428" s="55">
        <v>2.12</v>
      </c>
      <c r="I428" s="55">
        <v>0.47</v>
      </c>
      <c r="J428" s="55">
        <v>4.76</v>
      </c>
      <c r="K428" s="55">
        <v>0.82</v>
      </c>
      <c r="L428" s="341">
        <v>62.999999999999972</v>
      </c>
      <c r="M428" s="340"/>
      <c r="N428" s="340"/>
      <c r="O428" s="340"/>
      <c r="P428" s="340"/>
      <c r="Q428" s="340"/>
      <c r="R428" s="340"/>
      <c r="S428" s="340"/>
    </row>
    <row r="429" spans="1:97" s="5" customFormat="1" x14ac:dyDescent="0.25">
      <c r="A429" s="63">
        <v>909148</v>
      </c>
      <c r="B429" s="255">
        <v>50.173646578140954</v>
      </c>
      <c r="C429" s="340"/>
      <c r="D429" s="55">
        <v>8.9600000000000009</v>
      </c>
      <c r="E429" s="55">
        <v>4.0199999999999996</v>
      </c>
      <c r="F429" s="55">
        <v>2.4651792000000006</v>
      </c>
      <c r="G429" s="55">
        <v>1.04</v>
      </c>
      <c r="H429" s="55">
        <v>2.5299999999999998</v>
      </c>
      <c r="I429" s="55">
        <v>0.49</v>
      </c>
      <c r="J429" s="55">
        <v>5.07</v>
      </c>
      <c r="K429" s="55">
        <v>0.7</v>
      </c>
      <c r="L429" s="341">
        <v>68.200000000000074</v>
      </c>
      <c r="M429" s="340"/>
      <c r="N429" s="340"/>
      <c r="O429" s="340"/>
      <c r="P429" s="340"/>
      <c r="Q429" s="340"/>
      <c r="R429" s="340"/>
      <c r="S429" s="340"/>
    </row>
    <row r="430" spans="1:97" s="5" customFormat="1" x14ac:dyDescent="0.25">
      <c r="A430" s="63">
        <v>909149</v>
      </c>
      <c r="B430" s="255">
        <v>66.771159874608145</v>
      </c>
      <c r="C430" s="340"/>
      <c r="D430" s="55">
        <v>8.11</v>
      </c>
      <c r="E430" s="55">
        <v>3.14</v>
      </c>
      <c r="F430" s="55">
        <v>1.7648442000000002</v>
      </c>
      <c r="G430" s="55">
        <v>0.5</v>
      </c>
      <c r="H430" s="55">
        <v>1.41</v>
      </c>
      <c r="I430" s="55">
        <v>0.25</v>
      </c>
      <c r="J430" s="55">
        <v>0.75</v>
      </c>
      <c r="K430" s="55">
        <v>0.42</v>
      </c>
      <c r="L430" s="341">
        <v>30</v>
      </c>
      <c r="M430" s="340"/>
      <c r="N430" s="340"/>
      <c r="O430" s="340"/>
      <c r="P430" s="340"/>
      <c r="Q430" s="340"/>
      <c r="R430" s="340"/>
      <c r="S430" s="340"/>
    </row>
    <row r="431" spans="1:97" s="5" customFormat="1" x14ac:dyDescent="0.25">
      <c r="A431" s="63">
        <v>909150</v>
      </c>
      <c r="B431" s="255">
        <v>92.885792695799012</v>
      </c>
      <c r="C431" s="340"/>
      <c r="D431" s="55">
        <v>7.65</v>
      </c>
      <c r="E431" s="55">
        <v>0.6</v>
      </c>
      <c r="F431" s="55">
        <v>3.0534606000000002</v>
      </c>
      <c r="G431" s="55">
        <v>0.36</v>
      </c>
      <c r="H431" s="55">
        <v>0.96</v>
      </c>
      <c r="I431" s="55">
        <v>0.03</v>
      </c>
      <c r="J431" s="55">
        <v>0.18</v>
      </c>
      <c r="K431" s="55">
        <v>0.32</v>
      </c>
      <c r="L431" s="341">
        <v>94.399999999999977</v>
      </c>
      <c r="M431" s="340"/>
      <c r="N431" s="340"/>
      <c r="O431" s="340"/>
      <c r="P431" s="340"/>
      <c r="Q431" s="340"/>
      <c r="R431" s="340"/>
      <c r="S431" s="340"/>
    </row>
    <row r="432" spans="1:97" s="5" customFormat="1" x14ac:dyDescent="0.25">
      <c r="A432" s="63">
        <v>909151</v>
      </c>
      <c r="B432" s="255">
        <v>79.393113257867611</v>
      </c>
      <c r="C432" s="340"/>
      <c r="D432" s="55">
        <v>7.97</v>
      </c>
      <c r="E432" s="55">
        <v>3.17</v>
      </c>
      <c r="F432" s="55">
        <v>1.6247772000000005</v>
      </c>
      <c r="G432" s="55">
        <v>0.5</v>
      </c>
      <c r="H432" s="55">
        <v>1.38</v>
      </c>
      <c r="I432" s="55">
        <v>0.24</v>
      </c>
      <c r="J432" s="55">
        <v>0.91</v>
      </c>
      <c r="K432" s="55">
        <v>0.42</v>
      </c>
      <c r="L432" s="341">
        <v>27.000000000000028</v>
      </c>
      <c r="M432" s="340"/>
      <c r="N432" s="340"/>
      <c r="O432" s="340"/>
      <c r="P432" s="340"/>
      <c r="Q432" s="340"/>
      <c r="R432" s="340"/>
      <c r="S432" s="340"/>
    </row>
    <row r="433" spans="1:19" s="5" customFormat="1" x14ac:dyDescent="0.25">
      <c r="A433" s="63">
        <v>909152</v>
      </c>
      <c r="B433" s="255">
        <v>93.208373904576433</v>
      </c>
      <c r="C433" s="340"/>
      <c r="D433" s="55">
        <v>5.89</v>
      </c>
      <c r="E433" s="55">
        <v>2.62</v>
      </c>
      <c r="F433" s="55">
        <v>2.3531256000000003</v>
      </c>
      <c r="G433" s="55">
        <v>0.28000000000000003</v>
      </c>
      <c r="H433" s="55">
        <v>0.96</v>
      </c>
      <c r="I433" s="55">
        <v>0.05</v>
      </c>
      <c r="J433" s="55">
        <v>0.47</v>
      </c>
      <c r="K433" s="55">
        <v>0.25</v>
      </c>
      <c r="L433" s="341">
        <v>54.200000000000017</v>
      </c>
      <c r="M433" s="340"/>
      <c r="N433" s="340"/>
      <c r="O433" s="340"/>
      <c r="P433" s="340"/>
      <c r="Q433" s="340"/>
      <c r="R433" s="340"/>
      <c r="S433" s="340"/>
    </row>
    <row r="434" spans="1:19" s="5" customFormat="1" x14ac:dyDescent="0.25">
      <c r="A434" s="63">
        <v>909153</v>
      </c>
      <c r="B434" s="255">
        <v>70.654497615523766</v>
      </c>
      <c r="C434" s="340"/>
      <c r="D434" s="55">
        <v>7.78</v>
      </c>
      <c r="E434" s="55">
        <v>3.08</v>
      </c>
      <c r="F434" s="55">
        <v>1.5127236000000004</v>
      </c>
      <c r="G434" s="55">
        <v>0.51</v>
      </c>
      <c r="H434" s="55">
        <v>1.25</v>
      </c>
      <c r="I434" s="55">
        <v>0.23</v>
      </c>
      <c r="J434" s="55">
        <v>0.79</v>
      </c>
      <c r="K434" s="55">
        <v>0.43</v>
      </c>
      <c r="L434" s="341">
        <v>27.800000000000011</v>
      </c>
      <c r="M434" s="340"/>
      <c r="N434" s="340"/>
      <c r="O434" s="340"/>
      <c r="P434" s="340"/>
      <c r="Q434" s="340"/>
      <c r="R434" s="340"/>
      <c r="S434" s="340"/>
    </row>
    <row r="435" spans="1:19" s="5" customFormat="1" x14ac:dyDescent="0.25">
      <c r="A435" s="63">
        <v>909154</v>
      </c>
      <c r="B435" s="255">
        <v>61.70486875301949</v>
      </c>
      <c r="C435" s="340"/>
      <c r="D435" s="55">
        <v>8.31</v>
      </c>
      <c r="E435" s="55">
        <v>2.59</v>
      </c>
      <c r="F435" s="55">
        <v>1.5967638000000002</v>
      </c>
      <c r="G435" s="55">
        <v>0.48</v>
      </c>
      <c r="H435" s="55">
        <v>1.25</v>
      </c>
      <c r="I435" s="55">
        <v>0.23</v>
      </c>
      <c r="J435" s="55">
        <v>0.88</v>
      </c>
      <c r="K435" s="55">
        <v>0.4</v>
      </c>
      <c r="L435" s="341">
        <v>29.599999999999937</v>
      </c>
      <c r="M435" s="340"/>
      <c r="N435" s="340"/>
      <c r="O435" s="340"/>
      <c r="P435" s="340"/>
      <c r="Q435" s="340"/>
      <c r="R435" s="340"/>
      <c r="S435" s="340"/>
    </row>
    <row r="436" spans="1:19" s="5" customFormat="1" x14ac:dyDescent="0.25">
      <c r="A436" s="63">
        <v>909155</v>
      </c>
      <c r="B436" s="255">
        <v>95.809402254839398</v>
      </c>
      <c r="C436" s="340"/>
      <c r="D436" s="55">
        <v>6.81</v>
      </c>
      <c r="E436" s="55">
        <v>0.37</v>
      </c>
      <c r="F436" s="55">
        <v>1.5687504000000003</v>
      </c>
      <c r="G436" s="55">
        <v>0.11</v>
      </c>
      <c r="H436" s="55">
        <v>0.67</v>
      </c>
      <c r="I436" s="55">
        <v>0.04</v>
      </c>
      <c r="J436" s="55">
        <v>0.27</v>
      </c>
      <c r="K436" s="55">
        <v>0.17</v>
      </c>
      <c r="L436" s="341">
        <v>88.6</v>
      </c>
      <c r="M436" s="340"/>
      <c r="N436" s="340"/>
      <c r="O436" s="340"/>
      <c r="P436" s="340"/>
      <c r="Q436" s="340"/>
      <c r="R436" s="340"/>
      <c r="S436" s="340"/>
    </row>
    <row r="437" spans="1:19" s="5" customFormat="1" x14ac:dyDescent="0.25">
      <c r="A437" s="63">
        <v>909156</v>
      </c>
      <c r="B437" s="255">
        <v>8.080307349113891</v>
      </c>
      <c r="C437" s="340"/>
      <c r="D437" s="55">
        <v>4.78</v>
      </c>
      <c r="E437" s="55">
        <v>50.4</v>
      </c>
      <c r="F437" s="55">
        <v>2.5492194000000001</v>
      </c>
      <c r="G437" s="55">
        <v>0.06</v>
      </c>
      <c r="H437" s="341">
        <v>15.84</v>
      </c>
      <c r="I437" s="55">
        <v>0.14000000000000001</v>
      </c>
      <c r="J437" s="55">
        <v>2.27</v>
      </c>
      <c r="K437" s="55">
        <v>1.08</v>
      </c>
      <c r="L437" s="341">
        <v>51.800000000000068</v>
      </c>
      <c r="M437" s="340"/>
      <c r="N437" s="340"/>
      <c r="O437" s="340"/>
      <c r="P437" s="340"/>
      <c r="Q437" s="340"/>
      <c r="R437" s="340"/>
      <c r="S437" s="340"/>
    </row>
    <row r="438" spans="1:19" s="346" customFormat="1" x14ac:dyDescent="0.25">
      <c r="A438" s="342">
        <v>909157</v>
      </c>
      <c r="B438" s="343">
        <v>67.967878652687929</v>
      </c>
      <c r="C438" s="344"/>
      <c r="D438" s="345"/>
      <c r="E438" s="345"/>
      <c r="F438" s="345"/>
      <c r="G438" s="345"/>
      <c r="H438" s="345"/>
      <c r="I438" s="345"/>
      <c r="J438" s="345"/>
      <c r="K438" s="345"/>
      <c r="L438" s="343">
        <v>31.400000000000006</v>
      </c>
      <c r="M438" s="344"/>
      <c r="N438" s="344"/>
      <c r="O438" s="344"/>
      <c r="P438" s="344"/>
      <c r="Q438" s="344"/>
      <c r="R438" s="344"/>
      <c r="S438" s="344"/>
    </row>
    <row r="439" spans="1:19" s="5" customFormat="1" x14ac:dyDescent="0.25">
      <c r="A439" s="63">
        <v>909158</v>
      </c>
      <c r="B439" s="255">
        <v>52.799862723788827</v>
      </c>
      <c r="C439" s="340"/>
      <c r="D439" s="55">
        <v>9.32</v>
      </c>
      <c r="E439" s="55">
        <v>3.27</v>
      </c>
      <c r="F439" s="55">
        <v>1.9329246000000002</v>
      </c>
      <c r="G439" s="55">
        <v>0.62</v>
      </c>
      <c r="H439" s="55">
        <v>2.11</v>
      </c>
      <c r="I439" s="55">
        <v>0.47</v>
      </c>
      <c r="J439" s="55">
        <v>7.63</v>
      </c>
      <c r="K439" s="55">
        <v>1.52</v>
      </c>
      <c r="L439" s="341">
        <v>36.799999999999919</v>
      </c>
      <c r="M439" s="340"/>
      <c r="N439" s="340"/>
      <c r="O439" s="340"/>
      <c r="P439" s="340"/>
      <c r="Q439" s="340"/>
      <c r="R439" s="340"/>
      <c r="S439" s="340"/>
    </row>
    <row r="440" spans="1:19" s="5" customFormat="1" x14ac:dyDescent="0.25">
      <c r="A440" s="63">
        <v>909159</v>
      </c>
      <c r="B440" s="255">
        <v>62.164756704865908</v>
      </c>
      <c r="C440" s="340"/>
      <c r="D440" s="55">
        <v>9.07</v>
      </c>
      <c r="E440" s="55">
        <v>4.13</v>
      </c>
      <c r="F440" s="55">
        <v>1.9889514000000006</v>
      </c>
      <c r="G440" s="55">
        <v>0.7</v>
      </c>
      <c r="H440" s="55">
        <v>2.33</v>
      </c>
      <c r="I440" s="55">
        <v>0.5</v>
      </c>
      <c r="J440" s="55">
        <v>6.88</v>
      </c>
      <c r="K440" s="55">
        <v>1.03</v>
      </c>
      <c r="L440" s="341">
        <v>37.199999999999989</v>
      </c>
      <c r="M440" s="340"/>
      <c r="N440" s="340"/>
      <c r="O440" s="340"/>
      <c r="P440" s="340"/>
      <c r="Q440" s="340"/>
      <c r="R440" s="340"/>
      <c r="S440" s="340"/>
    </row>
    <row r="441" spans="1:19" s="5" customFormat="1" x14ac:dyDescent="0.25">
      <c r="A441" s="63">
        <v>909160</v>
      </c>
      <c r="B441" s="255">
        <v>62.103612912420722</v>
      </c>
      <c r="C441" s="340"/>
      <c r="D441" s="55">
        <v>9.1999999999999993</v>
      </c>
      <c r="E441" s="55">
        <v>4.49</v>
      </c>
      <c r="F441" s="55">
        <v>2.4651792000000006</v>
      </c>
      <c r="G441" s="55">
        <v>1.19</v>
      </c>
      <c r="H441" s="55">
        <v>2.85</v>
      </c>
      <c r="I441" s="55">
        <v>0.56999999999999995</v>
      </c>
      <c r="J441" s="55">
        <v>7.8</v>
      </c>
      <c r="K441" s="55">
        <v>1.06</v>
      </c>
      <c r="L441" s="341">
        <v>48.200000000000074</v>
      </c>
      <c r="M441" s="340"/>
      <c r="N441" s="340"/>
      <c r="O441" s="340"/>
      <c r="P441" s="340"/>
      <c r="Q441" s="340"/>
      <c r="R441" s="340"/>
      <c r="S441" s="340"/>
    </row>
    <row r="442" spans="1:19" s="5" customFormat="1" x14ac:dyDescent="0.25">
      <c r="A442" s="63">
        <v>909161</v>
      </c>
      <c r="B442" s="255">
        <v>55.594509184278095</v>
      </c>
      <c r="C442" s="340"/>
      <c r="D442" s="55">
        <v>9.14</v>
      </c>
      <c r="E442" s="55">
        <v>1.8</v>
      </c>
      <c r="F442" s="55">
        <v>2.6052462000000007</v>
      </c>
      <c r="G442" s="55">
        <v>0.49</v>
      </c>
      <c r="H442" s="55">
        <v>1.6</v>
      </c>
      <c r="I442" s="55">
        <v>0.21</v>
      </c>
      <c r="J442" s="55">
        <v>3.6</v>
      </c>
      <c r="K442" s="55">
        <v>1.35</v>
      </c>
      <c r="L442" s="341">
        <v>45.19999999999996</v>
      </c>
      <c r="M442" s="340"/>
      <c r="N442" s="340"/>
      <c r="O442" s="340"/>
      <c r="P442" s="340"/>
      <c r="Q442" s="340"/>
      <c r="R442" s="340"/>
      <c r="S442" s="340"/>
    </row>
    <row r="443" spans="1:19" s="5" customFormat="1" x14ac:dyDescent="0.25">
      <c r="A443" s="63">
        <v>909162</v>
      </c>
      <c r="B443" s="255">
        <v>54.478722348973307</v>
      </c>
      <c r="C443" s="340"/>
      <c r="D443" s="55">
        <v>9.1199999999999992</v>
      </c>
      <c r="E443" s="55">
        <v>1.62</v>
      </c>
      <c r="F443" s="55">
        <v>2.2130586000000005</v>
      </c>
      <c r="G443" s="55">
        <v>0.47</v>
      </c>
      <c r="H443" s="55">
        <v>1.52</v>
      </c>
      <c r="I443" s="55">
        <v>0.2</v>
      </c>
      <c r="J443" s="55">
        <v>3.65</v>
      </c>
      <c r="K443" s="55">
        <v>1.35</v>
      </c>
      <c r="L443" s="341">
        <v>44.200000000000017</v>
      </c>
      <c r="M443" s="340"/>
      <c r="N443" s="340"/>
      <c r="O443" s="340"/>
      <c r="P443" s="340"/>
      <c r="Q443" s="340"/>
      <c r="R443" s="340"/>
      <c r="S443" s="340"/>
    </row>
    <row r="444" spans="1:19" s="5" customFormat="1" x14ac:dyDescent="0.25">
      <c r="A444" s="63">
        <v>909163</v>
      </c>
      <c r="B444" s="255">
        <v>48.761560540023382</v>
      </c>
      <c r="C444" s="340"/>
      <c r="D444" s="55">
        <v>8.74</v>
      </c>
      <c r="E444" s="55">
        <v>1.31</v>
      </c>
      <c r="F444" s="55">
        <v>2.0169648000000002</v>
      </c>
      <c r="G444" s="55">
        <v>0.42</v>
      </c>
      <c r="H444" s="55">
        <v>1.32</v>
      </c>
      <c r="I444" s="55">
        <v>0.24</v>
      </c>
      <c r="J444" s="55">
        <v>3.04</v>
      </c>
      <c r="K444" s="55">
        <v>1.1000000000000001</v>
      </c>
      <c r="L444" s="341">
        <v>46.399999999999864</v>
      </c>
      <c r="M444" s="340"/>
      <c r="N444" s="340"/>
      <c r="O444" s="340"/>
      <c r="P444" s="340"/>
      <c r="Q444" s="340"/>
      <c r="R444" s="340"/>
      <c r="S444" s="340"/>
    </row>
    <row r="445" spans="1:19" s="5" customFormat="1" x14ac:dyDescent="0.25">
      <c r="A445" s="63">
        <v>909164</v>
      </c>
      <c r="B445" s="255">
        <v>90.171775008420369</v>
      </c>
      <c r="C445" s="340"/>
      <c r="D445" s="55">
        <v>7.72</v>
      </c>
      <c r="E445" s="55">
        <v>4.28</v>
      </c>
      <c r="F445" s="55">
        <v>4.7902913999999992</v>
      </c>
      <c r="G445" s="55">
        <v>2.1800000000000002</v>
      </c>
      <c r="H445" s="55">
        <v>1.93</v>
      </c>
      <c r="I445" s="55">
        <v>0.46</v>
      </c>
      <c r="J445" s="55">
        <v>6.95</v>
      </c>
      <c r="K445" s="55">
        <v>0.47</v>
      </c>
      <c r="L445" s="341">
        <v>63.999999999999915</v>
      </c>
      <c r="M445" s="340"/>
      <c r="N445" s="340"/>
      <c r="O445" s="340"/>
      <c r="P445" s="340"/>
      <c r="Q445" s="340"/>
      <c r="R445" s="340"/>
      <c r="S445" s="340"/>
    </row>
    <row r="446" spans="1:19" s="350" customFormat="1" x14ac:dyDescent="0.25">
      <c r="A446" s="347">
        <v>909165</v>
      </c>
      <c r="B446" s="348">
        <v>62.51</v>
      </c>
      <c r="C446" s="349"/>
      <c r="D446" s="349"/>
      <c r="E446" s="349"/>
      <c r="F446" s="60"/>
      <c r="G446" s="349"/>
      <c r="H446" s="349"/>
      <c r="I446" s="349"/>
      <c r="J446" s="349"/>
      <c r="K446" s="60"/>
      <c r="L446" s="348">
        <v>31.4</v>
      </c>
      <c r="M446" s="349"/>
      <c r="N446" s="349"/>
      <c r="O446" s="349"/>
      <c r="P446" s="349"/>
      <c r="Q446" s="349"/>
      <c r="R446" s="349"/>
      <c r="S446" s="349"/>
    </row>
    <row r="447" spans="1:19" s="350" customFormat="1" x14ac:dyDescent="0.25">
      <c r="A447" s="347">
        <v>909172</v>
      </c>
      <c r="B447" s="348">
        <v>69.66</v>
      </c>
      <c r="C447" s="349"/>
      <c r="D447" s="349"/>
      <c r="E447" s="349"/>
      <c r="F447" s="60"/>
      <c r="G447" s="349"/>
      <c r="H447" s="349"/>
      <c r="I447" s="349"/>
      <c r="J447" s="349"/>
      <c r="K447" s="60"/>
      <c r="L447" s="348">
        <v>48</v>
      </c>
      <c r="M447" s="349"/>
      <c r="N447" s="349"/>
      <c r="O447" s="349"/>
      <c r="P447" s="349"/>
      <c r="Q447" s="349"/>
      <c r="R447" s="349"/>
      <c r="S447" s="349"/>
    </row>
    <row r="448" spans="1:19" s="5" customFormat="1" x14ac:dyDescent="0.25">
      <c r="A448" s="63">
        <v>909166</v>
      </c>
      <c r="B448" s="341">
        <v>57.251566696508505</v>
      </c>
      <c r="C448" s="340"/>
      <c r="D448" s="340">
        <v>9.3000000000000007</v>
      </c>
      <c r="E448" s="340">
        <v>1.89</v>
      </c>
      <c r="F448" s="55">
        <v>1.5967638000000002</v>
      </c>
      <c r="G448" s="340">
        <v>0.6</v>
      </c>
      <c r="H448" s="340">
        <v>1.25</v>
      </c>
      <c r="I448" s="340">
        <v>0.41</v>
      </c>
      <c r="J448" s="340">
        <v>5.35</v>
      </c>
      <c r="K448" s="340">
        <v>0.71</v>
      </c>
      <c r="L448" s="341">
        <v>36.800000000000068</v>
      </c>
      <c r="M448" s="340"/>
      <c r="N448" s="340"/>
      <c r="O448" s="340"/>
      <c r="P448" s="340"/>
      <c r="Q448" s="340"/>
      <c r="R448" s="340"/>
      <c r="S448" s="340"/>
    </row>
    <row r="449" spans="1:97" s="5" customFormat="1" x14ac:dyDescent="0.25">
      <c r="A449" s="63">
        <v>909167</v>
      </c>
      <c r="B449" s="341">
        <v>63.175122749590841</v>
      </c>
      <c r="C449" s="340">
        <v>692</v>
      </c>
      <c r="D449" s="340">
        <v>8.8000000000000007</v>
      </c>
      <c r="E449" s="340">
        <v>3.95</v>
      </c>
      <c r="F449" s="55">
        <v>7.07</v>
      </c>
      <c r="G449" s="340">
        <v>0.8</v>
      </c>
      <c r="H449" s="340">
        <v>2.9</v>
      </c>
      <c r="I449" s="340">
        <v>0.47</v>
      </c>
      <c r="J449" s="340">
        <v>5.17</v>
      </c>
      <c r="K449" s="340">
        <v>0.9</v>
      </c>
      <c r="L449" s="341">
        <v>62.600000000000051</v>
      </c>
      <c r="M449" s="340"/>
      <c r="N449" s="340"/>
      <c r="O449" s="340"/>
      <c r="P449" s="340"/>
      <c r="Q449" s="340"/>
      <c r="R449" s="340"/>
      <c r="S449" s="340"/>
    </row>
    <row r="450" spans="1:97" s="5" customFormat="1" x14ac:dyDescent="0.25">
      <c r="A450" s="63">
        <v>909168</v>
      </c>
      <c r="B450" s="341">
        <v>31.898174674633704</v>
      </c>
      <c r="C450" s="340"/>
      <c r="D450" s="340">
        <v>8.64</v>
      </c>
      <c r="E450" s="340">
        <v>9.2899999999999991</v>
      </c>
      <c r="F450" s="55">
        <v>2.2970988000000006</v>
      </c>
      <c r="G450" s="340">
        <v>2.13</v>
      </c>
      <c r="H450" s="340">
        <v>2.3199999999999998</v>
      </c>
      <c r="I450" s="340">
        <v>0.16</v>
      </c>
      <c r="J450" s="340">
        <v>11.57</v>
      </c>
      <c r="K450" s="340">
        <v>0.62</v>
      </c>
      <c r="L450" s="341">
        <v>60</v>
      </c>
      <c r="M450" s="340"/>
      <c r="N450" s="340"/>
      <c r="O450" s="340"/>
      <c r="P450" s="340"/>
      <c r="Q450" s="340"/>
      <c r="R450" s="340"/>
      <c r="S450" s="340"/>
    </row>
    <row r="451" spans="1:97" s="5" customFormat="1" x14ac:dyDescent="0.25">
      <c r="A451" s="63">
        <v>909169</v>
      </c>
      <c r="B451" s="341">
        <v>32.040537906840768</v>
      </c>
      <c r="C451" s="340"/>
      <c r="D451" s="340">
        <v>8.43</v>
      </c>
      <c r="E451" s="340">
        <v>10.17</v>
      </c>
      <c r="F451" s="55">
        <v>2.2690854000000003</v>
      </c>
      <c r="G451" s="340">
        <v>2.11</v>
      </c>
      <c r="H451" s="340">
        <v>2.15</v>
      </c>
      <c r="I451" s="340">
        <v>0.18</v>
      </c>
      <c r="J451" s="340">
        <v>11.98</v>
      </c>
      <c r="K451" s="340">
        <v>0.62</v>
      </c>
      <c r="L451" s="341">
        <v>59.80000000000004</v>
      </c>
      <c r="M451" s="340"/>
      <c r="N451" s="340"/>
      <c r="O451" s="340"/>
      <c r="P451" s="340"/>
      <c r="Q451" s="340"/>
      <c r="R451" s="340"/>
      <c r="S451" s="340"/>
    </row>
    <row r="452" spans="1:97" s="5" customFormat="1" x14ac:dyDescent="0.25">
      <c r="A452" s="63">
        <v>909170</v>
      </c>
      <c r="B452" s="341">
        <v>67.877492877492884</v>
      </c>
      <c r="C452" s="340"/>
      <c r="D452" s="340">
        <v>9.19</v>
      </c>
      <c r="E452" s="340">
        <v>0.87</v>
      </c>
      <c r="F452" s="55">
        <v>1.0084824000000001</v>
      </c>
      <c r="G452" s="340">
        <v>0.22</v>
      </c>
      <c r="H452" s="340">
        <v>1.34</v>
      </c>
      <c r="I452" s="340">
        <v>0.23</v>
      </c>
      <c r="J452" s="340">
        <v>0.65</v>
      </c>
      <c r="K452" s="340">
        <v>0.13</v>
      </c>
      <c r="L452" s="341">
        <v>88.400000000000034</v>
      </c>
      <c r="M452" s="340"/>
      <c r="N452" s="340"/>
      <c r="O452" s="340"/>
      <c r="P452" s="340"/>
      <c r="Q452" s="340"/>
      <c r="R452" s="340"/>
      <c r="S452" s="340"/>
    </row>
    <row r="453" spans="1:97" s="5" customFormat="1" x14ac:dyDescent="0.25">
      <c r="A453" s="63">
        <v>909171</v>
      </c>
      <c r="B453" s="341">
        <v>87.021072796934874</v>
      </c>
      <c r="C453" s="340"/>
      <c r="D453" s="340">
        <v>9.3000000000000007</v>
      </c>
      <c r="E453" s="340">
        <v>1.36</v>
      </c>
      <c r="F453" s="55">
        <v>1.4847102000000001</v>
      </c>
      <c r="G453" s="340">
        <v>0.31</v>
      </c>
      <c r="H453" s="340">
        <v>3.04</v>
      </c>
      <c r="I453" s="340">
        <v>0.21</v>
      </c>
      <c r="J453" s="340">
        <v>1.65</v>
      </c>
      <c r="K453" s="340">
        <v>0.16</v>
      </c>
      <c r="L453" s="341">
        <v>83.6</v>
      </c>
      <c r="M453" s="340"/>
      <c r="N453" s="340"/>
      <c r="O453" s="340"/>
      <c r="P453" s="340"/>
      <c r="Q453" s="340"/>
      <c r="R453" s="340"/>
      <c r="S453" s="340"/>
    </row>
    <row r="454" spans="1:97" s="5" customFormat="1" x14ac:dyDescent="0.25">
      <c r="A454" s="63">
        <v>909177</v>
      </c>
      <c r="B454" s="55"/>
      <c r="C454" s="340"/>
      <c r="D454" s="340">
        <v>7.55</v>
      </c>
      <c r="E454" s="340">
        <v>1.89</v>
      </c>
      <c r="F454" s="55"/>
      <c r="G454" s="340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</row>
    <row r="455" spans="1:97" s="5" customFormat="1" x14ac:dyDescent="0.25">
      <c r="A455" s="63">
        <v>909178</v>
      </c>
      <c r="B455" s="55"/>
      <c r="C455" s="340"/>
      <c r="D455" s="340">
        <v>7.63</v>
      </c>
      <c r="E455" s="340">
        <v>2.42</v>
      </c>
      <c r="F455" s="55"/>
      <c r="G455" s="340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</row>
    <row r="456" spans="1:97" s="5" customFormat="1" x14ac:dyDescent="0.25">
      <c r="A456" s="63">
        <v>909179</v>
      </c>
      <c r="B456" s="55"/>
      <c r="C456" s="340"/>
      <c r="D456" s="340">
        <v>7.18</v>
      </c>
      <c r="E456" s="340">
        <v>1.58</v>
      </c>
      <c r="F456" s="55"/>
      <c r="G456" s="340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</row>
    <row r="457" spans="1:97" s="5" customFormat="1" x14ac:dyDescent="0.25">
      <c r="A457" s="63">
        <v>909174</v>
      </c>
      <c r="B457" s="341">
        <v>81.690496215306979</v>
      </c>
      <c r="C457" s="340"/>
      <c r="D457" s="340">
        <v>9.02</v>
      </c>
      <c r="E457" s="340">
        <v>4.2300000000000004</v>
      </c>
      <c r="F457" s="55">
        <v>3.2775678000000008</v>
      </c>
      <c r="G457" s="340">
        <v>1.71</v>
      </c>
      <c r="H457" s="340">
        <v>2.5299999999999998</v>
      </c>
      <c r="I457" s="340">
        <v>0.56000000000000005</v>
      </c>
      <c r="J457" s="340">
        <v>7.49</v>
      </c>
      <c r="K457" s="340">
        <v>0.62</v>
      </c>
      <c r="L457" s="340">
        <v>67.199999999999989</v>
      </c>
      <c r="M457" s="340"/>
      <c r="N457" s="340"/>
      <c r="O457" s="340"/>
      <c r="P457" s="340"/>
      <c r="Q457" s="340"/>
      <c r="R457" s="340"/>
      <c r="S457" s="340"/>
    </row>
    <row r="458" spans="1:97" s="5" customFormat="1" x14ac:dyDescent="0.25">
      <c r="A458" s="63">
        <v>909175</v>
      </c>
      <c r="B458" s="341">
        <v>24.326919779126797</v>
      </c>
      <c r="C458" s="340"/>
      <c r="D458" s="340">
        <v>4.95</v>
      </c>
      <c r="E458" s="340">
        <v>0.36399999999999999</v>
      </c>
      <c r="F458" s="55">
        <v>4.9583718000000001</v>
      </c>
      <c r="G458" s="340">
        <v>0.56000000000000005</v>
      </c>
      <c r="H458" s="340">
        <v>0.08</v>
      </c>
      <c r="I458" s="340">
        <v>0.04</v>
      </c>
      <c r="J458" s="340">
        <v>0.33</v>
      </c>
      <c r="K458" s="340">
        <v>0.19</v>
      </c>
      <c r="L458" s="340">
        <v>95.600000000000023</v>
      </c>
      <c r="M458" s="340"/>
      <c r="N458" s="340"/>
      <c r="O458" s="340"/>
      <c r="P458" s="340"/>
      <c r="Q458" s="340"/>
      <c r="R458" s="340"/>
      <c r="S458" s="340"/>
    </row>
    <row r="459" spans="1:97" s="5" customFormat="1" x14ac:dyDescent="0.25">
      <c r="A459" s="63">
        <v>909176</v>
      </c>
      <c r="B459" s="341">
        <v>19.128314900701628</v>
      </c>
      <c r="C459" s="340"/>
      <c r="D459" s="340">
        <v>6.24</v>
      </c>
      <c r="E459" s="340">
        <v>4.84</v>
      </c>
      <c r="F459" s="55">
        <v>6.5831490000000006</v>
      </c>
      <c r="G459" s="340">
        <v>1.1200000000000001</v>
      </c>
      <c r="H459" s="340">
        <v>1.58</v>
      </c>
      <c r="I459" s="340">
        <v>0.05</v>
      </c>
      <c r="J459" s="340">
        <v>0.11</v>
      </c>
      <c r="K459" s="340">
        <v>0.15</v>
      </c>
      <c r="L459" s="340">
        <v>93.6</v>
      </c>
      <c r="M459" s="340"/>
      <c r="N459" s="340"/>
      <c r="O459" s="340"/>
      <c r="P459" s="340"/>
      <c r="Q459" s="340"/>
      <c r="R459" s="340"/>
      <c r="S459" s="340"/>
    </row>
    <row r="460" spans="1:97" s="5" customFormat="1" x14ac:dyDescent="0.25">
      <c r="A460" s="63">
        <v>909180</v>
      </c>
      <c r="B460" s="341">
        <v>46.347763841772739</v>
      </c>
      <c r="C460" s="340"/>
      <c r="D460" s="340">
        <v>4.75</v>
      </c>
      <c r="E460" s="340">
        <v>2.57</v>
      </c>
      <c r="F460" s="55">
        <v>1.7928576000000003</v>
      </c>
      <c r="G460" s="340">
        <v>0.2</v>
      </c>
      <c r="H460" s="340">
        <v>1.32</v>
      </c>
      <c r="I460" s="340">
        <v>0.06</v>
      </c>
      <c r="J460" s="340">
        <v>0.56000000000000005</v>
      </c>
      <c r="K460" s="340">
        <v>0.1</v>
      </c>
      <c r="L460" s="340">
        <v>94.599999999999937</v>
      </c>
      <c r="M460" s="340"/>
      <c r="N460" s="340"/>
      <c r="O460" s="340"/>
      <c r="P460" s="340"/>
      <c r="Q460" s="340"/>
      <c r="R460" s="340"/>
      <c r="S460" s="340"/>
    </row>
    <row r="461" spans="1:97" s="5" customFormat="1" x14ac:dyDescent="0.25">
      <c r="A461" s="63">
        <v>909181</v>
      </c>
      <c r="B461" s="341">
        <v>71.316272909813293</v>
      </c>
      <c r="C461" s="340"/>
      <c r="D461" s="340">
        <v>9.31</v>
      </c>
      <c r="E461" s="340">
        <v>5.5</v>
      </c>
      <c r="F461" s="55">
        <v>2.2970988000000006</v>
      </c>
      <c r="G461" s="340">
        <v>0.88</v>
      </c>
      <c r="H461" s="340">
        <v>2.62</v>
      </c>
      <c r="I461" s="340">
        <v>0.55000000000000004</v>
      </c>
      <c r="J461" s="340">
        <v>7.36</v>
      </c>
      <c r="K461" s="340">
        <v>1.38</v>
      </c>
      <c r="L461" s="340">
        <v>42.3</v>
      </c>
      <c r="M461" s="340"/>
      <c r="N461" s="340"/>
      <c r="O461" s="340"/>
      <c r="P461" s="340"/>
      <c r="Q461" s="340"/>
      <c r="R461" s="340"/>
      <c r="S461" s="340"/>
    </row>
    <row r="462" spans="1:97" x14ac:dyDescent="0.25">
      <c r="A462" s="64">
        <v>909173</v>
      </c>
      <c r="B462" s="62">
        <v>41.66</v>
      </c>
      <c r="C462" s="252"/>
      <c r="D462" s="252">
        <v>6.82</v>
      </c>
      <c r="E462" s="252">
        <v>4.17</v>
      </c>
      <c r="F462" s="62">
        <v>5.57</v>
      </c>
      <c r="G462" s="252">
        <v>0.89</v>
      </c>
      <c r="H462" s="252">
        <v>0.62</v>
      </c>
      <c r="I462" s="252">
        <v>1.79</v>
      </c>
      <c r="J462" s="252">
        <v>1.24</v>
      </c>
      <c r="K462" s="252">
        <v>7.0000000000000007E-2</v>
      </c>
      <c r="L462" s="351">
        <v>92.6</v>
      </c>
      <c r="M462" s="252"/>
      <c r="N462" s="252"/>
      <c r="O462" s="252"/>
      <c r="P462" s="252"/>
      <c r="Q462" s="252"/>
      <c r="R462" s="252"/>
      <c r="S462" s="252"/>
      <c r="T462" s="251"/>
      <c r="U462" s="251"/>
      <c r="V462" s="251"/>
      <c r="W462" s="251"/>
      <c r="X462" s="251"/>
      <c r="Y462" s="251"/>
      <c r="Z462" s="251"/>
      <c r="AA462" s="251"/>
      <c r="AB462" s="251"/>
      <c r="AC462" s="251"/>
      <c r="AD462" s="251"/>
      <c r="AE462" s="251"/>
      <c r="AF462" s="251"/>
      <c r="AG462" s="251"/>
      <c r="AH462" s="251"/>
      <c r="AI462" s="251"/>
      <c r="AJ462" s="251"/>
      <c r="AK462" s="251"/>
      <c r="AL462" s="251"/>
      <c r="AM462" s="251"/>
      <c r="AN462" s="251"/>
      <c r="AO462" s="251"/>
      <c r="AP462" s="251"/>
      <c r="AQ462" s="251"/>
      <c r="AR462" s="251"/>
      <c r="AS462" s="251"/>
      <c r="AT462" s="251"/>
      <c r="AU462" s="251"/>
      <c r="AV462" s="251"/>
      <c r="AW462" s="251"/>
      <c r="AX462" s="251"/>
      <c r="AY462" s="251"/>
      <c r="AZ462" s="251"/>
      <c r="BA462" s="251"/>
      <c r="BB462" s="251"/>
      <c r="BC462" s="251"/>
      <c r="BD462" s="251"/>
      <c r="BE462" s="251"/>
      <c r="BF462" s="251"/>
      <c r="BG462" s="251"/>
      <c r="BH462" s="251"/>
      <c r="BI462" s="251"/>
      <c r="BJ462" s="251"/>
      <c r="BK462" s="251"/>
      <c r="BL462" s="251"/>
      <c r="BM462" s="251"/>
      <c r="BN462" s="251"/>
      <c r="BO462" s="251"/>
      <c r="BP462" s="251"/>
      <c r="BQ462" s="251"/>
      <c r="BR462" s="251"/>
      <c r="BS462" s="251"/>
      <c r="BT462" s="251"/>
      <c r="BU462" s="251"/>
      <c r="BV462" s="251"/>
      <c r="BW462" s="251"/>
      <c r="BX462" s="251"/>
      <c r="BY462" s="251"/>
      <c r="BZ462" s="251"/>
      <c r="CA462" s="251"/>
      <c r="CB462" s="251"/>
      <c r="CC462" s="251"/>
      <c r="CD462" s="251"/>
      <c r="CE462" s="251"/>
      <c r="CF462" s="251"/>
      <c r="CG462" s="251"/>
      <c r="CH462" s="251"/>
      <c r="CI462" s="251"/>
      <c r="CJ462" s="251"/>
      <c r="CK462" s="251"/>
      <c r="CL462" s="251"/>
      <c r="CM462" s="251"/>
      <c r="CN462" s="251"/>
      <c r="CO462" s="251"/>
      <c r="CP462" s="251"/>
      <c r="CQ462" s="251"/>
      <c r="CR462" s="251"/>
      <c r="CS462" s="251"/>
    </row>
    <row r="463" spans="1:97" x14ac:dyDescent="0.25">
      <c r="A463" s="64">
        <v>909182</v>
      </c>
      <c r="B463" s="62">
        <v>51.67</v>
      </c>
      <c r="C463" s="252"/>
      <c r="D463" s="252">
        <v>9.0399999999999991</v>
      </c>
      <c r="E463" s="252">
        <v>3.32</v>
      </c>
      <c r="F463" s="62">
        <v>1.76</v>
      </c>
      <c r="G463" s="252">
        <v>0.34</v>
      </c>
      <c r="H463" s="252">
        <v>2.02</v>
      </c>
      <c r="I463" s="252">
        <v>0.77</v>
      </c>
      <c r="J463" s="252">
        <v>3.9</v>
      </c>
      <c r="K463" s="252">
        <v>0.47</v>
      </c>
      <c r="L463" s="252">
        <v>68.400000000000006</v>
      </c>
      <c r="M463" s="252"/>
      <c r="N463" s="252"/>
      <c r="O463" s="252"/>
      <c r="P463" s="252"/>
      <c r="Q463" s="252"/>
      <c r="R463" s="252"/>
      <c r="S463" s="252"/>
      <c r="T463" s="251"/>
      <c r="U463" s="251"/>
      <c r="V463" s="251"/>
      <c r="W463" s="251"/>
      <c r="X463" s="251"/>
      <c r="Y463" s="251"/>
      <c r="Z463" s="251"/>
      <c r="AA463" s="251"/>
      <c r="AB463" s="251"/>
      <c r="AC463" s="251"/>
      <c r="AD463" s="251"/>
      <c r="AE463" s="251"/>
      <c r="AF463" s="251"/>
      <c r="AG463" s="251"/>
      <c r="AH463" s="251"/>
      <c r="AI463" s="251"/>
      <c r="AJ463" s="251"/>
      <c r="AK463" s="251"/>
      <c r="AL463" s="251"/>
      <c r="AM463" s="251"/>
      <c r="AN463" s="251"/>
      <c r="AO463" s="251"/>
      <c r="AP463" s="251"/>
      <c r="AQ463" s="251"/>
      <c r="AR463" s="251"/>
      <c r="AS463" s="251"/>
      <c r="AT463" s="251"/>
      <c r="AU463" s="251"/>
      <c r="AV463" s="251"/>
      <c r="AW463" s="251"/>
      <c r="AX463" s="251"/>
      <c r="AY463" s="251"/>
      <c r="AZ463" s="251"/>
      <c r="BA463" s="251"/>
      <c r="BB463" s="251"/>
      <c r="BC463" s="251"/>
      <c r="BD463" s="251"/>
      <c r="BE463" s="251"/>
      <c r="BF463" s="251"/>
      <c r="BG463" s="251"/>
      <c r="BH463" s="251"/>
      <c r="BI463" s="251"/>
      <c r="BJ463" s="251"/>
      <c r="BK463" s="251"/>
      <c r="BL463" s="251"/>
      <c r="BM463" s="251"/>
      <c r="BN463" s="251"/>
      <c r="BO463" s="251"/>
      <c r="BP463" s="251"/>
      <c r="BQ463" s="251"/>
      <c r="BR463" s="251"/>
      <c r="BS463" s="251"/>
      <c r="BT463" s="251"/>
      <c r="BU463" s="251"/>
      <c r="BV463" s="251"/>
      <c r="BW463" s="251"/>
      <c r="BX463" s="251"/>
      <c r="BY463" s="251"/>
      <c r="BZ463" s="251"/>
      <c r="CA463" s="251"/>
      <c r="CB463" s="251"/>
      <c r="CC463" s="251"/>
      <c r="CD463" s="251"/>
      <c r="CE463" s="251"/>
      <c r="CF463" s="251"/>
      <c r="CG463" s="251"/>
      <c r="CH463" s="251"/>
      <c r="CI463" s="251"/>
      <c r="CJ463" s="251"/>
      <c r="CK463" s="251"/>
      <c r="CL463" s="251"/>
      <c r="CM463" s="251"/>
      <c r="CN463" s="251"/>
      <c r="CO463" s="251"/>
      <c r="CP463" s="251"/>
      <c r="CQ463" s="251"/>
      <c r="CR463" s="251"/>
      <c r="CS463" s="251"/>
    </row>
    <row r="464" spans="1:97" x14ac:dyDescent="0.25">
      <c r="A464" s="64">
        <v>909183</v>
      </c>
      <c r="B464" s="62">
        <v>59.31</v>
      </c>
      <c r="C464" s="252"/>
      <c r="D464" s="252">
        <v>8.92</v>
      </c>
      <c r="E464" s="252">
        <v>2.97</v>
      </c>
      <c r="F464" s="62">
        <v>1.46</v>
      </c>
      <c r="G464" s="252">
        <v>0.43</v>
      </c>
      <c r="H464" s="252">
        <v>1.66</v>
      </c>
      <c r="I464" s="252">
        <v>0.4</v>
      </c>
      <c r="J464" s="252">
        <v>4.0599999999999996</v>
      </c>
      <c r="K464" s="252">
        <v>0.78</v>
      </c>
      <c r="L464" s="252">
        <v>44.4</v>
      </c>
      <c r="M464" s="252"/>
      <c r="N464" s="252"/>
      <c r="O464" s="252"/>
      <c r="P464" s="252"/>
      <c r="Q464" s="252"/>
      <c r="R464" s="252"/>
      <c r="S464" s="252"/>
      <c r="T464" s="251"/>
      <c r="U464" s="251"/>
      <c r="V464" s="251"/>
      <c r="W464" s="251"/>
      <c r="X464" s="251"/>
      <c r="Y464" s="251"/>
      <c r="Z464" s="251"/>
      <c r="AA464" s="251"/>
      <c r="AB464" s="251"/>
      <c r="AC464" s="251"/>
      <c r="AD464" s="251"/>
      <c r="AE464" s="251"/>
      <c r="AF464" s="251"/>
      <c r="AG464" s="251"/>
      <c r="AH464" s="251"/>
      <c r="AI464" s="251"/>
      <c r="AJ464" s="251"/>
      <c r="AK464" s="251"/>
      <c r="AL464" s="251"/>
      <c r="AM464" s="251"/>
      <c r="AN464" s="251"/>
      <c r="AO464" s="251"/>
      <c r="AP464" s="251"/>
      <c r="AQ464" s="251"/>
      <c r="AR464" s="251"/>
      <c r="AS464" s="251"/>
      <c r="AT464" s="251"/>
      <c r="AU464" s="251"/>
      <c r="AV464" s="251"/>
      <c r="AW464" s="251"/>
      <c r="AX464" s="251"/>
      <c r="AY464" s="251"/>
      <c r="AZ464" s="251"/>
      <c r="BA464" s="251"/>
      <c r="BB464" s="251"/>
      <c r="BC464" s="251"/>
      <c r="BD464" s="251"/>
      <c r="BE464" s="251"/>
      <c r="BF464" s="251"/>
      <c r="BG464" s="251"/>
      <c r="BH464" s="251"/>
      <c r="BI464" s="251"/>
      <c r="BJ464" s="251"/>
      <c r="BK464" s="251"/>
      <c r="BL464" s="251"/>
      <c r="BM464" s="251"/>
      <c r="BN464" s="251"/>
      <c r="BO464" s="251"/>
      <c r="BP464" s="251"/>
      <c r="BQ464" s="251"/>
      <c r="BR464" s="251"/>
      <c r="BS464" s="251"/>
      <c r="BT464" s="251"/>
      <c r="BU464" s="251"/>
      <c r="BV464" s="251"/>
      <c r="BW464" s="251"/>
      <c r="BX464" s="251"/>
      <c r="BY464" s="251"/>
      <c r="BZ464" s="251"/>
      <c r="CA464" s="251"/>
      <c r="CB464" s="251"/>
      <c r="CC464" s="251"/>
      <c r="CD464" s="251"/>
      <c r="CE464" s="251"/>
      <c r="CF464" s="251"/>
      <c r="CG464" s="251"/>
      <c r="CH464" s="251"/>
      <c r="CI464" s="251"/>
      <c r="CJ464" s="251"/>
      <c r="CK464" s="251"/>
      <c r="CL464" s="251"/>
      <c r="CM464" s="251"/>
      <c r="CN464" s="251"/>
      <c r="CO464" s="251"/>
      <c r="CP464" s="251"/>
      <c r="CQ464" s="251"/>
      <c r="CR464" s="251"/>
      <c r="CS464" s="251"/>
    </row>
    <row r="465" spans="1:97" x14ac:dyDescent="0.25">
      <c r="A465" s="64">
        <v>909184</v>
      </c>
      <c r="B465" s="62">
        <v>57.03</v>
      </c>
      <c r="C465" s="252"/>
      <c r="D465" s="252">
        <v>8.9</v>
      </c>
      <c r="E465" s="252">
        <v>2.87</v>
      </c>
      <c r="F465" s="62">
        <v>1.62</v>
      </c>
      <c r="G465" s="252">
        <v>0.51</v>
      </c>
      <c r="H465" s="252">
        <v>1.75</v>
      </c>
      <c r="I465" s="252">
        <v>0.42</v>
      </c>
      <c r="J465" s="252">
        <v>4.24</v>
      </c>
      <c r="K465" s="252">
        <v>0.81</v>
      </c>
      <c r="L465" s="252">
        <v>47.8</v>
      </c>
      <c r="M465" s="252"/>
      <c r="N465" s="252"/>
      <c r="O465" s="252"/>
      <c r="P465" s="252"/>
      <c r="Q465" s="252"/>
      <c r="R465" s="252"/>
      <c r="S465" s="252"/>
      <c r="T465" s="251"/>
      <c r="U465" s="251"/>
      <c r="V465" s="251"/>
      <c r="W465" s="251"/>
      <c r="X465" s="251"/>
      <c r="Y465" s="251"/>
      <c r="Z465" s="251"/>
      <c r="AA465" s="251"/>
      <c r="AB465" s="251"/>
      <c r="AC465" s="251"/>
      <c r="AD465" s="251"/>
      <c r="AE465" s="251"/>
      <c r="AF465" s="251"/>
      <c r="AG465" s="251"/>
      <c r="AH465" s="251"/>
      <c r="AI465" s="251"/>
      <c r="AJ465" s="251"/>
      <c r="AK465" s="251"/>
      <c r="AL465" s="251"/>
      <c r="AM465" s="251"/>
      <c r="AN465" s="251"/>
      <c r="AO465" s="251"/>
      <c r="AP465" s="251"/>
      <c r="AQ465" s="251"/>
      <c r="AR465" s="251"/>
      <c r="AS465" s="251"/>
      <c r="AT465" s="251"/>
      <c r="AU465" s="251"/>
      <c r="AV465" s="251"/>
      <c r="AW465" s="251"/>
      <c r="AX465" s="251"/>
      <c r="AY465" s="251"/>
      <c r="AZ465" s="251"/>
      <c r="BA465" s="251"/>
      <c r="BB465" s="251"/>
      <c r="BC465" s="251"/>
      <c r="BD465" s="251"/>
      <c r="BE465" s="251"/>
      <c r="BF465" s="251"/>
      <c r="BG465" s="251"/>
      <c r="BH465" s="251"/>
      <c r="BI465" s="251"/>
      <c r="BJ465" s="251"/>
      <c r="BK465" s="251"/>
      <c r="BL465" s="251"/>
      <c r="BM465" s="251"/>
      <c r="BN465" s="251"/>
      <c r="BO465" s="251"/>
      <c r="BP465" s="251"/>
      <c r="BQ465" s="251"/>
      <c r="BR465" s="251"/>
      <c r="BS465" s="251"/>
      <c r="BT465" s="251"/>
      <c r="BU465" s="251"/>
      <c r="BV465" s="251"/>
      <c r="BW465" s="251"/>
      <c r="BX465" s="251"/>
      <c r="BY465" s="251"/>
      <c r="BZ465" s="251"/>
      <c r="CA465" s="251"/>
      <c r="CB465" s="251"/>
      <c r="CC465" s="251"/>
      <c r="CD465" s="251"/>
      <c r="CE465" s="251"/>
      <c r="CF465" s="251"/>
      <c r="CG465" s="251"/>
      <c r="CH465" s="251"/>
      <c r="CI465" s="251"/>
      <c r="CJ465" s="251"/>
      <c r="CK465" s="251"/>
      <c r="CL465" s="251"/>
      <c r="CM465" s="251"/>
      <c r="CN465" s="251"/>
      <c r="CO465" s="251"/>
      <c r="CP465" s="251"/>
      <c r="CQ465" s="251"/>
      <c r="CR465" s="251"/>
      <c r="CS465" s="251"/>
    </row>
    <row r="466" spans="1:97" x14ac:dyDescent="0.25">
      <c r="A466" s="64">
        <v>909185</v>
      </c>
      <c r="B466" s="62">
        <v>71.959999999999994</v>
      </c>
      <c r="C466" s="252"/>
      <c r="D466" s="252">
        <v>7.63</v>
      </c>
      <c r="E466" s="252">
        <v>1.78</v>
      </c>
      <c r="F466" s="62">
        <v>1.48</v>
      </c>
      <c r="G466" s="252">
        <v>0.43</v>
      </c>
      <c r="H466" s="252">
        <v>1.43</v>
      </c>
      <c r="I466" s="252">
        <v>0.28999999999999998</v>
      </c>
      <c r="J466" s="252">
        <v>3.98</v>
      </c>
      <c r="K466" s="252">
        <v>0.7</v>
      </c>
      <c r="L466" s="252">
        <v>59.6</v>
      </c>
      <c r="M466" s="252"/>
      <c r="N466" s="252"/>
      <c r="O466" s="252"/>
      <c r="P466" s="252"/>
      <c r="Q466" s="252"/>
      <c r="R466" s="252"/>
      <c r="S466" s="252"/>
      <c r="T466" s="251"/>
      <c r="U466" s="251"/>
      <c r="V466" s="251"/>
      <c r="W466" s="251"/>
      <c r="X466" s="251"/>
      <c r="Y466" s="251"/>
      <c r="Z466" s="251"/>
      <c r="AA466" s="251"/>
      <c r="AB466" s="251"/>
      <c r="AC466" s="251"/>
      <c r="AD466" s="251"/>
      <c r="AE466" s="251"/>
      <c r="AF466" s="251"/>
      <c r="AG466" s="251"/>
      <c r="AH466" s="251"/>
      <c r="AI466" s="251"/>
      <c r="AJ466" s="251"/>
      <c r="AK466" s="251"/>
      <c r="AL466" s="251"/>
      <c r="AM466" s="251"/>
      <c r="AN466" s="251"/>
      <c r="AO466" s="251"/>
      <c r="AP466" s="251"/>
      <c r="AQ466" s="251"/>
      <c r="AR466" s="251"/>
      <c r="AS466" s="251"/>
      <c r="AT466" s="251"/>
      <c r="AU466" s="251"/>
      <c r="AV466" s="251"/>
      <c r="AW466" s="251"/>
      <c r="AX466" s="251"/>
      <c r="AY466" s="251"/>
      <c r="AZ466" s="251"/>
      <c r="BA466" s="251"/>
      <c r="BB466" s="251"/>
      <c r="BC466" s="251"/>
      <c r="BD466" s="251"/>
      <c r="BE466" s="251"/>
      <c r="BF466" s="251"/>
      <c r="BG466" s="251"/>
      <c r="BH466" s="251"/>
      <c r="BI466" s="251"/>
      <c r="BJ466" s="251"/>
      <c r="BK466" s="251"/>
      <c r="BL466" s="251"/>
      <c r="BM466" s="251"/>
      <c r="BN466" s="251"/>
      <c r="BO466" s="251"/>
      <c r="BP466" s="251"/>
      <c r="BQ466" s="251"/>
      <c r="BR466" s="251"/>
      <c r="BS466" s="251"/>
      <c r="BT466" s="251"/>
      <c r="BU466" s="251"/>
      <c r="BV466" s="251"/>
      <c r="BW466" s="251"/>
      <c r="BX466" s="251"/>
      <c r="BY466" s="251"/>
      <c r="BZ466" s="251"/>
      <c r="CA466" s="251"/>
      <c r="CB466" s="251"/>
      <c r="CC466" s="251"/>
      <c r="CD466" s="251"/>
      <c r="CE466" s="251"/>
      <c r="CF466" s="251"/>
      <c r="CG466" s="251"/>
      <c r="CH466" s="251"/>
      <c r="CI466" s="251"/>
      <c r="CJ466" s="251"/>
      <c r="CK466" s="251"/>
      <c r="CL466" s="251"/>
      <c r="CM466" s="251"/>
      <c r="CN466" s="251"/>
      <c r="CO466" s="251"/>
      <c r="CP466" s="251"/>
      <c r="CQ466" s="251"/>
      <c r="CR466" s="251"/>
      <c r="CS466" s="251"/>
    </row>
    <row r="467" spans="1:97" x14ac:dyDescent="0.25">
      <c r="A467" s="64">
        <v>909186</v>
      </c>
      <c r="B467" s="62">
        <v>68.11</v>
      </c>
      <c r="C467" s="252"/>
      <c r="D467" s="252">
        <v>8.07</v>
      </c>
      <c r="E467" s="252">
        <v>2.46</v>
      </c>
      <c r="F467" s="62">
        <v>1.65</v>
      </c>
      <c r="G467" s="252">
        <v>0.56000000000000005</v>
      </c>
      <c r="H467" s="252">
        <v>1.75</v>
      </c>
      <c r="I467" s="252">
        <v>0.36</v>
      </c>
      <c r="J467" s="252">
        <v>4.54</v>
      </c>
      <c r="K467" s="252">
        <v>0.79</v>
      </c>
      <c r="L467" s="252">
        <v>56.8</v>
      </c>
      <c r="M467" s="252"/>
      <c r="N467" s="252"/>
      <c r="O467" s="252"/>
      <c r="P467" s="252"/>
      <c r="Q467" s="252"/>
      <c r="R467" s="252"/>
      <c r="S467" s="252"/>
      <c r="T467" s="251"/>
      <c r="U467" s="251"/>
      <c r="V467" s="251"/>
      <c r="W467" s="251"/>
      <c r="X467" s="251"/>
      <c r="Y467" s="251"/>
      <c r="Z467" s="251"/>
      <c r="AA467" s="251"/>
      <c r="AB467" s="251"/>
      <c r="AC467" s="251"/>
      <c r="AD467" s="251"/>
      <c r="AE467" s="251"/>
      <c r="AF467" s="251"/>
      <c r="AG467" s="251"/>
      <c r="AH467" s="251"/>
      <c r="AI467" s="251"/>
      <c r="AJ467" s="251"/>
      <c r="AK467" s="251"/>
      <c r="AL467" s="251"/>
      <c r="AM467" s="251"/>
      <c r="AN467" s="251"/>
      <c r="AO467" s="251"/>
      <c r="AP467" s="251"/>
      <c r="AQ467" s="251"/>
      <c r="AR467" s="251"/>
      <c r="AS467" s="251"/>
      <c r="AT467" s="251"/>
      <c r="AU467" s="251"/>
      <c r="AV467" s="251"/>
      <c r="AW467" s="251"/>
      <c r="AX467" s="251"/>
      <c r="AY467" s="251"/>
      <c r="AZ467" s="251"/>
      <c r="BA467" s="251"/>
      <c r="BB467" s="251"/>
      <c r="BC467" s="251"/>
      <c r="BD467" s="251"/>
      <c r="BE467" s="251"/>
      <c r="BF467" s="251"/>
      <c r="BG467" s="251"/>
      <c r="BH467" s="251"/>
      <c r="BI467" s="251"/>
      <c r="BJ467" s="251"/>
      <c r="BK467" s="251"/>
      <c r="BL467" s="251"/>
      <c r="BM467" s="251"/>
      <c r="BN467" s="251"/>
      <c r="BO467" s="251"/>
      <c r="BP467" s="251"/>
      <c r="BQ467" s="251"/>
      <c r="BR467" s="251"/>
      <c r="BS467" s="251"/>
      <c r="BT467" s="251"/>
      <c r="BU467" s="251"/>
      <c r="BV467" s="251"/>
      <c r="BW467" s="251"/>
      <c r="BX467" s="251"/>
      <c r="BY467" s="251"/>
      <c r="BZ467" s="251"/>
      <c r="CA467" s="251"/>
      <c r="CB467" s="251"/>
      <c r="CC467" s="251"/>
      <c r="CD467" s="251"/>
      <c r="CE467" s="251"/>
      <c r="CF467" s="251"/>
      <c r="CG467" s="251"/>
      <c r="CH467" s="251"/>
      <c r="CI467" s="251"/>
      <c r="CJ467" s="251"/>
      <c r="CK467" s="251"/>
      <c r="CL467" s="251"/>
      <c r="CM467" s="251"/>
      <c r="CN467" s="251"/>
      <c r="CO467" s="251"/>
      <c r="CP467" s="251"/>
      <c r="CQ467" s="251"/>
      <c r="CR467" s="251"/>
      <c r="CS467" s="251"/>
    </row>
    <row r="468" spans="1:97" x14ac:dyDescent="0.25">
      <c r="A468" s="64">
        <v>909187</v>
      </c>
      <c r="B468" s="62">
        <v>77.150000000000006</v>
      </c>
      <c r="C468" s="252"/>
      <c r="D468" s="252">
        <v>7.04</v>
      </c>
      <c r="E468" s="252">
        <v>1.34</v>
      </c>
      <c r="F468" s="62">
        <v>1.18</v>
      </c>
      <c r="G468" s="252">
        <v>0.31</v>
      </c>
      <c r="H468" s="252">
        <v>0.96</v>
      </c>
      <c r="I468" s="252">
        <v>0.2</v>
      </c>
      <c r="J468" s="252">
        <v>3.53</v>
      </c>
      <c r="K468" s="252">
        <v>0.52</v>
      </c>
      <c r="L468" s="252">
        <v>66.599999999999994</v>
      </c>
      <c r="M468" s="252"/>
      <c r="N468" s="252"/>
      <c r="O468" s="252"/>
      <c r="P468" s="252"/>
      <c r="Q468" s="252"/>
      <c r="R468" s="252"/>
      <c r="S468" s="252"/>
      <c r="T468" s="251"/>
      <c r="U468" s="251"/>
      <c r="V468" s="251"/>
      <c r="W468" s="251"/>
      <c r="X468" s="251"/>
      <c r="Y468" s="251"/>
      <c r="Z468" s="251"/>
      <c r="AA468" s="251"/>
      <c r="AB468" s="251"/>
      <c r="AC468" s="251"/>
      <c r="AD468" s="251"/>
      <c r="AE468" s="251"/>
      <c r="AF468" s="251"/>
      <c r="AG468" s="251"/>
      <c r="AH468" s="251"/>
      <c r="AI468" s="251"/>
      <c r="AJ468" s="251"/>
      <c r="AK468" s="251"/>
      <c r="AL468" s="251"/>
      <c r="AM468" s="251"/>
      <c r="AN468" s="251"/>
      <c r="AO468" s="251"/>
      <c r="AP468" s="251"/>
      <c r="AQ468" s="251"/>
      <c r="AR468" s="251"/>
      <c r="AS468" s="251"/>
      <c r="AT468" s="251"/>
      <c r="AU468" s="251"/>
      <c r="AV468" s="251"/>
      <c r="AW468" s="251"/>
      <c r="AX468" s="251"/>
      <c r="AY468" s="251"/>
      <c r="AZ468" s="251"/>
      <c r="BA468" s="251"/>
      <c r="BB468" s="251"/>
      <c r="BC468" s="251"/>
      <c r="BD468" s="251"/>
      <c r="BE468" s="251"/>
      <c r="BF468" s="251"/>
      <c r="BG468" s="251"/>
      <c r="BH468" s="251"/>
      <c r="BI468" s="251"/>
      <c r="BJ468" s="251"/>
      <c r="BK468" s="251"/>
      <c r="BL468" s="251"/>
      <c r="BM468" s="251"/>
      <c r="BN468" s="251"/>
      <c r="BO468" s="251"/>
      <c r="BP468" s="251"/>
      <c r="BQ468" s="251"/>
      <c r="BR468" s="251"/>
      <c r="BS468" s="251"/>
      <c r="BT468" s="251"/>
      <c r="BU468" s="251"/>
      <c r="BV468" s="251"/>
      <c r="BW468" s="251"/>
      <c r="BX468" s="251"/>
      <c r="BY468" s="251"/>
      <c r="BZ468" s="251"/>
      <c r="CA468" s="251"/>
      <c r="CB468" s="251"/>
      <c r="CC468" s="251"/>
      <c r="CD468" s="251"/>
      <c r="CE468" s="251"/>
      <c r="CF468" s="251"/>
      <c r="CG468" s="251"/>
      <c r="CH468" s="251"/>
      <c r="CI468" s="251"/>
      <c r="CJ468" s="251"/>
      <c r="CK468" s="251"/>
      <c r="CL468" s="251"/>
      <c r="CM468" s="251"/>
      <c r="CN468" s="251"/>
      <c r="CO468" s="251"/>
      <c r="CP468" s="251"/>
      <c r="CQ468" s="251"/>
      <c r="CR468" s="251"/>
      <c r="CS468" s="251"/>
    </row>
    <row r="469" spans="1:97" x14ac:dyDescent="0.25">
      <c r="A469" s="64">
        <v>909188</v>
      </c>
      <c r="B469" s="62">
        <v>83.88</v>
      </c>
      <c r="C469" s="252"/>
      <c r="D469" s="252">
        <v>7.38</v>
      </c>
      <c r="E469" s="252">
        <v>5.29</v>
      </c>
      <c r="F469" s="62">
        <v>3.64</v>
      </c>
      <c r="G469" s="252">
        <v>0.74</v>
      </c>
      <c r="H469" s="252">
        <v>1.94</v>
      </c>
      <c r="I469" s="252">
        <v>0.3</v>
      </c>
      <c r="J469" s="252">
        <v>1.37</v>
      </c>
      <c r="K469" s="252">
        <v>0.59</v>
      </c>
      <c r="L469" s="252">
        <v>85.6</v>
      </c>
      <c r="M469" s="252"/>
      <c r="N469" s="252"/>
      <c r="O469" s="252"/>
      <c r="P469" s="252"/>
      <c r="Q469" s="252"/>
      <c r="R469" s="252"/>
      <c r="S469" s="252"/>
      <c r="T469" s="251"/>
      <c r="U469" s="251"/>
      <c r="V469" s="251"/>
      <c r="W469" s="251"/>
      <c r="X469" s="251"/>
      <c r="Y469" s="251"/>
      <c r="Z469" s="251"/>
      <c r="AA469" s="251"/>
      <c r="AB469" s="251"/>
      <c r="AC469" s="251"/>
      <c r="AD469" s="251"/>
      <c r="AE469" s="251"/>
      <c r="AF469" s="251"/>
      <c r="AG469" s="251"/>
      <c r="AH469" s="251"/>
      <c r="AI469" s="251"/>
      <c r="AJ469" s="251"/>
      <c r="AK469" s="251"/>
      <c r="AL469" s="251"/>
      <c r="AM469" s="251"/>
      <c r="AN469" s="251"/>
      <c r="AO469" s="251"/>
      <c r="AP469" s="251"/>
      <c r="AQ469" s="251"/>
      <c r="AR469" s="251"/>
      <c r="AS469" s="251"/>
      <c r="AT469" s="251"/>
      <c r="AU469" s="251"/>
      <c r="AV469" s="251"/>
      <c r="AW469" s="251"/>
      <c r="AX469" s="251"/>
      <c r="AY469" s="251"/>
      <c r="AZ469" s="251"/>
      <c r="BA469" s="251"/>
      <c r="BB469" s="251"/>
      <c r="BC469" s="251"/>
      <c r="BD469" s="251"/>
      <c r="BE469" s="251"/>
      <c r="BF469" s="251"/>
      <c r="BG469" s="251"/>
      <c r="BH469" s="251"/>
      <c r="BI469" s="251"/>
      <c r="BJ469" s="251"/>
      <c r="BK469" s="251"/>
      <c r="BL469" s="251"/>
      <c r="BM469" s="251"/>
      <c r="BN469" s="251"/>
      <c r="BO469" s="251"/>
      <c r="BP469" s="251"/>
      <c r="BQ469" s="251"/>
      <c r="BR469" s="251"/>
      <c r="BS469" s="251"/>
      <c r="BT469" s="251"/>
      <c r="BU469" s="251"/>
      <c r="BV469" s="251"/>
      <c r="BW469" s="251"/>
      <c r="BX469" s="251"/>
      <c r="BY469" s="251"/>
      <c r="BZ469" s="251"/>
      <c r="CA469" s="251"/>
      <c r="CB469" s="251"/>
      <c r="CC469" s="251"/>
      <c r="CD469" s="251"/>
      <c r="CE469" s="251"/>
      <c r="CF469" s="251"/>
      <c r="CG469" s="251"/>
      <c r="CH469" s="251"/>
      <c r="CI469" s="251"/>
      <c r="CJ469" s="251"/>
      <c r="CK469" s="251"/>
      <c r="CL469" s="251"/>
      <c r="CM469" s="251"/>
      <c r="CN469" s="251"/>
      <c r="CO469" s="251"/>
      <c r="CP469" s="251"/>
      <c r="CQ469" s="251"/>
      <c r="CR469" s="251"/>
      <c r="CS469" s="251"/>
    </row>
    <row r="470" spans="1:97" x14ac:dyDescent="0.25">
      <c r="A470" s="64">
        <v>909189</v>
      </c>
      <c r="B470" s="252">
        <v>61.44</v>
      </c>
      <c r="C470" s="252"/>
      <c r="D470" s="252">
        <v>9.32</v>
      </c>
      <c r="E470" s="252">
        <v>6.03</v>
      </c>
      <c r="F470" s="62">
        <v>1.57</v>
      </c>
      <c r="G470" s="252">
        <v>0.38</v>
      </c>
      <c r="H470" s="252">
        <v>2.09</v>
      </c>
      <c r="I470" s="252">
        <v>1.37</v>
      </c>
      <c r="J470" s="252">
        <v>4.0199999999999996</v>
      </c>
      <c r="K470" s="252">
        <v>1.05</v>
      </c>
      <c r="L470" s="252">
        <v>35.200000000000003</v>
      </c>
      <c r="M470" s="252"/>
      <c r="N470" s="252"/>
      <c r="O470" s="252"/>
      <c r="P470" s="252"/>
      <c r="Q470" s="252"/>
      <c r="R470" s="252"/>
      <c r="S470" s="252"/>
      <c r="T470" s="251"/>
      <c r="U470" s="251"/>
      <c r="V470" s="251"/>
      <c r="W470" s="251"/>
      <c r="X470" s="251"/>
      <c r="Y470" s="251"/>
      <c r="Z470" s="251"/>
      <c r="AA470" s="251"/>
      <c r="AB470" s="251"/>
      <c r="AC470" s="251"/>
      <c r="AD470" s="251"/>
      <c r="AE470" s="251"/>
      <c r="AF470" s="251"/>
      <c r="AG470" s="251"/>
      <c r="AH470" s="251"/>
      <c r="AI470" s="251"/>
      <c r="AJ470" s="251"/>
      <c r="AK470" s="251"/>
      <c r="AL470" s="251"/>
      <c r="AM470" s="251"/>
      <c r="AN470" s="251"/>
      <c r="AO470" s="251"/>
      <c r="AP470" s="251"/>
      <c r="AQ470" s="251"/>
      <c r="AR470" s="251"/>
      <c r="AS470" s="251"/>
      <c r="AT470" s="251"/>
      <c r="AU470" s="251"/>
      <c r="AV470" s="251"/>
      <c r="AW470" s="251"/>
      <c r="AX470" s="251"/>
      <c r="AY470" s="251"/>
      <c r="AZ470" s="251"/>
      <c r="BA470" s="251"/>
      <c r="BB470" s="251"/>
      <c r="BC470" s="251"/>
      <c r="BD470" s="251"/>
      <c r="BE470" s="251"/>
      <c r="BF470" s="251"/>
      <c r="BG470" s="251"/>
      <c r="BH470" s="251"/>
      <c r="BI470" s="251"/>
      <c r="BJ470" s="251"/>
      <c r="BK470" s="251"/>
      <c r="BL470" s="251"/>
      <c r="BM470" s="251"/>
      <c r="BN470" s="251"/>
      <c r="BO470" s="251"/>
      <c r="BP470" s="251"/>
      <c r="BQ470" s="251"/>
      <c r="BR470" s="251"/>
      <c r="BS470" s="251"/>
      <c r="BT470" s="251"/>
      <c r="BU470" s="251"/>
      <c r="BV470" s="251"/>
      <c r="BW470" s="251"/>
      <c r="BX470" s="251"/>
      <c r="BY470" s="251"/>
      <c r="BZ470" s="251"/>
      <c r="CA470" s="251"/>
      <c r="CB470" s="251"/>
      <c r="CC470" s="251"/>
      <c r="CD470" s="251"/>
      <c r="CE470" s="251"/>
      <c r="CF470" s="251"/>
      <c r="CG470" s="251"/>
      <c r="CH470" s="251"/>
      <c r="CI470" s="251"/>
      <c r="CJ470" s="251"/>
      <c r="CK470" s="251"/>
      <c r="CL470" s="251"/>
      <c r="CM470" s="251"/>
      <c r="CN470" s="251"/>
      <c r="CO470" s="251"/>
      <c r="CP470" s="251"/>
      <c r="CQ470" s="251"/>
      <c r="CR470" s="251"/>
      <c r="CS470" s="251"/>
    </row>
    <row r="471" spans="1:97" x14ac:dyDescent="0.25">
      <c r="A471" s="64">
        <v>909190</v>
      </c>
      <c r="B471" s="252">
        <v>12.73</v>
      </c>
      <c r="C471" s="252"/>
      <c r="D471" s="252">
        <v>8.02</v>
      </c>
      <c r="E471" s="252">
        <v>2.25</v>
      </c>
      <c r="F471" s="62">
        <v>7.68</v>
      </c>
      <c r="G471" s="252">
        <v>3.73</v>
      </c>
      <c r="H471" s="252">
        <v>1.1499999999999999</v>
      </c>
      <c r="I471" s="252">
        <v>0.39</v>
      </c>
      <c r="J471" s="252">
        <v>7.05</v>
      </c>
      <c r="K471" s="252">
        <v>0.37</v>
      </c>
      <c r="L471" s="252">
        <v>75.400000000000006</v>
      </c>
      <c r="M471" s="252">
        <v>278.83999999999997</v>
      </c>
      <c r="N471" s="252">
        <v>6.68</v>
      </c>
      <c r="O471" s="252">
        <v>45.46</v>
      </c>
      <c r="P471" s="252">
        <v>9948.9699999999993</v>
      </c>
      <c r="Q471" s="252">
        <v>11.13</v>
      </c>
      <c r="R471" s="252"/>
      <c r="S471" s="252"/>
      <c r="T471" s="251"/>
      <c r="U471" s="34">
        <v>1.0000000000000001E-5</v>
      </c>
      <c r="V471" s="34">
        <v>0.04</v>
      </c>
      <c r="W471" s="34">
        <v>0.5</v>
      </c>
      <c r="X471" s="34">
        <v>1.05</v>
      </c>
      <c r="Y471" s="34">
        <v>1E-3</v>
      </c>
      <c r="Z471" s="34">
        <v>1.23</v>
      </c>
      <c r="AA471" s="34">
        <v>0.78</v>
      </c>
      <c r="AB471" s="34">
        <v>1.2</v>
      </c>
      <c r="AC471" s="34">
        <v>0.33</v>
      </c>
      <c r="AD471" s="34">
        <v>3456.3</v>
      </c>
      <c r="AE471" s="251"/>
      <c r="AF471" s="251"/>
      <c r="AG471" s="251"/>
      <c r="AH471" s="251"/>
      <c r="AI471" s="251"/>
      <c r="AJ471" s="251"/>
      <c r="AK471" s="251"/>
      <c r="AL471" s="251"/>
      <c r="AM471" s="251"/>
      <c r="AN471" s="251"/>
      <c r="AO471" s="251"/>
      <c r="AP471" s="251"/>
      <c r="AQ471" s="251"/>
      <c r="AR471" s="251"/>
      <c r="AS471" s="251"/>
      <c r="AT471" s="251"/>
      <c r="AU471" s="251"/>
      <c r="AV471" s="251"/>
      <c r="AW471" s="251"/>
      <c r="AX471" s="251"/>
      <c r="AY471" s="251"/>
      <c r="AZ471" s="251"/>
      <c r="BA471" s="251"/>
      <c r="BB471" s="251"/>
      <c r="BC471" s="251"/>
      <c r="BD471" s="251"/>
      <c r="BE471" s="251"/>
      <c r="BF471" s="251"/>
      <c r="BG471" s="251"/>
      <c r="BH471" s="251"/>
      <c r="BI471" s="251"/>
      <c r="BJ471" s="251"/>
      <c r="BK471" s="251"/>
      <c r="BL471" s="251"/>
      <c r="BM471" s="251"/>
      <c r="BN471" s="251"/>
      <c r="BO471" s="251"/>
      <c r="BP471" s="251"/>
      <c r="BQ471" s="251"/>
      <c r="BR471" s="251"/>
      <c r="BS471" s="251"/>
      <c r="BT471" s="251"/>
      <c r="BU471" s="251"/>
      <c r="BV471" s="251"/>
      <c r="BW471" s="251"/>
      <c r="BX471" s="251"/>
      <c r="BY471" s="251"/>
      <c r="BZ471" s="251"/>
      <c r="CA471" s="251"/>
      <c r="CB471" s="251"/>
      <c r="CC471" s="251"/>
      <c r="CD471" s="251"/>
      <c r="CE471" s="251"/>
      <c r="CF471" s="251"/>
      <c r="CG471" s="251"/>
      <c r="CH471" s="251"/>
      <c r="CI471" s="251"/>
      <c r="CJ471" s="251"/>
      <c r="CK471" s="251"/>
      <c r="CL471" s="251"/>
      <c r="CM471" s="251"/>
      <c r="CN471" s="251"/>
      <c r="CO471" s="251"/>
      <c r="CP471" s="251"/>
      <c r="CQ471" s="251"/>
      <c r="CR471" s="251"/>
      <c r="CS471" s="251"/>
    </row>
    <row r="472" spans="1:97" x14ac:dyDescent="0.25">
      <c r="A472" s="259">
        <v>912002</v>
      </c>
      <c r="B472" s="259">
        <v>9.36</v>
      </c>
      <c r="C472" s="259">
        <v>1038</v>
      </c>
      <c r="D472" s="259"/>
      <c r="E472" s="259"/>
      <c r="F472" s="259"/>
      <c r="G472" s="259"/>
      <c r="H472" s="259"/>
      <c r="I472" s="259"/>
      <c r="J472" s="259"/>
      <c r="K472" s="259"/>
      <c r="L472" s="259"/>
      <c r="M472" s="259">
        <v>109.8</v>
      </c>
      <c r="N472" s="259">
        <v>239.74</v>
      </c>
      <c r="O472" s="259"/>
      <c r="P472" s="259"/>
      <c r="Q472" s="259"/>
      <c r="R472" s="259"/>
      <c r="S472" s="259"/>
      <c r="T472" s="259"/>
      <c r="U472" s="259"/>
      <c r="V472" s="259"/>
      <c r="W472" s="259"/>
      <c r="X472" s="259"/>
      <c r="Y472" s="259"/>
      <c r="Z472" s="259"/>
      <c r="AA472" s="259"/>
      <c r="AB472" s="259"/>
      <c r="AC472" s="259"/>
      <c r="AD472" s="259"/>
      <c r="AE472" s="259"/>
      <c r="AF472" s="259"/>
      <c r="AG472" s="259"/>
      <c r="AH472" s="259"/>
      <c r="AI472" s="259"/>
      <c r="AJ472" s="259"/>
      <c r="AK472" s="259"/>
      <c r="AL472" s="259"/>
      <c r="AM472" s="259"/>
      <c r="AN472" s="259"/>
      <c r="AO472" s="259"/>
      <c r="AP472" s="259"/>
      <c r="AQ472" s="259"/>
      <c r="AR472" s="259"/>
      <c r="AS472" s="259"/>
      <c r="AT472" s="259"/>
      <c r="AU472" s="259"/>
      <c r="AV472" s="259"/>
      <c r="AW472" s="259"/>
      <c r="AX472" s="259"/>
      <c r="AY472" s="259"/>
      <c r="AZ472" s="259"/>
      <c r="BA472" s="259"/>
      <c r="BB472" s="259"/>
      <c r="BC472" s="259"/>
      <c r="BD472" s="259"/>
      <c r="BE472" s="259"/>
      <c r="BF472" s="259"/>
      <c r="BG472" s="259"/>
      <c r="BH472" s="259"/>
      <c r="BI472" s="259"/>
      <c r="BJ472" s="259"/>
      <c r="BK472" s="259"/>
      <c r="BL472" s="259"/>
      <c r="BM472" s="259"/>
      <c r="BN472" s="259"/>
      <c r="BO472" s="259"/>
      <c r="BP472" s="259"/>
      <c r="BQ472" s="259"/>
      <c r="BR472" s="259"/>
      <c r="BS472" s="259"/>
      <c r="BT472" s="259"/>
      <c r="BU472" s="259"/>
      <c r="BV472" s="259"/>
      <c r="BW472" s="259"/>
      <c r="BX472" s="259"/>
      <c r="BY472" s="259"/>
      <c r="BZ472" s="259"/>
      <c r="CA472" s="259"/>
      <c r="CB472" s="259"/>
      <c r="CC472" s="259"/>
      <c r="CD472" s="259"/>
      <c r="CE472" s="259"/>
      <c r="CF472" s="259"/>
      <c r="CG472" s="259"/>
      <c r="CH472" s="259"/>
      <c r="CI472" s="259"/>
      <c r="CJ472" s="259"/>
      <c r="CK472" s="259"/>
      <c r="CL472" s="259"/>
      <c r="CM472" s="259"/>
      <c r="CN472" s="259"/>
      <c r="CO472" s="259"/>
      <c r="CP472" s="259"/>
      <c r="CQ472" s="259"/>
      <c r="CR472" s="259"/>
      <c r="CS472" s="259"/>
    </row>
    <row r="473" spans="1:97" s="34" customFormat="1" x14ac:dyDescent="0.25">
      <c r="A473" s="335">
        <v>912006</v>
      </c>
      <c r="B473" s="352">
        <v>0.7</v>
      </c>
      <c r="C473" s="335">
        <v>1127</v>
      </c>
      <c r="D473" s="335">
        <v>6.18</v>
      </c>
      <c r="E473" s="335">
        <v>10.47</v>
      </c>
      <c r="F473" s="353">
        <v>4.62</v>
      </c>
      <c r="G473" s="335">
        <v>0.81</v>
      </c>
      <c r="H473" s="335">
        <v>0.95</v>
      </c>
      <c r="I473" s="335">
        <v>2.27</v>
      </c>
      <c r="J473" s="335">
        <v>4.32</v>
      </c>
      <c r="K473" s="335">
        <v>3.15</v>
      </c>
      <c r="L473" s="335">
        <v>66.3</v>
      </c>
      <c r="M473" s="335">
        <v>15.09</v>
      </c>
      <c r="N473" s="335">
        <v>0.71</v>
      </c>
      <c r="O473" s="335">
        <v>30.88</v>
      </c>
      <c r="P473" s="335">
        <v>675.55</v>
      </c>
      <c r="Q473" s="335">
        <v>25.09</v>
      </c>
      <c r="R473" s="335"/>
      <c r="S473" s="335">
        <v>0.02</v>
      </c>
      <c r="T473" s="335">
        <v>0</v>
      </c>
      <c r="U473" s="335">
        <v>0</v>
      </c>
      <c r="V473" s="335">
        <v>0</v>
      </c>
      <c r="W473" s="335">
        <v>1E-3</v>
      </c>
      <c r="X473" s="335">
        <v>0.02</v>
      </c>
      <c r="Y473" s="335">
        <v>0.05</v>
      </c>
      <c r="Z473" s="335">
        <v>0</v>
      </c>
      <c r="AA473" s="335">
        <v>0</v>
      </c>
      <c r="AB473" s="335">
        <v>29.58</v>
      </c>
      <c r="AC473" s="335">
        <v>1E-3</v>
      </c>
      <c r="AD473" s="335">
        <v>1E-3</v>
      </c>
      <c r="AE473" s="335"/>
      <c r="AF473" s="335"/>
      <c r="AG473" s="335"/>
      <c r="AH473" s="335"/>
      <c r="AI473" s="335"/>
      <c r="AJ473" s="335"/>
      <c r="AK473" s="335"/>
      <c r="AL473" s="335"/>
      <c r="AM473" s="335"/>
      <c r="AN473" s="335"/>
      <c r="AO473" s="335"/>
      <c r="AP473" s="335"/>
      <c r="AQ473" s="335"/>
      <c r="AR473" s="335"/>
      <c r="AS473" s="335"/>
      <c r="AT473" s="335"/>
      <c r="AU473" s="335"/>
      <c r="AV473" s="335"/>
      <c r="AW473" s="335"/>
      <c r="AX473" s="335"/>
      <c r="AY473" s="335"/>
      <c r="AZ473" s="335"/>
      <c r="BA473" s="335"/>
      <c r="BB473" s="335"/>
      <c r="BC473" s="335"/>
      <c r="BD473" s="335"/>
      <c r="BE473" s="335"/>
      <c r="BF473" s="335"/>
      <c r="BG473" s="335"/>
      <c r="BH473" s="335"/>
      <c r="BI473" s="335"/>
      <c r="BJ473" s="335"/>
      <c r="BK473" s="335"/>
      <c r="BL473" s="335"/>
      <c r="BM473" s="335"/>
      <c r="BN473" s="335"/>
      <c r="BO473" s="335"/>
      <c r="BP473" s="335"/>
      <c r="BQ473" s="335"/>
      <c r="BR473" s="335"/>
      <c r="BS473" s="335"/>
      <c r="BT473" s="335"/>
      <c r="BU473" s="335"/>
      <c r="BV473" s="335"/>
      <c r="BW473" s="335"/>
      <c r="BX473" s="335"/>
      <c r="BY473" s="335"/>
      <c r="BZ473" s="335"/>
      <c r="CA473" s="335"/>
      <c r="CB473" s="335"/>
      <c r="CC473" s="335"/>
      <c r="CD473" s="335"/>
      <c r="CE473" s="335"/>
      <c r="CF473" s="335"/>
      <c r="CG473" s="335"/>
      <c r="CH473" s="335"/>
      <c r="CI473" s="335"/>
      <c r="CJ473" s="335"/>
      <c r="CK473" s="335"/>
      <c r="CL473" s="335"/>
      <c r="CM473" s="335"/>
      <c r="CN473" s="335"/>
      <c r="CO473" s="335"/>
      <c r="CP473" s="335"/>
      <c r="CQ473" s="335"/>
      <c r="CR473" s="335"/>
      <c r="CS473" s="335"/>
    </row>
    <row r="474" spans="1:97" x14ac:dyDescent="0.25">
      <c r="A474" s="378">
        <v>909191</v>
      </c>
      <c r="B474" s="332">
        <v>53.31</v>
      </c>
      <c r="C474" s="323"/>
      <c r="D474" s="323">
        <v>8.2200000000000006</v>
      </c>
      <c r="E474" s="323">
        <v>1.78</v>
      </c>
      <c r="F474" s="332">
        <v>1.65</v>
      </c>
      <c r="G474" s="323">
        <v>0.16</v>
      </c>
      <c r="H474" s="323">
        <v>0.73</v>
      </c>
      <c r="I474" s="323">
        <v>0.36</v>
      </c>
      <c r="J474" s="323">
        <v>4.97</v>
      </c>
      <c r="K474" s="323">
        <v>0.35</v>
      </c>
      <c r="L474" s="379">
        <v>35</v>
      </c>
      <c r="M474" s="323"/>
      <c r="N474" s="323"/>
      <c r="O474" s="323"/>
      <c r="P474" s="323"/>
      <c r="Q474" s="323"/>
      <c r="R474" s="323"/>
      <c r="S474" s="323"/>
      <c r="T474" s="308"/>
      <c r="U474" s="308"/>
      <c r="V474" s="308"/>
      <c r="W474" s="308"/>
      <c r="X474" s="308"/>
      <c r="Y474" s="308"/>
      <c r="Z474" s="308"/>
      <c r="AA474" s="308"/>
      <c r="AB474" s="308"/>
      <c r="AC474" s="308"/>
      <c r="AD474" s="308"/>
      <c r="AE474" s="308"/>
      <c r="AF474" s="308"/>
      <c r="AG474" s="308"/>
      <c r="AH474" s="308"/>
      <c r="AI474" s="308"/>
      <c r="AJ474" s="308"/>
      <c r="AK474" s="308"/>
      <c r="AL474" s="308"/>
      <c r="AM474" s="308"/>
      <c r="AN474" s="308"/>
      <c r="AO474" s="308"/>
      <c r="AP474" s="308"/>
      <c r="AQ474" s="308"/>
      <c r="AR474" s="308"/>
      <c r="AS474" s="308"/>
      <c r="AT474" s="308"/>
      <c r="AU474" s="308"/>
      <c r="AV474" s="308"/>
      <c r="AW474" s="308"/>
      <c r="AX474" s="308"/>
      <c r="AY474" s="308"/>
      <c r="AZ474" s="308"/>
      <c r="BA474" s="308"/>
      <c r="BB474" s="308"/>
      <c r="BC474" s="308"/>
      <c r="BD474" s="308"/>
      <c r="BE474" s="308"/>
      <c r="BF474" s="308"/>
      <c r="BG474" s="308"/>
      <c r="BH474" s="308"/>
      <c r="BI474" s="308"/>
      <c r="BJ474" s="308"/>
      <c r="BK474" s="308"/>
      <c r="BL474" s="308"/>
      <c r="BM474" s="308"/>
      <c r="BN474" s="308"/>
      <c r="BO474" s="308"/>
      <c r="BP474" s="308"/>
      <c r="BQ474" s="308"/>
      <c r="BR474" s="308"/>
      <c r="BS474" s="308"/>
      <c r="BT474" s="308"/>
      <c r="BU474" s="308"/>
      <c r="BV474" s="308"/>
      <c r="BW474" s="308"/>
      <c r="BX474" s="308"/>
      <c r="BY474" s="308"/>
      <c r="BZ474" s="308"/>
      <c r="CA474" s="308"/>
      <c r="CB474" s="308"/>
      <c r="CC474" s="308"/>
      <c r="CD474" s="308"/>
      <c r="CE474" s="308"/>
      <c r="CF474" s="308"/>
      <c r="CG474" s="308"/>
      <c r="CH474" s="308"/>
      <c r="CI474" s="308"/>
      <c r="CJ474" s="308"/>
      <c r="CK474" s="308"/>
      <c r="CL474" s="308"/>
      <c r="CM474" s="308"/>
      <c r="CN474" s="308"/>
      <c r="CO474" s="308"/>
      <c r="CP474" s="308"/>
      <c r="CQ474" s="308"/>
      <c r="CR474" s="308"/>
      <c r="CS474" s="308"/>
    </row>
    <row r="475" spans="1:97" x14ac:dyDescent="0.25">
      <c r="A475" s="378">
        <v>909192</v>
      </c>
      <c r="B475" s="332">
        <v>54.04</v>
      </c>
      <c r="C475" s="323"/>
      <c r="D475" s="323">
        <v>8.3000000000000007</v>
      </c>
      <c r="E475" s="323">
        <v>1.98</v>
      </c>
      <c r="F475" s="332">
        <v>1.68</v>
      </c>
      <c r="G475" s="323">
        <v>0.2</v>
      </c>
      <c r="H475" s="323">
        <v>0.8</v>
      </c>
      <c r="I475" s="323">
        <v>0.36</v>
      </c>
      <c r="J475" s="323">
        <v>5.29</v>
      </c>
      <c r="K475" s="323">
        <v>0.4</v>
      </c>
      <c r="L475" s="379">
        <v>34.4</v>
      </c>
      <c r="M475" s="323"/>
      <c r="N475" s="323"/>
      <c r="O475" s="323"/>
      <c r="P475" s="323"/>
      <c r="Q475" s="323"/>
      <c r="R475" s="323"/>
      <c r="S475" s="323"/>
      <c r="T475" s="308"/>
      <c r="U475" s="308"/>
      <c r="V475" s="308"/>
      <c r="W475" s="308"/>
      <c r="X475" s="308"/>
      <c r="Y475" s="308"/>
      <c r="Z475" s="308"/>
      <c r="AA475" s="308"/>
      <c r="AB475" s="308"/>
      <c r="AC475" s="308"/>
      <c r="AD475" s="308"/>
      <c r="AE475" s="308"/>
      <c r="AF475" s="308"/>
      <c r="AG475" s="308"/>
      <c r="AH475" s="308"/>
      <c r="AI475" s="308"/>
      <c r="AJ475" s="308"/>
      <c r="AK475" s="308"/>
      <c r="AL475" s="308"/>
      <c r="AM475" s="308"/>
      <c r="AN475" s="308"/>
      <c r="AO475" s="308"/>
      <c r="AP475" s="308"/>
      <c r="AQ475" s="308"/>
      <c r="AR475" s="308"/>
      <c r="AS475" s="308"/>
      <c r="AT475" s="308"/>
      <c r="AU475" s="308"/>
      <c r="AV475" s="308"/>
      <c r="AW475" s="308"/>
      <c r="AX475" s="308"/>
      <c r="AY475" s="308"/>
      <c r="AZ475" s="308"/>
      <c r="BA475" s="308"/>
      <c r="BB475" s="308"/>
      <c r="BC475" s="308"/>
      <c r="BD475" s="308"/>
      <c r="BE475" s="308"/>
      <c r="BF475" s="308"/>
      <c r="BG475" s="308"/>
      <c r="BH475" s="308"/>
      <c r="BI475" s="308"/>
      <c r="BJ475" s="308"/>
      <c r="BK475" s="308"/>
      <c r="BL475" s="308"/>
      <c r="BM475" s="308"/>
      <c r="BN475" s="308"/>
      <c r="BO475" s="308"/>
      <c r="BP475" s="308"/>
      <c r="BQ475" s="308"/>
      <c r="BR475" s="308"/>
      <c r="BS475" s="308"/>
      <c r="BT475" s="308"/>
      <c r="BU475" s="308"/>
      <c r="BV475" s="308"/>
      <c r="BW475" s="308"/>
      <c r="BX475" s="308"/>
      <c r="BY475" s="308"/>
      <c r="BZ475" s="308"/>
      <c r="CA475" s="308"/>
      <c r="CB475" s="308"/>
      <c r="CC475" s="308"/>
      <c r="CD475" s="308"/>
      <c r="CE475" s="308"/>
      <c r="CF475" s="308"/>
      <c r="CG475" s="308"/>
      <c r="CH475" s="308"/>
      <c r="CI475" s="308"/>
      <c r="CJ475" s="308"/>
      <c r="CK475" s="308"/>
      <c r="CL475" s="308"/>
      <c r="CM475" s="308"/>
      <c r="CN475" s="308"/>
      <c r="CO475" s="308"/>
      <c r="CP475" s="308"/>
      <c r="CQ475" s="308"/>
      <c r="CR475" s="308"/>
      <c r="CS475" s="308"/>
    </row>
    <row r="476" spans="1:97" x14ac:dyDescent="0.25">
      <c r="A476" s="378">
        <v>909193</v>
      </c>
      <c r="B476" s="332">
        <v>56.67</v>
      </c>
      <c r="C476" s="323"/>
      <c r="D476" s="323">
        <v>9.18</v>
      </c>
      <c r="E476" s="323">
        <v>2.56</v>
      </c>
      <c r="F476" s="332">
        <v>1.85</v>
      </c>
      <c r="G476" s="323">
        <v>0.48</v>
      </c>
      <c r="H476" s="323">
        <v>1.78</v>
      </c>
      <c r="I476" s="323">
        <v>0.41</v>
      </c>
      <c r="J476" s="323">
        <v>6</v>
      </c>
      <c r="K476" s="323">
        <v>0.92</v>
      </c>
      <c r="L476" s="379">
        <v>43.4</v>
      </c>
      <c r="M476" s="323"/>
      <c r="N476" s="323"/>
      <c r="O476" s="323"/>
      <c r="P476" s="323"/>
      <c r="Q476" s="323"/>
      <c r="R476" s="323"/>
      <c r="S476" s="323"/>
      <c r="T476" s="308"/>
      <c r="U476" s="308"/>
      <c r="V476" s="308"/>
      <c r="W476" s="308"/>
      <c r="X476" s="308"/>
      <c r="Y476" s="308"/>
      <c r="Z476" s="308"/>
      <c r="AA476" s="308"/>
      <c r="AB476" s="308"/>
      <c r="AC476" s="308"/>
      <c r="AD476" s="308"/>
      <c r="AE476" s="308"/>
      <c r="AF476" s="308"/>
      <c r="AG476" s="308"/>
      <c r="AH476" s="308"/>
      <c r="AI476" s="308"/>
      <c r="AJ476" s="308"/>
      <c r="AK476" s="308"/>
      <c r="AL476" s="308"/>
      <c r="AM476" s="308"/>
      <c r="AN476" s="308"/>
      <c r="AO476" s="308"/>
      <c r="AP476" s="308"/>
      <c r="AQ476" s="308"/>
      <c r="AR476" s="308"/>
      <c r="AS476" s="308"/>
      <c r="AT476" s="308"/>
      <c r="AU476" s="308"/>
      <c r="AV476" s="308"/>
      <c r="AW476" s="308"/>
      <c r="AX476" s="308"/>
      <c r="AY476" s="308"/>
      <c r="AZ476" s="308"/>
      <c r="BA476" s="308"/>
      <c r="BB476" s="308"/>
      <c r="BC476" s="308"/>
      <c r="BD476" s="308"/>
      <c r="BE476" s="308"/>
      <c r="BF476" s="308"/>
      <c r="BG476" s="308"/>
      <c r="BH476" s="308"/>
      <c r="BI476" s="308"/>
      <c r="BJ476" s="308"/>
      <c r="BK476" s="308"/>
      <c r="BL476" s="308"/>
      <c r="BM476" s="308"/>
      <c r="BN476" s="308"/>
      <c r="BO476" s="308"/>
      <c r="BP476" s="308"/>
      <c r="BQ476" s="308"/>
      <c r="BR476" s="308"/>
      <c r="BS476" s="308"/>
      <c r="BT476" s="308"/>
      <c r="BU476" s="308"/>
      <c r="BV476" s="308"/>
      <c r="BW476" s="308"/>
      <c r="BX476" s="308"/>
      <c r="BY476" s="308"/>
      <c r="BZ476" s="308"/>
      <c r="CA476" s="308"/>
      <c r="CB476" s="308"/>
      <c r="CC476" s="308"/>
      <c r="CD476" s="308"/>
      <c r="CE476" s="308"/>
      <c r="CF476" s="308"/>
      <c r="CG476" s="308"/>
      <c r="CH476" s="308"/>
      <c r="CI476" s="308"/>
      <c r="CJ476" s="308"/>
      <c r="CK476" s="308"/>
      <c r="CL476" s="308"/>
      <c r="CM476" s="308"/>
      <c r="CN476" s="308"/>
      <c r="CO476" s="308"/>
      <c r="CP476" s="308"/>
      <c r="CQ476" s="308"/>
      <c r="CR476" s="308"/>
      <c r="CS476" s="308"/>
    </row>
    <row r="477" spans="1:97" x14ac:dyDescent="0.25">
      <c r="A477" s="378">
        <v>909194</v>
      </c>
      <c r="B477" s="332">
        <v>70.42</v>
      </c>
      <c r="C477" s="323"/>
      <c r="D477" s="323">
        <v>7.04</v>
      </c>
      <c r="E477" s="323">
        <v>5.96</v>
      </c>
      <c r="F477" s="332">
        <v>5.71</v>
      </c>
      <c r="G477" s="323">
        <v>1.68</v>
      </c>
      <c r="H477" s="323">
        <v>2.63</v>
      </c>
      <c r="I477" s="323">
        <v>0.32</v>
      </c>
      <c r="J477" s="323">
        <v>2.38</v>
      </c>
      <c r="K477" s="323">
        <v>0.86</v>
      </c>
      <c r="L477" s="379">
        <v>81.400000000000006</v>
      </c>
      <c r="M477" s="323"/>
      <c r="N477" s="323"/>
      <c r="O477" s="323"/>
      <c r="P477" s="323"/>
      <c r="Q477" s="323"/>
      <c r="R477" s="323"/>
      <c r="S477" s="323"/>
      <c r="T477" s="308"/>
      <c r="U477" s="308"/>
      <c r="V477" s="308"/>
      <c r="W477" s="308"/>
      <c r="X477" s="308"/>
      <c r="Y477" s="308"/>
      <c r="Z477" s="308"/>
      <c r="AA477" s="308"/>
      <c r="AB477" s="308"/>
      <c r="AC477" s="308"/>
      <c r="AD477" s="308"/>
      <c r="AE477" s="308"/>
      <c r="AF477" s="308"/>
      <c r="AG477" s="308"/>
      <c r="AH477" s="308"/>
      <c r="AI477" s="308"/>
      <c r="AJ477" s="308"/>
      <c r="AK477" s="308"/>
      <c r="AL477" s="308"/>
      <c r="AM477" s="308"/>
      <c r="AN477" s="308"/>
      <c r="AO477" s="308"/>
      <c r="AP477" s="308"/>
      <c r="AQ477" s="308"/>
      <c r="AR477" s="308"/>
      <c r="AS477" s="308"/>
      <c r="AT477" s="308"/>
      <c r="AU477" s="308"/>
      <c r="AV477" s="308"/>
      <c r="AW477" s="308"/>
      <c r="AX477" s="308"/>
      <c r="AY477" s="308"/>
      <c r="AZ477" s="308"/>
      <c r="BA477" s="308"/>
      <c r="BB477" s="308"/>
      <c r="BC477" s="308"/>
      <c r="BD477" s="308"/>
      <c r="BE477" s="308"/>
      <c r="BF477" s="308"/>
      <c r="BG477" s="308"/>
      <c r="BH477" s="308"/>
      <c r="BI477" s="308"/>
      <c r="BJ477" s="308"/>
      <c r="BK477" s="308"/>
      <c r="BL477" s="308"/>
      <c r="BM477" s="308"/>
      <c r="BN477" s="308"/>
      <c r="BO477" s="308"/>
      <c r="BP477" s="308"/>
      <c r="BQ477" s="308"/>
      <c r="BR477" s="308"/>
      <c r="BS477" s="308"/>
      <c r="BT477" s="308"/>
      <c r="BU477" s="308"/>
      <c r="BV477" s="308"/>
      <c r="BW477" s="308"/>
      <c r="BX477" s="308"/>
      <c r="BY477" s="308"/>
      <c r="BZ477" s="308"/>
      <c r="CA477" s="308"/>
      <c r="CB477" s="308"/>
      <c r="CC477" s="308"/>
      <c r="CD477" s="308"/>
      <c r="CE477" s="308"/>
      <c r="CF477" s="308"/>
      <c r="CG477" s="308"/>
      <c r="CH477" s="308"/>
      <c r="CI477" s="308"/>
      <c r="CJ477" s="308"/>
      <c r="CK477" s="308"/>
      <c r="CL477" s="308"/>
      <c r="CM477" s="308"/>
      <c r="CN477" s="308"/>
      <c r="CO477" s="308"/>
      <c r="CP477" s="308"/>
      <c r="CQ477" s="308"/>
      <c r="CR477" s="308"/>
      <c r="CS477" s="308"/>
    </row>
    <row r="478" spans="1:97" x14ac:dyDescent="0.25">
      <c r="A478" s="514">
        <v>912013</v>
      </c>
      <c r="B478" s="381">
        <v>4.4800000000000004</v>
      </c>
      <c r="C478" s="380">
        <v>1024.2</v>
      </c>
      <c r="D478" s="380">
        <v>6.27</v>
      </c>
      <c r="E478" s="380">
        <v>22.92</v>
      </c>
      <c r="F478" s="382">
        <v>4.12</v>
      </c>
      <c r="G478" s="380">
        <v>0.05</v>
      </c>
      <c r="H478" s="380">
        <v>8.17</v>
      </c>
      <c r="I478" s="380">
        <v>3.84</v>
      </c>
      <c r="J478" s="380">
        <v>2.29</v>
      </c>
      <c r="K478" s="380">
        <v>0.44</v>
      </c>
      <c r="L478" s="514">
        <v>60.2</v>
      </c>
      <c r="M478" s="380">
        <v>2.66</v>
      </c>
      <c r="N478" s="380">
        <v>0.12</v>
      </c>
      <c r="O478" s="380">
        <v>25.66</v>
      </c>
      <c r="P478" s="380">
        <v>231.68</v>
      </c>
      <c r="Q478" s="380">
        <v>15.62</v>
      </c>
      <c r="R478" s="380"/>
      <c r="S478" s="380">
        <v>0.54</v>
      </c>
      <c r="T478" s="380"/>
      <c r="U478" s="380"/>
      <c r="V478" s="380"/>
      <c r="W478" s="380"/>
      <c r="X478" s="380"/>
      <c r="Y478" s="380"/>
      <c r="Z478" s="380"/>
      <c r="AA478" s="380"/>
      <c r="AB478" s="380"/>
      <c r="AC478" s="380"/>
      <c r="AD478" s="380"/>
      <c r="AE478" s="380"/>
      <c r="AF478" s="380"/>
      <c r="AG478" s="380"/>
      <c r="AH478" s="380"/>
      <c r="AI478" s="380"/>
      <c r="AJ478" s="380"/>
      <c r="AK478" s="380"/>
      <c r="AL478" s="380"/>
      <c r="AM478" s="380"/>
      <c r="AN478" s="380"/>
      <c r="AO478" s="380"/>
      <c r="AP478" s="380"/>
      <c r="AQ478" s="380"/>
      <c r="AR478" s="380"/>
      <c r="AS478" s="380"/>
      <c r="AT478" s="380"/>
      <c r="AU478" s="380"/>
      <c r="AV478" s="380"/>
      <c r="AW478" s="380"/>
      <c r="AX478" s="380"/>
      <c r="AY478" s="380"/>
      <c r="AZ478" s="380"/>
      <c r="BA478" s="380"/>
      <c r="BB478" s="380"/>
      <c r="BC478" s="380"/>
      <c r="BD478" s="380"/>
      <c r="BE478" s="380"/>
      <c r="BF478" s="380"/>
      <c r="BG478" s="380"/>
      <c r="BH478" s="380"/>
      <c r="BI478" s="380"/>
      <c r="BJ478" s="380"/>
      <c r="BK478" s="380"/>
      <c r="BL478" s="380"/>
      <c r="BM478" s="380"/>
      <c r="BN478" s="380"/>
      <c r="BO478" s="380"/>
      <c r="BP478" s="380"/>
      <c r="BQ478" s="380"/>
      <c r="BR478" s="380"/>
      <c r="BS478" s="380"/>
      <c r="BT478" s="380"/>
      <c r="BU478" s="380"/>
      <c r="BV478" s="380"/>
      <c r="BW478" s="380"/>
      <c r="BX478" s="380"/>
      <c r="BY478" s="380"/>
      <c r="BZ478" s="380"/>
      <c r="CA478" s="380"/>
      <c r="CB478" s="380"/>
      <c r="CC478" s="380"/>
      <c r="CD478" s="380"/>
      <c r="CE478" s="380"/>
      <c r="CF478" s="380"/>
      <c r="CG478" s="380"/>
      <c r="CH478" s="380"/>
      <c r="CI478" s="380"/>
      <c r="CJ478" s="380"/>
      <c r="CK478" s="380"/>
      <c r="CL478" s="380"/>
      <c r="CM478" s="380"/>
      <c r="CN478" s="380"/>
      <c r="CO478" s="380"/>
      <c r="CP478" s="380"/>
      <c r="CQ478" s="380"/>
      <c r="CR478" s="380"/>
      <c r="CS478" s="380"/>
    </row>
    <row r="479" spans="1:97" x14ac:dyDescent="0.25">
      <c r="A479" s="416">
        <v>909195</v>
      </c>
      <c r="B479" s="417">
        <v>74.599999999999994</v>
      </c>
      <c r="C479" s="418"/>
      <c r="D479" s="418">
        <v>8.91</v>
      </c>
      <c r="E479" s="418">
        <v>3.45</v>
      </c>
      <c r="F479" s="417">
        <v>2.52</v>
      </c>
      <c r="G479" s="418">
        <v>0.54</v>
      </c>
      <c r="H479" s="418">
        <v>2.27</v>
      </c>
      <c r="I479" s="418">
        <v>0.44</v>
      </c>
      <c r="J479" s="418">
        <v>1.51</v>
      </c>
      <c r="K479" s="418">
        <v>0.39</v>
      </c>
      <c r="L479" s="418">
        <v>83.6</v>
      </c>
      <c r="M479" s="418"/>
      <c r="N479" s="418"/>
      <c r="O479" s="418"/>
      <c r="P479" s="418"/>
      <c r="Q479" s="418"/>
      <c r="R479" s="418"/>
      <c r="S479" s="418"/>
      <c r="T479" s="419"/>
      <c r="U479" s="419"/>
      <c r="V479" s="419"/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419"/>
      <c r="AL479" s="419"/>
      <c r="AM479" s="419"/>
      <c r="AN479" s="419"/>
      <c r="AO479" s="419"/>
      <c r="AP479" s="419"/>
      <c r="AQ479" s="419"/>
      <c r="AR479" s="419"/>
      <c r="AS479" s="419"/>
      <c r="AT479" s="419"/>
      <c r="AU479" s="419"/>
      <c r="AV479" s="419"/>
      <c r="AW479" s="419"/>
      <c r="AX479" s="419"/>
      <c r="AY479" s="419"/>
      <c r="AZ479" s="419"/>
      <c r="BA479" s="419"/>
      <c r="BB479" s="419"/>
      <c r="BC479" s="419"/>
      <c r="BD479" s="419"/>
      <c r="BE479" s="419"/>
      <c r="BF479" s="419"/>
      <c r="BG479" s="419"/>
      <c r="BH479" s="419"/>
      <c r="BI479" s="419"/>
      <c r="BJ479" s="419"/>
      <c r="BK479" s="419"/>
      <c r="BL479" s="419"/>
      <c r="BM479" s="419"/>
      <c r="BN479" s="419"/>
      <c r="BO479" s="419"/>
      <c r="BP479" s="419"/>
      <c r="BQ479" s="419"/>
      <c r="BR479" s="419"/>
      <c r="BS479" s="419"/>
      <c r="BT479" s="419"/>
      <c r="BU479" s="419"/>
      <c r="BV479" s="419"/>
      <c r="BW479" s="419"/>
      <c r="BX479" s="419"/>
      <c r="BY479" s="419"/>
      <c r="BZ479" s="419"/>
      <c r="CA479" s="419"/>
      <c r="CB479" s="419"/>
      <c r="CC479" s="419"/>
      <c r="CD479" s="419"/>
      <c r="CE479" s="419"/>
      <c r="CF479" s="419"/>
      <c r="CG479" s="419"/>
      <c r="CH479" s="419"/>
      <c r="CI479" s="419"/>
      <c r="CJ479" s="419"/>
      <c r="CK479" s="419"/>
      <c r="CL479" s="419"/>
      <c r="CM479" s="419"/>
      <c r="CN479" s="419"/>
      <c r="CO479" s="419"/>
      <c r="CP479" s="419"/>
      <c r="CQ479" s="419"/>
      <c r="CR479" s="419"/>
      <c r="CS479" s="419"/>
    </row>
    <row r="480" spans="1:97" x14ac:dyDescent="0.25">
      <c r="A480" s="416">
        <v>909196</v>
      </c>
      <c r="B480" s="417">
        <v>35.44</v>
      </c>
      <c r="C480" s="418"/>
      <c r="D480" s="418">
        <v>8.7899999999999991</v>
      </c>
      <c r="E480" s="418">
        <v>1.85</v>
      </c>
      <c r="F480" s="417">
        <v>2.19</v>
      </c>
      <c r="G480" s="418">
        <v>0.43</v>
      </c>
      <c r="H480" s="418">
        <v>1.78</v>
      </c>
      <c r="I480" s="418">
        <v>0.56000000000000005</v>
      </c>
      <c r="J480" s="418">
        <v>1.69</v>
      </c>
      <c r="K480" s="418">
        <v>0.56000000000000005</v>
      </c>
      <c r="L480" s="418">
        <v>77.2</v>
      </c>
      <c r="M480" s="418"/>
      <c r="N480" s="418"/>
      <c r="O480" s="418"/>
      <c r="P480" s="418"/>
      <c r="Q480" s="418"/>
      <c r="R480" s="418"/>
      <c r="S480" s="418"/>
      <c r="T480" s="419"/>
      <c r="U480" s="419"/>
      <c r="V480" s="419"/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419"/>
      <c r="AL480" s="419"/>
      <c r="AM480" s="419"/>
      <c r="AN480" s="419"/>
      <c r="AO480" s="419"/>
      <c r="AP480" s="419"/>
      <c r="AQ480" s="419"/>
      <c r="AR480" s="419"/>
      <c r="AS480" s="419"/>
      <c r="AT480" s="419"/>
      <c r="AU480" s="419"/>
      <c r="AV480" s="419"/>
      <c r="AW480" s="419"/>
      <c r="AX480" s="419"/>
      <c r="AY480" s="419"/>
      <c r="AZ480" s="419"/>
      <c r="BA480" s="419"/>
      <c r="BB480" s="419"/>
      <c r="BC480" s="419"/>
      <c r="BD480" s="419"/>
      <c r="BE480" s="419"/>
      <c r="BF480" s="419"/>
      <c r="BG480" s="419"/>
      <c r="BH480" s="419"/>
      <c r="BI480" s="419"/>
      <c r="BJ480" s="419"/>
      <c r="BK480" s="419"/>
      <c r="BL480" s="419"/>
      <c r="BM480" s="419"/>
      <c r="BN480" s="419"/>
      <c r="BO480" s="419"/>
      <c r="BP480" s="419"/>
      <c r="BQ480" s="419"/>
      <c r="BR480" s="419"/>
      <c r="BS480" s="419"/>
      <c r="BT480" s="419"/>
      <c r="BU480" s="419"/>
      <c r="BV480" s="419"/>
      <c r="BW480" s="419"/>
      <c r="BX480" s="419"/>
      <c r="BY480" s="419"/>
      <c r="BZ480" s="419"/>
      <c r="CA480" s="419"/>
      <c r="CB480" s="419"/>
      <c r="CC480" s="419"/>
      <c r="CD480" s="419"/>
      <c r="CE480" s="419"/>
      <c r="CF480" s="419"/>
      <c r="CG480" s="419"/>
      <c r="CH480" s="419"/>
      <c r="CI480" s="419"/>
      <c r="CJ480" s="419"/>
      <c r="CK480" s="419"/>
      <c r="CL480" s="419"/>
      <c r="CM480" s="419"/>
      <c r="CN480" s="419"/>
      <c r="CO480" s="419"/>
      <c r="CP480" s="419"/>
      <c r="CQ480" s="419"/>
      <c r="CR480" s="419"/>
      <c r="CS480" s="419"/>
    </row>
    <row r="481" spans="1:97" x14ac:dyDescent="0.25">
      <c r="A481" s="416">
        <v>909197</v>
      </c>
      <c r="B481" s="417">
        <v>21.59</v>
      </c>
      <c r="C481" s="418"/>
      <c r="D481" s="418">
        <v>8.5299999999999994</v>
      </c>
      <c r="E481" s="418">
        <v>2.02</v>
      </c>
      <c r="F481" s="417">
        <v>1.65</v>
      </c>
      <c r="G481" s="418">
        <v>0.51</v>
      </c>
      <c r="H481" s="418">
        <v>1.64</v>
      </c>
      <c r="I481" s="418">
        <v>0.59</v>
      </c>
      <c r="J481" s="418">
        <v>2.97</v>
      </c>
      <c r="K481" s="418">
        <v>0.93</v>
      </c>
      <c r="L481" s="418">
        <v>68</v>
      </c>
      <c r="M481" s="418"/>
      <c r="N481" s="418"/>
      <c r="O481" s="418"/>
      <c r="P481" s="418"/>
      <c r="Q481" s="418"/>
      <c r="R481" s="418"/>
      <c r="S481" s="418"/>
      <c r="T481" s="419"/>
      <c r="U481" s="419"/>
      <c r="V481" s="419"/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419"/>
      <c r="AL481" s="419"/>
      <c r="AM481" s="419"/>
      <c r="AN481" s="419"/>
      <c r="AO481" s="419"/>
      <c r="AP481" s="419"/>
      <c r="AQ481" s="419"/>
      <c r="AR481" s="419"/>
      <c r="AS481" s="419"/>
      <c r="AT481" s="419"/>
      <c r="AU481" s="419"/>
      <c r="AV481" s="419"/>
      <c r="AW481" s="419"/>
      <c r="AX481" s="419"/>
      <c r="AY481" s="419"/>
      <c r="AZ481" s="419"/>
      <c r="BA481" s="419"/>
      <c r="BB481" s="419"/>
      <c r="BC481" s="419"/>
      <c r="BD481" s="419"/>
      <c r="BE481" s="419"/>
      <c r="BF481" s="419"/>
      <c r="BG481" s="419"/>
      <c r="BH481" s="419"/>
      <c r="BI481" s="419"/>
      <c r="BJ481" s="419"/>
      <c r="BK481" s="419"/>
      <c r="BL481" s="419"/>
      <c r="BM481" s="419"/>
      <c r="BN481" s="419"/>
      <c r="BO481" s="419"/>
      <c r="BP481" s="419"/>
      <c r="BQ481" s="419"/>
      <c r="BR481" s="419"/>
      <c r="BS481" s="419"/>
      <c r="BT481" s="419"/>
      <c r="BU481" s="419"/>
      <c r="BV481" s="419"/>
      <c r="BW481" s="419"/>
      <c r="BX481" s="419"/>
      <c r="BY481" s="419"/>
      <c r="BZ481" s="419"/>
      <c r="CA481" s="419"/>
      <c r="CB481" s="419"/>
      <c r="CC481" s="419"/>
      <c r="CD481" s="419"/>
      <c r="CE481" s="419"/>
      <c r="CF481" s="419"/>
      <c r="CG481" s="419"/>
      <c r="CH481" s="419"/>
      <c r="CI481" s="419"/>
      <c r="CJ481" s="419"/>
      <c r="CK481" s="419"/>
      <c r="CL481" s="419"/>
      <c r="CM481" s="419"/>
      <c r="CN481" s="419"/>
      <c r="CO481" s="419"/>
      <c r="CP481" s="419"/>
      <c r="CQ481" s="419"/>
      <c r="CR481" s="419"/>
      <c r="CS481" s="419"/>
    </row>
    <row r="482" spans="1:97" x14ac:dyDescent="0.25">
      <c r="A482" s="416">
        <v>909198</v>
      </c>
      <c r="B482" s="417">
        <v>26.68</v>
      </c>
      <c r="C482" s="418"/>
      <c r="D482" s="418">
        <v>8.2799999999999994</v>
      </c>
      <c r="E482" s="418">
        <v>2.1800000000000002</v>
      </c>
      <c r="F482" s="417">
        <v>1.79</v>
      </c>
      <c r="G482" s="418">
        <v>0.3</v>
      </c>
      <c r="H482" s="418">
        <v>2.2599999999999998</v>
      </c>
      <c r="I482" s="418">
        <v>0.36</v>
      </c>
      <c r="J482" s="418">
        <v>1.23</v>
      </c>
      <c r="K482" s="418">
        <v>0.4</v>
      </c>
      <c r="L482" s="418">
        <v>84.6</v>
      </c>
      <c r="M482" s="418"/>
      <c r="N482" s="418"/>
      <c r="O482" s="418"/>
      <c r="P482" s="418"/>
      <c r="Q482" s="418"/>
      <c r="R482" s="418"/>
      <c r="S482" s="418"/>
      <c r="T482" s="419"/>
      <c r="U482" s="419"/>
      <c r="V482" s="419"/>
      <c r="W482" s="419"/>
      <c r="X482" s="419"/>
      <c r="Y482" s="419"/>
      <c r="Z482" s="419"/>
      <c r="AA482" s="419"/>
      <c r="AB482" s="419"/>
      <c r="AC482" s="419"/>
      <c r="AD482" s="419"/>
      <c r="AE482" s="419"/>
      <c r="AF482" s="419"/>
      <c r="AG482" s="419"/>
      <c r="AH482" s="419"/>
      <c r="AI482" s="419"/>
      <c r="AJ482" s="419"/>
      <c r="AK482" s="419"/>
      <c r="AL482" s="419"/>
      <c r="AM482" s="419"/>
      <c r="AN482" s="419"/>
      <c r="AO482" s="419"/>
      <c r="AP482" s="419"/>
      <c r="AQ482" s="419"/>
      <c r="AR482" s="419"/>
      <c r="AS482" s="419"/>
      <c r="AT482" s="419"/>
      <c r="AU482" s="419"/>
      <c r="AV482" s="419"/>
      <c r="AW482" s="419"/>
      <c r="AX482" s="419"/>
      <c r="AY482" s="419"/>
      <c r="AZ482" s="419"/>
      <c r="BA482" s="419"/>
      <c r="BB482" s="419"/>
      <c r="BC482" s="419"/>
      <c r="BD482" s="419"/>
      <c r="BE482" s="419"/>
      <c r="BF482" s="419"/>
      <c r="BG482" s="419"/>
      <c r="BH482" s="419"/>
      <c r="BI482" s="419"/>
      <c r="BJ482" s="419"/>
      <c r="BK482" s="419"/>
      <c r="BL482" s="419"/>
      <c r="BM482" s="419"/>
      <c r="BN482" s="419"/>
      <c r="BO482" s="419"/>
      <c r="BP482" s="419"/>
      <c r="BQ482" s="419"/>
      <c r="BR482" s="419"/>
      <c r="BS482" s="419"/>
      <c r="BT482" s="419"/>
      <c r="BU482" s="419"/>
      <c r="BV482" s="419"/>
      <c r="BW482" s="419"/>
      <c r="BX482" s="419"/>
      <c r="BY482" s="419"/>
      <c r="BZ482" s="419"/>
      <c r="CA482" s="419"/>
      <c r="CB482" s="419"/>
      <c r="CC482" s="419"/>
      <c r="CD482" s="419"/>
      <c r="CE482" s="419"/>
      <c r="CF482" s="419"/>
      <c r="CG482" s="419"/>
      <c r="CH482" s="419"/>
      <c r="CI482" s="419"/>
      <c r="CJ482" s="419"/>
      <c r="CK482" s="419"/>
      <c r="CL482" s="419"/>
      <c r="CM482" s="419"/>
      <c r="CN482" s="419"/>
      <c r="CO482" s="419"/>
      <c r="CP482" s="419"/>
      <c r="CQ482" s="419"/>
      <c r="CR482" s="419"/>
      <c r="CS482" s="419"/>
    </row>
    <row r="483" spans="1:97" s="424" customFormat="1" x14ac:dyDescent="0.25">
      <c r="A483" s="420">
        <v>909199</v>
      </c>
      <c r="B483" s="421">
        <v>63.888570445947501</v>
      </c>
      <c r="C483" s="422"/>
      <c r="D483" s="422">
        <v>8.49</v>
      </c>
      <c r="E483" s="422">
        <v>5.54</v>
      </c>
      <c r="F483" s="421">
        <v>1.5967638000000002</v>
      </c>
      <c r="G483" s="422">
        <v>2.84</v>
      </c>
      <c r="H483" s="422">
        <v>2.09</v>
      </c>
      <c r="I483" s="422">
        <v>0.47</v>
      </c>
      <c r="J483" s="422">
        <v>12.44</v>
      </c>
      <c r="K483" s="422">
        <v>0.86</v>
      </c>
      <c r="L483" s="423">
        <v>40.600000000000023</v>
      </c>
      <c r="M483" s="422"/>
      <c r="N483" s="422"/>
      <c r="O483" s="422"/>
      <c r="P483" s="422"/>
      <c r="Q483" s="422"/>
      <c r="R483" s="422"/>
      <c r="S483" s="422"/>
    </row>
    <row r="484" spans="1:97" s="424" customFormat="1" x14ac:dyDescent="0.25">
      <c r="A484" s="420">
        <v>909200</v>
      </c>
      <c r="B484" s="421">
        <v>56.718510963793989</v>
      </c>
      <c r="C484" s="422"/>
      <c r="D484" s="422">
        <v>9</v>
      </c>
      <c r="E484" s="422">
        <v>3.13</v>
      </c>
      <c r="F484" s="421">
        <v>1.540737</v>
      </c>
      <c r="G484" s="422">
        <v>0.75</v>
      </c>
      <c r="H484" s="422">
        <v>1.77</v>
      </c>
      <c r="I484" s="422">
        <v>0.3</v>
      </c>
      <c r="J484" s="422">
        <v>1.48</v>
      </c>
      <c r="K484" s="422">
        <v>0.51</v>
      </c>
      <c r="L484" s="423">
        <v>39.399999999999977</v>
      </c>
      <c r="M484" s="422"/>
      <c r="N484" s="422"/>
      <c r="O484" s="422"/>
      <c r="P484" s="422"/>
      <c r="Q484" s="422"/>
      <c r="R484" s="422"/>
      <c r="S484" s="422"/>
    </row>
    <row r="485" spans="1:97" s="424" customFormat="1" x14ac:dyDescent="0.25">
      <c r="A485" s="420">
        <v>909201</v>
      </c>
      <c r="B485" s="421">
        <v>76.695301314590665</v>
      </c>
      <c r="C485" s="422"/>
      <c r="D485" s="422">
        <v>9.15</v>
      </c>
      <c r="E485" s="422">
        <v>3.19</v>
      </c>
      <c r="F485" s="421">
        <v>1.4566968</v>
      </c>
      <c r="G485" s="422">
        <v>0.87</v>
      </c>
      <c r="H485" s="422">
        <v>1.7</v>
      </c>
      <c r="I485" s="422">
        <v>0.27</v>
      </c>
      <c r="J485" s="422">
        <v>1.41</v>
      </c>
      <c r="K485" s="422">
        <v>0.55000000000000004</v>
      </c>
      <c r="L485" s="423">
        <v>41.400000000000006</v>
      </c>
      <c r="M485" s="422"/>
      <c r="N485" s="422"/>
      <c r="O485" s="422"/>
      <c r="P485" s="422"/>
      <c r="Q485" s="422"/>
      <c r="R485" s="422"/>
      <c r="S485" s="422"/>
    </row>
    <row r="486" spans="1:97" s="424" customFormat="1" x14ac:dyDescent="0.25">
      <c r="A486" s="420">
        <v>909202</v>
      </c>
      <c r="B486" s="421">
        <v>61.119813632164522</v>
      </c>
      <c r="C486" s="422"/>
      <c r="D486" s="422">
        <v>9.0299999999999994</v>
      </c>
      <c r="E486" s="422">
        <v>3.31</v>
      </c>
      <c r="F486" s="421">
        <v>1.4847102000000001</v>
      </c>
      <c r="G486" s="422">
        <v>0.74</v>
      </c>
      <c r="H486" s="422">
        <v>1.54</v>
      </c>
      <c r="I486" s="422">
        <v>0.31</v>
      </c>
      <c r="J486" s="422">
        <v>1.52</v>
      </c>
      <c r="K486" s="422">
        <v>0.49</v>
      </c>
      <c r="L486" s="423">
        <v>32.399999999999949</v>
      </c>
      <c r="M486" s="422"/>
      <c r="N486" s="422"/>
      <c r="O486" s="422"/>
      <c r="P486" s="422"/>
      <c r="Q486" s="422"/>
      <c r="R486" s="422"/>
      <c r="S486" s="422"/>
    </row>
    <row r="487" spans="1:97" s="424" customFormat="1" x14ac:dyDescent="0.25">
      <c r="A487" s="420">
        <v>909203</v>
      </c>
      <c r="B487" s="421">
        <v>57.214255964776598</v>
      </c>
      <c r="C487" s="422"/>
      <c r="D487" s="422">
        <v>7.08</v>
      </c>
      <c r="E487" s="422">
        <v>3.65</v>
      </c>
      <c r="F487" s="421">
        <v>1.0364958000000002</v>
      </c>
      <c r="G487" s="422">
        <v>1.56</v>
      </c>
      <c r="H487" s="422">
        <v>0.56999999999999995</v>
      </c>
      <c r="I487" s="422">
        <v>7.0000000000000007E-2</v>
      </c>
      <c r="J487" s="422">
        <v>12.34</v>
      </c>
      <c r="K487" s="422">
        <v>0.23</v>
      </c>
      <c r="L487" s="423">
        <v>51.000000000000085</v>
      </c>
      <c r="M487" s="422"/>
      <c r="N487" s="422"/>
      <c r="O487" s="422"/>
      <c r="P487" s="422"/>
      <c r="Q487" s="422"/>
      <c r="R487" s="422"/>
      <c r="S487" s="422"/>
    </row>
    <row r="488" spans="1:97" s="424" customFormat="1" x14ac:dyDescent="0.25">
      <c r="A488" s="420">
        <v>909204</v>
      </c>
      <c r="B488" s="421">
        <v>37.047593195801667</v>
      </c>
      <c r="C488" s="422"/>
      <c r="D488" s="422">
        <v>8.9700000000000006</v>
      </c>
      <c r="E488" s="422">
        <v>2.44</v>
      </c>
      <c r="F488" s="421">
        <v>1.2325896000000003</v>
      </c>
      <c r="G488" s="422">
        <v>0.69</v>
      </c>
      <c r="H488" s="422">
        <v>1.17</v>
      </c>
      <c r="I488" s="422">
        <v>0.2</v>
      </c>
      <c r="J488" s="422">
        <v>1.23</v>
      </c>
      <c r="K488" s="422">
        <v>0.42</v>
      </c>
      <c r="L488" s="423">
        <v>33.199999999999932</v>
      </c>
      <c r="M488" s="422"/>
      <c r="N488" s="422"/>
      <c r="O488" s="422"/>
      <c r="P488" s="422"/>
      <c r="Q488" s="422"/>
      <c r="R488" s="422"/>
      <c r="S488" s="422"/>
    </row>
    <row r="489" spans="1:97" s="424" customFormat="1" x14ac:dyDescent="0.25">
      <c r="A489" s="420">
        <v>909205</v>
      </c>
      <c r="B489" s="421">
        <v>64.88305204319748</v>
      </c>
      <c r="C489" s="422"/>
      <c r="D489" s="422">
        <v>9.07</v>
      </c>
      <c r="E489" s="422">
        <v>2.74</v>
      </c>
      <c r="F489" s="421">
        <v>1.2606030000000001</v>
      </c>
      <c r="G489" s="422">
        <v>0.65</v>
      </c>
      <c r="H489" s="422">
        <v>1.08</v>
      </c>
      <c r="I489" s="422">
        <v>0.23</v>
      </c>
      <c r="J489" s="422">
        <v>1.1499999999999999</v>
      </c>
      <c r="K489" s="422">
        <v>0.47</v>
      </c>
      <c r="L489" s="423">
        <v>28.400000000000034</v>
      </c>
      <c r="M489" s="422"/>
      <c r="N489" s="422"/>
      <c r="O489" s="422"/>
      <c r="P489" s="422"/>
      <c r="Q489" s="422"/>
      <c r="R489" s="422"/>
      <c r="S489" s="422"/>
    </row>
    <row r="490" spans="1:97" s="424" customFormat="1" x14ac:dyDescent="0.25">
      <c r="A490" s="420">
        <v>909206</v>
      </c>
      <c r="B490" s="421">
        <v>74.757506845500544</v>
      </c>
      <c r="C490" s="422"/>
      <c r="D490" s="422">
        <v>9.1199999999999992</v>
      </c>
      <c r="E490" s="422">
        <v>3.61</v>
      </c>
      <c r="F490" s="421">
        <v>1.7368308000000003</v>
      </c>
      <c r="G490" s="422">
        <v>6.84</v>
      </c>
      <c r="H490" s="422">
        <v>1.71</v>
      </c>
      <c r="I490" s="422">
        <v>2.82</v>
      </c>
      <c r="J490" s="422">
        <v>1.67</v>
      </c>
      <c r="K490" s="422">
        <v>5.01</v>
      </c>
      <c r="L490" s="423">
        <v>36.800000000000068</v>
      </c>
      <c r="M490" s="422"/>
      <c r="N490" s="422"/>
      <c r="O490" s="422"/>
      <c r="P490" s="422"/>
      <c r="Q490" s="422"/>
      <c r="R490" s="422"/>
      <c r="S490" s="422"/>
    </row>
    <row r="491" spans="1:97" s="424" customFormat="1" x14ac:dyDescent="0.25">
      <c r="A491" s="420">
        <v>909207</v>
      </c>
      <c r="B491" s="421">
        <v>60.751856435643568</v>
      </c>
      <c r="C491" s="422"/>
      <c r="D491" s="422">
        <v>9.1300000000000008</v>
      </c>
      <c r="E491" s="422">
        <v>2.6</v>
      </c>
      <c r="F491" s="421">
        <v>1.2606030000000001</v>
      </c>
      <c r="G491" s="422">
        <v>4.6500000000000004</v>
      </c>
      <c r="H491" s="422">
        <v>1.2</v>
      </c>
      <c r="I491" s="422">
        <v>2.19</v>
      </c>
      <c r="J491" s="422">
        <v>0.81</v>
      </c>
      <c r="K491" s="422">
        <v>4.21</v>
      </c>
      <c r="L491" s="423">
        <v>27.400000000000091</v>
      </c>
      <c r="M491" s="422"/>
      <c r="N491" s="422"/>
      <c r="O491" s="422"/>
      <c r="P491" s="422"/>
      <c r="Q491" s="422"/>
      <c r="R491" s="422"/>
      <c r="S491" s="422"/>
    </row>
    <row r="492" spans="1:97" s="424" customFormat="1" x14ac:dyDescent="0.25">
      <c r="A492" s="420">
        <v>909208</v>
      </c>
      <c r="B492" s="421">
        <v>59.173624491543578</v>
      </c>
      <c r="C492" s="422"/>
      <c r="D492" s="422">
        <v>8.9600000000000009</v>
      </c>
      <c r="E492" s="422">
        <v>2.37</v>
      </c>
      <c r="F492" s="421">
        <v>1.2045762000000004</v>
      </c>
      <c r="G492" s="422">
        <v>5.17</v>
      </c>
      <c r="H492" s="422">
        <v>1.18</v>
      </c>
      <c r="I492" s="422">
        <v>1.94</v>
      </c>
      <c r="J492" s="422">
        <v>0.74</v>
      </c>
      <c r="K492" s="422">
        <v>4.1500000000000004</v>
      </c>
      <c r="L492" s="423">
        <v>30.39999999999992</v>
      </c>
      <c r="M492" s="422"/>
      <c r="N492" s="422"/>
      <c r="O492" s="422"/>
      <c r="P492" s="422"/>
      <c r="Q492" s="422"/>
      <c r="R492" s="422"/>
      <c r="S492" s="422"/>
    </row>
    <row r="493" spans="1:97" s="424" customFormat="1" x14ac:dyDescent="0.25">
      <c r="A493" s="420">
        <v>909209</v>
      </c>
      <c r="B493" s="421">
        <v>56.948043934345307</v>
      </c>
      <c r="C493" s="422"/>
      <c r="D493" s="422">
        <v>8.1999999999999993</v>
      </c>
      <c r="E493" s="422">
        <v>1.7</v>
      </c>
      <c r="F493" s="421">
        <v>1.1485494000000003</v>
      </c>
      <c r="G493" s="422">
        <v>0.42</v>
      </c>
      <c r="H493" s="422">
        <v>0.81</v>
      </c>
      <c r="I493" s="422">
        <v>0.15</v>
      </c>
      <c r="J493" s="422">
        <v>0.66</v>
      </c>
      <c r="K493" s="422">
        <v>0.37</v>
      </c>
      <c r="L493" s="423">
        <v>24.399999999999977</v>
      </c>
      <c r="M493" s="422"/>
      <c r="N493" s="422"/>
      <c r="O493" s="422"/>
      <c r="P493" s="422"/>
      <c r="Q493" s="422"/>
      <c r="R493" s="422"/>
      <c r="S493" s="422"/>
    </row>
    <row r="494" spans="1:97" s="424" customFormat="1" x14ac:dyDescent="0.25">
      <c r="A494" s="420">
        <v>909210</v>
      </c>
      <c r="B494" s="421">
        <v>92.918088737201359</v>
      </c>
      <c r="C494" s="422"/>
      <c r="D494" s="422">
        <v>7.7</v>
      </c>
      <c r="E494" s="422">
        <v>6.91</v>
      </c>
      <c r="F494" s="425">
        <v>4.5381708000000005</v>
      </c>
      <c r="G494" s="422">
        <v>1.02</v>
      </c>
      <c r="H494" s="422">
        <v>1.94</v>
      </c>
      <c r="I494" s="422">
        <v>0.28000000000000003</v>
      </c>
      <c r="J494" s="422">
        <v>6.88</v>
      </c>
      <c r="K494" s="422">
        <v>0.56999999999999995</v>
      </c>
      <c r="L494" s="423">
        <v>72.400000000000091</v>
      </c>
      <c r="M494" s="422"/>
      <c r="N494" s="422"/>
      <c r="O494" s="422"/>
      <c r="P494" s="422"/>
      <c r="Q494" s="422"/>
      <c r="R494" s="422"/>
      <c r="S494" s="422"/>
    </row>
    <row r="495" spans="1:97" s="424" customFormat="1" x14ac:dyDescent="0.25">
      <c r="A495" s="420">
        <v>909211</v>
      </c>
      <c r="B495" s="421">
        <v>61.029688087185264</v>
      </c>
      <c r="C495" s="422"/>
      <c r="D495" s="422">
        <v>8.93</v>
      </c>
      <c r="E495" s="422">
        <v>2.41</v>
      </c>
      <c r="F495" s="421">
        <v>1.2606030000000001</v>
      </c>
      <c r="G495" s="422">
        <v>0.65</v>
      </c>
      <c r="H495" s="422">
        <v>1.3</v>
      </c>
      <c r="I495" s="422">
        <v>0.25</v>
      </c>
      <c r="J495" s="422">
        <v>0.82</v>
      </c>
      <c r="K495" s="422">
        <v>0.51</v>
      </c>
      <c r="L495" s="423">
        <v>28.599999999999994</v>
      </c>
      <c r="M495" s="422"/>
      <c r="N495" s="422"/>
      <c r="O495" s="422"/>
      <c r="P495" s="422"/>
      <c r="Q495" s="422"/>
      <c r="R495" s="422"/>
      <c r="S495" s="422"/>
    </row>
    <row r="496" spans="1:97" s="424" customFormat="1" x14ac:dyDescent="0.25">
      <c r="A496" s="420">
        <v>909212</v>
      </c>
      <c r="B496" s="421">
        <v>62.953159710734042</v>
      </c>
      <c r="C496" s="422"/>
      <c r="D496" s="422">
        <v>9.0299999999999994</v>
      </c>
      <c r="E496" s="422">
        <v>2.67</v>
      </c>
      <c r="F496" s="421">
        <v>1.0925226000000001</v>
      </c>
      <c r="G496" s="422">
        <v>0.46</v>
      </c>
      <c r="H496" s="422">
        <v>1.34</v>
      </c>
      <c r="I496" s="422">
        <v>0.21</v>
      </c>
      <c r="J496" s="422">
        <v>0.78</v>
      </c>
      <c r="K496" s="422">
        <v>0.44</v>
      </c>
      <c r="L496" s="423">
        <v>28.800000000000097</v>
      </c>
      <c r="M496" s="422"/>
      <c r="N496" s="422"/>
      <c r="O496" s="422"/>
      <c r="P496" s="422"/>
      <c r="Q496" s="422"/>
      <c r="R496" s="422"/>
      <c r="S496" s="422"/>
    </row>
    <row r="497" spans="1:100" s="424" customFormat="1" x14ac:dyDescent="0.25">
      <c r="A497" s="420">
        <v>909213</v>
      </c>
      <c r="B497" s="421">
        <v>63.807715777340832</v>
      </c>
      <c r="C497" s="422"/>
      <c r="D497" s="422">
        <v>9.1999999999999993</v>
      </c>
      <c r="E497" s="422">
        <v>2.4900000000000002</v>
      </c>
      <c r="F497" s="421">
        <v>1.5687504000000003</v>
      </c>
      <c r="G497" s="422">
        <v>0.56000000000000005</v>
      </c>
      <c r="H497" s="422">
        <v>1.48</v>
      </c>
      <c r="I497" s="422">
        <v>0.23</v>
      </c>
      <c r="J497" s="422">
        <v>0.79</v>
      </c>
      <c r="K497" s="422">
        <v>0.52</v>
      </c>
      <c r="L497" s="423">
        <v>33.599999999999994</v>
      </c>
      <c r="M497" s="422"/>
      <c r="N497" s="422"/>
      <c r="O497" s="422"/>
      <c r="P497" s="422"/>
      <c r="Q497" s="422"/>
      <c r="R497" s="422"/>
      <c r="S497" s="422"/>
    </row>
    <row r="498" spans="1:100" s="424" customFormat="1" x14ac:dyDescent="0.25">
      <c r="A498" s="420">
        <v>909214</v>
      </c>
      <c r="B498" s="421">
        <v>70.073274199768605</v>
      </c>
      <c r="C498" s="422"/>
      <c r="D498" s="422">
        <v>9.06</v>
      </c>
      <c r="E498" s="422">
        <v>3.1</v>
      </c>
      <c r="F498" s="421">
        <v>1.6527906000000001</v>
      </c>
      <c r="G498" s="422">
        <v>0.89</v>
      </c>
      <c r="H498" s="422">
        <v>1.66</v>
      </c>
      <c r="I498" s="422">
        <v>0.28999999999999998</v>
      </c>
      <c r="J498" s="422">
        <v>1.42</v>
      </c>
      <c r="K498" s="422">
        <v>0.59</v>
      </c>
      <c r="L498" s="423">
        <v>34.60000000000008</v>
      </c>
      <c r="M498" s="422"/>
      <c r="N498" s="422"/>
      <c r="O498" s="422"/>
      <c r="P498" s="422"/>
      <c r="Q498" s="422"/>
      <c r="R498" s="422"/>
      <c r="S498" s="422"/>
    </row>
    <row r="499" spans="1:100" s="424" customFormat="1" x14ac:dyDescent="0.25">
      <c r="A499" s="420">
        <v>909215</v>
      </c>
      <c r="B499" s="421">
        <v>91.131310649797328</v>
      </c>
      <c r="C499" s="422"/>
      <c r="D499" s="422">
        <v>6.11</v>
      </c>
      <c r="E499" s="422">
        <v>14.56</v>
      </c>
      <c r="F499" s="421">
        <v>7.9838189999999996</v>
      </c>
      <c r="G499" s="422">
        <v>1.84</v>
      </c>
      <c r="H499" s="422">
        <v>0.62</v>
      </c>
      <c r="I499" s="422">
        <v>2.31</v>
      </c>
      <c r="J499" s="422">
        <v>3.05</v>
      </c>
      <c r="K499" s="422">
        <v>0.2</v>
      </c>
      <c r="L499" s="423">
        <v>75.400000000000063</v>
      </c>
      <c r="M499" s="422"/>
      <c r="N499" s="422"/>
      <c r="O499" s="422"/>
      <c r="P499" s="422"/>
      <c r="Q499" s="422"/>
      <c r="R499" s="422"/>
      <c r="S499" s="422"/>
    </row>
    <row r="500" spans="1:100" x14ac:dyDescent="0.25">
      <c r="A500" s="426">
        <v>909216</v>
      </c>
      <c r="B500" s="427">
        <v>60.53</v>
      </c>
      <c r="C500" s="428"/>
      <c r="D500" s="428">
        <v>8.5299999999999994</v>
      </c>
      <c r="E500" s="428">
        <v>4.21</v>
      </c>
      <c r="F500" s="429">
        <v>2.5499999999999998</v>
      </c>
      <c r="G500" s="428">
        <v>1.44</v>
      </c>
      <c r="H500" s="428">
        <v>2.5499999999999998</v>
      </c>
      <c r="I500" s="428">
        <v>0.56999999999999995</v>
      </c>
      <c r="J500" s="428">
        <v>8.07</v>
      </c>
      <c r="K500" s="428">
        <v>0.97</v>
      </c>
      <c r="L500" s="430">
        <v>43.8</v>
      </c>
      <c r="M500" s="428"/>
      <c r="N500" s="428"/>
      <c r="O500" s="428"/>
      <c r="P500" s="428"/>
      <c r="Q500" s="428"/>
      <c r="R500" s="428"/>
      <c r="S500" s="428"/>
      <c r="T500" s="431"/>
      <c r="U500" s="431"/>
      <c r="V500" s="431"/>
      <c r="W500" s="431"/>
      <c r="X500" s="431"/>
      <c r="Y500" s="431"/>
      <c r="Z500" s="431"/>
      <c r="AA500" s="431"/>
      <c r="AB500" s="431"/>
      <c r="AC500" s="431"/>
      <c r="AD500" s="431"/>
      <c r="AE500" s="431"/>
      <c r="AF500" s="431"/>
      <c r="AG500" s="431"/>
      <c r="AH500" s="431"/>
      <c r="AI500" s="431"/>
      <c r="AJ500" s="431"/>
      <c r="AK500" s="431"/>
      <c r="AL500" s="431"/>
      <c r="AM500" s="431"/>
      <c r="AN500" s="431"/>
      <c r="AO500" s="431"/>
      <c r="AP500" s="431"/>
      <c r="AQ500" s="431"/>
      <c r="AR500" s="431"/>
      <c r="AS500" s="431"/>
      <c r="AT500" s="431"/>
      <c r="AU500" s="431"/>
      <c r="AV500" s="431"/>
      <c r="AW500" s="431"/>
      <c r="AX500" s="431"/>
      <c r="AY500" s="431"/>
      <c r="AZ500" s="431"/>
      <c r="BA500" s="431"/>
      <c r="BB500" s="431"/>
      <c r="BC500" s="431"/>
      <c r="BD500" s="431"/>
      <c r="BE500" s="431"/>
      <c r="BF500" s="431"/>
      <c r="BG500" s="431"/>
      <c r="BH500" s="431"/>
      <c r="BI500" s="431"/>
      <c r="BJ500" s="431"/>
      <c r="BK500" s="431"/>
      <c r="BL500" s="431"/>
      <c r="BM500" s="431"/>
      <c r="BN500" s="431"/>
      <c r="BO500" s="431"/>
      <c r="BP500" s="431"/>
      <c r="BQ500" s="431"/>
      <c r="BR500" s="431"/>
      <c r="BS500" s="431"/>
      <c r="BT500" s="431"/>
      <c r="BU500" s="431"/>
      <c r="BV500" s="431"/>
      <c r="BW500" s="431"/>
      <c r="BX500" s="431"/>
      <c r="BY500" s="431"/>
      <c r="BZ500" s="431"/>
      <c r="CA500" s="431"/>
      <c r="CB500" s="431"/>
      <c r="CC500" s="431"/>
      <c r="CD500" s="431"/>
      <c r="CE500" s="431"/>
      <c r="CF500" s="431"/>
      <c r="CG500" s="431"/>
      <c r="CH500" s="431"/>
      <c r="CI500" s="431"/>
      <c r="CJ500" s="431"/>
      <c r="CK500" s="431"/>
      <c r="CL500" s="431"/>
      <c r="CM500" s="431"/>
      <c r="CN500" s="431"/>
      <c r="CO500" s="431"/>
      <c r="CP500" s="431"/>
      <c r="CQ500" s="431"/>
      <c r="CR500" s="431"/>
      <c r="CS500" s="431"/>
    </row>
    <row r="501" spans="1:100" x14ac:dyDescent="0.25">
      <c r="A501" s="426">
        <v>909217</v>
      </c>
      <c r="B501" s="427">
        <v>37.520000000000003</v>
      </c>
      <c r="C501" s="428"/>
      <c r="D501" s="428">
        <v>8.35</v>
      </c>
      <c r="E501" s="428">
        <v>4.37</v>
      </c>
      <c r="F501" s="429">
        <v>2.66</v>
      </c>
      <c r="G501" s="428">
        <v>0.65</v>
      </c>
      <c r="H501" s="428">
        <v>2.0499999999999998</v>
      </c>
      <c r="I501" s="428">
        <v>0.5</v>
      </c>
      <c r="J501" s="428">
        <v>9.8800000000000008</v>
      </c>
      <c r="K501" s="428">
        <v>0.92</v>
      </c>
      <c r="L501" s="430">
        <v>35.799999999999997</v>
      </c>
      <c r="M501" s="428"/>
      <c r="N501" s="428"/>
      <c r="O501" s="428"/>
      <c r="P501" s="428"/>
      <c r="Q501" s="428"/>
      <c r="R501" s="428"/>
      <c r="S501" s="428"/>
      <c r="T501" s="431"/>
      <c r="U501" s="431"/>
      <c r="V501" s="431"/>
      <c r="W501" s="431"/>
      <c r="X501" s="431"/>
      <c r="Y501" s="431"/>
      <c r="Z501" s="431"/>
      <c r="AA501" s="431"/>
      <c r="AB501" s="431"/>
      <c r="AC501" s="431"/>
      <c r="AD501" s="431"/>
      <c r="AE501" s="431"/>
      <c r="AF501" s="431"/>
      <c r="AG501" s="431"/>
      <c r="AH501" s="431"/>
      <c r="AI501" s="431"/>
      <c r="AJ501" s="431"/>
      <c r="AK501" s="431"/>
      <c r="AL501" s="431"/>
      <c r="AM501" s="431"/>
      <c r="AN501" s="431"/>
      <c r="AO501" s="431"/>
      <c r="AP501" s="431"/>
      <c r="AQ501" s="431"/>
      <c r="AR501" s="431"/>
      <c r="AS501" s="431"/>
      <c r="AT501" s="431"/>
      <c r="AU501" s="431"/>
      <c r="AV501" s="431"/>
      <c r="AW501" s="431"/>
      <c r="AX501" s="431"/>
      <c r="AY501" s="431"/>
      <c r="AZ501" s="431"/>
      <c r="BA501" s="431"/>
      <c r="BB501" s="431"/>
      <c r="BC501" s="431"/>
      <c r="BD501" s="431"/>
      <c r="BE501" s="431"/>
      <c r="BF501" s="431"/>
      <c r="BG501" s="431"/>
      <c r="BH501" s="431"/>
      <c r="BI501" s="431"/>
      <c r="BJ501" s="431"/>
      <c r="BK501" s="431"/>
      <c r="BL501" s="431"/>
      <c r="BM501" s="431"/>
      <c r="BN501" s="431"/>
      <c r="BO501" s="431"/>
      <c r="BP501" s="431"/>
      <c r="BQ501" s="431"/>
      <c r="BR501" s="431"/>
      <c r="BS501" s="431"/>
      <c r="BT501" s="431"/>
      <c r="BU501" s="431"/>
      <c r="BV501" s="431"/>
      <c r="BW501" s="431"/>
      <c r="BX501" s="431"/>
      <c r="BY501" s="431"/>
      <c r="BZ501" s="431"/>
      <c r="CA501" s="431"/>
      <c r="CB501" s="431"/>
      <c r="CC501" s="431"/>
      <c r="CD501" s="431"/>
      <c r="CE501" s="431"/>
      <c r="CF501" s="431"/>
      <c r="CG501" s="431"/>
      <c r="CH501" s="431"/>
      <c r="CI501" s="431"/>
      <c r="CJ501" s="431"/>
      <c r="CK501" s="431"/>
      <c r="CL501" s="431"/>
      <c r="CM501" s="431"/>
      <c r="CN501" s="431"/>
      <c r="CO501" s="431"/>
      <c r="CP501" s="431"/>
      <c r="CQ501" s="431"/>
      <c r="CR501" s="431"/>
      <c r="CS501" s="431"/>
    </row>
    <row r="502" spans="1:100" x14ac:dyDescent="0.25">
      <c r="A502" s="426">
        <v>909218</v>
      </c>
      <c r="B502" s="427">
        <v>35.950000000000003</v>
      </c>
      <c r="C502" s="428"/>
      <c r="D502" s="428">
        <v>8.56</v>
      </c>
      <c r="E502" s="428">
        <v>2.79</v>
      </c>
      <c r="F502" s="429">
        <v>2.77</v>
      </c>
      <c r="G502" s="428">
        <v>0.69</v>
      </c>
      <c r="H502" s="428">
        <v>2.0099999999999998</v>
      </c>
      <c r="I502" s="428">
        <v>0.52</v>
      </c>
      <c r="J502" s="428">
        <v>9.07</v>
      </c>
      <c r="K502" s="428">
        <v>0.85</v>
      </c>
      <c r="L502" s="430">
        <v>41.6</v>
      </c>
      <c r="M502" s="428"/>
      <c r="N502" s="428"/>
      <c r="O502" s="428"/>
      <c r="P502" s="428"/>
      <c r="Q502" s="428"/>
      <c r="R502" s="428"/>
      <c r="S502" s="428"/>
      <c r="T502" s="431"/>
      <c r="U502" s="431"/>
      <c r="V502" s="431"/>
      <c r="W502" s="431"/>
      <c r="X502" s="431"/>
      <c r="Y502" s="431"/>
      <c r="Z502" s="431"/>
      <c r="AA502" s="431"/>
      <c r="AB502" s="431"/>
      <c r="AC502" s="431"/>
      <c r="AD502" s="431"/>
      <c r="AE502" s="431"/>
      <c r="AF502" s="431"/>
      <c r="AG502" s="431"/>
      <c r="AH502" s="431"/>
      <c r="AI502" s="431"/>
      <c r="AJ502" s="431"/>
      <c r="AK502" s="431"/>
      <c r="AL502" s="431"/>
      <c r="AM502" s="431"/>
      <c r="AN502" s="431"/>
      <c r="AO502" s="431"/>
      <c r="AP502" s="431"/>
      <c r="AQ502" s="431"/>
      <c r="AR502" s="431"/>
      <c r="AS502" s="431"/>
      <c r="AT502" s="431"/>
      <c r="AU502" s="431"/>
      <c r="AV502" s="431"/>
      <c r="AW502" s="431"/>
      <c r="AX502" s="431"/>
      <c r="AY502" s="431"/>
      <c r="AZ502" s="431"/>
      <c r="BA502" s="431"/>
      <c r="BB502" s="431"/>
      <c r="BC502" s="431"/>
      <c r="BD502" s="431"/>
      <c r="BE502" s="431"/>
      <c r="BF502" s="431"/>
      <c r="BG502" s="431"/>
      <c r="BH502" s="431"/>
      <c r="BI502" s="431"/>
      <c r="BJ502" s="431"/>
      <c r="BK502" s="431"/>
      <c r="BL502" s="431"/>
      <c r="BM502" s="431"/>
      <c r="BN502" s="431"/>
      <c r="BO502" s="431"/>
      <c r="BP502" s="431"/>
      <c r="BQ502" s="431"/>
      <c r="BR502" s="431"/>
      <c r="BS502" s="431"/>
      <c r="BT502" s="431"/>
      <c r="BU502" s="431"/>
      <c r="BV502" s="431"/>
      <c r="BW502" s="431"/>
      <c r="BX502" s="431"/>
      <c r="BY502" s="431"/>
      <c r="BZ502" s="431"/>
      <c r="CA502" s="431"/>
      <c r="CB502" s="431"/>
      <c r="CC502" s="431"/>
      <c r="CD502" s="431"/>
      <c r="CE502" s="431"/>
      <c r="CF502" s="431"/>
      <c r="CG502" s="431"/>
      <c r="CH502" s="431"/>
      <c r="CI502" s="431"/>
      <c r="CJ502" s="431"/>
      <c r="CK502" s="431"/>
      <c r="CL502" s="431"/>
      <c r="CM502" s="431"/>
      <c r="CN502" s="431"/>
      <c r="CO502" s="431"/>
      <c r="CP502" s="431"/>
      <c r="CQ502" s="431"/>
      <c r="CR502" s="431"/>
      <c r="CS502" s="431"/>
    </row>
    <row r="503" spans="1:100" x14ac:dyDescent="0.25">
      <c r="A503" s="426">
        <v>909219</v>
      </c>
      <c r="B503" s="427">
        <v>28.68</v>
      </c>
      <c r="C503" s="428"/>
      <c r="D503" s="428">
        <v>8.2200000000000006</v>
      </c>
      <c r="E503" s="428">
        <v>3.39</v>
      </c>
      <c r="F503" s="429">
        <v>2.83</v>
      </c>
      <c r="G503" s="428">
        <v>0.77</v>
      </c>
      <c r="H503" s="428">
        <v>2.09</v>
      </c>
      <c r="I503" s="428">
        <v>0.55000000000000004</v>
      </c>
      <c r="J503" s="428">
        <v>8.65</v>
      </c>
      <c r="K503" s="428">
        <v>0.92</v>
      </c>
      <c r="L503" s="430">
        <v>48.8</v>
      </c>
      <c r="M503" s="428"/>
      <c r="N503" s="428"/>
      <c r="O503" s="428"/>
      <c r="P503" s="428"/>
      <c r="Q503" s="428"/>
      <c r="R503" s="428"/>
      <c r="S503" s="428"/>
      <c r="T503" s="431"/>
      <c r="U503" s="431"/>
      <c r="V503" s="431"/>
      <c r="W503" s="431"/>
      <c r="X503" s="431"/>
      <c r="Y503" s="431"/>
      <c r="Z503" s="431"/>
      <c r="AA503" s="431"/>
      <c r="AB503" s="431"/>
      <c r="AC503" s="431"/>
      <c r="AD503" s="431"/>
      <c r="AE503" s="431"/>
      <c r="AF503" s="431"/>
      <c r="AG503" s="431"/>
      <c r="AH503" s="431"/>
      <c r="AI503" s="431"/>
      <c r="AJ503" s="431"/>
      <c r="AK503" s="431"/>
      <c r="AL503" s="431"/>
      <c r="AM503" s="431"/>
      <c r="AN503" s="431"/>
      <c r="AO503" s="431"/>
      <c r="AP503" s="431"/>
      <c r="AQ503" s="431"/>
      <c r="AR503" s="431"/>
      <c r="AS503" s="431"/>
      <c r="AT503" s="431"/>
      <c r="AU503" s="431"/>
      <c r="AV503" s="431"/>
      <c r="AW503" s="431"/>
      <c r="AX503" s="431"/>
      <c r="AY503" s="431"/>
      <c r="AZ503" s="431"/>
      <c r="BA503" s="431"/>
      <c r="BB503" s="431"/>
      <c r="BC503" s="431"/>
      <c r="BD503" s="431"/>
      <c r="BE503" s="431"/>
      <c r="BF503" s="431"/>
      <c r="BG503" s="431"/>
      <c r="BH503" s="431"/>
      <c r="BI503" s="431"/>
      <c r="BJ503" s="431"/>
      <c r="BK503" s="431"/>
      <c r="BL503" s="431"/>
      <c r="BM503" s="431"/>
      <c r="BN503" s="431"/>
      <c r="BO503" s="431"/>
      <c r="BP503" s="431"/>
      <c r="BQ503" s="431"/>
      <c r="BR503" s="431"/>
      <c r="BS503" s="431"/>
      <c r="BT503" s="431"/>
      <c r="BU503" s="431"/>
      <c r="BV503" s="431"/>
      <c r="BW503" s="431"/>
      <c r="BX503" s="431"/>
      <c r="BY503" s="431"/>
      <c r="BZ503" s="431"/>
      <c r="CA503" s="431"/>
      <c r="CB503" s="431"/>
      <c r="CC503" s="431"/>
      <c r="CD503" s="431"/>
      <c r="CE503" s="431"/>
      <c r="CF503" s="431"/>
      <c r="CG503" s="431"/>
      <c r="CH503" s="431"/>
      <c r="CI503" s="431"/>
      <c r="CJ503" s="431"/>
      <c r="CK503" s="431"/>
      <c r="CL503" s="431"/>
      <c r="CM503" s="431"/>
      <c r="CN503" s="431"/>
      <c r="CO503" s="431"/>
      <c r="CP503" s="431"/>
      <c r="CQ503" s="431"/>
      <c r="CR503" s="431"/>
      <c r="CS503" s="431"/>
    </row>
    <row r="504" spans="1:100" x14ac:dyDescent="0.25">
      <c r="A504" s="433">
        <v>909237</v>
      </c>
      <c r="B504" s="34">
        <v>55.95</v>
      </c>
      <c r="C504" s="431"/>
      <c r="D504" s="431"/>
      <c r="E504" s="431"/>
      <c r="F504" s="431"/>
      <c r="G504" s="432"/>
      <c r="H504" s="431"/>
      <c r="I504" s="431"/>
      <c r="J504" s="431"/>
      <c r="K504" s="431"/>
      <c r="L504" s="433">
        <v>36.6</v>
      </c>
      <c r="M504" s="431"/>
      <c r="N504" s="431"/>
      <c r="O504" s="431"/>
      <c r="P504" s="431"/>
      <c r="Q504" s="431"/>
      <c r="R504" s="431"/>
      <c r="S504" s="431"/>
      <c r="T504" s="431"/>
      <c r="U504" s="431"/>
      <c r="V504" s="431"/>
      <c r="W504" s="431"/>
      <c r="X504" s="431"/>
      <c r="Y504" s="431"/>
      <c r="Z504" s="431"/>
      <c r="AA504" s="431"/>
      <c r="AB504" s="431"/>
      <c r="AC504" s="431"/>
      <c r="AD504" s="431"/>
      <c r="AE504" s="431"/>
      <c r="AF504" s="431"/>
      <c r="AG504" s="431"/>
      <c r="AH504" s="431"/>
      <c r="AI504" s="431"/>
      <c r="AJ504" s="431"/>
      <c r="AK504" s="431"/>
      <c r="AL504" s="431"/>
      <c r="AM504" s="431"/>
      <c r="AN504" s="431"/>
      <c r="AO504" s="431"/>
      <c r="AP504" s="431"/>
      <c r="AQ504" s="431"/>
      <c r="AR504" s="431"/>
      <c r="AS504" s="431"/>
      <c r="AT504" s="431"/>
      <c r="AU504" s="431"/>
      <c r="AV504" s="431"/>
      <c r="AW504" s="431"/>
      <c r="AX504" s="431"/>
      <c r="AY504" s="431"/>
      <c r="AZ504" s="431"/>
      <c r="BA504" s="431"/>
      <c r="BB504" s="431"/>
      <c r="BC504" s="431"/>
      <c r="BD504" s="431"/>
      <c r="BE504" s="431"/>
      <c r="BF504" s="431"/>
      <c r="BG504" s="431"/>
      <c r="BH504" s="431"/>
      <c r="BI504" s="431"/>
      <c r="BJ504" s="431"/>
      <c r="BK504" s="431"/>
      <c r="BL504" s="431"/>
      <c r="BM504" s="431"/>
      <c r="BN504" s="431"/>
      <c r="BO504" s="431"/>
      <c r="BP504" s="431"/>
      <c r="BQ504" s="431"/>
      <c r="BR504" s="431"/>
      <c r="BS504" s="431"/>
      <c r="BT504" s="431"/>
      <c r="BU504" s="431"/>
      <c r="BV504" s="431"/>
      <c r="BW504" s="431"/>
      <c r="BX504" s="431"/>
      <c r="BY504" s="431"/>
      <c r="BZ504" s="431"/>
      <c r="CA504" s="431"/>
      <c r="CB504" s="431"/>
      <c r="CC504" s="431"/>
      <c r="CD504" s="431"/>
      <c r="CE504" s="431"/>
      <c r="CF504" s="431"/>
      <c r="CG504" s="431"/>
      <c r="CH504" s="431"/>
      <c r="CI504" s="431"/>
      <c r="CJ504" s="431"/>
      <c r="CK504" s="431"/>
      <c r="CL504" s="431"/>
      <c r="CM504" s="431"/>
      <c r="CN504" s="431"/>
      <c r="CO504" s="431"/>
      <c r="CP504" s="431"/>
      <c r="CQ504" s="431"/>
      <c r="CR504" s="431"/>
      <c r="CS504" s="431"/>
      <c r="CT504" s="431"/>
      <c r="CU504" s="431"/>
      <c r="CV504" s="431"/>
    </row>
    <row r="505" spans="1:100" x14ac:dyDescent="0.25">
      <c r="A505" s="433">
        <v>909238</v>
      </c>
      <c r="B505" s="34">
        <v>50.52</v>
      </c>
      <c r="C505" s="431"/>
      <c r="D505" s="431"/>
      <c r="E505" s="431"/>
      <c r="F505" s="431"/>
      <c r="G505" s="432"/>
      <c r="H505" s="431"/>
      <c r="I505" s="431"/>
      <c r="J505" s="431"/>
      <c r="K505" s="431"/>
      <c r="L505" s="433">
        <v>42.1</v>
      </c>
      <c r="M505" s="431"/>
      <c r="N505" s="431"/>
      <c r="O505" s="431"/>
      <c r="P505" s="431"/>
      <c r="Q505" s="431"/>
      <c r="R505" s="431"/>
      <c r="S505" s="431"/>
      <c r="T505" s="431"/>
      <c r="U505" s="431"/>
      <c r="V505" s="431"/>
      <c r="W505" s="431"/>
      <c r="X505" s="431"/>
      <c r="Y505" s="431"/>
      <c r="Z505" s="431"/>
      <c r="AA505" s="431"/>
      <c r="AB505" s="431"/>
      <c r="AC505" s="431"/>
      <c r="AD505" s="431"/>
      <c r="AE505" s="431"/>
      <c r="AF505" s="431"/>
      <c r="AG505" s="431"/>
      <c r="AH505" s="431"/>
      <c r="AI505" s="431"/>
      <c r="AJ505" s="431"/>
      <c r="AK505" s="431"/>
      <c r="AL505" s="431"/>
      <c r="AM505" s="431"/>
      <c r="AN505" s="431"/>
      <c r="AO505" s="431"/>
      <c r="AP505" s="431"/>
      <c r="AQ505" s="431"/>
      <c r="AR505" s="431"/>
      <c r="AS505" s="431"/>
      <c r="AT505" s="431"/>
      <c r="AU505" s="431"/>
      <c r="AV505" s="431"/>
      <c r="AW505" s="431"/>
      <c r="AX505" s="431"/>
      <c r="AY505" s="431"/>
      <c r="AZ505" s="431"/>
      <c r="BA505" s="431"/>
      <c r="BB505" s="431"/>
      <c r="BC505" s="431"/>
      <c r="BD505" s="431"/>
      <c r="BE505" s="431"/>
      <c r="BF505" s="431"/>
      <c r="BG505" s="431"/>
      <c r="BH505" s="431"/>
      <c r="BI505" s="431"/>
      <c r="BJ505" s="431"/>
      <c r="BK505" s="431"/>
      <c r="BL505" s="431"/>
      <c r="BM505" s="431"/>
      <c r="BN505" s="431"/>
      <c r="BO505" s="431"/>
      <c r="BP505" s="431"/>
      <c r="BQ505" s="431"/>
      <c r="BR505" s="431"/>
      <c r="BS505" s="431"/>
      <c r="BT505" s="431"/>
      <c r="BU505" s="431"/>
      <c r="BV505" s="431"/>
      <c r="BW505" s="431"/>
      <c r="BX505" s="431"/>
      <c r="BY505" s="431"/>
      <c r="BZ505" s="431"/>
      <c r="CA505" s="431"/>
      <c r="CB505" s="431"/>
      <c r="CC505" s="431"/>
      <c r="CD505" s="431"/>
      <c r="CE505" s="431"/>
      <c r="CF505" s="431"/>
      <c r="CG505" s="431"/>
      <c r="CH505" s="431"/>
      <c r="CI505" s="431"/>
      <c r="CJ505" s="431"/>
      <c r="CK505" s="431"/>
      <c r="CL505" s="431"/>
      <c r="CM505" s="431"/>
      <c r="CN505" s="431"/>
      <c r="CO505" s="431"/>
      <c r="CP505" s="431"/>
      <c r="CQ505" s="431"/>
      <c r="CR505" s="431"/>
      <c r="CS505" s="431"/>
      <c r="CT505" s="431"/>
      <c r="CU505" s="431"/>
      <c r="CV505" s="431"/>
    </row>
    <row r="506" spans="1:100" x14ac:dyDescent="0.25">
      <c r="A506" s="433">
        <v>909239</v>
      </c>
      <c r="B506" s="34">
        <v>49.72</v>
      </c>
      <c r="C506" s="431"/>
      <c r="D506" s="431"/>
      <c r="E506" s="431"/>
      <c r="F506" s="431"/>
      <c r="G506" s="432"/>
      <c r="H506" s="431"/>
      <c r="I506" s="431"/>
      <c r="J506" s="431"/>
      <c r="K506" s="431"/>
      <c r="L506" s="433">
        <v>44.8</v>
      </c>
      <c r="M506" s="431"/>
      <c r="N506" s="431"/>
      <c r="O506" s="431"/>
      <c r="P506" s="431"/>
      <c r="Q506" s="431"/>
      <c r="R506" s="431"/>
      <c r="S506" s="431"/>
      <c r="T506" s="431"/>
      <c r="U506" s="431"/>
      <c r="V506" s="431"/>
      <c r="W506" s="431"/>
      <c r="X506" s="431"/>
      <c r="Y506" s="431"/>
      <c r="Z506" s="431"/>
      <c r="AA506" s="431"/>
      <c r="AB506" s="431"/>
      <c r="AC506" s="431"/>
      <c r="AD506" s="431"/>
      <c r="AE506" s="431"/>
      <c r="AF506" s="431"/>
      <c r="AG506" s="431"/>
      <c r="AH506" s="431"/>
      <c r="AI506" s="431"/>
      <c r="AJ506" s="431"/>
      <c r="AK506" s="431"/>
      <c r="AL506" s="431"/>
      <c r="AM506" s="431"/>
      <c r="AN506" s="431"/>
      <c r="AO506" s="431"/>
      <c r="AP506" s="431"/>
      <c r="AQ506" s="431"/>
      <c r="AR506" s="431"/>
      <c r="AS506" s="431"/>
      <c r="AT506" s="431"/>
      <c r="AU506" s="431"/>
      <c r="AV506" s="431"/>
      <c r="AW506" s="431"/>
      <c r="AX506" s="431"/>
      <c r="AY506" s="431"/>
      <c r="AZ506" s="431"/>
      <c r="BA506" s="431"/>
      <c r="BB506" s="431"/>
      <c r="BC506" s="431"/>
      <c r="BD506" s="431"/>
      <c r="BE506" s="431"/>
      <c r="BF506" s="431"/>
      <c r="BG506" s="431"/>
      <c r="BH506" s="431"/>
      <c r="BI506" s="431"/>
      <c r="BJ506" s="431"/>
      <c r="BK506" s="431"/>
      <c r="BL506" s="431"/>
      <c r="BM506" s="431"/>
      <c r="BN506" s="431"/>
      <c r="BO506" s="431"/>
      <c r="BP506" s="431"/>
      <c r="BQ506" s="431"/>
      <c r="BR506" s="431"/>
      <c r="BS506" s="431"/>
      <c r="BT506" s="431"/>
      <c r="BU506" s="431"/>
      <c r="BV506" s="431"/>
      <c r="BW506" s="431"/>
      <c r="BX506" s="431"/>
      <c r="BY506" s="431"/>
      <c r="BZ506" s="431"/>
      <c r="CA506" s="431"/>
      <c r="CB506" s="431"/>
      <c r="CC506" s="431"/>
      <c r="CD506" s="431"/>
      <c r="CE506" s="431"/>
      <c r="CF506" s="431"/>
      <c r="CG506" s="431"/>
      <c r="CH506" s="431"/>
      <c r="CI506" s="431"/>
      <c r="CJ506" s="431"/>
      <c r="CK506" s="431"/>
      <c r="CL506" s="431"/>
      <c r="CM506" s="431"/>
      <c r="CN506" s="431"/>
      <c r="CO506" s="431"/>
      <c r="CP506" s="431"/>
      <c r="CQ506" s="431"/>
      <c r="CR506" s="431"/>
      <c r="CS506" s="431"/>
      <c r="CT506" s="431"/>
      <c r="CU506" s="431"/>
      <c r="CV506" s="431"/>
    </row>
    <row r="507" spans="1:100" x14ac:dyDescent="0.25">
      <c r="A507" s="486">
        <v>909220</v>
      </c>
      <c r="B507" s="487">
        <v>52.92</v>
      </c>
      <c r="C507" s="488"/>
      <c r="D507" s="488">
        <v>8.83</v>
      </c>
      <c r="E507" s="488">
        <v>1.1000000000000001</v>
      </c>
      <c r="F507" s="487">
        <v>1.6</v>
      </c>
      <c r="G507" s="488">
        <v>0.4</v>
      </c>
      <c r="H507" s="488">
        <v>1.24</v>
      </c>
      <c r="I507" s="488">
        <v>0.18</v>
      </c>
      <c r="J507" s="488">
        <v>3</v>
      </c>
      <c r="K507" s="488">
        <v>1</v>
      </c>
      <c r="L507" s="489">
        <v>43.9</v>
      </c>
      <c r="M507" s="488"/>
      <c r="N507" s="488"/>
      <c r="O507" s="488"/>
      <c r="P507" s="488"/>
      <c r="Q507" s="488"/>
      <c r="R507" s="488"/>
      <c r="S507" s="488"/>
      <c r="T507" s="490"/>
      <c r="U507" s="490"/>
      <c r="V507" s="490"/>
      <c r="W507" s="490"/>
      <c r="X507" s="490"/>
      <c r="Y507" s="490"/>
      <c r="Z507" s="490"/>
      <c r="AA507" s="490"/>
      <c r="AB507" s="490"/>
      <c r="AC507" s="490"/>
      <c r="AD507" s="490"/>
      <c r="AE507" s="490"/>
      <c r="AF507" s="490"/>
      <c r="AG507" s="490"/>
      <c r="AH507" s="490"/>
      <c r="AI507" s="490"/>
      <c r="AJ507" s="490"/>
      <c r="AK507" s="490"/>
      <c r="AL507" s="490"/>
      <c r="AM507" s="490"/>
      <c r="AN507" s="490"/>
      <c r="AO507" s="490"/>
      <c r="AP507" s="490"/>
      <c r="AQ507" s="490"/>
      <c r="AR507" s="490"/>
      <c r="AS507" s="490"/>
      <c r="AT507" s="490"/>
      <c r="AU507" s="490"/>
      <c r="AV507" s="490"/>
      <c r="AW507" s="490"/>
      <c r="AX507" s="490"/>
      <c r="AY507" s="490"/>
      <c r="AZ507" s="490"/>
      <c r="BA507" s="490"/>
      <c r="BB507" s="490"/>
      <c r="BC507" s="490"/>
      <c r="BD507" s="490"/>
      <c r="BE507" s="490"/>
      <c r="BF507" s="490"/>
      <c r="BG507" s="490"/>
      <c r="BH507" s="490"/>
      <c r="BI507" s="490"/>
      <c r="BJ507" s="490"/>
      <c r="BK507" s="490"/>
      <c r="BL507" s="490"/>
      <c r="BM507" s="490"/>
      <c r="BN507" s="490"/>
      <c r="BO507" s="490"/>
      <c r="BP507" s="490"/>
      <c r="BQ507" s="490"/>
      <c r="BR507" s="490"/>
      <c r="BS507" s="490"/>
      <c r="BT507" s="490"/>
      <c r="BU507" s="490"/>
      <c r="BV507" s="490"/>
      <c r="BW507" s="490"/>
      <c r="BX507" s="490"/>
      <c r="BY507" s="490"/>
      <c r="BZ507" s="490"/>
      <c r="CA507" s="490"/>
      <c r="CB507" s="490"/>
      <c r="CC507" s="490"/>
      <c r="CD507" s="490"/>
      <c r="CE507" s="490"/>
      <c r="CF507" s="490"/>
      <c r="CG507" s="490"/>
      <c r="CH507" s="490"/>
      <c r="CI507" s="490"/>
      <c r="CJ507" s="490"/>
      <c r="CK507" s="490"/>
      <c r="CL507" s="490"/>
      <c r="CM507" s="490"/>
      <c r="CN507" s="490"/>
      <c r="CO507" s="490"/>
      <c r="CP507" s="490"/>
      <c r="CQ507" s="490"/>
      <c r="CR507" s="490"/>
      <c r="CS507" s="490"/>
    </row>
    <row r="508" spans="1:100" x14ac:dyDescent="0.25">
      <c r="A508" s="486">
        <v>909221</v>
      </c>
      <c r="B508" s="487">
        <v>52.94</v>
      </c>
      <c r="C508" s="488"/>
      <c r="D508" s="488">
        <v>8.0500000000000007</v>
      </c>
      <c r="E508" s="488">
        <v>1.2</v>
      </c>
      <c r="F508" s="487">
        <v>1.46</v>
      </c>
      <c r="G508" s="488">
        <v>0.12</v>
      </c>
      <c r="H508" s="488">
        <v>0.43</v>
      </c>
      <c r="I508" s="488">
        <v>0.21</v>
      </c>
      <c r="J508" s="488">
        <v>4.72</v>
      </c>
      <c r="K508" s="488">
        <v>0.27</v>
      </c>
      <c r="L508" s="489">
        <v>38.4</v>
      </c>
      <c r="M508" s="488"/>
      <c r="N508" s="488"/>
      <c r="O508" s="488"/>
      <c r="P508" s="488"/>
      <c r="Q508" s="488"/>
      <c r="R508" s="488"/>
      <c r="S508" s="488"/>
      <c r="T508" s="490"/>
      <c r="U508" s="490"/>
      <c r="V508" s="490"/>
      <c r="W508" s="490"/>
      <c r="X508" s="490"/>
      <c r="Y508" s="490"/>
      <c r="Z508" s="490"/>
      <c r="AA508" s="490"/>
      <c r="AB508" s="490"/>
      <c r="AC508" s="490"/>
      <c r="AD508" s="490"/>
      <c r="AE508" s="490"/>
      <c r="AF508" s="490"/>
      <c r="AG508" s="490"/>
      <c r="AH508" s="490"/>
      <c r="AI508" s="490"/>
      <c r="AJ508" s="490"/>
      <c r="AK508" s="490"/>
      <c r="AL508" s="490"/>
      <c r="AM508" s="490"/>
      <c r="AN508" s="490"/>
      <c r="AO508" s="490"/>
      <c r="AP508" s="490"/>
      <c r="AQ508" s="490"/>
      <c r="AR508" s="490"/>
      <c r="AS508" s="490"/>
      <c r="AT508" s="490"/>
      <c r="AU508" s="490"/>
      <c r="AV508" s="490"/>
      <c r="AW508" s="490"/>
      <c r="AX508" s="490"/>
      <c r="AY508" s="490"/>
      <c r="AZ508" s="490"/>
      <c r="BA508" s="490"/>
      <c r="BB508" s="490"/>
      <c r="BC508" s="490"/>
      <c r="BD508" s="490"/>
      <c r="BE508" s="490"/>
      <c r="BF508" s="490"/>
      <c r="BG508" s="490"/>
      <c r="BH508" s="490"/>
      <c r="BI508" s="490"/>
      <c r="BJ508" s="490"/>
      <c r="BK508" s="490"/>
      <c r="BL508" s="490"/>
      <c r="BM508" s="490"/>
      <c r="BN508" s="490"/>
      <c r="BO508" s="490"/>
      <c r="BP508" s="490"/>
      <c r="BQ508" s="490"/>
      <c r="BR508" s="490"/>
      <c r="BS508" s="490"/>
      <c r="BT508" s="490"/>
      <c r="BU508" s="490"/>
      <c r="BV508" s="490"/>
      <c r="BW508" s="490"/>
      <c r="BX508" s="490"/>
      <c r="BY508" s="490"/>
      <c r="BZ508" s="490"/>
      <c r="CA508" s="490"/>
      <c r="CB508" s="490"/>
      <c r="CC508" s="490"/>
      <c r="CD508" s="490"/>
      <c r="CE508" s="490"/>
      <c r="CF508" s="490"/>
      <c r="CG508" s="490"/>
      <c r="CH508" s="490"/>
      <c r="CI508" s="490"/>
      <c r="CJ508" s="490"/>
      <c r="CK508" s="490"/>
      <c r="CL508" s="490"/>
      <c r="CM508" s="490"/>
      <c r="CN508" s="490"/>
      <c r="CO508" s="490"/>
      <c r="CP508" s="490"/>
      <c r="CQ508" s="490"/>
      <c r="CR508" s="490"/>
      <c r="CS508" s="490"/>
    </row>
    <row r="509" spans="1:100" x14ac:dyDescent="0.25">
      <c r="A509" s="486">
        <v>909222</v>
      </c>
      <c r="B509" s="487">
        <v>52.1</v>
      </c>
      <c r="C509" s="488"/>
      <c r="D509" s="488">
        <v>8.14</v>
      </c>
      <c r="E509" s="488">
        <v>0.753</v>
      </c>
      <c r="F509" s="487">
        <v>1.23</v>
      </c>
      <c r="G509" s="488">
        <v>7.0000000000000007E-2</v>
      </c>
      <c r="H509" s="488">
        <v>0.36</v>
      </c>
      <c r="I509" s="488">
        <v>0.14000000000000001</v>
      </c>
      <c r="J509" s="488">
        <v>5.97</v>
      </c>
      <c r="K509" s="488">
        <v>0.24</v>
      </c>
      <c r="L509" s="489">
        <v>38.700000000000003</v>
      </c>
      <c r="M509" s="488"/>
      <c r="N509" s="488"/>
      <c r="O509" s="488"/>
      <c r="P509" s="488"/>
      <c r="Q509" s="488"/>
      <c r="R509" s="488"/>
      <c r="S509" s="488"/>
      <c r="T509" s="490"/>
      <c r="U509" s="490"/>
      <c r="V509" s="490"/>
      <c r="W509" s="490"/>
      <c r="X509" s="490"/>
      <c r="Y509" s="490"/>
      <c r="Z509" s="490"/>
      <c r="AA509" s="490"/>
      <c r="AB509" s="490"/>
      <c r="AC509" s="490"/>
      <c r="AD509" s="490"/>
      <c r="AE509" s="490"/>
      <c r="AF509" s="490"/>
      <c r="AG509" s="490"/>
      <c r="AH509" s="490"/>
      <c r="AI509" s="490"/>
      <c r="AJ509" s="490"/>
      <c r="AK509" s="490"/>
      <c r="AL509" s="490"/>
      <c r="AM509" s="490"/>
      <c r="AN509" s="490"/>
      <c r="AO509" s="490"/>
      <c r="AP509" s="490"/>
      <c r="AQ509" s="490"/>
      <c r="AR509" s="490"/>
      <c r="AS509" s="490"/>
      <c r="AT509" s="490"/>
      <c r="AU509" s="490"/>
      <c r="AV509" s="490"/>
      <c r="AW509" s="490"/>
      <c r="AX509" s="490"/>
      <c r="AY509" s="490"/>
      <c r="AZ509" s="490"/>
      <c r="BA509" s="490"/>
      <c r="BB509" s="490"/>
      <c r="BC509" s="490"/>
      <c r="BD509" s="490"/>
      <c r="BE509" s="490"/>
      <c r="BF509" s="490"/>
      <c r="BG509" s="490"/>
      <c r="BH509" s="490"/>
      <c r="BI509" s="490"/>
      <c r="BJ509" s="490"/>
      <c r="BK509" s="490"/>
      <c r="BL509" s="490"/>
      <c r="BM509" s="490"/>
      <c r="BN509" s="490"/>
      <c r="BO509" s="490"/>
      <c r="BP509" s="490"/>
      <c r="BQ509" s="490"/>
      <c r="BR509" s="490"/>
      <c r="BS509" s="490"/>
      <c r="BT509" s="490"/>
      <c r="BU509" s="490"/>
      <c r="BV509" s="490"/>
      <c r="BW509" s="490"/>
      <c r="BX509" s="490"/>
      <c r="BY509" s="490"/>
      <c r="BZ509" s="490"/>
      <c r="CA509" s="490"/>
      <c r="CB509" s="490"/>
      <c r="CC509" s="490"/>
      <c r="CD509" s="490"/>
      <c r="CE509" s="490"/>
      <c r="CF509" s="490"/>
      <c r="CG509" s="490"/>
      <c r="CH509" s="490"/>
      <c r="CI509" s="490"/>
      <c r="CJ509" s="490"/>
      <c r="CK509" s="490"/>
      <c r="CL509" s="490"/>
      <c r="CM509" s="490"/>
      <c r="CN509" s="490"/>
      <c r="CO509" s="490"/>
      <c r="CP509" s="490"/>
      <c r="CQ509" s="490"/>
      <c r="CR509" s="490"/>
      <c r="CS509" s="490"/>
    </row>
    <row r="510" spans="1:100" x14ac:dyDescent="0.25">
      <c r="A510" s="486">
        <v>909223</v>
      </c>
      <c r="B510" s="487">
        <v>80.98</v>
      </c>
      <c r="C510" s="488"/>
      <c r="D510" s="488">
        <v>9.7200000000000006</v>
      </c>
      <c r="E510" s="488">
        <v>29.55</v>
      </c>
      <c r="F510" s="487">
        <v>1.88</v>
      </c>
      <c r="G510" s="488">
        <v>1.19</v>
      </c>
      <c r="H510" s="488">
        <v>8.51</v>
      </c>
      <c r="I510" s="488">
        <v>0.6</v>
      </c>
      <c r="J510" s="488">
        <v>7.95</v>
      </c>
      <c r="K510" s="488">
        <v>0.96</v>
      </c>
      <c r="L510" s="489">
        <v>36.299999999999997</v>
      </c>
      <c r="M510" s="488"/>
      <c r="N510" s="488"/>
      <c r="O510" s="488"/>
      <c r="P510" s="488"/>
      <c r="Q510" s="488"/>
      <c r="R510" s="488"/>
      <c r="S510" s="488"/>
      <c r="T510" s="490"/>
      <c r="U510" s="490"/>
      <c r="V510" s="490"/>
      <c r="W510" s="490"/>
      <c r="X510" s="490"/>
      <c r="Y510" s="490"/>
      <c r="Z510" s="490"/>
      <c r="AA510" s="490"/>
      <c r="AB510" s="490"/>
      <c r="AC510" s="490"/>
      <c r="AD510" s="490"/>
      <c r="AE510" s="490"/>
      <c r="AF510" s="490"/>
      <c r="AG510" s="490"/>
      <c r="AH510" s="490"/>
      <c r="AI510" s="490"/>
      <c r="AJ510" s="490"/>
      <c r="AK510" s="490"/>
      <c r="AL510" s="490"/>
      <c r="AM510" s="490"/>
      <c r="AN510" s="490"/>
      <c r="AO510" s="490"/>
      <c r="AP510" s="490"/>
      <c r="AQ510" s="490"/>
      <c r="AR510" s="490"/>
      <c r="AS510" s="490"/>
      <c r="AT510" s="490"/>
      <c r="AU510" s="490"/>
      <c r="AV510" s="490"/>
      <c r="AW510" s="490"/>
      <c r="AX510" s="490"/>
      <c r="AY510" s="490"/>
      <c r="AZ510" s="490"/>
      <c r="BA510" s="490"/>
      <c r="BB510" s="490"/>
      <c r="BC510" s="490"/>
      <c r="BD510" s="490"/>
      <c r="BE510" s="490"/>
      <c r="BF510" s="490"/>
      <c r="BG510" s="490"/>
      <c r="BH510" s="490"/>
      <c r="BI510" s="490"/>
      <c r="BJ510" s="490"/>
      <c r="BK510" s="490"/>
      <c r="BL510" s="490"/>
      <c r="BM510" s="490"/>
      <c r="BN510" s="490"/>
      <c r="BO510" s="490"/>
      <c r="BP510" s="490"/>
      <c r="BQ510" s="490"/>
      <c r="BR510" s="490"/>
      <c r="BS510" s="490"/>
      <c r="BT510" s="490"/>
      <c r="BU510" s="490"/>
      <c r="BV510" s="490"/>
      <c r="BW510" s="490"/>
      <c r="BX510" s="490"/>
      <c r="BY510" s="490"/>
      <c r="BZ510" s="490"/>
      <c r="CA510" s="490"/>
      <c r="CB510" s="490"/>
      <c r="CC510" s="490"/>
      <c r="CD510" s="490"/>
      <c r="CE510" s="490"/>
      <c r="CF510" s="490"/>
      <c r="CG510" s="490"/>
      <c r="CH510" s="490"/>
      <c r="CI510" s="490"/>
      <c r="CJ510" s="490"/>
      <c r="CK510" s="490"/>
      <c r="CL510" s="490"/>
      <c r="CM510" s="490"/>
      <c r="CN510" s="490"/>
      <c r="CO510" s="490"/>
      <c r="CP510" s="490"/>
      <c r="CQ510" s="490"/>
      <c r="CR510" s="490"/>
      <c r="CS510" s="490"/>
    </row>
    <row r="511" spans="1:100" x14ac:dyDescent="0.25">
      <c r="A511" s="486">
        <v>909224</v>
      </c>
      <c r="B511" s="487">
        <v>87.9</v>
      </c>
      <c r="C511" s="488"/>
      <c r="D511" s="488">
        <v>8.8000000000000007</v>
      </c>
      <c r="E511" s="488">
        <v>3.7</v>
      </c>
      <c r="F511" s="487">
        <v>2.16</v>
      </c>
      <c r="G511" s="488">
        <v>0.77</v>
      </c>
      <c r="H511" s="488">
        <v>2.44</v>
      </c>
      <c r="I511" s="488">
        <v>0.48</v>
      </c>
      <c r="J511" s="488">
        <v>6.01</v>
      </c>
      <c r="K511" s="488">
        <v>1.43</v>
      </c>
      <c r="L511" s="489">
        <v>40.700000000000003</v>
      </c>
      <c r="M511" s="488"/>
      <c r="N511" s="488"/>
      <c r="O511" s="488"/>
      <c r="P511" s="488"/>
      <c r="Q511" s="488"/>
      <c r="R511" s="488"/>
      <c r="S511" s="488"/>
      <c r="T511" s="490"/>
      <c r="U511" s="490"/>
      <c r="V511" s="490"/>
      <c r="W511" s="490"/>
      <c r="X511" s="490"/>
      <c r="Y511" s="490"/>
      <c r="Z511" s="490"/>
      <c r="AA511" s="490"/>
      <c r="AB511" s="490"/>
      <c r="AC511" s="490"/>
      <c r="AD511" s="490"/>
      <c r="AE511" s="490"/>
      <c r="AF511" s="490"/>
      <c r="AG511" s="490"/>
      <c r="AH511" s="490"/>
      <c r="AI511" s="490"/>
      <c r="AJ511" s="490"/>
      <c r="AK511" s="490"/>
      <c r="AL511" s="490"/>
      <c r="AM511" s="490"/>
      <c r="AN511" s="490"/>
      <c r="AO511" s="490"/>
      <c r="AP511" s="490"/>
      <c r="AQ511" s="490"/>
      <c r="AR511" s="490"/>
      <c r="AS511" s="490"/>
      <c r="AT511" s="490"/>
      <c r="AU511" s="490"/>
      <c r="AV511" s="490"/>
      <c r="AW511" s="490"/>
      <c r="AX511" s="490"/>
      <c r="AY511" s="490"/>
      <c r="AZ511" s="490"/>
      <c r="BA511" s="490"/>
      <c r="BB511" s="490"/>
      <c r="BC511" s="490"/>
      <c r="BD511" s="490"/>
      <c r="BE511" s="490"/>
      <c r="BF511" s="490"/>
      <c r="BG511" s="490"/>
      <c r="BH511" s="490"/>
      <c r="BI511" s="490"/>
      <c r="BJ511" s="490"/>
      <c r="BK511" s="490"/>
      <c r="BL511" s="490"/>
      <c r="BM511" s="490"/>
      <c r="BN511" s="490"/>
      <c r="BO511" s="490"/>
      <c r="BP511" s="490"/>
      <c r="BQ511" s="490"/>
      <c r="BR511" s="490"/>
      <c r="BS511" s="490"/>
      <c r="BT511" s="490"/>
      <c r="BU511" s="490"/>
      <c r="BV511" s="490"/>
      <c r="BW511" s="490"/>
      <c r="BX511" s="490"/>
      <c r="BY511" s="490"/>
      <c r="BZ511" s="490"/>
      <c r="CA511" s="490"/>
      <c r="CB511" s="490"/>
      <c r="CC511" s="490"/>
      <c r="CD511" s="490"/>
      <c r="CE511" s="490"/>
      <c r="CF511" s="490"/>
      <c r="CG511" s="490"/>
      <c r="CH511" s="490"/>
      <c r="CI511" s="490"/>
      <c r="CJ511" s="490"/>
      <c r="CK511" s="490"/>
      <c r="CL511" s="490"/>
      <c r="CM511" s="490"/>
      <c r="CN511" s="490"/>
      <c r="CO511" s="490"/>
      <c r="CP511" s="490"/>
      <c r="CQ511" s="490"/>
      <c r="CR511" s="490"/>
      <c r="CS511" s="490"/>
    </row>
    <row r="512" spans="1:100" x14ac:dyDescent="0.25">
      <c r="A512" s="486">
        <v>909225</v>
      </c>
      <c r="B512" s="487">
        <v>67.400000000000006</v>
      </c>
      <c r="C512" s="488"/>
      <c r="D512" s="488">
        <v>9.15</v>
      </c>
      <c r="E512" s="488">
        <v>4.3499999999999996</v>
      </c>
      <c r="F512" s="487">
        <v>1.71</v>
      </c>
      <c r="G512" s="488">
        <v>1.88</v>
      </c>
      <c r="H512" s="488">
        <v>2.44</v>
      </c>
      <c r="I512" s="488">
        <v>0.52</v>
      </c>
      <c r="J512" s="488">
        <v>9.8800000000000008</v>
      </c>
      <c r="K512" s="488">
        <v>1.05</v>
      </c>
      <c r="L512" s="489">
        <v>32.700000000000003</v>
      </c>
      <c r="M512" s="488"/>
      <c r="N512" s="488"/>
      <c r="O512" s="488"/>
      <c r="P512" s="488"/>
      <c r="Q512" s="488"/>
      <c r="R512" s="488"/>
      <c r="S512" s="488"/>
      <c r="T512" s="490"/>
      <c r="U512" s="490"/>
      <c r="V512" s="490"/>
      <c r="W512" s="490"/>
      <c r="X512" s="490"/>
      <c r="Y512" s="490"/>
      <c r="Z512" s="490"/>
      <c r="AA512" s="490"/>
      <c r="AB512" s="490"/>
      <c r="AC512" s="490"/>
      <c r="AD512" s="490"/>
      <c r="AE512" s="490"/>
      <c r="AF512" s="490"/>
      <c r="AG512" s="490"/>
      <c r="AH512" s="490"/>
      <c r="AI512" s="490"/>
      <c r="AJ512" s="490"/>
      <c r="AK512" s="490"/>
      <c r="AL512" s="490"/>
      <c r="AM512" s="490"/>
      <c r="AN512" s="490"/>
      <c r="AO512" s="490"/>
      <c r="AP512" s="490"/>
      <c r="AQ512" s="490"/>
      <c r="AR512" s="490"/>
      <c r="AS512" s="490"/>
      <c r="AT512" s="490"/>
      <c r="AU512" s="490"/>
      <c r="AV512" s="490"/>
      <c r="AW512" s="490"/>
      <c r="AX512" s="490"/>
      <c r="AY512" s="490"/>
      <c r="AZ512" s="490"/>
      <c r="BA512" s="490"/>
      <c r="BB512" s="490"/>
      <c r="BC512" s="490"/>
      <c r="BD512" s="490"/>
      <c r="BE512" s="490"/>
      <c r="BF512" s="490"/>
      <c r="BG512" s="490"/>
      <c r="BH512" s="490"/>
      <c r="BI512" s="490"/>
      <c r="BJ512" s="490"/>
      <c r="BK512" s="490"/>
      <c r="BL512" s="490"/>
      <c r="BM512" s="490"/>
      <c r="BN512" s="490"/>
      <c r="BO512" s="490"/>
      <c r="BP512" s="490"/>
      <c r="BQ512" s="490"/>
      <c r="BR512" s="490"/>
      <c r="BS512" s="490"/>
      <c r="BT512" s="490"/>
      <c r="BU512" s="490"/>
      <c r="BV512" s="490"/>
      <c r="BW512" s="490"/>
      <c r="BX512" s="490"/>
      <c r="BY512" s="490"/>
      <c r="BZ512" s="490"/>
      <c r="CA512" s="490"/>
      <c r="CB512" s="490"/>
      <c r="CC512" s="490"/>
      <c r="CD512" s="490"/>
      <c r="CE512" s="490"/>
      <c r="CF512" s="490"/>
      <c r="CG512" s="490"/>
      <c r="CH512" s="490"/>
      <c r="CI512" s="490"/>
      <c r="CJ512" s="490"/>
      <c r="CK512" s="490"/>
      <c r="CL512" s="490"/>
      <c r="CM512" s="490"/>
      <c r="CN512" s="490"/>
      <c r="CO512" s="490"/>
      <c r="CP512" s="490"/>
      <c r="CQ512" s="490"/>
      <c r="CR512" s="490"/>
      <c r="CS512" s="490"/>
    </row>
    <row r="513" spans="1:97" x14ac:dyDescent="0.25">
      <c r="A513" s="486">
        <v>909226</v>
      </c>
      <c r="B513" s="487">
        <v>69.099999999999994</v>
      </c>
      <c r="C513" s="488"/>
      <c r="D513" s="488">
        <v>9.6</v>
      </c>
      <c r="E513" s="488">
        <v>11.74</v>
      </c>
      <c r="F513" s="487">
        <v>1.79</v>
      </c>
      <c r="G513" s="488">
        <v>2.41</v>
      </c>
      <c r="H513" s="488">
        <v>5.59</v>
      </c>
      <c r="I513" s="488">
        <v>0.62</v>
      </c>
      <c r="J513" s="488">
        <v>9.64</v>
      </c>
      <c r="K513" s="488">
        <v>1</v>
      </c>
      <c r="L513" s="489">
        <v>37.799999999999997</v>
      </c>
      <c r="M513" s="488"/>
      <c r="N513" s="488"/>
      <c r="O513" s="488"/>
      <c r="P513" s="488"/>
      <c r="Q513" s="488"/>
      <c r="R513" s="488"/>
      <c r="S513" s="488"/>
      <c r="T513" s="490"/>
      <c r="U513" s="490"/>
      <c r="V513" s="490"/>
      <c r="W513" s="490"/>
      <c r="X513" s="490"/>
      <c r="Y513" s="490"/>
      <c r="Z513" s="490"/>
      <c r="AA513" s="490"/>
      <c r="AB513" s="490"/>
      <c r="AC513" s="490"/>
      <c r="AD513" s="490"/>
      <c r="AE513" s="490"/>
      <c r="AF513" s="490"/>
      <c r="AG513" s="490"/>
      <c r="AH513" s="490"/>
      <c r="AI513" s="490"/>
      <c r="AJ513" s="490"/>
      <c r="AK513" s="490"/>
      <c r="AL513" s="490"/>
      <c r="AM513" s="490"/>
      <c r="AN513" s="490"/>
      <c r="AO513" s="490"/>
      <c r="AP513" s="490"/>
      <c r="AQ513" s="490"/>
      <c r="AR513" s="490"/>
      <c r="AS513" s="490"/>
      <c r="AT513" s="490"/>
      <c r="AU513" s="490"/>
      <c r="AV513" s="490"/>
      <c r="AW513" s="490"/>
      <c r="AX513" s="490"/>
      <c r="AY513" s="490"/>
      <c r="AZ513" s="490"/>
      <c r="BA513" s="490"/>
      <c r="BB513" s="490"/>
      <c r="BC513" s="490"/>
      <c r="BD513" s="490"/>
      <c r="BE513" s="490"/>
      <c r="BF513" s="490"/>
      <c r="BG513" s="490"/>
      <c r="BH513" s="490"/>
      <c r="BI513" s="490"/>
      <c r="BJ513" s="490"/>
      <c r="BK513" s="490"/>
      <c r="BL513" s="490"/>
      <c r="BM513" s="490"/>
      <c r="BN513" s="490"/>
      <c r="BO513" s="490"/>
      <c r="BP513" s="490"/>
      <c r="BQ513" s="490"/>
      <c r="BR513" s="490"/>
      <c r="BS513" s="490"/>
      <c r="BT513" s="490"/>
      <c r="BU513" s="490"/>
      <c r="BV513" s="490"/>
      <c r="BW513" s="490"/>
      <c r="BX513" s="490"/>
      <c r="BY513" s="490"/>
      <c r="BZ513" s="490"/>
      <c r="CA513" s="490"/>
      <c r="CB513" s="490"/>
      <c r="CC513" s="490"/>
      <c r="CD513" s="490"/>
      <c r="CE513" s="490"/>
      <c r="CF513" s="490"/>
      <c r="CG513" s="490"/>
      <c r="CH513" s="490"/>
      <c r="CI513" s="490"/>
      <c r="CJ513" s="490"/>
      <c r="CK513" s="490"/>
      <c r="CL513" s="490"/>
      <c r="CM513" s="490"/>
      <c r="CN513" s="490"/>
      <c r="CO513" s="490"/>
      <c r="CP513" s="490"/>
      <c r="CQ513" s="490"/>
      <c r="CR513" s="490"/>
      <c r="CS513" s="490"/>
    </row>
    <row r="514" spans="1:97" x14ac:dyDescent="0.25">
      <c r="A514" s="486">
        <v>909227</v>
      </c>
      <c r="B514" s="487">
        <v>96.66</v>
      </c>
      <c r="C514" s="488"/>
      <c r="D514" s="488">
        <v>8.17</v>
      </c>
      <c r="E514" s="488">
        <v>0.69199999999999995</v>
      </c>
      <c r="F514" s="487">
        <v>0.48</v>
      </c>
      <c r="G514" s="488">
        <v>12.41</v>
      </c>
      <c r="H514" s="488">
        <v>1.42</v>
      </c>
      <c r="I514" s="488">
        <v>5.16</v>
      </c>
      <c r="J514" s="488">
        <v>34.19</v>
      </c>
      <c r="K514" s="488">
        <v>2.27</v>
      </c>
      <c r="L514" s="489">
        <v>2.4</v>
      </c>
      <c r="M514" s="488"/>
      <c r="N514" s="488"/>
      <c r="O514" s="488"/>
      <c r="P514" s="488"/>
      <c r="Q514" s="488"/>
      <c r="R514" s="488"/>
      <c r="S514" s="488"/>
      <c r="T514" s="490"/>
      <c r="U514" s="490"/>
      <c r="V514" s="490"/>
      <c r="W514" s="490"/>
      <c r="X514" s="490"/>
      <c r="Y514" s="490"/>
      <c r="Z514" s="490"/>
      <c r="AA514" s="490"/>
      <c r="AB514" s="490"/>
      <c r="AC514" s="490"/>
      <c r="AD514" s="490"/>
      <c r="AE514" s="490"/>
      <c r="AF514" s="490"/>
      <c r="AG514" s="490"/>
      <c r="AH514" s="490"/>
      <c r="AI514" s="490"/>
      <c r="AJ514" s="490"/>
      <c r="AK514" s="490"/>
      <c r="AL514" s="490"/>
      <c r="AM514" s="490"/>
      <c r="AN514" s="490"/>
      <c r="AO514" s="490"/>
      <c r="AP514" s="490"/>
      <c r="AQ514" s="490"/>
      <c r="AR514" s="490"/>
      <c r="AS514" s="490"/>
      <c r="AT514" s="490"/>
      <c r="AU514" s="490"/>
      <c r="AV514" s="490"/>
      <c r="AW514" s="490"/>
      <c r="AX514" s="490"/>
      <c r="AY514" s="490"/>
      <c r="AZ514" s="490"/>
      <c r="BA514" s="490"/>
      <c r="BB514" s="490"/>
      <c r="BC514" s="490"/>
      <c r="BD514" s="490"/>
      <c r="BE514" s="490"/>
      <c r="BF514" s="490"/>
      <c r="BG514" s="490"/>
      <c r="BH514" s="490"/>
      <c r="BI514" s="490"/>
      <c r="BJ514" s="490"/>
      <c r="BK514" s="490"/>
      <c r="BL514" s="490"/>
      <c r="BM514" s="490"/>
      <c r="BN514" s="490"/>
      <c r="BO514" s="490"/>
      <c r="BP514" s="490"/>
      <c r="BQ514" s="490"/>
      <c r="BR514" s="490"/>
      <c r="BS514" s="490"/>
      <c r="BT514" s="490"/>
      <c r="BU514" s="490"/>
      <c r="BV514" s="490"/>
      <c r="BW514" s="490"/>
      <c r="BX514" s="490"/>
      <c r="BY514" s="490"/>
      <c r="BZ514" s="490"/>
      <c r="CA514" s="490"/>
      <c r="CB514" s="490"/>
      <c r="CC514" s="490"/>
      <c r="CD514" s="490"/>
      <c r="CE514" s="490"/>
      <c r="CF514" s="490"/>
      <c r="CG514" s="490"/>
      <c r="CH514" s="490"/>
      <c r="CI514" s="490"/>
      <c r="CJ514" s="490"/>
      <c r="CK514" s="490"/>
      <c r="CL514" s="490"/>
      <c r="CM514" s="490"/>
      <c r="CN514" s="490"/>
      <c r="CO514" s="490"/>
      <c r="CP514" s="490"/>
      <c r="CQ514" s="490"/>
      <c r="CR514" s="490"/>
      <c r="CS514" s="490"/>
    </row>
    <row r="515" spans="1:97" x14ac:dyDescent="0.25">
      <c r="A515" s="486">
        <v>909228</v>
      </c>
      <c r="B515" s="487">
        <v>36.130000000000003</v>
      </c>
      <c r="C515" s="488"/>
      <c r="D515" s="488">
        <v>8.77</v>
      </c>
      <c r="E515" s="488">
        <v>3.28</v>
      </c>
      <c r="F515" s="487">
        <v>2.16</v>
      </c>
      <c r="G515" s="488">
        <v>7.14</v>
      </c>
      <c r="H515" s="488">
        <v>2.46</v>
      </c>
      <c r="I515" s="488">
        <v>6.52</v>
      </c>
      <c r="J515" s="488">
        <v>7.29</v>
      </c>
      <c r="K515" s="488">
        <v>1.61</v>
      </c>
      <c r="L515" s="489">
        <v>52.5</v>
      </c>
      <c r="M515" s="488"/>
      <c r="N515" s="488"/>
      <c r="O515" s="488"/>
      <c r="P515" s="488"/>
      <c r="Q515" s="488"/>
      <c r="R515" s="488"/>
      <c r="S515" s="488"/>
      <c r="T515" s="490"/>
      <c r="U515" s="490"/>
      <c r="V515" s="490"/>
      <c r="W515" s="490"/>
      <c r="X515" s="490"/>
      <c r="Y515" s="490"/>
      <c r="Z515" s="490"/>
      <c r="AA515" s="490"/>
      <c r="AB515" s="490"/>
      <c r="AC515" s="490"/>
      <c r="AD515" s="490"/>
      <c r="AE515" s="490"/>
      <c r="AF515" s="490"/>
      <c r="AG515" s="490"/>
      <c r="AH515" s="490"/>
      <c r="AI515" s="490"/>
      <c r="AJ515" s="490"/>
      <c r="AK515" s="490"/>
      <c r="AL515" s="490"/>
      <c r="AM515" s="490"/>
      <c r="AN515" s="490"/>
      <c r="AO515" s="490"/>
      <c r="AP515" s="490"/>
      <c r="AQ515" s="490"/>
      <c r="AR515" s="490"/>
      <c r="AS515" s="490"/>
      <c r="AT515" s="490"/>
      <c r="AU515" s="490"/>
      <c r="AV515" s="490"/>
      <c r="AW515" s="490"/>
      <c r="AX515" s="490"/>
      <c r="AY515" s="490"/>
      <c r="AZ515" s="490"/>
      <c r="BA515" s="490"/>
      <c r="BB515" s="490"/>
      <c r="BC515" s="490"/>
      <c r="BD515" s="490"/>
      <c r="BE515" s="490"/>
      <c r="BF515" s="490"/>
      <c r="BG515" s="490"/>
      <c r="BH515" s="490"/>
      <c r="BI515" s="490"/>
      <c r="BJ515" s="490"/>
      <c r="BK515" s="490"/>
      <c r="BL515" s="490"/>
      <c r="BM515" s="490"/>
      <c r="BN515" s="490"/>
      <c r="BO515" s="490"/>
      <c r="BP515" s="490"/>
      <c r="BQ515" s="490"/>
      <c r="BR515" s="490"/>
      <c r="BS515" s="490"/>
      <c r="BT515" s="490"/>
      <c r="BU515" s="490"/>
      <c r="BV515" s="490"/>
      <c r="BW515" s="490"/>
      <c r="BX515" s="490"/>
      <c r="BY515" s="490"/>
      <c r="BZ515" s="490"/>
      <c r="CA515" s="490"/>
      <c r="CB515" s="490"/>
      <c r="CC515" s="490"/>
      <c r="CD515" s="490"/>
      <c r="CE515" s="490"/>
      <c r="CF515" s="490"/>
      <c r="CG515" s="490"/>
      <c r="CH515" s="490"/>
      <c r="CI515" s="490"/>
      <c r="CJ515" s="490"/>
      <c r="CK515" s="490"/>
      <c r="CL515" s="490"/>
      <c r="CM515" s="490"/>
      <c r="CN515" s="490"/>
      <c r="CO515" s="490"/>
      <c r="CP515" s="490"/>
      <c r="CQ515" s="490"/>
      <c r="CR515" s="490"/>
      <c r="CS515" s="490"/>
    </row>
    <row r="516" spans="1:97" x14ac:dyDescent="0.25">
      <c r="A516" s="486">
        <v>909229</v>
      </c>
      <c r="B516" s="487">
        <v>54.86</v>
      </c>
      <c r="C516" s="488"/>
      <c r="D516" s="488">
        <v>8.2100000000000009</v>
      </c>
      <c r="E516" s="488">
        <v>0.86099999999999999</v>
      </c>
      <c r="F516" s="487">
        <v>1.46</v>
      </c>
      <c r="G516" s="488">
        <v>0.95</v>
      </c>
      <c r="H516" s="488">
        <v>4.1900000000000004</v>
      </c>
      <c r="I516" s="488">
        <v>1.72</v>
      </c>
      <c r="J516" s="488">
        <v>6.76</v>
      </c>
      <c r="K516" s="488">
        <v>2.67</v>
      </c>
      <c r="L516" s="489">
        <v>35.700000000000003</v>
      </c>
      <c r="M516" s="488"/>
      <c r="N516" s="488"/>
      <c r="O516" s="488"/>
      <c r="P516" s="488"/>
      <c r="Q516" s="488"/>
      <c r="R516" s="488"/>
      <c r="S516" s="488"/>
      <c r="T516" s="490"/>
      <c r="U516" s="490"/>
      <c r="V516" s="490"/>
      <c r="W516" s="490"/>
      <c r="X516" s="490"/>
      <c r="Y516" s="490"/>
      <c r="Z516" s="490"/>
      <c r="AA516" s="490"/>
      <c r="AB516" s="490"/>
      <c r="AC516" s="490"/>
      <c r="AD516" s="490"/>
      <c r="AE516" s="490"/>
      <c r="AF516" s="490"/>
      <c r="AG516" s="490"/>
      <c r="AH516" s="490"/>
      <c r="AI516" s="490"/>
      <c r="AJ516" s="490"/>
      <c r="AK516" s="490"/>
      <c r="AL516" s="490"/>
      <c r="AM516" s="490"/>
      <c r="AN516" s="490"/>
      <c r="AO516" s="490"/>
      <c r="AP516" s="490"/>
      <c r="AQ516" s="490"/>
      <c r="AR516" s="490"/>
      <c r="AS516" s="490"/>
      <c r="AT516" s="490"/>
      <c r="AU516" s="490"/>
      <c r="AV516" s="490"/>
      <c r="AW516" s="490"/>
      <c r="AX516" s="490"/>
      <c r="AY516" s="490"/>
      <c r="AZ516" s="490"/>
      <c r="BA516" s="490"/>
      <c r="BB516" s="490"/>
      <c r="BC516" s="490"/>
      <c r="BD516" s="490"/>
      <c r="BE516" s="490"/>
      <c r="BF516" s="490"/>
      <c r="BG516" s="490"/>
      <c r="BH516" s="490"/>
      <c r="BI516" s="490"/>
      <c r="BJ516" s="490"/>
      <c r="BK516" s="490"/>
      <c r="BL516" s="490"/>
      <c r="BM516" s="490"/>
      <c r="BN516" s="490"/>
      <c r="BO516" s="490"/>
      <c r="BP516" s="490"/>
      <c r="BQ516" s="490"/>
      <c r="BR516" s="490"/>
      <c r="BS516" s="490"/>
      <c r="BT516" s="490"/>
      <c r="BU516" s="490"/>
      <c r="BV516" s="490"/>
      <c r="BW516" s="490"/>
      <c r="BX516" s="490"/>
      <c r="BY516" s="490"/>
      <c r="BZ516" s="490"/>
      <c r="CA516" s="490"/>
      <c r="CB516" s="490"/>
      <c r="CC516" s="490"/>
      <c r="CD516" s="490"/>
      <c r="CE516" s="490"/>
      <c r="CF516" s="490"/>
      <c r="CG516" s="490"/>
      <c r="CH516" s="490"/>
      <c r="CI516" s="490"/>
      <c r="CJ516" s="490"/>
      <c r="CK516" s="490"/>
      <c r="CL516" s="490"/>
      <c r="CM516" s="490"/>
      <c r="CN516" s="490"/>
      <c r="CO516" s="490"/>
      <c r="CP516" s="490"/>
      <c r="CQ516" s="490"/>
      <c r="CR516" s="490"/>
      <c r="CS516" s="490"/>
    </row>
    <row r="517" spans="1:97" x14ac:dyDescent="0.25">
      <c r="A517" s="486">
        <v>909230</v>
      </c>
      <c r="B517" s="487">
        <v>52.49</v>
      </c>
      <c r="C517" s="488"/>
      <c r="D517" s="488">
        <v>8.69</v>
      </c>
      <c r="E517" s="488">
        <v>1.26</v>
      </c>
      <c r="F517" s="487">
        <v>1.82</v>
      </c>
      <c r="G517" s="488">
        <v>0.44</v>
      </c>
      <c r="H517" s="488">
        <v>1.3</v>
      </c>
      <c r="I517" s="488">
        <v>0.17</v>
      </c>
      <c r="J517" s="488">
        <v>3.3</v>
      </c>
      <c r="K517" s="488">
        <v>0.94</v>
      </c>
      <c r="L517" s="489">
        <v>45.7</v>
      </c>
      <c r="M517" s="488"/>
      <c r="N517" s="488"/>
      <c r="O517" s="488"/>
      <c r="P517" s="488"/>
      <c r="Q517" s="488"/>
      <c r="R517" s="488"/>
      <c r="S517" s="488"/>
      <c r="T517" s="490"/>
      <c r="U517" s="490"/>
      <c r="V517" s="490"/>
      <c r="W517" s="490"/>
      <c r="X517" s="490"/>
      <c r="Y517" s="490"/>
      <c r="Z517" s="490"/>
      <c r="AA517" s="490"/>
      <c r="AB517" s="490"/>
      <c r="AC517" s="490"/>
      <c r="AD517" s="490"/>
      <c r="AE517" s="490"/>
      <c r="AF517" s="490"/>
      <c r="AG517" s="490"/>
      <c r="AH517" s="490"/>
      <c r="AI517" s="490"/>
      <c r="AJ517" s="490"/>
      <c r="AK517" s="490"/>
      <c r="AL517" s="490"/>
      <c r="AM517" s="490"/>
      <c r="AN517" s="490"/>
      <c r="AO517" s="490"/>
      <c r="AP517" s="490"/>
      <c r="AQ517" s="490"/>
      <c r="AR517" s="490"/>
      <c r="AS517" s="490"/>
      <c r="AT517" s="490"/>
      <c r="AU517" s="490"/>
      <c r="AV517" s="490"/>
      <c r="AW517" s="490"/>
      <c r="AX517" s="490"/>
      <c r="AY517" s="490"/>
      <c r="AZ517" s="490"/>
      <c r="BA517" s="490"/>
      <c r="BB517" s="490"/>
      <c r="BC517" s="490"/>
      <c r="BD517" s="490"/>
      <c r="BE517" s="490"/>
      <c r="BF517" s="490"/>
      <c r="BG517" s="490"/>
      <c r="BH517" s="490"/>
      <c r="BI517" s="490"/>
      <c r="BJ517" s="490"/>
      <c r="BK517" s="490"/>
      <c r="BL517" s="490"/>
      <c r="BM517" s="490"/>
      <c r="BN517" s="490"/>
      <c r="BO517" s="490"/>
      <c r="BP517" s="490"/>
      <c r="BQ517" s="490"/>
      <c r="BR517" s="490"/>
      <c r="BS517" s="490"/>
      <c r="BT517" s="490"/>
      <c r="BU517" s="490"/>
      <c r="BV517" s="490"/>
      <c r="BW517" s="490"/>
      <c r="BX517" s="490"/>
      <c r="BY517" s="490"/>
      <c r="BZ517" s="490"/>
      <c r="CA517" s="490"/>
      <c r="CB517" s="490"/>
      <c r="CC517" s="490"/>
      <c r="CD517" s="490"/>
      <c r="CE517" s="490"/>
      <c r="CF517" s="490"/>
      <c r="CG517" s="490"/>
      <c r="CH517" s="490"/>
      <c r="CI517" s="490"/>
      <c r="CJ517" s="490"/>
      <c r="CK517" s="490"/>
      <c r="CL517" s="490"/>
      <c r="CM517" s="490"/>
      <c r="CN517" s="490"/>
      <c r="CO517" s="490"/>
      <c r="CP517" s="490"/>
      <c r="CQ517" s="490"/>
      <c r="CR517" s="490"/>
      <c r="CS517" s="490"/>
    </row>
    <row r="518" spans="1:97" x14ac:dyDescent="0.25">
      <c r="A518" s="486">
        <v>909231</v>
      </c>
      <c r="B518" s="487">
        <v>98.82</v>
      </c>
      <c r="C518" s="488"/>
      <c r="D518" s="488">
        <v>10.68</v>
      </c>
      <c r="E518" s="488">
        <v>58.55</v>
      </c>
      <c r="F518" s="487">
        <v>0.42</v>
      </c>
      <c r="G518" s="488">
        <v>0.85</v>
      </c>
      <c r="H518" s="488">
        <v>29.48</v>
      </c>
      <c r="I518" s="488">
        <v>1.02</v>
      </c>
      <c r="J518" s="488">
        <v>4.1500000000000004</v>
      </c>
      <c r="K518" s="488">
        <v>0.59</v>
      </c>
      <c r="L518" s="489">
        <v>4.2</v>
      </c>
      <c r="M518" s="488"/>
      <c r="N518" s="488"/>
      <c r="O518" s="488"/>
      <c r="P518" s="488"/>
      <c r="Q518" s="488"/>
      <c r="R518" s="488"/>
      <c r="S518" s="488"/>
      <c r="T518" s="490"/>
      <c r="U518" s="490"/>
      <c r="V518" s="490"/>
      <c r="W518" s="490"/>
      <c r="X518" s="490"/>
      <c r="Y518" s="490"/>
      <c r="Z518" s="490"/>
      <c r="AA518" s="490"/>
      <c r="AB518" s="490"/>
      <c r="AC518" s="490"/>
      <c r="AD518" s="490"/>
      <c r="AE518" s="490"/>
      <c r="AF518" s="490"/>
      <c r="AG518" s="490"/>
      <c r="AH518" s="490"/>
      <c r="AI518" s="490"/>
      <c r="AJ518" s="490"/>
      <c r="AK518" s="490"/>
      <c r="AL518" s="490"/>
      <c r="AM518" s="490"/>
      <c r="AN518" s="490"/>
      <c r="AO518" s="490"/>
      <c r="AP518" s="490"/>
      <c r="AQ518" s="490"/>
      <c r="AR518" s="490"/>
      <c r="AS518" s="490"/>
      <c r="AT518" s="490"/>
      <c r="AU518" s="490"/>
      <c r="AV518" s="490"/>
      <c r="AW518" s="490"/>
      <c r="AX518" s="490"/>
      <c r="AY518" s="490"/>
      <c r="AZ518" s="490"/>
      <c r="BA518" s="490"/>
      <c r="BB518" s="490"/>
      <c r="BC518" s="490"/>
      <c r="BD518" s="490"/>
      <c r="BE518" s="490"/>
      <c r="BF518" s="490"/>
      <c r="BG518" s="490"/>
      <c r="BH518" s="490"/>
      <c r="BI518" s="490"/>
      <c r="BJ518" s="490"/>
      <c r="BK518" s="490"/>
      <c r="BL518" s="490"/>
      <c r="BM518" s="490"/>
      <c r="BN518" s="490"/>
      <c r="BO518" s="490"/>
      <c r="BP518" s="490"/>
      <c r="BQ518" s="490"/>
      <c r="BR518" s="490"/>
      <c r="BS518" s="490"/>
      <c r="BT518" s="490"/>
      <c r="BU518" s="490"/>
      <c r="BV518" s="490"/>
      <c r="BW518" s="490"/>
      <c r="BX518" s="490"/>
      <c r="BY518" s="490"/>
      <c r="BZ518" s="490"/>
      <c r="CA518" s="490"/>
      <c r="CB518" s="490"/>
      <c r="CC518" s="490"/>
      <c r="CD518" s="490"/>
      <c r="CE518" s="490"/>
      <c r="CF518" s="490"/>
      <c r="CG518" s="490"/>
      <c r="CH518" s="490"/>
      <c r="CI518" s="490"/>
      <c r="CJ518" s="490"/>
      <c r="CK518" s="490"/>
      <c r="CL518" s="490"/>
      <c r="CM518" s="490"/>
      <c r="CN518" s="490"/>
      <c r="CO518" s="490"/>
      <c r="CP518" s="490"/>
      <c r="CQ518" s="490"/>
      <c r="CR518" s="490"/>
      <c r="CS518" s="490"/>
    </row>
    <row r="519" spans="1:97" x14ac:dyDescent="0.25">
      <c r="A519" s="486">
        <v>909232</v>
      </c>
      <c r="B519" s="487">
        <v>89.37</v>
      </c>
      <c r="C519" s="488"/>
      <c r="D519" s="488">
        <v>7.94</v>
      </c>
      <c r="E519" s="488">
        <v>4.84</v>
      </c>
      <c r="F519" s="487">
        <v>4.45</v>
      </c>
      <c r="G519" s="488">
        <v>1.49</v>
      </c>
      <c r="H519" s="488">
        <v>2.31</v>
      </c>
      <c r="I519" s="488">
        <v>0.28999999999999998</v>
      </c>
      <c r="J519" s="488">
        <v>8.2799999999999994</v>
      </c>
      <c r="K519" s="488">
        <v>0.5</v>
      </c>
      <c r="L519" s="489">
        <v>69.8</v>
      </c>
      <c r="M519" s="488"/>
      <c r="N519" s="488"/>
      <c r="O519" s="488"/>
      <c r="P519" s="488"/>
      <c r="Q519" s="488"/>
      <c r="R519" s="488"/>
      <c r="S519" s="488"/>
      <c r="T519" s="490"/>
      <c r="U519" s="490"/>
      <c r="V519" s="490"/>
      <c r="W519" s="490"/>
      <c r="X519" s="490"/>
      <c r="Y519" s="490"/>
      <c r="Z519" s="490"/>
      <c r="AA519" s="490"/>
      <c r="AB519" s="490"/>
      <c r="AC519" s="490"/>
      <c r="AD519" s="490"/>
      <c r="AE519" s="490"/>
      <c r="AF519" s="490"/>
      <c r="AG519" s="490"/>
      <c r="AH519" s="490"/>
      <c r="AI519" s="490"/>
      <c r="AJ519" s="490"/>
      <c r="AK519" s="490"/>
      <c r="AL519" s="490"/>
      <c r="AM519" s="490"/>
      <c r="AN519" s="490"/>
      <c r="AO519" s="490"/>
      <c r="AP519" s="490"/>
      <c r="AQ519" s="490"/>
      <c r="AR519" s="490"/>
      <c r="AS519" s="490"/>
      <c r="AT519" s="490"/>
      <c r="AU519" s="490"/>
      <c r="AV519" s="490"/>
      <c r="AW519" s="490"/>
      <c r="AX519" s="490"/>
      <c r="AY519" s="490"/>
      <c r="AZ519" s="490"/>
      <c r="BA519" s="490"/>
      <c r="BB519" s="490"/>
      <c r="BC519" s="490"/>
      <c r="BD519" s="490"/>
      <c r="BE519" s="490"/>
      <c r="BF519" s="490"/>
      <c r="BG519" s="490"/>
      <c r="BH519" s="490"/>
      <c r="BI519" s="490"/>
      <c r="BJ519" s="490"/>
      <c r="BK519" s="490"/>
      <c r="BL519" s="490"/>
      <c r="BM519" s="490"/>
      <c r="BN519" s="490"/>
      <c r="BO519" s="490"/>
      <c r="BP519" s="490"/>
      <c r="BQ519" s="490"/>
      <c r="BR519" s="490"/>
      <c r="BS519" s="490"/>
      <c r="BT519" s="490"/>
      <c r="BU519" s="490"/>
      <c r="BV519" s="490"/>
      <c r="BW519" s="490"/>
      <c r="BX519" s="490"/>
      <c r="BY519" s="490"/>
      <c r="BZ519" s="490"/>
      <c r="CA519" s="490"/>
      <c r="CB519" s="490"/>
      <c r="CC519" s="490"/>
      <c r="CD519" s="490"/>
      <c r="CE519" s="490"/>
      <c r="CF519" s="490"/>
      <c r="CG519" s="490"/>
      <c r="CH519" s="490"/>
      <c r="CI519" s="490"/>
      <c r="CJ519" s="490"/>
      <c r="CK519" s="490"/>
      <c r="CL519" s="490"/>
      <c r="CM519" s="490"/>
      <c r="CN519" s="490"/>
      <c r="CO519" s="490"/>
      <c r="CP519" s="490"/>
      <c r="CQ519" s="490"/>
      <c r="CR519" s="490"/>
      <c r="CS519" s="490"/>
    </row>
    <row r="520" spans="1:97" x14ac:dyDescent="0.25">
      <c r="A520" s="486">
        <v>909233</v>
      </c>
      <c r="B520" s="487">
        <v>47.85</v>
      </c>
      <c r="C520" s="488"/>
      <c r="D520" s="488">
        <v>8.98</v>
      </c>
      <c r="E520" s="488">
        <v>3.88</v>
      </c>
      <c r="F520" s="487">
        <v>1.85</v>
      </c>
      <c r="G520" s="488">
        <v>0.69</v>
      </c>
      <c r="H520" s="488">
        <v>2.42</v>
      </c>
      <c r="I520" s="488">
        <v>0.51</v>
      </c>
      <c r="J520" s="488">
        <v>8.18</v>
      </c>
      <c r="K520" s="488">
        <v>0.82</v>
      </c>
      <c r="L520" s="489">
        <v>44.4</v>
      </c>
      <c r="M520" s="488"/>
      <c r="N520" s="488"/>
      <c r="O520" s="488"/>
      <c r="P520" s="488"/>
      <c r="Q520" s="488"/>
      <c r="R520" s="488"/>
      <c r="S520" s="488"/>
      <c r="T520" s="490"/>
      <c r="U520" s="490"/>
      <c r="V520" s="490"/>
      <c r="W520" s="490"/>
      <c r="X520" s="490"/>
      <c r="Y520" s="490"/>
      <c r="Z520" s="490"/>
      <c r="AA520" s="490"/>
      <c r="AB520" s="490"/>
      <c r="AC520" s="490"/>
      <c r="AD520" s="490"/>
      <c r="AE520" s="490"/>
      <c r="AF520" s="490"/>
      <c r="AG520" s="490"/>
      <c r="AH520" s="490"/>
      <c r="AI520" s="490"/>
      <c r="AJ520" s="490"/>
      <c r="AK520" s="490"/>
      <c r="AL520" s="490"/>
      <c r="AM520" s="490"/>
      <c r="AN520" s="490"/>
      <c r="AO520" s="490"/>
      <c r="AP520" s="490"/>
      <c r="AQ520" s="490"/>
      <c r="AR520" s="490"/>
      <c r="AS520" s="490"/>
      <c r="AT520" s="490"/>
      <c r="AU520" s="490"/>
      <c r="AV520" s="490"/>
      <c r="AW520" s="490"/>
      <c r="AX520" s="490"/>
      <c r="AY520" s="490"/>
      <c r="AZ520" s="490"/>
      <c r="BA520" s="490"/>
      <c r="BB520" s="490"/>
      <c r="BC520" s="490"/>
      <c r="BD520" s="490"/>
      <c r="BE520" s="490"/>
      <c r="BF520" s="490"/>
      <c r="BG520" s="490"/>
      <c r="BH520" s="490"/>
      <c r="BI520" s="490"/>
      <c r="BJ520" s="490"/>
      <c r="BK520" s="490"/>
      <c r="BL520" s="490"/>
      <c r="BM520" s="490"/>
      <c r="BN520" s="490"/>
      <c r="BO520" s="490"/>
      <c r="BP520" s="490"/>
      <c r="BQ520" s="490"/>
      <c r="BR520" s="490"/>
      <c r="BS520" s="490"/>
      <c r="BT520" s="490"/>
      <c r="BU520" s="490"/>
      <c r="BV520" s="490"/>
      <c r="BW520" s="490"/>
      <c r="BX520" s="490"/>
      <c r="BY520" s="490"/>
      <c r="BZ520" s="490"/>
      <c r="CA520" s="490"/>
      <c r="CB520" s="490"/>
      <c r="CC520" s="490"/>
      <c r="CD520" s="490"/>
      <c r="CE520" s="490"/>
      <c r="CF520" s="490"/>
      <c r="CG520" s="490"/>
      <c r="CH520" s="490"/>
      <c r="CI520" s="490"/>
      <c r="CJ520" s="490"/>
      <c r="CK520" s="490"/>
      <c r="CL520" s="490"/>
      <c r="CM520" s="490"/>
      <c r="CN520" s="490"/>
      <c r="CO520" s="490"/>
      <c r="CP520" s="490"/>
      <c r="CQ520" s="490"/>
      <c r="CR520" s="490"/>
      <c r="CS520" s="490"/>
    </row>
    <row r="521" spans="1:97" x14ac:dyDescent="0.25">
      <c r="A521" s="486">
        <v>909234</v>
      </c>
      <c r="B521" s="487">
        <v>99.56</v>
      </c>
      <c r="C521" s="488"/>
      <c r="D521" s="488">
        <v>12.11</v>
      </c>
      <c r="E521" s="488">
        <v>2.2999999999999998</v>
      </c>
      <c r="F521" s="487">
        <v>0.48</v>
      </c>
      <c r="G521" s="488">
        <v>1.99</v>
      </c>
      <c r="H521" s="488">
        <v>21.17</v>
      </c>
      <c r="I521" s="488">
        <v>1.05</v>
      </c>
      <c r="J521" s="488">
        <v>9.81</v>
      </c>
      <c r="K521" s="488">
        <v>1.44</v>
      </c>
      <c r="L521" s="489">
        <v>4.0999999999999996</v>
      </c>
      <c r="M521" s="488"/>
      <c r="N521" s="488"/>
      <c r="O521" s="488"/>
      <c r="P521" s="488"/>
      <c r="Q521" s="488"/>
      <c r="R521" s="488"/>
      <c r="S521" s="488"/>
      <c r="T521" s="490"/>
      <c r="U521" s="490"/>
      <c r="V521" s="490"/>
      <c r="W521" s="490"/>
      <c r="X521" s="490"/>
      <c r="Y521" s="490"/>
      <c r="Z521" s="490"/>
      <c r="AA521" s="490"/>
      <c r="AB521" s="490"/>
      <c r="AC521" s="490"/>
      <c r="AD521" s="490"/>
      <c r="AE521" s="490"/>
      <c r="AF521" s="490"/>
      <c r="AG521" s="490"/>
      <c r="AH521" s="490"/>
      <c r="AI521" s="490"/>
      <c r="AJ521" s="490"/>
      <c r="AK521" s="490"/>
      <c r="AL521" s="490"/>
      <c r="AM521" s="490"/>
      <c r="AN521" s="490"/>
      <c r="AO521" s="490"/>
      <c r="AP521" s="490"/>
      <c r="AQ521" s="490"/>
      <c r="AR521" s="490"/>
      <c r="AS521" s="490"/>
      <c r="AT521" s="490"/>
      <c r="AU521" s="490"/>
      <c r="AV521" s="490"/>
      <c r="AW521" s="490"/>
      <c r="AX521" s="490"/>
      <c r="AY521" s="490"/>
      <c r="AZ521" s="490"/>
      <c r="BA521" s="490"/>
      <c r="BB521" s="490"/>
      <c r="BC521" s="490"/>
      <c r="BD521" s="490"/>
      <c r="BE521" s="490"/>
      <c r="BF521" s="490"/>
      <c r="BG521" s="490"/>
      <c r="BH521" s="490"/>
      <c r="BI521" s="490"/>
      <c r="BJ521" s="490"/>
      <c r="BK521" s="490"/>
      <c r="BL521" s="490"/>
      <c r="BM521" s="490"/>
      <c r="BN521" s="490"/>
      <c r="BO521" s="490"/>
      <c r="BP521" s="490"/>
      <c r="BQ521" s="490"/>
      <c r="BR521" s="490"/>
      <c r="BS521" s="490"/>
      <c r="BT521" s="490"/>
      <c r="BU521" s="490"/>
      <c r="BV521" s="490"/>
      <c r="BW521" s="490"/>
      <c r="BX521" s="490"/>
      <c r="BY521" s="490"/>
      <c r="BZ521" s="490"/>
      <c r="CA521" s="490"/>
      <c r="CB521" s="490"/>
      <c r="CC521" s="490"/>
      <c r="CD521" s="490"/>
      <c r="CE521" s="490"/>
      <c r="CF521" s="490"/>
      <c r="CG521" s="490"/>
      <c r="CH521" s="490"/>
      <c r="CI521" s="490"/>
      <c r="CJ521" s="490"/>
      <c r="CK521" s="490"/>
      <c r="CL521" s="490"/>
      <c r="CM521" s="490"/>
      <c r="CN521" s="490"/>
      <c r="CO521" s="490"/>
      <c r="CP521" s="490"/>
      <c r="CQ521" s="490"/>
      <c r="CR521" s="490"/>
      <c r="CS521" s="490"/>
    </row>
    <row r="522" spans="1:97" x14ac:dyDescent="0.25">
      <c r="A522" s="486">
        <v>909235</v>
      </c>
      <c r="B522" s="487">
        <v>58.53</v>
      </c>
      <c r="C522" s="488"/>
      <c r="D522" s="488">
        <v>8.36</v>
      </c>
      <c r="E522" s="488">
        <v>2.84</v>
      </c>
      <c r="F522" s="487">
        <v>1.93</v>
      </c>
      <c r="G522" s="488">
        <v>0.56000000000000005</v>
      </c>
      <c r="H522" s="488">
        <v>1.89</v>
      </c>
      <c r="I522" s="488">
        <v>0.41</v>
      </c>
      <c r="J522" s="488">
        <v>7.18</v>
      </c>
      <c r="K522" s="488">
        <v>1.08</v>
      </c>
      <c r="L522" s="489">
        <v>43</v>
      </c>
      <c r="M522" s="488"/>
      <c r="N522" s="488"/>
      <c r="O522" s="488"/>
      <c r="P522" s="488"/>
      <c r="Q522" s="488"/>
      <c r="R522" s="488"/>
      <c r="S522" s="488"/>
      <c r="T522" s="490"/>
      <c r="U522" s="490"/>
      <c r="V522" s="490"/>
      <c r="W522" s="490"/>
      <c r="X522" s="490"/>
      <c r="Y522" s="490"/>
      <c r="Z522" s="490"/>
      <c r="AA522" s="490"/>
      <c r="AB522" s="490"/>
      <c r="AC522" s="490"/>
      <c r="AD522" s="490"/>
      <c r="AE522" s="490"/>
      <c r="AF522" s="490"/>
      <c r="AG522" s="490"/>
      <c r="AH522" s="490"/>
      <c r="AI522" s="490"/>
      <c r="AJ522" s="490"/>
      <c r="AK522" s="490"/>
      <c r="AL522" s="490"/>
      <c r="AM522" s="490"/>
      <c r="AN522" s="490"/>
      <c r="AO522" s="490"/>
      <c r="AP522" s="490"/>
      <c r="AQ522" s="490"/>
      <c r="AR522" s="490"/>
      <c r="AS522" s="490"/>
      <c r="AT522" s="490"/>
      <c r="AU522" s="490"/>
      <c r="AV522" s="490"/>
      <c r="AW522" s="490"/>
      <c r="AX522" s="490"/>
      <c r="AY522" s="490"/>
      <c r="AZ522" s="490"/>
      <c r="BA522" s="490"/>
      <c r="BB522" s="490"/>
      <c r="BC522" s="490"/>
      <c r="BD522" s="490"/>
      <c r="BE522" s="490"/>
      <c r="BF522" s="490"/>
      <c r="BG522" s="490"/>
      <c r="BH522" s="490"/>
      <c r="BI522" s="490"/>
      <c r="BJ522" s="490"/>
      <c r="BK522" s="490"/>
      <c r="BL522" s="490"/>
      <c r="BM522" s="490"/>
      <c r="BN522" s="490"/>
      <c r="BO522" s="490"/>
      <c r="BP522" s="490"/>
      <c r="BQ522" s="490"/>
      <c r="BR522" s="490"/>
      <c r="BS522" s="490"/>
      <c r="BT522" s="490"/>
      <c r="BU522" s="490"/>
      <c r="BV522" s="490"/>
      <c r="BW522" s="490"/>
      <c r="BX522" s="490"/>
      <c r="BY522" s="490"/>
      <c r="BZ522" s="490"/>
      <c r="CA522" s="490"/>
      <c r="CB522" s="490"/>
      <c r="CC522" s="490"/>
      <c r="CD522" s="490"/>
      <c r="CE522" s="490"/>
      <c r="CF522" s="490"/>
      <c r="CG522" s="490"/>
      <c r="CH522" s="490"/>
      <c r="CI522" s="490"/>
      <c r="CJ522" s="490"/>
      <c r="CK522" s="490"/>
      <c r="CL522" s="490"/>
      <c r="CM522" s="490"/>
      <c r="CN522" s="490"/>
      <c r="CO522" s="490"/>
      <c r="CP522" s="490"/>
      <c r="CQ522" s="490"/>
      <c r="CR522" s="490"/>
      <c r="CS522" s="490"/>
    </row>
    <row r="523" spans="1:97" x14ac:dyDescent="0.25">
      <c r="A523" s="486">
        <v>909236</v>
      </c>
      <c r="B523" s="487">
        <v>53.79</v>
      </c>
      <c r="C523" s="488"/>
      <c r="D523" s="488">
        <v>8.7100000000000009</v>
      </c>
      <c r="E523" s="488">
        <v>1.24</v>
      </c>
      <c r="F523" s="487">
        <v>1.65</v>
      </c>
      <c r="G523" s="488">
        <v>0.37</v>
      </c>
      <c r="H523" s="488">
        <v>1.25</v>
      </c>
      <c r="I523" s="488">
        <v>0.17</v>
      </c>
      <c r="J523" s="488">
        <v>3.56</v>
      </c>
      <c r="K523" s="488">
        <v>1.05</v>
      </c>
      <c r="L523" s="489">
        <v>45.2</v>
      </c>
      <c r="M523" s="488"/>
      <c r="N523" s="488"/>
      <c r="O523" s="488"/>
      <c r="P523" s="488"/>
      <c r="Q523" s="488"/>
      <c r="R523" s="488"/>
      <c r="S523" s="488"/>
      <c r="T523" s="490"/>
      <c r="U523" s="490"/>
      <c r="V523" s="490"/>
      <c r="W523" s="490"/>
      <c r="X523" s="490"/>
      <c r="Y523" s="490"/>
      <c r="Z523" s="490"/>
      <c r="AA523" s="490"/>
      <c r="AB523" s="490"/>
      <c r="AC523" s="490"/>
      <c r="AD523" s="490"/>
      <c r="AE523" s="490"/>
      <c r="AF523" s="490"/>
      <c r="AG523" s="490"/>
      <c r="AH523" s="490"/>
      <c r="AI523" s="490"/>
      <c r="AJ523" s="490"/>
      <c r="AK523" s="490"/>
      <c r="AL523" s="490"/>
      <c r="AM523" s="490"/>
      <c r="AN523" s="490"/>
      <c r="AO523" s="490"/>
      <c r="AP523" s="490"/>
      <c r="AQ523" s="490"/>
      <c r="AR523" s="490"/>
      <c r="AS523" s="490"/>
      <c r="AT523" s="490"/>
      <c r="AU523" s="490"/>
      <c r="AV523" s="490"/>
      <c r="AW523" s="490"/>
      <c r="AX523" s="490"/>
      <c r="AY523" s="490"/>
      <c r="AZ523" s="490"/>
      <c r="BA523" s="490"/>
      <c r="BB523" s="490"/>
      <c r="BC523" s="490"/>
      <c r="BD523" s="490"/>
      <c r="BE523" s="490"/>
      <c r="BF523" s="490"/>
      <c r="BG523" s="490"/>
      <c r="BH523" s="490"/>
      <c r="BI523" s="490"/>
      <c r="BJ523" s="490"/>
      <c r="BK523" s="490"/>
      <c r="BL523" s="490"/>
      <c r="BM523" s="490"/>
      <c r="BN523" s="490"/>
      <c r="BO523" s="490"/>
      <c r="BP523" s="490"/>
      <c r="BQ523" s="490"/>
      <c r="BR523" s="490"/>
      <c r="BS523" s="490"/>
      <c r="BT523" s="490"/>
      <c r="BU523" s="490"/>
      <c r="BV523" s="490"/>
      <c r="BW523" s="490"/>
      <c r="BX523" s="490"/>
      <c r="BY523" s="490"/>
      <c r="BZ523" s="490"/>
      <c r="CA523" s="490"/>
      <c r="CB523" s="490"/>
      <c r="CC523" s="490"/>
      <c r="CD523" s="490"/>
      <c r="CE523" s="490"/>
      <c r="CF523" s="490"/>
      <c r="CG523" s="490"/>
      <c r="CH523" s="490"/>
      <c r="CI523" s="490"/>
      <c r="CJ523" s="490"/>
      <c r="CK523" s="490"/>
      <c r="CL523" s="490"/>
      <c r="CM523" s="490"/>
      <c r="CN523" s="490"/>
      <c r="CO523" s="490"/>
      <c r="CP523" s="490"/>
      <c r="CQ523" s="490"/>
      <c r="CR523" s="490"/>
      <c r="CS523" s="490"/>
    </row>
    <row r="524" spans="1:97" x14ac:dyDescent="0.25">
      <c r="A524" s="502">
        <v>909240</v>
      </c>
      <c r="B524" s="503">
        <v>75.03</v>
      </c>
      <c r="C524" s="504"/>
      <c r="D524" s="504">
        <v>8.5</v>
      </c>
      <c r="E524" s="504">
        <v>4.0599999999999996</v>
      </c>
      <c r="F524" s="503">
        <v>1.65</v>
      </c>
      <c r="G524" s="504">
        <v>0.53</v>
      </c>
      <c r="H524" s="504">
        <v>1.32</v>
      </c>
      <c r="I524" s="504">
        <v>0.42</v>
      </c>
      <c r="J524" s="504">
        <v>5.82</v>
      </c>
      <c r="K524" s="504">
        <v>0.53</v>
      </c>
      <c r="L524" s="505">
        <v>21.9</v>
      </c>
      <c r="M524" s="504"/>
      <c r="N524" s="504"/>
      <c r="O524" s="504"/>
      <c r="P524" s="504"/>
      <c r="Q524" s="504"/>
      <c r="R524" s="504"/>
      <c r="S524" s="504"/>
      <c r="T524" s="506"/>
      <c r="U524" s="506"/>
      <c r="V524" s="506"/>
      <c r="W524" s="506"/>
      <c r="X524" s="506"/>
      <c r="Y524" s="506"/>
      <c r="Z524" s="506"/>
      <c r="AA524" s="506"/>
      <c r="AB524" s="506"/>
      <c r="AC524" s="506"/>
      <c r="AD524" s="506"/>
      <c r="AE524" s="506"/>
      <c r="AF524" s="506"/>
      <c r="AG524" s="506"/>
      <c r="AH524" s="506"/>
      <c r="AI524" s="506"/>
      <c r="AJ524" s="506"/>
      <c r="AK524" s="506"/>
      <c r="AL524" s="506"/>
      <c r="AM524" s="506"/>
      <c r="AN524" s="506"/>
      <c r="AO524" s="506"/>
      <c r="AP524" s="506"/>
      <c r="AQ524" s="506"/>
      <c r="AR524" s="506"/>
      <c r="AS524" s="506"/>
      <c r="AT524" s="506"/>
      <c r="AU524" s="506"/>
      <c r="AV524" s="506"/>
      <c r="AW524" s="506"/>
      <c r="AX524" s="506"/>
      <c r="AY524" s="506"/>
      <c r="AZ524" s="506"/>
      <c r="BA524" s="506"/>
      <c r="BB524" s="506"/>
      <c r="BC524" s="506"/>
      <c r="BD524" s="506"/>
      <c r="BE524" s="506"/>
      <c r="BF524" s="506"/>
      <c r="BG524" s="506"/>
      <c r="BH524" s="506"/>
      <c r="BI524" s="506"/>
      <c r="BJ524" s="506"/>
      <c r="BK524" s="506"/>
      <c r="BL524" s="506"/>
      <c r="BM524" s="506"/>
      <c r="BN524" s="506"/>
      <c r="BO524" s="506"/>
      <c r="BP524" s="506"/>
      <c r="BQ524" s="506"/>
      <c r="BR524" s="506"/>
      <c r="BS524" s="506"/>
      <c r="BT524" s="506"/>
      <c r="BU524" s="506"/>
      <c r="BV524" s="506"/>
      <c r="BW524" s="506"/>
      <c r="BX524" s="506"/>
      <c r="BY524" s="506"/>
      <c r="BZ524" s="506"/>
      <c r="CA524" s="506"/>
      <c r="CB524" s="506"/>
      <c r="CC524" s="506"/>
      <c r="CD524" s="506"/>
      <c r="CE524" s="506"/>
      <c r="CF524" s="506"/>
      <c r="CG524" s="506"/>
      <c r="CH524" s="506"/>
      <c r="CI524" s="506"/>
      <c r="CJ524" s="506"/>
      <c r="CK524" s="506"/>
      <c r="CL524" s="506"/>
      <c r="CM524" s="506"/>
      <c r="CN524" s="506"/>
      <c r="CO524" s="506"/>
      <c r="CP524" s="506"/>
      <c r="CQ524" s="506"/>
      <c r="CR524" s="506"/>
      <c r="CS524" s="506"/>
    </row>
    <row r="525" spans="1:97" x14ac:dyDescent="0.25">
      <c r="A525" s="502">
        <v>909241</v>
      </c>
      <c r="B525" s="503">
        <v>56.43</v>
      </c>
      <c r="C525" s="504"/>
      <c r="D525" s="504">
        <v>8.5299999999999994</v>
      </c>
      <c r="E525" s="504">
        <v>4.47</v>
      </c>
      <c r="F525" s="503">
        <v>1.82</v>
      </c>
      <c r="G525" s="504">
        <v>0.73</v>
      </c>
      <c r="H525" s="504">
        <v>1.87</v>
      </c>
      <c r="I525" s="504">
        <v>0.73</v>
      </c>
      <c r="J525" s="504">
        <v>6.44</v>
      </c>
      <c r="K525" s="504">
        <v>0.6</v>
      </c>
      <c r="L525" s="505">
        <v>30.8</v>
      </c>
      <c r="M525" s="504"/>
      <c r="N525" s="504"/>
      <c r="O525" s="504"/>
      <c r="P525" s="504"/>
      <c r="Q525" s="504"/>
      <c r="R525" s="504"/>
      <c r="S525" s="504"/>
      <c r="T525" s="506"/>
      <c r="U525" s="506"/>
      <c r="V525" s="506"/>
      <c r="W525" s="506"/>
      <c r="X525" s="506"/>
      <c r="Y525" s="506"/>
      <c r="Z525" s="506"/>
      <c r="AA525" s="506"/>
      <c r="AB525" s="506"/>
      <c r="AC525" s="506"/>
      <c r="AD525" s="506"/>
      <c r="AE525" s="506"/>
      <c r="AF525" s="506"/>
      <c r="AG525" s="506"/>
      <c r="AH525" s="506"/>
      <c r="AI525" s="506"/>
      <c r="AJ525" s="506"/>
      <c r="AK525" s="506"/>
      <c r="AL525" s="506"/>
      <c r="AM525" s="506"/>
      <c r="AN525" s="506"/>
      <c r="AO525" s="506"/>
      <c r="AP525" s="506"/>
      <c r="AQ525" s="506"/>
      <c r="AR525" s="506"/>
      <c r="AS525" s="506"/>
      <c r="AT525" s="506"/>
      <c r="AU525" s="506"/>
      <c r="AV525" s="506"/>
      <c r="AW525" s="506"/>
      <c r="AX525" s="506"/>
      <c r="AY525" s="506"/>
      <c r="AZ525" s="506"/>
      <c r="BA525" s="506"/>
      <c r="BB525" s="506"/>
      <c r="BC525" s="506"/>
      <c r="BD525" s="506"/>
      <c r="BE525" s="506"/>
      <c r="BF525" s="506"/>
      <c r="BG525" s="506"/>
      <c r="BH525" s="506"/>
      <c r="BI525" s="506"/>
      <c r="BJ525" s="506"/>
      <c r="BK525" s="506"/>
      <c r="BL525" s="506"/>
      <c r="BM525" s="506"/>
      <c r="BN525" s="506"/>
      <c r="BO525" s="506"/>
      <c r="BP525" s="506"/>
      <c r="BQ525" s="506"/>
      <c r="BR525" s="506"/>
      <c r="BS525" s="506"/>
      <c r="BT525" s="506"/>
      <c r="BU525" s="506"/>
      <c r="BV525" s="506"/>
      <c r="BW525" s="506"/>
      <c r="BX525" s="506"/>
      <c r="BY525" s="506"/>
      <c r="BZ525" s="506"/>
      <c r="CA525" s="506"/>
      <c r="CB525" s="506"/>
      <c r="CC525" s="506"/>
      <c r="CD525" s="506"/>
      <c r="CE525" s="506"/>
      <c r="CF525" s="506"/>
      <c r="CG525" s="506"/>
      <c r="CH525" s="506"/>
      <c r="CI525" s="506"/>
      <c r="CJ525" s="506"/>
      <c r="CK525" s="506"/>
      <c r="CL525" s="506"/>
      <c r="CM525" s="506"/>
      <c r="CN525" s="506"/>
      <c r="CO525" s="506"/>
      <c r="CP525" s="506"/>
      <c r="CQ525" s="506"/>
      <c r="CR525" s="506"/>
      <c r="CS525" s="506"/>
    </row>
    <row r="526" spans="1:97" x14ac:dyDescent="0.25">
      <c r="A526" s="502">
        <v>909242</v>
      </c>
      <c r="B526" s="503">
        <v>54.68</v>
      </c>
      <c r="C526" s="504"/>
      <c r="D526" s="504">
        <v>8.49</v>
      </c>
      <c r="E526" s="504">
        <v>5.53</v>
      </c>
      <c r="F526" s="503">
        <v>2.21</v>
      </c>
      <c r="G526" s="504">
        <v>0.83</v>
      </c>
      <c r="H526" s="504">
        <v>2.0499999999999998</v>
      </c>
      <c r="I526" s="504">
        <v>0.86</v>
      </c>
      <c r="J526" s="504">
        <v>6.46</v>
      </c>
      <c r="K526" s="504">
        <v>0.78</v>
      </c>
      <c r="L526" s="505">
        <v>31.2</v>
      </c>
      <c r="M526" s="504"/>
      <c r="N526" s="504"/>
      <c r="O526" s="504"/>
      <c r="P526" s="504"/>
      <c r="Q526" s="504"/>
      <c r="R526" s="504"/>
      <c r="S526" s="504"/>
      <c r="T526" s="506"/>
      <c r="U526" s="506"/>
      <c r="V526" s="506"/>
      <c r="W526" s="506"/>
      <c r="X526" s="506"/>
      <c r="Y526" s="506"/>
      <c r="Z526" s="506"/>
      <c r="AA526" s="506"/>
      <c r="AB526" s="506"/>
      <c r="AC526" s="506"/>
      <c r="AD526" s="506"/>
      <c r="AE526" s="506"/>
      <c r="AF526" s="506"/>
      <c r="AG526" s="506"/>
      <c r="AH526" s="506"/>
      <c r="AI526" s="506"/>
      <c r="AJ526" s="506"/>
      <c r="AK526" s="506"/>
      <c r="AL526" s="506"/>
      <c r="AM526" s="506"/>
      <c r="AN526" s="506"/>
      <c r="AO526" s="506"/>
      <c r="AP526" s="506"/>
      <c r="AQ526" s="506"/>
      <c r="AR526" s="506"/>
      <c r="AS526" s="506"/>
      <c r="AT526" s="506"/>
      <c r="AU526" s="506"/>
      <c r="AV526" s="506"/>
      <c r="AW526" s="506"/>
      <c r="AX526" s="506"/>
      <c r="AY526" s="506"/>
      <c r="AZ526" s="506"/>
      <c r="BA526" s="506"/>
      <c r="BB526" s="506"/>
      <c r="BC526" s="506"/>
      <c r="BD526" s="506"/>
      <c r="BE526" s="506"/>
      <c r="BF526" s="506"/>
      <c r="BG526" s="506"/>
      <c r="BH526" s="506"/>
      <c r="BI526" s="506"/>
      <c r="BJ526" s="506"/>
      <c r="BK526" s="506"/>
      <c r="BL526" s="506"/>
      <c r="BM526" s="506"/>
      <c r="BN526" s="506"/>
      <c r="BO526" s="506"/>
      <c r="BP526" s="506"/>
      <c r="BQ526" s="506"/>
      <c r="BR526" s="506"/>
      <c r="BS526" s="506"/>
      <c r="BT526" s="506"/>
      <c r="BU526" s="506"/>
      <c r="BV526" s="506"/>
      <c r="BW526" s="506"/>
      <c r="BX526" s="506"/>
      <c r="BY526" s="506"/>
      <c r="BZ526" s="506"/>
      <c r="CA526" s="506"/>
      <c r="CB526" s="506"/>
      <c r="CC526" s="506"/>
      <c r="CD526" s="506"/>
      <c r="CE526" s="506"/>
      <c r="CF526" s="506"/>
      <c r="CG526" s="506"/>
      <c r="CH526" s="506"/>
      <c r="CI526" s="506"/>
      <c r="CJ526" s="506"/>
      <c r="CK526" s="506"/>
      <c r="CL526" s="506"/>
      <c r="CM526" s="506"/>
      <c r="CN526" s="506"/>
      <c r="CO526" s="506"/>
      <c r="CP526" s="506"/>
      <c r="CQ526" s="506"/>
      <c r="CR526" s="506"/>
      <c r="CS526" s="506"/>
    </row>
    <row r="527" spans="1:97" x14ac:dyDescent="0.25">
      <c r="A527" s="502">
        <v>909243</v>
      </c>
      <c r="B527" s="503">
        <v>11.71</v>
      </c>
      <c r="C527" s="504"/>
      <c r="D527" s="504">
        <v>8.59</v>
      </c>
      <c r="E527" s="504">
        <v>2.86</v>
      </c>
      <c r="F527" s="503">
        <v>7.17</v>
      </c>
      <c r="G527" s="504">
        <v>3.19</v>
      </c>
      <c r="H527" s="504">
        <v>1.46</v>
      </c>
      <c r="I527" s="504">
        <v>0.46</v>
      </c>
      <c r="J527" s="504">
        <v>6.55</v>
      </c>
      <c r="K527" s="504">
        <v>0.48</v>
      </c>
      <c r="L527" s="505">
        <v>70.2</v>
      </c>
      <c r="M527" s="504"/>
      <c r="N527" s="504"/>
      <c r="O527" s="504"/>
      <c r="P527" s="504"/>
      <c r="Q527" s="504"/>
      <c r="R527" s="504"/>
      <c r="S527" s="504"/>
      <c r="T527" s="506"/>
      <c r="U527" s="506"/>
      <c r="V527" s="506"/>
      <c r="W527" s="506"/>
      <c r="X527" s="506"/>
      <c r="Y527" s="506"/>
      <c r="Z527" s="506"/>
      <c r="AA527" s="506"/>
      <c r="AB527" s="506"/>
      <c r="AC527" s="506"/>
      <c r="AD527" s="506"/>
      <c r="AE527" s="506"/>
      <c r="AF527" s="506"/>
      <c r="AG527" s="506"/>
      <c r="AH527" s="506"/>
      <c r="AI527" s="506"/>
      <c r="AJ527" s="506"/>
      <c r="AK527" s="506"/>
      <c r="AL527" s="506"/>
      <c r="AM527" s="506"/>
      <c r="AN527" s="506"/>
      <c r="AO527" s="506"/>
      <c r="AP527" s="506"/>
      <c r="AQ527" s="506"/>
      <c r="AR527" s="506"/>
      <c r="AS527" s="506"/>
      <c r="AT527" s="506"/>
      <c r="AU527" s="506"/>
      <c r="AV527" s="506"/>
      <c r="AW527" s="506"/>
      <c r="AX527" s="506"/>
      <c r="AY527" s="506"/>
      <c r="AZ527" s="506"/>
      <c r="BA527" s="506"/>
      <c r="BB527" s="506"/>
      <c r="BC527" s="506"/>
      <c r="BD527" s="506"/>
      <c r="BE527" s="506"/>
      <c r="BF527" s="506"/>
      <c r="BG527" s="506"/>
      <c r="BH527" s="506"/>
      <c r="BI527" s="506"/>
      <c r="BJ527" s="506"/>
      <c r="BK527" s="506"/>
      <c r="BL527" s="506"/>
      <c r="BM527" s="506"/>
      <c r="BN527" s="506"/>
      <c r="BO527" s="506"/>
      <c r="BP527" s="506"/>
      <c r="BQ527" s="506"/>
      <c r="BR527" s="506"/>
      <c r="BS527" s="506"/>
      <c r="BT527" s="506"/>
      <c r="BU527" s="506"/>
      <c r="BV527" s="506"/>
      <c r="BW527" s="506"/>
      <c r="BX527" s="506"/>
      <c r="BY527" s="506"/>
      <c r="BZ527" s="506"/>
      <c r="CA527" s="506"/>
      <c r="CB527" s="506"/>
      <c r="CC527" s="506"/>
      <c r="CD527" s="506"/>
      <c r="CE527" s="506"/>
      <c r="CF527" s="506"/>
      <c r="CG527" s="506"/>
      <c r="CH527" s="506"/>
      <c r="CI527" s="506"/>
      <c r="CJ527" s="506"/>
      <c r="CK527" s="506"/>
      <c r="CL527" s="506"/>
      <c r="CM527" s="506"/>
      <c r="CN527" s="506"/>
      <c r="CO527" s="506"/>
      <c r="CP527" s="506"/>
      <c r="CQ527" s="506"/>
      <c r="CR527" s="506"/>
      <c r="CS527" s="506"/>
    </row>
    <row r="528" spans="1:97" x14ac:dyDescent="0.25">
      <c r="A528" s="502">
        <v>909244</v>
      </c>
      <c r="B528" s="503">
        <v>58.6</v>
      </c>
      <c r="C528" s="504"/>
      <c r="D528" s="504">
        <v>8.99</v>
      </c>
      <c r="E528" s="504">
        <v>2.35</v>
      </c>
      <c r="F528" s="503">
        <v>1.71</v>
      </c>
      <c r="G528" s="504">
        <v>0.48</v>
      </c>
      <c r="H528" s="504">
        <v>1.75</v>
      </c>
      <c r="I528" s="504">
        <v>0.35</v>
      </c>
      <c r="J528" s="504">
        <v>6.96</v>
      </c>
      <c r="K528" s="504">
        <v>0.94</v>
      </c>
      <c r="L528" s="505">
        <v>45.3</v>
      </c>
      <c r="M528" s="504"/>
      <c r="N528" s="504"/>
      <c r="O528" s="504"/>
      <c r="P528" s="504"/>
      <c r="Q528" s="504"/>
      <c r="R528" s="504"/>
      <c r="S528" s="504"/>
      <c r="T528" s="506"/>
      <c r="U528" s="506"/>
      <c r="V528" s="506"/>
      <c r="W528" s="506"/>
      <c r="X528" s="506"/>
      <c r="Y528" s="506"/>
      <c r="Z528" s="506"/>
      <c r="AA528" s="506"/>
      <c r="AB528" s="506"/>
      <c r="AC528" s="506"/>
      <c r="AD528" s="506"/>
      <c r="AE528" s="506"/>
      <c r="AF528" s="506"/>
      <c r="AG528" s="506"/>
      <c r="AH528" s="506"/>
      <c r="AI528" s="506"/>
      <c r="AJ528" s="506"/>
      <c r="AK528" s="506"/>
      <c r="AL528" s="506"/>
      <c r="AM528" s="506"/>
      <c r="AN528" s="506"/>
      <c r="AO528" s="506"/>
      <c r="AP528" s="506"/>
      <c r="AQ528" s="506"/>
      <c r="AR528" s="506"/>
      <c r="AS528" s="506"/>
      <c r="AT528" s="506"/>
      <c r="AU528" s="506"/>
      <c r="AV528" s="506"/>
      <c r="AW528" s="506"/>
      <c r="AX528" s="506"/>
      <c r="AY528" s="506"/>
      <c r="AZ528" s="506"/>
      <c r="BA528" s="506"/>
      <c r="BB528" s="506"/>
      <c r="BC528" s="506"/>
      <c r="BD528" s="506"/>
      <c r="BE528" s="506"/>
      <c r="BF528" s="506"/>
      <c r="BG528" s="506"/>
      <c r="BH528" s="506"/>
      <c r="BI528" s="506"/>
      <c r="BJ528" s="506"/>
      <c r="BK528" s="506"/>
      <c r="BL528" s="506"/>
      <c r="BM528" s="506"/>
      <c r="BN528" s="506"/>
      <c r="BO528" s="506"/>
      <c r="BP528" s="506"/>
      <c r="BQ528" s="506"/>
      <c r="BR528" s="506"/>
      <c r="BS528" s="506"/>
      <c r="BT528" s="506"/>
      <c r="BU528" s="506"/>
      <c r="BV528" s="506"/>
      <c r="BW528" s="506"/>
      <c r="BX528" s="506"/>
      <c r="BY528" s="506"/>
      <c r="BZ528" s="506"/>
      <c r="CA528" s="506"/>
      <c r="CB528" s="506"/>
      <c r="CC528" s="506"/>
      <c r="CD528" s="506"/>
      <c r="CE528" s="506"/>
      <c r="CF528" s="506"/>
      <c r="CG528" s="506"/>
      <c r="CH528" s="506"/>
      <c r="CI528" s="506"/>
      <c r="CJ528" s="506"/>
      <c r="CK528" s="506"/>
      <c r="CL528" s="506"/>
      <c r="CM528" s="506"/>
      <c r="CN528" s="506"/>
      <c r="CO528" s="506"/>
      <c r="CP528" s="506"/>
      <c r="CQ528" s="506"/>
      <c r="CR528" s="506"/>
      <c r="CS528" s="506"/>
    </row>
    <row r="529" spans="1:97" x14ac:dyDescent="0.25">
      <c r="A529" s="502">
        <v>909245</v>
      </c>
      <c r="B529" s="504">
        <v>54.84</v>
      </c>
      <c r="C529" s="504"/>
      <c r="D529" s="504">
        <v>8.98</v>
      </c>
      <c r="E529" s="504">
        <v>2.96</v>
      </c>
      <c r="F529" s="504">
        <v>1.65</v>
      </c>
      <c r="G529" s="504">
        <v>0.7</v>
      </c>
      <c r="H529" s="504">
        <v>2.04</v>
      </c>
      <c r="I529" s="504">
        <v>0.45</v>
      </c>
      <c r="J529" s="504">
        <v>6.58</v>
      </c>
      <c r="K529" s="504">
        <v>0.96</v>
      </c>
      <c r="L529" s="505">
        <v>36.4</v>
      </c>
      <c r="M529" s="504"/>
      <c r="N529" s="504"/>
      <c r="O529" s="504"/>
      <c r="P529" s="504"/>
      <c r="Q529" s="504"/>
      <c r="R529" s="504"/>
      <c r="S529" s="504"/>
      <c r="T529" s="506"/>
      <c r="U529" s="506"/>
      <c r="V529" s="506"/>
      <c r="W529" s="506"/>
      <c r="X529" s="506"/>
      <c r="Y529" s="506"/>
      <c r="Z529" s="506"/>
      <c r="AA529" s="506"/>
      <c r="AB529" s="506"/>
      <c r="AC529" s="506"/>
      <c r="AD529" s="506"/>
      <c r="AE529" s="506"/>
      <c r="AF529" s="506"/>
      <c r="AG529" s="506"/>
      <c r="AH529" s="506"/>
      <c r="AI529" s="506"/>
      <c r="AJ529" s="506"/>
      <c r="AK529" s="506"/>
      <c r="AL529" s="506"/>
      <c r="AM529" s="506"/>
      <c r="AN529" s="506"/>
      <c r="AO529" s="506"/>
      <c r="AP529" s="506"/>
      <c r="AQ529" s="506"/>
      <c r="AR529" s="506"/>
      <c r="AS529" s="506"/>
      <c r="AT529" s="506"/>
      <c r="AU529" s="506"/>
      <c r="AV529" s="506"/>
      <c r="AW529" s="506"/>
      <c r="AX529" s="506"/>
      <c r="AY529" s="506"/>
      <c r="AZ529" s="506"/>
      <c r="BA529" s="506"/>
      <c r="BB529" s="506"/>
      <c r="BC529" s="506"/>
      <c r="BD529" s="506"/>
      <c r="BE529" s="506"/>
      <c r="BF529" s="506"/>
      <c r="BG529" s="506"/>
      <c r="BH529" s="506"/>
      <c r="BI529" s="506"/>
      <c r="BJ529" s="506"/>
      <c r="BK529" s="506"/>
      <c r="BL529" s="506"/>
      <c r="BM529" s="506"/>
      <c r="BN529" s="506"/>
      <c r="BO529" s="506"/>
      <c r="BP529" s="506"/>
      <c r="BQ529" s="506"/>
      <c r="BR529" s="506"/>
      <c r="BS529" s="506"/>
      <c r="BT529" s="506"/>
      <c r="BU529" s="506"/>
      <c r="BV529" s="506"/>
      <c r="BW529" s="506"/>
      <c r="BX529" s="506"/>
      <c r="BY529" s="506"/>
      <c r="BZ529" s="506"/>
      <c r="CA529" s="506"/>
      <c r="CB529" s="506"/>
      <c r="CC529" s="506"/>
      <c r="CD529" s="506"/>
      <c r="CE529" s="506"/>
      <c r="CF529" s="506"/>
      <c r="CG529" s="506"/>
      <c r="CH529" s="506"/>
      <c r="CI529" s="506"/>
      <c r="CJ529" s="506"/>
      <c r="CK529" s="506"/>
      <c r="CL529" s="506"/>
      <c r="CM529" s="506"/>
      <c r="CN529" s="506"/>
      <c r="CO529" s="506"/>
      <c r="CP529" s="506"/>
      <c r="CQ529" s="506"/>
      <c r="CR529" s="506"/>
      <c r="CS529" s="506"/>
    </row>
    <row r="530" spans="1:97" x14ac:dyDescent="0.25">
      <c r="A530" s="502">
        <v>909246</v>
      </c>
      <c r="B530" s="429">
        <v>76.19</v>
      </c>
      <c r="C530" s="428"/>
      <c r="D530" s="428">
        <v>9.02</v>
      </c>
      <c r="E530" s="428">
        <v>6.16</v>
      </c>
      <c r="F530" s="429">
        <v>1.99</v>
      </c>
      <c r="G530" s="428">
        <v>1.1299999999999999</v>
      </c>
      <c r="H530" s="428">
        <v>2.58</v>
      </c>
      <c r="I530" s="428">
        <v>0.42</v>
      </c>
      <c r="J530" s="428">
        <v>7.25</v>
      </c>
      <c r="K530" s="428">
        <v>1.44</v>
      </c>
      <c r="L530" s="430">
        <v>50</v>
      </c>
      <c r="M530" s="428"/>
      <c r="N530" s="428"/>
      <c r="O530" s="428"/>
      <c r="P530" s="428"/>
      <c r="Q530" s="428"/>
      <c r="R530" s="428"/>
      <c r="S530" s="428"/>
      <c r="T530" s="431"/>
      <c r="U530" s="431"/>
      <c r="V530" s="431"/>
      <c r="W530" s="431"/>
      <c r="X530" s="431"/>
      <c r="Y530" s="431"/>
      <c r="Z530" s="431"/>
      <c r="AA530" s="431"/>
      <c r="AB530" s="431"/>
      <c r="AC530" s="431"/>
      <c r="AD530" s="431"/>
      <c r="AE530" s="431"/>
      <c r="AF530" s="431"/>
      <c r="AG530" s="431"/>
      <c r="AH530" s="431"/>
      <c r="AI530" s="431"/>
      <c r="AJ530" s="431"/>
      <c r="AK530" s="431"/>
      <c r="AL530" s="431"/>
      <c r="AM530" s="431"/>
      <c r="AN530" s="431"/>
      <c r="AO530" s="431"/>
      <c r="AP530" s="431"/>
      <c r="AQ530" s="431"/>
      <c r="AR530" s="431"/>
      <c r="AS530" s="431"/>
      <c r="AT530" s="431"/>
      <c r="AU530" s="431"/>
      <c r="AV530" s="431"/>
      <c r="AW530" s="431"/>
      <c r="AX530" s="431"/>
      <c r="AY530" s="431"/>
      <c r="AZ530" s="431"/>
      <c r="BA530" s="431"/>
      <c r="BB530" s="431"/>
      <c r="BC530" s="431"/>
      <c r="BD530" s="431"/>
      <c r="BE530" s="431"/>
      <c r="BF530" s="431"/>
      <c r="BG530" s="431"/>
      <c r="BH530" s="431"/>
      <c r="BI530" s="431"/>
      <c r="BJ530" s="431"/>
      <c r="BK530" s="431"/>
      <c r="BL530" s="431"/>
      <c r="BM530" s="431"/>
      <c r="BN530" s="431"/>
      <c r="BO530" s="431"/>
      <c r="BP530" s="431"/>
      <c r="BQ530" s="431"/>
      <c r="BR530" s="431"/>
      <c r="BS530" s="431"/>
      <c r="BT530" s="431"/>
      <c r="BU530" s="431"/>
      <c r="BV530" s="431"/>
      <c r="BW530" s="431"/>
      <c r="BX530" s="431"/>
      <c r="BY530" s="431"/>
      <c r="BZ530" s="431"/>
      <c r="CA530" s="431"/>
      <c r="CB530" s="431"/>
      <c r="CC530" s="431"/>
      <c r="CD530" s="431"/>
      <c r="CE530" s="431"/>
      <c r="CF530" s="431"/>
      <c r="CG530" s="431"/>
      <c r="CH530" s="431"/>
      <c r="CI530" s="431"/>
      <c r="CJ530" s="431"/>
      <c r="CK530" s="431"/>
      <c r="CL530" s="431"/>
      <c r="CM530" s="431"/>
      <c r="CN530" s="431"/>
      <c r="CO530" s="431"/>
      <c r="CP530" s="431"/>
      <c r="CQ530" s="431"/>
      <c r="CR530" s="431"/>
      <c r="CS530" s="431"/>
    </row>
    <row r="531" spans="1:97" x14ac:dyDescent="0.25">
      <c r="A531" s="502">
        <v>909247</v>
      </c>
      <c r="B531" s="429">
        <v>79.25</v>
      </c>
      <c r="C531" s="428"/>
      <c r="D531" s="428">
        <v>8.98</v>
      </c>
      <c r="E531" s="428">
        <v>5.23</v>
      </c>
      <c r="F531" s="429">
        <v>2.0699999999999998</v>
      </c>
      <c r="G531" s="428">
        <v>1.3</v>
      </c>
      <c r="H531" s="428">
        <v>2.61</v>
      </c>
      <c r="I531" s="428">
        <v>0.4</v>
      </c>
      <c r="J531" s="428">
        <v>6.49</v>
      </c>
      <c r="K531" s="428">
        <v>0.83</v>
      </c>
      <c r="L531" s="430">
        <v>56.7</v>
      </c>
      <c r="M531" s="428"/>
      <c r="N531" s="428"/>
      <c r="O531" s="428"/>
      <c r="P531" s="428"/>
      <c r="Q531" s="428"/>
      <c r="R531" s="428"/>
      <c r="S531" s="428"/>
      <c r="T531" s="431"/>
      <c r="U531" s="431"/>
      <c r="V531" s="431"/>
      <c r="W531" s="431"/>
      <c r="X531" s="431"/>
      <c r="Y531" s="431"/>
      <c r="Z531" s="431"/>
      <c r="AA531" s="431"/>
      <c r="AB531" s="431"/>
      <c r="AC531" s="431"/>
      <c r="AD531" s="431"/>
      <c r="AE531" s="431"/>
      <c r="AF531" s="431"/>
      <c r="AG531" s="431"/>
      <c r="AH531" s="431"/>
      <c r="AI531" s="431"/>
      <c r="AJ531" s="431"/>
      <c r="AK531" s="431"/>
      <c r="AL531" s="431"/>
      <c r="AM531" s="431"/>
      <c r="AN531" s="431"/>
      <c r="AO531" s="431"/>
      <c r="AP531" s="431"/>
      <c r="AQ531" s="431"/>
      <c r="AR531" s="431"/>
      <c r="AS531" s="431"/>
      <c r="AT531" s="431"/>
      <c r="AU531" s="431"/>
      <c r="AV531" s="431"/>
      <c r="AW531" s="431"/>
      <c r="AX531" s="431"/>
      <c r="AY531" s="431"/>
      <c r="AZ531" s="431"/>
      <c r="BA531" s="431"/>
      <c r="BB531" s="431"/>
      <c r="BC531" s="431"/>
      <c r="BD531" s="431"/>
      <c r="BE531" s="431"/>
      <c r="BF531" s="431"/>
      <c r="BG531" s="431"/>
      <c r="BH531" s="431"/>
      <c r="BI531" s="431"/>
      <c r="BJ531" s="431"/>
      <c r="BK531" s="431"/>
      <c r="BL531" s="431"/>
      <c r="BM531" s="431"/>
      <c r="BN531" s="431"/>
      <c r="BO531" s="431"/>
      <c r="BP531" s="431"/>
      <c r="BQ531" s="431"/>
      <c r="BR531" s="431"/>
      <c r="BS531" s="431"/>
      <c r="BT531" s="431"/>
      <c r="BU531" s="431"/>
      <c r="BV531" s="431"/>
      <c r="BW531" s="431"/>
      <c r="BX531" s="431"/>
      <c r="BY531" s="431"/>
      <c r="BZ531" s="431"/>
      <c r="CA531" s="431"/>
      <c r="CB531" s="431"/>
      <c r="CC531" s="431"/>
      <c r="CD531" s="431"/>
      <c r="CE531" s="431"/>
      <c r="CF531" s="431"/>
      <c r="CG531" s="431"/>
      <c r="CH531" s="431"/>
      <c r="CI531" s="431"/>
      <c r="CJ531" s="431"/>
      <c r="CK531" s="431"/>
      <c r="CL531" s="431"/>
      <c r="CM531" s="431"/>
      <c r="CN531" s="431"/>
      <c r="CO531" s="431"/>
      <c r="CP531" s="431"/>
      <c r="CQ531" s="431"/>
      <c r="CR531" s="431"/>
      <c r="CS531" s="431"/>
    </row>
    <row r="532" spans="1:97" x14ac:dyDescent="0.25">
      <c r="A532" s="502">
        <v>909248</v>
      </c>
      <c r="B532" s="429">
        <v>75.260000000000005</v>
      </c>
      <c r="C532" s="428"/>
      <c r="D532" s="428">
        <v>8.9499999999999993</v>
      </c>
      <c r="E532" s="428">
        <v>6.2</v>
      </c>
      <c r="F532" s="429">
        <v>3.11</v>
      </c>
      <c r="G532" s="428">
        <v>1.27</v>
      </c>
      <c r="H532" s="428">
        <v>2.61</v>
      </c>
      <c r="I532" s="428">
        <v>0.39</v>
      </c>
      <c r="J532" s="428">
        <v>6.55</v>
      </c>
      <c r="K532" s="428">
        <v>0.88</v>
      </c>
      <c r="L532" s="430">
        <v>57</v>
      </c>
      <c r="M532" s="428"/>
      <c r="N532" s="428"/>
      <c r="O532" s="428"/>
      <c r="P532" s="428"/>
      <c r="Q532" s="428"/>
      <c r="R532" s="428"/>
      <c r="S532" s="428"/>
      <c r="T532" s="431"/>
      <c r="U532" s="431"/>
      <c r="V532" s="431"/>
      <c r="W532" s="431"/>
      <c r="X532" s="431"/>
      <c r="Y532" s="431"/>
      <c r="Z532" s="431"/>
      <c r="AA532" s="431"/>
      <c r="AB532" s="431"/>
      <c r="AC532" s="431"/>
      <c r="AD532" s="431"/>
      <c r="AE532" s="431"/>
      <c r="AF532" s="431"/>
      <c r="AG532" s="431"/>
      <c r="AH532" s="431"/>
      <c r="AI532" s="431"/>
      <c r="AJ532" s="431"/>
      <c r="AK532" s="431"/>
      <c r="AL532" s="431"/>
      <c r="AM532" s="431"/>
      <c r="AN532" s="431"/>
      <c r="AO532" s="431"/>
      <c r="AP532" s="431"/>
      <c r="AQ532" s="431"/>
      <c r="AR532" s="431"/>
      <c r="AS532" s="431"/>
      <c r="AT532" s="431"/>
      <c r="AU532" s="431"/>
      <c r="AV532" s="431"/>
      <c r="AW532" s="431"/>
      <c r="AX532" s="431"/>
      <c r="AY532" s="431"/>
      <c r="AZ532" s="431"/>
      <c r="BA532" s="431"/>
      <c r="BB532" s="431"/>
      <c r="BC532" s="431"/>
      <c r="BD532" s="431"/>
      <c r="BE532" s="431"/>
      <c r="BF532" s="431"/>
      <c r="BG532" s="431"/>
      <c r="BH532" s="431"/>
      <c r="BI532" s="431"/>
      <c r="BJ532" s="431"/>
      <c r="BK532" s="431"/>
      <c r="BL532" s="431"/>
      <c r="BM532" s="431"/>
      <c r="BN532" s="431"/>
      <c r="BO532" s="431"/>
      <c r="BP532" s="431"/>
      <c r="BQ532" s="431"/>
      <c r="BR532" s="431"/>
      <c r="BS532" s="431"/>
      <c r="BT532" s="431"/>
      <c r="BU532" s="431"/>
      <c r="BV532" s="431"/>
      <c r="BW532" s="431"/>
      <c r="BX532" s="431"/>
      <c r="BY532" s="431"/>
      <c r="BZ532" s="431"/>
      <c r="CA532" s="431"/>
      <c r="CB532" s="431"/>
      <c r="CC532" s="431"/>
      <c r="CD532" s="431"/>
      <c r="CE532" s="431"/>
      <c r="CF532" s="431"/>
      <c r="CG532" s="431"/>
      <c r="CH532" s="431"/>
      <c r="CI532" s="431"/>
      <c r="CJ532" s="431"/>
      <c r="CK532" s="431"/>
      <c r="CL532" s="431"/>
      <c r="CM532" s="431"/>
      <c r="CN532" s="431"/>
      <c r="CO532" s="431"/>
      <c r="CP532" s="431"/>
      <c r="CQ532" s="431"/>
      <c r="CR532" s="431"/>
      <c r="CS532" s="431"/>
    </row>
    <row r="533" spans="1:97" x14ac:dyDescent="0.25">
      <c r="A533" s="502">
        <v>909249</v>
      </c>
      <c r="B533" s="429">
        <v>32.61</v>
      </c>
      <c r="C533" s="428"/>
      <c r="D533" s="428">
        <v>8.5399999999999991</v>
      </c>
      <c r="E533" s="428">
        <v>2.5499999999999998</v>
      </c>
      <c r="F533" s="429">
        <v>1.0900000000000001</v>
      </c>
      <c r="G533" s="428">
        <v>0.34</v>
      </c>
      <c r="H533" s="428">
        <v>1.46</v>
      </c>
      <c r="I533" s="428">
        <v>0.36</v>
      </c>
      <c r="J533" s="428">
        <v>5.49</v>
      </c>
      <c r="K533" s="428">
        <v>0.46</v>
      </c>
      <c r="L533" s="430">
        <v>36.9</v>
      </c>
      <c r="M533" s="428"/>
      <c r="N533" s="428"/>
      <c r="O533" s="428"/>
      <c r="P533" s="428"/>
      <c r="Q533" s="428"/>
      <c r="R533" s="428"/>
      <c r="S533" s="428"/>
      <c r="T533" s="431"/>
      <c r="U533" s="431"/>
      <c r="V533" s="431"/>
      <c r="W533" s="431"/>
      <c r="X533" s="431"/>
      <c r="Y533" s="431"/>
      <c r="Z533" s="431"/>
      <c r="AA533" s="431"/>
      <c r="AB533" s="431"/>
      <c r="AC533" s="431"/>
      <c r="AD533" s="431"/>
      <c r="AE533" s="431"/>
      <c r="AF533" s="431"/>
      <c r="AG533" s="431"/>
      <c r="AH533" s="431"/>
      <c r="AI533" s="431"/>
      <c r="AJ533" s="431"/>
      <c r="AK533" s="431"/>
      <c r="AL533" s="431"/>
      <c r="AM533" s="431"/>
      <c r="AN533" s="431"/>
      <c r="AO533" s="431"/>
      <c r="AP533" s="431"/>
      <c r="AQ533" s="431"/>
      <c r="AR533" s="431"/>
      <c r="AS533" s="431"/>
      <c r="AT533" s="431"/>
      <c r="AU533" s="431"/>
      <c r="AV533" s="431"/>
      <c r="AW533" s="431"/>
      <c r="AX533" s="431"/>
      <c r="AY533" s="431"/>
      <c r="AZ533" s="431"/>
      <c r="BA533" s="431"/>
      <c r="BB533" s="431"/>
      <c r="BC533" s="431"/>
      <c r="BD533" s="431"/>
      <c r="BE533" s="431"/>
      <c r="BF533" s="431"/>
      <c r="BG533" s="431"/>
      <c r="BH533" s="431"/>
      <c r="BI533" s="431"/>
      <c r="BJ533" s="431"/>
      <c r="BK533" s="431"/>
      <c r="BL533" s="431"/>
      <c r="BM533" s="431"/>
      <c r="BN533" s="431"/>
      <c r="BO533" s="431"/>
      <c r="BP533" s="431"/>
      <c r="BQ533" s="431"/>
      <c r="BR533" s="431"/>
      <c r="BS533" s="431"/>
      <c r="BT533" s="431"/>
      <c r="BU533" s="431"/>
      <c r="BV533" s="431"/>
      <c r="BW533" s="431"/>
      <c r="BX533" s="431"/>
      <c r="BY533" s="431"/>
      <c r="BZ533" s="431"/>
      <c r="CA533" s="431"/>
      <c r="CB533" s="431"/>
      <c r="CC533" s="431"/>
      <c r="CD533" s="431"/>
      <c r="CE533" s="431"/>
      <c r="CF533" s="431"/>
      <c r="CG533" s="431"/>
      <c r="CH533" s="431"/>
      <c r="CI533" s="431"/>
      <c r="CJ533" s="431"/>
      <c r="CK533" s="431"/>
      <c r="CL533" s="431"/>
      <c r="CM533" s="431"/>
      <c r="CN533" s="431"/>
      <c r="CO533" s="431"/>
      <c r="CP533" s="431"/>
      <c r="CQ533" s="431"/>
      <c r="CR533" s="431"/>
      <c r="CS533" s="431"/>
    </row>
    <row r="534" spans="1:97" x14ac:dyDescent="0.25">
      <c r="A534" s="502">
        <v>909250</v>
      </c>
      <c r="B534" s="429">
        <v>26.95</v>
      </c>
      <c r="C534" s="428"/>
      <c r="D534" s="428">
        <v>8.4600000000000009</v>
      </c>
      <c r="E534" s="428">
        <v>3.82</v>
      </c>
      <c r="F534" s="429">
        <v>1.79</v>
      </c>
      <c r="G534" s="428">
        <v>0.73</v>
      </c>
      <c r="H534" s="428">
        <v>2.42</v>
      </c>
      <c r="I534" s="428">
        <v>0.44</v>
      </c>
      <c r="J534" s="428">
        <v>1.94</v>
      </c>
      <c r="K534" s="428">
        <v>0.53</v>
      </c>
      <c r="L534" s="430">
        <v>74.7</v>
      </c>
      <c r="M534" s="428"/>
      <c r="N534" s="428"/>
      <c r="O534" s="428"/>
      <c r="P534" s="428"/>
      <c r="Q534" s="428"/>
      <c r="R534" s="428"/>
      <c r="S534" s="428"/>
      <c r="T534" s="431"/>
      <c r="U534" s="431"/>
      <c r="V534" s="431"/>
      <c r="W534" s="431"/>
      <c r="X534" s="431"/>
      <c r="Y534" s="431"/>
      <c r="Z534" s="431"/>
      <c r="AA534" s="431"/>
      <c r="AB534" s="431"/>
      <c r="AC534" s="431"/>
      <c r="AD534" s="431"/>
      <c r="AE534" s="431"/>
      <c r="AF534" s="431"/>
      <c r="AG534" s="431"/>
      <c r="AH534" s="431"/>
      <c r="AI534" s="431"/>
      <c r="AJ534" s="431"/>
      <c r="AK534" s="431"/>
      <c r="AL534" s="431"/>
      <c r="AM534" s="431"/>
      <c r="AN534" s="431"/>
      <c r="AO534" s="431"/>
      <c r="AP534" s="431"/>
      <c r="AQ534" s="431"/>
      <c r="AR534" s="431"/>
      <c r="AS534" s="431"/>
      <c r="AT534" s="431"/>
      <c r="AU534" s="431"/>
      <c r="AV534" s="431"/>
      <c r="AW534" s="431"/>
      <c r="AX534" s="431"/>
      <c r="AY534" s="431"/>
      <c r="AZ534" s="431"/>
      <c r="BA534" s="431"/>
      <c r="BB534" s="431"/>
      <c r="BC534" s="431"/>
      <c r="BD534" s="431"/>
      <c r="BE534" s="431"/>
      <c r="BF534" s="431"/>
      <c r="BG534" s="431"/>
      <c r="BH534" s="431"/>
      <c r="BI534" s="431"/>
      <c r="BJ534" s="431"/>
      <c r="BK534" s="431"/>
      <c r="BL534" s="431"/>
      <c r="BM534" s="431"/>
      <c r="BN534" s="431"/>
      <c r="BO534" s="431"/>
      <c r="BP534" s="431"/>
      <c r="BQ534" s="431"/>
      <c r="BR534" s="431"/>
      <c r="BS534" s="431"/>
      <c r="BT534" s="431"/>
      <c r="BU534" s="431"/>
      <c r="BV534" s="431"/>
      <c r="BW534" s="431"/>
      <c r="BX534" s="431"/>
      <c r="BY534" s="431"/>
      <c r="BZ534" s="431"/>
      <c r="CA534" s="431"/>
      <c r="CB534" s="431"/>
      <c r="CC534" s="431"/>
      <c r="CD534" s="431"/>
      <c r="CE534" s="431"/>
      <c r="CF534" s="431"/>
      <c r="CG534" s="431"/>
      <c r="CH534" s="431"/>
      <c r="CI534" s="431"/>
      <c r="CJ534" s="431"/>
      <c r="CK534" s="431"/>
      <c r="CL534" s="431"/>
      <c r="CM534" s="431"/>
      <c r="CN534" s="431"/>
      <c r="CO534" s="431"/>
      <c r="CP534" s="431"/>
      <c r="CQ534" s="431"/>
      <c r="CR534" s="431"/>
      <c r="CS534" s="431"/>
    </row>
    <row r="535" spans="1:97" x14ac:dyDescent="0.25">
      <c r="A535" s="502">
        <v>909251</v>
      </c>
      <c r="B535" s="429">
        <v>52</v>
      </c>
      <c r="C535" s="428"/>
      <c r="D535" s="428">
        <v>8.77</v>
      </c>
      <c r="E535" s="428">
        <v>6.37</v>
      </c>
      <c r="F535" s="429">
        <v>2.35</v>
      </c>
      <c r="G535" s="428">
        <v>0.98</v>
      </c>
      <c r="H535" s="428">
        <v>3.4</v>
      </c>
      <c r="I535" s="428">
        <v>0.46</v>
      </c>
      <c r="J535" s="428">
        <v>3.11</v>
      </c>
      <c r="K535" s="428">
        <v>1.04</v>
      </c>
      <c r="L535" s="430">
        <v>59.7</v>
      </c>
      <c r="M535" s="428"/>
      <c r="N535" s="428"/>
      <c r="O535" s="428"/>
      <c r="P535" s="428"/>
      <c r="Q535" s="428"/>
      <c r="R535" s="428"/>
      <c r="S535" s="428"/>
      <c r="T535" s="431"/>
      <c r="U535" s="431"/>
      <c r="V535" s="431"/>
      <c r="W535" s="431"/>
      <c r="X535" s="431"/>
      <c r="Y535" s="431"/>
      <c r="Z535" s="431"/>
      <c r="AA535" s="431"/>
      <c r="AB535" s="431"/>
      <c r="AC535" s="431"/>
      <c r="AD535" s="431"/>
      <c r="AE535" s="431"/>
      <c r="AF535" s="431"/>
      <c r="AG535" s="431"/>
      <c r="AH535" s="431"/>
      <c r="AI535" s="431"/>
      <c r="AJ535" s="431"/>
      <c r="AK535" s="431"/>
      <c r="AL535" s="431"/>
      <c r="AM535" s="431"/>
      <c r="AN535" s="431"/>
      <c r="AO535" s="431"/>
      <c r="AP535" s="431"/>
      <c r="AQ535" s="431"/>
      <c r="AR535" s="431"/>
      <c r="AS535" s="431"/>
      <c r="AT535" s="431"/>
      <c r="AU535" s="431"/>
      <c r="AV535" s="431"/>
      <c r="AW535" s="431"/>
      <c r="AX535" s="431"/>
      <c r="AY535" s="431"/>
      <c r="AZ535" s="431"/>
      <c r="BA535" s="431"/>
      <c r="BB535" s="431"/>
      <c r="BC535" s="431"/>
      <c r="BD535" s="431"/>
      <c r="BE535" s="431"/>
      <c r="BF535" s="431"/>
      <c r="BG535" s="431"/>
      <c r="BH535" s="431"/>
      <c r="BI535" s="431"/>
      <c r="BJ535" s="431"/>
      <c r="BK535" s="431"/>
      <c r="BL535" s="431"/>
      <c r="BM535" s="431"/>
      <c r="BN535" s="431"/>
      <c r="BO535" s="431"/>
      <c r="BP535" s="431"/>
      <c r="BQ535" s="431"/>
      <c r="BR535" s="431"/>
      <c r="BS535" s="431"/>
      <c r="BT535" s="431"/>
      <c r="BU535" s="431"/>
      <c r="BV535" s="431"/>
      <c r="BW535" s="431"/>
      <c r="BX535" s="431"/>
      <c r="BY535" s="431"/>
      <c r="BZ535" s="431"/>
      <c r="CA535" s="431"/>
      <c r="CB535" s="431"/>
      <c r="CC535" s="431"/>
      <c r="CD535" s="431"/>
      <c r="CE535" s="431"/>
      <c r="CF535" s="431"/>
      <c r="CG535" s="431"/>
      <c r="CH535" s="431"/>
      <c r="CI535" s="431"/>
      <c r="CJ535" s="431"/>
      <c r="CK535" s="431"/>
      <c r="CL535" s="431"/>
      <c r="CM535" s="431"/>
      <c r="CN535" s="431"/>
      <c r="CO535" s="431"/>
      <c r="CP535" s="431"/>
      <c r="CQ535" s="431"/>
      <c r="CR535" s="431"/>
      <c r="CS535" s="431"/>
    </row>
    <row r="536" spans="1:97" x14ac:dyDescent="0.25">
      <c r="A536" s="502">
        <v>909252</v>
      </c>
      <c r="B536" s="429">
        <v>85.47</v>
      </c>
      <c r="C536" s="428"/>
      <c r="D536" s="428">
        <v>8.6999999999999993</v>
      </c>
      <c r="E536" s="428">
        <v>2.54</v>
      </c>
      <c r="F536" s="429">
        <v>2.33</v>
      </c>
      <c r="G536" s="428">
        <v>0.6</v>
      </c>
      <c r="H536" s="428">
        <v>1.57</v>
      </c>
      <c r="I536" s="428">
        <v>0.55000000000000004</v>
      </c>
      <c r="J536" s="428">
        <v>5.41</v>
      </c>
      <c r="K536" s="428">
        <v>0.67</v>
      </c>
      <c r="L536" s="430">
        <v>64.599999999999994</v>
      </c>
      <c r="M536" s="428"/>
      <c r="N536" s="428"/>
      <c r="O536" s="428"/>
      <c r="P536" s="428"/>
      <c r="Q536" s="428"/>
      <c r="R536" s="428"/>
      <c r="S536" s="428"/>
      <c r="T536" s="431"/>
      <c r="U536" s="431"/>
      <c r="V536" s="431"/>
      <c r="W536" s="431"/>
      <c r="X536" s="431"/>
      <c r="Y536" s="431"/>
      <c r="Z536" s="431"/>
      <c r="AA536" s="431"/>
      <c r="AB536" s="431"/>
      <c r="AC536" s="431"/>
      <c r="AD536" s="431"/>
      <c r="AE536" s="431"/>
      <c r="AF536" s="431"/>
      <c r="AG536" s="431"/>
      <c r="AH536" s="431"/>
      <c r="AI536" s="431"/>
      <c r="AJ536" s="431"/>
      <c r="AK536" s="431"/>
      <c r="AL536" s="431"/>
      <c r="AM536" s="431"/>
      <c r="AN536" s="431"/>
      <c r="AO536" s="431"/>
      <c r="AP536" s="431"/>
      <c r="AQ536" s="431"/>
      <c r="AR536" s="431"/>
      <c r="AS536" s="431"/>
      <c r="AT536" s="431"/>
      <c r="AU536" s="431"/>
      <c r="AV536" s="431"/>
      <c r="AW536" s="431"/>
      <c r="AX536" s="431"/>
      <c r="AY536" s="431"/>
      <c r="AZ536" s="431"/>
      <c r="BA536" s="431"/>
      <c r="BB536" s="431"/>
      <c r="BC536" s="431"/>
      <c r="BD536" s="431"/>
      <c r="BE536" s="431"/>
      <c r="BF536" s="431"/>
      <c r="BG536" s="431"/>
      <c r="BH536" s="431"/>
      <c r="BI536" s="431"/>
      <c r="BJ536" s="431"/>
      <c r="BK536" s="431"/>
      <c r="BL536" s="431"/>
      <c r="BM536" s="431"/>
      <c r="BN536" s="431"/>
      <c r="BO536" s="431"/>
      <c r="BP536" s="431"/>
      <c r="BQ536" s="431"/>
      <c r="BR536" s="431"/>
      <c r="BS536" s="431"/>
      <c r="BT536" s="431"/>
      <c r="BU536" s="431"/>
      <c r="BV536" s="431"/>
      <c r="BW536" s="431"/>
      <c r="BX536" s="431"/>
      <c r="BY536" s="431"/>
      <c r="BZ536" s="431"/>
      <c r="CA536" s="431"/>
      <c r="CB536" s="431"/>
      <c r="CC536" s="431"/>
      <c r="CD536" s="431"/>
      <c r="CE536" s="431"/>
      <c r="CF536" s="431"/>
      <c r="CG536" s="431"/>
      <c r="CH536" s="431"/>
      <c r="CI536" s="431"/>
      <c r="CJ536" s="431"/>
      <c r="CK536" s="431"/>
      <c r="CL536" s="431"/>
      <c r="CM536" s="431"/>
      <c r="CN536" s="431"/>
      <c r="CO536" s="431"/>
      <c r="CP536" s="431"/>
      <c r="CQ536" s="431"/>
      <c r="CR536" s="431"/>
      <c r="CS536" s="431"/>
    </row>
    <row r="537" spans="1:97" x14ac:dyDescent="0.25">
      <c r="A537" s="502">
        <v>909253</v>
      </c>
      <c r="B537" s="429">
        <v>52.61</v>
      </c>
      <c r="C537" s="428"/>
      <c r="D537" s="428">
        <v>8.23</v>
      </c>
      <c r="E537" s="515">
        <v>0.20399999999999999</v>
      </c>
      <c r="F537" s="429">
        <v>0.81</v>
      </c>
      <c r="G537" s="428">
        <v>0.1</v>
      </c>
      <c r="H537" s="428">
        <v>0.28000000000000003</v>
      </c>
      <c r="I537" s="428">
        <v>0.05</v>
      </c>
      <c r="J537" s="428">
        <v>9.7899999999999991</v>
      </c>
      <c r="K537" s="428">
        <v>0.4</v>
      </c>
      <c r="L537" s="430">
        <v>56.4</v>
      </c>
      <c r="M537" s="428"/>
      <c r="N537" s="428"/>
      <c r="O537" s="428"/>
      <c r="P537" s="428"/>
      <c r="Q537" s="428"/>
      <c r="R537" s="428"/>
      <c r="S537" s="428"/>
      <c r="T537" s="431"/>
      <c r="U537" s="431"/>
      <c r="V537" s="431"/>
      <c r="W537" s="431"/>
      <c r="X537" s="431"/>
      <c r="Y537" s="431"/>
      <c r="Z537" s="431"/>
      <c r="AA537" s="431"/>
      <c r="AB537" s="431"/>
      <c r="AC537" s="431"/>
      <c r="AD537" s="431"/>
      <c r="AE537" s="431"/>
      <c r="AF537" s="431"/>
      <c r="AG537" s="431"/>
      <c r="AH537" s="431"/>
      <c r="AI537" s="431"/>
      <c r="AJ537" s="431"/>
      <c r="AK537" s="431"/>
      <c r="AL537" s="431"/>
      <c r="AM537" s="431"/>
      <c r="AN537" s="431"/>
      <c r="AO537" s="431"/>
      <c r="AP537" s="431"/>
      <c r="AQ537" s="431"/>
      <c r="AR537" s="431"/>
      <c r="AS537" s="431"/>
      <c r="AT537" s="431"/>
      <c r="AU537" s="431"/>
      <c r="AV537" s="431"/>
      <c r="AW537" s="431"/>
      <c r="AX537" s="431"/>
      <c r="AY537" s="431"/>
      <c r="AZ537" s="431"/>
      <c r="BA537" s="431"/>
      <c r="BB537" s="431"/>
      <c r="BC537" s="431"/>
      <c r="BD537" s="431"/>
      <c r="BE537" s="431"/>
      <c r="BF537" s="431"/>
      <c r="BG537" s="431"/>
      <c r="BH537" s="431"/>
      <c r="BI537" s="431"/>
      <c r="BJ537" s="431"/>
      <c r="BK537" s="431"/>
      <c r="BL537" s="431"/>
      <c r="BM537" s="431"/>
      <c r="BN537" s="431"/>
      <c r="BO537" s="431"/>
      <c r="BP537" s="431"/>
      <c r="BQ537" s="431"/>
      <c r="BR537" s="431"/>
      <c r="BS537" s="431"/>
      <c r="BT537" s="431"/>
      <c r="BU537" s="431"/>
      <c r="BV537" s="431"/>
      <c r="BW537" s="431"/>
      <c r="BX537" s="431"/>
      <c r="BY537" s="431"/>
      <c r="BZ537" s="431"/>
      <c r="CA537" s="431"/>
      <c r="CB537" s="431"/>
      <c r="CC537" s="431"/>
      <c r="CD537" s="431"/>
      <c r="CE537" s="431"/>
      <c r="CF537" s="431"/>
      <c r="CG537" s="431"/>
      <c r="CH537" s="431"/>
      <c r="CI537" s="431"/>
      <c r="CJ537" s="431"/>
      <c r="CK537" s="431"/>
      <c r="CL537" s="431"/>
      <c r="CM537" s="431"/>
      <c r="CN537" s="431"/>
      <c r="CO537" s="431"/>
      <c r="CP537" s="431"/>
      <c r="CQ537" s="431"/>
      <c r="CR537" s="431"/>
      <c r="CS537" s="431"/>
    </row>
    <row r="538" spans="1:97" x14ac:dyDescent="0.25">
      <c r="A538" s="502">
        <v>909254</v>
      </c>
      <c r="B538" s="429">
        <v>38.11</v>
      </c>
      <c r="C538" s="428"/>
      <c r="D538" s="428">
        <v>8.9</v>
      </c>
      <c r="E538" s="428">
        <v>2.09</v>
      </c>
      <c r="F538" s="429">
        <v>2.21</v>
      </c>
      <c r="G538" s="428">
        <v>0.83</v>
      </c>
      <c r="H538" s="428">
        <v>2.27</v>
      </c>
      <c r="I538" s="428">
        <v>0.47</v>
      </c>
      <c r="J538" s="428">
        <v>3.29</v>
      </c>
      <c r="K538" s="428">
        <v>0.56000000000000005</v>
      </c>
      <c r="L538" s="430">
        <v>58.6</v>
      </c>
      <c r="M538" s="428"/>
      <c r="N538" s="428"/>
      <c r="O538" s="428"/>
      <c r="P538" s="428"/>
      <c r="Q538" s="428"/>
      <c r="R538" s="428"/>
      <c r="S538" s="428"/>
      <c r="T538" s="431"/>
      <c r="U538" s="431"/>
      <c r="V538" s="431"/>
      <c r="W538" s="431"/>
      <c r="X538" s="431"/>
      <c r="Y538" s="431"/>
      <c r="Z538" s="431"/>
      <c r="AA538" s="431"/>
      <c r="AB538" s="431"/>
      <c r="AC538" s="431"/>
      <c r="AD538" s="431"/>
      <c r="AE538" s="431"/>
      <c r="AF538" s="431"/>
      <c r="AG538" s="431"/>
      <c r="AH538" s="431"/>
      <c r="AI538" s="431"/>
      <c r="AJ538" s="431"/>
      <c r="AK538" s="431"/>
      <c r="AL538" s="431"/>
      <c r="AM538" s="431"/>
      <c r="AN538" s="431"/>
      <c r="AO538" s="431"/>
      <c r="AP538" s="431"/>
      <c r="AQ538" s="431"/>
      <c r="AR538" s="431"/>
      <c r="AS538" s="431"/>
      <c r="AT538" s="431"/>
      <c r="AU538" s="431"/>
      <c r="AV538" s="431"/>
      <c r="AW538" s="431"/>
      <c r="AX538" s="431"/>
      <c r="AY538" s="431"/>
      <c r="AZ538" s="431"/>
      <c r="BA538" s="431"/>
      <c r="BB538" s="431"/>
      <c r="BC538" s="431"/>
      <c r="BD538" s="431"/>
      <c r="BE538" s="431"/>
      <c r="BF538" s="431"/>
      <c r="BG538" s="431"/>
      <c r="BH538" s="431"/>
      <c r="BI538" s="431"/>
      <c r="BJ538" s="431"/>
      <c r="BK538" s="431"/>
      <c r="BL538" s="431"/>
      <c r="BM538" s="431"/>
      <c r="BN538" s="431"/>
      <c r="BO538" s="431"/>
      <c r="BP538" s="431"/>
      <c r="BQ538" s="431"/>
      <c r="BR538" s="431"/>
      <c r="BS538" s="431"/>
      <c r="BT538" s="431"/>
      <c r="BU538" s="431"/>
      <c r="BV538" s="431"/>
      <c r="BW538" s="431"/>
      <c r="BX538" s="431"/>
      <c r="BY538" s="431"/>
      <c r="BZ538" s="431"/>
      <c r="CA538" s="431"/>
      <c r="CB538" s="431"/>
      <c r="CC538" s="431"/>
      <c r="CD538" s="431"/>
      <c r="CE538" s="431"/>
      <c r="CF538" s="431"/>
      <c r="CG538" s="431"/>
      <c r="CH538" s="431"/>
      <c r="CI538" s="431"/>
      <c r="CJ538" s="431"/>
      <c r="CK538" s="431"/>
      <c r="CL538" s="431"/>
      <c r="CM538" s="431"/>
      <c r="CN538" s="431"/>
      <c r="CO538" s="431"/>
      <c r="CP538" s="431"/>
      <c r="CQ538" s="431"/>
      <c r="CR538" s="431"/>
      <c r="CS538" s="431"/>
    </row>
    <row r="539" spans="1:97" x14ac:dyDescent="0.25">
      <c r="A539" s="502">
        <v>909255</v>
      </c>
      <c r="B539" s="429">
        <v>82.42</v>
      </c>
      <c r="C539" s="428"/>
      <c r="D539" s="428">
        <v>7.26</v>
      </c>
      <c r="E539" s="428">
        <v>4.7300000000000004</v>
      </c>
      <c r="F539" s="429">
        <v>5.85</v>
      </c>
      <c r="G539" s="428">
        <v>1.21</v>
      </c>
      <c r="H539" s="428">
        <v>2.31</v>
      </c>
      <c r="I539" s="428">
        <v>0.19</v>
      </c>
      <c r="J539" s="428">
        <v>4.8</v>
      </c>
      <c r="K539" s="428">
        <v>0.53</v>
      </c>
      <c r="L539" s="430">
        <v>77.8</v>
      </c>
      <c r="M539" s="428"/>
      <c r="N539" s="428"/>
      <c r="O539" s="428"/>
      <c r="P539" s="428"/>
      <c r="Q539" s="428"/>
      <c r="R539" s="428"/>
      <c r="S539" s="428"/>
      <c r="T539" s="431"/>
      <c r="U539" s="431"/>
      <c r="V539" s="431"/>
      <c r="W539" s="431"/>
      <c r="X539" s="431"/>
      <c r="Y539" s="431"/>
      <c r="Z539" s="431"/>
      <c r="AA539" s="431"/>
      <c r="AB539" s="431"/>
      <c r="AC539" s="431"/>
      <c r="AD539" s="431"/>
      <c r="AE539" s="431"/>
      <c r="AF539" s="431"/>
      <c r="AG539" s="431"/>
      <c r="AH539" s="431"/>
      <c r="AI539" s="431"/>
      <c r="AJ539" s="431"/>
      <c r="AK539" s="431"/>
      <c r="AL539" s="431"/>
      <c r="AM539" s="431"/>
      <c r="AN539" s="431"/>
      <c r="AO539" s="431"/>
      <c r="AP539" s="431"/>
      <c r="AQ539" s="431"/>
      <c r="AR539" s="431"/>
      <c r="AS539" s="431"/>
      <c r="AT539" s="431"/>
      <c r="AU539" s="431"/>
      <c r="AV539" s="431"/>
      <c r="AW539" s="431"/>
      <c r="AX539" s="431"/>
      <c r="AY539" s="431"/>
      <c r="AZ539" s="431"/>
      <c r="BA539" s="431"/>
      <c r="BB539" s="431"/>
      <c r="BC539" s="431"/>
      <c r="BD539" s="431"/>
      <c r="BE539" s="431"/>
      <c r="BF539" s="431"/>
      <c r="BG539" s="431"/>
      <c r="BH539" s="431"/>
      <c r="BI539" s="431"/>
      <c r="BJ539" s="431"/>
      <c r="BK539" s="431"/>
      <c r="BL539" s="431"/>
      <c r="BM539" s="431"/>
      <c r="BN539" s="431"/>
      <c r="BO539" s="431"/>
      <c r="BP539" s="431"/>
      <c r="BQ539" s="431"/>
      <c r="BR539" s="431"/>
      <c r="BS539" s="431"/>
      <c r="BT539" s="431"/>
      <c r="BU539" s="431"/>
      <c r="BV539" s="431"/>
      <c r="BW539" s="431"/>
      <c r="BX539" s="431"/>
      <c r="BY539" s="431"/>
      <c r="BZ539" s="431"/>
      <c r="CA539" s="431"/>
      <c r="CB539" s="431"/>
      <c r="CC539" s="431"/>
      <c r="CD539" s="431"/>
      <c r="CE539" s="431"/>
      <c r="CF539" s="431"/>
      <c r="CG539" s="431"/>
      <c r="CH539" s="431"/>
      <c r="CI539" s="431"/>
      <c r="CJ539" s="431"/>
      <c r="CK539" s="431"/>
      <c r="CL539" s="431"/>
      <c r="CM539" s="431"/>
      <c r="CN539" s="431"/>
      <c r="CO539" s="431"/>
      <c r="CP539" s="431"/>
      <c r="CQ539" s="431"/>
      <c r="CR539" s="431"/>
      <c r="CS539" s="431"/>
    </row>
    <row r="540" spans="1:97" x14ac:dyDescent="0.25">
      <c r="A540" s="502">
        <v>909256</v>
      </c>
      <c r="B540" s="429">
        <v>86.7</v>
      </c>
      <c r="C540" s="428"/>
      <c r="D540" s="428">
        <v>7.47</v>
      </c>
      <c r="E540" s="428">
        <v>4.9000000000000004</v>
      </c>
      <c r="F540" s="429">
        <v>4.45</v>
      </c>
      <c r="G540" s="428">
        <v>1.48</v>
      </c>
      <c r="H540" s="428">
        <v>2.09</v>
      </c>
      <c r="I540" s="428">
        <v>0.26</v>
      </c>
      <c r="J540" s="428">
        <v>7</v>
      </c>
      <c r="K540" s="428">
        <v>0.48</v>
      </c>
      <c r="L540" s="430">
        <v>72.7</v>
      </c>
      <c r="M540" s="428"/>
      <c r="N540" s="428"/>
      <c r="O540" s="428"/>
      <c r="P540" s="428"/>
      <c r="Q540" s="428"/>
      <c r="R540" s="428"/>
      <c r="S540" s="428"/>
      <c r="T540" s="431"/>
      <c r="U540" s="431"/>
      <c r="V540" s="431"/>
      <c r="W540" s="431"/>
      <c r="X540" s="431"/>
      <c r="Y540" s="431"/>
      <c r="Z540" s="431"/>
      <c r="AA540" s="431"/>
      <c r="AB540" s="431"/>
      <c r="AC540" s="431"/>
      <c r="AD540" s="431"/>
      <c r="AE540" s="431"/>
      <c r="AF540" s="431"/>
      <c r="AG540" s="431"/>
      <c r="AH540" s="431"/>
      <c r="AI540" s="431"/>
      <c r="AJ540" s="431"/>
      <c r="AK540" s="431"/>
      <c r="AL540" s="431"/>
      <c r="AM540" s="431"/>
      <c r="AN540" s="431"/>
      <c r="AO540" s="431"/>
      <c r="AP540" s="431"/>
      <c r="AQ540" s="431"/>
      <c r="AR540" s="431"/>
      <c r="AS540" s="431"/>
      <c r="AT540" s="431"/>
      <c r="AU540" s="431"/>
      <c r="AV540" s="431"/>
      <c r="AW540" s="431"/>
      <c r="AX540" s="431"/>
      <c r="AY540" s="431"/>
      <c r="AZ540" s="431"/>
      <c r="BA540" s="431"/>
      <c r="BB540" s="431"/>
      <c r="BC540" s="431"/>
      <c r="BD540" s="431"/>
      <c r="BE540" s="431"/>
      <c r="BF540" s="431"/>
      <c r="BG540" s="431"/>
      <c r="BH540" s="431"/>
      <c r="BI540" s="431"/>
      <c r="BJ540" s="431"/>
      <c r="BK540" s="431"/>
      <c r="BL540" s="431"/>
      <c r="BM540" s="431"/>
      <c r="BN540" s="431"/>
      <c r="BO540" s="431"/>
      <c r="BP540" s="431"/>
      <c r="BQ540" s="431"/>
      <c r="BR540" s="431"/>
      <c r="BS540" s="431"/>
      <c r="BT540" s="431"/>
      <c r="BU540" s="431"/>
      <c r="BV540" s="431"/>
      <c r="BW540" s="431"/>
      <c r="BX540" s="431"/>
      <c r="BY540" s="431"/>
      <c r="BZ540" s="431"/>
      <c r="CA540" s="431"/>
      <c r="CB540" s="431"/>
      <c r="CC540" s="431"/>
      <c r="CD540" s="431"/>
      <c r="CE540" s="431"/>
      <c r="CF540" s="431"/>
      <c r="CG540" s="431"/>
      <c r="CH540" s="431"/>
      <c r="CI540" s="431"/>
      <c r="CJ540" s="431"/>
      <c r="CK540" s="431"/>
      <c r="CL540" s="431"/>
      <c r="CM540" s="431"/>
      <c r="CN540" s="431"/>
      <c r="CO540" s="431"/>
      <c r="CP540" s="431"/>
      <c r="CQ540" s="431"/>
      <c r="CR540" s="431"/>
      <c r="CS540" s="431"/>
    </row>
    <row r="541" spans="1:97" x14ac:dyDescent="0.25">
      <c r="A541" s="502">
        <v>909257</v>
      </c>
      <c r="B541" s="429">
        <v>89.59</v>
      </c>
      <c r="C541" s="428"/>
      <c r="D541" s="428">
        <v>6.06</v>
      </c>
      <c r="E541" s="428">
        <v>0.253</v>
      </c>
      <c r="F541" s="429">
        <v>1.34</v>
      </c>
      <c r="G541" s="428">
        <v>0.04</v>
      </c>
      <c r="H541" s="428">
        <v>0.25</v>
      </c>
      <c r="I541" s="428">
        <v>0.06</v>
      </c>
      <c r="J541" s="428">
        <v>0.83</v>
      </c>
      <c r="K541" s="428">
        <v>0.06</v>
      </c>
      <c r="L541" s="430">
        <v>80.8</v>
      </c>
      <c r="M541" s="428"/>
      <c r="N541" s="428"/>
      <c r="O541" s="428"/>
      <c r="P541" s="428"/>
      <c r="Q541" s="428"/>
      <c r="R541" s="428"/>
      <c r="S541" s="428"/>
      <c r="T541" s="431"/>
      <c r="U541" s="431"/>
      <c r="V541" s="431"/>
      <c r="W541" s="431"/>
      <c r="X541" s="431"/>
      <c r="Y541" s="431"/>
      <c r="Z541" s="431"/>
      <c r="AA541" s="431"/>
      <c r="AB541" s="431"/>
      <c r="AC541" s="431"/>
      <c r="AD541" s="431"/>
      <c r="AE541" s="431"/>
      <c r="AF541" s="431"/>
      <c r="AG541" s="431"/>
      <c r="AH541" s="431"/>
      <c r="AI541" s="431"/>
      <c r="AJ541" s="431"/>
      <c r="AK541" s="431"/>
      <c r="AL541" s="431"/>
      <c r="AM541" s="431"/>
      <c r="AN541" s="431"/>
      <c r="AO541" s="431"/>
      <c r="AP541" s="431"/>
      <c r="AQ541" s="431"/>
      <c r="AR541" s="431"/>
      <c r="AS541" s="431"/>
      <c r="AT541" s="431"/>
      <c r="AU541" s="431"/>
      <c r="AV541" s="431"/>
      <c r="AW541" s="431"/>
      <c r="AX541" s="431"/>
      <c r="AY541" s="431"/>
      <c r="AZ541" s="431"/>
      <c r="BA541" s="431"/>
      <c r="BB541" s="431"/>
      <c r="BC541" s="431"/>
      <c r="BD541" s="431"/>
      <c r="BE541" s="431"/>
      <c r="BF541" s="431"/>
      <c r="BG541" s="431"/>
      <c r="BH541" s="431"/>
      <c r="BI541" s="431"/>
      <c r="BJ541" s="431"/>
      <c r="BK541" s="431"/>
      <c r="BL541" s="431"/>
      <c r="BM541" s="431"/>
      <c r="BN541" s="431"/>
      <c r="BO541" s="431"/>
      <c r="BP541" s="431"/>
      <c r="BQ541" s="431"/>
      <c r="BR541" s="431"/>
      <c r="BS541" s="431"/>
      <c r="BT541" s="431"/>
      <c r="BU541" s="431"/>
      <c r="BV541" s="431"/>
      <c r="BW541" s="431"/>
      <c r="BX541" s="431"/>
      <c r="BY541" s="431"/>
      <c r="BZ541" s="431"/>
      <c r="CA541" s="431"/>
      <c r="CB541" s="431"/>
      <c r="CC541" s="431"/>
      <c r="CD541" s="431"/>
      <c r="CE541" s="431"/>
      <c r="CF541" s="431"/>
      <c r="CG541" s="431"/>
      <c r="CH541" s="431"/>
      <c r="CI541" s="431"/>
      <c r="CJ541" s="431"/>
      <c r="CK541" s="431"/>
      <c r="CL541" s="431"/>
      <c r="CM541" s="431"/>
      <c r="CN541" s="431"/>
      <c r="CO541" s="431"/>
      <c r="CP541" s="431"/>
      <c r="CQ541" s="431"/>
      <c r="CR541" s="431"/>
      <c r="CS541" s="431"/>
    </row>
    <row r="542" spans="1:97" x14ac:dyDescent="0.25">
      <c r="A542" s="502">
        <v>909258</v>
      </c>
      <c r="B542" s="429">
        <v>47.22</v>
      </c>
      <c r="C542" s="428"/>
      <c r="D542" s="428">
        <v>8.17</v>
      </c>
      <c r="E542" s="428">
        <v>4.24</v>
      </c>
      <c r="F542" s="429">
        <v>2.13</v>
      </c>
      <c r="G542" s="428">
        <v>0.76</v>
      </c>
      <c r="H542" s="428">
        <v>1.9</v>
      </c>
      <c r="I542" s="428">
        <v>0.38</v>
      </c>
      <c r="J542" s="428">
        <v>3.1</v>
      </c>
      <c r="K542" s="428">
        <v>0.7</v>
      </c>
      <c r="L542" s="430">
        <v>71.5</v>
      </c>
      <c r="M542" s="428"/>
      <c r="N542" s="428"/>
      <c r="O542" s="428"/>
      <c r="P542" s="428"/>
      <c r="Q542" s="428"/>
      <c r="R542" s="428"/>
      <c r="S542" s="428"/>
      <c r="T542" s="431"/>
      <c r="U542" s="431"/>
      <c r="V542" s="431"/>
      <c r="W542" s="431"/>
      <c r="X542" s="431"/>
      <c r="Y542" s="431"/>
      <c r="Z542" s="431"/>
      <c r="AA542" s="431"/>
      <c r="AB542" s="431"/>
      <c r="AC542" s="431"/>
      <c r="AD542" s="431"/>
      <c r="AE542" s="431"/>
      <c r="AF542" s="431"/>
      <c r="AG542" s="431"/>
      <c r="AH542" s="431"/>
      <c r="AI542" s="431"/>
      <c r="AJ542" s="431"/>
      <c r="AK542" s="431"/>
      <c r="AL542" s="431"/>
      <c r="AM542" s="431"/>
      <c r="AN542" s="431"/>
      <c r="AO542" s="431"/>
      <c r="AP542" s="431"/>
      <c r="AQ542" s="431"/>
      <c r="AR542" s="431"/>
      <c r="AS542" s="431"/>
      <c r="AT542" s="431"/>
      <c r="AU542" s="431"/>
      <c r="AV542" s="431"/>
      <c r="AW542" s="431"/>
      <c r="AX542" s="431"/>
      <c r="AY542" s="431"/>
      <c r="AZ542" s="431"/>
      <c r="BA542" s="431"/>
      <c r="BB542" s="431"/>
      <c r="BC542" s="431"/>
      <c r="BD542" s="431"/>
      <c r="BE542" s="431"/>
      <c r="BF542" s="431"/>
      <c r="BG542" s="431"/>
      <c r="BH542" s="431"/>
      <c r="BI542" s="431"/>
      <c r="BJ542" s="431"/>
      <c r="BK542" s="431"/>
      <c r="BL542" s="431"/>
      <c r="BM542" s="431"/>
      <c r="BN542" s="431"/>
      <c r="BO542" s="431"/>
      <c r="BP542" s="431"/>
      <c r="BQ542" s="431"/>
      <c r="BR542" s="431"/>
      <c r="BS542" s="431"/>
      <c r="BT542" s="431"/>
      <c r="BU542" s="431"/>
      <c r="BV542" s="431"/>
      <c r="BW542" s="431"/>
      <c r="BX542" s="431"/>
      <c r="BY542" s="431"/>
      <c r="BZ542" s="431"/>
      <c r="CA542" s="431"/>
      <c r="CB542" s="431"/>
      <c r="CC542" s="431"/>
      <c r="CD542" s="431"/>
      <c r="CE542" s="431"/>
      <c r="CF542" s="431"/>
      <c r="CG542" s="431"/>
      <c r="CH542" s="431"/>
      <c r="CI542" s="431"/>
      <c r="CJ542" s="431"/>
      <c r="CK542" s="431"/>
      <c r="CL542" s="431"/>
      <c r="CM542" s="431"/>
      <c r="CN542" s="431"/>
      <c r="CO542" s="431"/>
      <c r="CP542" s="431"/>
      <c r="CQ542" s="431"/>
      <c r="CR542" s="431"/>
      <c r="CS542" s="431"/>
    </row>
    <row r="543" spans="1:97" x14ac:dyDescent="0.25">
      <c r="A543" s="502">
        <v>909259</v>
      </c>
      <c r="B543" s="429">
        <v>88.6</v>
      </c>
      <c r="C543" s="428"/>
      <c r="D543" s="428">
        <v>7.54</v>
      </c>
      <c r="E543" s="428">
        <v>5.85</v>
      </c>
      <c r="F543" s="429">
        <v>3.89</v>
      </c>
      <c r="G543" s="428">
        <v>0.82</v>
      </c>
      <c r="H543" s="428">
        <v>1.94</v>
      </c>
      <c r="I543" s="428">
        <v>0.28999999999999998</v>
      </c>
      <c r="J543" s="428">
        <v>1.58</v>
      </c>
      <c r="K543" s="428">
        <v>0.62</v>
      </c>
      <c r="L543" s="430">
        <v>86.8</v>
      </c>
      <c r="M543" s="428"/>
      <c r="N543" s="428"/>
      <c r="O543" s="428"/>
      <c r="P543" s="428"/>
      <c r="Q543" s="428"/>
      <c r="R543" s="428"/>
      <c r="S543" s="428"/>
      <c r="T543" s="431"/>
      <c r="U543" s="431"/>
      <c r="V543" s="431"/>
      <c r="W543" s="431"/>
      <c r="X543" s="431"/>
      <c r="Y543" s="431"/>
      <c r="Z543" s="431"/>
      <c r="AA543" s="431"/>
      <c r="AB543" s="431"/>
      <c r="AC543" s="431"/>
      <c r="AD543" s="431"/>
      <c r="AE543" s="431"/>
      <c r="AF543" s="431"/>
      <c r="AG543" s="431"/>
      <c r="AH543" s="431"/>
      <c r="AI543" s="431"/>
      <c r="AJ543" s="431"/>
      <c r="AK543" s="431"/>
      <c r="AL543" s="431"/>
      <c r="AM543" s="431"/>
      <c r="AN543" s="431"/>
      <c r="AO543" s="431"/>
      <c r="AP543" s="431"/>
      <c r="AQ543" s="431"/>
      <c r="AR543" s="431"/>
      <c r="AS543" s="431"/>
      <c r="AT543" s="431"/>
      <c r="AU543" s="431"/>
      <c r="AV543" s="431"/>
      <c r="AW543" s="431"/>
      <c r="AX543" s="431"/>
      <c r="AY543" s="431"/>
      <c r="AZ543" s="431"/>
      <c r="BA543" s="431"/>
      <c r="BB543" s="431"/>
      <c r="BC543" s="431"/>
      <c r="BD543" s="431"/>
      <c r="BE543" s="431"/>
      <c r="BF543" s="431"/>
      <c r="BG543" s="431"/>
      <c r="BH543" s="431"/>
      <c r="BI543" s="431"/>
      <c r="BJ543" s="431"/>
      <c r="BK543" s="431"/>
      <c r="BL543" s="431"/>
      <c r="BM543" s="431"/>
      <c r="BN543" s="431"/>
      <c r="BO543" s="431"/>
      <c r="BP543" s="431"/>
      <c r="BQ543" s="431"/>
      <c r="BR543" s="431"/>
      <c r="BS543" s="431"/>
      <c r="BT543" s="431"/>
      <c r="BU543" s="431"/>
      <c r="BV543" s="431"/>
      <c r="BW543" s="431"/>
      <c r="BX543" s="431"/>
      <c r="BY543" s="431"/>
      <c r="BZ543" s="431"/>
      <c r="CA543" s="431"/>
      <c r="CB543" s="431"/>
      <c r="CC543" s="431"/>
      <c r="CD543" s="431"/>
      <c r="CE543" s="431"/>
      <c r="CF543" s="431"/>
      <c r="CG543" s="431"/>
      <c r="CH543" s="431"/>
      <c r="CI543" s="431"/>
      <c r="CJ543" s="431"/>
      <c r="CK543" s="431"/>
      <c r="CL543" s="431"/>
      <c r="CM543" s="431"/>
      <c r="CN543" s="431"/>
      <c r="CO543" s="431"/>
      <c r="CP543" s="431"/>
      <c r="CQ543" s="431"/>
      <c r="CR543" s="431"/>
      <c r="CS543" s="431"/>
    </row>
    <row r="544" spans="1:97" x14ac:dyDescent="0.25">
      <c r="A544" s="502">
        <v>909260</v>
      </c>
      <c r="B544" s="429">
        <v>68.77</v>
      </c>
      <c r="C544" s="428"/>
      <c r="D544" s="428">
        <v>8.93</v>
      </c>
      <c r="E544" s="428">
        <v>4.18</v>
      </c>
      <c r="F544" s="429">
        <v>1.99</v>
      </c>
      <c r="G544" s="428">
        <v>0.97</v>
      </c>
      <c r="H544" s="428">
        <v>2.71</v>
      </c>
      <c r="I544" s="428">
        <v>0.57999999999999996</v>
      </c>
      <c r="J544" s="428">
        <v>7.29</v>
      </c>
      <c r="K544" s="428">
        <v>1.43</v>
      </c>
      <c r="L544" s="430">
        <v>50.5</v>
      </c>
      <c r="M544" s="428"/>
      <c r="N544" s="428"/>
      <c r="O544" s="428"/>
      <c r="P544" s="428"/>
      <c r="Q544" s="428"/>
      <c r="R544" s="428"/>
      <c r="S544" s="428"/>
      <c r="T544" s="431"/>
      <c r="U544" s="431"/>
      <c r="V544" s="431"/>
      <c r="W544" s="431"/>
      <c r="X544" s="431"/>
      <c r="Y544" s="431"/>
      <c r="Z544" s="431"/>
      <c r="AA544" s="431"/>
      <c r="AB544" s="431"/>
      <c r="AC544" s="431"/>
      <c r="AD544" s="431"/>
      <c r="AE544" s="431"/>
      <c r="AF544" s="431"/>
      <c r="AG544" s="431"/>
      <c r="AH544" s="431"/>
      <c r="AI544" s="431"/>
      <c r="AJ544" s="431"/>
      <c r="AK544" s="431"/>
      <c r="AL544" s="431"/>
      <c r="AM544" s="431"/>
      <c r="AN544" s="431"/>
      <c r="AO544" s="431"/>
      <c r="AP544" s="431"/>
      <c r="AQ544" s="431"/>
      <c r="AR544" s="431"/>
      <c r="AS544" s="431"/>
      <c r="AT544" s="431"/>
      <c r="AU544" s="431"/>
      <c r="AV544" s="431"/>
      <c r="AW544" s="431"/>
      <c r="AX544" s="431"/>
      <c r="AY544" s="431"/>
      <c r="AZ544" s="431"/>
      <c r="BA544" s="431"/>
      <c r="BB544" s="431"/>
      <c r="BC544" s="431"/>
      <c r="BD544" s="431"/>
      <c r="BE544" s="431"/>
      <c r="BF544" s="431"/>
      <c r="BG544" s="431"/>
      <c r="BH544" s="431"/>
      <c r="BI544" s="431"/>
      <c r="BJ544" s="431"/>
      <c r="BK544" s="431"/>
      <c r="BL544" s="431"/>
      <c r="BM544" s="431"/>
      <c r="BN544" s="431"/>
      <c r="BO544" s="431"/>
      <c r="BP544" s="431"/>
      <c r="BQ544" s="431"/>
      <c r="BR544" s="431"/>
      <c r="BS544" s="431"/>
      <c r="BT544" s="431"/>
      <c r="BU544" s="431"/>
      <c r="BV544" s="431"/>
      <c r="BW544" s="431"/>
      <c r="BX544" s="431"/>
      <c r="BY544" s="431"/>
      <c r="BZ544" s="431"/>
      <c r="CA544" s="431"/>
      <c r="CB544" s="431"/>
      <c r="CC544" s="431"/>
      <c r="CD544" s="431"/>
      <c r="CE544" s="431"/>
      <c r="CF544" s="431"/>
      <c r="CG544" s="431"/>
      <c r="CH544" s="431"/>
      <c r="CI544" s="431"/>
      <c r="CJ544" s="431"/>
      <c r="CK544" s="431"/>
      <c r="CL544" s="431"/>
      <c r="CM544" s="431"/>
      <c r="CN544" s="431"/>
      <c r="CO544" s="431"/>
      <c r="CP544" s="431"/>
      <c r="CQ544" s="431"/>
      <c r="CR544" s="431"/>
      <c r="CS544" s="431"/>
    </row>
    <row r="545" spans="1:98" x14ac:dyDescent="0.25">
      <c r="A545" s="502">
        <v>909261</v>
      </c>
      <c r="B545" s="429">
        <v>43.7</v>
      </c>
      <c r="C545" s="428"/>
      <c r="D545" s="428">
        <v>9.02</v>
      </c>
      <c r="E545" s="428">
        <v>3.72</v>
      </c>
      <c r="F545" s="429">
        <v>1.6</v>
      </c>
      <c r="G545" s="428">
        <v>0.65</v>
      </c>
      <c r="H545" s="428">
        <v>1.86</v>
      </c>
      <c r="I545" s="428">
        <v>0.48</v>
      </c>
      <c r="J545" s="428">
        <v>8.39</v>
      </c>
      <c r="K545" s="428">
        <v>0.68</v>
      </c>
      <c r="L545" s="430">
        <v>41.9</v>
      </c>
      <c r="M545" s="428"/>
      <c r="N545" s="428"/>
      <c r="O545" s="428"/>
      <c r="P545" s="428"/>
      <c r="Q545" s="428"/>
      <c r="R545" s="428"/>
      <c r="S545" s="428"/>
      <c r="T545" s="431"/>
      <c r="U545" s="431"/>
      <c r="V545" s="431"/>
      <c r="W545" s="431"/>
      <c r="X545" s="431"/>
      <c r="Y545" s="431"/>
      <c r="Z545" s="431"/>
      <c r="AA545" s="431"/>
      <c r="AB545" s="431"/>
      <c r="AC545" s="431"/>
      <c r="AD545" s="431"/>
      <c r="AE545" s="431"/>
      <c r="AF545" s="431"/>
      <c r="AG545" s="431"/>
      <c r="AH545" s="431"/>
      <c r="AI545" s="431"/>
      <c r="AJ545" s="431"/>
      <c r="AK545" s="431"/>
      <c r="AL545" s="431"/>
      <c r="AM545" s="431"/>
      <c r="AN545" s="431"/>
      <c r="AO545" s="431"/>
      <c r="AP545" s="431"/>
      <c r="AQ545" s="431"/>
      <c r="AR545" s="431"/>
      <c r="AS545" s="431"/>
      <c r="AT545" s="431"/>
      <c r="AU545" s="431"/>
      <c r="AV545" s="431"/>
      <c r="AW545" s="431"/>
      <c r="AX545" s="431"/>
      <c r="AY545" s="431"/>
      <c r="AZ545" s="431"/>
      <c r="BA545" s="431"/>
      <c r="BB545" s="431"/>
      <c r="BC545" s="431"/>
      <c r="BD545" s="431"/>
      <c r="BE545" s="431"/>
      <c r="BF545" s="431"/>
      <c r="BG545" s="431"/>
      <c r="BH545" s="431"/>
      <c r="BI545" s="431"/>
      <c r="BJ545" s="431"/>
      <c r="BK545" s="431"/>
      <c r="BL545" s="431"/>
      <c r="BM545" s="431"/>
      <c r="BN545" s="431"/>
      <c r="BO545" s="431"/>
      <c r="BP545" s="431"/>
      <c r="BQ545" s="431"/>
      <c r="BR545" s="431"/>
      <c r="BS545" s="431"/>
      <c r="BT545" s="431"/>
      <c r="BU545" s="431"/>
      <c r="BV545" s="431"/>
      <c r="BW545" s="431"/>
      <c r="BX545" s="431"/>
      <c r="BY545" s="431"/>
      <c r="BZ545" s="431"/>
      <c r="CA545" s="431"/>
      <c r="CB545" s="431"/>
      <c r="CC545" s="431"/>
      <c r="CD545" s="431"/>
      <c r="CE545" s="431"/>
      <c r="CF545" s="431"/>
      <c r="CG545" s="431"/>
      <c r="CH545" s="431"/>
      <c r="CI545" s="431"/>
      <c r="CJ545" s="431"/>
      <c r="CK545" s="431"/>
      <c r="CL545" s="431"/>
      <c r="CM545" s="431"/>
      <c r="CN545" s="431"/>
      <c r="CO545" s="431"/>
      <c r="CP545" s="431"/>
      <c r="CQ545" s="431"/>
      <c r="CR545" s="431"/>
      <c r="CS545" s="431"/>
    </row>
    <row r="546" spans="1:98" x14ac:dyDescent="0.25">
      <c r="A546" s="502">
        <v>909262</v>
      </c>
      <c r="B546" s="429">
        <v>5.62</v>
      </c>
      <c r="C546" s="428"/>
      <c r="D546" s="428">
        <v>8.66</v>
      </c>
      <c r="E546" s="428">
        <v>52.2</v>
      </c>
      <c r="F546" s="429">
        <v>2.21</v>
      </c>
      <c r="G546" s="428">
        <v>0.21</v>
      </c>
      <c r="H546" s="428">
        <v>20.05</v>
      </c>
      <c r="I546" s="428">
        <v>4.25</v>
      </c>
      <c r="J546" s="428">
        <v>0.52</v>
      </c>
      <c r="K546" s="428">
        <v>0.28999999999999998</v>
      </c>
      <c r="L546" s="430">
        <v>17.399999999999999</v>
      </c>
      <c r="M546" s="428"/>
      <c r="N546" s="428"/>
      <c r="O546" s="428"/>
      <c r="P546" s="428"/>
      <c r="Q546" s="428"/>
      <c r="R546" s="428"/>
      <c r="S546" s="428"/>
      <c r="T546" s="431"/>
      <c r="U546" s="431"/>
      <c r="V546" s="431"/>
      <c r="W546" s="431"/>
      <c r="X546" s="431"/>
      <c r="Y546" s="431"/>
      <c r="Z546" s="431"/>
      <c r="AA546" s="431"/>
      <c r="AB546" s="431"/>
      <c r="AC546" s="431"/>
      <c r="AD546" s="431"/>
      <c r="AE546" s="431"/>
      <c r="AF546" s="431"/>
      <c r="AG546" s="431"/>
      <c r="AH546" s="431"/>
      <c r="AI546" s="431"/>
      <c r="AJ546" s="431"/>
      <c r="AK546" s="431"/>
      <c r="AL546" s="431"/>
      <c r="AM546" s="431"/>
      <c r="AN546" s="431"/>
      <c r="AO546" s="431"/>
      <c r="AP546" s="431"/>
      <c r="AQ546" s="431"/>
      <c r="AR546" s="431"/>
      <c r="AS546" s="431"/>
      <c r="AT546" s="431"/>
      <c r="AU546" s="431"/>
      <c r="AV546" s="431"/>
      <c r="AW546" s="431"/>
      <c r="AX546" s="431"/>
      <c r="AY546" s="431"/>
      <c r="AZ546" s="431"/>
      <c r="BA546" s="431"/>
      <c r="BB546" s="431"/>
      <c r="BC546" s="431"/>
      <c r="BD546" s="431"/>
      <c r="BE546" s="431"/>
      <c r="BF546" s="431"/>
      <c r="BG546" s="431"/>
      <c r="BH546" s="431"/>
      <c r="BI546" s="431"/>
      <c r="BJ546" s="431"/>
      <c r="BK546" s="431"/>
      <c r="BL546" s="431"/>
      <c r="BM546" s="431"/>
      <c r="BN546" s="431"/>
      <c r="BO546" s="431"/>
      <c r="BP546" s="431"/>
      <c r="BQ546" s="431"/>
      <c r="BR546" s="431"/>
      <c r="BS546" s="431"/>
      <c r="BT546" s="431"/>
      <c r="BU546" s="431"/>
      <c r="BV546" s="431"/>
      <c r="BW546" s="431"/>
      <c r="BX546" s="431"/>
      <c r="BY546" s="431"/>
      <c r="BZ546" s="431"/>
      <c r="CA546" s="431"/>
      <c r="CB546" s="431"/>
      <c r="CC546" s="431"/>
      <c r="CD546" s="431"/>
      <c r="CE546" s="431"/>
      <c r="CF546" s="431"/>
      <c r="CG546" s="431"/>
      <c r="CH546" s="431"/>
      <c r="CI546" s="431"/>
      <c r="CJ546" s="431"/>
      <c r="CK546" s="431"/>
      <c r="CL546" s="431"/>
      <c r="CM546" s="431"/>
      <c r="CN546" s="431"/>
      <c r="CO546" s="431"/>
      <c r="CP546" s="431"/>
      <c r="CQ546" s="431"/>
      <c r="CR546" s="431"/>
      <c r="CS546" s="431"/>
    </row>
    <row r="547" spans="1:98" x14ac:dyDescent="0.25">
      <c r="A547" s="37">
        <v>909280</v>
      </c>
      <c r="B547" s="526">
        <v>83.5</v>
      </c>
      <c r="L547" s="35">
        <v>47.6</v>
      </c>
    </row>
    <row r="548" spans="1:98" x14ac:dyDescent="0.25">
      <c r="A548" s="37">
        <v>909281</v>
      </c>
      <c r="B548" s="526">
        <v>63.22</v>
      </c>
      <c r="L548" s="35">
        <v>47.1</v>
      </c>
    </row>
    <row r="549" spans="1:98" x14ac:dyDescent="0.25">
      <c r="A549" s="527">
        <v>909263</v>
      </c>
      <c r="B549" s="381">
        <v>87.49</v>
      </c>
      <c r="C549" s="528"/>
      <c r="D549" s="528">
        <v>6.85</v>
      </c>
      <c r="E549" s="528">
        <v>1.9630000000000001</v>
      </c>
      <c r="F549" s="381">
        <v>1.01</v>
      </c>
      <c r="G549" s="528">
        <v>0.13</v>
      </c>
      <c r="H549" s="528">
        <v>1.33</v>
      </c>
      <c r="I549" s="528">
        <v>0.2</v>
      </c>
      <c r="J549" s="528">
        <v>1.01</v>
      </c>
      <c r="K549" s="528">
        <v>0.36</v>
      </c>
      <c r="L549" s="529">
        <v>89.8</v>
      </c>
      <c r="M549" s="528">
        <v>23.12</v>
      </c>
      <c r="N549" s="528">
        <v>3.74</v>
      </c>
      <c r="O549" s="528">
        <v>40.86</v>
      </c>
      <c r="P549" s="528">
        <v>555.84</v>
      </c>
      <c r="Q549" s="528">
        <v>15.77</v>
      </c>
      <c r="R549" s="528"/>
      <c r="S549" s="528"/>
      <c r="T549" s="528"/>
      <c r="U549" s="380"/>
      <c r="V549" s="380"/>
      <c r="W549" s="380"/>
      <c r="X549" s="380"/>
      <c r="Y549" s="380"/>
      <c r="Z549" s="380"/>
      <c r="AA549" s="380"/>
      <c r="AB549" s="380"/>
      <c r="AC549" s="380"/>
      <c r="AD549" s="380"/>
      <c r="AE549" s="380"/>
      <c r="AF549" s="380"/>
      <c r="AG549" s="380"/>
      <c r="AH549" s="380"/>
      <c r="AI549" s="380"/>
      <c r="AJ549" s="380"/>
      <c r="AK549" s="380"/>
      <c r="AL549" s="380"/>
      <c r="AM549" s="380"/>
      <c r="AN549" s="380"/>
      <c r="AO549" s="380"/>
      <c r="AP549" s="380"/>
      <c r="AQ549" s="380"/>
      <c r="AR549" s="380"/>
      <c r="AS549" s="380"/>
      <c r="AT549" s="380"/>
      <c r="AU549" s="380"/>
      <c r="AV549" s="380"/>
      <c r="AW549" s="380"/>
      <c r="AX549" s="380"/>
      <c r="AY549" s="380"/>
      <c r="AZ549" s="380"/>
      <c r="BA549" s="380"/>
      <c r="BB549" s="380"/>
      <c r="BC549" s="380"/>
      <c r="BD549" s="380"/>
      <c r="BE549" s="380"/>
      <c r="BF549" s="380"/>
      <c r="BG549" s="380"/>
      <c r="BH549" s="380"/>
      <c r="BI549" s="380"/>
      <c r="BJ549" s="380"/>
      <c r="BK549" s="380"/>
      <c r="BL549" s="380"/>
      <c r="BM549" s="380"/>
      <c r="BN549" s="380"/>
      <c r="BO549" s="380"/>
      <c r="BP549" s="380"/>
      <c r="BQ549" s="380"/>
      <c r="BR549" s="380"/>
      <c r="BS549" s="380"/>
      <c r="BT549" s="380"/>
      <c r="BU549" s="380"/>
      <c r="BV549" s="380"/>
      <c r="BW549" s="380"/>
      <c r="BX549" s="380"/>
      <c r="BY549" s="380"/>
      <c r="BZ549" s="380"/>
      <c r="CA549" s="380"/>
      <c r="CB549" s="380"/>
      <c r="CC549" s="380"/>
      <c r="CD549" s="380"/>
      <c r="CE549" s="380"/>
      <c r="CF549" s="380"/>
      <c r="CG549" s="380"/>
      <c r="CH549" s="380"/>
      <c r="CI549" s="380"/>
      <c r="CJ549" s="380"/>
      <c r="CK549" s="380"/>
      <c r="CL549" s="380"/>
      <c r="CM549" s="380"/>
      <c r="CN549" s="380"/>
      <c r="CO549" s="380"/>
      <c r="CP549" s="380"/>
      <c r="CQ549" s="380"/>
      <c r="CR549" s="380"/>
      <c r="CS549" s="380"/>
      <c r="CT549" s="380"/>
    </row>
    <row r="550" spans="1:98" x14ac:dyDescent="0.25">
      <c r="A550" s="527">
        <v>909264</v>
      </c>
      <c r="B550" s="381">
        <v>90.65</v>
      </c>
      <c r="C550" s="528"/>
      <c r="D550" s="528">
        <v>6.88</v>
      </c>
      <c r="E550" s="528">
        <v>0.92200000000000004</v>
      </c>
      <c r="F550" s="381">
        <v>1.34</v>
      </c>
      <c r="G550" s="528">
        <v>0.05</v>
      </c>
      <c r="H550" s="528">
        <v>0.61</v>
      </c>
      <c r="I550" s="528">
        <v>0.35</v>
      </c>
      <c r="J550" s="528">
        <v>1.27</v>
      </c>
      <c r="K550" s="528">
        <v>0.34</v>
      </c>
      <c r="L550" s="529">
        <v>79.5</v>
      </c>
      <c r="M550" s="528">
        <v>14.4</v>
      </c>
      <c r="N550" s="528">
        <v>4.75</v>
      </c>
      <c r="O550" s="528">
        <v>92.31</v>
      </c>
      <c r="P550" s="528">
        <v>2115.4299999999998</v>
      </c>
      <c r="Q550" s="528">
        <v>42.04</v>
      </c>
      <c r="R550" s="528"/>
      <c r="S550" s="528"/>
      <c r="T550" s="528"/>
      <c r="U550" s="380"/>
      <c r="V550" s="380"/>
      <c r="W550" s="380"/>
      <c r="X550" s="380"/>
      <c r="Y550" s="380"/>
      <c r="Z550" s="380"/>
      <c r="AA550" s="380"/>
      <c r="AB550" s="380"/>
      <c r="AC550" s="380"/>
      <c r="AD550" s="380"/>
      <c r="AE550" s="380"/>
      <c r="AF550" s="380"/>
      <c r="AG550" s="380"/>
      <c r="AH550" s="380"/>
      <c r="AI550" s="380"/>
      <c r="AJ550" s="380"/>
      <c r="AK550" s="380"/>
      <c r="AL550" s="380"/>
      <c r="AM550" s="380"/>
      <c r="AN550" s="380"/>
      <c r="AO550" s="380"/>
      <c r="AP550" s="380"/>
      <c r="AQ550" s="380"/>
      <c r="AR550" s="380"/>
      <c r="AS550" s="380"/>
      <c r="AT550" s="380"/>
      <c r="AU550" s="380"/>
      <c r="AV550" s="380"/>
      <c r="AW550" s="380"/>
      <c r="AX550" s="380"/>
      <c r="AY550" s="380"/>
      <c r="AZ550" s="380"/>
      <c r="BA550" s="380"/>
      <c r="BB550" s="380"/>
      <c r="BC550" s="380"/>
      <c r="BD550" s="380"/>
      <c r="BE550" s="380"/>
      <c r="BF550" s="380"/>
      <c r="BG550" s="380"/>
      <c r="BH550" s="380"/>
      <c r="BI550" s="380"/>
      <c r="BJ550" s="380"/>
      <c r="BK550" s="380"/>
      <c r="BL550" s="380"/>
      <c r="BM550" s="380"/>
      <c r="BN550" s="380"/>
      <c r="BO550" s="380"/>
      <c r="BP550" s="380"/>
      <c r="BQ550" s="380"/>
      <c r="BR550" s="380"/>
      <c r="BS550" s="380"/>
      <c r="BT550" s="380"/>
      <c r="BU550" s="380"/>
      <c r="BV550" s="380"/>
      <c r="BW550" s="380"/>
      <c r="BX550" s="380"/>
      <c r="BY550" s="380"/>
      <c r="BZ550" s="380"/>
      <c r="CA550" s="380"/>
      <c r="CB550" s="380"/>
      <c r="CC550" s="380"/>
      <c r="CD550" s="380"/>
      <c r="CE550" s="380"/>
      <c r="CF550" s="380"/>
      <c r="CG550" s="380"/>
      <c r="CH550" s="380"/>
      <c r="CI550" s="380"/>
      <c r="CJ550" s="380"/>
      <c r="CK550" s="380"/>
      <c r="CL550" s="380"/>
      <c r="CM550" s="380"/>
      <c r="CN550" s="380"/>
      <c r="CO550" s="380"/>
      <c r="CP550" s="380"/>
      <c r="CQ550" s="380"/>
      <c r="CR550" s="380"/>
      <c r="CS550" s="380"/>
      <c r="CT550" s="380"/>
    </row>
    <row r="551" spans="1:98" x14ac:dyDescent="0.25">
      <c r="A551" s="527">
        <v>909265</v>
      </c>
      <c r="B551" s="381">
        <v>37.130000000000003</v>
      </c>
      <c r="C551" s="528"/>
      <c r="D551" s="528">
        <v>8.1</v>
      </c>
      <c r="E551" s="528">
        <v>2.39</v>
      </c>
      <c r="F551" s="381">
        <v>2.1</v>
      </c>
      <c r="G551" s="528">
        <v>1.62</v>
      </c>
      <c r="H551" s="528">
        <v>1.8</v>
      </c>
      <c r="I551" s="528">
        <v>0.22</v>
      </c>
      <c r="J551" s="528">
        <v>13.72</v>
      </c>
      <c r="K551" s="528">
        <v>0.78</v>
      </c>
      <c r="L551" s="529">
        <v>53.6</v>
      </c>
      <c r="M551" s="528">
        <v>384.36</v>
      </c>
      <c r="N551" s="528">
        <v>152.63</v>
      </c>
      <c r="O551" s="528">
        <v>318.01</v>
      </c>
      <c r="P551" s="528">
        <v>1889.95</v>
      </c>
      <c r="Q551" s="528">
        <v>42.03</v>
      </c>
      <c r="R551" s="528"/>
      <c r="S551" s="528"/>
      <c r="T551" s="528"/>
      <c r="U551" s="380"/>
      <c r="V551" s="380"/>
      <c r="W551" s="380"/>
      <c r="X551" s="380"/>
      <c r="Y551" s="380"/>
      <c r="Z551" s="380"/>
      <c r="AA551" s="380"/>
      <c r="AB551" s="380"/>
      <c r="AC551" s="380"/>
      <c r="AD551" s="380"/>
      <c r="AE551" s="380"/>
      <c r="AF551" s="380"/>
      <c r="AG551" s="380"/>
      <c r="AH551" s="380"/>
      <c r="AI551" s="380"/>
      <c r="AJ551" s="380"/>
      <c r="AK551" s="380"/>
      <c r="AL551" s="380"/>
      <c r="AM551" s="380"/>
      <c r="AN551" s="380"/>
      <c r="AO551" s="380"/>
      <c r="AP551" s="380"/>
      <c r="AQ551" s="380"/>
      <c r="AR551" s="380"/>
      <c r="AS551" s="380"/>
      <c r="AT551" s="380"/>
      <c r="AU551" s="380"/>
      <c r="AV551" s="380"/>
      <c r="AW551" s="380"/>
      <c r="AX551" s="380"/>
      <c r="AY551" s="380"/>
      <c r="AZ551" s="380"/>
      <c r="BA551" s="380"/>
      <c r="BB551" s="380"/>
      <c r="BC551" s="380"/>
      <c r="BD551" s="380"/>
      <c r="BE551" s="380"/>
      <c r="BF551" s="380"/>
      <c r="BG551" s="380"/>
      <c r="BH551" s="380"/>
      <c r="BI551" s="380"/>
      <c r="BJ551" s="380"/>
      <c r="BK551" s="380"/>
      <c r="BL551" s="380"/>
      <c r="BM551" s="380"/>
      <c r="BN551" s="380"/>
      <c r="BO551" s="380"/>
      <c r="BP551" s="380"/>
      <c r="BQ551" s="380"/>
      <c r="BR551" s="380"/>
      <c r="BS551" s="380"/>
      <c r="BT551" s="380"/>
      <c r="BU551" s="380"/>
      <c r="BV551" s="380"/>
      <c r="BW551" s="380"/>
      <c r="BX551" s="380"/>
      <c r="BY551" s="380"/>
      <c r="BZ551" s="380"/>
      <c r="CA551" s="380"/>
      <c r="CB551" s="380"/>
      <c r="CC551" s="380"/>
      <c r="CD551" s="380"/>
      <c r="CE551" s="380"/>
      <c r="CF551" s="380"/>
      <c r="CG551" s="380"/>
      <c r="CH551" s="380"/>
      <c r="CI551" s="380"/>
      <c r="CJ551" s="380"/>
      <c r="CK551" s="380"/>
      <c r="CL551" s="380"/>
      <c r="CM551" s="380"/>
      <c r="CN551" s="380"/>
      <c r="CO551" s="380"/>
      <c r="CP551" s="380"/>
      <c r="CQ551" s="380"/>
      <c r="CR551" s="380"/>
      <c r="CS551" s="380"/>
      <c r="CT551" s="380"/>
    </row>
    <row r="552" spans="1:98" x14ac:dyDescent="0.25">
      <c r="A552" s="527">
        <v>909266</v>
      </c>
      <c r="B552" s="381">
        <v>34.94</v>
      </c>
      <c r="C552" s="528"/>
      <c r="D552" s="528">
        <v>8.11</v>
      </c>
      <c r="E552" s="528">
        <v>1.8089999999999999</v>
      </c>
      <c r="F552" s="381">
        <v>2.13</v>
      </c>
      <c r="G552" s="528">
        <v>1.44</v>
      </c>
      <c r="H552" s="528">
        <v>1.89</v>
      </c>
      <c r="I552" s="528">
        <v>0.25</v>
      </c>
      <c r="J552" s="528">
        <v>11.01</v>
      </c>
      <c r="K552" s="528">
        <v>0.79</v>
      </c>
      <c r="L552" s="529">
        <v>55.6</v>
      </c>
      <c r="M552" s="528">
        <v>360.96</v>
      </c>
      <c r="N552" s="528">
        <v>134.15</v>
      </c>
      <c r="O552" s="528">
        <v>293.3</v>
      </c>
      <c r="P552" s="528">
        <v>2114.4299999999998</v>
      </c>
      <c r="Q552" s="528">
        <v>45.08</v>
      </c>
      <c r="R552" s="528"/>
      <c r="S552" s="528"/>
      <c r="T552" s="528"/>
      <c r="U552" s="380"/>
      <c r="V552" s="380"/>
      <c r="W552" s="380"/>
      <c r="X552" s="380"/>
      <c r="Y552" s="380"/>
      <c r="Z552" s="380"/>
      <c r="AA552" s="380"/>
      <c r="AB552" s="380"/>
      <c r="AC552" s="380"/>
      <c r="AD552" s="380"/>
      <c r="AE552" s="380"/>
      <c r="AF552" s="380"/>
      <c r="AG552" s="380"/>
      <c r="AH552" s="380"/>
      <c r="AI552" s="380"/>
      <c r="AJ552" s="380"/>
      <c r="AK552" s="380"/>
      <c r="AL552" s="380"/>
      <c r="AM552" s="380"/>
      <c r="AN552" s="380"/>
      <c r="AO552" s="380"/>
      <c r="AP552" s="380"/>
      <c r="AQ552" s="380"/>
      <c r="AR552" s="380"/>
      <c r="AS552" s="380"/>
      <c r="AT552" s="380"/>
      <c r="AU552" s="380"/>
      <c r="AV552" s="380"/>
      <c r="AW552" s="380"/>
      <c r="AX552" s="380"/>
      <c r="AY552" s="380"/>
      <c r="AZ552" s="380"/>
      <c r="BA552" s="380"/>
      <c r="BB552" s="380"/>
      <c r="BC552" s="380"/>
      <c r="BD552" s="380"/>
      <c r="BE552" s="380"/>
      <c r="BF552" s="380"/>
      <c r="BG552" s="380"/>
      <c r="BH552" s="380"/>
      <c r="BI552" s="380"/>
      <c r="BJ552" s="380"/>
      <c r="BK552" s="380"/>
      <c r="BL552" s="380"/>
      <c r="BM552" s="380"/>
      <c r="BN552" s="380"/>
      <c r="BO552" s="380"/>
      <c r="BP552" s="380"/>
      <c r="BQ552" s="380"/>
      <c r="BR552" s="380"/>
      <c r="BS552" s="380"/>
      <c r="BT552" s="380"/>
      <c r="BU552" s="380"/>
      <c r="BV552" s="380"/>
      <c r="BW552" s="380"/>
      <c r="BX552" s="380"/>
      <c r="BY552" s="380"/>
      <c r="BZ552" s="380"/>
      <c r="CA552" s="380"/>
      <c r="CB552" s="380"/>
      <c r="CC552" s="380"/>
      <c r="CD552" s="380"/>
      <c r="CE552" s="380"/>
      <c r="CF552" s="380"/>
      <c r="CG552" s="380"/>
      <c r="CH552" s="380"/>
      <c r="CI552" s="380"/>
      <c r="CJ552" s="380"/>
      <c r="CK552" s="380"/>
      <c r="CL552" s="380"/>
      <c r="CM552" s="380"/>
      <c r="CN552" s="380"/>
      <c r="CO552" s="380"/>
      <c r="CP552" s="380"/>
      <c r="CQ552" s="380"/>
      <c r="CR552" s="380"/>
      <c r="CS552" s="380"/>
      <c r="CT552" s="380"/>
    </row>
    <row r="553" spans="1:98" x14ac:dyDescent="0.25">
      <c r="A553" s="527">
        <v>909267</v>
      </c>
      <c r="B553" s="381">
        <v>94.43</v>
      </c>
      <c r="C553" s="528"/>
      <c r="D553" s="528">
        <v>7.69</v>
      </c>
      <c r="E553" s="528">
        <v>1.3149999999999999</v>
      </c>
      <c r="F553" s="381">
        <v>1.1200000000000001</v>
      </c>
      <c r="G553" s="528">
        <v>0.23</v>
      </c>
      <c r="H553" s="528">
        <v>1.23</v>
      </c>
      <c r="I553" s="528">
        <v>0.51</v>
      </c>
      <c r="J553" s="528">
        <v>0.8</v>
      </c>
      <c r="K553" s="528">
        <v>0.25</v>
      </c>
      <c r="L553" s="529">
        <v>92.4</v>
      </c>
      <c r="M553" s="529"/>
      <c r="N553" s="528"/>
      <c r="O553" s="528"/>
      <c r="P553" s="528"/>
      <c r="Q553" s="528"/>
      <c r="R553" s="528"/>
      <c r="S553" s="528"/>
      <c r="T553" s="528"/>
      <c r="U553" s="380"/>
      <c r="V553" s="380"/>
      <c r="W553" s="380"/>
      <c r="X553" s="380"/>
      <c r="Y553" s="380"/>
      <c r="Z553" s="380"/>
      <c r="AA553" s="380"/>
      <c r="AB553" s="380"/>
      <c r="AC553" s="380"/>
      <c r="AD553" s="380"/>
      <c r="AE553" s="380"/>
      <c r="AF553" s="380"/>
      <c r="AG553" s="380"/>
      <c r="AH553" s="380"/>
      <c r="AI553" s="380"/>
      <c r="AJ553" s="380"/>
      <c r="AK553" s="380"/>
      <c r="AL553" s="380"/>
      <c r="AM553" s="380"/>
      <c r="AN553" s="380"/>
      <c r="AO553" s="380"/>
      <c r="AP553" s="380"/>
      <c r="AQ553" s="380"/>
      <c r="AR553" s="380"/>
      <c r="AS553" s="380"/>
      <c r="AT553" s="380"/>
      <c r="AU553" s="380"/>
      <c r="AV553" s="380"/>
      <c r="AW553" s="380"/>
      <c r="AX553" s="380"/>
      <c r="AY553" s="380"/>
      <c r="AZ553" s="380"/>
      <c r="BA553" s="380"/>
      <c r="BB553" s="380"/>
      <c r="BC553" s="380"/>
      <c r="BD553" s="380"/>
      <c r="BE553" s="380"/>
      <c r="BF553" s="380"/>
      <c r="BG553" s="380"/>
      <c r="BH553" s="380"/>
      <c r="BI553" s="380"/>
      <c r="BJ553" s="380"/>
      <c r="BK553" s="380"/>
      <c r="BL553" s="380"/>
      <c r="BM553" s="380"/>
      <c r="BN553" s="380"/>
      <c r="BO553" s="380"/>
      <c r="BP553" s="380"/>
      <c r="BQ553" s="380"/>
      <c r="BR553" s="380"/>
      <c r="BS553" s="380"/>
      <c r="BT553" s="380"/>
      <c r="BU553" s="380"/>
      <c r="BV553" s="380"/>
      <c r="BW553" s="380"/>
      <c r="BX553" s="380"/>
      <c r="BY553" s="380"/>
      <c r="BZ553" s="380"/>
      <c r="CA553" s="380"/>
      <c r="CB553" s="380"/>
      <c r="CC553" s="380"/>
      <c r="CD553" s="380"/>
      <c r="CE553" s="380"/>
      <c r="CF553" s="380"/>
      <c r="CG553" s="380"/>
      <c r="CH553" s="380"/>
      <c r="CI553" s="380"/>
      <c r="CJ553" s="380"/>
      <c r="CK553" s="380"/>
      <c r="CL553" s="380"/>
      <c r="CM553" s="380"/>
      <c r="CN553" s="380"/>
      <c r="CO553" s="380"/>
      <c r="CP553" s="380"/>
      <c r="CQ553" s="380"/>
      <c r="CR553" s="380"/>
      <c r="CS553" s="380"/>
      <c r="CT553" s="380"/>
    </row>
    <row r="554" spans="1:98" x14ac:dyDescent="0.25">
      <c r="A554" s="527">
        <v>909268</v>
      </c>
      <c r="B554" s="381">
        <v>48</v>
      </c>
      <c r="C554" s="528"/>
      <c r="D554" s="528">
        <v>8.82</v>
      </c>
      <c r="E554" s="528">
        <v>0.70799999999999996</v>
      </c>
      <c r="F554" s="381">
        <v>2.33</v>
      </c>
      <c r="G554" s="528">
        <v>0.1</v>
      </c>
      <c r="H554" s="528">
        <v>1.68</v>
      </c>
      <c r="I554" s="528">
        <v>0.04</v>
      </c>
      <c r="J554" s="528">
        <v>2.21</v>
      </c>
      <c r="K554" s="528">
        <v>0.55000000000000004</v>
      </c>
      <c r="L554" s="529">
        <v>84.2</v>
      </c>
      <c r="M554" s="529"/>
      <c r="N554" s="528"/>
      <c r="O554" s="528"/>
      <c r="P554" s="528"/>
      <c r="Q554" s="528"/>
      <c r="R554" s="528"/>
      <c r="S554" s="528"/>
      <c r="T554" s="528"/>
      <c r="U554" s="380"/>
      <c r="V554" s="380"/>
      <c r="W554" s="380"/>
      <c r="X554" s="380"/>
      <c r="Y554" s="380"/>
      <c r="Z554" s="380"/>
      <c r="AA554" s="380"/>
      <c r="AB554" s="380"/>
      <c r="AC554" s="380"/>
      <c r="AD554" s="380"/>
      <c r="AE554" s="380"/>
      <c r="AF554" s="380"/>
      <c r="AG554" s="380"/>
      <c r="AH554" s="380"/>
      <c r="AI554" s="380"/>
      <c r="AJ554" s="380"/>
      <c r="AK554" s="380"/>
      <c r="AL554" s="380"/>
      <c r="AM554" s="380"/>
      <c r="AN554" s="380"/>
      <c r="AO554" s="380"/>
      <c r="AP554" s="380"/>
      <c r="AQ554" s="380"/>
      <c r="AR554" s="380"/>
      <c r="AS554" s="380"/>
      <c r="AT554" s="380"/>
      <c r="AU554" s="380"/>
      <c r="AV554" s="380"/>
      <c r="AW554" s="380"/>
      <c r="AX554" s="380"/>
      <c r="AY554" s="380"/>
      <c r="AZ554" s="380"/>
      <c r="BA554" s="380"/>
      <c r="BB554" s="380"/>
      <c r="BC554" s="380"/>
      <c r="BD554" s="380"/>
      <c r="BE554" s="380"/>
      <c r="BF554" s="380"/>
      <c r="BG554" s="380"/>
      <c r="BH554" s="380"/>
      <c r="BI554" s="380"/>
      <c r="BJ554" s="380"/>
      <c r="BK554" s="380"/>
      <c r="BL554" s="380"/>
      <c r="BM554" s="380"/>
      <c r="BN554" s="380"/>
      <c r="BO554" s="380"/>
      <c r="BP554" s="380"/>
      <c r="BQ554" s="380"/>
      <c r="BR554" s="380"/>
      <c r="BS554" s="380"/>
      <c r="BT554" s="380"/>
      <c r="BU554" s="380"/>
      <c r="BV554" s="380"/>
      <c r="BW554" s="380"/>
      <c r="BX554" s="380"/>
      <c r="BY554" s="380"/>
      <c r="BZ554" s="380"/>
      <c r="CA554" s="380"/>
      <c r="CB554" s="380"/>
      <c r="CC554" s="380"/>
      <c r="CD554" s="380"/>
      <c r="CE554" s="380"/>
      <c r="CF554" s="380"/>
      <c r="CG554" s="380"/>
      <c r="CH554" s="380"/>
      <c r="CI554" s="380"/>
      <c r="CJ554" s="380"/>
      <c r="CK554" s="380"/>
      <c r="CL554" s="380"/>
      <c r="CM554" s="380"/>
      <c r="CN554" s="380"/>
      <c r="CO554" s="380"/>
      <c r="CP554" s="380"/>
      <c r="CQ554" s="380"/>
      <c r="CR554" s="380"/>
      <c r="CS554" s="380"/>
      <c r="CT554" s="380"/>
    </row>
    <row r="555" spans="1:98" x14ac:dyDescent="0.25">
      <c r="A555" s="527">
        <v>909269</v>
      </c>
      <c r="B555" s="381">
        <v>87.94</v>
      </c>
      <c r="C555" s="528"/>
      <c r="D555" s="528">
        <v>7.74</v>
      </c>
      <c r="E555" s="528">
        <v>1.347</v>
      </c>
      <c r="F555" s="381">
        <v>2.52</v>
      </c>
      <c r="G555" s="528">
        <v>1.1299999999999999</v>
      </c>
      <c r="H555" s="528">
        <v>0.91</v>
      </c>
      <c r="I555" s="528">
        <v>0.1</v>
      </c>
      <c r="J555" s="528">
        <v>3.88</v>
      </c>
      <c r="K555" s="528">
        <v>0.86</v>
      </c>
      <c r="L555" s="529">
        <v>62.7</v>
      </c>
      <c r="M555" s="529"/>
      <c r="N555" s="528"/>
      <c r="O555" s="528"/>
      <c r="P555" s="528"/>
      <c r="Q555" s="528"/>
      <c r="R555" s="528"/>
      <c r="S555" s="528"/>
      <c r="T555" s="528"/>
      <c r="U555" s="380"/>
      <c r="V555" s="380"/>
      <c r="W555" s="380"/>
      <c r="X555" s="380"/>
      <c r="Y555" s="380"/>
      <c r="Z555" s="380"/>
      <c r="AA555" s="380"/>
      <c r="AB555" s="380"/>
      <c r="AC555" s="380"/>
      <c r="AD555" s="380"/>
      <c r="AE555" s="380"/>
      <c r="AF555" s="380"/>
      <c r="AG555" s="380"/>
      <c r="AH555" s="380"/>
      <c r="AI555" s="380"/>
      <c r="AJ555" s="380"/>
      <c r="AK555" s="380"/>
      <c r="AL555" s="380"/>
      <c r="AM555" s="380"/>
      <c r="AN555" s="380"/>
      <c r="AO555" s="380"/>
      <c r="AP555" s="380"/>
      <c r="AQ555" s="380"/>
      <c r="AR555" s="380"/>
      <c r="AS555" s="380"/>
      <c r="AT555" s="380"/>
      <c r="AU555" s="380"/>
      <c r="AV555" s="380"/>
      <c r="AW555" s="380"/>
      <c r="AX555" s="380"/>
      <c r="AY555" s="380"/>
      <c r="AZ555" s="380"/>
      <c r="BA555" s="380"/>
      <c r="BB555" s="380"/>
      <c r="BC555" s="380"/>
      <c r="BD555" s="380"/>
      <c r="BE555" s="380"/>
      <c r="BF555" s="380"/>
      <c r="BG555" s="380"/>
      <c r="BH555" s="380"/>
      <c r="BI555" s="380"/>
      <c r="BJ555" s="380"/>
      <c r="BK555" s="380"/>
      <c r="BL555" s="380"/>
      <c r="BM555" s="380"/>
      <c r="BN555" s="380"/>
      <c r="BO555" s="380"/>
      <c r="BP555" s="380"/>
      <c r="BQ555" s="380"/>
      <c r="BR555" s="380"/>
      <c r="BS555" s="380"/>
      <c r="BT555" s="380"/>
      <c r="BU555" s="380"/>
      <c r="BV555" s="380"/>
      <c r="BW555" s="380"/>
      <c r="BX555" s="380"/>
      <c r="BY555" s="380"/>
      <c r="BZ555" s="380"/>
      <c r="CA555" s="380"/>
      <c r="CB555" s="380"/>
      <c r="CC555" s="380"/>
      <c r="CD555" s="380"/>
      <c r="CE555" s="380"/>
      <c r="CF555" s="380"/>
      <c r="CG555" s="380"/>
      <c r="CH555" s="380"/>
      <c r="CI555" s="380"/>
      <c r="CJ555" s="380"/>
      <c r="CK555" s="380"/>
      <c r="CL555" s="380"/>
      <c r="CM555" s="380"/>
      <c r="CN555" s="380"/>
      <c r="CO555" s="380"/>
      <c r="CP555" s="380"/>
      <c r="CQ555" s="380"/>
      <c r="CR555" s="380"/>
      <c r="CS555" s="380"/>
      <c r="CT555" s="380"/>
    </row>
    <row r="556" spans="1:98" x14ac:dyDescent="0.25">
      <c r="A556" s="527">
        <v>909270</v>
      </c>
      <c r="B556" s="381">
        <v>67.739999999999995</v>
      </c>
      <c r="C556" s="528"/>
      <c r="D556" s="528">
        <v>4.5999999999999996</v>
      </c>
      <c r="E556" s="528">
        <v>4.2999999999999997E-2</v>
      </c>
      <c r="F556" s="381">
        <v>0.25</v>
      </c>
      <c r="G556" s="528">
        <v>1E-3</v>
      </c>
      <c r="H556" s="528">
        <v>0.01</v>
      </c>
      <c r="I556" s="528">
        <v>0.03</v>
      </c>
      <c r="J556" s="528">
        <v>0.12</v>
      </c>
      <c r="K556" s="528">
        <v>0.02</v>
      </c>
      <c r="L556" s="529">
        <v>99.5</v>
      </c>
      <c r="M556" s="529"/>
      <c r="N556" s="528"/>
      <c r="O556" s="528"/>
      <c r="P556" s="528"/>
      <c r="Q556" s="528"/>
      <c r="R556" s="528"/>
      <c r="S556" s="528"/>
      <c r="T556" s="528"/>
      <c r="U556" s="380"/>
      <c r="V556" s="380"/>
      <c r="W556" s="380"/>
      <c r="X556" s="380"/>
      <c r="Y556" s="380"/>
      <c r="Z556" s="380"/>
      <c r="AA556" s="380"/>
      <c r="AB556" s="380"/>
      <c r="AC556" s="380"/>
      <c r="AD556" s="380"/>
      <c r="AE556" s="380"/>
      <c r="AF556" s="380"/>
      <c r="AG556" s="380"/>
      <c r="AH556" s="380"/>
      <c r="AI556" s="380"/>
      <c r="AJ556" s="380"/>
      <c r="AK556" s="380"/>
      <c r="AL556" s="380"/>
      <c r="AM556" s="380"/>
      <c r="AN556" s="380"/>
      <c r="AO556" s="380"/>
      <c r="AP556" s="380"/>
      <c r="AQ556" s="380"/>
      <c r="AR556" s="380"/>
      <c r="AS556" s="380"/>
      <c r="AT556" s="380"/>
      <c r="AU556" s="380"/>
      <c r="AV556" s="380"/>
      <c r="AW556" s="380"/>
      <c r="AX556" s="380"/>
      <c r="AY556" s="380"/>
      <c r="AZ556" s="380"/>
      <c r="BA556" s="380"/>
      <c r="BB556" s="380"/>
      <c r="BC556" s="380"/>
      <c r="BD556" s="380"/>
      <c r="BE556" s="380"/>
      <c r="BF556" s="380"/>
      <c r="BG556" s="380"/>
      <c r="BH556" s="380"/>
      <c r="BI556" s="380"/>
      <c r="BJ556" s="380"/>
      <c r="BK556" s="380"/>
      <c r="BL556" s="380"/>
      <c r="BM556" s="380"/>
      <c r="BN556" s="380"/>
      <c r="BO556" s="380"/>
      <c r="BP556" s="380"/>
      <c r="BQ556" s="380"/>
      <c r="BR556" s="380"/>
      <c r="BS556" s="380"/>
      <c r="BT556" s="380"/>
      <c r="BU556" s="380"/>
      <c r="BV556" s="380"/>
      <c r="BW556" s="380"/>
      <c r="BX556" s="380"/>
      <c r="BY556" s="380"/>
      <c r="BZ556" s="380"/>
      <c r="CA556" s="380"/>
      <c r="CB556" s="380"/>
      <c r="CC556" s="380"/>
      <c r="CD556" s="380"/>
      <c r="CE556" s="380"/>
      <c r="CF556" s="380"/>
      <c r="CG556" s="380"/>
      <c r="CH556" s="380"/>
      <c r="CI556" s="380"/>
      <c r="CJ556" s="380"/>
      <c r="CK556" s="380"/>
      <c r="CL556" s="380"/>
      <c r="CM556" s="380"/>
      <c r="CN556" s="380"/>
      <c r="CO556" s="380"/>
      <c r="CP556" s="380"/>
      <c r="CQ556" s="380"/>
      <c r="CR556" s="380"/>
      <c r="CS556" s="380"/>
      <c r="CT556" s="380"/>
    </row>
    <row r="557" spans="1:98" x14ac:dyDescent="0.25">
      <c r="A557" s="527">
        <v>909271</v>
      </c>
      <c r="B557" s="381">
        <v>55.13</v>
      </c>
      <c r="C557" s="528"/>
      <c r="D557" s="528">
        <v>7.1</v>
      </c>
      <c r="E557" s="528">
        <v>1.573</v>
      </c>
      <c r="F557" s="381">
        <v>1.01</v>
      </c>
      <c r="G557" s="528">
        <v>0.17</v>
      </c>
      <c r="H557" s="528">
        <v>0.57999999999999996</v>
      </c>
      <c r="I557" s="528">
        <v>0.26</v>
      </c>
      <c r="J557" s="528">
        <v>4.92</v>
      </c>
      <c r="K557" s="528">
        <v>0.33</v>
      </c>
      <c r="L557" s="529">
        <v>38.9</v>
      </c>
      <c r="M557" s="529"/>
      <c r="N557" s="528"/>
      <c r="O557" s="528"/>
      <c r="P557" s="528"/>
      <c r="Q557" s="528"/>
      <c r="R557" s="528"/>
      <c r="S557" s="528"/>
      <c r="T557" s="528"/>
      <c r="U557" s="380"/>
      <c r="V557" s="380"/>
      <c r="W557" s="380"/>
      <c r="X557" s="380"/>
      <c r="Y557" s="380"/>
      <c r="Z557" s="380"/>
      <c r="AA557" s="380"/>
      <c r="AB557" s="380"/>
      <c r="AC557" s="380"/>
      <c r="AD557" s="380"/>
      <c r="AE557" s="380"/>
      <c r="AF557" s="380"/>
      <c r="AG557" s="380"/>
      <c r="AH557" s="380"/>
      <c r="AI557" s="380"/>
      <c r="AJ557" s="380"/>
      <c r="AK557" s="380"/>
      <c r="AL557" s="380"/>
      <c r="AM557" s="380"/>
      <c r="AN557" s="380"/>
      <c r="AO557" s="380"/>
      <c r="AP557" s="380"/>
      <c r="AQ557" s="380"/>
      <c r="AR557" s="380"/>
      <c r="AS557" s="380"/>
      <c r="AT557" s="380"/>
      <c r="AU557" s="380"/>
      <c r="AV557" s="380"/>
      <c r="AW557" s="380"/>
      <c r="AX557" s="380"/>
      <c r="AY557" s="380"/>
      <c r="AZ557" s="380"/>
      <c r="BA557" s="380"/>
      <c r="BB557" s="380"/>
      <c r="BC557" s="380"/>
      <c r="BD557" s="380"/>
      <c r="BE557" s="380"/>
      <c r="BF557" s="380"/>
      <c r="BG557" s="380"/>
      <c r="BH557" s="380"/>
      <c r="BI557" s="380"/>
      <c r="BJ557" s="380"/>
      <c r="BK557" s="380"/>
      <c r="BL557" s="380"/>
      <c r="BM557" s="380"/>
      <c r="BN557" s="380"/>
      <c r="BO557" s="380"/>
      <c r="BP557" s="380"/>
      <c r="BQ557" s="380"/>
      <c r="BR557" s="380"/>
      <c r="BS557" s="380"/>
      <c r="BT557" s="380"/>
      <c r="BU557" s="380"/>
      <c r="BV557" s="380"/>
      <c r="BW557" s="380"/>
      <c r="BX557" s="380"/>
      <c r="BY557" s="380"/>
      <c r="BZ557" s="380"/>
      <c r="CA557" s="380"/>
      <c r="CB557" s="380"/>
      <c r="CC557" s="380"/>
      <c r="CD557" s="380"/>
      <c r="CE557" s="380"/>
      <c r="CF557" s="380"/>
      <c r="CG557" s="380"/>
      <c r="CH557" s="380"/>
      <c r="CI557" s="380"/>
      <c r="CJ557" s="380"/>
      <c r="CK557" s="380"/>
      <c r="CL557" s="380"/>
      <c r="CM557" s="380"/>
      <c r="CN557" s="380"/>
      <c r="CO557" s="380"/>
      <c r="CP557" s="380"/>
      <c r="CQ557" s="380"/>
      <c r="CR557" s="380"/>
      <c r="CS557" s="380"/>
      <c r="CT557" s="380"/>
    </row>
    <row r="558" spans="1:98" x14ac:dyDescent="0.25">
      <c r="A558" s="527">
        <v>909272</v>
      </c>
      <c r="B558" s="381">
        <v>66.09</v>
      </c>
      <c r="C558" s="528"/>
      <c r="D558" s="528">
        <v>8.23</v>
      </c>
      <c r="E558" s="528">
        <v>3.39</v>
      </c>
      <c r="F558" s="381">
        <v>1.79</v>
      </c>
      <c r="G558" s="528">
        <v>0.62</v>
      </c>
      <c r="H558" s="528">
        <v>2.15</v>
      </c>
      <c r="I558" s="528">
        <v>0.24</v>
      </c>
      <c r="J558" s="528">
        <v>4.34</v>
      </c>
      <c r="K558" s="528">
        <v>0.65</v>
      </c>
      <c r="L558" s="529">
        <v>50.2</v>
      </c>
      <c r="M558" s="529"/>
      <c r="N558" s="528"/>
      <c r="O558" s="528"/>
      <c r="P558" s="528"/>
      <c r="Q558" s="528"/>
      <c r="R558" s="528"/>
      <c r="S558" s="528"/>
      <c r="T558" s="528"/>
      <c r="U558" s="380"/>
      <c r="V558" s="380"/>
      <c r="W558" s="380"/>
      <c r="X558" s="380"/>
      <c r="Y558" s="380"/>
      <c r="Z558" s="380"/>
      <c r="AA558" s="380"/>
      <c r="AB558" s="380"/>
      <c r="AC558" s="380"/>
      <c r="AD558" s="380"/>
      <c r="AE558" s="380"/>
      <c r="AF558" s="380"/>
      <c r="AG558" s="380"/>
      <c r="AH558" s="380"/>
      <c r="AI558" s="380"/>
      <c r="AJ558" s="380"/>
      <c r="AK558" s="380"/>
      <c r="AL558" s="380"/>
      <c r="AM558" s="380"/>
      <c r="AN558" s="380"/>
      <c r="AO558" s="380"/>
      <c r="AP558" s="380"/>
      <c r="AQ558" s="380"/>
      <c r="AR558" s="380"/>
      <c r="AS558" s="380"/>
      <c r="AT558" s="380"/>
      <c r="AU558" s="380"/>
      <c r="AV558" s="380"/>
      <c r="AW558" s="380"/>
      <c r="AX558" s="380"/>
      <c r="AY558" s="380"/>
      <c r="AZ558" s="380"/>
      <c r="BA558" s="380"/>
      <c r="BB558" s="380"/>
      <c r="BC558" s="380"/>
      <c r="BD558" s="380"/>
      <c r="BE558" s="380"/>
      <c r="BF558" s="380"/>
      <c r="BG558" s="380"/>
      <c r="BH558" s="380"/>
      <c r="BI558" s="380"/>
      <c r="BJ558" s="380"/>
      <c r="BK558" s="380"/>
      <c r="BL558" s="380"/>
      <c r="BM558" s="380"/>
      <c r="BN558" s="380"/>
      <c r="BO558" s="380"/>
      <c r="BP558" s="380"/>
      <c r="BQ558" s="380"/>
      <c r="BR558" s="380"/>
      <c r="BS558" s="380"/>
      <c r="BT558" s="380"/>
      <c r="BU558" s="380"/>
      <c r="BV558" s="380"/>
      <c r="BW558" s="380"/>
      <c r="BX558" s="380"/>
      <c r="BY558" s="380"/>
      <c r="BZ558" s="380"/>
      <c r="CA558" s="380"/>
      <c r="CB558" s="380"/>
      <c r="CC558" s="380"/>
      <c r="CD558" s="380"/>
      <c r="CE558" s="380"/>
      <c r="CF558" s="380"/>
      <c r="CG558" s="380"/>
      <c r="CH558" s="380"/>
      <c r="CI558" s="380"/>
      <c r="CJ558" s="380"/>
      <c r="CK558" s="380"/>
      <c r="CL558" s="380"/>
      <c r="CM558" s="380"/>
      <c r="CN558" s="380"/>
      <c r="CO558" s="380"/>
      <c r="CP558" s="380"/>
      <c r="CQ558" s="380"/>
      <c r="CR558" s="380"/>
      <c r="CS558" s="380"/>
      <c r="CT558" s="380"/>
    </row>
    <row r="559" spans="1:98" x14ac:dyDescent="0.25">
      <c r="A559" s="527">
        <v>909273</v>
      </c>
      <c r="B559" s="381">
        <v>94.22</v>
      </c>
      <c r="C559" s="528"/>
      <c r="D559" s="528">
        <v>7.24</v>
      </c>
      <c r="E559" s="528">
        <v>0.749</v>
      </c>
      <c r="F559" s="381">
        <v>0.87</v>
      </c>
      <c r="G559" s="528">
        <v>0.19</v>
      </c>
      <c r="H559" s="528">
        <v>1.1299999999999999</v>
      </c>
      <c r="I559" s="528">
        <v>0.54</v>
      </c>
      <c r="J559" s="528">
        <v>0.52</v>
      </c>
      <c r="K559" s="528">
        <v>0.15</v>
      </c>
      <c r="L559" s="529">
        <v>88.6</v>
      </c>
      <c r="M559" s="529"/>
      <c r="N559" s="528"/>
      <c r="O559" s="528"/>
      <c r="P559" s="528"/>
      <c r="Q559" s="528"/>
      <c r="R559" s="528"/>
      <c r="S559" s="528"/>
      <c r="T559" s="528"/>
      <c r="U559" s="380"/>
      <c r="V559" s="380"/>
      <c r="W559" s="380"/>
      <c r="X559" s="380"/>
      <c r="Y559" s="380"/>
      <c r="Z559" s="380"/>
      <c r="AA559" s="380"/>
      <c r="AB559" s="380"/>
      <c r="AC559" s="380"/>
      <c r="AD559" s="380"/>
      <c r="AE559" s="380"/>
      <c r="AF559" s="380"/>
      <c r="AG559" s="380"/>
      <c r="AH559" s="380"/>
      <c r="AI559" s="380"/>
      <c r="AJ559" s="380"/>
      <c r="AK559" s="380"/>
      <c r="AL559" s="380"/>
      <c r="AM559" s="380"/>
      <c r="AN559" s="380"/>
      <c r="AO559" s="380"/>
      <c r="AP559" s="380"/>
      <c r="AQ559" s="380"/>
      <c r="AR559" s="380"/>
      <c r="AS559" s="380"/>
      <c r="AT559" s="380"/>
      <c r="AU559" s="380"/>
      <c r="AV559" s="380"/>
      <c r="AW559" s="380"/>
      <c r="AX559" s="380"/>
      <c r="AY559" s="380"/>
      <c r="AZ559" s="380"/>
      <c r="BA559" s="380"/>
      <c r="BB559" s="380"/>
      <c r="BC559" s="380"/>
      <c r="BD559" s="380"/>
      <c r="BE559" s="380"/>
      <c r="BF559" s="380"/>
      <c r="BG559" s="380"/>
      <c r="BH559" s="380"/>
      <c r="BI559" s="380"/>
      <c r="BJ559" s="380"/>
      <c r="BK559" s="380"/>
      <c r="BL559" s="380"/>
      <c r="BM559" s="380"/>
      <c r="BN559" s="380"/>
      <c r="BO559" s="380"/>
      <c r="BP559" s="380"/>
      <c r="BQ559" s="380"/>
      <c r="BR559" s="380"/>
      <c r="BS559" s="380"/>
      <c r="BT559" s="380"/>
      <c r="BU559" s="380"/>
      <c r="BV559" s="380"/>
      <c r="BW559" s="380"/>
      <c r="BX559" s="380"/>
      <c r="BY559" s="380"/>
      <c r="BZ559" s="380"/>
      <c r="CA559" s="380"/>
      <c r="CB559" s="380"/>
      <c r="CC559" s="380"/>
      <c r="CD559" s="380"/>
      <c r="CE559" s="380"/>
      <c r="CF559" s="380"/>
      <c r="CG559" s="380"/>
      <c r="CH559" s="380"/>
      <c r="CI559" s="380"/>
      <c r="CJ559" s="380"/>
      <c r="CK559" s="380"/>
      <c r="CL559" s="380"/>
      <c r="CM559" s="380"/>
      <c r="CN559" s="380"/>
      <c r="CO559" s="380"/>
      <c r="CP559" s="380"/>
      <c r="CQ559" s="380"/>
      <c r="CR559" s="380"/>
      <c r="CS559" s="380"/>
      <c r="CT559" s="380"/>
    </row>
    <row r="560" spans="1:98" x14ac:dyDescent="0.25">
      <c r="A560" s="527">
        <v>909274</v>
      </c>
      <c r="B560" s="381">
        <v>56.39</v>
      </c>
      <c r="C560" s="528"/>
      <c r="D560" s="528">
        <v>7.75</v>
      </c>
      <c r="E560" s="528">
        <v>4.45</v>
      </c>
      <c r="F560" s="381">
        <v>2.13</v>
      </c>
      <c r="G560" s="528">
        <v>0.79</v>
      </c>
      <c r="H560" s="528">
        <v>2.25</v>
      </c>
      <c r="I560" s="528">
        <v>0.39</v>
      </c>
      <c r="J560" s="528">
        <v>5.95</v>
      </c>
      <c r="K560" s="528">
        <v>0.88</v>
      </c>
      <c r="L560" s="529">
        <v>57</v>
      </c>
      <c r="M560" s="529"/>
      <c r="N560" s="528"/>
      <c r="O560" s="528"/>
      <c r="P560" s="528"/>
      <c r="Q560" s="528"/>
      <c r="R560" s="528"/>
      <c r="S560" s="528"/>
      <c r="T560" s="528"/>
      <c r="U560" s="380"/>
      <c r="V560" s="380"/>
      <c r="W560" s="380"/>
      <c r="X560" s="380"/>
      <c r="Y560" s="380"/>
      <c r="Z560" s="380"/>
      <c r="AA560" s="380"/>
      <c r="AB560" s="380"/>
      <c r="AC560" s="380"/>
      <c r="AD560" s="380"/>
      <c r="AE560" s="380"/>
      <c r="AF560" s="380"/>
      <c r="AG560" s="380"/>
      <c r="AH560" s="380"/>
      <c r="AI560" s="380"/>
      <c r="AJ560" s="380"/>
      <c r="AK560" s="380"/>
      <c r="AL560" s="380"/>
      <c r="AM560" s="380"/>
      <c r="AN560" s="380"/>
      <c r="AO560" s="380"/>
      <c r="AP560" s="380"/>
      <c r="AQ560" s="380"/>
      <c r="AR560" s="380"/>
      <c r="AS560" s="380"/>
      <c r="AT560" s="380"/>
      <c r="AU560" s="380"/>
      <c r="AV560" s="380"/>
      <c r="AW560" s="380"/>
      <c r="AX560" s="380"/>
      <c r="AY560" s="380"/>
      <c r="AZ560" s="380"/>
      <c r="BA560" s="380"/>
      <c r="BB560" s="380"/>
      <c r="BC560" s="380"/>
      <c r="BD560" s="380"/>
      <c r="BE560" s="380"/>
      <c r="BF560" s="380"/>
      <c r="BG560" s="380"/>
      <c r="BH560" s="380"/>
      <c r="BI560" s="380"/>
      <c r="BJ560" s="380"/>
      <c r="BK560" s="380"/>
      <c r="BL560" s="380"/>
      <c r="BM560" s="380"/>
      <c r="BN560" s="380"/>
      <c r="BO560" s="380"/>
      <c r="BP560" s="380"/>
      <c r="BQ560" s="380"/>
      <c r="BR560" s="380"/>
      <c r="BS560" s="380"/>
      <c r="BT560" s="380"/>
      <c r="BU560" s="380"/>
      <c r="BV560" s="380"/>
      <c r="BW560" s="380"/>
      <c r="BX560" s="380"/>
      <c r="BY560" s="380"/>
      <c r="BZ560" s="380"/>
      <c r="CA560" s="380"/>
      <c r="CB560" s="380"/>
      <c r="CC560" s="380"/>
      <c r="CD560" s="380"/>
      <c r="CE560" s="380"/>
      <c r="CF560" s="380"/>
      <c r="CG560" s="380"/>
      <c r="CH560" s="380"/>
      <c r="CI560" s="380"/>
      <c r="CJ560" s="380"/>
      <c r="CK560" s="380"/>
      <c r="CL560" s="380"/>
      <c r="CM560" s="380"/>
      <c r="CN560" s="380"/>
      <c r="CO560" s="380"/>
      <c r="CP560" s="380"/>
      <c r="CQ560" s="380"/>
      <c r="CR560" s="380"/>
      <c r="CS560" s="380"/>
      <c r="CT560" s="380"/>
    </row>
    <row r="561" spans="1:98" x14ac:dyDescent="0.25">
      <c r="A561" s="527">
        <v>909275</v>
      </c>
      <c r="B561" s="381">
        <v>73.31</v>
      </c>
      <c r="C561" s="528"/>
      <c r="D561" s="528">
        <v>7.93</v>
      </c>
      <c r="E561" s="528">
        <v>5.45</v>
      </c>
      <c r="F561" s="381">
        <v>2.61</v>
      </c>
      <c r="G561" s="528">
        <v>1.49</v>
      </c>
      <c r="H561" s="528">
        <v>2.46</v>
      </c>
      <c r="I561" s="528">
        <v>0.68</v>
      </c>
      <c r="J561" s="528">
        <v>10.18</v>
      </c>
      <c r="K561" s="528">
        <v>0.71</v>
      </c>
      <c r="L561" s="529">
        <v>67.599999999999994</v>
      </c>
      <c r="M561" s="529"/>
      <c r="N561" s="528"/>
      <c r="O561" s="528"/>
      <c r="P561" s="528"/>
      <c r="Q561" s="528"/>
      <c r="R561" s="528"/>
      <c r="S561" s="528"/>
      <c r="T561" s="528"/>
      <c r="U561" s="380"/>
      <c r="V561" s="380"/>
      <c r="W561" s="380"/>
      <c r="X561" s="380"/>
      <c r="Y561" s="380"/>
      <c r="Z561" s="380"/>
      <c r="AA561" s="380"/>
      <c r="AB561" s="380"/>
      <c r="AC561" s="380"/>
      <c r="AD561" s="380"/>
      <c r="AE561" s="380"/>
      <c r="AF561" s="380"/>
      <c r="AG561" s="380"/>
      <c r="AH561" s="380"/>
      <c r="AI561" s="380"/>
      <c r="AJ561" s="380"/>
      <c r="AK561" s="380"/>
      <c r="AL561" s="380"/>
      <c r="AM561" s="380"/>
      <c r="AN561" s="380"/>
      <c r="AO561" s="380"/>
      <c r="AP561" s="380"/>
      <c r="AQ561" s="380"/>
      <c r="AR561" s="380"/>
      <c r="AS561" s="380"/>
      <c r="AT561" s="380"/>
      <c r="AU561" s="380"/>
      <c r="AV561" s="380"/>
      <c r="AW561" s="380"/>
      <c r="AX561" s="380"/>
      <c r="AY561" s="380"/>
      <c r="AZ561" s="380"/>
      <c r="BA561" s="380"/>
      <c r="BB561" s="380"/>
      <c r="BC561" s="380"/>
      <c r="BD561" s="380"/>
      <c r="BE561" s="380"/>
      <c r="BF561" s="380"/>
      <c r="BG561" s="380"/>
      <c r="BH561" s="380"/>
      <c r="BI561" s="380"/>
      <c r="BJ561" s="380"/>
      <c r="BK561" s="380"/>
      <c r="BL561" s="380"/>
      <c r="BM561" s="380"/>
      <c r="BN561" s="380"/>
      <c r="BO561" s="380"/>
      <c r="BP561" s="380"/>
      <c r="BQ561" s="380"/>
      <c r="BR561" s="380"/>
      <c r="BS561" s="380"/>
      <c r="BT561" s="380"/>
      <c r="BU561" s="380"/>
      <c r="BV561" s="380"/>
      <c r="BW561" s="380"/>
      <c r="BX561" s="380"/>
      <c r="BY561" s="380"/>
      <c r="BZ561" s="380"/>
      <c r="CA561" s="380"/>
      <c r="CB561" s="380"/>
      <c r="CC561" s="380"/>
      <c r="CD561" s="380"/>
      <c r="CE561" s="380"/>
      <c r="CF561" s="380"/>
      <c r="CG561" s="380"/>
      <c r="CH561" s="380"/>
      <c r="CI561" s="380"/>
      <c r="CJ561" s="380"/>
      <c r="CK561" s="380"/>
      <c r="CL561" s="380"/>
      <c r="CM561" s="380"/>
      <c r="CN561" s="380"/>
      <c r="CO561" s="380"/>
      <c r="CP561" s="380"/>
      <c r="CQ561" s="380"/>
      <c r="CR561" s="380"/>
      <c r="CS561" s="380"/>
      <c r="CT561" s="380"/>
    </row>
    <row r="562" spans="1:98" x14ac:dyDescent="0.25">
      <c r="A562" s="527">
        <v>909276</v>
      </c>
      <c r="B562" s="381">
        <v>37.15</v>
      </c>
      <c r="C562" s="528"/>
      <c r="D562" s="528">
        <v>8.43</v>
      </c>
      <c r="E562" s="528">
        <v>4.0199999999999996</v>
      </c>
      <c r="F562" s="381">
        <v>1.65</v>
      </c>
      <c r="G562" s="528">
        <v>0.53</v>
      </c>
      <c r="H562" s="528">
        <v>1.55</v>
      </c>
      <c r="I562" s="528">
        <v>0.5</v>
      </c>
      <c r="J562" s="528">
        <v>6.83</v>
      </c>
      <c r="K562" s="528">
        <v>0.78</v>
      </c>
      <c r="L562" s="529">
        <v>46.8</v>
      </c>
      <c r="M562" s="529"/>
      <c r="N562" s="528"/>
      <c r="O562" s="528"/>
      <c r="P562" s="528"/>
      <c r="Q562" s="528"/>
      <c r="R562" s="528"/>
      <c r="S562" s="528"/>
      <c r="T562" s="528"/>
      <c r="U562" s="380"/>
      <c r="V562" s="380"/>
      <c r="W562" s="380"/>
      <c r="X562" s="380"/>
      <c r="Y562" s="380"/>
      <c r="Z562" s="380"/>
      <c r="AA562" s="380"/>
      <c r="AB562" s="380"/>
      <c r="AC562" s="380"/>
      <c r="AD562" s="380"/>
      <c r="AE562" s="380"/>
      <c r="AF562" s="380"/>
      <c r="AG562" s="380"/>
      <c r="AH562" s="380"/>
      <c r="AI562" s="380"/>
      <c r="AJ562" s="380"/>
      <c r="AK562" s="380"/>
      <c r="AL562" s="380"/>
      <c r="AM562" s="380"/>
      <c r="AN562" s="380"/>
      <c r="AO562" s="380"/>
      <c r="AP562" s="380"/>
      <c r="AQ562" s="380"/>
      <c r="AR562" s="380"/>
      <c r="AS562" s="380"/>
      <c r="AT562" s="380"/>
      <c r="AU562" s="380"/>
      <c r="AV562" s="380"/>
      <c r="AW562" s="380"/>
      <c r="AX562" s="380"/>
      <c r="AY562" s="380"/>
      <c r="AZ562" s="380"/>
      <c r="BA562" s="380"/>
      <c r="BB562" s="380"/>
      <c r="BC562" s="380"/>
      <c r="BD562" s="380"/>
      <c r="BE562" s="380"/>
      <c r="BF562" s="380"/>
      <c r="BG562" s="380"/>
      <c r="BH562" s="380"/>
      <c r="BI562" s="380"/>
      <c r="BJ562" s="380"/>
      <c r="BK562" s="380"/>
      <c r="BL562" s="380"/>
      <c r="BM562" s="380"/>
      <c r="BN562" s="380"/>
      <c r="BO562" s="380"/>
      <c r="BP562" s="380"/>
      <c r="BQ562" s="380"/>
      <c r="BR562" s="380"/>
      <c r="BS562" s="380"/>
      <c r="BT562" s="380"/>
      <c r="BU562" s="380"/>
      <c r="BV562" s="380"/>
      <c r="BW562" s="380"/>
      <c r="BX562" s="380"/>
      <c r="BY562" s="380"/>
      <c r="BZ562" s="380"/>
      <c r="CA562" s="380"/>
      <c r="CB562" s="380"/>
      <c r="CC562" s="380"/>
      <c r="CD562" s="380"/>
      <c r="CE562" s="380"/>
      <c r="CF562" s="380"/>
      <c r="CG562" s="380"/>
      <c r="CH562" s="380"/>
      <c r="CI562" s="380"/>
      <c r="CJ562" s="380"/>
      <c r="CK562" s="380"/>
      <c r="CL562" s="380"/>
      <c r="CM562" s="380"/>
      <c r="CN562" s="380"/>
      <c r="CO562" s="380"/>
      <c r="CP562" s="380"/>
      <c r="CQ562" s="380"/>
      <c r="CR562" s="380"/>
      <c r="CS562" s="380"/>
      <c r="CT562" s="380"/>
    </row>
    <row r="563" spans="1:98" x14ac:dyDescent="0.25">
      <c r="A563" s="527">
        <v>909277</v>
      </c>
      <c r="B563" s="381">
        <v>62.46</v>
      </c>
      <c r="C563" s="528"/>
      <c r="D563" s="528">
        <v>8.19</v>
      </c>
      <c r="E563" s="528">
        <v>4.5599999999999996</v>
      </c>
      <c r="F563" s="381">
        <v>1.85</v>
      </c>
      <c r="G563" s="528">
        <v>0.72</v>
      </c>
      <c r="H563" s="528">
        <v>1.74</v>
      </c>
      <c r="I563" s="528">
        <v>0.35</v>
      </c>
      <c r="J563" s="528">
        <v>10.91</v>
      </c>
      <c r="K563" s="528">
        <v>2.38</v>
      </c>
      <c r="L563" s="529">
        <v>39.700000000000003</v>
      </c>
      <c r="M563" s="529"/>
      <c r="N563" s="528"/>
      <c r="O563" s="528"/>
      <c r="P563" s="528"/>
      <c r="Q563" s="528"/>
      <c r="R563" s="528"/>
      <c r="S563" s="528"/>
      <c r="T563" s="528"/>
      <c r="U563" s="380"/>
      <c r="V563" s="380"/>
      <c r="W563" s="380"/>
      <c r="X563" s="380"/>
      <c r="Y563" s="380"/>
      <c r="Z563" s="380"/>
      <c r="AA563" s="380"/>
      <c r="AB563" s="380"/>
      <c r="AC563" s="380"/>
      <c r="AD563" s="380"/>
      <c r="AE563" s="380"/>
      <c r="AF563" s="380"/>
      <c r="AG563" s="380"/>
      <c r="AH563" s="380"/>
      <c r="AI563" s="380"/>
      <c r="AJ563" s="380"/>
      <c r="AK563" s="380"/>
      <c r="AL563" s="380"/>
      <c r="AM563" s="380"/>
      <c r="AN563" s="380"/>
      <c r="AO563" s="380"/>
      <c r="AP563" s="380"/>
      <c r="AQ563" s="380"/>
      <c r="AR563" s="380"/>
      <c r="AS563" s="380"/>
      <c r="AT563" s="380"/>
      <c r="AU563" s="380"/>
      <c r="AV563" s="380"/>
      <c r="AW563" s="380"/>
      <c r="AX563" s="380"/>
      <c r="AY563" s="380"/>
      <c r="AZ563" s="380"/>
      <c r="BA563" s="380"/>
      <c r="BB563" s="380"/>
      <c r="BC563" s="380"/>
      <c r="BD563" s="380"/>
      <c r="BE563" s="380"/>
      <c r="BF563" s="380"/>
      <c r="BG563" s="380"/>
      <c r="BH563" s="380"/>
      <c r="BI563" s="380"/>
      <c r="BJ563" s="380"/>
      <c r="BK563" s="380"/>
      <c r="BL563" s="380"/>
      <c r="BM563" s="380"/>
      <c r="BN563" s="380"/>
      <c r="BO563" s="380"/>
      <c r="BP563" s="380"/>
      <c r="BQ563" s="380"/>
      <c r="BR563" s="380"/>
      <c r="BS563" s="380"/>
      <c r="BT563" s="380"/>
      <c r="BU563" s="380"/>
      <c r="BV563" s="380"/>
      <c r="BW563" s="380"/>
      <c r="BX563" s="380"/>
      <c r="BY563" s="380"/>
      <c r="BZ563" s="380"/>
      <c r="CA563" s="380"/>
      <c r="CB563" s="380"/>
      <c r="CC563" s="380"/>
      <c r="CD563" s="380"/>
      <c r="CE563" s="380"/>
      <c r="CF563" s="380"/>
      <c r="CG563" s="380"/>
      <c r="CH563" s="380"/>
      <c r="CI563" s="380"/>
      <c r="CJ563" s="380"/>
      <c r="CK563" s="380"/>
      <c r="CL563" s="380"/>
      <c r="CM563" s="380"/>
      <c r="CN563" s="380"/>
      <c r="CO563" s="380"/>
      <c r="CP563" s="380"/>
      <c r="CQ563" s="380"/>
      <c r="CR563" s="380"/>
      <c r="CS563" s="380"/>
      <c r="CT563" s="380"/>
    </row>
    <row r="564" spans="1:98" x14ac:dyDescent="0.25">
      <c r="A564" s="527">
        <v>909278</v>
      </c>
      <c r="B564" s="381">
        <v>27.64</v>
      </c>
      <c r="C564" s="528"/>
      <c r="D564" s="528">
        <v>8.6</v>
      </c>
      <c r="E564" s="528">
        <v>4.99</v>
      </c>
      <c r="F564" s="381">
        <v>2.0699999999999998</v>
      </c>
      <c r="G564" s="528">
        <v>0.53</v>
      </c>
      <c r="H564" s="528">
        <v>2.27</v>
      </c>
      <c r="I564" s="528">
        <v>0.65</v>
      </c>
      <c r="J564" s="528">
        <v>3.85</v>
      </c>
      <c r="K564" s="528">
        <v>0.56000000000000005</v>
      </c>
      <c r="L564" s="529">
        <v>60.2</v>
      </c>
      <c r="M564" s="529"/>
      <c r="N564" s="528"/>
      <c r="O564" s="528"/>
      <c r="P564" s="528"/>
      <c r="Q564" s="528"/>
      <c r="R564" s="528"/>
      <c r="S564" s="528"/>
      <c r="T564" s="528"/>
      <c r="U564" s="380"/>
      <c r="V564" s="380"/>
      <c r="W564" s="380"/>
      <c r="X564" s="380"/>
      <c r="Y564" s="380"/>
      <c r="Z564" s="380"/>
      <c r="AA564" s="380"/>
      <c r="AB564" s="380"/>
      <c r="AC564" s="380"/>
      <c r="AD564" s="380"/>
      <c r="AE564" s="380"/>
      <c r="AF564" s="380"/>
      <c r="AG564" s="380"/>
      <c r="AH564" s="380"/>
      <c r="AI564" s="380"/>
      <c r="AJ564" s="380"/>
      <c r="AK564" s="380"/>
      <c r="AL564" s="380"/>
      <c r="AM564" s="380"/>
      <c r="AN564" s="380"/>
      <c r="AO564" s="380"/>
      <c r="AP564" s="380"/>
      <c r="AQ564" s="380"/>
      <c r="AR564" s="380"/>
      <c r="AS564" s="380"/>
      <c r="AT564" s="380"/>
      <c r="AU564" s="380"/>
      <c r="AV564" s="380"/>
      <c r="AW564" s="380"/>
      <c r="AX564" s="380"/>
      <c r="AY564" s="380"/>
      <c r="AZ564" s="380"/>
      <c r="BA564" s="380"/>
      <c r="BB564" s="380"/>
      <c r="BC564" s="380"/>
      <c r="BD564" s="380"/>
      <c r="BE564" s="380"/>
      <c r="BF564" s="380"/>
      <c r="BG564" s="380"/>
      <c r="BH564" s="380"/>
      <c r="BI564" s="380"/>
      <c r="BJ564" s="380"/>
      <c r="BK564" s="380"/>
      <c r="BL564" s="380"/>
      <c r="BM564" s="380"/>
      <c r="BN564" s="380"/>
      <c r="BO564" s="380"/>
      <c r="BP564" s="380"/>
      <c r="BQ564" s="380"/>
      <c r="BR564" s="380"/>
      <c r="BS564" s="380"/>
      <c r="BT564" s="380"/>
      <c r="BU564" s="380"/>
      <c r="BV564" s="380"/>
      <c r="BW564" s="380"/>
      <c r="BX564" s="380"/>
      <c r="BY564" s="380"/>
      <c r="BZ564" s="380"/>
      <c r="CA564" s="380"/>
      <c r="CB564" s="380"/>
      <c r="CC564" s="380"/>
      <c r="CD564" s="380"/>
      <c r="CE564" s="380"/>
      <c r="CF564" s="380"/>
      <c r="CG564" s="380"/>
      <c r="CH564" s="380"/>
      <c r="CI564" s="380"/>
      <c r="CJ564" s="380"/>
      <c r="CK564" s="380"/>
      <c r="CL564" s="380"/>
      <c r="CM564" s="380"/>
      <c r="CN564" s="380"/>
      <c r="CO564" s="380"/>
      <c r="CP564" s="380"/>
      <c r="CQ564" s="380"/>
      <c r="CR564" s="380"/>
      <c r="CS564" s="380"/>
      <c r="CT564" s="380"/>
    </row>
    <row r="565" spans="1:98" x14ac:dyDescent="0.25">
      <c r="A565" s="535">
        <v>909279</v>
      </c>
      <c r="B565" s="536">
        <v>74.02</v>
      </c>
      <c r="C565" s="537"/>
      <c r="D565" s="539">
        <v>8.48</v>
      </c>
      <c r="E565" s="539">
        <v>4.45</v>
      </c>
      <c r="F565" s="540">
        <v>1.65</v>
      </c>
      <c r="G565" s="536">
        <v>0.85</v>
      </c>
      <c r="H565" s="537">
        <v>2.27</v>
      </c>
      <c r="I565" s="537">
        <v>0.47</v>
      </c>
      <c r="J565" s="537">
        <v>7.24</v>
      </c>
      <c r="K565" s="537">
        <v>1.46</v>
      </c>
      <c r="L565" s="538">
        <v>40</v>
      </c>
      <c r="M565" s="530"/>
      <c r="N565" s="531"/>
      <c r="O565" s="531"/>
      <c r="P565" s="531"/>
      <c r="Q565" s="531"/>
      <c r="R565" s="531"/>
      <c r="S565" s="531"/>
      <c r="T565" s="531"/>
      <c r="U565" s="516"/>
      <c r="V565" s="516"/>
      <c r="W565" s="516"/>
      <c r="X565" s="516"/>
      <c r="Y565" s="516"/>
      <c r="Z565" s="516"/>
      <c r="AA565" s="516"/>
      <c r="AB565" s="516"/>
      <c r="AC565" s="516"/>
      <c r="AD565" s="516"/>
      <c r="AE565" s="516"/>
      <c r="AF565" s="516"/>
      <c r="AG565" s="516"/>
      <c r="AH565" s="516"/>
      <c r="AI565" s="516"/>
      <c r="AJ565" s="516"/>
      <c r="AK565" s="516"/>
      <c r="AL565" s="516"/>
      <c r="AM565" s="516"/>
      <c r="AN565" s="516"/>
      <c r="AO565" s="516"/>
      <c r="AP565" s="516"/>
      <c r="AQ565" s="516"/>
      <c r="AR565" s="516"/>
      <c r="AS565" s="516"/>
      <c r="AT565" s="516"/>
      <c r="AU565" s="516"/>
      <c r="AV565" s="516"/>
      <c r="AW565" s="516"/>
      <c r="AX565" s="516"/>
      <c r="AY565" s="516"/>
      <c r="AZ565" s="516"/>
      <c r="BA565" s="516"/>
      <c r="BB565" s="516"/>
      <c r="BC565" s="516"/>
      <c r="BD565" s="516"/>
      <c r="BE565" s="516"/>
      <c r="BF565" s="516"/>
      <c r="BG565" s="516"/>
      <c r="BH565" s="516"/>
      <c r="BI565" s="516"/>
      <c r="BJ565" s="516"/>
      <c r="BK565" s="516"/>
      <c r="BL565" s="516"/>
      <c r="BM565" s="516"/>
      <c r="BN565" s="516"/>
      <c r="BO565" s="516"/>
      <c r="BP565" s="516"/>
      <c r="BQ565" s="516"/>
      <c r="BR565" s="516"/>
      <c r="BS565" s="516"/>
      <c r="BT565" s="516"/>
      <c r="BU565" s="516"/>
      <c r="BV565" s="516"/>
      <c r="BW565" s="516"/>
      <c r="BX565" s="516"/>
      <c r="BY565" s="516"/>
      <c r="BZ565" s="516"/>
      <c r="CA565" s="516"/>
      <c r="CB565" s="516"/>
      <c r="CC565" s="516"/>
      <c r="CD565" s="516"/>
      <c r="CE565" s="516"/>
      <c r="CF565" s="516"/>
      <c r="CG565" s="516"/>
      <c r="CH565" s="516"/>
      <c r="CI565" s="516"/>
      <c r="CJ565" s="516"/>
      <c r="CK565" s="516"/>
      <c r="CL565" s="516"/>
      <c r="CM565" s="516"/>
      <c r="CN565" s="516"/>
      <c r="CO565" s="516"/>
      <c r="CP565" s="516"/>
      <c r="CQ565" s="516"/>
      <c r="CR565" s="516"/>
      <c r="CS565" s="516"/>
      <c r="CT565" s="516"/>
    </row>
    <row r="566" spans="1:98" x14ac:dyDescent="0.25">
      <c r="A566" s="532">
        <v>909280</v>
      </c>
      <c r="B566" s="533">
        <v>83.5</v>
      </c>
      <c r="C566" s="531"/>
      <c r="D566" s="531"/>
      <c r="E566" s="531"/>
      <c r="F566" s="534"/>
      <c r="G566" s="531"/>
      <c r="H566" s="531"/>
      <c r="I566" s="531"/>
      <c r="J566" s="531"/>
      <c r="K566" s="531"/>
      <c r="L566" s="530">
        <v>47.6</v>
      </c>
      <c r="M566" s="530"/>
      <c r="N566" s="531"/>
      <c r="O566" s="531"/>
      <c r="P566" s="531"/>
      <c r="Q566" s="531"/>
      <c r="R566" s="531"/>
      <c r="S566" s="531"/>
      <c r="T566" s="531"/>
      <c r="U566" s="516"/>
      <c r="V566" s="516"/>
      <c r="W566" s="516"/>
      <c r="X566" s="516"/>
      <c r="Y566" s="516"/>
      <c r="Z566" s="516"/>
      <c r="AA566" s="516"/>
      <c r="AB566" s="516"/>
      <c r="AC566" s="516"/>
      <c r="AD566" s="516"/>
      <c r="AE566" s="516"/>
      <c r="AF566" s="516"/>
      <c r="AG566" s="516"/>
      <c r="AH566" s="516"/>
      <c r="AI566" s="516"/>
      <c r="AJ566" s="516"/>
      <c r="AK566" s="516"/>
      <c r="AL566" s="516"/>
      <c r="AM566" s="516"/>
      <c r="AN566" s="516"/>
      <c r="AO566" s="516"/>
      <c r="AP566" s="516"/>
      <c r="AQ566" s="516"/>
      <c r="AR566" s="516"/>
      <c r="AS566" s="516"/>
      <c r="AT566" s="516"/>
      <c r="AU566" s="516"/>
      <c r="AV566" s="516"/>
      <c r="AW566" s="516"/>
      <c r="AX566" s="516"/>
      <c r="AY566" s="516"/>
      <c r="AZ566" s="516"/>
      <c r="BA566" s="516"/>
      <c r="BB566" s="516"/>
      <c r="BC566" s="516"/>
      <c r="BD566" s="516"/>
      <c r="BE566" s="516"/>
      <c r="BF566" s="516"/>
      <c r="BG566" s="516"/>
      <c r="BH566" s="516"/>
      <c r="BI566" s="516"/>
      <c r="BJ566" s="516"/>
      <c r="BK566" s="516"/>
      <c r="BL566" s="516"/>
      <c r="BM566" s="516"/>
      <c r="BN566" s="516"/>
      <c r="BO566" s="516"/>
      <c r="BP566" s="516"/>
      <c r="BQ566" s="516"/>
      <c r="BR566" s="516"/>
      <c r="BS566" s="516"/>
      <c r="BT566" s="516"/>
      <c r="BU566" s="516"/>
      <c r="BV566" s="516"/>
      <c r="BW566" s="516"/>
      <c r="BX566" s="516"/>
      <c r="BY566" s="516"/>
      <c r="BZ566" s="516"/>
      <c r="CA566" s="516"/>
      <c r="CB566" s="516"/>
      <c r="CC566" s="516"/>
      <c r="CD566" s="516"/>
      <c r="CE566" s="516"/>
      <c r="CF566" s="516"/>
      <c r="CG566" s="516"/>
      <c r="CH566" s="516"/>
      <c r="CI566" s="516"/>
      <c r="CJ566" s="516"/>
      <c r="CK566" s="516"/>
      <c r="CL566" s="516"/>
      <c r="CM566" s="516"/>
      <c r="CN566" s="516"/>
      <c r="CO566" s="516"/>
      <c r="CP566" s="516"/>
      <c r="CQ566" s="516"/>
      <c r="CR566" s="516"/>
      <c r="CS566" s="516"/>
      <c r="CT566" s="516"/>
    </row>
    <row r="567" spans="1:98" x14ac:dyDescent="0.25">
      <c r="A567" s="532">
        <v>909281</v>
      </c>
      <c r="B567" s="533">
        <v>63.2</v>
      </c>
      <c r="C567" s="531"/>
      <c r="D567" s="531"/>
      <c r="E567" s="531"/>
      <c r="F567" s="534"/>
      <c r="G567" s="531"/>
      <c r="H567" s="531"/>
      <c r="I567" s="531"/>
      <c r="J567" s="531"/>
      <c r="K567" s="531"/>
      <c r="L567" s="530">
        <v>47.1</v>
      </c>
      <c r="M567" s="530"/>
      <c r="N567" s="531"/>
      <c r="O567" s="531"/>
      <c r="P567" s="531"/>
      <c r="Q567" s="531"/>
      <c r="R567" s="531"/>
      <c r="S567" s="531"/>
      <c r="T567" s="531"/>
      <c r="U567" s="516"/>
      <c r="V567" s="516"/>
      <c r="W567" s="516"/>
      <c r="X567" s="516"/>
      <c r="Y567" s="516"/>
      <c r="Z567" s="516"/>
      <c r="AA567" s="516"/>
      <c r="AB567" s="516"/>
      <c r="AC567" s="516"/>
      <c r="AD567" s="516"/>
      <c r="AE567" s="516"/>
      <c r="AF567" s="516"/>
      <c r="AG567" s="516"/>
      <c r="AH567" s="516"/>
      <c r="AI567" s="516"/>
      <c r="AJ567" s="516"/>
      <c r="AK567" s="516"/>
      <c r="AL567" s="516"/>
      <c r="AM567" s="516"/>
      <c r="AN567" s="516"/>
      <c r="AO567" s="516"/>
      <c r="AP567" s="516"/>
      <c r="AQ567" s="516"/>
      <c r="AR567" s="516"/>
      <c r="AS567" s="516"/>
      <c r="AT567" s="516"/>
      <c r="AU567" s="516"/>
      <c r="AV567" s="516"/>
      <c r="AW567" s="516"/>
      <c r="AX567" s="516"/>
      <c r="AY567" s="516"/>
      <c r="AZ567" s="516"/>
      <c r="BA567" s="516"/>
      <c r="BB567" s="516"/>
      <c r="BC567" s="516"/>
      <c r="BD567" s="516"/>
      <c r="BE567" s="516"/>
      <c r="BF567" s="516"/>
      <c r="BG567" s="516"/>
      <c r="BH567" s="516"/>
      <c r="BI567" s="516"/>
      <c r="BJ567" s="516"/>
      <c r="BK567" s="516"/>
      <c r="BL567" s="516"/>
      <c r="BM567" s="516"/>
      <c r="BN567" s="516"/>
      <c r="BO567" s="516"/>
      <c r="BP567" s="516"/>
      <c r="BQ567" s="516"/>
      <c r="BR567" s="516"/>
      <c r="BS567" s="516"/>
      <c r="BT567" s="516"/>
      <c r="BU567" s="516"/>
      <c r="BV567" s="516"/>
      <c r="BW567" s="516"/>
      <c r="BX567" s="516"/>
      <c r="BY567" s="516"/>
      <c r="BZ567" s="516"/>
      <c r="CA567" s="516"/>
      <c r="CB567" s="516"/>
      <c r="CC567" s="516"/>
      <c r="CD567" s="516"/>
      <c r="CE567" s="516"/>
      <c r="CF567" s="516"/>
      <c r="CG567" s="516"/>
      <c r="CH567" s="516"/>
      <c r="CI567" s="516"/>
      <c r="CJ567" s="516"/>
      <c r="CK567" s="516"/>
      <c r="CL567" s="516"/>
      <c r="CM567" s="516"/>
      <c r="CN567" s="516"/>
      <c r="CO567" s="516"/>
      <c r="CP567" s="516"/>
      <c r="CQ567" s="516"/>
      <c r="CR567" s="516"/>
      <c r="CS567" s="516"/>
      <c r="CT567" s="516"/>
    </row>
    <row r="568" spans="1:98" x14ac:dyDescent="0.25">
      <c r="A568" s="532">
        <v>909282</v>
      </c>
      <c r="B568" s="516"/>
      <c r="C568" s="531"/>
      <c r="D568" s="531"/>
      <c r="E568" s="531"/>
      <c r="F568" s="534"/>
      <c r="G568" s="531"/>
      <c r="H568" s="531"/>
      <c r="I568" s="531"/>
      <c r="J568" s="531"/>
      <c r="K568" s="531"/>
      <c r="L568" s="531"/>
      <c r="M568" s="531"/>
      <c r="N568" s="531"/>
      <c r="O568" s="531"/>
      <c r="P568" s="531"/>
      <c r="Q568" s="531"/>
      <c r="R568" s="531"/>
      <c r="S568" s="531"/>
      <c r="T568" s="531"/>
      <c r="U568" s="516"/>
      <c r="V568" s="516"/>
      <c r="W568" s="516"/>
      <c r="X568" s="516"/>
      <c r="Y568" s="516"/>
      <c r="Z568" s="516"/>
      <c r="AA568" s="516"/>
      <c r="AB568" s="516"/>
      <c r="AC568" s="516"/>
      <c r="AD568" s="516"/>
      <c r="AE568" s="516"/>
      <c r="AF568" s="516"/>
      <c r="AG568" s="516"/>
      <c r="AH568" s="516"/>
      <c r="AI568" s="516"/>
      <c r="AJ568" s="516"/>
      <c r="AK568" s="516"/>
      <c r="AL568" s="516"/>
      <c r="AM568" s="516"/>
      <c r="AN568" s="516"/>
      <c r="AO568" s="516"/>
      <c r="AP568" s="516"/>
      <c r="AQ568" s="516"/>
      <c r="AR568" s="516"/>
      <c r="AS568" s="516"/>
      <c r="AT568" s="516"/>
      <c r="AU568" s="516"/>
      <c r="AV568" s="516"/>
      <c r="AW568" s="516"/>
      <c r="AX568" s="516"/>
      <c r="AY568" s="516"/>
      <c r="AZ568" s="516"/>
      <c r="BA568" s="516"/>
      <c r="BB568" s="516"/>
      <c r="BC568" s="516"/>
      <c r="BD568" s="516"/>
      <c r="BE568" s="516"/>
      <c r="BF568" s="516"/>
      <c r="BG568" s="516"/>
      <c r="BH568" s="516"/>
      <c r="BI568" s="516"/>
      <c r="BJ568" s="516"/>
      <c r="BK568" s="516"/>
      <c r="BL568" s="516"/>
      <c r="BM568" s="516"/>
      <c r="BN568" s="516"/>
      <c r="BO568" s="516"/>
      <c r="BP568" s="516"/>
      <c r="BQ568" s="516"/>
      <c r="BR568" s="516"/>
      <c r="BS568" s="516"/>
      <c r="BT568" s="516"/>
      <c r="BU568" s="516"/>
      <c r="BV568" s="516"/>
      <c r="BW568" s="516"/>
      <c r="BX568" s="516"/>
      <c r="BY568" s="516"/>
      <c r="BZ568" s="516"/>
      <c r="CA568" s="516"/>
      <c r="CB568" s="516"/>
      <c r="CC568" s="516"/>
      <c r="CD568" s="516"/>
      <c r="CE568" s="516"/>
      <c r="CF568" s="516"/>
      <c r="CG568" s="516"/>
      <c r="CH568" s="516"/>
      <c r="CI568" s="516"/>
      <c r="CJ568" s="516"/>
      <c r="CK568" s="516"/>
      <c r="CL568" s="516"/>
      <c r="CM568" s="516"/>
      <c r="CN568" s="516"/>
      <c r="CO568" s="516"/>
      <c r="CP568" s="516"/>
      <c r="CQ568" s="516"/>
      <c r="CR568" s="516"/>
      <c r="CS568" s="516"/>
      <c r="CT568" s="516"/>
    </row>
    <row r="569" spans="1:98" x14ac:dyDescent="0.25">
      <c r="A569" s="535">
        <v>909283</v>
      </c>
      <c r="B569" s="536">
        <v>67.569999999999993</v>
      </c>
      <c r="C569" s="537"/>
      <c r="D569" s="537">
        <v>9.41</v>
      </c>
      <c r="E569" s="537">
        <v>4.37</v>
      </c>
      <c r="F569" s="536">
        <v>1.43</v>
      </c>
      <c r="G569" s="537">
        <v>0.45</v>
      </c>
      <c r="H569" s="537">
        <v>1.24</v>
      </c>
      <c r="I569" s="537">
        <v>0.18</v>
      </c>
      <c r="J569" s="537">
        <v>2.77</v>
      </c>
      <c r="K569" s="537">
        <v>0.91</v>
      </c>
      <c r="L569" s="538">
        <v>40.4</v>
      </c>
      <c r="M569" s="531"/>
      <c r="N569" s="531"/>
      <c r="O569" s="531"/>
      <c r="P569" s="531"/>
      <c r="Q569" s="531"/>
      <c r="R569" s="531"/>
      <c r="S569" s="531"/>
      <c r="T569" s="531"/>
      <c r="U569" s="516"/>
      <c r="V569" s="516"/>
      <c r="W569" s="516"/>
      <c r="X569" s="516"/>
      <c r="Y569" s="516"/>
      <c r="Z569" s="516"/>
      <c r="AA569" s="516"/>
      <c r="AB569" s="516"/>
      <c r="AC569" s="516"/>
      <c r="AD569" s="516"/>
      <c r="AE569" s="516"/>
      <c r="AF569" s="516"/>
      <c r="AG569" s="516"/>
      <c r="AH569" s="516"/>
      <c r="AI569" s="516"/>
      <c r="AJ569" s="516"/>
      <c r="AK569" s="516"/>
      <c r="AL569" s="516"/>
      <c r="AM569" s="516"/>
      <c r="AN569" s="516"/>
      <c r="AO569" s="516"/>
      <c r="AP569" s="516"/>
      <c r="AQ569" s="516"/>
      <c r="AR569" s="516"/>
      <c r="AS569" s="516"/>
      <c r="AT569" s="516"/>
      <c r="AU569" s="516"/>
      <c r="AV569" s="516"/>
      <c r="AW569" s="516"/>
      <c r="AX569" s="516"/>
      <c r="AY569" s="516"/>
      <c r="AZ569" s="516"/>
      <c r="BA569" s="516"/>
      <c r="BB569" s="516"/>
      <c r="BC569" s="516"/>
      <c r="BD569" s="516"/>
      <c r="BE569" s="516"/>
      <c r="BF569" s="516"/>
      <c r="BG569" s="516"/>
      <c r="BH569" s="516"/>
      <c r="BI569" s="516"/>
      <c r="BJ569" s="516"/>
      <c r="BK569" s="516"/>
      <c r="BL569" s="516"/>
      <c r="BM569" s="516"/>
      <c r="BN569" s="516"/>
      <c r="BO569" s="516"/>
      <c r="BP569" s="516"/>
      <c r="BQ569" s="516"/>
      <c r="BR569" s="516"/>
      <c r="BS569" s="516"/>
      <c r="BT569" s="516"/>
      <c r="BU569" s="516"/>
      <c r="BV569" s="516"/>
      <c r="BW569" s="516"/>
      <c r="BX569" s="516"/>
      <c r="BY569" s="516"/>
      <c r="BZ569" s="516"/>
      <c r="CA569" s="516"/>
      <c r="CB569" s="516"/>
      <c r="CC569" s="516"/>
      <c r="CD569" s="516"/>
      <c r="CE569" s="516"/>
      <c r="CF569" s="516"/>
      <c r="CG569" s="516"/>
      <c r="CH569" s="516"/>
      <c r="CI569" s="516"/>
      <c r="CJ569" s="516"/>
      <c r="CK569" s="516"/>
      <c r="CL569" s="516"/>
      <c r="CM569" s="516"/>
      <c r="CN569" s="516"/>
      <c r="CO569" s="516"/>
      <c r="CP569" s="516"/>
      <c r="CQ569" s="516"/>
      <c r="CR569" s="516"/>
      <c r="CS569" s="516"/>
      <c r="CT569" s="516"/>
    </row>
    <row r="570" spans="1:98" x14ac:dyDescent="0.25">
      <c r="A570" s="535">
        <v>909284</v>
      </c>
      <c r="B570" s="536">
        <v>58.17</v>
      </c>
      <c r="C570" s="537"/>
      <c r="D570" s="537">
        <v>9.24</v>
      </c>
      <c r="E570" s="537">
        <v>1.38</v>
      </c>
      <c r="F570" s="536">
        <v>1.6</v>
      </c>
      <c r="G570" s="537">
        <v>1.03</v>
      </c>
      <c r="H570" s="537">
        <v>2.39</v>
      </c>
      <c r="I570" s="537">
        <v>0.52</v>
      </c>
      <c r="J570" s="537">
        <v>8.67</v>
      </c>
      <c r="K570" s="537">
        <v>1.0900000000000001</v>
      </c>
      <c r="L570" s="538">
        <v>41.3</v>
      </c>
      <c r="M570" s="531">
        <v>23.12</v>
      </c>
      <c r="N570" s="531">
        <v>3.74</v>
      </c>
      <c r="O570" s="531">
        <v>40.86</v>
      </c>
      <c r="P570" s="531">
        <v>555.84</v>
      </c>
      <c r="Q570" s="531">
        <v>15.77</v>
      </c>
      <c r="R570" s="531"/>
      <c r="S570" s="531"/>
      <c r="T570" s="531"/>
      <c r="U570" s="516"/>
      <c r="V570" s="516"/>
      <c r="W570" s="516"/>
      <c r="X570" s="516"/>
      <c r="Y570" s="516"/>
      <c r="Z570" s="516"/>
      <c r="AA570" s="516"/>
      <c r="AB570" s="516"/>
      <c r="AC570" s="516"/>
      <c r="AD570" s="516"/>
      <c r="AE570" s="516"/>
      <c r="AF570" s="516"/>
      <c r="AG570" s="516"/>
      <c r="AH570" s="516"/>
      <c r="AI570" s="516"/>
      <c r="AJ570" s="516"/>
      <c r="AK570" s="516"/>
      <c r="AL570" s="516"/>
      <c r="AM570" s="516"/>
      <c r="AN570" s="516"/>
      <c r="AO570" s="516"/>
      <c r="AP570" s="516"/>
      <c r="AQ570" s="516"/>
      <c r="AR570" s="516"/>
      <c r="AS570" s="516"/>
      <c r="AT570" s="516"/>
      <c r="AU570" s="516"/>
      <c r="AV570" s="516"/>
      <c r="AW570" s="516"/>
      <c r="AX570" s="516"/>
      <c r="AY570" s="516"/>
      <c r="AZ570" s="516"/>
      <c r="BA570" s="516"/>
      <c r="BB570" s="516"/>
      <c r="BC570" s="516"/>
      <c r="BD570" s="516"/>
      <c r="BE570" s="516"/>
      <c r="BF570" s="516"/>
      <c r="BG570" s="516"/>
      <c r="BH570" s="516"/>
      <c r="BI570" s="516"/>
      <c r="BJ570" s="516"/>
      <c r="BK570" s="516"/>
      <c r="BL570" s="516"/>
      <c r="BM570" s="516"/>
      <c r="BN570" s="516"/>
      <c r="BO570" s="516"/>
      <c r="BP570" s="516"/>
      <c r="BQ570" s="516"/>
      <c r="BR570" s="516"/>
      <c r="BS570" s="516"/>
      <c r="BT570" s="516"/>
      <c r="BU570" s="516"/>
      <c r="BV570" s="516"/>
      <c r="BW570" s="516"/>
      <c r="BX570" s="516"/>
      <c r="BY570" s="516"/>
      <c r="BZ570" s="516"/>
      <c r="CA570" s="516"/>
      <c r="CB570" s="516"/>
      <c r="CC570" s="516"/>
      <c r="CD570" s="516"/>
      <c r="CE570" s="516"/>
      <c r="CF570" s="516"/>
      <c r="CG570" s="516"/>
      <c r="CH570" s="516"/>
      <c r="CI570" s="516"/>
      <c r="CJ570" s="516"/>
      <c r="CK570" s="516"/>
      <c r="CL570" s="516"/>
      <c r="CM570" s="516"/>
      <c r="CN570" s="516"/>
      <c r="CO570" s="516"/>
      <c r="CP570" s="516"/>
      <c r="CQ570" s="516"/>
      <c r="CR570" s="516"/>
      <c r="CS570" s="516"/>
      <c r="CT570" s="516"/>
    </row>
    <row r="571" spans="1:98" customFormat="1" x14ac:dyDescent="0.25">
      <c r="A571" s="63">
        <v>909285</v>
      </c>
      <c r="B571" s="557">
        <v>99.439784126239232</v>
      </c>
      <c r="C571" s="558"/>
      <c r="D571" s="558">
        <v>2.54</v>
      </c>
      <c r="E571" s="558">
        <v>2.2799999999999998</v>
      </c>
      <c r="F571" s="558"/>
      <c r="G571" s="558"/>
      <c r="H571" s="558"/>
      <c r="I571" s="558"/>
      <c r="J571" s="558"/>
      <c r="K571" s="558"/>
      <c r="L571" s="557">
        <v>77.378097521982454</v>
      </c>
      <c r="M571" s="558"/>
      <c r="N571" s="558"/>
      <c r="O571" s="558"/>
      <c r="P571" s="558"/>
      <c r="Q571" s="558"/>
      <c r="R571" s="558"/>
      <c r="S571" s="558"/>
      <c r="T571" s="558"/>
    </row>
    <row r="572" spans="1:98" customFormat="1" x14ac:dyDescent="0.25">
      <c r="A572" s="63">
        <v>909286</v>
      </c>
      <c r="B572" s="557">
        <v>78.09977397481434</v>
      </c>
      <c r="C572" s="558"/>
      <c r="D572" s="558"/>
      <c r="E572" s="558"/>
      <c r="F572" s="558"/>
      <c r="G572" s="558"/>
      <c r="H572" s="558"/>
      <c r="I572" s="558"/>
      <c r="J572" s="558"/>
      <c r="K572" s="558"/>
      <c r="L572" s="557">
        <v>64.494202319072457</v>
      </c>
      <c r="M572" s="558"/>
      <c r="N572" s="558"/>
      <c r="O572" s="558"/>
      <c r="P572" s="558"/>
      <c r="Q572" s="558"/>
      <c r="R572" s="558"/>
      <c r="S572" s="558"/>
      <c r="T572" s="558"/>
    </row>
    <row r="573" spans="1:98" customFormat="1" x14ac:dyDescent="0.25">
      <c r="A573" s="63">
        <v>909287</v>
      </c>
      <c r="B573" s="557">
        <v>59.942963532123649</v>
      </c>
      <c r="C573" s="558"/>
      <c r="D573" s="558"/>
      <c r="E573" s="558"/>
      <c r="F573" s="558"/>
      <c r="G573" s="558"/>
      <c r="H573" s="558"/>
      <c r="I573" s="558"/>
      <c r="J573" s="558"/>
      <c r="K573" s="558"/>
      <c r="L573" s="557">
        <v>96.919999999999931</v>
      </c>
      <c r="M573" s="558"/>
      <c r="N573" s="558"/>
      <c r="O573" s="558"/>
      <c r="P573" s="558"/>
      <c r="Q573" s="558"/>
      <c r="R573" s="558"/>
      <c r="S573" s="558"/>
      <c r="T573" s="558"/>
    </row>
    <row r="574" spans="1:98" customFormat="1" x14ac:dyDescent="0.25">
      <c r="A574" s="63">
        <v>909288</v>
      </c>
      <c r="B574" s="557">
        <v>80.992679727499677</v>
      </c>
      <c r="C574" s="558"/>
      <c r="D574" s="558"/>
      <c r="E574" s="558"/>
      <c r="F574" s="558"/>
      <c r="G574" s="558"/>
      <c r="H574" s="558"/>
      <c r="I574" s="558"/>
      <c r="J574" s="558"/>
      <c r="K574" s="558"/>
      <c r="L574" s="557">
        <v>96.441423430627808</v>
      </c>
      <c r="M574" s="558"/>
      <c r="N574" s="558"/>
      <c r="O574" s="558"/>
      <c r="P574" s="558"/>
      <c r="Q574" s="558"/>
      <c r="R574" s="558"/>
      <c r="S574" s="558"/>
      <c r="T574" s="558"/>
    </row>
    <row r="575" spans="1:98" customFormat="1" x14ac:dyDescent="0.25">
      <c r="A575" s="63">
        <v>909289</v>
      </c>
      <c r="B575" s="557">
        <v>82.606666547001495</v>
      </c>
      <c r="C575" s="558"/>
      <c r="D575" s="558"/>
      <c r="E575" s="558"/>
      <c r="F575" s="558"/>
      <c r="G575" s="558"/>
      <c r="H575" s="558"/>
      <c r="I575" s="558"/>
      <c r="J575" s="558"/>
      <c r="K575" s="558"/>
      <c r="L575" s="557">
        <v>67.265827841022514</v>
      </c>
      <c r="M575" s="558"/>
      <c r="N575" s="558"/>
      <c r="O575" s="558"/>
      <c r="P575" s="558"/>
      <c r="Q575" s="558"/>
      <c r="R575" s="558"/>
      <c r="S575" s="558"/>
      <c r="T575" s="558"/>
    </row>
    <row r="576" spans="1:98" x14ac:dyDescent="0.25">
      <c r="A576" s="559">
        <v>909290</v>
      </c>
      <c r="B576" s="560">
        <v>59.1</v>
      </c>
      <c r="C576" s="561"/>
      <c r="D576" s="561"/>
      <c r="E576" s="561"/>
      <c r="F576" s="561"/>
      <c r="G576" s="561"/>
      <c r="H576" s="561"/>
      <c r="I576" s="561"/>
      <c r="J576" s="561"/>
      <c r="K576" s="561"/>
      <c r="L576" s="561">
        <v>39.9</v>
      </c>
      <c r="M576" s="531"/>
      <c r="N576" s="531"/>
      <c r="O576" s="531"/>
      <c r="P576" s="531"/>
      <c r="Q576" s="531"/>
      <c r="R576" s="531"/>
      <c r="S576" s="531"/>
      <c r="T576" s="531"/>
      <c r="U576" s="516"/>
      <c r="V576" s="516"/>
      <c r="W576" s="516"/>
      <c r="X576" s="516"/>
      <c r="Y576" s="516"/>
      <c r="Z576" s="516"/>
      <c r="AA576" s="516"/>
      <c r="AB576" s="516"/>
      <c r="AC576" s="516"/>
      <c r="AD576" s="516"/>
      <c r="AE576" s="516"/>
      <c r="AF576" s="516"/>
      <c r="AG576" s="516"/>
      <c r="AH576" s="516"/>
      <c r="AI576" s="516"/>
      <c r="AJ576" s="516"/>
      <c r="AK576" s="516"/>
      <c r="AL576" s="516"/>
      <c r="AM576" s="516"/>
      <c r="AN576" s="516"/>
      <c r="AO576" s="516"/>
      <c r="AP576" s="516"/>
      <c r="AQ576" s="516"/>
      <c r="AR576" s="516"/>
      <c r="AS576" s="516"/>
      <c r="AT576" s="516"/>
      <c r="AU576" s="516"/>
      <c r="AV576" s="516"/>
      <c r="AW576" s="516"/>
      <c r="AX576" s="516"/>
      <c r="AY576" s="516"/>
      <c r="AZ576" s="516"/>
      <c r="BA576" s="516"/>
      <c r="BB576" s="516"/>
      <c r="BC576" s="516"/>
      <c r="BD576" s="516"/>
      <c r="BE576" s="516"/>
      <c r="BF576" s="516"/>
      <c r="BG576" s="516"/>
      <c r="BH576" s="516"/>
      <c r="BI576" s="516"/>
      <c r="BJ576" s="516"/>
      <c r="BK576" s="516"/>
      <c r="BL576" s="516"/>
      <c r="BM576" s="516"/>
      <c r="BN576" s="516"/>
      <c r="BO576" s="516"/>
      <c r="BP576" s="516"/>
      <c r="BQ576" s="516"/>
      <c r="BR576" s="516"/>
      <c r="BS576" s="516"/>
      <c r="BT576" s="516"/>
      <c r="BU576" s="516"/>
      <c r="BV576" s="516"/>
      <c r="BW576" s="516"/>
      <c r="BX576" s="516"/>
      <c r="BY576" s="516"/>
      <c r="BZ576" s="516"/>
      <c r="CA576" s="516"/>
      <c r="CB576" s="516"/>
      <c r="CC576" s="516"/>
      <c r="CD576" s="516"/>
      <c r="CE576" s="516"/>
      <c r="CF576" s="516"/>
      <c r="CG576" s="516"/>
      <c r="CH576" s="516"/>
      <c r="CI576" s="516"/>
      <c r="CJ576" s="516"/>
      <c r="CK576" s="516"/>
      <c r="CL576" s="516"/>
      <c r="CM576" s="516"/>
      <c r="CN576" s="516"/>
      <c r="CO576" s="516"/>
      <c r="CP576" s="516"/>
      <c r="CQ576" s="516"/>
      <c r="CR576" s="516"/>
      <c r="CS576" s="516"/>
      <c r="CT576" s="516"/>
    </row>
    <row r="577" spans="1:98" x14ac:dyDescent="0.25">
      <c r="A577" s="532">
        <v>909293</v>
      </c>
      <c r="B577" s="530">
        <v>55.8</v>
      </c>
      <c r="C577" s="530"/>
      <c r="D577" s="530"/>
      <c r="E577" s="530"/>
      <c r="F577" s="530"/>
      <c r="G577" s="530"/>
      <c r="H577" s="530"/>
      <c r="I577" s="530"/>
      <c r="J577" s="530"/>
      <c r="K577" s="530"/>
      <c r="L577" s="530">
        <v>35.200000000000003</v>
      </c>
      <c r="M577" s="531"/>
      <c r="N577" s="531"/>
      <c r="O577" s="531"/>
      <c r="P577" s="531"/>
      <c r="Q577" s="531"/>
      <c r="R577" s="531"/>
      <c r="S577" s="531"/>
      <c r="T577" s="531"/>
      <c r="U577" s="516"/>
      <c r="V577" s="516"/>
      <c r="W577" s="516"/>
      <c r="X577" s="516"/>
      <c r="Y577" s="516"/>
      <c r="Z577" s="516"/>
      <c r="AA577" s="516"/>
      <c r="AB577" s="516"/>
      <c r="AC577" s="516"/>
      <c r="AD577" s="516"/>
      <c r="AE577" s="516"/>
      <c r="AF577" s="516"/>
      <c r="AG577" s="516"/>
      <c r="AH577" s="516"/>
      <c r="AI577" s="516"/>
      <c r="AJ577" s="516"/>
      <c r="AK577" s="516"/>
      <c r="AL577" s="516"/>
      <c r="AM577" s="516"/>
      <c r="AN577" s="516"/>
      <c r="AO577" s="516"/>
      <c r="AP577" s="516"/>
      <c r="AQ577" s="516"/>
      <c r="AR577" s="516"/>
      <c r="AS577" s="516"/>
      <c r="AT577" s="516"/>
      <c r="AU577" s="516"/>
      <c r="AV577" s="516"/>
      <c r="AW577" s="516"/>
      <c r="AX577" s="516"/>
      <c r="AY577" s="516"/>
      <c r="AZ577" s="516"/>
      <c r="BA577" s="516"/>
      <c r="BB577" s="516"/>
      <c r="BC577" s="516"/>
      <c r="BD577" s="516"/>
      <c r="BE577" s="516"/>
      <c r="BF577" s="516"/>
      <c r="BG577" s="516"/>
      <c r="BH577" s="516"/>
      <c r="BI577" s="516"/>
      <c r="BJ577" s="516"/>
      <c r="BK577" s="516"/>
      <c r="BL577" s="516"/>
      <c r="BM577" s="516"/>
      <c r="BN577" s="516"/>
      <c r="BO577" s="516"/>
      <c r="BP577" s="516"/>
      <c r="BQ577" s="516"/>
      <c r="BR577" s="516"/>
      <c r="BS577" s="516"/>
      <c r="BT577" s="516"/>
      <c r="BU577" s="516"/>
      <c r="BV577" s="516"/>
      <c r="BW577" s="516"/>
      <c r="BX577" s="516"/>
      <c r="BY577" s="516"/>
      <c r="BZ577" s="516"/>
      <c r="CA577" s="516"/>
      <c r="CB577" s="516"/>
      <c r="CC577" s="516"/>
      <c r="CD577" s="516"/>
      <c r="CE577" s="516"/>
      <c r="CF577" s="516"/>
      <c r="CG577" s="516"/>
      <c r="CH577" s="516"/>
      <c r="CI577" s="516"/>
      <c r="CJ577" s="516"/>
      <c r="CK577" s="516"/>
      <c r="CL577" s="516"/>
      <c r="CM577" s="516"/>
      <c r="CN577" s="516"/>
      <c r="CO577" s="516"/>
      <c r="CP577" s="516"/>
      <c r="CQ577" s="516"/>
      <c r="CR577" s="516"/>
      <c r="CS577" s="516"/>
      <c r="CT577" s="516"/>
    </row>
    <row r="578" spans="1:98" x14ac:dyDescent="0.25">
      <c r="A578" s="532">
        <v>909294</v>
      </c>
      <c r="B578" s="530">
        <v>65.400000000000006</v>
      </c>
      <c r="C578" s="530"/>
      <c r="D578" s="530"/>
      <c r="E578" s="530"/>
      <c r="F578" s="530"/>
      <c r="G578" s="530"/>
      <c r="H578" s="530"/>
      <c r="I578" s="530"/>
      <c r="J578" s="530"/>
      <c r="K578" s="530"/>
      <c r="L578" s="530">
        <v>42.3</v>
      </c>
      <c r="M578" s="531"/>
      <c r="N578" s="531"/>
      <c r="O578" s="531"/>
      <c r="P578" s="531"/>
      <c r="Q578" s="531"/>
      <c r="R578" s="531"/>
      <c r="S578" s="531"/>
      <c r="T578" s="531"/>
      <c r="U578" s="516"/>
      <c r="V578" s="516"/>
      <c r="W578" s="516"/>
      <c r="X578" s="516"/>
      <c r="Y578" s="516"/>
      <c r="Z578" s="516"/>
      <c r="AA578" s="516"/>
      <c r="AB578" s="516"/>
      <c r="AC578" s="516"/>
      <c r="AD578" s="516"/>
      <c r="AE578" s="516"/>
      <c r="AF578" s="516"/>
      <c r="AG578" s="516"/>
      <c r="AH578" s="516"/>
      <c r="AI578" s="516"/>
      <c r="AJ578" s="516"/>
      <c r="AK578" s="516"/>
      <c r="AL578" s="516"/>
      <c r="AM578" s="516"/>
      <c r="AN578" s="516"/>
      <c r="AO578" s="516"/>
      <c r="AP578" s="516"/>
      <c r="AQ578" s="516"/>
      <c r="AR578" s="516"/>
      <c r="AS578" s="516"/>
      <c r="AT578" s="516"/>
      <c r="AU578" s="516"/>
      <c r="AV578" s="516"/>
      <c r="AW578" s="516"/>
      <c r="AX578" s="516"/>
      <c r="AY578" s="516"/>
      <c r="AZ578" s="516"/>
      <c r="BA578" s="516"/>
      <c r="BB578" s="516"/>
      <c r="BC578" s="516"/>
      <c r="BD578" s="516"/>
      <c r="BE578" s="516"/>
      <c r="BF578" s="516"/>
      <c r="BG578" s="516"/>
      <c r="BH578" s="516"/>
      <c r="BI578" s="516"/>
      <c r="BJ578" s="516"/>
      <c r="BK578" s="516"/>
      <c r="BL578" s="516"/>
      <c r="BM578" s="516"/>
      <c r="BN578" s="516"/>
      <c r="BO578" s="516"/>
      <c r="BP578" s="516"/>
      <c r="BQ578" s="516"/>
      <c r="BR578" s="516"/>
      <c r="BS578" s="516"/>
      <c r="BT578" s="516"/>
      <c r="BU578" s="516"/>
      <c r="BV578" s="516"/>
      <c r="BW578" s="516"/>
      <c r="BX578" s="516"/>
      <c r="BY578" s="516"/>
      <c r="BZ578" s="516"/>
      <c r="CA578" s="516"/>
      <c r="CB578" s="516"/>
      <c r="CC578" s="516"/>
      <c r="CD578" s="516"/>
      <c r="CE578" s="516"/>
      <c r="CF578" s="516"/>
      <c r="CG578" s="516"/>
      <c r="CH578" s="516"/>
      <c r="CI578" s="516"/>
      <c r="CJ578" s="516"/>
      <c r="CK578" s="516"/>
      <c r="CL578" s="516"/>
      <c r="CM578" s="516"/>
      <c r="CN578" s="516"/>
      <c r="CO578" s="516"/>
      <c r="CP578" s="516"/>
      <c r="CQ578" s="516"/>
      <c r="CR578" s="516"/>
      <c r="CS578" s="516"/>
      <c r="CT578" s="516"/>
    </row>
    <row r="579" spans="1:98" x14ac:dyDescent="0.25">
      <c r="A579" s="532">
        <v>909295</v>
      </c>
      <c r="B579" s="530">
        <v>57.2</v>
      </c>
      <c r="C579" s="530"/>
      <c r="D579" s="530"/>
      <c r="E579" s="530"/>
      <c r="F579" s="530"/>
      <c r="G579" s="530"/>
      <c r="H579" s="530"/>
      <c r="I579" s="530"/>
      <c r="J579" s="530"/>
      <c r="K579" s="530"/>
      <c r="L579" s="530">
        <v>43.3</v>
      </c>
      <c r="M579" s="531"/>
      <c r="N579" s="531"/>
      <c r="O579" s="531"/>
      <c r="P579" s="531"/>
      <c r="Q579" s="531"/>
      <c r="R579" s="531"/>
      <c r="S579" s="531"/>
      <c r="T579" s="531"/>
      <c r="U579" s="516"/>
      <c r="V579" s="516"/>
      <c r="W579" s="516"/>
      <c r="X579" s="516"/>
      <c r="Y579" s="516"/>
      <c r="Z579" s="516"/>
      <c r="AA579" s="516"/>
      <c r="AB579" s="516"/>
      <c r="AC579" s="516"/>
      <c r="AD579" s="516"/>
      <c r="AE579" s="516"/>
      <c r="AF579" s="516"/>
      <c r="AG579" s="516"/>
      <c r="AH579" s="516"/>
      <c r="AI579" s="516"/>
      <c r="AJ579" s="516"/>
      <c r="AK579" s="516"/>
      <c r="AL579" s="516"/>
      <c r="AM579" s="516"/>
      <c r="AN579" s="516"/>
      <c r="AO579" s="516"/>
      <c r="AP579" s="516"/>
      <c r="AQ579" s="516"/>
      <c r="AR579" s="516"/>
      <c r="AS579" s="516"/>
      <c r="AT579" s="516"/>
      <c r="AU579" s="516"/>
      <c r="AV579" s="516"/>
      <c r="AW579" s="516"/>
      <c r="AX579" s="516"/>
      <c r="AY579" s="516"/>
      <c r="AZ579" s="516"/>
      <c r="BA579" s="516"/>
      <c r="BB579" s="516"/>
      <c r="BC579" s="516"/>
      <c r="BD579" s="516"/>
      <c r="BE579" s="516"/>
      <c r="BF579" s="516"/>
      <c r="BG579" s="516"/>
      <c r="BH579" s="516"/>
      <c r="BI579" s="516"/>
      <c r="BJ579" s="516"/>
      <c r="BK579" s="516"/>
      <c r="BL579" s="516"/>
      <c r="BM579" s="516"/>
      <c r="BN579" s="516"/>
      <c r="BO579" s="516"/>
      <c r="BP579" s="516"/>
      <c r="BQ579" s="516"/>
      <c r="BR579" s="516"/>
      <c r="BS579" s="516"/>
      <c r="BT579" s="516"/>
      <c r="BU579" s="516"/>
      <c r="BV579" s="516"/>
      <c r="BW579" s="516"/>
      <c r="BX579" s="516"/>
      <c r="BY579" s="516"/>
      <c r="BZ579" s="516"/>
      <c r="CA579" s="516"/>
      <c r="CB579" s="516"/>
      <c r="CC579" s="516"/>
      <c r="CD579" s="516"/>
      <c r="CE579" s="516"/>
      <c r="CF579" s="516"/>
      <c r="CG579" s="516"/>
      <c r="CH579" s="516"/>
      <c r="CI579" s="516"/>
      <c r="CJ579" s="516"/>
      <c r="CK579" s="516"/>
      <c r="CL579" s="516"/>
      <c r="CM579" s="516"/>
      <c r="CN579" s="516"/>
      <c r="CO579" s="516"/>
      <c r="CP579" s="516"/>
      <c r="CQ579" s="516"/>
      <c r="CR579" s="516"/>
      <c r="CS579" s="516"/>
      <c r="CT579" s="516"/>
    </row>
    <row r="580" spans="1:98" x14ac:dyDescent="0.25">
      <c r="A580" s="532">
        <v>909296</v>
      </c>
      <c r="B580" s="530">
        <v>63.3</v>
      </c>
      <c r="C580" s="530"/>
      <c r="D580" s="530"/>
      <c r="E580" s="530"/>
      <c r="F580" s="530"/>
      <c r="G580" s="530"/>
      <c r="H580" s="530"/>
      <c r="I580" s="530"/>
      <c r="J580" s="530"/>
      <c r="K580" s="530"/>
      <c r="L580" s="530">
        <v>40.299999999999997</v>
      </c>
      <c r="M580" s="531"/>
      <c r="N580" s="531"/>
      <c r="O580" s="531"/>
      <c r="P580" s="531"/>
      <c r="Q580" s="531"/>
      <c r="R580" s="531"/>
      <c r="S580" s="531"/>
      <c r="T580" s="531"/>
      <c r="U580" s="516"/>
      <c r="V580" s="516"/>
      <c r="W580" s="516"/>
      <c r="X580" s="516"/>
      <c r="Y580" s="516"/>
      <c r="Z580" s="516"/>
      <c r="AA580" s="516"/>
      <c r="AB580" s="516"/>
      <c r="AC580" s="516"/>
      <c r="AD580" s="516"/>
      <c r="AE580" s="516"/>
      <c r="AF580" s="516"/>
      <c r="AG580" s="516"/>
      <c r="AH580" s="516"/>
      <c r="AI580" s="516"/>
      <c r="AJ580" s="516"/>
      <c r="AK580" s="516"/>
      <c r="AL580" s="516"/>
      <c r="AM580" s="516"/>
      <c r="AN580" s="516"/>
      <c r="AO580" s="516"/>
      <c r="AP580" s="516"/>
      <c r="AQ580" s="516"/>
      <c r="AR580" s="516"/>
      <c r="AS580" s="516"/>
      <c r="AT580" s="516"/>
      <c r="AU580" s="516"/>
      <c r="AV580" s="516"/>
      <c r="AW580" s="516"/>
      <c r="AX580" s="516"/>
      <c r="AY580" s="516"/>
      <c r="AZ580" s="516"/>
      <c r="BA580" s="516"/>
      <c r="BB580" s="516"/>
      <c r="BC580" s="516"/>
      <c r="BD580" s="516"/>
      <c r="BE580" s="516"/>
      <c r="BF580" s="516"/>
      <c r="BG580" s="516"/>
      <c r="BH580" s="516"/>
      <c r="BI580" s="516"/>
      <c r="BJ580" s="516"/>
      <c r="BK580" s="516"/>
      <c r="BL580" s="516"/>
      <c r="BM580" s="516"/>
      <c r="BN580" s="516"/>
      <c r="BO580" s="516"/>
      <c r="BP580" s="516"/>
      <c r="BQ580" s="516"/>
      <c r="BR580" s="516"/>
      <c r="BS580" s="516"/>
      <c r="BT580" s="516"/>
      <c r="BU580" s="516"/>
      <c r="BV580" s="516"/>
      <c r="BW580" s="516"/>
      <c r="BX580" s="516"/>
      <c r="BY580" s="516"/>
      <c r="BZ580" s="516"/>
      <c r="CA580" s="516"/>
      <c r="CB580" s="516"/>
      <c r="CC580" s="516"/>
      <c r="CD580" s="516"/>
      <c r="CE580" s="516"/>
      <c r="CF580" s="516"/>
      <c r="CG580" s="516"/>
      <c r="CH580" s="516"/>
      <c r="CI580" s="516"/>
      <c r="CJ580" s="516"/>
      <c r="CK580" s="516"/>
      <c r="CL580" s="516"/>
      <c r="CM580" s="516"/>
      <c r="CN580" s="516"/>
      <c r="CO580" s="516"/>
      <c r="CP580" s="516"/>
      <c r="CQ580" s="516"/>
      <c r="CR580" s="516"/>
      <c r="CS580" s="516"/>
      <c r="CT580" s="516"/>
    </row>
    <row r="581" spans="1:98" x14ac:dyDescent="0.25">
      <c r="A581" s="37">
        <v>909297</v>
      </c>
      <c r="B581" s="34" t="s">
        <v>463</v>
      </c>
    </row>
    <row r="582" spans="1:98" x14ac:dyDescent="0.25">
      <c r="A582" s="37">
        <v>909298</v>
      </c>
    </row>
    <row r="583" spans="1:98" x14ac:dyDescent="0.25">
      <c r="A583" s="37">
        <v>909299</v>
      </c>
    </row>
    <row r="584" spans="1:98" x14ac:dyDescent="0.25">
      <c r="A584" s="37">
        <v>909300</v>
      </c>
    </row>
    <row r="585" spans="1:98" x14ac:dyDescent="0.25">
      <c r="A585" s="37">
        <v>909301</v>
      </c>
      <c r="B585" s="34">
        <v>41.831436592507622</v>
      </c>
      <c r="D585" s="35">
        <v>8.7899999999999991</v>
      </c>
      <c r="E585" s="35">
        <v>3.08</v>
      </c>
      <c r="F585" s="35">
        <v>1.3726566000000004</v>
      </c>
      <c r="G585" s="35">
        <v>0.31</v>
      </c>
      <c r="H585" s="35">
        <v>1.57</v>
      </c>
      <c r="I585" s="35">
        <v>0.55000000000000004</v>
      </c>
      <c r="J585" s="35">
        <v>4.41</v>
      </c>
      <c r="K585" s="35">
        <v>0.79</v>
      </c>
      <c r="L585" s="35">
        <v>54.86124975044914</v>
      </c>
    </row>
    <row r="586" spans="1:98" x14ac:dyDescent="0.25">
      <c r="A586" s="37">
        <v>909302</v>
      </c>
      <c r="B586" s="34">
        <v>46.650363494202388</v>
      </c>
      <c r="D586" s="35">
        <v>8.61</v>
      </c>
      <c r="E586" s="35">
        <v>4.6500000000000004</v>
      </c>
      <c r="F586" s="35">
        <v>2.3251122000000004</v>
      </c>
      <c r="G586" s="35">
        <v>0.62</v>
      </c>
      <c r="H586" s="35">
        <v>1.97</v>
      </c>
      <c r="I586" s="35">
        <v>1.1100000000000001</v>
      </c>
      <c r="J586" s="35">
        <v>3.41</v>
      </c>
      <c r="K586" s="35">
        <v>0.99</v>
      </c>
      <c r="L586" s="35">
        <v>72.158977431595787</v>
      </c>
    </row>
    <row r="587" spans="1:98" x14ac:dyDescent="0.25">
      <c r="A587" s="37">
        <v>909303</v>
      </c>
      <c r="B587" s="34">
        <v>37.933103344832759</v>
      </c>
      <c r="D587" s="35">
        <v>8.2799999999999994</v>
      </c>
      <c r="E587" s="35">
        <v>3.18</v>
      </c>
      <c r="F587" s="35">
        <v>1.9889514000000006</v>
      </c>
      <c r="G587" s="35">
        <v>0.41</v>
      </c>
      <c r="H587" s="35">
        <v>2.08</v>
      </c>
      <c r="I587" s="35">
        <v>1.27</v>
      </c>
      <c r="J587" s="35">
        <v>2.56</v>
      </c>
      <c r="K587" s="35">
        <v>0.75</v>
      </c>
      <c r="L587" s="35">
        <v>73.041566746602641</v>
      </c>
    </row>
    <row r="588" spans="1:98" x14ac:dyDescent="0.25">
      <c r="A588" s="37">
        <v>909304</v>
      </c>
      <c r="B588" s="34">
        <v>92.02601644652016</v>
      </c>
      <c r="D588" s="35">
        <v>6.81</v>
      </c>
      <c r="E588" s="35">
        <v>0.154</v>
      </c>
      <c r="F588" s="35">
        <v>0.72834840000000001</v>
      </c>
      <c r="G588" s="35">
        <v>0.13</v>
      </c>
      <c r="H588" s="35">
        <v>0.9</v>
      </c>
      <c r="I588" s="35">
        <v>0.04</v>
      </c>
      <c r="J588" s="35">
        <v>1.24</v>
      </c>
      <c r="K588" s="35">
        <v>0.14000000000000001</v>
      </c>
      <c r="L588" s="35">
        <v>92.608869356771777</v>
      </c>
    </row>
    <row r="589" spans="1:98" x14ac:dyDescent="0.25">
      <c r="A589" s="37">
        <v>909305</v>
      </c>
      <c r="B589" s="34">
        <v>90.910292329650574</v>
      </c>
      <c r="D589" s="35">
        <v>6.44</v>
      </c>
      <c r="E589" s="35">
        <v>0.16500000000000001</v>
      </c>
      <c r="F589" s="35">
        <v>0.81238860000000002</v>
      </c>
      <c r="G589" s="35">
        <v>0.13</v>
      </c>
      <c r="H589" s="35">
        <v>0.86</v>
      </c>
      <c r="I589" s="35">
        <v>0.06</v>
      </c>
      <c r="J589" s="35">
        <v>1.57</v>
      </c>
      <c r="K589" s="35">
        <v>0.14000000000000001</v>
      </c>
      <c r="L589" s="35">
        <v>91.954481932521489</v>
      </c>
    </row>
    <row r="590" spans="1:98" x14ac:dyDescent="0.25">
      <c r="A590" s="37">
        <v>909306</v>
      </c>
      <c r="B590" s="34">
        <v>92.470000574151697</v>
      </c>
      <c r="D590" s="35">
        <v>6.18</v>
      </c>
      <c r="E590" s="35">
        <v>0.152</v>
      </c>
      <c r="F590" s="35">
        <v>0.56026799999999999</v>
      </c>
      <c r="G590" s="35">
        <v>0.11</v>
      </c>
      <c r="H590" s="35">
        <v>0.69</v>
      </c>
      <c r="I590" s="35">
        <v>0.05</v>
      </c>
      <c r="J590" s="35">
        <v>1.1399999999999999</v>
      </c>
      <c r="K590" s="35">
        <v>0.11</v>
      </c>
      <c r="L590" s="35">
        <v>95.086878370281568</v>
      </c>
    </row>
    <row r="591" spans="1:98" x14ac:dyDescent="0.25">
      <c r="A591" s="37">
        <v>909307</v>
      </c>
      <c r="B591" s="34">
        <v>97.659447546769627</v>
      </c>
      <c r="D591" s="35">
        <v>8.42</v>
      </c>
      <c r="E591" s="35">
        <v>0.41199999999999998</v>
      </c>
      <c r="F591" s="35">
        <v>8.4040200000000009E-2</v>
      </c>
      <c r="G591" s="35">
        <v>10.28</v>
      </c>
      <c r="H591" s="35">
        <v>0.09</v>
      </c>
      <c r="I591" s="35">
        <v>0.6</v>
      </c>
      <c r="J591" s="35">
        <v>38.96</v>
      </c>
      <c r="K591" s="35">
        <v>0.34</v>
      </c>
      <c r="L591" s="35">
        <v>1.8170926517573065</v>
      </c>
    </row>
    <row r="592" spans="1:98" x14ac:dyDescent="0.25">
      <c r="A592" s="37">
        <v>909308</v>
      </c>
      <c r="B592" s="34">
        <v>72.9150233058444</v>
      </c>
      <c r="D592" s="35">
        <v>8.61</v>
      </c>
      <c r="E592" s="35">
        <v>2.4700000000000002</v>
      </c>
      <c r="F592" s="35">
        <v>1.6247772000000005</v>
      </c>
      <c r="G592" s="35">
        <v>0.27</v>
      </c>
      <c r="H592" s="35">
        <v>1.25</v>
      </c>
      <c r="I592" s="35">
        <v>3.23</v>
      </c>
      <c r="J592" s="35">
        <v>8.85</v>
      </c>
      <c r="K592" s="35">
        <v>3.23</v>
      </c>
      <c r="L592" s="35">
        <v>53.13248204309663</v>
      </c>
    </row>
    <row r="593" spans="1:12" x14ac:dyDescent="0.25">
      <c r="A593" s="37">
        <v>909309</v>
      </c>
      <c r="B593" s="34">
        <v>90.975583130162661</v>
      </c>
      <c r="D593" s="35">
        <v>8.51</v>
      </c>
      <c r="E593" s="35">
        <v>1.88</v>
      </c>
      <c r="F593" s="35">
        <v>1.7368308000000003</v>
      </c>
      <c r="G593" s="35">
        <v>0.27</v>
      </c>
      <c r="H593" s="35">
        <v>1.1499999999999999</v>
      </c>
      <c r="I593" s="35">
        <v>0.68</v>
      </c>
      <c r="J593" s="35">
        <v>3.55</v>
      </c>
      <c r="K593" s="35">
        <v>0.68</v>
      </c>
      <c r="L593" s="35">
        <v>58.341658341658324</v>
      </c>
    </row>
    <row r="594" spans="1:12" x14ac:dyDescent="0.25">
      <c r="A594" s="37">
        <v>909310</v>
      </c>
      <c r="B594" s="34">
        <v>85.869847031371521</v>
      </c>
      <c r="D594" s="35">
        <v>7.06</v>
      </c>
      <c r="E594" s="35">
        <v>4.3099999999999996</v>
      </c>
      <c r="F594" s="35">
        <v>4.0619430000000003</v>
      </c>
      <c r="G594" s="35">
        <v>0.85</v>
      </c>
      <c r="H594" s="35">
        <v>1.99</v>
      </c>
      <c r="I594" s="35">
        <v>0.61</v>
      </c>
      <c r="J594" s="35">
        <v>2.11</v>
      </c>
      <c r="K594" s="35">
        <v>0.61</v>
      </c>
      <c r="L594" s="35">
        <v>86.430855315747365</v>
      </c>
    </row>
    <row r="595" spans="1:12" x14ac:dyDescent="0.25">
      <c r="A595" s="37">
        <v>909311</v>
      </c>
      <c r="B595" s="34">
        <v>83.145547462878753</v>
      </c>
      <c r="D595" s="35">
        <v>8.07</v>
      </c>
      <c r="E595" s="35">
        <v>3.78</v>
      </c>
      <c r="F595" s="35">
        <v>5.9668541999999993</v>
      </c>
      <c r="G595" s="35">
        <v>2.75</v>
      </c>
      <c r="H595" s="35">
        <v>2.64</v>
      </c>
      <c r="I595" s="35">
        <v>0.8</v>
      </c>
      <c r="J595" s="35">
        <v>11.61</v>
      </c>
      <c r="K595" s="35">
        <v>0.8</v>
      </c>
      <c r="L595" s="35">
        <v>67.859284429342452</v>
      </c>
    </row>
    <row r="596" spans="1:12" x14ac:dyDescent="0.25">
      <c r="A596" s="37">
        <v>909312</v>
      </c>
      <c r="B596" s="34">
        <v>60.28458951857624</v>
      </c>
      <c r="D596" s="35">
        <v>7.63</v>
      </c>
      <c r="E596" s="35">
        <v>0.74199999999999999</v>
      </c>
      <c r="F596" s="35">
        <v>1.5967638000000002</v>
      </c>
      <c r="G596" s="35">
        <v>0.11</v>
      </c>
      <c r="H596" s="35">
        <v>0.09</v>
      </c>
      <c r="I596" s="35">
        <v>0.8</v>
      </c>
      <c r="J596" s="35">
        <v>3.03</v>
      </c>
      <c r="K596" s="35">
        <v>0.8</v>
      </c>
      <c r="L596" s="35">
        <v>77.50449910017997</v>
      </c>
    </row>
    <row r="597" spans="1:12" x14ac:dyDescent="0.25">
      <c r="A597" s="37">
        <v>909313</v>
      </c>
      <c r="B597" s="34">
        <v>81.548275954886819</v>
      </c>
      <c r="D597" s="35">
        <v>8.44</v>
      </c>
      <c r="E597" s="35">
        <v>5.75</v>
      </c>
      <c r="F597" s="35">
        <v>2.241072</v>
      </c>
      <c r="G597" s="35">
        <v>0.39</v>
      </c>
      <c r="H597" s="35">
        <v>3.07</v>
      </c>
      <c r="I597" s="35">
        <v>0.93</v>
      </c>
      <c r="J597" s="35">
        <v>3.15</v>
      </c>
      <c r="K597" s="35">
        <v>0.93</v>
      </c>
      <c r="L597" s="35">
        <v>74.03634911124432</v>
      </c>
    </row>
    <row r="598" spans="1:12" x14ac:dyDescent="0.25">
      <c r="A598" s="37">
        <v>909314</v>
      </c>
      <c r="B598" s="34">
        <v>79.188315393100282</v>
      </c>
      <c r="D598" s="35">
        <v>8.51</v>
      </c>
      <c r="E598" s="35">
        <v>3.22</v>
      </c>
      <c r="F598" s="35">
        <v>4.1739966000000006</v>
      </c>
      <c r="G598" s="35">
        <v>2.44</v>
      </c>
      <c r="H598" s="35">
        <v>3.33</v>
      </c>
      <c r="I598" s="35">
        <v>1.29</v>
      </c>
      <c r="J598" s="35">
        <v>3.69</v>
      </c>
      <c r="K598" s="35">
        <v>1.29</v>
      </c>
      <c r="L598" s="35">
        <v>82.308306709265111</v>
      </c>
    </row>
    <row r="599" spans="1:12" x14ac:dyDescent="0.25">
      <c r="A599" s="37">
        <v>909315</v>
      </c>
      <c r="B599" s="34">
        <v>69.743498396864979</v>
      </c>
      <c r="D599" s="35">
        <v>6.3</v>
      </c>
      <c r="E599" s="35">
        <v>7.4999999999999997E-2</v>
      </c>
      <c r="F599" s="35">
        <v>0.25212060000000003</v>
      </c>
      <c r="G599" s="35">
        <v>0.01</v>
      </c>
      <c r="H599" s="35">
        <v>7.0000000000000007E-2</v>
      </c>
      <c r="I599" s="35">
        <v>0.08</v>
      </c>
      <c r="J599" s="35">
        <v>0.56999999999999995</v>
      </c>
      <c r="K599" s="35">
        <v>0.08</v>
      </c>
      <c r="L599" s="35">
        <v>97.86085565773692</v>
      </c>
    </row>
    <row r="600" spans="1:12" x14ac:dyDescent="0.25">
      <c r="A600" s="37">
        <v>909316</v>
      </c>
      <c r="B600" s="39">
        <v>62.699953394666451</v>
      </c>
      <c r="C600" s="526"/>
      <c r="D600" s="526">
        <v>9.01</v>
      </c>
      <c r="E600" s="526">
        <v>3.58</v>
      </c>
      <c r="F600" s="526">
        <v>1.1765628000000001</v>
      </c>
      <c r="G600" s="526">
        <v>0.36</v>
      </c>
      <c r="H600" s="526">
        <v>1.99</v>
      </c>
      <c r="I600" s="526">
        <v>4.32</v>
      </c>
      <c r="J600" s="526">
        <v>14.81</v>
      </c>
      <c r="K600" s="526">
        <v>4.32</v>
      </c>
      <c r="L600" s="526">
        <v>29.630369630369515</v>
      </c>
    </row>
    <row r="601" spans="1:12" x14ac:dyDescent="0.25">
      <c r="A601" s="37">
        <v>909317</v>
      </c>
      <c r="B601" s="34">
        <v>55.442028866521078</v>
      </c>
      <c r="D601" s="35">
        <v>9.02</v>
      </c>
      <c r="E601" s="35">
        <v>3.97</v>
      </c>
      <c r="F601" s="35">
        <v>1.5127236000000004</v>
      </c>
      <c r="G601" s="35">
        <v>0.45</v>
      </c>
      <c r="H601" s="35">
        <v>2.16</v>
      </c>
      <c r="I601" s="35">
        <v>2.58</v>
      </c>
      <c r="J601" s="35">
        <v>9.31</v>
      </c>
      <c r="K601" s="35">
        <v>2.58</v>
      </c>
      <c r="L601" s="35">
        <v>38.341658341658224</v>
      </c>
    </row>
    <row r="602" spans="1:12" x14ac:dyDescent="0.25">
      <c r="A602" s="37">
        <v>909318</v>
      </c>
      <c r="B602" s="34">
        <v>47.852254428341382</v>
      </c>
      <c r="D602" s="35">
        <v>9.0399999999999991</v>
      </c>
      <c r="E602" s="35">
        <v>4.45</v>
      </c>
      <c r="F602" s="35">
        <v>1.5687504000000003</v>
      </c>
      <c r="G602" s="35">
        <v>0.41</v>
      </c>
      <c r="H602" s="35">
        <v>2.5</v>
      </c>
      <c r="I602" s="35">
        <v>2.48</v>
      </c>
      <c r="J602" s="35">
        <v>10.25</v>
      </c>
      <c r="K602" s="35">
        <v>2.48</v>
      </c>
      <c r="L602" s="35">
        <v>43.93</v>
      </c>
    </row>
    <row r="603" spans="1:12" x14ac:dyDescent="0.25">
      <c r="A603" s="37">
        <v>909319</v>
      </c>
      <c r="B603" s="34">
        <v>40.012082040574541</v>
      </c>
      <c r="D603" s="35">
        <v>8.3699999999999992</v>
      </c>
      <c r="E603" s="35">
        <v>4.4400000000000004</v>
      </c>
      <c r="F603" s="35">
        <v>1.5687504000000003</v>
      </c>
      <c r="G603" s="35">
        <v>0.56999999999999995</v>
      </c>
      <c r="H603" s="35">
        <v>2.46</v>
      </c>
      <c r="I603" s="35">
        <v>3.35</v>
      </c>
      <c r="J603" s="35">
        <v>10.66</v>
      </c>
      <c r="K603" s="35">
        <v>3.35</v>
      </c>
      <c r="L603" s="35">
        <v>41.415150909454383</v>
      </c>
    </row>
    <row r="604" spans="1:12" x14ac:dyDescent="0.25">
      <c r="A604" s="37">
        <v>909320</v>
      </c>
      <c r="B604" s="34">
        <v>54.000177816876693</v>
      </c>
      <c r="D604" s="35">
        <v>9.17</v>
      </c>
      <c r="E604" s="35">
        <v>3.7</v>
      </c>
      <c r="F604" s="35">
        <v>1.7648442000000002</v>
      </c>
      <c r="G604" s="35">
        <v>0.86</v>
      </c>
      <c r="H604" s="35">
        <v>3.12</v>
      </c>
      <c r="I604" s="35">
        <v>3.11</v>
      </c>
      <c r="J604" s="35">
        <v>9.83</v>
      </c>
      <c r="K604" s="35">
        <v>3.11</v>
      </c>
      <c r="L604" s="35">
        <v>40.866440407266857</v>
      </c>
    </row>
    <row r="605" spans="1:12" x14ac:dyDescent="0.25">
      <c r="A605" s="37">
        <v>909321</v>
      </c>
      <c r="B605" s="34">
        <v>50.953326934666634</v>
      </c>
      <c r="D605" s="35">
        <v>8.84</v>
      </c>
      <c r="E605" s="35">
        <v>3.61</v>
      </c>
      <c r="F605" s="35">
        <v>1.4286834000000002</v>
      </c>
      <c r="G605" s="35">
        <v>0.59</v>
      </c>
      <c r="H605" s="35">
        <v>2.44</v>
      </c>
      <c r="I605" s="35">
        <v>3.35</v>
      </c>
      <c r="J605" s="35">
        <v>13.94</v>
      </c>
      <c r="K605" s="35">
        <v>3.35</v>
      </c>
      <c r="L605" s="35">
        <v>56.549520766773128</v>
      </c>
    </row>
    <row r="606" spans="1:12" x14ac:dyDescent="0.25">
      <c r="A606" s="37">
        <v>909322</v>
      </c>
      <c r="B606" s="34">
        <v>36.490948944377358</v>
      </c>
      <c r="D606" s="35">
        <v>8.76</v>
      </c>
      <c r="E606" s="35">
        <v>4.71</v>
      </c>
      <c r="F606" s="35">
        <v>1.8768978000000001</v>
      </c>
      <c r="G606" s="35">
        <v>0.75</v>
      </c>
      <c r="H606" s="35">
        <v>3.44</v>
      </c>
      <c r="I606" s="35">
        <v>1.78</v>
      </c>
      <c r="J606" s="35">
        <v>6.76</v>
      </c>
      <c r="K606" s="35">
        <v>1.78</v>
      </c>
      <c r="L606" s="35">
        <v>51.369178492904261</v>
      </c>
    </row>
    <row r="607" spans="1:12" x14ac:dyDescent="0.25">
      <c r="A607" s="37">
        <v>909323</v>
      </c>
      <c r="B607" s="34">
        <v>62.659932659932672</v>
      </c>
      <c r="D607" s="35">
        <v>9.0399999999999991</v>
      </c>
      <c r="E607" s="35">
        <v>4.04</v>
      </c>
      <c r="F607" s="35">
        <v>1.7648442000000002</v>
      </c>
      <c r="G607" s="35">
        <v>0.87</v>
      </c>
      <c r="H607" s="35">
        <v>2.67</v>
      </c>
      <c r="I607" s="35">
        <v>3.57</v>
      </c>
      <c r="J607" s="35">
        <v>10.68</v>
      </c>
      <c r="K607" s="35">
        <v>3.57</v>
      </c>
      <c r="L607" s="35">
        <v>40.423407229878229</v>
      </c>
    </row>
    <row r="608" spans="1:12" x14ac:dyDescent="0.25">
      <c r="A608" s="37">
        <v>909324</v>
      </c>
      <c r="B608" s="34">
        <v>57.07175344178691</v>
      </c>
      <c r="D608" s="35">
        <v>8.9700000000000006</v>
      </c>
      <c r="E608" s="35">
        <v>4.05</v>
      </c>
      <c r="F608" s="35">
        <v>1.7648442000000002</v>
      </c>
      <c r="G608" s="35">
        <v>1.02</v>
      </c>
      <c r="H608" s="35">
        <v>2.79</v>
      </c>
      <c r="I608" s="35">
        <v>0.56000000000000005</v>
      </c>
      <c r="J608" s="35">
        <v>9.1199999999999992</v>
      </c>
      <c r="K608" s="35">
        <v>1.02</v>
      </c>
      <c r="L608" s="35">
        <v>44.788338658146955</v>
      </c>
    </row>
    <row r="609" spans="1:12" x14ac:dyDescent="0.25">
      <c r="A609" s="37">
        <v>909325</v>
      </c>
      <c r="B609" s="34">
        <v>39.53855567818001</v>
      </c>
      <c r="D609" s="35">
        <v>9.35</v>
      </c>
      <c r="E609" s="35">
        <v>3.56</v>
      </c>
      <c r="F609" s="35">
        <v>1.5967638000000002</v>
      </c>
      <c r="G609" s="35">
        <v>0.72</v>
      </c>
      <c r="H609" s="35">
        <v>2.72</v>
      </c>
      <c r="I609" s="35">
        <v>0.65</v>
      </c>
      <c r="J609" s="35">
        <v>8.27</v>
      </c>
      <c r="K609" s="35">
        <v>2.0499999999999998</v>
      </c>
      <c r="L609" s="35">
        <v>42.954227463521896</v>
      </c>
    </row>
    <row r="610" spans="1:12" x14ac:dyDescent="0.25">
      <c r="A610" s="37">
        <v>909326</v>
      </c>
      <c r="B610" s="34">
        <v>28.504959772528998</v>
      </c>
      <c r="D610" s="35">
        <v>9.17</v>
      </c>
      <c r="E610" s="35">
        <v>2.56</v>
      </c>
      <c r="F610" s="35">
        <v>2.0449782000000001</v>
      </c>
      <c r="G610" s="35">
        <v>0.72</v>
      </c>
      <c r="H610" s="35">
        <v>2.0699999999999998</v>
      </c>
      <c r="I610" s="35">
        <v>0.56000000000000005</v>
      </c>
      <c r="J610" s="35">
        <v>4.3</v>
      </c>
      <c r="K610" s="35">
        <v>0.95</v>
      </c>
      <c r="L610" s="35">
        <v>59.156337465014005</v>
      </c>
    </row>
    <row r="611" spans="1:12" x14ac:dyDescent="0.25">
      <c r="A611" s="37">
        <v>909327</v>
      </c>
      <c r="B611" s="34">
        <v>40.090374408262804</v>
      </c>
      <c r="D611" s="35">
        <v>9.2100000000000009</v>
      </c>
      <c r="E611" s="35">
        <v>3.66</v>
      </c>
      <c r="F611" s="35">
        <v>1.4286834000000002</v>
      </c>
      <c r="G611" s="35">
        <v>0.82</v>
      </c>
      <c r="H611" s="35">
        <v>2.06</v>
      </c>
      <c r="I611" s="35">
        <v>0.47</v>
      </c>
      <c r="J611" s="35">
        <v>5.38</v>
      </c>
      <c r="K611" s="35">
        <v>0.79</v>
      </c>
      <c r="L611" s="35">
        <v>40.215654952076683</v>
      </c>
    </row>
    <row r="612" spans="1:12" x14ac:dyDescent="0.25">
      <c r="A612" s="37">
        <v>909328</v>
      </c>
      <c r="B612" s="34">
        <v>51.248314909679159</v>
      </c>
      <c r="D612" s="35">
        <v>8.7100000000000009</v>
      </c>
      <c r="E612" s="35">
        <v>2.5</v>
      </c>
      <c r="F612" s="35">
        <v>1.7368308000000003</v>
      </c>
      <c r="G612" s="35">
        <v>0.76</v>
      </c>
      <c r="H612" s="35">
        <v>2.2799999999999998</v>
      </c>
      <c r="I612" s="35">
        <v>0.65</v>
      </c>
      <c r="J612" s="35">
        <v>4.03</v>
      </c>
      <c r="K612" s="35">
        <v>0.93</v>
      </c>
      <c r="L612" s="35">
        <v>60.511590727418081</v>
      </c>
    </row>
    <row r="613" spans="1:12" x14ac:dyDescent="0.25">
      <c r="A613" s="37">
        <v>909329</v>
      </c>
      <c r="B613" s="34">
        <v>89.511257550796273</v>
      </c>
      <c r="D613" s="35">
        <v>8.67</v>
      </c>
      <c r="E613" s="35">
        <v>2.09</v>
      </c>
      <c r="F613" s="35">
        <v>1.6808040000000002</v>
      </c>
      <c r="G613" s="35">
        <v>0.43</v>
      </c>
      <c r="H613" s="35">
        <v>1.31</v>
      </c>
      <c r="I613" s="35">
        <v>0.24</v>
      </c>
      <c r="J613" s="35">
        <v>16.79</v>
      </c>
      <c r="K613" s="35">
        <v>0.86</v>
      </c>
      <c r="L613" s="35">
        <v>60.343450479233283</v>
      </c>
    </row>
    <row r="614" spans="1:12" x14ac:dyDescent="0.25">
      <c r="A614" s="37">
        <v>909330</v>
      </c>
      <c r="B614" s="34">
        <v>88.137877686880287</v>
      </c>
      <c r="D614" s="35">
        <v>8.83</v>
      </c>
      <c r="E614" s="35">
        <v>4.24</v>
      </c>
      <c r="F614" s="35">
        <v>2.3531256000000003</v>
      </c>
      <c r="G614" s="35">
        <v>0.87</v>
      </c>
      <c r="H614" s="35">
        <v>2.2000000000000002</v>
      </c>
      <c r="I614" s="35">
        <v>0.27</v>
      </c>
      <c r="J614" s="35">
        <v>3.13</v>
      </c>
      <c r="K614" s="35">
        <v>1.3</v>
      </c>
      <c r="L614" s="35">
        <v>66.320207875274932</v>
      </c>
    </row>
    <row r="615" spans="1:12" x14ac:dyDescent="0.25">
      <c r="A615" s="37">
        <v>909331</v>
      </c>
      <c r="B615" s="34">
        <v>77.259400892288085</v>
      </c>
      <c r="D615" s="35">
        <v>8.73</v>
      </c>
      <c r="E615" s="35">
        <v>5.91</v>
      </c>
      <c r="F615" s="35">
        <v>2.4931926000000004</v>
      </c>
      <c r="G615" s="35">
        <v>3.2</v>
      </c>
      <c r="H615" s="35">
        <v>2.76</v>
      </c>
      <c r="I615" s="35">
        <v>0.71</v>
      </c>
      <c r="J615" s="35">
        <v>9.98</v>
      </c>
      <c r="K615" s="35">
        <v>0.76</v>
      </c>
      <c r="L615" s="35">
        <v>59.656137544981988</v>
      </c>
    </row>
    <row r="616" spans="1:12" x14ac:dyDescent="0.25">
      <c r="A616" s="37">
        <v>909332</v>
      </c>
      <c r="B616" s="34">
        <v>34.65660153937241</v>
      </c>
      <c r="D616" s="35">
        <v>7.23</v>
      </c>
      <c r="E616" s="35">
        <v>3.72</v>
      </c>
      <c r="F616" s="35">
        <v>2.3531256000000003</v>
      </c>
      <c r="G616" s="35">
        <v>0.45</v>
      </c>
      <c r="H616" s="35">
        <v>3.54</v>
      </c>
      <c r="I616" s="35">
        <v>0.11</v>
      </c>
      <c r="J616" s="35">
        <v>5.94</v>
      </c>
      <c r="K616" s="35">
        <v>0.6</v>
      </c>
      <c r="L616" s="35">
        <v>69.358384969018573</v>
      </c>
    </row>
    <row r="617" spans="1:12" x14ac:dyDescent="0.25">
      <c r="A617" s="37">
        <v>909333</v>
      </c>
      <c r="B617" s="34">
        <v>26.256137986052842</v>
      </c>
      <c r="D617" s="35">
        <v>7.2</v>
      </c>
      <c r="E617" s="35">
        <v>3.67</v>
      </c>
      <c r="F617" s="35">
        <v>1.9049112000000004</v>
      </c>
      <c r="G617" s="35">
        <v>0.33</v>
      </c>
      <c r="H617" s="35">
        <v>4.4400000000000004</v>
      </c>
      <c r="I617" s="35">
        <v>0.1</v>
      </c>
      <c r="J617" s="35">
        <v>4.55</v>
      </c>
      <c r="K617" s="35">
        <v>0.61</v>
      </c>
      <c r="L617" s="35">
        <v>75.274615538246465</v>
      </c>
    </row>
    <row r="618" spans="1:12" x14ac:dyDescent="0.25">
      <c r="A618" s="37">
        <v>909334</v>
      </c>
      <c r="B618" s="34">
        <v>66.234025808547045</v>
      </c>
      <c r="D618" s="35">
        <v>9.14</v>
      </c>
      <c r="E618" s="35">
        <v>3.13</v>
      </c>
      <c r="F618" s="35">
        <v>1.5967638000000002</v>
      </c>
      <c r="G618" s="35">
        <v>0.89</v>
      </c>
      <c r="H618" s="35">
        <v>2.06</v>
      </c>
      <c r="I618" s="35">
        <v>0.56999999999999995</v>
      </c>
      <c r="J618" s="35">
        <v>5.76</v>
      </c>
      <c r="K618" s="35">
        <v>1.49</v>
      </c>
      <c r="L618" s="35">
        <v>47.561950439648228</v>
      </c>
    </row>
    <row r="619" spans="1:12" x14ac:dyDescent="0.25">
      <c r="A619" s="37">
        <v>909335</v>
      </c>
      <c r="B619" s="34">
        <v>62.969907508345578</v>
      </c>
      <c r="L619" s="35">
        <v>33.186900958466381</v>
      </c>
    </row>
    <row r="620" spans="1:12" x14ac:dyDescent="0.25">
      <c r="A620" s="37">
        <v>909336</v>
      </c>
      <c r="B620" s="34">
        <v>65.577293846202465</v>
      </c>
      <c r="L620" s="35">
        <v>30.617136009586503</v>
      </c>
    </row>
    <row r="621" spans="1:12" x14ac:dyDescent="0.25">
      <c r="A621" s="37">
        <v>909337</v>
      </c>
      <c r="B621" s="34">
        <v>68.434512371598714</v>
      </c>
      <c r="L621" s="35">
        <v>32.433513297340582</v>
      </c>
    </row>
    <row r="622" spans="1:12" x14ac:dyDescent="0.25">
      <c r="A622" s="37">
        <v>909338</v>
      </c>
      <c r="B622" s="34">
        <v>69.008579050738589</v>
      </c>
      <c r="D622" s="35">
        <v>8.68</v>
      </c>
      <c r="E622" s="35">
        <v>0.62</v>
      </c>
      <c r="F622" s="35">
        <v>0.81238860000000002</v>
      </c>
      <c r="G622" s="35">
        <v>0.12</v>
      </c>
      <c r="H622" s="35">
        <v>0.54</v>
      </c>
      <c r="I622" s="35">
        <v>7.0000000000000007E-2</v>
      </c>
      <c r="J622" s="35">
        <v>1.29</v>
      </c>
      <c r="K622" s="35">
        <v>0.18</v>
      </c>
      <c r="L622" s="35">
        <v>23.571713943268065</v>
      </c>
    </row>
    <row r="623" spans="1:12" x14ac:dyDescent="0.25">
      <c r="A623" s="37">
        <v>909339</v>
      </c>
      <c r="B623" s="34">
        <v>55.11</v>
      </c>
      <c r="L623" s="35">
        <v>33.563436563436603</v>
      </c>
    </row>
    <row r="624" spans="1:12" x14ac:dyDescent="0.25">
      <c r="A624" s="37">
        <v>909340</v>
      </c>
      <c r="B624" s="34">
        <v>61.11</v>
      </c>
      <c r="L624" s="35">
        <v>52.629474105178971</v>
      </c>
    </row>
    <row r="625" spans="1:12" x14ac:dyDescent="0.25">
      <c r="A625" s="37">
        <v>909341</v>
      </c>
      <c r="B625" s="34">
        <v>59.9</v>
      </c>
      <c r="L625" s="35">
        <v>44.324942791762027</v>
      </c>
    </row>
    <row r="626" spans="1:12" x14ac:dyDescent="0.25">
      <c r="A626" s="37">
        <v>909342</v>
      </c>
      <c r="B626" s="34">
        <v>63.809404458554376</v>
      </c>
      <c r="D626" s="35">
        <v>8.3000000000000007</v>
      </c>
      <c r="E626" s="35">
        <v>3.83</v>
      </c>
      <c r="F626" s="35">
        <v>2.2130586000000005</v>
      </c>
      <c r="G626" s="35">
        <v>0.4</v>
      </c>
      <c r="H626" s="35">
        <v>2.56</v>
      </c>
      <c r="I626" s="35">
        <v>0.43</v>
      </c>
      <c r="J626" s="35">
        <v>3.58</v>
      </c>
      <c r="K626" s="35">
        <v>0.59</v>
      </c>
      <c r="L626" s="35">
        <v>59.500000000000028</v>
      </c>
    </row>
    <row r="627" spans="1:12" x14ac:dyDescent="0.25">
      <c r="A627" s="37">
        <v>909343</v>
      </c>
      <c r="B627" s="34">
        <v>56.857645528952794</v>
      </c>
      <c r="D627" s="35">
        <v>7.88</v>
      </c>
      <c r="E627" s="35">
        <v>2.58</v>
      </c>
      <c r="F627" s="35">
        <v>2.0449782000000001</v>
      </c>
      <c r="G627" s="35">
        <v>0.43</v>
      </c>
      <c r="H627" s="35">
        <v>2.06</v>
      </c>
      <c r="I627" s="35">
        <v>0.38</v>
      </c>
      <c r="J627" s="35">
        <v>5.7</v>
      </c>
      <c r="K627" s="35">
        <v>0.59</v>
      </c>
      <c r="L627" s="35">
        <v>44.084732214228573</v>
      </c>
    </row>
    <row r="628" spans="1:12" x14ac:dyDescent="0.25">
      <c r="A628" s="37">
        <v>909344</v>
      </c>
      <c r="B628" s="39">
        <v>71.136195896781089</v>
      </c>
      <c r="C628" s="526"/>
      <c r="D628" s="526">
        <v>8.27</v>
      </c>
      <c r="E628" s="526">
        <v>2.14</v>
      </c>
      <c r="F628" s="526">
        <v>1.540737</v>
      </c>
      <c r="G628" s="526">
        <v>0.32</v>
      </c>
      <c r="H628" s="526">
        <v>1.25</v>
      </c>
      <c r="I628" s="526">
        <v>0.26</v>
      </c>
      <c r="J628" s="526">
        <v>6.15</v>
      </c>
      <c r="K628" s="526">
        <v>0.43</v>
      </c>
      <c r="L628" s="526">
        <v>39.408473221422781</v>
      </c>
    </row>
    <row r="629" spans="1:12" x14ac:dyDescent="0.25">
      <c r="A629" s="37">
        <v>909345</v>
      </c>
      <c r="B629" s="39">
        <v>76.95234658816004</v>
      </c>
      <c r="C629" s="526"/>
      <c r="D629" s="526">
        <v>8.1300000000000008</v>
      </c>
      <c r="E629" s="526">
        <v>3.98</v>
      </c>
      <c r="F629" s="526">
        <v>3.7537956000000001</v>
      </c>
      <c r="G629" s="526">
        <v>2.82</v>
      </c>
      <c r="H629" s="526">
        <v>2.39</v>
      </c>
      <c r="I629" s="526">
        <v>0.31</v>
      </c>
      <c r="J629" s="526">
        <v>2.0699999999999998</v>
      </c>
      <c r="K629" s="526">
        <v>0.61</v>
      </c>
      <c r="L629" s="526">
        <v>83.190257536434444</v>
      </c>
    </row>
    <row r="630" spans="1:12" x14ac:dyDescent="0.25">
      <c r="A630" s="37">
        <v>909346</v>
      </c>
      <c r="B630" s="39">
        <v>80.131534796322399</v>
      </c>
      <c r="C630" s="526"/>
      <c r="D630" s="526">
        <v>8.01</v>
      </c>
      <c r="E630" s="526">
        <v>2.96</v>
      </c>
      <c r="F630" s="526">
        <v>3.1655142000000001</v>
      </c>
      <c r="G630" s="526">
        <v>2.79</v>
      </c>
      <c r="H630" s="526">
        <v>2.4300000000000002</v>
      </c>
      <c r="I630" s="526">
        <v>0.25</v>
      </c>
      <c r="J630" s="526">
        <v>1.94</v>
      </c>
      <c r="K630" s="526">
        <v>0.63</v>
      </c>
      <c r="L630" s="526">
        <v>83.849690185888477</v>
      </c>
    </row>
    <row r="631" spans="1:12" x14ac:dyDescent="0.25">
      <c r="A631" s="37">
        <v>909347</v>
      </c>
      <c r="B631" s="39">
        <v>72.542102709820497</v>
      </c>
      <c r="C631" s="526"/>
      <c r="D631" s="526">
        <v>7.42</v>
      </c>
      <c r="E631" s="526">
        <v>5.2</v>
      </c>
      <c r="F631" s="526">
        <v>4.0899564000000002</v>
      </c>
      <c r="G631" s="526">
        <v>0.99</v>
      </c>
      <c r="H631" s="526">
        <v>1.97</v>
      </c>
      <c r="I631" s="526">
        <v>0.18</v>
      </c>
      <c r="J631" s="526">
        <v>2.09</v>
      </c>
      <c r="K631" s="526">
        <v>0.82</v>
      </c>
      <c r="L631" s="526">
        <v>84.635364635364667</v>
      </c>
    </row>
    <row r="632" spans="1:12" x14ac:dyDescent="0.25">
      <c r="A632" s="37">
        <v>909348</v>
      </c>
      <c r="B632" s="39">
        <v>88.886794897466402</v>
      </c>
      <c r="C632" s="526"/>
      <c r="D632" s="526">
        <v>6.22</v>
      </c>
      <c r="E632" s="526">
        <v>0.157</v>
      </c>
      <c r="F632" s="526">
        <v>0.42020100000000005</v>
      </c>
      <c r="G632" s="526">
        <v>0.02</v>
      </c>
      <c r="H632" s="526">
        <v>0.05</v>
      </c>
      <c r="I632" s="526">
        <v>0.03</v>
      </c>
      <c r="J632" s="526">
        <v>1.54</v>
      </c>
      <c r="K632" s="526">
        <v>0.41</v>
      </c>
      <c r="L632" s="526">
        <v>89.866080351788966</v>
      </c>
    </row>
    <row r="633" spans="1:12" x14ac:dyDescent="0.25">
      <c r="A633" s="37">
        <v>909349</v>
      </c>
      <c r="B633" s="39">
        <v>80.696343535046935</v>
      </c>
      <c r="C633" s="526"/>
      <c r="D633" s="526">
        <v>6.76</v>
      </c>
      <c r="E633" s="526">
        <v>0.23400000000000001</v>
      </c>
      <c r="F633" s="526">
        <v>0.84040200000000009</v>
      </c>
      <c r="G633" s="526">
        <v>0.05</v>
      </c>
      <c r="H633" s="526">
        <v>0.14000000000000001</v>
      </c>
      <c r="I633" s="526">
        <v>0.05</v>
      </c>
      <c r="J633" s="526">
        <v>2.85</v>
      </c>
      <c r="K633" s="526">
        <v>0.71</v>
      </c>
      <c r="L633" s="526">
        <v>76.669332267093125</v>
      </c>
    </row>
    <row r="634" spans="1:12" x14ac:dyDescent="0.25">
      <c r="A634" s="37">
        <v>909350</v>
      </c>
      <c r="B634" s="39">
        <v>86.514708181635442</v>
      </c>
      <c r="C634" s="526"/>
      <c r="D634" s="526">
        <v>7.94</v>
      </c>
      <c r="E634" s="526">
        <v>4.05</v>
      </c>
      <c r="F634" s="526">
        <v>3.3335946000000001</v>
      </c>
      <c r="G634" s="526">
        <v>1.9</v>
      </c>
      <c r="H634" s="526">
        <v>2.4500000000000002</v>
      </c>
      <c r="I634" s="526">
        <v>0.38</v>
      </c>
      <c r="J634" s="526">
        <v>2.04</v>
      </c>
      <c r="K634" s="526">
        <v>0.6</v>
      </c>
      <c r="L634" s="526">
        <v>85.014985014985015</v>
      </c>
    </row>
    <row r="635" spans="1:12" x14ac:dyDescent="0.25">
      <c r="A635" s="37">
        <v>909351</v>
      </c>
      <c r="B635" s="39">
        <v>59.736766981684873</v>
      </c>
      <c r="C635" s="526"/>
      <c r="D635" s="526">
        <v>8.4700000000000006</v>
      </c>
      <c r="E635" s="526">
        <v>5</v>
      </c>
      <c r="F635" s="526">
        <v>1.9609380000000001</v>
      </c>
      <c r="G635" s="526">
        <v>1.94</v>
      </c>
      <c r="H635" s="526">
        <v>2.38</v>
      </c>
      <c r="I635" s="526">
        <v>0.54</v>
      </c>
      <c r="J635" s="526">
        <v>6.97</v>
      </c>
      <c r="K635" s="526">
        <v>1.55</v>
      </c>
      <c r="L635" s="526">
        <v>41.291741651669668</v>
      </c>
    </row>
    <row r="636" spans="1:12" x14ac:dyDescent="0.25">
      <c r="A636" s="37">
        <v>909352</v>
      </c>
      <c r="B636" s="39">
        <v>63.260538150773691</v>
      </c>
      <c r="C636" s="526"/>
      <c r="D636" s="526">
        <v>8.83</v>
      </c>
      <c r="E636" s="526">
        <v>4.8</v>
      </c>
      <c r="F636" s="526">
        <v>1.8768978000000001</v>
      </c>
      <c r="G636" s="526">
        <v>1.87</v>
      </c>
      <c r="H636" s="526">
        <v>2.4300000000000002</v>
      </c>
      <c r="I636" s="526">
        <v>0.48</v>
      </c>
      <c r="J636" s="526">
        <v>8.06</v>
      </c>
      <c r="K636" s="526">
        <v>1.87</v>
      </c>
      <c r="L636" s="526">
        <v>39.884046381447455</v>
      </c>
    </row>
    <row r="637" spans="1:12" x14ac:dyDescent="0.25">
      <c r="A637" s="37">
        <v>909353</v>
      </c>
      <c r="B637" s="39">
        <v>62.563545224681704</v>
      </c>
      <c r="C637" s="526"/>
      <c r="D637" s="526">
        <v>9.1199999999999992</v>
      </c>
      <c r="E637" s="526">
        <v>4.47</v>
      </c>
      <c r="F637" s="526">
        <v>1.8768978000000001</v>
      </c>
      <c r="G637" s="526">
        <v>2.13</v>
      </c>
      <c r="H637" s="526">
        <v>2.5</v>
      </c>
      <c r="I637" s="526">
        <v>0.47</v>
      </c>
      <c r="J637" s="526">
        <v>8.24</v>
      </c>
      <c r="K637" s="526">
        <v>1.98</v>
      </c>
      <c r="L637" s="526">
        <v>41.914851089346413</v>
      </c>
    </row>
    <row r="638" spans="1:12" x14ac:dyDescent="0.25">
      <c r="A638" s="37">
        <v>909354</v>
      </c>
      <c r="B638" s="39">
        <v>33.173050652969785</v>
      </c>
      <c r="C638" s="526"/>
      <c r="D638" s="526">
        <v>6.5</v>
      </c>
      <c r="E638" s="526">
        <v>1.51</v>
      </c>
      <c r="F638" s="526">
        <v>2.4091524</v>
      </c>
      <c r="G638" s="526">
        <v>0.42</v>
      </c>
      <c r="H638" s="526">
        <v>1.74</v>
      </c>
      <c r="I638" s="526">
        <v>0.12</v>
      </c>
      <c r="J638" s="526">
        <v>2.11</v>
      </c>
      <c r="K638" s="526">
        <v>0.39</v>
      </c>
      <c r="L638" s="526">
        <v>77.910924705412526</v>
      </c>
    </row>
    <row r="639" spans="1:12" x14ac:dyDescent="0.25">
      <c r="A639" s="37">
        <v>909355</v>
      </c>
      <c r="B639" s="39">
        <v>49.554668496226526</v>
      </c>
      <c r="C639" s="526"/>
      <c r="D639" s="526">
        <v>6.67</v>
      </c>
      <c r="E639" s="526">
        <v>1.71</v>
      </c>
      <c r="F639" s="526">
        <v>1.5967638000000002</v>
      </c>
      <c r="G639" s="526">
        <v>0.2</v>
      </c>
      <c r="H639" s="526">
        <v>1.1000000000000001</v>
      </c>
      <c r="I639" s="526">
        <v>0.17</v>
      </c>
      <c r="J639" s="526">
        <v>1.9</v>
      </c>
      <c r="K639" s="526">
        <v>0.35</v>
      </c>
      <c r="L639" s="526">
        <v>68.044737367685357</v>
      </c>
    </row>
    <row r="640" spans="1:12" x14ac:dyDescent="0.25">
      <c r="A640" s="628">
        <v>909356</v>
      </c>
      <c r="B640" s="632">
        <v>78.943252265140686</v>
      </c>
      <c r="C640" s="631"/>
      <c r="D640" s="631"/>
      <c r="E640" s="631"/>
      <c r="F640" s="631"/>
      <c r="G640" s="631"/>
      <c r="H640" s="631"/>
      <c r="I640" s="631"/>
      <c r="J640" s="631"/>
      <c r="K640" s="631"/>
      <c r="L640" s="631">
        <v>96.264482620854878</v>
      </c>
    </row>
    <row r="641" spans="1:16" x14ac:dyDescent="0.25">
      <c r="A641" s="628">
        <v>909357</v>
      </c>
      <c r="B641" s="632">
        <v>61.317180821648762</v>
      </c>
      <c r="C641" s="631"/>
      <c r="D641" s="631"/>
      <c r="E641" s="631"/>
      <c r="F641" s="631"/>
      <c r="G641" s="631"/>
      <c r="H641" s="631"/>
      <c r="I641" s="631"/>
      <c r="J641" s="631"/>
      <c r="K641" s="631"/>
      <c r="L641" s="631">
        <v>37.649880095923308</v>
      </c>
    </row>
    <row r="642" spans="1:16" x14ac:dyDescent="0.25">
      <c r="A642" s="37">
        <v>909358</v>
      </c>
      <c r="B642" s="39">
        <v>68.314585647460063</v>
      </c>
      <c r="C642" s="526"/>
      <c r="D642" s="526">
        <v>8.8000000000000007</v>
      </c>
      <c r="E642" s="526">
        <v>2.13</v>
      </c>
      <c r="F642" s="526"/>
      <c r="G642" s="526"/>
      <c r="H642" s="526"/>
      <c r="I642" s="526"/>
      <c r="J642" s="526"/>
      <c r="K642" s="526"/>
      <c r="L642" s="526">
        <v>55.588882223555366</v>
      </c>
    </row>
    <row r="643" spans="1:16" x14ac:dyDescent="0.25">
      <c r="A643" s="37">
        <v>909359</v>
      </c>
      <c r="B643" s="39">
        <v>27</v>
      </c>
      <c r="C643" s="526"/>
      <c r="D643" s="36">
        <v>8.69</v>
      </c>
      <c r="E643" s="36">
        <v>2.2799999999999998</v>
      </c>
      <c r="F643" s="36">
        <v>2.1010050000000002</v>
      </c>
      <c r="G643" s="36">
        <v>1.68</v>
      </c>
      <c r="H643" s="36">
        <v>2.25</v>
      </c>
      <c r="I643" s="36">
        <v>0.25</v>
      </c>
      <c r="J643" s="36">
        <v>9.73</v>
      </c>
      <c r="K643" s="36">
        <v>0.82</v>
      </c>
      <c r="L643" s="526">
        <v>58.473221422861648</v>
      </c>
      <c r="M643" s="35">
        <v>417.91</v>
      </c>
      <c r="N643" s="35">
        <v>144.75</v>
      </c>
      <c r="O643" s="35">
        <v>317.5</v>
      </c>
      <c r="P643" s="35">
        <v>1845.69</v>
      </c>
    </row>
    <row r="644" spans="1:16" x14ac:dyDescent="0.25">
      <c r="A644" s="37">
        <v>909360</v>
      </c>
      <c r="B644" s="39">
        <v>28</v>
      </c>
      <c r="C644" s="526"/>
      <c r="D644" s="36">
        <v>8.64</v>
      </c>
      <c r="E644" s="36">
        <v>2.17</v>
      </c>
      <c r="F644" s="36">
        <v>1.9049112000000001</v>
      </c>
      <c r="G644" s="36">
        <v>1.59</v>
      </c>
      <c r="H644" s="36">
        <v>2.34</v>
      </c>
      <c r="I644" s="36">
        <v>0.28999999999999998</v>
      </c>
      <c r="J644" s="36">
        <v>9.15</v>
      </c>
      <c r="K644" s="36">
        <v>0.78</v>
      </c>
      <c r="L644" s="526">
        <v>59.164501299220483</v>
      </c>
      <c r="M644" s="35">
        <v>432.68</v>
      </c>
      <c r="N644" s="35">
        <v>135.54</v>
      </c>
      <c r="O644" s="35">
        <v>295.42</v>
      </c>
      <c r="P644" s="35">
        <v>1647.82</v>
      </c>
    </row>
    <row r="645" spans="1:16" x14ac:dyDescent="0.25">
      <c r="A645" s="603">
        <v>909361</v>
      </c>
      <c r="B645" s="604">
        <v>58.283137835076957</v>
      </c>
      <c r="C645" s="605"/>
      <c r="D645" s="605"/>
      <c r="E645" s="605"/>
      <c r="F645" s="605"/>
      <c r="G645" s="605"/>
      <c r="H645" s="605"/>
      <c r="I645" s="605"/>
      <c r="J645" s="605"/>
      <c r="K645" s="605"/>
      <c r="L645" s="606">
        <v>41.175294823106178</v>
      </c>
    </row>
    <row r="646" spans="1:16" x14ac:dyDescent="0.25">
      <c r="A646" s="633">
        <v>909362</v>
      </c>
      <c r="B646" s="648">
        <v>27.866328083887538</v>
      </c>
      <c r="C646" s="634"/>
      <c r="D646" s="635">
        <v>9.36</v>
      </c>
      <c r="E646" s="635">
        <v>3.26</v>
      </c>
      <c r="F646" s="635">
        <v>1.88</v>
      </c>
      <c r="G646" s="636">
        <v>0.83799999999999997</v>
      </c>
      <c r="H646" s="636">
        <v>2.1429999999999998</v>
      </c>
      <c r="I646" s="636">
        <v>0.71699999999999997</v>
      </c>
      <c r="J646" s="636">
        <v>3.4289999999999998</v>
      </c>
      <c r="K646" s="636">
        <v>0.75</v>
      </c>
      <c r="L646" s="648">
        <v>67.61295481807268</v>
      </c>
      <c r="M646" s="36"/>
    </row>
    <row r="647" spans="1:16" x14ac:dyDescent="0.25">
      <c r="A647" s="633">
        <v>909363</v>
      </c>
      <c r="B647" s="648">
        <v>57.484900776531489</v>
      </c>
      <c r="C647" s="634"/>
      <c r="D647" s="635">
        <v>8.32</v>
      </c>
      <c r="E647" s="635">
        <v>4.0999999999999996</v>
      </c>
      <c r="F647" s="635">
        <v>1.93</v>
      </c>
      <c r="G647" s="636">
        <v>0.70399999999999996</v>
      </c>
      <c r="H647" s="636">
        <v>2.181</v>
      </c>
      <c r="I647" s="636">
        <v>0.49099999999999999</v>
      </c>
      <c r="J647" s="636">
        <v>3.5390000000000001</v>
      </c>
      <c r="K647" s="636">
        <v>0.77600000000000002</v>
      </c>
      <c r="L647" s="648">
        <v>62.754898040783694</v>
      </c>
      <c r="M647" s="36"/>
    </row>
    <row r="648" spans="1:16" x14ac:dyDescent="0.25">
      <c r="A648" s="633">
        <v>909364</v>
      </c>
      <c r="B648" s="648">
        <v>37.728197783975283</v>
      </c>
      <c r="C648" s="634"/>
      <c r="D648" s="635">
        <v>9.44</v>
      </c>
      <c r="E648" s="635">
        <v>2.61</v>
      </c>
      <c r="F648" s="635">
        <v>1.51</v>
      </c>
      <c r="G648" s="636">
        <v>0.59099999999999997</v>
      </c>
      <c r="H648" s="636">
        <v>2.5089999999999999</v>
      </c>
      <c r="I648" s="636">
        <v>0.59199999999999997</v>
      </c>
      <c r="J648" s="636">
        <v>3.5880000000000001</v>
      </c>
      <c r="K648" s="636">
        <v>0.81</v>
      </c>
      <c r="L648" s="648">
        <v>53.9</v>
      </c>
      <c r="M648" s="36"/>
    </row>
    <row r="649" spans="1:16" x14ac:dyDescent="0.25">
      <c r="A649" s="633">
        <v>909365</v>
      </c>
      <c r="B649" s="648">
        <v>49.998354478287347</v>
      </c>
      <c r="C649" s="634"/>
      <c r="D649" s="635">
        <v>9.09</v>
      </c>
      <c r="E649" s="635">
        <v>6.26</v>
      </c>
      <c r="F649" s="635">
        <v>1.74</v>
      </c>
      <c r="G649" s="636">
        <v>0.45600000000000002</v>
      </c>
      <c r="H649" s="636">
        <v>2.2589999999999999</v>
      </c>
      <c r="I649" s="636">
        <v>0.57599999999999996</v>
      </c>
      <c r="J649" s="636">
        <v>4.3419999999999996</v>
      </c>
      <c r="K649" s="636">
        <v>0.66800000000000004</v>
      </c>
      <c r="L649" s="648">
        <v>55</v>
      </c>
      <c r="M649" s="36"/>
    </row>
    <row r="650" spans="1:16" x14ac:dyDescent="0.25">
      <c r="A650" s="633">
        <v>909366</v>
      </c>
      <c r="B650" s="648">
        <v>59.25251998771418</v>
      </c>
      <c r="C650" s="634"/>
      <c r="D650" s="635">
        <v>9.49</v>
      </c>
      <c r="E650" s="635">
        <v>3.79</v>
      </c>
      <c r="F650" s="635">
        <v>1.91</v>
      </c>
      <c r="G650" s="636">
        <v>1.004</v>
      </c>
      <c r="H650" s="636">
        <v>2.5640000000000001</v>
      </c>
      <c r="I650" s="636">
        <v>0.498</v>
      </c>
      <c r="J650" s="636">
        <v>6.5880000000000001</v>
      </c>
      <c r="K650" s="636">
        <v>1.0409999999999999</v>
      </c>
      <c r="L650" s="648">
        <v>41.4</v>
      </c>
      <c r="M650" s="36"/>
    </row>
    <row r="651" spans="1:16" x14ac:dyDescent="0.25">
      <c r="A651" s="633">
        <v>909367</v>
      </c>
      <c r="B651" s="648">
        <v>58.558062443648993</v>
      </c>
      <c r="C651" s="634"/>
      <c r="D651" s="635">
        <v>9.56</v>
      </c>
      <c r="E651" s="635">
        <v>4.29</v>
      </c>
      <c r="F651" s="635">
        <v>1.65</v>
      </c>
      <c r="G651" s="636">
        <v>0.74099999999999999</v>
      </c>
      <c r="H651" s="636">
        <v>2.722</v>
      </c>
      <c r="I651" s="636">
        <v>0.53800000000000003</v>
      </c>
      <c r="J651" s="636">
        <v>7.0350000000000001</v>
      </c>
      <c r="K651" s="636">
        <v>1.0409999999999999</v>
      </c>
      <c r="L651" s="648">
        <v>35.799999999999997</v>
      </c>
      <c r="M651" s="36"/>
    </row>
    <row r="652" spans="1:16" x14ac:dyDescent="0.25">
      <c r="A652" s="633">
        <v>909368</v>
      </c>
      <c r="B652" s="648">
        <v>65.249856404365303</v>
      </c>
      <c r="C652" s="634"/>
      <c r="D652" s="635">
        <v>7.87</v>
      </c>
      <c r="E652" s="635">
        <v>1.51</v>
      </c>
      <c r="F652" s="635">
        <v>4.99</v>
      </c>
      <c r="G652" s="636">
        <v>2.339</v>
      </c>
      <c r="H652" s="636">
        <v>1.714</v>
      </c>
      <c r="I652" s="636">
        <v>9.4E-2</v>
      </c>
      <c r="J652" s="636">
        <v>11.52</v>
      </c>
      <c r="K652" s="636">
        <v>0.68300000000000005</v>
      </c>
      <c r="L652" s="648">
        <v>60.7</v>
      </c>
      <c r="M652" s="36"/>
    </row>
    <row r="653" spans="1:16" x14ac:dyDescent="0.25">
      <c r="A653" s="633">
        <v>909369</v>
      </c>
      <c r="B653" s="648">
        <v>90.023003149662046</v>
      </c>
      <c r="C653" s="634"/>
      <c r="D653" s="635">
        <v>7.59</v>
      </c>
      <c r="E653" s="635">
        <v>4.1900000000000004</v>
      </c>
      <c r="F653" s="635">
        <v>4.12</v>
      </c>
      <c r="G653" s="636">
        <v>1.7270000000000001</v>
      </c>
      <c r="H653" s="636">
        <v>1.9950000000000001</v>
      </c>
      <c r="I653" s="636">
        <v>0.128</v>
      </c>
      <c r="J653" s="636">
        <v>8.9619999999999997</v>
      </c>
      <c r="K653" s="636">
        <v>0.58499999999999996</v>
      </c>
      <c r="L653" s="648">
        <v>65.7</v>
      </c>
      <c r="M653" s="36"/>
    </row>
    <row r="654" spans="1:16" x14ac:dyDescent="0.25">
      <c r="A654" s="633">
        <v>909370</v>
      </c>
      <c r="B654" s="648">
        <v>86.258264416081786</v>
      </c>
      <c r="C654" s="634"/>
      <c r="D654" s="634">
        <v>8.16</v>
      </c>
      <c r="E654" s="634">
        <v>2.57</v>
      </c>
      <c r="F654" s="634">
        <v>4.17</v>
      </c>
      <c r="G654" s="636">
        <v>2.254</v>
      </c>
      <c r="H654" s="636">
        <v>2.2429999999999999</v>
      </c>
      <c r="I654" s="636">
        <v>0.13300000000000001</v>
      </c>
      <c r="J654" s="636">
        <v>9.6319999999999997</v>
      </c>
      <c r="K654" s="636">
        <v>0.67700000000000005</v>
      </c>
      <c r="L654" s="648">
        <v>56.6</v>
      </c>
      <c r="M654" s="36"/>
    </row>
    <row r="655" spans="1:16" x14ac:dyDescent="0.25">
      <c r="A655" s="628">
        <v>909371</v>
      </c>
      <c r="B655" s="629">
        <f>100-39.08</f>
        <v>60.92</v>
      </c>
      <c r="C655" s="630"/>
      <c r="D655" s="630"/>
      <c r="E655" s="630"/>
      <c r="F655" s="630"/>
      <c r="G655" s="630"/>
      <c r="H655" s="630"/>
      <c r="I655" s="630"/>
      <c r="J655" s="630"/>
      <c r="K655" s="630"/>
      <c r="L655" s="631">
        <v>57.1171890596925</v>
      </c>
      <c r="M655" s="526"/>
    </row>
    <row r="656" spans="1:16" x14ac:dyDescent="0.25">
      <c r="A656" s="748">
        <v>909372</v>
      </c>
      <c r="B656" s="749">
        <v>64</v>
      </c>
      <c r="C656" s="749"/>
      <c r="D656" s="749">
        <v>8.5</v>
      </c>
      <c r="E656" s="749">
        <v>2.12</v>
      </c>
      <c r="F656" s="749">
        <v>1.74</v>
      </c>
      <c r="G656" s="751">
        <v>0.28999999999999998</v>
      </c>
      <c r="H656" s="751">
        <v>0.79</v>
      </c>
      <c r="I656" s="751">
        <v>0.27</v>
      </c>
      <c r="J656" s="751">
        <v>5.59</v>
      </c>
      <c r="K656" s="751">
        <v>0.44</v>
      </c>
      <c r="L656" s="750">
        <v>39</v>
      </c>
    </row>
    <row r="657" spans="1:16" ht="15.95" customHeight="1" x14ac:dyDescent="0.25">
      <c r="A657" s="748">
        <v>909373</v>
      </c>
      <c r="B657" s="749">
        <v>78</v>
      </c>
      <c r="C657" s="749"/>
      <c r="D657" s="749">
        <v>8.56</v>
      </c>
      <c r="E657" s="749">
        <v>3.17</v>
      </c>
      <c r="F657" s="749">
        <v>4.82</v>
      </c>
      <c r="G657" s="751">
        <v>2.02</v>
      </c>
      <c r="H657" s="751">
        <v>2.4</v>
      </c>
      <c r="I657" s="751">
        <v>0.13</v>
      </c>
      <c r="J657" s="751">
        <v>10.25</v>
      </c>
      <c r="K657" s="751">
        <v>0.61</v>
      </c>
      <c r="L657" s="749">
        <v>64.8</v>
      </c>
    </row>
    <row r="658" spans="1:16" s="747" customFormat="1" ht="15.95" customHeight="1" x14ac:dyDescent="0.25">
      <c r="A658" s="745">
        <v>909374</v>
      </c>
      <c r="B658" s="746">
        <v>62</v>
      </c>
      <c r="J658" s="705"/>
      <c r="L658" s="747">
        <v>46.6</v>
      </c>
    </row>
    <row r="659" spans="1:16" x14ac:dyDescent="0.25">
      <c r="A659" s="748">
        <v>909375</v>
      </c>
      <c r="B659" s="749">
        <v>62</v>
      </c>
      <c r="C659" s="749"/>
      <c r="D659" s="749">
        <v>9.41</v>
      </c>
      <c r="E659" s="749">
        <v>4.05</v>
      </c>
      <c r="F659" s="749">
        <v>2.0699999999999998</v>
      </c>
      <c r="G659" s="751">
        <v>1.03</v>
      </c>
      <c r="H659" s="751">
        <v>2.5099999999999998</v>
      </c>
      <c r="I659" s="751">
        <v>0.44</v>
      </c>
      <c r="J659" s="749">
        <v>6.18</v>
      </c>
      <c r="K659" s="751">
        <v>0.93</v>
      </c>
      <c r="L659" s="749">
        <v>47.1</v>
      </c>
    </row>
    <row r="660" spans="1:16" x14ac:dyDescent="0.25">
      <c r="A660" s="37">
        <v>909376</v>
      </c>
      <c r="B660" s="35">
        <v>54</v>
      </c>
      <c r="D660" s="35">
        <v>9.42</v>
      </c>
      <c r="E660" s="35">
        <v>2.37</v>
      </c>
      <c r="F660" s="35">
        <v>2.0499999999999998</v>
      </c>
      <c r="G660" s="754">
        <v>0.51</v>
      </c>
      <c r="H660" s="754">
        <v>2.15</v>
      </c>
      <c r="I660" s="754">
        <v>0.11</v>
      </c>
      <c r="J660" s="35">
        <v>5.8</v>
      </c>
      <c r="K660" s="754">
        <v>1.91</v>
      </c>
      <c r="L660" s="35">
        <v>49.7</v>
      </c>
    </row>
    <row r="661" spans="1:16" x14ac:dyDescent="0.25">
      <c r="A661" s="37">
        <v>909377</v>
      </c>
      <c r="B661" s="35">
        <v>36</v>
      </c>
      <c r="D661" s="35">
        <v>9.1199999999999992</v>
      </c>
      <c r="E661" s="35">
        <v>0.83</v>
      </c>
      <c r="F661" s="35">
        <v>1.46</v>
      </c>
      <c r="G661" s="754">
        <v>0.34</v>
      </c>
      <c r="H661" s="754">
        <v>1.27</v>
      </c>
      <c r="I661" s="754">
        <v>0.49</v>
      </c>
      <c r="J661" s="35">
        <v>1.47</v>
      </c>
      <c r="K661" s="754">
        <v>0.33</v>
      </c>
      <c r="L661" s="35">
        <v>86.4</v>
      </c>
    </row>
    <row r="662" spans="1:16" x14ac:dyDescent="0.25">
      <c r="A662" s="37">
        <v>909378</v>
      </c>
      <c r="B662" s="35">
        <v>33</v>
      </c>
      <c r="D662" s="35">
        <v>8.25</v>
      </c>
      <c r="E662" s="35">
        <v>1.9</v>
      </c>
      <c r="F662" s="35">
        <v>1.74</v>
      </c>
      <c r="G662" s="754">
        <v>0.44</v>
      </c>
      <c r="H662" s="754">
        <v>1.58</v>
      </c>
      <c r="I662" s="754">
        <v>0.56000000000000005</v>
      </c>
      <c r="J662" s="35">
        <v>4.12</v>
      </c>
      <c r="K662" s="754">
        <v>0.84</v>
      </c>
      <c r="L662" s="35">
        <v>48</v>
      </c>
    </row>
    <row r="663" spans="1:16" x14ac:dyDescent="0.25">
      <c r="A663" s="748">
        <v>909379</v>
      </c>
      <c r="B663" s="749">
        <v>73</v>
      </c>
      <c r="C663" s="749"/>
      <c r="D663" s="749">
        <v>9.69</v>
      </c>
      <c r="E663" s="749">
        <v>4.0599999999999996</v>
      </c>
      <c r="F663" s="749">
        <v>1.74</v>
      </c>
      <c r="G663" s="751">
        <v>0.7</v>
      </c>
      <c r="H663" s="751">
        <v>2.68</v>
      </c>
      <c r="I663" s="751">
        <v>0.48</v>
      </c>
      <c r="J663" s="749">
        <v>7.31</v>
      </c>
      <c r="K663" s="751">
        <v>1.07</v>
      </c>
      <c r="L663" s="749">
        <v>46.8</v>
      </c>
    </row>
    <row r="664" spans="1:16" x14ac:dyDescent="0.25">
      <c r="A664" s="768">
        <v>909380</v>
      </c>
      <c r="B664" s="769">
        <f>100-35.71</f>
        <v>64.289999999999992</v>
      </c>
      <c r="C664" s="770"/>
      <c r="D664" s="770"/>
      <c r="E664" s="770"/>
      <c r="F664" s="770"/>
      <c r="G664" s="770"/>
      <c r="H664" s="770"/>
      <c r="I664" s="770"/>
      <c r="J664" s="770"/>
      <c r="K664" s="770"/>
      <c r="L664" s="770">
        <v>48.9</v>
      </c>
    </row>
    <row r="665" spans="1:16" x14ac:dyDescent="0.25">
      <c r="A665" s="768">
        <v>909381</v>
      </c>
      <c r="B665" s="769">
        <f>100-36.06</f>
        <v>63.94</v>
      </c>
      <c r="C665" s="770"/>
      <c r="D665" s="770"/>
      <c r="E665" s="770"/>
      <c r="F665" s="770"/>
      <c r="G665" s="770"/>
      <c r="H665" s="770"/>
      <c r="I665" s="770"/>
      <c r="J665" s="770"/>
      <c r="K665" s="770"/>
      <c r="L665" s="770">
        <v>49.3</v>
      </c>
    </row>
    <row r="666" spans="1:16" x14ac:dyDescent="0.25">
      <c r="A666" s="37">
        <v>909382</v>
      </c>
      <c r="B666" s="34">
        <v>39</v>
      </c>
      <c r="D666" s="35">
        <v>9.1199999999999992</v>
      </c>
      <c r="E666" s="35">
        <v>1.23</v>
      </c>
      <c r="F666" s="35">
        <v>1.91</v>
      </c>
      <c r="G666" s="35">
        <v>0.61</v>
      </c>
      <c r="H666" s="35">
        <v>1.38</v>
      </c>
      <c r="I666" s="35">
        <v>0.28999999999999998</v>
      </c>
      <c r="J666" s="35">
        <v>3.31</v>
      </c>
      <c r="K666" s="35">
        <v>0.65</v>
      </c>
      <c r="L666" s="35">
        <v>70.7</v>
      </c>
      <c r="M666" s="35">
        <v>67.48</v>
      </c>
      <c r="N666" s="35">
        <v>16.21</v>
      </c>
      <c r="O666" s="35">
        <v>493.15</v>
      </c>
      <c r="P666" s="35">
        <v>21618.73</v>
      </c>
    </row>
    <row r="667" spans="1:16" x14ac:dyDescent="0.25">
      <c r="A667" s="37">
        <v>909383</v>
      </c>
      <c r="B667" s="34">
        <v>66</v>
      </c>
      <c r="D667" s="35">
        <v>7.1</v>
      </c>
      <c r="E667" s="35">
        <v>0.93500000000000005</v>
      </c>
      <c r="F667" s="35">
        <v>2.13</v>
      </c>
      <c r="G667" s="35">
        <v>0.25</v>
      </c>
      <c r="H667" s="35">
        <v>0.38</v>
      </c>
      <c r="I667" s="35">
        <v>0.16</v>
      </c>
      <c r="J667" s="35">
        <v>2.23</v>
      </c>
      <c r="K667" s="35">
        <v>0.18</v>
      </c>
      <c r="L667" s="35">
        <v>63.5</v>
      </c>
      <c r="M667" s="35">
        <v>45.99</v>
      </c>
      <c r="N667" s="35">
        <v>36.36</v>
      </c>
      <c r="O667" s="35">
        <v>403.09</v>
      </c>
      <c r="P667" s="35">
        <v>27404.720000000001</v>
      </c>
    </row>
    <row r="668" spans="1:16" x14ac:dyDescent="0.25">
      <c r="A668" s="37">
        <v>909384</v>
      </c>
      <c r="B668" s="34">
        <v>56</v>
      </c>
      <c r="D668" s="35">
        <v>8.84</v>
      </c>
      <c r="E668" s="35">
        <v>16.52</v>
      </c>
      <c r="F668" s="35">
        <v>2.19</v>
      </c>
      <c r="G668" s="35">
        <v>1.49</v>
      </c>
      <c r="H668" s="35">
        <v>1.75</v>
      </c>
      <c r="I668" s="35">
        <v>3.37</v>
      </c>
      <c r="J668" s="35">
        <v>2.61</v>
      </c>
      <c r="K668" s="35">
        <v>0.37</v>
      </c>
      <c r="L668" s="35">
        <v>67.3</v>
      </c>
      <c r="M668" s="35">
        <v>59.56</v>
      </c>
      <c r="N668" s="36">
        <v>20</v>
      </c>
      <c r="O668" s="35">
        <v>242.7</v>
      </c>
      <c r="P668" s="35">
        <v>15257.11</v>
      </c>
    </row>
    <row r="669" spans="1:16" x14ac:dyDescent="0.25">
      <c r="A669" s="37">
        <v>909385</v>
      </c>
      <c r="B669" s="34">
        <v>84</v>
      </c>
      <c r="D669" s="35">
        <v>7.64</v>
      </c>
      <c r="E669" s="35">
        <v>7.92</v>
      </c>
      <c r="F669" s="35">
        <v>1.26</v>
      </c>
      <c r="G669" s="35">
        <v>1.84</v>
      </c>
      <c r="H669" s="35">
        <v>1.34</v>
      </c>
      <c r="I669" s="35">
        <v>0.53</v>
      </c>
      <c r="J669" s="35">
        <v>9.1199999999999992</v>
      </c>
      <c r="K669" s="35">
        <v>0.72</v>
      </c>
      <c r="L669" s="35">
        <v>18.399999999999999</v>
      </c>
      <c r="M669" s="35">
        <v>187.51</v>
      </c>
      <c r="N669" s="35">
        <v>32.74</v>
      </c>
      <c r="O669" s="35">
        <v>998.16</v>
      </c>
      <c r="P669" s="35">
        <v>47577.29</v>
      </c>
    </row>
    <row r="670" spans="1:16" x14ac:dyDescent="0.25">
      <c r="A670" s="37">
        <v>909386</v>
      </c>
      <c r="B670" s="34">
        <v>60</v>
      </c>
      <c r="D670" s="35">
        <v>8.3800000000000008</v>
      </c>
      <c r="E670" s="35">
        <v>8.61</v>
      </c>
      <c r="F670" s="35">
        <v>1.82</v>
      </c>
      <c r="G670" s="35">
        <v>1.2</v>
      </c>
      <c r="H670" s="35">
        <v>2.5299999999999998</v>
      </c>
      <c r="I670" s="35">
        <v>1.61</v>
      </c>
      <c r="J670" s="35">
        <v>7.22</v>
      </c>
      <c r="K670" s="35">
        <v>0.75</v>
      </c>
      <c r="L670" s="35">
        <v>36.6</v>
      </c>
    </row>
    <row r="671" spans="1:16" x14ac:dyDescent="0.25">
      <c r="A671" s="37">
        <v>909387</v>
      </c>
      <c r="B671" s="34">
        <v>70</v>
      </c>
      <c r="D671" s="35">
        <v>8.77</v>
      </c>
      <c r="E671" s="35">
        <v>5.83</v>
      </c>
      <c r="F671" s="35">
        <v>2.27</v>
      </c>
      <c r="G671" s="35">
        <v>0.79</v>
      </c>
      <c r="H671" s="35">
        <v>1.94</v>
      </c>
      <c r="I671" s="35">
        <v>2.4700000000000002</v>
      </c>
      <c r="J671" s="35">
        <v>3.02</v>
      </c>
      <c r="K671" s="35">
        <v>0.83</v>
      </c>
      <c r="L671" s="35">
        <v>66.2</v>
      </c>
    </row>
    <row r="672" spans="1:16" x14ac:dyDescent="0.25">
      <c r="A672" s="745">
        <v>909388</v>
      </c>
      <c r="B672" s="777">
        <v>12</v>
      </c>
      <c r="C672" s="778"/>
      <c r="D672" s="778"/>
      <c r="E672" s="778"/>
      <c r="F672" s="778"/>
      <c r="G672" s="778"/>
      <c r="H672" s="778"/>
      <c r="I672" s="778"/>
      <c r="J672" s="778"/>
      <c r="K672" s="778"/>
      <c r="L672" s="778">
        <v>62.6</v>
      </c>
    </row>
    <row r="673" spans="1:12" x14ac:dyDescent="0.25">
      <c r="A673" s="37">
        <v>909389</v>
      </c>
      <c r="B673" s="34">
        <v>79</v>
      </c>
      <c r="D673" s="35">
        <v>6.92</v>
      </c>
      <c r="E673" s="35">
        <v>0.40400000000000003</v>
      </c>
      <c r="F673" s="35">
        <v>0.9</v>
      </c>
      <c r="G673" s="35">
        <v>0.32</v>
      </c>
      <c r="H673" s="35">
        <v>0.94</v>
      </c>
      <c r="I673" s="35">
        <v>0.08</v>
      </c>
      <c r="J673" s="35">
        <v>1.41</v>
      </c>
      <c r="K673" s="35">
        <v>0.14000000000000001</v>
      </c>
      <c r="L673" s="35">
        <v>90.7</v>
      </c>
    </row>
    <row r="674" spans="1:12" x14ac:dyDescent="0.25">
      <c r="A674" s="800">
        <v>909390</v>
      </c>
      <c r="B674" s="801">
        <v>44</v>
      </c>
      <c r="C674" s="801"/>
      <c r="D674" s="801">
        <v>5.35</v>
      </c>
      <c r="E674" s="802">
        <v>3.09</v>
      </c>
      <c r="F674" s="801">
        <v>1.1499999999999999</v>
      </c>
      <c r="G674" s="801">
        <v>0.77</v>
      </c>
      <c r="H674" s="801">
        <v>1.1599999999999999</v>
      </c>
      <c r="I674" s="801">
        <v>0.1</v>
      </c>
      <c r="J674" s="801">
        <v>1.63</v>
      </c>
      <c r="K674" s="801">
        <v>0.22</v>
      </c>
      <c r="L674" s="801">
        <v>66.7</v>
      </c>
    </row>
    <row r="675" spans="1:12" x14ac:dyDescent="0.25">
      <c r="A675" s="800">
        <v>909391</v>
      </c>
      <c r="B675" s="801">
        <v>66</v>
      </c>
      <c r="C675" s="801"/>
      <c r="D675" s="801">
        <v>8.4600000000000009</v>
      </c>
      <c r="E675" s="802">
        <v>3.88</v>
      </c>
      <c r="F675" s="801">
        <v>2.77</v>
      </c>
      <c r="G675" s="801">
        <v>1.45</v>
      </c>
      <c r="H675" s="801">
        <v>1.72</v>
      </c>
      <c r="I675" s="801">
        <v>0.32</v>
      </c>
      <c r="J675" s="801">
        <v>4.34</v>
      </c>
      <c r="K675" s="801">
        <v>2.42</v>
      </c>
      <c r="L675" s="801">
        <v>57.5</v>
      </c>
    </row>
    <row r="676" spans="1:12" x14ac:dyDescent="0.25">
      <c r="A676" s="800">
        <v>909392</v>
      </c>
      <c r="B676" s="801">
        <v>65</v>
      </c>
      <c r="C676" s="801"/>
      <c r="D676" s="801">
        <v>7.38</v>
      </c>
      <c r="E676" s="802">
        <v>2.6</v>
      </c>
      <c r="F676" s="801">
        <v>1.2</v>
      </c>
      <c r="G676" s="801">
        <v>0.85</v>
      </c>
      <c r="H676" s="801">
        <v>1.07</v>
      </c>
      <c r="I676" s="801">
        <v>0.25</v>
      </c>
      <c r="J676" s="801">
        <v>2.39</v>
      </c>
      <c r="K676" s="801">
        <v>0.56000000000000005</v>
      </c>
      <c r="L676" s="801">
        <v>29.9</v>
      </c>
    </row>
    <row r="677" spans="1:12" x14ac:dyDescent="0.25">
      <c r="A677" s="800">
        <v>909393</v>
      </c>
      <c r="B677" s="801">
        <v>89</v>
      </c>
      <c r="C677" s="801"/>
      <c r="D677" s="801">
        <v>6.36</v>
      </c>
      <c r="E677" s="802">
        <v>0.77</v>
      </c>
      <c r="F677" s="801">
        <v>0.48</v>
      </c>
      <c r="G677" s="801">
        <v>0.04</v>
      </c>
      <c r="H677" s="801">
        <v>0.92</v>
      </c>
      <c r="I677" s="801">
        <v>0.1</v>
      </c>
      <c r="J677" s="801">
        <v>0.22</v>
      </c>
      <c r="K677" s="801">
        <v>0.13</v>
      </c>
      <c r="L677" s="801">
        <v>78.8</v>
      </c>
    </row>
    <row r="678" spans="1:12" x14ac:dyDescent="0.25">
      <c r="A678" s="800">
        <v>909394</v>
      </c>
      <c r="B678" s="801">
        <v>92</v>
      </c>
      <c r="C678" s="801"/>
      <c r="D678" s="801">
        <v>7.25</v>
      </c>
      <c r="E678" s="802">
        <v>8.1000000000000003E-2</v>
      </c>
      <c r="F678" s="801">
        <v>0.28000000000000003</v>
      </c>
      <c r="G678" s="801">
        <v>7.0000000000000007E-2</v>
      </c>
      <c r="H678" s="801">
        <v>0.27</v>
      </c>
      <c r="I678" s="801">
        <v>0.04</v>
      </c>
      <c r="J678" s="801">
        <v>0.45</v>
      </c>
      <c r="K678" s="801">
        <v>0.09</v>
      </c>
      <c r="L678" s="801">
        <v>50</v>
      </c>
    </row>
    <row r="679" spans="1:12" x14ac:dyDescent="0.25">
      <c r="A679" s="800">
        <v>909395</v>
      </c>
      <c r="B679" s="801">
        <v>76</v>
      </c>
      <c r="C679" s="801"/>
      <c r="D679" s="801">
        <v>6.96</v>
      </c>
      <c r="E679" s="802">
        <v>6.8</v>
      </c>
      <c r="F679" s="801">
        <v>2.41</v>
      </c>
      <c r="G679" s="801">
        <v>2.27</v>
      </c>
      <c r="H679" s="801">
        <v>1.6</v>
      </c>
      <c r="I679" s="801">
        <v>0.48</v>
      </c>
      <c r="J679" s="801">
        <v>10.83</v>
      </c>
      <c r="K679" s="801">
        <v>0.79</v>
      </c>
      <c r="L679" s="801">
        <v>31.9</v>
      </c>
    </row>
    <row r="680" spans="1:12" x14ac:dyDescent="0.25">
      <c r="A680" s="800">
        <v>909396</v>
      </c>
      <c r="B680" s="801">
        <v>30</v>
      </c>
      <c r="C680" s="801"/>
      <c r="D680" s="801">
        <v>6</v>
      </c>
      <c r="E680" s="802">
        <v>0.66600000000000004</v>
      </c>
      <c r="F680" s="801">
        <v>0.81</v>
      </c>
      <c r="G680" s="801">
        <v>0.14000000000000001</v>
      </c>
      <c r="H680" s="801">
        <v>0.45</v>
      </c>
      <c r="I680" s="801">
        <v>0.16</v>
      </c>
      <c r="J680" s="801">
        <v>0.67</v>
      </c>
      <c r="K680" s="801">
        <v>0.23</v>
      </c>
      <c r="L680" s="801">
        <v>25.1</v>
      </c>
    </row>
    <row r="681" spans="1:12" x14ac:dyDescent="0.25">
      <c r="A681" s="800">
        <v>909397</v>
      </c>
      <c r="B681" s="801">
        <v>82</v>
      </c>
      <c r="C681" s="801"/>
      <c r="D681" s="801">
        <v>7.1</v>
      </c>
      <c r="E681" s="802">
        <v>1.17</v>
      </c>
      <c r="F681" s="801">
        <v>0.9</v>
      </c>
      <c r="G681" s="801">
        <v>0.93</v>
      </c>
      <c r="H681" s="801">
        <v>0.73</v>
      </c>
      <c r="I681" s="801">
        <v>0.05</v>
      </c>
      <c r="J681" s="801">
        <v>2.39</v>
      </c>
      <c r="K681" s="801">
        <v>0.2</v>
      </c>
      <c r="L681" s="801">
        <v>23.5</v>
      </c>
    </row>
    <row r="682" spans="1:12" x14ac:dyDescent="0.25">
      <c r="A682" s="800">
        <v>909398</v>
      </c>
      <c r="B682" s="801">
        <v>69</v>
      </c>
      <c r="C682" s="801"/>
      <c r="D682" s="801">
        <v>6.77</v>
      </c>
      <c r="E682" s="802">
        <v>1.66</v>
      </c>
      <c r="F682" s="801">
        <v>1.18</v>
      </c>
      <c r="G682" s="801">
        <v>0.87</v>
      </c>
      <c r="H682" s="801">
        <v>0.72</v>
      </c>
      <c r="I682" s="801">
        <v>0.11</v>
      </c>
      <c r="J682" s="801">
        <v>1.06</v>
      </c>
      <c r="K682" s="801">
        <v>0.52</v>
      </c>
      <c r="L682" s="801">
        <v>18.399999999999999</v>
      </c>
    </row>
    <row r="683" spans="1:12" x14ac:dyDescent="0.25">
      <c r="A683" s="798">
        <v>909399</v>
      </c>
      <c r="B683" s="799">
        <v>62.27</v>
      </c>
      <c r="C683" s="799"/>
      <c r="D683" s="799"/>
      <c r="E683" s="799"/>
      <c r="F683" s="799"/>
      <c r="G683" s="799"/>
      <c r="H683" s="799"/>
      <c r="I683" s="799"/>
      <c r="J683" s="799"/>
      <c r="K683" s="799"/>
      <c r="L683" s="799">
        <v>40.1</v>
      </c>
    </row>
    <row r="684" spans="1:12" x14ac:dyDescent="0.25">
      <c r="A684" s="800">
        <v>909400</v>
      </c>
      <c r="B684" s="801">
        <v>64</v>
      </c>
      <c r="C684" s="801"/>
      <c r="D684" s="801">
        <v>8.7200000000000006</v>
      </c>
      <c r="E684" s="801">
        <v>4.32</v>
      </c>
      <c r="F684" s="801">
        <v>1.63</v>
      </c>
      <c r="G684" s="801">
        <v>0.74</v>
      </c>
      <c r="H684" s="801">
        <v>2.44</v>
      </c>
      <c r="I684" s="801">
        <v>0.52</v>
      </c>
      <c r="J684" s="801">
        <v>6.72</v>
      </c>
      <c r="K684" s="801">
        <v>1.31</v>
      </c>
      <c r="L684" s="801">
        <v>40.799999999999997</v>
      </c>
    </row>
    <row r="685" spans="1:12" x14ac:dyDescent="0.25">
      <c r="A685" s="37">
        <v>909401</v>
      </c>
      <c r="B685" s="34">
        <v>85</v>
      </c>
      <c r="D685" s="35">
        <v>8.6999999999999993</v>
      </c>
      <c r="E685" s="35">
        <v>1.89</v>
      </c>
      <c r="F685" s="35">
        <v>1.79</v>
      </c>
      <c r="G685" s="558">
        <v>0.87</v>
      </c>
      <c r="H685" s="558">
        <v>1.56</v>
      </c>
      <c r="I685" s="558">
        <v>0.1</v>
      </c>
      <c r="J685" s="558">
        <v>8.16</v>
      </c>
      <c r="K685" s="852">
        <v>0.54</v>
      </c>
      <c r="L685" s="35">
        <v>37.4</v>
      </c>
    </row>
    <row r="686" spans="1:12" x14ac:dyDescent="0.25">
      <c r="A686" s="37">
        <v>909402</v>
      </c>
      <c r="B686" s="34">
        <v>85</v>
      </c>
      <c r="D686" s="35">
        <v>9.07</v>
      </c>
      <c r="E686" s="35">
        <v>4.34</v>
      </c>
      <c r="F686" s="35">
        <v>2.0499999999999998</v>
      </c>
      <c r="G686" s="558">
        <v>1.74</v>
      </c>
      <c r="H686" s="558">
        <v>2.13</v>
      </c>
      <c r="I686" s="558">
        <v>0.24</v>
      </c>
      <c r="J686" s="558">
        <v>10.02</v>
      </c>
      <c r="K686" s="852">
        <v>0.77</v>
      </c>
      <c r="L686" s="35">
        <v>37.6</v>
      </c>
    </row>
    <row r="687" spans="1:12" x14ac:dyDescent="0.25">
      <c r="A687" s="37">
        <v>909403</v>
      </c>
      <c r="B687" s="34">
        <v>69</v>
      </c>
      <c r="D687" s="35">
        <v>8.67</v>
      </c>
      <c r="E687" s="35">
        <v>4.7300000000000004</v>
      </c>
      <c r="F687" s="35">
        <v>2.97</v>
      </c>
      <c r="G687" s="558">
        <v>3.04</v>
      </c>
      <c r="H687" s="558">
        <v>2.61</v>
      </c>
      <c r="I687" s="558">
        <v>0.45</v>
      </c>
      <c r="J687" s="558">
        <v>8.07</v>
      </c>
      <c r="K687" s="852">
        <v>1.0900000000000001</v>
      </c>
      <c r="L687" s="35">
        <v>45.3</v>
      </c>
    </row>
    <row r="688" spans="1:12" x14ac:dyDescent="0.25">
      <c r="A688" s="37">
        <v>909404</v>
      </c>
      <c r="B688" s="34">
        <v>65</v>
      </c>
      <c r="D688" s="35">
        <v>9.1</v>
      </c>
      <c r="E688" s="35">
        <v>4.29</v>
      </c>
      <c r="F688" s="35">
        <v>2.1</v>
      </c>
      <c r="G688" s="558">
        <v>0.85</v>
      </c>
      <c r="H688" s="558">
        <v>2.4500000000000002</v>
      </c>
      <c r="I688" s="558">
        <v>0.52</v>
      </c>
      <c r="J688" s="558">
        <v>6.73</v>
      </c>
      <c r="K688" s="852">
        <v>1.08</v>
      </c>
      <c r="L688" s="35">
        <v>39.4</v>
      </c>
    </row>
    <row r="689" spans="1:12" x14ac:dyDescent="0.25">
      <c r="A689" s="37">
        <v>909405</v>
      </c>
      <c r="B689" s="34">
        <v>63</v>
      </c>
      <c r="D689" s="35">
        <v>8.52</v>
      </c>
      <c r="E689" s="35">
        <v>5.54</v>
      </c>
      <c r="F689" s="35">
        <v>1.96</v>
      </c>
      <c r="G689" s="558">
        <v>0.69</v>
      </c>
      <c r="H689" s="558">
        <v>2.48</v>
      </c>
      <c r="I689" s="558">
        <v>0.22</v>
      </c>
      <c r="J689" s="558">
        <v>3.54</v>
      </c>
      <c r="K689" s="852">
        <v>1.58</v>
      </c>
      <c r="L689" s="35">
        <v>33</v>
      </c>
    </row>
    <row r="690" spans="1:12" x14ac:dyDescent="0.25">
      <c r="A690" s="37">
        <v>909406</v>
      </c>
      <c r="B690" s="34">
        <v>80</v>
      </c>
      <c r="D690" s="35">
        <v>8.3800000000000008</v>
      </c>
      <c r="E690" s="35">
        <v>4.3099999999999996</v>
      </c>
      <c r="F690" s="35">
        <v>1.63</v>
      </c>
      <c r="G690" s="558">
        <v>0.64</v>
      </c>
      <c r="H690" s="558">
        <v>2.0299999999999998</v>
      </c>
      <c r="I690" s="558">
        <v>0.22</v>
      </c>
      <c r="J690" s="558">
        <v>4.1399999999999997</v>
      </c>
      <c r="K690" s="852">
        <v>1.56</v>
      </c>
      <c r="L690" s="35">
        <v>35.4</v>
      </c>
    </row>
    <row r="691" spans="1:12" x14ac:dyDescent="0.25">
      <c r="A691" s="37">
        <v>909407</v>
      </c>
      <c r="B691" s="34">
        <v>70</v>
      </c>
      <c r="D691" s="35">
        <v>8.77</v>
      </c>
      <c r="E691" s="35">
        <v>5.48</v>
      </c>
      <c r="F691" s="35">
        <v>1.88</v>
      </c>
      <c r="G691" s="558">
        <v>0.71</v>
      </c>
      <c r="H691" s="558">
        <v>2.4300000000000002</v>
      </c>
      <c r="I691" s="558">
        <v>0.23</v>
      </c>
      <c r="J691" s="558">
        <v>3.64</v>
      </c>
      <c r="K691" s="852">
        <v>1.49</v>
      </c>
      <c r="L691" s="35">
        <v>30.2</v>
      </c>
    </row>
    <row r="692" spans="1:12" x14ac:dyDescent="0.25">
      <c r="A692" s="37">
        <v>909408</v>
      </c>
      <c r="B692" s="34">
        <v>70</v>
      </c>
      <c r="D692" s="35">
        <v>8.4499999999999993</v>
      </c>
      <c r="E692" s="35">
        <v>4.4000000000000004</v>
      </c>
      <c r="F692" s="35">
        <v>1.71</v>
      </c>
      <c r="G692" s="558">
        <v>0.67</v>
      </c>
      <c r="H692" s="558">
        <v>2.2200000000000002</v>
      </c>
      <c r="I692" s="558">
        <v>0.19</v>
      </c>
      <c r="J692" s="558">
        <v>3.71</v>
      </c>
      <c r="K692" s="852">
        <v>1.4</v>
      </c>
      <c r="L692" s="35">
        <v>32.6</v>
      </c>
    </row>
    <row r="693" spans="1:12" x14ac:dyDescent="0.25">
      <c r="A693" s="37">
        <v>909409</v>
      </c>
      <c r="B693" s="35">
        <v>70</v>
      </c>
      <c r="D693" s="35">
        <v>8.33</v>
      </c>
      <c r="E693" s="35">
        <v>3.53</v>
      </c>
      <c r="F693" s="35">
        <v>1.49</v>
      </c>
      <c r="G693" s="558">
        <v>0.56000000000000005</v>
      </c>
      <c r="H693" s="558">
        <v>1.9</v>
      </c>
      <c r="I693" s="558">
        <v>0.2</v>
      </c>
      <c r="J693" s="558">
        <v>3.82</v>
      </c>
      <c r="K693" s="852">
        <v>1.56</v>
      </c>
      <c r="L693" s="35">
        <v>33.700000000000003</v>
      </c>
    </row>
    <row r="694" spans="1:12" x14ac:dyDescent="0.25">
      <c r="A694" s="37">
        <v>909410</v>
      </c>
      <c r="B694" s="35">
        <v>61</v>
      </c>
      <c r="D694" s="35">
        <v>9.09</v>
      </c>
      <c r="E694" s="35">
        <v>3.44</v>
      </c>
      <c r="F694" s="35">
        <v>1.51</v>
      </c>
      <c r="G694" s="558">
        <v>0.63</v>
      </c>
      <c r="H694" s="558">
        <v>2.04</v>
      </c>
      <c r="I694" s="558">
        <v>0.18</v>
      </c>
      <c r="J694" s="558">
        <v>3.57</v>
      </c>
      <c r="K694" s="852">
        <v>1.57</v>
      </c>
      <c r="L694" s="526">
        <v>31</v>
      </c>
    </row>
    <row r="695" spans="1:12" x14ac:dyDescent="0.25">
      <c r="A695" s="37">
        <v>909411</v>
      </c>
      <c r="B695" s="35">
        <v>60</v>
      </c>
      <c r="D695" s="35">
        <v>8.07</v>
      </c>
      <c r="E695" s="35">
        <v>4.78</v>
      </c>
      <c r="F695" s="35">
        <v>1.82</v>
      </c>
      <c r="G695" s="558">
        <v>0.77</v>
      </c>
      <c r="H695" s="558">
        <v>2.67</v>
      </c>
      <c r="I695" s="558">
        <v>0.22</v>
      </c>
      <c r="J695" s="558">
        <v>3.79</v>
      </c>
      <c r="K695" s="852">
        <v>1.7</v>
      </c>
      <c r="L695" s="35">
        <v>29.7</v>
      </c>
    </row>
    <row r="696" spans="1:12" x14ac:dyDescent="0.25">
      <c r="A696" s="37">
        <v>909412</v>
      </c>
      <c r="B696" s="35">
        <v>76</v>
      </c>
      <c r="D696" s="35">
        <v>8.8699999999999992</v>
      </c>
      <c r="E696" s="35">
        <v>4.24</v>
      </c>
      <c r="F696" s="35">
        <v>1.51</v>
      </c>
      <c r="G696" s="558">
        <v>0.59</v>
      </c>
      <c r="H696" s="558">
        <v>2.12</v>
      </c>
      <c r="I696" s="558">
        <v>0.2</v>
      </c>
      <c r="J696" s="558">
        <v>3.45</v>
      </c>
      <c r="K696" s="852">
        <v>1.61</v>
      </c>
      <c r="L696" s="35">
        <v>36.1</v>
      </c>
    </row>
    <row r="697" spans="1:12" x14ac:dyDescent="0.25">
      <c r="A697" s="37">
        <v>909413</v>
      </c>
      <c r="B697" s="35">
        <v>75</v>
      </c>
      <c r="D697" s="35">
        <v>8.27</v>
      </c>
      <c r="E697" s="35">
        <v>1.81</v>
      </c>
      <c r="F697" s="35">
        <v>1.01</v>
      </c>
      <c r="G697" s="558">
        <v>0.38</v>
      </c>
      <c r="H697" s="558">
        <v>1</v>
      </c>
      <c r="I697" s="558">
        <v>0.17</v>
      </c>
      <c r="J697" s="558">
        <v>2.4900000000000002</v>
      </c>
      <c r="K697" s="852">
        <v>0.74</v>
      </c>
      <c r="L697" s="35">
        <v>33.1</v>
      </c>
    </row>
    <row r="698" spans="1:12" x14ac:dyDescent="0.25">
      <c r="A698" s="37">
        <v>909414</v>
      </c>
      <c r="B698" s="35">
        <v>68</v>
      </c>
      <c r="D698" s="35">
        <v>8.82</v>
      </c>
      <c r="E698" s="35">
        <v>2.15</v>
      </c>
      <c r="F698" s="35">
        <v>1.26</v>
      </c>
      <c r="G698" s="558">
        <v>0.41</v>
      </c>
      <c r="H698" s="558">
        <v>1.27</v>
      </c>
      <c r="I698" s="558">
        <v>0.16</v>
      </c>
      <c r="J698" s="558">
        <v>2.91</v>
      </c>
      <c r="K698" s="852">
        <v>0.89</v>
      </c>
      <c r="L698" s="35">
        <v>35.5</v>
      </c>
    </row>
    <row r="699" spans="1:12" x14ac:dyDescent="0.25">
      <c r="A699" s="37">
        <v>909415</v>
      </c>
      <c r="B699" s="35">
        <v>60</v>
      </c>
      <c r="D699" s="35">
        <v>8.9700000000000006</v>
      </c>
      <c r="E699" s="35">
        <v>1.91</v>
      </c>
      <c r="F699" s="35">
        <v>1.29</v>
      </c>
      <c r="G699" s="558">
        <v>0.49</v>
      </c>
      <c r="H699" s="558">
        <v>1.5</v>
      </c>
      <c r="I699" s="558">
        <v>0.2</v>
      </c>
      <c r="J699" s="558">
        <v>2.97</v>
      </c>
      <c r="K699" s="852">
        <v>1.56</v>
      </c>
      <c r="L699" s="35">
        <v>38.4</v>
      </c>
    </row>
    <row r="700" spans="1:12" x14ac:dyDescent="0.25">
      <c r="A700" s="37">
        <v>909416</v>
      </c>
      <c r="B700" s="35">
        <v>68</v>
      </c>
      <c r="D700" s="35">
        <v>8.5299999999999994</v>
      </c>
      <c r="E700" s="35">
        <v>1.89</v>
      </c>
      <c r="F700" s="35">
        <v>1.46</v>
      </c>
      <c r="G700" s="558">
        <v>0.47</v>
      </c>
      <c r="H700" s="558">
        <v>1.4</v>
      </c>
      <c r="I700" s="558">
        <v>0.18</v>
      </c>
      <c r="J700" s="558">
        <v>3.36</v>
      </c>
      <c r="K700" s="852">
        <v>1.05</v>
      </c>
      <c r="L700" s="35">
        <v>38.200000000000003</v>
      </c>
    </row>
    <row r="701" spans="1:12" ht="12.95" customHeight="1" x14ac:dyDescent="0.25">
      <c r="A701" s="37">
        <v>909417</v>
      </c>
      <c r="B701" s="35">
        <v>64</v>
      </c>
      <c r="D701" s="35">
        <v>5.54</v>
      </c>
      <c r="E701" s="35">
        <v>0.188</v>
      </c>
      <c r="F701" s="35">
        <v>0.81</v>
      </c>
      <c r="G701" s="558">
        <v>0.03</v>
      </c>
      <c r="H701" s="558">
        <v>0.21</v>
      </c>
      <c r="I701" s="558">
        <v>0.06</v>
      </c>
      <c r="J701" s="558">
        <v>1.23</v>
      </c>
      <c r="K701" s="852">
        <v>0.12</v>
      </c>
      <c r="L701" s="35">
        <v>90.6</v>
      </c>
    </row>
    <row r="702" spans="1:12" x14ac:dyDescent="0.25">
      <c r="A702" s="850">
        <v>909418</v>
      </c>
      <c r="B702" s="886">
        <v>69</v>
      </c>
      <c r="C702" s="851" t="s">
        <v>476</v>
      </c>
      <c r="D702" s="851">
        <v>9.15</v>
      </c>
      <c r="E702" s="851">
        <v>5.55</v>
      </c>
      <c r="F702" s="851">
        <v>1.71</v>
      </c>
      <c r="G702" s="851">
        <v>0.86</v>
      </c>
      <c r="H702" s="851">
        <v>2.6</v>
      </c>
      <c r="I702" s="851">
        <v>0.55000000000000004</v>
      </c>
      <c r="J702" s="851">
        <v>6.49</v>
      </c>
      <c r="K702" s="851">
        <v>1.0900000000000001</v>
      </c>
      <c r="L702" s="851">
        <v>39.799999999999997</v>
      </c>
    </row>
    <row r="703" spans="1:12" x14ac:dyDescent="0.25">
      <c r="A703" s="37">
        <v>909419</v>
      </c>
      <c r="B703" s="35">
        <v>68</v>
      </c>
      <c r="C703" s="35" t="s">
        <v>187</v>
      </c>
      <c r="D703" s="35">
        <v>8.18</v>
      </c>
      <c r="E703" s="854">
        <v>6.76</v>
      </c>
      <c r="F703" s="35">
        <v>1.79</v>
      </c>
      <c r="G703" s="35">
        <v>1.18</v>
      </c>
      <c r="H703" s="35">
        <v>2.4900000000000002</v>
      </c>
      <c r="I703" s="35">
        <v>0.56000000000000005</v>
      </c>
      <c r="J703" s="35">
        <v>7.04</v>
      </c>
      <c r="K703" s="35">
        <v>1.03</v>
      </c>
      <c r="L703" s="35">
        <v>52.9</v>
      </c>
    </row>
    <row r="704" spans="1:12" x14ac:dyDescent="0.25">
      <c r="A704" s="37">
        <v>909420</v>
      </c>
      <c r="B704" s="35">
        <v>60</v>
      </c>
      <c r="C704" s="35" t="s">
        <v>477</v>
      </c>
      <c r="D704" s="35">
        <v>5.93</v>
      </c>
      <c r="E704" s="854">
        <v>0.17699999999999999</v>
      </c>
      <c r="F704" s="35">
        <v>0.73</v>
      </c>
      <c r="G704" s="35">
        <v>0.05</v>
      </c>
      <c r="H704" s="35">
        <v>0.25</v>
      </c>
      <c r="I704" s="35">
        <v>7.0000000000000007E-2</v>
      </c>
      <c r="J704" s="35">
        <v>1.03</v>
      </c>
      <c r="K704" s="35">
        <v>7.0000000000000007E-2</v>
      </c>
      <c r="L704" s="35">
        <v>94.9</v>
      </c>
    </row>
    <row r="705" spans="1:12" x14ac:dyDescent="0.25">
      <c r="A705" s="37">
        <v>909421</v>
      </c>
      <c r="B705" s="35">
        <v>80</v>
      </c>
      <c r="C705" s="35" t="s">
        <v>477</v>
      </c>
      <c r="D705" s="36">
        <v>7</v>
      </c>
      <c r="E705" s="854">
        <v>0.35499999999999998</v>
      </c>
      <c r="F705" s="35">
        <v>0.78</v>
      </c>
      <c r="G705" s="35">
        <v>7.0000000000000007E-2</v>
      </c>
      <c r="H705" s="35">
        <v>0.16</v>
      </c>
      <c r="I705" s="35">
        <v>0.05</v>
      </c>
      <c r="J705" s="35">
        <v>2.5499999999999998</v>
      </c>
      <c r="K705" s="35">
        <v>0.28000000000000003</v>
      </c>
      <c r="L705" s="35">
        <v>70.900000000000006</v>
      </c>
    </row>
    <row r="706" spans="1:12" x14ac:dyDescent="0.25">
      <c r="A706" s="37">
        <v>909422</v>
      </c>
      <c r="B706" s="35">
        <v>56</v>
      </c>
      <c r="C706" s="35" t="s">
        <v>476</v>
      </c>
      <c r="D706" s="35">
        <v>9.35</v>
      </c>
      <c r="E706" s="854">
        <v>3.31</v>
      </c>
      <c r="F706" s="35">
        <v>1.54</v>
      </c>
      <c r="G706" s="35">
        <v>0.6</v>
      </c>
      <c r="H706" s="35">
        <v>2.29</v>
      </c>
      <c r="I706" s="35">
        <v>0.44</v>
      </c>
      <c r="J706" s="35">
        <v>4.33</v>
      </c>
      <c r="K706" s="35">
        <v>0.93</v>
      </c>
      <c r="L706" s="35">
        <v>49.4</v>
      </c>
    </row>
    <row r="707" spans="1:12" x14ac:dyDescent="0.25">
      <c r="A707" s="37">
        <v>909423</v>
      </c>
      <c r="B707" s="35">
        <v>76</v>
      </c>
      <c r="C707" s="35" t="s">
        <v>476</v>
      </c>
      <c r="D707" s="35">
        <v>9.43</v>
      </c>
      <c r="E707" s="854">
        <v>2.86</v>
      </c>
      <c r="F707" s="35">
        <v>1.37</v>
      </c>
      <c r="G707" s="35">
        <v>0.52</v>
      </c>
      <c r="H707" s="35">
        <v>1.98</v>
      </c>
      <c r="I707" s="35">
        <v>0.4</v>
      </c>
      <c r="J707" s="35">
        <v>5.8</v>
      </c>
      <c r="K707" s="35">
        <v>0.97</v>
      </c>
      <c r="L707" s="35">
        <v>39.4</v>
      </c>
    </row>
    <row r="708" spans="1:12" x14ac:dyDescent="0.25">
      <c r="A708" s="37">
        <v>909424</v>
      </c>
      <c r="B708" s="35">
        <v>66</v>
      </c>
      <c r="C708" s="35" t="s">
        <v>476</v>
      </c>
      <c r="D708" s="35">
        <v>8.81</v>
      </c>
      <c r="E708" s="854">
        <v>3.03</v>
      </c>
      <c r="F708" s="35">
        <v>2.0699999999999998</v>
      </c>
      <c r="G708" s="35">
        <v>0.72</v>
      </c>
      <c r="H708" s="35">
        <v>1.85</v>
      </c>
      <c r="I708" s="35">
        <v>0.4</v>
      </c>
      <c r="J708" s="35">
        <v>3.85</v>
      </c>
      <c r="K708" s="35">
        <v>0.85</v>
      </c>
      <c r="L708" s="35">
        <v>62.4</v>
      </c>
    </row>
    <row r="709" spans="1:12" x14ac:dyDescent="0.25">
      <c r="A709" s="37">
        <v>909425</v>
      </c>
      <c r="B709" s="35">
        <v>89</v>
      </c>
      <c r="C709" s="35" t="s">
        <v>477</v>
      </c>
      <c r="D709" s="35">
        <v>6.67</v>
      </c>
      <c r="E709" s="854">
        <v>6.7000000000000004E-2</v>
      </c>
      <c r="F709" s="35">
        <v>0.11</v>
      </c>
      <c r="G709" s="35">
        <v>0.01</v>
      </c>
      <c r="H709" s="35">
        <v>0.05</v>
      </c>
      <c r="I709" s="35">
        <v>0.03</v>
      </c>
      <c r="J709" s="35">
        <v>0.3</v>
      </c>
      <c r="K709" s="35">
        <v>0.04</v>
      </c>
      <c r="L709" s="35">
        <v>98.1</v>
      </c>
    </row>
    <row r="710" spans="1:12" x14ac:dyDescent="0.25">
      <c r="A710" s="37">
        <v>909426</v>
      </c>
      <c r="B710" s="35">
        <v>68</v>
      </c>
      <c r="C710" s="35" t="s">
        <v>187</v>
      </c>
      <c r="D710" s="35">
        <v>9.56</v>
      </c>
      <c r="E710" s="35">
        <v>4.84</v>
      </c>
      <c r="F710" s="35">
        <v>1.63</v>
      </c>
      <c r="G710" s="889">
        <v>0.76</v>
      </c>
      <c r="H710" s="35">
        <v>2.41</v>
      </c>
      <c r="I710" s="889">
        <v>0.61</v>
      </c>
      <c r="J710" s="889">
        <v>7.13</v>
      </c>
      <c r="K710" s="889">
        <v>1.08</v>
      </c>
      <c r="L710" s="35">
        <v>40.6</v>
      </c>
    </row>
    <row r="711" spans="1:12" x14ac:dyDescent="0.25">
      <c r="A711" s="37">
        <v>909427</v>
      </c>
      <c r="B711" s="35" t="s">
        <v>479</v>
      </c>
      <c r="C711" s="34" t="s">
        <v>479</v>
      </c>
      <c r="D711" s="34" t="s">
        <v>479</v>
      </c>
      <c r="E711" s="34" t="s">
        <v>479</v>
      </c>
      <c r="F711" s="34" t="s">
        <v>479</v>
      </c>
      <c r="G711" s="34" t="s">
        <v>479</v>
      </c>
      <c r="H711" s="34" t="s">
        <v>479</v>
      </c>
      <c r="I711" s="34" t="s">
        <v>479</v>
      </c>
      <c r="J711" s="34" t="s">
        <v>479</v>
      </c>
      <c r="K711" s="34" t="s">
        <v>479</v>
      </c>
      <c r="L711" s="34" t="s">
        <v>479</v>
      </c>
    </row>
    <row r="712" spans="1:12" x14ac:dyDescent="0.25">
      <c r="A712" s="37">
        <v>909428</v>
      </c>
      <c r="B712" s="35">
        <v>69</v>
      </c>
      <c r="C712" s="35" t="s">
        <v>477</v>
      </c>
      <c r="D712" s="35">
        <v>6.03</v>
      </c>
      <c r="E712" s="35">
        <v>0.217</v>
      </c>
      <c r="F712" s="35">
        <v>0.64</v>
      </c>
      <c r="G712" s="889">
        <v>0.03</v>
      </c>
      <c r="H712" s="889">
        <v>0.19</v>
      </c>
      <c r="I712" s="889">
        <v>0.05</v>
      </c>
      <c r="J712" s="889">
        <v>1.19</v>
      </c>
      <c r="K712" s="889">
        <v>0.06</v>
      </c>
      <c r="L712" s="35">
        <v>93.3</v>
      </c>
    </row>
    <row r="713" spans="1:12" x14ac:dyDescent="0.25">
      <c r="A713" s="37">
        <v>909429</v>
      </c>
      <c r="B713" s="35">
        <v>84</v>
      </c>
      <c r="C713" s="35" t="s">
        <v>477</v>
      </c>
      <c r="D713" s="35">
        <v>5.82</v>
      </c>
      <c r="E713" s="35">
        <v>0.20300000000000001</v>
      </c>
      <c r="F713" s="35">
        <v>0.67</v>
      </c>
      <c r="G713" s="889">
        <v>0.03</v>
      </c>
      <c r="H713" s="889">
        <v>0.19</v>
      </c>
      <c r="I713" s="889">
        <v>0.05</v>
      </c>
      <c r="J713" s="889">
        <v>1.1599999999999999</v>
      </c>
      <c r="K713" s="889">
        <v>0.06</v>
      </c>
      <c r="L713" s="35">
        <v>93.7</v>
      </c>
    </row>
    <row r="714" spans="1:12" x14ac:dyDescent="0.25">
      <c r="A714" s="37">
        <v>909430</v>
      </c>
      <c r="B714" s="35">
        <v>89</v>
      </c>
      <c r="C714" s="35" t="s">
        <v>477</v>
      </c>
      <c r="D714" s="35">
        <v>6.21</v>
      </c>
      <c r="E714" s="35">
        <v>0.29599999999999999</v>
      </c>
      <c r="F714" s="35">
        <v>0.42</v>
      </c>
      <c r="G714" s="889">
        <v>0.05</v>
      </c>
      <c r="H714" s="889">
        <v>0.13</v>
      </c>
      <c r="I714" s="889">
        <v>0.02</v>
      </c>
      <c r="J714" s="889">
        <v>1.58</v>
      </c>
      <c r="K714" s="889">
        <v>0.15</v>
      </c>
      <c r="L714" s="35">
        <v>88</v>
      </c>
    </row>
    <row r="715" spans="1:12" x14ac:dyDescent="0.25">
      <c r="A715" s="37">
        <v>909431</v>
      </c>
      <c r="B715" s="35">
        <v>79</v>
      </c>
      <c r="C715" s="35" t="s">
        <v>477</v>
      </c>
      <c r="D715" s="35">
        <v>6.27</v>
      </c>
      <c r="E715" s="35">
        <v>0.72599999999999998</v>
      </c>
      <c r="F715" s="35">
        <v>0.39</v>
      </c>
      <c r="G715" s="889">
        <v>0.04</v>
      </c>
      <c r="H715" s="889">
        <v>0.26</v>
      </c>
      <c r="I715" s="889">
        <v>0.04</v>
      </c>
      <c r="J715" s="889">
        <v>2.09</v>
      </c>
      <c r="K715" s="889">
        <v>0.24</v>
      </c>
      <c r="L715" s="35">
        <v>75.3</v>
      </c>
    </row>
    <row r="716" spans="1:12" x14ac:dyDescent="0.25">
      <c r="A716" s="37">
        <v>909432</v>
      </c>
      <c r="B716" s="35">
        <v>80</v>
      </c>
      <c r="C716" s="35" t="s">
        <v>476</v>
      </c>
      <c r="D716" s="35">
        <v>7.34</v>
      </c>
      <c r="E716" s="35">
        <v>0.33900000000000002</v>
      </c>
      <c r="F716" s="35">
        <v>0.56000000000000005</v>
      </c>
      <c r="G716" s="889">
        <v>0.11</v>
      </c>
      <c r="H716" s="889">
        <v>0.37</v>
      </c>
      <c r="I716" s="889">
        <v>0.06</v>
      </c>
      <c r="J716" s="889">
        <v>5.65</v>
      </c>
      <c r="K716" s="889">
        <v>0.32</v>
      </c>
      <c r="L716" s="35">
        <v>47.8</v>
      </c>
    </row>
    <row r="717" spans="1:12" x14ac:dyDescent="0.25">
      <c r="A717" s="37">
        <v>909433</v>
      </c>
      <c r="B717" s="35">
        <v>68</v>
      </c>
      <c r="C717" s="35" t="s">
        <v>477</v>
      </c>
      <c r="D717" s="35">
        <v>7.16</v>
      </c>
      <c r="E717" s="35">
        <v>0.13900000000000001</v>
      </c>
      <c r="F717" s="35">
        <v>0.28000000000000003</v>
      </c>
      <c r="G717" s="889">
        <v>0.02</v>
      </c>
      <c r="H717" s="889">
        <v>0.08</v>
      </c>
      <c r="I717" s="889">
        <v>0.04</v>
      </c>
      <c r="J717" s="889">
        <v>1.53</v>
      </c>
      <c r="K717" s="889">
        <v>0.19</v>
      </c>
      <c r="L717" s="35">
        <v>88.9</v>
      </c>
    </row>
    <row r="718" spans="1:12" s="888" customFormat="1" x14ac:dyDescent="0.25">
      <c r="A718" s="887">
        <v>909434</v>
      </c>
      <c r="B718" s="888">
        <v>89</v>
      </c>
      <c r="C718" s="888" t="s">
        <v>480</v>
      </c>
      <c r="L718" s="888">
        <v>95.6</v>
      </c>
    </row>
    <row r="719" spans="1:12" s="888" customFormat="1" x14ac:dyDescent="0.25">
      <c r="A719" s="887">
        <v>909435</v>
      </c>
      <c r="B719" s="888">
        <v>86</v>
      </c>
      <c r="C719" s="888" t="s">
        <v>480</v>
      </c>
      <c r="L719" s="888">
        <v>96.1</v>
      </c>
    </row>
    <row r="720" spans="1:12" s="888" customFormat="1" x14ac:dyDescent="0.25">
      <c r="A720" s="887">
        <v>909436</v>
      </c>
      <c r="B720" s="888">
        <v>60</v>
      </c>
      <c r="C720" s="888" t="s">
        <v>480</v>
      </c>
      <c r="L720" s="888">
        <v>78</v>
      </c>
    </row>
    <row r="721" spans="1:17" x14ac:dyDescent="0.25">
      <c r="A721" s="37">
        <v>909437</v>
      </c>
      <c r="B721" s="35">
        <v>39</v>
      </c>
      <c r="D721" s="35">
        <v>6.77</v>
      </c>
      <c r="E721" s="35">
        <v>0.61</v>
      </c>
      <c r="F721" s="35">
        <v>1.8</v>
      </c>
      <c r="L721" s="35">
        <v>82.3</v>
      </c>
    </row>
    <row r="722" spans="1:17" x14ac:dyDescent="0.25">
      <c r="A722" s="37">
        <v>909438</v>
      </c>
      <c r="B722" s="35">
        <v>78</v>
      </c>
      <c r="C722" s="35" t="s">
        <v>187</v>
      </c>
      <c r="D722" s="35">
        <v>8.0399999999999991</v>
      </c>
      <c r="E722" s="35">
        <v>5.66</v>
      </c>
      <c r="F722" s="526">
        <v>2.5772328000000004</v>
      </c>
      <c r="G722" s="795">
        <v>1.03</v>
      </c>
      <c r="H722" s="795">
        <v>2.48</v>
      </c>
      <c r="I722" s="795">
        <v>0.43</v>
      </c>
      <c r="J722" s="795">
        <v>5.49</v>
      </c>
      <c r="K722" s="795">
        <v>0.88</v>
      </c>
      <c r="L722" s="35">
        <v>63.9</v>
      </c>
    </row>
    <row r="723" spans="1:17" x14ac:dyDescent="0.25">
      <c r="A723" s="37">
        <v>909439</v>
      </c>
      <c r="B723" s="35">
        <v>73</v>
      </c>
      <c r="C723" s="35" t="s">
        <v>480</v>
      </c>
      <c r="D723" s="35">
        <v>8.43</v>
      </c>
      <c r="E723" s="35">
        <v>3.93</v>
      </c>
      <c r="F723" s="526">
        <v>2.7172998000000002</v>
      </c>
      <c r="G723" s="795">
        <v>0.91</v>
      </c>
      <c r="H723" s="795">
        <v>2.36</v>
      </c>
      <c r="I723" s="795">
        <v>0.46</v>
      </c>
      <c r="J723" s="795">
        <v>4.0199999999999996</v>
      </c>
      <c r="K723" s="795">
        <v>0.65</v>
      </c>
      <c r="L723" s="35">
        <v>54.4</v>
      </c>
    </row>
    <row r="724" spans="1:17" x14ac:dyDescent="0.25">
      <c r="A724" s="37">
        <v>909440</v>
      </c>
      <c r="B724" s="35">
        <v>83</v>
      </c>
      <c r="C724" s="35" t="s">
        <v>480</v>
      </c>
      <c r="D724" s="35">
        <v>6.93</v>
      </c>
      <c r="E724" s="35">
        <v>0.13</v>
      </c>
      <c r="F724" s="526">
        <v>0.56026799999999999</v>
      </c>
      <c r="G724" s="795">
        <v>0.01</v>
      </c>
      <c r="H724" s="795">
        <v>0.04</v>
      </c>
      <c r="I724" s="795">
        <v>0.05</v>
      </c>
      <c r="J724" s="795">
        <v>0.25</v>
      </c>
      <c r="K724" s="795">
        <v>0.04</v>
      </c>
      <c r="L724" s="35">
        <v>92.7</v>
      </c>
    </row>
    <row r="725" spans="1:17" x14ac:dyDescent="0.25">
      <c r="A725" s="37">
        <v>909441</v>
      </c>
      <c r="B725" s="35">
        <v>90</v>
      </c>
      <c r="C725" s="35" t="s">
        <v>480</v>
      </c>
      <c r="D725" s="35">
        <v>5.26</v>
      </c>
      <c r="E725" s="35">
        <v>5.1999999999999998E-2</v>
      </c>
      <c r="F725" s="526">
        <v>0.6443082</v>
      </c>
      <c r="G725" s="795">
        <v>0.03</v>
      </c>
      <c r="H725" s="795">
        <v>0.1</v>
      </c>
      <c r="I725" s="795">
        <v>0.03</v>
      </c>
      <c r="J725" s="795">
        <v>0.22</v>
      </c>
      <c r="K725" s="795">
        <v>0.05</v>
      </c>
      <c r="L725" s="35">
        <v>98.7</v>
      </c>
    </row>
    <row r="726" spans="1:17" x14ac:dyDescent="0.25">
      <c r="A726" s="37">
        <v>909442</v>
      </c>
      <c r="B726" s="35">
        <v>87</v>
      </c>
      <c r="C726" s="35" t="s">
        <v>480</v>
      </c>
      <c r="D726" s="35">
        <v>5.03</v>
      </c>
      <c r="E726" s="35">
        <v>0.48499999999999999</v>
      </c>
      <c r="F726" s="526">
        <v>1.4566968</v>
      </c>
      <c r="G726" s="795">
        <v>0.12</v>
      </c>
      <c r="H726" s="795">
        <v>0.32</v>
      </c>
      <c r="I726" s="795">
        <v>0.03</v>
      </c>
      <c r="J726" s="795">
        <v>0.06</v>
      </c>
      <c r="K726" s="795">
        <v>7.0000000000000007E-2</v>
      </c>
      <c r="L726" s="35">
        <v>93.5</v>
      </c>
    </row>
    <row r="727" spans="1:17" x14ac:dyDescent="0.25">
      <c r="A727" s="37">
        <v>909443</v>
      </c>
      <c r="B727" s="35">
        <v>87</v>
      </c>
      <c r="C727" s="35" t="s">
        <v>480</v>
      </c>
      <c r="D727" s="35">
        <v>4.53</v>
      </c>
      <c r="E727" s="35">
        <v>0.25700000000000001</v>
      </c>
      <c r="F727" s="526">
        <v>1.2886164000000002</v>
      </c>
      <c r="G727" s="795">
        <v>0.03</v>
      </c>
      <c r="H727" s="795">
        <v>0.21</v>
      </c>
      <c r="I727" s="795">
        <v>0.05</v>
      </c>
      <c r="J727" s="795">
        <v>0.91</v>
      </c>
      <c r="K727" s="795">
        <v>0.05</v>
      </c>
      <c r="L727" s="35">
        <v>93.5</v>
      </c>
    </row>
    <row r="728" spans="1:17" x14ac:dyDescent="0.25">
      <c r="A728" s="37">
        <v>909444</v>
      </c>
      <c r="B728" s="35">
        <v>78</v>
      </c>
      <c r="C728" s="35" t="s">
        <v>480</v>
      </c>
      <c r="D728" s="35">
        <v>5.67</v>
      </c>
      <c r="E728" s="35">
        <v>0.2</v>
      </c>
      <c r="F728" s="526">
        <v>0.72834840000000001</v>
      </c>
      <c r="G728" s="795">
        <v>0.01</v>
      </c>
      <c r="H728" s="795">
        <v>0.08</v>
      </c>
      <c r="I728" s="795">
        <v>0.04</v>
      </c>
      <c r="J728" s="795">
        <v>0.81</v>
      </c>
      <c r="K728" s="795">
        <v>0.08</v>
      </c>
      <c r="L728" s="35">
        <v>93.7</v>
      </c>
    </row>
    <row r="729" spans="1:17" x14ac:dyDescent="0.25">
      <c r="A729" s="37">
        <v>909445</v>
      </c>
      <c r="B729" s="35">
        <v>82</v>
      </c>
      <c r="C729" s="35" t="s">
        <v>480</v>
      </c>
      <c r="D729" s="35">
        <v>6.77</v>
      </c>
      <c r="E729" s="35">
        <v>0.14199999999999999</v>
      </c>
      <c r="F729" s="526">
        <v>0.86841540000000017</v>
      </c>
      <c r="G729" s="795">
        <v>0.04</v>
      </c>
      <c r="H729" s="795">
        <v>0.18</v>
      </c>
      <c r="I729" s="795">
        <v>0.04</v>
      </c>
      <c r="J729" s="795">
        <v>1.22</v>
      </c>
      <c r="K729" s="795">
        <v>0.12</v>
      </c>
      <c r="L729" s="35">
        <v>94.3</v>
      </c>
    </row>
    <row r="730" spans="1:17" x14ac:dyDescent="0.25">
      <c r="A730" s="37">
        <v>909446</v>
      </c>
      <c r="B730" s="35">
        <v>86</v>
      </c>
      <c r="C730" s="35" t="s">
        <v>480</v>
      </c>
      <c r="D730" s="35">
        <v>6.62</v>
      </c>
      <c r="E730" s="35">
        <v>0.26200000000000001</v>
      </c>
      <c r="F730" s="526">
        <v>0.95245560000000007</v>
      </c>
      <c r="G730" s="795">
        <v>0.04</v>
      </c>
      <c r="H730" s="795">
        <v>0.14000000000000001</v>
      </c>
      <c r="I730" s="795">
        <v>0.03</v>
      </c>
      <c r="J730" s="795">
        <v>1.28</v>
      </c>
      <c r="K730" s="795">
        <v>0.12</v>
      </c>
      <c r="L730" s="35">
        <v>93.2</v>
      </c>
    </row>
    <row r="731" spans="1:17" x14ac:dyDescent="0.25">
      <c r="A731" s="37">
        <v>909447</v>
      </c>
      <c r="B731" s="35">
        <v>67</v>
      </c>
      <c r="C731" s="35" t="s">
        <v>480</v>
      </c>
      <c r="D731" s="35">
        <v>7.04</v>
      </c>
      <c r="E731" s="35">
        <v>0.19</v>
      </c>
      <c r="F731" s="526">
        <v>0.98046900000000003</v>
      </c>
      <c r="G731" s="795">
        <v>0.05</v>
      </c>
      <c r="H731" s="795">
        <v>0.13</v>
      </c>
      <c r="I731" s="795">
        <v>0.05</v>
      </c>
      <c r="J731" s="795">
        <v>2.11</v>
      </c>
      <c r="K731" s="795">
        <v>0.18</v>
      </c>
      <c r="L731" s="35">
        <v>81</v>
      </c>
    </row>
    <row r="732" spans="1:17" x14ac:dyDescent="0.25">
      <c r="A732" s="37">
        <v>909448</v>
      </c>
      <c r="B732" s="35">
        <v>60</v>
      </c>
      <c r="C732" s="35" t="s">
        <v>480</v>
      </c>
      <c r="D732" s="35">
        <v>5.6</v>
      </c>
      <c r="E732" s="35">
        <v>0.157</v>
      </c>
      <c r="F732" s="526">
        <v>0.81238860000000002</v>
      </c>
      <c r="G732" s="795">
        <v>0.03</v>
      </c>
      <c r="H732" s="795">
        <v>0.16</v>
      </c>
      <c r="I732" s="795">
        <v>0.04</v>
      </c>
      <c r="J732" s="795">
        <v>0.69</v>
      </c>
      <c r="K732" s="795">
        <v>7.0000000000000007E-2</v>
      </c>
      <c r="L732" s="35">
        <v>89</v>
      </c>
    </row>
    <row r="733" spans="1:17" x14ac:dyDescent="0.25">
      <c r="A733" s="37">
        <v>909449</v>
      </c>
      <c r="B733" s="35">
        <v>72</v>
      </c>
      <c r="C733" s="35" t="s">
        <v>480</v>
      </c>
      <c r="D733" s="35">
        <v>5.42</v>
      </c>
      <c r="E733" s="35">
        <v>0.26500000000000001</v>
      </c>
      <c r="F733" s="526">
        <v>1.0364958000000002</v>
      </c>
      <c r="G733" s="795">
        <v>0.03</v>
      </c>
      <c r="H733" s="795">
        <v>0.12</v>
      </c>
      <c r="I733" s="795">
        <v>0.04</v>
      </c>
      <c r="J733" s="795">
        <v>1.43</v>
      </c>
      <c r="K733" s="795">
        <v>0.13</v>
      </c>
      <c r="L733" s="35">
        <v>93.1</v>
      </c>
    </row>
    <row r="734" spans="1:17" x14ac:dyDescent="0.25">
      <c r="A734" s="37">
        <v>909450</v>
      </c>
      <c r="B734" s="35">
        <v>83</v>
      </c>
      <c r="C734" s="35" t="s">
        <v>480</v>
      </c>
      <c r="D734" s="35">
        <v>9.85</v>
      </c>
      <c r="E734" s="35">
        <v>6.51</v>
      </c>
      <c r="F734" s="526">
        <v>2.4371658000000007</v>
      </c>
      <c r="G734" s="795">
        <v>0.21</v>
      </c>
      <c r="H734" s="795">
        <v>2</v>
      </c>
      <c r="I734" s="795">
        <v>1.33</v>
      </c>
      <c r="J734" s="795">
        <v>5.0599999999999996</v>
      </c>
      <c r="K734" s="795">
        <v>0.69</v>
      </c>
      <c r="L734" s="35">
        <v>63.1</v>
      </c>
      <c r="M734" s="795">
        <v>63.85</v>
      </c>
      <c r="N734" s="795">
        <v>28.65</v>
      </c>
      <c r="O734" s="795">
        <v>87.78</v>
      </c>
      <c r="P734" s="795">
        <v>3028.4</v>
      </c>
      <c r="Q734" s="795">
        <v>64.510000000000005</v>
      </c>
    </row>
    <row r="735" spans="1:17" x14ac:dyDescent="0.25">
      <c r="A735" s="37">
        <v>909451</v>
      </c>
      <c r="B735" s="35">
        <v>45</v>
      </c>
      <c r="C735" s="35" t="s">
        <v>480</v>
      </c>
      <c r="D735" s="35">
        <v>8.58</v>
      </c>
      <c r="E735" s="35">
        <v>1.52</v>
      </c>
      <c r="F735" s="526">
        <v>1.9329246000000002</v>
      </c>
      <c r="G735" s="795">
        <v>0.19</v>
      </c>
      <c r="H735" s="795">
        <v>1.1499999999999999</v>
      </c>
      <c r="I735" s="795">
        <v>0.3</v>
      </c>
      <c r="J735" s="795">
        <v>2.89</v>
      </c>
      <c r="K735" s="795">
        <v>0.57999999999999996</v>
      </c>
      <c r="L735" s="35">
        <v>75</v>
      </c>
      <c r="M735" s="795">
        <v>43.07</v>
      </c>
      <c r="N735" s="795">
        <v>14.52</v>
      </c>
      <c r="O735" s="795">
        <v>119.63</v>
      </c>
      <c r="P735" s="795">
        <v>3697.18</v>
      </c>
      <c r="Q735" s="795">
        <v>34.33</v>
      </c>
    </row>
    <row r="736" spans="1:17" x14ac:dyDescent="0.25">
      <c r="A736" s="748">
        <v>909452</v>
      </c>
      <c r="B736" s="923">
        <v>76</v>
      </c>
      <c r="C736" s="749" t="s">
        <v>477</v>
      </c>
      <c r="D736" s="749">
        <v>8.7799999999999994</v>
      </c>
      <c r="E736" s="749">
        <v>7.24</v>
      </c>
      <c r="F736" s="749">
        <v>2.21</v>
      </c>
      <c r="G736" s="749">
        <v>1.42</v>
      </c>
      <c r="H736" s="749">
        <v>3.49</v>
      </c>
      <c r="I736" s="749">
        <v>0.86</v>
      </c>
      <c r="J736" s="749">
        <v>8.24</v>
      </c>
      <c r="K736" s="749">
        <v>0.86</v>
      </c>
      <c r="L736" s="749">
        <v>54.5</v>
      </c>
    </row>
    <row r="737" spans="1:17" x14ac:dyDescent="0.25">
      <c r="A737" s="925">
        <v>909453</v>
      </c>
      <c r="B737" s="2106" t="s">
        <v>488</v>
      </c>
      <c r="C737" s="2106"/>
      <c r="D737" s="2106"/>
      <c r="E737" s="2106"/>
      <c r="F737" s="2106"/>
      <c r="G737" s="2106"/>
      <c r="H737" s="2106"/>
      <c r="I737" s="2106"/>
      <c r="J737" s="2106"/>
      <c r="K737" s="2106"/>
      <c r="L737" s="2106"/>
      <c r="M737" s="2106"/>
      <c r="N737" s="2106"/>
      <c r="O737" s="2106"/>
      <c r="P737" s="2106"/>
      <c r="Q737" s="2106"/>
    </row>
    <row r="738" spans="1:17" x14ac:dyDescent="0.25">
      <c r="A738" s="925">
        <v>909454</v>
      </c>
      <c r="B738" s="2106"/>
      <c r="C738" s="2106"/>
      <c r="D738" s="2106"/>
      <c r="E738" s="2106"/>
      <c r="F738" s="2106"/>
      <c r="G738" s="2106"/>
      <c r="H738" s="2106"/>
      <c r="I738" s="2106"/>
      <c r="J738" s="2106"/>
      <c r="K738" s="2106"/>
      <c r="L738" s="2106"/>
      <c r="M738" s="2106"/>
      <c r="N738" s="2106"/>
      <c r="O738" s="2106"/>
      <c r="P738" s="2106"/>
      <c r="Q738" s="2106"/>
    </row>
    <row r="739" spans="1:17" x14ac:dyDescent="0.25">
      <c r="A739" s="748">
        <v>909455</v>
      </c>
      <c r="B739" s="923">
        <v>60</v>
      </c>
      <c r="C739" s="749" t="s">
        <v>476</v>
      </c>
      <c r="D739" s="749">
        <v>9.51</v>
      </c>
      <c r="E739" s="749">
        <v>4.6500000000000004</v>
      </c>
      <c r="F739" s="749">
        <v>1.82</v>
      </c>
      <c r="G739" s="749">
        <v>0.85</v>
      </c>
      <c r="H739" s="749">
        <v>2.86</v>
      </c>
      <c r="I739" s="749">
        <v>0.98</v>
      </c>
      <c r="J739" s="749">
        <v>7.94</v>
      </c>
      <c r="K739" s="749">
        <v>0.98</v>
      </c>
      <c r="L739" s="749">
        <v>43.4</v>
      </c>
    </row>
    <row r="740" spans="1:17" x14ac:dyDescent="0.25">
      <c r="A740" s="748">
        <v>909456</v>
      </c>
      <c r="B740" s="923">
        <v>64</v>
      </c>
      <c r="C740" s="749" t="s">
        <v>477</v>
      </c>
      <c r="D740" s="749">
        <v>6.69</v>
      </c>
      <c r="E740" s="749">
        <v>5.3999999999999999E-2</v>
      </c>
      <c r="F740" s="749">
        <v>0.17</v>
      </c>
      <c r="G740" s="749">
        <v>0.01</v>
      </c>
      <c r="H740" s="749">
        <v>0.04</v>
      </c>
      <c r="I740" s="749">
        <v>0.03</v>
      </c>
      <c r="J740" s="749">
        <v>0.28999999999999998</v>
      </c>
      <c r="K740" s="749">
        <v>0.03</v>
      </c>
      <c r="L740" s="749">
        <v>98.6</v>
      </c>
    </row>
    <row r="741" spans="1:17" x14ac:dyDescent="0.25">
      <c r="A741" s="748">
        <v>909457</v>
      </c>
      <c r="B741" s="923">
        <v>62</v>
      </c>
      <c r="C741" s="749" t="s">
        <v>477</v>
      </c>
      <c r="D741" s="749">
        <v>5.63</v>
      </c>
      <c r="E741" s="749">
        <v>0.17100000000000001</v>
      </c>
      <c r="F741" s="749">
        <v>0.92</v>
      </c>
      <c r="G741" s="749">
        <v>0.03</v>
      </c>
      <c r="H741" s="749">
        <v>0.19</v>
      </c>
      <c r="I741" s="749">
        <v>0.04</v>
      </c>
      <c r="J741" s="749">
        <v>0.82</v>
      </c>
      <c r="K741" s="749">
        <v>0.04</v>
      </c>
      <c r="L741" s="749">
        <v>92.5</v>
      </c>
    </row>
    <row r="742" spans="1:17" x14ac:dyDescent="0.25">
      <c r="A742" s="748">
        <v>909458</v>
      </c>
      <c r="B742" s="923">
        <v>84</v>
      </c>
      <c r="C742" s="749" t="s">
        <v>477</v>
      </c>
      <c r="D742" s="749">
        <v>5.94</v>
      </c>
      <c r="E742" s="749">
        <v>0.154</v>
      </c>
      <c r="F742" s="749">
        <v>0.34</v>
      </c>
      <c r="G742" s="749">
        <v>0.02</v>
      </c>
      <c r="H742" s="749">
        <v>7.0000000000000007E-2</v>
      </c>
      <c r="I742" s="749">
        <v>0.14000000000000001</v>
      </c>
      <c r="J742" s="749">
        <v>0.87</v>
      </c>
      <c r="K742" s="749">
        <v>0.14000000000000001</v>
      </c>
      <c r="L742" s="749">
        <v>94.6</v>
      </c>
    </row>
    <row r="743" spans="1:17" x14ac:dyDescent="0.25">
      <c r="A743" s="748">
        <v>909459</v>
      </c>
      <c r="B743" s="923">
        <v>75</v>
      </c>
      <c r="C743" s="749" t="s">
        <v>477</v>
      </c>
      <c r="D743" s="749">
        <v>6.14</v>
      </c>
      <c r="E743" s="749">
        <v>5.6000000000000001E-2</v>
      </c>
      <c r="F743" s="749">
        <v>0.36</v>
      </c>
      <c r="G743" s="749">
        <v>0.02</v>
      </c>
      <c r="H743" s="749">
        <v>7.0000000000000007E-2</v>
      </c>
      <c r="I743" s="749">
        <v>0.06</v>
      </c>
      <c r="J743" s="749">
        <v>0.49</v>
      </c>
      <c r="K743" s="749">
        <v>0.06</v>
      </c>
      <c r="L743" s="749">
        <v>97.2</v>
      </c>
    </row>
    <row r="744" spans="1:17" x14ac:dyDescent="0.25">
      <c r="A744" s="748">
        <v>909460</v>
      </c>
      <c r="B744" s="923">
        <v>70</v>
      </c>
      <c r="C744" s="749" t="s">
        <v>476</v>
      </c>
      <c r="D744" s="749">
        <v>8.36</v>
      </c>
      <c r="E744" s="749">
        <v>0.307</v>
      </c>
      <c r="F744" s="749">
        <v>0.5</v>
      </c>
      <c r="G744" s="749">
        <v>0.05</v>
      </c>
      <c r="H744" s="749">
        <v>0.28000000000000003</v>
      </c>
      <c r="I744" s="749">
        <v>0.27</v>
      </c>
      <c r="J744" s="749">
        <v>3.1</v>
      </c>
      <c r="K744" s="749">
        <v>0.27</v>
      </c>
      <c r="L744" s="749">
        <v>83.4</v>
      </c>
    </row>
    <row r="745" spans="1:17" x14ac:dyDescent="0.25">
      <c r="A745" s="923">
        <v>909461</v>
      </c>
      <c r="B745" s="923">
        <v>69</v>
      </c>
      <c r="C745" s="923" t="s">
        <v>476</v>
      </c>
      <c r="D745" s="923">
        <v>7.21</v>
      </c>
      <c r="E745" s="923">
        <v>0.40500000000000003</v>
      </c>
      <c r="F745" s="923">
        <v>0.78</v>
      </c>
      <c r="G745" s="923">
        <v>0.09</v>
      </c>
      <c r="H745" s="923">
        <v>0.34</v>
      </c>
      <c r="I745" s="923">
        <v>0.54</v>
      </c>
      <c r="J745" s="923">
        <v>3.15</v>
      </c>
      <c r="K745" s="923">
        <v>0.54</v>
      </c>
      <c r="L745" s="923">
        <v>75.3</v>
      </c>
    </row>
    <row r="746" spans="1:17" x14ac:dyDescent="0.25">
      <c r="A746" s="923">
        <v>909462</v>
      </c>
      <c r="B746" s="923">
        <v>81</v>
      </c>
      <c r="C746" s="923" t="s">
        <v>477</v>
      </c>
      <c r="D746" s="923">
        <v>7.16</v>
      </c>
      <c r="E746" s="923">
        <v>0.193</v>
      </c>
      <c r="F746" s="923">
        <v>0.39</v>
      </c>
      <c r="G746" s="923">
        <v>0.02</v>
      </c>
      <c r="H746" s="923">
        <v>7.0000000000000007E-2</v>
      </c>
      <c r="I746" s="923">
        <v>0.08</v>
      </c>
      <c r="J746" s="923">
        <v>1.05</v>
      </c>
      <c r="K746" s="923">
        <v>0.08</v>
      </c>
      <c r="L746" s="923">
        <v>93.3</v>
      </c>
    </row>
    <row r="747" spans="1:17" x14ac:dyDescent="0.25">
      <c r="A747" s="923">
        <v>909463</v>
      </c>
      <c r="B747" s="923">
        <v>58</v>
      </c>
      <c r="C747" s="923" t="s">
        <v>477</v>
      </c>
      <c r="D747" s="923">
        <v>5.51</v>
      </c>
      <c r="E747" s="923">
        <v>0.14699999999999999</v>
      </c>
      <c r="F747" s="923">
        <v>0.25</v>
      </c>
      <c r="G747" s="923">
        <v>0.02</v>
      </c>
      <c r="H747" s="923">
        <v>0.08</v>
      </c>
      <c r="I747" s="923">
        <v>0.06</v>
      </c>
      <c r="J747" s="923">
        <v>0.47</v>
      </c>
      <c r="K747" s="923">
        <v>0.06</v>
      </c>
      <c r="L747" s="923">
        <v>97.7</v>
      </c>
    </row>
    <row r="748" spans="1:17" x14ac:dyDescent="0.25">
      <c r="A748" s="923">
        <v>909464</v>
      </c>
      <c r="B748" s="34">
        <v>60</v>
      </c>
      <c r="C748" s="35" t="s">
        <v>477</v>
      </c>
      <c r="D748" s="35">
        <v>7.27</v>
      </c>
      <c r="E748" s="35">
        <v>4.5999999999999999E-2</v>
      </c>
      <c r="F748" s="35">
        <v>0.17</v>
      </c>
      <c r="G748" s="35">
        <v>0.01</v>
      </c>
      <c r="H748" s="35">
        <v>0.05</v>
      </c>
      <c r="I748" s="35">
        <v>0.05</v>
      </c>
      <c r="J748" s="35">
        <v>0.26</v>
      </c>
      <c r="K748" s="35">
        <v>0.05</v>
      </c>
      <c r="L748" s="35">
        <v>98.4</v>
      </c>
    </row>
    <row r="749" spans="1:17" x14ac:dyDescent="0.25">
      <c r="A749" s="923">
        <v>909465</v>
      </c>
      <c r="B749" s="34">
        <v>81</v>
      </c>
      <c r="C749" s="35" t="s">
        <v>477</v>
      </c>
      <c r="D749" s="35">
        <v>7.62</v>
      </c>
      <c r="E749" s="35">
        <v>0.24</v>
      </c>
      <c r="F749" s="35">
        <v>0.84</v>
      </c>
      <c r="G749" s="35">
        <v>0.04</v>
      </c>
      <c r="H749" s="35">
        <v>1.01</v>
      </c>
      <c r="I749" s="35">
        <v>0.21</v>
      </c>
      <c r="J749" s="35">
        <v>1.5</v>
      </c>
      <c r="K749" s="35">
        <v>0.21</v>
      </c>
      <c r="L749" s="35">
        <v>90.6</v>
      </c>
    </row>
    <row r="750" spans="1:17" x14ac:dyDescent="0.25">
      <c r="A750" s="923">
        <v>909466</v>
      </c>
      <c r="B750" s="34">
        <v>77</v>
      </c>
      <c r="C750" s="35" t="s">
        <v>477</v>
      </c>
      <c r="D750" s="35">
        <v>6.12</v>
      </c>
      <c r="E750" s="35">
        <v>0.79700000000000004</v>
      </c>
      <c r="F750" s="35">
        <v>0.81</v>
      </c>
      <c r="G750" s="35">
        <v>0.06</v>
      </c>
      <c r="H750" s="35">
        <v>1.2</v>
      </c>
      <c r="I750" s="35">
        <v>0.2</v>
      </c>
      <c r="J750" s="35">
        <v>1.01</v>
      </c>
      <c r="K750" s="35">
        <v>0.2</v>
      </c>
      <c r="L750" s="35">
        <v>93.2</v>
      </c>
    </row>
    <row r="751" spans="1:17" x14ac:dyDescent="0.25">
      <c r="A751" s="972">
        <v>909467</v>
      </c>
      <c r="B751" s="972">
        <v>3</v>
      </c>
      <c r="C751" s="973" t="s">
        <v>477</v>
      </c>
      <c r="D751" s="973">
        <v>6.29</v>
      </c>
      <c r="E751" s="973">
        <v>23.28</v>
      </c>
      <c r="F751" s="973">
        <v>4</v>
      </c>
      <c r="G751" s="961">
        <v>0.06</v>
      </c>
      <c r="H751" s="961">
        <v>10.17</v>
      </c>
      <c r="I751" s="961">
        <v>3.1</v>
      </c>
      <c r="J751" s="961">
        <v>2.2400000000000002</v>
      </c>
      <c r="K751" s="961">
        <v>0.44</v>
      </c>
      <c r="L751" s="973">
        <v>43</v>
      </c>
    </row>
    <row r="752" spans="1:17" x14ac:dyDescent="0.25">
      <c r="A752" s="923">
        <v>909468</v>
      </c>
      <c r="B752" s="34">
        <v>79</v>
      </c>
      <c r="C752" s="35" t="s">
        <v>476</v>
      </c>
      <c r="D752" s="35">
        <v>6.9</v>
      </c>
      <c r="E752" s="35">
        <v>0.14299999999999999</v>
      </c>
      <c r="F752" s="35">
        <v>0.42</v>
      </c>
      <c r="G752" s="35">
        <v>0.06</v>
      </c>
      <c r="H752" s="35">
        <v>0.13</v>
      </c>
      <c r="I752" s="35">
        <v>0.15</v>
      </c>
      <c r="J752" s="35">
        <v>1.75</v>
      </c>
      <c r="K752" s="35">
        <v>0.15</v>
      </c>
      <c r="L752" s="35">
        <v>92.3</v>
      </c>
    </row>
    <row r="753" spans="1:16" x14ac:dyDescent="0.25">
      <c r="A753" s="923">
        <v>909469</v>
      </c>
      <c r="B753" s="34">
        <v>78</v>
      </c>
      <c r="C753" s="35" t="s">
        <v>476</v>
      </c>
      <c r="D753" s="35">
        <v>6.88</v>
      </c>
      <c r="E753" s="35">
        <v>0.17899999999999999</v>
      </c>
      <c r="F753" s="35">
        <v>0.36</v>
      </c>
      <c r="G753" s="35">
        <v>0.02</v>
      </c>
      <c r="H753" s="35">
        <v>0.12</v>
      </c>
      <c r="I753" s="35">
        <v>0.28000000000000003</v>
      </c>
      <c r="J753" s="35">
        <v>2.04</v>
      </c>
      <c r="K753" s="35">
        <v>0.28000000000000003</v>
      </c>
      <c r="L753" s="35">
        <v>90.8</v>
      </c>
    </row>
    <row r="754" spans="1:16" x14ac:dyDescent="0.25">
      <c r="A754" s="923">
        <v>909470</v>
      </c>
      <c r="B754" s="34">
        <v>73</v>
      </c>
      <c r="C754" s="35" t="s">
        <v>480</v>
      </c>
      <c r="D754" s="35">
        <v>7.03</v>
      </c>
      <c r="E754" s="35">
        <v>5.26</v>
      </c>
      <c r="F754" s="35">
        <v>1.65</v>
      </c>
      <c r="G754" s="35">
        <v>0.28999999999999998</v>
      </c>
      <c r="H754" s="35">
        <v>1.24</v>
      </c>
      <c r="I754" s="35">
        <v>0.53</v>
      </c>
      <c r="J754" s="35">
        <v>2.92</v>
      </c>
      <c r="K754" s="35">
        <v>0.63</v>
      </c>
      <c r="L754" s="35">
        <v>43</v>
      </c>
      <c r="M754" s="35">
        <v>101.94</v>
      </c>
      <c r="N754" s="35">
        <v>16.54</v>
      </c>
      <c r="O754" s="35">
        <v>186.57</v>
      </c>
      <c r="P754" s="35">
        <v>7959.88</v>
      </c>
    </row>
    <row r="755" spans="1:16" x14ac:dyDescent="0.25">
      <c r="A755" s="923">
        <v>909471</v>
      </c>
      <c r="B755" s="34">
        <v>84</v>
      </c>
      <c r="C755" s="35" t="s">
        <v>480</v>
      </c>
      <c r="D755" s="35">
        <v>8.61</v>
      </c>
      <c r="E755" s="35">
        <v>6.24</v>
      </c>
      <c r="F755" s="35">
        <v>1.79</v>
      </c>
      <c r="G755" s="35">
        <v>0.21</v>
      </c>
      <c r="H755" s="35">
        <v>1.81</v>
      </c>
      <c r="I755" s="35">
        <v>0.61</v>
      </c>
      <c r="J755" s="35">
        <v>2.4700000000000002</v>
      </c>
      <c r="K755" s="35">
        <v>0.54</v>
      </c>
      <c r="L755" s="35">
        <v>60.5</v>
      </c>
      <c r="M755" s="35">
        <v>96.21</v>
      </c>
      <c r="N755" s="35">
        <v>29.64</v>
      </c>
      <c r="O755" s="35">
        <v>146.01</v>
      </c>
      <c r="P755" s="35">
        <v>4381.45</v>
      </c>
    </row>
    <row r="756" spans="1:16" x14ac:dyDescent="0.25">
      <c r="A756" s="745">
        <v>909472</v>
      </c>
      <c r="B756" s="746">
        <v>60</v>
      </c>
      <c r="C756" s="747" t="s">
        <v>187</v>
      </c>
      <c r="D756" s="747"/>
      <c r="E756" s="747"/>
      <c r="F756" s="747"/>
      <c r="G756" s="747"/>
      <c r="H756" s="747"/>
      <c r="I756" s="747"/>
      <c r="J756" s="747"/>
      <c r="K756" s="747"/>
      <c r="L756" s="747">
        <v>35</v>
      </c>
    </row>
    <row r="757" spans="1:16" s="949" customFormat="1" x14ac:dyDescent="0.25">
      <c r="A757" s="947">
        <v>909473</v>
      </c>
      <c r="B757" s="948"/>
    </row>
    <row r="758" spans="1:16" x14ac:dyDescent="0.25">
      <c r="A758" s="37">
        <v>909474</v>
      </c>
      <c r="B758" s="34">
        <v>66</v>
      </c>
      <c r="C758" s="35" t="s">
        <v>477</v>
      </c>
      <c r="D758" s="35">
        <v>5.45</v>
      </c>
      <c r="E758" s="35">
        <v>0.21299999999999999</v>
      </c>
      <c r="F758" s="35">
        <v>1.29</v>
      </c>
      <c r="G758" s="753">
        <v>0.03</v>
      </c>
      <c r="H758" s="753">
        <v>0.21</v>
      </c>
      <c r="I758" s="753">
        <v>0.05</v>
      </c>
      <c r="J758" s="753">
        <v>0.83</v>
      </c>
      <c r="K758" s="753">
        <v>0.05</v>
      </c>
      <c r="L758" s="35">
        <v>93.3</v>
      </c>
    </row>
    <row r="759" spans="1:16" x14ac:dyDescent="0.25">
      <c r="A759" s="37">
        <v>909475</v>
      </c>
      <c r="B759" s="34">
        <v>50</v>
      </c>
      <c r="C759" s="35" t="s">
        <v>477</v>
      </c>
      <c r="D759" s="35">
        <v>5.81</v>
      </c>
      <c r="E759" s="35">
        <v>0.2</v>
      </c>
      <c r="F759" s="35">
        <v>1.37</v>
      </c>
      <c r="G759" s="753">
        <v>0.03</v>
      </c>
      <c r="H759" s="753">
        <v>0.21</v>
      </c>
      <c r="I759" s="753">
        <v>7.0000000000000007E-2</v>
      </c>
      <c r="J759" s="753">
        <v>0.71</v>
      </c>
      <c r="K759" s="753">
        <v>0.05</v>
      </c>
      <c r="L759" s="35">
        <v>94.1</v>
      </c>
    </row>
    <row r="760" spans="1:16" x14ac:dyDescent="0.25">
      <c r="A760" s="37">
        <v>909476</v>
      </c>
      <c r="B760" s="34">
        <v>84</v>
      </c>
      <c r="C760" s="35" t="s">
        <v>476</v>
      </c>
      <c r="D760" s="35">
        <v>8.76</v>
      </c>
      <c r="E760" s="35">
        <v>2.44</v>
      </c>
      <c r="F760" s="35">
        <v>1.63</v>
      </c>
      <c r="G760" s="753">
        <v>0.25</v>
      </c>
      <c r="H760" s="753">
        <v>1.6</v>
      </c>
      <c r="I760" s="753">
        <v>0.56999999999999995</v>
      </c>
      <c r="J760" s="753">
        <v>2.7</v>
      </c>
      <c r="K760" s="753">
        <v>0.36</v>
      </c>
      <c r="L760" s="35">
        <v>71.099999999999994</v>
      </c>
    </row>
    <row r="761" spans="1:16" x14ac:dyDescent="0.25">
      <c r="A761" s="37">
        <v>909477</v>
      </c>
      <c r="B761" s="34">
        <v>86</v>
      </c>
      <c r="C761" s="35" t="s">
        <v>477</v>
      </c>
      <c r="D761" s="35">
        <v>8.67</v>
      </c>
      <c r="E761" s="35">
        <v>2.68</v>
      </c>
      <c r="F761" s="35">
        <v>2.4700000000000002</v>
      </c>
      <c r="G761" s="795">
        <v>0.5</v>
      </c>
      <c r="H761" s="795">
        <v>2.2799999999999998</v>
      </c>
      <c r="I761" s="795">
        <v>0.3</v>
      </c>
      <c r="J761" s="795">
        <v>2.39</v>
      </c>
      <c r="K761" s="795">
        <v>0.91</v>
      </c>
      <c r="L761" s="35">
        <v>56.5</v>
      </c>
    </row>
    <row r="762" spans="1:16" x14ac:dyDescent="0.25">
      <c r="A762" s="37">
        <v>909478</v>
      </c>
      <c r="B762" s="34">
        <v>53</v>
      </c>
      <c r="C762" s="35" t="s">
        <v>476</v>
      </c>
      <c r="D762" s="35">
        <v>9.23</v>
      </c>
      <c r="E762" s="35">
        <v>4.0999999999999996</v>
      </c>
      <c r="F762" s="35">
        <v>1.99</v>
      </c>
      <c r="G762" s="795">
        <v>0.32</v>
      </c>
      <c r="H762" s="795">
        <v>2.41</v>
      </c>
      <c r="I762" s="795">
        <v>0.69</v>
      </c>
      <c r="J762" s="795">
        <v>2.85</v>
      </c>
      <c r="K762" s="795">
        <v>0.53</v>
      </c>
      <c r="L762" s="35">
        <v>68.900000000000006</v>
      </c>
    </row>
    <row r="763" spans="1:16" x14ac:dyDescent="0.25">
      <c r="A763" s="37">
        <v>909479</v>
      </c>
      <c r="B763" s="34">
        <v>30</v>
      </c>
      <c r="C763" s="35" t="s">
        <v>476</v>
      </c>
      <c r="D763" s="35">
        <v>8.7899999999999991</v>
      </c>
      <c r="E763" s="35">
        <v>1.68</v>
      </c>
      <c r="F763" s="35">
        <v>1.91</v>
      </c>
      <c r="G763" s="795">
        <v>0.35</v>
      </c>
      <c r="H763" s="795">
        <v>1.3</v>
      </c>
      <c r="I763" s="795">
        <v>0.39</v>
      </c>
      <c r="J763" s="795">
        <v>4.3099999999999996</v>
      </c>
      <c r="K763" s="795">
        <v>0.73</v>
      </c>
      <c r="L763" s="35">
        <v>65.900000000000006</v>
      </c>
    </row>
    <row r="764" spans="1:16" x14ac:dyDescent="0.25">
      <c r="A764" s="37">
        <v>909480</v>
      </c>
      <c r="B764" s="34">
        <v>72</v>
      </c>
      <c r="C764" s="35" t="s">
        <v>476</v>
      </c>
      <c r="D764" s="35">
        <v>7.98</v>
      </c>
      <c r="E764" s="35">
        <v>6.51</v>
      </c>
      <c r="F764" s="35">
        <v>3.42</v>
      </c>
      <c r="G764" s="795">
        <v>0.84</v>
      </c>
      <c r="H764" s="795">
        <v>1.86</v>
      </c>
      <c r="I764" s="795">
        <v>0.49</v>
      </c>
      <c r="J764" s="795">
        <v>1.68</v>
      </c>
      <c r="K764" s="795">
        <v>0.63</v>
      </c>
      <c r="L764" s="35">
        <v>84.6</v>
      </c>
    </row>
    <row r="765" spans="1:16" x14ac:dyDescent="0.25">
      <c r="A765" s="37">
        <v>909481</v>
      </c>
      <c r="B765" s="34">
        <v>78</v>
      </c>
      <c r="C765" s="35" t="s">
        <v>476</v>
      </c>
      <c r="D765" s="35">
        <v>8.32</v>
      </c>
      <c r="E765" s="35">
        <v>6.4</v>
      </c>
      <c r="F765" s="526">
        <v>3.7</v>
      </c>
      <c r="G765" s="795">
        <v>0.85</v>
      </c>
      <c r="H765" s="795">
        <v>1.88</v>
      </c>
      <c r="I765" s="795">
        <v>0.37</v>
      </c>
      <c r="J765" s="795">
        <v>1.81</v>
      </c>
      <c r="K765" s="795">
        <v>0.61</v>
      </c>
      <c r="L765" s="35">
        <v>86.9</v>
      </c>
    </row>
    <row r="766" spans="1:16" x14ac:dyDescent="0.25">
      <c r="A766" s="37">
        <v>909482</v>
      </c>
      <c r="B766" s="34">
        <v>91</v>
      </c>
      <c r="C766" s="35" t="s">
        <v>476</v>
      </c>
      <c r="D766" s="35">
        <v>7.97</v>
      </c>
      <c r="E766" s="35">
        <v>6.85</v>
      </c>
      <c r="F766" s="526">
        <v>3.8658492000000004</v>
      </c>
      <c r="G766" s="795">
        <v>0.92</v>
      </c>
      <c r="H766" s="795">
        <v>1.9</v>
      </c>
      <c r="I766" s="795">
        <v>0.34</v>
      </c>
      <c r="J766" s="795">
        <v>2.5499999999999998</v>
      </c>
      <c r="K766" s="795">
        <v>1.04</v>
      </c>
      <c r="L766" s="35">
        <v>82.4</v>
      </c>
    </row>
    <row r="767" spans="1:16" x14ac:dyDescent="0.25">
      <c r="A767" s="37">
        <v>909483</v>
      </c>
      <c r="B767" s="34">
        <v>90</v>
      </c>
      <c r="C767" s="35" t="s">
        <v>477</v>
      </c>
      <c r="D767" s="35">
        <v>7.73</v>
      </c>
      <c r="E767" s="35">
        <v>3.03</v>
      </c>
      <c r="F767" s="526">
        <v>3.28</v>
      </c>
      <c r="G767" s="795">
        <v>1.55</v>
      </c>
      <c r="H767" s="795">
        <v>1.45</v>
      </c>
      <c r="I767" s="795">
        <v>0.24</v>
      </c>
      <c r="J767" s="795">
        <v>4.3</v>
      </c>
      <c r="K767" s="795">
        <v>0.84</v>
      </c>
      <c r="L767" s="35">
        <v>79.7</v>
      </c>
    </row>
    <row r="768" spans="1:16" x14ac:dyDescent="0.25">
      <c r="A768" s="37">
        <v>909484</v>
      </c>
      <c r="B768" s="34">
        <v>86</v>
      </c>
      <c r="C768" s="35" t="s">
        <v>477</v>
      </c>
      <c r="D768" s="35">
        <v>4.71</v>
      </c>
      <c r="E768" s="35">
        <v>6.2E-2</v>
      </c>
      <c r="F768" s="526">
        <v>0.28000000000000003</v>
      </c>
      <c r="G768" s="795">
        <v>0</v>
      </c>
      <c r="H768" s="795">
        <v>0.02</v>
      </c>
      <c r="I768" s="795">
        <v>0.02</v>
      </c>
      <c r="J768" s="795">
        <v>0.11</v>
      </c>
      <c r="K768" s="795">
        <v>0.01</v>
      </c>
      <c r="L768" s="35">
        <v>99.6</v>
      </c>
    </row>
    <row r="769" spans="1:29" x14ac:dyDescent="0.25">
      <c r="A769" s="37">
        <v>909485</v>
      </c>
      <c r="B769" s="34">
        <v>92</v>
      </c>
      <c r="C769" s="35" t="s">
        <v>477</v>
      </c>
      <c r="D769" s="35">
        <v>6.63</v>
      </c>
      <c r="E769" s="35">
        <v>0.20499999999999999</v>
      </c>
      <c r="F769" s="526">
        <v>0.67</v>
      </c>
      <c r="G769" s="795">
        <v>0.1</v>
      </c>
      <c r="H769" s="795">
        <v>0.14000000000000001</v>
      </c>
      <c r="I769" s="795">
        <v>7.0000000000000007E-2</v>
      </c>
      <c r="J769" s="795">
        <v>1.4</v>
      </c>
      <c r="K769" s="795">
        <v>0.33</v>
      </c>
      <c r="L769" s="35">
        <v>93.1</v>
      </c>
    </row>
    <row r="770" spans="1:29" x14ac:dyDescent="0.25">
      <c r="A770" s="962">
        <v>909486</v>
      </c>
      <c r="B770" s="963">
        <v>91</v>
      </c>
      <c r="C770" s="964" t="s">
        <v>476</v>
      </c>
      <c r="D770" s="964"/>
      <c r="E770" s="964"/>
      <c r="F770" s="964"/>
      <c r="G770" s="965"/>
      <c r="H770" s="965"/>
      <c r="I770" s="965"/>
      <c r="J770" s="965"/>
      <c r="K770" s="965"/>
      <c r="L770" s="964">
        <v>33.1</v>
      </c>
    </row>
    <row r="771" spans="1:29" x14ac:dyDescent="0.25">
      <c r="A771" s="962">
        <v>909487</v>
      </c>
      <c r="B771" s="963">
        <v>93</v>
      </c>
      <c r="C771" s="964" t="s">
        <v>476</v>
      </c>
      <c r="D771" s="964"/>
      <c r="E771" s="964"/>
      <c r="F771" s="964"/>
      <c r="G771" s="965"/>
      <c r="H771" s="965"/>
      <c r="I771" s="965"/>
      <c r="J771" s="965"/>
      <c r="K771" s="965"/>
      <c r="L771" s="964">
        <v>57.3</v>
      </c>
    </row>
    <row r="772" spans="1:29" s="747" customFormat="1" x14ac:dyDescent="0.25">
      <c r="A772" s="976">
        <v>909488</v>
      </c>
      <c r="B772" s="977">
        <v>65</v>
      </c>
      <c r="C772" s="974" t="s">
        <v>476</v>
      </c>
      <c r="D772" s="974"/>
      <c r="E772" s="974"/>
      <c r="F772" s="974"/>
      <c r="G772" s="975"/>
      <c r="H772" s="975"/>
      <c r="I772" s="975"/>
      <c r="J772" s="975"/>
      <c r="K772" s="975"/>
      <c r="L772" s="974"/>
      <c r="M772" s="975">
        <v>156.79</v>
      </c>
      <c r="N772" s="975">
        <v>53.4</v>
      </c>
      <c r="O772" s="975">
        <v>365.89</v>
      </c>
      <c r="P772" s="975">
        <v>10081.14</v>
      </c>
      <c r="Q772" s="975">
        <v>40.17</v>
      </c>
      <c r="R772" s="974"/>
      <c r="S772" s="974"/>
      <c r="U772" s="795">
        <v>5.71</v>
      </c>
      <c r="V772" s="795">
        <v>0.56000000000000005</v>
      </c>
      <c r="W772" s="795">
        <v>4.3099999999999996</v>
      </c>
      <c r="X772" s="795">
        <v>23.52</v>
      </c>
      <c r="Y772" s="747">
        <v>1E-3</v>
      </c>
      <c r="Z772" s="795">
        <v>2.37</v>
      </c>
      <c r="AA772" s="795">
        <v>13.72</v>
      </c>
      <c r="AB772" s="795">
        <v>7.84</v>
      </c>
      <c r="AC772" s="795">
        <v>4.4400000000000004</v>
      </c>
    </row>
    <row r="773" spans="1:29" s="747" customFormat="1" x14ac:dyDescent="0.25">
      <c r="A773" s="976">
        <v>909489</v>
      </c>
      <c r="B773" s="977">
        <v>69</v>
      </c>
      <c r="C773" s="974" t="s">
        <v>476</v>
      </c>
      <c r="D773" s="974"/>
      <c r="E773" s="974"/>
      <c r="F773" s="974"/>
      <c r="G773" s="975"/>
      <c r="H773" s="975"/>
      <c r="I773" s="975"/>
      <c r="J773" s="975"/>
      <c r="K773" s="975"/>
      <c r="L773" s="974"/>
      <c r="M773" s="975">
        <v>160.80000000000001</v>
      </c>
      <c r="N773" s="975">
        <v>54.84</v>
      </c>
      <c r="O773" s="975">
        <v>288.25</v>
      </c>
      <c r="P773" s="975">
        <v>8192.2199999999993</v>
      </c>
      <c r="Q773" s="975">
        <v>56.64</v>
      </c>
      <c r="R773" s="974"/>
      <c r="S773" s="974"/>
      <c r="U773" s="795">
        <v>7.31</v>
      </c>
      <c r="V773" s="795">
        <v>2</v>
      </c>
      <c r="W773" s="795">
        <v>3.99</v>
      </c>
      <c r="X773" s="795">
        <v>23.15</v>
      </c>
      <c r="Y773" s="747">
        <v>1E-3</v>
      </c>
      <c r="Z773" s="795">
        <v>2.21</v>
      </c>
      <c r="AA773" s="795">
        <v>12.56</v>
      </c>
      <c r="AB773" s="795">
        <v>7.88</v>
      </c>
      <c r="AC773" s="795">
        <v>5.74</v>
      </c>
    </row>
    <row r="774" spans="1:29" s="747" customFormat="1" x14ac:dyDescent="0.25">
      <c r="A774" s="976">
        <v>909490</v>
      </c>
      <c r="B774" s="977">
        <v>82</v>
      </c>
      <c r="C774" s="974" t="s">
        <v>477</v>
      </c>
      <c r="D774" s="974"/>
      <c r="E774" s="974"/>
      <c r="F774" s="974"/>
      <c r="G774" s="975"/>
      <c r="H774" s="975"/>
      <c r="I774" s="975"/>
      <c r="J774" s="975"/>
      <c r="K774" s="975"/>
      <c r="L774" s="974"/>
      <c r="M774" s="975">
        <v>323.75</v>
      </c>
      <c r="N774" s="975">
        <v>79.61</v>
      </c>
      <c r="O774" s="975">
        <v>300.82</v>
      </c>
      <c r="P774" s="975">
        <v>856.08</v>
      </c>
      <c r="Q774" s="975">
        <v>31.23</v>
      </c>
      <c r="R774" s="974"/>
      <c r="S774" s="974"/>
      <c r="U774" s="795">
        <v>2.98</v>
      </c>
      <c r="V774" s="795">
        <v>0.47</v>
      </c>
      <c r="W774" s="795">
        <v>1.37</v>
      </c>
      <c r="X774" s="795">
        <v>6.96</v>
      </c>
      <c r="Y774" s="747">
        <v>1E-3</v>
      </c>
      <c r="Z774" s="795">
        <v>3.19</v>
      </c>
      <c r="AA774" s="795">
        <v>7.1</v>
      </c>
      <c r="AB774" s="795">
        <v>0.75</v>
      </c>
      <c r="AC774" s="795">
        <v>4.6900000000000004</v>
      </c>
    </row>
    <row r="775" spans="1:29" ht="17.100000000000001" customHeight="1" x14ac:dyDescent="0.25">
      <c r="A775" s="982">
        <v>909491</v>
      </c>
      <c r="B775" s="983">
        <v>72</v>
      </c>
      <c r="C775" s="984" t="s">
        <v>476</v>
      </c>
      <c r="D775" s="984">
        <v>7.88</v>
      </c>
      <c r="E775" s="984">
        <v>2.1800000000000002</v>
      </c>
      <c r="F775" s="985">
        <v>0.87</v>
      </c>
      <c r="G775" s="986">
        <v>0.38</v>
      </c>
      <c r="H775" s="986">
        <v>0.84</v>
      </c>
      <c r="I775" s="986">
        <v>0.24</v>
      </c>
      <c r="J775" s="986">
        <v>1.52</v>
      </c>
      <c r="K775" s="986">
        <v>0.36</v>
      </c>
      <c r="L775" s="984">
        <v>16.899999999999999</v>
      </c>
      <c r="Y775" s="747">
        <v>1E-3</v>
      </c>
    </row>
    <row r="776" spans="1:29" ht="17.100000000000001" customHeight="1" x14ac:dyDescent="0.25">
      <c r="A776" s="982">
        <v>909492</v>
      </c>
      <c r="B776" s="983">
        <v>51</v>
      </c>
      <c r="C776" s="984" t="s">
        <v>477</v>
      </c>
      <c r="D776" s="984">
        <v>8.6999999999999993</v>
      </c>
      <c r="E776" s="984">
        <v>1.2869999999999999</v>
      </c>
      <c r="F776" s="985">
        <v>1.1499999999999999</v>
      </c>
      <c r="G776" s="986">
        <v>0.78</v>
      </c>
      <c r="H776" s="986">
        <v>0.64</v>
      </c>
      <c r="I776" s="986">
        <v>0.17</v>
      </c>
      <c r="J776" s="986">
        <v>2.79</v>
      </c>
      <c r="K776" s="986">
        <v>0.5</v>
      </c>
      <c r="L776" s="984">
        <v>31.1</v>
      </c>
      <c r="Y776" s="747">
        <v>1E-3</v>
      </c>
    </row>
    <row r="777" spans="1:29" ht="17.100000000000001" customHeight="1" x14ac:dyDescent="0.25">
      <c r="A777" s="982">
        <v>909493</v>
      </c>
      <c r="B777" s="983">
        <v>65</v>
      </c>
      <c r="C777" s="984" t="s">
        <v>476</v>
      </c>
      <c r="D777" s="984">
        <v>8.75</v>
      </c>
      <c r="E777" s="984">
        <v>1.95</v>
      </c>
      <c r="F777" s="985">
        <v>1.0900000000000001</v>
      </c>
      <c r="G777" s="986">
        <v>0.61</v>
      </c>
      <c r="H777" s="986">
        <v>0.99</v>
      </c>
      <c r="I777" s="986">
        <v>0.2</v>
      </c>
      <c r="J777" s="986">
        <v>1.83</v>
      </c>
      <c r="K777" s="986">
        <v>0.41</v>
      </c>
      <c r="L777" s="984">
        <v>25.4</v>
      </c>
      <c r="Y777" s="747">
        <v>1E-3</v>
      </c>
    </row>
    <row r="778" spans="1:29" x14ac:dyDescent="0.25">
      <c r="A778" s="982">
        <v>909494</v>
      </c>
      <c r="B778" s="983">
        <v>61</v>
      </c>
      <c r="C778" s="984" t="s">
        <v>476</v>
      </c>
      <c r="D778" s="984">
        <v>8.6300000000000008</v>
      </c>
      <c r="E778" s="984">
        <v>2.59</v>
      </c>
      <c r="F778" s="985">
        <v>1.49</v>
      </c>
      <c r="G778" s="986">
        <v>1.22</v>
      </c>
      <c r="H778" s="986">
        <v>1.2</v>
      </c>
      <c r="I778" s="986">
        <v>0.28000000000000003</v>
      </c>
      <c r="J778" s="986">
        <v>3.17</v>
      </c>
      <c r="K778" s="986">
        <v>0.56000000000000005</v>
      </c>
      <c r="L778" s="984">
        <v>27.7</v>
      </c>
      <c r="Y778" s="747">
        <v>1E-3</v>
      </c>
    </row>
    <row r="779" spans="1:29" x14ac:dyDescent="0.25">
      <c r="A779" s="982">
        <v>909495</v>
      </c>
      <c r="B779" s="983">
        <v>52</v>
      </c>
      <c r="C779" s="984" t="s">
        <v>476</v>
      </c>
      <c r="D779" s="984">
        <v>7.92</v>
      </c>
      <c r="E779" s="984">
        <v>1.96</v>
      </c>
      <c r="F779" s="985">
        <v>1.32</v>
      </c>
      <c r="G779" s="986">
        <v>0.63</v>
      </c>
      <c r="H779" s="986">
        <v>0.82</v>
      </c>
      <c r="I779" s="986">
        <v>0.19</v>
      </c>
      <c r="J779" s="986">
        <v>1.69</v>
      </c>
      <c r="K779" s="986">
        <v>0.44</v>
      </c>
      <c r="L779" s="984">
        <v>27.6</v>
      </c>
      <c r="Y779" s="747">
        <v>1E-3</v>
      </c>
    </row>
    <row r="780" spans="1:29" x14ac:dyDescent="0.25">
      <c r="A780" s="982">
        <v>909496</v>
      </c>
      <c r="B780" s="983">
        <v>49</v>
      </c>
      <c r="C780" s="984" t="s">
        <v>476</v>
      </c>
      <c r="D780" s="984">
        <v>8.0299999999999994</v>
      </c>
      <c r="E780" s="984">
        <v>0.67400000000000004</v>
      </c>
      <c r="F780" s="985">
        <v>1.49</v>
      </c>
      <c r="G780" s="986">
        <v>0.37</v>
      </c>
      <c r="H780" s="986">
        <v>0.47</v>
      </c>
      <c r="I780" s="986">
        <v>0.12</v>
      </c>
      <c r="J780" s="987">
        <v>1.25</v>
      </c>
      <c r="K780" s="986">
        <v>0.31</v>
      </c>
      <c r="L780" s="984">
        <v>37.1</v>
      </c>
      <c r="Y780" s="747">
        <v>1E-3</v>
      </c>
    </row>
    <row r="781" spans="1:29" x14ac:dyDescent="0.25">
      <c r="A781" s="982">
        <v>909497</v>
      </c>
      <c r="B781" s="983">
        <v>60</v>
      </c>
      <c r="C781" s="984" t="s">
        <v>476</v>
      </c>
      <c r="D781" s="984">
        <v>9.1300000000000008</v>
      </c>
      <c r="E781" s="984">
        <v>1.0900000000000001</v>
      </c>
      <c r="F781" s="985">
        <v>1.6808040000000002</v>
      </c>
      <c r="G781" s="986">
        <v>0.45</v>
      </c>
      <c r="H781" s="986">
        <v>0.86</v>
      </c>
      <c r="I781" s="986">
        <v>0.16</v>
      </c>
      <c r="J781" s="986">
        <v>1.39</v>
      </c>
      <c r="K781" s="986">
        <v>0.38</v>
      </c>
      <c r="L781" s="984">
        <v>31.8</v>
      </c>
      <c r="Y781" s="747">
        <v>1E-3</v>
      </c>
    </row>
    <row r="782" spans="1:29" x14ac:dyDescent="0.25">
      <c r="A782" s="982">
        <v>909498</v>
      </c>
      <c r="B782" s="983">
        <v>56</v>
      </c>
      <c r="C782" s="984" t="s">
        <v>477</v>
      </c>
      <c r="D782" s="984">
        <v>7.89</v>
      </c>
      <c r="E782" s="984">
        <v>1.03</v>
      </c>
      <c r="F782" s="985">
        <v>1.3446431999999999</v>
      </c>
      <c r="G782" s="986">
        <v>0.5</v>
      </c>
      <c r="H782" s="986">
        <v>0.64</v>
      </c>
      <c r="I782" s="986">
        <v>0.17</v>
      </c>
      <c r="J782" s="986">
        <v>2.1800000000000002</v>
      </c>
      <c r="K782" s="986">
        <v>0.4</v>
      </c>
      <c r="L782" s="984">
        <v>20.8</v>
      </c>
      <c r="Y782" s="747">
        <v>1E-3</v>
      </c>
    </row>
    <row r="783" spans="1:29" x14ac:dyDescent="0.25">
      <c r="A783" s="982">
        <v>909499</v>
      </c>
      <c r="B783" s="983">
        <v>49</v>
      </c>
      <c r="C783" s="984" t="s">
        <v>476</v>
      </c>
      <c r="D783" s="984">
        <v>7.4</v>
      </c>
      <c r="E783" s="984">
        <v>7.65</v>
      </c>
      <c r="F783" s="985">
        <v>2.5772328000000004</v>
      </c>
      <c r="G783" s="986">
        <v>1.37</v>
      </c>
      <c r="H783" s="986">
        <v>1.48</v>
      </c>
      <c r="I783" s="986">
        <v>0.43</v>
      </c>
      <c r="J783" s="986">
        <v>5.15</v>
      </c>
      <c r="K783" s="986">
        <v>0.98</v>
      </c>
      <c r="L783" s="984">
        <v>56.4</v>
      </c>
      <c r="Y783" s="747">
        <v>1E-3</v>
      </c>
    </row>
    <row r="784" spans="1:29" x14ac:dyDescent="0.25">
      <c r="A784" s="982">
        <v>909500</v>
      </c>
      <c r="B784" s="983">
        <v>48</v>
      </c>
      <c r="C784" s="984" t="s">
        <v>477</v>
      </c>
      <c r="D784" s="984">
        <v>7.95</v>
      </c>
      <c r="E784" s="984">
        <v>1.4</v>
      </c>
      <c r="F784" s="985">
        <v>2.1850452000000002</v>
      </c>
      <c r="G784" s="986">
        <v>0.69</v>
      </c>
      <c r="H784" s="986">
        <v>1.17</v>
      </c>
      <c r="I784" s="986">
        <v>0.17</v>
      </c>
      <c r="J784" s="986">
        <v>0.39</v>
      </c>
      <c r="K784" s="986">
        <v>0.56000000000000005</v>
      </c>
      <c r="L784" s="984">
        <v>49.4</v>
      </c>
      <c r="Y784" s="747">
        <v>1E-3</v>
      </c>
    </row>
    <row r="785" spans="1:29" x14ac:dyDescent="0.25">
      <c r="A785" s="982">
        <v>909501</v>
      </c>
      <c r="B785" s="983">
        <v>25</v>
      </c>
      <c r="C785" s="984" t="s">
        <v>477</v>
      </c>
      <c r="D785" s="984">
        <v>9.65</v>
      </c>
      <c r="E785" s="984">
        <v>1.64</v>
      </c>
      <c r="F785" s="985">
        <v>2.5212060000000003</v>
      </c>
      <c r="G785" s="986">
        <v>0.59</v>
      </c>
      <c r="H785" s="986">
        <v>0.64</v>
      </c>
      <c r="I785" s="986">
        <v>0.78</v>
      </c>
      <c r="J785" s="986">
        <v>0.76</v>
      </c>
      <c r="K785" s="986">
        <v>0.24</v>
      </c>
      <c r="L785" s="984">
        <v>67.5</v>
      </c>
      <c r="Y785" s="747">
        <v>1E-3</v>
      </c>
    </row>
    <row r="786" spans="1:29" s="980" customFormat="1" x14ac:dyDescent="0.25">
      <c r="A786" s="982">
        <v>909502</v>
      </c>
      <c r="B786" s="988">
        <v>64</v>
      </c>
      <c r="C786" s="984" t="s">
        <v>476</v>
      </c>
      <c r="D786" s="984">
        <v>9.7799999999999994</v>
      </c>
      <c r="E786" s="984">
        <v>4.53</v>
      </c>
      <c r="F786" s="985">
        <v>1.9889514000000001</v>
      </c>
      <c r="G786" s="990">
        <v>0.61</v>
      </c>
      <c r="H786" s="990">
        <v>2.1800000000000002</v>
      </c>
      <c r="I786" s="986">
        <v>0.52</v>
      </c>
      <c r="J786" s="986">
        <v>7.78</v>
      </c>
      <c r="K786" s="986">
        <v>1.56</v>
      </c>
      <c r="L786" s="989">
        <v>40.5</v>
      </c>
      <c r="Y786" s="747">
        <v>1E-3</v>
      </c>
    </row>
    <row r="787" spans="1:29" x14ac:dyDescent="0.25">
      <c r="A787" s="982">
        <v>909503</v>
      </c>
      <c r="B787" s="983">
        <v>80</v>
      </c>
      <c r="C787" s="984" t="s">
        <v>476</v>
      </c>
      <c r="D787" s="984">
        <v>8.17</v>
      </c>
      <c r="E787" s="984">
        <v>3.9</v>
      </c>
      <c r="F787" s="985">
        <v>2.8573668000000003</v>
      </c>
      <c r="G787" s="986">
        <v>1.05</v>
      </c>
      <c r="H787" s="986">
        <v>2.37</v>
      </c>
      <c r="I787" s="986">
        <v>0.42</v>
      </c>
      <c r="J787" s="986">
        <v>5.59</v>
      </c>
      <c r="K787" s="986">
        <v>0.68</v>
      </c>
      <c r="L787" s="984">
        <v>64.2</v>
      </c>
      <c r="Y787" s="747">
        <v>1E-3</v>
      </c>
    </row>
    <row r="788" spans="1:29" x14ac:dyDescent="0.25">
      <c r="A788" s="996">
        <v>909504</v>
      </c>
      <c r="B788" s="997">
        <v>84</v>
      </c>
      <c r="C788" s="998" t="s">
        <v>476</v>
      </c>
      <c r="D788" s="998">
        <v>9.19</v>
      </c>
      <c r="E788" s="998">
        <v>2.27</v>
      </c>
      <c r="F788" s="999">
        <v>1.9609380000000001</v>
      </c>
      <c r="G788" s="1000">
        <v>0.49</v>
      </c>
      <c r="H788" s="1000">
        <v>2.34</v>
      </c>
      <c r="I788" s="1000">
        <v>0.43</v>
      </c>
      <c r="J788" s="1000">
        <v>3.86</v>
      </c>
      <c r="K788" s="1000">
        <v>0.76</v>
      </c>
      <c r="L788" s="998">
        <v>56.1</v>
      </c>
      <c r="Y788" s="747">
        <v>1E-3</v>
      </c>
    </row>
    <row r="789" spans="1:29" x14ac:dyDescent="0.25">
      <c r="A789" s="996">
        <v>909505</v>
      </c>
      <c r="B789" s="997">
        <v>85</v>
      </c>
      <c r="C789" s="998" t="s">
        <v>476</v>
      </c>
      <c r="D789" s="998">
        <v>9.4</v>
      </c>
      <c r="E789" s="998">
        <v>1.85</v>
      </c>
      <c r="F789" s="999">
        <v>1.7928576000000001</v>
      </c>
      <c r="G789" s="1000">
        <v>0.43</v>
      </c>
      <c r="H789" s="1000">
        <v>1.6</v>
      </c>
      <c r="I789" s="1000">
        <v>0.43</v>
      </c>
      <c r="J789" s="1000">
        <v>5.87</v>
      </c>
      <c r="K789" s="1000">
        <v>0.72</v>
      </c>
      <c r="L789" s="998">
        <v>54.8</v>
      </c>
      <c r="Y789" s="747">
        <v>1E-3</v>
      </c>
    </row>
    <row r="790" spans="1:29" x14ac:dyDescent="0.25">
      <c r="A790" s="996">
        <v>909506</v>
      </c>
      <c r="B790" s="997">
        <v>70</v>
      </c>
      <c r="C790" s="998" t="s">
        <v>476</v>
      </c>
      <c r="D790" s="998">
        <v>9.08</v>
      </c>
      <c r="E790" s="998">
        <v>3.15</v>
      </c>
      <c r="F790" s="999">
        <v>2.6332596000000001</v>
      </c>
      <c r="G790" s="1000">
        <v>1.07</v>
      </c>
      <c r="H790" s="1000">
        <v>2.31</v>
      </c>
      <c r="I790" s="1000">
        <v>0.41</v>
      </c>
      <c r="J790" s="1000">
        <v>6.53</v>
      </c>
      <c r="K790" s="1000">
        <v>1.04</v>
      </c>
      <c r="L790" s="998">
        <v>59.2</v>
      </c>
      <c r="Y790" s="747">
        <v>1E-3</v>
      </c>
    </row>
    <row r="791" spans="1:29" x14ac:dyDescent="0.25">
      <c r="A791" s="996">
        <v>909507</v>
      </c>
      <c r="B791" s="997">
        <v>52</v>
      </c>
      <c r="C791" s="998" t="s">
        <v>476</v>
      </c>
      <c r="D791" s="998">
        <v>8.74</v>
      </c>
      <c r="E791" s="998">
        <v>3.58</v>
      </c>
      <c r="F791" s="999">
        <v>2.8013400000000006</v>
      </c>
      <c r="G791" s="1000">
        <v>1</v>
      </c>
      <c r="H791" s="1000">
        <v>2.1800000000000002</v>
      </c>
      <c r="I791" s="1000">
        <v>0.32</v>
      </c>
      <c r="J791" s="1000">
        <v>2.7</v>
      </c>
      <c r="K791" s="1000">
        <v>0.73</v>
      </c>
      <c r="L791" s="998">
        <v>80.400000000000006</v>
      </c>
      <c r="Y791" s="747">
        <v>1E-3</v>
      </c>
    </row>
    <row r="792" spans="1:29" x14ac:dyDescent="0.25">
      <c r="A792" s="996">
        <v>909508</v>
      </c>
      <c r="B792" s="997">
        <v>92</v>
      </c>
      <c r="C792" s="998" t="s">
        <v>476</v>
      </c>
      <c r="D792" s="998">
        <v>6.95</v>
      </c>
      <c r="E792" s="998">
        <v>1.7</v>
      </c>
      <c r="F792" s="998">
        <v>3.7</v>
      </c>
      <c r="G792" s="1000">
        <v>1.35</v>
      </c>
      <c r="H792" s="1000">
        <v>0.9</v>
      </c>
      <c r="I792" s="1000">
        <v>0.11</v>
      </c>
      <c r="J792" s="1000">
        <v>4.2699999999999996</v>
      </c>
      <c r="K792" s="1000">
        <v>1.02</v>
      </c>
      <c r="L792" s="998">
        <v>70.400000000000006</v>
      </c>
      <c r="Y792" s="747">
        <v>1E-3</v>
      </c>
    </row>
    <row r="793" spans="1:29" x14ac:dyDescent="0.25">
      <c r="A793" s="996">
        <v>909509</v>
      </c>
      <c r="B793" s="997">
        <v>89</v>
      </c>
      <c r="C793" s="998" t="s">
        <v>476</v>
      </c>
      <c r="D793" s="998">
        <v>7.29</v>
      </c>
      <c r="E793" s="998">
        <v>5.56</v>
      </c>
      <c r="F793" s="999">
        <v>4.4541306000000009</v>
      </c>
      <c r="G793" s="1000">
        <v>1.35</v>
      </c>
      <c r="H793" s="1000">
        <v>2.38</v>
      </c>
      <c r="I793" s="1000">
        <v>0.32</v>
      </c>
      <c r="J793" s="1000">
        <v>2.4900000000000002</v>
      </c>
      <c r="K793" s="1000">
        <v>0.84</v>
      </c>
      <c r="L793" s="998">
        <v>84.6</v>
      </c>
      <c r="Y793" s="747">
        <v>1E-3</v>
      </c>
    </row>
    <row r="794" spans="1:29" x14ac:dyDescent="0.25">
      <c r="A794" s="996">
        <v>909510</v>
      </c>
      <c r="B794" s="997">
        <v>54</v>
      </c>
      <c r="C794" s="998" t="s">
        <v>476</v>
      </c>
      <c r="D794" s="998">
        <v>6.61</v>
      </c>
      <c r="E794" s="998">
        <v>4.03</v>
      </c>
      <c r="F794" s="999">
        <v>4.3700904000000005</v>
      </c>
      <c r="G794" s="1000">
        <v>0.82</v>
      </c>
      <c r="H794" s="1000">
        <v>1.91</v>
      </c>
      <c r="I794" s="1000">
        <v>0.14000000000000001</v>
      </c>
      <c r="J794" s="1000">
        <v>1.1399999999999999</v>
      </c>
      <c r="K794" s="1000">
        <v>0.63</v>
      </c>
      <c r="L794" s="998">
        <v>89.2</v>
      </c>
      <c r="Y794" s="747">
        <v>1E-3</v>
      </c>
    </row>
    <row r="795" spans="1:29" x14ac:dyDescent="0.25">
      <c r="A795" s="996">
        <v>909511</v>
      </c>
      <c r="B795" s="997">
        <v>74</v>
      </c>
      <c r="C795" s="998" t="s">
        <v>476</v>
      </c>
      <c r="D795" s="998">
        <v>7.12</v>
      </c>
      <c r="E795" s="998">
        <v>4.2</v>
      </c>
      <c r="F795" s="999">
        <v>4.0619430000000003</v>
      </c>
      <c r="G795" s="1000">
        <v>0.83</v>
      </c>
      <c r="H795" s="1000">
        <v>1.96</v>
      </c>
      <c r="I795" s="1000">
        <v>0.15</v>
      </c>
      <c r="J795" s="1000">
        <v>1.06</v>
      </c>
      <c r="K795" s="1000">
        <v>0.63</v>
      </c>
      <c r="L795" s="998">
        <v>89.5</v>
      </c>
      <c r="Y795" s="747">
        <v>1E-3</v>
      </c>
    </row>
    <row r="796" spans="1:29" x14ac:dyDescent="0.25">
      <c r="A796" s="996">
        <v>909512</v>
      </c>
      <c r="B796" s="997">
        <v>93</v>
      </c>
      <c r="C796" s="998" t="s">
        <v>477</v>
      </c>
      <c r="D796" s="998">
        <v>6.15</v>
      </c>
      <c r="E796" s="998">
        <v>7.9</v>
      </c>
      <c r="F796" s="999">
        <v>5.2104924000000015</v>
      </c>
      <c r="G796" s="1000">
        <v>1.66</v>
      </c>
      <c r="H796" s="1000">
        <v>2.06</v>
      </c>
      <c r="I796" s="1000">
        <v>0.26</v>
      </c>
      <c r="J796" s="1000">
        <v>2.09</v>
      </c>
      <c r="K796" s="1000">
        <v>0.5</v>
      </c>
      <c r="L796" s="998">
        <v>85.3</v>
      </c>
      <c r="Y796" s="747">
        <v>1E-3</v>
      </c>
    </row>
    <row r="797" spans="1:29" x14ac:dyDescent="0.25">
      <c r="A797" s="996">
        <v>909513</v>
      </c>
      <c r="B797" s="997">
        <v>65</v>
      </c>
      <c r="C797" s="998" t="s">
        <v>495</v>
      </c>
      <c r="D797" s="998">
        <v>5.18</v>
      </c>
      <c r="E797" s="998">
        <v>0.19</v>
      </c>
      <c r="F797" s="999">
        <v>0.78437519999999994</v>
      </c>
      <c r="G797" s="1000">
        <v>0.04</v>
      </c>
      <c r="H797" s="1000">
        <v>0.21</v>
      </c>
      <c r="I797" s="1000">
        <v>0.06</v>
      </c>
      <c r="J797" s="1000">
        <v>2.4</v>
      </c>
      <c r="K797" s="1000">
        <v>0.17</v>
      </c>
      <c r="L797" s="998">
        <v>71.599999999999994</v>
      </c>
      <c r="Y797" s="747">
        <v>1E-3</v>
      </c>
    </row>
    <row r="798" spans="1:29" x14ac:dyDescent="0.25">
      <c r="A798" s="996">
        <v>909514</v>
      </c>
      <c r="B798" s="997">
        <v>90</v>
      </c>
      <c r="C798" s="998" t="s">
        <v>476</v>
      </c>
      <c r="D798" s="998">
        <v>7.4</v>
      </c>
      <c r="E798" s="998">
        <v>0.95799999999999996</v>
      </c>
      <c r="F798" s="999">
        <v>2.9694204000000002</v>
      </c>
      <c r="G798" s="1000">
        <v>1.51</v>
      </c>
      <c r="H798" s="1000">
        <v>0.77</v>
      </c>
      <c r="I798" s="1000">
        <v>0.09</v>
      </c>
      <c r="J798" s="1000">
        <v>4.58</v>
      </c>
      <c r="K798" s="1000">
        <v>0.88</v>
      </c>
      <c r="L798" s="998">
        <v>54</v>
      </c>
      <c r="Y798" s="747">
        <v>1E-3</v>
      </c>
    </row>
    <row r="799" spans="1:29" x14ac:dyDescent="0.25">
      <c r="A799" s="37">
        <v>909515</v>
      </c>
      <c r="B799" s="746">
        <v>11</v>
      </c>
      <c r="C799" s="747" t="s">
        <v>477</v>
      </c>
      <c r="D799" s="747"/>
      <c r="E799" s="747"/>
      <c r="F799" s="747"/>
      <c r="G799" s="747"/>
      <c r="H799" s="747"/>
      <c r="I799" s="747"/>
      <c r="J799" s="747"/>
      <c r="K799" s="747"/>
      <c r="L799" s="747"/>
      <c r="M799" s="1009">
        <v>266.76</v>
      </c>
      <c r="N799" s="1009">
        <v>9.4499999999999993</v>
      </c>
      <c r="U799" s="705">
        <v>0</v>
      </c>
      <c r="V799" s="705">
        <v>0.47</v>
      </c>
      <c r="W799" s="705">
        <v>1.1599999999999999</v>
      </c>
      <c r="X799" s="705">
        <v>19.27</v>
      </c>
      <c r="Y799" s="747">
        <v>1E-3</v>
      </c>
      <c r="Z799" s="705">
        <v>3.16</v>
      </c>
      <c r="AA799" s="705">
        <v>7.75</v>
      </c>
      <c r="AB799" s="705">
        <v>5.0999999999999996</v>
      </c>
      <c r="AC799" s="705">
        <v>1E-4</v>
      </c>
    </row>
    <row r="800" spans="1:29" x14ac:dyDescent="0.25">
      <c r="A800" s="37">
        <v>909516</v>
      </c>
      <c r="B800" s="746">
        <v>11</v>
      </c>
      <c r="C800" s="747" t="s">
        <v>477</v>
      </c>
      <c r="D800" s="747"/>
      <c r="E800" s="747"/>
      <c r="F800" s="747"/>
      <c r="G800" s="747"/>
      <c r="H800" s="747"/>
      <c r="I800" s="747"/>
      <c r="J800" s="747"/>
      <c r="K800" s="747"/>
      <c r="L800" s="747"/>
      <c r="M800" s="1016">
        <v>269.41000000000003</v>
      </c>
      <c r="N800" s="1016">
        <v>9.5500000000000007</v>
      </c>
      <c r="U800" s="705">
        <v>1.5</v>
      </c>
      <c r="V800" s="705">
        <v>0.44</v>
      </c>
      <c r="W800" s="705">
        <v>1.36</v>
      </c>
      <c r="X800" s="705">
        <v>26.84</v>
      </c>
      <c r="Y800" s="747">
        <v>1E-3</v>
      </c>
      <c r="Z800" s="705">
        <v>2.57</v>
      </c>
      <c r="AA800" s="705">
        <v>7.46</v>
      </c>
      <c r="AB800" s="705">
        <v>3.47</v>
      </c>
      <c r="AC800" s="705">
        <v>1E-4</v>
      </c>
    </row>
    <row r="801" spans="1:29" x14ac:dyDescent="0.25">
      <c r="A801" s="37">
        <v>909517</v>
      </c>
      <c r="B801" s="746">
        <v>76</v>
      </c>
      <c r="C801" s="747" t="s">
        <v>476</v>
      </c>
      <c r="D801" s="747"/>
      <c r="E801" s="747"/>
      <c r="F801" s="747"/>
      <c r="G801" s="747"/>
      <c r="H801" s="747"/>
      <c r="I801" s="747"/>
      <c r="J801" s="747"/>
      <c r="K801" s="747"/>
      <c r="L801" s="747"/>
      <c r="M801" s="1016">
        <v>128.77000000000001</v>
      </c>
      <c r="N801" s="1016">
        <v>43.51</v>
      </c>
      <c r="U801" s="705">
        <v>2.75</v>
      </c>
      <c r="V801" s="705">
        <v>0.88</v>
      </c>
      <c r="W801" s="705">
        <v>6.17</v>
      </c>
      <c r="X801" s="705">
        <v>22.17</v>
      </c>
      <c r="Y801" s="747">
        <v>1E-3</v>
      </c>
      <c r="Z801" s="705">
        <v>4.0199999999999996</v>
      </c>
      <c r="AA801" s="705">
        <v>17.63</v>
      </c>
      <c r="AB801" s="705">
        <v>9.2200000000000006</v>
      </c>
      <c r="AC801" s="705">
        <v>1E-4</v>
      </c>
    </row>
    <row r="802" spans="1:29" x14ac:dyDescent="0.25">
      <c r="A802" s="37">
        <v>909518</v>
      </c>
      <c r="B802" s="34">
        <v>66</v>
      </c>
      <c r="C802" s="35" t="s">
        <v>187</v>
      </c>
      <c r="D802" s="35">
        <v>9.57</v>
      </c>
      <c r="E802" s="35">
        <v>4.6500000000000004</v>
      </c>
      <c r="F802" s="35">
        <v>1.57</v>
      </c>
      <c r="G802" s="733">
        <v>0.74</v>
      </c>
      <c r="H802" s="733">
        <v>2.67</v>
      </c>
      <c r="I802" s="733">
        <v>0.59</v>
      </c>
      <c r="J802" s="733">
        <v>8.3000000000000007</v>
      </c>
      <c r="K802" s="733">
        <v>0.99</v>
      </c>
      <c r="L802" s="35">
        <v>36.299999999999997</v>
      </c>
    </row>
    <row r="803" spans="1:29" x14ac:dyDescent="0.25">
      <c r="A803" s="37">
        <v>909519</v>
      </c>
      <c r="B803" s="34">
        <v>82</v>
      </c>
      <c r="C803" s="35" t="s">
        <v>476</v>
      </c>
      <c r="D803" s="35">
        <v>7.77</v>
      </c>
      <c r="E803" s="35">
        <v>8.99</v>
      </c>
      <c r="F803" s="35">
        <v>0.76</v>
      </c>
      <c r="G803" s="733">
        <v>0.22</v>
      </c>
      <c r="H803" s="733">
        <v>1.31</v>
      </c>
      <c r="I803" s="733">
        <v>0.14000000000000001</v>
      </c>
      <c r="J803" s="733">
        <v>9.6999999999999993</v>
      </c>
      <c r="K803" s="733">
        <v>0.65</v>
      </c>
      <c r="L803" s="526">
        <v>11</v>
      </c>
    </row>
    <row r="804" spans="1:29" x14ac:dyDescent="0.25">
      <c r="A804" s="37">
        <v>909520</v>
      </c>
      <c r="B804" s="34">
        <v>76</v>
      </c>
      <c r="C804" s="35" t="s">
        <v>476</v>
      </c>
      <c r="D804" s="35">
        <v>7.87</v>
      </c>
      <c r="E804" s="35">
        <v>0.84399999999999997</v>
      </c>
      <c r="F804" s="35">
        <v>0.59</v>
      </c>
      <c r="G804" s="733">
        <v>0.26</v>
      </c>
      <c r="H804" s="733">
        <v>0.24</v>
      </c>
      <c r="I804" s="733">
        <v>0.31</v>
      </c>
      <c r="J804" s="733">
        <v>3.47</v>
      </c>
      <c r="K804" s="733">
        <v>0.43</v>
      </c>
      <c r="L804" s="526">
        <v>29</v>
      </c>
    </row>
    <row r="805" spans="1:29" x14ac:dyDescent="0.25">
      <c r="A805" s="37">
        <v>909521</v>
      </c>
      <c r="B805" s="34">
        <v>76</v>
      </c>
      <c r="C805" s="35" t="s">
        <v>476</v>
      </c>
      <c r="D805" s="35">
        <v>7.85</v>
      </c>
      <c r="E805" s="35">
        <v>8.51</v>
      </c>
      <c r="F805" s="35">
        <v>1.0900000000000001</v>
      </c>
      <c r="G805" s="733">
        <v>0.53</v>
      </c>
      <c r="H805" s="733">
        <v>2.2599999999999998</v>
      </c>
      <c r="I805" s="733">
        <v>0.28000000000000003</v>
      </c>
      <c r="J805" s="733">
        <v>9.67</v>
      </c>
      <c r="K805" s="733">
        <v>0.87</v>
      </c>
      <c r="L805" s="35">
        <v>16.100000000000001</v>
      </c>
    </row>
    <row r="806" spans="1:29" x14ac:dyDescent="0.25">
      <c r="A806" s="37">
        <v>909522</v>
      </c>
      <c r="B806" s="34">
        <v>46</v>
      </c>
      <c r="C806" s="35" t="s">
        <v>476</v>
      </c>
      <c r="D806" s="35">
        <v>8.11</v>
      </c>
      <c r="E806" s="35">
        <v>0.94399999999999995</v>
      </c>
      <c r="F806" s="35">
        <v>0.59</v>
      </c>
      <c r="G806" s="733">
        <v>0.15</v>
      </c>
      <c r="H806" s="733">
        <v>0.27</v>
      </c>
      <c r="I806" s="733">
        <v>0.22</v>
      </c>
      <c r="J806" s="733">
        <v>4.96</v>
      </c>
      <c r="K806" s="733">
        <v>0.46</v>
      </c>
      <c r="L806" s="35">
        <v>26.5</v>
      </c>
    </row>
    <row r="807" spans="1:29" x14ac:dyDescent="0.25">
      <c r="A807" s="37">
        <v>909523</v>
      </c>
      <c r="B807" s="34">
        <v>56</v>
      </c>
      <c r="C807" s="35" t="s">
        <v>476</v>
      </c>
      <c r="D807" s="35">
        <v>7.85</v>
      </c>
      <c r="E807" s="35">
        <v>0.80400000000000005</v>
      </c>
      <c r="F807" s="35">
        <v>0.64</v>
      </c>
      <c r="G807" s="733">
        <v>0.15</v>
      </c>
      <c r="H807" s="733">
        <v>0.41</v>
      </c>
      <c r="I807" s="733">
        <v>0.39</v>
      </c>
      <c r="J807" s="733">
        <v>3.19</v>
      </c>
      <c r="K807" s="733">
        <v>0.48</v>
      </c>
      <c r="L807" s="35">
        <v>41.6</v>
      </c>
    </row>
    <row r="808" spans="1:29" x14ac:dyDescent="0.25">
      <c r="A808" s="925">
        <v>909524</v>
      </c>
      <c r="B808" s="1001"/>
      <c r="C808" s="1002"/>
      <c r="D808" s="1002"/>
      <c r="E808" s="1002"/>
      <c r="F808" s="1002"/>
      <c r="G808" s="1002"/>
      <c r="H808" s="1002"/>
      <c r="I808" s="1002"/>
      <c r="J808" s="1002"/>
      <c r="K808" s="1002"/>
      <c r="L808" s="1002"/>
    </row>
    <row r="809" spans="1:29" x14ac:dyDescent="0.25">
      <c r="A809" s="37">
        <v>909525</v>
      </c>
      <c r="B809" s="34">
        <v>65</v>
      </c>
      <c r="C809" s="35" t="s">
        <v>187</v>
      </c>
      <c r="D809" s="35">
        <v>9.57</v>
      </c>
      <c r="E809" s="35">
        <v>4.57</v>
      </c>
      <c r="F809" s="35">
        <v>1.65</v>
      </c>
      <c r="G809" s="1008">
        <v>0.75</v>
      </c>
      <c r="H809" s="1008">
        <v>2.61</v>
      </c>
      <c r="I809" s="1008">
        <v>0.63</v>
      </c>
      <c r="J809" s="1008">
        <v>8.6</v>
      </c>
      <c r="K809" s="1008">
        <v>1.01</v>
      </c>
      <c r="L809" s="35">
        <v>37.799999999999997</v>
      </c>
    </row>
    <row r="810" spans="1:29" x14ac:dyDescent="0.25">
      <c r="A810" s="37">
        <v>909526</v>
      </c>
      <c r="B810" s="34">
        <v>88</v>
      </c>
      <c r="C810" s="35" t="s">
        <v>476</v>
      </c>
      <c r="D810" s="35">
        <v>7.21</v>
      </c>
      <c r="E810" s="35">
        <v>4.49</v>
      </c>
      <c r="F810" s="35">
        <v>3.39</v>
      </c>
      <c r="G810" s="1008">
        <v>1.04</v>
      </c>
      <c r="H810" s="1008">
        <v>2.23</v>
      </c>
      <c r="I810" s="1008">
        <v>0.37</v>
      </c>
      <c r="J810" s="1008">
        <v>2.42</v>
      </c>
      <c r="K810" s="1008">
        <v>0.72</v>
      </c>
      <c r="L810" s="35">
        <v>82.8</v>
      </c>
    </row>
    <row r="811" spans="1:29" x14ac:dyDescent="0.25">
      <c r="A811" s="37">
        <v>909527</v>
      </c>
      <c r="B811" s="34">
        <v>75</v>
      </c>
      <c r="C811" s="35" t="s">
        <v>477</v>
      </c>
      <c r="D811" s="35">
        <v>4.62</v>
      </c>
      <c r="E811" s="35">
        <v>0.40100000000000002</v>
      </c>
      <c r="F811" s="35">
        <v>0.39</v>
      </c>
      <c r="G811" s="1008">
        <v>0.02</v>
      </c>
      <c r="H811" s="1008">
        <v>0.1</v>
      </c>
      <c r="I811" s="1008">
        <v>0.04</v>
      </c>
      <c r="J811" s="1008">
        <v>0.52</v>
      </c>
      <c r="K811" s="1008">
        <v>0.06</v>
      </c>
      <c r="L811" s="35">
        <v>97.2</v>
      </c>
    </row>
    <row r="812" spans="1:29" x14ac:dyDescent="0.25">
      <c r="A812" s="37">
        <v>909528</v>
      </c>
      <c r="B812" s="34">
        <v>82</v>
      </c>
      <c r="C812" s="35" t="s">
        <v>477</v>
      </c>
      <c r="D812" s="35">
        <v>5.43</v>
      </c>
      <c r="E812" s="35">
        <v>0.184</v>
      </c>
      <c r="F812" s="35">
        <v>0.87</v>
      </c>
      <c r="G812" s="1008">
        <v>0.03</v>
      </c>
      <c r="H812" s="1008">
        <v>0.27</v>
      </c>
      <c r="I812" s="1008">
        <v>0.05</v>
      </c>
      <c r="J812" s="1008">
        <v>0.8</v>
      </c>
      <c r="K812" s="1008">
        <v>0.06</v>
      </c>
      <c r="L812" s="35">
        <v>93.9</v>
      </c>
    </row>
    <row r="813" spans="1:29" s="1010" customFormat="1" ht="18.75" x14ac:dyDescent="0.3">
      <c r="A813" s="1010" t="s">
        <v>497</v>
      </c>
      <c r="B813" s="1010">
        <v>88</v>
      </c>
      <c r="G813" s="1010">
        <v>0.06</v>
      </c>
      <c r="H813" s="1010">
        <v>0.19</v>
      </c>
      <c r="I813" s="1010">
        <v>0.04</v>
      </c>
      <c r="J813" s="1010">
        <v>1.26</v>
      </c>
      <c r="K813" s="1010">
        <v>0.44</v>
      </c>
      <c r="M813" s="1010">
        <v>38.96</v>
      </c>
      <c r="N813" s="1010">
        <v>16.420000000000002</v>
      </c>
      <c r="O813" s="1010">
        <v>256.82</v>
      </c>
      <c r="P813" s="1010">
        <v>23053.14</v>
      </c>
      <c r="Q813" s="1010">
        <v>18</v>
      </c>
      <c r="U813" s="1010">
        <v>6.29</v>
      </c>
      <c r="V813" s="1010">
        <v>1.1599999999999999</v>
      </c>
      <c r="W813" s="1010">
        <v>0.2</v>
      </c>
      <c r="X813" s="1010">
        <v>22.72</v>
      </c>
      <c r="Z813" s="1010">
        <v>8.0399999999999991</v>
      </c>
      <c r="AA813" s="1010">
        <v>9.17</v>
      </c>
      <c r="AB813" s="1010">
        <v>5.2</v>
      </c>
      <c r="AC813" s="1010">
        <v>0.23</v>
      </c>
    </row>
    <row r="814" spans="1:29" x14ac:dyDescent="0.25">
      <c r="A814" s="1009">
        <v>909529</v>
      </c>
      <c r="B814" s="34">
        <v>76</v>
      </c>
      <c r="C814" s="35" t="s">
        <v>187</v>
      </c>
      <c r="D814" s="35">
        <v>8.76</v>
      </c>
      <c r="E814" s="35">
        <v>7.49</v>
      </c>
      <c r="F814" s="35">
        <v>2.83</v>
      </c>
      <c r="G814" s="35">
        <v>1</v>
      </c>
      <c r="H814" s="35">
        <v>2.56</v>
      </c>
      <c r="I814" s="35">
        <v>0.45</v>
      </c>
      <c r="J814" s="35">
        <v>5.21</v>
      </c>
      <c r="K814" s="35">
        <v>0.79</v>
      </c>
      <c r="L814" s="35">
        <v>54.2</v>
      </c>
    </row>
    <row r="815" spans="1:29" x14ac:dyDescent="0.25">
      <c r="A815" s="1009">
        <v>909530</v>
      </c>
      <c r="B815" s="34">
        <v>75</v>
      </c>
      <c r="C815" s="35" t="s">
        <v>187</v>
      </c>
      <c r="D815" s="35">
        <v>8.9</v>
      </c>
      <c r="E815" s="35">
        <v>5.51</v>
      </c>
      <c r="F815" s="35">
        <v>1.57</v>
      </c>
      <c r="G815" s="35">
        <v>0.64</v>
      </c>
      <c r="H815" s="35">
        <v>2.42</v>
      </c>
      <c r="I815" s="35">
        <v>0.53</v>
      </c>
      <c r="J815" s="35">
        <v>5.89</v>
      </c>
      <c r="K815" s="35">
        <v>0.89</v>
      </c>
      <c r="L815" s="35">
        <v>34.299999999999997</v>
      </c>
    </row>
    <row r="816" spans="1:29" x14ac:dyDescent="0.25">
      <c r="A816" s="1009">
        <v>909531</v>
      </c>
      <c r="B816" s="34">
        <v>71</v>
      </c>
      <c r="C816" s="35" t="s">
        <v>187</v>
      </c>
      <c r="D816" s="35">
        <v>9.01</v>
      </c>
      <c r="E816" s="35">
        <v>5.3</v>
      </c>
      <c r="F816" s="35">
        <v>1.65</v>
      </c>
      <c r="G816" s="35">
        <v>0.76</v>
      </c>
      <c r="H816" s="35">
        <v>2.52</v>
      </c>
      <c r="I816" s="35">
        <v>0.59</v>
      </c>
      <c r="J816" s="35">
        <v>6.86</v>
      </c>
      <c r="K816" s="35">
        <v>0.89</v>
      </c>
      <c r="L816" s="35">
        <v>37.1</v>
      </c>
    </row>
    <row r="817" spans="1:30" s="799" customFormat="1" x14ac:dyDescent="0.25">
      <c r="A817" s="798">
        <v>909532</v>
      </c>
      <c r="B817" s="799">
        <v>80</v>
      </c>
      <c r="C817" s="799" t="s">
        <v>477</v>
      </c>
      <c r="D817" s="799">
        <v>9.1</v>
      </c>
      <c r="E817" s="799">
        <v>4.57</v>
      </c>
      <c r="F817" s="799">
        <v>3.47</v>
      </c>
      <c r="G817" s="799">
        <v>0.93</v>
      </c>
      <c r="H817" s="799">
        <v>1.98</v>
      </c>
      <c r="I817" s="799">
        <v>0.29099999999999998</v>
      </c>
      <c r="J817" s="799">
        <v>1.71</v>
      </c>
      <c r="K817" s="799">
        <v>0.6</v>
      </c>
      <c r="L817" s="799">
        <v>87.9</v>
      </c>
      <c r="U817" s="799">
        <v>1E-4</v>
      </c>
      <c r="V817" s="1034">
        <v>0.36</v>
      </c>
      <c r="W817" s="1034">
        <v>1.08</v>
      </c>
      <c r="X817" s="1034">
        <v>3.32</v>
      </c>
      <c r="Y817" s="799">
        <v>1E-4</v>
      </c>
      <c r="Z817" s="1034">
        <v>3.78</v>
      </c>
      <c r="AA817" s="1034">
        <v>6.69</v>
      </c>
      <c r="AB817" s="1034">
        <v>0.15</v>
      </c>
      <c r="AC817" s="1034">
        <v>1E-3</v>
      </c>
      <c r="AD817" s="1034"/>
    </row>
    <row r="818" spans="1:30" x14ac:dyDescent="0.25">
      <c r="A818" s="37">
        <v>909533</v>
      </c>
      <c r="B818" s="34">
        <v>16</v>
      </c>
      <c r="C818" s="35" t="s">
        <v>477</v>
      </c>
      <c r="D818" s="35">
        <v>7.64</v>
      </c>
      <c r="E818" s="35">
        <v>0.23799999999999999</v>
      </c>
      <c r="F818" s="35">
        <v>0.67</v>
      </c>
      <c r="G818" s="35">
        <v>0.1</v>
      </c>
      <c r="H818" s="35">
        <v>0.33</v>
      </c>
      <c r="I818" s="35">
        <v>0.17</v>
      </c>
      <c r="J818" s="35">
        <v>1.04</v>
      </c>
      <c r="K818" s="35">
        <v>0.28000000000000003</v>
      </c>
      <c r="L818" s="35">
        <v>86.1</v>
      </c>
      <c r="M818" s="35">
        <v>33.869999999999997</v>
      </c>
      <c r="N818" s="35">
        <v>6.45</v>
      </c>
      <c r="O818" s="35">
        <v>83.72</v>
      </c>
      <c r="P818" s="35">
        <v>4772.12</v>
      </c>
    </row>
    <row r="819" spans="1:30" x14ac:dyDescent="0.25">
      <c r="A819" s="37">
        <v>909534</v>
      </c>
      <c r="B819" s="34">
        <v>15</v>
      </c>
      <c r="C819" s="35" t="s">
        <v>477</v>
      </c>
      <c r="D819" s="35">
        <v>7.16</v>
      </c>
      <c r="E819" s="35">
        <v>0.45600000000000002</v>
      </c>
      <c r="F819" s="35">
        <v>1.23</v>
      </c>
      <c r="G819" s="35">
        <v>0.55000000000000004</v>
      </c>
      <c r="H819" s="35">
        <v>0.31</v>
      </c>
      <c r="I819" s="35">
        <v>0.21</v>
      </c>
      <c r="J819" s="35">
        <v>2.93</v>
      </c>
      <c r="K819" s="35">
        <v>0.36</v>
      </c>
      <c r="L819" s="35">
        <v>73.099999999999994</v>
      </c>
      <c r="M819" s="35">
        <v>130.97999999999999</v>
      </c>
      <c r="N819" s="35">
        <v>36.950000000000003</v>
      </c>
      <c r="O819" s="35">
        <v>189.17</v>
      </c>
      <c r="P819" s="35">
        <v>12504.83</v>
      </c>
    </row>
    <row r="820" spans="1:30" x14ac:dyDescent="0.25">
      <c r="A820" s="962">
        <v>909535</v>
      </c>
      <c r="B820" s="963">
        <v>70.8</v>
      </c>
      <c r="C820" s="964" t="s">
        <v>476</v>
      </c>
      <c r="D820" s="964"/>
      <c r="E820" s="964"/>
      <c r="F820" s="964"/>
      <c r="G820" s="964"/>
      <c r="H820" s="964"/>
      <c r="I820" s="964"/>
      <c r="J820" s="964"/>
      <c r="K820" s="964"/>
      <c r="L820" s="964">
        <v>37.4</v>
      </c>
    </row>
    <row r="821" spans="1:30" x14ac:dyDescent="0.25">
      <c r="A821" s="962">
        <v>909536</v>
      </c>
      <c r="B821" s="1027">
        <v>67.55</v>
      </c>
      <c r="C821" s="964" t="s">
        <v>476</v>
      </c>
      <c r="D821" s="964"/>
      <c r="E821" s="964"/>
      <c r="F821" s="964"/>
      <c r="G821" s="964"/>
      <c r="H821" s="964"/>
      <c r="I821" s="964"/>
      <c r="J821" s="964"/>
      <c r="K821" s="964"/>
      <c r="L821" s="964">
        <v>38.1</v>
      </c>
    </row>
    <row r="822" spans="1:30" x14ac:dyDescent="0.25">
      <c r="A822" s="37">
        <v>909537</v>
      </c>
      <c r="B822" s="34">
        <v>58</v>
      </c>
      <c r="D822" s="35">
        <v>8.75</v>
      </c>
      <c r="E822" s="35">
        <v>3.58</v>
      </c>
      <c r="F822" s="35">
        <v>1.54</v>
      </c>
      <c r="G822" s="35">
        <v>0.52</v>
      </c>
      <c r="H822" s="35">
        <v>2.04</v>
      </c>
      <c r="I822" s="35">
        <v>0.66</v>
      </c>
      <c r="J822" s="35">
        <v>4.47</v>
      </c>
      <c r="K822" s="35">
        <v>0.68</v>
      </c>
      <c r="L822" s="35">
        <v>62.9</v>
      </c>
    </row>
    <row r="823" spans="1:30" x14ac:dyDescent="0.25">
      <c r="A823" s="37">
        <v>909538</v>
      </c>
      <c r="B823" s="34">
        <v>67</v>
      </c>
      <c r="D823" s="35">
        <v>8.94</v>
      </c>
      <c r="E823" s="35">
        <v>3.23</v>
      </c>
      <c r="F823" s="35">
        <v>1.51</v>
      </c>
      <c r="G823" s="35">
        <v>0.45</v>
      </c>
      <c r="H823" s="35">
        <v>1.9</v>
      </c>
      <c r="I823" s="35">
        <v>0.56999999999999995</v>
      </c>
      <c r="J823" s="35">
        <v>4.2</v>
      </c>
      <c r="K823" s="35">
        <v>0.62</v>
      </c>
      <c r="L823" s="35">
        <v>62.7</v>
      </c>
    </row>
    <row r="824" spans="1:30" x14ac:dyDescent="0.25">
      <c r="A824" s="37">
        <v>909539</v>
      </c>
      <c r="B824" s="34">
        <v>67</v>
      </c>
      <c r="D824" s="35">
        <v>6.14</v>
      </c>
      <c r="E824" s="35">
        <v>0.19400000000000001</v>
      </c>
      <c r="F824" s="35">
        <v>0.76</v>
      </c>
      <c r="G824" s="35">
        <v>0.03</v>
      </c>
      <c r="H824" s="35">
        <v>0.2</v>
      </c>
      <c r="I824" s="35">
        <v>0.05</v>
      </c>
      <c r="J824" s="35">
        <v>0.65</v>
      </c>
      <c r="K824" s="35">
        <v>0.05</v>
      </c>
      <c r="L824" s="35">
        <v>94</v>
      </c>
    </row>
    <row r="825" spans="1:30" x14ac:dyDescent="0.25">
      <c r="A825" s="37">
        <v>909540</v>
      </c>
      <c r="B825" s="34">
        <v>40</v>
      </c>
      <c r="D825" s="35">
        <v>8.1199999999999992</v>
      </c>
      <c r="E825" s="35">
        <v>1.53</v>
      </c>
      <c r="F825" s="35">
        <v>1.43</v>
      </c>
      <c r="G825" s="35">
        <v>0.39</v>
      </c>
      <c r="H825" s="35">
        <v>1.17</v>
      </c>
      <c r="I825" s="35">
        <v>0.5</v>
      </c>
      <c r="J825" s="35">
        <v>2.58</v>
      </c>
      <c r="K825" s="35">
        <v>0.69</v>
      </c>
      <c r="L825" s="35">
        <v>77.5</v>
      </c>
    </row>
    <row r="826" spans="1:30" x14ac:dyDescent="0.25">
      <c r="A826" s="37">
        <v>909541</v>
      </c>
      <c r="B826" s="34">
        <v>63</v>
      </c>
      <c r="D826" s="35">
        <v>9.0399999999999991</v>
      </c>
      <c r="E826" s="35">
        <v>4.2300000000000004</v>
      </c>
      <c r="F826" s="35">
        <v>1.65</v>
      </c>
      <c r="G826" s="35">
        <v>0.67</v>
      </c>
      <c r="H826" s="35">
        <v>2.2999999999999998</v>
      </c>
      <c r="I826" s="35">
        <v>0.69</v>
      </c>
      <c r="J826" s="35">
        <v>6.94</v>
      </c>
      <c r="K826" s="35">
        <v>1.4</v>
      </c>
      <c r="L826" s="35">
        <v>54</v>
      </c>
    </row>
    <row r="827" spans="1:30" x14ac:dyDescent="0.25">
      <c r="A827" s="37">
        <v>909542</v>
      </c>
      <c r="B827" s="34">
        <v>63</v>
      </c>
      <c r="D827" s="35">
        <v>5.14</v>
      </c>
      <c r="E827" s="35">
        <v>0.192</v>
      </c>
      <c r="F827" s="35">
        <v>0.87</v>
      </c>
      <c r="G827" s="35">
        <v>0.02</v>
      </c>
      <c r="H827" s="35">
        <v>0.17</v>
      </c>
      <c r="I827" s="35">
        <v>0.04</v>
      </c>
      <c r="J827" s="35">
        <v>0.53</v>
      </c>
      <c r="K827" s="35">
        <v>0.04</v>
      </c>
      <c r="L827" s="35">
        <v>94.3</v>
      </c>
    </row>
    <row r="828" spans="1:30" x14ac:dyDescent="0.25">
      <c r="A828" s="1086">
        <v>909543</v>
      </c>
      <c r="B828" s="1087">
        <v>86</v>
      </c>
      <c r="C828" s="1087" t="s">
        <v>476</v>
      </c>
      <c r="D828" s="1087">
        <v>7.77</v>
      </c>
      <c r="E828" s="1087">
        <v>9.51</v>
      </c>
      <c r="F828" s="1087">
        <v>0.67</v>
      </c>
      <c r="G828" s="1008">
        <v>0.28000000000000003</v>
      </c>
      <c r="H828" s="1114">
        <v>1.41</v>
      </c>
      <c r="I828" s="1008">
        <v>0.12</v>
      </c>
      <c r="J828" s="1114">
        <v>6.31</v>
      </c>
      <c r="K828" s="1008">
        <v>0.64</v>
      </c>
      <c r="L828" s="1087">
        <v>12.5</v>
      </c>
    </row>
    <row r="829" spans="1:30" x14ac:dyDescent="0.25">
      <c r="A829" s="962">
        <v>909544</v>
      </c>
      <c r="B829" s="963">
        <v>60</v>
      </c>
      <c r="C829" s="964" t="s">
        <v>476</v>
      </c>
      <c r="D829" s="964"/>
      <c r="E829" s="964"/>
      <c r="F829" s="964"/>
      <c r="G829" s="964"/>
      <c r="H829" s="964"/>
      <c r="I829" s="964"/>
      <c r="J829" s="964"/>
      <c r="K829" s="964"/>
      <c r="L829" s="964">
        <v>34.299999999999997</v>
      </c>
    </row>
    <row r="830" spans="1:30" x14ac:dyDescent="0.25">
      <c r="A830" s="962">
        <v>909545</v>
      </c>
      <c r="B830" s="963">
        <v>67</v>
      </c>
      <c r="C830" s="964" t="s">
        <v>476</v>
      </c>
      <c r="D830" s="964"/>
      <c r="E830" s="964"/>
      <c r="F830" s="964"/>
      <c r="G830" s="964"/>
      <c r="H830" s="964"/>
      <c r="I830" s="964"/>
      <c r="J830" s="964"/>
      <c r="K830" s="964"/>
      <c r="L830" s="964">
        <v>37.6</v>
      </c>
    </row>
    <row r="831" spans="1:30" x14ac:dyDescent="0.25">
      <c r="A831" s="37">
        <v>909546</v>
      </c>
      <c r="B831" s="34">
        <v>37</v>
      </c>
      <c r="C831" s="35" t="s">
        <v>477</v>
      </c>
      <c r="L831" s="35">
        <v>45.9</v>
      </c>
    </row>
    <row r="832" spans="1:30" x14ac:dyDescent="0.25">
      <c r="A832" s="37">
        <v>909547</v>
      </c>
      <c r="B832" s="34">
        <v>36</v>
      </c>
      <c r="C832" s="35" t="s">
        <v>477</v>
      </c>
      <c r="L832" s="35">
        <v>59.3</v>
      </c>
    </row>
    <row r="833" spans="1:12" x14ac:dyDescent="0.25">
      <c r="A833" s="1058">
        <v>909548</v>
      </c>
      <c r="B833" s="1059">
        <v>58</v>
      </c>
      <c r="C833" s="1060" t="s">
        <v>476</v>
      </c>
      <c r="D833" s="1060">
        <v>9.42</v>
      </c>
      <c r="E833" s="1075">
        <v>2.4700000000000002</v>
      </c>
      <c r="F833" s="1060">
        <v>1.63</v>
      </c>
      <c r="G833" s="1060">
        <v>0.56999999999999995</v>
      </c>
      <c r="H833" s="1060">
        <v>1.98</v>
      </c>
      <c r="I833" s="1060">
        <v>0.38</v>
      </c>
      <c r="J833" s="1060">
        <v>10.01</v>
      </c>
      <c r="K833" s="1060">
        <v>0.89</v>
      </c>
      <c r="L833" s="1060">
        <v>41.4</v>
      </c>
    </row>
    <row r="834" spans="1:12" x14ac:dyDescent="0.25">
      <c r="A834" s="1058">
        <v>909549</v>
      </c>
      <c r="B834" s="1059">
        <v>24</v>
      </c>
      <c r="C834" s="1060" t="s">
        <v>477</v>
      </c>
      <c r="D834" s="1060">
        <v>8.26</v>
      </c>
      <c r="E834" s="1075">
        <v>2.5299999999999998</v>
      </c>
      <c r="F834" s="1060">
        <v>1.49</v>
      </c>
      <c r="G834" s="1060">
        <v>0.47</v>
      </c>
      <c r="H834" s="1060">
        <v>1.61</v>
      </c>
      <c r="I834" s="1060">
        <v>0.67</v>
      </c>
      <c r="J834" s="1060">
        <v>2.78</v>
      </c>
      <c r="K834" s="1060">
        <v>0.48</v>
      </c>
      <c r="L834" s="1060">
        <v>65.900000000000006</v>
      </c>
    </row>
    <row r="835" spans="1:12" x14ac:dyDescent="0.25">
      <c r="A835" s="1058">
        <v>909550</v>
      </c>
      <c r="B835" s="1059">
        <v>72</v>
      </c>
      <c r="C835" s="1060" t="s">
        <v>477</v>
      </c>
      <c r="D835" s="1060">
        <v>6.94</v>
      </c>
      <c r="E835" s="1075">
        <v>0.45600000000000002</v>
      </c>
      <c r="F835" s="1060">
        <v>1.1499999999999999</v>
      </c>
      <c r="G835" s="1060">
        <v>0.09</v>
      </c>
      <c r="H835" s="1060">
        <v>0.97</v>
      </c>
      <c r="I835" s="1060">
        <v>0.06</v>
      </c>
      <c r="J835" s="1060">
        <v>2.27</v>
      </c>
      <c r="K835" s="1060">
        <v>0.44</v>
      </c>
      <c r="L835" s="1060">
        <v>76.400000000000006</v>
      </c>
    </row>
    <row r="836" spans="1:12" x14ac:dyDescent="0.25">
      <c r="A836" s="1058">
        <v>909551</v>
      </c>
      <c r="B836" s="1059">
        <v>75</v>
      </c>
      <c r="C836" s="1060" t="s">
        <v>477</v>
      </c>
      <c r="D836" s="1060">
        <v>7.06</v>
      </c>
      <c r="E836" s="1075">
        <v>0.63</v>
      </c>
      <c r="F836" s="1060">
        <v>1.1200000000000001</v>
      </c>
      <c r="G836" s="1060">
        <v>7.0000000000000007E-2</v>
      </c>
      <c r="H836" s="1060">
        <v>0.92</v>
      </c>
      <c r="I836" s="1060">
        <v>0.04</v>
      </c>
      <c r="J836" s="1060">
        <v>2.56</v>
      </c>
      <c r="K836" s="1060">
        <v>0.56999999999999995</v>
      </c>
      <c r="L836" s="1060">
        <v>75.099999999999994</v>
      </c>
    </row>
    <row r="837" spans="1:12" x14ac:dyDescent="0.25">
      <c r="A837" s="1058">
        <v>909552</v>
      </c>
      <c r="B837" s="1059">
        <v>72</v>
      </c>
      <c r="C837" s="1060" t="s">
        <v>477</v>
      </c>
      <c r="D837" s="1060">
        <v>9.07</v>
      </c>
      <c r="E837" s="1075">
        <v>2.95</v>
      </c>
      <c r="F837" s="1060">
        <v>2.44</v>
      </c>
      <c r="G837" s="1060">
        <v>1.0900000000000001</v>
      </c>
      <c r="H837" s="1060">
        <v>2.74</v>
      </c>
      <c r="I837" s="1060">
        <v>0.56999999999999995</v>
      </c>
      <c r="J837" s="1060">
        <v>3.77</v>
      </c>
      <c r="K837" s="1060">
        <v>0.62</v>
      </c>
      <c r="L837" s="1060">
        <v>74.8</v>
      </c>
    </row>
    <row r="838" spans="1:12" x14ac:dyDescent="0.25">
      <c r="A838" s="1058">
        <v>909553</v>
      </c>
      <c r="B838" s="1059">
        <v>25</v>
      </c>
      <c r="C838" s="1060" t="s">
        <v>476</v>
      </c>
      <c r="D838" s="1060">
        <v>8.7200000000000006</v>
      </c>
      <c r="E838" s="1075">
        <v>2.15</v>
      </c>
      <c r="F838" s="1060">
        <v>1.57</v>
      </c>
      <c r="G838" s="1060">
        <v>0.48</v>
      </c>
      <c r="H838" s="1060">
        <v>1.66</v>
      </c>
      <c r="I838" s="1060">
        <v>0.43</v>
      </c>
      <c r="J838" s="1060">
        <v>2.88</v>
      </c>
      <c r="K838" s="1060">
        <v>0.61</v>
      </c>
      <c r="L838" s="1060">
        <v>61.8</v>
      </c>
    </row>
    <row r="839" spans="1:12" x14ac:dyDescent="0.25">
      <c r="A839" s="1058">
        <v>909554</v>
      </c>
      <c r="B839" s="1059">
        <v>83</v>
      </c>
      <c r="C839" s="1060" t="s">
        <v>477</v>
      </c>
      <c r="D839" s="1060">
        <v>7.11</v>
      </c>
      <c r="E839" s="1075">
        <v>0.71699999999999997</v>
      </c>
      <c r="F839" s="1060">
        <v>1.43</v>
      </c>
      <c r="G839" s="1060">
        <v>7.0000000000000007E-2</v>
      </c>
      <c r="H839" s="1060">
        <v>0.93</v>
      </c>
      <c r="I839" s="1060">
        <v>0.04</v>
      </c>
      <c r="J839" s="1060">
        <v>2.46</v>
      </c>
      <c r="K839" s="1060">
        <v>0.52</v>
      </c>
      <c r="L839" s="1060">
        <v>74.5</v>
      </c>
    </row>
    <row r="840" spans="1:12" x14ac:dyDescent="0.25">
      <c r="A840" s="1058">
        <v>909555</v>
      </c>
      <c r="B840" s="1059">
        <v>45</v>
      </c>
      <c r="C840" s="1060" t="s">
        <v>476</v>
      </c>
      <c r="D840" s="1060">
        <v>8.74</v>
      </c>
      <c r="E840" s="1075">
        <v>1.873</v>
      </c>
      <c r="F840" s="1060">
        <v>2.4700000000000002</v>
      </c>
      <c r="G840" s="1060">
        <v>0.46</v>
      </c>
      <c r="H840" s="1060">
        <v>1.32</v>
      </c>
      <c r="I840" s="1060">
        <v>0.43</v>
      </c>
      <c r="J840" s="1060">
        <v>3.33</v>
      </c>
      <c r="K840" s="1060">
        <v>0.65</v>
      </c>
      <c r="L840" s="1060">
        <v>34.6</v>
      </c>
    </row>
    <row r="841" spans="1:12" x14ac:dyDescent="0.25">
      <c r="A841" s="1058">
        <v>909556</v>
      </c>
      <c r="B841" s="1059">
        <v>68</v>
      </c>
      <c r="C841" s="1060" t="s">
        <v>476</v>
      </c>
      <c r="D841" s="1060">
        <v>9.5500000000000007</v>
      </c>
      <c r="E841" s="1075">
        <v>4.12</v>
      </c>
      <c r="F841" s="1060">
        <v>1.01</v>
      </c>
      <c r="G841" s="1060">
        <v>0.52</v>
      </c>
      <c r="H841" s="1060">
        <v>3.19</v>
      </c>
      <c r="I841" s="1060">
        <v>0.56999999999999995</v>
      </c>
      <c r="J841" s="1060">
        <v>6.25</v>
      </c>
      <c r="K841" s="1060">
        <v>0.65</v>
      </c>
      <c r="L841" s="1060">
        <v>53</v>
      </c>
    </row>
    <row r="842" spans="1:12" x14ac:dyDescent="0.25">
      <c r="A842" s="1058">
        <v>909557</v>
      </c>
      <c r="B842" s="1059">
        <v>92</v>
      </c>
      <c r="C842" s="1060" t="s">
        <v>476</v>
      </c>
      <c r="D842" s="1060">
        <v>9.34</v>
      </c>
      <c r="E842" s="1075">
        <v>1.196</v>
      </c>
      <c r="F842" s="1060">
        <v>1.1200000000000001</v>
      </c>
      <c r="G842" s="1060">
        <v>0.63</v>
      </c>
      <c r="H842" s="1060">
        <v>0.74</v>
      </c>
      <c r="I842" s="1060">
        <v>0.12</v>
      </c>
      <c r="J842" s="1060">
        <v>5.08</v>
      </c>
      <c r="K842" s="1060">
        <v>1.31</v>
      </c>
      <c r="L842" s="1060">
        <v>28</v>
      </c>
    </row>
    <row r="843" spans="1:12" x14ac:dyDescent="0.25">
      <c r="A843" s="37">
        <v>909558</v>
      </c>
      <c r="B843" s="34">
        <v>74</v>
      </c>
      <c r="C843" s="35" t="s">
        <v>476</v>
      </c>
      <c r="D843" s="35">
        <v>9.75</v>
      </c>
      <c r="E843" s="35">
        <v>4.12</v>
      </c>
      <c r="F843" s="35">
        <v>1.99</v>
      </c>
      <c r="G843" s="35">
        <v>0.75</v>
      </c>
      <c r="H843" s="35">
        <v>2.72</v>
      </c>
      <c r="I843" s="35">
        <v>0.56000000000000005</v>
      </c>
      <c r="J843" s="35">
        <v>5.15</v>
      </c>
      <c r="K843" s="35">
        <v>0.91</v>
      </c>
      <c r="L843" s="35">
        <v>40.9</v>
      </c>
    </row>
    <row r="844" spans="1:12" x14ac:dyDescent="0.25">
      <c r="A844" s="37">
        <v>909559</v>
      </c>
      <c r="B844" s="34">
        <v>77</v>
      </c>
      <c r="C844" s="35" t="s">
        <v>477</v>
      </c>
      <c r="D844" s="35">
        <v>8.5399999999999991</v>
      </c>
      <c r="E844" s="35">
        <v>3.07</v>
      </c>
      <c r="F844" s="35">
        <v>2.77</v>
      </c>
      <c r="G844" s="35">
        <v>1.06</v>
      </c>
      <c r="H844" s="35">
        <v>2.3199999999999998</v>
      </c>
      <c r="I844" s="35">
        <v>0.37</v>
      </c>
      <c r="J844" s="35">
        <v>2.23</v>
      </c>
      <c r="K844" s="35">
        <v>0.73</v>
      </c>
      <c r="L844" s="35">
        <v>83.1</v>
      </c>
    </row>
    <row r="845" spans="1:12" x14ac:dyDescent="0.25">
      <c r="A845" s="37">
        <v>909560</v>
      </c>
      <c r="B845" s="34">
        <v>29</v>
      </c>
      <c r="C845" s="35" t="s">
        <v>476</v>
      </c>
      <c r="D845" s="35">
        <v>9.57</v>
      </c>
      <c r="E845" s="35">
        <v>6.48</v>
      </c>
      <c r="F845" s="35">
        <v>2.0699999999999998</v>
      </c>
      <c r="G845" s="35">
        <v>0.88</v>
      </c>
      <c r="H845" s="35">
        <v>2.73</v>
      </c>
      <c r="I845" s="35">
        <v>2.2200000000000002</v>
      </c>
      <c r="J845" s="35">
        <v>3.32</v>
      </c>
      <c r="K845" s="35">
        <v>0.64</v>
      </c>
      <c r="L845" s="35">
        <v>68</v>
      </c>
    </row>
    <row r="846" spans="1:12" x14ac:dyDescent="0.25">
      <c r="A846" s="37">
        <v>909561</v>
      </c>
      <c r="B846" s="34">
        <v>36</v>
      </c>
      <c r="C846" s="35" t="s">
        <v>477</v>
      </c>
      <c r="D846" s="35">
        <v>9.5399999999999991</v>
      </c>
      <c r="E846" s="35">
        <v>4.53</v>
      </c>
      <c r="F846" s="35">
        <v>1.93</v>
      </c>
      <c r="G846" s="35">
        <v>0.78</v>
      </c>
      <c r="H846" s="35">
        <v>2.5499999999999998</v>
      </c>
      <c r="I846" s="35">
        <v>2.09</v>
      </c>
      <c r="J846" s="35">
        <v>2.94</v>
      </c>
      <c r="K846" s="35">
        <v>0.67</v>
      </c>
      <c r="L846" s="35">
        <v>51.6</v>
      </c>
    </row>
    <row r="847" spans="1:12" x14ac:dyDescent="0.25">
      <c r="A847" s="962">
        <v>909562</v>
      </c>
      <c r="B847" s="963">
        <v>64</v>
      </c>
      <c r="C847" s="964" t="s">
        <v>476</v>
      </c>
      <c r="D847" s="964"/>
      <c r="E847" s="964"/>
      <c r="F847" s="964"/>
      <c r="G847" s="1082"/>
      <c r="H847" s="1082"/>
      <c r="I847" s="1082"/>
      <c r="J847" s="1082"/>
      <c r="K847" s="1082"/>
      <c r="L847" s="964">
        <v>36.9</v>
      </c>
    </row>
    <row r="848" spans="1:12" x14ac:dyDescent="0.25">
      <c r="A848" s="37">
        <v>909563</v>
      </c>
      <c r="B848" s="34">
        <v>36</v>
      </c>
      <c r="C848" s="35" t="s">
        <v>495</v>
      </c>
      <c r="D848" s="35">
        <v>9.42</v>
      </c>
      <c r="E848" s="35">
        <v>3.1</v>
      </c>
      <c r="F848" s="35">
        <v>1.96</v>
      </c>
      <c r="G848" s="35">
        <v>0.77</v>
      </c>
      <c r="H848" s="35">
        <v>2.67</v>
      </c>
      <c r="I848" s="35">
        <v>0.61</v>
      </c>
      <c r="J848" s="35">
        <v>2.4700000000000002</v>
      </c>
      <c r="K848" s="35">
        <v>0.7</v>
      </c>
      <c r="L848" s="35">
        <v>56.7</v>
      </c>
    </row>
    <row r="849" spans="1:12" x14ac:dyDescent="0.25">
      <c r="A849" s="1086">
        <v>909564</v>
      </c>
      <c r="B849" s="1087">
        <v>83</v>
      </c>
      <c r="C849" s="1087" t="s">
        <v>480</v>
      </c>
      <c r="D849" s="1087">
        <v>9.08</v>
      </c>
      <c r="E849" s="1087">
        <v>2.31</v>
      </c>
      <c r="F849" s="1090">
        <v>1.4847102000000001</v>
      </c>
      <c r="G849" s="1008">
        <v>0.33</v>
      </c>
      <c r="H849" s="1114">
        <v>1.46</v>
      </c>
      <c r="I849" s="1008">
        <v>0.41</v>
      </c>
      <c r="J849" s="1114">
        <v>6.16</v>
      </c>
      <c r="K849" s="1008">
        <v>0.66</v>
      </c>
      <c r="L849" s="1087">
        <v>62.3</v>
      </c>
    </row>
    <row r="850" spans="1:12" x14ac:dyDescent="0.25">
      <c r="A850" s="1086">
        <v>909565</v>
      </c>
      <c r="B850" s="1087">
        <v>79</v>
      </c>
      <c r="C850" s="1087" t="s">
        <v>476</v>
      </c>
      <c r="D850" s="1087">
        <v>9.15</v>
      </c>
      <c r="E850" s="1087">
        <v>6.3</v>
      </c>
      <c r="F850" s="1090">
        <v>2.0169648000000002</v>
      </c>
      <c r="G850" s="1008">
        <v>0.96</v>
      </c>
      <c r="H850" s="1114">
        <v>2.6</v>
      </c>
      <c r="I850" s="1114">
        <v>0.51</v>
      </c>
      <c r="J850" s="1114">
        <v>5.86</v>
      </c>
      <c r="K850" s="1008">
        <v>0.79</v>
      </c>
      <c r="L850" s="1087">
        <v>49</v>
      </c>
    </row>
    <row r="851" spans="1:12" x14ac:dyDescent="0.25">
      <c r="A851" s="1086">
        <v>909566</v>
      </c>
      <c r="B851" s="1087">
        <v>29</v>
      </c>
      <c r="C851" s="1087" t="s">
        <v>477</v>
      </c>
      <c r="D851" s="1087">
        <v>8.9700000000000006</v>
      </c>
      <c r="E851" s="1087">
        <v>4.6399999999999997</v>
      </c>
      <c r="F851" s="1090">
        <v>1.7648442000000002</v>
      </c>
      <c r="G851" s="1008">
        <v>0.68</v>
      </c>
      <c r="H851" s="1114">
        <v>2.31</v>
      </c>
      <c r="I851" s="1114">
        <v>1.46</v>
      </c>
      <c r="J851" s="1114">
        <v>2.83</v>
      </c>
      <c r="K851" s="1008">
        <v>0.66</v>
      </c>
      <c r="L851" s="1087">
        <v>66.599999999999994</v>
      </c>
    </row>
    <row r="852" spans="1:12" x14ac:dyDescent="0.25">
      <c r="A852" s="1086">
        <v>909567</v>
      </c>
      <c r="B852" s="1087">
        <v>66</v>
      </c>
      <c r="C852" s="1087" t="s">
        <v>477</v>
      </c>
      <c r="D852" s="1087">
        <v>9.64</v>
      </c>
      <c r="E852" s="1087">
        <v>5.52</v>
      </c>
      <c r="F852" s="1090">
        <v>1.7928576000000003</v>
      </c>
      <c r="G852" s="1008">
        <v>0.88</v>
      </c>
      <c r="H852" s="1114">
        <v>2.99</v>
      </c>
      <c r="I852" s="1008">
        <v>0.63</v>
      </c>
      <c r="J852" s="1114">
        <v>6.87</v>
      </c>
      <c r="K852" s="1114">
        <v>1.43</v>
      </c>
      <c r="L852" s="1087">
        <v>37.700000000000003</v>
      </c>
    </row>
    <row r="853" spans="1:12" x14ac:dyDescent="0.25">
      <c r="A853" s="1086">
        <v>909568</v>
      </c>
      <c r="B853" s="1087">
        <v>86</v>
      </c>
      <c r="C853" s="1087" t="s">
        <v>187</v>
      </c>
      <c r="D853" s="1087">
        <v>8.4499999999999993</v>
      </c>
      <c r="E853" s="1087">
        <v>4.1100000000000003</v>
      </c>
      <c r="F853" s="1090">
        <v>5.1264521999999992</v>
      </c>
      <c r="G853" s="1114">
        <v>1.65</v>
      </c>
      <c r="H853" s="1114">
        <v>2.4300000000000002</v>
      </c>
      <c r="I853" s="1008">
        <v>0.22</v>
      </c>
      <c r="J853" s="1114">
        <v>7.14</v>
      </c>
      <c r="K853" s="1008">
        <v>0.55000000000000004</v>
      </c>
      <c r="L853" s="1087">
        <v>70.8</v>
      </c>
    </row>
    <row r="854" spans="1:12" x14ac:dyDescent="0.25">
      <c r="A854" s="1086">
        <v>909569</v>
      </c>
      <c r="B854" s="1087">
        <v>78</v>
      </c>
      <c r="C854" s="1087" t="s">
        <v>476</v>
      </c>
      <c r="D854" s="1087">
        <v>8.84</v>
      </c>
      <c r="E854" s="1087">
        <v>5.84</v>
      </c>
      <c r="F854" s="1090">
        <v>2.2690854000000003</v>
      </c>
      <c r="G854" s="1008">
        <v>0.86</v>
      </c>
      <c r="H854" s="1114">
        <v>2.4900000000000002</v>
      </c>
      <c r="I854" s="1008">
        <v>0.47</v>
      </c>
      <c r="J854" s="1114">
        <v>5.37</v>
      </c>
      <c r="K854" s="1008">
        <v>1.01</v>
      </c>
      <c r="L854" s="1087">
        <v>53.3</v>
      </c>
    </row>
    <row r="855" spans="1:12" x14ac:dyDescent="0.25">
      <c r="A855" s="1086">
        <v>909570</v>
      </c>
      <c r="B855" s="1087">
        <v>67</v>
      </c>
      <c r="C855" s="1087" t="s">
        <v>476</v>
      </c>
      <c r="D855" s="1087">
        <v>9.34</v>
      </c>
      <c r="E855" s="1087">
        <v>5.63</v>
      </c>
      <c r="F855" s="1090">
        <v>2.0169648000000002</v>
      </c>
      <c r="G855" s="1008">
        <v>0.78</v>
      </c>
      <c r="H855" s="1114">
        <v>2.78</v>
      </c>
      <c r="I855" s="1008">
        <v>0.67</v>
      </c>
      <c r="J855" s="1114">
        <v>6.31</v>
      </c>
      <c r="K855" s="1008">
        <v>1.05</v>
      </c>
      <c r="L855" s="1087">
        <v>41.4</v>
      </c>
    </row>
    <row r="856" spans="1:12" x14ac:dyDescent="0.25">
      <c r="A856" s="1156">
        <v>909571</v>
      </c>
      <c r="B856" s="1157">
        <v>64</v>
      </c>
      <c r="C856" s="1158"/>
      <c r="D856" s="1158">
        <v>7.09</v>
      </c>
      <c r="E856" s="1158">
        <v>0.28299999999999997</v>
      </c>
      <c r="F856" s="1158">
        <v>1.01</v>
      </c>
      <c r="G856" s="1159">
        <v>0.12</v>
      </c>
      <c r="H856" s="1159">
        <v>0.31</v>
      </c>
      <c r="I856" s="1159">
        <v>0.09</v>
      </c>
      <c r="J856" s="1159">
        <v>3.01</v>
      </c>
      <c r="K856" s="1159">
        <v>0.34</v>
      </c>
      <c r="L856" s="1158">
        <v>54.6</v>
      </c>
    </row>
    <row r="857" spans="1:12" x14ac:dyDescent="0.25">
      <c r="A857" s="37">
        <v>909572</v>
      </c>
      <c r="B857" s="35">
        <v>81</v>
      </c>
      <c r="C857" s="35" t="s">
        <v>477</v>
      </c>
      <c r="D857" s="35">
        <v>7.01</v>
      </c>
      <c r="E857" s="35">
        <v>6.86</v>
      </c>
      <c r="F857" s="35">
        <v>5.01</v>
      </c>
      <c r="G857" s="340">
        <v>2.2000000000000002</v>
      </c>
      <c r="H857" s="340">
        <v>2.81</v>
      </c>
      <c r="I857" s="340">
        <v>0.28999999999999998</v>
      </c>
      <c r="J857" s="340">
        <v>3.06</v>
      </c>
      <c r="K857" s="340">
        <v>0.78</v>
      </c>
      <c r="L857" s="35">
        <v>78.5</v>
      </c>
    </row>
    <row r="858" spans="1:12" x14ac:dyDescent="0.25">
      <c r="A858" s="962">
        <v>909573</v>
      </c>
      <c r="B858" s="964">
        <v>54</v>
      </c>
      <c r="C858" s="964" t="s">
        <v>476</v>
      </c>
      <c r="D858" s="964"/>
      <c r="E858" s="964"/>
      <c r="F858" s="964"/>
      <c r="G858" s="964"/>
      <c r="H858" s="964"/>
      <c r="I858" s="964"/>
      <c r="J858" s="964"/>
      <c r="K858" s="964"/>
      <c r="L858" s="964">
        <v>55.5</v>
      </c>
    </row>
    <row r="859" spans="1:12" x14ac:dyDescent="0.25">
      <c r="A859" s="962">
        <v>909574</v>
      </c>
      <c r="B859" s="964">
        <v>54</v>
      </c>
      <c r="C859" s="964" t="s">
        <v>477</v>
      </c>
      <c r="D859" s="964"/>
      <c r="E859" s="964"/>
      <c r="F859" s="964"/>
      <c r="G859" s="964"/>
      <c r="H859" s="964"/>
      <c r="I859" s="964"/>
      <c r="J859" s="964"/>
      <c r="K859" s="964"/>
      <c r="L859" s="964">
        <v>30</v>
      </c>
    </row>
    <row r="860" spans="1:12" x14ac:dyDescent="0.25">
      <c r="A860" s="962">
        <v>909575</v>
      </c>
      <c r="B860" s="964">
        <v>39</v>
      </c>
      <c r="C860" s="964" t="s">
        <v>476</v>
      </c>
      <c r="D860" s="964"/>
      <c r="E860" s="964"/>
      <c r="F860" s="964"/>
      <c r="G860" s="964"/>
      <c r="H860" s="964"/>
      <c r="I860" s="964"/>
      <c r="J860" s="964"/>
      <c r="K860" s="964"/>
      <c r="L860" s="964">
        <v>54.9</v>
      </c>
    </row>
    <row r="861" spans="1:12" x14ac:dyDescent="0.25">
      <c r="A861" s="962">
        <v>909576</v>
      </c>
      <c r="B861" s="964">
        <v>36</v>
      </c>
      <c r="C861" s="964" t="s">
        <v>477</v>
      </c>
      <c r="D861" s="964"/>
      <c r="E861" s="964"/>
      <c r="F861" s="964"/>
      <c r="G861" s="964"/>
      <c r="H861" s="964"/>
      <c r="I861" s="964"/>
      <c r="J861" s="964"/>
      <c r="K861" s="964"/>
      <c r="L861" s="964">
        <v>64</v>
      </c>
    </row>
    <row r="862" spans="1:12" x14ac:dyDescent="0.25">
      <c r="A862" s="37">
        <v>909577</v>
      </c>
      <c r="B862" s="35">
        <v>31</v>
      </c>
      <c r="C862" s="35" t="s">
        <v>477</v>
      </c>
      <c r="D862" s="35">
        <v>9</v>
      </c>
      <c r="E862" s="35">
        <v>2.02</v>
      </c>
      <c r="F862" s="35">
        <v>1.18</v>
      </c>
      <c r="G862" s="344">
        <v>0.3</v>
      </c>
      <c r="H862" s="344">
        <v>1.06</v>
      </c>
      <c r="I862" s="344">
        <v>0.28999999999999998</v>
      </c>
      <c r="J862" s="344">
        <v>12.3</v>
      </c>
      <c r="K862" s="344">
        <v>1.44</v>
      </c>
      <c r="L862" s="35">
        <v>46.4</v>
      </c>
    </row>
    <row r="863" spans="1:12" x14ac:dyDescent="0.25">
      <c r="A863" s="962">
        <v>909578</v>
      </c>
      <c r="B863" s="964">
        <v>61</v>
      </c>
      <c r="C863" s="964" t="s">
        <v>476</v>
      </c>
      <c r="D863" s="964"/>
      <c r="E863" s="964"/>
      <c r="F863" s="964"/>
      <c r="G863" s="964"/>
      <c r="H863" s="964"/>
      <c r="I863" s="964"/>
      <c r="J863" s="964"/>
      <c r="K863" s="964"/>
      <c r="L863" s="964">
        <v>37.5</v>
      </c>
    </row>
    <row r="864" spans="1:12" x14ac:dyDescent="0.25">
      <c r="A864" s="962">
        <v>909579</v>
      </c>
      <c r="B864" s="964">
        <v>54</v>
      </c>
      <c r="C864" s="964" t="s">
        <v>476</v>
      </c>
      <c r="D864" s="964"/>
      <c r="E864" s="964"/>
      <c r="F864" s="964"/>
      <c r="G864" s="964"/>
      <c r="H864" s="964"/>
      <c r="I864" s="964"/>
      <c r="J864" s="964"/>
      <c r="K864" s="964"/>
      <c r="L864" s="964">
        <v>37.200000000000003</v>
      </c>
    </row>
    <row r="865" spans="1:16" x14ac:dyDescent="0.25">
      <c r="A865" s="962">
        <v>909580</v>
      </c>
      <c r="B865" s="963">
        <v>60</v>
      </c>
      <c r="C865" s="964" t="s">
        <v>476</v>
      </c>
      <c r="D865" s="964"/>
      <c r="E865" s="964"/>
      <c r="F865" s="964"/>
      <c r="G865" s="964"/>
      <c r="H865" s="964"/>
      <c r="I865" s="964"/>
      <c r="J865" s="964"/>
      <c r="K865" s="964"/>
      <c r="L865" s="964">
        <v>39.200000000000003</v>
      </c>
    </row>
    <row r="866" spans="1:16" x14ac:dyDescent="0.25">
      <c r="A866" s="37">
        <v>909581</v>
      </c>
      <c r="B866" s="35">
        <v>68</v>
      </c>
      <c r="C866" s="35" t="s">
        <v>476</v>
      </c>
      <c r="D866" s="35">
        <v>8.5399999999999991</v>
      </c>
      <c r="E866" s="35">
        <v>3.75</v>
      </c>
      <c r="F866" s="35">
        <v>2.44</v>
      </c>
      <c r="G866" s="754">
        <v>1.81</v>
      </c>
      <c r="H866" s="754">
        <v>2.66</v>
      </c>
      <c r="I866" s="754">
        <v>0.5</v>
      </c>
      <c r="J866" s="754">
        <v>5.4</v>
      </c>
      <c r="K866" s="754">
        <v>0.8</v>
      </c>
      <c r="L866" s="35">
        <v>61.7</v>
      </c>
      <c r="M866" s="754">
        <v>458.29</v>
      </c>
      <c r="N866" s="754">
        <v>54.66</v>
      </c>
      <c r="O866" s="754">
        <v>448.88</v>
      </c>
      <c r="P866" s="754">
        <v>3475.4</v>
      </c>
    </row>
    <row r="867" spans="1:16" x14ac:dyDescent="0.25">
      <c r="A867" s="37">
        <v>909582</v>
      </c>
      <c r="B867" s="35">
        <v>44</v>
      </c>
      <c r="C867" s="35" t="s">
        <v>477</v>
      </c>
      <c r="D867" s="35">
        <v>8.6300000000000008</v>
      </c>
      <c r="E867" s="35">
        <v>1.3360000000000001</v>
      </c>
      <c r="F867" s="35">
        <v>2.0699999999999998</v>
      </c>
      <c r="G867" s="754">
        <v>0.27</v>
      </c>
      <c r="H867" s="754">
        <v>1.79</v>
      </c>
      <c r="I867" s="754">
        <v>0.21</v>
      </c>
      <c r="J867" s="754">
        <v>2.99</v>
      </c>
      <c r="K867" s="754">
        <v>0.54</v>
      </c>
      <c r="L867" s="35">
        <v>49.5</v>
      </c>
    </row>
    <row r="868" spans="1:16" x14ac:dyDescent="0.25">
      <c r="A868" s="37">
        <v>909583</v>
      </c>
      <c r="B868" s="35">
        <v>46</v>
      </c>
      <c r="C868" s="35" t="s">
        <v>477</v>
      </c>
      <c r="D868" s="35">
        <v>8.6</v>
      </c>
      <c r="E868" s="35">
        <v>1.494</v>
      </c>
      <c r="F868" s="35">
        <v>2.27</v>
      </c>
      <c r="G868" s="754">
        <v>0.2</v>
      </c>
      <c r="H868" s="754">
        <v>1.65</v>
      </c>
      <c r="I868" s="754">
        <v>0.16</v>
      </c>
      <c r="J868" s="754">
        <v>2.4500000000000002</v>
      </c>
      <c r="K868" s="754">
        <v>0.45</v>
      </c>
      <c r="L868" s="35">
        <v>46.7</v>
      </c>
    </row>
    <row r="869" spans="1:16" x14ac:dyDescent="0.25">
      <c r="A869" s="962">
        <v>909584</v>
      </c>
      <c r="B869" s="963">
        <v>65</v>
      </c>
      <c r="C869" s="964" t="s">
        <v>476</v>
      </c>
      <c r="D869" s="964"/>
      <c r="E869" s="964"/>
      <c r="F869" s="964"/>
      <c r="G869" s="964"/>
      <c r="H869" s="964"/>
      <c r="I869" s="964"/>
      <c r="J869" s="964"/>
      <c r="K869" s="964"/>
      <c r="L869" s="964">
        <v>31.7</v>
      </c>
    </row>
    <row r="870" spans="1:16" x14ac:dyDescent="0.25">
      <c r="A870" s="37">
        <v>909585</v>
      </c>
      <c r="B870" s="35">
        <v>63</v>
      </c>
      <c r="C870" s="35" t="s">
        <v>476</v>
      </c>
      <c r="D870" s="35">
        <v>8.74</v>
      </c>
      <c r="E870" s="35">
        <v>3.82</v>
      </c>
      <c r="F870" s="35">
        <v>1.82</v>
      </c>
      <c r="G870" s="754">
        <v>0.59</v>
      </c>
      <c r="H870" s="754">
        <v>2.06</v>
      </c>
      <c r="I870" s="754">
        <v>0.5</v>
      </c>
      <c r="J870" s="754">
        <v>5.38</v>
      </c>
      <c r="K870" s="754">
        <v>0.81</v>
      </c>
      <c r="L870" s="35">
        <v>40.6</v>
      </c>
    </row>
    <row r="871" spans="1:16" x14ac:dyDescent="0.25">
      <c r="A871" s="962">
        <v>909586</v>
      </c>
      <c r="B871" s="963">
        <v>67.27</v>
      </c>
      <c r="C871" s="964" t="s">
        <v>476</v>
      </c>
      <c r="D871" s="964"/>
      <c r="E871" s="964"/>
      <c r="F871" s="964"/>
      <c r="G871" s="964"/>
      <c r="H871" s="964"/>
      <c r="I871" s="964"/>
      <c r="J871" s="964"/>
      <c r="K871" s="964"/>
      <c r="L871" s="964">
        <v>43.3</v>
      </c>
    </row>
    <row r="872" spans="1:16" x14ac:dyDescent="0.25">
      <c r="A872" s="37">
        <v>909587</v>
      </c>
      <c r="B872" s="35">
        <v>48</v>
      </c>
      <c r="C872" s="35" t="s">
        <v>476</v>
      </c>
      <c r="D872" s="35">
        <v>8.5399999999999991</v>
      </c>
      <c r="E872" s="35">
        <v>2.3490000000000002</v>
      </c>
      <c r="F872" s="35">
        <v>1.79</v>
      </c>
      <c r="G872" s="754">
        <v>0.54</v>
      </c>
      <c r="H872" s="754">
        <v>1.88</v>
      </c>
      <c r="I872" s="754">
        <v>0.56000000000000005</v>
      </c>
      <c r="J872" s="754">
        <v>3.49</v>
      </c>
      <c r="K872" s="754">
        <v>0.75</v>
      </c>
      <c r="L872" s="35">
        <v>65.2</v>
      </c>
    </row>
    <row r="873" spans="1:16" x14ac:dyDescent="0.25">
      <c r="A873" s="37">
        <v>909588</v>
      </c>
      <c r="B873" s="35">
        <v>76</v>
      </c>
      <c r="C873" s="35" t="s">
        <v>477</v>
      </c>
      <c r="D873" s="35">
        <v>8.92</v>
      </c>
      <c r="E873" s="35">
        <v>4.34</v>
      </c>
      <c r="F873" s="35">
        <v>1.77</v>
      </c>
      <c r="G873" s="754">
        <v>0.46</v>
      </c>
      <c r="H873" s="754">
        <v>2.5</v>
      </c>
      <c r="I873" s="754">
        <v>0.55000000000000004</v>
      </c>
      <c r="J873" s="754">
        <v>2.8</v>
      </c>
      <c r="K873" s="754">
        <v>0.57999999999999996</v>
      </c>
      <c r="L873" s="35">
        <v>70.8</v>
      </c>
    </row>
    <row r="874" spans="1:16" x14ac:dyDescent="0.25">
      <c r="A874" s="37">
        <v>909589</v>
      </c>
      <c r="B874" s="34">
        <v>75</v>
      </c>
      <c r="C874" s="35" t="s">
        <v>187</v>
      </c>
      <c r="D874" s="35">
        <v>7.74</v>
      </c>
      <c r="E874" s="35">
        <v>7.52</v>
      </c>
      <c r="F874" s="35">
        <v>2</v>
      </c>
      <c r="G874" s="35">
        <v>0.92</v>
      </c>
      <c r="H874" s="35">
        <v>2.3199999999999998</v>
      </c>
      <c r="I874" s="35">
        <v>0.5</v>
      </c>
      <c r="J874" s="35">
        <v>4.95</v>
      </c>
      <c r="K874" s="35">
        <v>0.93</v>
      </c>
      <c r="L874" s="35">
        <v>56.5</v>
      </c>
    </row>
    <row r="875" spans="1:16" x14ac:dyDescent="0.25">
      <c r="A875" s="962">
        <v>909590</v>
      </c>
      <c r="B875" s="963">
        <v>58</v>
      </c>
      <c r="C875" s="964" t="s">
        <v>187</v>
      </c>
      <c r="D875" s="964"/>
      <c r="E875" s="964"/>
      <c r="F875" s="964"/>
      <c r="G875" s="964"/>
      <c r="H875" s="964"/>
      <c r="I875" s="964"/>
      <c r="J875" s="964"/>
      <c r="K875" s="964"/>
      <c r="L875" s="964">
        <v>41.1</v>
      </c>
    </row>
    <row r="876" spans="1:16" x14ac:dyDescent="0.25">
      <c r="A876" s="1190">
        <v>909591</v>
      </c>
      <c r="B876" s="1191">
        <v>88</v>
      </c>
      <c r="C876" s="1192" t="s">
        <v>187</v>
      </c>
      <c r="D876" s="1192">
        <v>8.52</v>
      </c>
      <c r="E876" s="1192">
        <v>4.8</v>
      </c>
      <c r="F876" s="1192">
        <v>2.44</v>
      </c>
      <c r="G876" s="1193">
        <v>0.37</v>
      </c>
      <c r="H876" s="1193">
        <v>1.81</v>
      </c>
      <c r="I876" s="1193">
        <v>0.6</v>
      </c>
      <c r="J876" s="1193">
        <v>4.66</v>
      </c>
      <c r="K876" s="1193">
        <v>1.41</v>
      </c>
      <c r="L876" s="1192">
        <v>33.700000000000003</v>
      </c>
      <c r="M876" s="1193">
        <v>133.44</v>
      </c>
      <c r="N876" s="1193">
        <v>27.52</v>
      </c>
      <c r="O876" s="1193">
        <v>496.26</v>
      </c>
      <c r="P876" s="1193">
        <v>16244.48</v>
      </c>
    </row>
    <row r="877" spans="1:16" x14ac:dyDescent="0.25">
      <c r="A877" s="37">
        <v>909592</v>
      </c>
      <c r="B877" s="34">
        <v>33</v>
      </c>
      <c r="C877" s="35" t="s">
        <v>476</v>
      </c>
      <c r="D877" s="35">
        <v>7.64</v>
      </c>
      <c r="E877" s="35">
        <v>0.36699999999999999</v>
      </c>
      <c r="F877" s="35">
        <v>0.5</v>
      </c>
      <c r="G877" s="795">
        <v>0.9</v>
      </c>
      <c r="H877" s="795">
        <v>0.47</v>
      </c>
      <c r="I877" s="795">
        <v>0.09</v>
      </c>
      <c r="J877" s="795">
        <v>7.52</v>
      </c>
      <c r="K877" s="795">
        <v>0.69</v>
      </c>
      <c r="L877" s="35">
        <v>48.3</v>
      </c>
      <c r="M877" s="795">
        <v>207.49</v>
      </c>
      <c r="N877" s="795">
        <v>62.7</v>
      </c>
      <c r="O877" s="795">
        <v>398.72</v>
      </c>
      <c r="P877" s="795">
        <v>8575.44</v>
      </c>
    </row>
    <row r="878" spans="1:16" x14ac:dyDescent="0.25">
      <c r="A878" s="37">
        <v>909593</v>
      </c>
      <c r="B878" s="34">
        <v>61</v>
      </c>
      <c r="C878" s="35" t="s">
        <v>476</v>
      </c>
      <c r="D878" s="35">
        <v>7.4</v>
      </c>
      <c r="E878" s="35">
        <v>6.26</v>
      </c>
      <c r="F878" s="35">
        <v>2.5099999999999998</v>
      </c>
      <c r="G878" s="795">
        <v>1.05</v>
      </c>
      <c r="H878" s="795">
        <v>2.46</v>
      </c>
      <c r="I878" s="795">
        <v>0.38</v>
      </c>
      <c r="J878" s="795">
        <v>2.5099999999999998</v>
      </c>
      <c r="K878" s="795">
        <v>0.74</v>
      </c>
      <c r="L878" s="35">
        <v>77.599999999999994</v>
      </c>
    </row>
    <row r="879" spans="1:16" x14ac:dyDescent="0.25">
      <c r="A879" s="37">
        <v>909594</v>
      </c>
      <c r="B879" s="34">
        <v>53</v>
      </c>
      <c r="C879" s="35" t="s">
        <v>476</v>
      </c>
      <c r="D879" s="35">
        <v>8.26</v>
      </c>
      <c r="E879" s="35">
        <v>2.46</v>
      </c>
      <c r="F879" s="35">
        <v>1.0900000000000001</v>
      </c>
      <c r="G879" s="795">
        <v>0.43</v>
      </c>
      <c r="H879" s="795">
        <v>1.81</v>
      </c>
      <c r="I879" s="795">
        <v>0.54</v>
      </c>
      <c r="J879" s="795">
        <v>4.78</v>
      </c>
      <c r="K879" s="795">
        <v>0.62</v>
      </c>
      <c r="L879" s="35">
        <v>54.5</v>
      </c>
    </row>
    <row r="880" spans="1:16" x14ac:dyDescent="0.25">
      <c r="A880" s="37">
        <v>909595</v>
      </c>
      <c r="B880" s="34">
        <v>27</v>
      </c>
      <c r="C880" s="35" t="s">
        <v>477</v>
      </c>
      <c r="D880" s="35">
        <v>8.44</v>
      </c>
      <c r="E880" s="35">
        <v>3.39</v>
      </c>
      <c r="F880" s="35">
        <v>1.08</v>
      </c>
      <c r="G880" s="795">
        <v>0.56000000000000005</v>
      </c>
      <c r="H880" s="795">
        <v>1.49</v>
      </c>
      <c r="I880" s="795">
        <v>0.52</v>
      </c>
      <c r="J880" s="795">
        <v>6.27</v>
      </c>
      <c r="K880" s="795">
        <v>1.38</v>
      </c>
      <c r="L880" s="35">
        <v>51.7</v>
      </c>
    </row>
    <row r="881" spans="1:85" x14ac:dyDescent="0.25">
      <c r="A881" s="37">
        <v>909596</v>
      </c>
      <c r="B881" s="34">
        <v>21</v>
      </c>
      <c r="C881" s="35" t="s">
        <v>477</v>
      </c>
      <c r="D881" s="35">
        <v>8.4</v>
      </c>
      <c r="E881" s="35">
        <v>3.97</v>
      </c>
      <c r="F881" s="35">
        <v>2.1800000000000002</v>
      </c>
      <c r="G881" s="795">
        <v>0.51</v>
      </c>
      <c r="H881" s="795">
        <v>2.83</v>
      </c>
      <c r="I881" s="795">
        <v>0.71</v>
      </c>
      <c r="J881" s="795">
        <v>4.01</v>
      </c>
      <c r="K881" s="795">
        <v>0.88</v>
      </c>
      <c r="L881" s="35">
        <v>68.2</v>
      </c>
    </row>
    <row r="882" spans="1:85" x14ac:dyDescent="0.25">
      <c r="A882" s="962">
        <v>909597</v>
      </c>
      <c r="B882" s="963">
        <v>57</v>
      </c>
      <c r="C882" s="964" t="s">
        <v>476</v>
      </c>
      <c r="D882" s="964">
        <v>8.24</v>
      </c>
      <c r="E882" s="964">
        <v>2.75</v>
      </c>
      <c r="F882" s="964"/>
      <c r="G882" s="964"/>
      <c r="H882" s="964"/>
      <c r="I882" s="964"/>
      <c r="J882" s="964"/>
      <c r="K882" s="964"/>
      <c r="L882" s="964">
        <v>28.2</v>
      </c>
    </row>
    <row r="883" spans="1:85" x14ac:dyDescent="0.25">
      <c r="A883" s="976">
        <v>909598</v>
      </c>
      <c r="B883" s="977">
        <v>68</v>
      </c>
      <c r="C883" s="974" t="s">
        <v>477</v>
      </c>
      <c r="D883" s="974">
        <v>8.09</v>
      </c>
      <c r="E883" s="974">
        <v>4.24</v>
      </c>
      <c r="F883" s="974">
        <v>1.54</v>
      </c>
      <c r="G883" s="975">
        <v>1.33</v>
      </c>
      <c r="H883" s="974">
        <v>2.5</v>
      </c>
      <c r="I883" s="975">
        <v>0.46</v>
      </c>
      <c r="J883" s="975">
        <v>6.63</v>
      </c>
      <c r="K883" s="975">
        <v>0.92</v>
      </c>
      <c r="L883" s="974">
        <v>51.6</v>
      </c>
    </row>
    <row r="884" spans="1:85" x14ac:dyDescent="0.25">
      <c r="A884" s="976">
        <v>909599</v>
      </c>
      <c r="B884" s="977">
        <v>69</v>
      </c>
      <c r="C884" s="974" t="s">
        <v>187</v>
      </c>
      <c r="D884" s="974">
        <v>8.26</v>
      </c>
      <c r="E884" s="974">
        <v>2.78</v>
      </c>
      <c r="F884" s="974">
        <v>2</v>
      </c>
      <c r="G884" s="975">
        <v>1</v>
      </c>
      <c r="H884" s="974">
        <v>2.12</v>
      </c>
      <c r="I884" s="975">
        <v>0.72</v>
      </c>
      <c r="J884" s="975">
        <v>6.09</v>
      </c>
      <c r="K884" s="975">
        <v>0.69</v>
      </c>
      <c r="L884" s="974">
        <v>61.9</v>
      </c>
    </row>
    <row r="885" spans="1:85" x14ac:dyDescent="0.25">
      <c r="A885" s="976">
        <v>909600</v>
      </c>
      <c r="B885" s="977">
        <v>59</v>
      </c>
      <c r="C885" s="974" t="s">
        <v>476</v>
      </c>
      <c r="D885" s="974">
        <v>7.67</v>
      </c>
      <c r="E885" s="974">
        <v>2.54</v>
      </c>
      <c r="F885" s="974">
        <v>0.87</v>
      </c>
      <c r="G885" s="975">
        <v>0.93</v>
      </c>
      <c r="H885" s="974">
        <v>1.83</v>
      </c>
      <c r="I885" s="975">
        <v>0.21</v>
      </c>
      <c r="J885" s="975">
        <v>3.87</v>
      </c>
      <c r="K885" s="975">
        <v>1.7</v>
      </c>
      <c r="L885" s="974">
        <v>33.6</v>
      </c>
    </row>
    <row r="886" spans="1:85" x14ac:dyDescent="0.25">
      <c r="A886" s="37">
        <v>909601</v>
      </c>
      <c r="B886" s="34">
        <v>63</v>
      </c>
      <c r="C886" s="35" t="s">
        <v>476</v>
      </c>
      <c r="D886" s="35">
        <v>8.84</v>
      </c>
      <c r="E886" s="35">
        <v>4.8499999999999996</v>
      </c>
      <c r="F886" s="35">
        <v>1.7</v>
      </c>
      <c r="G886" s="795">
        <v>0.8</v>
      </c>
      <c r="H886" s="795">
        <v>2.5099999999999998</v>
      </c>
      <c r="I886" s="795">
        <v>0.63</v>
      </c>
      <c r="J886" s="795">
        <v>5.79</v>
      </c>
      <c r="K886" s="795">
        <v>0.91</v>
      </c>
      <c r="L886" s="35">
        <v>47.3</v>
      </c>
    </row>
    <row r="887" spans="1:85" x14ac:dyDescent="0.25">
      <c r="A887" s="37">
        <v>909602</v>
      </c>
      <c r="B887" s="34">
        <v>34</v>
      </c>
      <c r="C887" s="35" t="s">
        <v>187</v>
      </c>
      <c r="D887" s="35">
        <v>8.74</v>
      </c>
      <c r="E887" s="35">
        <v>1.83</v>
      </c>
      <c r="F887" s="35">
        <v>1.67</v>
      </c>
      <c r="G887" s="753">
        <v>0.48</v>
      </c>
      <c r="H887" s="795">
        <v>1.65</v>
      </c>
      <c r="I887" s="795">
        <v>0.55000000000000004</v>
      </c>
      <c r="J887" s="795">
        <v>4.6399999999999997</v>
      </c>
      <c r="K887" s="795">
        <v>0.62</v>
      </c>
      <c r="L887" s="35">
        <v>68.7</v>
      </c>
    </row>
    <row r="888" spans="1:85" x14ac:dyDescent="0.25">
      <c r="A888" s="37">
        <v>909603</v>
      </c>
      <c r="B888" s="34">
        <v>52</v>
      </c>
      <c r="C888" s="35" t="s">
        <v>480</v>
      </c>
      <c r="D888" s="35">
        <v>8.33</v>
      </c>
      <c r="E888" s="35">
        <v>3.79</v>
      </c>
      <c r="F888" s="35">
        <v>1.56</v>
      </c>
      <c r="G888" s="753">
        <v>1.05</v>
      </c>
      <c r="H888" s="795">
        <v>2.2200000000000002</v>
      </c>
      <c r="I888" s="795">
        <v>0.51</v>
      </c>
      <c r="J888" s="795">
        <v>6.26</v>
      </c>
      <c r="K888" s="795">
        <v>0.87</v>
      </c>
      <c r="L888" s="35">
        <v>60.4</v>
      </c>
    </row>
    <row r="889" spans="1:85" x14ac:dyDescent="0.25">
      <c r="A889" s="37">
        <v>909604</v>
      </c>
      <c r="B889" s="34">
        <v>47</v>
      </c>
      <c r="C889" s="35" t="s">
        <v>187</v>
      </c>
      <c r="D889" s="35">
        <v>8.9600000000000009</v>
      </c>
      <c r="E889" s="35">
        <v>3.28</v>
      </c>
      <c r="F889" s="35">
        <v>1.51</v>
      </c>
      <c r="G889" s="753">
        <v>0.54</v>
      </c>
      <c r="H889" s="795">
        <v>2.5499999999999998</v>
      </c>
      <c r="I889" s="795">
        <v>0.2</v>
      </c>
      <c r="J889" s="795">
        <v>2.72</v>
      </c>
      <c r="K889" s="795">
        <v>0.91</v>
      </c>
      <c r="L889" s="35">
        <v>53.9</v>
      </c>
    </row>
    <row r="890" spans="1:85" x14ac:dyDescent="0.25">
      <c r="A890" s="37">
        <v>909605</v>
      </c>
      <c r="B890" s="34">
        <v>85</v>
      </c>
      <c r="C890" s="35" t="s">
        <v>480</v>
      </c>
      <c r="D890" s="35">
        <v>7.4</v>
      </c>
      <c r="E890" s="35">
        <v>5.69</v>
      </c>
      <c r="F890" s="35">
        <v>1.9</v>
      </c>
      <c r="G890" s="753">
        <v>1.44</v>
      </c>
      <c r="H890" s="795">
        <v>2.2200000000000002</v>
      </c>
      <c r="I890" s="795">
        <v>0.28999999999999998</v>
      </c>
      <c r="J890" s="795">
        <v>7.32</v>
      </c>
      <c r="K890" s="795">
        <v>0.5</v>
      </c>
      <c r="L890" s="35">
        <v>72.7</v>
      </c>
    </row>
    <row r="891" spans="1:85" s="984" customFormat="1" x14ac:dyDescent="0.25">
      <c r="A891" s="745">
        <v>909606</v>
      </c>
      <c r="B891" s="746"/>
      <c r="C891" s="747" t="s">
        <v>541</v>
      </c>
      <c r="D891" s="747"/>
      <c r="E891" s="747"/>
      <c r="F891" s="747"/>
      <c r="G891" s="705"/>
      <c r="H891" s="705"/>
      <c r="I891" s="705"/>
      <c r="J891" s="705"/>
      <c r="K891" s="705"/>
      <c r="L891" s="747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  <c r="BS891" s="35"/>
      <c r="BT891" s="35"/>
      <c r="BU891" s="35"/>
      <c r="BV891" s="35"/>
      <c r="BW891" s="35"/>
      <c r="BX891" s="35"/>
      <c r="BY891" s="35"/>
      <c r="BZ891" s="35"/>
      <c r="CA891" s="35"/>
      <c r="CB891" s="35"/>
      <c r="CC891" s="35"/>
      <c r="CD891" s="35"/>
      <c r="CE891" s="35"/>
      <c r="CF891" s="35"/>
      <c r="CG891" s="35"/>
    </row>
    <row r="892" spans="1:85" x14ac:dyDescent="0.25">
      <c r="A892" s="1247">
        <v>909607</v>
      </c>
      <c r="B892" s="1248">
        <v>64</v>
      </c>
      <c r="C892" s="651" t="s">
        <v>476</v>
      </c>
      <c r="D892" s="651">
        <v>8.5299999999999994</v>
      </c>
      <c r="E892" s="651">
        <v>2.34</v>
      </c>
      <c r="F892" s="651">
        <v>1.22</v>
      </c>
      <c r="G892" s="733">
        <v>0.46</v>
      </c>
      <c r="H892" s="733">
        <v>1.77</v>
      </c>
      <c r="I892" s="733">
        <v>0.25</v>
      </c>
      <c r="J892" s="733">
        <v>7.95</v>
      </c>
      <c r="K892" s="733">
        <v>1.32</v>
      </c>
      <c r="L892" s="651">
        <v>41.5</v>
      </c>
      <c r="M892" s="733">
        <v>80.67</v>
      </c>
      <c r="N892" s="733">
        <v>24.41</v>
      </c>
      <c r="O892" s="733">
        <v>259.56</v>
      </c>
      <c r="P892" s="733">
        <v>12056.53</v>
      </c>
      <c r="Q892" s="651"/>
    </row>
    <row r="893" spans="1:85" ht="14.1" customHeight="1" x14ac:dyDescent="0.25">
      <c r="A893" s="1247">
        <v>909608</v>
      </c>
      <c r="B893" s="1248">
        <v>4</v>
      </c>
      <c r="C893" s="651" t="s">
        <v>477</v>
      </c>
      <c r="D893" s="651">
        <v>5.52</v>
      </c>
      <c r="E893" s="651">
        <v>16.25</v>
      </c>
      <c r="F893" s="651">
        <v>1.41</v>
      </c>
      <c r="G893" s="733">
        <v>0.01</v>
      </c>
      <c r="H893" s="733">
        <v>0.19</v>
      </c>
      <c r="I893" s="733">
        <v>0.02</v>
      </c>
      <c r="J893" s="733">
        <v>0.46</v>
      </c>
      <c r="K893" s="733">
        <v>0.05</v>
      </c>
      <c r="L893" s="651">
        <v>57.5</v>
      </c>
      <c r="M893" s="733">
        <v>0.88</v>
      </c>
      <c r="N893" s="733">
        <v>0.02</v>
      </c>
      <c r="O893" s="733">
        <v>12.1</v>
      </c>
      <c r="P893" s="733">
        <v>184.43</v>
      </c>
      <c r="Q893" s="651"/>
    </row>
    <row r="894" spans="1:85" x14ac:dyDescent="0.25">
      <c r="A894" s="1247">
        <v>909609</v>
      </c>
      <c r="B894" s="1248">
        <v>39</v>
      </c>
      <c r="C894" s="651" t="s">
        <v>477</v>
      </c>
      <c r="D894" s="651"/>
      <c r="E894" s="651"/>
      <c r="F894" s="651"/>
      <c r="G894" s="733">
        <v>6.34</v>
      </c>
      <c r="H894" s="733">
        <v>20.04</v>
      </c>
      <c r="I894" s="733"/>
      <c r="J894" s="733"/>
      <c r="K894" s="733"/>
      <c r="L894" s="651"/>
      <c r="M894" s="733">
        <v>5590.93</v>
      </c>
      <c r="N894" s="733">
        <v>1477.28</v>
      </c>
      <c r="O894" s="733">
        <v>4368.12</v>
      </c>
      <c r="P894" s="733">
        <v>5521.11</v>
      </c>
      <c r="Q894" s="651">
        <v>2891.38</v>
      </c>
    </row>
    <row r="895" spans="1:85" s="747" customFormat="1" x14ac:dyDescent="0.25">
      <c r="A895" s="745">
        <v>909610</v>
      </c>
      <c r="B895" s="746">
        <v>76</v>
      </c>
      <c r="C895" s="747" t="s">
        <v>476</v>
      </c>
      <c r="D895" s="747">
        <v>7.96</v>
      </c>
      <c r="E895" s="747">
        <v>5.66</v>
      </c>
      <c r="F895" s="747">
        <v>1.53</v>
      </c>
      <c r="G895" s="705">
        <v>1.19</v>
      </c>
      <c r="H895" s="705">
        <v>2.34</v>
      </c>
      <c r="I895" s="705">
        <v>0.42</v>
      </c>
      <c r="J895" s="705">
        <v>6.89</v>
      </c>
      <c r="K895" s="705">
        <v>0.79</v>
      </c>
      <c r="L895" s="747">
        <v>56.9</v>
      </c>
    </row>
    <row r="896" spans="1:85" s="1002" customFormat="1" ht="16.5" thickBot="1" x14ac:dyDescent="0.3">
      <c r="A896" s="925"/>
      <c r="B896" s="1001"/>
      <c r="G896" s="1053"/>
      <c r="H896" s="1053"/>
      <c r="I896" s="1053"/>
      <c r="J896" s="1053"/>
      <c r="K896" s="1053"/>
    </row>
    <row r="897" spans="1:31" s="1245" customFormat="1" ht="16.5" thickTop="1" x14ac:dyDescent="0.25">
      <c r="A897" s="1258">
        <v>209000</v>
      </c>
      <c r="B897" s="1259">
        <v>80</v>
      </c>
      <c r="C897" s="1260" t="s">
        <v>477</v>
      </c>
      <c r="D897" s="1260">
        <v>7</v>
      </c>
      <c r="E897" s="1260">
        <f>5*18.31</f>
        <v>91.55</v>
      </c>
      <c r="F897" s="1257">
        <v>1.44</v>
      </c>
      <c r="G897" s="1260">
        <v>0.01</v>
      </c>
      <c r="H897" s="1260">
        <v>4.18</v>
      </c>
      <c r="I897" s="1260">
        <v>1.1599999999999999</v>
      </c>
      <c r="J897" s="1260">
        <v>0.59</v>
      </c>
      <c r="K897" s="1260">
        <v>0.04</v>
      </c>
      <c r="L897" s="1260">
        <v>66.7</v>
      </c>
      <c r="M897" s="1261">
        <v>23.3</v>
      </c>
      <c r="N897" s="1261">
        <v>9.4600000000000009</v>
      </c>
      <c r="O897" s="1261">
        <v>15.62</v>
      </c>
      <c r="P897" s="1261">
        <v>146.41</v>
      </c>
      <c r="AE897" s="1245">
        <f>0.05*10*1000</f>
        <v>500</v>
      </c>
    </row>
    <row r="898" spans="1:31" x14ac:dyDescent="0.25">
      <c r="A898" s="1255">
        <v>209001</v>
      </c>
      <c r="B898" s="1256">
        <v>70</v>
      </c>
      <c r="C898" s="1257" t="s">
        <v>187</v>
      </c>
      <c r="D898" s="1257">
        <v>8.8000000000000007</v>
      </c>
      <c r="E898" s="1257">
        <v>4.78</v>
      </c>
      <c r="F898" s="1257">
        <v>1.6</v>
      </c>
      <c r="G898" s="1261">
        <v>1.04</v>
      </c>
      <c r="H898" s="1257">
        <v>2.8</v>
      </c>
      <c r="I898" s="1261">
        <v>0.57999999999999996</v>
      </c>
      <c r="J898" s="1261">
        <v>6.5</v>
      </c>
      <c r="K898" s="1261">
        <v>0.89</v>
      </c>
      <c r="L898" s="1257">
        <v>56.1</v>
      </c>
      <c r="M898" s="1257"/>
      <c r="N898" s="1257"/>
      <c r="O898" s="1257"/>
      <c r="P898" s="1257"/>
    </row>
    <row r="899" spans="1:31" x14ac:dyDescent="0.25">
      <c r="A899" s="1255">
        <v>209002</v>
      </c>
      <c r="B899" s="1256">
        <v>2</v>
      </c>
      <c r="C899" s="1257" t="s">
        <v>477</v>
      </c>
      <c r="D899" s="1257">
        <v>5.84</v>
      </c>
      <c r="E899" s="1257">
        <f>5*2.49</f>
        <v>12.450000000000001</v>
      </c>
      <c r="F899" s="1257">
        <v>1.42</v>
      </c>
      <c r="G899" s="1261">
        <v>7.0000000000000007E-2</v>
      </c>
      <c r="H899" s="1261">
        <v>0.19</v>
      </c>
      <c r="I899" s="1261">
        <v>0.04</v>
      </c>
      <c r="J899" s="1261">
        <v>0.09</v>
      </c>
      <c r="K899" s="1261">
        <v>0.06</v>
      </c>
      <c r="L899" s="1257">
        <v>49.5</v>
      </c>
      <c r="M899" s="1261">
        <v>2.4900000000000002</v>
      </c>
      <c r="N899" s="1261">
        <v>0.9</v>
      </c>
      <c r="O899" s="1261">
        <v>8.89</v>
      </c>
      <c r="P899" s="1261">
        <v>54.83</v>
      </c>
    </row>
    <row r="900" spans="1:31" x14ac:dyDescent="0.25">
      <c r="A900" s="1190">
        <v>209003</v>
      </c>
      <c r="B900" s="1191">
        <v>62</v>
      </c>
      <c r="C900" s="1192" t="s">
        <v>476</v>
      </c>
      <c r="D900" s="1192"/>
      <c r="E900" s="1192"/>
      <c r="F900" s="1192"/>
      <c r="G900" s="1192"/>
      <c r="H900" s="1192"/>
      <c r="I900" s="1192"/>
      <c r="J900" s="1192"/>
      <c r="K900" s="1192"/>
      <c r="L900" s="1192">
        <v>29.1</v>
      </c>
    </row>
    <row r="901" spans="1:31" x14ac:dyDescent="0.25">
      <c r="A901" s="1190">
        <v>209004</v>
      </c>
      <c r="B901" s="1191">
        <v>67</v>
      </c>
      <c r="C901" s="1192" t="s">
        <v>476</v>
      </c>
      <c r="D901" s="1192"/>
      <c r="E901" s="1192"/>
      <c r="F901" s="1192"/>
      <c r="G901" s="1192"/>
      <c r="H901" s="1192"/>
      <c r="I901" s="1192"/>
      <c r="J901" s="1192"/>
      <c r="K901" s="1192"/>
      <c r="L901" s="1192">
        <v>26.8</v>
      </c>
    </row>
    <row r="902" spans="1:31" x14ac:dyDescent="0.25">
      <c r="A902" s="1190">
        <v>209005</v>
      </c>
      <c r="B902" s="1191">
        <v>65</v>
      </c>
      <c r="C902" s="1192" t="s">
        <v>476</v>
      </c>
      <c r="D902" s="1192"/>
      <c r="E902" s="1192"/>
      <c r="F902" s="1192"/>
      <c r="G902" s="1192"/>
      <c r="H902" s="1192"/>
      <c r="I902" s="1192"/>
      <c r="J902" s="1192"/>
      <c r="K902" s="1192"/>
      <c r="L902" s="1192">
        <v>24.1</v>
      </c>
    </row>
    <row r="903" spans="1:31" x14ac:dyDescent="0.25">
      <c r="A903" s="1190">
        <v>209006</v>
      </c>
      <c r="B903" s="1191">
        <v>62</v>
      </c>
      <c r="C903" s="1192" t="s">
        <v>476</v>
      </c>
      <c r="D903" s="1192"/>
      <c r="E903" s="1192"/>
      <c r="F903" s="1192"/>
      <c r="G903" s="1192"/>
      <c r="H903" s="1192"/>
      <c r="I903" s="1192"/>
      <c r="J903" s="1192"/>
      <c r="K903" s="1192"/>
      <c r="L903" s="1192">
        <v>26.6</v>
      </c>
    </row>
    <row r="904" spans="1:31" x14ac:dyDescent="0.25">
      <c r="A904" s="1247">
        <v>209007</v>
      </c>
      <c r="B904" s="1248">
        <v>85</v>
      </c>
      <c r="C904" s="651" t="s">
        <v>477</v>
      </c>
      <c r="D904" s="651"/>
      <c r="E904" s="651"/>
      <c r="F904" s="651"/>
      <c r="G904" s="651"/>
      <c r="H904" s="651"/>
      <c r="I904" s="651"/>
      <c r="J904" s="651"/>
      <c r="K904" s="651"/>
      <c r="L904" s="651"/>
      <c r="M904" s="651">
        <v>392.73</v>
      </c>
      <c r="N904" s="651">
        <v>106.7</v>
      </c>
      <c r="O904" s="651">
        <v>299.97000000000003</v>
      </c>
      <c r="P904" s="651">
        <v>1254.71</v>
      </c>
      <c r="Q904" s="651">
        <v>33.5</v>
      </c>
      <c r="R904" s="651"/>
      <c r="S904" s="651"/>
      <c r="T904" s="651"/>
      <c r="U904" s="651">
        <v>6.03</v>
      </c>
      <c r="V904" s="651">
        <v>1.27</v>
      </c>
      <c r="W904" s="651"/>
      <c r="X904" s="651"/>
      <c r="Y904" s="651">
        <v>1E-4</v>
      </c>
      <c r="Z904" s="651">
        <v>4.18</v>
      </c>
      <c r="AA904" s="651">
        <v>8.9600000000000009</v>
      </c>
      <c r="AB904" s="651">
        <v>1E-3</v>
      </c>
      <c r="AC904" s="651">
        <v>1E-4</v>
      </c>
    </row>
    <row r="905" spans="1:31" x14ac:dyDescent="0.25">
      <c r="A905" s="1247">
        <v>209008</v>
      </c>
      <c r="B905" s="1248">
        <v>74</v>
      </c>
      <c r="C905" s="651" t="s">
        <v>476</v>
      </c>
      <c r="D905" s="651"/>
      <c r="E905" s="651"/>
      <c r="F905" s="651"/>
      <c r="G905" s="651"/>
      <c r="H905" s="651"/>
      <c r="I905" s="651"/>
      <c r="J905" s="651"/>
      <c r="K905" s="651"/>
      <c r="L905" s="651"/>
      <c r="M905" s="651">
        <v>319.2</v>
      </c>
      <c r="N905" s="651">
        <v>73.900000000000006</v>
      </c>
      <c r="O905" s="651">
        <v>449.61</v>
      </c>
      <c r="P905" s="651">
        <v>6681.93</v>
      </c>
      <c r="Q905" s="651">
        <v>37.39</v>
      </c>
      <c r="R905" s="651"/>
      <c r="S905" s="651"/>
      <c r="T905" s="651"/>
      <c r="U905" s="651">
        <v>5.76</v>
      </c>
      <c r="V905" s="651">
        <v>1.32</v>
      </c>
      <c r="W905" s="651"/>
      <c r="X905" s="651"/>
      <c r="Y905" s="651">
        <v>1E-4</v>
      </c>
      <c r="Z905" s="651">
        <v>4.2300000000000004</v>
      </c>
      <c r="AA905" s="651">
        <v>10.78</v>
      </c>
      <c r="AB905" s="651">
        <v>1E-3</v>
      </c>
      <c r="AC905" s="651">
        <v>1E-4</v>
      </c>
    </row>
    <row r="906" spans="1:31" x14ac:dyDescent="0.25">
      <c r="A906" s="1247">
        <v>209009</v>
      </c>
      <c r="B906" s="1248">
        <v>65</v>
      </c>
      <c r="C906" s="651" t="s">
        <v>476</v>
      </c>
      <c r="D906" s="651"/>
      <c r="E906" s="651"/>
      <c r="F906" s="651"/>
      <c r="G906" s="651"/>
      <c r="H906" s="651"/>
      <c r="I906" s="651"/>
      <c r="J906" s="651"/>
      <c r="K906" s="651"/>
      <c r="L906" s="651"/>
      <c r="M906" s="651">
        <v>175.57</v>
      </c>
      <c r="N906" s="651">
        <v>49.34</v>
      </c>
      <c r="O906" s="651">
        <v>362.26</v>
      </c>
      <c r="P906" s="651">
        <v>9261.09</v>
      </c>
      <c r="Q906" s="651">
        <v>40.31</v>
      </c>
      <c r="R906" s="651"/>
      <c r="S906" s="651"/>
      <c r="T906" s="651"/>
      <c r="U906" s="651">
        <v>7.66</v>
      </c>
      <c r="V906" s="651">
        <v>1.45</v>
      </c>
      <c r="W906" s="651"/>
      <c r="X906" s="651"/>
      <c r="Y906" s="651">
        <v>1E-4</v>
      </c>
      <c r="Z906" s="651">
        <v>4.0599999999999996</v>
      </c>
      <c r="AA906" s="651">
        <v>11.67</v>
      </c>
      <c r="AB906" s="651">
        <v>1E-3</v>
      </c>
      <c r="AC906" s="651">
        <v>1E-4</v>
      </c>
    </row>
    <row r="907" spans="1:31" x14ac:dyDescent="0.25">
      <c r="A907" s="1255">
        <v>209010</v>
      </c>
      <c r="B907" s="1256">
        <v>63</v>
      </c>
      <c r="C907" s="1257" t="s">
        <v>476</v>
      </c>
      <c r="D907" s="1257">
        <v>8.9</v>
      </c>
      <c r="E907" s="1257">
        <v>3.28</v>
      </c>
      <c r="F907" s="1257">
        <v>1.01</v>
      </c>
      <c r="G907" s="1257">
        <v>0.8</v>
      </c>
      <c r="H907" s="1257">
        <v>2.2200000000000002</v>
      </c>
      <c r="I907" s="1257">
        <v>0.36</v>
      </c>
      <c r="J907" s="1257">
        <v>5.3</v>
      </c>
      <c r="K907" s="1257">
        <v>1.03</v>
      </c>
      <c r="L907" s="1257">
        <v>42.1</v>
      </c>
    </row>
    <row r="908" spans="1:31" x14ac:dyDescent="0.25">
      <c r="A908" s="1255">
        <v>209011</v>
      </c>
      <c r="B908" s="1256">
        <v>71</v>
      </c>
      <c r="C908" s="1257" t="s">
        <v>476</v>
      </c>
      <c r="D908" s="1257">
        <v>9.3000000000000007</v>
      </c>
      <c r="E908" s="1257">
        <v>3.51</v>
      </c>
      <c r="F908" s="1257">
        <v>0.87</v>
      </c>
      <c r="G908" s="1257">
        <v>0.64</v>
      </c>
      <c r="H908" s="1257">
        <v>2.2999999999999998</v>
      </c>
      <c r="I908" s="1257">
        <v>0.49</v>
      </c>
      <c r="J908" s="1257">
        <v>6.19</v>
      </c>
      <c r="K908" s="1257">
        <v>0.8</v>
      </c>
      <c r="L908" s="1257">
        <v>39.4</v>
      </c>
    </row>
    <row r="909" spans="1:31" ht="17.100000000000001" customHeight="1" x14ac:dyDescent="0.25">
      <c r="A909" s="982">
        <v>209012</v>
      </c>
      <c r="B909" s="983">
        <v>69</v>
      </c>
      <c r="C909" s="984" t="s">
        <v>477</v>
      </c>
      <c r="D909" s="984">
        <v>9.42</v>
      </c>
      <c r="E909" s="1274">
        <v>1.27</v>
      </c>
      <c r="F909" s="1274">
        <v>2.8013400000000006</v>
      </c>
      <c r="G909" s="986">
        <v>0.12</v>
      </c>
      <c r="H909" s="986">
        <v>2.29</v>
      </c>
      <c r="I909" s="986">
        <v>0.08</v>
      </c>
      <c r="J909" s="986">
        <v>1.55</v>
      </c>
      <c r="K909" s="986">
        <v>0.17</v>
      </c>
      <c r="L909" s="984">
        <v>88.3</v>
      </c>
    </row>
    <row r="910" spans="1:31" x14ac:dyDescent="0.25">
      <c r="A910" s="982">
        <v>209013</v>
      </c>
      <c r="B910" s="983">
        <v>50</v>
      </c>
      <c r="C910" s="984" t="s">
        <v>477</v>
      </c>
      <c r="D910" s="984">
        <v>7.34</v>
      </c>
      <c r="E910" s="1274">
        <v>0.27500000000000002</v>
      </c>
      <c r="F910" s="1274">
        <v>2.74</v>
      </c>
      <c r="G910" s="986">
        <v>0.1</v>
      </c>
      <c r="H910" s="986">
        <v>0.89</v>
      </c>
      <c r="I910" s="986">
        <v>7.0000000000000007E-2</v>
      </c>
      <c r="J910" s="986">
        <v>2.09</v>
      </c>
      <c r="K910" s="986">
        <v>0.25</v>
      </c>
      <c r="L910" s="984">
        <v>88.2</v>
      </c>
    </row>
    <row r="911" spans="1:31" x14ac:dyDescent="0.25">
      <c r="A911" s="982">
        <v>209014</v>
      </c>
      <c r="B911" s="983">
        <v>40</v>
      </c>
      <c r="C911" s="984" t="s">
        <v>477</v>
      </c>
      <c r="D911" s="984">
        <v>8.6</v>
      </c>
      <c r="E911" s="1274">
        <v>2.12</v>
      </c>
      <c r="F911" s="1274">
        <v>2.1850452000000002</v>
      </c>
      <c r="G911" s="986">
        <v>0.38</v>
      </c>
      <c r="H911" s="986">
        <v>1.72</v>
      </c>
      <c r="I911" s="986">
        <v>0.41</v>
      </c>
      <c r="J911" s="986">
        <v>4.26</v>
      </c>
      <c r="K911" s="986">
        <v>0.55000000000000004</v>
      </c>
      <c r="L911" s="984">
        <v>62.1</v>
      </c>
    </row>
    <row r="912" spans="1:31" x14ac:dyDescent="0.25">
      <c r="A912" s="982">
        <v>209015</v>
      </c>
      <c r="B912" s="983">
        <v>55</v>
      </c>
      <c r="C912" s="984" t="s">
        <v>476</v>
      </c>
      <c r="D912" s="984">
        <v>8.6199999999999992</v>
      </c>
      <c r="E912" s="1274">
        <v>3.21</v>
      </c>
      <c r="F912" s="1274">
        <v>2.5212059999999998</v>
      </c>
      <c r="G912" s="986">
        <v>0.97</v>
      </c>
      <c r="H912" s="986">
        <v>2.16</v>
      </c>
      <c r="I912" s="986">
        <v>0.36</v>
      </c>
      <c r="J912" s="986">
        <v>3.57</v>
      </c>
      <c r="K912" s="986">
        <v>0.75</v>
      </c>
      <c r="L912" s="984">
        <v>64.3</v>
      </c>
    </row>
    <row r="913" spans="1:12" x14ac:dyDescent="0.25">
      <c r="A913" s="982">
        <v>209016</v>
      </c>
      <c r="B913" s="983">
        <v>45</v>
      </c>
      <c r="C913" s="984" t="s">
        <v>476</v>
      </c>
      <c r="D913" s="984">
        <v>8.9600000000000009</v>
      </c>
      <c r="E913" s="1274">
        <v>2.79</v>
      </c>
      <c r="F913" s="1274">
        <v>1.9889514000000001</v>
      </c>
      <c r="G913" s="986">
        <v>0.46</v>
      </c>
      <c r="H913" s="986">
        <v>1.99</v>
      </c>
      <c r="I913" s="986">
        <v>0.41</v>
      </c>
      <c r="J913" s="986">
        <v>5.39</v>
      </c>
      <c r="K913" s="986">
        <v>0.63</v>
      </c>
      <c r="L913" s="984">
        <v>57.3</v>
      </c>
    </row>
    <row r="914" spans="1:12" x14ac:dyDescent="0.25">
      <c r="A914" s="982">
        <v>209017</v>
      </c>
      <c r="B914" s="983">
        <v>24</v>
      </c>
      <c r="C914" s="984" t="s">
        <v>477</v>
      </c>
      <c r="D914" s="984">
        <v>9.08</v>
      </c>
      <c r="E914" s="1274">
        <v>3.1</v>
      </c>
      <c r="F914" s="1274">
        <v>2.8573668000000003</v>
      </c>
      <c r="G914" s="986">
        <v>0.7</v>
      </c>
      <c r="H914" s="986">
        <v>2.08</v>
      </c>
      <c r="I914" s="986">
        <v>0.69</v>
      </c>
      <c r="J914" s="986">
        <v>2.33</v>
      </c>
      <c r="K914" s="986">
        <v>0.59</v>
      </c>
      <c r="L914" s="984">
        <v>66.400000000000006</v>
      </c>
    </row>
    <row r="915" spans="1:12" x14ac:dyDescent="0.25">
      <c r="A915" s="37">
        <v>209018</v>
      </c>
      <c r="B915" s="2107" t="s">
        <v>528</v>
      </c>
      <c r="C915" s="2107"/>
      <c r="D915" s="2107"/>
      <c r="E915" s="2107"/>
      <c r="F915" s="2107"/>
      <c r="G915" s="2107"/>
      <c r="H915" s="2107"/>
      <c r="I915" s="2107"/>
      <c r="J915" s="2107"/>
      <c r="K915" s="2107"/>
      <c r="L915" s="2107"/>
    </row>
    <row r="916" spans="1:12" x14ac:dyDescent="0.25">
      <c r="A916" s="745">
        <v>206019</v>
      </c>
      <c r="B916" s="746">
        <f>100-31.35</f>
        <v>68.650000000000006</v>
      </c>
      <c r="C916" s="747" t="s">
        <v>477</v>
      </c>
      <c r="D916" s="747"/>
      <c r="E916" s="747"/>
      <c r="F916" s="747"/>
      <c r="G916" s="747"/>
      <c r="H916" s="747"/>
      <c r="I916" s="747"/>
      <c r="J916" s="747"/>
      <c r="K916" s="747"/>
      <c r="L916" s="747">
        <v>88.8</v>
      </c>
    </row>
    <row r="917" spans="1:12" x14ac:dyDescent="0.25">
      <c r="A917" s="745">
        <v>206020</v>
      </c>
      <c r="B917" s="746">
        <f>100-50.48</f>
        <v>49.52</v>
      </c>
      <c r="C917" s="747" t="s">
        <v>477</v>
      </c>
      <c r="D917" s="747"/>
      <c r="E917" s="747"/>
      <c r="F917" s="747"/>
      <c r="G917" s="747"/>
      <c r="H917" s="747"/>
      <c r="I917" s="747"/>
      <c r="J917" s="747"/>
      <c r="K917" s="747"/>
      <c r="L917" s="747">
        <v>90.2</v>
      </c>
    </row>
    <row r="918" spans="1:12" x14ac:dyDescent="0.25">
      <c r="A918" s="1269">
        <v>209019</v>
      </c>
      <c r="B918" s="1270">
        <v>75</v>
      </c>
      <c r="C918" s="1271" t="s">
        <v>477</v>
      </c>
      <c r="D918" s="1271"/>
      <c r="E918" s="1271"/>
      <c r="F918" s="1271"/>
      <c r="G918" s="1271"/>
      <c r="H918" s="1271"/>
      <c r="I918" s="1271"/>
      <c r="J918" s="1271"/>
      <c r="K918" s="1271"/>
      <c r="L918" s="1271">
        <v>86.7</v>
      </c>
    </row>
    <row r="919" spans="1:12" x14ac:dyDescent="0.25">
      <c r="A919" s="1269">
        <v>209020</v>
      </c>
      <c r="B919" s="1270">
        <v>58</v>
      </c>
      <c r="C919" s="1271" t="s">
        <v>476</v>
      </c>
      <c r="D919" s="1271"/>
      <c r="E919" s="1271"/>
      <c r="F919" s="1271"/>
      <c r="G919" s="1271"/>
      <c r="H919" s="1271"/>
      <c r="I919" s="1271"/>
      <c r="J919" s="1271"/>
      <c r="K919" s="1271"/>
      <c r="L919" s="1271">
        <v>28.1</v>
      </c>
    </row>
    <row r="920" spans="1:12" x14ac:dyDescent="0.25">
      <c r="A920" s="1269">
        <v>209021</v>
      </c>
      <c r="B920" s="1270">
        <v>62</v>
      </c>
      <c r="C920" s="1271" t="s">
        <v>476</v>
      </c>
      <c r="D920" s="1271"/>
      <c r="E920" s="1271"/>
      <c r="F920" s="1271"/>
      <c r="G920" s="1271"/>
      <c r="H920" s="1271"/>
      <c r="I920" s="1271"/>
      <c r="J920" s="1271"/>
      <c r="K920" s="1271"/>
      <c r="L920" s="1271">
        <v>27</v>
      </c>
    </row>
    <row r="921" spans="1:12" x14ac:dyDescent="0.25">
      <c r="A921" s="1269">
        <v>209022</v>
      </c>
      <c r="B921" s="1270">
        <v>63</v>
      </c>
      <c r="C921" s="1271" t="s">
        <v>476</v>
      </c>
      <c r="D921" s="1271"/>
      <c r="E921" s="1271"/>
      <c r="F921" s="1271"/>
      <c r="G921" s="1271"/>
      <c r="H921" s="1271"/>
      <c r="I921" s="1271"/>
      <c r="J921" s="1271"/>
      <c r="K921" s="1271"/>
      <c r="L921" s="1271">
        <v>25.9</v>
      </c>
    </row>
    <row r="922" spans="1:12" x14ac:dyDescent="0.25">
      <c r="A922" s="1269">
        <v>209023</v>
      </c>
      <c r="B922" s="1270">
        <v>63</v>
      </c>
      <c r="C922" s="1271" t="s">
        <v>476</v>
      </c>
      <c r="D922" s="1271"/>
      <c r="E922" s="1271"/>
      <c r="F922" s="1271"/>
      <c r="G922" s="1271"/>
      <c r="H922" s="1271"/>
      <c r="I922" s="1271"/>
      <c r="J922" s="1271"/>
      <c r="K922" s="1271"/>
      <c r="L922" s="1271">
        <v>25.7</v>
      </c>
    </row>
    <row r="923" spans="1:12" x14ac:dyDescent="0.25">
      <c r="A923" s="37">
        <v>209024</v>
      </c>
      <c r="B923" s="2107" t="s">
        <v>463</v>
      </c>
      <c r="C923" s="2107"/>
      <c r="D923" s="2107"/>
      <c r="E923" s="2107"/>
      <c r="F923" s="2107"/>
      <c r="G923" s="2107"/>
      <c r="H923" s="2107"/>
      <c r="I923" s="2107"/>
      <c r="J923" s="2107"/>
      <c r="K923" s="2107"/>
      <c r="L923" s="2107"/>
    </row>
    <row r="924" spans="1:12" x14ac:dyDescent="0.25">
      <c r="A924" s="1058">
        <v>209025</v>
      </c>
      <c r="B924" s="1059">
        <v>66</v>
      </c>
      <c r="C924" s="1060" t="s">
        <v>476</v>
      </c>
      <c r="D924" s="1060">
        <v>9.07</v>
      </c>
      <c r="E924" s="1060">
        <v>4.03</v>
      </c>
      <c r="F924" s="1060">
        <v>1.65</v>
      </c>
      <c r="G924" s="1060">
        <v>0.64</v>
      </c>
      <c r="H924" s="1060">
        <v>2.5</v>
      </c>
      <c r="I924" s="1060">
        <v>0.47</v>
      </c>
      <c r="J924" s="1060">
        <v>5.67</v>
      </c>
      <c r="K924" s="1060">
        <v>1.42</v>
      </c>
      <c r="L924" s="1060">
        <v>41.8</v>
      </c>
    </row>
    <row r="925" spans="1:12" x14ac:dyDescent="0.25">
      <c r="A925" s="1247">
        <v>209026</v>
      </c>
      <c r="B925" s="1248">
        <v>68</v>
      </c>
      <c r="C925" s="651" t="s">
        <v>476</v>
      </c>
      <c r="D925" s="651">
        <v>9.4</v>
      </c>
      <c r="E925" s="651">
        <v>3.33</v>
      </c>
      <c r="F925" s="1291">
        <v>1.6527906000000001</v>
      </c>
      <c r="G925" s="651">
        <v>0.68</v>
      </c>
      <c r="H925" s="651">
        <v>2.5099999999999998</v>
      </c>
      <c r="I925" s="651">
        <v>0.44</v>
      </c>
      <c r="J925" s="651">
        <v>5.98</v>
      </c>
      <c r="K925" s="651">
        <v>1</v>
      </c>
      <c r="L925" s="651">
        <v>42.5</v>
      </c>
    </row>
    <row r="926" spans="1:12" x14ac:dyDescent="0.25">
      <c r="A926" s="1247">
        <v>209027</v>
      </c>
      <c r="B926" s="1248">
        <v>66</v>
      </c>
      <c r="C926" s="651" t="s">
        <v>476</v>
      </c>
      <c r="D926" s="651">
        <v>9.5</v>
      </c>
      <c r="E926" s="651">
        <v>3.6</v>
      </c>
      <c r="F926" s="1291">
        <v>1.7088174000000003</v>
      </c>
      <c r="G926" s="651">
        <v>0.61</v>
      </c>
      <c r="H926" s="651">
        <v>2.34</v>
      </c>
      <c r="I926" s="651">
        <v>0.49</v>
      </c>
      <c r="J926" s="651">
        <v>5.93</v>
      </c>
      <c r="K926" s="651">
        <v>0.76</v>
      </c>
      <c r="L926" s="651">
        <v>39.9</v>
      </c>
    </row>
    <row r="927" spans="1:12" x14ac:dyDescent="0.25">
      <c r="A927" s="1247">
        <v>209028</v>
      </c>
      <c r="B927" s="1248">
        <v>62</v>
      </c>
      <c r="C927" s="651" t="s">
        <v>476</v>
      </c>
      <c r="D927" s="651">
        <v>9.1999999999999993</v>
      </c>
      <c r="E927" s="651">
        <v>4.3899999999999997</v>
      </c>
      <c r="F927" s="1291">
        <v>1.540737</v>
      </c>
      <c r="G927" s="651">
        <v>1</v>
      </c>
      <c r="H927" s="651">
        <v>2.6</v>
      </c>
      <c r="I927" s="651">
        <v>0.51</v>
      </c>
      <c r="J927" s="651">
        <v>5.99</v>
      </c>
      <c r="K927" s="651">
        <v>0.86</v>
      </c>
      <c r="L927" s="651">
        <v>47.8</v>
      </c>
    </row>
    <row r="928" spans="1:12" x14ac:dyDescent="0.25">
      <c r="A928" s="1247">
        <v>209029</v>
      </c>
      <c r="B928" s="1248">
        <v>46</v>
      </c>
      <c r="C928" s="651" t="s">
        <v>476</v>
      </c>
      <c r="D928" s="651">
        <v>7.3</v>
      </c>
      <c r="E928" s="651">
        <v>2.11</v>
      </c>
      <c r="F928" s="1291">
        <v>2.2130586000000005</v>
      </c>
      <c r="G928" s="651">
        <v>0.36</v>
      </c>
      <c r="H928" s="651">
        <v>2.19</v>
      </c>
      <c r="I928" s="651">
        <v>0.17</v>
      </c>
      <c r="J928" s="651">
        <v>4.1500000000000004</v>
      </c>
      <c r="K928" s="651">
        <v>1.41</v>
      </c>
      <c r="L928" s="651">
        <v>67.099999999999994</v>
      </c>
    </row>
    <row r="929" spans="1:29" ht="15.95" customHeight="1" x14ac:dyDescent="0.25">
      <c r="A929" s="1247">
        <v>209030</v>
      </c>
      <c r="B929" s="1248">
        <v>46</v>
      </c>
      <c r="C929" s="651" t="s">
        <v>477</v>
      </c>
      <c r="D929" s="651">
        <v>8.6</v>
      </c>
      <c r="E929" s="651">
        <v>4.16</v>
      </c>
      <c r="F929" s="1291">
        <v>3.1094873999999999</v>
      </c>
      <c r="G929" s="651">
        <v>0.9</v>
      </c>
      <c r="H929" s="651">
        <v>2.12</v>
      </c>
      <c r="I929" s="651">
        <v>0.36</v>
      </c>
      <c r="J929" s="651">
        <v>2.02</v>
      </c>
      <c r="K929" s="651">
        <v>0.61</v>
      </c>
      <c r="L929" s="651">
        <v>83.2</v>
      </c>
    </row>
    <row r="930" spans="1:29" x14ac:dyDescent="0.25">
      <c r="A930" s="1247">
        <v>209031</v>
      </c>
      <c r="B930" s="1248">
        <v>80</v>
      </c>
      <c r="C930" s="651" t="s">
        <v>477</v>
      </c>
      <c r="D930" s="651">
        <v>6.1</v>
      </c>
      <c r="E930" s="651">
        <v>0.2</v>
      </c>
      <c r="F930" s="1291">
        <v>0.47622780000000003</v>
      </c>
      <c r="G930" s="651">
        <v>0.05</v>
      </c>
      <c r="H930" s="651">
        <v>0.12</v>
      </c>
      <c r="I930" s="651">
        <v>0.04</v>
      </c>
      <c r="J930" s="651">
        <v>1.78</v>
      </c>
      <c r="K930" s="651">
        <v>0.27</v>
      </c>
      <c r="L930" s="651">
        <v>90.3</v>
      </c>
    </row>
    <row r="931" spans="1:29" x14ac:dyDescent="0.25">
      <c r="A931" s="1309">
        <v>209032</v>
      </c>
      <c r="B931" s="1308">
        <v>79</v>
      </c>
      <c r="C931" s="1310" t="s">
        <v>476</v>
      </c>
      <c r="D931" s="1310">
        <v>8.4</v>
      </c>
      <c r="E931" s="1310">
        <v>3.93</v>
      </c>
      <c r="F931" s="1311">
        <v>1.5967638000000002</v>
      </c>
      <c r="G931" s="1310">
        <v>0.22</v>
      </c>
      <c r="H931" s="1310">
        <v>1.37</v>
      </c>
      <c r="I931" s="1310">
        <v>0.18</v>
      </c>
      <c r="J931" s="1310">
        <v>8.16</v>
      </c>
      <c r="K931" s="1310">
        <v>1.97</v>
      </c>
      <c r="L931" s="1310">
        <v>58.2</v>
      </c>
    </row>
    <row r="932" spans="1:29" x14ac:dyDescent="0.25">
      <c r="A932" s="1309">
        <v>209033</v>
      </c>
      <c r="B932" s="1308">
        <v>48</v>
      </c>
      <c r="C932" s="1310" t="s">
        <v>476</v>
      </c>
      <c r="D932" s="1310">
        <v>9.3000000000000007</v>
      </c>
      <c r="E932" s="1310">
        <v>3.15</v>
      </c>
      <c r="F932" s="1311">
        <v>1.6527906000000001</v>
      </c>
      <c r="G932" s="1310">
        <v>0.63</v>
      </c>
      <c r="H932" s="1310">
        <v>2.4</v>
      </c>
      <c r="I932" s="1310">
        <v>0.39</v>
      </c>
      <c r="J932" s="1310">
        <v>4.71</v>
      </c>
      <c r="K932" s="1310">
        <v>1.05</v>
      </c>
      <c r="L932" s="1310">
        <v>52.4</v>
      </c>
    </row>
    <row r="933" spans="1:29" x14ac:dyDescent="0.25">
      <c r="A933" s="1309">
        <v>209034</v>
      </c>
      <c r="B933" s="1308">
        <v>76</v>
      </c>
      <c r="C933" s="1310" t="s">
        <v>476</v>
      </c>
      <c r="D933" s="1310">
        <v>9.3000000000000007</v>
      </c>
      <c r="E933" s="1311">
        <v>5</v>
      </c>
      <c r="F933" s="1311">
        <v>2.6332596000000001</v>
      </c>
      <c r="G933" s="1310">
        <v>2.97</v>
      </c>
      <c r="H933" s="1310">
        <v>3.09</v>
      </c>
      <c r="I933" s="1310">
        <v>0.59</v>
      </c>
      <c r="J933" s="1310">
        <v>8.6</v>
      </c>
      <c r="K933" s="1310">
        <v>0.8</v>
      </c>
      <c r="L933" s="1310">
        <v>63.6</v>
      </c>
    </row>
    <row r="934" spans="1:29" ht="17.100000000000001" customHeight="1" x14ac:dyDescent="0.25">
      <c r="A934" s="1086">
        <v>209035</v>
      </c>
      <c r="B934" s="1307" t="s">
        <v>542</v>
      </c>
      <c r="C934" s="1087"/>
      <c r="D934" s="1087"/>
      <c r="E934" s="1090"/>
      <c r="F934" s="1090">
        <v>1.37</v>
      </c>
      <c r="G934" s="1087"/>
      <c r="H934" s="1087"/>
      <c r="I934" s="1087"/>
      <c r="J934" s="1087"/>
      <c r="K934" s="1087"/>
      <c r="L934" s="1087"/>
    </row>
    <row r="935" spans="1:29" x14ac:dyDescent="0.25">
      <c r="A935" s="1190">
        <v>209036</v>
      </c>
      <c r="B935" s="1191">
        <v>56</v>
      </c>
      <c r="C935" s="1192" t="s">
        <v>477</v>
      </c>
      <c r="D935" s="1192">
        <v>8.6</v>
      </c>
      <c r="E935" s="1192">
        <v>0.49</v>
      </c>
      <c r="F935" s="1192">
        <v>1.2</v>
      </c>
      <c r="G935" s="1192">
        <v>0.24</v>
      </c>
      <c r="H935" s="1192">
        <v>0.65</v>
      </c>
      <c r="I935" s="1192">
        <v>0.11</v>
      </c>
      <c r="J935" s="1192">
        <v>1.75</v>
      </c>
      <c r="K935" s="1192">
        <v>0.28999999999999998</v>
      </c>
      <c r="L935" s="1192">
        <v>36.700000000000003</v>
      </c>
      <c r="M935" s="1192">
        <v>155.69</v>
      </c>
      <c r="N935" s="1192">
        <v>30.3</v>
      </c>
      <c r="O935" s="1192">
        <v>388.35</v>
      </c>
      <c r="P935" s="1192">
        <v>6763.57</v>
      </c>
      <c r="Q935" s="1192">
        <v>22.37</v>
      </c>
      <c r="R935" s="1192"/>
      <c r="S935" s="1192"/>
      <c r="T935" s="1192"/>
      <c r="U935" s="1192">
        <v>3.85</v>
      </c>
      <c r="V935" s="1192">
        <v>0.66</v>
      </c>
      <c r="W935" s="1192"/>
      <c r="X935" s="1192">
        <v>14.63</v>
      </c>
      <c r="Y935" s="1192">
        <v>1E-3</v>
      </c>
      <c r="Z935" s="1192"/>
      <c r="AA935" s="1192">
        <v>10.28</v>
      </c>
      <c r="AB935" s="1192">
        <v>14.74</v>
      </c>
      <c r="AC935" s="1192">
        <v>3.66</v>
      </c>
    </row>
    <row r="936" spans="1:29" ht="15.95" customHeight="1" x14ac:dyDescent="0.25">
      <c r="A936" s="1309">
        <v>209037</v>
      </c>
      <c r="B936" s="1308">
        <v>69</v>
      </c>
      <c r="C936" s="1310" t="s">
        <v>476</v>
      </c>
      <c r="D936" s="1310">
        <v>7.7</v>
      </c>
      <c r="E936" s="1310">
        <v>6.9</v>
      </c>
      <c r="F936" s="1310">
        <v>3.05</v>
      </c>
      <c r="G936" s="1310">
        <v>1.22</v>
      </c>
      <c r="H936" s="1310">
        <v>2.62</v>
      </c>
      <c r="I936" s="1310">
        <v>0.45</v>
      </c>
      <c r="J936" s="1310">
        <v>4.78</v>
      </c>
      <c r="K936" s="1310">
        <v>0.85</v>
      </c>
      <c r="L936" s="1310">
        <v>62.6</v>
      </c>
    </row>
    <row r="937" spans="1:29" x14ac:dyDescent="0.25">
      <c r="A937" s="1312">
        <v>209038</v>
      </c>
      <c r="B937" s="1313">
        <v>69</v>
      </c>
      <c r="C937" s="1314" t="s">
        <v>187</v>
      </c>
      <c r="D937" s="1314"/>
      <c r="E937" s="1314"/>
      <c r="F937" s="1314">
        <v>2.89</v>
      </c>
      <c r="G937" s="1314"/>
      <c r="H937" s="1314"/>
      <c r="I937" s="1314"/>
      <c r="J937" s="1314"/>
      <c r="K937" s="1314"/>
      <c r="L937" s="1314"/>
    </row>
    <row r="938" spans="1:29" x14ac:dyDescent="0.25">
      <c r="A938" s="962">
        <v>209039</v>
      </c>
      <c r="B938" s="963">
        <v>67</v>
      </c>
      <c r="C938" s="964" t="s">
        <v>476</v>
      </c>
      <c r="D938" s="964">
        <v>9.3000000000000007</v>
      </c>
      <c r="E938" s="964">
        <v>3.99</v>
      </c>
      <c r="F938" s="964">
        <v>2.02</v>
      </c>
      <c r="G938" s="964">
        <v>0.44</v>
      </c>
      <c r="H938" s="964">
        <v>2.15</v>
      </c>
      <c r="I938" s="964">
        <v>0.43</v>
      </c>
      <c r="J938" s="964">
        <v>4.1500000000000004</v>
      </c>
      <c r="K938" s="964">
        <v>0.88</v>
      </c>
      <c r="L938" s="964">
        <v>47.5</v>
      </c>
    </row>
    <row r="939" spans="1:29" x14ac:dyDescent="0.25">
      <c r="A939" s="1190">
        <v>209040</v>
      </c>
      <c r="B939" s="1191">
        <v>48</v>
      </c>
      <c r="C939" s="1192" t="s">
        <v>476</v>
      </c>
      <c r="D939" s="1334">
        <v>9.1</v>
      </c>
      <c r="E939" s="1192">
        <v>3.3</v>
      </c>
      <c r="F939" s="1192">
        <v>1.49</v>
      </c>
      <c r="G939" s="1192">
        <v>0.36</v>
      </c>
      <c r="H939" s="1192">
        <v>1.73</v>
      </c>
      <c r="I939" s="1192">
        <v>0.51</v>
      </c>
      <c r="J939" s="1192">
        <v>4.78</v>
      </c>
      <c r="K939" s="1192">
        <v>0.59</v>
      </c>
      <c r="L939" s="1334">
        <v>50.9</v>
      </c>
    </row>
    <row r="940" spans="1:29" x14ac:dyDescent="0.25">
      <c r="A940" s="1190">
        <v>209041</v>
      </c>
      <c r="B940" s="1191">
        <v>48</v>
      </c>
      <c r="C940" s="1192" t="s">
        <v>476</v>
      </c>
      <c r="D940" s="1334">
        <v>8.9</v>
      </c>
      <c r="E940" s="1192">
        <v>4.84</v>
      </c>
      <c r="F940" s="1192">
        <v>1.6</v>
      </c>
      <c r="G940" s="1192">
        <v>0.5</v>
      </c>
      <c r="H940" s="1192">
        <v>2.06</v>
      </c>
      <c r="I940" s="1192">
        <v>0.51</v>
      </c>
      <c r="J940" s="1192">
        <v>4.38</v>
      </c>
      <c r="K940" s="1192">
        <v>0.56999999999999995</v>
      </c>
      <c r="L940" s="1334">
        <v>58.3</v>
      </c>
    </row>
    <row r="941" spans="1:29" x14ac:dyDescent="0.25">
      <c r="A941" s="1190">
        <v>209042</v>
      </c>
      <c r="B941" s="1191">
        <v>82</v>
      </c>
      <c r="C941" s="1192" t="s">
        <v>477</v>
      </c>
      <c r="D941" s="1334">
        <v>7.2</v>
      </c>
      <c r="E941" s="1192">
        <v>4.43</v>
      </c>
      <c r="F941" s="1192">
        <v>6.42</v>
      </c>
      <c r="G941" s="1192">
        <v>0.98</v>
      </c>
      <c r="H941" s="1192">
        <v>1.72</v>
      </c>
      <c r="I941" s="1192">
        <v>0.21</v>
      </c>
      <c r="J941" s="1192">
        <v>4.8600000000000003</v>
      </c>
      <c r="K941" s="1192">
        <v>0.45</v>
      </c>
      <c r="L941" s="1334">
        <v>76.099999999999994</v>
      </c>
    </row>
    <row r="942" spans="1:29" x14ac:dyDescent="0.25">
      <c r="A942" s="1190">
        <v>209043</v>
      </c>
      <c r="B942" s="1191">
        <v>62</v>
      </c>
      <c r="C942" s="1192" t="s">
        <v>187</v>
      </c>
      <c r="D942" s="1334">
        <v>8.58</v>
      </c>
      <c r="E942" s="1192">
        <v>5.0999999999999996</v>
      </c>
      <c r="F942" s="1192">
        <v>1.88</v>
      </c>
      <c r="G942" s="1192">
        <v>0.44</v>
      </c>
      <c r="H942" s="1192">
        <v>2.17</v>
      </c>
      <c r="I942" s="1192">
        <v>0.59</v>
      </c>
      <c r="J942" s="1192">
        <v>4.24</v>
      </c>
      <c r="K942" s="1192">
        <v>0.72</v>
      </c>
      <c r="L942" s="1334">
        <v>50.4</v>
      </c>
    </row>
    <row r="943" spans="1:29" x14ac:dyDescent="0.25">
      <c r="A943" s="1086">
        <v>209044</v>
      </c>
      <c r="B943" s="1307">
        <v>18</v>
      </c>
      <c r="C943" s="1087" t="s">
        <v>480</v>
      </c>
      <c r="D943" s="1347">
        <v>7.7</v>
      </c>
      <c r="E943" s="1087">
        <v>0.154</v>
      </c>
      <c r="F943" s="1087">
        <v>1.18</v>
      </c>
      <c r="G943" s="1087">
        <v>0.15</v>
      </c>
      <c r="H943" s="1087">
        <v>0.52</v>
      </c>
      <c r="I943" s="1087">
        <v>0.22</v>
      </c>
      <c r="J943" s="1087">
        <v>2.2000000000000002</v>
      </c>
      <c r="K943" s="1087">
        <v>0.43</v>
      </c>
      <c r="L943" s="1347">
        <v>77</v>
      </c>
      <c r="M943" s="35">
        <v>26.29</v>
      </c>
      <c r="N943" s="35">
        <v>87.25</v>
      </c>
      <c r="O943" s="35">
        <v>96.72</v>
      </c>
      <c r="P943" s="35">
        <v>3030.33</v>
      </c>
    </row>
    <row r="944" spans="1:29" x14ac:dyDescent="0.25">
      <c r="A944" s="1086">
        <v>209045</v>
      </c>
      <c r="B944" s="1307">
        <v>21</v>
      </c>
      <c r="C944" s="1087" t="s">
        <v>480</v>
      </c>
      <c r="D944" s="1347">
        <v>6.8</v>
      </c>
      <c r="E944" s="1087">
        <v>0.27100000000000002</v>
      </c>
      <c r="F944" s="1087">
        <v>0.98</v>
      </c>
      <c r="G944" s="1087">
        <v>0.05</v>
      </c>
      <c r="H944" s="1087">
        <v>0.18</v>
      </c>
      <c r="I944" s="1087">
        <v>0.14000000000000001</v>
      </c>
      <c r="J944" s="1087">
        <v>1.51</v>
      </c>
      <c r="K944" s="1087">
        <v>0.34</v>
      </c>
      <c r="L944" s="1347">
        <v>79.3</v>
      </c>
      <c r="M944" s="35">
        <v>12.91</v>
      </c>
      <c r="N944" s="35">
        <v>21.62</v>
      </c>
      <c r="O944" s="35">
        <v>37.049999999999997</v>
      </c>
      <c r="P944" s="35">
        <v>1281.5899999999999</v>
      </c>
    </row>
    <row r="945" spans="1:16" x14ac:dyDescent="0.25">
      <c r="A945" s="1086">
        <v>209046</v>
      </c>
      <c r="B945" s="1307">
        <v>40</v>
      </c>
      <c r="C945" s="1087" t="s">
        <v>480</v>
      </c>
      <c r="D945" s="1347">
        <v>6</v>
      </c>
      <c r="E945" s="1087">
        <v>0.17100000000000001</v>
      </c>
      <c r="F945" s="1087">
        <v>0.95</v>
      </c>
      <c r="G945" s="1087">
        <v>0.05</v>
      </c>
      <c r="H945" s="1087">
        <v>0.22</v>
      </c>
      <c r="I945" s="1087">
        <v>0.08</v>
      </c>
      <c r="J945" s="1087">
        <v>1.32</v>
      </c>
      <c r="K945" s="1087">
        <v>0.24</v>
      </c>
      <c r="L945" s="1347">
        <v>82.3</v>
      </c>
      <c r="M945" s="35">
        <v>5.77</v>
      </c>
      <c r="N945" s="35">
        <v>4.2699999999999996</v>
      </c>
      <c r="O945" s="35">
        <v>26.09</v>
      </c>
      <c r="P945" s="35">
        <v>973.81</v>
      </c>
    </row>
    <row r="946" spans="1:16" ht="14.1" customHeight="1" x14ac:dyDescent="0.25">
      <c r="A946" s="1349">
        <v>209047</v>
      </c>
      <c r="B946" s="1350">
        <v>86</v>
      </c>
      <c r="C946" s="1351" t="s">
        <v>476</v>
      </c>
      <c r="D946" s="1352">
        <v>9</v>
      </c>
      <c r="E946" s="1351">
        <v>38.200000000000003</v>
      </c>
      <c r="F946" s="1351">
        <v>3.25</v>
      </c>
      <c r="G946" s="1351">
        <v>1.63</v>
      </c>
      <c r="H946" s="1351">
        <v>2.96</v>
      </c>
      <c r="I946" s="1351">
        <v>4.97</v>
      </c>
      <c r="J946" s="1351">
        <v>4.87</v>
      </c>
      <c r="K946" s="1351">
        <v>0.54</v>
      </c>
      <c r="L946" s="1352">
        <v>45</v>
      </c>
    </row>
    <row r="947" spans="1:16" x14ac:dyDescent="0.25">
      <c r="A947" s="1349">
        <v>209048</v>
      </c>
      <c r="B947" s="1350">
        <v>57</v>
      </c>
      <c r="C947" s="1351" t="s">
        <v>476</v>
      </c>
      <c r="D947" s="1352">
        <v>12.3</v>
      </c>
      <c r="E947" s="1351">
        <v>17.899999999999999</v>
      </c>
      <c r="F947" s="1351">
        <v>0.08</v>
      </c>
      <c r="G947" s="1351">
        <v>1.98</v>
      </c>
      <c r="H947" s="1351">
        <v>6.62</v>
      </c>
      <c r="I947" s="1351">
        <v>0.77</v>
      </c>
      <c r="J947" s="1351">
        <v>14.14</v>
      </c>
      <c r="K947" s="1351">
        <v>2.66</v>
      </c>
      <c r="L947" s="1352">
        <v>10.8</v>
      </c>
    </row>
    <row r="948" spans="1:16" ht="18" customHeight="1" x14ac:dyDescent="0.25">
      <c r="A948" s="1349">
        <v>209049</v>
      </c>
      <c r="B948" s="1350">
        <v>97</v>
      </c>
      <c r="C948" s="1351" t="s">
        <v>477</v>
      </c>
      <c r="D948" s="1352">
        <v>10.4</v>
      </c>
      <c r="E948" s="1351">
        <v>2.38</v>
      </c>
      <c r="F948" s="1351">
        <v>0.06</v>
      </c>
      <c r="G948" s="1351">
        <v>1.79</v>
      </c>
      <c r="H948" s="1351">
        <v>22.28</v>
      </c>
      <c r="I948" s="1351">
        <v>1.99</v>
      </c>
      <c r="J948" s="1351">
        <v>6.6</v>
      </c>
      <c r="K948" s="1351">
        <v>0.83</v>
      </c>
      <c r="L948" s="1352">
        <v>1.3</v>
      </c>
    </row>
    <row r="949" spans="1:16" x14ac:dyDescent="0.25">
      <c r="A949" s="1349">
        <v>209050</v>
      </c>
      <c r="B949" s="1350">
        <v>47</v>
      </c>
      <c r="C949" s="1351" t="s">
        <v>476</v>
      </c>
      <c r="D949" s="1352">
        <v>9.1999999999999993</v>
      </c>
      <c r="E949" s="1351">
        <v>2.67</v>
      </c>
      <c r="F949" s="1351">
        <v>1.43</v>
      </c>
      <c r="G949" s="1351">
        <v>0.46</v>
      </c>
      <c r="H949" s="1351">
        <v>1.39</v>
      </c>
      <c r="I949" s="1351">
        <v>0.33</v>
      </c>
      <c r="J949" s="1351">
        <v>2.82</v>
      </c>
      <c r="K949" s="1351">
        <v>1</v>
      </c>
      <c r="L949" s="1352">
        <v>35.9</v>
      </c>
    </row>
    <row r="950" spans="1:16" x14ac:dyDescent="0.25">
      <c r="A950" s="1349">
        <v>209051</v>
      </c>
      <c r="B950" s="1350">
        <v>50</v>
      </c>
      <c r="C950" s="1351" t="s">
        <v>476</v>
      </c>
      <c r="D950" s="1352">
        <v>9.3000000000000007</v>
      </c>
      <c r="E950" s="1351">
        <v>2.21</v>
      </c>
      <c r="F950" s="1351">
        <v>1.23</v>
      </c>
      <c r="G950" s="1351">
        <v>0.37</v>
      </c>
      <c r="H950" s="1351">
        <v>1.38</v>
      </c>
      <c r="I950" s="1351">
        <v>0.14000000000000001</v>
      </c>
      <c r="J950" s="1351">
        <v>1.7</v>
      </c>
      <c r="K950" s="1351">
        <v>0.47</v>
      </c>
      <c r="L950" s="1352">
        <v>45.9</v>
      </c>
    </row>
    <row r="951" spans="1:16" x14ac:dyDescent="0.25">
      <c r="A951" s="1349">
        <v>209052</v>
      </c>
      <c r="B951" s="1350">
        <v>44</v>
      </c>
      <c r="C951" s="1351" t="s">
        <v>476</v>
      </c>
      <c r="D951" s="1352">
        <v>9</v>
      </c>
      <c r="E951" s="1351">
        <v>0.47899999999999998</v>
      </c>
      <c r="F951" s="1351">
        <v>1.49</v>
      </c>
      <c r="G951" s="1351">
        <v>1.06</v>
      </c>
      <c r="H951" s="1351">
        <v>1.97</v>
      </c>
      <c r="I951" s="1351">
        <v>0.3</v>
      </c>
      <c r="J951" s="1351">
        <v>3.99</v>
      </c>
      <c r="K951" s="1351">
        <v>1.69</v>
      </c>
      <c r="L951" s="1352">
        <v>41.2</v>
      </c>
    </row>
    <row r="952" spans="1:16" x14ac:dyDescent="0.25">
      <c r="A952" s="1353">
        <v>209053</v>
      </c>
      <c r="B952" s="1354">
        <v>3</v>
      </c>
      <c r="C952" s="1355" t="s">
        <v>477</v>
      </c>
      <c r="D952" s="1356" t="s">
        <v>479</v>
      </c>
      <c r="E952" s="1355" t="s">
        <v>479</v>
      </c>
      <c r="F952" s="1355">
        <v>1.26</v>
      </c>
      <c r="G952" s="1355">
        <v>1.4</v>
      </c>
      <c r="H952" s="1355">
        <v>0.26</v>
      </c>
      <c r="I952" s="1355">
        <v>1.02</v>
      </c>
      <c r="J952" s="1355">
        <v>3.19</v>
      </c>
      <c r="K952" s="1355">
        <v>0.74</v>
      </c>
      <c r="L952" s="1356">
        <v>25.3</v>
      </c>
    </row>
    <row r="953" spans="1:16" x14ac:dyDescent="0.25">
      <c r="A953" s="1353">
        <v>209054</v>
      </c>
      <c r="B953" s="1354">
        <v>27</v>
      </c>
      <c r="C953" s="1355" t="s">
        <v>477</v>
      </c>
      <c r="D953" s="1356" t="s">
        <v>479</v>
      </c>
      <c r="E953" s="1355" t="s">
        <v>479</v>
      </c>
      <c r="F953" s="1355">
        <v>0.48</v>
      </c>
      <c r="G953" s="1355">
        <v>0.52</v>
      </c>
      <c r="H953" s="1355">
        <v>0.12</v>
      </c>
      <c r="I953" s="1355">
        <v>0.15</v>
      </c>
      <c r="J953" s="1355">
        <v>24.34</v>
      </c>
      <c r="K953" s="1355">
        <v>0.9</v>
      </c>
      <c r="L953" s="1356">
        <v>8.1</v>
      </c>
    </row>
    <row r="954" spans="1:16" x14ac:dyDescent="0.25">
      <c r="A954" s="37">
        <v>209055</v>
      </c>
      <c r="B954" s="34">
        <v>67</v>
      </c>
      <c r="C954" s="35" t="s">
        <v>187</v>
      </c>
      <c r="D954" s="35">
        <v>9.3000000000000007</v>
      </c>
      <c r="E954" s="35">
        <v>4.0999999999999996</v>
      </c>
      <c r="F954" s="35">
        <v>1.63</v>
      </c>
      <c r="G954" s="35">
        <v>0.69</v>
      </c>
      <c r="H954" s="35">
        <v>2.64</v>
      </c>
      <c r="I954" s="35">
        <v>0.61</v>
      </c>
      <c r="J954" s="35">
        <v>4.47</v>
      </c>
      <c r="K954" s="35">
        <v>0.84</v>
      </c>
      <c r="L954" s="35">
        <v>46.1</v>
      </c>
    </row>
    <row r="955" spans="1:16" x14ac:dyDescent="0.25">
      <c r="A955" s="962">
        <v>209056</v>
      </c>
      <c r="B955" s="963">
        <v>72</v>
      </c>
      <c r="C955" s="964" t="s">
        <v>187</v>
      </c>
      <c r="D955" s="964"/>
      <c r="E955" s="964"/>
      <c r="F955" s="964"/>
      <c r="G955" s="964"/>
      <c r="H955" s="964"/>
      <c r="I955" s="964"/>
      <c r="J955" s="964"/>
      <c r="K955" s="964"/>
      <c r="L955" s="964">
        <v>62.1</v>
      </c>
    </row>
    <row r="956" spans="1:16" x14ac:dyDescent="0.25">
      <c r="A956" s="37">
        <v>209057</v>
      </c>
      <c r="B956" s="1364">
        <v>42</v>
      </c>
      <c r="C956" s="35" t="s">
        <v>476</v>
      </c>
      <c r="D956" s="35">
        <v>9.5</v>
      </c>
      <c r="E956" s="35">
        <v>6.13</v>
      </c>
      <c r="F956" s="35">
        <v>1.43</v>
      </c>
      <c r="G956" s="35">
        <v>0.53</v>
      </c>
      <c r="H956" s="35">
        <v>2.02</v>
      </c>
      <c r="I956" s="35">
        <v>0.36</v>
      </c>
      <c r="J956" s="35">
        <v>5.05</v>
      </c>
      <c r="K956" s="35">
        <v>0.92</v>
      </c>
      <c r="L956" s="35">
        <v>51.4</v>
      </c>
    </row>
    <row r="957" spans="1:16" x14ac:dyDescent="0.25">
      <c r="A957" s="37">
        <v>209058</v>
      </c>
      <c r="B957" s="1364">
        <v>39</v>
      </c>
      <c r="C957" s="35" t="s">
        <v>476</v>
      </c>
      <c r="D957" s="35">
        <v>9.5</v>
      </c>
      <c r="E957" s="35">
        <v>2.65</v>
      </c>
      <c r="F957" s="35">
        <v>1.71</v>
      </c>
      <c r="G957" s="35">
        <v>0.52</v>
      </c>
      <c r="H957" s="35">
        <v>2.3199999999999998</v>
      </c>
      <c r="I957" s="35">
        <v>0.65</v>
      </c>
      <c r="J957" s="35">
        <v>7.35</v>
      </c>
      <c r="K957" s="35">
        <v>0.92</v>
      </c>
      <c r="L957" s="35">
        <v>48.2</v>
      </c>
    </row>
    <row r="958" spans="1:16" x14ac:dyDescent="0.25">
      <c r="A958" s="37">
        <v>209059</v>
      </c>
      <c r="B958" s="1364">
        <v>47</v>
      </c>
      <c r="C958" s="35" t="s">
        <v>476</v>
      </c>
      <c r="D958" s="35">
        <v>9.4</v>
      </c>
      <c r="E958" s="35">
        <v>2.89</v>
      </c>
      <c r="F958" s="35">
        <v>1.65</v>
      </c>
      <c r="G958" s="35">
        <v>0.56999999999999995</v>
      </c>
      <c r="H958" s="35">
        <v>2.29</v>
      </c>
      <c r="I958" s="35">
        <v>0.49</v>
      </c>
      <c r="J958" s="35">
        <v>4.28</v>
      </c>
      <c r="K958" s="35">
        <v>0.67</v>
      </c>
      <c r="L958" s="35">
        <v>61.1</v>
      </c>
    </row>
    <row r="959" spans="1:16" x14ac:dyDescent="0.25">
      <c r="A959" s="962">
        <v>209060</v>
      </c>
      <c r="B959" s="1363">
        <v>54</v>
      </c>
      <c r="C959" s="964" t="s">
        <v>477</v>
      </c>
      <c r="D959" s="964"/>
      <c r="E959" s="964"/>
      <c r="F959" s="964"/>
      <c r="G959" s="964"/>
      <c r="H959" s="964"/>
      <c r="I959" s="964"/>
      <c r="J959" s="964"/>
      <c r="K959" s="964"/>
      <c r="L959" s="964">
        <v>66.5</v>
      </c>
    </row>
    <row r="960" spans="1:16" x14ac:dyDescent="0.25">
      <c r="A960" s="962">
        <v>209061</v>
      </c>
      <c r="B960" s="1363">
        <v>62</v>
      </c>
      <c r="C960" s="964" t="s">
        <v>476</v>
      </c>
      <c r="D960" s="964"/>
      <c r="E960" s="964"/>
      <c r="F960" s="964"/>
      <c r="G960" s="964"/>
      <c r="H960" s="964"/>
      <c r="I960" s="964"/>
      <c r="J960" s="964"/>
      <c r="K960" s="964"/>
      <c r="L960" s="964">
        <v>51.7</v>
      </c>
    </row>
    <row r="961" spans="1:17" x14ac:dyDescent="0.25">
      <c r="A961" s="962">
        <v>209062</v>
      </c>
      <c r="B961" s="1363">
        <v>71</v>
      </c>
      <c r="C961" s="964" t="s">
        <v>477</v>
      </c>
      <c r="D961" s="964">
        <v>6.74</v>
      </c>
      <c r="E961" s="964">
        <v>7.0000000000000007E-2</v>
      </c>
      <c r="F961" s="964">
        <v>1.01</v>
      </c>
      <c r="G961" s="964">
        <v>0.14000000000000001</v>
      </c>
      <c r="H961" s="964">
        <v>0.33</v>
      </c>
      <c r="I961" s="964">
        <v>7.0000000000000007E-2</v>
      </c>
      <c r="J961" s="964">
        <v>1.28</v>
      </c>
      <c r="K961" s="964">
        <v>0.87</v>
      </c>
      <c r="L961" s="964">
        <v>31.1</v>
      </c>
    </row>
    <row r="962" spans="1:17" x14ac:dyDescent="0.25">
      <c r="A962" s="962">
        <v>209063</v>
      </c>
      <c r="B962" s="1363">
        <v>61</v>
      </c>
      <c r="C962" s="964" t="s">
        <v>476</v>
      </c>
      <c r="D962" s="964">
        <v>6.72</v>
      </c>
      <c r="E962" s="964">
        <v>8.5999999999999993E-2</v>
      </c>
      <c r="F962" s="964">
        <v>1.4</v>
      </c>
      <c r="G962" s="964">
        <v>0.16</v>
      </c>
      <c r="H962" s="964">
        <v>0.28999999999999998</v>
      </c>
      <c r="I962" s="964">
        <v>0.06</v>
      </c>
      <c r="J962" s="964">
        <v>2.17</v>
      </c>
      <c r="K962" s="964">
        <v>0.72</v>
      </c>
      <c r="L962" s="964">
        <v>52.2</v>
      </c>
    </row>
    <row r="963" spans="1:17" x14ac:dyDescent="0.25">
      <c r="A963" s="37">
        <v>209064</v>
      </c>
      <c r="B963" s="1364">
        <v>74</v>
      </c>
      <c r="C963" s="35" t="s">
        <v>476</v>
      </c>
      <c r="D963" s="35">
        <v>9.1</v>
      </c>
      <c r="E963" s="35">
        <v>2.93</v>
      </c>
      <c r="F963" s="35">
        <v>1.74</v>
      </c>
      <c r="G963" s="35">
        <v>0.76</v>
      </c>
      <c r="H963" s="35">
        <v>2.1800000000000002</v>
      </c>
      <c r="I963" s="35">
        <v>0.47</v>
      </c>
      <c r="J963" s="35">
        <v>8.3800000000000008</v>
      </c>
      <c r="K963" s="35">
        <v>1.06</v>
      </c>
      <c r="L963" s="35">
        <v>36.6</v>
      </c>
    </row>
    <row r="964" spans="1:17" x14ac:dyDescent="0.25">
      <c r="A964" s="37">
        <v>209065</v>
      </c>
      <c r="B964" s="1364">
        <v>68</v>
      </c>
      <c r="C964" s="35" t="s">
        <v>476</v>
      </c>
      <c r="D964" s="35">
        <v>9.1999999999999993</v>
      </c>
      <c r="E964" s="35">
        <v>4.8</v>
      </c>
      <c r="F964" s="35">
        <v>2.16</v>
      </c>
      <c r="G964" s="35">
        <v>1.72</v>
      </c>
      <c r="H964" s="35">
        <v>2.83</v>
      </c>
      <c r="I964" s="35">
        <v>0.68</v>
      </c>
      <c r="J964" s="35">
        <v>8.7899999999999991</v>
      </c>
      <c r="K964" s="35">
        <v>1.1000000000000001</v>
      </c>
      <c r="L964" s="35">
        <v>48.4</v>
      </c>
    </row>
    <row r="965" spans="1:17" x14ac:dyDescent="0.25">
      <c r="A965" s="1367">
        <v>209066</v>
      </c>
      <c r="B965" s="1368">
        <v>68</v>
      </c>
      <c r="C965" s="1369" t="s">
        <v>476</v>
      </c>
      <c r="D965" s="1369">
        <v>9.1</v>
      </c>
      <c r="E965" s="1369">
        <v>1.31</v>
      </c>
      <c r="F965" s="1369">
        <v>1.37</v>
      </c>
      <c r="G965" s="1369">
        <v>0.28999999999999998</v>
      </c>
      <c r="H965" s="1369">
        <v>1.47</v>
      </c>
      <c r="I965" s="1369">
        <v>0.22</v>
      </c>
      <c r="J965" s="1369">
        <v>4.67</v>
      </c>
      <c r="K965" s="1369">
        <v>0.76</v>
      </c>
      <c r="L965" s="1369">
        <v>57.4</v>
      </c>
    </row>
    <row r="966" spans="1:17" x14ac:dyDescent="0.25">
      <c r="A966" s="1367">
        <v>209067</v>
      </c>
      <c r="B966" s="1368">
        <v>63</v>
      </c>
      <c r="C966" s="1369" t="s">
        <v>476</v>
      </c>
      <c r="D966" s="1369">
        <v>8.6999999999999993</v>
      </c>
      <c r="E966" s="1369">
        <v>1.4</v>
      </c>
      <c r="F966" s="1369">
        <v>1.2</v>
      </c>
      <c r="G966" s="1369">
        <v>0.39</v>
      </c>
      <c r="H966" s="1369">
        <v>1.25</v>
      </c>
      <c r="I966" s="1369">
        <v>0.19</v>
      </c>
      <c r="J966" s="1369">
        <v>3.26</v>
      </c>
      <c r="K966" s="1369">
        <v>0.91</v>
      </c>
      <c r="L966" s="1369">
        <v>34.799999999999997</v>
      </c>
    </row>
    <row r="967" spans="1:17" x14ac:dyDescent="0.25">
      <c r="A967" s="1367">
        <v>209068</v>
      </c>
      <c r="B967" s="1368">
        <v>73</v>
      </c>
      <c r="C967" s="1369" t="s">
        <v>476</v>
      </c>
      <c r="D967" s="1369">
        <v>9.3000000000000007</v>
      </c>
      <c r="E967" s="1369">
        <v>2.54</v>
      </c>
      <c r="F967" s="1369">
        <v>1.49</v>
      </c>
      <c r="G967" s="1369">
        <v>0.38</v>
      </c>
      <c r="H967" s="1369">
        <v>1.85</v>
      </c>
      <c r="I967" s="1369">
        <v>0.37</v>
      </c>
      <c r="J967" s="1369">
        <v>5.32</v>
      </c>
      <c r="K967" s="1369">
        <v>0.83</v>
      </c>
      <c r="L967" s="1369">
        <v>57.8</v>
      </c>
    </row>
    <row r="968" spans="1:17" x14ac:dyDescent="0.25">
      <c r="A968" s="1367">
        <v>209069</v>
      </c>
      <c r="B968" s="1368">
        <v>16</v>
      </c>
      <c r="C968" s="1369" t="s">
        <v>477</v>
      </c>
      <c r="D968" s="1369">
        <v>7.1</v>
      </c>
      <c r="E968" s="1369">
        <v>0.73699999999999999</v>
      </c>
      <c r="F968" s="1369">
        <v>1.4</v>
      </c>
      <c r="G968" s="1369">
        <v>0.23</v>
      </c>
      <c r="H968" s="1369">
        <v>0.41</v>
      </c>
      <c r="I968" s="1369">
        <v>0.42</v>
      </c>
      <c r="J968" s="1369">
        <v>3.23</v>
      </c>
      <c r="K968" s="1369">
        <v>0.6</v>
      </c>
      <c r="L968" s="1369">
        <v>76.3</v>
      </c>
      <c r="M968" s="35">
        <v>52.91</v>
      </c>
      <c r="N968" s="35">
        <v>20.68</v>
      </c>
      <c r="O968" s="35">
        <v>78.87</v>
      </c>
      <c r="P968" s="35">
        <v>5126.78</v>
      </c>
      <c r="Q968" s="35">
        <v>57.68</v>
      </c>
    </row>
    <row r="969" spans="1:17" x14ac:dyDescent="0.25">
      <c r="A969" s="1367">
        <v>209070</v>
      </c>
      <c r="B969" s="1368">
        <v>15</v>
      </c>
      <c r="C969" s="1369" t="s">
        <v>476</v>
      </c>
      <c r="D969" s="1369">
        <v>7.3</v>
      </c>
      <c r="E969" s="1369">
        <v>0.215</v>
      </c>
      <c r="F969" s="1369">
        <v>1.04</v>
      </c>
      <c r="G969" s="1369">
        <v>0.28999999999999998</v>
      </c>
      <c r="H969" s="1369">
        <v>0.33</v>
      </c>
      <c r="I969" s="1369">
        <v>0.18</v>
      </c>
      <c r="J969" s="1369">
        <v>1.98</v>
      </c>
      <c r="K969" s="1369">
        <v>0.4</v>
      </c>
      <c r="L969" s="1369">
        <v>77.7</v>
      </c>
      <c r="M969" s="35">
        <v>123.24</v>
      </c>
      <c r="N969" s="35">
        <v>30.26</v>
      </c>
      <c r="O969" s="35">
        <v>300.57</v>
      </c>
      <c r="P969" s="35">
        <v>6118.25</v>
      </c>
      <c r="Q969" s="35">
        <v>29.01</v>
      </c>
    </row>
    <row r="970" spans="1:17" x14ac:dyDescent="0.25">
      <c r="A970" s="1367">
        <v>209071</v>
      </c>
      <c r="B970" s="1368">
        <v>64</v>
      </c>
      <c r="C970" s="1369" t="s">
        <v>476</v>
      </c>
      <c r="D970" s="1369">
        <v>8.8000000000000007</v>
      </c>
      <c r="E970" s="1369">
        <v>0.96799999999999997</v>
      </c>
      <c r="F970" s="1369">
        <v>0.84</v>
      </c>
      <c r="G970" s="1369">
        <v>0.44</v>
      </c>
      <c r="H970" s="1369">
        <v>0.51</v>
      </c>
      <c r="I970" s="1369">
        <v>0.12</v>
      </c>
      <c r="J970" s="1369">
        <v>0.98</v>
      </c>
      <c r="K970" s="1369">
        <v>0.31</v>
      </c>
      <c r="L970" s="1369">
        <v>27.1</v>
      </c>
    </row>
    <row r="971" spans="1:17" x14ac:dyDescent="0.25">
      <c r="A971" s="1367">
        <v>209072</v>
      </c>
      <c r="B971" s="1368">
        <v>75</v>
      </c>
      <c r="C971" s="1369" t="s">
        <v>476</v>
      </c>
      <c r="D971" s="1369">
        <v>8.8000000000000007</v>
      </c>
      <c r="E971" s="1369">
        <v>3.83</v>
      </c>
      <c r="F971" s="1369">
        <v>1.6</v>
      </c>
      <c r="G971" s="1369">
        <v>0.8</v>
      </c>
      <c r="H971" s="1369">
        <v>1.81</v>
      </c>
      <c r="I971" s="1369">
        <v>0.38</v>
      </c>
      <c r="J971" s="1369">
        <v>1.7</v>
      </c>
      <c r="K971" s="1369">
        <v>0.6</v>
      </c>
      <c r="L971" s="1369">
        <v>29.7</v>
      </c>
    </row>
    <row r="972" spans="1:17" x14ac:dyDescent="0.25">
      <c r="A972" s="1367">
        <v>209073</v>
      </c>
      <c r="B972" s="1368">
        <v>58</v>
      </c>
      <c r="C972" s="1369" t="s">
        <v>476</v>
      </c>
      <c r="D972" s="1369">
        <v>8.9</v>
      </c>
      <c r="E972" s="1369">
        <v>2.37</v>
      </c>
      <c r="F972" s="1369">
        <v>1.43</v>
      </c>
      <c r="G972" s="1369">
        <v>0.7</v>
      </c>
      <c r="H972" s="1369">
        <v>1.47</v>
      </c>
      <c r="I972" s="1369">
        <v>0.27</v>
      </c>
      <c r="J972" s="1369">
        <v>1.36</v>
      </c>
      <c r="K972" s="1369">
        <v>0.52</v>
      </c>
      <c r="L972" s="1369">
        <v>29.9</v>
      </c>
    </row>
    <row r="973" spans="1:17" x14ac:dyDescent="0.25">
      <c r="A973" s="1367">
        <v>209074</v>
      </c>
      <c r="B973" s="1368">
        <v>58</v>
      </c>
      <c r="C973" s="1369" t="s">
        <v>476</v>
      </c>
      <c r="D973" s="1369">
        <v>8.6999999999999993</v>
      </c>
      <c r="E973" s="1369">
        <v>1.21</v>
      </c>
      <c r="F973" s="1369">
        <v>1.1499999999999999</v>
      </c>
      <c r="G973" s="1369">
        <v>0.51</v>
      </c>
      <c r="H973" s="1369">
        <v>0.84</v>
      </c>
      <c r="I973" s="1369">
        <v>0.16</v>
      </c>
      <c r="J973" s="1369">
        <v>1.24</v>
      </c>
      <c r="K973" s="1369">
        <v>0.39</v>
      </c>
      <c r="L973" s="1369">
        <v>34.299999999999997</v>
      </c>
    </row>
    <row r="974" spans="1:17" x14ac:dyDescent="0.25">
      <c r="A974" s="1367">
        <v>209075</v>
      </c>
      <c r="B974" s="1368">
        <v>59</v>
      </c>
      <c r="C974" s="1369" t="s">
        <v>476</v>
      </c>
      <c r="D974" s="1369">
        <v>8.4</v>
      </c>
      <c r="E974" s="1369">
        <v>1.08</v>
      </c>
      <c r="F974" s="1369">
        <v>1.1499999999999999</v>
      </c>
      <c r="G974" s="1369">
        <v>0.52</v>
      </c>
      <c r="H974" s="1369">
        <v>0.86</v>
      </c>
      <c r="I974" s="1369">
        <v>0.16</v>
      </c>
      <c r="J974" s="1369">
        <v>0.74</v>
      </c>
      <c r="K974" s="1369">
        <v>0.44</v>
      </c>
      <c r="L974" s="1369">
        <v>28.9</v>
      </c>
    </row>
    <row r="975" spans="1:17" x14ac:dyDescent="0.25">
      <c r="A975" s="1367">
        <v>209076</v>
      </c>
      <c r="B975" s="1368">
        <v>65</v>
      </c>
      <c r="C975" s="1369" t="s">
        <v>476</v>
      </c>
      <c r="D975" s="1369">
        <v>9</v>
      </c>
      <c r="E975" s="1369">
        <v>1.76</v>
      </c>
      <c r="F975" s="1369">
        <v>1.1499999999999999</v>
      </c>
      <c r="G975" s="1369">
        <v>0.5</v>
      </c>
      <c r="H975" s="1369">
        <v>1</v>
      </c>
      <c r="I975" s="1369">
        <v>0.2</v>
      </c>
      <c r="J975" s="1369">
        <v>1.43</v>
      </c>
      <c r="K975" s="1369">
        <v>0.39</v>
      </c>
      <c r="L975" s="1369">
        <v>25.3</v>
      </c>
    </row>
    <row r="976" spans="1:17" x14ac:dyDescent="0.25">
      <c r="A976" s="1367">
        <v>209077</v>
      </c>
      <c r="B976" s="1368">
        <v>52</v>
      </c>
      <c r="C976" s="1369" t="s">
        <v>476</v>
      </c>
      <c r="D976" s="1369">
        <v>9.4</v>
      </c>
      <c r="E976" s="1369">
        <v>1.56</v>
      </c>
      <c r="F976" s="1369">
        <v>1.29</v>
      </c>
      <c r="G976" s="1369">
        <v>0.51</v>
      </c>
      <c r="H976" s="1369">
        <v>1.17</v>
      </c>
      <c r="I976" s="1369">
        <v>0.21</v>
      </c>
      <c r="J976" s="1369">
        <v>0.75</v>
      </c>
      <c r="K976" s="1369">
        <v>0.43</v>
      </c>
      <c r="L976" s="1369">
        <v>34.4</v>
      </c>
    </row>
    <row r="977" spans="1:13" x14ac:dyDescent="0.25">
      <c r="A977" s="1367">
        <v>209078</v>
      </c>
      <c r="B977" s="1368">
        <v>64</v>
      </c>
      <c r="C977" s="1369" t="s">
        <v>476</v>
      </c>
      <c r="D977" s="1369">
        <v>7.4</v>
      </c>
      <c r="E977" s="1369">
        <v>1.9</v>
      </c>
      <c r="F977" s="1369">
        <v>1.35</v>
      </c>
      <c r="G977" s="1369">
        <v>0.57999999999999996</v>
      </c>
      <c r="H977" s="1369">
        <v>1.04</v>
      </c>
      <c r="I977" s="1369">
        <v>0.21</v>
      </c>
      <c r="J977" s="1369">
        <v>0.74</v>
      </c>
      <c r="K977" s="1369">
        <v>0.49</v>
      </c>
      <c r="L977" s="1369">
        <v>24.1</v>
      </c>
    </row>
    <row r="978" spans="1:13" x14ac:dyDescent="0.25">
      <c r="A978" s="37">
        <v>209079</v>
      </c>
      <c r="B978" s="34">
        <v>91</v>
      </c>
      <c r="C978" s="35" t="s">
        <v>477</v>
      </c>
      <c r="D978" s="35">
        <v>6.02</v>
      </c>
      <c r="E978" s="35">
        <v>45.7</v>
      </c>
      <c r="F978" s="35">
        <v>4.54</v>
      </c>
      <c r="G978" s="35">
        <v>2.31</v>
      </c>
      <c r="H978" s="35">
        <v>3.11</v>
      </c>
      <c r="I978" s="35">
        <v>7.14</v>
      </c>
      <c r="J978" s="35">
        <v>7.96</v>
      </c>
      <c r="K978" s="35">
        <v>0.67</v>
      </c>
      <c r="L978" s="35">
        <v>42</v>
      </c>
    </row>
    <row r="979" spans="1:13" x14ac:dyDescent="0.25">
      <c r="A979" s="37">
        <v>209080</v>
      </c>
      <c r="B979" s="34">
        <v>88</v>
      </c>
      <c r="C979" s="35" t="s">
        <v>477</v>
      </c>
      <c r="D979" s="35">
        <v>9.08</v>
      </c>
      <c r="E979" s="35">
        <v>40.700000000000003</v>
      </c>
      <c r="F979" s="35">
        <v>3.08</v>
      </c>
      <c r="G979" s="35">
        <v>0.94</v>
      </c>
      <c r="H979" s="35">
        <v>2.77</v>
      </c>
      <c r="I979" s="35">
        <v>0.77</v>
      </c>
      <c r="J979" s="35">
        <v>5.47</v>
      </c>
      <c r="K979" s="35">
        <v>0.92</v>
      </c>
      <c r="L979" s="35">
        <v>49.8</v>
      </c>
    </row>
    <row r="980" spans="1:13" x14ac:dyDescent="0.25">
      <c r="A980" s="37">
        <v>209081</v>
      </c>
      <c r="B980" s="34">
        <v>61</v>
      </c>
      <c r="C980" s="35" t="s">
        <v>476</v>
      </c>
      <c r="D980" s="35">
        <v>9.41</v>
      </c>
      <c r="E980" s="35">
        <v>3.62</v>
      </c>
      <c r="F980" s="35">
        <v>1.99</v>
      </c>
      <c r="G980" s="35">
        <v>0.2</v>
      </c>
      <c r="H980" s="35">
        <v>0.91</v>
      </c>
      <c r="I980" s="35">
        <v>0.27</v>
      </c>
      <c r="J980" s="35">
        <v>0.79</v>
      </c>
      <c r="K980" s="35">
        <v>0.35</v>
      </c>
      <c r="L980" s="35">
        <v>54.9</v>
      </c>
    </row>
    <row r="981" spans="1:13" x14ac:dyDescent="0.25">
      <c r="A981" s="1156">
        <v>209082</v>
      </c>
      <c r="B981" s="1157">
        <v>75</v>
      </c>
      <c r="C981" s="1158" t="s">
        <v>477</v>
      </c>
      <c r="D981" s="1158"/>
      <c r="E981" s="1158"/>
      <c r="F981" s="1158"/>
      <c r="G981" s="1158"/>
      <c r="H981" s="1158"/>
      <c r="I981" s="1158"/>
      <c r="J981" s="1158"/>
      <c r="K981" s="1158"/>
      <c r="L981" s="1158">
        <v>23.7</v>
      </c>
    </row>
    <row r="982" spans="1:13" x14ac:dyDescent="0.25">
      <c r="A982" s="1156">
        <v>209083</v>
      </c>
      <c r="B982" s="1157">
        <v>54</v>
      </c>
      <c r="C982" s="1158" t="s">
        <v>476</v>
      </c>
      <c r="D982" s="1158"/>
      <c r="E982" s="1158"/>
      <c r="F982" s="1158"/>
      <c r="G982" s="1158"/>
      <c r="H982" s="1158"/>
      <c r="I982" s="1158"/>
      <c r="J982" s="1158"/>
      <c r="K982" s="1158"/>
      <c r="L982" s="1158">
        <v>44.6</v>
      </c>
    </row>
    <row r="983" spans="1:13" x14ac:dyDescent="0.25">
      <c r="A983" s="1156">
        <v>209084</v>
      </c>
      <c r="B983" s="1157">
        <v>68</v>
      </c>
      <c r="C983" s="1158" t="s">
        <v>476</v>
      </c>
      <c r="D983" s="1158"/>
      <c r="E983" s="1158"/>
      <c r="F983" s="1158"/>
      <c r="G983" s="1158"/>
      <c r="H983" s="1158"/>
      <c r="I983" s="1158"/>
      <c r="J983" s="1158"/>
      <c r="K983" s="1158"/>
      <c r="L983" s="1158">
        <v>23.7</v>
      </c>
    </row>
    <row r="984" spans="1:13" x14ac:dyDescent="0.25">
      <c r="A984" s="37">
        <v>209085</v>
      </c>
      <c r="B984" s="34">
        <v>63</v>
      </c>
      <c r="C984" s="35" t="s">
        <v>187</v>
      </c>
      <c r="D984" s="730">
        <v>8.73</v>
      </c>
      <c r="E984" s="730">
        <v>4.05</v>
      </c>
      <c r="F984" s="35">
        <v>2.66</v>
      </c>
      <c r="G984" s="35">
        <v>1.05</v>
      </c>
      <c r="H984" s="35">
        <v>2.5099999999999998</v>
      </c>
      <c r="I984" s="35">
        <v>1.31</v>
      </c>
      <c r="J984" s="35">
        <v>4.21</v>
      </c>
      <c r="K984" s="35">
        <v>0.79</v>
      </c>
      <c r="L984" s="35">
        <v>63.9</v>
      </c>
    </row>
    <row r="985" spans="1:13" x14ac:dyDescent="0.25">
      <c r="A985" s="37">
        <v>209086</v>
      </c>
      <c r="B985" s="34">
        <v>73</v>
      </c>
      <c r="C985" s="35" t="s">
        <v>476</v>
      </c>
      <c r="F985" s="35">
        <v>2.13</v>
      </c>
      <c r="L985" s="35">
        <v>57.6</v>
      </c>
    </row>
    <row r="986" spans="1:13" x14ac:dyDescent="0.25">
      <c r="A986" s="1269">
        <v>209087</v>
      </c>
      <c r="B986" s="1270">
        <v>67</v>
      </c>
      <c r="C986" s="1271" t="s">
        <v>476</v>
      </c>
      <c r="D986" s="1271">
        <v>8.6</v>
      </c>
      <c r="E986" s="1271"/>
      <c r="F986" s="1271"/>
      <c r="G986" s="1271"/>
      <c r="H986" s="1271"/>
      <c r="I986" s="1271"/>
      <c r="J986" s="1271"/>
      <c r="K986" s="1271"/>
      <c r="L986" s="1271">
        <v>62.8</v>
      </c>
      <c r="M986" s="35" t="s">
        <v>556</v>
      </c>
    </row>
    <row r="987" spans="1:13" x14ac:dyDescent="0.25">
      <c r="A987" s="1269">
        <v>209088</v>
      </c>
      <c r="B987" s="1270">
        <v>50</v>
      </c>
      <c r="C987" s="1271" t="s">
        <v>476</v>
      </c>
      <c r="D987" s="1271"/>
      <c r="E987" s="1271"/>
      <c r="F987" s="1271"/>
      <c r="G987" s="1271"/>
      <c r="H987" s="1271"/>
      <c r="I987" s="1271"/>
      <c r="J987" s="1271"/>
      <c r="K987" s="1271"/>
      <c r="L987" s="1271">
        <v>35.799999999999997</v>
      </c>
      <c r="M987" s="35" t="s">
        <v>556</v>
      </c>
    </row>
    <row r="988" spans="1:13" x14ac:dyDescent="0.25">
      <c r="A988" s="1438">
        <v>209089</v>
      </c>
      <c r="B988" s="988">
        <v>48</v>
      </c>
      <c r="C988" s="989" t="s">
        <v>476</v>
      </c>
      <c r="D988" s="989">
        <v>9.32</v>
      </c>
      <c r="E988" s="989">
        <v>4.3899999999999997</v>
      </c>
      <c r="F988" s="989">
        <v>1.54</v>
      </c>
      <c r="G988" s="1440">
        <v>0.56999999999999995</v>
      </c>
      <c r="H988" s="1440">
        <v>2.23</v>
      </c>
      <c r="I988" s="1440">
        <v>0.48</v>
      </c>
      <c r="J988" s="1440">
        <v>6.03</v>
      </c>
      <c r="K988" s="1440">
        <v>0.89</v>
      </c>
      <c r="L988" s="989">
        <v>43.1</v>
      </c>
    </row>
    <row r="989" spans="1:13" x14ac:dyDescent="0.25">
      <c r="A989" s="1438">
        <v>209090</v>
      </c>
      <c r="B989" s="988">
        <v>36</v>
      </c>
      <c r="C989" s="989" t="s">
        <v>476</v>
      </c>
      <c r="D989" s="989">
        <v>9.1199999999999992</v>
      </c>
      <c r="E989" s="989">
        <v>3.59</v>
      </c>
      <c r="F989" s="989">
        <v>1.96</v>
      </c>
      <c r="G989" s="1440">
        <v>0.65</v>
      </c>
      <c r="H989" s="1440">
        <v>2.4300000000000002</v>
      </c>
      <c r="I989" s="1440">
        <v>0.59</v>
      </c>
      <c r="J989" s="1440">
        <v>4.3499999999999996</v>
      </c>
      <c r="K989" s="1440">
        <v>0.7</v>
      </c>
      <c r="L989" s="989">
        <v>62</v>
      </c>
    </row>
    <row r="990" spans="1:13" x14ac:dyDescent="0.25">
      <c r="A990" s="1438">
        <v>209091</v>
      </c>
      <c r="B990" s="988">
        <v>42</v>
      </c>
      <c r="C990" s="989" t="s">
        <v>476</v>
      </c>
      <c r="D990" s="989">
        <v>9.33</v>
      </c>
      <c r="E990" s="989">
        <v>2.99</v>
      </c>
      <c r="F990" s="989">
        <v>1.65</v>
      </c>
      <c r="G990" s="1440">
        <v>0.61</v>
      </c>
      <c r="H990" s="1440">
        <v>2.3199999999999998</v>
      </c>
      <c r="I990" s="1440">
        <v>0.49</v>
      </c>
      <c r="J990" s="1440">
        <v>4.71</v>
      </c>
      <c r="K990" s="1440">
        <v>0.87</v>
      </c>
      <c r="L990" s="989">
        <v>53.6</v>
      </c>
    </row>
    <row r="991" spans="1:13" x14ac:dyDescent="0.25">
      <c r="A991" s="1269">
        <v>209092</v>
      </c>
      <c r="B991" s="1270">
        <v>59</v>
      </c>
      <c r="C991" s="1271" t="s">
        <v>476</v>
      </c>
      <c r="D991" s="1271"/>
      <c r="E991" s="1271"/>
      <c r="F991" s="1271"/>
      <c r="G991" s="1271"/>
      <c r="H991" s="1271"/>
      <c r="I991" s="1271"/>
      <c r="J991" s="1271"/>
      <c r="K991" s="1271"/>
      <c r="L991" s="1271">
        <v>24.9</v>
      </c>
    </row>
    <row r="992" spans="1:13" x14ac:dyDescent="0.25">
      <c r="A992" s="1269">
        <v>209093</v>
      </c>
      <c r="B992" s="1270">
        <v>52</v>
      </c>
      <c r="C992" s="1271" t="s">
        <v>476</v>
      </c>
      <c r="D992" s="1271"/>
      <c r="E992" s="1271"/>
      <c r="F992" s="1271"/>
      <c r="G992" s="1271"/>
      <c r="H992" s="1271"/>
      <c r="I992" s="1271"/>
      <c r="J992" s="1271"/>
      <c r="K992" s="1271"/>
      <c r="L992" s="1271">
        <v>26.4</v>
      </c>
    </row>
    <row r="993" spans="1:12" x14ac:dyDescent="0.25">
      <c r="A993" s="1269">
        <v>209094</v>
      </c>
      <c r="B993" s="1270">
        <v>46</v>
      </c>
      <c r="C993" s="1271" t="s">
        <v>476</v>
      </c>
      <c r="D993" s="1271"/>
      <c r="E993" s="1271"/>
      <c r="F993" s="1271"/>
      <c r="G993" s="1271"/>
      <c r="H993" s="1271"/>
      <c r="I993" s="1271"/>
      <c r="J993" s="1271"/>
      <c r="K993" s="1271"/>
      <c r="L993" s="1271">
        <v>33.1</v>
      </c>
    </row>
    <row r="994" spans="1:12" x14ac:dyDescent="0.25">
      <c r="A994" s="1269">
        <v>209095</v>
      </c>
      <c r="B994" s="1270">
        <v>51</v>
      </c>
      <c r="C994" s="1271" t="s">
        <v>476</v>
      </c>
      <c r="D994" s="1271"/>
      <c r="E994" s="1271"/>
      <c r="F994" s="1271"/>
      <c r="G994" s="1271"/>
      <c r="H994" s="1271"/>
      <c r="I994" s="1271"/>
      <c r="J994" s="1271"/>
      <c r="K994" s="1271"/>
      <c r="L994" s="1271">
        <v>40.5</v>
      </c>
    </row>
    <row r="995" spans="1:12" x14ac:dyDescent="0.25">
      <c r="A995" s="1269">
        <v>209096</v>
      </c>
      <c r="B995" s="1270">
        <v>72</v>
      </c>
      <c r="C995" s="1271" t="s">
        <v>476</v>
      </c>
      <c r="D995" s="1271">
        <v>8.5299999999999994</v>
      </c>
      <c r="E995" s="1271">
        <v>0.75700000000000001</v>
      </c>
      <c r="F995" s="1271"/>
      <c r="G995" s="1271"/>
      <c r="H995" s="1271"/>
      <c r="I995" s="1271"/>
      <c r="J995" s="1271"/>
      <c r="K995" s="1271"/>
      <c r="L995" s="1271">
        <v>60.7</v>
      </c>
    </row>
    <row r="996" spans="1:12" x14ac:dyDescent="0.25">
      <c r="A996" s="1269">
        <v>209097</v>
      </c>
      <c r="B996" s="1270">
        <v>72</v>
      </c>
      <c r="C996" s="1271" t="s">
        <v>476</v>
      </c>
      <c r="D996" s="1271">
        <v>8.81</v>
      </c>
      <c r="E996" s="1271">
        <v>0.64700000000000002</v>
      </c>
      <c r="F996" s="1271"/>
      <c r="G996" s="1271"/>
      <c r="H996" s="1271"/>
      <c r="I996" s="1271"/>
      <c r="J996" s="1271"/>
      <c r="K996" s="1271"/>
      <c r="L996" s="1271">
        <v>53.7</v>
      </c>
    </row>
    <row r="997" spans="1:12" x14ac:dyDescent="0.25">
      <c r="A997" s="1269">
        <v>209098</v>
      </c>
      <c r="B997" s="1270">
        <v>57</v>
      </c>
      <c r="C997" s="1271" t="s">
        <v>476</v>
      </c>
      <c r="D997" s="1271">
        <v>9.33</v>
      </c>
      <c r="E997" s="1271">
        <v>0.52200000000000002</v>
      </c>
      <c r="F997" s="1271"/>
      <c r="G997" s="1271"/>
      <c r="H997" s="1271"/>
      <c r="I997" s="1271"/>
      <c r="J997" s="1271"/>
      <c r="K997" s="1271"/>
      <c r="L997" s="1271">
        <v>46.6</v>
      </c>
    </row>
    <row r="998" spans="1:12" x14ac:dyDescent="0.25">
      <c r="A998" s="1438">
        <v>209099</v>
      </c>
      <c r="B998" s="988">
        <v>63</v>
      </c>
      <c r="C998" s="989" t="s">
        <v>187</v>
      </c>
      <c r="D998" s="989">
        <v>9.3000000000000007</v>
      </c>
      <c r="E998" s="989">
        <v>4.5999999999999996</v>
      </c>
      <c r="F998" s="989">
        <v>1.65</v>
      </c>
      <c r="G998" s="1439">
        <v>0.82</v>
      </c>
      <c r="H998" s="1439">
        <v>2.59</v>
      </c>
      <c r="I998" s="1440">
        <v>0.68</v>
      </c>
      <c r="J998" s="1439">
        <v>7.05</v>
      </c>
      <c r="K998" s="1440">
        <v>1.03</v>
      </c>
      <c r="L998" s="989">
        <v>44.5</v>
      </c>
    </row>
    <row r="999" spans="1:12" x14ac:dyDescent="0.25">
      <c r="A999" s="1438">
        <v>209100</v>
      </c>
      <c r="B999" s="988">
        <v>98</v>
      </c>
      <c r="C999" s="989" t="s">
        <v>187</v>
      </c>
      <c r="D999" s="989">
        <v>7.8</v>
      </c>
      <c r="E999" s="989">
        <v>1.044</v>
      </c>
      <c r="F999" s="989">
        <v>0.11</v>
      </c>
      <c r="G999" s="1439">
        <v>6.32</v>
      </c>
      <c r="H999" s="1439">
        <v>0.21</v>
      </c>
      <c r="I999" s="1440">
        <v>0.28999999999999998</v>
      </c>
      <c r="J999" s="1439">
        <v>26.44</v>
      </c>
      <c r="K999" s="1439">
        <v>1.96</v>
      </c>
      <c r="L999" s="989">
        <v>4.5</v>
      </c>
    </row>
    <row r="1000" spans="1:12" x14ac:dyDescent="0.25">
      <c r="A1000" s="37">
        <v>209101</v>
      </c>
      <c r="B1000" s="385">
        <v>72</v>
      </c>
      <c r="C1000" s="35" t="s">
        <v>476</v>
      </c>
      <c r="D1000" s="35">
        <v>8.83</v>
      </c>
      <c r="E1000" s="35">
        <v>1.51</v>
      </c>
      <c r="F1000" s="35">
        <v>1.0900000000000001</v>
      </c>
      <c r="G1000" s="753">
        <v>0.09</v>
      </c>
      <c r="H1000" s="25">
        <v>0.94</v>
      </c>
      <c r="I1000" s="753">
        <v>0.06</v>
      </c>
      <c r="J1000" s="25">
        <v>3.34</v>
      </c>
      <c r="K1000" s="753">
        <v>0.54</v>
      </c>
      <c r="L1000" s="35">
        <v>60.5</v>
      </c>
    </row>
    <row r="1001" spans="1:12" x14ac:dyDescent="0.25">
      <c r="A1001" s="1269">
        <v>209102</v>
      </c>
      <c r="B1001" s="1417">
        <v>71.206336071871874</v>
      </c>
      <c r="C1001" s="1418" t="s">
        <v>480</v>
      </c>
      <c r="D1001" s="1419">
        <v>8.1999999999999993</v>
      </c>
      <c r="E1001" s="1419">
        <v>0.496</v>
      </c>
      <c r="F1001" s="1271"/>
      <c r="G1001" s="1271"/>
      <c r="H1001" s="1271"/>
      <c r="I1001" s="1271"/>
      <c r="J1001" s="1271"/>
      <c r="K1001" s="1271"/>
      <c r="L1001" s="1420">
        <v>76.78607164298586</v>
      </c>
    </row>
    <row r="1002" spans="1:12" x14ac:dyDescent="0.25">
      <c r="A1002" s="1269">
        <v>209103</v>
      </c>
      <c r="B1002" s="1417">
        <v>74.846414242728187</v>
      </c>
      <c r="C1002" s="1418" t="s">
        <v>187</v>
      </c>
      <c r="D1002" s="1419">
        <v>8.5</v>
      </c>
      <c r="E1002" s="1419">
        <v>0.60599999999999998</v>
      </c>
      <c r="F1002" s="1271"/>
      <c r="G1002" s="1271"/>
      <c r="H1002" s="1271"/>
      <c r="I1002" s="1271"/>
      <c r="J1002" s="1271"/>
      <c r="K1002" s="1271"/>
      <c r="L1002" s="1420">
        <v>62.397438463077883</v>
      </c>
    </row>
    <row r="1003" spans="1:12" x14ac:dyDescent="0.25">
      <c r="A1003" s="1269">
        <v>209104</v>
      </c>
      <c r="B1003" s="1417">
        <v>67.537925379253778</v>
      </c>
      <c r="C1003" s="1418" t="s">
        <v>480</v>
      </c>
      <c r="D1003" s="1419">
        <v>7.7</v>
      </c>
      <c r="E1003" s="1419">
        <v>0.29299999999999998</v>
      </c>
      <c r="F1003" s="1271"/>
      <c r="G1003" s="1271"/>
      <c r="H1003" s="1271"/>
      <c r="I1003" s="1271"/>
      <c r="J1003" s="1271"/>
      <c r="K1003" s="1271"/>
      <c r="L1003" s="1420">
        <v>87.332399439663888</v>
      </c>
    </row>
    <row r="1004" spans="1:12" x14ac:dyDescent="0.25">
      <c r="A1004" s="1269">
        <v>209105</v>
      </c>
      <c r="B1004" s="1417">
        <v>56.224729763181777</v>
      </c>
      <c r="C1004" s="1418" t="s">
        <v>480</v>
      </c>
      <c r="D1004" s="1419">
        <v>5.6</v>
      </c>
      <c r="E1004" s="1419">
        <v>0.129</v>
      </c>
      <c r="F1004" s="1271"/>
      <c r="G1004" s="1271"/>
      <c r="H1004" s="1271"/>
      <c r="I1004" s="1271"/>
      <c r="J1004" s="1271"/>
      <c r="K1004" s="1271"/>
      <c r="L1004" s="1420">
        <v>88.533119871923148</v>
      </c>
    </row>
    <row r="1005" spans="1:12" x14ac:dyDescent="0.25">
      <c r="A1005" s="1058">
        <v>209106</v>
      </c>
      <c r="B1005" s="1436">
        <v>55.448412341459033</v>
      </c>
      <c r="C1005" s="1437" t="s">
        <v>480</v>
      </c>
      <c r="D1005" s="1304">
        <v>6.2</v>
      </c>
      <c r="E1005" s="1062">
        <v>3.9</v>
      </c>
      <c r="F1005" s="1060">
        <v>1.23</v>
      </c>
      <c r="G1005" s="1061">
        <v>0.24</v>
      </c>
      <c r="H1005" s="774">
        <v>3.1</v>
      </c>
      <c r="I1005" s="1061">
        <v>0.71</v>
      </c>
      <c r="J1005" s="774">
        <v>1.93</v>
      </c>
      <c r="K1005" s="1061">
        <v>0.27</v>
      </c>
      <c r="L1005" s="1075">
        <v>81.388833299979993</v>
      </c>
    </row>
    <row r="1006" spans="1:12" x14ac:dyDescent="0.25">
      <c r="A1006" s="1058">
        <v>209107</v>
      </c>
      <c r="B1006" s="1436">
        <v>75.182225344691318</v>
      </c>
      <c r="C1006" s="1437" t="s">
        <v>187</v>
      </c>
      <c r="D1006" s="1304">
        <v>5.9</v>
      </c>
      <c r="E1006" s="1062">
        <v>7.12</v>
      </c>
      <c r="F1006" s="1060">
        <v>1.26</v>
      </c>
      <c r="G1006" s="1061">
        <v>0.12</v>
      </c>
      <c r="H1006" s="774">
        <v>3.53</v>
      </c>
      <c r="I1006" s="774">
        <v>0.48</v>
      </c>
      <c r="J1006" s="774">
        <v>2.38</v>
      </c>
      <c r="K1006" s="1061">
        <v>0.3</v>
      </c>
      <c r="L1006" s="1075">
        <v>81.929157494496721</v>
      </c>
    </row>
    <row r="1007" spans="1:12" x14ac:dyDescent="0.25">
      <c r="A1007" s="1058">
        <v>209108</v>
      </c>
      <c r="B1007" s="1436">
        <v>41.900314356840433</v>
      </c>
      <c r="C1007" s="1437" t="s">
        <v>480</v>
      </c>
      <c r="D1007" s="1304">
        <v>6.6</v>
      </c>
      <c r="E1007" s="1062">
        <v>1.25</v>
      </c>
      <c r="F1007" s="1060">
        <v>1.34</v>
      </c>
      <c r="G1007" s="1061">
        <v>0.05</v>
      </c>
      <c r="H1007" s="774">
        <v>0.1</v>
      </c>
      <c r="I1007" s="774">
        <v>1.27</v>
      </c>
      <c r="J1007" s="774">
        <v>1.21</v>
      </c>
      <c r="K1007" s="1061">
        <v>0.18</v>
      </c>
      <c r="L1007" s="1075">
        <v>84.070442265359219</v>
      </c>
    </row>
    <row r="1008" spans="1:12" x14ac:dyDescent="0.25">
      <c r="A1008" s="1058">
        <v>209109</v>
      </c>
      <c r="B1008" s="1436">
        <v>63.410054890219548</v>
      </c>
      <c r="C1008" s="1437" t="s">
        <v>187</v>
      </c>
      <c r="D1008" s="1304">
        <v>9</v>
      </c>
      <c r="E1008" s="1062">
        <v>3.9</v>
      </c>
      <c r="F1008" s="1060">
        <v>1.2</v>
      </c>
      <c r="G1008" s="774">
        <v>1.28</v>
      </c>
      <c r="H1008" s="774">
        <v>1.95</v>
      </c>
      <c r="I1008" s="1061">
        <v>0.37</v>
      </c>
      <c r="J1008" s="774">
        <v>8.0399999999999991</v>
      </c>
      <c r="K1008" s="1061">
        <v>0.9</v>
      </c>
      <c r="L1008" s="1075">
        <v>27.236341805082994</v>
      </c>
    </row>
    <row r="1009" spans="1:29" x14ac:dyDescent="0.25">
      <c r="A1009" s="1430">
        <v>209110</v>
      </c>
      <c r="B1009" s="1431">
        <v>95</v>
      </c>
      <c r="C1009" s="1432"/>
      <c r="D1009" s="1432"/>
      <c r="E1009" s="1432"/>
      <c r="F1009" s="1432"/>
      <c r="G1009" s="1433">
        <v>2.63</v>
      </c>
      <c r="H1009" s="1434">
        <v>13.35</v>
      </c>
      <c r="I1009" s="1433">
        <v>1.77</v>
      </c>
      <c r="J1009" s="1433">
        <v>4.51</v>
      </c>
      <c r="K1009" s="1435">
        <v>2.97</v>
      </c>
      <c r="L1009" s="1432"/>
      <c r="M1009" s="35" t="s">
        <v>528</v>
      </c>
    </row>
    <row r="1010" spans="1:29" x14ac:dyDescent="0.25">
      <c r="A1010" s="1430">
        <v>209111</v>
      </c>
      <c r="B1010" s="1431">
        <v>52</v>
      </c>
      <c r="C1010" s="1432"/>
      <c r="D1010" s="1432"/>
      <c r="E1010" s="1432"/>
      <c r="F1010" s="1432">
        <v>2.35</v>
      </c>
      <c r="G1010" s="1432"/>
      <c r="H1010" s="1432"/>
      <c r="I1010" s="1432"/>
      <c r="J1010" s="1432"/>
      <c r="K1010" s="1432"/>
      <c r="L1010" s="1432"/>
      <c r="M1010" s="35" t="s">
        <v>528</v>
      </c>
    </row>
    <row r="1011" spans="1:29" x14ac:dyDescent="0.25">
      <c r="A1011" s="1058">
        <v>209112</v>
      </c>
      <c r="B1011" s="1059">
        <v>77</v>
      </c>
      <c r="C1011" s="1060" t="s">
        <v>476</v>
      </c>
      <c r="D1011" s="1449">
        <v>6.4</v>
      </c>
      <c r="E1011" s="1449">
        <v>3.7999999999999999E-2</v>
      </c>
      <c r="F1011" s="1060">
        <v>0.95</v>
      </c>
      <c r="G1011" s="1061">
        <v>0.17</v>
      </c>
      <c r="H1011" s="1061">
        <v>0.33</v>
      </c>
      <c r="I1011" s="1061">
        <v>0.1</v>
      </c>
      <c r="J1011" s="1061">
        <v>0.94</v>
      </c>
      <c r="K1011" s="1061">
        <v>2.5299999999999998</v>
      </c>
      <c r="L1011" s="1437">
        <v>25.504697181691053</v>
      </c>
    </row>
    <row r="1012" spans="1:29" x14ac:dyDescent="0.25">
      <c r="A1012" s="1058">
        <v>209113</v>
      </c>
      <c r="B1012" s="1059">
        <v>53</v>
      </c>
      <c r="C1012" s="1060" t="s">
        <v>187</v>
      </c>
      <c r="D1012" s="1060">
        <v>9.1999999999999993</v>
      </c>
      <c r="E1012" s="1060">
        <v>2.92</v>
      </c>
      <c r="F1012" s="1060">
        <v>3.19</v>
      </c>
      <c r="G1012" s="1061">
        <v>0.47</v>
      </c>
      <c r="H1012" s="1061">
        <v>2.11</v>
      </c>
      <c r="I1012" s="1061">
        <v>0.2</v>
      </c>
      <c r="J1012" s="1061">
        <v>1.75</v>
      </c>
      <c r="K1012" s="1061">
        <v>1.89</v>
      </c>
      <c r="L1012" s="1437">
        <v>57.545472716370277</v>
      </c>
    </row>
    <row r="1013" spans="1:29" x14ac:dyDescent="0.25">
      <c r="A1013" s="1058">
        <v>209114</v>
      </c>
      <c r="B1013" s="1059">
        <v>51</v>
      </c>
      <c r="C1013" s="1060" t="s">
        <v>187</v>
      </c>
      <c r="D1013" s="1060">
        <v>9.1999999999999993</v>
      </c>
      <c r="E1013" s="1060">
        <v>3.45</v>
      </c>
      <c r="F1013" s="1060">
        <v>1.77</v>
      </c>
      <c r="G1013" s="1061">
        <v>0.68</v>
      </c>
      <c r="H1013" s="1061">
        <v>2.41</v>
      </c>
      <c r="I1013" s="1061">
        <v>0.52</v>
      </c>
      <c r="J1013" s="1061">
        <v>4.2699999999999996</v>
      </c>
      <c r="K1013" s="1061">
        <v>0.67</v>
      </c>
      <c r="L1013" s="1437">
        <v>49.53009398120372</v>
      </c>
    </row>
    <row r="1014" spans="1:29" x14ac:dyDescent="0.25">
      <c r="A1014" s="745">
        <v>209115</v>
      </c>
      <c r="B1014" s="746">
        <v>93</v>
      </c>
      <c r="C1014" s="747" t="s">
        <v>480</v>
      </c>
      <c r="D1014" s="747">
        <v>7.4</v>
      </c>
      <c r="E1014" s="747">
        <v>7.94</v>
      </c>
      <c r="F1014" s="747">
        <v>4.79</v>
      </c>
      <c r="G1014" s="747">
        <v>1.1499999999999999</v>
      </c>
      <c r="H1014" s="747">
        <v>2.11</v>
      </c>
      <c r="I1014" s="747">
        <v>0.23</v>
      </c>
      <c r="J1014" s="747">
        <v>7.82</v>
      </c>
      <c r="K1014" s="747">
        <v>0.7</v>
      </c>
      <c r="L1014" s="747">
        <v>68.8</v>
      </c>
      <c r="M1014" s="35">
        <v>369.8</v>
      </c>
      <c r="N1014" s="35">
        <v>81.28</v>
      </c>
      <c r="O1014" s="35">
        <v>378.3</v>
      </c>
      <c r="P1014" s="35">
        <v>1380.96</v>
      </c>
      <c r="Q1014" s="35">
        <v>33.049999999999997</v>
      </c>
      <c r="U1014" s="35">
        <v>0.52</v>
      </c>
      <c r="V1014" s="35">
        <v>0.32</v>
      </c>
      <c r="W1014" s="35">
        <v>1.08</v>
      </c>
      <c r="X1014" s="35">
        <v>3.75</v>
      </c>
      <c r="Y1014" s="35">
        <v>1E-3</v>
      </c>
      <c r="Z1014" s="35">
        <v>2.15</v>
      </c>
      <c r="AA1014" s="35">
        <v>5.54</v>
      </c>
      <c r="AB1014" s="35">
        <v>1.43</v>
      </c>
      <c r="AC1014" s="35">
        <v>1.45</v>
      </c>
    </row>
    <row r="1015" spans="1:29" ht="18.75" x14ac:dyDescent="0.3">
      <c r="A1015" s="37">
        <v>209116</v>
      </c>
      <c r="B1015" s="1457">
        <v>63.409835481803292</v>
      </c>
      <c r="C1015" s="35" t="s">
        <v>476</v>
      </c>
      <c r="D1015" s="1452">
        <v>9.3000000000000007</v>
      </c>
      <c r="E1015" s="1456">
        <v>2.0699999999999998</v>
      </c>
      <c r="F1015" s="36">
        <v>1.6811999999999998</v>
      </c>
      <c r="G1015" s="35">
        <v>0.46</v>
      </c>
      <c r="H1015" s="35">
        <v>1.96</v>
      </c>
      <c r="I1015" s="35">
        <v>0.3</v>
      </c>
      <c r="J1015" s="35">
        <v>5.12</v>
      </c>
      <c r="K1015" s="35">
        <v>0.76</v>
      </c>
      <c r="L1015" s="36">
        <v>56.033620172103355</v>
      </c>
    </row>
    <row r="1016" spans="1:29" ht="18.75" x14ac:dyDescent="0.3">
      <c r="A1016" s="37">
        <v>209117</v>
      </c>
      <c r="B1016" s="1457">
        <v>71.801309437940404</v>
      </c>
      <c r="C1016" s="35" t="s">
        <v>476</v>
      </c>
      <c r="D1016" s="1452">
        <v>8.8000000000000007</v>
      </c>
      <c r="E1016" s="1456">
        <v>3.15</v>
      </c>
      <c r="F1016" s="36">
        <v>1.2608999999999999</v>
      </c>
      <c r="G1016" s="35">
        <v>0.39</v>
      </c>
      <c r="H1016" s="35">
        <v>1.79</v>
      </c>
      <c r="I1016" s="35">
        <v>0.33</v>
      </c>
      <c r="J1016" s="35">
        <v>6.39</v>
      </c>
      <c r="K1016" s="35">
        <v>0.84</v>
      </c>
      <c r="L1016" s="36">
        <v>53.952371422853673</v>
      </c>
    </row>
    <row r="1017" spans="1:29" ht="18.75" x14ac:dyDescent="0.3">
      <c r="A1017" s="37">
        <v>209118</v>
      </c>
      <c r="B1017" s="1457">
        <v>34.896171680741915</v>
      </c>
      <c r="C1017" s="35" t="s">
        <v>476</v>
      </c>
      <c r="D1017" s="1452">
        <v>9</v>
      </c>
      <c r="E1017" s="1456">
        <v>3.85</v>
      </c>
      <c r="F1017" s="36">
        <v>1.6251600000000002</v>
      </c>
      <c r="G1017" s="36">
        <v>0.53</v>
      </c>
      <c r="H1017" s="35">
        <v>2.2000000000000002</v>
      </c>
      <c r="I1017" s="35">
        <v>0.55000000000000004</v>
      </c>
      <c r="J1017" s="35">
        <v>3.21</v>
      </c>
      <c r="K1017" s="35">
        <v>0.63</v>
      </c>
      <c r="L1017" s="36">
        <v>67.120272163297969</v>
      </c>
    </row>
    <row r="1018" spans="1:29" ht="18.75" x14ac:dyDescent="0.3">
      <c r="A1018" s="37">
        <v>209119</v>
      </c>
      <c r="B1018" s="1457">
        <v>59.065896334819669</v>
      </c>
      <c r="C1018" s="35" t="s">
        <v>476</v>
      </c>
      <c r="D1018" s="1452">
        <v>9.3000000000000007</v>
      </c>
      <c r="E1018" s="1456">
        <v>2.86</v>
      </c>
      <c r="F1018" s="36">
        <v>1.8493200000000001</v>
      </c>
      <c r="G1018" s="36">
        <v>0.47</v>
      </c>
      <c r="H1018" s="35">
        <v>2.31</v>
      </c>
      <c r="I1018" s="35">
        <v>0.3</v>
      </c>
      <c r="J1018" s="35">
        <v>3.73</v>
      </c>
      <c r="K1018" s="35">
        <v>1.02</v>
      </c>
      <c r="L1018" s="36">
        <v>57.374424654792968</v>
      </c>
    </row>
    <row r="1019" spans="1:29" ht="18.75" x14ac:dyDescent="0.3">
      <c r="A1019" s="37">
        <v>209120</v>
      </c>
      <c r="B1019" s="1457">
        <v>60.531106982080289</v>
      </c>
      <c r="C1019" s="35" t="s">
        <v>476</v>
      </c>
      <c r="D1019" s="1452">
        <v>9</v>
      </c>
      <c r="E1019" s="1456">
        <v>5.92</v>
      </c>
      <c r="F1019" s="36">
        <v>2.1014999999999997</v>
      </c>
      <c r="G1019" s="36">
        <v>1.35</v>
      </c>
      <c r="H1019" s="35">
        <v>2.65</v>
      </c>
      <c r="I1019" s="35">
        <v>0.49</v>
      </c>
      <c r="J1019" s="35">
        <v>7.47</v>
      </c>
      <c r="K1019" s="35">
        <v>0.99</v>
      </c>
      <c r="L1019" s="36">
        <v>53.211927156293747</v>
      </c>
    </row>
    <row r="1020" spans="1:29" ht="18.75" x14ac:dyDescent="0.3">
      <c r="A1020" s="37">
        <v>209121</v>
      </c>
      <c r="B1020" s="1457">
        <v>48.145742293610489</v>
      </c>
      <c r="C1020" s="35" t="s">
        <v>476</v>
      </c>
      <c r="D1020" s="1452">
        <v>8.4</v>
      </c>
      <c r="E1020" s="1456">
        <v>0.42</v>
      </c>
      <c r="F1020" s="35">
        <v>0.95</v>
      </c>
      <c r="G1020" s="36">
        <v>0.19</v>
      </c>
      <c r="H1020" s="35">
        <v>0.8</v>
      </c>
      <c r="I1020" s="35">
        <v>0.08</v>
      </c>
      <c r="J1020" s="35">
        <v>3.91</v>
      </c>
      <c r="K1020" s="35">
        <v>0.53</v>
      </c>
      <c r="L1020" s="36">
        <v>69.401640984590827</v>
      </c>
    </row>
    <row r="1021" spans="1:29" ht="18.75" x14ac:dyDescent="0.3">
      <c r="A1021" s="37">
        <v>209122</v>
      </c>
      <c r="B1021" s="1457">
        <v>46.640766667004343</v>
      </c>
      <c r="C1021" s="35" t="s">
        <v>480</v>
      </c>
      <c r="D1021" s="1452">
        <v>8.1</v>
      </c>
      <c r="E1021" s="1456">
        <v>3.2</v>
      </c>
      <c r="F1021" s="35">
        <v>1.23</v>
      </c>
      <c r="G1021" s="35">
        <v>0.63</v>
      </c>
      <c r="H1021" s="35">
        <v>1.21</v>
      </c>
      <c r="I1021" s="35">
        <v>0.32</v>
      </c>
      <c r="J1021" s="35">
        <v>9.2100000000000009</v>
      </c>
      <c r="K1021" s="35">
        <v>0.91</v>
      </c>
      <c r="L1021" s="36">
        <v>47.30838503101856</v>
      </c>
    </row>
    <row r="1022" spans="1:29" x14ac:dyDescent="0.25">
      <c r="A1022" s="1455">
        <v>209123</v>
      </c>
      <c r="B1022" s="1458">
        <v>58.711791274652889</v>
      </c>
      <c r="C1022" s="980" t="s">
        <v>476</v>
      </c>
      <c r="D1022" s="980"/>
      <c r="E1022" s="980"/>
      <c r="F1022" s="980"/>
      <c r="G1022" s="980"/>
      <c r="H1022" s="980"/>
      <c r="I1022" s="980"/>
      <c r="J1022" s="980"/>
      <c r="K1022" s="980"/>
      <c r="L1022" s="1459">
        <v>56.73404042425458</v>
      </c>
    </row>
    <row r="1023" spans="1:29" ht="18.75" x14ac:dyDescent="0.3">
      <c r="A1023" s="37">
        <v>209124</v>
      </c>
      <c r="B1023" s="1457">
        <v>55.864162358718282</v>
      </c>
      <c r="C1023" s="35" t="s">
        <v>187</v>
      </c>
      <c r="D1023" s="1452">
        <v>9.1</v>
      </c>
      <c r="E1023" s="1456">
        <v>6.14</v>
      </c>
      <c r="F1023" s="35">
        <v>4.6500000000000004</v>
      </c>
      <c r="G1023" s="35">
        <v>2.34</v>
      </c>
      <c r="H1023" s="35">
        <v>3.13</v>
      </c>
      <c r="I1023" s="35">
        <v>0.26</v>
      </c>
      <c r="J1023" s="35">
        <v>2.71</v>
      </c>
      <c r="K1023" s="35">
        <v>0.88</v>
      </c>
      <c r="L1023" s="36">
        <v>80.728437062237319</v>
      </c>
    </row>
    <row r="1024" spans="1:29" x14ac:dyDescent="0.25">
      <c r="A1024" s="1255">
        <v>209125</v>
      </c>
      <c r="B1024" s="1256" t="s">
        <v>528</v>
      </c>
      <c r="C1024" s="1257"/>
      <c r="D1024" s="1257"/>
      <c r="E1024" s="1257"/>
      <c r="F1024" s="1257"/>
      <c r="G1024" s="1257"/>
      <c r="H1024" s="1257"/>
      <c r="I1024" s="1257"/>
      <c r="J1024" s="1257"/>
      <c r="K1024" s="1257"/>
      <c r="L1024" s="1257">
        <v>37.5</v>
      </c>
    </row>
    <row r="1025" spans="1:17" x14ac:dyDescent="0.25">
      <c r="A1025" s="745">
        <v>209126</v>
      </c>
      <c r="B1025" s="1460">
        <v>47</v>
      </c>
      <c r="C1025" s="747" t="s">
        <v>187</v>
      </c>
      <c r="D1025" s="747">
        <v>9.1999999999999993</v>
      </c>
      <c r="E1025" s="747">
        <v>3.45</v>
      </c>
      <c r="F1025" s="1461">
        <v>1.6531800000000001</v>
      </c>
      <c r="G1025" s="747">
        <v>0.5</v>
      </c>
      <c r="H1025" s="747">
        <v>2.25</v>
      </c>
      <c r="I1025" s="747">
        <v>0.4</v>
      </c>
      <c r="J1025" s="747">
        <v>3.98</v>
      </c>
      <c r="K1025" s="747">
        <v>0.78</v>
      </c>
      <c r="L1025" s="1461">
        <v>53.672203321993237</v>
      </c>
    </row>
    <row r="1026" spans="1:17" x14ac:dyDescent="0.25">
      <c r="A1026" s="745">
        <v>209127</v>
      </c>
      <c r="B1026" s="1460">
        <v>64.938258113867349</v>
      </c>
      <c r="C1026" s="747" t="s">
        <v>187</v>
      </c>
      <c r="D1026" s="747">
        <v>9.3000000000000007</v>
      </c>
      <c r="E1026" s="747">
        <v>4.6100000000000003</v>
      </c>
      <c r="F1026" s="1461">
        <v>1.6811999999999998</v>
      </c>
      <c r="G1026" s="747">
        <v>0.49</v>
      </c>
      <c r="H1026" s="747">
        <v>2.7</v>
      </c>
      <c r="I1026" s="747">
        <v>0.49</v>
      </c>
      <c r="J1026" s="747">
        <v>4.2</v>
      </c>
      <c r="K1026" s="747">
        <v>0.72</v>
      </c>
      <c r="L1026" s="1461">
        <v>50.690414248549011</v>
      </c>
    </row>
    <row r="1027" spans="1:17" x14ac:dyDescent="0.25">
      <c r="A1027" s="745">
        <v>209128</v>
      </c>
      <c r="B1027" s="1460">
        <v>58.515969329227801</v>
      </c>
      <c r="C1027" s="747" t="s">
        <v>187</v>
      </c>
      <c r="D1027" s="747">
        <v>8.9</v>
      </c>
      <c r="E1027" s="747">
        <v>4.55</v>
      </c>
      <c r="F1027" s="1461">
        <v>1.9333800000000001</v>
      </c>
      <c r="G1027" s="747">
        <v>0.76</v>
      </c>
      <c r="H1027" s="747">
        <v>2.4900000000000002</v>
      </c>
      <c r="I1027" s="747">
        <v>0.5</v>
      </c>
      <c r="J1027" s="747">
        <v>4.5199999999999996</v>
      </c>
      <c r="K1027" s="747">
        <v>0.95</v>
      </c>
      <c r="L1027" s="1461">
        <v>61.777066239743768</v>
      </c>
    </row>
    <row r="1028" spans="1:17" x14ac:dyDescent="0.25">
      <c r="A1028" s="745">
        <v>209129</v>
      </c>
      <c r="B1028" s="1460">
        <v>69.319718985905652</v>
      </c>
      <c r="C1028" s="747" t="s">
        <v>187</v>
      </c>
      <c r="D1028" s="747">
        <v>9.1999999999999993</v>
      </c>
      <c r="E1028" s="747">
        <v>5.65</v>
      </c>
      <c r="F1028" s="1461">
        <v>2.5217999999999998</v>
      </c>
      <c r="G1028" s="747">
        <v>2.0099999999999998</v>
      </c>
      <c r="H1028" s="747">
        <v>3.37</v>
      </c>
      <c r="I1028" s="747">
        <v>0.34</v>
      </c>
      <c r="J1028" s="747">
        <v>7.15</v>
      </c>
      <c r="K1028" s="747">
        <v>0.89</v>
      </c>
      <c r="L1028" s="1461">
        <v>60.676405843506181</v>
      </c>
    </row>
    <row r="1029" spans="1:17" x14ac:dyDescent="0.25">
      <c r="A1029" s="745">
        <v>209130</v>
      </c>
      <c r="B1029" s="746"/>
      <c r="C1029" s="747" t="s">
        <v>480</v>
      </c>
      <c r="D1029" s="747"/>
      <c r="E1029" s="747"/>
      <c r="F1029" s="747"/>
      <c r="G1029" s="747"/>
      <c r="H1029" s="747">
        <v>21.55</v>
      </c>
      <c r="I1029" s="747"/>
      <c r="J1029" s="747"/>
      <c r="K1029" s="747"/>
      <c r="L1029" s="747"/>
    </row>
    <row r="1030" spans="1:17" x14ac:dyDescent="0.25">
      <c r="A1030" s="745">
        <v>209131</v>
      </c>
      <c r="B1030" s="746"/>
      <c r="C1030" s="747" t="s">
        <v>480</v>
      </c>
      <c r="D1030" s="747"/>
      <c r="E1030" s="747"/>
      <c r="F1030" s="747"/>
      <c r="G1030" s="747"/>
      <c r="H1030" s="747"/>
      <c r="I1030" s="747"/>
      <c r="J1030" s="747"/>
      <c r="K1030" s="747"/>
      <c r="L1030" s="747"/>
      <c r="Q1030" s="35">
        <v>105445.22</v>
      </c>
    </row>
    <row r="1031" spans="1:17" x14ac:dyDescent="0.25">
      <c r="A1031" s="37">
        <v>209132</v>
      </c>
      <c r="B1031" s="526">
        <v>61.388344507478074</v>
      </c>
      <c r="C1031" s="35" t="s">
        <v>477</v>
      </c>
      <c r="D1031" s="35">
        <v>9.4</v>
      </c>
      <c r="E1031" s="35">
        <v>4.79</v>
      </c>
      <c r="F1031" s="35">
        <v>1.63</v>
      </c>
      <c r="G1031" s="35">
        <v>0.87</v>
      </c>
      <c r="H1031" s="35">
        <v>2.68</v>
      </c>
      <c r="I1031" s="35">
        <v>0.65</v>
      </c>
      <c r="J1031" s="35">
        <v>7.16</v>
      </c>
      <c r="K1031" s="35">
        <v>0.97</v>
      </c>
      <c r="L1031" s="35">
        <v>44.8</v>
      </c>
    </row>
    <row r="1032" spans="1:17" x14ac:dyDescent="0.25">
      <c r="A1032" s="962">
        <v>209133</v>
      </c>
      <c r="B1032" s="1474">
        <v>59.074582454043501</v>
      </c>
      <c r="C1032" s="964" t="s">
        <v>476</v>
      </c>
      <c r="D1032" s="964"/>
      <c r="E1032" s="964"/>
      <c r="F1032" s="964"/>
      <c r="G1032" s="964"/>
      <c r="H1032" s="964"/>
      <c r="I1032" s="964"/>
      <c r="J1032" s="964"/>
      <c r="K1032" s="964"/>
      <c r="L1032" s="964">
        <v>45.9</v>
      </c>
    </row>
    <row r="1033" spans="1:17" x14ac:dyDescent="0.25">
      <c r="A1033" s="962">
        <v>209134</v>
      </c>
      <c r="B1033" s="1474">
        <v>49.507407715759385</v>
      </c>
      <c r="C1033" s="964" t="s">
        <v>476</v>
      </c>
      <c r="D1033" s="964"/>
      <c r="E1033" s="964"/>
      <c r="F1033" s="964"/>
      <c r="G1033" s="964"/>
      <c r="H1033" s="964"/>
      <c r="I1033" s="964"/>
      <c r="J1033" s="964"/>
      <c r="K1033" s="964"/>
      <c r="L1033" s="964">
        <v>35.799999999999997</v>
      </c>
    </row>
    <row r="1034" spans="1:17" x14ac:dyDescent="0.25">
      <c r="A1034" s="37">
        <v>209135</v>
      </c>
      <c r="B1034" s="1500"/>
      <c r="C1034" s="35" t="s">
        <v>477</v>
      </c>
      <c r="F1034" s="36">
        <v>0.1401</v>
      </c>
      <c r="G1034" s="753">
        <v>0</v>
      </c>
      <c r="H1034" s="753">
        <v>0.57999999999999996</v>
      </c>
      <c r="I1034" s="753"/>
      <c r="J1034" s="753"/>
      <c r="K1034" s="753"/>
      <c r="M1034" s="753">
        <v>0.81</v>
      </c>
      <c r="N1034" s="753">
        <v>1.1000000000000001</v>
      </c>
      <c r="O1034" s="753">
        <v>0.21</v>
      </c>
      <c r="P1034" s="753">
        <v>7.66</v>
      </c>
    </row>
    <row r="1035" spans="1:17" ht="18.75" x14ac:dyDescent="0.3">
      <c r="A1035" s="1349">
        <v>209136</v>
      </c>
      <c r="B1035" s="1349">
        <v>68</v>
      </c>
      <c r="C1035" s="1351" t="s">
        <v>476</v>
      </c>
      <c r="D1035" s="1475">
        <v>9.1</v>
      </c>
      <c r="E1035" s="1475">
        <v>3.84</v>
      </c>
      <c r="F1035" s="1475">
        <v>2.0174400000000001</v>
      </c>
      <c r="G1035" s="1246">
        <v>0.94</v>
      </c>
      <c r="H1035" s="1246">
        <v>2.78</v>
      </c>
      <c r="I1035" s="1246">
        <v>0.43</v>
      </c>
      <c r="J1035" s="1246">
        <v>0.05</v>
      </c>
      <c r="K1035" s="1246">
        <v>0.91</v>
      </c>
      <c r="L1035" s="1475">
        <v>60.356213728236902</v>
      </c>
    </row>
    <row r="1036" spans="1:17" ht="18.75" x14ac:dyDescent="0.3">
      <c r="A1036" s="1349">
        <v>209137</v>
      </c>
      <c r="B1036" s="1349">
        <v>43</v>
      </c>
      <c r="C1036" s="1351" t="s">
        <v>476</v>
      </c>
      <c r="D1036" s="1475">
        <v>9.1999999999999993</v>
      </c>
      <c r="E1036" s="1475">
        <v>4.38</v>
      </c>
      <c r="F1036" s="1475">
        <v>1.8493200000000001</v>
      </c>
      <c r="G1036" s="1246">
        <v>0.43</v>
      </c>
      <c r="H1036" s="1246">
        <v>3.28</v>
      </c>
      <c r="I1036" s="1246">
        <v>0.82</v>
      </c>
      <c r="J1036" s="1246">
        <v>3.91</v>
      </c>
      <c r="K1036" s="1246">
        <v>0.98</v>
      </c>
      <c r="L1036" s="1475">
        <v>52.671602961777033</v>
      </c>
    </row>
    <row r="1037" spans="1:17" ht="18.75" x14ac:dyDescent="0.3">
      <c r="A1037" s="1349">
        <v>209138</v>
      </c>
      <c r="B1037" s="1349">
        <v>26</v>
      </c>
      <c r="C1037" s="1351" t="s">
        <v>476</v>
      </c>
      <c r="D1037" s="1475">
        <v>7.2</v>
      </c>
      <c r="E1037" s="1475">
        <v>7.79</v>
      </c>
      <c r="F1037" s="1475">
        <v>3.0541800000000001</v>
      </c>
      <c r="G1037" s="1246">
        <v>0.34</v>
      </c>
      <c r="H1037" s="1246">
        <v>3.76</v>
      </c>
      <c r="I1037" s="1246">
        <v>0.2</v>
      </c>
      <c r="J1037" s="1246">
        <v>5.19</v>
      </c>
      <c r="K1037" s="1246">
        <v>0.86</v>
      </c>
      <c r="L1037" s="1475">
        <v>57.874724834900995</v>
      </c>
    </row>
    <row r="1038" spans="1:17" ht="18.75" x14ac:dyDescent="0.3">
      <c r="A1038" s="1349">
        <v>209139</v>
      </c>
      <c r="B1038" s="1349">
        <v>16</v>
      </c>
      <c r="C1038" s="1351" t="s">
        <v>476</v>
      </c>
      <c r="D1038" s="1475">
        <v>7.4</v>
      </c>
      <c r="E1038" s="1475">
        <v>0.82199999999999995</v>
      </c>
      <c r="F1038" s="1475">
        <v>1.4570400000000001</v>
      </c>
      <c r="G1038" s="1246">
        <v>0.85</v>
      </c>
      <c r="H1038" s="1246">
        <v>0.42</v>
      </c>
      <c r="I1038" s="1246">
        <v>0.14000000000000001</v>
      </c>
      <c r="J1038" s="1246">
        <v>7.14</v>
      </c>
      <c r="K1038" s="1246">
        <v>0.51</v>
      </c>
      <c r="L1038" s="1475">
        <v>65.199119471683076</v>
      </c>
      <c r="M1038" s="1246">
        <v>142.07</v>
      </c>
      <c r="N1038" s="1246">
        <v>65.98</v>
      </c>
      <c r="O1038" s="1246">
        <v>217.67</v>
      </c>
      <c r="P1038" s="1246">
        <v>4147.4799999999996</v>
      </c>
      <c r="Q1038" s="1246">
        <v>63.15</v>
      </c>
    </row>
    <row r="1039" spans="1:17" ht="18.75" x14ac:dyDescent="0.3">
      <c r="A1039" s="1349">
        <v>209140</v>
      </c>
      <c r="B1039" s="1349">
        <v>13</v>
      </c>
      <c r="C1039" s="1351" t="s">
        <v>476</v>
      </c>
      <c r="D1039" s="1475">
        <v>7.5</v>
      </c>
      <c r="E1039" s="1475">
        <v>0.192</v>
      </c>
      <c r="F1039" s="1475">
        <v>1.2328800000000002</v>
      </c>
      <c r="G1039" s="1246">
        <v>0.75</v>
      </c>
      <c r="H1039" s="1246">
        <v>0.55000000000000004</v>
      </c>
      <c r="I1039" s="1246">
        <v>0.18</v>
      </c>
      <c r="J1039" s="1246">
        <v>4.63</v>
      </c>
      <c r="K1039" s="1246">
        <v>0.49</v>
      </c>
      <c r="L1039" s="1475">
        <v>69.841905143085896</v>
      </c>
      <c r="M1039" s="1246">
        <v>635.94000000000005</v>
      </c>
      <c r="N1039" s="1246">
        <v>96.42</v>
      </c>
      <c r="O1039" s="1246">
        <v>1541.14</v>
      </c>
      <c r="P1039" s="1246">
        <v>4470.43</v>
      </c>
      <c r="Q1039" s="1246">
        <v>39.520000000000003</v>
      </c>
    </row>
    <row r="1040" spans="1:17" x14ac:dyDescent="0.25">
      <c r="A1040" s="37">
        <v>209141</v>
      </c>
      <c r="B1040" s="34">
        <v>61</v>
      </c>
      <c r="C1040" s="35" t="s">
        <v>476</v>
      </c>
      <c r="D1040" s="35">
        <v>9.6999999999999993</v>
      </c>
      <c r="E1040" s="35">
        <v>4.74</v>
      </c>
      <c r="F1040" s="35">
        <v>1.57</v>
      </c>
      <c r="G1040" s="35">
        <v>0.81</v>
      </c>
      <c r="H1040" s="35">
        <v>3.07</v>
      </c>
      <c r="I1040" s="35">
        <v>0.73</v>
      </c>
      <c r="J1040" s="35">
        <v>6.15</v>
      </c>
      <c r="K1040" s="35">
        <v>0.93</v>
      </c>
      <c r="L1040" s="35">
        <v>39.700000000000003</v>
      </c>
    </row>
    <row r="1041" spans="1:17" x14ac:dyDescent="0.25">
      <c r="A1041" s="1353">
        <v>209142</v>
      </c>
      <c r="B1041" s="1354">
        <v>46</v>
      </c>
      <c r="C1041" s="1355" t="s">
        <v>476</v>
      </c>
      <c r="D1041" s="1355">
        <v>8</v>
      </c>
      <c r="E1041" s="1355">
        <v>1.68</v>
      </c>
      <c r="F1041" s="1355">
        <v>3.11</v>
      </c>
      <c r="G1041" s="1147">
        <v>1.0309999999999999</v>
      </c>
      <c r="H1041" s="1147">
        <v>1.3</v>
      </c>
      <c r="I1041" s="1147">
        <v>6.2E-2</v>
      </c>
      <c r="J1041" s="1147">
        <v>2.984</v>
      </c>
      <c r="K1041" s="1147">
        <v>0.61199999999999999</v>
      </c>
      <c r="L1041" s="1355">
        <v>63.3</v>
      </c>
      <c r="M1041" s="1355"/>
      <c r="N1041" s="1355"/>
      <c r="O1041" s="1355"/>
      <c r="P1041" s="1355"/>
    </row>
    <row r="1042" spans="1:17" x14ac:dyDescent="0.25">
      <c r="A1042" s="1353">
        <v>209143</v>
      </c>
      <c r="B1042" s="1481">
        <v>6</v>
      </c>
      <c r="C1042" s="1355" t="s">
        <v>477</v>
      </c>
      <c r="D1042" s="1355">
        <v>9.4</v>
      </c>
      <c r="E1042" s="1355">
        <v>101.3</v>
      </c>
      <c r="F1042" s="1480">
        <v>10.54</v>
      </c>
      <c r="G1042" s="1147">
        <v>8.0000000000000002E-3</v>
      </c>
      <c r="H1042" s="1147">
        <v>0.34</v>
      </c>
      <c r="I1042" s="1147">
        <v>0.14599999999999999</v>
      </c>
      <c r="J1042" s="1147">
        <v>1.4E-2</v>
      </c>
      <c r="K1042" s="1147">
        <v>2E-3</v>
      </c>
      <c r="L1042" s="1482">
        <v>77.8</v>
      </c>
      <c r="M1042" s="1147">
        <v>7.19</v>
      </c>
      <c r="N1042" s="1147">
        <v>1E-3</v>
      </c>
      <c r="O1042" s="1147">
        <v>0.26</v>
      </c>
      <c r="P1042" s="1147" t="s">
        <v>565</v>
      </c>
      <c r="Q1042" s="1501"/>
    </row>
    <row r="1043" spans="1:17" x14ac:dyDescent="0.25">
      <c r="A1043" s="1353">
        <v>209144</v>
      </c>
      <c r="B1043" s="1481">
        <v>1</v>
      </c>
      <c r="C1043" s="1355" t="s">
        <v>477</v>
      </c>
      <c r="D1043" s="1355">
        <v>8.4</v>
      </c>
      <c r="E1043" s="1355">
        <v>9.07</v>
      </c>
      <c r="F1043" s="1480">
        <v>0</v>
      </c>
      <c r="G1043" s="1147">
        <v>8.0000000000000002E-3</v>
      </c>
      <c r="H1043" s="1147">
        <v>0.19</v>
      </c>
      <c r="I1043" s="1147">
        <v>6.9000000000000006E-2</v>
      </c>
      <c r="J1043" s="1147">
        <v>2.5000000000000001E-2</v>
      </c>
      <c r="K1043" s="1147">
        <v>1.2999999999999999E-2</v>
      </c>
      <c r="L1043" s="1482">
        <v>22.4</v>
      </c>
      <c r="M1043" s="1147">
        <v>2.81</v>
      </c>
      <c r="N1043" s="1147">
        <v>1E-3</v>
      </c>
      <c r="O1043" s="1147">
        <v>1.08</v>
      </c>
      <c r="P1043" s="1147">
        <v>23.94</v>
      </c>
      <c r="Q1043" s="1501"/>
    </row>
    <row r="1044" spans="1:17" x14ac:dyDescent="0.25">
      <c r="A1044" s="1353">
        <v>209145</v>
      </c>
      <c r="B1044" s="1481">
        <v>1</v>
      </c>
      <c r="C1044" s="1355" t="s">
        <v>477</v>
      </c>
      <c r="D1044" s="1355">
        <v>8</v>
      </c>
      <c r="E1044" s="1355">
        <v>13.84</v>
      </c>
      <c r="F1044" s="1480">
        <v>2.802E-2</v>
      </c>
      <c r="G1044" s="1147">
        <v>0.01</v>
      </c>
      <c r="H1044" s="1147">
        <v>0.3</v>
      </c>
      <c r="I1044" s="1147">
        <v>8.8999999999999996E-2</v>
      </c>
      <c r="J1044" s="1147">
        <v>2.8000000000000001E-2</v>
      </c>
      <c r="K1044" s="1147">
        <v>2.1000000000000001E-2</v>
      </c>
      <c r="L1044" s="1482">
        <v>24.2</v>
      </c>
      <c r="M1044" s="1147">
        <v>1.65</v>
      </c>
      <c r="N1044" s="1147">
        <v>0.09</v>
      </c>
      <c r="O1044" s="1147">
        <v>0.72</v>
      </c>
      <c r="P1044" s="1147">
        <v>10.34</v>
      </c>
      <c r="Q1044" s="1501"/>
    </row>
    <row r="1045" spans="1:17" ht="15" customHeight="1" x14ac:dyDescent="0.25">
      <c r="A1045" s="37">
        <v>209146</v>
      </c>
      <c r="B1045" s="34">
        <v>89</v>
      </c>
      <c r="C1045" s="35" t="s">
        <v>476</v>
      </c>
      <c r="D1045" s="35">
        <v>9.26</v>
      </c>
      <c r="E1045" s="35">
        <v>0.34200000000000003</v>
      </c>
      <c r="F1045" s="35">
        <v>0.81</v>
      </c>
      <c r="G1045" s="795">
        <v>0.104</v>
      </c>
      <c r="H1045" s="795">
        <v>0.9</v>
      </c>
      <c r="I1045" s="795">
        <v>0.04</v>
      </c>
      <c r="J1045" s="795">
        <v>3.88</v>
      </c>
      <c r="K1045" s="795">
        <v>0.54</v>
      </c>
      <c r="L1045" s="35">
        <v>68.099999999999994</v>
      </c>
      <c r="Q1045" s="1501" t="s">
        <v>566</v>
      </c>
    </row>
    <row r="1046" spans="1:17" x14ac:dyDescent="0.25">
      <c r="A1046" s="37">
        <v>209147</v>
      </c>
      <c r="B1046" s="34">
        <v>55</v>
      </c>
      <c r="C1046" s="35" t="s">
        <v>476</v>
      </c>
      <c r="D1046" s="35">
        <v>9.1300000000000008</v>
      </c>
      <c r="E1046" s="35">
        <v>0.69199999999999995</v>
      </c>
      <c r="F1046" s="35">
        <v>0.9</v>
      </c>
      <c r="G1046" s="795">
        <v>0.20799999999999999</v>
      </c>
      <c r="H1046" s="795">
        <v>0.92</v>
      </c>
      <c r="I1046" s="795">
        <v>0.11</v>
      </c>
      <c r="J1046" s="795">
        <v>4.76</v>
      </c>
      <c r="K1046" s="795">
        <v>0.56000000000000005</v>
      </c>
      <c r="L1046" s="35">
        <v>63.7</v>
      </c>
      <c r="Q1046" s="1501"/>
    </row>
    <row r="1047" spans="1:17" x14ac:dyDescent="0.25">
      <c r="A1047" s="37">
        <v>209148</v>
      </c>
      <c r="B1047" s="34">
        <v>25</v>
      </c>
      <c r="C1047" s="35" t="s">
        <v>477</v>
      </c>
      <c r="D1047" s="35">
        <v>7.34</v>
      </c>
      <c r="E1047" s="35">
        <v>8.58</v>
      </c>
      <c r="F1047" s="35">
        <v>2.33</v>
      </c>
      <c r="G1047" s="795">
        <v>0.20499999999999999</v>
      </c>
      <c r="H1047" s="795">
        <v>3.9</v>
      </c>
      <c r="I1047" s="795">
        <v>0.2</v>
      </c>
      <c r="J1047" s="795">
        <v>6.4</v>
      </c>
      <c r="K1047" s="795">
        <v>0.92</v>
      </c>
      <c r="L1047" s="35">
        <v>44.5</v>
      </c>
      <c r="Q1047" s="1501"/>
    </row>
    <row r="1048" spans="1:17" x14ac:dyDescent="0.25">
      <c r="A1048" s="37">
        <v>209149</v>
      </c>
      <c r="B1048" s="34">
        <v>56</v>
      </c>
      <c r="C1048" s="35" t="s">
        <v>476</v>
      </c>
      <c r="D1048" s="35">
        <v>9.1</v>
      </c>
      <c r="E1048" s="35">
        <v>3.7999999999999999E-2</v>
      </c>
      <c r="F1048" s="35">
        <v>0.95</v>
      </c>
      <c r="G1048" s="795">
        <v>0.187</v>
      </c>
      <c r="H1048" s="795">
        <v>0.4</v>
      </c>
      <c r="I1048" s="795">
        <v>0.02</v>
      </c>
      <c r="J1048" s="795">
        <v>1.25</v>
      </c>
      <c r="K1048" s="795">
        <v>1</v>
      </c>
      <c r="L1048" s="35">
        <v>33.5</v>
      </c>
    </row>
    <row r="1049" spans="1:17" x14ac:dyDescent="0.25">
      <c r="A1049" s="37">
        <v>209150</v>
      </c>
      <c r="B1049" s="34">
        <v>69</v>
      </c>
      <c r="C1049" s="35" t="s">
        <v>476</v>
      </c>
      <c r="D1049" s="35">
        <v>9.34</v>
      </c>
      <c r="E1049" s="35">
        <v>5.68</v>
      </c>
      <c r="F1049" s="35">
        <v>1.63</v>
      </c>
      <c r="G1049" s="795">
        <v>0.75</v>
      </c>
      <c r="H1049" s="795">
        <v>2.81</v>
      </c>
      <c r="I1049" s="795">
        <v>0.66</v>
      </c>
      <c r="J1049" s="795">
        <v>6.13</v>
      </c>
      <c r="K1049" s="795">
        <v>1.0900000000000001</v>
      </c>
      <c r="L1049" s="35">
        <v>43</v>
      </c>
    </row>
    <row r="1050" spans="1:17" x14ac:dyDescent="0.25">
      <c r="A1050" s="962">
        <v>209151</v>
      </c>
      <c r="B1050" s="963"/>
      <c r="C1050" s="964" t="s">
        <v>480</v>
      </c>
      <c r="D1050" s="964">
        <v>8.4</v>
      </c>
      <c r="E1050" s="964">
        <v>14.46</v>
      </c>
      <c r="F1050" s="964"/>
      <c r="G1050" s="964"/>
      <c r="H1050" s="964"/>
      <c r="I1050" s="964"/>
      <c r="J1050" s="964"/>
      <c r="K1050" s="964"/>
      <c r="L1050" s="964"/>
    </row>
    <row r="1051" spans="1:17" x14ac:dyDescent="0.25">
      <c r="A1051" s="37">
        <v>209152</v>
      </c>
      <c r="B1051" s="34">
        <v>53</v>
      </c>
      <c r="C1051" s="35" t="s">
        <v>476</v>
      </c>
      <c r="D1051" s="35">
        <v>9.0299999999999994</v>
      </c>
      <c r="E1051" s="35">
        <v>2.673</v>
      </c>
      <c r="F1051" s="36">
        <v>1.7372400000000001</v>
      </c>
      <c r="G1051" s="795">
        <v>0.81</v>
      </c>
      <c r="H1051" s="795">
        <v>2.93</v>
      </c>
      <c r="I1051" s="795">
        <v>0.43</v>
      </c>
      <c r="J1051" s="795">
        <v>4.3</v>
      </c>
      <c r="K1051" s="795">
        <v>0.79</v>
      </c>
      <c r="L1051" s="35">
        <v>62.5</v>
      </c>
    </row>
    <row r="1052" spans="1:17" x14ac:dyDescent="0.25">
      <c r="A1052" s="37">
        <v>209153</v>
      </c>
      <c r="B1052" s="34">
        <v>57</v>
      </c>
      <c r="C1052" s="35" t="s">
        <v>476</v>
      </c>
      <c r="D1052" s="35">
        <v>9.14</v>
      </c>
      <c r="E1052" s="35">
        <v>4.05</v>
      </c>
      <c r="F1052" s="36">
        <v>1.5691200000000003</v>
      </c>
      <c r="G1052" s="795">
        <v>0.67</v>
      </c>
      <c r="H1052" s="795">
        <v>2.48</v>
      </c>
      <c r="I1052" s="795">
        <v>0.5</v>
      </c>
      <c r="J1052" s="795">
        <v>7.21</v>
      </c>
      <c r="K1052" s="795">
        <v>1.43</v>
      </c>
      <c r="L1052" s="35">
        <v>41.1</v>
      </c>
    </row>
    <row r="1053" spans="1:17" x14ac:dyDescent="0.25">
      <c r="A1053" s="37">
        <v>209154</v>
      </c>
      <c r="B1053" s="34">
        <v>33</v>
      </c>
      <c r="C1053" s="35" t="s">
        <v>476</v>
      </c>
      <c r="D1053" s="35">
        <v>8.6</v>
      </c>
      <c r="E1053" s="35">
        <v>2.323</v>
      </c>
      <c r="F1053" s="36">
        <v>1.9333800000000001</v>
      </c>
      <c r="G1053" s="795">
        <v>0.65</v>
      </c>
      <c r="H1053" s="795">
        <v>2.44</v>
      </c>
      <c r="I1053" s="795">
        <v>0.59</v>
      </c>
      <c r="J1053" s="795">
        <v>4.47</v>
      </c>
      <c r="K1053" s="795">
        <v>0.99</v>
      </c>
      <c r="L1053" s="35">
        <v>55.3</v>
      </c>
    </row>
    <row r="1054" spans="1:17" x14ac:dyDescent="0.25">
      <c r="A1054" s="37">
        <v>209155</v>
      </c>
      <c r="B1054" s="34">
        <v>24</v>
      </c>
      <c r="C1054" s="35" t="s">
        <v>476</v>
      </c>
      <c r="D1054" s="35">
        <v>8.66</v>
      </c>
      <c r="E1054" s="35">
        <v>1.647</v>
      </c>
      <c r="F1054" s="36">
        <v>1.48506</v>
      </c>
      <c r="G1054" s="795">
        <v>0.43</v>
      </c>
      <c r="H1054" s="795">
        <v>1.6</v>
      </c>
      <c r="I1054" s="795">
        <v>0.39</v>
      </c>
      <c r="J1054" s="795">
        <v>3.01</v>
      </c>
      <c r="K1054" s="795">
        <v>0.57999999999999996</v>
      </c>
      <c r="L1054" s="35">
        <v>73.599999999999994</v>
      </c>
    </row>
    <row r="1055" spans="1:17" x14ac:dyDescent="0.25">
      <c r="A1055" s="37">
        <v>209156</v>
      </c>
      <c r="B1055" s="34">
        <v>48</v>
      </c>
      <c r="C1055" s="35" t="s">
        <v>476</v>
      </c>
      <c r="D1055" s="35">
        <v>8.92</v>
      </c>
      <c r="E1055" s="35">
        <v>4.91</v>
      </c>
      <c r="F1055" s="36">
        <v>1.79328</v>
      </c>
      <c r="G1055" s="795">
        <v>1.1499999999999999</v>
      </c>
      <c r="H1055" s="795">
        <v>2.2200000000000002</v>
      </c>
      <c r="I1055" s="795">
        <v>0.49</v>
      </c>
      <c r="J1055" s="795">
        <v>8.4499999999999993</v>
      </c>
      <c r="K1055" s="795">
        <v>1.69</v>
      </c>
      <c r="L1055" s="35">
        <v>43.1</v>
      </c>
    </row>
    <row r="1056" spans="1:17" x14ac:dyDescent="0.25">
      <c r="A1056" s="37">
        <v>209157</v>
      </c>
      <c r="B1056" s="34">
        <v>51</v>
      </c>
      <c r="C1056" s="35" t="s">
        <v>476</v>
      </c>
      <c r="D1056" s="35">
        <v>9.0500000000000007</v>
      </c>
      <c r="E1056" s="35">
        <v>3.2</v>
      </c>
      <c r="F1056" s="36">
        <v>1.401</v>
      </c>
      <c r="G1056" s="35">
        <v>0.69</v>
      </c>
      <c r="H1056" s="35">
        <v>1.88</v>
      </c>
      <c r="I1056" s="35">
        <v>0.34</v>
      </c>
      <c r="J1056" s="35">
        <v>6.97</v>
      </c>
      <c r="K1056" s="35">
        <v>1.63</v>
      </c>
      <c r="L1056" s="35">
        <v>49.5</v>
      </c>
    </row>
    <row r="1057" spans="1:12" x14ac:dyDescent="0.25">
      <c r="A1057" s="37">
        <v>209158</v>
      </c>
      <c r="B1057" s="34">
        <v>40</v>
      </c>
      <c r="C1057" s="35" t="s">
        <v>476</v>
      </c>
      <c r="D1057" s="35">
        <v>7.3</v>
      </c>
      <c r="E1057" s="35">
        <v>4.18</v>
      </c>
      <c r="F1057" s="36">
        <v>1.3449600000000002</v>
      </c>
      <c r="G1057" s="35">
        <v>0.24</v>
      </c>
      <c r="H1057" s="35">
        <v>2.68</v>
      </c>
      <c r="I1057" s="35">
        <v>0.28000000000000003</v>
      </c>
      <c r="J1057" s="35">
        <v>4.8499999999999996</v>
      </c>
      <c r="K1057" s="35">
        <v>0.56000000000000005</v>
      </c>
      <c r="L1057" s="35">
        <v>50.6</v>
      </c>
    </row>
    <row r="1058" spans="1:12" x14ac:dyDescent="0.25">
      <c r="A1058" s="37">
        <v>209159</v>
      </c>
      <c r="B1058" s="34">
        <v>55</v>
      </c>
      <c r="C1058" s="35" t="s">
        <v>476</v>
      </c>
      <c r="L1058" s="35">
        <v>32.6</v>
      </c>
    </row>
    <row r="1059" spans="1:12" x14ac:dyDescent="0.25">
      <c r="A1059" s="962">
        <v>209160</v>
      </c>
      <c r="B1059" s="963">
        <v>65</v>
      </c>
      <c r="C1059" s="964" t="s">
        <v>476</v>
      </c>
      <c r="D1059" s="964">
        <v>8.1999999999999993</v>
      </c>
      <c r="E1059" s="964">
        <v>0.74199999999999999</v>
      </c>
      <c r="F1059" s="964"/>
      <c r="G1059" s="964"/>
      <c r="H1059" s="964"/>
      <c r="I1059" s="964"/>
      <c r="J1059" s="964"/>
      <c r="K1059" s="964"/>
      <c r="L1059" s="964"/>
    </row>
    <row r="1060" spans="1:12" x14ac:dyDescent="0.25">
      <c r="A1060" s="962">
        <v>209161</v>
      </c>
      <c r="B1060" s="963">
        <v>66</v>
      </c>
      <c r="C1060" s="964" t="s">
        <v>476</v>
      </c>
      <c r="D1060" s="964"/>
      <c r="E1060" s="964"/>
      <c r="F1060" s="964"/>
      <c r="G1060" s="964"/>
      <c r="H1060" s="964"/>
      <c r="I1060" s="964"/>
      <c r="J1060" s="964"/>
      <c r="K1060" s="964"/>
      <c r="L1060" s="964">
        <v>37</v>
      </c>
    </row>
    <row r="1061" spans="1:12" x14ac:dyDescent="0.25">
      <c r="A1061" s="962">
        <v>209162</v>
      </c>
      <c r="B1061" s="963">
        <v>91</v>
      </c>
      <c r="C1061" s="964" t="s">
        <v>476</v>
      </c>
      <c r="D1061" s="964"/>
      <c r="E1061" s="964"/>
      <c r="F1061" s="964">
        <v>5.58</v>
      </c>
      <c r="G1061" s="964"/>
      <c r="H1061" s="964"/>
      <c r="I1061" s="964"/>
      <c r="J1061" s="964"/>
      <c r="K1061" s="964"/>
      <c r="L1061" s="964"/>
    </row>
    <row r="1062" spans="1:12" x14ac:dyDescent="0.25">
      <c r="A1062" s="1086">
        <v>209163</v>
      </c>
      <c r="B1062" s="1307">
        <v>46</v>
      </c>
      <c r="C1062" s="1087" t="s">
        <v>476</v>
      </c>
      <c r="D1062" s="1087">
        <v>9.2899999999999991</v>
      </c>
      <c r="E1062" s="1087">
        <v>4.1100000000000003</v>
      </c>
      <c r="F1062" s="1087">
        <v>1.51</v>
      </c>
      <c r="G1062" s="1087">
        <v>0.48</v>
      </c>
      <c r="H1062" s="1087">
        <v>2.81</v>
      </c>
      <c r="I1062" s="1087">
        <v>0.46200000000000002</v>
      </c>
      <c r="J1062" s="1087">
        <v>2.78</v>
      </c>
      <c r="K1062" s="1087">
        <v>0.79</v>
      </c>
      <c r="L1062" s="1087">
        <v>53.3</v>
      </c>
    </row>
    <row r="1063" spans="1:12" x14ac:dyDescent="0.25">
      <c r="A1063" s="962">
        <v>209164</v>
      </c>
      <c r="B1063" s="963">
        <v>69</v>
      </c>
      <c r="C1063" s="964" t="s">
        <v>476</v>
      </c>
      <c r="D1063" s="964"/>
      <c r="E1063" s="964"/>
      <c r="F1063" s="964"/>
      <c r="G1063" s="964"/>
      <c r="H1063" s="964"/>
      <c r="I1063" s="964"/>
      <c r="J1063" s="964"/>
      <c r="K1063" s="964"/>
      <c r="L1063" s="964">
        <v>73.7</v>
      </c>
    </row>
    <row r="1064" spans="1:12" x14ac:dyDescent="0.25">
      <c r="A1064" s="962">
        <v>209165</v>
      </c>
      <c r="B1064" s="963">
        <v>56</v>
      </c>
      <c r="C1064" s="964" t="s">
        <v>476</v>
      </c>
      <c r="D1064" s="964"/>
      <c r="E1064" s="964"/>
      <c r="F1064" s="964"/>
      <c r="G1064" s="964"/>
      <c r="H1064" s="964"/>
      <c r="I1064" s="964"/>
      <c r="J1064" s="964"/>
      <c r="K1064" s="964"/>
      <c r="L1064" s="964">
        <v>41.6</v>
      </c>
    </row>
    <row r="1065" spans="1:12" x14ac:dyDescent="0.25">
      <c r="A1065" s="1086">
        <v>209166</v>
      </c>
      <c r="B1065" s="1307">
        <v>55</v>
      </c>
      <c r="C1065" s="1087" t="s">
        <v>476</v>
      </c>
      <c r="D1065" s="1087">
        <v>8.24</v>
      </c>
      <c r="E1065" s="1087">
        <v>5.82</v>
      </c>
      <c r="F1065" s="1087">
        <v>1.0900000000000001</v>
      </c>
      <c r="G1065" s="1087">
        <v>0.31</v>
      </c>
      <c r="H1065" s="1087">
        <v>2.08</v>
      </c>
      <c r="I1065" s="1087">
        <v>0.27800000000000002</v>
      </c>
      <c r="J1065" s="1087">
        <v>6.79</v>
      </c>
      <c r="K1065" s="1087">
        <v>0.96</v>
      </c>
      <c r="L1065" s="1087">
        <v>40.6</v>
      </c>
    </row>
    <row r="1066" spans="1:12" x14ac:dyDescent="0.25">
      <c r="A1066" s="37">
        <v>209167</v>
      </c>
    </row>
    <row r="1067" spans="1:12" x14ac:dyDescent="0.25">
      <c r="A1067" s="962">
        <v>209168</v>
      </c>
      <c r="B1067" s="963">
        <v>65.17</v>
      </c>
      <c r="C1067" s="964" t="s">
        <v>476</v>
      </c>
      <c r="D1067" s="964"/>
      <c r="E1067" s="964"/>
      <c r="F1067" s="964"/>
      <c r="G1067" s="964"/>
      <c r="H1067" s="964"/>
      <c r="I1067" s="964"/>
      <c r="J1067" s="964"/>
      <c r="K1067" s="964"/>
      <c r="L1067" s="964">
        <v>41.2</v>
      </c>
    </row>
    <row r="1068" spans="1:12" x14ac:dyDescent="0.25">
      <c r="A1068" s="962">
        <v>209169</v>
      </c>
      <c r="B1068" s="963">
        <v>65.2</v>
      </c>
      <c r="C1068" s="964" t="s">
        <v>476</v>
      </c>
      <c r="D1068" s="964"/>
      <c r="E1068" s="964"/>
      <c r="F1068" s="964"/>
      <c r="G1068" s="964"/>
      <c r="H1068" s="964"/>
      <c r="I1068" s="964"/>
      <c r="J1068" s="964"/>
      <c r="K1068" s="964"/>
      <c r="L1068" s="964">
        <v>41.8</v>
      </c>
    </row>
    <row r="1069" spans="1:12" s="747" customFormat="1" x14ac:dyDescent="0.25">
      <c r="A1069" s="745">
        <v>209170</v>
      </c>
      <c r="B1069" s="746">
        <v>82</v>
      </c>
      <c r="C1069" s="747" t="s">
        <v>187</v>
      </c>
      <c r="D1069" s="747">
        <v>7.42</v>
      </c>
      <c r="E1069" s="747">
        <v>8.2200000000000006</v>
      </c>
      <c r="F1069" s="747">
        <v>2.77</v>
      </c>
      <c r="G1069" s="747">
        <v>1.69</v>
      </c>
      <c r="H1069" s="747">
        <v>2.5299999999999998</v>
      </c>
      <c r="I1069" s="747">
        <v>0.49</v>
      </c>
      <c r="J1069" s="747">
        <v>9.0299999999999994</v>
      </c>
      <c r="K1069" s="747">
        <v>0.92</v>
      </c>
      <c r="L1069" s="747">
        <v>54.5</v>
      </c>
    </row>
    <row r="1070" spans="1:12" s="747" customFormat="1" x14ac:dyDescent="0.25">
      <c r="A1070" s="745">
        <v>209171</v>
      </c>
      <c r="B1070" s="746">
        <v>59</v>
      </c>
      <c r="C1070" s="747" t="s">
        <v>187</v>
      </c>
      <c r="D1070" s="747">
        <v>8.6999999999999993</v>
      </c>
      <c r="E1070" s="747">
        <v>3.76</v>
      </c>
      <c r="F1070" s="747">
        <v>2.19</v>
      </c>
      <c r="G1070" s="747">
        <v>1.07</v>
      </c>
      <c r="H1070" s="747">
        <v>2.87</v>
      </c>
      <c r="I1070" s="747">
        <v>0.52</v>
      </c>
      <c r="J1070" s="747">
        <v>4.21</v>
      </c>
      <c r="K1070" s="747">
        <v>0.86</v>
      </c>
      <c r="L1070" s="747">
        <v>67.900000000000006</v>
      </c>
    </row>
    <row r="1071" spans="1:12" s="747" customFormat="1" x14ac:dyDescent="0.25">
      <c r="A1071" s="745">
        <v>209172</v>
      </c>
      <c r="B1071" s="746">
        <v>80</v>
      </c>
      <c r="C1071" s="747" t="s">
        <v>187</v>
      </c>
      <c r="D1071" s="747">
        <v>8.64</v>
      </c>
      <c r="E1071" s="747">
        <v>7.05</v>
      </c>
      <c r="F1071" s="747">
        <v>1.49</v>
      </c>
      <c r="G1071" s="747">
        <v>3.48</v>
      </c>
      <c r="H1071" s="747">
        <v>2.2599999999999998</v>
      </c>
      <c r="I1071" s="747">
        <v>0.88</v>
      </c>
      <c r="J1071" s="747">
        <v>14.55</v>
      </c>
      <c r="K1071" s="747">
        <v>1.07</v>
      </c>
      <c r="L1071" s="747">
        <v>40</v>
      </c>
    </row>
    <row r="1072" spans="1:12" s="747" customFormat="1" x14ac:dyDescent="0.25">
      <c r="A1072" s="745">
        <v>209173</v>
      </c>
      <c r="B1072" s="746">
        <v>49</v>
      </c>
      <c r="C1072" s="747" t="s">
        <v>187</v>
      </c>
      <c r="D1072" s="747">
        <v>8.56</v>
      </c>
      <c r="E1072" s="747">
        <v>2.98</v>
      </c>
      <c r="F1072" s="747">
        <v>1.54</v>
      </c>
      <c r="G1072" s="747">
        <v>0.41</v>
      </c>
      <c r="H1072" s="747">
        <v>1.73</v>
      </c>
      <c r="I1072" s="747">
        <v>0.37</v>
      </c>
      <c r="J1072" s="747">
        <v>3.38</v>
      </c>
      <c r="K1072" s="747">
        <v>0.9</v>
      </c>
      <c r="L1072" s="747">
        <v>67</v>
      </c>
    </row>
    <row r="1073" spans="1:16" x14ac:dyDescent="0.25">
      <c r="A1073" s="962">
        <v>209174</v>
      </c>
      <c r="B1073" s="963">
        <v>63</v>
      </c>
      <c r="C1073" s="964" t="s">
        <v>187</v>
      </c>
      <c r="D1073" s="964"/>
      <c r="E1073" s="964"/>
      <c r="F1073" s="964"/>
      <c r="G1073" s="964"/>
      <c r="H1073" s="964"/>
      <c r="I1073" s="964"/>
      <c r="J1073" s="964"/>
      <c r="K1073" s="964"/>
      <c r="L1073" s="964">
        <v>44.5</v>
      </c>
    </row>
    <row r="1074" spans="1:16" x14ac:dyDescent="0.25">
      <c r="A1074" s="962">
        <v>209175</v>
      </c>
      <c r="B1074" s="963">
        <v>63</v>
      </c>
      <c r="C1074" s="964" t="s">
        <v>187</v>
      </c>
      <c r="D1074" s="964"/>
      <c r="E1074" s="964"/>
      <c r="F1074" s="964"/>
      <c r="G1074" s="964"/>
      <c r="H1074" s="964"/>
      <c r="I1074" s="964"/>
      <c r="J1074" s="964"/>
      <c r="K1074" s="964"/>
      <c r="L1074" s="964">
        <v>46</v>
      </c>
    </row>
    <row r="1075" spans="1:16" x14ac:dyDescent="0.25">
      <c r="A1075" s="962">
        <v>209180</v>
      </c>
      <c r="B1075" s="963">
        <v>57</v>
      </c>
      <c r="C1075" s="964" t="s">
        <v>480</v>
      </c>
      <c r="D1075" s="964"/>
      <c r="E1075" s="964"/>
      <c r="F1075" s="964"/>
      <c r="G1075" s="964"/>
      <c r="H1075" s="964"/>
      <c r="I1075" s="964"/>
      <c r="J1075" s="964"/>
      <c r="K1075" s="964"/>
      <c r="L1075" s="964">
        <v>81.3</v>
      </c>
    </row>
    <row r="1076" spans="1:16" x14ac:dyDescent="0.25">
      <c r="A1076" s="982">
        <v>209181</v>
      </c>
      <c r="B1076" s="983">
        <v>56</v>
      </c>
      <c r="C1076" s="984" t="s">
        <v>187</v>
      </c>
      <c r="D1076" s="984">
        <v>9.44</v>
      </c>
      <c r="E1076" s="984">
        <v>4.66</v>
      </c>
      <c r="F1076" s="984">
        <v>1.57</v>
      </c>
      <c r="G1076" s="984">
        <v>0.73</v>
      </c>
      <c r="H1076" s="984">
        <v>2.61</v>
      </c>
      <c r="I1076" s="984">
        <v>0.59</v>
      </c>
      <c r="J1076" s="984">
        <v>7.31</v>
      </c>
      <c r="K1076" s="984">
        <v>1.38</v>
      </c>
      <c r="L1076" s="984">
        <v>44.3</v>
      </c>
    </row>
    <row r="1077" spans="1:16" x14ac:dyDescent="0.25">
      <c r="A1077" s="1631">
        <v>209182</v>
      </c>
      <c r="B1077" s="1632">
        <v>55</v>
      </c>
      <c r="C1077" s="1633" t="s">
        <v>476</v>
      </c>
      <c r="D1077" s="1633">
        <v>9.43</v>
      </c>
      <c r="E1077" s="1633">
        <v>3.96</v>
      </c>
      <c r="F1077" s="1633">
        <v>1.6</v>
      </c>
      <c r="G1077" s="1634">
        <v>0.74</v>
      </c>
      <c r="H1077" s="1634">
        <v>2.57</v>
      </c>
      <c r="I1077" s="1634">
        <v>0.56999999999999995</v>
      </c>
      <c r="J1077" s="1634">
        <v>6.85</v>
      </c>
      <c r="K1077" s="1634">
        <v>0.96</v>
      </c>
      <c r="L1077" s="1633">
        <v>44.3</v>
      </c>
    </row>
    <row r="1078" spans="1:16" x14ac:dyDescent="0.25">
      <c r="A1078" s="1631">
        <v>209183</v>
      </c>
      <c r="B1078" s="1632">
        <v>69</v>
      </c>
      <c r="C1078" s="1633" t="s">
        <v>476</v>
      </c>
      <c r="D1078" s="1633">
        <v>9.2899999999999991</v>
      </c>
      <c r="E1078" s="1633">
        <v>2.33</v>
      </c>
      <c r="F1078" s="1633">
        <v>1.37</v>
      </c>
      <c r="G1078" s="1634">
        <v>1.026</v>
      </c>
      <c r="H1078" s="1634">
        <v>2</v>
      </c>
      <c r="I1078" s="1634">
        <v>0.3</v>
      </c>
      <c r="J1078" s="1634">
        <v>8.41</v>
      </c>
      <c r="K1078" s="1634">
        <v>0.91</v>
      </c>
      <c r="L1078" s="1633">
        <v>37.6</v>
      </c>
    </row>
    <row r="1079" spans="1:16" x14ac:dyDescent="0.25">
      <c r="A1079" s="1631">
        <v>209184</v>
      </c>
      <c r="B1079" s="1632">
        <v>42</v>
      </c>
      <c r="C1079" s="1633" t="s">
        <v>476</v>
      </c>
      <c r="D1079" s="1633">
        <v>8.64</v>
      </c>
      <c r="E1079" s="1633">
        <v>5.18</v>
      </c>
      <c r="F1079" s="1633">
        <v>1.32</v>
      </c>
      <c r="G1079" s="1634">
        <v>0.27600000000000002</v>
      </c>
      <c r="H1079" s="1634">
        <v>2.23</v>
      </c>
      <c r="I1079" s="1634">
        <v>0.25</v>
      </c>
      <c r="J1079" s="1634">
        <v>7.94</v>
      </c>
      <c r="K1079" s="1634">
        <v>1.48</v>
      </c>
      <c r="L1079" s="1633">
        <v>44.8</v>
      </c>
    </row>
    <row r="1080" spans="1:16" x14ac:dyDescent="0.25">
      <c r="A1080" s="1631">
        <v>209185</v>
      </c>
      <c r="B1080" s="1632">
        <v>96</v>
      </c>
      <c r="C1080" s="1633" t="s">
        <v>476</v>
      </c>
      <c r="D1080" s="1633">
        <v>8.4</v>
      </c>
      <c r="E1080" s="1633">
        <v>1.17</v>
      </c>
      <c r="F1080" s="1633">
        <v>0.06</v>
      </c>
      <c r="G1080" s="1634">
        <v>10.685</v>
      </c>
      <c r="H1080" s="1634">
        <v>0.09</v>
      </c>
      <c r="I1080" s="1634">
        <v>0.57999999999999996</v>
      </c>
      <c r="J1080" s="1634">
        <v>31.96</v>
      </c>
      <c r="K1080" s="1634">
        <v>0.44</v>
      </c>
      <c r="L1080" s="1633">
        <v>1.7</v>
      </c>
    </row>
    <row r="1081" spans="1:16" x14ac:dyDescent="0.25">
      <c r="A1081" s="1312">
        <v>209186</v>
      </c>
      <c r="B1081" s="1313">
        <v>86</v>
      </c>
      <c r="C1081" s="1314" t="s">
        <v>477</v>
      </c>
      <c r="D1081" s="1314">
        <v>6.34</v>
      </c>
      <c r="E1081" s="1314">
        <v>0.499</v>
      </c>
      <c r="F1081" s="1636">
        <v>0.33623999999999998</v>
      </c>
      <c r="G1081" s="1637">
        <v>2.5999999999999999E-2</v>
      </c>
      <c r="H1081" s="1637">
        <v>0.73</v>
      </c>
      <c r="I1081" s="1637">
        <v>0.18</v>
      </c>
      <c r="J1081" s="1637">
        <v>0.28000000000000003</v>
      </c>
      <c r="K1081" s="1637">
        <v>0.13</v>
      </c>
      <c r="L1081" s="1314">
        <v>92.2</v>
      </c>
      <c r="M1081" s="1637">
        <v>15.02</v>
      </c>
      <c r="N1081" s="1637">
        <v>5.15</v>
      </c>
      <c r="O1081" s="1637">
        <v>50.15</v>
      </c>
      <c r="P1081" s="1637">
        <v>1413.55</v>
      </c>
    </row>
    <row r="1082" spans="1:16" x14ac:dyDescent="0.25">
      <c r="A1082" s="1312">
        <v>209187</v>
      </c>
      <c r="B1082" s="1313">
        <v>58</v>
      </c>
      <c r="C1082" s="1314" t="s">
        <v>476</v>
      </c>
      <c r="D1082" s="1314">
        <v>9.73</v>
      </c>
      <c r="E1082" s="1314">
        <v>3.77</v>
      </c>
      <c r="F1082" s="1636">
        <v>1.59714</v>
      </c>
      <c r="G1082" s="1637">
        <v>0.76819999999999999</v>
      </c>
      <c r="H1082" s="1637">
        <v>2.73</v>
      </c>
      <c r="I1082" s="1637">
        <v>0.56100000000000005</v>
      </c>
      <c r="J1082" s="1637">
        <v>6.51</v>
      </c>
      <c r="K1082" s="1637">
        <v>1.05</v>
      </c>
      <c r="L1082" s="1314">
        <v>44.6</v>
      </c>
    </row>
    <row r="1083" spans="1:16" x14ac:dyDescent="0.25">
      <c r="A1083" s="1312">
        <v>209188</v>
      </c>
      <c r="B1083" s="1313">
        <v>83</v>
      </c>
      <c r="C1083" s="1314" t="s">
        <v>476</v>
      </c>
      <c r="D1083" s="1314">
        <v>8.2200000000000006</v>
      </c>
      <c r="E1083" s="1314">
        <v>2.61</v>
      </c>
      <c r="F1083" s="1636">
        <v>3.8107200000000003</v>
      </c>
      <c r="G1083" s="1637">
        <v>1.8073999999999999</v>
      </c>
      <c r="H1083" s="1637">
        <v>2.2400000000000002</v>
      </c>
      <c r="I1083" s="1637">
        <v>0.33900000000000002</v>
      </c>
      <c r="J1083" s="1637">
        <v>8.7799999999999994</v>
      </c>
      <c r="K1083" s="1637">
        <v>0.62</v>
      </c>
      <c r="L1083" s="1314">
        <v>66.7</v>
      </c>
    </row>
    <row r="1084" spans="1:16" x14ac:dyDescent="0.25">
      <c r="A1084" s="37">
        <v>209189</v>
      </c>
      <c r="B1084" s="34">
        <v>80</v>
      </c>
      <c r="C1084" s="35" t="s">
        <v>476</v>
      </c>
      <c r="D1084" s="35">
        <v>7.58</v>
      </c>
      <c r="E1084" s="35">
        <v>3.36</v>
      </c>
      <c r="F1084" s="36">
        <v>6.3325199999999997</v>
      </c>
      <c r="G1084" s="795">
        <v>1.54</v>
      </c>
      <c r="H1084" s="795">
        <v>2.41</v>
      </c>
      <c r="I1084" s="795">
        <v>0.17</v>
      </c>
      <c r="J1084" s="795">
        <v>5.38</v>
      </c>
      <c r="K1084" s="795">
        <v>0.65</v>
      </c>
      <c r="L1084" s="35">
        <v>77.400000000000006</v>
      </c>
    </row>
    <row r="1085" spans="1:16" s="747" customFormat="1" x14ac:dyDescent="0.25">
      <c r="A1085" s="745">
        <v>209190</v>
      </c>
      <c r="B1085" s="746">
        <v>36</v>
      </c>
      <c r="C1085" s="747" t="s">
        <v>476</v>
      </c>
      <c r="D1085" s="747">
        <v>8.34</v>
      </c>
      <c r="E1085" s="747">
        <v>4.0999999999999996</v>
      </c>
      <c r="F1085" s="1461">
        <v>1.51</v>
      </c>
      <c r="G1085" s="705">
        <v>0.84</v>
      </c>
      <c r="H1085" s="705">
        <v>1.89</v>
      </c>
      <c r="I1085" s="705">
        <v>0.75</v>
      </c>
      <c r="J1085" s="705">
        <v>4.75</v>
      </c>
      <c r="K1085" s="705">
        <v>0.81</v>
      </c>
      <c r="L1085" s="747">
        <v>52.8</v>
      </c>
    </row>
    <row r="1086" spans="1:16" x14ac:dyDescent="0.25">
      <c r="A1086" s="37">
        <v>209191</v>
      </c>
      <c r="B1086" s="34">
        <v>41</v>
      </c>
      <c r="C1086" s="35" t="s">
        <v>476</v>
      </c>
      <c r="D1086" s="35">
        <v>9.0399999999999991</v>
      </c>
      <c r="E1086" s="35">
        <v>3.84</v>
      </c>
      <c r="F1086" s="36">
        <v>1.8493200000000001</v>
      </c>
      <c r="G1086" s="795">
        <v>0.53</v>
      </c>
      <c r="H1086" s="795">
        <v>3.06</v>
      </c>
      <c r="I1086" s="795">
        <v>0.51</v>
      </c>
      <c r="J1086" s="795">
        <v>3.05</v>
      </c>
      <c r="K1086" s="795">
        <v>0.72</v>
      </c>
      <c r="L1086" s="35">
        <v>70.2</v>
      </c>
    </row>
    <row r="1087" spans="1:16" x14ac:dyDescent="0.25">
      <c r="A1087" s="37">
        <v>209192</v>
      </c>
      <c r="B1087" s="34">
        <v>50</v>
      </c>
      <c r="C1087" s="35" t="s">
        <v>476</v>
      </c>
      <c r="D1087" s="35">
        <v>9.56</v>
      </c>
      <c r="E1087" s="35">
        <v>2.35</v>
      </c>
      <c r="F1087" s="36">
        <v>1.5691200000000003</v>
      </c>
      <c r="G1087" s="795">
        <v>0.45</v>
      </c>
      <c r="H1087" s="795">
        <v>2.58</v>
      </c>
      <c r="I1087" s="795">
        <v>0.11</v>
      </c>
      <c r="J1087" s="795">
        <v>5.26</v>
      </c>
      <c r="K1087" s="795">
        <v>2.09</v>
      </c>
      <c r="L1087" s="35">
        <v>57</v>
      </c>
    </row>
    <row r="1088" spans="1:16" x14ac:dyDescent="0.25">
      <c r="A1088" s="37">
        <v>209193</v>
      </c>
      <c r="B1088" s="34">
        <v>86</v>
      </c>
      <c r="C1088" s="35" t="s">
        <v>476</v>
      </c>
      <c r="D1088" s="35">
        <v>8.32</v>
      </c>
      <c r="E1088" s="35">
        <v>3.21</v>
      </c>
      <c r="F1088" s="36">
        <v>1.8493200000000001</v>
      </c>
      <c r="G1088" s="795">
        <v>0.53</v>
      </c>
      <c r="H1088" s="795">
        <v>2.74</v>
      </c>
      <c r="I1088" s="795">
        <v>0.28000000000000003</v>
      </c>
      <c r="J1088" s="795">
        <v>2.99</v>
      </c>
      <c r="K1088" s="795">
        <v>1.01</v>
      </c>
      <c r="L1088" s="35">
        <v>67.3</v>
      </c>
    </row>
    <row r="1089" spans="1:12" x14ac:dyDescent="0.25">
      <c r="A1089" s="37">
        <v>209194</v>
      </c>
      <c r="B1089" s="34">
        <v>64</v>
      </c>
      <c r="C1089" s="35" t="s">
        <v>476</v>
      </c>
      <c r="D1089" s="35">
        <v>8.84</v>
      </c>
      <c r="E1089" s="35">
        <v>2.87</v>
      </c>
      <c r="F1089" s="36">
        <v>1.2328800000000002</v>
      </c>
      <c r="G1089" s="795">
        <v>0.46</v>
      </c>
      <c r="H1089" s="795">
        <v>2.0299999999999998</v>
      </c>
      <c r="I1089" s="795">
        <v>0.09</v>
      </c>
      <c r="J1089" s="795">
        <v>6.34</v>
      </c>
      <c r="K1089" s="795">
        <v>1.08</v>
      </c>
      <c r="L1089" s="35">
        <v>32.299999999999997</v>
      </c>
    </row>
    <row r="1090" spans="1:12" x14ac:dyDescent="0.25">
      <c r="A1090" s="37">
        <v>209195</v>
      </c>
      <c r="B1090" s="34">
        <v>60</v>
      </c>
      <c r="C1090" s="35" t="s">
        <v>476</v>
      </c>
      <c r="D1090" s="35">
        <v>7.17</v>
      </c>
      <c r="E1090" s="35">
        <v>7.08</v>
      </c>
      <c r="F1090" s="36">
        <v>5.0155799999999999</v>
      </c>
      <c r="G1090" s="795">
        <v>1.59</v>
      </c>
      <c r="H1090" s="795">
        <v>2.9</v>
      </c>
      <c r="I1090" s="795">
        <v>0.27</v>
      </c>
      <c r="J1090" s="795">
        <v>1.98</v>
      </c>
      <c r="K1090" s="795">
        <v>0.69</v>
      </c>
      <c r="L1090" s="35">
        <v>82.3</v>
      </c>
    </row>
    <row r="1091" spans="1:12" x14ac:dyDescent="0.25">
      <c r="A1091" s="37">
        <v>209196</v>
      </c>
      <c r="B1091" s="34">
        <v>44</v>
      </c>
      <c r="C1091" s="35" t="s">
        <v>476</v>
      </c>
      <c r="D1091" s="35">
        <v>8.35</v>
      </c>
      <c r="E1091" s="35">
        <v>5.71</v>
      </c>
      <c r="F1091" s="36">
        <v>2.2976400000000003</v>
      </c>
      <c r="G1091" s="795">
        <v>0.83</v>
      </c>
      <c r="H1091" s="795">
        <v>2.36</v>
      </c>
      <c r="I1091" s="795">
        <v>0.83</v>
      </c>
      <c r="J1091" s="795">
        <v>2.61</v>
      </c>
      <c r="K1091" s="795">
        <v>0.73</v>
      </c>
      <c r="L1091" s="35">
        <v>71</v>
      </c>
    </row>
    <row r="1092" spans="1:12" x14ac:dyDescent="0.25">
      <c r="A1092" s="37">
        <v>209197</v>
      </c>
      <c r="B1092" s="34">
        <v>40</v>
      </c>
      <c r="C1092" s="35" t="s">
        <v>476</v>
      </c>
      <c r="D1092" s="35">
        <v>8.1</v>
      </c>
      <c r="E1092" s="35">
        <v>3.67</v>
      </c>
      <c r="F1092" s="36">
        <v>1.79328</v>
      </c>
      <c r="G1092" s="795">
        <v>0.74</v>
      </c>
      <c r="H1092" s="795">
        <v>1.49</v>
      </c>
      <c r="I1092" s="795">
        <v>0.57999999999999996</v>
      </c>
      <c r="J1092" s="795">
        <v>6.96</v>
      </c>
      <c r="K1092" s="795">
        <v>1.43</v>
      </c>
      <c r="L1092" s="35">
        <v>46.2</v>
      </c>
    </row>
    <row r="1093" spans="1:12" x14ac:dyDescent="0.25">
      <c r="A1093" s="37">
        <v>209198</v>
      </c>
      <c r="B1093" s="1635">
        <v>58</v>
      </c>
      <c r="C1093" s="35" t="s">
        <v>476</v>
      </c>
      <c r="D1093" s="35">
        <v>9.24</v>
      </c>
      <c r="E1093" s="35">
        <v>4.4400000000000004</v>
      </c>
      <c r="F1093" s="36">
        <v>1.8213000000000001</v>
      </c>
      <c r="G1093" s="795">
        <v>0.66</v>
      </c>
      <c r="H1093" s="795">
        <v>3.64</v>
      </c>
      <c r="I1093" s="795">
        <v>0.44</v>
      </c>
      <c r="J1093" s="795">
        <v>1.86</v>
      </c>
      <c r="K1093" s="795">
        <v>0.53</v>
      </c>
      <c r="L1093" s="35">
        <v>59.2</v>
      </c>
    </row>
    <row r="1094" spans="1:12" s="747" customFormat="1" x14ac:dyDescent="0.25">
      <c r="A1094" s="745">
        <v>209199</v>
      </c>
      <c r="B1094" s="746">
        <v>41</v>
      </c>
      <c r="C1094" s="747" t="s">
        <v>476</v>
      </c>
      <c r="D1094" s="747">
        <v>8.81</v>
      </c>
      <c r="E1094" s="747">
        <v>3.09</v>
      </c>
      <c r="F1094" s="747">
        <v>1.91</v>
      </c>
      <c r="G1094" s="705">
        <v>1</v>
      </c>
      <c r="H1094" s="705">
        <v>1.83</v>
      </c>
      <c r="I1094" s="705">
        <v>0.31</v>
      </c>
      <c r="J1094" s="705">
        <v>6.74</v>
      </c>
      <c r="K1094" s="705">
        <v>1.45</v>
      </c>
      <c r="L1094" s="747">
        <v>67.2</v>
      </c>
    </row>
    <row r="1095" spans="1:12" x14ac:dyDescent="0.25">
      <c r="A1095" s="37">
        <v>209200</v>
      </c>
      <c r="B1095" s="1635">
        <v>70</v>
      </c>
      <c r="C1095" s="35" t="s">
        <v>187</v>
      </c>
      <c r="D1095" s="35">
        <v>8.56</v>
      </c>
      <c r="E1095" s="35">
        <v>5.41</v>
      </c>
      <c r="F1095" s="36">
        <v>3.3904199999999998</v>
      </c>
      <c r="G1095" s="795">
        <v>1.0900000000000001</v>
      </c>
      <c r="H1095" s="795">
        <v>2.56</v>
      </c>
      <c r="I1095" s="795">
        <v>0.45</v>
      </c>
      <c r="J1095" s="795">
        <v>2.4900000000000002</v>
      </c>
      <c r="K1095" s="795">
        <v>0.81</v>
      </c>
      <c r="L1095" s="35">
        <v>81.400000000000006</v>
      </c>
    </row>
    <row r="1096" spans="1:12" x14ac:dyDescent="0.25">
      <c r="A1096" s="37">
        <v>209201</v>
      </c>
      <c r="B1096" s="1635">
        <v>41</v>
      </c>
      <c r="C1096" s="35" t="s">
        <v>187</v>
      </c>
      <c r="D1096" s="35">
        <v>9.07</v>
      </c>
      <c r="E1096" s="35">
        <v>2.41</v>
      </c>
      <c r="F1096" s="36">
        <v>2.2135799999999999</v>
      </c>
      <c r="G1096" s="795">
        <v>0.47</v>
      </c>
      <c r="H1096" s="795">
        <v>6.47</v>
      </c>
      <c r="I1096" s="795">
        <v>0.45</v>
      </c>
      <c r="J1096" s="795">
        <v>4.09</v>
      </c>
      <c r="K1096" s="795">
        <v>0.76</v>
      </c>
      <c r="L1096" s="35">
        <v>61.1</v>
      </c>
    </row>
    <row r="1097" spans="1:12" x14ac:dyDescent="0.25">
      <c r="A1097" s="37">
        <v>209202</v>
      </c>
      <c r="B1097" s="1635">
        <v>62</v>
      </c>
      <c r="C1097" s="35" t="s">
        <v>187</v>
      </c>
      <c r="D1097" s="35">
        <v>8.51</v>
      </c>
      <c r="E1097" s="35">
        <v>2.4900000000000002</v>
      </c>
      <c r="F1097" s="36">
        <v>1.59714</v>
      </c>
      <c r="G1097" s="795">
        <v>0.48</v>
      </c>
      <c r="H1097" s="795">
        <v>2.81</v>
      </c>
      <c r="I1097" s="795">
        <v>0.43</v>
      </c>
      <c r="J1097" s="795">
        <v>6.29</v>
      </c>
      <c r="K1097" s="795">
        <v>0.76</v>
      </c>
      <c r="L1097" s="35">
        <v>47.6</v>
      </c>
    </row>
    <row r="1098" spans="1:12" x14ac:dyDescent="0.25">
      <c r="A1098" s="37">
        <v>209203</v>
      </c>
      <c r="B1098" s="1635">
        <v>38</v>
      </c>
      <c r="C1098" s="35" t="s">
        <v>187</v>
      </c>
      <c r="D1098" s="35">
        <v>8.74</v>
      </c>
      <c r="E1098" s="35">
        <v>2.52</v>
      </c>
      <c r="F1098" s="36">
        <v>1.4290200000000002</v>
      </c>
      <c r="G1098" s="795">
        <v>0.52</v>
      </c>
      <c r="H1098" s="795">
        <v>1.47</v>
      </c>
      <c r="I1098" s="795">
        <v>0.44</v>
      </c>
      <c r="J1098" s="795">
        <v>4.84</v>
      </c>
      <c r="K1098" s="795">
        <v>0.84</v>
      </c>
      <c r="L1098" s="35">
        <v>57.5</v>
      </c>
    </row>
    <row r="1099" spans="1:12" x14ac:dyDescent="0.25">
      <c r="A1099" s="925">
        <v>209204</v>
      </c>
      <c r="B1099" s="1001">
        <v>49</v>
      </c>
      <c r="C1099" s="1002" t="s">
        <v>187</v>
      </c>
      <c r="D1099" s="1002">
        <v>8.3699999999999992</v>
      </c>
      <c r="E1099" s="1002">
        <v>3.34</v>
      </c>
      <c r="F1099" s="1002">
        <v>1.26</v>
      </c>
      <c r="G1099" s="1053">
        <v>0.33</v>
      </c>
      <c r="H1099" s="1053">
        <v>1.8</v>
      </c>
      <c r="I1099" s="1053">
        <v>0.56999999999999995</v>
      </c>
      <c r="J1099" s="1053">
        <v>6.49</v>
      </c>
      <c r="K1099" s="1053">
        <v>0.86</v>
      </c>
      <c r="L1099" s="1002">
        <v>43.3</v>
      </c>
    </row>
    <row r="1100" spans="1:12" x14ac:dyDescent="0.25">
      <c r="A1100" s="962">
        <v>209205</v>
      </c>
      <c r="B1100" s="963">
        <v>74</v>
      </c>
      <c r="C1100" s="964" t="s">
        <v>187</v>
      </c>
      <c r="D1100" s="964"/>
      <c r="E1100" s="964"/>
      <c r="F1100" s="964"/>
      <c r="G1100" s="964"/>
      <c r="H1100" s="964"/>
      <c r="I1100" s="964"/>
      <c r="J1100" s="964"/>
      <c r="K1100" s="964"/>
      <c r="L1100" s="964">
        <v>50.2</v>
      </c>
    </row>
    <row r="1101" spans="1:12" x14ac:dyDescent="0.25">
      <c r="A1101" s="962">
        <v>209206</v>
      </c>
      <c r="B1101" s="963">
        <v>76</v>
      </c>
      <c r="C1101" s="964" t="s">
        <v>187</v>
      </c>
      <c r="D1101" s="964"/>
      <c r="E1101" s="964"/>
      <c r="F1101" s="964"/>
      <c r="G1101" s="964"/>
      <c r="H1101" s="964"/>
      <c r="I1101" s="964"/>
      <c r="J1101" s="964"/>
      <c r="K1101" s="964"/>
      <c r="L1101" s="964">
        <v>52.8</v>
      </c>
    </row>
    <row r="1102" spans="1:12" x14ac:dyDescent="0.25">
      <c r="A1102" s="962">
        <v>209207</v>
      </c>
      <c r="B1102" s="963">
        <v>79</v>
      </c>
      <c r="C1102" s="964" t="s">
        <v>187</v>
      </c>
      <c r="D1102" s="964"/>
      <c r="E1102" s="964"/>
      <c r="F1102" s="964"/>
      <c r="G1102" s="964"/>
      <c r="H1102" s="964"/>
      <c r="I1102" s="964"/>
      <c r="J1102" s="964"/>
      <c r="K1102" s="964"/>
      <c r="L1102" s="964">
        <v>51.6</v>
      </c>
    </row>
    <row r="1103" spans="1:12" x14ac:dyDescent="0.25">
      <c r="A1103" s="962">
        <v>209208</v>
      </c>
      <c r="B1103" s="963">
        <v>87</v>
      </c>
      <c r="C1103" s="964" t="s">
        <v>187</v>
      </c>
      <c r="D1103" s="964"/>
      <c r="E1103" s="964"/>
      <c r="F1103" s="964"/>
      <c r="G1103" s="964"/>
      <c r="H1103" s="964"/>
      <c r="I1103" s="964"/>
      <c r="J1103" s="964"/>
      <c r="K1103" s="964"/>
      <c r="L1103" s="964">
        <v>75.5</v>
      </c>
    </row>
    <row r="1104" spans="1:12" x14ac:dyDescent="0.25">
      <c r="A1104" s="962">
        <v>209209</v>
      </c>
      <c r="B1104" s="963">
        <v>90</v>
      </c>
      <c r="C1104" s="964" t="s">
        <v>187</v>
      </c>
      <c r="D1104" s="964"/>
      <c r="E1104" s="964"/>
      <c r="F1104" s="964"/>
      <c r="G1104" s="964"/>
      <c r="H1104" s="964"/>
      <c r="I1104" s="964"/>
      <c r="J1104" s="964"/>
      <c r="K1104" s="964"/>
      <c r="L1104" s="964">
        <v>69.900000000000006</v>
      </c>
    </row>
    <row r="1105" spans="1:12" x14ac:dyDescent="0.25">
      <c r="A1105" s="962">
        <v>209210</v>
      </c>
      <c r="B1105" s="963">
        <v>86</v>
      </c>
      <c r="C1105" s="964" t="s">
        <v>187</v>
      </c>
      <c r="D1105" s="964"/>
      <c r="E1105" s="964"/>
      <c r="F1105" s="964"/>
      <c r="G1105" s="964"/>
      <c r="H1105" s="964"/>
      <c r="I1105" s="964"/>
      <c r="J1105" s="964"/>
      <c r="K1105" s="964"/>
      <c r="L1105" s="964">
        <v>71.599999999999994</v>
      </c>
    </row>
    <row r="1106" spans="1:12" x14ac:dyDescent="0.25">
      <c r="A1106" s="1367">
        <v>209211</v>
      </c>
      <c r="B1106" s="1368">
        <v>87</v>
      </c>
      <c r="C1106" s="1369" t="s">
        <v>187</v>
      </c>
      <c r="D1106" s="1369">
        <v>6.86</v>
      </c>
      <c r="E1106" s="1369">
        <v>7.78</v>
      </c>
      <c r="F1106" s="1647">
        <v>4.0348800000000002</v>
      </c>
      <c r="G1106" s="1273">
        <v>1.45</v>
      </c>
      <c r="H1106" s="1273">
        <v>1.97</v>
      </c>
      <c r="I1106" s="1273">
        <v>0.23</v>
      </c>
      <c r="J1106" s="1273">
        <v>6.96</v>
      </c>
      <c r="K1106" s="1273">
        <v>0.53</v>
      </c>
      <c r="L1106" s="1369">
        <v>74.8</v>
      </c>
    </row>
    <row r="1107" spans="1:12" x14ac:dyDescent="0.25">
      <c r="A1107" s="1367">
        <v>209212</v>
      </c>
      <c r="B1107" s="1368">
        <v>65</v>
      </c>
      <c r="C1107" s="1369" t="s">
        <v>187</v>
      </c>
      <c r="D1107" s="1369">
        <v>9.2799999999999994</v>
      </c>
      <c r="E1107" s="1369">
        <v>1.67</v>
      </c>
      <c r="F1107" s="1647">
        <v>1.2328800000000002</v>
      </c>
      <c r="G1107" s="1273">
        <v>0.43</v>
      </c>
      <c r="H1107" s="1273">
        <v>2.06</v>
      </c>
      <c r="I1107" s="1273">
        <v>0.38</v>
      </c>
      <c r="J1107" s="1273">
        <v>6.04</v>
      </c>
      <c r="K1107" s="1273">
        <v>1.4</v>
      </c>
      <c r="L1107" s="1369">
        <v>39.299999999999997</v>
      </c>
    </row>
    <row r="1108" spans="1:12" x14ac:dyDescent="0.25">
      <c r="A1108" s="1367">
        <v>209213</v>
      </c>
      <c r="B1108" s="1368">
        <v>59</v>
      </c>
      <c r="C1108" s="1369" t="s">
        <v>187</v>
      </c>
      <c r="D1108" s="1369">
        <v>9.4600000000000009</v>
      </c>
      <c r="E1108" s="1369">
        <v>5.03</v>
      </c>
      <c r="F1108" s="1369">
        <v>1.88</v>
      </c>
      <c r="G1108" s="1369">
        <v>1.22</v>
      </c>
      <c r="H1108" s="1369">
        <v>2.88</v>
      </c>
      <c r="I1108" s="1369">
        <v>0.51</v>
      </c>
      <c r="J1108" s="1369">
        <v>5.87</v>
      </c>
      <c r="K1108" s="1369">
        <v>1.05</v>
      </c>
      <c r="L1108" s="1369">
        <v>46.1</v>
      </c>
    </row>
    <row r="1109" spans="1:12" x14ac:dyDescent="0.25">
      <c r="A1109" s="1367">
        <v>209214</v>
      </c>
      <c r="B1109" s="1368">
        <v>60</v>
      </c>
      <c r="C1109" s="1369" t="s">
        <v>476</v>
      </c>
      <c r="D1109" s="1369">
        <v>9.43</v>
      </c>
      <c r="E1109" s="1369">
        <v>4.58</v>
      </c>
      <c r="F1109" s="1369">
        <v>1.6</v>
      </c>
      <c r="G1109" s="1369">
        <v>0.74</v>
      </c>
      <c r="H1109" s="1369">
        <v>2.58</v>
      </c>
      <c r="I1109" s="1369">
        <v>0.54</v>
      </c>
      <c r="J1109" s="1369">
        <v>6.5</v>
      </c>
      <c r="K1109" s="1369">
        <v>1.05</v>
      </c>
      <c r="L1109" s="1369">
        <v>44.7</v>
      </c>
    </row>
    <row r="1110" spans="1:12" x14ac:dyDescent="0.25">
      <c r="A1110" s="962">
        <v>209215</v>
      </c>
      <c r="B1110" s="963">
        <v>55</v>
      </c>
      <c r="C1110" s="964" t="s">
        <v>187</v>
      </c>
      <c r="D1110" s="964"/>
      <c r="E1110" s="964"/>
      <c r="F1110" s="964"/>
      <c r="G1110" s="964"/>
      <c r="H1110" s="964"/>
      <c r="I1110" s="964"/>
      <c r="J1110" s="964"/>
      <c r="K1110" s="964"/>
      <c r="L1110" s="964">
        <v>36.1</v>
      </c>
    </row>
    <row r="1111" spans="1:12" x14ac:dyDescent="0.25">
      <c r="A1111" s="962">
        <v>209216</v>
      </c>
      <c r="B1111" s="963">
        <v>60</v>
      </c>
      <c r="C1111" s="964" t="s">
        <v>187</v>
      </c>
      <c r="D1111" s="964">
        <v>8.64</v>
      </c>
      <c r="E1111" s="964">
        <v>0.85699999999999998</v>
      </c>
      <c r="F1111" s="964"/>
      <c r="G1111" s="964"/>
      <c r="H1111" s="964"/>
      <c r="I1111" s="964"/>
      <c r="J1111" s="964"/>
      <c r="K1111" s="964"/>
      <c r="L1111" s="964">
        <v>67.5</v>
      </c>
    </row>
    <row r="1112" spans="1:12" x14ac:dyDescent="0.25">
      <c r="A1112" s="1367">
        <v>209217</v>
      </c>
      <c r="B1112" s="1368">
        <v>30</v>
      </c>
      <c r="C1112" s="1369" t="s">
        <v>187</v>
      </c>
      <c r="D1112" s="1369">
        <v>7.65</v>
      </c>
      <c r="E1112" s="1369">
        <v>1.2649999999999999</v>
      </c>
      <c r="F1112" s="1369">
        <v>0.53</v>
      </c>
      <c r="G1112" s="1273">
        <v>0.02</v>
      </c>
      <c r="H1112" s="1273">
        <v>7.0000000000000007E-2</v>
      </c>
      <c r="I1112" s="1273">
        <v>0.32</v>
      </c>
      <c r="J1112" s="1273">
        <v>1.26</v>
      </c>
      <c r="K1112" s="1273">
        <v>0.44</v>
      </c>
      <c r="L1112" s="1369">
        <v>89.7</v>
      </c>
    </row>
    <row r="1113" spans="1:12" x14ac:dyDescent="0.25">
      <c r="A1113" s="1367">
        <v>209218</v>
      </c>
      <c r="B1113" s="1368">
        <v>32</v>
      </c>
      <c r="C1113" s="1369" t="s">
        <v>187</v>
      </c>
      <c r="D1113" s="1369">
        <v>7.1</v>
      </c>
      <c r="E1113" s="1369">
        <v>0.42</v>
      </c>
      <c r="F1113" s="1369">
        <v>0.62</v>
      </c>
      <c r="G1113" s="1273">
        <v>0.18</v>
      </c>
      <c r="H1113" s="1273">
        <v>0.16</v>
      </c>
      <c r="I1113" s="1273">
        <v>0.18</v>
      </c>
      <c r="J1113" s="1273">
        <v>1.58</v>
      </c>
      <c r="K1113" s="1273">
        <v>0.38</v>
      </c>
      <c r="L1113" s="1369">
        <v>87.2</v>
      </c>
    </row>
    <row r="1114" spans="1:12" x14ac:dyDescent="0.25">
      <c r="A1114" s="1367">
        <v>209219</v>
      </c>
      <c r="B1114" s="1368">
        <v>27</v>
      </c>
      <c r="C1114" s="1369" t="s">
        <v>187</v>
      </c>
      <c r="D1114" s="1369">
        <v>7.64</v>
      </c>
      <c r="E1114" s="1369">
        <v>0.3</v>
      </c>
      <c r="F1114" s="1369">
        <v>0.53</v>
      </c>
      <c r="G1114" s="1273">
        <v>0.03</v>
      </c>
      <c r="H1114" s="1273">
        <v>0.11</v>
      </c>
      <c r="I1114" s="1273">
        <v>0.22</v>
      </c>
      <c r="J1114" s="1273">
        <v>0.88</v>
      </c>
      <c r="K1114" s="1273">
        <v>0.32</v>
      </c>
      <c r="L1114" s="1369">
        <v>93.6</v>
      </c>
    </row>
    <row r="1115" spans="1:12" x14ac:dyDescent="0.25">
      <c r="A1115" s="1367">
        <v>209220</v>
      </c>
      <c r="B1115" s="1368">
        <v>25</v>
      </c>
      <c r="C1115" s="1369" t="s">
        <v>187</v>
      </c>
      <c r="D1115" s="1369">
        <v>7.6</v>
      </c>
      <c r="E1115" s="1369">
        <v>0.113</v>
      </c>
      <c r="F1115" s="1369">
        <v>0.34</v>
      </c>
      <c r="G1115" s="1273">
        <v>0.02</v>
      </c>
      <c r="H1115" s="1273">
        <v>0.28000000000000003</v>
      </c>
      <c r="I1115" s="1273">
        <v>0.11</v>
      </c>
      <c r="J1115" s="1273">
        <v>0.45</v>
      </c>
      <c r="K1115" s="1273">
        <v>0.21</v>
      </c>
      <c r="L1115" s="1369">
        <v>89.8</v>
      </c>
    </row>
    <row r="1116" spans="1:12" x14ac:dyDescent="0.25">
      <c r="A1116" s="962">
        <v>209221</v>
      </c>
      <c r="B1116" s="963">
        <v>63.25</v>
      </c>
      <c r="C1116" s="964" t="s">
        <v>476</v>
      </c>
      <c r="D1116" s="964"/>
      <c r="E1116" s="964"/>
      <c r="F1116" s="964"/>
      <c r="G1116" s="964"/>
      <c r="H1116" s="964"/>
      <c r="I1116" s="964"/>
      <c r="J1116" s="964"/>
      <c r="K1116" s="964"/>
      <c r="L1116" s="964">
        <v>39.6</v>
      </c>
    </row>
    <row r="1117" spans="1:12" x14ac:dyDescent="0.25">
      <c r="A1117" s="1642" t="s">
        <v>572</v>
      </c>
      <c r="B1117" s="1643"/>
      <c r="C1117" s="1644"/>
      <c r="D1117" s="1644"/>
      <c r="E1117" s="1644"/>
      <c r="F1117" s="1644"/>
      <c r="G1117" s="1644"/>
      <c r="H1117" s="1644"/>
      <c r="I1117" s="1644"/>
      <c r="J1117" s="1644"/>
      <c r="K1117" s="1644"/>
      <c r="L1117" s="1644"/>
    </row>
    <row r="1118" spans="1:12" x14ac:dyDescent="0.25">
      <c r="A1118" s="37">
        <v>209223</v>
      </c>
      <c r="B1118" s="34">
        <v>12</v>
      </c>
      <c r="C1118" s="35" t="s">
        <v>477</v>
      </c>
      <c r="D1118" s="35">
        <v>7.63</v>
      </c>
      <c r="E1118" s="35">
        <v>0.42699999999999999</v>
      </c>
      <c r="F1118" s="36">
        <v>1.7092200000000002</v>
      </c>
      <c r="G1118" s="795">
        <v>0.21</v>
      </c>
      <c r="H1118" s="795">
        <v>0.6</v>
      </c>
      <c r="I1118" s="795">
        <v>0.14000000000000001</v>
      </c>
      <c r="J1118" s="795">
        <v>2.92</v>
      </c>
      <c r="K1118" s="795">
        <v>0.28000000000000003</v>
      </c>
      <c r="L1118" s="35">
        <v>85.4</v>
      </c>
    </row>
    <row r="1119" spans="1:12" x14ac:dyDescent="0.25">
      <c r="A1119" s="37">
        <v>209224</v>
      </c>
      <c r="B1119" s="34">
        <v>8</v>
      </c>
      <c r="C1119" s="35" t="s">
        <v>477</v>
      </c>
      <c r="D1119" s="35">
        <v>7.19</v>
      </c>
      <c r="E1119" s="35">
        <v>0.41099999999999998</v>
      </c>
      <c r="F1119" s="36">
        <v>1.2608999999999999</v>
      </c>
      <c r="G1119" s="795">
        <v>0.24</v>
      </c>
      <c r="H1119" s="795">
        <v>0.68</v>
      </c>
      <c r="I1119" s="795">
        <v>0.16</v>
      </c>
      <c r="J1119" s="795">
        <v>1.9</v>
      </c>
      <c r="K1119" s="795">
        <v>0.32</v>
      </c>
      <c r="L1119" s="35">
        <v>85.7</v>
      </c>
    </row>
    <row r="1120" spans="1:12" x14ac:dyDescent="0.25">
      <c r="A1120" s="37">
        <v>209225</v>
      </c>
      <c r="B1120" s="34">
        <v>60</v>
      </c>
      <c r="C1120" s="35" t="s">
        <v>187</v>
      </c>
      <c r="D1120" s="35">
        <v>9.3800000000000008</v>
      </c>
      <c r="E1120" s="35">
        <v>4.6900000000000004</v>
      </c>
      <c r="F1120" s="36">
        <v>1.57</v>
      </c>
      <c r="G1120" s="35">
        <v>0.76</v>
      </c>
      <c r="H1120" s="35">
        <v>2.36</v>
      </c>
      <c r="I1120" s="35">
        <v>0.53</v>
      </c>
      <c r="J1120" s="35">
        <v>6.02</v>
      </c>
      <c r="K1120" s="35">
        <v>0.86</v>
      </c>
      <c r="L1120" s="35">
        <v>44.3</v>
      </c>
    </row>
    <row r="1121" spans="1:29" x14ac:dyDescent="0.25">
      <c r="A1121" s="37">
        <v>209226</v>
      </c>
      <c r="B1121" s="34">
        <v>93</v>
      </c>
      <c r="C1121" s="35" t="s">
        <v>187</v>
      </c>
      <c r="F1121" s="526"/>
      <c r="L1121" s="35">
        <v>65.8</v>
      </c>
    </row>
    <row r="1122" spans="1:29" x14ac:dyDescent="0.25">
      <c r="A1122" s="962">
        <v>209227</v>
      </c>
      <c r="B1122" s="963">
        <v>90</v>
      </c>
      <c r="C1122" s="964" t="s">
        <v>187</v>
      </c>
      <c r="D1122" s="964">
        <v>6.65</v>
      </c>
      <c r="E1122" s="964">
        <v>0.94099999999999995</v>
      </c>
      <c r="F1122" s="1474"/>
      <c r="G1122" s="964"/>
      <c r="H1122" s="964"/>
      <c r="I1122" s="964"/>
      <c r="J1122" s="964"/>
      <c r="K1122" s="964"/>
      <c r="L1122" s="964">
        <v>91.8</v>
      </c>
    </row>
    <row r="1123" spans="1:29" x14ac:dyDescent="0.25">
      <c r="A1123" s="1438">
        <v>209228</v>
      </c>
      <c r="B1123" s="988">
        <v>80</v>
      </c>
      <c r="C1123" s="989" t="s">
        <v>187</v>
      </c>
      <c r="D1123" s="989">
        <v>9.01</v>
      </c>
      <c r="E1123" s="989">
        <v>3.3</v>
      </c>
      <c r="F1123" s="1645"/>
      <c r="G1123" s="989"/>
      <c r="H1123" s="989"/>
      <c r="I1123" s="989"/>
      <c r="J1123" s="989"/>
      <c r="K1123" s="989"/>
      <c r="L1123" s="989">
        <v>55.8</v>
      </c>
    </row>
    <row r="1124" spans="1:29" x14ac:dyDescent="0.25">
      <c r="A1124" s="1438">
        <v>209229</v>
      </c>
      <c r="B1124" s="988">
        <v>77</v>
      </c>
      <c r="C1124" s="989" t="s">
        <v>187</v>
      </c>
      <c r="D1124" s="989">
        <v>9.06</v>
      </c>
      <c r="E1124" s="989">
        <v>3.52</v>
      </c>
      <c r="F1124" s="1645"/>
      <c r="G1124" s="989"/>
      <c r="H1124" s="989"/>
      <c r="I1124" s="989"/>
      <c r="J1124" s="989"/>
      <c r="K1124" s="989"/>
      <c r="L1124" s="989">
        <v>48.5</v>
      </c>
    </row>
    <row r="1125" spans="1:29" x14ac:dyDescent="0.25">
      <c r="A1125" s="1438">
        <v>209230</v>
      </c>
      <c r="B1125" s="988">
        <v>78</v>
      </c>
      <c r="C1125" s="989" t="s">
        <v>187</v>
      </c>
      <c r="D1125" s="989">
        <v>9.0399999999999991</v>
      </c>
      <c r="E1125" s="989">
        <v>3.39</v>
      </c>
      <c r="F1125" s="1645"/>
      <c r="G1125" s="989"/>
      <c r="H1125" s="989"/>
      <c r="I1125" s="989"/>
      <c r="J1125" s="989"/>
      <c r="K1125" s="989"/>
      <c r="L1125" s="989">
        <v>51.4</v>
      </c>
    </row>
    <row r="1126" spans="1:29" x14ac:dyDescent="0.25">
      <c r="A1126" s="1438">
        <v>209231</v>
      </c>
      <c r="B1126" s="988">
        <v>89</v>
      </c>
      <c r="C1126" s="989" t="s">
        <v>187</v>
      </c>
      <c r="D1126" s="989">
        <v>7.36</v>
      </c>
      <c r="E1126" s="989">
        <v>0.60299999999999998</v>
      </c>
      <c r="F1126" s="1645"/>
      <c r="G1126" s="989"/>
      <c r="H1126" s="989"/>
      <c r="I1126" s="989"/>
      <c r="J1126" s="989"/>
      <c r="K1126" s="989"/>
      <c r="L1126" s="989">
        <v>85.8</v>
      </c>
    </row>
    <row r="1127" spans="1:29" x14ac:dyDescent="0.25">
      <c r="A1127" s="1438">
        <v>209232</v>
      </c>
      <c r="B1127" s="988">
        <v>91</v>
      </c>
      <c r="C1127" s="989" t="s">
        <v>187</v>
      </c>
      <c r="D1127" s="989">
        <v>7.18</v>
      </c>
      <c r="E1127" s="989">
        <v>0.60599999999999998</v>
      </c>
      <c r="F1127" s="1645"/>
      <c r="G1127" s="989"/>
      <c r="H1127" s="989"/>
      <c r="I1127" s="989"/>
      <c r="J1127" s="989"/>
      <c r="K1127" s="989"/>
      <c r="L1127" s="989">
        <v>69.400000000000006</v>
      </c>
    </row>
    <row r="1128" spans="1:29" x14ac:dyDescent="0.25">
      <c r="A1128" s="1438">
        <v>209233</v>
      </c>
      <c r="B1128" s="988">
        <v>91</v>
      </c>
      <c r="C1128" s="989" t="s">
        <v>187</v>
      </c>
      <c r="D1128" s="989">
        <v>7.12</v>
      </c>
      <c r="E1128" s="989">
        <v>0.55200000000000005</v>
      </c>
      <c r="F1128" s="1645"/>
      <c r="G1128" s="989"/>
      <c r="H1128" s="989"/>
      <c r="I1128" s="989"/>
      <c r="J1128" s="989"/>
      <c r="K1128" s="989"/>
      <c r="L1128" s="989">
        <v>74.8</v>
      </c>
    </row>
    <row r="1129" spans="1:29" x14ac:dyDescent="0.25">
      <c r="A1129" s="37">
        <v>209234</v>
      </c>
      <c r="B1129" s="34">
        <v>61</v>
      </c>
      <c r="C1129" s="35" t="s">
        <v>187</v>
      </c>
      <c r="D1129" s="35">
        <v>9.44</v>
      </c>
      <c r="E1129" s="35">
        <v>4.6500000000000004</v>
      </c>
      <c r="F1129" s="36">
        <v>1.5691200000000003</v>
      </c>
      <c r="G1129" s="35">
        <v>0.82</v>
      </c>
      <c r="H1129" s="35">
        <v>2.42</v>
      </c>
      <c r="I1129" s="35">
        <v>0.53</v>
      </c>
      <c r="J1129" s="35">
        <v>6.41</v>
      </c>
      <c r="K1129" s="35">
        <v>0.99</v>
      </c>
      <c r="L1129" s="35">
        <v>40.200000000000003</v>
      </c>
    </row>
    <row r="1130" spans="1:29" x14ac:dyDescent="0.25">
      <c r="A1130" s="37">
        <v>209235</v>
      </c>
      <c r="B1130" s="34">
        <v>57</v>
      </c>
      <c r="C1130" s="35" t="s">
        <v>187</v>
      </c>
      <c r="D1130" s="35">
        <v>9.52</v>
      </c>
      <c r="E1130" s="35">
        <v>4.09</v>
      </c>
      <c r="F1130" s="36">
        <v>1.6251600000000002</v>
      </c>
      <c r="G1130" s="35">
        <v>0.68</v>
      </c>
      <c r="H1130" s="35">
        <v>2.33</v>
      </c>
      <c r="I1130" s="35">
        <v>0.49</v>
      </c>
      <c r="J1130" s="35">
        <v>5.59</v>
      </c>
      <c r="K1130" s="35">
        <v>1.49</v>
      </c>
      <c r="L1130" s="35">
        <v>43.1</v>
      </c>
    </row>
    <row r="1131" spans="1:29" x14ac:dyDescent="0.25">
      <c r="A1131" s="37">
        <v>209236</v>
      </c>
      <c r="B1131" s="34">
        <v>62</v>
      </c>
      <c r="C1131" s="35" t="s">
        <v>187</v>
      </c>
      <c r="D1131" s="35">
        <v>9.2100000000000009</v>
      </c>
      <c r="E1131" s="35">
        <v>2.4500000000000002</v>
      </c>
      <c r="F1131" s="36">
        <v>1.1207999999999998</v>
      </c>
      <c r="G1131" s="35">
        <v>0.47</v>
      </c>
      <c r="H1131" s="35">
        <v>1.6</v>
      </c>
      <c r="I1131" s="35">
        <v>0.18</v>
      </c>
      <c r="J1131" s="35">
        <v>2.93</v>
      </c>
      <c r="K1131" s="35">
        <v>1.6</v>
      </c>
      <c r="L1131" s="35">
        <v>34.1</v>
      </c>
    </row>
    <row r="1132" spans="1:29" x14ac:dyDescent="0.25">
      <c r="A1132" s="962">
        <v>209237</v>
      </c>
      <c r="B1132" s="963">
        <v>55.42</v>
      </c>
      <c r="C1132" s="964" t="s">
        <v>187</v>
      </c>
      <c r="D1132" s="964"/>
      <c r="E1132" s="964"/>
      <c r="F1132" s="964"/>
      <c r="G1132" s="964"/>
      <c r="H1132" s="964"/>
      <c r="I1132" s="964"/>
      <c r="J1132" s="964"/>
      <c r="K1132" s="964"/>
      <c r="L1132" s="964">
        <v>47.5</v>
      </c>
    </row>
    <row r="1133" spans="1:29" x14ac:dyDescent="0.25">
      <c r="A1133" s="962">
        <v>209238</v>
      </c>
      <c r="B1133" s="963">
        <v>59.24</v>
      </c>
      <c r="C1133" s="964" t="s">
        <v>187</v>
      </c>
      <c r="D1133" s="964"/>
      <c r="E1133" s="964"/>
      <c r="F1133" s="964"/>
      <c r="G1133" s="964"/>
      <c r="H1133" s="964"/>
      <c r="I1133" s="964"/>
      <c r="J1133" s="964"/>
      <c r="K1133" s="964"/>
      <c r="L1133" s="964">
        <v>47.3</v>
      </c>
    </row>
    <row r="1134" spans="1:29" x14ac:dyDescent="0.25">
      <c r="A1134" s="962">
        <v>209239</v>
      </c>
      <c r="B1134" s="963">
        <v>58.65</v>
      </c>
      <c r="C1134" s="964" t="s">
        <v>187</v>
      </c>
      <c r="D1134" s="964"/>
      <c r="E1134" s="964"/>
      <c r="F1134" s="964"/>
      <c r="G1134" s="964"/>
      <c r="H1134" s="964"/>
      <c r="I1134" s="964"/>
      <c r="J1134" s="964"/>
      <c r="K1134" s="964"/>
      <c r="L1134" s="964">
        <v>40</v>
      </c>
    </row>
    <row r="1135" spans="1:29" x14ac:dyDescent="0.25">
      <c r="A1135" s="1058">
        <v>209240</v>
      </c>
      <c r="B1135" s="1059">
        <v>92</v>
      </c>
      <c r="C1135" s="1060" t="s">
        <v>187</v>
      </c>
      <c r="D1135" s="1060">
        <v>5.57</v>
      </c>
      <c r="E1135" s="1060">
        <v>49.7</v>
      </c>
      <c r="F1135" s="1060">
        <v>5.52</v>
      </c>
      <c r="G1135" s="1061">
        <v>1.78</v>
      </c>
      <c r="H1135" s="1061">
        <v>0.46</v>
      </c>
      <c r="I1135" s="1061">
        <v>8.74</v>
      </c>
      <c r="J1135" s="1061">
        <v>3.43</v>
      </c>
      <c r="K1135" s="1061">
        <v>0.31</v>
      </c>
      <c r="L1135" s="1060">
        <v>52.7</v>
      </c>
    </row>
    <row r="1136" spans="1:29" x14ac:dyDescent="0.25">
      <c r="A1136" s="1058">
        <v>209241</v>
      </c>
      <c r="B1136" s="1059">
        <v>77</v>
      </c>
      <c r="C1136" s="1060" t="s">
        <v>187</v>
      </c>
      <c r="D1136" s="1060">
        <v>7.35</v>
      </c>
      <c r="E1136" s="1060">
        <v>1.28</v>
      </c>
      <c r="F1136" s="1075">
        <v>0.67247999999999997</v>
      </c>
      <c r="G1136" s="1061">
        <v>0.14000000000000001</v>
      </c>
      <c r="H1136" s="1061">
        <v>0.3</v>
      </c>
      <c r="I1136" s="1061">
        <v>0.21</v>
      </c>
      <c r="J1136" s="1061">
        <v>0.84</v>
      </c>
      <c r="K1136" s="1061">
        <v>0.31</v>
      </c>
      <c r="L1136" s="1060">
        <v>26.2</v>
      </c>
      <c r="M1136" s="753">
        <v>39.42</v>
      </c>
      <c r="N1136" s="753">
        <v>13.43</v>
      </c>
      <c r="O1136" s="753">
        <v>262.62</v>
      </c>
      <c r="P1136" s="753">
        <v>11492.69</v>
      </c>
      <c r="Q1136" s="753">
        <v>16.329999999999998</v>
      </c>
      <c r="U1136" s="35">
        <v>1E-3</v>
      </c>
      <c r="V1136" s="35">
        <v>0.43</v>
      </c>
      <c r="X1136" s="35">
        <v>23.01</v>
      </c>
      <c r="Y1136" s="35">
        <v>1E-3</v>
      </c>
      <c r="Z1136" s="35">
        <v>1.05</v>
      </c>
      <c r="AA1136" s="35">
        <v>8.4700000000000006</v>
      </c>
      <c r="AB1136" s="35">
        <v>3.51</v>
      </c>
      <c r="AC1136" s="35">
        <v>1E-3</v>
      </c>
    </row>
    <row r="1137" spans="1:12" x14ac:dyDescent="0.25">
      <c r="A1137" s="1058">
        <v>209242</v>
      </c>
      <c r="B1137" s="1059">
        <v>94</v>
      </c>
      <c r="C1137" s="1060" t="s">
        <v>187</v>
      </c>
      <c r="D1137" s="1060">
        <v>8.6199999999999992</v>
      </c>
      <c r="E1137" s="1060">
        <v>1.2</v>
      </c>
      <c r="F1137" s="1060">
        <v>1.4</v>
      </c>
      <c r="G1137" s="1061">
        <v>0.22</v>
      </c>
      <c r="H1137" s="1061">
        <v>1.1499999999999999</v>
      </c>
      <c r="I1137" s="1061">
        <v>0.05</v>
      </c>
      <c r="J1137" s="1061">
        <v>2.9</v>
      </c>
      <c r="K1137" s="1061">
        <v>0.17</v>
      </c>
      <c r="L1137" s="1060">
        <v>77.400000000000006</v>
      </c>
    </row>
    <row r="1138" spans="1:12" x14ac:dyDescent="0.25">
      <c r="A1138" s="962">
        <v>209243</v>
      </c>
      <c r="B1138" s="963">
        <v>93.48</v>
      </c>
      <c r="C1138" s="964" t="s">
        <v>480</v>
      </c>
      <c r="D1138" s="964"/>
      <c r="E1138" s="964"/>
      <c r="F1138" s="964"/>
      <c r="G1138" s="964"/>
      <c r="H1138" s="964"/>
      <c r="I1138" s="964"/>
      <c r="J1138" s="964"/>
      <c r="K1138" s="964"/>
      <c r="L1138" s="964">
        <v>67.099999999999994</v>
      </c>
    </row>
    <row r="1139" spans="1:12" x14ac:dyDescent="0.25">
      <c r="A1139" s="1058">
        <v>209244</v>
      </c>
      <c r="B1139" s="1059">
        <v>53</v>
      </c>
      <c r="C1139" s="1060" t="s">
        <v>187</v>
      </c>
      <c r="D1139" s="1060">
        <v>9.36</v>
      </c>
      <c r="E1139" s="1060">
        <v>3.64</v>
      </c>
      <c r="F1139" s="1060">
        <v>1.63</v>
      </c>
      <c r="G1139" s="1339">
        <v>0.72</v>
      </c>
      <c r="H1139" s="1061">
        <v>2.46</v>
      </c>
      <c r="I1139" s="1061">
        <v>0.57999999999999996</v>
      </c>
      <c r="J1139" s="1061">
        <v>6.75</v>
      </c>
      <c r="K1139" s="1061">
        <v>1.08</v>
      </c>
      <c r="L1139" s="1060">
        <v>41.1</v>
      </c>
    </row>
    <row r="1140" spans="1:12" x14ac:dyDescent="0.25">
      <c r="A1140" s="1058">
        <v>209245</v>
      </c>
      <c r="B1140" s="1059">
        <v>54</v>
      </c>
      <c r="C1140" s="1060" t="s">
        <v>187</v>
      </c>
      <c r="D1140" s="1060">
        <v>9.32</v>
      </c>
      <c r="E1140" s="1060">
        <v>3.96</v>
      </c>
      <c r="F1140" s="1060">
        <v>1.51</v>
      </c>
      <c r="G1140" s="1339">
        <v>0.62</v>
      </c>
      <c r="H1140" s="1061">
        <v>2.0699999999999998</v>
      </c>
      <c r="I1140" s="1061">
        <v>0.51</v>
      </c>
      <c r="J1140" s="1061">
        <v>6.27</v>
      </c>
      <c r="K1140" s="1061">
        <v>0.89</v>
      </c>
      <c r="L1140" s="1060">
        <v>40.700000000000003</v>
      </c>
    </row>
    <row r="1141" spans="1:12" x14ac:dyDescent="0.25">
      <c r="A1141" s="1058">
        <v>209246</v>
      </c>
      <c r="B1141" s="1059">
        <v>56</v>
      </c>
      <c r="C1141" s="1060" t="s">
        <v>187</v>
      </c>
      <c r="D1141" s="1060">
        <v>9.4</v>
      </c>
      <c r="E1141" s="1060">
        <v>3.58</v>
      </c>
      <c r="F1141" s="1060">
        <v>1.43</v>
      </c>
      <c r="G1141" s="1339">
        <v>0.55000000000000004</v>
      </c>
      <c r="H1141" s="1061">
        <v>2.19</v>
      </c>
      <c r="I1141" s="1061">
        <v>0.52</v>
      </c>
      <c r="J1141" s="1061">
        <v>6.16</v>
      </c>
      <c r="K1141" s="1061">
        <v>1.07</v>
      </c>
      <c r="L1141" s="1060">
        <v>47.2</v>
      </c>
    </row>
    <row r="1142" spans="1:12" x14ac:dyDescent="0.25">
      <c r="A1142" s="1058">
        <v>209247</v>
      </c>
      <c r="B1142" s="1058">
        <v>54</v>
      </c>
      <c r="C1142" s="1060" t="s">
        <v>187</v>
      </c>
      <c r="D1142" s="1060">
        <v>9.33</v>
      </c>
      <c r="E1142" s="1060">
        <v>3.86</v>
      </c>
      <c r="F1142" s="1060">
        <v>1.54</v>
      </c>
      <c r="G1142" s="1339">
        <v>0.59</v>
      </c>
      <c r="H1142" s="1061">
        <v>2.2000000000000002</v>
      </c>
      <c r="I1142" s="1061">
        <v>0.5</v>
      </c>
      <c r="J1142" s="1061">
        <v>4.9400000000000004</v>
      </c>
      <c r="K1142" s="1061">
        <v>0.91</v>
      </c>
      <c r="L1142" s="1060">
        <v>47.1</v>
      </c>
    </row>
    <row r="1143" spans="1:12" x14ac:dyDescent="0.25">
      <c r="A1143" s="962">
        <v>209248</v>
      </c>
      <c r="B1143" s="963">
        <v>68.64</v>
      </c>
      <c r="C1143" s="964" t="s">
        <v>187</v>
      </c>
      <c r="D1143" s="964"/>
      <c r="E1143" s="964"/>
      <c r="F1143" s="964"/>
      <c r="G1143" s="964"/>
      <c r="H1143" s="964"/>
      <c r="I1143" s="964"/>
      <c r="J1143" s="964"/>
      <c r="K1143" s="964"/>
      <c r="L1143" s="964">
        <v>35.799999999999997</v>
      </c>
    </row>
    <row r="1144" spans="1:12" ht="18" customHeight="1" x14ac:dyDescent="0.25">
      <c r="A1144" s="962">
        <v>209249</v>
      </c>
      <c r="B1144" s="963">
        <v>71.539999999999992</v>
      </c>
      <c r="C1144" s="964" t="s">
        <v>187</v>
      </c>
      <c r="D1144" s="964"/>
      <c r="E1144" s="964"/>
      <c r="F1144" s="964"/>
      <c r="G1144" s="964"/>
      <c r="H1144" s="964"/>
      <c r="I1144" s="964"/>
      <c r="J1144" s="964"/>
      <c r="K1144" s="964"/>
      <c r="L1144" s="964">
        <v>53.3</v>
      </c>
    </row>
    <row r="1145" spans="1:12" x14ac:dyDescent="0.25">
      <c r="A1145" s="37">
        <v>209250</v>
      </c>
      <c r="B1145" s="34">
        <v>63</v>
      </c>
      <c r="C1145" s="35" t="s">
        <v>187</v>
      </c>
      <c r="D1145" s="35">
        <v>8.9700000000000006</v>
      </c>
      <c r="E1145" s="35">
        <v>5.52</v>
      </c>
      <c r="F1145" s="35">
        <v>1.77</v>
      </c>
      <c r="G1145" s="35">
        <v>1.65</v>
      </c>
      <c r="H1145" s="35">
        <v>2.71</v>
      </c>
      <c r="I1145" s="35">
        <v>0.64</v>
      </c>
      <c r="J1145" s="35">
        <v>8.48</v>
      </c>
      <c r="K1145" s="35">
        <v>1.06</v>
      </c>
      <c r="L1145" s="35">
        <v>44.8</v>
      </c>
    </row>
    <row r="1146" spans="1:12" x14ac:dyDescent="0.25">
      <c r="A1146" s="925">
        <v>209251</v>
      </c>
      <c r="B1146" s="34">
        <v>76</v>
      </c>
      <c r="C1146" s="35" t="s">
        <v>187</v>
      </c>
      <c r="D1146" s="35">
        <v>7.64</v>
      </c>
      <c r="E1146" s="35">
        <v>1.3129999999999999</v>
      </c>
      <c r="F1146" s="35">
        <v>1.54</v>
      </c>
      <c r="G1146" s="35">
        <v>0.39</v>
      </c>
      <c r="H1146" s="35">
        <v>0.93</v>
      </c>
      <c r="I1146" s="35">
        <v>0.21</v>
      </c>
      <c r="J1146" s="35">
        <v>2.35</v>
      </c>
      <c r="K1146" s="35">
        <v>0.56999999999999995</v>
      </c>
      <c r="L1146" s="35">
        <v>41</v>
      </c>
    </row>
    <row r="1147" spans="1:12" x14ac:dyDescent="0.25">
      <c r="A1147" s="925">
        <v>209252</v>
      </c>
      <c r="B1147" s="34">
        <v>69</v>
      </c>
      <c r="C1147" s="35" t="s">
        <v>187</v>
      </c>
      <c r="F1147" s="35">
        <v>1.18</v>
      </c>
      <c r="G1147" s="35">
        <v>0.15</v>
      </c>
      <c r="H1147" s="35">
        <v>0.38</v>
      </c>
      <c r="I1147" s="35">
        <v>0.14000000000000001</v>
      </c>
      <c r="J1147" s="35">
        <v>4.29</v>
      </c>
      <c r="K1147" s="35">
        <v>0.26</v>
      </c>
      <c r="L1147" s="35">
        <v>37.200000000000003</v>
      </c>
    </row>
    <row r="1148" spans="1:12" x14ac:dyDescent="0.25">
      <c r="A1148" s="962">
        <v>209253</v>
      </c>
      <c r="B1148" s="963">
        <v>75</v>
      </c>
      <c r="C1148" s="964" t="s">
        <v>476</v>
      </c>
      <c r="D1148" s="964"/>
      <c r="E1148" s="964"/>
      <c r="F1148" s="964"/>
      <c r="G1148" s="964"/>
      <c r="H1148" s="964"/>
      <c r="I1148" s="964"/>
      <c r="J1148" s="964"/>
      <c r="K1148" s="964"/>
      <c r="L1148" s="964">
        <v>41.5</v>
      </c>
    </row>
    <row r="1149" spans="1:12" x14ac:dyDescent="0.25">
      <c r="A1149" s="962">
        <v>209254</v>
      </c>
      <c r="B1149" s="963">
        <v>71</v>
      </c>
      <c r="C1149" s="964" t="s">
        <v>476</v>
      </c>
      <c r="D1149" s="964"/>
      <c r="E1149" s="964"/>
      <c r="F1149" s="964"/>
      <c r="G1149" s="964"/>
      <c r="H1149" s="964"/>
      <c r="I1149" s="964"/>
      <c r="J1149" s="964"/>
      <c r="K1149" s="964"/>
      <c r="L1149" s="964">
        <v>37.1</v>
      </c>
    </row>
    <row r="1150" spans="1:12" x14ac:dyDescent="0.25">
      <c r="A1150" s="962">
        <v>209255</v>
      </c>
      <c r="B1150" s="963">
        <v>70.31</v>
      </c>
      <c r="C1150" s="964" t="s">
        <v>476</v>
      </c>
      <c r="D1150" s="964"/>
      <c r="E1150" s="964"/>
      <c r="F1150" s="964"/>
      <c r="G1150" s="964"/>
      <c r="H1150" s="964"/>
      <c r="I1150" s="964"/>
      <c r="J1150" s="964"/>
      <c r="K1150" s="964"/>
      <c r="L1150" s="964">
        <v>39.6</v>
      </c>
    </row>
    <row r="1151" spans="1:12" x14ac:dyDescent="0.25">
      <c r="A1151" s="37">
        <v>209256</v>
      </c>
      <c r="B1151" s="34">
        <v>92</v>
      </c>
      <c r="C1151" s="35" t="s">
        <v>477</v>
      </c>
      <c r="D1151" s="35">
        <v>5.88</v>
      </c>
      <c r="E1151" s="35">
        <v>44.8</v>
      </c>
      <c r="F1151" s="36">
        <v>4.9035000000000002</v>
      </c>
      <c r="G1151" s="35">
        <v>1.95</v>
      </c>
      <c r="H1151" s="35">
        <v>0.39</v>
      </c>
      <c r="I1151" s="35">
        <v>10.41</v>
      </c>
      <c r="J1151" s="35">
        <v>4.04</v>
      </c>
      <c r="K1151" s="35">
        <v>0.27</v>
      </c>
      <c r="L1151" s="35">
        <v>51</v>
      </c>
    </row>
    <row r="1152" spans="1:12" x14ac:dyDescent="0.25">
      <c r="A1152" s="37">
        <v>209257</v>
      </c>
      <c r="B1152" s="34">
        <v>69</v>
      </c>
      <c r="C1152" s="35" t="s">
        <v>476</v>
      </c>
      <c r="D1152" s="35">
        <v>7.37</v>
      </c>
      <c r="E1152" s="35">
        <v>0.47399999999999998</v>
      </c>
      <c r="F1152" s="36">
        <v>0.92466000000000004</v>
      </c>
      <c r="G1152" s="35">
        <v>0.16</v>
      </c>
      <c r="H1152" s="35">
        <v>0.6</v>
      </c>
      <c r="I1152" s="35">
        <v>0.08</v>
      </c>
      <c r="J1152" s="35">
        <v>3.21</v>
      </c>
      <c r="K1152" s="35">
        <v>0.44</v>
      </c>
      <c r="L1152" s="35">
        <v>73.8</v>
      </c>
    </row>
    <row r="1153" spans="1:12" x14ac:dyDescent="0.25">
      <c r="A1153" s="37">
        <v>209258</v>
      </c>
      <c r="B1153" s="34">
        <v>77</v>
      </c>
      <c r="C1153" s="35" t="s">
        <v>476</v>
      </c>
      <c r="D1153" s="35">
        <v>9.1999999999999993</v>
      </c>
      <c r="E1153" s="35">
        <v>1.75</v>
      </c>
      <c r="F1153" s="36">
        <v>1.2608999999999999</v>
      </c>
      <c r="G1153" s="35">
        <v>0.66</v>
      </c>
      <c r="H1153" s="35">
        <v>1.1299999999999999</v>
      </c>
      <c r="I1153" s="35">
        <v>0.08</v>
      </c>
      <c r="J1153" s="35">
        <v>6.36</v>
      </c>
      <c r="K1153" s="35">
        <v>0.44</v>
      </c>
      <c r="L1153" s="35">
        <v>43.7</v>
      </c>
    </row>
    <row r="1154" spans="1:12" x14ac:dyDescent="0.25">
      <c r="A1154" s="37">
        <v>209259</v>
      </c>
      <c r="B1154" s="34">
        <v>85</v>
      </c>
      <c r="C1154" s="35" t="s">
        <v>476</v>
      </c>
      <c r="D1154" s="35">
        <v>6.27</v>
      </c>
      <c r="E1154" s="35">
        <v>0.33600000000000002</v>
      </c>
      <c r="F1154" s="36">
        <v>0.70050000000000001</v>
      </c>
      <c r="G1154" s="35">
        <v>0.08</v>
      </c>
      <c r="H1154" s="35">
        <v>0.28999999999999998</v>
      </c>
      <c r="I1154" s="35">
        <v>0.06</v>
      </c>
      <c r="J1154" s="35">
        <v>1.95</v>
      </c>
      <c r="K1154" s="35">
        <v>0.13</v>
      </c>
      <c r="L1154" s="35">
        <v>70.400000000000006</v>
      </c>
    </row>
    <row r="1155" spans="1:12" x14ac:dyDescent="0.25">
      <c r="A1155" s="37">
        <v>209260</v>
      </c>
      <c r="B1155" s="34">
        <v>64</v>
      </c>
      <c r="C1155" s="35" t="s">
        <v>477</v>
      </c>
      <c r="D1155" s="35">
        <v>9.0299999999999994</v>
      </c>
      <c r="E1155" s="35">
        <v>4.6900000000000004</v>
      </c>
      <c r="F1155" s="36">
        <v>2.9981400000000002</v>
      </c>
      <c r="G1155" s="35">
        <v>1.1000000000000001</v>
      </c>
      <c r="H1155" s="35">
        <v>2.41</v>
      </c>
      <c r="I1155" s="35">
        <v>0.39</v>
      </c>
      <c r="J1155" s="35">
        <v>2.2200000000000002</v>
      </c>
      <c r="K1155" s="35">
        <v>0.74</v>
      </c>
      <c r="L1155" s="35">
        <v>83.1</v>
      </c>
    </row>
    <row r="1156" spans="1:12" x14ac:dyDescent="0.25">
      <c r="A1156" s="37">
        <v>209261</v>
      </c>
      <c r="B1156" s="34">
        <v>28</v>
      </c>
      <c r="C1156" s="35" t="s">
        <v>477</v>
      </c>
      <c r="D1156" s="35">
        <v>4.84</v>
      </c>
      <c r="E1156" s="35">
        <v>3.2</v>
      </c>
      <c r="F1156" s="36">
        <v>1.5130799999999998</v>
      </c>
      <c r="G1156" s="35">
        <v>0.16</v>
      </c>
      <c r="H1156" s="35">
        <v>1.98</v>
      </c>
      <c r="I1156" s="35">
        <v>0.05</v>
      </c>
      <c r="J1156" s="35">
        <v>0.37</v>
      </c>
      <c r="K1156" s="35">
        <v>0.08</v>
      </c>
      <c r="L1156" s="35">
        <v>93.3</v>
      </c>
    </row>
    <row r="1157" spans="1:12" x14ac:dyDescent="0.25">
      <c r="A1157" s="37">
        <v>209262</v>
      </c>
      <c r="B1157" s="34">
        <v>91</v>
      </c>
      <c r="C1157" s="35" t="s">
        <v>476</v>
      </c>
      <c r="D1157" s="35">
        <v>5.65</v>
      </c>
      <c r="E1157" s="35">
        <v>0.189</v>
      </c>
      <c r="F1157" s="36">
        <v>0.19613999999999998</v>
      </c>
      <c r="G1157" s="35">
        <v>0.02</v>
      </c>
      <c r="H1157" s="35">
        <v>0.13</v>
      </c>
      <c r="I1157" s="35">
        <v>7.0000000000000007E-2</v>
      </c>
      <c r="J1157" s="35">
        <v>0.53</v>
      </c>
      <c r="K1157" s="35">
        <v>0.21</v>
      </c>
      <c r="L1157" s="35">
        <v>97</v>
      </c>
    </row>
    <row r="1158" spans="1:12" x14ac:dyDescent="0.25">
      <c r="A1158" s="962">
        <v>209263</v>
      </c>
      <c r="B1158" s="963">
        <v>41.88</v>
      </c>
      <c r="C1158" s="964" t="s">
        <v>187</v>
      </c>
      <c r="D1158" s="964"/>
      <c r="E1158" s="964"/>
      <c r="F1158" s="964"/>
      <c r="G1158" s="964"/>
      <c r="H1158" s="964"/>
      <c r="I1158" s="964"/>
      <c r="J1158" s="964"/>
      <c r="K1158" s="964"/>
      <c r="L1158" s="964">
        <v>49.8</v>
      </c>
    </row>
    <row r="1159" spans="1:12" x14ac:dyDescent="0.25">
      <c r="A1159" s="37">
        <v>209264</v>
      </c>
      <c r="B1159" s="34">
        <v>44</v>
      </c>
      <c r="C1159" s="35" t="s">
        <v>187</v>
      </c>
      <c r="L1159" s="35">
        <v>41.7</v>
      </c>
    </row>
    <row r="1160" spans="1:12" x14ac:dyDescent="0.25">
      <c r="A1160" s="37">
        <v>209265</v>
      </c>
      <c r="B1160" s="34">
        <v>79</v>
      </c>
      <c r="C1160" s="35" t="s">
        <v>187</v>
      </c>
      <c r="L1160" s="35">
        <v>56.5</v>
      </c>
    </row>
    <row r="1161" spans="1:12" x14ac:dyDescent="0.25">
      <c r="A1161" s="37">
        <v>209266</v>
      </c>
      <c r="B1161" s="34">
        <v>76</v>
      </c>
      <c r="C1161" s="35" t="s">
        <v>187</v>
      </c>
      <c r="L1161" s="35">
        <v>52.2</v>
      </c>
    </row>
    <row r="1162" spans="1:12" x14ac:dyDescent="0.25">
      <c r="A1162" s="37">
        <v>209267</v>
      </c>
      <c r="B1162" s="34">
        <v>80</v>
      </c>
      <c r="C1162" s="35" t="s">
        <v>187</v>
      </c>
      <c r="L1162" s="35">
        <v>53.5</v>
      </c>
    </row>
    <row r="1163" spans="1:12" x14ac:dyDescent="0.25">
      <c r="A1163" s="37">
        <v>209268</v>
      </c>
      <c r="B1163" s="34">
        <v>89</v>
      </c>
      <c r="C1163" s="35" t="s">
        <v>187</v>
      </c>
      <c r="L1163" s="35">
        <v>86.6</v>
      </c>
    </row>
    <row r="1164" spans="1:12" x14ac:dyDescent="0.25">
      <c r="A1164" s="37">
        <v>209269</v>
      </c>
      <c r="B1164" s="34">
        <v>90</v>
      </c>
      <c r="C1164" s="35" t="s">
        <v>187</v>
      </c>
      <c r="L1164" s="35">
        <v>82.5</v>
      </c>
    </row>
    <row r="1165" spans="1:12" x14ac:dyDescent="0.25">
      <c r="A1165" s="37">
        <v>209270</v>
      </c>
      <c r="B1165" s="34">
        <v>91</v>
      </c>
      <c r="C1165" s="35" t="s">
        <v>187</v>
      </c>
      <c r="L1165" s="35">
        <v>76.5</v>
      </c>
    </row>
    <row r="1166" spans="1:12" x14ac:dyDescent="0.25">
      <c r="A1166" s="962">
        <v>209271</v>
      </c>
      <c r="B1166" s="963">
        <v>57</v>
      </c>
      <c r="C1166" s="964" t="s">
        <v>476</v>
      </c>
      <c r="D1166" s="964"/>
      <c r="E1166" s="964"/>
      <c r="F1166" s="964"/>
      <c r="G1166" s="964"/>
      <c r="H1166" s="964"/>
      <c r="I1166" s="964"/>
      <c r="J1166" s="964"/>
      <c r="K1166" s="964"/>
      <c r="L1166" s="964">
        <v>24.3</v>
      </c>
    </row>
    <row r="1167" spans="1:12" x14ac:dyDescent="0.25">
      <c r="A1167" s="962">
        <v>209272</v>
      </c>
      <c r="B1167" s="963">
        <v>53</v>
      </c>
      <c r="C1167" s="964" t="s">
        <v>476</v>
      </c>
      <c r="D1167" s="964"/>
      <c r="E1167" s="964"/>
      <c r="F1167" s="964"/>
      <c r="G1167" s="964"/>
      <c r="H1167" s="964"/>
      <c r="I1167" s="964"/>
      <c r="J1167" s="964"/>
      <c r="K1167" s="964"/>
      <c r="L1167" s="964">
        <v>43.5</v>
      </c>
    </row>
    <row r="1168" spans="1:12" x14ac:dyDescent="0.25">
      <c r="A1168" s="962">
        <v>209273</v>
      </c>
      <c r="B1168" s="963">
        <v>56.13</v>
      </c>
      <c r="C1168" s="964" t="s">
        <v>476</v>
      </c>
      <c r="D1168" s="964"/>
      <c r="E1168" s="964"/>
      <c r="F1168" s="964"/>
      <c r="G1168" s="964"/>
      <c r="H1168" s="964"/>
      <c r="I1168" s="964"/>
      <c r="J1168" s="964"/>
      <c r="K1168" s="964"/>
      <c r="L1168" s="964">
        <v>26.7</v>
      </c>
    </row>
    <row r="1169" spans="1:29" x14ac:dyDescent="0.25">
      <c r="A1169" s="962">
        <v>209274</v>
      </c>
      <c r="B1169" s="963">
        <v>50.79</v>
      </c>
      <c r="C1169" s="964" t="s">
        <v>476</v>
      </c>
      <c r="D1169" s="964"/>
      <c r="E1169" s="964"/>
      <c r="F1169" s="964"/>
      <c r="G1169" s="964"/>
      <c r="H1169" s="964"/>
      <c r="I1169" s="964"/>
      <c r="J1169" s="964"/>
      <c r="K1169" s="964"/>
      <c r="L1169" s="964">
        <v>44.1</v>
      </c>
    </row>
    <row r="1170" spans="1:29" x14ac:dyDescent="0.25">
      <c r="A1170" s="962">
        <v>209275</v>
      </c>
      <c r="B1170" s="963">
        <v>83</v>
      </c>
      <c r="C1170" s="964" t="s">
        <v>476</v>
      </c>
      <c r="D1170" s="964"/>
      <c r="E1170" s="964"/>
      <c r="F1170" s="964"/>
      <c r="G1170" s="964"/>
      <c r="H1170" s="964"/>
      <c r="I1170" s="964"/>
      <c r="J1170" s="964"/>
      <c r="K1170" s="964"/>
      <c r="L1170" s="964">
        <v>58</v>
      </c>
    </row>
    <row r="1171" spans="1:29" x14ac:dyDescent="0.25">
      <c r="A1171" s="962">
        <v>209276</v>
      </c>
      <c r="B1171" s="963">
        <v>81</v>
      </c>
      <c r="C1171" s="964" t="s">
        <v>476</v>
      </c>
      <c r="D1171" s="964"/>
      <c r="E1171" s="964"/>
      <c r="F1171" s="964"/>
      <c r="G1171" s="964"/>
      <c r="H1171" s="964"/>
      <c r="I1171" s="964"/>
      <c r="J1171" s="964"/>
      <c r="K1171" s="964"/>
      <c r="L1171" s="964">
        <v>53.3</v>
      </c>
    </row>
    <row r="1172" spans="1:29" x14ac:dyDescent="0.25">
      <c r="A1172" s="962">
        <v>209277</v>
      </c>
      <c r="B1172" s="963">
        <v>82</v>
      </c>
      <c r="C1172" s="964" t="s">
        <v>476</v>
      </c>
      <c r="D1172" s="964"/>
      <c r="E1172" s="964"/>
      <c r="F1172" s="964"/>
      <c r="G1172" s="964"/>
      <c r="H1172" s="964"/>
      <c r="I1172" s="964"/>
      <c r="J1172" s="964"/>
      <c r="K1172" s="964"/>
      <c r="L1172" s="964">
        <v>60.4</v>
      </c>
    </row>
    <row r="1173" spans="1:29" x14ac:dyDescent="0.25">
      <c r="A1173" s="962">
        <v>209278</v>
      </c>
      <c r="B1173" s="963">
        <v>92</v>
      </c>
      <c r="C1173" s="964" t="s">
        <v>476</v>
      </c>
      <c r="D1173" s="964"/>
      <c r="E1173" s="964"/>
      <c r="F1173" s="964"/>
      <c r="G1173" s="964"/>
      <c r="H1173" s="964"/>
      <c r="I1173" s="964"/>
      <c r="J1173" s="964"/>
      <c r="K1173" s="964"/>
      <c r="L1173" s="964">
        <v>70.3</v>
      </c>
    </row>
    <row r="1174" spans="1:29" x14ac:dyDescent="0.25">
      <c r="A1174" s="962">
        <v>209279</v>
      </c>
      <c r="B1174" s="963">
        <v>93</v>
      </c>
      <c r="C1174" s="964" t="s">
        <v>476</v>
      </c>
      <c r="D1174" s="964"/>
      <c r="E1174" s="964"/>
      <c r="F1174" s="964"/>
      <c r="G1174" s="964"/>
      <c r="H1174" s="964"/>
      <c r="I1174" s="964"/>
      <c r="J1174" s="964"/>
      <c r="K1174" s="964"/>
      <c r="L1174" s="964">
        <v>74.3</v>
      </c>
    </row>
    <row r="1175" spans="1:29" x14ac:dyDescent="0.25">
      <c r="A1175" s="962">
        <v>209280</v>
      </c>
      <c r="B1175" s="963">
        <v>93</v>
      </c>
      <c r="C1175" s="964" t="s">
        <v>476</v>
      </c>
      <c r="D1175" s="964"/>
      <c r="E1175" s="964"/>
      <c r="F1175" s="964"/>
      <c r="G1175" s="964"/>
      <c r="H1175" s="964"/>
      <c r="I1175" s="964"/>
      <c r="J1175" s="964"/>
      <c r="K1175" s="964"/>
      <c r="L1175" s="964">
        <v>70.8</v>
      </c>
    </row>
    <row r="1176" spans="1:29" x14ac:dyDescent="0.25">
      <c r="A1176" s="962">
        <v>209281</v>
      </c>
      <c r="B1176" s="963">
        <v>63</v>
      </c>
      <c r="C1176" s="964" t="s">
        <v>476</v>
      </c>
      <c r="D1176" s="964"/>
      <c r="E1176" s="964"/>
      <c r="F1176" s="964"/>
      <c r="G1176" s="964"/>
      <c r="H1176" s="964"/>
      <c r="I1176" s="964"/>
      <c r="J1176" s="964"/>
      <c r="K1176" s="964"/>
      <c r="L1176" s="964">
        <v>46.5</v>
      </c>
    </row>
    <row r="1177" spans="1:29" x14ac:dyDescent="0.25">
      <c r="A1177" s="1247">
        <v>209282</v>
      </c>
      <c r="B1177" s="1248">
        <v>60</v>
      </c>
      <c r="C1177" s="651" t="s">
        <v>476</v>
      </c>
      <c r="D1177" s="651"/>
      <c r="E1177" s="651"/>
      <c r="F1177" s="651"/>
      <c r="G1177" s="651"/>
      <c r="H1177" s="651"/>
      <c r="I1177" s="651"/>
      <c r="J1177" s="651"/>
      <c r="K1177" s="651"/>
      <c r="L1177" s="651"/>
      <c r="M1177" s="651">
        <v>123.29</v>
      </c>
      <c r="N1177" s="651">
        <v>35.840000000000003</v>
      </c>
      <c r="O1177" s="35">
        <v>364.23</v>
      </c>
      <c r="P1177" s="35">
        <v>9509.58</v>
      </c>
      <c r="Q1177" s="35">
        <v>27.55</v>
      </c>
      <c r="U1177" s="35">
        <v>5.9779999999999998</v>
      </c>
      <c r="V1177" s="35">
        <v>0.57740000000000002</v>
      </c>
      <c r="Y1177" s="35">
        <v>1E-3</v>
      </c>
      <c r="Z1177" s="35">
        <v>1.69</v>
      </c>
      <c r="AA1177" s="35">
        <v>13.481</v>
      </c>
      <c r="AB1177" s="35">
        <v>7.1849999999999996</v>
      </c>
      <c r="AC1177" s="35">
        <v>0.69399999999999995</v>
      </c>
    </row>
    <row r="1178" spans="1:29" x14ac:dyDescent="0.25">
      <c r="A1178" s="1247">
        <v>209283</v>
      </c>
      <c r="B1178" s="1248">
        <v>85</v>
      </c>
      <c r="C1178" s="651" t="s">
        <v>477</v>
      </c>
      <c r="D1178" s="651">
        <v>7.88</v>
      </c>
      <c r="E1178" s="651">
        <v>5.26</v>
      </c>
      <c r="F1178" s="651">
        <v>3.78</v>
      </c>
      <c r="G1178" s="651">
        <v>1.63</v>
      </c>
      <c r="H1178" s="651">
        <v>2.1</v>
      </c>
      <c r="I1178" s="651">
        <v>0.22</v>
      </c>
      <c r="J1178" s="651">
        <v>7.31</v>
      </c>
      <c r="K1178" s="651">
        <v>0.54</v>
      </c>
      <c r="L1178" s="651">
        <v>73.3</v>
      </c>
      <c r="M1178" s="651">
        <v>335.4</v>
      </c>
      <c r="N1178" s="651">
        <v>44.13</v>
      </c>
      <c r="O1178" s="35">
        <v>276.05</v>
      </c>
      <c r="P1178" s="35">
        <v>937.71</v>
      </c>
      <c r="Q1178" s="35">
        <v>28.09</v>
      </c>
      <c r="U1178" s="35">
        <v>3.1230000000000002</v>
      </c>
      <c r="V1178" s="35">
        <v>0.43609999999999999</v>
      </c>
      <c r="Y1178" s="35">
        <v>1E-3</v>
      </c>
      <c r="Z1178" s="35">
        <v>3.44</v>
      </c>
      <c r="AA1178" s="35">
        <v>7.9480000000000004</v>
      </c>
      <c r="AB1178" s="35">
        <v>1E-3</v>
      </c>
      <c r="AC1178" s="35">
        <v>1E-3</v>
      </c>
    </row>
    <row r="1179" spans="1:29" x14ac:dyDescent="0.25">
      <c r="A1179" s="1247">
        <v>209284</v>
      </c>
      <c r="B1179" s="1248">
        <v>74</v>
      </c>
      <c r="C1179" s="651" t="s">
        <v>476</v>
      </c>
      <c r="D1179" s="651">
        <v>8.89</v>
      </c>
      <c r="E1179" s="651">
        <v>8.8800000000000008</v>
      </c>
      <c r="F1179" s="651">
        <v>2.86</v>
      </c>
      <c r="G1179" s="651">
        <v>2.09</v>
      </c>
      <c r="H1179" s="651">
        <v>2.19</v>
      </c>
      <c r="I1179" s="651">
        <v>2.5499999999999998</v>
      </c>
      <c r="J1179" s="651">
        <v>7.51</v>
      </c>
      <c r="K1179" s="651">
        <v>0.88</v>
      </c>
      <c r="L1179" s="651">
        <v>48.8</v>
      </c>
      <c r="M1179" s="651">
        <v>199.21</v>
      </c>
      <c r="N1179" s="651">
        <v>48.84</v>
      </c>
      <c r="O1179" s="35">
        <v>331.73</v>
      </c>
      <c r="P1179" s="35">
        <v>6094.51</v>
      </c>
      <c r="Q1179" s="35">
        <v>32.28</v>
      </c>
      <c r="U1179" s="35">
        <v>4.6239999999999997</v>
      </c>
      <c r="V1179" s="35">
        <v>1.4864999999999999</v>
      </c>
      <c r="Y1179" s="35">
        <v>1E-3</v>
      </c>
      <c r="Z1179" s="35">
        <v>2.88</v>
      </c>
      <c r="AA1179" s="35">
        <v>11.958</v>
      </c>
      <c r="AB1179" s="35">
        <v>4.0439999999999996</v>
      </c>
      <c r="AC1179" s="35">
        <v>1E-3</v>
      </c>
    </row>
    <row r="1180" spans="1:29" x14ac:dyDescent="0.25">
      <c r="A1180" s="1247">
        <v>209285</v>
      </c>
      <c r="B1180" s="1248">
        <v>63</v>
      </c>
      <c r="C1180" s="651" t="s">
        <v>476</v>
      </c>
      <c r="D1180" s="651">
        <v>9.18</v>
      </c>
      <c r="E1180" s="651">
        <v>3.35</v>
      </c>
      <c r="F1180" s="651">
        <v>1.49</v>
      </c>
      <c r="G1180" s="651">
        <v>0.53</v>
      </c>
      <c r="H1180" s="651">
        <v>2.14</v>
      </c>
      <c r="I1180" s="651">
        <v>0.3</v>
      </c>
      <c r="J1180" s="651">
        <v>7.01</v>
      </c>
      <c r="K1180" s="651">
        <v>1.53</v>
      </c>
      <c r="L1180" s="651">
        <v>48.8</v>
      </c>
      <c r="M1180" s="651"/>
      <c r="N1180" s="651"/>
    </row>
    <row r="1181" spans="1:29" x14ac:dyDescent="0.25">
      <c r="A1181" s="745">
        <v>209286</v>
      </c>
      <c r="B1181" s="746">
        <v>89</v>
      </c>
      <c r="C1181" s="747" t="s">
        <v>476</v>
      </c>
      <c r="D1181" s="747">
        <v>7.28</v>
      </c>
      <c r="E1181" s="747">
        <v>0.45500000000000002</v>
      </c>
      <c r="F1181" s="747">
        <v>0.25</v>
      </c>
      <c r="G1181" s="747">
        <v>0.05</v>
      </c>
      <c r="H1181" s="747">
        <v>0.23</v>
      </c>
      <c r="I1181" s="747">
        <v>0.04</v>
      </c>
      <c r="J1181" s="747">
        <v>4.54</v>
      </c>
      <c r="K1181" s="747">
        <v>0.31</v>
      </c>
      <c r="L1181" s="747">
        <v>64.099999999999994</v>
      </c>
    </row>
    <row r="1182" spans="1:29" x14ac:dyDescent="0.25">
      <c r="A1182" s="1668">
        <v>209287</v>
      </c>
      <c r="B1182" s="1669">
        <v>60</v>
      </c>
      <c r="C1182" s="1670" t="s">
        <v>187</v>
      </c>
      <c r="D1182" s="1670">
        <v>8.8000000000000007</v>
      </c>
      <c r="E1182" s="1670">
        <v>4.47</v>
      </c>
      <c r="F1182" s="1670">
        <v>0.9</v>
      </c>
      <c r="G1182" s="1670">
        <v>0.23</v>
      </c>
      <c r="H1182" s="1670">
        <v>2.34</v>
      </c>
      <c r="I1182" s="1670">
        <v>0.27</v>
      </c>
      <c r="J1182" s="1670">
        <v>8.4600000000000009</v>
      </c>
      <c r="K1182" s="1670">
        <v>0.86</v>
      </c>
      <c r="L1182" s="1670">
        <v>47</v>
      </c>
    </row>
    <row r="1183" spans="1:29" x14ac:dyDescent="0.25">
      <c r="A1183" s="1671">
        <v>209288</v>
      </c>
      <c r="B1183" s="1672">
        <v>93</v>
      </c>
      <c r="C1183" s="1673" t="s">
        <v>477</v>
      </c>
      <c r="D1183" s="1673"/>
      <c r="E1183" s="1673"/>
      <c r="F1183" s="1673">
        <v>7.96</v>
      </c>
      <c r="G1183" s="1673"/>
      <c r="H1183" s="1673"/>
      <c r="I1183" s="1673"/>
      <c r="J1183" s="1673"/>
      <c r="K1183" s="1673"/>
      <c r="L1183" s="1673"/>
    </row>
    <row r="1184" spans="1:29" x14ac:dyDescent="0.25">
      <c r="A1184" s="1671">
        <v>209289</v>
      </c>
      <c r="B1184" s="1672">
        <v>82</v>
      </c>
      <c r="C1184" s="1673" t="s">
        <v>476</v>
      </c>
      <c r="D1184" s="1673"/>
      <c r="E1184" s="1673"/>
      <c r="F1184" s="1673"/>
      <c r="G1184" s="1673"/>
      <c r="H1184" s="1673"/>
      <c r="I1184" s="1673"/>
      <c r="J1184" s="1673"/>
      <c r="K1184" s="1673"/>
      <c r="L1184" s="1673">
        <v>49</v>
      </c>
    </row>
    <row r="1185" spans="1:12" x14ac:dyDescent="0.25">
      <c r="A1185" s="1671">
        <v>209290</v>
      </c>
      <c r="B1185" s="1672">
        <v>85</v>
      </c>
      <c r="C1185" s="1673" t="s">
        <v>476</v>
      </c>
      <c r="D1185" s="1673"/>
      <c r="E1185" s="1673"/>
      <c r="F1185" s="1673"/>
      <c r="G1185" s="1673"/>
      <c r="H1185" s="1673"/>
      <c r="I1185" s="1673"/>
      <c r="J1185" s="1673"/>
      <c r="K1185" s="1673"/>
      <c r="L1185" s="1673">
        <v>51.2</v>
      </c>
    </row>
    <row r="1186" spans="1:12" x14ac:dyDescent="0.25">
      <c r="A1186" s="1671">
        <v>209291</v>
      </c>
      <c r="B1186" s="1672">
        <v>86</v>
      </c>
      <c r="C1186" s="1673" t="s">
        <v>476</v>
      </c>
      <c r="D1186" s="1673"/>
      <c r="E1186" s="1673"/>
      <c r="F1186" s="1673"/>
      <c r="G1186" s="1673"/>
      <c r="H1186" s="1673"/>
      <c r="I1186" s="1673">
        <f>0.22*1.8</f>
        <v>0.39600000000000002</v>
      </c>
      <c r="J1186" s="1673"/>
      <c r="K1186" s="1673"/>
      <c r="L1186" s="1673">
        <v>51.6</v>
      </c>
    </row>
    <row r="1187" spans="1:12" x14ac:dyDescent="0.25">
      <c r="A1187" s="1671">
        <v>209292</v>
      </c>
      <c r="B1187" s="1672">
        <v>91</v>
      </c>
      <c r="C1187" s="1673" t="s">
        <v>476</v>
      </c>
      <c r="D1187" s="1673"/>
      <c r="E1187" s="1673"/>
      <c r="F1187" s="1673"/>
      <c r="G1187" s="1673"/>
      <c r="H1187" s="1673"/>
      <c r="I1187" s="1673"/>
      <c r="J1187" s="1673"/>
      <c r="K1187" s="1673"/>
      <c r="L1187" s="1673">
        <v>76.400000000000006</v>
      </c>
    </row>
    <row r="1188" spans="1:12" x14ac:dyDescent="0.25">
      <c r="A1188" s="1671">
        <v>209293</v>
      </c>
      <c r="B1188" s="1672">
        <v>92</v>
      </c>
      <c r="C1188" s="1673" t="s">
        <v>476</v>
      </c>
      <c r="D1188" s="1673"/>
      <c r="E1188" s="1673"/>
      <c r="F1188" s="1673"/>
      <c r="G1188" s="1673"/>
      <c r="H1188" s="1673"/>
      <c r="I1188" s="1673"/>
      <c r="J1188" s="1673"/>
      <c r="K1188" s="1673"/>
      <c r="L1188" s="1673">
        <v>86.6</v>
      </c>
    </row>
    <row r="1189" spans="1:12" x14ac:dyDescent="0.25">
      <c r="A1189" s="1671">
        <v>209294</v>
      </c>
      <c r="B1189" s="1672">
        <v>92</v>
      </c>
      <c r="C1189" s="1673" t="s">
        <v>476</v>
      </c>
      <c r="D1189" s="1673"/>
      <c r="E1189" s="1673"/>
      <c r="F1189" s="1673"/>
      <c r="G1189" s="1673"/>
      <c r="H1189" s="1673"/>
      <c r="I1189" s="1673"/>
      <c r="J1189" s="1673"/>
      <c r="K1189" s="1673"/>
      <c r="L1189" s="1673">
        <v>76.5</v>
      </c>
    </row>
    <row r="1190" spans="1:12" x14ac:dyDescent="0.25">
      <c r="A1190" s="37">
        <v>209295</v>
      </c>
      <c r="B1190" s="34">
        <v>53</v>
      </c>
      <c r="C1190" s="35" t="s">
        <v>187</v>
      </c>
      <c r="D1190" s="35">
        <v>9.08</v>
      </c>
      <c r="E1190" s="35">
        <v>4.21</v>
      </c>
      <c r="F1190" s="35">
        <v>1.34</v>
      </c>
      <c r="G1190" s="35">
        <v>0.51</v>
      </c>
      <c r="H1190" s="35">
        <v>2.3199999999999998</v>
      </c>
      <c r="I1190" s="35">
        <v>0.59</v>
      </c>
      <c r="J1190" s="35">
        <v>5.97</v>
      </c>
      <c r="K1190" s="35">
        <v>1.89</v>
      </c>
      <c r="L1190" s="35">
        <v>54.4</v>
      </c>
    </row>
    <row r="1191" spans="1:12" x14ac:dyDescent="0.25">
      <c r="A1191" s="1689">
        <v>209296</v>
      </c>
      <c r="B1191" s="1690">
        <v>66</v>
      </c>
      <c r="C1191" s="1691" t="s">
        <v>476</v>
      </c>
      <c r="D1191" s="1691"/>
      <c r="E1191" s="1691"/>
      <c r="F1191" s="1691"/>
      <c r="G1191" s="1691"/>
      <c r="H1191" s="1691"/>
      <c r="I1191" s="1691"/>
      <c r="J1191" s="1691"/>
      <c r="K1191" s="1691"/>
      <c r="L1191" s="1691">
        <v>45.5</v>
      </c>
    </row>
    <row r="1192" spans="1:12" x14ac:dyDescent="0.25">
      <c r="A1192" s="37">
        <v>209297</v>
      </c>
      <c r="B1192" s="34">
        <v>38</v>
      </c>
      <c r="C1192" s="35" t="s">
        <v>187</v>
      </c>
      <c r="D1192" s="35">
        <v>8.81</v>
      </c>
      <c r="E1192" s="35">
        <v>4.21</v>
      </c>
      <c r="F1192" s="35">
        <v>1.45</v>
      </c>
      <c r="G1192" s="35">
        <v>0.39</v>
      </c>
      <c r="H1192" s="35">
        <v>2.15</v>
      </c>
      <c r="I1192" s="35">
        <v>0.45</v>
      </c>
      <c r="J1192" s="35">
        <v>9.0399999999999991</v>
      </c>
      <c r="K1192" s="35">
        <v>3.25</v>
      </c>
      <c r="L1192" s="35">
        <v>51.2</v>
      </c>
    </row>
    <row r="1193" spans="1:12" ht="13.5" customHeight="1" x14ac:dyDescent="0.25">
      <c r="A1193" s="37">
        <v>209298</v>
      </c>
      <c r="B1193" s="34">
        <v>69</v>
      </c>
      <c r="C1193" s="35" t="s">
        <v>187</v>
      </c>
      <c r="D1193" s="35">
        <v>8.92</v>
      </c>
      <c r="E1193" s="35">
        <v>1.82</v>
      </c>
      <c r="F1193" s="35">
        <v>1.29</v>
      </c>
      <c r="G1193" s="35">
        <v>0.46</v>
      </c>
      <c r="H1193" s="35">
        <v>1.91</v>
      </c>
      <c r="I1193" s="35">
        <v>0.41</v>
      </c>
      <c r="J1193" s="35">
        <v>5.37</v>
      </c>
      <c r="K1193" s="35">
        <v>0.95</v>
      </c>
      <c r="L1193" s="35">
        <v>56.2</v>
      </c>
    </row>
    <row r="1194" spans="1:12" x14ac:dyDescent="0.25">
      <c r="A1194" s="1692">
        <v>209299</v>
      </c>
      <c r="B1194" s="34">
        <v>58</v>
      </c>
      <c r="C1194" s="35" t="s">
        <v>187</v>
      </c>
      <c r="D1194" s="35">
        <v>9.24</v>
      </c>
      <c r="E1194" s="35">
        <v>3.95</v>
      </c>
      <c r="F1194" s="35">
        <v>1.54</v>
      </c>
      <c r="G1194" s="35">
        <v>0.57999999999999996</v>
      </c>
      <c r="H1194" s="35">
        <v>2.3199999999999998</v>
      </c>
      <c r="I1194" s="35">
        <v>0.45</v>
      </c>
      <c r="J1194" s="35">
        <v>4.63</v>
      </c>
      <c r="K1194" s="35">
        <v>0.88</v>
      </c>
      <c r="L1194" s="35">
        <v>39.299999999999997</v>
      </c>
    </row>
    <row r="1195" spans="1:12" x14ac:dyDescent="0.25">
      <c r="A1195" s="37">
        <v>209300</v>
      </c>
      <c r="B1195" s="34">
        <v>77</v>
      </c>
      <c r="C1195" s="35" t="s">
        <v>187</v>
      </c>
      <c r="D1195" s="36">
        <v>9</v>
      </c>
      <c r="E1195" s="35">
        <v>3.39</v>
      </c>
      <c r="F1195" s="35">
        <v>0.92</v>
      </c>
      <c r="G1195" s="35">
        <v>0.31</v>
      </c>
      <c r="H1195" s="35">
        <v>1.43</v>
      </c>
      <c r="I1195" s="35">
        <v>0.36</v>
      </c>
      <c r="J1195" s="35">
        <v>8.75</v>
      </c>
      <c r="K1195" s="35">
        <v>2.0499999999999998</v>
      </c>
      <c r="L1195" s="35">
        <v>41.7</v>
      </c>
    </row>
    <row r="1196" spans="1:12" x14ac:dyDescent="0.25">
      <c r="A1196" s="1255">
        <v>209301</v>
      </c>
      <c r="B1196" s="1256">
        <v>91</v>
      </c>
      <c r="C1196" s="1257" t="s">
        <v>187</v>
      </c>
      <c r="D1196" s="1257"/>
      <c r="E1196" s="1257"/>
      <c r="F1196" s="1257">
        <v>3.14</v>
      </c>
      <c r="G1196" s="1257"/>
      <c r="H1196" s="1257"/>
      <c r="I1196" s="1257"/>
      <c r="J1196" s="1257"/>
      <c r="K1196" s="1257"/>
      <c r="L1196" s="1257"/>
    </row>
    <row r="1197" spans="1:12" s="1700" customFormat="1" x14ac:dyDescent="0.25">
      <c r="A1197" s="1698">
        <v>209302</v>
      </c>
      <c r="B1197" s="1699">
        <v>55</v>
      </c>
      <c r="C1197" s="1700" t="s">
        <v>187</v>
      </c>
      <c r="L1197" s="1700">
        <v>52.5</v>
      </c>
    </row>
    <row r="1198" spans="1:12" s="1700" customFormat="1" x14ac:dyDescent="0.25">
      <c r="A1198" s="1698">
        <v>209303</v>
      </c>
      <c r="B1198" s="1699">
        <v>56</v>
      </c>
      <c r="C1198" s="1700" t="s">
        <v>187</v>
      </c>
      <c r="L1198" s="1700">
        <v>47.3</v>
      </c>
    </row>
    <row r="1199" spans="1:12" s="1700" customFormat="1" x14ac:dyDescent="0.25">
      <c r="A1199" s="1698">
        <v>209304</v>
      </c>
      <c r="B1199" s="1699">
        <v>60</v>
      </c>
      <c r="C1199" s="1700" t="s">
        <v>187</v>
      </c>
      <c r="L1199" s="1700">
        <v>50.3</v>
      </c>
    </row>
    <row r="1200" spans="1:12" s="1700" customFormat="1" x14ac:dyDescent="0.25">
      <c r="A1200" s="1698">
        <v>209305</v>
      </c>
      <c r="B1200" s="1699">
        <v>59</v>
      </c>
      <c r="C1200" s="1700" t="s">
        <v>187</v>
      </c>
      <c r="L1200" s="1700">
        <v>64.599999999999994</v>
      </c>
    </row>
    <row r="1201" spans="1:12" s="1700" customFormat="1" x14ac:dyDescent="0.25">
      <c r="A1201" s="1698">
        <v>209306</v>
      </c>
      <c r="B1201" s="1699">
        <v>53</v>
      </c>
      <c r="C1201" s="1700" t="s">
        <v>187</v>
      </c>
      <c r="L1201" s="1700">
        <v>72.099999999999994</v>
      </c>
    </row>
    <row r="1202" spans="1:12" s="1700" customFormat="1" x14ac:dyDescent="0.25">
      <c r="A1202" s="1698">
        <v>209307</v>
      </c>
      <c r="B1202" s="1699">
        <v>55</v>
      </c>
      <c r="C1202" s="1700" t="s">
        <v>187</v>
      </c>
      <c r="L1202" s="1700">
        <v>68.5</v>
      </c>
    </row>
    <row r="1203" spans="1:12" s="1700" customFormat="1" x14ac:dyDescent="0.25">
      <c r="A1203" s="1698">
        <v>209308</v>
      </c>
      <c r="B1203" s="1699">
        <v>50</v>
      </c>
      <c r="C1203" s="1700" t="s">
        <v>187</v>
      </c>
      <c r="L1203" s="1700">
        <v>48.2</v>
      </c>
    </row>
    <row r="1204" spans="1:12" s="1700" customFormat="1" x14ac:dyDescent="0.25">
      <c r="A1204" s="1698">
        <v>209309</v>
      </c>
      <c r="B1204" s="1699">
        <v>54</v>
      </c>
      <c r="C1204" s="1700" t="s">
        <v>187</v>
      </c>
      <c r="L1204" s="1700">
        <v>51</v>
      </c>
    </row>
    <row r="1205" spans="1:12" s="1700" customFormat="1" x14ac:dyDescent="0.25">
      <c r="A1205" s="1698">
        <v>209310</v>
      </c>
      <c r="B1205" s="1699">
        <v>56</v>
      </c>
      <c r="C1205" s="1700" t="s">
        <v>187</v>
      </c>
      <c r="L1205" s="1700">
        <v>50.1</v>
      </c>
    </row>
    <row r="1206" spans="1:12" s="1700" customFormat="1" x14ac:dyDescent="0.25">
      <c r="A1206" s="1698">
        <v>209311</v>
      </c>
      <c r="B1206" s="1699">
        <v>54</v>
      </c>
      <c r="C1206" s="1700" t="s">
        <v>187</v>
      </c>
      <c r="L1206" s="1700">
        <v>68.5</v>
      </c>
    </row>
    <row r="1207" spans="1:12" s="1700" customFormat="1" x14ac:dyDescent="0.25">
      <c r="A1207" s="1698">
        <v>209312</v>
      </c>
      <c r="B1207" s="1699">
        <v>52</v>
      </c>
      <c r="C1207" s="1700" t="s">
        <v>187</v>
      </c>
      <c r="L1207" s="1700">
        <v>68.5</v>
      </c>
    </row>
    <row r="1208" spans="1:12" s="1700" customFormat="1" x14ac:dyDescent="0.25">
      <c r="A1208" s="1698">
        <v>209313</v>
      </c>
      <c r="B1208" s="1699">
        <v>56</v>
      </c>
      <c r="C1208" s="1700" t="s">
        <v>187</v>
      </c>
      <c r="L1208" s="1700">
        <v>55.4</v>
      </c>
    </row>
    <row r="1209" spans="1:12" s="1700" customFormat="1" x14ac:dyDescent="0.25">
      <c r="A1209" s="1698">
        <v>209314</v>
      </c>
      <c r="B1209" s="1699">
        <v>94</v>
      </c>
      <c r="C1209" s="1700" t="s">
        <v>187</v>
      </c>
      <c r="L1209" s="1700">
        <v>68.5</v>
      </c>
    </row>
    <row r="1210" spans="1:12" s="1257" customFormat="1" x14ac:dyDescent="0.25">
      <c r="A1210" s="1255">
        <v>209315</v>
      </c>
      <c r="B1210" s="1256">
        <v>96</v>
      </c>
      <c r="C1210" s="1257" t="s">
        <v>187</v>
      </c>
      <c r="D1210" s="1257">
        <v>7.8</v>
      </c>
      <c r="E1210" s="1257">
        <v>5.41</v>
      </c>
      <c r="F1210" s="1701">
        <v>1.59714</v>
      </c>
      <c r="G1210" s="1257">
        <v>0.35</v>
      </c>
      <c r="H1210" s="1257">
        <v>2.79</v>
      </c>
      <c r="I1210" s="1257">
        <v>0.15</v>
      </c>
      <c r="J1210" s="1257">
        <v>3.42</v>
      </c>
      <c r="K1210" s="1257">
        <v>0.6</v>
      </c>
      <c r="L1210" s="1257">
        <v>67.5</v>
      </c>
    </row>
    <row r="1211" spans="1:12" s="1257" customFormat="1" x14ac:dyDescent="0.25">
      <c r="A1211" s="1255">
        <v>209316</v>
      </c>
      <c r="B1211" s="1256">
        <v>93</v>
      </c>
      <c r="C1211" s="1257" t="s">
        <v>187</v>
      </c>
      <c r="D1211" s="1257">
        <v>8.01</v>
      </c>
      <c r="E1211" s="1257">
        <v>3.7</v>
      </c>
      <c r="F1211" s="1701">
        <v>1.48506</v>
      </c>
      <c r="G1211" s="1257">
        <v>0.3</v>
      </c>
      <c r="H1211" s="1257">
        <v>2</v>
      </c>
      <c r="I1211" s="1257">
        <v>0.18</v>
      </c>
      <c r="J1211" s="1257">
        <v>2.93</v>
      </c>
      <c r="K1211" s="1257">
        <v>0.47</v>
      </c>
      <c r="L1211" s="1257">
        <v>68.400000000000006</v>
      </c>
    </row>
    <row r="1212" spans="1:12" s="1257" customFormat="1" x14ac:dyDescent="0.25">
      <c r="A1212" s="1255">
        <v>209317</v>
      </c>
      <c r="B1212" s="1256">
        <v>33</v>
      </c>
      <c r="C1212" s="1257" t="s">
        <v>187</v>
      </c>
      <c r="D1212" s="1257">
        <v>8.84</v>
      </c>
      <c r="E1212" s="1257">
        <v>3.37</v>
      </c>
      <c r="F1212" s="1701">
        <v>1.59714</v>
      </c>
      <c r="G1212" s="1257">
        <v>0.47</v>
      </c>
      <c r="H1212" s="1257">
        <v>2.06</v>
      </c>
      <c r="I1212" s="1257">
        <v>0.63</v>
      </c>
      <c r="J1212" s="1257">
        <v>3.42</v>
      </c>
      <c r="K1212" s="1257">
        <v>0.62</v>
      </c>
      <c r="L1212" s="1257">
        <v>64.3</v>
      </c>
    </row>
    <row r="1213" spans="1:12" s="1257" customFormat="1" x14ac:dyDescent="0.25">
      <c r="A1213" s="1255">
        <v>209318</v>
      </c>
      <c r="B1213" s="1256">
        <v>56</v>
      </c>
      <c r="C1213" s="1257" t="s">
        <v>187</v>
      </c>
      <c r="D1213" s="1257">
        <v>8.9600000000000009</v>
      </c>
      <c r="E1213" s="1257">
        <v>3.9</v>
      </c>
      <c r="F1213" s="1701">
        <v>1.6531800000000001</v>
      </c>
      <c r="G1213" s="1257">
        <v>0.65</v>
      </c>
      <c r="H1213" s="1257">
        <v>2.54</v>
      </c>
      <c r="I1213" s="1257">
        <v>0.13</v>
      </c>
      <c r="J1213" s="1257">
        <v>4.67</v>
      </c>
      <c r="K1213" s="1257">
        <v>0.99</v>
      </c>
      <c r="L1213" s="1257">
        <v>53.7</v>
      </c>
    </row>
    <row r="1214" spans="1:12" s="1257" customFormat="1" x14ac:dyDescent="0.25">
      <c r="A1214" s="1255">
        <v>209319</v>
      </c>
      <c r="B1214" s="1256">
        <v>24</v>
      </c>
      <c r="C1214" s="1257" t="s">
        <v>187</v>
      </c>
      <c r="D1214" s="1257">
        <v>9.07</v>
      </c>
      <c r="E1214" s="1257">
        <v>3.65</v>
      </c>
      <c r="F1214" s="1701">
        <v>1.79328</v>
      </c>
      <c r="G1214" s="1257">
        <v>0.6</v>
      </c>
      <c r="H1214" s="1257">
        <v>2.06</v>
      </c>
      <c r="I1214" s="1257">
        <v>1.25</v>
      </c>
      <c r="J1214" s="1257">
        <v>4.79</v>
      </c>
      <c r="K1214" s="1257">
        <v>0.75</v>
      </c>
      <c r="L1214" s="1257">
        <v>69.7</v>
      </c>
    </row>
    <row r="1215" spans="1:12" s="1257" customFormat="1" x14ac:dyDescent="0.25">
      <c r="A1215" s="1255">
        <v>209320</v>
      </c>
      <c r="B1215" s="1256">
        <v>72</v>
      </c>
      <c r="C1215" s="1257" t="s">
        <v>187</v>
      </c>
      <c r="D1215" s="1257">
        <v>8.82</v>
      </c>
      <c r="E1215" s="1257">
        <v>5.7</v>
      </c>
      <c r="F1215" s="1701">
        <v>2.1855600000000002</v>
      </c>
      <c r="G1215" s="1257">
        <v>2.14</v>
      </c>
      <c r="H1215" s="1257">
        <v>2.72</v>
      </c>
      <c r="I1215" s="1257">
        <v>0.55000000000000004</v>
      </c>
      <c r="J1215" s="1257">
        <v>10.52</v>
      </c>
      <c r="K1215" s="1257">
        <v>0.74</v>
      </c>
      <c r="L1215" s="1257">
        <v>60.2</v>
      </c>
    </row>
    <row r="1216" spans="1:12" s="1257" customFormat="1" x14ac:dyDescent="0.25">
      <c r="A1216" s="1255">
        <v>209321</v>
      </c>
      <c r="B1216" s="1256">
        <v>70</v>
      </c>
      <c r="C1216" s="1257" t="s">
        <v>187</v>
      </c>
      <c r="D1216" s="1257">
        <v>7.44</v>
      </c>
      <c r="E1216" s="1257">
        <v>6.95</v>
      </c>
      <c r="F1216" s="1701">
        <v>2.5217999999999998</v>
      </c>
      <c r="G1216" s="1257">
        <v>1.35</v>
      </c>
      <c r="H1216" s="1257">
        <v>2.73</v>
      </c>
      <c r="I1216" s="1257">
        <v>0.44</v>
      </c>
      <c r="J1216" s="1257">
        <v>4.6100000000000003</v>
      </c>
      <c r="K1216" s="1257">
        <v>0.99</v>
      </c>
      <c r="L1216" s="1257">
        <v>68.900000000000006</v>
      </c>
    </row>
    <row r="1217" spans="1:12" s="1257" customFormat="1" x14ac:dyDescent="0.25">
      <c r="A1217" s="1255">
        <v>209322</v>
      </c>
      <c r="B1217" s="1256">
        <v>49</v>
      </c>
      <c r="C1217" s="1257" t="s">
        <v>187</v>
      </c>
      <c r="D1217" s="1257">
        <v>9.2100000000000009</v>
      </c>
      <c r="E1217" s="1257">
        <v>3.54</v>
      </c>
      <c r="F1217" s="1701">
        <v>1.48506</v>
      </c>
      <c r="G1217" s="1257">
        <v>0.57999999999999996</v>
      </c>
      <c r="H1217" s="1257">
        <v>2.38</v>
      </c>
      <c r="I1217" s="1257">
        <v>0.48</v>
      </c>
      <c r="J1217" s="1257">
        <v>5.16</v>
      </c>
      <c r="K1217" s="1257">
        <v>1.34</v>
      </c>
      <c r="L1217" s="1257">
        <v>49.7</v>
      </c>
    </row>
    <row r="1218" spans="1:12" s="1257" customFormat="1" x14ac:dyDescent="0.25">
      <c r="A1218" s="1255">
        <v>209323</v>
      </c>
      <c r="B1218" s="1256">
        <v>74</v>
      </c>
      <c r="C1218" s="1257" t="s">
        <v>187</v>
      </c>
      <c r="D1218" s="1257">
        <v>7.82</v>
      </c>
      <c r="E1218" s="1701">
        <v>2.0459999999999998</v>
      </c>
      <c r="F1218" s="1257">
        <v>2.27</v>
      </c>
      <c r="G1218" s="1257">
        <v>0.62</v>
      </c>
      <c r="H1218" s="1257">
        <v>1.6</v>
      </c>
      <c r="I1218" s="1257">
        <v>0.22</v>
      </c>
      <c r="J1218" s="1257">
        <v>2.91</v>
      </c>
      <c r="K1218" s="1257">
        <v>0.86</v>
      </c>
      <c r="L1218" s="1257">
        <v>75.5</v>
      </c>
    </row>
    <row r="1219" spans="1:12" s="1257" customFormat="1" x14ac:dyDescent="0.25">
      <c r="A1219" s="1255">
        <v>209324</v>
      </c>
      <c r="B1219" s="1256">
        <v>84</v>
      </c>
      <c r="C1219" s="1257" t="s">
        <v>187</v>
      </c>
      <c r="D1219" s="1257">
        <v>8.85</v>
      </c>
      <c r="E1219" s="1257">
        <v>3.94</v>
      </c>
      <c r="F1219" s="1257">
        <v>1.1499999999999999</v>
      </c>
      <c r="G1219" s="1257">
        <v>0.32</v>
      </c>
      <c r="H1219" s="1257">
        <v>1.69</v>
      </c>
      <c r="I1219" s="1257">
        <v>0.36</v>
      </c>
      <c r="J1219" s="1257">
        <v>3.58</v>
      </c>
      <c r="K1219" s="1257">
        <v>0.79</v>
      </c>
      <c r="L1219" s="1257">
        <v>65.5</v>
      </c>
    </row>
    <row r="1220" spans="1:12" s="1257" customFormat="1" x14ac:dyDescent="0.25">
      <c r="A1220" s="1255">
        <v>209325</v>
      </c>
      <c r="B1220" s="1256">
        <v>70</v>
      </c>
      <c r="C1220" s="1257" t="s">
        <v>187</v>
      </c>
      <c r="D1220" s="1257">
        <v>9.08</v>
      </c>
      <c r="E1220" s="1257">
        <v>3.28</v>
      </c>
      <c r="F1220" s="1257">
        <v>1.79</v>
      </c>
      <c r="G1220" s="1257">
        <v>0.55000000000000004</v>
      </c>
      <c r="H1220" s="1257">
        <v>2.85</v>
      </c>
      <c r="I1220" s="1257">
        <v>0.32</v>
      </c>
      <c r="J1220" s="1257">
        <v>2.5299999999999998</v>
      </c>
      <c r="K1220" s="1257">
        <v>0.98</v>
      </c>
      <c r="L1220" s="1257">
        <v>62.4</v>
      </c>
    </row>
    <row r="1221" spans="1:12" s="1257" customFormat="1" x14ac:dyDescent="0.25">
      <c r="A1221" s="1255">
        <v>209326</v>
      </c>
      <c r="B1221" s="1256">
        <v>60</v>
      </c>
      <c r="C1221" s="1257" t="s">
        <v>187</v>
      </c>
      <c r="D1221" s="1257">
        <v>5.72</v>
      </c>
      <c r="E1221" s="1257">
        <v>8.8000000000000007</v>
      </c>
      <c r="F1221" s="1257">
        <v>3.89</v>
      </c>
      <c r="G1221" s="1257">
        <v>1.8</v>
      </c>
      <c r="H1221" s="1257">
        <v>2.71</v>
      </c>
      <c r="I1221" s="1257">
        <v>0.38</v>
      </c>
      <c r="J1221" s="1257">
        <v>2.56</v>
      </c>
      <c r="K1221" s="1257">
        <v>0.77</v>
      </c>
      <c r="L1221" s="1257">
        <v>81</v>
      </c>
    </row>
    <row r="1222" spans="1:12" s="1257" customFormat="1" x14ac:dyDescent="0.25">
      <c r="A1222" s="1255">
        <v>209327</v>
      </c>
      <c r="B1222" s="1256">
        <v>50</v>
      </c>
      <c r="C1222" s="1257" t="s">
        <v>187</v>
      </c>
      <c r="D1222" s="1257">
        <v>8.42</v>
      </c>
      <c r="E1222" s="1257">
        <v>3.88</v>
      </c>
      <c r="F1222" s="1257">
        <v>1.74</v>
      </c>
      <c r="G1222" s="1257">
        <v>0.5</v>
      </c>
      <c r="H1222" s="1257">
        <v>2.08</v>
      </c>
      <c r="I1222" s="1257">
        <v>0.46</v>
      </c>
      <c r="J1222" s="1257">
        <v>5.0599999999999996</v>
      </c>
      <c r="K1222" s="1257">
        <v>1.58</v>
      </c>
      <c r="L1222" s="1257">
        <v>63.5</v>
      </c>
    </row>
    <row r="1223" spans="1:12" s="1257" customFormat="1" x14ac:dyDescent="0.25">
      <c r="A1223" s="1255">
        <v>209328</v>
      </c>
      <c r="B1223" s="1256">
        <v>84</v>
      </c>
      <c r="C1223" s="1257" t="s">
        <v>187</v>
      </c>
      <c r="D1223" s="1257">
        <v>8.4499999999999993</v>
      </c>
      <c r="E1223" s="1257">
        <v>3.24</v>
      </c>
      <c r="F1223" s="1257">
        <v>1.29</v>
      </c>
      <c r="G1223" s="1257">
        <v>0.66</v>
      </c>
      <c r="H1223" s="1257">
        <v>1.41</v>
      </c>
      <c r="I1223" s="1257">
        <v>0.08</v>
      </c>
      <c r="J1223" s="1257">
        <v>7.41</v>
      </c>
      <c r="K1223" s="1257">
        <v>0.65</v>
      </c>
      <c r="L1223" s="1257">
        <v>54.1</v>
      </c>
    </row>
    <row r="1224" spans="1:12" s="1694" customFormat="1" x14ac:dyDescent="0.25">
      <c r="A1224" s="745">
        <v>209329</v>
      </c>
      <c r="B1224" s="746">
        <f>100-39.89</f>
        <v>60.11</v>
      </c>
      <c r="C1224" s="747" t="s">
        <v>476</v>
      </c>
      <c r="D1224" s="747"/>
      <c r="E1224" s="747"/>
      <c r="F1224" s="747"/>
      <c r="G1224" s="747"/>
      <c r="H1224" s="747"/>
      <c r="I1224" s="747"/>
      <c r="J1224" s="747"/>
      <c r="K1224" s="747"/>
      <c r="L1224" s="747">
        <v>39.4</v>
      </c>
    </row>
    <row r="1225" spans="1:12" s="1694" customFormat="1" x14ac:dyDescent="0.25">
      <c r="A1225" s="1695">
        <v>209330</v>
      </c>
      <c r="B1225" s="1696">
        <v>59</v>
      </c>
      <c r="C1225" s="1697" t="s">
        <v>476</v>
      </c>
      <c r="D1225" s="1697">
        <v>9.26</v>
      </c>
      <c r="E1225" s="1697">
        <v>4.9000000000000004</v>
      </c>
      <c r="F1225" s="1710">
        <v>1.79328</v>
      </c>
      <c r="G1225" s="1697">
        <v>0.75</v>
      </c>
      <c r="H1225" s="1697">
        <v>2.64</v>
      </c>
      <c r="I1225" s="1697">
        <v>0.52</v>
      </c>
      <c r="J1225" s="1697">
        <v>5.85</v>
      </c>
      <c r="K1225" s="1697">
        <v>0.99</v>
      </c>
      <c r="L1225" s="1697">
        <v>41.9</v>
      </c>
    </row>
    <row r="1226" spans="1:12" s="1694" customFormat="1" x14ac:dyDescent="0.25">
      <c r="A1226" s="1695">
        <v>209331</v>
      </c>
      <c r="B1226" s="1696">
        <v>61</v>
      </c>
      <c r="C1226" s="1697" t="s">
        <v>476</v>
      </c>
      <c r="D1226" s="1697">
        <v>9.18</v>
      </c>
      <c r="E1226" s="1697">
        <v>4.82</v>
      </c>
      <c r="F1226" s="1710">
        <v>1.8493200000000001</v>
      </c>
      <c r="G1226" s="1697">
        <v>0.76</v>
      </c>
      <c r="H1226" s="1697">
        <v>2.46</v>
      </c>
      <c r="I1226" s="1697">
        <v>0.53</v>
      </c>
      <c r="J1226" s="1697">
        <v>7.3</v>
      </c>
      <c r="K1226" s="1697">
        <v>1.52</v>
      </c>
      <c r="L1226" s="1697">
        <v>41.7</v>
      </c>
    </row>
    <row r="1227" spans="1:12" x14ac:dyDescent="0.25">
      <c r="A1227" s="1695">
        <v>209332</v>
      </c>
      <c r="B1227" s="1696">
        <v>60</v>
      </c>
      <c r="C1227" s="1697" t="s">
        <v>476</v>
      </c>
      <c r="D1227" s="1697">
        <v>9.1199999999999992</v>
      </c>
      <c r="E1227" s="1697">
        <v>4.04</v>
      </c>
      <c r="F1227" s="1710">
        <v>1.87734</v>
      </c>
      <c r="G1227" s="1697">
        <v>0.64</v>
      </c>
      <c r="H1227" s="1697">
        <v>2.54</v>
      </c>
      <c r="I1227" s="1697">
        <v>0.54</v>
      </c>
      <c r="J1227" s="1697">
        <v>5.76</v>
      </c>
      <c r="K1227" s="1697">
        <v>1.02</v>
      </c>
      <c r="L1227" s="1697">
        <v>44</v>
      </c>
    </row>
    <row r="1228" spans="1:12" x14ac:dyDescent="0.25">
      <c r="A1228" s="1695">
        <v>209333</v>
      </c>
      <c r="B1228" s="1696">
        <v>66</v>
      </c>
      <c r="C1228" s="1697" t="s">
        <v>476</v>
      </c>
      <c r="D1228" s="1697">
        <v>8.99</v>
      </c>
      <c r="E1228" s="1697">
        <v>4.42</v>
      </c>
      <c r="F1228" s="1710">
        <v>1.9053600000000002</v>
      </c>
      <c r="G1228" s="1697">
        <v>0.73</v>
      </c>
      <c r="H1228" s="1697">
        <v>2.4700000000000002</v>
      </c>
      <c r="I1228" s="1697">
        <v>0.54</v>
      </c>
      <c r="J1228" s="1697">
        <v>6.13</v>
      </c>
      <c r="K1228" s="1697">
        <v>0.93</v>
      </c>
      <c r="L1228" s="1697">
        <v>44.4</v>
      </c>
    </row>
    <row r="1229" spans="1:12" x14ac:dyDescent="0.25">
      <c r="A1229" s="1695">
        <v>209334</v>
      </c>
      <c r="B1229" s="1696">
        <v>59</v>
      </c>
      <c r="C1229" s="1697" t="s">
        <v>476</v>
      </c>
      <c r="D1229" s="1697">
        <v>9.3000000000000007</v>
      </c>
      <c r="E1229" s="1697">
        <v>4.7</v>
      </c>
      <c r="F1229" s="1710">
        <v>1.87734</v>
      </c>
      <c r="G1229" s="1697">
        <v>0.69</v>
      </c>
      <c r="H1229" s="1697">
        <v>2.4</v>
      </c>
      <c r="I1229" s="1697">
        <v>0.45</v>
      </c>
      <c r="J1229" s="1697">
        <v>6.81</v>
      </c>
      <c r="K1229" s="1697">
        <v>1.55</v>
      </c>
      <c r="L1229" s="1697">
        <v>44.2</v>
      </c>
    </row>
    <row r="1230" spans="1:12" x14ac:dyDescent="0.25">
      <c r="A1230" s="1695">
        <v>209335</v>
      </c>
      <c r="B1230" s="1696">
        <v>60</v>
      </c>
      <c r="C1230" s="1697" t="s">
        <v>476</v>
      </c>
      <c r="D1230" s="1697"/>
      <c r="E1230" s="1697"/>
      <c r="F1230" s="1697"/>
      <c r="G1230" s="1697"/>
      <c r="H1230" s="1697"/>
      <c r="I1230" s="1697"/>
      <c r="J1230" s="1697"/>
      <c r="K1230" s="1697"/>
      <c r="L1230" s="1697">
        <v>34.5</v>
      </c>
    </row>
    <row r="1231" spans="1:12" x14ac:dyDescent="0.25">
      <c r="A1231" s="1693">
        <v>209336</v>
      </c>
      <c r="B1231" s="34">
        <v>95</v>
      </c>
      <c r="C1231" s="35" t="s">
        <v>477</v>
      </c>
      <c r="F1231" s="35">
        <v>7.31</v>
      </c>
      <c r="G1231" s="35">
        <v>1.31</v>
      </c>
      <c r="H1231" s="35">
        <v>0.65</v>
      </c>
    </row>
    <row r="1232" spans="1:12" x14ac:dyDescent="0.25">
      <c r="A1232" s="1693">
        <v>209337</v>
      </c>
      <c r="B1232" s="34">
        <v>95</v>
      </c>
      <c r="C1232" s="35" t="s">
        <v>477</v>
      </c>
      <c r="F1232" s="35">
        <v>7.57</v>
      </c>
      <c r="G1232" s="35">
        <v>1.34</v>
      </c>
      <c r="H1232" s="35">
        <v>0.74</v>
      </c>
    </row>
    <row r="1233" spans="1:12" x14ac:dyDescent="0.25">
      <c r="A1233" s="1693">
        <v>209338</v>
      </c>
      <c r="B1233" s="34">
        <v>92</v>
      </c>
      <c r="C1233" s="35" t="s">
        <v>477</v>
      </c>
      <c r="F1233" s="35">
        <v>7.31</v>
      </c>
      <c r="G1233" s="35">
        <v>1.55</v>
      </c>
      <c r="H1233" s="35">
        <v>0.74</v>
      </c>
    </row>
    <row r="1234" spans="1:12" x14ac:dyDescent="0.25">
      <c r="A1234" s="1693">
        <v>209339</v>
      </c>
      <c r="B1234" s="34">
        <v>92</v>
      </c>
      <c r="C1234" s="35" t="s">
        <v>477</v>
      </c>
      <c r="F1234" s="35">
        <v>7.87</v>
      </c>
      <c r="G1234" s="35">
        <v>1.39</v>
      </c>
      <c r="H1234" s="35">
        <v>0.72</v>
      </c>
    </row>
    <row r="1235" spans="1:12" x14ac:dyDescent="0.25">
      <c r="A1235" s="1693">
        <v>209340</v>
      </c>
      <c r="B1235" s="34">
        <v>95</v>
      </c>
      <c r="C1235" s="35" t="s">
        <v>477</v>
      </c>
      <c r="F1235" s="35">
        <v>7.73</v>
      </c>
      <c r="G1235" s="35">
        <v>1.27</v>
      </c>
      <c r="H1235" s="35">
        <v>0.67</v>
      </c>
    </row>
    <row r="1236" spans="1:12" x14ac:dyDescent="0.25">
      <c r="A1236" s="1693">
        <v>209341</v>
      </c>
      <c r="B1236" s="34">
        <v>92</v>
      </c>
      <c r="F1236" s="35">
        <v>8.8800000000000008</v>
      </c>
    </row>
    <row r="1237" spans="1:12" x14ac:dyDescent="0.25">
      <c r="A1237" s="1693">
        <v>209342</v>
      </c>
      <c r="B1237" s="34">
        <v>93</v>
      </c>
      <c r="F1237" s="35">
        <v>8.5500000000000007</v>
      </c>
    </row>
    <row r="1238" spans="1:12" x14ac:dyDescent="0.25">
      <c r="A1238" s="1706">
        <v>209343</v>
      </c>
      <c r="B1238" s="1707">
        <v>70</v>
      </c>
      <c r="C1238" s="1708" t="s">
        <v>187</v>
      </c>
      <c r="D1238" s="1708"/>
      <c r="E1238" s="1708"/>
      <c r="F1238" s="1708"/>
      <c r="G1238" s="1708"/>
      <c r="H1238" s="1708"/>
      <c r="I1238" s="1708"/>
      <c r="J1238" s="1708"/>
      <c r="K1238" s="1708"/>
      <c r="L1238" s="1708">
        <v>42.7</v>
      </c>
    </row>
    <row r="1239" spans="1:12" x14ac:dyDescent="0.25">
      <c r="A1239" s="1706">
        <v>209344</v>
      </c>
      <c r="B1239" s="1707">
        <v>62</v>
      </c>
      <c r="C1239" s="1708" t="s">
        <v>476</v>
      </c>
      <c r="D1239" s="1708"/>
      <c r="E1239" s="1708"/>
      <c r="F1239" s="1708"/>
      <c r="G1239" s="1708"/>
      <c r="H1239" s="1708"/>
      <c r="I1239" s="1708"/>
      <c r="J1239" s="1708"/>
      <c r="K1239" s="1708"/>
      <c r="L1239" s="1708">
        <v>48.3</v>
      </c>
    </row>
    <row r="1240" spans="1:12" x14ac:dyDescent="0.25">
      <c r="A1240" s="1706">
        <v>209345</v>
      </c>
      <c r="B1240" s="1707">
        <v>65</v>
      </c>
      <c r="C1240" s="1708" t="s">
        <v>476</v>
      </c>
      <c r="D1240" s="1708"/>
      <c r="E1240" s="1708"/>
      <c r="F1240" s="1708"/>
      <c r="G1240" s="1708"/>
      <c r="H1240" s="1708"/>
      <c r="I1240" s="1708"/>
      <c r="J1240" s="1708"/>
      <c r="K1240" s="1708"/>
      <c r="L1240" s="1708">
        <v>46.1</v>
      </c>
    </row>
    <row r="1241" spans="1:12" x14ac:dyDescent="0.25">
      <c r="A1241" s="1706">
        <v>209346</v>
      </c>
      <c r="B1241" s="1707">
        <v>61</v>
      </c>
      <c r="C1241" s="1708" t="s">
        <v>476</v>
      </c>
      <c r="D1241" s="1708"/>
      <c r="E1241" s="1708"/>
      <c r="F1241" s="1708"/>
      <c r="G1241" s="1708"/>
      <c r="H1241" s="1708"/>
      <c r="I1241" s="1708"/>
      <c r="J1241" s="1708"/>
      <c r="K1241" s="1708"/>
      <c r="L1241" s="1708">
        <v>47.5</v>
      </c>
    </row>
    <row r="1242" spans="1:12" x14ac:dyDescent="0.25">
      <c r="A1242" s="1706">
        <v>209347</v>
      </c>
      <c r="B1242" s="1707">
        <v>62</v>
      </c>
      <c r="C1242" s="1708" t="s">
        <v>476</v>
      </c>
      <c r="D1242" s="1708"/>
      <c r="E1242" s="1708"/>
      <c r="F1242" s="1708"/>
      <c r="G1242" s="1708"/>
      <c r="H1242" s="1708"/>
      <c r="I1242" s="1708"/>
      <c r="J1242" s="1708"/>
      <c r="K1242" s="1708"/>
      <c r="L1242" s="1708">
        <v>69.900000000000006</v>
      </c>
    </row>
    <row r="1243" spans="1:12" x14ac:dyDescent="0.25">
      <c r="A1243" s="1706">
        <v>209348</v>
      </c>
      <c r="B1243" s="1707">
        <v>57</v>
      </c>
      <c r="C1243" s="1708" t="s">
        <v>476</v>
      </c>
      <c r="D1243" s="1708"/>
      <c r="E1243" s="1708"/>
      <c r="F1243" s="1708"/>
      <c r="G1243" s="1708"/>
      <c r="H1243" s="1708"/>
      <c r="I1243" s="1708"/>
      <c r="J1243" s="1708"/>
      <c r="K1243" s="1708"/>
      <c r="L1243" s="1708">
        <v>62.7</v>
      </c>
    </row>
    <row r="1244" spans="1:12" x14ac:dyDescent="0.25">
      <c r="A1244" s="1706">
        <v>209349</v>
      </c>
      <c r="B1244" s="1707">
        <v>55</v>
      </c>
      <c r="C1244" s="1708" t="s">
        <v>476</v>
      </c>
      <c r="D1244" s="1708"/>
      <c r="E1244" s="1708"/>
      <c r="F1244" s="1708"/>
      <c r="G1244" s="1708"/>
      <c r="H1244" s="1708"/>
      <c r="I1244" s="1708"/>
      <c r="J1244" s="1708"/>
      <c r="K1244" s="1708"/>
      <c r="L1244" s="1708">
        <v>62.3</v>
      </c>
    </row>
    <row r="1245" spans="1:12" x14ac:dyDescent="0.25">
      <c r="A1245" s="1693">
        <v>209350</v>
      </c>
      <c r="B1245" s="34">
        <v>93</v>
      </c>
      <c r="C1245" s="35" t="s">
        <v>476</v>
      </c>
      <c r="D1245" s="35">
        <v>8.3800000000000008</v>
      </c>
      <c r="E1245" s="35">
        <v>12.59</v>
      </c>
      <c r="F1245" s="35">
        <v>7.4</v>
      </c>
      <c r="G1245" s="35">
        <v>1.34</v>
      </c>
      <c r="H1245" s="35">
        <v>0.7</v>
      </c>
      <c r="I1245" s="35">
        <v>1.62</v>
      </c>
      <c r="J1245" s="35">
        <v>7.94</v>
      </c>
      <c r="K1245" s="35">
        <v>0.32</v>
      </c>
      <c r="L1245" s="35">
        <v>66.400000000000006</v>
      </c>
    </row>
    <row r="1246" spans="1:12" x14ac:dyDescent="0.25">
      <c r="A1246" s="1706">
        <v>209351</v>
      </c>
      <c r="B1246" s="1707">
        <v>61</v>
      </c>
      <c r="C1246" s="1708" t="s">
        <v>476</v>
      </c>
      <c r="D1246" s="1708"/>
      <c r="E1246" s="1708"/>
      <c r="F1246" s="1708"/>
      <c r="G1246" s="1708"/>
      <c r="H1246" s="1708"/>
      <c r="I1246" s="1708"/>
      <c r="J1246" s="1708"/>
      <c r="K1246" s="1708"/>
      <c r="L1246" s="1708">
        <v>45.3</v>
      </c>
    </row>
    <row r="1247" spans="1:12" x14ac:dyDescent="0.25">
      <c r="A1247" s="1693">
        <v>209352</v>
      </c>
      <c r="B1247" s="34">
        <v>97</v>
      </c>
      <c r="C1247" s="35" t="s">
        <v>477</v>
      </c>
      <c r="D1247" s="35">
        <v>8.84</v>
      </c>
      <c r="E1247" s="35">
        <v>0.40699999999999997</v>
      </c>
      <c r="F1247" s="35">
        <v>0.11</v>
      </c>
      <c r="G1247" s="35">
        <v>12.82</v>
      </c>
      <c r="H1247" s="35">
        <v>0.1</v>
      </c>
      <c r="I1247" s="35">
        <v>0.72</v>
      </c>
      <c r="J1247" s="35">
        <v>34.4</v>
      </c>
      <c r="K1247" s="35">
        <v>0.34</v>
      </c>
      <c r="L1247" s="35">
        <v>1.7</v>
      </c>
    </row>
    <row r="1248" spans="1:12" x14ac:dyDescent="0.25">
      <c r="A1248" s="1693">
        <v>209353</v>
      </c>
      <c r="B1248" s="34">
        <v>90</v>
      </c>
      <c r="C1248" s="35" t="s">
        <v>476</v>
      </c>
      <c r="D1248" s="35">
        <v>8.61</v>
      </c>
      <c r="E1248" s="35">
        <v>8.5399999999999991</v>
      </c>
      <c r="F1248" s="35">
        <v>1.91</v>
      </c>
      <c r="G1248" s="35">
        <v>2.67</v>
      </c>
      <c r="H1248" s="35">
        <v>3.08</v>
      </c>
      <c r="I1248" s="35">
        <v>0.53</v>
      </c>
      <c r="J1248" s="35">
        <v>12.16</v>
      </c>
      <c r="K1248" s="35">
        <v>1.04</v>
      </c>
      <c r="L1248" s="35">
        <v>37.299999999999997</v>
      </c>
    </row>
    <row r="1249" spans="1:12" x14ac:dyDescent="0.25">
      <c r="A1249" s="1693">
        <v>209354</v>
      </c>
      <c r="B1249" s="34">
        <v>79</v>
      </c>
      <c r="C1249" s="35" t="s">
        <v>476</v>
      </c>
      <c r="D1249" s="35">
        <v>9.11</v>
      </c>
      <c r="E1249" s="35">
        <v>5.09</v>
      </c>
      <c r="F1249" s="35">
        <v>2.16</v>
      </c>
      <c r="G1249" s="35">
        <v>2.64</v>
      </c>
      <c r="H1249" s="35">
        <v>3.42</v>
      </c>
      <c r="I1249" s="35">
        <v>0.66</v>
      </c>
      <c r="J1249" s="35">
        <v>10.35</v>
      </c>
      <c r="K1249" s="35">
        <v>0.89</v>
      </c>
      <c r="L1249" s="35">
        <v>57.5</v>
      </c>
    </row>
    <row r="1250" spans="1:12" x14ac:dyDescent="0.25">
      <c r="A1250" s="1706">
        <v>209355</v>
      </c>
      <c r="B1250" s="1707">
        <v>87</v>
      </c>
      <c r="C1250" s="1708" t="s">
        <v>476</v>
      </c>
      <c r="D1250" s="1708"/>
      <c r="E1250" s="1708"/>
      <c r="F1250" s="1708"/>
      <c r="G1250" s="1708"/>
      <c r="H1250" s="1708"/>
      <c r="I1250" s="1708"/>
      <c r="J1250" s="1708"/>
      <c r="K1250" s="1708"/>
      <c r="L1250" s="1708">
        <v>49</v>
      </c>
    </row>
    <row r="1251" spans="1:12" s="747" customFormat="1" x14ac:dyDescent="0.25">
      <c r="A1251" s="745">
        <v>209356</v>
      </c>
      <c r="B1251" s="746">
        <v>65</v>
      </c>
      <c r="C1251" s="747" t="s">
        <v>476</v>
      </c>
      <c r="D1251" s="747">
        <v>9.3000000000000007</v>
      </c>
      <c r="E1251" s="747">
        <v>4.99</v>
      </c>
      <c r="F1251" s="747">
        <v>1.68</v>
      </c>
      <c r="G1251" s="747">
        <v>0.73</v>
      </c>
      <c r="H1251" s="747">
        <v>2.95</v>
      </c>
      <c r="I1251" s="747">
        <v>0.53</v>
      </c>
      <c r="J1251" s="747">
        <v>6.56</v>
      </c>
      <c r="K1251" s="747">
        <v>1.34</v>
      </c>
      <c r="L1251" s="747">
        <v>41</v>
      </c>
    </row>
    <row r="1252" spans="1:12" x14ac:dyDescent="0.25">
      <c r="A1252" s="37">
        <v>209357</v>
      </c>
      <c r="B1252" s="34">
        <v>59</v>
      </c>
      <c r="C1252" s="35" t="s">
        <v>476</v>
      </c>
      <c r="D1252" s="35">
        <v>9.33</v>
      </c>
      <c r="E1252" s="35">
        <v>4.2300000000000004</v>
      </c>
      <c r="F1252" s="36">
        <v>1.8493200000000001</v>
      </c>
      <c r="G1252" s="35">
        <v>0.68</v>
      </c>
      <c r="H1252" s="35">
        <v>2.9</v>
      </c>
      <c r="I1252" s="35">
        <v>0.53</v>
      </c>
      <c r="J1252" s="35">
        <v>5.75</v>
      </c>
      <c r="K1252" s="35">
        <v>1.29</v>
      </c>
      <c r="L1252" s="35">
        <v>42.3</v>
      </c>
    </row>
    <row r="1253" spans="1:12" x14ac:dyDescent="0.25">
      <c r="A1253" s="37">
        <v>209358</v>
      </c>
      <c r="B1253" s="34">
        <v>68</v>
      </c>
      <c r="C1253" s="35" t="s">
        <v>476</v>
      </c>
      <c r="D1253" s="35">
        <v>9.0299999999999994</v>
      </c>
      <c r="E1253" s="35">
        <v>5.7</v>
      </c>
      <c r="F1253" s="36">
        <v>2.4097199999999996</v>
      </c>
      <c r="G1253" s="35">
        <v>1.32</v>
      </c>
      <c r="H1253" s="35">
        <v>3.18</v>
      </c>
      <c r="I1253" s="35">
        <v>0.56000000000000005</v>
      </c>
      <c r="J1253" s="35">
        <v>7.86</v>
      </c>
      <c r="K1253" s="35">
        <v>0.97</v>
      </c>
      <c r="L1253" s="35">
        <v>51.8</v>
      </c>
    </row>
    <row r="1254" spans="1:12" x14ac:dyDescent="0.25">
      <c r="A1254" s="37">
        <v>209359</v>
      </c>
      <c r="B1254" s="34">
        <v>66</v>
      </c>
      <c r="C1254" s="35" t="s">
        <v>476</v>
      </c>
      <c r="D1254" s="35">
        <v>8.94</v>
      </c>
      <c r="E1254" s="35">
        <v>0.47</v>
      </c>
      <c r="F1254" s="36">
        <v>1.03674</v>
      </c>
      <c r="G1254" s="35">
        <v>0.1</v>
      </c>
      <c r="H1254" s="35">
        <v>0.85</v>
      </c>
      <c r="I1254" s="35">
        <v>0.05</v>
      </c>
      <c r="J1254" s="35">
        <v>4.04</v>
      </c>
      <c r="K1254" s="35">
        <v>0.49</v>
      </c>
      <c r="L1254" s="35">
        <v>68.3</v>
      </c>
    </row>
    <row r="1255" spans="1:12" x14ac:dyDescent="0.25">
      <c r="A1255" s="37">
        <v>209360</v>
      </c>
      <c r="B1255" s="34">
        <v>58</v>
      </c>
      <c r="C1255" s="35" t="s">
        <v>476</v>
      </c>
      <c r="L1255" s="35">
        <v>63.7</v>
      </c>
    </row>
    <row r="1256" spans="1:12" x14ac:dyDescent="0.25">
      <c r="A1256" s="37">
        <v>209361</v>
      </c>
      <c r="B1256" s="34">
        <v>60</v>
      </c>
      <c r="C1256" s="35" t="s">
        <v>476</v>
      </c>
      <c r="L1256" s="35">
        <v>61.1</v>
      </c>
    </row>
    <row r="1257" spans="1:12" x14ac:dyDescent="0.25">
      <c r="A1257" s="37">
        <v>209362</v>
      </c>
      <c r="B1257" s="34">
        <v>64</v>
      </c>
      <c r="C1257" s="35" t="s">
        <v>476</v>
      </c>
      <c r="L1257" s="35">
        <v>51.4</v>
      </c>
    </row>
    <row r="1258" spans="1:12" x14ac:dyDescent="0.25">
      <c r="A1258" s="37">
        <v>209363</v>
      </c>
      <c r="B1258" s="34">
        <v>66</v>
      </c>
      <c r="C1258" s="35" t="s">
        <v>476</v>
      </c>
      <c r="L1258" s="35">
        <v>48</v>
      </c>
    </row>
    <row r="1259" spans="1:12" x14ac:dyDescent="0.25">
      <c r="A1259" s="37">
        <v>209364</v>
      </c>
      <c r="B1259" s="34">
        <v>70</v>
      </c>
      <c r="C1259" s="35" t="s">
        <v>476</v>
      </c>
      <c r="L1259" s="35">
        <v>48.3</v>
      </c>
    </row>
    <row r="1260" spans="1:12" x14ac:dyDescent="0.25">
      <c r="A1260" s="748">
        <v>209365</v>
      </c>
      <c r="B1260" s="923">
        <v>60</v>
      </c>
      <c r="C1260" s="749" t="s">
        <v>476</v>
      </c>
      <c r="D1260" s="749">
        <v>8.8699999999999992</v>
      </c>
      <c r="E1260" s="749">
        <v>4.62</v>
      </c>
      <c r="F1260" s="1709">
        <v>1.8493200000000001</v>
      </c>
      <c r="G1260" s="749">
        <v>0.63</v>
      </c>
      <c r="H1260" s="749">
        <v>2.12</v>
      </c>
      <c r="I1260" s="749">
        <v>0.81</v>
      </c>
      <c r="J1260" s="749">
        <v>4.8600000000000003</v>
      </c>
      <c r="K1260" s="749">
        <v>0.5</v>
      </c>
      <c r="L1260" s="749">
        <v>69.7</v>
      </c>
    </row>
    <row r="1261" spans="1:12" x14ac:dyDescent="0.25">
      <c r="A1261" s="748">
        <v>209366</v>
      </c>
      <c r="B1261" s="923">
        <v>38</v>
      </c>
      <c r="C1261" s="749" t="s">
        <v>476</v>
      </c>
      <c r="D1261" s="749">
        <v>8.42</v>
      </c>
      <c r="E1261" s="749">
        <v>2.89</v>
      </c>
      <c r="F1261" s="1709">
        <v>1.5410999999999999</v>
      </c>
      <c r="G1261" s="749">
        <v>0.47</v>
      </c>
      <c r="H1261" s="749">
        <v>2.5499999999999998</v>
      </c>
      <c r="I1261" s="749">
        <v>0.62</v>
      </c>
      <c r="J1261" s="749">
        <v>5.88</v>
      </c>
      <c r="K1261" s="749">
        <v>0.89</v>
      </c>
      <c r="L1261" s="749">
        <v>46.6</v>
      </c>
    </row>
    <row r="1262" spans="1:12" x14ac:dyDescent="0.25">
      <c r="A1262" s="37">
        <v>209367</v>
      </c>
      <c r="B1262" s="34">
        <v>63</v>
      </c>
      <c r="C1262" s="35" t="s">
        <v>476</v>
      </c>
      <c r="D1262" s="35">
        <v>9.31</v>
      </c>
      <c r="E1262" s="35">
        <v>4.33</v>
      </c>
      <c r="F1262" s="35">
        <v>1.71</v>
      </c>
      <c r="G1262" s="35">
        <v>0.68</v>
      </c>
      <c r="H1262" s="35">
        <v>2.75</v>
      </c>
      <c r="I1262" s="35">
        <v>0.56999999999999995</v>
      </c>
      <c r="J1262" s="35">
        <v>6.15</v>
      </c>
      <c r="K1262" s="35">
        <v>1.24</v>
      </c>
      <c r="L1262" s="35">
        <v>45.7</v>
      </c>
    </row>
    <row r="1263" spans="1:12" x14ac:dyDescent="0.25">
      <c r="A1263" s="1367">
        <v>209368</v>
      </c>
      <c r="B1263" s="1368">
        <v>63</v>
      </c>
      <c r="C1263" s="1369" t="s">
        <v>476</v>
      </c>
      <c r="D1263" s="1369"/>
      <c r="E1263" s="1369"/>
      <c r="F1263" s="1369"/>
      <c r="G1263" s="1369"/>
      <c r="H1263" s="1369"/>
      <c r="I1263" s="1369"/>
      <c r="J1263" s="1369"/>
      <c r="K1263" s="1369"/>
      <c r="L1263" s="1369">
        <v>64.3</v>
      </c>
    </row>
    <row r="1264" spans="1:12" x14ac:dyDescent="0.25">
      <c r="A1264" s="1367">
        <v>209369</v>
      </c>
      <c r="B1264" s="1368">
        <v>60</v>
      </c>
      <c r="C1264" s="1369" t="s">
        <v>476</v>
      </c>
      <c r="D1264" s="1369"/>
      <c r="E1264" s="1369"/>
      <c r="F1264" s="1369"/>
      <c r="G1264" s="1369"/>
      <c r="H1264" s="1369"/>
      <c r="I1264" s="1369"/>
      <c r="J1264" s="1369"/>
      <c r="K1264" s="1369"/>
      <c r="L1264" s="1369">
        <v>52.1</v>
      </c>
    </row>
    <row r="1265" spans="1:12" x14ac:dyDescent="0.25">
      <c r="A1265" s="1367">
        <v>209370</v>
      </c>
      <c r="B1265" s="1368">
        <v>61</v>
      </c>
      <c r="C1265" s="1369" t="s">
        <v>476</v>
      </c>
      <c r="D1265" s="1369"/>
      <c r="E1265" s="1369"/>
      <c r="F1265" s="1369"/>
      <c r="G1265" s="1369"/>
      <c r="H1265" s="1369"/>
      <c r="I1265" s="1369"/>
      <c r="J1265" s="1369"/>
      <c r="K1265" s="1369"/>
      <c r="L1265" s="1369">
        <v>55.8</v>
      </c>
    </row>
    <row r="1266" spans="1:12" x14ac:dyDescent="0.25">
      <c r="A1266" s="1367">
        <v>209371</v>
      </c>
      <c r="B1266" s="1368">
        <v>64</v>
      </c>
      <c r="C1266" s="1369" t="s">
        <v>476</v>
      </c>
      <c r="D1266" s="1369"/>
      <c r="E1266" s="1369"/>
      <c r="F1266" s="1369"/>
      <c r="G1266" s="1369"/>
      <c r="H1266" s="1369"/>
      <c r="I1266" s="1369"/>
      <c r="J1266" s="1369"/>
      <c r="K1266" s="1369"/>
      <c r="L1266" s="1369">
        <v>48.8</v>
      </c>
    </row>
    <row r="1267" spans="1:12" x14ac:dyDescent="0.25">
      <c r="A1267" s="1367">
        <v>209372</v>
      </c>
      <c r="B1267" s="1368">
        <v>60</v>
      </c>
      <c r="C1267" s="1369" t="s">
        <v>476</v>
      </c>
      <c r="D1267" s="1369"/>
      <c r="E1267" s="1369"/>
      <c r="F1267" s="1369"/>
      <c r="G1267" s="1369"/>
      <c r="H1267" s="1369"/>
      <c r="I1267" s="1369"/>
      <c r="J1267" s="1369"/>
      <c r="K1267" s="1369"/>
      <c r="L1267" s="1369">
        <v>43.9</v>
      </c>
    </row>
    <row r="1268" spans="1:12" x14ac:dyDescent="0.25">
      <c r="A1268" s="1367">
        <v>209373</v>
      </c>
      <c r="B1268" s="1368">
        <v>66</v>
      </c>
      <c r="C1268" s="1369" t="s">
        <v>476</v>
      </c>
      <c r="D1268" s="1369"/>
      <c r="E1268" s="1369"/>
      <c r="F1268" s="1369"/>
      <c r="G1268" s="1369"/>
      <c r="H1268" s="1369"/>
      <c r="I1268" s="1369"/>
      <c r="J1268" s="1369"/>
      <c r="K1268" s="1369"/>
      <c r="L1268" s="1369">
        <v>50.6</v>
      </c>
    </row>
    <row r="1269" spans="1:12" x14ac:dyDescent="0.25">
      <c r="A1269" s="1367">
        <v>209374</v>
      </c>
      <c r="B1269" s="1368">
        <v>89</v>
      </c>
      <c r="C1269" s="1369" t="s">
        <v>477</v>
      </c>
      <c r="D1269" s="1369">
        <v>6.46</v>
      </c>
      <c r="E1269" s="1369">
        <v>0.34300000000000003</v>
      </c>
      <c r="F1269" s="1369">
        <v>0.59</v>
      </c>
      <c r="G1269" s="1369">
        <v>0.03</v>
      </c>
      <c r="H1269" s="1369">
        <v>0.53</v>
      </c>
      <c r="I1269" s="1369">
        <v>0.11</v>
      </c>
      <c r="J1269" s="1369">
        <v>0.84</v>
      </c>
      <c r="K1269" s="1369">
        <v>0.21</v>
      </c>
      <c r="L1269" s="1369">
        <v>71.099999999999994</v>
      </c>
    </row>
    <row r="1270" spans="1:12" x14ac:dyDescent="0.25">
      <c r="A1270" s="37">
        <v>209375</v>
      </c>
      <c r="B1270" s="34">
        <v>71</v>
      </c>
      <c r="C1270" s="35" t="s">
        <v>477</v>
      </c>
      <c r="D1270" s="35">
        <v>8.9700000000000006</v>
      </c>
      <c r="E1270" s="35">
        <v>9.23</v>
      </c>
      <c r="F1270" s="35">
        <v>2.4900000000000002</v>
      </c>
      <c r="G1270" s="35">
        <v>2.08</v>
      </c>
      <c r="H1270" s="35">
        <v>3.3</v>
      </c>
      <c r="I1270" s="35">
        <v>0.93</v>
      </c>
      <c r="J1270" s="35">
        <v>10.32</v>
      </c>
      <c r="K1270" s="35">
        <v>0.82</v>
      </c>
      <c r="L1270" s="35">
        <v>46.5</v>
      </c>
    </row>
    <row r="1271" spans="1:12" x14ac:dyDescent="0.25">
      <c r="A1271" s="37">
        <v>209376</v>
      </c>
      <c r="B1271" s="34">
        <v>83</v>
      </c>
      <c r="C1271" s="35" t="s">
        <v>187</v>
      </c>
      <c r="L1271" s="35">
        <v>32.4</v>
      </c>
    </row>
    <row r="1272" spans="1:12" x14ac:dyDescent="0.25">
      <c r="A1272" s="37">
        <v>209377</v>
      </c>
      <c r="B1272" s="34">
        <v>69</v>
      </c>
      <c r="C1272" s="35" t="s">
        <v>476</v>
      </c>
      <c r="D1272" s="35">
        <v>8.92</v>
      </c>
      <c r="E1272" s="35">
        <v>2.97</v>
      </c>
      <c r="F1272" s="35">
        <v>1.37</v>
      </c>
      <c r="G1272" s="35">
        <v>0.48</v>
      </c>
      <c r="H1272" s="35">
        <v>2.1</v>
      </c>
      <c r="I1272" s="35">
        <v>0.3</v>
      </c>
      <c r="J1272" s="35">
        <v>5.24</v>
      </c>
      <c r="K1272" s="35">
        <v>1.01</v>
      </c>
      <c r="L1272" s="35">
        <v>54.9</v>
      </c>
    </row>
    <row r="1273" spans="1:12" x14ac:dyDescent="0.25">
      <c r="A1273" s="37">
        <v>209378</v>
      </c>
      <c r="B1273" s="34">
        <v>77</v>
      </c>
      <c r="C1273" s="35" t="s">
        <v>476</v>
      </c>
      <c r="D1273" s="35">
        <v>7.05</v>
      </c>
      <c r="E1273" s="35">
        <v>6.86</v>
      </c>
      <c r="F1273" s="35">
        <v>3.47</v>
      </c>
      <c r="G1273" s="35">
        <v>1.32</v>
      </c>
      <c r="H1273" s="35">
        <v>2.46</v>
      </c>
      <c r="I1273" s="35">
        <v>0.36</v>
      </c>
      <c r="J1273" s="35">
        <v>4.75</v>
      </c>
      <c r="K1273" s="35">
        <v>0.95</v>
      </c>
      <c r="L1273" s="35">
        <v>70.099999999999994</v>
      </c>
    </row>
    <row r="1274" spans="1:12" x14ac:dyDescent="0.25">
      <c r="A1274" s="37">
        <v>209379</v>
      </c>
      <c r="B1274" s="34">
        <v>62</v>
      </c>
      <c r="C1274" s="35" t="s">
        <v>476</v>
      </c>
      <c r="D1274" s="35">
        <v>9.01</v>
      </c>
      <c r="E1274" s="35">
        <v>3.34</v>
      </c>
      <c r="F1274" s="35">
        <v>1.37</v>
      </c>
      <c r="G1274" s="35">
        <v>0.45</v>
      </c>
      <c r="H1274" s="35">
        <v>1.91</v>
      </c>
      <c r="I1274" s="35">
        <v>0.27</v>
      </c>
      <c r="J1274" s="35">
        <v>5.21</v>
      </c>
      <c r="K1274" s="35">
        <v>0.95</v>
      </c>
      <c r="L1274" s="35">
        <v>40.1</v>
      </c>
    </row>
    <row r="1275" spans="1:12" x14ac:dyDescent="0.25">
      <c r="A1275" s="37">
        <v>209380</v>
      </c>
      <c r="B1275" s="34">
        <v>67</v>
      </c>
      <c r="C1275" s="35" t="s">
        <v>476</v>
      </c>
      <c r="D1275" s="35">
        <v>6.8</v>
      </c>
      <c r="E1275" s="35">
        <v>6.53</v>
      </c>
      <c r="F1275" s="35">
        <v>4.26</v>
      </c>
      <c r="G1275" s="35">
        <v>1.49</v>
      </c>
      <c r="H1275" s="35">
        <v>2.5</v>
      </c>
      <c r="I1275" s="35">
        <v>0.35</v>
      </c>
      <c r="J1275" s="35">
        <v>2.98</v>
      </c>
      <c r="K1275" s="35">
        <v>0.87</v>
      </c>
      <c r="L1275" s="35">
        <v>75.900000000000006</v>
      </c>
    </row>
    <row r="1276" spans="1:12" x14ac:dyDescent="0.25">
      <c r="A1276" s="37">
        <v>209381</v>
      </c>
      <c r="B1276" s="34">
        <v>74</v>
      </c>
      <c r="C1276" s="35" t="s">
        <v>476</v>
      </c>
      <c r="D1276" s="35">
        <v>7.81</v>
      </c>
      <c r="E1276" s="35">
        <v>5.31</v>
      </c>
      <c r="F1276" s="35">
        <v>3.7</v>
      </c>
      <c r="G1276" s="35">
        <v>1.67</v>
      </c>
      <c r="H1276" s="35">
        <v>2.59</v>
      </c>
      <c r="I1276" s="35">
        <v>0.37</v>
      </c>
      <c r="J1276" s="35">
        <v>2.74</v>
      </c>
      <c r="K1276" s="35">
        <v>0.77</v>
      </c>
      <c r="L1276" s="35">
        <v>79.900000000000006</v>
      </c>
    </row>
    <row r="1277" spans="1:12" s="747" customFormat="1" x14ac:dyDescent="0.25">
      <c r="A1277" s="745">
        <v>209382</v>
      </c>
      <c r="B1277" s="746">
        <v>60</v>
      </c>
      <c r="C1277" s="747" t="s">
        <v>187</v>
      </c>
      <c r="D1277" s="747">
        <v>9.2799999999999994</v>
      </c>
      <c r="E1277" s="747">
        <v>4.5999999999999996</v>
      </c>
      <c r="F1277" s="747">
        <v>1.57</v>
      </c>
      <c r="G1277" s="747">
        <v>0.72</v>
      </c>
      <c r="H1277" s="747">
        <v>2.71</v>
      </c>
      <c r="I1277" s="747">
        <v>0.53</v>
      </c>
      <c r="J1277" s="747">
        <v>5.67</v>
      </c>
      <c r="K1277" s="747">
        <v>0.99</v>
      </c>
      <c r="L1277" s="747">
        <v>43.8</v>
      </c>
    </row>
    <row r="1278" spans="1:12" s="747" customFormat="1" x14ac:dyDescent="0.25">
      <c r="A1278" s="745">
        <v>209383</v>
      </c>
      <c r="B1278" s="746"/>
    </row>
    <row r="1279" spans="1:12" s="747" customFormat="1" x14ac:dyDescent="0.25">
      <c r="A1279" s="745">
        <v>209384</v>
      </c>
      <c r="B1279" s="746">
        <v>71</v>
      </c>
      <c r="C1279" s="747" t="s">
        <v>476</v>
      </c>
      <c r="D1279" s="747">
        <v>9.26</v>
      </c>
      <c r="E1279" s="747">
        <v>5.59</v>
      </c>
      <c r="F1279" s="747">
        <v>1.43</v>
      </c>
      <c r="G1279" s="747">
        <v>3.67</v>
      </c>
      <c r="H1279" s="747">
        <v>2.4300000000000002</v>
      </c>
      <c r="I1279" s="747">
        <v>0.64</v>
      </c>
      <c r="J1279" s="747">
        <v>13.04</v>
      </c>
      <c r="K1279" s="747">
        <v>0.99</v>
      </c>
      <c r="L1279" s="747">
        <v>36.799999999999997</v>
      </c>
    </row>
    <row r="1280" spans="1:12" s="747" customFormat="1" x14ac:dyDescent="0.25">
      <c r="A1280" s="745">
        <v>209385</v>
      </c>
      <c r="B1280" s="746">
        <v>88</v>
      </c>
      <c r="C1280" s="747" t="s">
        <v>476</v>
      </c>
      <c r="L1280" s="747">
        <v>57.6</v>
      </c>
    </row>
    <row r="1281" spans="1:12" s="747" customFormat="1" x14ac:dyDescent="0.25">
      <c r="A1281" s="745">
        <v>209386</v>
      </c>
      <c r="B1281" s="746">
        <v>77</v>
      </c>
      <c r="C1281" s="747" t="s">
        <v>476</v>
      </c>
      <c r="L1281" s="747">
        <v>46.7</v>
      </c>
    </row>
    <row r="1282" spans="1:12" s="747" customFormat="1" x14ac:dyDescent="0.25">
      <c r="A1282" s="745">
        <v>209387</v>
      </c>
      <c r="B1282" s="746">
        <v>87</v>
      </c>
      <c r="C1282" s="747" t="s">
        <v>476</v>
      </c>
      <c r="L1282" s="747">
        <v>61.5</v>
      </c>
    </row>
    <row r="1283" spans="1:12" s="747" customFormat="1" x14ac:dyDescent="0.25">
      <c r="A1283" s="745">
        <v>209388</v>
      </c>
      <c r="B1283" s="746">
        <v>70</v>
      </c>
      <c r="C1283" s="747" t="s">
        <v>476</v>
      </c>
      <c r="L1283" s="747">
        <v>71.400000000000006</v>
      </c>
    </row>
    <row r="1284" spans="1:12" s="747" customFormat="1" x14ac:dyDescent="0.25">
      <c r="A1284" s="745">
        <v>209389</v>
      </c>
      <c r="B1284" s="746">
        <v>80</v>
      </c>
      <c r="C1284" s="747" t="s">
        <v>476</v>
      </c>
      <c r="L1284" s="747">
        <v>56</v>
      </c>
    </row>
    <row r="1285" spans="1:12" s="747" customFormat="1" x14ac:dyDescent="0.25">
      <c r="A1285" s="745">
        <v>209390</v>
      </c>
      <c r="B1285" s="746">
        <v>81</v>
      </c>
      <c r="C1285" s="747" t="s">
        <v>476</v>
      </c>
      <c r="L1285" s="747">
        <v>57.6</v>
      </c>
    </row>
    <row r="1286" spans="1:12" s="747" customFormat="1" x14ac:dyDescent="0.25">
      <c r="A1286" s="745">
        <v>209391</v>
      </c>
      <c r="B1286" s="746">
        <v>76</v>
      </c>
      <c r="C1286" s="747" t="s">
        <v>476</v>
      </c>
      <c r="L1286" s="747">
        <v>32</v>
      </c>
    </row>
    <row r="1287" spans="1:12" s="747" customFormat="1" x14ac:dyDescent="0.25">
      <c r="A1287" s="745">
        <v>209392</v>
      </c>
      <c r="B1287" s="746">
        <v>79</v>
      </c>
      <c r="C1287" s="747" t="s">
        <v>476</v>
      </c>
      <c r="L1287" s="747">
        <v>39.1</v>
      </c>
    </row>
    <row r="1288" spans="1:12" s="747" customFormat="1" x14ac:dyDescent="0.25">
      <c r="A1288" s="745">
        <v>209393</v>
      </c>
      <c r="B1288" s="746">
        <v>63</v>
      </c>
      <c r="C1288" s="747" t="s">
        <v>476</v>
      </c>
      <c r="D1288" s="747">
        <v>9.23</v>
      </c>
      <c r="E1288" s="747">
        <v>4.5999999999999996</v>
      </c>
      <c r="F1288" s="747">
        <v>1.79</v>
      </c>
      <c r="G1288" s="747">
        <v>0.72</v>
      </c>
      <c r="H1288" s="747">
        <v>2.2999999999999998</v>
      </c>
      <c r="I1288" s="747">
        <v>0.44</v>
      </c>
      <c r="J1288" s="747">
        <v>5.72</v>
      </c>
      <c r="K1288" s="747">
        <v>1.0900000000000001</v>
      </c>
      <c r="L1288" s="747">
        <v>43.5</v>
      </c>
    </row>
    <row r="1289" spans="1:12" s="747" customFormat="1" x14ac:dyDescent="0.25">
      <c r="A1289" s="745">
        <v>209394</v>
      </c>
      <c r="B1289" s="746">
        <v>74</v>
      </c>
      <c r="C1289" s="747" t="s">
        <v>476</v>
      </c>
      <c r="L1289" s="747">
        <v>54.5</v>
      </c>
    </row>
    <row r="1290" spans="1:12" s="747" customFormat="1" x14ac:dyDescent="0.25">
      <c r="A1290" s="745">
        <v>209395</v>
      </c>
      <c r="B1290" s="746">
        <v>77</v>
      </c>
      <c r="C1290" s="747" t="s">
        <v>476</v>
      </c>
      <c r="L1290" s="747">
        <v>45.2</v>
      </c>
    </row>
    <row r="1291" spans="1:12" s="747" customFormat="1" x14ac:dyDescent="0.25">
      <c r="A1291" s="745">
        <v>209396</v>
      </c>
      <c r="B1291" s="746">
        <v>71</v>
      </c>
      <c r="C1291" s="747" t="s">
        <v>476</v>
      </c>
      <c r="L1291" s="747">
        <v>59.8</v>
      </c>
    </row>
    <row r="1292" spans="1:12" s="747" customFormat="1" x14ac:dyDescent="0.25">
      <c r="A1292" s="745">
        <v>209397</v>
      </c>
      <c r="B1292" s="746">
        <v>63</v>
      </c>
      <c r="C1292" s="747" t="s">
        <v>476</v>
      </c>
      <c r="L1292" s="747">
        <v>70.400000000000006</v>
      </c>
    </row>
    <row r="1293" spans="1:12" s="747" customFormat="1" x14ac:dyDescent="0.25">
      <c r="A1293" s="745">
        <v>209398</v>
      </c>
      <c r="B1293" s="746">
        <v>61</v>
      </c>
      <c r="C1293" s="747" t="s">
        <v>476</v>
      </c>
      <c r="L1293" s="747">
        <v>62</v>
      </c>
    </row>
    <row r="1294" spans="1:12" s="747" customFormat="1" x14ac:dyDescent="0.25">
      <c r="A1294" s="745">
        <v>209399</v>
      </c>
      <c r="B1294" s="746">
        <v>62</v>
      </c>
      <c r="C1294" s="747" t="s">
        <v>476</v>
      </c>
      <c r="L1294" s="747">
        <v>62.4</v>
      </c>
    </row>
    <row r="1295" spans="1:12" s="747" customFormat="1" x14ac:dyDescent="0.25">
      <c r="A1295" s="745">
        <v>209400</v>
      </c>
      <c r="B1295" s="746">
        <v>71</v>
      </c>
      <c r="C1295" s="747" t="s">
        <v>476</v>
      </c>
      <c r="D1295" s="747">
        <v>9.23</v>
      </c>
      <c r="E1295" s="747">
        <v>3.82</v>
      </c>
      <c r="F1295" s="747">
        <v>1.54</v>
      </c>
      <c r="G1295" s="747">
        <v>0.72</v>
      </c>
      <c r="H1295" s="747">
        <v>2.2400000000000002</v>
      </c>
      <c r="I1295" s="747">
        <v>0.35</v>
      </c>
      <c r="J1295" s="747">
        <v>6.16</v>
      </c>
      <c r="K1295" s="747">
        <v>0.77</v>
      </c>
      <c r="L1295" s="747">
        <v>45.2</v>
      </c>
    </row>
    <row r="1296" spans="1:12" s="747" customFormat="1" x14ac:dyDescent="0.25">
      <c r="A1296" s="745">
        <v>209401</v>
      </c>
      <c r="B1296" s="746">
        <v>76</v>
      </c>
      <c r="C1296" s="747" t="s">
        <v>476</v>
      </c>
      <c r="D1296" s="747">
        <v>8.76</v>
      </c>
      <c r="E1296" s="747">
        <v>6.41</v>
      </c>
      <c r="F1296" s="747">
        <v>1.88</v>
      </c>
      <c r="G1296" s="747">
        <v>1.32</v>
      </c>
      <c r="H1296" s="747">
        <v>2.76</v>
      </c>
      <c r="I1296" s="747">
        <v>0.54</v>
      </c>
      <c r="J1296" s="747">
        <v>7.38</v>
      </c>
      <c r="K1296" s="747">
        <v>1.04</v>
      </c>
      <c r="L1296" s="747">
        <v>52.6</v>
      </c>
    </row>
    <row r="1297" spans="1:17" s="747" customFormat="1" x14ac:dyDescent="0.25">
      <c r="A1297" s="745">
        <v>209402</v>
      </c>
      <c r="B1297" s="746">
        <v>76</v>
      </c>
      <c r="C1297" s="747" t="s">
        <v>476</v>
      </c>
      <c r="D1297" s="747">
        <v>9.14</v>
      </c>
      <c r="E1297" s="747">
        <v>4.21</v>
      </c>
      <c r="F1297" s="747">
        <v>1.79</v>
      </c>
      <c r="G1297" s="747">
        <v>0.77</v>
      </c>
      <c r="H1297" s="747">
        <v>2.1800000000000002</v>
      </c>
      <c r="I1297" s="747">
        <v>0.33</v>
      </c>
      <c r="J1297" s="747">
        <v>6.48</v>
      </c>
      <c r="K1297" s="747">
        <v>0.81</v>
      </c>
      <c r="L1297" s="747">
        <v>45.4</v>
      </c>
    </row>
    <row r="1298" spans="1:17" s="747" customFormat="1" x14ac:dyDescent="0.25">
      <c r="A1298" s="745">
        <v>209403</v>
      </c>
      <c r="B1298" s="746">
        <v>59</v>
      </c>
      <c r="C1298" s="747" t="s">
        <v>476</v>
      </c>
      <c r="L1298" s="747">
        <v>50.4</v>
      </c>
    </row>
    <row r="1299" spans="1:17" s="747" customFormat="1" x14ac:dyDescent="0.25">
      <c r="A1299" s="745">
        <v>209404</v>
      </c>
      <c r="B1299" s="746">
        <v>62</v>
      </c>
      <c r="C1299" s="747" t="s">
        <v>476</v>
      </c>
      <c r="L1299" s="747">
        <v>47.3</v>
      </c>
    </row>
    <row r="1300" spans="1:17" s="747" customFormat="1" x14ac:dyDescent="0.25">
      <c r="A1300" s="745">
        <v>209405</v>
      </c>
      <c r="B1300" s="746">
        <v>56</v>
      </c>
      <c r="C1300" s="747" t="s">
        <v>476</v>
      </c>
      <c r="L1300" s="747">
        <v>49</v>
      </c>
    </row>
    <row r="1301" spans="1:17" s="747" customFormat="1" x14ac:dyDescent="0.25">
      <c r="A1301" s="745">
        <v>209406</v>
      </c>
      <c r="B1301" s="746">
        <v>43</v>
      </c>
      <c r="C1301" s="747" t="s">
        <v>476</v>
      </c>
      <c r="L1301" s="747">
        <v>72.3</v>
      </c>
    </row>
    <row r="1302" spans="1:17" s="747" customFormat="1" x14ac:dyDescent="0.25">
      <c r="A1302" s="745">
        <v>209407</v>
      </c>
      <c r="B1302" s="746">
        <v>43</v>
      </c>
      <c r="C1302" s="747" t="s">
        <v>476</v>
      </c>
      <c r="L1302" s="747">
        <v>59.1</v>
      </c>
    </row>
    <row r="1303" spans="1:17" s="747" customFormat="1" x14ac:dyDescent="0.25">
      <c r="A1303" s="745">
        <v>209408</v>
      </c>
      <c r="B1303" s="746">
        <v>46</v>
      </c>
      <c r="C1303" s="747" t="s">
        <v>476</v>
      </c>
      <c r="L1303" s="747">
        <v>54</v>
      </c>
    </row>
    <row r="1304" spans="1:17" s="1257" customFormat="1" x14ac:dyDescent="0.25">
      <c r="A1304" s="1255">
        <v>209409</v>
      </c>
      <c r="B1304" s="1256">
        <v>65</v>
      </c>
      <c r="C1304" s="1257" t="s">
        <v>476</v>
      </c>
      <c r="D1304" s="1257">
        <v>8.6300000000000008</v>
      </c>
      <c r="E1304" s="1257">
        <v>3.32</v>
      </c>
      <c r="F1304" s="1257">
        <v>1.51</v>
      </c>
      <c r="G1304" s="1257">
        <v>0.65</v>
      </c>
      <c r="H1304" s="1257">
        <v>1.1000000000000001</v>
      </c>
      <c r="I1304" s="1257">
        <v>0.25</v>
      </c>
      <c r="J1304" s="1257">
        <v>4.3</v>
      </c>
      <c r="K1304" s="1257">
        <v>0.85</v>
      </c>
      <c r="L1304" s="1257">
        <v>20.9</v>
      </c>
      <c r="M1304" s="1257">
        <v>256.52999999999997</v>
      </c>
      <c r="N1304" s="1257">
        <v>84.08</v>
      </c>
      <c r="O1304" s="1257">
        <v>353.5</v>
      </c>
      <c r="P1304" s="1257">
        <v>10596.31</v>
      </c>
      <c r="Q1304" s="1257">
        <v>33.869999999999997</v>
      </c>
    </row>
    <row r="1305" spans="1:17" s="1257" customFormat="1" x14ac:dyDescent="0.25">
      <c r="A1305" s="1255">
        <v>209410</v>
      </c>
      <c r="B1305" s="1256">
        <v>3</v>
      </c>
      <c r="C1305" s="1257" t="s">
        <v>477</v>
      </c>
      <c r="D1305" s="1257">
        <v>7.88</v>
      </c>
      <c r="E1305" s="1257">
        <v>30.1</v>
      </c>
      <c r="F1305" s="1257">
        <v>2.0499999999999998</v>
      </c>
      <c r="G1305" s="1257">
        <v>0.24</v>
      </c>
      <c r="H1305" s="1257">
        <v>23.88</v>
      </c>
      <c r="I1305" s="1257">
        <v>3.95</v>
      </c>
      <c r="J1305" s="1257">
        <v>0.54</v>
      </c>
      <c r="K1305" s="1257">
        <v>0.7</v>
      </c>
      <c r="L1305" s="1257">
        <v>32.200000000000003</v>
      </c>
      <c r="M1305" s="1257">
        <v>108.46</v>
      </c>
      <c r="N1305" s="1257">
        <v>28.16</v>
      </c>
      <c r="O1305" s="1257">
        <v>58.2</v>
      </c>
      <c r="P1305" s="1257">
        <v>212.81</v>
      </c>
      <c r="Q1305" s="1257">
        <v>212.48</v>
      </c>
    </row>
    <row r="1306" spans="1:17" s="1257" customFormat="1" x14ac:dyDescent="0.25">
      <c r="A1306" s="1255">
        <v>209411</v>
      </c>
      <c r="B1306" s="1256">
        <v>60</v>
      </c>
      <c r="C1306" s="1257" t="s">
        <v>476</v>
      </c>
      <c r="L1306" s="1257">
        <v>50</v>
      </c>
    </row>
    <row r="1307" spans="1:17" s="1257" customFormat="1" x14ac:dyDescent="0.25">
      <c r="A1307" s="1255">
        <v>209412</v>
      </c>
      <c r="B1307" s="1256">
        <v>35</v>
      </c>
      <c r="C1307" s="1257" t="s">
        <v>476</v>
      </c>
      <c r="L1307" s="1257">
        <v>44.3</v>
      </c>
    </row>
    <row r="1308" spans="1:17" s="1257" customFormat="1" x14ac:dyDescent="0.25">
      <c r="A1308" s="1255">
        <v>209413</v>
      </c>
      <c r="B1308" s="1256">
        <v>62</v>
      </c>
      <c r="C1308" s="1257" t="s">
        <v>476</v>
      </c>
      <c r="L1308" s="1257">
        <v>47.2</v>
      </c>
    </row>
    <row r="1309" spans="1:17" s="1257" customFormat="1" x14ac:dyDescent="0.25">
      <c r="A1309" s="1255">
        <v>209414</v>
      </c>
      <c r="B1309" s="1256">
        <v>45</v>
      </c>
      <c r="C1309" s="1257" t="s">
        <v>476</v>
      </c>
      <c r="L1309" s="1257">
        <v>71.5</v>
      </c>
    </row>
    <row r="1310" spans="1:17" s="1257" customFormat="1" x14ac:dyDescent="0.25">
      <c r="A1310" s="1255">
        <v>209415</v>
      </c>
      <c r="B1310" s="1256">
        <v>49</v>
      </c>
      <c r="C1310" s="1257" t="s">
        <v>476</v>
      </c>
      <c r="L1310" s="1257">
        <v>57.4</v>
      </c>
    </row>
    <row r="1311" spans="1:17" s="1257" customFormat="1" x14ac:dyDescent="0.25">
      <c r="A1311" s="1255">
        <v>209416</v>
      </c>
      <c r="B1311" s="1256">
        <v>47</v>
      </c>
      <c r="C1311" s="1257" t="s">
        <v>476</v>
      </c>
      <c r="L1311" s="1257">
        <v>61.3</v>
      </c>
    </row>
    <row r="1312" spans="1:17" s="1257" customFormat="1" x14ac:dyDescent="0.25">
      <c r="A1312" s="1255">
        <v>209417</v>
      </c>
      <c r="B1312" s="1256">
        <v>71</v>
      </c>
      <c r="C1312" s="1257" t="s">
        <v>476</v>
      </c>
      <c r="D1312" s="1257">
        <v>9.27</v>
      </c>
      <c r="E1312" s="1257">
        <v>5.2</v>
      </c>
      <c r="F1312" s="1257">
        <v>1.65</v>
      </c>
      <c r="G1312" s="1257">
        <v>0.96</v>
      </c>
      <c r="H1312" s="1257">
        <v>2.7</v>
      </c>
      <c r="I1312" s="1257">
        <v>0.51</v>
      </c>
      <c r="J1312" s="1257">
        <v>5.35</v>
      </c>
      <c r="K1312" s="1257">
        <v>0.99</v>
      </c>
      <c r="L1312" s="1257">
        <v>46.4</v>
      </c>
    </row>
    <row r="1313" spans="1:12" s="1257" customFormat="1" x14ac:dyDescent="0.25">
      <c r="A1313" s="1255">
        <v>209418</v>
      </c>
      <c r="B1313" s="1256">
        <v>73</v>
      </c>
      <c r="C1313" s="1257" t="s">
        <v>476</v>
      </c>
      <c r="D1313" s="1257">
        <v>9.3000000000000007</v>
      </c>
      <c r="E1313" s="1257">
        <v>4.92</v>
      </c>
      <c r="F1313" s="1257">
        <v>1.71</v>
      </c>
      <c r="G1313" s="1257">
        <v>1.01</v>
      </c>
      <c r="H1313" s="1257">
        <v>2.69</v>
      </c>
      <c r="I1313" s="1257">
        <v>0.41</v>
      </c>
      <c r="J1313" s="1257">
        <v>5.85</v>
      </c>
      <c r="K1313" s="1257">
        <v>1.04</v>
      </c>
      <c r="L1313" s="1257">
        <v>47.2</v>
      </c>
    </row>
    <row r="1314" spans="1:12" s="1257" customFormat="1" x14ac:dyDescent="0.25">
      <c r="A1314" s="1255">
        <v>209419</v>
      </c>
      <c r="B1314" s="1256">
        <v>73</v>
      </c>
      <c r="C1314" s="1257" t="s">
        <v>476</v>
      </c>
      <c r="D1314" s="1257">
        <v>9.2100000000000009</v>
      </c>
      <c r="E1314" s="1257">
        <v>4.8099999999999996</v>
      </c>
      <c r="F1314" s="1257">
        <v>1.71</v>
      </c>
      <c r="G1314" s="1257">
        <v>2.1800000000000002</v>
      </c>
      <c r="H1314" s="1257">
        <v>2.65</v>
      </c>
      <c r="I1314" s="1257">
        <v>0.49</v>
      </c>
      <c r="J1314" s="1257">
        <v>7.22</v>
      </c>
      <c r="K1314" s="1257">
        <v>1.44</v>
      </c>
      <c r="L1314" s="1257">
        <v>45.7</v>
      </c>
    </row>
    <row r="1315" spans="1:12" s="1257" customFormat="1" x14ac:dyDescent="0.25">
      <c r="A1315" s="1255">
        <v>209420</v>
      </c>
      <c r="B1315" s="1256">
        <v>64</v>
      </c>
      <c r="C1315" s="1257" t="s">
        <v>476</v>
      </c>
      <c r="L1315" s="1257">
        <v>44.5</v>
      </c>
    </row>
    <row r="1316" spans="1:12" s="1257" customFormat="1" x14ac:dyDescent="0.25">
      <c r="A1316" s="1255">
        <v>209421</v>
      </c>
      <c r="B1316" s="1256">
        <v>40</v>
      </c>
      <c r="C1316" s="1257" t="s">
        <v>476</v>
      </c>
      <c r="D1316" s="1257">
        <v>9.1199999999999992</v>
      </c>
      <c r="E1316" s="1257">
        <v>3.83</v>
      </c>
      <c r="F1316" s="1701">
        <v>1.3729800000000001</v>
      </c>
      <c r="G1316" s="1257">
        <v>0.46</v>
      </c>
      <c r="H1316" s="1257">
        <v>2.4700000000000002</v>
      </c>
      <c r="I1316" s="1257">
        <v>0.51</v>
      </c>
      <c r="J1316" s="1257">
        <v>3.47</v>
      </c>
      <c r="K1316" s="1257">
        <v>0.62</v>
      </c>
      <c r="L1316" s="1257">
        <v>64</v>
      </c>
    </row>
    <row r="1317" spans="1:12" s="1257" customFormat="1" x14ac:dyDescent="0.25">
      <c r="A1317" s="1255">
        <v>209422</v>
      </c>
      <c r="B1317" s="1256">
        <v>81</v>
      </c>
      <c r="C1317" s="1257" t="s">
        <v>476</v>
      </c>
      <c r="D1317" s="1257">
        <v>8.77</v>
      </c>
      <c r="E1317" s="1257">
        <v>7.12</v>
      </c>
      <c r="F1317" s="1701">
        <v>3.11022</v>
      </c>
      <c r="G1317" s="1257">
        <v>0.33</v>
      </c>
      <c r="H1317" s="1257">
        <v>1.63</v>
      </c>
      <c r="I1317" s="1257">
        <v>0.2</v>
      </c>
      <c r="J1317" s="1257">
        <v>7.56</v>
      </c>
      <c r="K1317" s="1257">
        <v>0.77</v>
      </c>
      <c r="L1317" s="1257">
        <v>19.7</v>
      </c>
    </row>
    <row r="1318" spans="1:12" s="1257" customFormat="1" x14ac:dyDescent="0.25">
      <c r="A1318" s="1255">
        <v>209423</v>
      </c>
      <c r="B1318" s="1256">
        <v>96</v>
      </c>
      <c r="C1318" s="1257" t="s">
        <v>477</v>
      </c>
      <c r="F1318" s="1701">
        <v>8.9103600000000007</v>
      </c>
      <c r="L1318" s="1257">
        <v>66.599999999999994</v>
      </c>
    </row>
    <row r="1319" spans="1:12" s="1257" customFormat="1" x14ac:dyDescent="0.25">
      <c r="A1319" s="1255">
        <v>209424</v>
      </c>
      <c r="B1319" s="1256">
        <v>46</v>
      </c>
      <c r="C1319" s="1257" t="s">
        <v>476</v>
      </c>
      <c r="D1319" s="1257">
        <v>9.19</v>
      </c>
      <c r="E1319" s="1257">
        <v>3.54</v>
      </c>
      <c r="F1319" s="1701">
        <v>2.2416</v>
      </c>
      <c r="G1319" s="1257">
        <v>0.57999999999999996</v>
      </c>
      <c r="H1319" s="1257">
        <v>2.4300000000000002</v>
      </c>
      <c r="I1319" s="1257">
        <v>0.49</v>
      </c>
      <c r="J1319" s="1257">
        <v>5</v>
      </c>
      <c r="K1319" s="1257">
        <v>1.03</v>
      </c>
      <c r="L1319" s="1257">
        <v>47.9</v>
      </c>
    </row>
    <row r="1320" spans="1:12" s="1257" customFormat="1" x14ac:dyDescent="0.25">
      <c r="A1320" s="1255">
        <v>209425</v>
      </c>
      <c r="B1320" s="1256">
        <v>52</v>
      </c>
      <c r="C1320" s="1257" t="s">
        <v>476</v>
      </c>
      <c r="D1320" s="1257">
        <v>9.1</v>
      </c>
      <c r="E1320" s="1257">
        <v>3.38</v>
      </c>
      <c r="F1320" s="1701">
        <v>1.5410999999999999</v>
      </c>
      <c r="G1320" s="1257">
        <v>0.49</v>
      </c>
      <c r="H1320" s="1257">
        <v>2.1800000000000002</v>
      </c>
      <c r="I1320" s="1257">
        <v>0.47</v>
      </c>
      <c r="J1320" s="1257">
        <v>5.94</v>
      </c>
      <c r="K1320" s="1257">
        <v>0.95</v>
      </c>
      <c r="L1320" s="1257">
        <v>45.2</v>
      </c>
    </row>
    <row r="1321" spans="1:12" s="1257" customFormat="1" x14ac:dyDescent="0.25">
      <c r="A1321" s="1255">
        <v>209426</v>
      </c>
      <c r="B1321" s="1256">
        <v>72</v>
      </c>
      <c r="C1321" s="1257" t="s">
        <v>476</v>
      </c>
      <c r="D1321" s="1257">
        <v>7.84</v>
      </c>
      <c r="E1321" s="1257">
        <v>3.69</v>
      </c>
      <c r="F1321" s="1701">
        <v>3.4464600000000001</v>
      </c>
      <c r="G1321" s="1257">
        <v>1.19</v>
      </c>
      <c r="H1321" s="1257">
        <v>2.23</v>
      </c>
      <c r="I1321" s="1257">
        <v>0.34</v>
      </c>
      <c r="J1321" s="1257">
        <v>2.46</v>
      </c>
      <c r="K1321" s="1257">
        <v>0.74</v>
      </c>
      <c r="L1321" s="1257">
        <v>78.099999999999994</v>
      </c>
    </row>
    <row r="1322" spans="1:12" s="1257" customFormat="1" x14ac:dyDescent="0.25">
      <c r="A1322" s="1255">
        <v>209427</v>
      </c>
      <c r="B1322" s="1256">
        <v>92</v>
      </c>
      <c r="C1322" s="1257" t="s">
        <v>476</v>
      </c>
      <c r="D1322" s="1257">
        <v>8.0299999999999994</v>
      </c>
      <c r="E1322" s="1257">
        <v>3.89</v>
      </c>
      <c r="F1322" s="1701">
        <v>3.14</v>
      </c>
      <c r="G1322" s="1257">
        <v>1.67</v>
      </c>
      <c r="H1322" s="1257">
        <v>2.06</v>
      </c>
      <c r="I1322" s="1257">
        <v>0.26</v>
      </c>
      <c r="J1322" s="1257">
        <v>9.4700000000000006</v>
      </c>
      <c r="K1322" s="1257">
        <v>0.64</v>
      </c>
      <c r="L1322" s="1257">
        <v>65.5</v>
      </c>
    </row>
    <row r="1323" spans="1:12" s="1257" customFormat="1" x14ac:dyDescent="0.25">
      <c r="A1323" s="1255">
        <v>209428</v>
      </c>
      <c r="B1323" s="1256">
        <v>61</v>
      </c>
      <c r="C1323" s="1257" t="s">
        <v>476</v>
      </c>
      <c r="L1323" s="1257">
        <v>48.5</v>
      </c>
    </row>
    <row r="1324" spans="1:12" s="1257" customFormat="1" x14ac:dyDescent="0.25">
      <c r="A1324" s="1255">
        <v>209429</v>
      </c>
      <c r="B1324" s="1256">
        <v>63</v>
      </c>
      <c r="C1324" s="1257" t="s">
        <v>476</v>
      </c>
      <c r="L1324" s="1257">
        <v>42.7</v>
      </c>
    </row>
    <row r="1325" spans="1:12" s="1257" customFormat="1" x14ac:dyDescent="0.25">
      <c r="A1325" s="1255">
        <v>209430</v>
      </c>
      <c r="B1325" s="1256">
        <v>54</v>
      </c>
      <c r="C1325" s="1257" t="s">
        <v>476</v>
      </c>
      <c r="L1325" s="1257">
        <v>59.4</v>
      </c>
    </row>
    <row r="1326" spans="1:12" s="1257" customFormat="1" x14ac:dyDescent="0.25">
      <c r="A1326" s="1255">
        <v>209431</v>
      </c>
      <c r="B1326" s="1256">
        <v>48</v>
      </c>
      <c r="C1326" s="1257" t="s">
        <v>476</v>
      </c>
      <c r="L1326" s="1257">
        <v>74</v>
      </c>
    </row>
    <row r="1327" spans="1:12" s="1257" customFormat="1" x14ac:dyDescent="0.25">
      <c r="A1327" s="1255">
        <v>209432</v>
      </c>
      <c r="B1327" s="1256">
        <v>49</v>
      </c>
      <c r="C1327" s="1257" t="s">
        <v>476</v>
      </c>
      <c r="L1327" s="1257">
        <v>62.4</v>
      </c>
    </row>
    <row r="1328" spans="1:12" s="1257" customFormat="1" x14ac:dyDescent="0.25">
      <c r="A1328" s="1255">
        <v>209433</v>
      </c>
      <c r="B1328" s="1256">
        <v>64</v>
      </c>
      <c r="C1328" s="1257" t="s">
        <v>476</v>
      </c>
      <c r="D1328" s="1257">
        <v>9.4</v>
      </c>
      <c r="E1328" s="1257">
        <v>5.66</v>
      </c>
      <c r="F1328" s="1257">
        <v>1.57</v>
      </c>
      <c r="G1328" s="1257">
        <v>0.65</v>
      </c>
      <c r="H1328" s="1257">
        <v>2.52</v>
      </c>
      <c r="I1328" s="1257">
        <v>0.5</v>
      </c>
      <c r="J1328" s="1257">
        <v>6.37</v>
      </c>
      <c r="K1328" s="1257">
        <v>1.48</v>
      </c>
      <c r="L1328" s="1257">
        <v>42.1</v>
      </c>
    </row>
    <row r="1329" spans="1:12" s="1257" customFormat="1" x14ac:dyDescent="0.25">
      <c r="A1329" s="1255">
        <v>209434</v>
      </c>
      <c r="B1329" s="1256">
        <v>63</v>
      </c>
      <c r="C1329" s="1257" t="s">
        <v>476</v>
      </c>
      <c r="D1329" s="1257">
        <v>8.7799999999999994</v>
      </c>
      <c r="E1329" s="1257">
        <v>3.41</v>
      </c>
      <c r="F1329" s="1257">
        <v>1.6</v>
      </c>
      <c r="G1329" s="1257">
        <v>0.47</v>
      </c>
      <c r="H1329" s="1257">
        <v>1.91</v>
      </c>
      <c r="I1329" s="1257">
        <v>0.42</v>
      </c>
      <c r="J1329" s="1257">
        <v>5.44</v>
      </c>
      <c r="K1329" s="1257">
        <v>2.2599999999999998</v>
      </c>
      <c r="L1329" s="1257">
        <v>52.4</v>
      </c>
    </row>
    <row r="1330" spans="1:12" s="1257" customFormat="1" x14ac:dyDescent="0.25">
      <c r="A1330" s="1255">
        <v>209435</v>
      </c>
      <c r="B1330" s="1256">
        <v>14</v>
      </c>
      <c r="C1330" s="1257" t="s">
        <v>477</v>
      </c>
      <c r="D1330" s="1257">
        <v>8.2200000000000006</v>
      </c>
      <c r="E1330" s="1257">
        <v>0.17799999999999999</v>
      </c>
      <c r="F1330" s="1257">
        <v>0.64</v>
      </c>
      <c r="G1330" s="1257">
        <v>0.03</v>
      </c>
      <c r="H1330" s="1257">
        <v>0.16</v>
      </c>
      <c r="I1330" s="1257">
        <v>0.08</v>
      </c>
      <c r="J1330" s="1257">
        <v>1.01</v>
      </c>
      <c r="K1330" s="1257">
        <v>0.26</v>
      </c>
      <c r="L1330" s="1257">
        <v>91.6</v>
      </c>
    </row>
    <row r="1331" spans="1:12" s="1257" customFormat="1" x14ac:dyDescent="0.25">
      <c r="A1331" s="1255">
        <v>209436</v>
      </c>
      <c r="B1331" s="1256">
        <v>13</v>
      </c>
      <c r="C1331" s="1257" t="s">
        <v>477</v>
      </c>
      <c r="D1331" s="1257">
        <v>8.27</v>
      </c>
      <c r="E1331" s="1257">
        <v>0.17199999999999999</v>
      </c>
      <c r="F1331" s="1257">
        <v>0.56000000000000005</v>
      </c>
      <c r="G1331" s="1257">
        <v>0.02</v>
      </c>
      <c r="H1331" s="1257">
        <v>0.51</v>
      </c>
      <c r="I1331" s="1257">
        <v>0.19</v>
      </c>
      <c r="J1331" s="1257">
        <v>0.31</v>
      </c>
      <c r="K1331" s="1257">
        <v>0.23</v>
      </c>
      <c r="L1331" s="1257">
        <v>92.9</v>
      </c>
    </row>
    <row r="1332" spans="1:12" s="1734" customFormat="1" x14ac:dyDescent="0.25">
      <c r="A1332" s="1732">
        <v>209437</v>
      </c>
      <c r="B1332" s="1733"/>
    </row>
    <row r="1333" spans="1:12" s="1734" customFormat="1" x14ac:dyDescent="0.25">
      <c r="A1333" s="1732">
        <v>209438</v>
      </c>
      <c r="B1333" s="1733"/>
    </row>
    <row r="1334" spans="1:12" s="1734" customFormat="1" x14ac:dyDescent="0.25">
      <c r="A1334" s="1732">
        <v>209439</v>
      </c>
      <c r="B1334" s="1733"/>
    </row>
    <row r="1335" spans="1:12" s="1734" customFormat="1" x14ac:dyDescent="0.25">
      <c r="A1335" s="1732">
        <v>209440</v>
      </c>
      <c r="B1335" s="1733"/>
    </row>
    <row r="1336" spans="1:12" s="1734" customFormat="1" x14ac:dyDescent="0.25">
      <c r="A1336" s="1732">
        <v>209441</v>
      </c>
      <c r="B1336" s="1733"/>
    </row>
    <row r="1337" spans="1:12" s="1734" customFormat="1" x14ac:dyDescent="0.25">
      <c r="A1337" s="1732">
        <v>209442</v>
      </c>
      <c r="B1337" s="1733"/>
    </row>
    <row r="1338" spans="1:12" s="1734" customFormat="1" x14ac:dyDescent="0.25">
      <c r="A1338" s="1732">
        <v>209443</v>
      </c>
      <c r="B1338" s="1733"/>
    </row>
    <row r="1339" spans="1:12" s="1257" customFormat="1" x14ac:dyDescent="0.25">
      <c r="A1339" s="1255">
        <v>209444</v>
      </c>
      <c r="B1339" s="1256">
        <v>60</v>
      </c>
      <c r="C1339" s="1257" t="s">
        <v>187</v>
      </c>
      <c r="D1339" s="1257">
        <v>9.08</v>
      </c>
      <c r="E1339" s="1257">
        <v>3.77</v>
      </c>
      <c r="F1339" s="1701">
        <v>1.59714</v>
      </c>
      <c r="G1339" s="1257">
        <v>0.52</v>
      </c>
      <c r="H1339" s="1257">
        <v>2.1800000000000002</v>
      </c>
      <c r="I1339" s="1257">
        <v>0.56000000000000005</v>
      </c>
      <c r="J1339" s="1257">
        <v>4.78</v>
      </c>
      <c r="K1339" s="1257">
        <v>1.42</v>
      </c>
      <c r="L1339" s="1257">
        <v>63.1</v>
      </c>
    </row>
    <row r="1340" spans="1:12" s="1257" customFormat="1" x14ac:dyDescent="0.25">
      <c r="A1340" s="1255">
        <v>209445</v>
      </c>
      <c r="B1340" s="1256">
        <v>75</v>
      </c>
      <c r="C1340" s="1257" t="s">
        <v>187</v>
      </c>
      <c r="D1340" s="1257">
        <v>7.55</v>
      </c>
      <c r="E1340" s="1257">
        <v>5.86</v>
      </c>
      <c r="F1340" s="1701">
        <v>3.5585399999999998</v>
      </c>
      <c r="G1340" s="1257">
        <v>0.91</v>
      </c>
      <c r="H1340" s="1257">
        <v>1.84</v>
      </c>
      <c r="I1340" s="1257">
        <v>0.37</v>
      </c>
      <c r="J1340" s="1257">
        <v>2.31</v>
      </c>
      <c r="K1340" s="1257">
        <v>0.87</v>
      </c>
      <c r="L1340" s="1257">
        <v>83.5</v>
      </c>
    </row>
    <row r="1341" spans="1:12" s="1257" customFormat="1" x14ac:dyDescent="0.25">
      <c r="A1341" s="1255">
        <v>209446</v>
      </c>
      <c r="B1341" s="1256">
        <v>94</v>
      </c>
      <c r="C1341" s="1257" t="s">
        <v>477</v>
      </c>
      <c r="F1341" s="1257">
        <v>7.71</v>
      </c>
    </row>
    <row r="1342" spans="1:12" s="1257" customFormat="1" x14ac:dyDescent="0.25">
      <c r="A1342" s="1255">
        <v>209447</v>
      </c>
      <c r="B1342" s="1256">
        <v>84</v>
      </c>
      <c r="C1342" s="1257" t="s">
        <v>187</v>
      </c>
      <c r="D1342" s="1257">
        <v>7.02</v>
      </c>
      <c r="E1342" s="1257">
        <v>4.2300000000000004</v>
      </c>
      <c r="F1342" s="1701">
        <v>2.9420999999999999</v>
      </c>
      <c r="G1342" s="1257">
        <v>1.0900000000000001</v>
      </c>
      <c r="H1342" s="1257">
        <v>1.97</v>
      </c>
      <c r="I1342" s="1257">
        <v>0.31</v>
      </c>
      <c r="J1342" s="1257">
        <v>3.56</v>
      </c>
      <c r="K1342" s="1257">
        <v>0.71</v>
      </c>
      <c r="L1342" s="1257">
        <v>75.8</v>
      </c>
    </row>
    <row r="1343" spans="1:12" s="1257" customFormat="1" x14ac:dyDescent="0.25">
      <c r="A1343" s="1255">
        <v>209448</v>
      </c>
      <c r="B1343" s="1256">
        <v>61</v>
      </c>
      <c r="C1343" s="1257" t="s">
        <v>187</v>
      </c>
      <c r="D1343" s="1257">
        <v>9.27</v>
      </c>
      <c r="E1343" s="1257">
        <v>2.39</v>
      </c>
      <c r="F1343" s="1701">
        <v>1.4290200000000002</v>
      </c>
      <c r="G1343" s="1257">
        <v>0.54</v>
      </c>
      <c r="H1343" s="1257">
        <v>2.13</v>
      </c>
      <c r="I1343" s="1257">
        <v>0.36</v>
      </c>
      <c r="J1343" s="1257">
        <v>3.92</v>
      </c>
      <c r="K1343" s="1257">
        <v>0.82</v>
      </c>
      <c r="L1343" s="1257">
        <v>54.4</v>
      </c>
    </row>
    <row r="1344" spans="1:12" s="1257" customFormat="1" x14ac:dyDescent="0.25">
      <c r="A1344" s="1255">
        <v>209449</v>
      </c>
      <c r="B1344" s="1256">
        <v>93</v>
      </c>
      <c r="C1344" s="1257" t="s">
        <v>477</v>
      </c>
      <c r="F1344" s="1257">
        <v>7.73</v>
      </c>
    </row>
    <row r="1345" spans="1:12" s="1257" customFormat="1" x14ac:dyDescent="0.25">
      <c r="A1345" s="1255">
        <v>209450</v>
      </c>
      <c r="B1345" s="1256">
        <v>89</v>
      </c>
      <c r="C1345" s="1257" t="s">
        <v>477</v>
      </c>
      <c r="F1345" s="1257">
        <v>6.3</v>
      </c>
    </row>
    <row r="1346" spans="1:12" s="1257" customFormat="1" x14ac:dyDescent="0.25">
      <c r="A1346" s="1255">
        <v>209451</v>
      </c>
      <c r="B1346" s="1256">
        <v>96</v>
      </c>
      <c r="C1346" s="1257" t="s">
        <v>477</v>
      </c>
      <c r="F1346" s="1257">
        <v>7.71</v>
      </c>
    </row>
    <row r="1347" spans="1:12" s="1257" customFormat="1" x14ac:dyDescent="0.25">
      <c r="A1347" s="1255">
        <v>209452</v>
      </c>
      <c r="B1347" s="1256">
        <v>74</v>
      </c>
      <c r="C1347" s="1257" t="s">
        <v>477</v>
      </c>
      <c r="D1347" s="1257">
        <v>9.43</v>
      </c>
      <c r="E1347" s="1257">
        <v>9.49</v>
      </c>
      <c r="F1347" s="1701">
        <v>3.1662599999999999</v>
      </c>
      <c r="G1347" s="1257">
        <v>2.3199999999999998</v>
      </c>
      <c r="H1347" s="1257">
        <v>2.54</v>
      </c>
      <c r="I1347" s="1257">
        <v>0.9</v>
      </c>
      <c r="J1347" s="1257">
        <v>10.15</v>
      </c>
      <c r="K1347" s="1257">
        <v>0.76</v>
      </c>
      <c r="L1347" s="1257">
        <v>67.5</v>
      </c>
    </row>
    <row r="1348" spans="1:12" s="1257" customFormat="1" x14ac:dyDescent="0.25">
      <c r="A1348" s="1255">
        <v>209453</v>
      </c>
      <c r="B1348" s="1256">
        <v>78</v>
      </c>
      <c r="C1348" s="1257" t="s">
        <v>477</v>
      </c>
      <c r="D1348" s="1257">
        <v>9.5</v>
      </c>
      <c r="E1348" s="1257">
        <v>5.31</v>
      </c>
      <c r="F1348" s="1701">
        <v>0.86862000000000006</v>
      </c>
      <c r="G1348" s="1257">
        <v>5.23</v>
      </c>
      <c r="H1348" s="1257">
        <v>1.67</v>
      </c>
      <c r="I1348" s="1257">
        <v>0.61</v>
      </c>
      <c r="J1348" s="1257">
        <v>16.93</v>
      </c>
      <c r="K1348" s="1257">
        <v>0.71</v>
      </c>
      <c r="L1348" s="1257">
        <v>24.7</v>
      </c>
    </row>
    <row r="1349" spans="1:12" s="1257" customFormat="1" x14ac:dyDescent="0.25">
      <c r="A1349" s="1255">
        <v>209454</v>
      </c>
      <c r="B1349" s="1256">
        <v>90</v>
      </c>
      <c r="C1349" s="1257" t="s">
        <v>476</v>
      </c>
      <c r="L1349" s="1257">
        <v>32.700000000000003</v>
      </c>
    </row>
    <row r="1350" spans="1:12" s="1257" customFormat="1" x14ac:dyDescent="0.25">
      <c r="A1350" s="1255">
        <v>209455</v>
      </c>
      <c r="B1350" s="1256">
        <v>96</v>
      </c>
      <c r="C1350" s="1257" t="s">
        <v>477</v>
      </c>
      <c r="F1350" s="1701">
        <v>8.1538200000000014</v>
      </c>
    </row>
    <row r="1351" spans="1:12" s="1257" customFormat="1" x14ac:dyDescent="0.25">
      <c r="A1351" s="1255">
        <v>209456</v>
      </c>
      <c r="B1351" s="1256">
        <v>69</v>
      </c>
      <c r="C1351" s="1257" t="s">
        <v>476</v>
      </c>
      <c r="D1351" s="1257">
        <v>9.56</v>
      </c>
      <c r="E1351" s="1257">
        <v>6.08</v>
      </c>
      <c r="F1351" s="1701">
        <v>1.6531800000000001</v>
      </c>
      <c r="G1351" s="1257">
        <v>0.64</v>
      </c>
      <c r="H1351" s="1257">
        <v>2.25</v>
      </c>
      <c r="I1351" s="1257">
        <v>0.45</v>
      </c>
      <c r="J1351" s="1257">
        <v>4.37</v>
      </c>
      <c r="K1351" s="1257">
        <v>0.85</v>
      </c>
      <c r="L1351" s="1257">
        <v>44.2</v>
      </c>
    </row>
    <row r="1352" spans="1:12" s="1257" customFormat="1" x14ac:dyDescent="0.25">
      <c r="A1352" s="1255">
        <v>209457</v>
      </c>
      <c r="B1352" s="1256">
        <v>78</v>
      </c>
      <c r="C1352" s="1257" t="s">
        <v>476</v>
      </c>
      <c r="D1352" s="1257">
        <v>6.98</v>
      </c>
      <c r="E1352" s="1257">
        <v>7.52</v>
      </c>
      <c r="F1352" s="1701">
        <v>3.4464600000000001</v>
      </c>
      <c r="G1352" s="1257">
        <v>1.1599999999999999</v>
      </c>
      <c r="H1352" s="1257">
        <v>2.2999999999999998</v>
      </c>
      <c r="I1352" s="1257">
        <v>0.34</v>
      </c>
      <c r="J1352" s="1257">
        <v>3.07</v>
      </c>
      <c r="K1352" s="1257">
        <v>0.73</v>
      </c>
      <c r="L1352" s="1257">
        <v>74.2</v>
      </c>
    </row>
    <row r="1353" spans="1:12" s="1257" customFormat="1" x14ac:dyDescent="0.25">
      <c r="A1353" s="1255">
        <v>209458</v>
      </c>
      <c r="B1353" s="1256">
        <v>85</v>
      </c>
      <c r="C1353" s="1257" t="s">
        <v>476</v>
      </c>
      <c r="D1353" s="1257">
        <v>8.89</v>
      </c>
      <c r="E1353" s="1257">
        <v>7.79</v>
      </c>
      <c r="F1353" s="1257">
        <v>0.81</v>
      </c>
      <c r="G1353" s="1257">
        <v>0.33</v>
      </c>
      <c r="H1353" s="1257">
        <v>1.65</v>
      </c>
      <c r="I1353" s="1257">
        <v>0.21</v>
      </c>
      <c r="J1353" s="1257">
        <v>7.72</v>
      </c>
      <c r="K1353" s="1257">
        <v>0.64</v>
      </c>
      <c r="L1353" s="1257">
        <v>18</v>
      </c>
    </row>
    <row r="1354" spans="1:12" s="1257" customFormat="1" x14ac:dyDescent="0.25">
      <c r="A1354" s="1255">
        <v>209459</v>
      </c>
      <c r="B1354" s="1256">
        <v>75</v>
      </c>
      <c r="C1354" s="1257" t="s">
        <v>476</v>
      </c>
      <c r="L1354" s="1257">
        <v>43.4</v>
      </c>
    </row>
    <row r="1355" spans="1:12" s="1257" customFormat="1" x14ac:dyDescent="0.25">
      <c r="A1355" s="1255">
        <v>209460</v>
      </c>
      <c r="B1355" s="1256">
        <v>68</v>
      </c>
      <c r="C1355" s="1257" t="s">
        <v>476</v>
      </c>
      <c r="L1355" s="1257">
        <v>40.299999999999997</v>
      </c>
    </row>
    <row r="1356" spans="1:12" s="1257" customFormat="1" x14ac:dyDescent="0.25">
      <c r="A1356" s="1255">
        <v>209461</v>
      </c>
      <c r="B1356" s="1256">
        <v>72</v>
      </c>
      <c r="C1356" s="1257" t="s">
        <v>476</v>
      </c>
      <c r="L1356" s="1257">
        <v>45.1</v>
      </c>
    </row>
    <row r="1357" spans="1:12" s="1257" customFormat="1" x14ac:dyDescent="0.25">
      <c r="A1357" s="1255">
        <v>209462</v>
      </c>
      <c r="B1357" s="1256">
        <v>61</v>
      </c>
      <c r="C1357" s="1257" t="s">
        <v>476</v>
      </c>
      <c r="L1357" s="1257">
        <v>58.7</v>
      </c>
    </row>
    <row r="1358" spans="1:12" s="1257" customFormat="1" x14ac:dyDescent="0.25">
      <c r="A1358" s="1255">
        <v>209463</v>
      </c>
      <c r="B1358" s="1256">
        <v>62</v>
      </c>
      <c r="C1358" s="1257" t="s">
        <v>476</v>
      </c>
      <c r="L1358" s="1257">
        <v>60.3</v>
      </c>
    </row>
    <row r="1359" spans="1:12" s="1257" customFormat="1" x14ac:dyDescent="0.25">
      <c r="A1359" s="1255">
        <v>209464</v>
      </c>
      <c r="B1359" s="1256">
        <v>62</v>
      </c>
      <c r="C1359" s="1257" t="s">
        <v>476</v>
      </c>
      <c r="L1359" s="1257">
        <v>55.3</v>
      </c>
    </row>
    <row r="1360" spans="1:12" s="1257" customFormat="1" x14ac:dyDescent="0.25">
      <c r="A1360" s="1255">
        <v>209465</v>
      </c>
      <c r="B1360" s="1257">
        <v>74</v>
      </c>
      <c r="C1360" s="1257" t="s">
        <v>476</v>
      </c>
      <c r="D1360" s="1257">
        <v>9.6300000000000008</v>
      </c>
      <c r="E1360" s="1257">
        <v>8.7799999999999994</v>
      </c>
      <c r="F1360" s="1257">
        <v>2.0699999999999998</v>
      </c>
      <c r="G1360" s="1257">
        <v>1.96</v>
      </c>
      <c r="H1360" s="1257">
        <v>2.97</v>
      </c>
      <c r="I1360" s="1257">
        <v>0.7</v>
      </c>
      <c r="J1360" s="1257">
        <v>10.34</v>
      </c>
      <c r="K1360" s="1257">
        <v>1.04</v>
      </c>
      <c r="L1360" s="1257">
        <v>42.6</v>
      </c>
    </row>
    <row r="1361" spans="1:12" s="1257" customFormat="1" x14ac:dyDescent="0.25">
      <c r="A1361" s="1255">
        <v>209466</v>
      </c>
      <c r="B1361" s="1257">
        <v>17</v>
      </c>
      <c r="C1361" s="1257" t="s">
        <v>477</v>
      </c>
      <c r="D1361" s="1257">
        <v>7.62</v>
      </c>
      <c r="E1361" s="1257">
        <v>0.35399999999999998</v>
      </c>
      <c r="F1361" s="1257">
        <v>0.7</v>
      </c>
      <c r="G1361" s="1257">
        <v>0.03</v>
      </c>
      <c r="H1361" s="1257">
        <v>0.25</v>
      </c>
      <c r="I1361" s="1257">
        <v>0.2</v>
      </c>
      <c r="J1361" s="1257">
        <v>0.73</v>
      </c>
      <c r="K1361" s="1257">
        <v>0.28000000000000003</v>
      </c>
      <c r="L1361" s="1257">
        <v>77.3</v>
      </c>
    </row>
    <row r="1362" spans="1:12" s="1257" customFormat="1" x14ac:dyDescent="0.25">
      <c r="A1362" s="1255">
        <v>209467</v>
      </c>
      <c r="B1362" s="1257">
        <v>23</v>
      </c>
      <c r="C1362" s="1257" t="s">
        <v>477</v>
      </c>
      <c r="D1362" s="1257">
        <v>8.06</v>
      </c>
      <c r="E1362" s="1257">
        <v>0.255</v>
      </c>
      <c r="F1362" s="1257">
        <v>0.53</v>
      </c>
      <c r="G1362" s="1257">
        <v>0.02</v>
      </c>
      <c r="H1362" s="1257">
        <v>0.32</v>
      </c>
      <c r="I1362" s="1257">
        <v>0.25</v>
      </c>
      <c r="J1362" s="1257">
        <v>0.28999999999999998</v>
      </c>
      <c r="K1362" s="1257">
        <v>0.2</v>
      </c>
      <c r="L1362" s="1257">
        <v>90.7</v>
      </c>
    </row>
    <row r="1363" spans="1:12" s="1257" customFormat="1" x14ac:dyDescent="0.25">
      <c r="A1363" s="1255">
        <v>209468</v>
      </c>
      <c r="B1363" s="1257">
        <v>19</v>
      </c>
      <c r="C1363" s="1257" t="s">
        <v>477</v>
      </c>
      <c r="D1363" s="1257">
        <v>7.78</v>
      </c>
      <c r="E1363" s="1257">
        <v>0.219</v>
      </c>
      <c r="F1363" s="1257">
        <v>0.84</v>
      </c>
      <c r="G1363" s="1257">
        <v>0.05</v>
      </c>
      <c r="H1363" s="1257">
        <v>0.08</v>
      </c>
      <c r="I1363" s="1257">
        <v>0.13</v>
      </c>
      <c r="J1363" s="1257">
        <v>1.49</v>
      </c>
      <c r="K1363" s="1257">
        <v>0.36</v>
      </c>
      <c r="L1363" s="1257">
        <v>85.1</v>
      </c>
    </row>
    <row r="1364" spans="1:12" s="1257" customFormat="1" x14ac:dyDescent="0.25">
      <c r="A1364" s="1255">
        <v>209469</v>
      </c>
      <c r="B1364" s="1257">
        <v>96</v>
      </c>
      <c r="C1364" s="1257" t="s">
        <v>477</v>
      </c>
      <c r="F1364" s="1257">
        <v>7.85</v>
      </c>
    </row>
    <row r="1365" spans="1:12" s="1257" customFormat="1" x14ac:dyDescent="0.25">
      <c r="A1365" s="1255">
        <v>209470</v>
      </c>
      <c r="B1365" s="1256">
        <v>68</v>
      </c>
      <c r="C1365" s="1257" t="s">
        <v>476</v>
      </c>
      <c r="L1365" s="1257">
        <v>44.6</v>
      </c>
    </row>
    <row r="1366" spans="1:12" s="1257" customFormat="1" x14ac:dyDescent="0.25">
      <c r="A1366" s="1255">
        <v>209471</v>
      </c>
      <c r="B1366" s="1257">
        <v>72</v>
      </c>
      <c r="C1366" s="1257" t="s">
        <v>187</v>
      </c>
      <c r="D1366" s="1257">
        <v>9.2100000000000009</v>
      </c>
      <c r="E1366" s="1257">
        <v>8.6999999999999993</v>
      </c>
      <c r="F1366" s="1257">
        <v>1.91</v>
      </c>
      <c r="G1366" s="1257">
        <v>2.3199999999999998</v>
      </c>
      <c r="H1366" s="1257">
        <v>2.91</v>
      </c>
      <c r="I1366" s="1257">
        <v>0.78</v>
      </c>
      <c r="J1366" s="1257">
        <v>11.8</v>
      </c>
      <c r="K1366" s="1257">
        <v>0.87</v>
      </c>
      <c r="L1366" s="1257">
        <v>44.5</v>
      </c>
    </row>
    <row r="1367" spans="1:12" s="1257" customFormat="1" x14ac:dyDescent="0.25">
      <c r="A1367" s="1255">
        <v>209472</v>
      </c>
      <c r="B1367" s="1257">
        <v>68</v>
      </c>
      <c r="C1367" s="1257" t="s">
        <v>187</v>
      </c>
      <c r="D1367" s="1257">
        <v>9.1</v>
      </c>
      <c r="E1367" s="1257">
        <v>5.32</v>
      </c>
      <c r="F1367" s="1257">
        <v>1.96</v>
      </c>
      <c r="G1367" s="1257">
        <v>1.49</v>
      </c>
      <c r="H1367" s="1257">
        <v>2.97</v>
      </c>
      <c r="I1367" s="1257">
        <v>0.46</v>
      </c>
      <c r="J1367" s="1257">
        <v>7.29</v>
      </c>
      <c r="K1367" s="1257">
        <v>0.97</v>
      </c>
      <c r="L1367" s="1257">
        <v>50.9</v>
      </c>
    </row>
    <row r="1368" spans="1:12" s="1257" customFormat="1" x14ac:dyDescent="0.25">
      <c r="A1368" s="1255">
        <v>209473</v>
      </c>
      <c r="B1368" s="1257">
        <v>70</v>
      </c>
      <c r="C1368" s="1257" t="s">
        <v>187</v>
      </c>
      <c r="D1368" s="1257">
        <v>9.4</v>
      </c>
      <c r="E1368" s="1257">
        <v>4.9400000000000004</v>
      </c>
      <c r="F1368" s="1257">
        <v>1.63</v>
      </c>
      <c r="G1368" s="1257">
        <v>0.72</v>
      </c>
      <c r="H1368" s="1257">
        <v>2.57</v>
      </c>
      <c r="I1368" s="1257">
        <v>0.47</v>
      </c>
      <c r="J1368" s="1257">
        <v>6.26</v>
      </c>
      <c r="K1368" s="1257">
        <v>0.95</v>
      </c>
      <c r="L1368" s="1257">
        <v>43.1</v>
      </c>
    </row>
    <row r="1369" spans="1:12" s="1257" customFormat="1" x14ac:dyDescent="0.25">
      <c r="A1369" s="1255">
        <v>209474</v>
      </c>
      <c r="B1369" s="1257">
        <v>68</v>
      </c>
      <c r="C1369" s="1257" t="s">
        <v>187</v>
      </c>
      <c r="D1369" s="1257">
        <v>9.5</v>
      </c>
      <c r="E1369" s="1257">
        <v>4.8899999999999997</v>
      </c>
      <c r="F1369" s="1257">
        <v>1.65</v>
      </c>
      <c r="G1369" s="1257">
        <v>0.67</v>
      </c>
      <c r="H1369" s="1257">
        <v>2.61</v>
      </c>
      <c r="I1369" s="1257">
        <v>0.47</v>
      </c>
      <c r="J1369" s="1257">
        <v>5.96</v>
      </c>
      <c r="K1369" s="1257">
        <v>1.01</v>
      </c>
      <c r="L1369" s="1257">
        <v>41.1</v>
      </c>
    </row>
    <row r="1370" spans="1:12" s="1257" customFormat="1" x14ac:dyDescent="0.25">
      <c r="A1370" s="1255">
        <v>209475</v>
      </c>
      <c r="B1370" s="1257">
        <v>20</v>
      </c>
      <c r="C1370" s="1257" t="s">
        <v>477</v>
      </c>
      <c r="D1370" s="1257">
        <v>8.64</v>
      </c>
      <c r="E1370" s="1257">
        <v>0.55900000000000005</v>
      </c>
      <c r="F1370" s="1257">
        <v>1.74</v>
      </c>
      <c r="G1370" s="1257">
        <v>0.28999999999999998</v>
      </c>
      <c r="H1370" s="1257">
        <v>0.54</v>
      </c>
      <c r="I1370" s="1257">
        <v>0.35</v>
      </c>
      <c r="J1370" s="1257">
        <v>1.99</v>
      </c>
      <c r="K1370" s="1257">
        <v>0.43</v>
      </c>
      <c r="L1370" s="1257">
        <v>85.6</v>
      </c>
    </row>
    <row r="1371" spans="1:12" s="1257" customFormat="1" x14ac:dyDescent="0.25">
      <c r="A1371" s="1255">
        <v>209476</v>
      </c>
      <c r="B1371" s="1257">
        <v>14</v>
      </c>
      <c r="C1371" s="1257" t="s">
        <v>477</v>
      </c>
      <c r="D1371" s="1257">
        <v>7.41</v>
      </c>
      <c r="E1371" s="1257">
        <v>1.571</v>
      </c>
      <c r="F1371" s="1257">
        <v>1.23</v>
      </c>
      <c r="G1371" s="1257">
        <v>0.19</v>
      </c>
      <c r="H1371" s="1257">
        <v>0.6</v>
      </c>
      <c r="I1371" s="1257">
        <v>0.35</v>
      </c>
      <c r="J1371" s="1257">
        <v>1.01</v>
      </c>
      <c r="K1371" s="1257">
        <v>0.35</v>
      </c>
      <c r="L1371" s="1257">
        <v>90.4</v>
      </c>
    </row>
    <row r="1372" spans="1:12" s="1257" customFormat="1" x14ac:dyDescent="0.25">
      <c r="A1372" s="1255">
        <v>209477</v>
      </c>
      <c r="B1372" s="1257">
        <v>66</v>
      </c>
      <c r="C1372" s="1257" t="s">
        <v>187</v>
      </c>
      <c r="D1372" s="1257">
        <v>7.61</v>
      </c>
      <c r="E1372" s="1257">
        <v>7.21</v>
      </c>
      <c r="F1372" s="1257">
        <v>2.91</v>
      </c>
      <c r="G1372" s="1257">
        <v>1.0900000000000001</v>
      </c>
      <c r="H1372" s="1257">
        <v>2.64</v>
      </c>
      <c r="I1372" s="1257">
        <v>0.43</v>
      </c>
      <c r="J1372" s="1257">
        <v>4.0599999999999996</v>
      </c>
      <c r="K1372" s="1257">
        <v>0.79</v>
      </c>
      <c r="L1372" s="1257">
        <v>63.5</v>
      </c>
    </row>
    <row r="1373" spans="1:12" s="1257" customFormat="1" x14ac:dyDescent="0.25">
      <c r="A1373" s="1255">
        <v>209478</v>
      </c>
      <c r="B1373" s="1257">
        <v>66</v>
      </c>
      <c r="C1373" s="1257" t="s">
        <v>187</v>
      </c>
      <c r="D1373" s="1257">
        <v>7.9</v>
      </c>
      <c r="E1373" s="1257">
        <v>7.02</v>
      </c>
      <c r="F1373" s="1257">
        <v>2.94</v>
      </c>
      <c r="G1373" s="1257">
        <v>1.1000000000000001</v>
      </c>
      <c r="H1373" s="1257">
        <v>2.5099999999999998</v>
      </c>
      <c r="I1373" s="1257">
        <v>0.41</v>
      </c>
      <c r="J1373" s="1257">
        <v>4.43</v>
      </c>
      <c r="K1373" s="1257">
        <v>0.83</v>
      </c>
      <c r="L1373" s="1257">
        <v>63.6</v>
      </c>
    </row>
    <row r="1374" spans="1:12" s="1257" customFormat="1" x14ac:dyDescent="0.25">
      <c r="A1374" s="1255">
        <v>209479</v>
      </c>
      <c r="B1374" s="1257">
        <v>65</v>
      </c>
      <c r="C1374" s="1257" t="s">
        <v>187</v>
      </c>
      <c r="D1374" s="1257">
        <v>7.72</v>
      </c>
      <c r="E1374" s="1257">
        <v>7.22</v>
      </c>
      <c r="F1374" s="1257">
        <v>3</v>
      </c>
      <c r="G1374" s="1257">
        <v>1.1399999999999999</v>
      </c>
      <c r="H1374" s="1257">
        <v>2.57</v>
      </c>
      <c r="I1374" s="1257">
        <v>0.44</v>
      </c>
      <c r="J1374" s="1257">
        <v>3.86</v>
      </c>
      <c r="K1374" s="1257">
        <v>0.8</v>
      </c>
      <c r="L1374" s="1257">
        <v>64.7</v>
      </c>
    </row>
    <row r="1375" spans="1:12" s="1257" customFormat="1" x14ac:dyDescent="0.25">
      <c r="A1375" s="1255">
        <v>209480</v>
      </c>
      <c r="B1375" s="1256">
        <v>89</v>
      </c>
      <c r="C1375" s="1257" t="s">
        <v>187</v>
      </c>
      <c r="D1375" s="1257">
        <v>8.75</v>
      </c>
      <c r="E1375" s="1701">
        <v>2.0750000000000002</v>
      </c>
      <c r="F1375" s="1257">
        <v>1.23</v>
      </c>
      <c r="G1375" s="1257">
        <v>0.53</v>
      </c>
      <c r="H1375" s="1257">
        <v>0.95</v>
      </c>
      <c r="I1375" s="1257">
        <v>0.19</v>
      </c>
      <c r="J1375" s="1257">
        <v>0.8</v>
      </c>
      <c r="K1375" s="1780">
        <v>0.39</v>
      </c>
      <c r="L1375" s="1257">
        <v>33.299999999999997</v>
      </c>
    </row>
    <row r="1376" spans="1:12" s="1257" customFormat="1" x14ac:dyDescent="0.25">
      <c r="A1376" s="1255">
        <v>209481</v>
      </c>
      <c r="B1376" s="1256">
        <v>92</v>
      </c>
      <c r="C1376" s="1257" t="s">
        <v>477</v>
      </c>
      <c r="D1376" s="1257">
        <v>7.25</v>
      </c>
      <c r="E1376" s="1701">
        <v>2.6429999999999998</v>
      </c>
      <c r="F1376" s="1257">
        <v>4.26</v>
      </c>
      <c r="G1376" s="1257">
        <v>0.67</v>
      </c>
      <c r="H1376" s="1257">
        <v>1.7</v>
      </c>
      <c r="I1376" s="1257">
        <v>0.03</v>
      </c>
      <c r="J1376" s="1257">
        <v>0.51</v>
      </c>
      <c r="K1376" s="1780">
        <v>0.55000000000000004</v>
      </c>
      <c r="L1376" s="1257">
        <v>91.5</v>
      </c>
    </row>
    <row r="1377" spans="1:12" s="1257" customFormat="1" x14ac:dyDescent="0.25">
      <c r="A1377" s="1255">
        <v>209482</v>
      </c>
      <c r="B1377" s="1256">
        <v>83</v>
      </c>
      <c r="C1377" s="1257" t="s">
        <v>187</v>
      </c>
      <c r="D1377" s="1257">
        <v>8.26</v>
      </c>
      <c r="E1377" s="1701">
        <v>2.3170000000000002</v>
      </c>
      <c r="F1377" s="1257">
        <v>1.1499999999999999</v>
      </c>
      <c r="G1377" s="1257">
        <v>0.54</v>
      </c>
      <c r="H1377" s="1257">
        <v>0.93</v>
      </c>
      <c r="I1377" s="1257">
        <v>0.15</v>
      </c>
      <c r="J1377" s="1257">
        <v>0.69</v>
      </c>
      <c r="K1377" s="1780">
        <v>0.41</v>
      </c>
      <c r="L1377" s="1257">
        <v>28.1</v>
      </c>
    </row>
    <row r="1378" spans="1:12" s="1257" customFormat="1" x14ac:dyDescent="0.25">
      <c r="A1378" s="1255">
        <v>209483</v>
      </c>
      <c r="B1378" s="1256">
        <v>75</v>
      </c>
      <c r="C1378" s="1257" t="s">
        <v>187</v>
      </c>
      <c r="D1378" s="1257">
        <v>7.17</v>
      </c>
      <c r="E1378" s="1701">
        <v>4.55</v>
      </c>
      <c r="F1378" s="1257">
        <v>1.26</v>
      </c>
      <c r="G1378" s="1257">
        <v>2.12</v>
      </c>
      <c r="H1378" s="1257">
        <v>0.78</v>
      </c>
      <c r="I1378" s="1257">
        <v>0.13</v>
      </c>
      <c r="J1378" s="1257">
        <v>8.52</v>
      </c>
      <c r="K1378" s="1780">
        <v>0.52</v>
      </c>
      <c r="L1378" s="1257">
        <v>30.5</v>
      </c>
    </row>
    <row r="1379" spans="1:12" s="1257" customFormat="1" x14ac:dyDescent="0.25">
      <c r="A1379" s="1255">
        <v>209484</v>
      </c>
      <c r="B1379" s="1256">
        <v>79</v>
      </c>
      <c r="C1379" s="1257" t="s">
        <v>187</v>
      </c>
      <c r="D1379" s="1257">
        <v>7.33</v>
      </c>
      <c r="E1379" s="1701">
        <v>1.67</v>
      </c>
      <c r="F1379" s="1257">
        <v>1.54</v>
      </c>
      <c r="G1379" s="1257">
        <v>0.77</v>
      </c>
      <c r="H1379" s="1257">
        <v>0.9</v>
      </c>
      <c r="I1379" s="1257">
        <v>0.23</v>
      </c>
      <c r="J1379" s="1257">
        <v>1.51</v>
      </c>
      <c r="K1379" s="1780">
        <v>0.49</v>
      </c>
      <c r="L1379" s="1257">
        <v>29</v>
      </c>
    </row>
    <row r="1380" spans="1:12" s="1257" customFormat="1" x14ac:dyDescent="0.25">
      <c r="A1380" s="1255">
        <v>209485</v>
      </c>
      <c r="B1380" s="1256">
        <v>87</v>
      </c>
      <c r="C1380" s="1257" t="s">
        <v>187</v>
      </c>
      <c r="D1380" s="1257">
        <v>7.74</v>
      </c>
      <c r="E1380" s="1701">
        <v>2.8410000000000002</v>
      </c>
      <c r="F1380" s="1257">
        <v>1.18</v>
      </c>
      <c r="G1380" s="1257">
        <v>0.6</v>
      </c>
      <c r="H1380" s="1257">
        <v>0.82</v>
      </c>
      <c r="I1380" s="1257">
        <v>0.13</v>
      </c>
      <c r="J1380" s="1257">
        <v>0.76</v>
      </c>
      <c r="K1380" s="1780">
        <v>0.4</v>
      </c>
      <c r="L1380" s="1257">
        <v>29.4</v>
      </c>
    </row>
    <row r="1381" spans="1:12" s="1257" customFormat="1" x14ac:dyDescent="0.25">
      <c r="A1381" s="1255">
        <v>209486</v>
      </c>
      <c r="B1381" s="1256">
        <v>87</v>
      </c>
      <c r="C1381" s="1257" t="s">
        <v>187</v>
      </c>
      <c r="D1381" s="1257">
        <v>7.22</v>
      </c>
      <c r="E1381" s="1701">
        <v>2.5459999999999998</v>
      </c>
      <c r="F1381" s="1257">
        <v>1.04</v>
      </c>
      <c r="G1381" s="1257">
        <v>0.56999999999999995</v>
      </c>
      <c r="H1381" s="1257">
        <v>0.63</v>
      </c>
      <c r="I1381" s="1257">
        <v>0.12</v>
      </c>
      <c r="J1381" s="1257">
        <v>1.55</v>
      </c>
      <c r="K1381" s="1780">
        <v>0.32</v>
      </c>
      <c r="L1381" s="1257">
        <v>25.2</v>
      </c>
    </row>
    <row r="1382" spans="1:12" s="1257" customFormat="1" x14ac:dyDescent="0.25">
      <c r="A1382" s="1255">
        <v>209487</v>
      </c>
      <c r="B1382" s="1256">
        <v>71</v>
      </c>
      <c r="C1382" s="1257" t="s">
        <v>187</v>
      </c>
      <c r="D1382" s="1257">
        <v>6.87</v>
      </c>
      <c r="E1382" s="1701">
        <v>4.3899999999999997</v>
      </c>
      <c r="F1382" s="1257">
        <v>1.6</v>
      </c>
      <c r="G1382" s="1257">
        <v>0.69</v>
      </c>
      <c r="H1382" s="1257">
        <v>1.27</v>
      </c>
      <c r="I1382" s="1257">
        <v>0.3</v>
      </c>
      <c r="J1382" s="1257">
        <v>0.89</v>
      </c>
      <c r="K1382" s="1780">
        <v>0.51</v>
      </c>
      <c r="L1382" s="1257">
        <v>30</v>
      </c>
    </row>
    <row r="1383" spans="1:12" s="1257" customFormat="1" x14ac:dyDescent="0.25">
      <c r="A1383" s="1255">
        <v>209488</v>
      </c>
      <c r="B1383" s="1256">
        <v>65</v>
      </c>
      <c r="C1383" s="1257" t="s">
        <v>187</v>
      </c>
      <c r="D1383" s="1257">
        <v>7.76</v>
      </c>
      <c r="E1383" s="1701">
        <v>1.5660000000000001</v>
      </c>
      <c r="F1383" s="1257">
        <v>1.43</v>
      </c>
      <c r="G1383" s="1257">
        <v>1.25</v>
      </c>
      <c r="H1383" s="1257">
        <v>0.91</v>
      </c>
      <c r="I1383" s="1257">
        <v>0.18</v>
      </c>
      <c r="J1383" s="1257">
        <v>4.33</v>
      </c>
      <c r="K1383" s="1780">
        <v>0.66</v>
      </c>
      <c r="L1383" s="1257">
        <v>36.9</v>
      </c>
    </row>
    <row r="1384" spans="1:12" s="1257" customFormat="1" x14ac:dyDescent="0.25">
      <c r="A1384" s="1255">
        <v>209489</v>
      </c>
      <c r="B1384" s="1256">
        <v>83</v>
      </c>
      <c r="C1384" s="1257" t="s">
        <v>187</v>
      </c>
      <c r="D1384" s="1257">
        <v>8.3000000000000007</v>
      </c>
      <c r="E1384" s="1701">
        <v>2.6589999999999998</v>
      </c>
      <c r="F1384" s="1257">
        <v>1.06</v>
      </c>
      <c r="G1384" s="1257">
        <v>0.56000000000000005</v>
      </c>
      <c r="H1384" s="1257">
        <v>0.73</v>
      </c>
      <c r="I1384" s="1257">
        <v>0.1</v>
      </c>
      <c r="J1384" s="1257">
        <v>0.75</v>
      </c>
      <c r="K1384" s="1780">
        <v>0.44</v>
      </c>
      <c r="L1384" s="1257">
        <v>25.4</v>
      </c>
    </row>
    <row r="1385" spans="1:12" s="1257" customFormat="1" x14ac:dyDescent="0.25">
      <c r="A1385" s="1255">
        <v>209490</v>
      </c>
      <c r="B1385" s="1256">
        <v>89</v>
      </c>
      <c r="C1385" s="1257" t="s">
        <v>187</v>
      </c>
      <c r="D1385" s="1257">
        <v>7.67</v>
      </c>
      <c r="E1385" s="1701">
        <v>2.8929999999999998</v>
      </c>
      <c r="F1385" s="1701">
        <v>0.95268000000000008</v>
      </c>
      <c r="G1385" s="1257">
        <v>0.74</v>
      </c>
      <c r="H1385" s="1257">
        <v>0.73</v>
      </c>
      <c r="I1385" s="1257">
        <v>0.16</v>
      </c>
      <c r="J1385" s="1257">
        <v>1.49</v>
      </c>
      <c r="K1385" s="1780">
        <v>0.35</v>
      </c>
      <c r="L1385" s="1257">
        <v>23.7</v>
      </c>
    </row>
    <row r="1386" spans="1:12" s="1257" customFormat="1" x14ac:dyDescent="0.25">
      <c r="A1386" s="1255">
        <v>209491</v>
      </c>
      <c r="B1386" s="1256">
        <v>87</v>
      </c>
      <c r="C1386" s="1257" t="s">
        <v>477</v>
      </c>
      <c r="D1386" s="1257">
        <v>8.27</v>
      </c>
      <c r="E1386" s="1701">
        <v>1.518</v>
      </c>
      <c r="F1386" s="1701">
        <v>2.4097199999999996</v>
      </c>
      <c r="G1386" s="1257">
        <v>0.48</v>
      </c>
      <c r="H1386" s="1257">
        <v>2.17</v>
      </c>
      <c r="I1386" s="1257">
        <v>0.05</v>
      </c>
      <c r="J1386" s="1257">
        <v>0.74</v>
      </c>
      <c r="K1386" s="1780">
        <v>0.45</v>
      </c>
      <c r="L1386" s="1257">
        <v>86.1</v>
      </c>
    </row>
    <row r="1387" spans="1:12" s="1257" customFormat="1" x14ac:dyDescent="0.25">
      <c r="A1387" s="1255">
        <v>209492</v>
      </c>
      <c r="B1387" s="1256">
        <v>91</v>
      </c>
      <c r="C1387" s="1257" t="s">
        <v>187</v>
      </c>
      <c r="D1387" s="1257">
        <v>7.75</v>
      </c>
      <c r="E1387" s="1701">
        <v>2.7959999999999998</v>
      </c>
      <c r="F1387" s="1701">
        <v>1.3729800000000001</v>
      </c>
      <c r="G1387" s="1257">
        <v>0.72</v>
      </c>
      <c r="H1387" s="1257">
        <v>0.88</v>
      </c>
      <c r="I1387" s="1257">
        <v>0.17</v>
      </c>
      <c r="J1387" s="1257">
        <v>1.66</v>
      </c>
      <c r="K1387" s="1780">
        <v>0.43</v>
      </c>
      <c r="L1387" s="1257">
        <v>33.799999999999997</v>
      </c>
    </row>
    <row r="1388" spans="1:12" s="1257" customFormat="1" x14ac:dyDescent="0.25">
      <c r="A1388" s="1255">
        <v>209493</v>
      </c>
      <c r="B1388" s="1256">
        <v>65</v>
      </c>
      <c r="C1388" s="1257" t="s">
        <v>187</v>
      </c>
      <c r="D1388" s="1257">
        <v>7.04</v>
      </c>
      <c r="E1388" s="1701">
        <v>3.5</v>
      </c>
      <c r="F1388" s="1701">
        <v>1.6251600000000002</v>
      </c>
      <c r="G1388" s="1257">
        <v>0.92</v>
      </c>
      <c r="H1388" s="1257">
        <v>1.19</v>
      </c>
      <c r="I1388" s="1257">
        <v>0.24</v>
      </c>
      <c r="J1388" s="1257">
        <v>1.83</v>
      </c>
      <c r="K1388" s="1257">
        <v>0.61</v>
      </c>
      <c r="L1388" s="1257">
        <v>29.2</v>
      </c>
    </row>
    <row r="1389" spans="1:12" s="1257" customFormat="1" x14ac:dyDescent="0.25">
      <c r="A1389" s="1255">
        <v>209494</v>
      </c>
      <c r="B1389" s="1256">
        <v>89</v>
      </c>
      <c r="C1389" s="1257" t="s">
        <v>477</v>
      </c>
      <c r="D1389" s="1257">
        <v>6.6</v>
      </c>
      <c r="E1389" s="1701">
        <v>3.74</v>
      </c>
      <c r="F1389" s="1701">
        <v>1.2889200000000001</v>
      </c>
      <c r="G1389" s="1257">
        <v>0.08</v>
      </c>
      <c r="H1389" s="1257">
        <v>2.61</v>
      </c>
      <c r="I1389" s="1257">
        <v>0.98</v>
      </c>
      <c r="J1389" s="1257">
        <v>0.47</v>
      </c>
      <c r="K1389" s="1257">
        <v>0.17</v>
      </c>
      <c r="L1389" s="1257">
        <v>86.6</v>
      </c>
    </row>
    <row r="1390" spans="1:12" s="1257" customFormat="1" x14ac:dyDescent="0.25">
      <c r="A1390" s="1255">
        <v>209495</v>
      </c>
      <c r="B1390" s="1256">
        <v>90</v>
      </c>
      <c r="C1390" s="1257" t="s">
        <v>477</v>
      </c>
      <c r="D1390" s="1257">
        <v>6.77</v>
      </c>
      <c r="E1390" s="1701">
        <v>1.623</v>
      </c>
      <c r="F1390" s="1701">
        <v>0.75653999999999988</v>
      </c>
      <c r="G1390" s="1257">
        <v>0.13</v>
      </c>
      <c r="H1390" s="1257">
        <v>1.28</v>
      </c>
      <c r="I1390" s="1257">
        <v>0.59</v>
      </c>
      <c r="J1390" s="1257">
        <v>0.61</v>
      </c>
      <c r="K1390" s="1257">
        <v>0.15</v>
      </c>
      <c r="L1390" s="1257">
        <v>92.6</v>
      </c>
    </row>
    <row r="1391" spans="1:12" s="1257" customFormat="1" x14ac:dyDescent="0.25">
      <c r="A1391" s="1255">
        <v>209496</v>
      </c>
      <c r="B1391" s="1256">
        <v>91</v>
      </c>
      <c r="C1391" s="1257" t="s">
        <v>477</v>
      </c>
      <c r="D1391" s="1257">
        <v>6.88</v>
      </c>
      <c r="E1391" s="1701">
        <v>0.625</v>
      </c>
      <c r="F1391" s="1701">
        <v>1.79328</v>
      </c>
      <c r="G1391" s="1257">
        <v>0.16</v>
      </c>
      <c r="H1391" s="1257">
        <v>0.87</v>
      </c>
      <c r="I1391" s="1257">
        <v>0.03</v>
      </c>
      <c r="J1391" s="1257">
        <v>2.69</v>
      </c>
      <c r="K1391" s="1257">
        <v>0.14000000000000001</v>
      </c>
      <c r="L1391" s="1257">
        <v>89.4</v>
      </c>
    </row>
    <row r="1392" spans="1:12" s="1257" customFormat="1" x14ac:dyDescent="0.25">
      <c r="A1392" s="1255">
        <v>209497</v>
      </c>
      <c r="B1392" s="1256">
        <v>90</v>
      </c>
      <c r="C1392" s="1257" t="s">
        <v>477</v>
      </c>
      <c r="D1392" s="1257">
        <v>6.26</v>
      </c>
      <c r="E1392" s="1701">
        <v>1.6279999999999999</v>
      </c>
      <c r="F1392" s="1701">
        <v>2.3816999999999999</v>
      </c>
      <c r="G1392" s="1257">
        <v>0.04</v>
      </c>
      <c r="H1392" s="1257">
        <v>0.56000000000000005</v>
      </c>
      <c r="I1392" s="1257">
        <v>0.01</v>
      </c>
      <c r="J1392" s="1257">
        <v>1.06</v>
      </c>
      <c r="K1392" s="1257">
        <v>0.14000000000000001</v>
      </c>
      <c r="L1392" s="1257">
        <v>94.2</v>
      </c>
    </row>
    <row r="1393" spans="1:12" s="1257" customFormat="1" x14ac:dyDescent="0.25">
      <c r="A1393" s="1255">
        <v>209498</v>
      </c>
      <c r="B1393" s="1256">
        <v>90</v>
      </c>
      <c r="C1393" s="1257" t="s">
        <v>477</v>
      </c>
      <c r="D1393" s="1257">
        <v>6.24</v>
      </c>
      <c r="E1393" s="1701">
        <v>0.99099999999999999</v>
      </c>
      <c r="F1393" s="1701">
        <v>1.0087200000000001</v>
      </c>
      <c r="G1393" s="1257">
        <v>0.08</v>
      </c>
      <c r="H1393" s="1257">
        <v>0.36</v>
      </c>
      <c r="I1393" s="1257">
        <v>0.24</v>
      </c>
      <c r="J1393" s="1257">
        <v>0.43</v>
      </c>
      <c r="K1393" s="1257">
        <v>0.13</v>
      </c>
      <c r="L1393" s="1257">
        <v>96.1</v>
      </c>
    </row>
    <row r="1394" spans="1:12" s="1257" customFormat="1" x14ac:dyDescent="0.25">
      <c r="A1394" s="1255">
        <v>209499</v>
      </c>
      <c r="B1394" s="1256">
        <v>62</v>
      </c>
      <c r="C1394" s="1257" t="s">
        <v>187</v>
      </c>
      <c r="D1394" s="1257">
        <v>9.4600000000000009</v>
      </c>
      <c r="E1394" s="1701">
        <v>4.2</v>
      </c>
      <c r="F1394" s="1701">
        <v>1.5410999999999999</v>
      </c>
      <c r="G1394" s="1257">
        <v>0.54</v>
      </c>
      <c r="H1394" s="1257">
        <v>2.41</v>
      </c>
      <c r="I1394" s="1257">
        <v>0.38</v>
      </c>
      <c r="J1394" s="1257">
        <v>5.09</v>
      </c>
      <c r="K1394" s="1257">
        <v>0.95</v>
      </c>
      <c r="L1394" s="1257">
        <v>44.5</v>
      </c>
    </row>
    <row r="1395" spans="1:12" s="1257" customFormat="1" x14ac:dyDescent="0.25">
      <c r="A1395" s="1255">
        <v>209500</v>
      </c>
      <c r="B1395" s="1256">
        <v>68</v>
      </c>
      <c r="C1395" s="1257" t="s">
        <v>187</v>
      </c>
      <c r="D1395" s="1257">
        <v>7.92</v>
      </c>
      <c r="E1395" s="1701">
        <v>6.53</v>
      </c>
      <c r="F1395" s="1701">
        <v>3.1662599999999999</v>
      </c>
      <c r="G1395" s="1257">
        <v>1.08</v>
      </c>
      <c r="H1395" s="1257">
        <v>2.4700000000000002</v>
      </c>
      <c r="I1395" s="1257">
        <v>0.38</v>
      </c>
      <c r="J1395" s="1257">
        <v>3.73</v>
      </c>
      <c r="K1395" s="1257">
        <v>0.83</v>
      </c>
      <c r="L1395" s="1257">
        <v>66.400000000000006</v>
      </c>
    </row>
    <row r="1396" spans="1:12" s="1257" customFormat="1" x14ac:dyDescent="0.25">
      <c r="A1396" s="1255">
        <v>209501</v>
      </c>
      <c r="B1396" s="1256">
        <v>71</v>
      </c>
      <c r="C1396" s="1257" t="s">
        <v>187</v>
      </c>
      <c r="D1396" s="1257">
        <v>8.39</v>
      </c>
      <c r="E1396" s="1701">
        <v>5.33</v>
      </c>
      <c r="F1396" s="1701">
        <v>1.4570400000000001</v>
      </c>
      <c r="G1396" s="1257">
        <v>1.32</v>
      </c>
      <c r="H1396" s="1257">
        <v>2.63</v>
      </c>
      <c r="I1396" s="1257">
        <v>0.45</v>
      </c>
      <c r="J1396" s="1257">
        <v>4.12</v>
      </c>
      <c r="K1396" s="1257">
        <v>0.87</v>
      </c>
      <c r="L1396" s="1257">
        <v>72.2</v>
      </c>
    </row>
    <row r="1397" spans="1:12" s="1257" customFormat="1" x14ac:dyDescent="0.25">
      <c r="A1397" s="1255">
        <v>209502</v>
      </c>
      <c r="B1397" s="1256">
        <v>78</v>
      </c>
      <c r="C1397" s="1257" t="s">
        <v>187</v>
      </c>
      <c r="D1397" s="1257">
        <v>9.14</v>
      </c>
      <c r="E1397" s="1701">
        <v>9.27</v>
      </c>
      <c r="F1397" s="1701">
        <v>2.6619000000000002</v>
      </c>
      <c r="G1397" s="1257">
        <v>2.23</v>
      </c>
      <c r="H1397" s="1257">
        <v>2.2799999999999998</v>
      </c>
      <c r="I1397" s="1257">
        <v>0.78</v>
      </c>
      <c r="J1397" s="1257">
        <v>10.9</v>
      </c>
      <c r="K1397" s="1257">
        <v>0.81</v>
      </c>
      <c r="L1397" s="1257">
        <v>43.6</v>
      </c>
    </row>
    <row r="1398" spans="1:12" s="1257" customFormat="1" x14ac:dyDescent="0.25">
      <c r="A1398" s="1255">
        <v>209503</v>
      </c>
      <c r="B1398" s="1256">
        <v>96</v>
      </c>
      <c r="C1398" s="1257" t="s">
        <v>477</v>
      </c>
      <c r="D1398" s="1257">
        <v>8.68</v>
      </c>
      <c r="E1398" s="1701">
        <v>12.62</v>
      </c>
      <c r="F1398" s="1701">
        <v>7.9296599999999993</v>
      </c>
      <c r="G1398" s="1257">
        <v>1.43</v>
      </c>
      <c r="H1398" s="1257">
        <v>0.63</v>
      </c>
      <c r="I1398" s="1257">
        <v>1.58</v>
      </c>
      <c r="J1398" s="1257">
        <v>8.41</v>
      </c>
      <c r="K1398" s="1257">
        <v>0.28999999999999998</v>
      </c>
      <c r="L1398" s="1257">
        <v>67.8</v>
      </c>
    </row>
    <row r="1399" spans="1:12" s="1257" customFormat="1" x14ac:dyDescent="0.25">
      <c r="A1399" s="1255">
        <v>209504</v>
      </c>
      <c r="B1399" s="1256">
        <v>44</v>
      </c>
      <c r="C1399" s="1257" t="s">
        <v>477</v>
      </c>
      <c r="D1399" s="1257">
        <v>7.58</v>
      </c>
      <c r="E1399" s="1701">
        <v>1.6140000000000001</v>
      </c>
      <c r="F1399" s="1701">
        <v>2.1014999999999997</v>
      </c>
      <c r="G1399" s="1257">
        <v>0.21</v>
      </c>
      <c r="H1399" s="1257">
        <v>2.0499999999999998</v>
      </c>
      <c r="I1399" s="1257">
        <v>0.01</v>
      </c>
      <c r="J1399" s="1257">
        <v>0.5</v>
      </c>
      <c r="K1399" s="1257">
        <v>0.08</v>
      </c>
      <c r="L1399" s="1257">
        <v>91</v>
      </c>
    </row>
    <row r="1400" spans="1:12" s="1257" customFormat="1" x14ac:dyDescent="0.25">
      <c r="A1400" s="1255">
        <v>209505</v>
      </c>
      <c r="B1400" s="1256">
        <v>91</v>
      </c>
      <c r="C1400" s="1257" t="s">
        <v>477</v>
      </c>
      <c r="D1400" s="1257">
        <v>7.3</v>
      </c>
      <c r="E1400" s="1701">
        <v>1.3660000000000001</v>
      </c>
      <c r="F1400" s="1701">
        <v>2.2696200000000002</v>
      </c>
      <c r="G1400" s="1257">
        <v>0.16</v>
      </c>
      <c r="H1400" s="1257">
        <v>1.7</v>
      </c>
      <c r="I1400" s="1257">
        <v>0.06</v>
      </c>
      <c r="J1400" s="1257">
        <v>0.54</v>
      </c>
      <c r="K1400" s="1257">
        <v>0.09</v>
      </c>
      <c r="L1400" s="1257">
        <v>93.9</v>
      </c>
    </row>
    <row r="1401" spans="1:12" s="1257" customFormat="1" x14ac:dyDescent="0.25">
      <c r="A1401" s="1255">
        <v>209506</v>
      </c>
      <c r="B1401" s="1256">
        <v>70</v>
      </c>
      <c r="C1401" s="1257" t="s">
        <v>187</v>
      </c>
      <c r="D1401" s="1257">
        <v>7.59</v>
      </c>
      <c r="E1401" s="1701">
        <v>8.0399999999999991</v>
      </c>
      <c r="F1401" s="1701">
        <v>2.7459600000000002</v>
      </c>
      <c r="G1401" s="1257">
        <v>1.86</v>
      </c>
      <c r="H1401" s="1257">
        <v>2.36</v>
      </c>
      <c r="I1401" s="1257">
        <v>0.42</v>
      </c>
      <c r="J1401" s="1257">
        <v>6.11</v>
      </c>
      <c r="K1401" s="1257">
        <v>0.77</v>
      </c>
      <c r="L1401" s="1257">
        <v>60.9</v>
      </c>
    </row>
    <row r="1402" spans="1:12" s="1257" customFormat="1" x14ac:dyDescent="0.25">
      <c r="A1402" s="1255">
        <v>209507</v>
      </c>
      <c r="B1402" s="1256">
        <v>59</v>
      </c>
      <c r="C1402" s="1257" t="s">
        <v>476</v>
      </c>
      <c r="D1402" s="1257">
        <v>9.11</v>
      </c>
      <c r="E1402" s="1257">
        <v>3.12</v>
      </c>
      <c r="F1402" s="1701">
        <v>1.59714</v>
      </c>
      <c r="G1402" s="1257">
        <v>0.44</v>
      </c>
      <c r="H1402" s="1257">
        <v>2.08</v>
      </c>
      <c r="I1402" s="1257">
        <v>0.47</v>
      </c>
      <c r="J1402" s="1257">
        <v>3.77</v>
      </c>
      <c r="K1402" s="1257">
        <v>0.83</v>
      </c>
      <c r="L1402" s="1257">
        <v>63.3</v>
      </c>
    </row>
    <row r="1403" spans="1:12" s="1257" customFormat="1" x14ac:dyDescent="0.25">
      <c r="A1403" s="1255">
        <v>209508</v>
      </c>
      <c r="B1403" s="1256">
        <v>58</v>
      </c>
      <c r="C1403" s="1257" t="s">
        <v>476</v>
      </c>
      <c r="D1403" s="1257">
        <v>8.83</v>
      </c>
      <c r="E1403" s="1257">
        <v>4.2</v>
      </c>
      <c r="F1403" s="1701">
        <v>1.4570400000000001</v>
      </c>
      <c r="G1403" s="1257">
        <v>0.43</v>
      </c>
      <c r="H1403" s="1257">
        <v>1.91</v>
      </c>
      <c r="I1403" s="1257">
        <v>0.57999999999999996</v>
      </c>
      <c r="J1403" s="1257">
        <v>5</v>
      </c>
      <c r="K1403" s="1257">
        <v>1.07</v>
      </c>
      <c r="L1403" s="1257">
        <v>53.9</v>
      </c>
    </row>
    <row r="1404" spans="1:12" s="1257" customFormat="1" x14ac:dyDescent="0.25">
      <c r="A1404" s="1255">
        <v>209509</v>
      </c>
      <c r="B1404" s="1256">
        <v>57</v>
      </c>
      <c r="C1404" s="1257" t="s">
        <v>476</v>
      </c>
      <c r="D1404" s="1257">
        <v>9.08</v>
      </c>
      <c r="E1404" s="1257">
        <v>4.3</v>
      </c>
      <c r="F1404" s="1701">
        <v>1.31694</v>
      </c>
      <c r="G1404" s="1257">
        <v>0.56999999999999995</v>
      </c>
      <c r="H1404" s="1257">
        <v>2.06</v>
      </c>
      <c r="I1404" s="1257">
        <v>0.56000000000000005</v>
      </c>
      <c r="J1404" s="1257">
        <v>4.38</v>
      </c>
      <c r="K1404" s="1257">
        <v>0.72</v>
      </c>
      <c r="L1404" s="1257">
        <v>45.3</v>
      </c>
    </row>
    <row r="1405" spans="1:12" s="1257" customFormat="1" x14ac:dyDescent="0.25">
      <c r="A1405" s="1255">
        <v>209510</v>
      </c>
      <c r="B1405" s="1256">
        <v>61</v>
      </c>
      <c r="C1405" s="1257" t="s">
        <v>476</v>
      </c>
      <c r="D1405" s="1257">
        <v>7.67</v>
      </c>
      <c r="E1405" s="1257">
        <v>7.05</v>
      </c>
      <c r="F1405" s="1701">
        <v>2.802</v>
      </c>
      <c r="G1405" s="1257">
        <v>0.99</v>
      </c>
      <c r="H1405" s="1257">
        <v>2.44</v>
      </c>
      <c r="I1405" s="1257">
        <v>0.35</v>
      </c>
      <c r="J1405" s="1257">
        <v>4.32</v>
      </c>
      <c r="K1405" s="1257">
        <v>1.02</v>
      </c>
      <c r="L1405" s="1257">
        <v>64.900000000000006</v>
      </c>
    </row>
    <row r="1406" spans="1:12" s="1257" customFormat="1" x14ac:dyDescent="0.25">
      <c r="A1406" s="1255">
        <v>209511</v>
      </c>
      <c r="B1406" s="1256">
        <v>67</v>
      </c>
      <c r="C1406" s="1257" t="s">
        <v>476</v>
      </c>
      <c r="D1406" s="1257">
        <v>9.3800000000000008</v>
      </c>
      <c r="E1406" s="1257">
        <v>4.09</v>
      </c>
      <c r="F1406" s="1701">
        <v>1.6251600000000002</v>
      </c>
      <c r="G1406" s="1257">
        <v>0.56999999999999995</v>
      </c>
      <c r="H1406" s="1257">
        <v>2.14</v>
      </c>
      <c r="I1406" s="1257">
        <v>0.35</v>
      </c>
      <c r="J1406" s="1257">
        <v>5.46</v>
      </c>
      <c r="K1406" s="1257">
        <v>1.0900000000000001</v>
      </c>
      <c r="L1406" s="1257">
        <v>43.7</v>
      </c>
    </row>
    <row r="1407" spans="1:12" s="1257" customFormat="1" x14ac:dyDescent="0.25">
      <c r="A1407" s="1255">
        <v>209512</v>
      </c>
      <c r="B1407" s="1256">
        <v>67</v>
      </c>
      <c r="C1407" s="1257" t="s">
        <v>476</v>
      </c>
      <c r="D1407" s="1257">
        <v>8.1199999999999992</v>
      </c>
      <c r="E1407" s="1257">
        <v>7.92</v>
      </c>
      <c r="F1407" s="1701">
        <v>2.4937800000000001</v>
      </c>
      <c r="G1407" s="1257">
        <v>1.97</v>
      </c>
      <c r="H1407" s="1257">
        <v>2.34</v>
      </c>
      <c r="I1407" s="1257">
        <v>0.43</v>
      </c>
      <c r="J1407" s="1257">
        <v>7.7</v>
      </c>
      <c r="K1407" s="1257">
        <v>1.0900000000000001</v>
      </c>
      <c r="L1407" s="1257">
        <v>54.2</v>
      </c>
    </row>
    <row r="1408" spans="1:12" s="1257" customFormat="1" x14ac:dyDescent="0.25">
      <c r="A1408" s="1255">
        <v>209513</v>
      </c>
      <c r="B1408" s="1256">
        <v>54</v>
      </c>
      <c r="C1408" s="1257" t="s">
        <v>476</v>
      </c>
      <c r="D1408" s="1257">
        <v>5.38</v>
      </c>
      <c r="E1408" s="1257">
        <v>4.08</v>
      </c>
      <c r="F1408" s="1701">
        <v>1.59714</v>
      </c>
      <c r="G1408" s="1257">
        <v>0.9</v>
      </c>
      <c r="H1408" s="1257">
        <v>2.34</v>
      </c>
      <c r="I1408" s="1257">
        <v>0.27</v>
      </c>
      <c r="J1408" s="1257">
        <v>3.77</v>
      </c>
      <c r="K1408" s="1257">
        <v>0.64</v>
      </c>
      <c r="L1408" s="1257">
        <v>70.099999999999994</v>
      </c>
    </row>
    <row r="1409" spans="1:16" s="1257" customFormat="1" x14ac:dyDescent="0.25">
      <c r="A1409" s="1255">
        <v>209514</v>
      </c>
      <c r="B1409" s="1256">
        <v>69</v>
      </c>
      <c r="C1409" s="1257" t="s">
        <v>476</v>
      </c>
      <c r="D1409" s="1257">
        <v>7.41</v>
      </c>
      <c r="E1409" s="1257">
        <v>1.4079999999999999</v>
      </c>
      <c r="F1409" s="1701">
        <v>0.61643999999999999</v>
      </c>
      <c r="G1409" s="1257">
        <v>0.14000000000000001</v>
      </c>
      <c r="H1409" s="1257">
        <v>0.31</v>
      </c>
      <c r="I1409" s="1257">
        <v>0.2</v>
      </c>
      <c r="J1409" s="1257">
        <v>0.7</v>
      </c>
      <c r="K1409" s="1257">
        <v>0.28000000000000003</v>
      </c>
      <c r="L1409" s="1257">
        <v>18.399999999999999</v>
      </c>
      <c r="M1409" s="1257">
        <v>41.06</v>
      </c>
      <c r="N1409" s="1257">
        <v>14.53</v>
      </c>
      <c r="O1409" s="1257">
        <v>248.23</v>
      </c>
      <c r="P1409" s="1257">
        <v>22270.18</v>
      </c>
    </row>
    <row r="1410" spans="1:16" s="1257" customFormat="1" x14ac:dyDescent="0.25">
      <c r="A1410" s="1255">
        <v>209515</v>
      </c>
      <c r="B1410" s="1256">
        <v>85</v>
      </c>
      <c r="C1410" s="1257" t="s">
        <v>476</v>
      </c>
      <c r="D1410" s="1257">
        <v>7.11</v>
      </c>
      <c r="E1410" s="1257">
        <v>6.05</v>
      </c>
      <c r="F1410" s="1701">
        <v>3.83874</v>
      </c>
      <c r="G1410" s="1257">
        <v>0.95</v>
      </c>
      <c r="H1410" s="1257">
        <v>2.09</v>
      </c>
      <c r="I1410" s="1257">
        <v>0.28000000000000003</v>
      </c>
      <c r="J1410" s="1257">
        <v>2.0099999999999998</v>
      </c>
      <c r="K1410" s="1257">
        <v>0.56000000000000005</v>
      </c>
      <c r="L1410" s="1257">
        <v>85.2</v>
      </c>
    </row>
    <row r="1411" spans="1:16" s="1257" customFormat="1" x14ac:dyDescent="0.25">
      <c r="A1411" s="1255">
        <v>209516</v>
      </c>
      <c r="B1411" s="1256">
        <v>84</v>
      </c>
      <c r="C1411" s="1257" t="s">
        <v>477</v>
      </c>
      <c r="D1411" s="1257">
        <v>8.06</v>
      </c>
      <c r="E1411" s="1257">
        <v>2.2599999999999998</v>
      </c>
      <c r="F1411" s="1701">
        <v>2.4657600000000004</v>
      </c>
      <c r="G1411" s="1257">
        <v>0.2</v>
      </c>
      <c r="H1411" s="1257">
        <v>2.38</v>
      </c>
      <c r="I1411" s="1257">
        <v>0.04</v>
      </c>
      <c r="J1411" s="1257">
        <v>1.83</v>
      </c>
      <c r="K1411" s="1257">
        <v>0.13</v>
      </c>
      <c r="L1411" s="1257">
        <v>79.599999999999994</v>
      </c>
    </row>
    <row r="1412" spans="1:16" s="1257" customFormat="1" x14ac:dyDescent="0.25">
      <c r="A1412" s="1255">
        <v>209517</v>
      </c>
      <c r="B1412" s="1256">
        <v>89</v>
      </c>
      <c r="C1412" s="1257" t="s">
        <v>477</v>
      </c>
      <c r="D1412" s="1257">
        <v>6.75</v>
      </c>
      <c r="E1412" s="1257">
        <v>0.312</v>
      </c>
      <c r="F1412" s="1701">
        <v>0.22416</v>
      </c>
      <c r="G1412" s="1257">
        <v>0.03</v>
      </c>
      <c r="H1412" s="1257">
        <v>0.28000000000000003</v>
      </c>
      <c r="I1412" s="1257">
        <v>0.01</v>
      </c>
      <c r="J1412" s="1257">
        <v>0.24</v>
      </c>
      <c r="K1412" s="1257">
        <v>0.04</v>
      </c>
      <c r="L1412" s="1257">
        <v>94.9</v>
      </c>
    </row>
    <row r="1413" spans="1:16" s="1257" customFormat="1" x14ac:dyDescent="0.25">
      <c r="A1413" s="1255">
        <v>209518</v>
      </c>
      <c r="B1413" s="1256">
        <v>66</v>
      </c>
      <c r="C1413" s="1257" t="s">
        <v>476</v>
      </c>
      <c r="D1413" s="1257">
        <v>7.84</v>
      </c>
      <c r="E1413" s="1257">
        <v>7.85</v>
      </c>
      <c r="F1413" s="1701">
        <v>2.5778400000000001</v>
      </c>
      <c r="G1413" s="1257">
        <v>1.05</v>
      </c>
      <c r="H1413" s="1257">
        <v>2.72</v>
      </c>
      <c r="I1413" s="1257">
        <v>0.42</v>
      </c>
      <c r="J1413" s="1257">
        <v>4.7300000000000004</v>
      </c>
      <c r="K1413" s="1257">
        <v>0.98</v>
      </c>
      <c r="L1413" s="1257">
        <v>55.7</v>
      </c>
    </row>
    <row r="1414" spans="1:16" s="1257" customFormat="1" x14ac:dyDescent="0.25">
      <c r="A1414" s="1255">
        <v>209519</v>
      </c>
      <c r="B1414" s="1256">
        <v>96</v>
      </c>
      <c r="C1414" s="1257" t="s">
        <v>477</v>
      </c>
      <c r="D1414" s="1257">
        <v>8.4</v>
      </c>
      <c r="E1414" s="1257">
        <v>12.46</v>
      </c>
      <c r="F1414" s="1701">
        <v>8.0977799999999984</v>
      </c>
      <c r="G1414" s="1257">
        <v>1.31</v>
      </c>
      <c r="H1414" s="1257">
        <v>0.77</v>
      </c>
      <c r="I1414" s="1257">
        <v>1.83</v>
      </c>
      <c r="J1414" s="1257">
        <v>7.77</v>
      </c>
      <c r="K1414" s="1257">
        <v>0.28999999999999998</v>
      </c>
      <c r="L1414" s="1257">
        <v>67.2</v>
      </c>
    </row>
    <row r="1415" spans="1:16" s="1257" customFormat="1" x14ac:dyDescent="0.25">
      <c r="A1415" s="1255">
        <v>209520</v>
      </c>
      <c r="B1415" s="1256">
        <v>81</v>
      </c>
      <c r="C1415" s="1257" t="s">
        <v>476</v>
      </c>
      <c r="D1415" s="1257">
        <v>8.25</v>
      </c>
      <c r="E1415" s="1257">
        <v>7.36</v>
      </c>
      <c r="F1415" s="1701">
        <v>2.1014999999999997</v>
      </c>
      <c r="G1415" s="1257">
        <v>0.36</v>
      </c>
      <c r="H1415" s="1257">
        <v>2.14</v>
      </c>
      <c r="I1415" s="1257">
        <v>1.02</v>
      </c>
      <c r="J1415" s="1257">
        <v>6.4</v>
      </c>
      <c r="K1415" s="1257">
        <v>0.57999999999999996</v>
      </c>
      <c r="L1415" s="1257">
        <v>51.1</v>
      </c>
      <c r="M1415" s="1257">
        <v>51.12</v>
      </c>
      <c r="N1415" s="1257">
        <v>14.48</v>
      </c>
      <c r="O1415" s="1257">
        <v>164.1</v>
      </c>
      <c r="P1415" s="1257">
        <v>6813.67</v>
      </c>
    </row>
    <row r="1416" spans="1:16" s="1257" customFormat="1" x14ac:dyDescent="0.25">
      <c r="A1416" s="1255">
        <v>209521</v>
      </c>
      <c r="B1416" s="1256">
        <v>56</v>
      </c>
      <c r="C1416" s="1257" t="s">
        <v>476</v>
      </c>
      <c r="D1416" s="1257">
        <v>8.83</v>
      </c>
      <c r="E1416" s="1257">
        <v>3.89</v>
      </c>
      <c r="F1416" s="1701">
        <v>1.48506</v>
      </c>
      <c r="G1416" s="1257">
        <v>0.5</v>
      </c>
      <c r="H1416" s="1257">
        <v>1.82</v>
      </c>
      <c r="I1416" s="1257">
        <v>0.81</v>
      </c>
      <c r="J1416" s="1257">
        <v>2.94</v>
      </c>
      <c r="K1416" s="1257">
        <v>0.62</v>
      </c>
      <c r="L1416" s="1257">
        <v>65.2</v>
      </c>
    </row>
    <row r="1417" spans="1:16" s="1257" customFormat="1" x14ac:dyDescent="0.25">
      <c r="A1417" s="1255">
        <v>209522</v>
      </c>
      <c r="B1417" s="1256">
        <v>59</v>
      </c>
      <c r="C1417" s="1257" t="s">
        <v>476</v>
      </c>
      <c r="D1417" s="1257">
        <v>8.77</v>
      </c>
      <c r="E1417" s="1257">
        <v>5.85</v>
      </c>
      <c r="F1417" s="1701">
        <v>2.1014999999999997</v>
      </c>
      <c r="G1417" s="1257">
        <v>0.66</v>
      </c>
      <c r="H1417" s="1257">
        <v>2.57</v>
      </c>
      <c r="I1417" s="1257">
        <v>0.79</v>
      </c>
      <c r="J1417" s="1257">
        <v>3.89</v>
      </c>
      <c r="K1417" s="1257">
        <v>0.69</v>
      </c>
      <c r="L1417" s="1257">
        <v>62.3</v>
      </c>
    </row>
    <row r="1418" spans="1:16" s="1257" customFormat="1" x14ac:dyDescent="0.25">
      <c r="A1418" s="1255">
        <v>209523</v>
      </c>
      <c r="B1418" s="1256">
        <v>71</v>
      </c>
      <c r="C1418" s="1257" t="s">
        <v>476</v>
      </c>
      <c r="D1418" s="1257">
        <v>6.65</v>
      </c>
      <c r="E1418" s="1257">
        <v>8.5</v>
      </c>
      <c r="F1418" s="1701">
        <v>4.9595399999999996</v>
      </c>
      <c r="G1418" s="1257">
        <v>1.62</v>
      </c>
      <c r="H1418" s="1257">
        <v>2.63</v>
      </c>
      <c r="I1418" s="1257">
        <v>0.35</v>
      </c>
      <c r="J1418" s="1257">
        <v>3.06</v>
      </c>
      <c r="K1418" s="1257">
        <v>0.76</v>
      </c>
      <c r="L1418" s="1257">
        <v>77.599999999999994</v>
      </c>
    </row>
    <row r="1419" spans="1:16" s="1257" customFormat="1" x14ac:dyDescent="0.25">
      <c r="A1419" s="1255">
        <v>209524</v>
      </c>
      <c r="B1419" s="1256">
        <v>64</v>
      </c>
      <c r="C1419" s="1257" t="s">
        <v>477</v>
      </c>
      <c r="D1419" s="1257">
        <v>6.25</v>
      </c>
      <c r="E1419" s="1257">
        <v>8.89</v>
      </c>
      <c r="F1419" s="1701">
        <v>4.5112199999999989</v>
      </c>
      <c r="G1419" s="1257">
        <v>1.48</v>
      </c>
      <c r="H1419" s="1257">
        <v>2.89</v>
      </c>
      <c r="I1419" s="1257">
        <v>0.42</v>
      </c>
      <c r="J1419" s="1257">
        <v>3.04</v>
      </c>
      <c r="K1419" s="1257">
        <v>0.91</v>
      </c>
      <c r="L1419" s="1257">
        <v>75.599999999999994</v>
      </c>
    </row>
    <row r="1420" spans="1:16" s="1257" customFormat="1" x14ac:dyDescent="0.25">
      <c r="A1420" s="1255">
        <v>209525</v>
      </c>
      <c r="B1420" s="1256">
        <v>68</v>
      </c>
      <c r="C1420" s="1257" t="s">
        <v>477</v>
      </c>
      <c r="D1420" s="1257">
        <v>7.24</v>
      </c>
      <c r="E1420" s="1257">
        <v>8.44</v>
      </c>
      <c r="F1420" s="1701">
        <v>3.8107200000000003</v>
      </c>
      <c r="G1420" s="1257">
        <v>2.2400000000000002</v>
      </c>
      <c r="H1420" s="1257">
        <v>2.59</v>
      </c>
      <c r="I1420" s="1257">
        <v>0.45</v>
      </c>
      <c r="J1420" s="1257">
        <v>6.38</v>
      </c>
      <c r="K1420" s="1257">
        <v>0.96</v>
      </c>
      <c r="L1420" s="1257">
        <v>64.7</v>
      </c>
    </row>
    <row r="1421" spans="1:16" s="1257" customFormat="1" x14ac:dyDescent="0.25">
      <c r="A1421" s="1255">
        <v>209526</v>
      </c>
      <c r="B1421" s="1256">
        <v>65</v>
      </c>
      <c r="C1421" s="1257" t="s">
        <v>477</v>
      </c>
      <c r="D1421" s="1257">
        <v>6.42</v>
      </c>
      <c r="E1421" s="1257">
        <v>8.93</v>
      </c>
      <c r="F1421" s="1701">
        <v>4.3991400000000001</v>
      </c>
      <c r="G1421" s="1257">
        <v>1.44</v>
      </c>
      <c r="H1421" s="1257">
        <v>2.9</v>
      </c>
      <c r="I1421" s="1257">
        <v>0.43</v>
      </c>
      <c r="J1421" s="1257">
        <v>3.37</v>
      </c>
      <c r="K1421" s="1257">
        <v>1.03</v>
      </c>
      <c r="L1421" s="1257">
        <v>73.7</v>
      </c>
    </row>
    <row r="1422" spans="1:16" s="1257" customFormat="1" x14ac:dyDescent="0.25">
      <c r="A1422" s="1255">
        <v>209527</v>
      </c>
      <c r="B1422" s="1256">
        <v>92</v>
      </c>
      <c r="C1422" s="1257" t="s">
        <v>477</v>
      </c>
      <c r="F1422" s="1257">
        <v>7.45</v>
      </c>
    </row>
    <row r="1423" spans="1:16" s="1002" customFormat="1" x14ac:dyDescent="0.25">
      <c r="A1423" s="925">
        <v>209528</v>
      </c>
      <c r="B1423" s="1001"/>
    </row>
    <row r="1424" spans="1:16" s="1002" customFormat="1" x14ac:dyDescent="0.25">
      <c r="A1424" s="925">
        <v>209529</v>
      </c>
      <c r="B1424" s="1001"/>
    </row>
    <row r="1425" spans="1:18" s="1002" customFormat="1" x14ac:dyDescent="0.25">
      <c r="A1425" s="925">
        <v>209530</v>
      </c>
      <c r="B1425" s="1001"/>
    </row>
    <row r="1426" spans="1:18" s="1830" customFormat="1" x14ac:dyDescent="0.25">
      <c r="A1426" s="1828">
        <v>209531</v>
      </c>
      <c r="B1426" s="1829"/>
      <c r="D1426" s="1830">
        <v>7.43</v>
      </c>
    </row>
    <row r="1427" spans="1:18" s="1257" customFormat="1" x14ac:dyDescent="0.25">
      <c r="A1427" s="1255">
        <v>209532</v>
      </c>
      <c r="B1427" s="1256">
        <v>17</v>
      </c>
      <c r="C1427" s="1257" t="s">
        <v>477</v>
      </c>
      <c r="D1427" s="1257">
        <v>6.84</v>
      </c>
      <c r="E1427" s="1257">
        <v>0.88</v>
      </c>
      <c r="F1427" s="1701">
        <v>0.72852000000000006</v>
      </c>
      <c r="G1427" s="1257">
        <v>2.4E-2</v>
      </c>
      <c r="H1427" s="1257">
        <v>0.17</v>
      </c>
      <c r="I1427" s="1257">
        <v>0.59</v>
      </c>
      <c r="J1427" s="1257">
        <v>0.51</v>
      </c>
      <c r="K1427" s="1257">
        <v>0.37</v>
      </c>
      <c r="L1427" s="1257">
        <v>91.8</v>
      </c>
    </row>
    <row r="1428" spans="1:18" s="1257" customFormat="1" x14ac:dyDescent="0.25">
      <c r="A1428" s="1255">
        <v>209533</v>
      </c>
      <c r="B1428" s="1256">
        <v>17</v>
      </c>
      <c r="C1428" s="1257" t="s">
        <v>477</v>
      </c>
      <c r="D1428" s="1257">
        <v>6.88</v>
      </c>
      <c r="E1428" s="1257">
        <v>0.65100000000000002</v>
      </c>
      <c r="F1428" s="1701">
        <v>0.78455999999999992</v>
      </c>
      <c r="G1428" s="1257">
        <v>2.1000000000000001E-2</v>
      </c>
      <c r="H1428" s="1257">
        <v>0.15</v>
      </c>
      <c r="I1428" s="1257">
        <v>0.49</v>
      </c>
      <c r="J1428" s="1257">
        <v>0.67</v>
      </c>
      <c r="K1428" s="1257">
        <v>0.39</v>
      </c>
      <c r="L1428" s="1257">
        <v>89.1</v>
      </c>
    </row>
    <row r="1429" spans="1:18" s="1257" customFormat="1" x14ac:dyDescent="0.25">
      <c r="A1429" s="1255">
        <v>209534</v>
      </c>
      <c r="B1429" s="1256">
        <v>14</v>
      </c>
      <c r="C1429" s="1257" t="s">
        <v>477</v>
      </c>
      <c r="D1429" s="1257">
        <v>7.07</v>
      </c>
      <c r="E1429" s="1257">
        <v>0.44400000000000001</v>
      </c>
      <c r="F1429" s="1701">
        <v>1.2048599999999998</v>
      </c>
      <c r="G1429" s="1257">
        <v>4.1000000000000002E-2</v>
      </c>
      <c r="H1429" s="1257">
        <v>0.06</v>
      </c>
      <c r="I1429" s="1257">
        <v>0.42</v>
      </c>
      <c r="J1429" s="1257">
        <v>2.2400000000000002</v>
      </c>
      <c r="K1429" s="1257">
        <v>0.53</v>
      </c>
      <c r="L1429" s="1257">
        <v>83.9</v>
      </c>
    </row>
    <row r="1430" spans="1:18" s="1257" customFormat="1" x14ac:dyDescent="0.25">
      <c r="A1430" s="1255">
        <v>209535</v>
      </c>
      <c r="B1430" s="1256">
        <v>16</v>
      </c>
      <c r="C1430" s="1257" t="s">
        <v>477</v>
      </c>
      <c r="D1430" s="1257">
        <v>6.9</v>
      </c>
      <c r="E1430" s="1257">
        <v>0.36699999999999999</v>
      </c>
      <c r="F1430" s="1701">
        <v>0.8405999999999999</v>
      </c>
      <c r="G1430" s="1257">
        <v>2.9000000000000001E-2</v>
      </c>
      <c r="H1430" s="1257">
        <v>0.09</v>
      </c>
      <c r="I1430" s="1257">
        <v>0.35</v>
      </c>
      <c r="J1430" s="1257" t="s">
        <v>594</v>
      </c>
      <c r="K1430" s="1257">
        <v>0.37</v>
      </c>
      <c r="L1430" s="1257">
        <v>86.5</v>
      </c>
    </row>
    <row r="1431" spans="1:18" s="1257" customFormat="1" x14ac:dyDescent="0.25">
      <c r="A1431" s="1255">
        <v>209536</v>
      </c>
      <c r="B1431" s="1256">
        <v>69</v>
      </c>
      <c r="C1431" s="1257" t="s">
        <v>477</v>
      </c>
      <c r="D1431" s="1257">
        <v>7.62</v>
      </c>
      <c r="E1431" s="1257">
        <v>4.5599999999999996</v>
      </c>
      <c r="F1431" s="1257">
        <v>2.0499999999999998</v>
      </c>
      <c r="G1431" s="1257">
        <v>2.6789999999999998</v>
      </c>
      <c r="H1431" s="1257">
        <v>2.6</v>
      </c>
      <c r="I1431" s="1257">
        <v>0.54</v>
      </c>
      <c r="J1431" s="1257">
        <v>8.5299999999999994</v>
      </c>
      <c r="K1431" s="1257">
        <v>0.99</v>
      </c>
      <c r="L1431" s="1257">
        <v>54.7</v>
      </c>
    </row>
    <row r="1432" spans="1:18" s="1257" customFormat="1" x14ac:dyDescent="0.25">
      <c r="A1432" s="1255">
        <v>209537</v>
      </c>
      <c r="B1432" s="1256">
        <v>81</v>
      </c>
      <c r="C1432" s="1257" t="s">
        <v>187</v>
      </c>
      <c r="D1432" s="1257">
        <v>9.27</v>
      </c>
      <c r="E1432" s="1257">
        <v>2.02</v>
      </c>
      <c r="F1432" s="1257">
        <v>1.96</v>
      </c>
      <c r="G1432" s="1257">
        <v>0.61</v>
      </c>
      <c r="H1432" s="1257">
        <v>2.31</v>
      </c>
      <c r="I1432" s="1257">
        <v>0.87</v>
      </c>
      <c r="J1432" s="1257">
        <v>4.37</v>
      </c>
      <c r="K1432" s="1257">
        <v>1.46</v>
      </c>
      <c r="L1432" s="1257">
        <v>59.5</v>
      </c>
      <c r="M1432" s="1257">
        <v>298.5</v>
      </c>
      <c r="N1432" s="1257">
        <v>79.66</v>
      </c>
      <c r="O1432" s="1257">
        <v>376.7</v>
      </c>
      <c r="P1432" s="1257">
        <v>4218.99</v>
      </c>
    </row>
    <row r="1433" spans="1:18" x14ac:dyDescent="0.25">
      <c r="A1433" s="1671">
        <v>209538</v>
      </c>
      <c r="B1433" s="1672">
        <v>63</v>
      </c>
      <c r="C1433" s="1673" t="s">
        <v>187</v>
      </c>
      <c r="D1433" s="1673"/>
      <c r="E1433" s="1673"/>
      <c r="F1433" s="1673"/>
      <c r="G1433" s="1673"/>
      <c r="H1433" s="1673"/>
      <c r="I1433" s="1673"/>
      <c r="J1433" s="1673"/>
      <c r="K1433" s="1673"/>
      <c r="L1433" s="1673">
        <v>39.200000000000003</v>
      </c>
      <c r="M1433" s="1673"/>
      <c r="N1433" s="1673"/>
      <c r="O1433" s="1673"/>
      <c r="P1433" s="1673"/>
      <c r="Q1433" s="1673"/>
      <c r="R1433" s="1673"/>
    </row>
    <row r="1434" spans="1:18" x14ac:dyDescent="0.25">
      <c r="A1434" s="1671">
        <v>209539</v>
      </c>
      <c r="B1434" s="1672">
        <v>70</v>
      </c>
      <c r="C1434" s="1673" t="s">
        <v>477</v>
      </c>
      <c r="D1434" s="1673">
        <v>9.25</v>
      </c>
      <c r="E1434" s="1673">
        <v>2.73</v>
      </c>
      <c r="F1434" s="1673">
        <v>2.1</v>
      </c>
      <c r="G1434" s="1673">
        <v>0.72</v>
      </c>
      <c r="H1434" s="1673">
        <v>2.79</v>
      </c>
      <c r="I1434" s="1673">
        <v>0.4</v>
      </c>
      <c r="J1434" s="1673">
        <v>4.9800000000000004</v>
      </c>
      <c r="K1434" s="1673">
        <v>1.39</v>
      </c>
      <c r="L1434" s="1673">
        <v>45.6</v>
      </c>
      <c r="M1434" s="1673"/>
      <c r="N1434" s="1673"/>
      <c r="O1434" s="1673"/>
      <c r="P1434" s="1673"/>
      <c r="Q1434" s="1673"/>
      <c r="R1434" s="1673"/>
    </row>
    <row r="1435" spans="1:18" x14ac:dyDescent="0.25">
      <c r="A1435" s="1671">
        <v>209540</v>
      </c>
      <c r="B1435" s="1672">
        <v>54</v>
      </c>
      <c r="C1435" s="1673" t="s">
        <v>476</v>
      </c>
      <c r="D1435" s="1673"/>
      <c r="E1435" s="1673"/>
      <c r="F1435" s="1673"/>
      <c r="G1435" s="1673"/>
      <c r="H1435" s="1673"/>
      <c r="I1435" s="1673"/>
      <c r="J1435" s="1673"/>
      <c r="K1435" s="1673"/>
      <c r="L1435" s="1673">
        <v>66.3</v>
      </c>
      <c r="M1435" s="1673"/>
      <c r="N1435" s="1673"/>
      <c r="O1435" s="1673"/>
      <c r="P1435" s="1673"/>
      <c r="Q1435" s="1673"/>
      <c r="R1435" s="1673"/>
    </row>
    <row r="1436" spans="1:18" x14ac:dyDescent="0.25">
      <c r="A1436" s="1671">
        <v>209541</v>
      </c>
      <c r="B1436" s="1672">
        <v>63</v>
      </c>
      <c r="C1436" s="1673" t="s">
        <v>476</v>
      </c>
      <c r="D1436" s="1673"/>
      <c r="E1436" s="1673"/>
      <c r="F1436" s="1673"/>
      <c r="G1436" s="1673"/>
      <c r="H1436" s="1673"/>
      <c r="I1436" s="1673"/>
      <c r="J1436" s="1673"/>
      <c r="K1436" s="1673"/>
      <c r="L1436" s="1673">
        <v>62.4</v>
      </c>
      <c r="M1436" s="1673"/>
      <c r="N1436" s="1673"/>
      <c r="O1436" s="1673"/>
      <c r="P1436" s="1673"/>
      <c r="Q1436" s="1673"/>
      <c r="R1436" s="1673"/>
    </row>
    <row r="1437" spans="1:18" x14ac:dyDescent="0.25">
      <c r="A1437" s="1671">
        <v>209542</v>
      </c>
      <c r="B1437" s="1672">
        <v>57</v>
      </c>
      <c r="C1437" s="1673" t="s">
        <v>476</v>
      </c>
      <c r="D1437" s="1673"/>
      <c r="E1437" s="1673"/>
      <c r="F1437" s="1673"/>
      <c r="G1437" s="1673"/>
      <c r="H1437" s="1673"/>
      <c r="I1437" s="1673"/>
      <c r="J1437" s="1673"/>
      <c r="K1437" s="1673"/>
      <c r="L1437" s="1673">
        <v>51.6</v>
      </c>
      <c r="M1437" s="1673"/>
      <c r="N1437" s="1673"/>
      <c r="O1437" s="1673"/>
      <c r="P1437" s="1673"/>
      <c r="Q1437" s="1673"/>
      <c r="R1437" s="1673"/>
    </row>
    <row r="1438" spans="1:18" x14ac:dyDescent="0.25">
      <c r="A1438" s="1671">
        <v>209543</v>
      </c>
      <c r="B1438" s="1672">
        <v>65</v>
      </c>
      <c r="C1438" s="1673" t="s">
        <v>476</v>
      </c>
      <c r="D1438" s="1673"/>
      <c r="E1438" s="1673"/>
      <c r="F1438" s="1673"/>
      <c r="G1438" s="1673"/>
      <c r="H1438" s="1673"/>
      <c r="I1438" s="1673"/>
      <c r="J1438" s="1673"/>
      <c r="K1438" s="1673"/>
      <c r="L1438" s="1673">
        <v>41.8</v>
      </c>
      <c r="M1438" s="1673"/>
      <c r="N1438" s="1673"/>
      <c r="O1438" s="1673"/>
      <c r="P1438" s="1673"/>
      <c r="Q1438" s="1673"/>
      <c r="R1438" s="1673"/>
    </row>
    <row r="1439" spans="1:18" x14ac:dyDescent="0.25">
      <c r="A1439" s="1671">
        <v>209544</v>
      </c>
      <c r="B1439" s="1672">
        <v>67</v>
      </c>
      <c r="C1439" s="1673" t="s">
        <v>476</v>
      </c>
      <c r="D1439" s="1673"/>
      <c r="E1439" s="1673"/>
      <c r="F1439" s="1673"/>
      <c r="G1439" s="1673"/>
      <c r="H1439" s="1673"/>
      <c r="I1439" s="1673"/>
      <c r="J1439" s="1673"/>
      <c r="K1439" s="1673"/>
      <c r="L1439" s="1673">
        <v>46</v>
      </c>
      <c r="M1439" s="1673"/>
      <c r="N1439" s="1673"/>
      <c r="O1439" s="1673"/>
      <c r="P1439" s="1673"/>
      <c r="Q1439" s="1673"/>
      <c r="R1439" s="1673"/>
    </row>
    <row r="1440" spans="1:18" x14ac:dyDescent="0.25">
      <c r="A1440" s="1671">
        <v>209545</v>
      </c>
      <c r="B1440" s="1672">
        <v>63</v>
      </c>
      <c r="C1440" s="1673" t="s">
        <v>476</v>
      </c>
      <c r="D1440" s="1673"/>
      <c r="E1440" s="1673"/>
      <c r="F1440" s="1673"/>
      <c r="G1440" s="1673"/>
      <c r="H1440" s="1673"/>
      <c r="I1440" s="1673"/>
      <c r="J1440" s="1673"/>
      <c r="K1440" s="1673"/>
      <c r="L1440" s="1673">
        <v>48.8</v>
      </c>
      <c r="M1440" s="1673"/>
      <c r="N1440" s="1673"/>
      <c r="O1440" s="1673"/>
      <c r="P1440" s="1673"/>
      <c r="Q1440" s="1673"/>
      <c r="R1440" s="1673"/>
    </row>
    <row r="1441" spans="1:12" s="1314" customFormat="1" x14ac:dyDescent="0.25">
      <c r="A1441" s="1312">
        <v>209546</v>
      </c>
      <c r="B1441" s="1313">
        <v>69</v>
      </c>
      <c r="C1441" s="1314" t="s">
        <v>476</v>
      </c>
      <c r="D1441" s="1314">
        <v>9.0399999999999991</v>
      </c>
      <c r="E1441" s="1314">
        <v>3.73</v>
      </c>
      <c r="F1441" s="1862">
        <v>2.0454600000000003</v>
      </c>
      <c r="G1441" s="1314">
        <v>0.42</v>
      </c>
      <c r="H1441" s="1314">
        <v>3.51</v>
      </c>
      <c r="I1441" s="1314">
        <v>0.63</v>
      </c>
      <c r="J1441" s="1314">
        <v>5.0199999999999996</v>
      </c>
      <c r="K1441" s="1314">
        <v>0.76</v>
      </c>
      <c r="L1441" s="1314">
        <v>60</v>
      </c>
    </row>
    <row r="1442" spans="1:12" s="1314" customFormat="1" x14ac:dyDescent="0.25">
      <c r="A1442" s="1312">
        <v>209547</v>
      </c>
      <c r="B1442" s="1313">
        <v>51</v>
      </c>
      <c r="C1442" s="1314" t="s">
        <v>476</v>
      </c>
      <c r="D1442" s="1314">
        <v>8.0299999999999994</v>
      </c>
      <c r="E1442" s="1314">
        <v>2.31</v>
      </c>
      <c r="F1442" s="1862">
        <v>2.4377400000000002</v>
      </c>
      <c r="G1442" s="1314">
        <v>0.93</v>
      </c>
      <c r="H1442" s="1314">
        <v>2.37</v>
      </c>
      <c r="I1442" s="1314">
        <v>0.47</v>
      </c>
      <c r="J1442" s="1314" t="s">
        <v>596</v>
      </c>
      <c r="K1442" s="1314">
        <v>1.02</v>
      </c>
      <c r="L1442" s="1314">
        <v>57.5</v>
      </c>
    </row>
    <row r="1443" spans="1:12" s="1314" customFormat="1" x14ac:dyDescent="0.25">
      <c r="A1443" s="1312">
        <v>209548</v>
      </c>
      <c r="B1443" s="1313">
        <v>47</v>
      </c>
      <c r="C1443" s="1314" t="s">
        <v>476</v>
      </c>
      <c r="D1443" s="1314">
        <v>9.01</v>
      </c>
      <c r="E1443" s="1314">
        <v>3.23</v>
      </c>
      <c r="F1443" s="1862">
        <v>2.8580400000000004</v>
      </c>
      <c r="G1443" s="1314">
        <v>0.99</v>
      </c>
      <c r="H1443" s="1314">
        <v>3.03</v>
      </c>
      <c r="I1443" s="1314">
        <v>0.37</v>
      </c>
      <c r="J1443" s="1314">
        <v>2.65</v>
      </c>
      <c r="K1443" s="1314">
        <v>0.79</v>
      </c>
      <c r="L1443" s="1314">
        <v>81</v>
      </c>
    </row>
    <row r="1444" spans="1:12" s="1314" customFormat="1" x14ac:dyDescent="0.25">
      <c r="A1444" s="1312">
        <v>209549</v>
      </c>
      <c r="B1444" s="1313">
        <v>89</v>
      </c>
      <c r="C1444" s="1314" t="s">
        <v>476</v>
      </c>
      <c r="D1444" s="1314">
        <v>8.2200000000000006</v>
      </c>
      <c r="E1444" s="1314">
        <v>3.98</v>
      </c>
      <c r="F1444" s="1862">
        <v>4.0348800000000002</v>
      </c>
      <c r="G1444" s="1314">
        <v>1.65</v>
      </c>
      <c r="H1444" s="1314">
        <v>2.02</v>
      </c>
      <c r="I1444" s="1314">
        <v>0.26</v>
      </c>
      <c r="J1444" s="1314">
        <v>10.220000000000001</v>
      </c>
      <c r="K1444" s="1314">
        <v>0.56999999999999995</v>
      </c>
      <c r="L1444" s="1314">
        <v>66.2</v>
      </c>
    </row>
    <row r="1445" spans="1:12" s="1314" customFormat="1" x14ac:dyDescent="0.25">
      <c r="A1445" s="1312">
        <v>209550</v>
      </c>
      <c r="B1445" s="1313">
        <v>88</v>
      </c>
      <c r="C1445" s="1314" t="s">
        <v>477</v>
      </c>
      <c r="D1445" s="1314">
        <v>7.07</v>
      </c>
      <c r="E1445" s="1314">
        <v>5.61</v>
      </c>
      <c r="F1445" s="1862">
        <v>4.5392400000000004</v>
      </c>
      <c r="G1445" s="1314">
        <v>1.61</v>
      </c>
      <c r="H1445" s="1314">
        <v>2.4</v>
      </c>
      <c r="I1445" s="1314">
        <v>0.31</v>
      </c>
      <c r="J1445" s="1314">
        <v>6.91</v>
      </c>
      <c r="K1445" s="1314">
        <v>0.52</v>
      </c>
      <c r="L1445" s="1314">
        <v>73.7</v>
      </c>
    </row>
    <row r="1446" spans="1:12" s="1314" customFormat="1" x14ac:dyDescent="0.25">
      <c r="A1446" s="1312">
        <v>209551</v>
      </c>
      <c r="B1446" s="1313">
        <v>89</v>
      </c>
      <c r="C1446" s="1314" t="s">
        <v>476</v>
      </c>
      <c r="D1446" s="1314">
        <v>6.04</v>
      </c>
      <c r="E1446" s="1314">
        <v>0.623</v>
      </c>
      <c r="F1446" s="1862">
        <v>0.53237999999999996</v>
      </c>
      <c r="G1446" s="1314">
        <v>0.03</v>
      </c>
      <c r="H1446" s="1314">
        <v>0.11</v>
      </c>
      <c r="I1446" s="1314">
        <v>0.04</v>
      </c>
      <c r="J1446" s="1314" t="s">
        <v>597</v>
      </c>
      <c r="K1446" s="1314">
        <v>0.19</v>
      </c>
      <c r="L1446" s="1314">
        <v>90.8</v>
      </c>
    </row>
    <row r="1447" spans="1:12" s="1314" customFormat="1" x14ac:dyDescent="0.25">
      <c r="A1447" s="1312">
        <v>209552</v>
      </c>
      <c r="B1447" s="1313">
        <v>34</v>
      </c>
      <c r="C1447" s="1314" t="s">
        <v>476</v>
      </c>
      <c r="D1447" s="1314">
        <v>8.94</v>
      </c>
      <c r="E1447" s="1314">
        <v>1.615</v>
      </c>
      <c r="F1447" s="1862">
        <v>1.48506</v>
      </c>
      <c r="G1447" s="1314">
        <v>2.16</v>
      </c>
      <c r="H1447" s="1314">
        <v>7.24</v>
      </c>
      <c r="I1447" s="1314">
        <v>2.08</v>
      </c>
      <c r="J1447" s="1314">
        <v>12.92</v>
      </c>
      <c r="K1447" s="1314">
        <v>2.85</v>
      </c>
      <c r="L1447" s="1314">
        <v>45.9</v>
      </c>
    </row>
    <row r="1448" spans="1:12" s="1314" customFormat="1" x14ac:dyDescent="0.25">
      <c r="A1448" s="1312">
        <v>209553</v>
      </c>
      <c r="B1448" s="1313">
        <v>64</v>
      </c>
      <c r="C1448" s="1314" t="s">
        <v>476</v>
      </c>
      <c r="D1448" s="1314">
        <v>8.42</v>
      </c>
      <c r="E1448" s="1314">
        <v>2.665</v>
      </c>
      <c r="F1448" s="1862">
        <v>2.1014999999999997</v>
      </c>
      <c r="G1448" s="1314">
        <v>0.56000000000000005</v>
      </c>
      <c r="H1448" s="1314">
        <v>2.2000000000000002</v>
      </c>
      <c r="I1448" s="1314">
        <v>0.62</v>
      </c>
      <c r="J1448" s="1314">
        <v>3.98</v>
      </c>
      <c r="K1448" s="1314">
        <v>0.67</v>
      </c>
      <c r="L1448" s="1314">
        <v>48.4</v>
      </c>
    </row>
    <row r="1449" spans="1:12" s="1314" customFormat="1" x14ac:dyDescent="0.25">
      <c r="A1449" s="1312">
        <v>209554</v>
      </c>
      <c r="B1449" s="1313">
        <v>83</v>
      </c>
      <c r="C1449" s="1314" t="s">
        <v>476</v>
      </c>
      <c r="D1449" s="1314">
        <v>5.72</v>
      </c>
      <c r="E1449" s="1314">
        <v>0.33800000000000002</v>
      </c>
      <c r="F1449" s="1862">
        <v>1.1488200000000002</v>
      </c>
      <c r="G1449" s="1314">
        <v>0.03</v>
      </c>
      <c r="H1449" s="1314">
        <v>0.2</v>
      </c>
      <c r="I1449" s="1314">
        <v>0.05</v>
      </c>
      <c r="J1449" s="1314" t="s">
        <v>598</v>
      </c>
      <c r="K1449" s="1314">
        <v>7.0000000000000007E-2</v>
      </c>
      <c r="L1449" s="1314">
        <v>90.8</v>
      </c>
    </row>
    <row r="1450" spans="1:12" s="1314" customFormat="1" x14ac:dyDescent="0.25">
      <c r="A1450" s="1312">
        <v>209555</v>
      </c>
      <c r="B1450" s="1313">
        <v>71</v>
      </c>
      <c r="C1450" s="1314" t="s">
        <v>476</v>
      </c>
      <c r="D1450" s="1314">
        <v>6.64</v>
      </c>
      <c r="E1450" s="1314">
        <v>1.101</v>
      </c>
      <c r="F1450" s="1862">
        <v>5.2397400000000003</v>
      </c>
      <c r="G1450" s="1314">
        <v>2.06</v>
      </c>
      <c r="H1450" s="1314">
        <v>2.96</v>
      </c>
      <c r="I1450" s="1314">
        <v>0.28999999999999998</v>
      </c>
      <c r="J1450" s="1314">
        <v>3.93</v>
      </c>
      <c r="K1450" s="1314">
        <v>1.71</v>
      </c>
      <c r="L1450" s="1314">
        <v>72.7</v>
      </c>
    </row>
    <row r="1451" spans="1:12" s="1314" customFormat="1" x14ac:dyDescent="0.25">
      <c r="A1451" s="1312">
        <v>209556</v>
      </c>
      <c r="B1451" s="1313">
        <v>64</v>
      </c>
      <c r="C1451" s="1314" t="s">
        <v>476</v>
      </c>
      <c r="D1451" s="1314">
        <v>7.88</v>
      </c>
      <c r="E1451" s="1314">
        <v>2.3570000000000002</v>
      </c>
      <c r="F1451" s="1862">
        <v>2.3816999999999999</v>
      </c>
      <c r="G1451" s="1314">
        <v>0.49</v>
      </c>
      <c r="H1451" s="1314">
        <v>2.23</v>
      </c>
      <c r="I1451" s="1314">
        <v>0.13</v>
      </c>
      <c r="J1451" s="1314">
        <v>3.29</v>
      </c>
      <c r="K1451" s="1314">
        <v>1.07</v>
      </c>
      <c r="L1451" s="1314">
        <v>50.4</v>
      </c>
    </row>
    <row r="1452" spans="1:12" s="1314" customFormat="1" x14ac:dyDescent="0.25">
      <c r="A1452" s="1312">
        <v>209557</v>
      </c>
      <c r="B1452" s="1313">
        <v>73</v>
      </c>
      <c r="C1452" s="1314" t="s">
        <v>476</v>
      </c>
      <c r="D1452" s="1314">
        <v>8.85</v>
      </c>
      <c r="E1452" s="1314">
        <v>4.55</v>
      </c>
      <c r="F1452" s="1862">
        <v>2.7179400000000005</v>
      </c>
      <c r="G1452" s="1314">
        <v>1.56</v>
      </c>
      <c r="H1452" s="1314">
        <v>2.79</v>
      </c>
      <c r="I1452" s="1314">
        <v>0.53</v>
      </c>
      <c r="J1452" s="1314">
        <v>6.08</v>
      </c>
      <c r="K1452" s="1314">
        <v>0.91</v>
      </c>
      <c r="L1452" s="1314">
        <v>68.7</v>
      </c>
    </row>
    <row r="1453" spans="1:12" s="1314" customFormat="1" x14ac:dyDescent="0.25">
      <c r="A1453" s="1312">
        <v>209558</v>
      </c>
      <c r="B1453" s="1313">
        <v>45</v>
      </c>
      <c r="C1453" s="1314" t="s">
        <v>476</v>
      </c>
      <c r="D1453" s="1314">
        <v>8.9</v>
      </c>
      <c r="E1453" s="1314">
        <v>3.25</v>
      </c>
      <c r="F1453" s="1862">
        <v>2.2416</v>
      </c>
      <c r="G1453" s="1314">
        <v>0.75</v>
      </c>
      <c r="H1453" s="1314">
        <v>2.2799999999999998</v>
      </c>
      <c r="I1453" s="1314">
        <v>1.63</v>
      </c>
      <c r="J1453" s="1314">
        <v>2.92</v>
      </c>
      <c r="K1453" s="1314">
        <v>0.76</v>
      </c>
      <c r="L1453" s="1314">
        <v>72.400000000000006</v>
      </c>
    </row>
    <row r="1454" spans="1:12" s="1314" customFormat="1" x14ac:dyDescent="0.25">
      <c r="A1454" s="1312">
        <v>209559</v>
      </c>
      <c r="B1454" s="1313">
        <v>52</v>
      </c>
      <c r="C1454" s="1314" t="s">
        <v>476</v>
      </c>
      <c r="D1454" s="1314">
        <v>8.89</v>
      </c>
      <c r="E1454" s="1314">
        <v>3.16</v>
      </c>
      <c r="F1454" s="1862">
        <v>1.7652600000000003</v>
      </c>
      <c r="G1454" s="1314">
        <v>0.56000000000000005</v>
      </c>
      <c r="H1454" s="1314">
        <v>1.83</v>
      </c>
      <c r="I1454" s="1314">
        <v>0.69</v>
      </c>
      <c r="J1454" s="1314">
        <v>2.98</v>
      </c>
      <c r="K1454" s="1314">
        <v>0.65</v>
      </c>
      <c r="L1454" s="1314">
        <v>54.3</v>
      </c>
    </row>
    <row r="1455" spans="1:12" s="1314" customFormat="1" x14ac:dyDescent="0.25">
      <c r="A1455" s="1312">
        <v>209560</v>
      </c>
      <c r="B1455" s="1313">
        <v>74</v>
      </c>
      <c r="C1455" s="1314" t="s">
        <v>476</v>
      </c>
      <c r="D1455" s="1314">
        <v>9.1</v>
      </c>
      <c r="E1455" s="1314">
        <v>5.24</v>
      </c>
      <c r="F1455" s="1862">
        <v>2.2696200000000002</v>
      </c>
      <c r="G1455" s="1314">
        <v>0.61</v>
      </c>
      <c r="H1455" s="1314">
        <v>3.21</v>
      </c>
      <c r="I1455" s="1314">
        <v>0.32</v>
      </c>
      <c r="J1455" s="1314">
        <v>2.6</v>
      </c>
      <c r="K1455" s="1314">
        <v>0.91</v>
      </c>
      <c r="L1455" s="1314">
        <v>55.8</v>
      </c>
    </row>
    <row r="1456" spans="1:12" s="1314" customFormat="1" x14ac:dyDescent="0.25">
      <c r="A1456" s="1312">
        <v>209561</v>
      </c>
      <c r="B1456" s="1313">
        <v>31</v>
      </c>
      <c r="C1456" s="1314" t="s">
        <v>477</v>
      </c>
      <c r="D1456" s="1314">
        <v>4.7699999999999996</v>
      </c>
      <c r="E1456" s="1314">
        <v>8.48</v>
      </c>
      <c r="F1456" s="1862">
        <v>1.5130800000000002</v>
      </c>
      <c r="G1456" s="1314">
        <v>0.17</v>
      </c>
      <c r="H1456" s="1314">
        <v>2.34</v>
      </c>
      <c r="I1456" s="1314">
        <v>0.05</v>
      </c>
      <c r="J1456" s="1314">
        <v>0.48</v>
      </c>
      <c r="K1456" s="1314">
        <v>0.11</v>
      </c>
      <c r="L1456" s="1314">
        <v>87.6</v>
      </c>
    </row>
    <row r="1457" spans="1:29" s="1314" customFormat="1" x14ac:dyDescent="0.25">
      <c r="A1457" s="1312">
        <v>209562</v>
      </c>
      <c r="B1457" s="1313">
        <v>31</v>
      </c>
      <c r="C1457" s="1314" t="s">
        <v>477</v>
      </c>
      <c r="D1457" s="1314">
        <v>4.88</v>
      </c>
      <c r="E1457" s="1314">
        <v>2.4929999999999999</v>
      </c>
      <c r="F1457" s="1862">
        <v>1.6531800000000001</v>
      </c>
      <c r="G1457" s="1314">
        <v>0.14000000000000001</v>
      </c>
      <c r="H1457" s="1314">
        <v>1.48</v>
      </c>
      <c r="I1457" s="1314">
        <v>0.01</v>
      </c>
      <c r="J1457" s="1314">
        <v>0.24</v>
      </c>
      <c r="K1457" s="1314">
        <v>0.06</v>
      </c>
      <c r="L1457" s="1314">
        <v>87.4</v>
      </c>
    </row>
    <row r="1458" spans="1:29" s="1314" customFormat="1" x14ac:dyDescent="0.25">
      <c r="A1458" s="1312">
        <v>209563</v>
      </c>
      <c r="B1458" s="1313">
        <v>34</v>
      </c>
      <c r="C1458" s="1314" t="s">
        <v>477</v>
      </c>
      <c r="D1458" s="1314">
        <v>5.0199999999999996</v>
      </c>
      <c r="E1458" s="1314">
        <v>2.92</v>
      </c>
      <c r="F1458" s="1862">
        <v>1.5691200000000003</v>
      </c>
      <c r="G1458" s="1314">
        <v>0.17</v>
      </c>
      <c r="H1458" s="1314">
        <v>2.0699999999999998</v>
      </c>
      <c r="I1458" s="1314">
        <v>0.04</v>
      </c>
      <c r="J1458" s="1314">
        <v>0.27</v>
      </c>
      <c r="K1458" s="1314">
        <v>0.08</v>
      </c>
      <c r="L1458" s="1314">
        <v>86.4</v>
      </c>
    </row>
    <row r="1459" spans="1:29" s="1314" customFormat="1" x14ac:dyDescent="0.25">
      <c r="A1459" s="1312">
        <v>209564</v>
      </c>
      <c r="B1459" s="1313">
        <v>77</v>
      </c>
      <c r="C1459" s="1314" t="s">
        <v>477</v>
      </c>
      <c r="D1459" s="1314">
        <v>7.65</v>
      </c>
      <c r="E1459" s="1314">
        <v>8.36</v>
      </c>
      <c r="F1459" s="1862">
        <v>3.67062</v>
      </c>
      <c r="G1459" s="1314">
        <v>1.28</v>
      </c>
      <c r="H1459" s="1314">
        <v>2.46</v>
      </c>
      <c r="I1459" s="1314">
        <v>0.35</v>
      </c>
      <c r="J1459" s="1314">
        <v>5.87</v>
      </c>
      <c r="K1459" s="1314">
        <v>0.72</v>
      </c>
      <c r="L1459" s="1314">
        <v>65.5</v>
      </c>
    </row>
    <row r="1460" spans="1:29" s="1314" customFormat="1" x14ac:dyDescent="0.25">
      <c r="A1460" s="1312">
        <v>209565</v>
      </c>
      <c r="B1460" s="1313">
        <v>70</v>
      </c>
      <c r="C1460" s="1314" t="s">
        <v>476</v>
      </c>
      <c r="D1460" s="1314">
        <v>4.75</v>
      </c>
      <c r="E1460" s="1314">
        <v>1.04</v>
      </c>
      <c r="F1460" s="1862">
        <v>1.1488200000000002</v>
      </c>
      <c r="G1460" s="1314">
        <v>0.05</v>
      </c>
      <c r="H1460" s="1314">
        <v>0.62</v>
      </c>
      <c r="I1460" s="1314">
        <v>0.01</v>
      </c>
      <c r="J1460" s="1314">
        <v>0.26</v>
      </c>
      <c r="K1460" s="1314">
        <v>0.04</v>
      </c>
      <c r="L1460" s="1314">
        <v>97.2</v>
      </c>
    </row>
    <row r="1461" spans="1:29" x14ac:dyDescent="0.25">
      <c r="A1461" s="1877">
        <v>209566</v>
      </c>
      <c r="B1461" s="1878">
        <v>66</v>
      </c>
      <c r="C1461" s="1879" t="s">
        <v>476</v>
      </c>
      <c r="D1461" s="1879">
        <v>7.54</v>
      </c>
      <c r="E1461" s="1879">
        <v>8.2899999999999991</v>
      </c>
      <c r="F1461" s="1880">
        <v>2.8860600000000001</v>
      </c>
      <c r="G1461" s="1879">
        <v>2.39</v>
      </c>
      <c r="H1461" s="1879">
        <v>2.63</v>
      </c>
      <c r="I1461" s="1879">
        <v>0.43</v>
      </c>
      <c r="J1461" s="1879">
        <v>8.2200000000000006</v>
      </c>
      <c r="K1461" s="1879">
        <v>0.93</v>
      </c>
      <c r="L1461" s="1879">
        <v>55.5</v>
      </c>
      <c r="M1461" s="1879"/>
      <c r="N1461" s="1879"/>
      <c r="O1461" s="1879"/>
      <c r="P1461" s="1879"/>
      <c r="Q1461" s="1879"/>
    </row>
    <row r="1462" spans="1:29" x14ac:dyDescent="0.25">
      <c r="A1462" s="1877">
        <v>209567</v>
      </c>
      <c r="B1462" s="1878">
        <v>66</v>
      </c>
      <c r="C1462" s="1879" t="s">
        <v>477</v>
      </c>
      <c r="D1462" s="1879">
        <v>8.18</v>
      </c>
      <c r="E1462" s="1879">
        <v>7.37</v>
      </c>
      <c r="F1462" s="1880">
        <v>2.15754</v>
      </c>
      <c r="G1462" s="1879">
        <v>1.43</v>
      </c>
      <c r="H1462" s="1879">
        <v>2.97</v>
      </c>
      <c r="I1462" s="1879">
        <v>0.45</v>
      </c>
      <c r="J1462" s="1879">
        <v>7.05</v>
      </c>
      <c r="K1462" s="1879">
        <v>1.4</v>
      </c>
      <c r="L1462" s="1879">
        <v>50.7</v>
      </c>
      <c r="M1462" s="1879">
        <v>389.57</v>
      </c>
      <c r="N1462" s="1879">
        <v>97.81</v>
      </c>
      <c r="O1462" s="1879">
        <v>609.54</v>
      </c>
      <c r="P1462" s="1879">
        <v>7763.39</v>
      </c>
      <c r="Q1462" s="1879">
        <v>45.5</v>
      </c>
      <c r="U1462" s="35">
        <v>4.7</v>
      </c>
      <c r="V1462" s="35">
        <v>0.65</v>
      </c>
      <c r="W1462" s="35">
        <v>4.8499999999999996</v>
      </c>
      <c r="X1462" s="35">
        <v>16.91</v>
      </c>
      <c r="Y1462" s="35">
        <v>1E-3</v>
      </c>
      <c r="Z1462" s="35">
        <v>3.1</v>
      </c>
      <c r="AA1462" s="35">
        <v>18.23</v>
      </c>
      <c r="AB1462" s="35">
        <v>5.72</v>
      </c>
      <c r="AC1462" s="35">
        <v>0.25</v>
      </c>
    </row>
    <row r="1463" spans="1:29" x14ac:dyDescent="0.25">
      <c r="A1463" s="1877">
        <v>209568</v>
      </c>
      <c r="B1463" s="1878">
        <v>72</v>
      </c>
      <c r="C1463" s="1879" t="s">
        <v>477</v>
      </c>
      <c r="D1463" s="1879">
        <v>6.38</v>
      </c>
      <c r="E1463" s="1879">
        <v>9.75</v>
      </c>
      <c r="F1463" s="1880">
        <v>3.6426000000000003</v>
      </c>
      <c r="G1463" s="1879">
        <v>2.19</v>
      </c>
      <c r="H1463" s="1879">
        <v>2.4</v>
      </c>
      <c r="I1463" s="1879">
        <v>0.4</v>
      </c>
      <c r="J1463" s="1879">
        <v>5.46</v>
      </c>
      <c r="K1463" s="1879">
        <v>0.81</v>
      </c>
      <c r="L1463" s="1879">
        <v>67.2</v>
      </c>
      <c r="M1463" s="1879">
        <v>343.63</v>
      </c>
      <c r="N1463" s="1879">
        <v>88.71</v>
      </c>
      <c r="O1463" s="1879">
        <v>406.82</v>
      </c>
      <c r="P1463" s="1879">
        <v>2616.15</v>
      </c>
      <c r="Q1463" s="1879">
        <v>98.99</v>
      </c>
      <c r="U1463" s="35">
        <v>4.01</v>
      </c>
      <c r="V1463" s="35">
        <v>1.64</v>
      </c>
      <c r="W1463" s="35">
        <v>2.15</v>
      </c>
      <c r="X1463" s="35">
        <v>16.39</v>
      </c>
      <c r="Y1463" s="35">
        <v>1E-3</v>
      </c>
      <c r="Z1463" s="35">
        <v>4.45</v>
      </c>
      <c r="AA1463" s="35">
        <v>12.28</v>
      </c>
      <c r="AB1463" s="35">
        <v>1.38</v>
      </c>
      <c r="AC1463" s="35">
        <v>0.19</v>
      </c>
    </row>
    <row r="1464" spans="1:29" x14ac:dyDescent="0.25">
      <c r="A1464" s="1877">
        <v>209569</v>
      </c>
      <c r="B1464" s="1878">
        <v>83</v>
      </c>
      <c r="C1464" s="1879" t="s">
        <v>477</v>
      </c>
      <c r="D1464" s="1879">
        <v>8.44</v>
      </c>
      <c r="E1464" s="1879">
        <v>5.75</v>
      </c>
      <c r="F1464" s="1880">
        <v>4.0909199999999997</v>
      </c>
      <c r="G1464" s="1879">
        <v>1.63</v>
      </c>
      <c r="H1464" s="1879">
        <v>2.11</v>
      </c>
      <c r="I1464" s="1879">
        <v>0.25</v>
      </c>
      <c r="J1464" s="1879">
        <v>10.199999999999999</v>
      </c>
      <c r="K1464" s="1879">
        <v>0.61</v>
      </c>
      <c r="L1464" s="1879">
        <v>62.4</v>
      </c>
      <c r="M1464" s="1879">
        <v>426.86</v>
      </c>
      <c r="N1464" s="1879">
        <v>89.85</v>
      </c>
      <c r="O1464" s="1879">
        <v>289.99</v>
      </c>
      <c r="P1464" s="1879">
        <v>945.59</v>
      </c>
      <c r="Q1464" s="1879">
        <v>34.64</v>
      </c>
      <c r="U1464" s="35">
        <v>2.12</v>
      </c>
      <c r="V1464" s="35">
        <v>0.6</v>
      </c>
      <c r="W1464" s="35">
        <v>1.18</v>
      </c>
      <c r="X1464" s="35">
        <v>7.61</v>
      </c>
      <c r="Y1464" s="35">
        <v>1E-3</v>
      </c>
      <c r="Z1464" s="35">
        <v>2.73</v>
      </c>
      <c r="AA1464" s="35">
        <v>7.59</v>
      </c>
      <c r="AB1464" s="35">
        <v>1E-3</v>
      </c>
      <c r="AC1464" s="35">
        <v>1E-3</v>
      </c>
    </row>
    <row r="1465" spans="1:29" x14ac:dyDescent="0.25">
      <c r="A1465" s="1883">
        <v>209570</v>
      </c>
      <c r="B1465" s="1248">
        <v>65</v>
      </c>
      <c r="C1465" s="1248" t="s">
        <v>476</v>
      </c>
      <c r="D1465" s="1248">
        <v>9.14</v>
      </c>
      <c r="E1465" s="1248">
        <v>7</v>
      </c>
      <c r="F1465" s="1248">
        <v>1.65</v>
      </c>
      <c r="G1465" s="1884">
        <v>0.68</v>
      </c>
      <c r="H1465" s="1884">
        <v>2.98</v>
      </c>
      <c r="I1465" s="1884">
        <v>0.56000000000000005</v>
      </c>
      <c r="J1465" s="1884">
        <v>5.46</v>
      </c>
      <c r="K1465" s="1884">
        <v>1.07</v>
      </c>
      <c r="L1465" s="1885">
        <v>43.2</v>
      </c>
      <c r="M1465" s="1884">
        <v>132.63</v>
      </c>
      <c r="N1465" s="1884">
        <v>41.85</v>
      </c>
      <c r="O1465" s="1884">
        <v>548.74</v>
      </c>
      <c r="P1465" s="1884">
        <v>14894.38</v>
      </c>
      <c r="Q1465" s="1884">
        <v>41.75</v>
      </c>
    </row>
    <row r="1466" spans="1:29" x14ac:dyDescent="0.25">
      <c r="A1466" s="1883">
        <v>209571</v>
      </c>
      <c r="B1466" s="1248">
        <v>2</v>
      </c>
      <c r="C1466" s="1248" t="s">
        <v>477</v>
      </c>
      <c r="D1466" s="1248">
        <v>8.1199999999999992</v>
      </c>
      <c r="E1466" s="1248">
        <v>13.17</v>
      </c>
      <c r="F1466" s="1248">
        <v>2.41</v>
      </c>
      <c r="G1466" s="1884">
        <v>0.23</v>
      </c>
      <c r="H1466" s="1884">
        <v>23.67</v>
      </c>
      <c r="I1466" s="1884">
        <v>5.03</v>
      </c>
      <c r="J1466" s="1884">
        <v>0.76</v>
      </c>
      <c r="K1466" s="1884">
        <v>0.5</v>
      </c>
      <c r="L1466" s="1885">
        <v>23.2</v>
      </c>
      <c r="M1466" s="1884">
        <v>80.36</v>
      </c>
      <c r="N1466" s="1884">
        <v>50.69</v>
      </c>
      <c r="O1466" s="1884">
        <v>57.76</v>
      </c>
      <c r="P1466" s="1884">
        <v>1609.5</v>
      </c>
      <c r="Q1466" s="1884">
        <v>87.89</v>
      </c>
    </row>
    <row r="1467" spans="1:29" x14ac:dyDescent="0.25">
      <c r="A1467" s="1883">
        <v>209572</v>
      </c>
      <c r="B1467" s="1248">
        <v>99</v>
      </c>
      <c r="C1467" s="1248" t="s">
        <v>477</v>
      </c>
      <c r="D1467" s="1248"/>
      <c r="E1467" s="1248"/>
      <c r="F1467" s="1248"/>
      <c r="G1467" s="1884">
        <v>13.36</v>
      </c>
      <c r="H1467" s="1884"/>
      <c r="I1467" s="1884"/>
      <c r="J1467" s="1884"/>
      <c r="K1467" s="1884"/>
      <c r="L1467" s="1885"/>
      <c r="M1467" s="1884"/>
      <c r="N1467" s="1884"/>
      <c r="O1467" s="1884"/>
      <c r="P1467" s="1884"/>
      <c r="Q1467" s="1884"/>
    </row>
    <row r="1468" spans="1:29" x14ac:dyDescent="0.25">
      <c r="A1468" s="1883">
        <v>209573</v>
      </c>
      <c r="B1468" s="1248">
        <v>86</v>
      </c>
      <c r="C1468" s="1248" t="s">
        <v>476</v>
      </c>
      <c r="D1468" s="1248">
        <v>8.6199999999999992</v>
      </c>
      <c r="E1468" s="1248">
        <v>6.72</v>
      </c>
      <c r="F1468" s="1248">
        <v>2.75</v>
      </c>
      <c r="G1468" s="1884">
        <v>1.64</v>
      </c>
      <c r="H1468" s="1884">
        <v>3</v>
      </c>
      <c r="I1468" s="1884">
        <v>0.41</v>
      </c>
      <c r="J1468" s="1884">
        <v>7.42</v>
      </c>
      <c r="K1468" s="1884">
        <v>0.83</v>
      </c>
      <c r="L1468" s="1885">
        <v>66.7</v>
      </c>
      <c r="M1468" s="1884">
        <v>520.94000000000005</v>
      </c>
      <c r="N1468" s="1884">
        <v>136.82</v>
      </c>
      <c r="O1468" s="1884">
        <v>563.59</v>
      </c>
      <c r="P1468" s="1884">
        <v>974.32</v>
      </c>
      <c r="Q1468" s="1884">
        <v>44.79</v>
      </c>
    </row>
    <row r="1469" spans="1:29" x14ac:dyDescent="0.25">
      <c r="A1469" s="1883">
        <v>209574</v>
      </c>
      <c r="B1469" s="34">
        <v>38</v>
      </c>
      <c r="C1469" s="35" t="s">
        <v>477</v>
      </c>
      <c r="D1469" s="1881">
        <v>5.63</v>
      </c>
      <c r="E1469" s="1881">
        <v>0.76400000000000001</v>
      </c>
      <c r="F1469" s="41">
        <v>1.6811999999999998</v>
      </c>
      <c r="G1469" s="1882">
        <v>0.11</v>
      </c>
      <c r="H1469" s="1882">
        <v>0.83</v>
      </c>
      <c r="I1469" s="1882">
        <v>0.01</v>
      </c>
      <c r="J1469" s="1882">
        <v>0.39</v>
      </c>
      <c r="K1469" s="1882">
        <v>0.05</v>
      </c>
      <c r="L1469" s="1881">
        <v>97.7</v>
      </c>
      <c r="M1469" s="1882">
        <v>9.02</v>
      </c>
      <c r="N1469" s="1882">
        <v>16.91</v>
      </c>
      <c r="O1469" s="1882">
        <v>7.24</v>
      </c>
      <c r="P1469" s="1882">
        <v>92.07</v>
      </c>
      <c r="Q1469" s="795">
        <v>26.65</v>
      </c>
    </row>
    <row r="1470" spans="1:29" x14ac:dyDescent="0.25">
      <c r="A1470" s="1883">
        <v>209575</v>
      </c>
      <c r="B1470" s="34">
        <v>28</v>
      </c>
      <c r="C1470" s="35" t="s">
        <v>477</v>
      </c>
      <c r="D1470" s="1881">
        <v>5.05</v>
      </c>
      <c r="E1470" s="1881">
        <v>1.1419999999999999</v>
      </c>
      <c r="F1470" s="41">
        <v>1.87734</v>
      </c>
      <c r="G1470" s="1882">
        <v>0.12</v>
      </c>
      <c r="H1470" s="1882">
        <v>1.24</v>
      </c>
      <c r="I1470" s="1882">
        <v>0.02</v>
      </c>
      <c r="J1470" s="1882">
        <v>0.55000000000000004</v>
      </c>
      <c r="K1470" s="1882">
        <v>0.12</v>
      </c>
      <c r="L1470" s="1881">
        <v>95</v>
      </c>
      <c r="M1470" s="1882">
        <v>15.24</v>
      </c>
      <c r="N1470" s="1882">
        <v>20.04</v>
      </c>
      <c r="O1470" s="1882">
        <v>14.8</v>
      </c>
      <c r="P1470" s="1882">
        <v>904.21</v>
      </c>
      <c r="Q1470" s="795">
        <v>23.84</v>
      </c>
    </row>
    <row r="1471" spans="1:29" x14ac:dyDescent="0.25">
      <c r="A1471" s="1883">
        <v>209576</v>
      </c>
      <c r="B1471" s="34">
        <v>37</v>
      </c>
      <c r="C1471" s="35" t="s">
        <v>477</v>
      </c>
      <c r="D1471" s="1881">
        <v>5.04</v>
      </c>
      <c r="E1471" s="1881">
        <v>3.29</v>
      </c>
      <c r="F1471" s="41">
        <v>1.5691200000000003</v>
      </c>
      <c r="G1471" s="1882">
        <v>0.19</v>
      </c>
      <c r="H1471" s="1882">
        <v>2.5</v>
      </c>
      <c r="I1471" s="1882">
        <v>0.06</v>
      </c>
      <c r="J1471" s="1882">
        <v>0.6</v>
      </c>
      <c r="K1471" s="1882">
        <v>0.15</v>
      </c>
      <c r="L1471" s="1881">
        <v>90.2</v>
      </c>
      <c r="M1471" s="1882">
        <v>16.38</v>
      </c>
      <c r="N1471" s="1882">
        <v>9.92</v>
      </c>
      <c r="O1471" s="1882">
        <v>20.11</v>
      </c>
      <c r="P1471" s="1882">
        <v>835.84</v>
      </c>
      <c r="Q1471" s="795">
        <v>26.03</v>
      </c>
    </row>
    <row r="1472" spans="1:29" x14ac:dyDescent="0.25">
      <c r="A1472" s="1883">
        <v>209577</v>
      </c>
      <c r="B1472" s="34">
        <v>61</v>
      </c>
      <c r="C1472" s="35" t="s">
        <v>477</v>
      </c>
      <c r="D1472" s="1881">
        <v>8.49</v>
      </c>
      <c r="E1472" s="1881">
        <v>7.12</v>
      </c>
      <c r="F1472" s="41">
        <v>3.11022</v>
      </c>
      <c r="G1472" s="1882">
        <v>1.56</v>
      </c>
      <c r="H1472" s="1882">
        <v>3.53</v>
      </c>
      <c r="I1472" s="1882">
        <v>0.54</v>
      </c>
      <c r="J1472" s="1882">
        <v>5.42</v>
      </c>
      <c r="K1472" s="1882">
        <v>1.58</v>
      </c>
      <c r="L1472" s="1881">
        <v>60.2</v>
      </c>
      <c r="M1472" s="1882">
        <v>381.22</v>
      </c>
      <c r="N1472" s="1882">
        <v>127</v>
      </c>
      <c r="O1472" s="1882">
        <v>690.84</v>
      </c>
      <c r="P1472" s="1882">
        <v>8885.56</v>
      </c>
      <c r="Q1472" s="795">
        <v>66.900000000000006</v>
      </c>
    </row>
    <row r="1473" spans="1:17" x14ac:dyDescent="0.25">
      <c r="A1473" s="1896">
        <v>209578</v>
      </c>
      <c r="B1473" s="1897">
        <v>56</v>
      </c>
      <c r="C1473" s="1898" t="s">
        <v>476</v>
      </c>
      <c r="D1473" s="1897">
        <v>8.56</v>
      </c>
      <c r="E1473" s="1897">
        <v>1.4650000000000001</v>
      </c>
      <c r="F1473" s="1900">
        <v>1.5130800000000002</v>
      </c>
      <c r="G1473" s="1901">
        <v>0.42</v>
      </c>
      <c r="H1473" s="1901">
        <v>1.49</v>
      </c>
      <c r="I1473" s="1901">
        <v>0.15</v>
      </c>
      <c r="J1473" s="1901">
        <v>2.94</v>
      </c>
      <c r="K1473" s="1901">
        <v>1.39</v>
      </c>
      <c r="L1473" s="1897">
        <v>54.6</v>
      </c>
      <c r="M1473" s="1899">
        <v>82.9</v>
      </c>
      <c r="N1473" s="1899">
        <v>16.18</v>
      </c>
      <c r="O1473" s="1899">
        <v>505.06</v>
      </c>
      <c r="P1473" s="1899">
        <v>21744.3</v>
      </c>
      <c r="Q1473" s="1899">
        <v>40.28</v>
      </c>
    </row>
    <row r="1474" spans="1:17" x14ac:dyDescent="0.25">
      <c r="A1474" s="1896">
        <v>209579</v>
      </c>
      <c r="B1474" s="1897">
        <v>71</v>
      </c>
      <c r="C1474" s="1898" t="s">
        <v>476</v>
      </c>
      <c r="D1474" s="1897">
        <v>8.9600000000000009</v>
      </c>
      <c r="E1474" s="1897">
        <v>2.8559999999999999</v>
      </c>
      <c r="F1474" s="1900">
        <v>1.54</v>
      </c>
      <c r="G1474" s="1901">
        <v>0.44</v>
      </c>
      <c r="H1474" s="1901">
        <v>1.31</v>
      </c>
      <c r="I1474" s="1901">
        <v>0.39</v>
      </c>
      <c r="J1474" s="1901">
        <v>7.79</v>
      </c>
      <c r="K1474" s="1901">
        <v>2.94</v>
      </c>
      <c r="L1474" s="1897">
        <v>41.3</v>
      </c>
      <c r="M1474" s="1899">
        <v>70.52</v>
      </c>
      <c r="N1474" s="1899">
        <v>18.489999999999998</v>
      </c>
      <c r="O1474" s="1899">
        <v>363.45</v>
      </c>
      <c r="P1474" s="1899">
        <v>10096.1</v>
      </c>
      <c r="Q1474" s="1899">
        <v>26.05</v>
      </c>
    </row>
    <row r="1475" spans="1:17" x14ac:dyDescent="0.25">
      <c r="A1475" s="1896">
        <v>209580</v>
      </c>
      <c r="B1475" s="1897">
        <v>61</v>
      </c>
      <c r="C1475" s="1898" t="s">
        <v>476</v>
      </c>
      <c r="D1475" s="1897">
        <v>8.01</v>
      </c>
      <c r="E1475" s="1897">
        <v>1.1619999999999999</v>
      </c>
      <c r="F1475" s="1900">
        <v>1.6251600000000002</v>
      </c>
      <c r="G1475" s="1901">
        <v>0.31</v>
      </c>
      <c r="H1475" s="1901">
        <v>1.33</v>
      </c>
      <c r="I1475" s="1901">
        <v>0.43</v>
      </c>
      <c r="J1475" s="1901">
        <v>3.53</v>
      </c>
      <c r="K1475" s="1901">
        <v>0.75</v>
      </c>
      <c r="L1475" s="1897">
        <v>50.1</v>
      </c>
      <c r="M1475" s="1899">
        <v>108.65</v>
      </c>
      <c r="N1475" s="1899">
        <v>21.02</v>
      </c>
      <c r="O1475" s="1899">
        <v>421.47</v>
      </c>
      <c r="P1475" s="1899">
        <v>15539.69</v>
      </c>
      <c r="Q1475" s="1899">
        <v>26.01</v>
      </c>
    </row>
    <row r="1476" spans="1:17" x14ac:dyDescent="0.25">
      <c r="A1476" s="1896">
        <v>209581</v>
      </c>
      <c r="B1476" s="1897">
        <v>81</v>
      </c>
      <c r="C1476" s="1898" t="s">
        <v>476</v>
      </c>
      <c r="D1476" s="1897">
        <v>7.57</v>
      </c>
      <c r="E1476" s="1897">
        <v>3.17</v>
      </c>
      <c r="F1476" s="1900">
        <v>3.8947800000000004</v>
      </c>
      <c r="G1476" s="1901">
        <v>1.48</v>
      </c>
      <c r="H1476" s="1901">
        <v>1.74</v>
      </c>
      <c r="I1476" s="1901">
        <v>0.12</v>
      </c>
      <c r="J1476" s="1901">
        <v>6.91</v>
      </c>
      <c r="K1476" s="1901">
        <v>0.44</v>
      </c>
      <c r="L1476" s="1897">
        <v>74</v>
      </c>
      <c r="M1476" s="1899">
        <v>337.12</v>
      </c>
      <c r="N1476" s="1899">
        <v>56.59</v>
      </c>
      <c r="O1476" s="1899">
        <v>284.32</v>
      </c>
      <c r="P1476" s="1899">
        <v>855.41</v>
      </c>
      <c r="Q1476" s="1899">
        <v>26.19</v>
      </c>
    </row>
    <row r="1477" spans="1:17" x14ac:dyDescent="0.25">
      <c r="A1477" s="1896">
        <v>209582</v>
      </c>
      <c r="B1477" s="1897">
        <v>25</v>
      </c>
      <c r="C1477" s="1898" t="s">
        <v>476</v>
      </c>
      <c r="D1477" s="1897">
        <v>8.48</v>
      </c>
      <c r="E1477" s="1897">
        <v>2.8759999999999999</v>
      </c>
      <c r="F1477" s="1900">
        <v>2.3256600000000001</v>
      </c>
      <c r="G1477" s="1901">
        <v>0.68</v>
      </c>
      <c r="H1477" s="1901">
        <v>1.65</v>
      </c>
      <c r="I1477" s="1901">
        <v>0.44</v>
      </c>
      <c r="J1477" s="1901">
        <v>3.34</v>
      </c>
      <c r="K1477" s="1901">
        <v>0.5</v>
      </c>
      <c r="L1477" s="1897">
        <v>70.8</v>
      </c>
      <c r="M1477" s="1899">
        <v>218.21</v>
      </c>
      <c r="N1477" s="1899">
        <v>41.93</v>
      </c>
      <c r="O1477" s="1899">
        <v>332.63</v>
      </c>
      <c r="P1477" s="1899">
        <v>3465.79</v>
      </c>
      <c r="Q1477" s="1899">
        <v>26.09</v>
      </c>
    </row>
    <row r="1478" spans="1:17" x14ac:dyDescent="0.25">
      <c r="A1478" s="37">
        <v>109000</v>
      </c>
      <c r="B1478" s="34">
        <v>35</v>
      </c>
      <c r="C1478" s="1886" t="s">
        <v>476</v>
      </c>
      <c r="D1478" s="1886">
        <v>8.68</v>
      </c>
      <c r="E1478" s="1886">
        <v>1.86</v>
      </c>
      <c r="F1478" s="41">
        <v>1.9894200000000002</v>
      </c>
      <c r="G1478" s="1882">
        <v>0.57999999999999996</v>
      </c>
      <c r="H1478" s="1882">
        <v>1.49</v>
      </c>
      <c r="I1478" s="1882">
        <v>0.28000000000000003</v>
      </c>
      <c r="J1478" s="1882">
        <v>6.42</v>
      </c>
      <c r="K1478" s="1882">
        <v>1.0900000000000001</v>
      </c>
      <c r="L1478" s="1886">
        <v>58.6</v>
      </c>
      <c r="M1478" s="795">
        <v>125.12</v>
      </c>
      <c r="N1478" s="795">
        <v>37.96</v>
      </c>
      <c r="O1478" s="795">
        <v>360.17</v>
      </c>
      <c r="P1478" s="795">
        <v>10055.02</v>
      </c>
      <c r="Q1478" s="795">
        <v>30.85</v>
      </c>
    </row>
    <row r="1479" spans="1:17" x14ac:dyDescent="0.25">
      <c r="A1479" s="37">
        <v>109001</v>
      </c>
      <c r="B1479" s="34">
        <v>72</v>
      </c>
      <c r="C1479" s="1886" t="s">
        <v>476</v>
      </c>
      <c r="D1479" s="1886">
        <v>8.81</v>
      </c>
      <c r="E1479" s="1886">
        <v>1.23</v>
      </c>
      <c r="F1479" s="41">
        <v>1.4290200000000002</v>
      </c>
      <c r="G1479" s="1882">
        <v>0.35</v>
      </c>
      <c r="H1479" s="1882">
        <v>1.64</v>
      </c>
      <c r="I1479" s="1882">
        <v>0.13</v>
      </c>
      <c r="J1479" s="1882">
        <v>7.76</v>
      </c>
      <c r="K1479" s="1882">
        <v>2.87</v>
      </c>
      <c r="L1479" s="1886">
        <v>34.799999999999997</v>
      </c>
      <c r="M1479" s="795">
        <v>81.239999999999995</v>
      </c>
      <c r="N1479" s="795">
        <v>20.37</v>
      </c>
      <c r="O1479" s="795">
        <v>670.99</v>
      </c>
      <c r="P1479" s="795">
        <v>19468.57</v>
      </c>
      <c r="Q1479" s="795">
        <v>45.35</v>
      </c>
    </row>
    <row r="1480" spans="1:17" x14ac:dyDescent="0.25">
      <c r="A1480" s="37">
        <v>109002</v>
      </c>
      <c r="B1480" s="34">
        <v>63</v>
      </c>
      <c r="C1480" s="1886" t="s">
        <v>476</v>
      </c>
      <c r="D1480" s="1886">
        <v>6.51</v>
      </c>
      <c r="E1480" s="1886">
        <v>6.3</v>
      </c>
      <c r="F1480" s="41">
        <v>4.3430999999999997</v>
      </c>
      <c r="G1480" s="1882">
        <v>1.46</v>
      </c>
      <c r="H1480" s="1882">
        <v>3</v>
      </c>
      <c r="I1480" s="1882">
        <v>0.46</v>
      </c>
      <c r="J1480" s="1882">
        <v>4.1500000000000004</v>
      </c>
      <c r="K1480" s="1882">
        <v>1.03</v>
      </c>
      <c r="L1480" s="1886">
        <v>69.8</v>
      </c>
      <c r="M1480" s="795">
        <v>380.95</v>
      </c>
      <c r="N1480" s="795">
        <v>102.12</v>
      </c>
      <c r="O1480" s="795">
        <v>555.83000000000004</v>
      </c>
      <c r="P1480" s="795">
        <v>4136.99</v>
      </c>
      <c r="Q1480" s="795">
        <v>49.49</v>
      </c>
    </row>
    <row r="1481" spans="1:17" x14ac:dyDescent="0.25">
      <c r="A1481" s="37">
        <v>109003</v>
      </c>
      <c r="B1481" s="34">
        <v>97</v>
      </c>
      <c r="C1481" s="1886" t="s">
        <v>477</v>
      </c>
      <c r="D1481" s="1886">
        <v>11.65</v>
      </c>
      <c r="E1481" s="1886">
        <v>35.6</v>
      </c>
      <c r="F1481" s="41">
        <v>0.30821999999999999</v>
      </c>
      <c r="G1481" s="1882">
        <v>1.28</v>
      </c>
      <c r="H1481" s="1882">
        <v>22.07</v>
      </c>
      <c r="I1481" s="1882">
        <v>2</v>
      </c>
      <c r="J1481" s="1882">
        <v>10.34</v>
      </c>
      <c r="K1481" s="1882">
        <v>1.54</v>
      </c>
      <c r="L1481" s="1886">
        <v>8.1</v>
      </c>
      <c r="M1481" s="795">
        <v>846.49</v>
      </c>
      <c r="N1481" s="795">
        <v>268.45999999999998</v>
      </c>
      <c r="O1481" s="795">
        <v>1214.8399999999999</v>
      </c>
      <c r="P1481" s="795">
        <v>15252.74</v>
      </c>
      <c r="Q1481" s="795">
        <v>375.22</v>
      </c>
    </row>
    <row r="1482" spans="1:17" x14ac:dyDescent="0.25">
      <c r="A1482" s="37">
        <v>109004</v>
      </c>
      <c r="B1482" s="34">
        <v>66</v>
      </c>
      <c r="C1482" s="1886" t="s">
        <v>476</v>
      </c>
      <c r="D1482" s="1886"/>
      <c r="E1482" s="1886"/>
      <c r="F1482" s="41"/>
      <c r="G1482" s="1882"/>
      <c r="H1482" s="1882"/>
      <c r="I1482" s="1882"/>
      <c r="J1482" s="1882"/>
      <c r="K1482" s="1882"/>
      <c r="L1482" s="1886">
        <v>42.5</v>
      </c>
      <c r="M1482" s="795"/>
      <c r="N1482" s="795"/>
      <c r="O1482" s="795"/>
      <c r="P1482" s="795"/>
      <c r="Q1482" s="795"/>
    </row>
    <row r="1483" spans="1:17" s="1673" customFormat="1" x14ac:dyDescent="0.25">
      <c r="A1483" s="1671">
        <v>109005</v>
      </c>
      <c r="B1483" s="1672">
        <v>67</v>
      </c>
      <c r="C1483" s="1673" t="s">
        <v>477</v>
      </c>
      <c r="D1483" s="1673">
        <v>9.5299999999999994</v>
      </c>
      <c r="E1483" s="1673">
        <v>22.21</v>
      </c>
      <c r="F1483" s="1673">
        <v>2.44</v>
      </c>
      <c r="G1483" s="890">
        <v>1.31</v>
      </c>
      <c r="H1483" s="890">
        <v>8.0399999999999991</v>
      </c>
      <c r="I1483" s="890">
        <v>0.95</v>
      </c>
      <c r="J1483" s="890">
        <v>6</v>
      </c>
      <c r="K1483" s="890">
        <v>0.98</v>
      </c>
      <c r="L1483" s="1673">
        <v>44.4</v>
      </c>
      <c r="M1483" s="890">
        <v>425.21</v>
      </c>
      <c r="N1483" s="890">
        <v>133.88</v>
      </c>
      <c r="O1483" s="890">
        <v>608.72</v>
      </c>
      <c r="P1483" s="890">
        <v>9526.48</v>
      </c>
      <c r="Q1483" s="890">
        <v>136.69</v>
      </c>
    </row>
    <row r="1484" spans="1:17" s="1673" customFormat="1" x14ac:dyDescent="0.25">
      <c r="A1484" s="1671">
        <v>109006</v>
      </c>
      <c r="B1484" s="1672">
        <v>64</v>
      </c>
      <c r="C1484" s="1673" t="s">
        <v>477</v>
      </c>
      <c r="D1484" s="1673">
        <v>9.19</v>
      </c>
      <c r="E1484" s="1673">
        <v>5.75</v>
      </c>
      <c r="F1484" s="1673">
        <v>1.79</v>
      </c>
      <c r="G1484" s="1673">
        <v>0.79</v>
      </c>
      <c r="H1484" s="1673">
        <v>2.85</v>
      </c>
      <c r="I1484" s="1673">
        <v>0.48</v>
      </c>
      <c r="J1484" s="1673">
        <v>5.86</v>
      </c>
      <c r="K1484" s="1673">
        <v>0.98</v>
      </c>
      <c r="L1484" s="1673">
        <v>44.8</v>
      </c>
      <c r="M1484" s="1673">
        <v>174.93</v>
      </c>
      <c r="N1484" s="1673">
        <v>52.88</v>
      </c>
      <c r="O1484" s="1673">
        <v>481.38</v>
      </c>
      <c r="P1484" s="1673">
        <v>14229.65</v>
      </c>
      <c r="Q1484" s="1673">
        <v>51.86</v>
      </c>
    </row>
    <row r="1485" spans="1:17" x14ac:dyDescent="0.25">
      <c r="A1485" s="1671">
        <v>109007</v>
      </c>
      <c r="B1485" s="34">
        <v>62</v>
      </c>
      <c r="C1485" s="35" t="s">
        <v>476</v>
      </c>
      <c r="D1485" s="35">
        <v>9.4700000000000006</v>
      </c>
      <c r="E1485" s="35">
        <v>4.6500000000000004</v>
      </c>
      <c r="F1485" s="36">
        <v>1.79328</v>
      </c>
      <c r="G1485" s="35">
        <v>0.67</v>
      </c>
      <c r="H1485" s="35">
        <v>2.6</v>
      </c>
      <c r="I1485" s="35">
        <v>0.49</v>
      </c>
      <c r="J1485" s="35">
        <v>7.08</v>
      </c>
      <c r="K1485" s="35">
        <v>1.77</v>
      </c>
      <c r="L1485" s="35">
        <v>39.700000000000003</v>
      </c>
      <c r="M1485" s="35">
        <v>148.13</v>
      </c>
      <c r="N1485" s="35">
        <v>42.7</v>
      </c>
      <c r="O1485" s="35">
        <v>460.09</v>
      </c>
      <c r="P1485" s="35">
        <v>13560.82</v>
      </c>
      <c r="Q1485" s="35">
        <v>52.06</v>
      </c>
    </row>
    <row r="1486" spans="1:17" x14ac:dyDescent="0.25">
      <c r="A1486" s="1671">
        <v>109008</v>
      </c>
      <c r="B1486" s="34">
        <v>70</v>
      </c>
      <c r="C1486" s="35" t="s">
        <v>476</v>
      </c>
      <c r="D1486" s="35">
        <v>9.52</v>
      </c>
      <c r="E1486" s="35">
        <v>23.85</v>
      </c>
      <c r="F1486" s="36">
        <v>2.7179400000000005</v>
      </c>
      <c r="G1486" s="35">
        <v>1.44</v>
      </c>
      <c r="H1486" s="35">
        <v>9.92</v>
      </c>
      <c r="I1486" s="35">
        <v>0.98</v>
      </c>
      <c r="J1486" s="35">
        <v>5.79</v>
      </c>
      <c r="K1486" s="35">
        <v>1.07</v>
      </c>
      <c r="L1486" s="35">
        <v>49.6</v>
      </c>
      <c r="M1486" s="35">
        <v>507.27</v>
      </c>
      <c r="N1486" s="35">
        <v>150.91999999999999</v>
      </c>
      <c r="O1486" s="35">
        <v>667.18</v>
      </c>
      <c r="P1486" s="35">
        <v>7057.06</v>
      </c>
      <c r="Q1486" s="35">
        <v>161.47</v>
      </c>
    </row>
    <row r="1487" spans="1:17" s="1355" customFormat="1" x14ac:dyDescent="0.25">
      <c r="A1487" s="1353">
        <v>109009</v>
      </c>
      <c r="B1487" s="1354">
        <v>92</v>
      </c>
      <c r="C1487" s="1355" t="s">
        <v>477</v>
      </c>
      <c r="D1487" s="1355">
        <v>8.91</v>
      </c>
      <c r="E1487" s="1355">
        <v>4.88</v>
      </c>
      <c r="F1487" s="1480">
        <v>1.6251600000000002</v>
      </c>
      <c r="G1487" s="1355">
        <v>0.33400000000000002</v>
      </c>
      <c r="H1487" s="1355">
        <v>1.806</v>
      </c>
      <c r="I1487" s="1355">
        <v>1.175</v>
      </c>
      <c r="J1487" s="1355">
        <v>4.05</v>
      </c>
      <c r="K1487" s="1355">
        <v>0.95099999999999996</v>
      </c>
      <c r="L1487" s="1355">
        <v>59.3</v>
      </c>
      <c r="M1487" s="1355">
        <v>42</v>
      </c>
      <c r="N1487" s="1355">
        <v>10.28</v>
      </c>
      <c r="O1487" s="1355">
        <v>133.44</v>
      </c>
      <c r="P1487" s="1355">
        <v>3766.55</v>
      </c>
      <c r="Q1487" s="1355">
        <v>49.84</v>
      </c>
    </row>
    <row r="1488" spans="1:17" s="1355" customFormat="1" x14ac:dyDescent="0.25">
      <c r="A1488" s="1353">
        <v>109010</v>
      </c>
      <c r="B1488" s="1354">
        <v>51</v>
      </c>
      <c r="C1488" s="1355" t="s">
        <v>477</v>
      </c>
      <c r="D1488" s="1355">
        <v>8.5500000000000007</v>
      </c>
      <c r="E1488" s="1355">
        <v>4.4400000000000004</v>
      </c>
      <c r="F1488" s="1480">
        <v>1.79328</v>
      </c>
      <c r="G1488" s="1355">
        <v>0.71299999999999997</v>
      </c>
      <c r="H1488" s="1355">
        <v>2.3220000000000001</v>
      </c>
      <c r="I1488" s="1355">
        <v>0.498</v>
      </c>
      <c r="J1488" s="1355">
        <v>5.01</v>
      </c>
      <c r="K1488" s="1355">
        <v>0.877</v>
      </c>
      <c r="L1488" s="1355">
        <v>43.2</v>
      </c>
      <c r="M1488" s="1355">
        <v>138.19</v>
      </c>
      <c r="N1488" s="1355">
        <v>40.43</v>
      </c>
      <c r="O1488" s="1355">
        <v>332.41</v>
      </c>
      <c r="P1488" s="1355">
        <v>9848.56</v>
      </c>
      <c r="Q1488" s="1355">
        <v>39.51</v>
      </c>
    </row>
    <row r="1489" spans="1:17" s="1355" customFormat="1" ht="30" customHeight="1" x14ac:dyDescent="0.25">
      <c r="A1489" s="1353">
        <v>109011</v>
      </c>
      <c r="B1489" s="1354">
        <v>64</v>
      </c>
      <c r="C1489" s="1355" t="s">
        <v>477</v>
      </c>
      <c r="D1489" s="1355">
        <v>7.93</v>
      </c>
      <c r="E1489" s="1355">
        <v>7.34</v>
      </c>
      <c r="F1489" s="1480">
        <v>3.1662599999999999</v>
      </c>
      <c r="G1489" s="1355">
        <v>1.3140000000000001</v>
      </c>
      <c r="H1489" s="1355">
        <v>2.6629999999999998</v>
      </c>
      <c r="I1489" s="1355">
        <v>0.432</v>
      </c>
      <c r="J1489" s="1355">
        <v>4.0999999999999996</v>
      </c>
      <c r="K1489" s="1355">
        <v>0.89500000000000002</v>
      </c>
      <c r="L1489" s="1355">
        <v>63.4</v>
      </c>
      <c r="M1489" s="1355">
        <v>316.89</v>
      </c>
      <c r="N1489" s="1355">
        <v>105.85</v>
      </c>
      <c r="O1489" s="1355">
        <v>458.41</v>
      </c>
      <c r="P1489" s="1355">
        <v>5497.73</v>
      </c>
      <c r="Q1489" s="1355">
        <v>44.1</v>
      </c>
    </row>
    <row r="1490" spans="1:17" s="1355" customFormat="1" x14ac:dyDescent="0.25">
      <c r="A1490" s="1353">
        <v>109012</v>
      </c>
      <c r="B1490" s="1354">
        <v>79</v>
      </c>
      <c r="C1490" s="1355" t="s">
        <v>477</v>
      </c>
      <c r="D1490" s="1355">
        <v>7.54</v>
      </c>
      <c r="E1490" s="1355">
        <v>6.09</v>
      </c>
      <c r="F1490" s="1480">
        <v>4.1749799999999997</v>
      </c>
      <c r="G1490" s="1355">
        <v>1.373</v>
      </c>
      <c r="H1490" s="1355">
        <v>2.1</v>
      </c>
      <c r="I1490" s="1355">
        <v>0.23400000000000001</v>
      </c>
      <c r="J1490" s="1355">
        <v>5.45</v>
      </c>
      <c r="K1490" s="1355">
        <v>0.53300000000000003</v>
      </c>
      <c r="L1490" s="1355">
        <v>69.7</v>
      </c>
      <c r="M1490" s="1355">
        <v>281.10000000000002</v>
      </c>
      <c r="N1490" s="1355">
        <v>48.53</v>
      </c>
      <c r="O1490" s="1355">
        <v>291.14</v>
      </c>
      <c r="P1490" s="1355">
        <v>1891.2</v>
      </c>
      <c r="Q1490" s="1355">
        <v>30.47</v>
      </c>
    </row>
    <row r="1491" spans="1:17" x14ac:dyDescent="0.25">
      <c r="A1491" s="37">
        <v>109014</v>
      </c>
      <c r="B1491" s="34">
        <v>65</v>
      </c>
      <c r="C1491" s="35" t="s">
        <v>477</v>
      </c>
      <c r="D1491" s="35">
        <v>7.34</v>
      </c>
      <c r="E1491" s="35">
        <v>9.2200000000000006</v>
      </c>
      <c r="F1491" s="35">
        <v>2.5499999999999998</v>
      </c>
      <c r="G1491" s="35">
        <v>2.96</v>
      </c>
      <c r="H1491" s="35">
        <v>2.68</v>
      </c>
      <c r="I1491" s="35">
        <v>0.51</v>
      </c>
      <c r="J1491" s="35">
        <v>8.92</v>
      </c>
      <c r="K1491" s="35">
        <v>0.86</v>
      </c>
      <c r="L1491" s="35">
        <v>51.4</v>
      </c>
      <c r="M1491" s="35">
        <v>338.85</v>
      </c>
      <c r="N1491" s="35">
        <v>95.11</v>
      </c>
      <c r="O1491" s="35">
        <v>494.85</v>
      </c>
      <c r="P1491" s="35">
        <v>6025.45</v>
      </c>
      <c r="Q1491" s="35">
        <v>54.06</v>
      </c>
    </row>
    <row r="1492" spans="1:17" s="651" customFormat="1" x14ac:dyDescent="0.25">
      <c r="A1492" s="1247">
        <v>109015</v>
      </c>
      <c r="B1492" s="1248">
        <v>63</v>
      </c>
      <c r="C1492" s="651" t="s">
        <v>477</v>
      </c>
      <c r="L1492" s="651">
        <v>37.6</v>
      </c>
    </row>
    <row r="1493" spans="1:17" x14ac:dyDescent="0.25">
      <c r="A1493" s="37">
        <v>109016</v>
      </c>
      <c r="B1493" s="34">
        <v>61</v>
      </c>
      <c r="C1493" s="35" t="s">
        <v>477</v>
      </c>
      <c r="D1493" s="35">
        <v>9.4499999999999993</v>
      </c>
      <c r="E1493" s="35">
        <v>5.47</v>
      </c>
      <c r="F1493" s="36">
        <v>1.48506</v>
      </c>
      <c r="G1493" s="35">
        <v>0.68</v>
      </c>
      <c r="H1493" s="35">
        <v>2.86</v>
      </c>
      <c r="I1493" s="35">
        <v>0.48</v>
      </c>
      <c r="J1493" s="35">
        <v>6.41</v>
      </c>
      <c r="K1493" s="35">
        <v>1.41</v>
      </c>
      <c r="L1493" s="35">
        <v>38</v>
      </c>
    </row>
    <row r="1494" spans="1:17" x14ac:dyDescent="0.25">
      <c r="A1494" s="37">
        <v>109017</v>
      </c>
      <c r="B1494" s="34">
        <v>64</v>
      </c>
      <c r="C1494" s="35" t="s">
        <v>477</v>
      </c>
      <c r="D1494" s="35">
        <v>9.2100000000000009</v>
      </c>
      <c r="E1494" s="35">
        <v>4.84</v>
      </c>
      <c r="F1494" s="36">
        <v>1.5410999999999999</v>
      </c>
      <c r="G1494" s="35">
        <v>0.64</v>
      </c>
      <c r="H1494" s="35">
        <v>2.71</v>
      </c>
      <c r="I1494" s="35">
        <v>0.45</v>
      </c>
      <c r="J1494" s="35">
        <v>5.86</v>
      </c>
      <c r="K1494" s="35">
        <v>1.36</v>
      </c>
      <c r="L1494" s="35">
        <v>38.799999999999997</v>
      </c>
    </row>
    <row r="1495" spans="1:17" s="651" customFormat="1" x14ac:dyDescent="0.25">
      <c r="A1495" s="1247">
        <v>109018</v>
      </c>
      <c r="B1495" s="1248">
        <v>66</v>
      </c>
      <c r="C1495" s="651" t="s">
        <v>477</v>
      </c>
      <c r="F1495" s="1291"/>
      <c r="L1495" s="651">
        <v>52.4</v>
      </c>
    </row>
    <row r="1496" spans="1:17" x14ac:dyDescent="0.25">
      <c r="A1496" s="37">
        <v>109019</v>
      </c>
      <c r="B1496" s="34">
        <v>58</v>
      </c>
      <c r="C1496" s="35" t="s">
        <v>477</v>
      </c>
      <c r="D1496" s="35">
        <v>6.38</v>
      </c>
      <c r="E1496" s="35">
        <v>1.1399999999999999</v>
      </c>
      <c r="F1496" s="1941">
        <v>1.0927800000000001</v>
      </c>
      <c r="G1496" s="35">
        <v>0.11</v>
      </c>
      <c r="H1496" s="35">
        <v>0.99</v>
      </c>
      <c r="I1496" s="35">
        <v>0.1</v>
      </c>
      <c r="J1496" s="35">
        <v>2.38</v>
      </c>
      <c r="K1496" s="35">
        <v>0.23</v>
      </c>
      <c r="L1496" s="35">
        <v>84.9</v>
      </c>
    </row>
    <row r="1497" spans="1:17" x14ac:dyDescent="0.25">
      <c r="A1497" s="37">
        <v>109020</v>
      </c>
      <c r="B1497" s="34">
        <v>69</v>
      </c>
      <c r="C1497" s="35" t="s">
        <v>477</v>
      </c>
      <c r="D1497" s="35">
        <v>8.14</v>
      </c>
      <c r="E1497" s="35">
        <v>7.93</v>
      </c>
      <c r="F1497" s="35">
        <v>2.61</v>
      </c>
      <c r="G1497" s="35">
        <v>3.48</v>
      </c>
      <c r="H1497" s="35">
        <v>2.39</v>
      </c>
      <c r="I1497" s="35">
        <v>0.53</v>
      </c>
      <c r="J1497" s="35">
        <v>10.59</v>
      </c>
      <c r="K1497" s="35">
        <v>0.85</v>
      </c>
      <c r="L1497" s="35">
        <v>46.3</v>
      </c>
    </row>
    <row r="1498" spans="1:17" s="651" customFormat="1" x14ac:dyDescent="0.25">
      <c r="A1498" s="1247">
        <v>109021</v>
      </c>
      <c r="B1498" s="1248">
        <v>62</v>
      </c>
      <c r="C1498" s="651" t="s">
        <v>476</v>
      </c>
      <c r="L1498" s="651">
        <v>36.9</v>
      </c>
    </row>
    <row r="1499" spans="1:17" s="651" customFormat="1" x14ac:dyDescent="0.25">
      <c r="A1499" s="1247">
        <v>109022</v>
      </c>
      <c r="B1499" s="1248">
        <v>65</v>
      </c>
      <c r="C1499" s="651" t="s">
        <v>476</v>
      </c>
      <c r="L1499" s="651">
        <v>39.5</v>
      </c>
    </row>
    <row r="1500" spans="1:17" x14ac:dyDescent="0.25">
      <c r="A1500" s="37">
        <v>109023</v>
      </c>
      <c r="B1500" s="34">
        <v>48</v>
      </c>
      <c r="C1500" s="35" t="s">
        <v>477</v>
      </c>
      <c r="D1500" s="35">
        <v>9.33</v>
      </c>
      <c r="E1500" s="35">
        <v>2.5299999999999998</v>
      </c>
      <c r="F1500" s="36">
        <v>1.5410999999999999</v>
      </c>
      <c r="G1500" s="35">
        <v>0.72</v>
      </c>
      <c r="H1500" s="35">
        <v>2.14</v>
      </c>
      <c r="I1500" s="35">
        <v>0.42</v>
      </c>
      <c r="J1500" s="35">
        <v>7.01</v>
      </c>
      <c r="K1500" s="35">
        <v>1.94</v>
      </c>
      <c r="L1500" s="35">
        <v>48.2</v>
      </c>
    </row>
    <row r="1501" spans="1:17" x14ac:dyDescent="0.25">
      <c r="A1501" s="37">
        <v>109024</v>
      </c>
      <c r="B1501" s="34">
        <v>61</v>
      </c>
      <c r="C1501" s="35" t="s">
        <v>477</v>
      </c>
      <c r="D1501" s="35">
        <v>7.4</v>
      </c>
      <c r="E1501" s="35">
        <v>7.41</v>
      </c>
      <c r="F1501" s="36">
        <v>3.4464600000000001</v>
      </c>
      <c r="G1501" s="35">
        <v>1.42</v>
      </c>
      <c r="H1501" s="35">
        <v>2.56</v>
      </c>
      <c r="I1501" s="35">
        <v>0.32</v>
      </c>
      <c r="J1501" s="35">
        <v>4.32</v>
      </c>
      <c r="K1501" s="35">
        <v>0.95</v>
      </c>
      <c r="L1501" s="35">
        <v>72.8</v>
      </c>
    </row>
    <row r="1502" spans="1:17" x14ac:dyDescent="0.25">
      <c r="A1502" s="37">
        <v>109025</v>
      </c>
      <c r="B1502" s="34">
        <v>60</v>
      </c>
      <c r="C1502" s="35" t="s">
        <v>477</v>
      </c>
      <c r="D1502" s="35">
        <v>8.2899999999999991</v>
      </c>
      <c r="E1502" s="35">
        <v>7.1</v>
      </c>
      <c r="F1502" s="36">
        <v>3.3063600000000002</v>
      </c>
      <c r="G1502" s="35">
        <v>1.3</v>
      </c>
      <c r="H1502" s="35">
        <v>2.94</v>
      </c>
      <c r="I1502" s="35">
        <v>0.5</v>
      </c>
      <c r="J1502" s="35">
        <v>4.99</v>
      </c>
      <c r="K1502" s="35">
        <v>1.05</v>
      </c>
      <c r="L1502" s="35">
        <v>61.3</v>
      </c>
    </row>
    <row r="1503" spans="1:17" x14ac:dyDescent="0.25">
      <c r="A1503" s="37">
        <v>109026</v>
      </c>
      <c r="B1503" s="34">
        <v>64</v>
      </c>
      <c r="C1503" s="35" t="s">
        <v>187</v>
      </c>
      <c r="L1503" s="35">
        <v>46.2</v>
      </c>
    </row>
    <row r="1504" spans="1:17" x14ac:dyDescent="0.25">
      <c r="A1504" s="37">
        <v>109027</v>
      </c>
      <c r="B1504" s="34">
        <v>70</v>
      </c>
      <c r="C1504" s="35" t="s">
        <v>187</v>
      </c>
      <c r="L1504" s="35">
        <v>46</v>
      </c>
    </row>
    <row r="1505" spans="1:12" x14ac:dyDescent="0.25">
      <c r="A1505" s="37">
        <v>109029</v>
      </c>
      <c r="B1505" s="34">
        <v>76</v>
      </c>
      <c r="C1505" s="35" t="s">
        <v>476</v>
      </c>
      <c r="L1505" s="35">
        <v>44.8</v>
      </c>
    </row>
    <row r="1506" spans="1:12" x14ac:dyDescent="0.25">
      <c r="A1506" s="37">
        <v>109030</v>
      </c>
      <c r="B1506" s="34">
        <v>72</v>
      </c>
      <c r="C1506" s="35" t="s">
        <v>476</v>
      </c>
      <c r="L1506" s="35">
        <v>42.7</v>
      </c>
    </row>
    <row r="1507" spans="1:12" x14ac:dyDescent="0.25">
      <c r="A1507" s="37">
        <v>109031</v>
      </c>
      <c r="B1507" s="34">
        <v>63</v>
      </c>
      <c r="C1507" s="35" t="s">
        <v>476</v>
      </c>
      <c r="D1507" s="35">
        <v>9.59</v>
      </c>
      <c r="E1507" s="35">
        <v>8.4499999999999993</v>
      </c>
      <c r="F1507" s="35">
        <v>2.2400000000000002</v>
      </c>
      <c r="G1507" s="35">
        <v>0.89</v>
      </c>
      <c r="H1507" s="35">
        <v>4.2300000000000004</v>
      </c>
      <c r="I1507" s="35">
        <v>0.63</v>
      </c>
      <c r="J1507" s="35">
        <v>6.32</v>
      </c>
      <c r="K1507" s="35">
        <v>1.4</v>
      </c>
      <c r="L1507" s="35">
        <v>42.7</v>
      </c>
    </row>
    <row r="1508" spans="1:12" x14ac:dyDescent="0.25">
      <c r="A1508" s="37">
        <v>109032</v>
      </c>
      <c r="B1508" s="34">
        <v>70</v>
      </c>
      <c r="C1508" s="35" t="s">
        <v>476</v>
      </c>
      <c r="D1508" s="35">
        <v>9.25</v>
      </c>
      <c r="E1508" s="35">
        <v>6.64</v>
      </c>
      <c r="F1508" s="36">
        <v>1.7652600000000003</v>
      </c>
      <c r="G1508" s="35">
        <v>2.29</v>
      </c>
      <c r="H1508" s="35">
        <v>2.66</v>
      </c>
      <c r="I1508" s="35">
        <v>0.5</v>
      </c>
      <c r="J1508" s="35">
        <v>9.39</v>
      </c>
      <c r="K1508" s="35">
        <v>1</v>
      </c>
      <c r="L1508" s="35">
        <v>38</v>
      </c>
    </row>
    <row r="1509" spans="1:12" x14ac:dyDescent="0.25">
      <c r="A1509" s="37">
        <v>109033</v>
      </c>
      <c r="B1509" s="34">
        <v>68</v>
      </c>
      <c r="C1509" s="35" t="s">
        <v>476</v>
      </c>
      <c r="D1509" s="35">
        <v>9.58</v>
      </c>
      <c r="E1509" s="35">
        <v>5.49</v>
      </c>
      <c r="F1509" s="36">
        <v>1.79328</v>
      </c>
      <c r="G1509" s="35">
        <v>0.66</v>
      </c>
      <c r="H1509" s="35">
        <v>2.92</v>
      </c>
      <c r="I1509" s="35">
        <v>0.48</v>
      </c>
      <c r="J1509" s="35">
        <v>6.28</v>
      </c>
      <c r="K1509" s="35">
        <v>1.05</v>
      </c>
      <c r="L1509" s="35">
        <v>37.700000000000003</v>
      </c>
    </row>
    <row r="1510" spans="1:12" x14ac:dyDescent="0.25">
      <c r="A1510" s="37">
        <v>109034</v>
      </c>
      <c r="B1510" s="34">
        <v>63</v>
      </c>
      <c r="C1510" s="35" t="s">
        <v>476</v>
      </c>
      <c r="D1510" s="35">
        <v>9.6999999999999993</v>
      </c>
      <c r="E1510" s="35">
        <v>1.58</v>
      </c>
      <c r="F1510" s="36">
        <v>1.9053600000000002</v>
      </c>
      <c r="G1510" s="35">
        <v>0.55000000000000004</v>
      </c>
      <c r="H1510" s="35">
        <v>1.51</v>
      </c>
      <c r="I1510" s="35">
        <v>0.09</v>
      </c>
      <c r="J1510" s="35">
        <v>6.37</v>
      </c>
      <c r="K1510" s="35">
        <v>0.41</v>
      </c>
      <c r="L1510" s="35">
        <v>54.8</v>
      </c>
    </row>
    <row r="1511" spans="1:12" x14ac:dyDescent="0.25">
      <c r="A1511" s="37">
        <v>109035</v>
      </c>
      <c r="B1511" s="34">
        <v>68</v>
      </c>
      <c r="C1511" s="35" t="s">
        <v>476</v>
      </c>
      <c r="L1511" s="35">
        <v>41.6</v>
      </c>
    </row>
    <row r="1512" spans="1:12" x14ac:dyDescent="0.25">
      <c r="A1512" s="37">
        <v>109036</v>
      </c>
      <c r="B1512" s="34">
        <v>70</v>
      </c>
      <c r="C1512" s="35" t="s">
        <v>476</v>
      </c>
      <c r="D1512" s="35">
        <v>9.1</v>
      </c>
      <c r="E1512" s="35">
        <v>7.2</v>
      </c>
      <c r="F1512" s="35">
        <v>1.77</v>
      </c>
      <c r="G1512" s="35">
        <v>1.95</v>
      </c>
      <c r="H1512" s="35">
        <v>2.86</v>
      </c>
      <c r="I1512" s="35">
        <v>0.51</v>
      </c>
      <c r="J1512" s="35">
        <v>8.56</v>
      </c>
      <c r="K1512" s="35">
        <v>1.03</v>
      </c>
      <c r="L1512" s="35">
        <v>39.299999999999997</v>
      </c>
    </row>
    <row r="1513" spans="1:12" x14ac:dyDescent="0.25">
      <c r="A1513" s="37">
        <v>109037</v>
      </c>
      <c r="B1513" s="34">
        <v>67</v>
      </c>
      <c r="C1513" s="35" t="s">
        <v>476</v>
      </c>
      <c r="L1513" s="35">
        <v>57.1</v>
      </c>
    </row>
    <row r="1514" spans="1:12" x14ac:dyDescent="0.25">
      <c r="A1514" s="37">
        <v>109038</v>
      </c>
      <c r="B1514" s="34">
        <v>2.86</v>
      </c>
      <c r="C1514" s="35" t="s">
        <v>477</v>
      </c>
      <c r="G1514" s="35">
        <v>10.75</v>
      </c>
    </row>
    <row r="1515" spans="1:12" x14ac:dyDescent="0.25">
      <c r="A1515" s="37">
        <v>109039</v>
      </c>
      <c r="B1515" s="34">
        <v>64</v>
      </c>
      <c r="C1515" s="35" t="s">
        <v>476</v>
      </c>
      <c r="D1515" s="35">
        <v>9.0399999999999991</v>
      </c>
      <c r="E1515" s="35">
        <v>5.93</v>
      </c>
      <c r="F1515" s="36">
        <v>1.87734</v>
      </c>
      <c r="G1515" s="35">
        <v>0.71</v>
      </c>
      <c r="H1515" s="35">
        <v>2.89</v>
      </c>
      <c r="I1515" s="35">
        <v>0.49</v>
      </c>
      <c r="J1515" s="35">
        <v>6.72</v>
      </c>
      <c r="K1515" s="35">
        <v>1.5</v>
      </c>
      <c r="L1515" s="35">
        <v>38.6</v>
      </c>
    </row>
    <row r="1516" spans="1:12" x14ac:dyDescent="0.25">
      <c r="A1516" s="37">
        <v>109040</v>
      </c>
      <c r="B1516" s="34">
        <v>72</v>
      </c>
      <c r="C1516" s="35" t="s">
        <v>476</v>
      </c>
      <c r="D1516" s="35">
        <v>10.039999999999999</v>
      </c>
      <c r="E1516" s="35">
        <v>18.690000000000001</v>
      </c>
      <c r="F1516" s="36">
        <v>1.5691200000000003</v>
      </c>
      <c r="G1516" s="35">
        <v>1.66</v>
      </c>
      <c r="H1516" s="35">
        <v>6.84</v>
      </c>
      <c r="I1516" s="35">
        <v>0.64</v>
      </c>
      <c r="J1516" s="35">
        <v>8.5299999999999994</v>
      </c>
      <c r="K1516" s="35">
        <v>1.48</v>
      </c>
      <c r="L1516" s="35">
        <v>37.6</v>
      </c>
    </row>
    <row r="1517" spans="1:12" x14ac:dyDescent="0.25">
      <c r="A1517" s="37">
        <v>109041</v>
      </c>
      <c r="B1517" s="34">
        <v>70</v>
      </c>
      <c r="C1517" s="35" t="s">
        <v>187</v>
      </c>
      <c r="D1517" s="35">
        <v>9.15</v>
      </c>
      <c r="E1517" s="35">
        <v>5.78</v>
      </c>
      <c r="F1517" s="36">
        <v>2.0174400000000001</v>
      </c>
      <c r="G1517" s="35">
        <v>0.76</v>
      </c>
      <c r="H1517" s="35">
        <v>2.5299999999999998</v>
      </c>
      <c r="I1517" s="35">
        <v>0.33</v>
      </c>
      <c r="J1517" s="35">
        <v>6.01</v>
      </c>
      <c r="K1517" s="35">
        <v>0.85</v>
      </c>
      <c r="L1517" s="35">
        <v>49.4</v>
      </c>
    </row>
    <row r="1518" spans="1:12" x14ac:dyDescent="0.25">
      <c r="A1518" s="37">
        <v>109042</v>
      </c>
      <c r="B1518" s="34">
        <v>63</v>
      </c>
      <c r="C1518" s="35" t="s">
        <v>187</v>
      </c>
      <c r="D1518" s="35">
        <v>7.61</v>
      </c>
      <c r="E1518" s="35">
        <v>9.35</v>
      </c>
      <c r="F1518" s="36">
        <v>3.75468</v>
      </c>
      <c r="G1518" s="35">
        <v>1.72</v>
      </c>
      <c r="H1518" s="35">
        <v>3.82</v>
      </c>
      <c r="I1518" s="35">
        <v>0.5</v>
      </c>
      <c r="J1518" s="35">
        <v>5.72</v>
      </c>
      <c r="K1518" s="35">
        <v>1.07</v>
      </c>
      <c r="L1518" s="35">
        <v>65.7</v>
      </c>
    </row>
    <row r="1519" spans="1:12" x14ac:dyDescent="0.25">
      <c r="A1519" s="37">
        <v>109043</v>
      </c>
      <c r="B1519" s="34">
        <v>67</v>
      </c>
      <c r="L1519" s="35">
        <v>40.5</v>
      </c>
    </row>
    <row r="1520" spans="1:12" x14ac:dyDescent="0.25">
      <c r="A1520" s="37">
        <v>109044</v>
      </c>
      <c r="B1520" s="34">
        <v>47</v>
      </c>
      <c r="C1520" s="35" t="s">
        <v>187</v>
      </c>
      <c r="D1520" s="35">
        <v>9.01</v>
      </c>
      <c r="E1520" s="35">
        <v>1.512</v>
      </c>
      <c r="F1520" s="35">
        <v>1.26</v>
      </c>
      <c r="G1520" s="35">
        <v>0.41</v>
      </c>
      <c r="H1520" s="35">
        <v>1.68</v>
      </c>
      <c r="I1520" s="35">
        <v>0.25</v>
      </c>
      <c r="J1520" s="35">
        <v>7.2</v>
      </c>
      <c r="K1520" s="35">
        <v>1.49</v>
      </c>
      <c r="L1520" s="35">
        <v>48.5</v>
      </c>
    </row>
    <row r="1521" spans="1:12" x14ac:dyDescent="0.25">
      <c r="A1521" s="37">
        <v>109045</v>
      </c>
      <c r="B1521" s="34">
        <v>39</v>
      </c>
      <c r="C1521" s="35" t="s">
        <v>187</v>
      </c>
      <c r="D1521" s="35">
        <v>8.9</v>
      </c>
      <c r="E1521" s="35">
        <v>2.6280000000000001</v>
      </c>
      <c r="F1521" s="35">
        <v>1.46</v>
      </c>
      <c r="G1521" s="35">
        <v>0.39</v>
      </c>
      <c r="H1521" s="35">
        <v>2.13</v>
      </c>
      <c r="I1521" s="35">
        <v>0.45</v>
      </c>
      <c r="J1521" s="35">
        <v>6.2</v>
      </c>
      <c r="K1521" s="35">
        <v>0.99</v>
      </c>
      <c r="L1521" s="35">
        <v>47.9</v>
      </c>
    </row>
    <row r="1522" spans="1:12" x14ac:dyDescent="0.25">
      <c r="A1522" s="37">
        <v>109046</v>
      </c>
      <c r="B1522" s="34">
        <v>39</v>
      </c>
      <c r="C1522" s="35" t="s">
        <v>187</v>
      </c>
      <c r="D1522" s="35">
        <v>8.75</v>
      </c>
      <c r="E1522" s="35">
        <v>2.1419999999999999</v>
      </c>
      <c r="F1522" s="35">
        <v>1.26</v>
      </c>
      <c r="G1522" s="35">
        <v>0.42</v>
      </c>
      <c r="H1522" s="35">
        <v>1.64</v>
      </c>
      <c r="I1522" s="35">
        <v>0.26</v>
      </c>
      <c r="J1522" s="35">
        <v>4.51</v>
      </c>
      <c r="K1522" s="35">
        <v>0.67</v>
      </c>
      <c r="L1522" s="35">
        <v>67.099999999999994</v>
      </c>
    </row>
    <row r="1523" spans="1:12" x14ac:dyDescent="0.25">
      <c r="A1523" s="37">
        <v>109047</v>
      </c>
      <c r="B1523" s="34">
        <v>39</v>
      </c>
      <c r="C1523" s="35" t="s">
        <v>187</v>
      </c>
      <c r="D1523" s="35">
        <v>8.74</v>
      </c>
      <c r="E1523" s="35">
        <v>2.04</v>
      </c>
      <c r="F1523" s="35">
        <v>1.68</v>
      </c>
      <c r="G1523" s="35">
        <v>0.42</v>
      </c>
      <c r="H1523" s="35">
        <v>1.46</v>
      </c>
      <c r="I1523" s="35">
        <v>0.28999999999999998</v>
      </c>
      <c r="J1523" s="35">
        <v>3.75</v>
      </c>
      <c r="K1523" s="35">
        <v>0.81</v>
      </c>
      <c r="L1523" s="35">
        <v>65.900000000000006</v>
      </c>
    </row>
    <row r="1524" spans="1:12" x14ac:dyDescent="0.25">
      <c r="A1524" s="37">
        <v>109048</v>
      </c>
      <c r="B1524" s="34">
        <v>42</v>
      </c>
      <c r="C1524" s="35" t="s">
        <v>187</v>
      </c>
      <c r="D1524" s="35">
        <v>8.9700000000000006</v>
      </c>
      <c r="E1524" s="35">
        <v>2.2730000000000001</v>
      </c>
      <c r="F1524" s="35">
        <v>2.19</v>
      </c>
      <c r="G1524" s="35">
        <v>0.4</v>
      </c>
      <c r="H1524" s="35">
        <v>1.9</v>
      </c>
      <c r="I1524" s="35">
        <v>0.25</v>
      </c>
      <c r="J1524" s="35">
        <v>4.2699999999999996</v>
      </c>
      <c r="K1524" s="35">
        <v>0.85</v>
      </c>
      <c r="L1524" s="35">
        <v>58.5</v>
      </c>
    </row>
    <row r="1525" spans="1:12" x14ac:dyDescent="0.25">
      <c r="A1525" s="37">
        <v>109049</v>
      </c>
      <c r="B1525" s="34">
        <v>72</v>
      </c>
      <c r="L1525" s="35">
        <v>57.1</v>
      </c>
    </row>
    <row r="1526" spans="1:12" x14ac:dyDescent="0.25">
      <c r="A1526" s="37">
        <v>109050</v>
      </c>
      <c r="B1526" s="34">
        <v>61</v>
      </c>
      <c r="L1526" s="35">
        <v>38.6</v>
      </c>
    </row>
    <row r="1527" spans="1:12" x14ac:dyDescent="0.25">
      <c r="A1527" s="37">
        <v>109051</v>
      </c>
      <c r="B1527" s="34">
        <v>25</v>
      </c>
      <c r="L1527" s="35">
        <v>79.2</v>
      </c>
    </row>
    <row r="1528" spans="1:12" x14ac:dyDescent="0.25">
      <c r="A1528" s="37">
        <v>109052</v>
      </c>
      <c r="B1528" s="34">
        <v>63</v>
      </c>
      <c r="L1528" s="35">
        <v>50.8</v>
      </c>
    </row>
    <row r="1529" spans="1:12" x14ac:dyDescent="0.25">
      <c r="A1529" s="37">
        <v>109053</v>
      </c>
      <c r="B1529" s="34">
        <v>88</v>
      </c>
      <c r="L1529" s="35">
        <v>72.400000000000006</v>
      </c>
    </row>
    <row r="1530" spans="1:12" x14ac:dyDescent="0.25">
      <c r="A1530" s="37">
        <v>109054</v>
      </c>
      <c r="B1530" s="34">
        <v>65</v>
      </c>
      <c r="L1530" s="35">
        <v>84.4</v>
      </c>
    </row>
    <row r="1531" spans="1:12" x14ac:dyDescent="0.25">
      <c r="A1531" s="37">
        <v>109055</v>
      </c>
      <c r="B1531" s="34">
        <v>60</v>
      </c>
      <c r="L1531" s="35">
        <v>39.799999999999997</v>
      </c>
    </row>
    <row r="1532" spans="1:12" x14ac:dyDescent="0.25">
      <c r="A1532" s="37">
        <v>109056</v>
      </c>
      <c r="B1532" s="34">
        <v>60</v>
      </c>
      <c r="L1532" s="35">
        <v>55.2</v>
      </c>
    </row>
    <row r="1533" spans="1:12" x14ac:dyDescent="0.25">
      <c r="A1533" s="37">
        <v>109057</v>
      </c>
      <c r="B1533" s="34">
        <v>61</v>
      </c>
      <c r="L1533" s="35">
        <v>41.4</v>
      </c>
    </row>
    <row r="1534" spans="1:12" x14ac:dyDescent="0.25">
      <c r="A1534" s="37">
        <v>109058</v>
      </c>
      <c r="B1534" s="34">
        <v>66</v>
      </c>
      <c r="C1534" s="35" t="s">
        <v>187</v>
      </c>
      <c r="D1534" s="35">
        <v>8.76</v>
      </c>
      <c r="E1534" s="35">
        <v>7.71</v>
      </c>
      <c r="F1534" s="35">
        <v>1.88</v>
      </c>
      <c r="G1534" s="35">
        <v>2.86</v>
      </c>
      <c r="H1534" s="35">
        <v>2.7</v>
      </c>
      <c r="I1534" s="35">
        <v>0.5</v>
      </c>
      <c r="J1534" s="35">
        <v>10.62</v>
      </c>
      <c r="K1534" s="35">
        <v>1.07</v>
      </c>
      <c r="L1534" s="35">
        <v>40.5</v>
      </c>
    </row>
    <row r="1535" spans="1:12" x14ac:dyDescent="0.25">
      <c r="A1535" s="37">
        <v>109059</v>
      </c>
      <c r="B1535" s="34">
        <v>62</v>
      </c>
      <c r="C1535" s="35" t="s">
        <v>476</v>
      </c>
      <c r="L1535" s="35">
        <v>69.8</v>
      </c>
    </row>
    <row r="1536" spans="1:12" x14ac:dyDescent="0.25">
      <c r="A1536" s="37">
        <v>109060</v>
      </c>
      <c r="B1536" s="34">
        <v>60</v>
      </c>
      <c r="C1536" s="35" t="s">
        <v>476</v>
      </c>
      <c r="D1536" s="35">
        <v>8.65</v>
      </c>
      <c r="E1536" s="35">
        <v>5.88</v>
      </c>
      <c r="F1536" s="35">
        <v>1.82</v>
      </c>
      <c r="G1536" s="35">
        <v>0.71</v>
      </c>
      <c r="H1536" s="35">
        <v>2.67</v>
      </c>
      <c r="I1536" s="35">
        <v>0.78</v>
      </c>
      <c r="J1536" s="35">
        <v>5.79</v>
      </c>
      <c r="K1536" s="35">
        <v>1.1100000000000001</v>
      </c>
      <c r="L1536" s="35">
        <v>47.6</v>
      </c>
    </row>
    <row r="1537" spans="1:33" x14ac:dyDescent="0.25">
      <c r="A1537" s="37">
        <v>109061</v>
      </c>
      <c r="B1537" s="34">
        <v>56</v>
      </c>
      <c r="C1537" s="35" t="s">
        <v>476</v>
      </c>
      <c r="L1537" s="35">
        <v>42.5</v>
      </c>
    </row>
    <row r="1538" spans="1:33" x14ac:dyDescent="0.25">
      <c r="A1538" s="37">
        <v>109062</v>
      </c>
      <c r="B1538" s="34">
        <v>63</v>
      </c>
      <c r="C1538" s="35" t="s">
        <v>476</v>
      </c>
      <c r="D1538" s="35">
        <v>9.33</v>
      </c>
      <c r="E1538" s="35">
        <v>5.21</v>
      </c>
      <c r="F1538" s="35">
        <v>1.71</v>
      </c>
      <c r="G1538" s="35">
        <v>0.67</v>
      </c>
      <c r="H1538" s="35">
        <v>2.38</v>
      </c>
      <c r="I1538" s="35">
        <v>0.45</v>
      </c>
      <c r="J1538" s="35">
        <v>6.67</v>
      </c>
      <c r="K1538" s="35">
        <v>1.06</v>
      </c>
      <c r="L1538" s="35">
        <v>39.700000000000003</v>
      </c>
    </row>
    <row r="1539" spans="1:33" x14ac:dyDescent="0.25">
      <c r="A1539" s="37">
        <v>109063</v>
      </c>
      <c r="B1539" s="34">
        <v>65</v>
      </c>
      <c r="C1539" s="35" t="s">
        <v>476</v>
      </c>
      <c r="D1539" s="35">
        <v>9.67</v>
      </c>
      <c r="E1539" s="35">
        <v>5.66</v>
      </c>
      <c r="F1539" s="35">
        <v>1.65</v>
      </c>
      <c r="G1539" s="35">
        <v>0.6</v>
      </c>
      <c r="H1539" s="35">
        <v>2.7</v>
      </c>
      <c r="I1539" s="35">
        <v>0.48</v>
      </c>
      <c r="J1539" s="35">
        <v>6.36</v>
      </c>
      <c r="K1539" s="35">
        <v>1.02</v>
      </c>
      <c r="L1539" s="35">
        <v>39.9</v>
      </c>
    </row>
    <row r="1540" spans="1:33" x14ac:dyDescent="0.25">
      <c r="A1540" s="37">
        <v>109064</v>
      </c>
      <c r="B1540" s="34">
        <v>87</v>
      </c>
      <c r="C1540" s="35" t="s">
        <v>476</v>
      </c>
      <c r="D1540" s="35">
        <v>11.92</v>
      </c>
      <c r="E1540" s="35">
        <v>77.099999999999994</v>
      </c>
      <c r="F1540" s="35">
        <v>0.28000000000000003</v>
      </c>
      <c r="G1540" s="35">
        <v>1.45</v>
      </c>
      <c r="H1540" s="35">
        <v>20.56</v>
      </c>
      <c r="I1540" s="35">
        <v>1.1100000000000001</v>
      </c>
      <c r="J1540" s="35">
        <v>8.66</v>
      </c>
      <c r="K1540" s="35">
        <v>1.07</v>
      </c>
      <c r="L1540" s="35">
        <v>12.1</v>
      </c>
    </row>
    <row r="1541" spans="1:33" x14ac:dyDescent="0.25">
      <c r="A1541" s="37">
        <v>109065</v>
      </c>
      <c r="B1541" s="34">
        <v>80</v>
      </c>
      <c r="C1541" s="35" t="s">
        <v>476</v>
      </c>
      <c r="D1541" s="35">
        <v>7.34</v>
      </c>
      <c r="E1541" s="35">
        <v>10.46</v>
      </c>
      <c r="F1541" s="35">
        <v>3.98</v>
      </c>
      <c r="G1541" s="35">
        <v>1.68</v>
      </c>
      <c r="H1541" s="35">
        <v>2.62</v>
      </c>
      <c r="I1541" s="35">
        <v>0.34</v>
      </c>
      <c r="J1541" s="35">
        <v>7.75</v>
      </c>
      <c r="K1541" s="35">
        <v>0.72</v>
      </c>
      <c r="L1541" s="35">
        <v>59.5</v>
      </c>
    </row>
    <row r="1542" spans="1:33" x14ac:dyDescent="0.25">
      <c r="A1542" s="37">
        <v>109066</v>
      </c>
      <c r="B1542" s="34">
        <v>75</v>
      </c>
      <c r="C1542" s="35" t="s">
        <v>476</v>
      </c>
      <c r="D1542" s="35">
        <v>8.91</v>
      </c>
      <c r="E1542" s="35">
        <v>7.04</v>
      </c>
      <c r="F1542" s="35">
        <v>2.63</v>
      </c>
      <c r="G1542" s="35">
        <v>1.8</v>
      </c>
      <c r="H1542" s="35">
        <v>2.78</v>
      </c>
      <c r="I1542" s="35">
        <v>0.56999999999999995</v>
      </c>
      <c r="J1542" s="35">
        <v>8.32</v>
      </c>
      <c r="K1542" s="35">
        <v>0.56000000000000005</v>
      </c>
      <c r="L1542" s="35">
        <v>65.5</v>
      </c>
    </row>
    <row r="1543" spans="1:33" x14ac:dyDescent="0.25">
      <c r="A1543" s="37">
        <v>109067</v>
      </c>
      <c r="B1543" s="34">
        <v>71</v>
      </c>
      <c r="C1543" s="35" t="s">
        <v>476</v>
      </c>
      <c r="D1543" s="35">
        <v>5.1100000000000003</v>
      </c>
      <c r="E1543" s="35">
        <v>5.93</v>
      </c>
      <c r="F1543" s="35">
        <v>1.54</v>
      </c>
      <c r="G1543" s="35">
        <v>0.2</v>
      </c>
      <c r="H1543" s="35">
        <v>2.33</v>
      </c>
      <c r="I1543" s="35">
        <v>0.08</v>
      </c>
      <c r="J1543" s="35">
        <v>0.53</v>
      </c>
      <c r="K1543" s="35">
        <v>0.11</v>
      </c>
      <c r="L1543" s="35">
        <v>92</v>
      </c>
    </row>
    <row r="1544" spans="1:33" x14ac:dyDescent="0.25">
      <c r="A1544" s="37">
        <v>109068</v>
      </c>
      <c r="B1544" s="34">
        <v>69</v>
      </c>
      <c r="C1544" s="35" t="s">
        <v>476</v>
      </c>
      <c r="L1544" s="35">
        <v>51.7</v>
      </c>
    </row>
    <row r="1545" spans="1:33" x14ac:dyDescent="0.25">
      <c r="A1545" s="37">
        <v>109069</v>
      </c>
      <c r="B1545" s="34">
        <v>62</v>
      </c>
      <c r="C1545" s="35" t="s">
        <v>476</v>
      </c>
      <c r="D1545" s="35">
        <v>6.59</v>
      </c>
      <c r="E1545" s="35">
        <v>5.35</v>
      </c>
      <c r="F1545" s="35">
        <v>3.95</v>
      </c>
      <c r="G1545" s="35">
        <v>1.75</v>
      </c>
      <c r="H1545" s="35">
        <v>3.44</v>
      </c>
      <c r="I1545" s="35">
        <v>0.51</v>
      </c>
      <c r="J1545" s="35">
        <v>4.4800000000000004</v>
      </c>
      <c r="K1545" s="35">
        <v>1.1100000000000001</v>
      </c>
      <c r="L1545" s="35">
        <v>70.8</v>
      </c>
    </row>
    <row r="1546" spans="1:33" s="749" customFormat="1" x14ac:dyDescent="0.25">
      <c r="A1546" s="748">
        <v>109070</v>
      </c>
      <c r="B1546" s="923">
        <v>75</v>
      </c>
      <c r="C1546" s="749" t="s">
        <v>476</v>
      </c>
      <c r="D1546" s="749">
        <v>8.14</v>
      </c>
      <c r="E1546" s="749">
        <v>0.439</v>
      </c>
      <c r="F1546" s="749">
        <v>0.81</v>
      </c>
      <c r="G1546" s="749">
        <v>0.13</v>
      </c>
      <c r="H1546" s="749">
        <v>0.71</v>
      </c>
      <c r="I1546" s="749">
        <v>0.11</v>
      </c>
      <c r="J1546" s="749">
        <v>4.3899999999999997</v>
      </c>
      <c r="K1546" s="749">
        <v>0.51</v>
      </c>
      <c r="L1546" s="749">
        <v>70.7</v>
      </c>
    </row>
    <row r="1547" spans="1:33" s="749" customFormat="1" x14ac:dyDescent="0.25">
      <c r="A1547" s="748">
        <v>109071</v>
      </c>
      <c r="B1547" s="923">
        <v>70</v>
      </c>
      <c r="C1547" s="749" t="s">
        <v>476</v>
      </c>
      <c r="D1547" s="749">
        <v>5.97</v>
      </c>
      <c r="E1547" s="749">
        <v>6.1</v>
      </c>
      <c r="F1547" s="749">
        <v>3.95</v>
      </c>
      <c r="G1547" s="749">
        <v>1.71</v>
      </c>
      <c r="H1547" s="749">
        <v>3.26</v>
      </c>
      <c r="I1547" s="749">
        <v>0.51</v>
      </c>
      <c r="J1547" s="749">
        <v>5.21</v>
      </c>
      <c r="K1547" s="749">
        <v>1.03</v>
      </c>
      <c r="L1547" s="749">
        <v>67.7</v>
      </c>
    </row>
    <row r="1548" spans="1:33" s="749" customFormat="1" x14ac:dyDescent="0.25">
      <c r="A1548" s="748">
        <v>109072</v>
      </c>
      <c r="B1548" s="923">
        <v>66</v>
      </c>
      <c r="C1548" s="749" t="s">
        <v>476</v>
      </c>
      <c r="D1548" s="749">
        <v>9.43</v>
      </c>
      <c r="E1548" s="749">
        <v>11.92</v>
      </c>
      <c r="F1548" s="749">
        <v>2.61</v>
      </c>
      <c r="G1548" s="749">
        <v>1.97</v>
      </c>
      <c r="H1548" s="749">
        <v>10.45</v>
      </c>
      <c r="I1548" s="749">
        <v>0.82</v>
      </c>
      <c r="J1548" s="749">
        <v>6.95</v>
      </c>
      <c r="K1548" s="749">
        <v>1.1200000000000001</v>
      </c>
      <c r="L1548" s="749">
        <v>50.2</v>
      </c>
    </row>
    <row r="1549" spans="1:33" s="749" customFormat="1" x14ac:dyDescent="0.25">
      <c r="A1549" s="748">
        <v>109073</v>
      </c>
      <c r="B1549" s="923">
        <v>66</v>
      </c>
      <c r="C1549" s="749" t="s">
        <v>476</v>
      </c>
      <c r="D1549" s="749">
        <v>9.49</v>
      </c>
      <c r="E1549" s="749">
        <v>11.91</v>
      </c>
      <c r="F1549" s="749">
        <v>2.69</v>
      </c>
      <c r="G1549" s="749">
        <v>1.97</v>
      </c>
      <c r="H1549" s="749">
        <v>10.93</v>
      </c>
      <c r="I1549" s="749">
        <v>0.83</v>
      </c>
      <c r="J1549" s="749">
        <v>7.12</v>
      </c>
      <c r="K1549" s="749">
        <v>1.1299999999999999</v>
      </c>
      <c r="L1549" s="749">
        <v>50.2</v>
      </c>
    </row>
    <row r="1550" spans="1:33" s="749" customFormat="1" x14ac:dyDescent="0.25">
      <c r="A1550" s="748">
        <v>109074</v>
      </c>
      <c r="B1550" s="923">
        <v>97</v>
      </c>
      <c r="C1550" s="749" t="s">
        <v>477</v>
      </c>
      <c r="D1550" s="749">
        <v>8.81</v>
      </c>
      <c r="E1550" s="749">
        <v>0.31900000000000001</v>
      </c>
      <c r="F1550" s="749">
        <v>0.08</v>
      </c>
      <c r="G1550" s="749">
        <v>12.03</v>
      </c>
      <c r="H1550" s="749">
        <v>0.19</v>
      </c>
      <c r="I1550" s="749">
        <v>0.69</v>
      </c>
      <c r="J1550" s="749">
        <v>30.04</v>
      </c>
      <c r="K1550" s="749">
        <v>0.76</v>
      </c>
      <c r="L1550" s="749">
        <v>1.7</v>
      </c>
    </row>
    <row r="1551" spans="1:33" s="1673" customFormat="1" x14ac:dyDescent="0.25">
      <c r="A1551" s="1671">
        <v>109075</v>
      </c>
      <c r="B1551" s="1672">
        <v>82</v>
      </c>
      <c r="C1551" s="1673" t="s">
        <v>476</v>
      </c>
      <c r="D1551" s="1673">
        <v>6.5</v>
      </c>
      <c r="E1551" s="1673">
        <v>7.88</v>
      </c>
      <c r="F1551" s="1673">
        <v>2.5499999999999998</v>
      </c>
      <c r="G1551" s="1673">
        <v>0.53</v>
      </c>
      <c r="H1551" s="1673">
        <v>0.49</v>
      </c>
      <c r="I1551" s="1673">
        <v>0.17</v>
      </c>
      <c r="J1551" s="1673">
        <v>2.36</v>
      </c>
      <c r="K1551" s="1673">
        <v>0.41</v>
      </c>
      <c r="L1551" s="1673">
        <v>42.2</v>
      </c>
      <c r="M1551" s="1673">
        <v>21908.59</v>
      </c>
      <c r="N1551" s="1673">
        <v>46.73</v>
      </c>
      <c r="O1551" s="1673">
        <v>189.23</v>
      </c>
      <c r="P1551" s="1673">
        <v>26851.5</v>
      </c>
      <c r="U1551" s="1673">
        <v>5.89</v>
      </c>
      <c r="V1551" s="1673">
        <v>9.8800000000000008</v>
      </c>
      <c r="X1551" s="1673">
        <v>133.72</v>
      </c>
      <c r="Y1551" s="1673">
        <v>1E-3</v>
      </c>
      <c r="AA1551" s="1673">
        <v>18.809999999999999</v>
      </c>
      <c r="AB1551" s="1673">
        <v>146.04</v>
      </c>
      <c r="AC1551" s="1673">
        <v>1E-3</v>
      </c>
      <c r="AD1551" s="2042">
        <v>116.25140000000002</v>
      </c>
      <c r="AG1551" s="2042"/>
    </row>
    <row r="1552" spans="1:33" s="1673" customFormat="1" x14ac:dyDescent="0.25">
      <c r="A1552" s="1671">
        <v>109076</v>
      </c>
      <c r="B1552" s="1672">
        <v>94</v>
      </c>
      <c r="C1552" s="1673" t="s">
        <v>477</v>
      </c>
      <c r="D1552" s="1673">
        <v>7.11</v>
      </c>
      <c r="E1552" s="1673">
        <v>0.315</v>
      </c>
      <c r="F1552" s="1673">
        <v>0.31</v>
      </c>
      <c r="G1552" s="1673">
        <v>0.09</v>
      </c>
      <c r="H1552" s="1673">
        <v>0.15</v>
      </c>
      <c r="I1552" s="1673">
        <v>0.05</v>
      </c>
      <c r="J1552" s="1673">
        <v>0.27</v>
      </c>
      <c r="K1552" s="1673">
        <v>0.16</v>
      </c>
      <c r="L1552" s="1673">
        <v>8.6999999999999993</v>
      </c>
      <c r="M1552" s="1673">
        <v>29.67</v>
      </c>
      <c r="N1552" s="1673">
        <v>14.51</v>
      </c>
      <c r="O1552" s="1673">
        <v>284.75</v>
      </c>
      <c r="P1552" s="1673">
        <v>11308.13</v>
      </c>
      <c r="U1552" s="1673">
        <v>4.3</v>
      </c>
      <c r="V1552" s="1673">
        <v>7.0000000000000007E-2</v>
      </c>
      <c r="X1552" s="1673">
        <v>43.95</v>
      </c>
      <c r="Y1552" s="1673">
        <v>1E-3</v>
      </c>
      <c r="AA1552" s="1673">
        <v>17.21</v>
      </c>
      <c r="AB1552" s="1673">
        <v>12.32</v>
      </c>
      <c r="AC1552" s="1673">
        <v>1.64</v>
      </c>
      <c r="AD1552" s="2042">
        <v>66.307600000000008</v>
      </c>
      <c r="AG1552" s="2042"/>
    </row>
    <row r="1553" spans="1:33" s="1673" customFormat="1" x14ac:dyDescent="0.25">
      <c r="A1553" s="1671">
        <v>109077</v>
      </c>
      <c r="B1553" s="1672">
        <v>99</v>
      </c>
      <c r="C1553" s="1673" t="s">
        <v>477</v>
      </c>
      <c r="D1553" s="1673">
        <v>11.05</v>
      </c>
      <c r="E1553" s="1673">
        <v>10.66</v>
      </c>
      <c r="F1553" s="1673">
        <v>0.36</v>
      </c>
      <c r="G1553" s="1673">
        <v>0.56999999999999995</v>
      </c>
      <c r="H1553" s="1673">
        <v>4.0599999999999996</v>
      </c>
      <c r="I1553" s="1673">
        <v>4.3899999999999997</v>
      </c>
      <c r="J1553" s="1673">
        <v>2.38</v>
      </c>
      <c r="K1553" s="1673">
        <v>0.53</v>
      </c>
      <c r="L1553" s="1673">
        <v>18.600000000000001</v>
      </c>
      <c r="M1553" s="1673">
        <v>1172.26</v>
      </c>
      <c r="N1553" s="1673">
        <v>131.57</v>
      </c>
      <c r="O1553" s="1673">
        <v>175.91</v>
      </c>
      <c r="P1553" s="1673">
        <v>19676.87</v>
      </c>
      <c r="U1553" s="1673">
        <v>5.33</v>
      </c>
      <c r="V1553" s="1673">
        <v>1.0900000000000001</v>
      </c>
      <c r="X1553" s="1673">
        <v>118.04</v>
      </c>
      <c r="Y1553" s="1673">
        <v>1E-3</v>
      </c>
      <c r="AA1553" s="1673">
        <v>19.190000000000001</v>
      </c>
      <c r="AB1553" s="1673">
        <v>28.61</v>
      </c>
      <c r="AC1553" s="1673">
        <v>1E-3</v>
      </c>
      <c r="AD1553" s="2042">
        <v>9.1970999999999989</v>
      </c>
      <c r="AG1553" s="2042"/>
    </row>
    <row r="1554" spans="1:33" s="1673" customFormat="1" x14ac:dyDescent="0.25">
      <c r="A1554" s="1671">
        <v>109078</v>
      </c>
      <c r="B1554" s="1672">
        <v>95</v>
      </c>
      <c r="C1554" s="1673" t="s">
        <v>477</v>
      </c>
      <c r="D1554" s="1673">
        <v>10.01</v>
      </c>
      <c r="E1554" s="1673">
        <v>8.83</v>
      </c>
      <c r="F1554" s="1673">
        <v>0.48</v>
      </c>
      <c r="G1554" s="1673">
        <v>1.04</v>
      </c>
      <c r="H1554" s="1673">
        <v>4.3899999999999997</v>
      </c>
      <c r="I1554" s="1673">
        <v>2.79</v>
      </c>
      <c r="J1554" s="1673">
        <v>5.84</v>
      </c>
      <c r="K1554" s="1673">
        <v>1.17</v>
      </c>
      <c r="L1554" s="1673">
        <v>8.6</v>
      </c>
      <c r="M1554" s="1673">
        <v>390.99</v>
      </c>
      <c r="N1554" s="1673">
        <v>210.68</v>
      </c>
      <c r="O1554" s="1673">
        <v>383.94</v>
      </c>
      <c r="P1554" s="1673">
        <v>27153.200000000001</v>
      </c>
      <c r="U1554" s="1673">
        <v>6.44</v>
      </c>
      <c r="V1554" s="1673">
        <v>8.16</v>
      </c>
      <c r="X1554" s="1673">
        <v>215.64</v>
      </c>
      <c r="Y1554" s="1673">
        <v>1E-3</v>
      </c>
      <c r="AA1554" s="1673">
        <v>52.37</v>
      </c>
      <c r="AB1554" s="1673">
        <v>163.47</v>
      </c>
      <c r="AC1554" s="1673">
        <v>1E-3</v>
      </c>
      <c r="AD1554" s="2042">
        <v>50.083999999999996</v>
      </c>
      <c r="AG1554" s="2042"/>
    </row>
    <row r="1555" spans="1:33" s="1673" customFormat="1" x14ac:dyDescent="0.25">
      <c r="A1555" s="1671">
        <v>109079</v>
      </c>
      <c r="B1555" s="1672">
        <v>2</v>
      </c>
      <c r="C1555" s="1673" t="s">
        <v>477</v>
      </c>
      <c r="D1555" s="1673">
        <v>8.68</v>
      </c>
      <c r="E1555" s="1673">
        <v>45.3</v>
      </c>
      <c r="F1555" s="1673">
        <v>6.98</v>
      </c>
      <c r="G1555" s="1673">
        <v>3.66</v>
      </c>
      <c r="H1555" s="1673">
        <v>4.57</v>
      </c>
      <c r="I1555" s="1673">
        <v>12.33</v>
      </c>
      <c r="J1555" s="1673">
        <v>0.24</v>
      </c>
      <c r="K1555" s="1673">
        <v>0.11</v>
      </c>
      <c r="L1555" s="1673">
        <v>37.200000000000003</v>
      </c>
      <c r="M1555" s="1673">
        <v>32.409999999999997</v>
      </c>
      <c r="N1555" s="1673">
        <v>2.2200000000000002</v>
      </c>
      <c r="O1555" s="1673">
        <v>2.48</v>
      </c>
      <c r="P1555" s="1673">
        <v>123.1</v>
      </c>
      <c r="U1555" s="1673">
        <v>3.01</v>
      </c>
      <c r="V1555" s="1673">
        <v>0.09</v>
      </c>
      <c r="X1555" s="1673">
        <v>2.48</v>
      </c>
      <c r="Y1555" s="1673">
        <v>1E-3</v>
      </c>
      <c r="AA1555" s="1673">
        <v>3.11</v>
      </c>
      <c r="AB1555" s="1673">
        <v>1.25</v>
      </c>
      <c r="AC1555" s="1673">
        <v>1.29</v>
      </c>
      <c r="AD1555" s="2042">
        <v>1058.8</v>
      </c>
      <c r="AG1555" s="2042"/>
    </row>
    <row r="1556" spans="1:33" s="1673" customFormat="1" x14ac:dyDescent="0.25">
      <c r="A1556" s="1671">
        <v>109080</v>
      </c>
      <c r="B1556" s="1672">
        <v>89</v>
      </c>
      <c r="C1556" s="1673" t="s">
        <v>477</v>
      </c>
      <c r="D1556" s="1673">
        <v>8.89</v>
      </c>
      <c r="E1556" s="1673">
        <v>2.9740000000000002</v>
      </c>
      <c r="F1556" s="1673">
        <v>1.65</v>
      </c>
      <c r="G1556" s="1673">
        <v>2.0699999999999998</v>
      </c>
      <c r="H1556" s="1673">
        <v>2.37</v>
      </c>
      <c r="I1556" s="1673">
        <v>0.45</v>
      </c>
      <c r="J1556" s="1673">
        <v>6.26</v>
      </c>
      <c r="K1556" s="1673">
        <v>3.05</v>
      </c>
      <c r="L1556" s="1673">
        <v>31.4</v>
      </c>
      <c r="M1556" s="1673">
        <v>354.4</v>
      </c>
      <c r="N1556" s="1673">
        <v>67.33</v>
      </c>
      <c r="O1556" s="1673">
        <v>657.11</v>
      </c>
      <c r="P1556" s="1673">
        <v>17745.41</v>
      </c>
      <c r="U1556" s="1673">
        <v>4.24</v>
      </c>
      <c r="V1556" s="1673">
        <v>0.74</v>
      </c>
      <c r="X1556" s="1673">
        <v>42.8</v>
      </c>
      <c r="Y1556" s="1673">
        <v>1E-3</v>
      </c>
      <c r="AA1556" s="1673">
        <v>10.039999999999999</v>
      </c>
      <c r="AB1556" s="1673">
        <v>8.4</v>
      </c>
      <c r="AC1556" s="1673">
        <v>1.82</v>
      </c>
      <c r="AD1556" s="2042">
        <v>80.749700000000004</v>
      </c>
      <c r="AG1556" s="2042"/>
    </row>
    <row r="1557" spans="1:33" s="1673" customFormat="1" x14ac:dyDescent="0.25">
      <c r="A1557" s="1671">
        <v>109081</v>
      </c>
      <c r="B1557" s="1672">
        <v>95</v>
      </c>
      <c r="C1557" s="1673" t="s">
        <v>477</v>
      </c>
      <c r="D1557" s="1673">
        <v>6.85</v>
      </c>
      <c r="E1557" s="1673">
        <v>0.65100000000000002</v>
      </c>
      <c r="F1557" s="1673">
        <v>13.08</v>
      </c>
      <c r="G1557" s="1673">
        <v>0.32</v>
      </c>
      <c r="H1557" s="1673">
        <v>0.28999999999999998</v>
      </c>
      <c r="I1557" s="1673">
        <v>0.2</v>
      </c>
      <c r="J1557" s="1673">
        <v>0.93</v>
      </c>
      <c r="K1557" s="1673">
        <v>0.13</v>
      </c>
      <c r="L1557" s="1673">
        <v>79.3</v>
      </c>
      <c r="M1557" s="1673">
        <v>299.51</v>
      </c>
      <c r="N1557" s="1673">
        <v>28.58</v>
      </c>
      <c r="O1557" s="1673">
        <v>75.64</v>
      </c>
      <c r="P1557" s="1673">
        <v>2553.37</v>
      </c>
      <c r="U1557" s="1673">
        <v>4.33</v>
      </c>
      <c r="V1557" s="1673">
        <v>0.37</v>
      </c>
      <c r="X1557" s="1673">
        <v>30.09</v>
      </c>
      <c r="Y1557" s="1673">
        <v>1E-3</v>
      </c>
      <c r="AA1557" s="1673">
        <v>15.02</v>
      </c>
      <c r="AB1557" s="1673">
        <v>5.38</v>
      </c>
      <c r="AC1557" s="1673">
        <v>1E-3</v>
      </c>
      <c r="AD1557" s="2042">
        <v>8.4169999999999998</v>
      </c>
      <c r="AG1557" s="2042"/>
    </row>
    <row r="1558" spans="1:33" s="1673" customFormat="1" x14ac:dyDescent="0.25">
      <c r="A1558" s="1671">
        <v>109082</v>
      </c>
      <c r="B1558" s="1672">
        <v>62</v>
      </c>
      <c r="C1558" s="1673" t="s">
        <v>477</v>
      </c>
      <c r="D1558" s="1673">
        <v>7.78</v>
      </c>
      <c r="E1558" s="1673">
        <v>1.75</v>
      </c>
      <c r="F1558" s="1673">
        <v>1.99</v>
      </c>
      <c r="G1558" s="1673">
        <v>0.98</v>
      </c>
      <c r="H1558" s="1673">
        <v>1.58</v>
      </c>
      <c r="I1558" s="1673">
        <v>0.32</v>
      </c>
      <c r="J1558" s="1673">
        <v>0.8</v>
      </c>
      <c r="K1558" s="1673">
        <v>0.68</v>
      </c>
      <c r="L1558" s="1673">
        <v>55.6</v>
      </c>
      <c r="M1558" s="1673">
        <v>109.31</v>
      </c>
      <c r="N1558" s="1673">
        <v>26.88</v>
      </c>
      <c r="O1558" s="1673">
        <v>178.09</v>
      </c>
      <c r="P1558" s="1673">
        <v>11078.77</v>
      </c>
      <c r="U1558" s="1673">
        <v>2.2200000000000002</v>
      </c>
      <c r="V1558" s="1673">
        <v>0.41</v>
      </c>
      <c r="X1558" s="1673">
        <v>36.630000000000003</v>
      </c>
      <c r="Y1558" s="1673">
        <v>1E-3</v>
      </c>
      <c r="AA1558" s="1673">
        <v>9.94</v>
      </c>
      <c r="AB1558" s="1673">
        <v>14.32</v>
      </c>
      <c r="AC1558" s="1673">
        <v>0.96</v>
      </c>
      <c r="AD1558" s="2042">
        <v>148.9674</v>
      </c>
      <c r="AG1558" s="2042"/>
    </row>
    <row r="1559" spans="1:33" s="1673" customFormat="1" x14ac:dyDescent="0.25">
      <c r="A1559" s="1671">
        <v>109083</v>
      </c>
      <c r="B1559" s="1672">
        <v>56</v>
      </c>
      <c r="C1559" s="1673" t="s">
        <v>476</v>
      </c>
      <c r="D1559" s="1673">
        <v>9.19</v>
      </c>
      <c r="E1559" s="1673">
        <v>1.1180000000000001</v>
      </c>
      <c r="F1559" s="1673">
        <v>2.13</v>
      </c>
      <c r="G1559" s="1673">
        <v>1.6</v>
      </c>
      <c r="H1559" s="1673">
        <v>1.56</v>
      </c>
      <c r="I1559" s="1673">
        <v>0.33</v>
      </c>
      <c r="J1559" s="1673">
        <v>3.65</v>
      </c>
      <c r="K1559" s="1673">
        <v>1.6</v>
      </c>
      <c r="L1559" s="1673">
        <v>44.5</v>
      </c>
      <c r="M1559" s="1673">
        <v>196.12</v>
      </c>
      <c r="N1559" s="1673">
        <v>40.17</v>
      </c>
      <c r="O1559" s="1673">
        <v>383.96</v>
      </c>
      <c r="P1559" s="1673">
        <v>19781.48</v>
      </c>
      <c r="U1559" s="1673">
        <v>6.97</v>
      </c>
      <c r="V1559" s="1673">
        <v>0.9</v>
      </c>
      <c r="X1559" s="1673">
        <v>76.12</v>
      </c>
      <c r="Y1559" s="1673">
        <v>1E-3</v>
      </c>
      <c r="AA1559" s="1673">
        <v>12.36</v>
      </c>
      <c r="AB1559" s="1673">
        <v>9.25</v>
      </c>
      <c r="AC1559" s="1673">
        <v>1E-3</v>
      </c>
      <c r="AD1559" s="2042">
        <v>162.37200000000001</v>
      </c>
      <c r="AG1559" s="2042"/>
    </row>
    <row r="1560" spans="1:33" s="1314" customFormat="1" x14ac:dyDescent="0.25">
      <c r="A1560" s="1312">
        <v>109084</v>
      </c>
      <c r="B1560" s="1313">
        <v>35</v>
      </c>
      <c r="C1560" s="1314" t="s">
        <v>477</v>
      </c>
      <c r="D1560" s="1314">
        <v>7.83</v>
      </c>
      <c r="E1560" s="1314">
        <v>6.56</v>
      </c>
      <c r="F1560" s="1314">
        <v>3.05</v>
      </c>
      <c r="G1560" s="1314">
        <v>2</v>
      </c>
      <c r="H1560" s="1314">
        <v>2.69</v>
      </c>
      <c r="I1560" s="1314">
        <v>0.38</v>
      </c>
      <c r="J1560" s="1314">
        <v>6.4</v>
      </c>
      <c r="K1560" s="1314">
        <v>1.42</v>
      </c>
      <c r="L1560" s="1314">
        <v>62.5</v>
      </c>
      <c r="M1560" s="1813"/>
      <c r="N1560" s="1813"/>
      <c r="O1560" s="1813"/>
      <c r="P1560" s="1813"/>
      <c r="Q1560" s="1813"/>
    </row>
    <row r="1561" spans="1:33" s="1314" customFormat="1" x14ac:dyDescent="0.25">
      <c r="A1561" s="1312">
        <v>109085</v>
      </c>
      <c r="B1561" s="1313">
        <v>41</v>
      </c>
      <c r="C1561" s="1314" t="s">
        <v>477</v>
      </c>
      <c r="D1561" s="1314">
        <v>8.26</v>
      </c>
      <c r="E1561" s="1314">
        <v>11.42</v>
      </c>
      <c r="F1561" s="1314">
        <v>3.39</v>
      </c>
      <c r="G1561" s="1314">
        <v>1.66</v>
      </c>
      <c r="H1561" s="1314">
        <v>4.1500000000000004</v>
      </c>
      <c r="I1561" s="1314">
        <v>0.59</v>
      </c>
      <c r="J1561" s="1314">
        <v>5.35</v>
      </c>
      <c r="K1561" s="1314">
        <v>1.03</v>
      </c>
      <c r="L1561" s="1314">
        <v>61.8</v>
      </c>
      <c r="M1561" s="1813"/>
      <c r="N1561" s="1813"/>
      <c r="O1561" s="1813"/>
      <c r="P1561" s="1813"/>
      <c r="Q1561" s="1813"/>
    </row>
    <row r="1562" spans="1:33" s="1314" customFormat="1" x14ac:dyDescent="0.25">
      <c r="A1562" s="1312">
        <v>109086</v>
      </c>
      <c r="B1562" s="1313">
        <v>36</v>
      </c>
      <c r="C1562" s="1314" t="s">
        <v>477</v>
      </c>
      <c r="D1562" s="1314">
        <v>8.3699999999999992</v>
      </c>
      <c r="E1562" s="1314">
        <v>5.0999999999999996</v>
      </c>
      <c r="F1562" s="1314">
        <v>3.19</v>
      </c>
      <c r="G1562" s="1314">
        <v>1.95</v>
      </c>
      <c r="H1562" s="1314">
        <v>2.59</v>
      </c>
      <c r="I1562" s="1314">
        <v>0.37</v>
      </c>
      <c r="J1562" s="1314">
        <v>5.84</v>
      </c>
      <c r="K1562" s="1314">
        <v>1.37</v>
      </c>
      <c r="L1562" s="1314">
        <v>63.8</v>
      </c>
      <c r="M1562" s="1813"/>
      <c r="N1562" s="1813"/>
      <c r="O1562" s="1813"/>
      <c r="P1562" s="1813"/>
      <c r="Q1562" s="1813"/>
    </row>
    <row r="1563" spans="1:33" s="1314" customFormat="1" x14ac:dyDescent="0.25">
      <c r="A1563" s="1312">
        <v>109087</v>
      </c>
      <c r="B1563" s="1313">
        <v>40</v>
      </c>
      <c r="C1563" s="1314" t="s">
        <v>477</v>
      </c>
      <c r="D1563" s="1314">
        <v>8.25</v>
      </c>
      <c r="E1563" s="1314">
        <v>10.93</v>
      </c>
      <c r="F1563" s="1314">
        <v>3.5</v>
      </c>
      <c r="G1563" s="1314">
        <v>1.65</v>
      </c>
      <c r="H1563" s="1314">
        <v>4.51</v>
      </c>
      <c r="I1563" s="1314">
        <v>0.65</v>
      </c>
      <c r="J1563" s="1314">
        <v>4.87</v>
      </c>
      <c r="K1563" s="1314">
        <v>0.95</v>
      </c>
      <c r="L1563" s="1314">
        <v>63.4</v>
      </c>
      <c r="M1563" s="1813"/>
      <c r="N1563" s="1813"/>
      <c r="O1563" s="1813"/>
      <c r="P1563" s="1813"/>
      <c r="Q1563" s="1813"/>
    </row>
    <row r="1564" spans="1:33" s="1314" customFormat="1" x14ac:dyDescent="0.25">
      <c r="A1564" s="1312">
        <v>109088</v>
      </c>
      <c r="B1564" s="1313">
        <v>42</v>
      </c>
      <c r="C1564" s="1314" t="s">
        <v>477</v>
      </c>
      <c r="D1564" s="1314">
        <v>8.2200000000000006</v>
      </c>
      <c r="E1564" s="1314">
        <v>11.04</v>
      </c>
      <c r="F1564" s="1314">
        <v>3.39</v>
      </c>
      <c r="G1564" s="1314">
        <v>1.57</v>
      </c>
      <c r="H1564" s="1314">
        <v>4.3600000000000003</v>
      </c>
      <c r="I1564" s="1314">
        <v>0.63</v>
      </c>
      <c r="J1564" s="1314">
        <v>4.6500000000000004</v>
      </c>
      <c r="K1564" s="1314">
        <v>0.96</v>
      </c>
      <c r="L1564" s="1314">
        <v>63</v>
      </c>
      <c r="M1564" s="1813"/>
      <c r="N1564" s="1813"/>
      <c r="O1564" s="1813"/>
      <c r="P1564" s="1813"/>
      <c r="Q1564" s="1813"/>
    </row>
    <row r="1565" spans="1:33" s="1314" customFormat="1" x14ac:dyDescent="0.25">
      <c r="A1565" s="1312">
        <v>109089</v>
      </c>
      <c r="B1565" s="1313">
        <v>36</v>
      </c>
      <c r="C1565" s="1314" t="s">
        <v>477</v>
      </c>
      <c r="D1565" s="1314">
        <v>8.06</v>
      </c>
      <c r="E1565" s="1314">
        <v>6.04</v>
      </c>
      <c r="F1565" s="1314">
        <v>3.14</v>
      </c>
      <c r="G1565" s="1314">
        <v>1.83</v>
      </c>
      <c r="H1565" s="1314">
        <v>2.46</v>
      </c>
      <c r="I1565" s="1314">
        <v>0.36</v>
      </c>
      <c r="J1565" s="1314">
        <v>5.75</v>
      </c>
      <c r="K1565" s="1314">
        <v>1.0900000000000001</v>
      </c>
      <c r="L1565" s="1314">
        <v>62.2</v>
      </c>
      <c r="M1565" s="1813"/>
      <c r="N1565" s="1813"/>
      <c r="O1565" s="1813"/>
      <c r="P1565" s="1813"/>
      <c r="Q1565" s="1813"/>
    </row>
    <row r="1566" spans="1:33" s="1314" customFormat="1" x14ac:dyDescent="0.25">
      <c r="A1566" s="1312">
        <v>109090</v>
      </c>
      <c r="B1566" s="1313">
        <v>10</v>
      </c>
      <c r="C1566" s="1314" t="s">
        <v>477</v>
      </c>
      <c r="D1566" s="1314">
        <v>6.94</v>
      </c>
      <c r="E1566" s="1314">
        <v>45.2</v>
      </c>
      <c r="F1566" s="1314">
        <v>6.14</v>
      </c>
      <c r="G1566" s="1314">
        <v>0.38</v>
      </c>
      <c r="H1566" s="1314">
        <v>9.85</v>
      </c>
      <c r="I1566" s="1314">
        <v>1.42</v>
      </c>
      <c r="J1566" s="1314">
        <v>1.22</v>
      </c>
      <c r="K1566" s="1314">
        <v>0.7</v>
      </c>
      <c r="L1566" s="1314">
        <v>65.099999999999994</v>
      </c>
      <c r="M1566" s="1813"/>
      <c r="N1566" s="1813"/>
      <c r="O1566" s="1813"/>
      <c r="P1566" s="1813"/>
      <c r="Q1566" s="1813"/>
    </row>
    <row r="1567" spans="1:33" s="1314" customFormat="1" x14ac:dyDescent="0.25">
      <c r="A1567" s="1312">
        <v>109091</v>
      </c>
      <c r="B1567" s="1313">
        <v>10</v>
      </c>
      <c r="C1567" s="1314" t="s">
        <v>477</v>
      </c>
      <c r="D1567" s="1314">
        <v>6.92</v>
      </c>
      <c r="E1567" s="1314">
        <v>44.9</v>
      </c>
      <c r="F1567" s="1314">
        <v>5.94</v>
      </c>
      <c r="G1567" s="1314">
        <v>0.4</v>
      </c>
      <c r="H1567" s="1314">
        <v>12.17</v>
      </c>
      <c r="I1567" s="1314">
        <v>1.55</v>
      </c>
      <c r="J1567" s="1314">
        <v>1.33</v>
      </c>
      <c r="K1567" s="1314">
        <v>0.67</v>
      </c>
      <c r="L1567" s="1314">
        <v>63.8</v>
      </c>
      <c r="M1567" s="1813"/>
      <c r="N1567" s="1813"/>
      <c r="O1567" s="1813"/>
      <c r="P1567" s="1813"/>
      <c r="Q1567" s="1813"/>
    </row>
    <row r="1568" spans="1:33" s="1314" customFormat="1" x14ac:dyDescent="0.25">
      <c r="A1568" s="1312">
        <v>109092</v>
      </c>
      <c r="B1568" s="1313">
        <v>11</v>
      </c>
      <c r="C1568" s="1314" t="s">
        <v>477</v>
      </c>
      <c r="D1568" s="1314">
        <v>6.92</v>
      </c>
      <c r="E1568" s="1314">
        <v>46.8</v>
      </c>
      <c r="F1568" s="1314">
        <v>5.86</v>
      </c>
      <c r="G1568" s="1314">
        <v>0.36</v>
      </c>
      <c r="H1568" s="1314">
        <v>12.53</v>
      </c>
      <c r="I1568" s="1314">
        <v>1.57</v>
      </c>
      <c r="J1568" s="1314">
        <v>1.25</v>
      </c>
      <c r="K1568" s="1314">
        <v>0.61</v>
      </c>
      <c r="L1568" s="1314">
        <v>63.7</v>
      </c>
      <c r="M1568" s="1813"/>
      <c r="N1568" s="1813"/>
      <c r="O1568" s="1813"/>
      <c r="P1568" s="1813"/>
      <c r="Q1568" s="1813"/>
    </row>
    <row r="1569" spans="1:17" s="1314" customFormat="1" x14ac:dyDescent="0.25">
      <c r="A1569" s="1312">
        <v>109093</v>
      </c>
      <c r="B1569" s="1313">
        <v>11</v>
      </c>
      <c r="C1569" s="1314" t="s">
        <v>477</v>
      </c>
      <c r="D1569" s="1314">
        <v>6.96</v>
      </c>
      <c r="E1569" s="1314">
        <v>47.6</v>
      </c>
      <c r="F1569" s="1314">
        <v>6.22</v>
      </c>
      <c r="G1569" s="1314">
        <v>0.39</v>
      </c>
      <c r="H1569" s="1314">
        <v>11.8</v>
      </c>
      <c r="I1569" s="1314">
        <v>1.54</v>
      </c>
      <c r="J1569" s="1314">
        <v>1.25</v>
      </c>
      <c r="K1569" s="1314">
        <v>0.65</v>
      </c>
      <c r="L1569" s="1314">
        <v>64.7</v>
      </c>
      <c r="M1569" s="1813"/>
      <c r="N1569" s="1813"/>
      <c r="O1569" s="1813"/>
      <c r="P1569" s="1813"/>
      <c r="Q1569" s="1813"/>
    </row>
    <row r="1570" spans="1:17" s="1314" customFormat="1" x14ac:dyDescent="0.25">
      <c r="A1570" s="1312">
        <v>109094</v>
      </c>
      <c r="B1570" s="1313">
        <v>11</v>
      </c>
      <c r="C1570" s="1314" t="s">
        <v>477</v>
      </c>
      <c r="D1570" s="1314">
        <v>6.96</v>
      </c>
      <c r="E1570" s="1314">
        <v>49.9</v>
      </c>
      <c r="F1570" s="1314">
        <v>5.8</v>
      </c>
      <c r="G1570" s="1314">
        <v>0.28999999999999998</v>
      </c>
      <c r="H1570" s="1314">
        <v>11.8</v>
      </c>
      <c r="I1570" s="1314">
        <v>1.5</v>
      </c>
      <c r="J1570" s="1314">
        <v>1.02</v>
      </c>
      <c r="K1570" s="1314">
        <v>0.67</v>
      </c>
      <c r="L1570" s="1314">
        <v>60.9</v>
      </c>
      <c r="M1570" s="1813"/>
      <c r="N1570" s="1813"/>
      <c r="O1570" s="1813"/>
      <c r="P1570" s="1813"/>
      <c r="Q1570" s="1813"/>
    </row>
    <row r="1571" spans="1:17" s="1314" customFormat="1" x14ac:dyDescent="0.25">
      <c r="A1571" s="1312">
        <v>109095</v>
      </c>
      <c r="B1571" s="1313">
        <v>11</v>
      </c>
      <c r="C1571" s="1314" t="s">
        <v>477</v>
      </c>
      <c r="D1571" s="1314">
        <v>6.95</v>
      </c>
      <c r="E1571" s="1314">
        <v>51</v>
      </c>
      <c r="F1571" s="1314">
        <v>6.05</v>
      </c>
      <c r="G1571" s="1314">
        <v>0.16</v>
      </c>
      <c r="H1571" s="1314">
        <v>11.81</v>
      </c>
      <c r="I1571" s="1314">
        <v>1.6</v>
      </c>
      <c r="J1571" s="1314">
        <v>0.6</v>
      </c>
      <c r="K1571" s="1314">
        <v>0.68</v>
      </c>
      <c r="L1571" s="1314">
        <v>63.4</v>
      </c>
      <c r="M1571" s="1813"/>
      <c r="N1571" s="1813"/>
      <c r="O1571" s="1813"/>
      <c r="P1571" s="1813"/>
      <c r="Q1571" s="1813"/>
    </row>
    <row r="1572" spans="1:17" s="1314" customFormat="1" x14ac:dyDescent="0.25">
      <c r="A1572" s="1312">
        <v>109096</v>
      </c>
      <c r="B1572" s="1313">
        <v>14</v>
      </c>
      <c r="C1572" s="1314" t="s">
        <v>477</v>
      </c>
      <c r="D1572" s="1314">
        <v>7.09</v>
      </c>
      <c r="E1572" s="1314">
        <v>53.6</v>
      </c>
      <c r="F1572" s="1314">
        <v>5.66</v>
      </c>
      <c r="G1572" s="1314">
        <v>0.39</v>
      </c>
      <c r="H1572" s="1314">
        <v>9.59</v>
      </c>
      <c r="I1572" s="1314">
        <v>1.4</v>
      </c>
      <c r="J1572" s="1314">
        <v>1.36</v>
      </c>
      <c r="K1572" s="1314">
        <v>0.77</v>
      </c>
      <c r="L1572" s="1314">
        <v>66.599999999999994</v>
      </c>
      <c r="M1572" s="1813"/>
      <c r="N1572" s="1813"/>
      <c r="O1572" s="1813"/>
      <c r="P1572" s="1813"/>
      <c r="Q1572" s="1813"/>
    </row>
    <row r="1573" spans="1:17" s="1314" customFormat="1" x14ac:dyDescent="0.25">
      <c r="A1573" s="1312">
        <v>109097</v>
      </c>
      <c r="B1573" s="1313">
        <v>12</v>
      </c>
      <c r="C1573" s="1314" t="s">
        <v>477</v>
      </c>
      <c r="D1573" s="1314">
        <v>7.15</v>
      </c>
      <c r="E1573" s="1314">
        <v>47.6</v>
      </c>
      <c r="F1573" s="1314">
        <v>5.3</v>
      </c>
      <c r="G1573" s="1314">
        <v>0.75</v>
      </c>
      <c r="H1573" s="1314">
        <v>9.6999999999999993</v>
      </c>
      <c r="I1573" s="1314">
        <v>1.36</v>
      </c>
      <c r="J1573" s="1314">
        <v>2.34</v>
      </c>
      <c r="K1573" s="1314">
        <v>0.86</v>
      </c>
      <c r="L1573" s="1314">
        <v>62.6</v>
      </c>
      <c r="M1573" s="1813"/>
      <c r="N1573" s="1813"/>
      <c r="O1573" s="1813"/>
      <c r="P1573" s="1813"/>
      <c r="Q1573" s="1813"/>
    </row>
    <row r="1574" spans="1:17" s="1314" customFormat="1" x14ac:dyDescent="0.25">
      <c r="A1574" s="1312">
        <v>109098</v>
      </c>
      <c r="B1574" s="1313">
        <v>43</v>
      </c>
      <c r="C1574" s="1314" t="s">
        <v>477</v>
      </c>
      <c r="D1574" s="1314">
        <v>7.56</v>
      </c>
      <c r="E1574" s="1314">
        <v>5.1100000000000003</v>
      </c>
      <c r="F1574" s="1314">
        <v>3.14</v>
      </c>
      <c r="G1574" s="1314">
        <v>1.65</v>
      </c>
      <c r="H1574" s="1314">
        <v>2.0299999999999998</v>
      </c>
      <c r="I1574" s="1314">
        <v>0.32</v>
      </c>
      <c r="J1574" s="1314">
        <v>5.35</v>
      </c>
      <c r="K1574" s="1314">
        <v>1.04</v>
      </c>
      <c r="L1574" s="1314">
        <v>63.3</v>
      </c>
      <c r="M1574" s="1813"/>
      <c r="N1574" s="1813"/>
      <c r="O1574" s="1813"/>
      <c r="P1574" s="1813"/>
      <c r="Q1574" s="1813"/>
    </row>
    <row r="1575" spans="1:17" s="1314" customFormat="1" x14ac:dyDescent="0.25">
      <c r="A1575" s="1312">
        <v>109099</v>
      </c>
      <c r="B1575" s="1313">
        <v>41</v>
      </c>
      <c r="C1575" s="1314" t="s">
        <v>477</v>
      </c>
      <c r="D1575" s="1314">
        <v>7.84</v>
      </c>
      <c r="E1575" s="1314">
        <v>16.309999999999999</v>
      </c>
      <c r="F1575" s="1314">
        <v>3.19</v>
      </c>
      <c r="G1575" s="1314">
        <v>1.46</v>
      </c>
      <c r="H1575" s="1314">
        <v>4.1399999999999997</v>
      </c>
      <c r="I1575" s="1314">
        <v>0.62</v>
      </c>
      <c r="J1575" s="1314">
        <v>4.83</v>
      </c>
      <c r="K1575" s="1314">
        <v>1.26</v>
      </c>
      <c r="L1575" s="1314">
        <v>59.6</v>
      </c>
      <c r="M1575" s="1813"/>
      <c r="N1575" s="1813"/>
      <c r="O1575" s="1813"/>
      <c r="P1575" s="1813"/>
      <c r="Q1575" s="1813"/>
    </row>
    <row r="1576" spans="1:17" s="1673" customFormat="1" x14ac:dyDescent="0.25">
      <c r="A1576" s="1671">
        <v>109100</v>
      </c>
      <c r="B1576" s="1672">
        <v>72</v>
      </c>
      <c r="C1576" s="1673" t="s">
        <v>187</v>
      </c>
      <c r="L1576" s="1673">
        <v>67.099999999999994</v>
      </c>
    </row>
    <row r="1577" spans="1:17" s="1673" customFormat="1" x14ac:dyDescent="0.25">
      <c r="A1577" s="1671">
        <v>109101</v>
      </c>
      <c r="B1577" s="1672">
        <v>69</v>
      </c>
      <c r="C1577" s="1673" t="s">
        <v>187</v>
      </c>
      <c r="L1577" s="1673">
        <v>62.1</v>
      </c>
    </row>
    <row r="1578" spans="1:17" s="1673" customFormat="1" x14ac:dyDescent="0.25">
      <c r="A1578" s="1671">
        <v>109102</v>
      </c>
      <c r="B1578" s="1672">
        <v>67</v>
      </c>
      <c r="C1578" s="1673" t="s">
        <v>187</v>
      </c>
      <c r="D1578" s="1673">
        <v>8.83</v>
      </c>
      <c r="E1578" s="1673">
        <v>8.32</v>
      </c>
      <c r="F1578" s="1673">
        <v>2.4700000000000002</v>
      </c>
      <c r="G1578" s="1673">
        <v>1.07</v>
      </c>
      <c r="H1578" s="1673">
        <v>3.51</v>
      </c>
      <c r="I1578" s="1673">
        <v>0.54</v>
      </c>
      <c r="J1578" s="1673">
        <v>5.96</v>
      </c>
      <c r="K1578" s="1673">
        <v>1.28</v>
      </c>
      <c r="L1578" s="1673">
        <v>46.5</v>
      </c>
    </row>
    <row r="1579" spans="1:17" s="1369" customFormat="1" x14ac:dyDescent="0.25">
      <c r="A1579" s="1367">
        <v>109103</v>
      </c>
      <c r="B1579" s="1368">
        <v>54</v>
      </c>
      <c r="C1579" s="1369" t="s">
        <v>476</v>
      </c>
      <c r="D1579" s="1369">
        <v>9.14</v>
      </c>
      <c r="E1579" s="1647">
        <v>2.7410000000000001</v>
      </c>
      <c r="F1579" s="1647">
        <v>1.5130800000000002</v>
      </c>
      <c r="G1579" s="1369">
        <v>0.45</v>
      </c>
      <c r="H1579" s="1369">
        <v>1.97</v>
      </c>
      <c r="I1579" s="1369">
        <v>0.31</v>
      </c>
      <c r="J1579" s="1369">
        <v>2.7</v>
      </c>
      <c r="K1579" s="1369">
        <v>0.63</v>
      </c>
      <c r="L1579" s="1369">
        <v>66.5</v>
      </c>
    </row>
    <row r="1580" spans="1:17" s="1369" customFormat="1" x14ac:dyDescent="0.25">
      <c r="A1580" s="1367">
        <v>109104</v>
      </c>
      <c r="B1580" s="1368">
        <v>43</v>
      </c>
      <c r="C1580" s="1369" t="s">
        <v>476</v>
      </c>
      <c r="D1580" s="1369">
        <v>7.99</v>
      </c>
      <c r="E1580" s="1647">
        <v>2.1880000000000002</v>
      </c>
      <c r="F1580" s="1647">
        <v>1.6251600000000002</v>
      </c>
      <c r="G1580" s="1369">
        <v>0.54</v>
      </c>
      <c r="H1580" s="1369">
        <v>2.27</v>
      </c>
      <c r="I1580" s="1369">
        <v>0.45</v>
      </c>
      <c r="J1580" s="1369">
        <v>3.92</v>
      </c>
      <c r="K1580" s="1369">
        <v>0.68</v>
      </c>
      <c r="L1580" s="1369">
        <v>56.3</v>
      </c>
    </row>
    <row r="1581" spans="1:17" s="1369" customFormat="1" x14ac:dyDescent="0.25">
      <c r="A1581" s="1367">
        <v>109105</v>
      </c>
      <c r="B1581" s="1368">
        <v>50</v>
      </c>
      <c r="C1581" s="1369" t="s">
        <v>476</v>
      </c>
      <c r="D1581" s="1369">
        <v>8.1199999999999992</v>
      </c>
      <c r="E1581" s="1647">
        <v>1.954</v>
      </c>
      <c r="F1581" s="1647">
        <v>1.4570400000000001</v>
      </c>
      <c r="G1581" s="1369">
        <v>0.43</v>
      </c>
      <c r="H1581" s="1369">
        <v>1.52</v>
      </c>
      <c r="I1581" s="1369">
        <v>0.19</v>
      </c>
      <c r="J1581" s="1369">
        <v>3.83</v>
      </c>
      <c r="K1581" s="1369">
        <v>0.68</v>
      </c>
      <c r="L1581" s="1369">
        <v>46.1</v>
      </c>
    </row>
    <row r="1582" spans="1:17" s="1369" customFormat="1" x14ac:dyDescent="0.25">
      <c r="A1582" s="1367">
        <v>109106</v>
      </c>
      <c r="B1582" s="1368">
        <v>58</v>
      </c>
      <c r="C1582" s="1369" t="s">
        <v>476</v>
      </c>
      <c r="D1582" s="1369">
        <v>7.54</v>
      </c>
      <c r="E1582" s="1369">
        <v>6.93</v>
      </c>
      <c r="F1582" s="1647">
        <v>3.8107200000000003</v>
      </c>
      <c r="G1582" s="1369">
        <v>1.04</v>
      </c>
      <c r="H1582" s="1369">
        <v>2.4500000000000002</v>
      </c>
      <c r="I1582" s="1369">
        <v>0.33</v>
      </c>
      <c r="J1582" s="1369">
        <v>3.02</v>
      </c>
      <c r="K1582" s="1369">
        <v>0.73</v>
      </c>
      <c r="L1582" s="1369">
        <v>79.2</v>
      </c>
    </row>
    <row r="1583" spans="1:17" s="1369" customFormat="1" x14ac:dyDescent="0.25">
      <c r="A1583" s="1367">
        <v>109107</v>
      </c>
      <c r="B1583" s="1368">
        <v>50</v>
      </c>
      <c r="C1583" s="1369" t="s">
        <v>476</v>
      </c>
      <c r="D1583" s="1369">
        <v>8.61</v>
      </c>
      <c r="E1583" s="1369">
        <v>1.75</v>
      </c>
      <c r="F1583" s="1647">
        <v>1.8213000000000001</v>
      </c>
      <c r="G1583" s="1369">
        <v>0.47</v>
      </c>
      <c r="H1583" s="1369">
        <v>1.86</v>
      </c>
      <c r="I1583" s="1369">
        <v>0.26</v>
      </c>
      <c r="J1583" s="1369">
        <v>4.6500000000000004</v>
      </c>
      <c r="K1583" s="1369">
        <v>1.03</v>
      </c>
      <c r="L1583" s="1369">
        <v>58</v>
      </c>
    </row>
    <row r="1584" spans="1:17" s="1369" customFormat="1" x14ac:dyDescent="0.25">
      <c r="A1584" s="1367">
        <v>109108</v>
      </c>
      <c r="B1584" s="1368">
        <v>69</v>
      </c>
      <c r="C1584" s="1369" t="s">
        <v>476</v>
      </c>
      <c r="F1584" s="1647"/>
      <c r="L1584" s="1369">
        <v>51.3</v>
      </c>
    </row>
    <row r="1585" spans="1:12" s="1369" customFormat="1" x14ac:dyDescent="0.25">
      <c r="A1585" s="1367">
        <v>109109</v>
      </c>
      <c r="B1585" s="1368">
        <v>70</v>
      </c>
      <c r="C1585" s="1369" t="s">
        <v>476</v>
      </c>
      <c r="F1585" s="1647"/>
      <c r="L1585" s="1369">
        <v>46.9</v>
      </c>
    </row>
    <row r="1586" spans="1:12" s="1369" customFormat="1" x14ac:dyDescent="0.25">
      <c r="A1586" s="1367">
        <v>109110</v>
      </c>
      <c r="B1586" s="1368">
        <v>72</v>
      </c>
      <c r="C1586" s="1369" t="s">
        <v>476</v>
      </c>
      <c r="F1586" s="1647"/>
      <c r="L1586" s="1369">
        <v>64.599999999999994</v>
      </c>
    </row>
    <row r="1587" spans="1:12" s="1369" customFormat="1" x14ac:dyDescent="0.25">
      <c r="A1587" s="1367">
        <v>109111</v>
      </c>
      <c r="B1587" s="1368">
        <v>51</v>
      </c>
      <c r="C1587" s="1369" t="s">
        <v>476</v>
      </c>
      <c r="D1587" s="1369">
        <v>9.26</v>
      </c>
      <c r="E1587" s="1369">
        <v>5.37</v>
      </c>
      <c r="F1587" s="1647">
        <v>2.4097199999999996</v>
      </c>
      <c r="G1587" s="1369">
        <v>0.4</v>
      </c>
      <c r="H1587" s="1369">
        <v>2.7</v>
      </c>
      <c r="I1587" s="1369">
        <v>0.86</v>
      </c>
      <c r="J1587" s="1369">
        <v>5.54</v>
      </c>
      <c r="K1587" s="1369">
        <v>0.54</v>
      </c>
      <c r="L1587" s="1369">
        <v>54.2</v>
      </c>
    </row>
    <row r="1588" spans="1:12" s="1369" customFormat="1" x14ac:dyDescent="0.25">
      <c r="A1588" s="1367">
        <v>109112</v>
      </c>
      <c r="B1588" s="1368">
        <v>25</v>
      </c>
      <c r="C1588" s="1369" t="s">
        <v>476</v>
      </c>
      <c r="D1588" s="1369">
        <v>8.59</v>
      </c>
      <c r="E1588" s="1369">
        <v>2.6320000000000001</v>
      </c>
      <c r="F1588" s="1647">
        <v>3.3343800000000003</v>
      </c>
      <c r="G1588" s="1369">
        <v>0.64</v>
      </c>
      <c r="H1588" s="1369">
        <v>1.56</v>
      </c>
      <c r="I1588" s="1369">
        <v>0.65</v>
      </c>
      <c r="J1588" s="1369">
        <v>3.82</v>
      </c>
      <c r="K1588" s="1369">
        <v>0.59</v>
      </c>
      <c r="L1588" s="1369">
        <v>65.099999999999994</v>
      </c>
    </row>
    <row r="1589" spans="1:12" s="1369" customFormat="1" x14ac:dyDescent="0.25">
      <c r="A1589" s="1367">
        <v>109113</v>
      </c>
      <c r="B1589" s="1368">
        <v>32</v>
      </c>
      <c r="C1589" s="1369" t="s">
        <v>476</v>
      </c>
      <c r="D1589" s="1369">
        <v>8.81</v>
      </c>
      <c r="E1589" s="1369">
        <v>2.633</v>
      </c>
      <c r="F1589" s="1647">
        <v>2.4097199999999996</v>
      </c>
      <c r="G1589" s="1369">
        <v>0.69</v>
      </c>
      <c r="H1589" s="1369">
        <v>2.38</v>
      </c>
      <c r="I1589" s="1369">
        <v>0.77</v>
      </c>
      <c r="J1589" s="1369">
        <v>5.05</v>
      </c>
      <c r="K1589" s="1369">
        <v>0.6</v>
      </c>
      <c r="L1589" s="1369">
        <v>58</v>
      </c>
    </row>
    <row r="1590" spans="1:12" s="1369" customFormat="1" x14ac:dyDescent="0.25">
      <c r="A1590" s="1367">
        <v>109114</v>
      </c>
      <c r="B1590" s="1368">
        <v>40</v>
      </c>
      <c r="C1590" s="1369" t="s">
        <v>476</v>
      </c>
      <c r="D1590" s="1369">
        <v>8.4</v>
      </c>
      <c r="E1590" s="1369">
        <v>2.4089999999999998</v>
      </c>
      <c r="F1590" s="1647">
        <v>1.6251600000000002</v>
      </c>
      <c r="G1590" s="1369">
        <v>0.62</v>
      </c>
      <c r="H1590" s="1369">
        <v>1.6</v>
      </c>
      <c r="I1590" s="1369">
        <v>0.48</v>
      </c>
      <c r="J1590" s="1369">
        <v>8.57</v>
      </c>
      <c r="K1590" s="1369">
        <v>2.2799999999999998</v>
      </c>
      <c r="L1590" s="1369">
        <v>46.7</v>
      </c>
    </row>
    <row r="1591" spans="1:12" s="1369" customFormat="1" x14ac:dyDescent="0.25">
      <c r="A1591" s="1367">
        <v>109115</v>
      </c>
      <c r="B1591" s="1368">
        <v>36</v>
      </c>
      <c r="C1591" s="1369" t="s">
        <v>476</v>
      </c>
      <c r="D1591" s="1369">
        <v>8.4499999999999993</v>
      </c>
      <c r="E1591" s="1369">
        <v>1.089</v>
      </c>
      <c r="F1591" s="1647">
        <v>1.87734</v>
      </c>
      <c r="G1591" s="1369">
        <v>0.46</v>
      </c>
      <c r="H1591" s="1369">
        <v>1.17</v>
      </c>
      <c r="I1591" s="1369">
        <v>0.3</v>
      </c>
      <c r="J1591" s="1369">
        <v>3.73</v>
      </c>
      <c r="K1591" s="1369">
        <v>0.68</v>
      </c>
      <c r="L1591" s="1369">
        <v>52.5</v>
      </c>
    </row>
    <row r="1592" spans="1:12" s="1369" customFormat="1" x14ac:dyDescent="0.25">
      <c r="A1592" s="1367">
        <v>109116</v>
      </c>
      <c r="B1592" s="1368">
        <v>97</v>
      </c>
      <c r="C1592" s="1369" t="s">
        <v>477</v>
      </c>
      <c r="F1592" s="1647">
        <v>8.1538199999999996</v>
      </c>
    </row>
    <row r="1593" spans="1:12" s="1369" customFormat="1" x14ac:dyDescent="0.25">
      <c r="A1593" s="1367">
        <v>109117</v>
      </c>
      <c r="B1593" s="1368">
        <v>61</v>
      </c>
      <c r="C1593" s="1369" t="s">
        <v>477</v>
      </c>
      <c r="F1593" s="1647"/>
      <c r="L1593" s="1369">
        <v>41.4</v>
      </c>
    </row>
    <row r="1594" spans="1:12" s="1369" customFormat="1" x14ac:dyDescent="0.25">
      <c r="A1594" s="1367">
        <v>109118</v>
      </c>
      <c r="B1594" s="1368">
        <v>67</v>
      </c>
      <c r="C1594" s="1369" t="s">
        <v>476</v>
      </c>
      <c r="D1594" s="1369">
        <v>8.16</v>
      </c>
      <c r="E1594" s="1369">
        <v>9.44</v>
      </c>
      <c r="F1594" s="1369">
        <v>2.69</v>
      </c>
      <c r="G1594" s="1369">
        <v>2.64</v>
      </c>
      <c r="H1594" s="1369">
        <v>2.67</v>
      </c>
      <c r="I1594" s="1369">
        <v>0.53</v>
      </c>
      <c r="J1594" s="1369">
        <v>9.0399999999999991</v>
      </c>
      <c r="K1594" s="1369">
        <v>0.96</v>
      </c>
      <c r="L1594" s="1369">
        <v>46</v>
      </c>
    </row>
    <row r="1595" spans="1:12" s="1369" customFormat="1" x14ac:dyDescent="0.25">
      <c r="A1595" s="1367">
        <v>109119</v>
      </c>
      <c r="B1595" s="1368"/>
      <c r="D1595" s="1369">
        <v>9.19</v>
      </c>
      <c r="E1595" s="1369">
        <v>3.12</v>
      </c>
    </row>
    <row r="1596" spans="1:12" s="1369" customFormat="1" x14ac:dyDescent="0.25">
      <c r="A1596" s="1367">
        <v>109120</v>
      </c>
      <c r="B1596" s="1368">
        <v>76</v>
      </c>
      <c r="C1596" s="1369" t="s">
        <v>476</v>
      </c>
      <c r="D1596" s="1369">
        <v>8.0299999999999994</v>
      </c>
      <c r="E1596" s="1369">
        <v>0.80600000000000005</v>
      </c>
      <c r="F1596" s="1369">
        <v>1.06</v>
      </c>
      <c r="G1596" s="1369">
        <v>0.16</v>
      </c>
      <c r="H1596" s="1369">
        <v>0.74</v>
      </c>
      <c r="I1596" s="1369">
        <v>0.11</v>
      </c>
      <c r="J1596" s="1369">
        <v>3.67</v>
      </c>
      <c r="K1596" s="1369">
        <v>0.46</v>
      </c>
      <c r="L1596" s="1369">
        <v>72.900000000000006</v>
      </c>
    </row>
    <row r="1597" spans="1:12" s="1369" customFormat="1" x14ac:dyDescent="0.25">
      <c r="A1597" s="1367">
        <v>109121</v>
      </c>
      <c r="B1597" s="1368"/>
      <c r="D1597" s="1369">
        <v>9.2200000000000006</v>
      </c>
      <c r="E1597" s="1369">
        <v>2.4700000000000002</v>
      </c>
    </row>
    <row r="1598" spans="1:12" s="1369" customFormat="1" x14ac:dyDescent="0.25">
      <c r="A1598" s="1367">
        <v>109122</v>
      </c>
      <c r="B1598" s="1368"/>
      <c r="D1598" s="1369">
        <v>8.51</v>
      </c>
      <c r="E1598" s="1369">
        <v>2.4500000000000002</v>
      </c>
    </row>
    <row r="1599" spans="1:12" s="1369" customFormat="1" x14ac:dyDescent="0.25">
      <c r="A1599" s="1367">
        <v>109123</v>
      </c>
      <c r="B1599" s="1368"/>
      <c r="D1599" s="1369">
        <v>7.77</v>
      </c>
      <c r="E1599" s="1369">
        <v>0.60499999999999998</v>
      </c>
    </row>
    <row r="1600" spans="1:12" s="651" customFormat="1" x14ac:dyDescent="0.25">
      <c r="A1600" s="1058">
        <v>109124</v>
      </c>
      <c r="B1600" s="1059">
        <v>8</v>
      </c>
      <c r="C1600" s="1075" t="s">
        <v>477</v>
      </c>
      <c r="D1600" s="1060">
        <v>6.76</v>
      </c>
      <c r="E1600" s="1060">
        <v>41.2</v>
      </c>
      <c r="F1600" s="1075">
        <v>5.5479599999999998</v>
      </c>
      <c r="G1600" s="1060">
        <v>0.47</v>
      </c>
      <c r="H1600" s="1060">
        <v>10.71</v>
      </c>
      <c r="I1600" s="1060">
        <v>1.64</v>
      </c>
      <c r="J1600" s="1060">
        <v>1.69</v>
      </c>
      <c r="K1600" s="1060">
        <v>1.01</v>
      </c>
      <c r="L1600" s="1060">
        <v>63.3</v>
      </c>
    </row>
    <row r="1601" spans="1:16" s="651" customFormat="1" x14ac:dyDescent="0.25">
      <c r="A1601" s="1058">
        <v>109125</v>
      </c>
      <c r="B1601" s="1059">
        <v>8</v>
      </c>
      <c r="C1601" s="1075" t="s">
        <v>477</v>
      </c>
      <c r="D1601" s="1060">
        <v>6.84</v>
      </c>
      <c r="E1601" s="1060">
        <v>41.2</v>
      </c>
      <c r="F1601" s="1075">
        <v>5.5199400000000001</v>
      </c>
      <c r="G1601" s="1060">
        <v>0.44</v>
      </c>
      <c r="H1601" s="1060">
        <v>10.94</v>
      </c>
      <c r="I1601" s="1060">
        <v>1.68</v>
      </c>
      <c r="J1601" s="1060">
        <v>1.61</v>
      </c>
      <c r="K1601" s="1060">
        <v>1</v>
      </c>
      <c r="L1601" s="1060">
        <v>62.1</v>
      </c>
    </row>
    <row r="1602" spans="1:16" s="651" customFormat="1" x14ac:dyDescent="0.25">
      <c r="A1602" s="1058">
        <v>109126</v>
      </c>
      <c r="B1602" s="1059">
        <v>8</v>
      </c>
      <c r="C1602" s="1075" t="s">
        <v>477</v>
      </c>
      <c r="D1602" s="1060">
        <v>6.76</v>
      </c>
      <c r="E1602" s="1060">
        <v>36.200000000000003</v>
      </c>
      <c r="F1602" s="1075">
        <v>5.9402399999999993</v>
      </c>
      <c r="G1602" s="1060">
        <v>0.67</v>
      </c>
      <c r="H1602" s="1060">
        <v>9.11</v>
      </c>
      <c r="I1602" s="1060">
        <v>1.36</v>
      </c>
      <c r="J1602" s="1060">
        <v>2.21</v>
      </c>
      <c r="K1602" s="1060">
        <v>1.04</v>
      </c>
      <c r="L1602" s="1060">
        <v>66.5</v>
      </c>
    </row>
    <row r="1603" spans="1:16" s="651" customFormat="1" x14ac:dyDescent="0.25">
      <c r="A1603" s="1058">
        <v>109127</v>
      </c>
      <c r="B1603" s="1059">
        <v>8</v>
      </c>
      <c r="C1603" s="1075" t="s">
        <v>477</v>
      </c>
      <c r="D1603" s="1060">
        <v>6.79</v>
      </c>
      <c r="E1603" s="1060">
        <v>36.200000000000003</v>
      </c>
      <c r="F1603" s="1075">
        <v>6.1083599999999993</v>
      </c>
      <c r="G1603" s="1060">
        <v>0.54</v>
      </c>
      <c r="H1603" s="1060">
        <v>9.27</v>
      </c>
      <c r="I1603" s="1060">
        <v>1.39</v>
      </c>
      <c r="J1603" s="1060">
        <v>1.86</v>
      </c>
      <c r="K1603" s="1060">
        <v>1.01</v>
      </c>
      <c r="L1603" s="1060">
        <v>66.900000000000006</v>
      </c>
    </row>
    <row r="1604" spans="1:16" s="651" customFormat="1" x14ac:dyDescent="0.25">
      <c r="A1604" s="1058">
        <v>109128</v>
      </c>
      <c r="B1604" s="1059">
        <v>8</v>
      </c>
      <c r="C1604" s="1075" t="s">
        <v>477</v>
      </c>
      <c r="D1604" s="1060">
        <v>6.86</v>
      </c>
      <c r="E1604" s="1060">
        <v>38.799999999999997</v>
      </c>
      <c r="F1604" s="1075">
        <v>5.968259999999999</v>
      </c>
      <c r="G1604" s="1060">
        <v>0.45</v>
      </c>
      <c r="H1604" s="1060">
        <v>10.07</v>
      </c>
      <c r="I1604" s="1060">
        <v>1.5</v>
      </c>
      <c r="J1604" s="1060">
        <v>1.6</v>
      </c>
      <c r="K1604" s="1060">
        <v>1.06</v>
      </c>
      <c r="L1604" s="1060">
        <v>66.5</v>
      </c>
    </row>
    <row r="1605" spans="1:16" s="651" customFormat="1" x14ac:dyDescent="0.25">
      <c r="A1605" s="1058">
        <v>109129</v>
      </c>
      <c r="B1605" s="1059">
        <v>8</v>
      </c>
      <c r="C1605" s="1075" t="s">
        <v>477</v>
      </c>
      <c r="D1605" s="1060">
        <v>6.75</v>
      </c>
      <c r="E1605" s="1060">
        <v>38.4</v>
      </c>
      <c r="F1605" s="1075">
        <v>5.8841999999999999</v>
      </c>
      <c r="G1605" s="1060">
        <v>0.61</v>
      </c>
      <c r="H1605" s="1060">
        <v>9.42</v>
      </c>
      <c r="I1605" s="1060">
        <v>1.42</v>
      </c>
      <c r="J1605" s="1060">
        <v>2.06</v>
      </c>
      <c r="K1605" s="1060">
        <v>1.08</v>
      </c>
      <c r="L1605" s="1060">
        <v>66.3</v>
      </c>
    </row>
    <row r="1606" spans="1:16" s="1673" customFormat="1" x14ac:dyDescent="0.25">
      <c r="A1606" s="1671">
        <v>109130</v>
      </c>
      <c r="B1606" s="1672">
        <v>33</v>
      </c>
      <c r="C1606" s="1673" t="s">
        <v>477</v>
      </c>
      <c r="D1606" s="1673">
        <v>7.61</v>
      </c>
      <c r="E1606" s="1673">
        <v>6.31</v>
      </c>
      <c r="F1606" s="1673">
        <v>3.31</v>
      </c>
      <c r="G1606" s="1673">
        <v>1.89</v>
      </c>
      <c r="H1606" s="1673">
        <v>2.87</v>
      </c>
      <c r="I1606" s="1673">
        <v>0.41</v>
      </c>
      <c r="J1606" s="1673">
        <v>5.48</v>
      </c>
      <c r="K1606" s="1673">
        <v>1.03</v>
      </c>
      <c r="L1606" s="1673">
        <v>62.5</v>
      </c>
    </row>
    <row r="1607" spans="1:16" s="1673" customFormat="1" x14ac:dyDescent="0.25">
      <c r="A1607" s="1671">
        <v>109131</v>
      </c>
      <c r="B1607" s="1672">
        <v>31</v>
      </c>
      <c r="C1607" s="1673" t="s">
        <v>477</v>
      </c>
      <c r="D1607" s="1673">
        <v>7.67</v>
      </c>
      <c r="E1607" s="1673">
        <v>6.65</v>
      </c>
      <c r="F1607" s="1673">
        <v>3.5</v>
      </c>
      <c r="G1607" s="1673">
        <v>1.66</v>
      </c>
      <c r="H1607" s="1673">
        <v>2.27</v>
      </c>
      <c r="I1607" s="1673">
        <v>0.39</v>
      </c>
      <c r="J1607" s="1673">
        <v>4.8499999999999996</v>
      </c>
      <c r="K1607" s="1673">
        <v>0.93</v>
      </c>
      <c r="L1607" s="1673">
        <v>62.4</v>
      </c>
    </row>
    <row r="1608" spans="1:16" s="1673" customFormat="1" x14ac:dyDescent="0.25">
      <c r="A1608" s="1671">
        <v>109132</v>
      </c>
      <c r="B1608" s="1672">
        <v>31</v>
      </c>
      <c r="C1608" s="1673" t="s">
        <v>477</v>
      </c>
      <c r="D1608" s="1673">
        <v>7.55</v>
      </c>
      <c r="E1608" s="1673">
        <v>5.01</v>
      </c>
      <c r="F1608" s="1673">
        <v>3.47</v>
      </c>
      <c r="G1608" s="1673">
        <v>1.94</v>
      </c>
      <c r="H1608" s="1673">
        <v>2.25</v>
      </c>
      <c r="I1608" s="1673">
        <v>0.34</v>
      </c>
      <c r="J1608" s="1673">
        <v>5.53</v>
      </c>
      <c r="K1608" s="1673">
        <v>1.04</v>
      </c>
      <c r="L1608" s="1673">
        <v>64.400000000000006</v>
      </c>
    </row>
    <row r="1609" spans="1:16" s="1673" customFormat="1" x14ac:dyDescent="0.25">
      <c r="A1609" s="1671">
        <v>109133</v>
      </c>
      <c r="B1609" s="1672">
        <v>32</v>
      </c>
      <c r="C1609" s="1673" t="s">
        <v>477</v>
      </c>
      <c r="D1609" s="1673">
        <v>8.09</v>
      </c>
      <c r="E1609" s="1673">
        <v>5.0999999999999996</v>
      </c>
      <c r="F1609" s="1673">
        <v>3.31</v>
      </c>
      <c r="G1609" s="1673">
        <v>2</v>
      </c>
      <c r="H1609" s="1673">
        <v>2.1</v>
      </c>
      <c r="I1609" s="1673">
        <v>0.32</v>
      </c>
      <c r="J1609" s="1673">
        <v>5.64</v>
      </c>
      <c r="K1609" s="1673">
        <v>1.04</v>
      </c>
      <c r="L1609" s="1673">
        <v>64.599999999999994</v>
      </c>
    </row>
    <row r="1610" spans="1:16" s="1673" customFormat="1" x14ac:dyDescent="0.25">
      <c r="A1610" s="1671">
        <v>109134</v>
      </c>
      <c r="B1610" s="1672">
        <v>31</v>
      </c>
      <c r="C1610" s="1673" t="s">
        <v>477</v>
      </c>
      <c r="D1610" s="1673">
        <v>7.45</v>
      </c>
      <c r="E1610" s="1673">
        <v>6.55</v>
      </c>
      <c r="F1610" s="1673">
        <v>3.61</v>
      </c>
      <c r="G1610" s="1673">
        <v>1.96</v>
      </c>
      <c r="H1610" s="1673">
        <v>2.54</v>
      </c>
      <c r="I1610" s="1673">
        <v>0.38</v>
      </c>
      <c r="J1610" s="1673">
        <v>5.23</v>
      </c>
      <c r="K1610" s="1673">
        <v>0.99</v>
      </c>
      <c r="L1610" s="1673">
        <v>66.3</v>
      </c>
    </row>
    <row r="1611" spans="1:16" s="1673" customFormat="1" x14ac:dyDescent="0.25">
      <c r="A1611" s="1671">
        <v>109135</v>
      </c>
      <c r="B1611" s="1672">
        <v>33</v>
      </c>
      <c r="C1611" s="1673" t="s">
        <v>477</v>
      </c>
      <c r="D1611" s="1673">
        <v>8.15</v>
      </c>
      <c r="E1611" s="1673">
        <v>4.6399999999999997</v>
      </c>
      <c r="F1611" s="1673">
        <v>3.73</v>
      </c>
      <c r="G1611" s="1673">
        <v>2</v>
      </c>
      <c r="H1611" s="1673">
        <v>2.29</v>
      </c>
      <c r="I1611" s="1673">
        <v>0.34</v>
      </c>
      <c r="J1611" s="1673">
        <v>5.76</v>
      </c>
      <c r="K1611" s="1673">
        <v>1.03</v>
      </c>
      <c r="L1611" s="1673">
        <v>63.8</v>
      </c>
    </row>
    <row r="1612" spans="1:16" s="651" customFormat="1" x14ac:dyDescent="0.25">
      <c r="A1612" s="1058">
        <v>109136</v>
      </c>
      <c r="B1612" s="1059">
        <v>8</v>
      </c>
      <c r="C1612" s="1060" t="s">
        <v>477</v>
      </c>
      <c r="D1612" s="1060">
        <v>6.62</v>
      </c>
      <c r="E1612" s="1060">
        <v>41.4</v>
      </c>
      <c r="F1612" s="1075">
        <v>5.1556800000000003</v>
      </c>
      <c r="G1612" s="1060">
        <v>0.36</v>
      </c>
      <c r="H1612" s="1060">
        <v>11.73</v>
      </c>
      <c r="I1612" s="1060">
        <v>1.8</v>
      </c>
      <c r="J1612" s="1060">
        <v>1.57</v>
      </c>
      <c r="K1612" s="1060">
        <v>1.37</v>
      </c>
      <c r="L1612" s="1060">
        <v>62.3</v>
      </c>
    </row>
    <row r="1613" spans="1:16" s="651" customFormat="1" x14ac:dyDescent="0.25">
      <c r="A1613" s="1058">
        <v>109137</v>
      </c>
      <c r="B1613" s="1059">
        <v>8</v>
      </c>
      <c r="C1613" s="1060" t="s">
        <v>477</v>
      </c>
      <c r="D1613" s="1060">
        <v>6.62</v>
      </c>
      <c r="E1613" s="1060">
        <v>40.299999999999997</v>
      </c>
      <c r="F1613" s="1075">
        <v>4.9875599999999993</v>
      </c>
      <c r="G1613" s="1060">
        <v>0.52</v>
      </c>
      <c r="H1613" s="1060">
        <v>11.03</v>
      </c>
      <c r="I1613" s="1060">
        <v>1.7</v>
      </c>
      <c r="J1613" s="1060">
        <v>2.0299999999999998</v>
      </c>
      <c r="K1613" s="1060">
        <v>1.4</v>
      </c>
      <c r="L1613" s="1060">
        <v>62.5</v>
      </c>
    </row>
    <row r="1614" spans="1:16" s="1673" customFormat="1" x14ac:dyDescent="0.25">
      <c r="A1614" s="1671">
        <v>109138</v>
      </c>
      <c r="B1614" s="1672">
        <v>34</v>
      </c>
      <c r="C1614" s="747" t="s">
        <v>477</v>
      </c>
      <c r="D1614" s="1673">
        <v>7.48</v>
      </c>
      <c r="E1614" s="1673">
        <v>6.16</v>
      </c>
      <c r="F1614" s="2042">
        <v>3.3343800000000003</v>
      </c>
      <c r="G1614" s="1673">
        <v>1.88</v>
      </c>
      <c r="H1614" s="1673">
        <v>2.62</v>
      </c>
      <c r="I1614" s="1673">
        <v>0.39</v>
      </c>
      <c r="J1614" s="1673">
        <v>5.55</v>
      </c>
      <c r="K1614" s="1673">
        <v>1.03</v>
      </c>
      <c r="L1614" s="1673">
        <v>62.6</v>
      </c>
    </row>
    <row r="1615" spans="1:16" s="1673" customFormat="1" x14ac:dyDescent="0.25">
      <c r="A1615" s="1671">
        <v>109139</v>
      </c>
      <c r="B1615" s="1672">
        <v>33</v>
      </c>
      <c r="C1615" s="747" t="s">
        <v>477</v>
      </c>
      <c r="D1615" s="1673">
        <v>7.61</v>
      </c>
      <c r="E1615" s="1673">
        <v>6.36</v>
      </c>
      <c r="F1615" s="2042">
        <v>3.3623999999999996</v>
      </c>
      <c r="G1615" s="1673">
        <v>1.89</v>
      </c>
      <c r="H1615" s="1673">
        <v>2.59</v>
      </c>
      <c r="I1615" s="1673">
        <v>0.38</v>
      </c>
      <c r="J1615" s="1673">
        <v>5.46</v>
      </c>
      <c r="K1615" s="1673">
        <v>1</v>
      </c>
      <c r="L1615" s="1673">
        <v>62.9</v>
      </c>
    </row>
    <row r="1616" spans="1:16" s="651" customFormat="1" x14ac:dyDescent="0.25">
      <c r="A1616" s="1247">
        <v>109140</v>
      </c>
      <c r="B1616" s="1248">
        <v>0.31</v>
      </c>
      <c r="C1616" s="747" t="s">
        <v>477</v>
      </c>
      <c r="D1616" s="651">
        <v>7.83</v>
      </c>
      <c r="E1616" s="651">
        <v>3.94</v>
      </c>
      <c r="F1616" s="1291">
        <v>19.35483870967742</v>
      </c>
      <c r="G1616" s="1291">
        <v>0.32258064516129031</v>
      </c>
      <c r="H1616" s="1291">
        <v>12.903225806451614</v>
      </c>
      <c r="I1616" s="1291">
        <v>9.67741935483871</v>
      </c>
      <c r="J1616" s="1291">
        <v>3.2258064516129035</v>
      </c>
      <c r="K1616" s="1291">
        <v>3.2258064516129035</v>
      </c>
      <c r="L1616" s="651">
        <v>30.5</v>
      </c>
      <c r="M1616" s="1291">
        <v>67.741935483870961</v>
      </c>
      <c r="N1616" s="1291">
        <v>48.387096774193552</v>
      </c>
      <c r="O1616" s="1291">
        <v>45.161290322580648</v>
      </c>
      <c r="P1616" s="1291">
        <v>1070.9677419354839</v>
      </c>
    </row>
    <row r="1617" spans="1:31" x14ac:dyDescent="0.25">
      <c r="A1617" s="1671">
        <v>109141</v>
      </c>
      <c r="B1617" s="34">
        <v>63</v>
      </c>
      <c r="C1617" s="747" t="s">
        <v>476</v>
      </c>
      <c r="F1617" s="36"/>
      <c r="G1617" s="36"/>
      <c r="H1617" s="36"/>
      <c r="I1617" s="36"/>
      <c r="J1617" s="36"/>
      <c r="K1617" s="36"/>
      <c r="L1617" s="35">
        <v>46.2</v>
      </c>
      <c r="M1617" s="36"/>
      <c r="N1617" s="36"/>
      <c r="O1617" s="36"/>
      <c r="P1617" s="36"/>
      <c r="AE1617" s="35">
        <v>0</v>
      </c>
    </row>
    <row r="1618" spans="1:31" s="1673" customFormat="1" x14ac:dyDescent="0.25">
      <c r="A1618" s="1671">
        <v>109142</v>
      </c>
      <c r="B1618" s="1672"/>
      <c r="C1618" s="747" t="s">
        <v>476</v>
      </c>
      <c r="D1618" s="1673">
        <v>8.9</v>
      </c>
      <c r="E1618" s="1673">
        <v>2.198</v>
      </c>
    </row>
    <row r="1619" spans="1:31" x14ac:dyDescent="0.25">
      <c r="A1619" s="1671">
        <v>109143</v>
      </c>
      <c r="B1619" s="34">
        <v>80</v>
      </c>
      <c r="C1619" s="35" t="s">
        <v>476</v>
      </c>
      <c r="D1619" s="35">
        <v>8.6199999999999992</v>
      </c>
      <c r="E1619" s="35">
        <v>5.89</v>
      </c>
      <c r="F1619" s="35">
        <v>2.75</v>
      </c>
      <c r="G1619" s="35">
        <v>1.67</v>
      </c>
      <c r="H1619" s="35">
        <v>2.2999999999999998</v>
      </c>
      <c r="I1619" s="35">
        <v>0.49</v>
      </c>
      <c r="J1619" s="35">
        <v>7.34</v>
      </c>
      <c r="K1619" s="35">
        <v>0.72</v>
      </c>
      <c r="L1619" s="35">
        <v>65.3</v>
      </c>
    </row>
    <row r="1620" spans="1:31" s="2076" customFormat="1" x14ac:dyDescent="0.25">
      <c r="A1620" s="2074">
        <v>109144</v>
      </c>
      <c r="B1620" s="2073">
        <v>5</v>
      </c>
      <c r="C1620" s="2076" t="s">
        <v>477</v>
      </c>
      <c r="D1620" s="2076">
        <v>6.73</v>
      </c>
      <c r="E1620" s="2076">
        <v>21.1</v>
      </c>
      <c r="F1620" s="2079">
        <v>7.2291599999999994</v>
      </c>
      <c r="G1620" s="2076">
        <v>1.25</v>
      </c>
      <c r="H1620" s="2076">
        <v>9.5399999999999991</v>
      </c>
      <c r="I1620" s="2076">
        <v>1.42</v>
      </c>
      <c r="J1620" s="2076">
        <v>3.52</v>
      </c>
      <c r="K1620" s="2076">
        <v>0.92</v>
      </c>
      <c r="L1620" s="2076">
        <v>64.7</v>
      </c>
      <c r="M1620" s="2079"/>
      <c r="N1620" s="2079"/>
    </row>
    <row r="1621" spans="1:31" s="2076" customFormat="1" x14ac:dyDescent="0.25">
      <c r="A1621" s="2074">
        <v>109145</v>
      </c>
      <c r="B1621" s="2073">
        <v>3</v>
      </c>
      <c r="C1621" s="2076" t="s">
        <v>477</v>
      </c>
      <c r="D1621" s="2076">
        <v>7</v>
      </c>
      <c r="E1621" s="2076">
        <v>17.440000000000001</v>
      </c>
      <c r="F1621" s="2079">
        <v>9.1532</v>
      </c>
      <c r="G1621" s="2076">
        <v>0.23</v>
      </c>
      <c r="H1621" s="2076">
        <v>15.43</v>
      </c>
      <c r="I1621" s="2076">
        <v>1.82</v>
      </c>
      <c r="J1621" s="2076">
        <v>0.73</v>
      </c>
      <c r="K1621" s="2076">
        <v>0.6</v>
      </c>
      <c r="L1621" s="2076">
        <v>65.099999999999994</v>
      </c>
      <c r="M1621" s="2079"/>
      <c r="N1621" s="2079"/>
    </row>
    <row r="1622" spans="1:31" s="2076" customFormat="1" x14ac:dyDescent="0.25">
      <c r="A1622" s="2074">
        <v>109146</v>
      </c>
      <c r="B1622" s="2073">
        <v>4</v>
      </c>
      <c r="C1622" s="2076" t="s">
        <v>477</v>
      </c>
      <c r="D1622" s="2076">
        <v>6.63</v>
      </c>
      <c r="E1622" s="2076">
        <v>22.14</v>
      </c>
      <c r="F1622" s="2079">
        <v>8.5461000000000009</v>
      </c>
      <c r="G1622" s="2076">
        <v>0.42</v>
      </c>
      <c r="H1622" s="2076">
        <v>11.79</v>
      </c>
      <c r="I1622" s="2076">
        <v>1.72</v>
      </c>
      <c r="J1622" s="2076">
        <v>1.35</v>
      </c>
      <c r="K1622" s="2076">
        <v>0.8</v>
      </c>
      <c r="L1622" s="2076">
        <v>65.900000000000006</v>
      </c>
      <c r="M1622" s="2079"/>
      <c r="N1622" s="2079"/>
    </row>
    <row r="1623" spans="1:31" s="2076" customFormat="1" x14ac:dyDescent="0.25">
      <c r="A1623" s="2074">
        <v>109147</v>
      </c>
      <c r="B1623" s="2073">
        <v>3</v>
      </c>
      <c r="C1623" s="2076" t="s">
        <v>477</v>
      </c>
      <c r="D1623" s="2076">
        <v>6.99</v>
      </c>
      <c r="E1623" s="2076">
        <v>20.45</v>
      </c>
      <c r="F1623" s="2079">
        <v>8.8730000000000011</v>
      </c>
      <c r="G1623" s="2076">
        <v>0.26</v>
      </c>
      <c r="H1623" s="2076">
        <v>13.51</v>
      </c>
      <c r="I1623" s="2076">
        <v>1.96</v>
      </c>
      <c r="J1623" s="2076">
        <v>0.78</v>
      </c>
      <c r="K1623" s="2076">
        <v>0.8</v>
      </c>
      <c r="L1623" s="2076">
        <v>63.8</v>
      </c>
      <c r="M1623" s="2079"/>
      <c r="N1623" s="2079"/>
    </row>
    <row r="1624" spans="1:31" s="2076" customFormat="1" x14ac:dyDescent="0.25">
      <c r="A1624" s="2074">
        <v>109148</v>
      </c>
      <c r="B1624" s="2073">
        <v>3</v>
      </c>
      <c r="C1624" s="2076" t="s">
        <v>477</v>
      </c>
      <c r="D1624" s="2076">
        <v>6.94</v>
      </c>
      <c r="E1624" s="2076">
        <v>17.600000000000001</v>
      </c>
      <c r="F1624" s="2079">
        <v>8.39</v>
      </c>
      <c r="G1624" s="2076">
        <v>0.26</v>
      </c>
      <c r="H1624" s="2076">
        <v>21</v>
      </c>
      <c r="I1624" s="2076">
        <v>2.0299999999999998</v>
      </c>
      <c r="J1624" s="2076">
        <v>0.7</v>
      </c>
      <c r="K1624" s="2076">
        <v>0.7</v>
      </c>
      <c r="L1624" s="2076">
        <v>64.8</v>
      </c>
      <c r="M1624" s="2079"/>
      <c r="N1624" s="2079"/>
    </row>
    <row r="1625" spans="1:31" s="2076" customFormat="1" x14ac:dyDescent="0.25">
      <c r="A1625" s="2074">
        <v>109149</v>
      </c>
      <c r="B1625" s="2073">
        <v>4</v>
      </c>
      <c r="C1625" s="2076" t="s">
        <v>477</v>
      </c>
      <c r="D1625" s="2076">
        <v>6.94</v>
      </c>
      <c r="E1625" s="2076">
        <v>22.06</v>
      </c>
      <c r="F1625" s="2079">
        <v>7.6354500000000005</v>
      </c>
      <c r="G1625" s="2076">
        <v>0.19</v>
      </c>
      <c r="H1625" s="2076">
        <v>18.66</v>
      </c>
      <c r="I1625" s="2076">
        <v>1.96</v>
      </c>
      <c r="J1625" s="2076">
        <v>0.6</v>
      </c>
      <c r="K1625" s="2076">
        <v>0.84</v>
      </c>
      <c r="L1625" s="2076">
        <v>65.099999999999994</v>
      </c>
      <c r="M1625" s="2079"/>
      <c r="N1625" s="2079"/>
    </row>
    <row r="1626" spans="1:31" s="2076" customFormat="1" x14ac:dyDescent="0.25">
      <c r="A1626" s="2074">
        <v>109150</v>
      </c>
      <c r="B1626" s="2073">
        <v>33</v>
      </c>
      <c r="C1626" s="2076" t="s">
        <v>477</v>
      </c>
      <c r="D1626" s="2076">
        <v>8.15</v>
      </c>
      <c r="E1626" s="2076">
        <v>5.77</v>
      </c>
      <c r="F1626" s="2079">
        <v>2.94</v>
      </c>
      <c r="G1626" s="2076">
        <v>2.0099999999999998</v>
      </c>
      <c r="H1626" s="2076">
        <v>2.63</v>
      </c>
      <c r="I1626" s="2076">
        <v>0.37</v>
      </c>
      <c r="J1626" s="2076">
        <v>6.66</v>
      </c>
      <c r="K1626" s="2076">
        <v>1.47</v>
      </c>
      <c r="L1626" s="2076">
        <v>60.3</v>
      </c>
      <c r="N1626" s="2079"/>
    </row>
    <row r="1627" spans="1:31" s="2076" customFormat="1" x14ac:dyDescent="0.25">
      <c r="A1627" s="2074">
        <v>109151</v>
      </c>
      <c r="B1627" s="2073">
        <v>34</v>
      </c>
      <c r="C1627" s="2076" t="s">
        <v>477</v>
      </c>
      <c r="D1627" s="2076">
        <v>7.84</v>
      </c>
      <c r="E1627" s="2076">
        <v>6.12</v>
      </c>
      <c r="F1627" s="2079">
        <v>3.05</v>
      </c>
      <c r="G1627" s="2076">
        <v>2.08</v>
      </c>
      <c r="H1627" s="2076">
        <v>2.6</v>
      </c>
      <c r="I1627" s="2076">
        <v>0.38</v>
      </c>
      <c r="J1627" s="2076">
        <v>7.03</v>
      </c>
      <c r="K1627" s="2076">
        <v>1.57</v>
      </c>
      <c r="L1627" s="2076">
        <v>57</v>
      </c>
      <c r="N1627" s="2079"/>
    </row>
    <row r="1628" spans="1:31" s="2076" customFormat="1" x14ac:dyDescent="0.25">
      <c r="A1628" s="2074">
        <v>109152</v>
      </c>
      <c r="B1628" s="2073">
        <v>29</v>
      </c>
      <c r="C1628" s="2076" t="s">
        <v>477</v>
      </c>
      <c r="D1628" s="2076">
        <v>7.54</v>
      </c>
      <c r="E1628" s="2076">
        <v>5.29</v>
      </c>
      <c r="F1628" s="2079">
        <v>3.14</v>
      </c>
      <c r="G1628" s="2076">
        <v>2.21</v>
      </c>
      <c r="H1628" s="2076">
        <v>2.4500000000000002</v>
      </c>
      <c r="I1628" s="2076">
        <v>0.37</v>
      </c>
      <c r="J1628" s="2076">
        <v>6.68</v>
      </c>
      <c r="K1628" s="2076">
        <v>1.65</v>
      </c>
      <c r="L1628" s="2076">
        <v>59</v>
      </c>
    </row>
    <row r="1629" spans="1:31" s="2076" customFormat="1" x14ac:dyDescent="0.25">
      <c r="A1629" s="2074">
        <v>109153</v>
      </c>
      <c r="B1629" s="2073">
        <v>32</v>
      </c>
      <c r="C1629" s="2076" t="s">
        <v>477</v>
      </c>
      <c r="D1629" s="2076">
        <v>8.18</v>
      </c>
      <c r="E1629" s="2076">
        <v>3.96</v>
      </c>
      <c r="F1629" s="2079">
        <v>2.66</v>
      </c>
      <c r="G1629" s="2076">
        <v>2.02</v>
      </c>
      <c r="H1629" s="2076">
        <v>2.4</v>
      </c>
      <c r="I1629" s="2076">
        <v>0.35</v>
      </c>
      <c r="J1629" s="2076">
        <v>6.94</v>
      </c>
      <c r="K1629" s="2076">
        <v>1.84</v>
      </c>
      <c r="L1629" s="2076">
        <v>56.9</v>
      </c>
    </row>
    <row r="1630" spans="1:31" s="2076" customFormat="1" x14ac:dyDescent="0.25">
      <c r="A1630" s="2074">
        <v>109154</v>
      </c>
      <c r="B1630" s="2073">
        <v>30</v>
      </c>
      <c r="C1630" s="2076" t="s">
        <v>477</v>
      </c>
      <c r="D1630" s="2076">
        <v>8.48</v>
      </c>
      <c r="E1630" s="2076">
        <v>4.3</v>
      </c>
      <c r="F1630" s="2079">
        <v>3.14</v>
      </c>
      <c r="G1630" s="2076">
        <v>2.39</v>
      </c>
      <c r="H1630" s="2076">
        <v>2.25</v>
      </c>
      <c r="I1630" s="2076">
        <v>0.34</v>
      </c>
      <c r="J1630" s="2076">
        <v>6.42</v>
      </c>
      <c r="K1630" s="2076">
        <v>1.47</v>
      </c>
      <c r="L1630" s="2076">
        <v>62</v>
      </c>
    </row>
    <row r="1631" spans="1:31" s="2076" customFormat="1" x14ac:dyDescent="0.25">
      <c r="A1631" s="2074">
        <v>109155</v>
      </c>
      <c r="B1631" s="2073">
        <v>29</v>
      </c>
      <c r="C1631" s="2076" t="s">
        <v>477</v>
      </c>
      <c r="D1631" s="2076">
        <v>8.25</v>
      </c>
      <c r="E1631" s="2076">
        <v>4.3899999999999997</v>
      </c>
      <c r="F1631" s="2079">
        <v>3.31</v>
      </c>
      <c r="G1631" s="2076">
        <v>2.34</v>
      </c>
      <c r="H1631" s="2076">
        <v>2.36</v>
      </c>
      <c r="I1631" s="2076">
        <v>0.36</v>
      </c>
      <c r="J1631" s="2076">
        <v>6.12</v>
      </c>
      <c r="K1631" s="2076">
        <v>1.4</v>
      </c>
      <c r="L1631" s="2076">
        <v>64.400000000000006</v>
      </c>
    </row>
    <row r="1632" spans="1:31" s="2076" customFormat="1" x14ac:dyDescent="0.25">
      <c r="A1632" s="2074">
        <v>109156</v>
      </c>
      <c r="B1632" s="2073">
        <v>5</v>
      </c>
      <c r="C1632" s="2076" t="s">
        <v>477</v>
      </c>
      <c r="D1632" s="2076">
        <v>7.14</v>
      </c>
      <c r="E1632" s="2076">
        <v>21.05</v>
      </c>
      <c r="F1632" s="2079">
        <v>5.5479599999999989</v>
      </c>
      <c r="G1632" s="2076">
        <v>0.95</v>
      </c>
      <c r="H1632" s="2076">
        <v>9.43</v>
      </c>
      <c r="I1632" s="2076">
        <v>1.41</v>
      </c>
      <c r="J1632" s="2076">
        <v>2.93</v>
      </c>
      <c r="K1632" s="2076">
        <v>0.9</v>
      </c>
      <c r="L1632" s="2076">
        <v>63</v>
      </c>
      <c r="M1632" s="2079"/>
      <c r="N1632" s="2079"/>
    </row>
    <row r="1633" spans="1:17" s="2076" customFormat="1" x14ac:dyDescent="0.25">
      <c r="A1633" s="2074">
        <v>109157</v>
      </c>
      <c r="B1633" s="2073">
        <v>6</v>
      </c>
      <c r="C1633" s="2076" t="s">
        <v>477</v>
      </c>
      <c r="D1633" s="2076">
        <v>7.17</v>
      </c>
      <c r="E1633" s="2076">
        <v>21.03</v>
      </c>
      <c r="F1633" s="2079">
        <v>6.1177000000000001</v>
      </c>
      <c r="G1633" s="2076">
        <v>1.63</v>
      </c>
      <c r="H1633" s="2076">
        <v>7.88</v>
      </c>
      <c r="I1633" s="2076">
        <v>1.18</v>
      </c>
      <c r="J1633" s="2076">
        <v>4.33</v>
      </c>
      <c r="K1633" s="2076">
        <v>1.4</v>
      </c>
      <c r="L1633" s="2076">
        <v>61.8</v>
      </c>
      <c r="M1633" s="2079"/>
      <c r="N1633" s="2079"/>
    </row>
    <row r="1634" spans="1:17" s="2076" customFormat="1" x14ac:dyDescent="0.25">
      <c r="A1634" s="2074">
        <v>109158</v>
      </c>
      <c r="B1634" s="2073">
        <v>35</v>
      </c>
      <c r="C1634" s="2076" t="s">
        <v>477</v>
      </c>
      <c r="D1634" s="2076">
        <v>8.2100000000000009</v>
      </c>
      <c r="E1634" s="2076">
        <v>6.78</v>
      </c>
      <c r="F1634" s="2079">
        <v>3.03</v>
      </c>
      <c r="G1634" s="2076">
        <v>1.96</v>
      </c>
      <c r="H1634" s="2076">
        <v>3.56</v>
      </c>
      <c r="I1634" s="2076">
        <v>0.52</v>
      </c>
      <c r="J1634" s="2076">
        <v>6.01</v>
      </c>
      <c r="K1634" s="2076">
        <v>1.46</v>
      </c>
      <c r="L1634" s="2076">
        <v>57.4</v>
      </c>
    </row>
    <row r="1635" spans="1:17" s="2076" customFormat="1" x14ac:dyDescent="0.25">
      <c r="A1635" s="2074">
        <v>109159</v>
      </c>
      <c r="B1635" s="2073">
        <v>33</v>
      </c>
      <c r="C1635" s="2076" t="s">
        <v>477</v>
      </c>
      <c r="D1635" s="2076">
        <v>8.25</v>
      </c>
      <c r="E1635" s="2076">
        <v>6.52</v>
      </c>
      <c r="F1635" s="2076">
        <v>2.91</v>
      </c>
      <c r="G1635" s="2076">
        <v>2.08</v>
      </c>
      <c r="H1635" s="2076">
        <v>2.79</v>
      </c>
      <c r="I1635" s="2076">
        <v>0.4</v>
      </c>
      <c r="J1635" s="2076">
        <v>6.89</v>
      </c>
      <c r="K1635" s="2076">
        <v>1.54</v>
      </c>
      <c r="L1635" s="2076">
        <v>58.8</v>
      </c>
    </row>
    <row r="1636" spans="1:17" x14ac:dyDescent="0.25">
      <c r="A1636" s="1671">
        <v>109160</v>
      </c>
      <c r="B1636" s="1672">
        <v>77</v>
      </c>
      <c r="C1636" s="1673" t="s">
        <v>476</v>
      </c>
      <c r="D1636" s="1673"/>
      <c r="E1636" s="1673"/>
      <c r="F1636" s="1673"/>
      <c r="G1636" s="1673"/>
      <c r="H1636" s="1673"/>
      <c r="I1636" s="1673"/>
      <c r="J1636" s="1673"/>
      <c r="K1636" s="1673"/>
      <c r="L1636" s="1673">
        <v>52.3</v>
      </c>
    </row>
    <row r="1637" spans="1:17" x14ac:dyDescent="0.25">
      <c r="A1637" s="1671">
        <v>109161</v>
      </c>
      <c r="B1637" s="1672">
        <v>79</v>
      </c>
      <c r="C1637" s="1673" t="s">
        <v>476</v>
      </c>
      <c r="D1637" s="1673"/>
      <c r="E1637" s="1673"/>
      <c r="F1637" s="1673"/>
      <c r="G1637" s="1673"/>
      <c r="H1637" s="1673"/>
      <c r="I1637" s="1673"/>
      <c r="J1637" s="1673"/>
      <c r="K1637" s="1673"/>
      <c r="L1637" s="1673">
        <v>43.3</v>
      </c>
    </row>
    <row r="1638" spans="1:17" x14ac:dyDescent="0.25">
      <c r="A1638" s="1671">
        <v>109162</v>
      </c>
      <c r="B1638" s="1672">
        <v>79</v>
      </c>
      <c r="C1638" s="1673" t="s">
        <v>476</v>
      </c>
      <c r="D1638" s="1673"/>
      <c r="E1638" s="1673"/>
      <c r="F1638" s="1673"/>
      <c r="G1638" s="1673"/>
      <c r="H1638" s="1673"/>
      <c r="I1638" s="1673"/>
      <c r="J1638" s="1673"/>
      <c r="K1638" s="1673"/>
      <c r="L1638" s="1673">
        <v>59.3</v>
      </c>
    </row>
    <row r="1639" spans="1:17" x14ac:dyDescent="0.25">
      <c r="A1639" s="1671">
        <v>109163</v>
      </c>
      <c r="B1639" s="1672">
        <v>69</v>
      </c>
      <c r="C1639" s="1673" t="s">
        <v>476</v>
      </c>
      <c r="D1639" s="1673"/>
      <c r="E1639" s="1673"/>
      <c r="F1639" s="1673"/>
      <c r="G1639" s="1673"/>
      <c r="H1639" s="1673"/>
      <c r="I1639" s="1673"/>
      <c r="J1639" s="1673"/>
      <c r="K1639" s="1673"/>
      <c r="L1639" s="1673">
        <v>44.5</v>
      </c>
    </row>
    <row r="1640" spans="1:17" s="1314" customFormat="1" x14ac:dyDescent="0.25">
      <c r="A1640" s="1312">
        <v>109164</v>
      </c>
      <c r="B1640" s="1313">
        <v>86</v>
      </c>
      <c r="C1640" s="1314" t="s">
        <v>477</v>
      </c>
      <c r="D1640" s="1314">
        <v>9.2200000000000006</v>
      </c>
      <c r="E1640" s="1314">
        <v>6.78</v>
      </c>
      <c r="F1640" s="1314">
        <v>2.0699999999999998</v>
      </c>
      <c r="G1640" s="1314">
        <v>0.92</v>
      </c>
      <c r="H1640" s="1314">
        <v>3.09</v>
      </c>
      <c r="I1640" s="1314">
        <v>0.51</v>
      </c>
      <c r="J1640" s="1314">
        <v>6.59</v>
      </c>
      <c r="K1640" s="1314">
        <v>1.06</v>
      </c>
      <c r="L1640" s="1314">
        <v>44.2</v>
      </c>
    </row>
    <row r="1641" spans="1:17" x14ac:dyDescent="0.25">
      <c r="A1641" s="1671">
        <v>109165</v>
      </c>
      <c r="B1641" s="1672">
        <v>71</v>
      </c>
      <c r="C1641" s="1673" t="s">
        <v>476</v>
      </c>
      <c r="D1641" s="1673"/>
      <c r="E1641" s="1673"/>
      <c r="F1641" s="1673"/>
      <c r="G1641" s="1673"/>
      <c r="H1641" s="1673"/>
      <c r="I1641" s="1673"/>
      <c r="J1641" s="1673"/>
      <c r="K1641" s="1673"/>
      <c r="L1641" s="1673">
        <v>56.8</v>
      </c>
    </row>
    <row r="1642" spans="1:17" s="1314" customFormat="1" x14ac:dyDescent="0.25">
      <c r="A1642" s="1312">
        <v>109166</v>
      </c>
      <c r="B1642" s="1313">
        <v>14</v>
      </c>
      <c r="C1642" s="1314" t="s">
        <v>187</v>
      </c>
      <c r="D1642" s="1314">
        <v>6.74</v>
      </c>
      <c r="E1642" s="1314">
        <v>0.48199999999999998</v>
      </c>
      <c r="F1642" s="1314">
        <v>1.06</v>
      </c>
      <c r="G1642" s="1314">
        <v>0.03</v>
      </c>
      <c r="H1642" s="1314">
        <v>0.1</v>
      </c>
      <c r="I1642" s="1314">
        <v>0.53</v>
      </c>
      <c r="J1642" s="1314">
        <v>0.84</v>
      </c>
      <c r="K1642" s="1314">
        <v>0.36</v>
      </c>
      <c r="L1642" s="1314">
        <v>89.8</v>
      </c>
    </row>
    <row r="1643" spans="1:17" s="1314" customFormat="1" x14ac:dyDescent="0.25">
      <c r="A1643" s="1312">
        <v>109167</v>
      </c>
      <c r="B1643" s="1313">
        <v>15</v>
      </c>
      <c r="C1643" s="1314" t="s">
        <v>187</v>
      </c>
      <c r="D1643" s="1314">
        <v>6.69</v>
      </c>
      <c r="E1643" s="1314">
        <v>0.253</v>
      </c>
      <c r="F1643" s="1314">
        <v>1.71</v>
      </c>
      <c r="G1643" s="1314">
        <v>0.56999999999999995</v>
      </c>
      <c r="H1643" s="1314">
        <v>0.16</v>
      </c>
      <c r="I1643" s="1314">
        <v>0.17</v>
      </c>
      <c r="J1643" s="1314">
        <v>4.75</v>
      </c>
      <c r="K1643" s="1314">
        <v>0.49</v>
      </c>
      <c r="L1643" s="1314">
        <v>73.599999999999994</v>
      </c>
    </row>
    <row r="1644" spans="1:17" s="1314" customFormat="1" x14ac:dyDescent="0.25">
      <c r="A1644" s="1312">
        <v>109168</v>
      </c>
      <c r="B1644" s="1313">
        <v>95</v>
      </c>
      <c r="C1644" s="1314" t="s">
        <v>187</v>
      </c>
      <c r="D1644" s="1314">
        <v>7.95</v>
      </c>
      <c r="E1644" s="1314">
        <v>2.9249999999999998</v>
      </c>
      <c r="F1644" s="1314">
        <v>1.57</v>
      </c>
      <c r="G1644" s="1314">
        <v>0.27</v>
      </c>
      <c r="H1644" s="1314">
        <v>1.6</v>
      </c>
      <c r="I1644" s="1314">
        <v>0.08</v>
      </c>
      <c r="J1644" s="1314">
        <v>9.98</v>
      </c>
      <c r="K1644" s="1314">
        <v>0.68</v>
      </c>
      <c r="L1644" s="1314">
        <v>46.3</v>
      </c>
      <c r="M1644" s="1314">
        <v>37.61</v>
      </c>
      <c r="N1644" s="1314">
        <v>14.35</v>
      </c>
      <c r="O1644" s="1314">
        <v>155.58000000000001</v>
      </c>
      <c r="P1644" s="1314">
        <v>5554.49</v>
      </c>
      <c r="Q1644" s="1314">
        <v>39.17</v>
      </c>
    </row>
    <row r="1645" spans="1:17" s="651" customFormat="1" x14ac:dyDescent="0.25">
      <c r="A1645" s="1247">
        <v>109169</v>
      </c>
      <c r="B1645" s="1248">
        <v>59</v>
      </c>
      <c r="C1645" s="651" t="s">
        <v>477</v>
      </c>
      <c r="D1645" s="651">
        <v>5.13</v>
      </c>
      <c r="E1645" s="651">
        <v>28.4</v>
      </c>
      <c r="F1645" s="651">
        <v>5.46</v>
      </c>
      <c r="G1645" s="1291">
        <v>8.4745762711864417E-2</v>
      </c>
      <c r="H1645" s="1291">
        <v>8</v>
      </c>
      <c r="I1645" s="1291">
        <v>2.5254237288135593</v>
      </c>
      <c r="J1645" s="1291">
        <v>0.15254237288135594</v>
      </c>
      <c r="K1645" s="1291">
        <v>5.0847457627118647E-2</v>
      </c>
      <c r="L1645" s="651">
        <v>69.599999999999994</v>
      </c>
    </row>
    <row r="1646" spans="1:17" s="651" customFormat="1" x14ac:dyDescent="0.25">
      <c r="A1646" s="1247">
        <v>109170</v>
      </c>
      <c r="B1646" s="1248">
        <v>59</v>
      </c>
      <c r="C1646" s="651" t="s">
        <v>476</v>
      </c>
      <c r="D1646" s="651">
        <v>9.65</v>
      </c>
      <c r="E1646" s="651">
        <v>5.37</v>
      </c>
      <c r="F1646" s="651">
        <v>1.82</v>
      </c>
      <c r="G1646" s="651">
        <v>0.78</v>
      </c>
      <c r="H1646" s="651">
        <v>3.15</v>
      </c>
      <c r="I1646" s="651">
        <v>0.56000000000000005</v>
      </c>
      <c r="J1646" s="651">
        <v>6.2</v>
      </c>
      <c r="K1646" s="651">
        <v>1.49</v>
      </c>
      <c r="L1646" s="651">
        <v>41.9</v>
      </c>
    </row>
    <row r="1647" spans="1:17" s="651" customFormat="1" x14ac:dyDescent="0.25">
      <c r="A1647" s="1247">
        <v>109171</v>
      </c>
      <c r="B1647" s="1248">
        <v>43</v>
      </c>
      <c r="C1647" s="651" t="s">
        <v>476</v>
      </c>
      <c r="D1647" s="651">
        <v>8.83</v>
      </c>
      <c r="E1647" s="651">
        <v>3.58</v>
      </c>
      <c r="F1647" s="651">
        <v>1.74</v>
      </c>
      <c r="G1647" s="651">
        <v>0.41</v>
      </c>
      <c r="H1647" s="651">
        <v>1.97</v>
      </c>
      <c r="I1647" s="651">
        <v>0.39</v>
      </c>
      <c r="J1647" s="651">
        <v>4.82</v>
      </c>
      <c r="K1647" s="651">
        <v>0.98</v>
      </c>
      <c r="L1647" s="651">
        <v>59.2</v>
      </c>
      <c r="N1647" s="651">
        <f>0.08*2.29</f>
        <v>0.1832</v>
      </c>
    </row>
    <row r="1648" spans="1:17" s="651" customFormat="1" x14ac:dyDescent="0.25">
      <c r="A1648" s="1247">
        <v>109172</v>
      </c>
      <c r="B1648" s="1248">
        <v>38</v>
      </c>
      <c r="C1648" s="651" t="s">
        <v>476</v>
      </c>
      <c r="D1648" s="651">
        <v>8.6999999999999993</v>
      </c>
      <c r="E1648" s="651">
        <v>3.07</v>
      </c>
      <c r="F1648" s="651">
        <v>1.57</v>
      </c>
      <c r="G1648" s="651">
        <v>0.35</v>
      </c>
      <c r="H1648" s="651">
        <v>1.62</v>
      </c>
      <c r="I1648" s="651">
        <v>0.37</v>
      </c>
      <c r="J1648" s="1291">
        <v>5.52</v>
      </c>
      <c r="K1648" s="651">
        <v>1.7</v>
      </c>
      <c r="L1648" s="651">
        <v>49.8</v>
      </c>
    </row>
    <row r="1649" spans="1:29" s="651" customFormat="1" x14ac:dyDescent="0.25">
      <c r="A1649" s="1247">
        <v>109173</v>
      </c>
      <c r="B1649" s="1248">
        <v>34</v>
      </c>
      <c r="C1649" s="651" t="s">
        <v>476</v>
      </c>
      <c r="D1649" s="651">
        <v>8.6199999999999992</v>
      </c>
      <c r="E1649" s="651">
        <v>2.92</v>
      </c>
      <c r="F1649" s="651">
        <v>1.85</v>
      </c>
      <c r="G1649" s="651">
        <v>0.47</v>
      </c>
      <c r="H1649" s="651">
        <v>1.5</v>
      </c>
      <c r="I1649" s="651">
        <v>0.47</v>
      </c>
      <c r="J1649" s="651">
        <v>5.45</v>
      </c>
      <c r="K1649" s="651">
        <v>0.96</v>
      </c>
      <c r="L1649" s="651">
        <v>58.1</v>
      </c>
    </row>
    <row r="1650" spans="1:29" s="651" customFormat="1" x14ac:dyDescent="0.25">
      <c r="A1650" s="1247">
        <v>109174</v>
      </c>
      <c r="B1650" s="1248">
        <v>60</v>
      </c>
      <c r="C1650" s="651" t="s">
        <v>476</v>
      </c>
      <c r="D1650" s="651">
        <v>9.3699999999999992</v>
      </c>
      <c r="E1650" s="651">
        <v>6.87</v>
      </c>
      <c r="F1650" s="651">
        <v>1.93</v>
      </c>
      <c r="G1650" s="651">
        <v>0.77</v>
      </c>
      <c r="H1650" s="651">
        <v>2.91</v>
      </c>
      <c r="I1650" s="651">
        <v>0.8</v>
      </c>
      <c r="J1650" s="651">
        <v>5.44</v>
      </c>
      <c r="K1650" s="651">
        <v>1.47</v>
      </c>
      <c r="L1650" s="651">
        <v>46.8</v>
      </c>
    </row>
    <row r="1651" spans="1:29" s="651" customFormat="1" x14ac:dyDescent="0.25">
      <c r="A1651" s="1247">
        <v>109175</v>
      </c>
      <c r="B1651" s="1248">
        <v>38</v>
      </c>
      <c r="C1651" s="651" t="s">
        <v>476</v>
      </c>
      <c r="D1651" s="651">
        <v>8.84</v>
      </c>
      <c r="E1651" s="651">
        <v>3.2</v>
      </c>
      <c r="F1651" s="651">
        <v>1.63</v>
      </c>
      <c r="G1651" s="651">
        <v>0.39</v>
      </c>
      <c r="H1651" s="651">
        <v>1.39</v>
      </c>
      <c r="I1651" s="651">
        <v>0.27</v>
      </c>
      <c r="J1651" s="651">
        <v>6</v>
      </c>
      <c r="K1651" s="651">
        <v>0.74</v>
      </c>
      <c r="L1651" s="651">
        <v>41.9</v>
      </c>
    </row>
    <row r="1652" spans="1:29" s="651" customFormat="1" x14ac:dyDescent="0.25">
      <c r="A1652" s="1247">
        <v>109176</v>
      </c>
      <c r="B1652" s="1248">
        <v>60</v>
      </c>
      <c r="C1652" s="651" t="s">
        <v>476</v>
      </c>
      <c r="D1652" s="651">
        <v>9.3000000000000007</v>
      </c>
      <c r="E1652" s="651">
        <v>5.94</v>
      </c>
      <c r="F1652" s="651">
        <v>1.91</v>
      </c>
      <c r="G1652" s="651">
        <v>0.78</v>
      </c>
      <c r="H1652" s="651">
        <v>3.05</v>
      </c>
      <c r="I1652" s="651">
        <v>0.67</v>
      </c>
      <c r="J1652" s="651">
        <v>5.92</v>
      </c>
      <c r="K1652" s="651">
        <v>1.57</v>
      </c>
      <c r="L1652" s="651">
        <v>41.8</v>
      </c>
    </row>
    <row r="1653" spans="1:29" s="1369" customFormat="1" x14ac:dyDescent="0.25">
      <c r="A1653" s="1367">
        <v>109177</v>
      </c>
      <c r="B1653" s="1368">
        <v>82</v>
      </c>
      <c r="C1653" s="1369" t="s">
        <v>477</v>
      </c>
      <c r="D1653" s="1369">
        <v>8.14</v>
      </c>
      <c r="E1653" s="1369">
        <v>5.96</v>
      </c>
      <c r="F1653" s="2118">
        <v>4.01</v>
      </c>
      <c r="G1653" s="1369">
        <v>1.56</v>
      </c>
      <c r="H1653" s="1369">
        <v>2.2400000000000002</v>
      </c>
      <c r="I1653" s="1369">
        <v>0.2</v>
      </c>
      <c r="J1653" s="1369">
        <v>8.06</v>
      </c>
      <c r="K1653" s="1369">
        <v>0.5</v>
      </c>
      <c r="L1653" s="1369">
        <v>70.099999999999994</v>
      </c>
      <c r="M1653" s="2119">
        <v>361.28</v>
      </c>
      <c r="N1653" s="2119">
        <v>43.24</v>
      </c>
      <c r="U1653" s="2119">
        <v>4.0999999999999996</v>
      </c>
      <c r="V1653" s="2119">
        <v>0.45</v>
      </c>
      <c r="X1653" s="2119">
        <v>7.15</v>
      </c>
      <c r="Y1653" s="1369">
        <v>1E-3</v>
      </c>
      <c r="AA1653" s="2119">
        <v>7.09</v>
      </c>
      <c r="AB1653" s="2119">
        <v>1.27</v>
      </c>
      <c r="AC1653" s="2119">
        <v>2.52</v>
      </c>
    </row>
    <row r="1654" spans="1:29" x14ac:dyDescent="0.25">
      <c r="A1654" s="1058">
        <v>109178</v>
      </c>
      <c r="B1654" s="1059">
        <v>68</v>
      </c>
      <c r="C1654" s="1060" t="s">
        <v>476</v>
      </c>
      <c r="D1654" s="1060">
        <v>8.68</v>
      </c>
      <c r="E1654" s="1060">
        <v>0.73399999999999999</v>
      </c>
      <c r="F1654" s="1060"/>
      <c r="G1654" s="1060"/>
      <c r="H1654" s="1060"/>
      <c r="I1654" s="1060"/>
      <c r="J1654" s="1060"/>
      <c r="K1654" s="1060"/>
      <c r="L1654" s="1060">
        <v>52.6</v>
      </c>
    </row>
    <row r="1655" spans="1:29" x14ac:dyDescent="0.25">
      <c r="A1655" s="1058">
        <v>109179</v>
      </c>
      <c r="B1655" s="1059">
        <v>76</v>
      </c>
      <c r="C1655" s="1060" t="s">
        <v>476</v>
      </c>
      <c r="D1655" s="1060"/>
      <c r="E1655" s="1060"/>
      <c r="F1655" s="1060"/>
      <c r="G1655" s="1060"/>
      <c r="H1655" s="1060"/>
      <c r="I1655" s="1060"/>
      <c r="J1655" s="1060"/>
      <c r="K1655" s="1060"/>
      <c r="L1655" s="1060">
        <v>71.400000000000006</v>
      </c>
    </row>
    <row r="1656" spans="1:29" s="1369" customFormat="1" x14ac:dyDescent="0.25">
      <c r="A1656" s="1367">
        <v>109180</v>
      </c>
      <c r="B1656" s="1368">
        <v>66</v>
      </c>
      <c r="C1656" s="1369" t="s">
        <v>476</v>
      </c>
      <c r="M1656" s="2119">
        <v>157.86000000000001</v>
      </c>
      <c r="N1656" s="2119">
        <v>41.41</v>
      </c>
      <c r="U1656" s="2119">
        <v>5.18</v>
      </c>
      <c r="V1656" s="2119">
        <v>0.54</v>
      </c>
      <c r="X1656" s="2119">
        <v>21.77</v>
      </c>
      <c r="Y1656" s="1369">
        <v>1E-3</v>
      </c>
      <c r="AA1656" s="2119">
        <v>14.91</v>
      </c>
      <c r="AB1656" s="2119">
        <v>6.47</v>
      </c>
      <c r="AC1656" s="2119">
        <v>1E-3</v>
      </c>
    </row>
    <row r="1657" spans="1:29" s="1369" customFormat="1" x14ac:dyDescent="0.25">
      <c r="A1657" s="1367">
        <v>109181</v>
      </c>
      <c r="B1657" s="1368">
        <v>67</v>
      </c>
      <c r="C1657" s="1369" t="s">
        <v>476</v>
      </c>
      <c r="M1657" s="2119">
        <v>332.72</v>
      </c>
      <c r="N1657" s="2119">
        <v>84.31</v>
      </c>
      <c r="U1657" s="2119">
        <v>5.87</v>
      </c>
      <c r="V1657" s="2119">
        <v>0.8</v>
      </c>
      <c r="X1657" s="2119">
        <v>16.71</v>
      </c>
      <c r="Y1657" s="1369">
        <v>1E-3</v>
      </c>
      <c r="AA1657" s="2119">
        <v>12.4</v>
      </c>
      <c r="AB1657" s="2119">
        <v>4.47</v>
      </c>
      <c r="AC1657" s="2119">
        <v>1E-3</v>
      </c>
    </row>
    <row r="1658" spans="1:29" x14ac:dyDescent="0.25">
      <c r="A1658" s="1058">
        <v>109182</v>
      </c>
      <c r="B1658" s="1059">
        <v>75</v>
      </c>
      <c r="C1658" s="1060" t="s">
        <v>476</v>
      </c>
      <c r="D1658" s="1060"/>
      <c r="E1658" s="1060"/>
      <c r="F1658" s="1060"/>
      <c r="G1658" s="1060"/>
      <c r="H1658" s="1060"/>
      <c r="I1658" s="1060"/>
      <c r="J1658" s="1060"/>
      <c r="K1658" s="1060"/>
      <c r="L1658" s="1060">
        <v>68.900000000000006</v>
      </c>
    </row>
    <row r="1659" spans="1:29" x14ac:dyDescent="0.25">
      <c r="A1659" s="1671">
        <v>109183</v>
      </c>
      <c r="B1659" s="1672">
        <v>80</v>
      </c>
      <c r="C1659" s="1673" t="s">
        <v>476</v>
      </c>
      <c r="D1659" s="1673">
        <v>7.43</v>
      </c>
      <c r="E1659" s="1673">
        <v>0.32400000000000001</v>
      </c>
      <c r="F1659" s="1673"/>
      <c r="G1659" s="1673"/>
      <c r="H1659" s="1673"/>
      <c r="I1659" s="1673"/>
      <c r="J1659" s="1673"/>
      <c r="K1659" s="1673"/>
      <c r="L1659" s="1673">
        <v>82.6</v>
      </c>
    </row>
    <row r="1660" spans="1:29" x14ac:dyDescent="0.25">
      <c r="A1660" s="1671">
        <v>109184</v>
      </c>
      <c r="B1660" s="1672">
        <v>72</v>
      </c>
      <c r="C1660" s="1673" t="s">
        <v>476</v>
      </c>
      <c r="D1660" s="1673">
        <v>6.12</v>
      </c>
      <c r="E1660" s="1673">
        <v>0.40300000000000002</v>
      </c>
      <c r="F1660" s="1673"/>
      <c r="G1660" s="1673"/>
      <c r="H1660" s="1673"/>
      <c r="I1660" s="1673"/>
      <c r="J1660" s="1673"/>
      <c r="K1660" s="1673"/>
      <c r="L1660" s="1673">
        <v>82.9</v>
      </c>
    </row>
    <row r="1661" spans="1:29" x14ac:dyDescent="0.25">
      <c r="A1661" s="982">
        <v>109185</v>
      </c>
      <c r="B1661" s="983">
        <v>64</v>
      </c>
      <c r="C1661" s="984" t="s">
        <v>476</v>
      </c>
      <c r="D1661" s="984">
        <v>8.06</v>
      </c>
      <c r="E1661" s="984">
        <v>7.72</v>
      </c>
      <c r="F1661" s="984">
        <v>3.08</v>
      </c>
      <c r="G1661" s="984">
        <v>1.81</v>
      </c>
      <c r="H1661" s="984">
        <v>3.29</v>
      </c>
      <c r="I1661" s="984">
        <v>0.51</v>
      </c>
      <c r="J1661" s="984">
        <v>7.5</v>
      </c>
      <c r="K1661" s="984">
        <v>1.01</v>
      </c>
      <c r="L1661" s="984">
        <v>61.5</v>
      </c>
    </row>
    <row r="1662" spans="1:29" x14ac:dyDescent="0.25">
      <c r="A1662" s="1367">
        <v>109186</v>
      </c>
      <c r="B1662" s="1368"/>
      <c r="C1662" s="1369" t="s">
        <v>476</v>
      </c>
      <c r="D1662" s="1369">
        <v>9.41</v>
      </c>
      <c r="E1662" s="1369">
        <v>1.66</v>
      </c>
      <c r="F1662" s="1369"/>
      <c r="G1662" s="1369"/>
      <c r="H1662" s="1369"/>
      <c r="I1662" s="1369"/>
      <c r="J1662" s="1369"/>
      <c r="K1662" s="1369"/>
      <c r="L1662" s="1369"/>
    </row>
    <row r="1663" spans="1:29" x14ac:dyDescent="0.25">
      <c r="A1663" s="1367">
        <v>109187</v>
      </c>
      <c r="B1663" s="1368"/>
      <c r="C1663" s="1369" t="s">
        <v>476</v>
      </c>
      <c r="D1663" s="1369">
        <v>9.26</v>
      </c>
      <c r="E1663" s="1369">
        <v>1.93</v>
      </c>
      <c r="F1663" s="1369"/>
      <c r="G1663" s="1369"/>
      <c r="H1663" s="1369"/>
      <c r="I1663" s="1369"/>
      <c r="J1663" s="1369"/>
      <c r="K1663" s="1369"/>
      <c r="L1663" s="1369"/>
    </row>
    <row r="1664" spans="1:29" x14ac:dyDescent="0.25">
      <c r="A1664" s="1367">
        <v>109188</v>
      </c>
      <c r="B1664" s="1368"/>
      <c r="C1664" s="1369" t="s">
        <v>476</v>
      </c>
      <c r="D1664" s="1369">
        <v>9.3000000000000007</v>
      </c>
      <c r="E1664" s="1369">
        <v>1.79</v>
      </c>
      <c r="F1664" s="1369"/>
      <c r="G1664" s="1369"/>
      <c r="H1664" s="1369"/>
      <c r="I1664" s="1369"/>
      <c r="J1664" s="1369"/>
      <c r="K1664" s="1369"/>
      <c r="L1664" s="1369"/>
    </row>
    <row r="1665" spans="1:12" x14ac:dyDescent="0.25">
      <c r="A1665" s="748">
        <v>109189</v>
      </c>
      <c r="B1665" s="923">
        <v>16</v>
      </c>
      <c r="C1665" s="749" t="s">
        <v>477</v>
      </c>
      <c r="D1665" s="749">
        <v>4.5</v>
      </c>
      <c r="E1665" s="749">
        <v>2.08</v>
      </c>
      <c r="F1665" s="749">
        <v>1.77</v>
      </c>
      <c r="G1665" s="749">
        <v>0.14000000000000001</v>
      </c>
      <c r="H1665" s="749">
        <v>1.83</v>
      </c>
      <c r="I1665" s="749">
        <v>0.04</v>
      </c>
      <c r="J1665" s="749">
        <v>0.46</v>
      </c>
      <c r="K1665" s="1709">
        <v>8.3514000000000005E-2</v>
      </c>
      <c r="L1665" s="749">
        <v>76.2</v>
      </c>
    </row>
    <row r="1666" spans="1:12" x14ac:dyDescent="0.25">
      <c r="A1666" s="748">
        <v>109190</v>
      </c>
      <c r="B1666" s="923">
        <v>31</v>
      </c>
      <c r="C1666" s="749" t="s">
        <v>477</v>
      </c>
      <c r="D1666" s="749">
        <v>4.37</v>
      </c>
      <c r="E1666" s="749">
        <v>1.79</v>
      </c>
      <c r="F1666" s="749">
        <v>0.98</v>
      </c>
      <c r="G1666" s="749">
        <v>7.0000000000000007E-2</v>
      </c>
      <c r="H1666" s="749">
        <v>0.82</v>
      </c>
      <c r="I1666" s="749">
        <v>0.03</v>
      </c>
      <c r="J1666" s="749">
        <v>0.48</v>
      </c>
      <c r="K1666" s="1709">
        <v>4.9790000000000001E-2</v>
      </c>
      <c r="L1666" s="749">
        <v>96.4</v>
      </c>
    </row>
    <row r="1667" spans="1:12" x14ac:dyDescent="0.25">
      <c r="A1667" s="748">
        <v>109191</v>
      </c>
      <c r="B1667" s="923">
        <v>21</v>
      </c>
      <c r="C1667" s="749" t="s">
        <v>477</v>
      </c>
      <c r="D1667" s="749">
        <v>4.66</v>
      </c>
      <c r="E1667" s="749">
        <v>2.68</v>
      </c>
      <c r="F1667" s="749">
        <v>1.57</v>
      </c>
      <c r="G1667" s="749">
        <v>0.12</v>
      </c>
      <c r="H1667" s="749">
        <v>1.58</v>
      </c>
      <c r="I1667" s="749">
        <v>0.04</v>
      </c>
      <c r="J1667" s="749">
        <v>0.55000000000000004</v>
      </c>
      <c r="K1667" s="1709">
        <v>0.13175200000000001</v>
      </c>
      <c r="L1667" s="749">
        <v>94.3</v>
      </c>
    </row>
    <row r="1668" spans="1:12" x14ac:dyDescent="0.25">
      <c r="A1668" s="748">
        <v>109192</v>
      </c>
      <c r="B1668" s="923">
        <v>65</v>
      </c>
      <c r="C1668" s="749" t="s">
        <v>476</v>
      </c>
      <c r="D1668" s="749">
        <v>7.44</v>
      </c>
      <c r="E1668" s="749">
        <v>8.08</v>
      </c>
      <c r="F1668" s="749">
        <v>3.56</v>
      </c>
      <c r="G1668" s="749">
        <v>1.64</v>
      </c>
      <c r="H1668" s="749">
        <v>2.67</v>
      </c>
      <c r="I1668" s="749">
        <v>0.42</v>
      </c>
      <c r="J1668" s="749">
        <v>4.66</v>
      </c>
      <c r="K1668" s="1709">
        <v>0.83670499999999992</v>
      </c>
      <c r="L1668" s="749">
        <v>67</v>
      </c>
    </row>
    <row r="1669" spans="1:12" x14ac:dyDescent="0.25">
      <c r="A1669" s="748">
        <v>109193</v>
      </c>
      <c r="B1669" s="923">
        <v>71</v>
      </c>
      <c r="C1669" s="749" t="s">
        <v>476</v>
      </c>
      <c r="D1669" s="749">
        <v>9.7200000000000006</v>
      </c>
      <c r="E1669" s="749">
        <v>20.94</v>
      </c>
      <c r="F1669" s="749">
        <v>2.2400000000000002</v>
      </c>
      <c r="G1669" s="749">
        <v>1.41</v>
      </c>
      <c r="H1669" s="749">
        <v>9</v>
      </c>
      <c r="I1669" s="749">
        <v>0.84</v>
      </c>
      <c r="J1669" s="749">
        <v>6.28</v>
      </c>
      <c r="K1669" s="1709">
        <v>0.88111399999999995</v>
      </c>
      <c r="L1669" s="749">
        <v>39.799999999999997</v>
      </c>
    </row>
    <row r="1670" spans="1:12" x14ac:dyDescent="0.25">
      <c r="A1670" s="748">
        <v>109194</v>
      </c>
      <c r="B1670" s="923">
        <v>81</v>
      </c>
      <c r="C1670" s="749" t="s">
        <v>476</v>
      </c>
      <c r="D1670" s="749">
        <v>9.0299999999999994</v>
      </c>
      <c r="E1670" s="749">
        <v>5.33</v>
      </c>
      <c r="F1670" s="749">
        <v>3.59</v>
      </c>
      <c r="G1670" s="749">
        <v>1.37</v>
      </c>
      <c r="H1670" s="749">
        <v>2.2799999999999998</v>
      </c>
      <c r="I1670" s="749">
        <v>0.28999999999999998</v>
      </c>
      <c r="J1670" s="749">
        <v>7</v>
      </c>
      <c r="K1670" s="1709">
        <v>0.63979399999999997</v>
      </c>
      <c r="L1670" s="749">
        <v>66</v>
      </c>
    </row>
    <row r="1671" spans="1:12" x14ac:dyDescent="0.25">
      <c r="A1671" s="748">
        <v>109195</v>
      </c>
      <c r="B1671" s="923">
        <v>58</v>
      </c>
      <c r="C1671" s="749" t="s">
        <v>476</v>
      </c>
      <c r="D1671" s="749">
        <v>8.93</v>
      </c>
      <c r="E1671" s="749">
        <v>0.879</v>
      </c>
      <c r="F1671" s="749">
        <v>1.06</v>
      </c>
      <c r="G1671" s="749">
        <v>0.27</v>
      </c>
      <c r="H1671" s="749">
        <v>0.86</v>
      </c>
      <c r="I1671" s="749">
        <v>0.14000000000000001</v>
      </c>
      <c r="J1671" s="749">
        <v>4.82</v>
      </c>
      <c r="K1671" s="1709">
        <v>0.580766</v>
      </c>
      <c r="L1671" s="749">
        <v>60.7</v>
      </c>
    </row>
    <row r="1672" spans="1:12" x14ac:dyDescent="0.25">
      <c r="A1672" s="1353">
        <v>109196</v>
      </c>
      <c r="B1672" s="1354"/>
      <c r="C1672" s="1355" t="s">
        <v>476</v>
      </c>
      <c r="D1672" s="1355">
        <v>8.85</v>
      </c>
      <c r="E1672" s="1355"/>
      <c r="F1672" s="1355"/>
      <c r="G1672" s="1355"/>
      <c r="H1672" s="1355"/>
      <c r="I1672" s="1355"/>
      <c r="J1672" s="1355"/>
      <c r="K1672" s="1480"/>
      <c r="L1672" s="1355"/>
    </row>
    <row r="1673" spans="1:12" x14ac:dyDescent="0.25">
      <c r="A1673" s="1353">
        <v>109197</v>
      </c>
      <c r="B1673" s="34">
        <v>81</v>
      </c>
      <c r="C1673" s="35" t="s">
        <v>476</v>
      </c>
      <c r="D1673" s="35">
        <v>7.18</v>
      </c>
      <c r="E1673" s="35">
        <v>0.88500000000000001</v>
      </c>
      <c r="F1673" s="35">
        <v>2.02</v>
      </c>
      <c r="G1673" s="35">
        <v>0.17</v>
      </c>
      <c r="H1673" s="35">
        <v>0.85</v>
      </c>
      <c r="I1673" s="35">
        <v>0.03</v>
      </c>
      <c r="J1673" s="35">
        <v>9.41</v>
      </c>
      <c r="K1673" s="35">
        <v>0.17</v>
      </c>
      <c r="L1673" s="35">
        <v>59.5</v>
      </c>
    </row>
    <row r="1674" spans="1:12" s="984" customFormat="1" x14ac:dyDescent="0.25">
      <c r="A1674" s="982">
        <v>109198</v>
      </c>
      <c r="B1674" s="983"/>
      <c r="D1674" s="984">
        <v>8.68</v>
      </c>
    </row>
    <row r="1675" spans="1:12" s="984" customFormat="1" x14ac:dyDescent="0.25">
      <c r="A1675" s="982">
        <v>109199</v>
      </c>
      <c r="B1675" s="983"/>
      <c r="D1675" s="984">
        <v>9.2200000000000006</v>
      </c>
    </row>
    <row r="1676" spans="1:12" s="984" customFormat="1" x14ac:dyDescent="0.25">
      <c r="A1676" s="982">
        <v>109200</v>
      </c>
      <c r="B1676" s="983">
        <v>88</v>
      </c>
      <c r="D1676" s="984">
        <v>5.85</v>
      </c>
      <c r="E1676" s="984">
        <v>0.09</v>
      </c>
      <c r="L1676" s="984">
        <v>94.6</v>
      </c>
    </row>
    <row r="1677" spans="1:12" s="1314" customFormat="1" x14ac:dyDescent="0.25">
      <c r="A1677" s="1312">
        <v>109201</v>
      </c>
      <c r="B1677" s="1313">
        <v>73</v>
      </c>
      <c r="C1677" s="1314" t="s">
        <v>476</v>
      </c>
      <c r="D1677" s="1314">
        <v>6.34</v>
      </c>
      <c r="E1677" s="1314">
        <v>1.226</v>
      </c>
      <c r="L1677" s="1314">
        <v>77.7</v>
      </c>
    </row>
    <row r="1678" spans="1:12" s="1314" customFormat="1" x14ac:dyDescent="0.25">
      <c r="A1678" s="1312">
        <v>109202</v>
      </c>
      <c r="B1678" s="1313">
        <v>70</v>
      </c>
      <c r="C1678" s="1314" t="s">
        <v>477</v>
      </c>
      <c r="D1678" s="1314">
        <v>8.6999999999999993</v>
      </c>
      <c r="E1678" s="1314">
        <v>0.27600000000000002</v>
      </c>
    </row>
    <row r="1679" spans="1:12" s="1314" customFormat="1" x14ac:dyDescent="0.25">
      <c r="A1679" s="1312">
        <v>109203</v>
      </c>
      <c r="B1679" s="1313">
        <v>71</v>
      </c>
      <c r="C1679" s="1314" t="s">
        <v>477</v>
      </c>
      <c r="D1679" s="1314">
        <v>8.9600000000000009</v>
      </c>
      <c r="E1679" s="1314">
        <v>0.59699999999999998</v>
      </c>
    </row>
    <row r="1680" spans="1:12" s="984" customFormat="1" x14ac:dyDescent="0.25">
      <c r="A1680" s="982">
        <v>109204</v>
      </c>
      <c r="B1680" s="983">
        <v>30</v>
      </c>
      <c r="C1680" s="984" t="s">
        <v>477</v>
      </c>
      <c r="D1680" s="984">
        <v>4.6900000000000004</v>
      </c>
      <c r="E1680" s="984">
        <v>3.4</v>
      </c>
      <c r="F1680" s="984">
        <v>1.37</v>
      </c>
      <c r="G1680" s="984">
        <v>0.15</v>
      </c>
      <c r="H1680" s="984">
        <v>2.36</v>
      </c>
      <c r="I1680" s="984">
        <v>0.03</v>
      </c>
      <c r="J1680" s="984">
        <v>0.55000000000000004</v>
      </c>
      <c r="K1680" s="984">
        <v>0.09</v>
      </c>
      <c r="L1680" s="984">
        <v>74.5</v>
      </c>
    </row>
    <row r="1681" spans="1:31" x14ac:dyDescent="0.25">
      <c r="A1681" s="982">
        <v>109205</v>
      </c>
      <c r="B1681" s="34">
        <v>42</v>
      </c>
      <c r="C1681" s="35" t="s">
        <v>477</v>
      </c>
      <c r="D1681" s="35">
        <v>5.95</v>
      </c>
      <c r="E1681" s="35">
        <v>1.35</v>
      </c>
      <c r="F1681" s="35">
        <v>1.34</v>
      </c>
      <c r="G1681" s="2148">
        <v>0.08</v>
      </c>
      <c r="H1681" s="2145">
        <v>0.91</v>
      </c>
      <c r="I1681" s="2147">
        <v>0.04</v>
      </c>
      <c r="J1681" s="2144">
        <v>0.39</v>
      </c>
      <c r="K1681" s="2146">
        <v>0.06</v>
      </c>
      <c r="L1681" s="35">
        <v>95.8</v>
      </c>
    </row>
    <row r="1682" spans="1:31" x14ac:dyDescent="0.25">
      <c r="A1682" s="982">
        <v>109206</v>
      </c>
      <c r="B1682" s="34">
        <v>36</v>
      </c>
      <c r="C1682" s="35" t="s">
        <v>477</v>
      </c>
      <c r="D1682" s="35">
        <v>4.6100000000000003</v>
      </c>
      <c r="E1682" s="35">
        <v>3.54</v>
      </c>
      <c r="F1682" s="35">
        <v>0.95</v>
      </c>
      <c r="G1682" s="2148">
        <v>0.14000000000000001</v>
      </c>
      <c r="H1682" s="2145">
        <v>1.84</v>
      </c>
      <c r="I1682" s="2147">
        <v>0.04</v>
      </c>
      <c r="J1682" s="2144">
        <v>0.34</v>
      </c>
      <c r="K1682" s="2146">
        <v>0.08</v>
      </c>
      <c r="L1682" s="35">
        <v>93.2</v>
      </c>
    </row>
    <row r="1683" spans="1:31" x14ac:dyDescent="0.25">
      <c r="A1683" s="982">
        <v>109207</v>
      </c>
      <c r="B1683" s="34">
        <v>67</v>
      </c>
      <c r="C1683" s="35" t="s">
        <v>476</v>
      </c>
      <c r="D1683" s="35">
        <v>9.36</v>
      </c>
      <c r="E1683" s="35">
        <v>4.8899999999999997</v>
      </c>
      <c r="F1683" s="35">
        <v>1.74</v>
      </c>
      <c r="G1683" s="2148">
        <v>0.66</v>
      </c>
      <c r="H1683" s="2145">
        <v>2.57</v>
      </c>
      <c r="I1683" s="2147">
        <v>0.53</v>
      </c>
      <c r="J1683" s="2144">
        <v>6.14</v>
      </c>
      <c r="K1683" s="2146">
        <v>0.89</v>
      </c>
      <c r="L1683" s="35">
        <v>44.5</v>
      </c>
    </row>
    <row r="1684" spans="1:31" s="984" customFormat="1" x14ac:dyDescent="0.25">
      <c r="A1684" s="982">
        <v>109208</v>
      </c>
      <c r="B1684" s="983">
        <v>84</v>
      </c>
      <c r="C1684" s="984" t="s">
        <v>476</v>
      </c>
      <c r="D1684" s="984">
        <v>5.65</v>
      </c>
      <c r="E1684" s="984">
        <v>0.79100000000000004</v>
      </c>
      <c r="L1684" s="984">
        <v>85.2</v>
      </c>
    </row>
    <row r="1685" spans="1:31" x14ac:dyDescent="0.25">
      <c r="A1685" s="982">
        <v>109209</v>
      </c>
      <c r="B1685" s="34">
        <v>49</v>
      </c>
      <c r="C1685" s="35" t="s">
        <v>476</v>
      </c>
      <c r="D1685" s="35">
        <v>8.86</v>
      </c>
      <c r="E1685" s="35">
        <v>2.48</v>
      </c>
      <c r="F1685" s="35">
        <v>1.65</v>
      </c>
      <c r="G1685" s="2148">
        <v>0.49</v>
      </c>
      <c r="H1685" s="2145">
        <v>1.82</v>
      </c>
      <c r="I1685" s="2147">
        <v>0.34</v>
      </c>
      <c r="J1685" s="2144">
        <v>3.75</v>
      </c>
      <c r="K1685" s="2146">
        <v>0.76</v>
      </c>
      <c r="L1685" s="35">
        <v>49.2</v>
      </c>
    </row>
    <row r="1686" spans="1:31" s="984" customFormat="1" x14ac:dyDescent="0.25">
      <c r="A1686" s="982">
        <v>109210</v>
      </c>
      <c r="B1686" s="983">
        <v>84</v>
      </c>
      <c r="C1686" s="984" t="s">
        <v>476</v>
      </c>
      <c r="D1686" s="984">
        <v>7.57</v>
      </c>
      <c r="E1686" s="984">
        <v>1.171</v>
      </c>
      <c r="L1686" s="984">
        <v>71.599999999999994</v>
      </c>
    </row>
    <row r="1687" spans="1:31" s="984" customFormat="1" x14ac:dyDescent="0.25">
      <c r="A1687" s="982">
        <v>109211</v>
      </c>
      <c r="B1687" s="983">
        <v>80</v>
      </c>
      <c r="C1687" s="984" t="s">
        <v>476</v>
      </c>
      <c r="D1687" s="984">
        <v>6.97</v>
      </c>
      <c r="E1687" s="984">
        <v>0.77</v>
      </c>
      <c r="L1687" s="984">
        <v>80.2</v>
      </c>
    </row>
    <row r="1688" spans="1:31" x14ac:dyDescent="0.25">
      <c r="A1688" s="982">
        <v>109212</v>
      </c>
      <c r="B1688" s="34">
        <v>40</v>
      </c>
      <c r="C1688" s="35" t="s">
        <v>476</v>
      </c>
      <c r="D1688" s="35">
        <v>9.42</v>
      </c>
      <c r="E1688" s="35">
        <v>2.81</v>
      </c>
      <c r="F1688" s="35">
        <v>1.54</v>
      </c>
      <c r="G1688" s="2153">
        <v>0.43</v>
      </c>
      <c r="H1688" s="2150">
        <v>2.5099999999999998</v>
      </c>
      <c r="I1688" s="2152">
        <v>0.46</v>
      </c>
      <c r="J1688" s="2149">
        <v>4.01</v>
      </c>
      <c r="K1688" s="2151">
        <v>0.64</v>
      </c>
      <c r="L1688" s="35">
        <v>60.3</v>
      </c>
    </row>
    <row r="1689" spans="1:31" s="984" customFormat="1" x14ac:dyDescent="0.25">
      <c r="A1689" s="982">
        <v>109213</v>
      </c>
      <c r="B1689" s="983">
        <v>80</v>
      </c>
      <c r="C1689" s="984" t="s">
        <v>476</v>
      </c>
      <c r="D1689" s="984">
        <v>6.73</v>
      </c>
      <c r="E1689" s="984">
        <v>0.72</v>
      </c>
      <c r="L1689" s="984">
        <v>75.3</v>
      </c>
    </row>
    <row r="1690" spans="1:31" s="1673" customFormat="1" x14ac:dyDescent="0.25">
      <c r="A1690" s="1671">
        <v>109214</v>
      </c>
      <c r="B1690" s="1672">
        <v>67</v>
      </c>
      <c r="C1690" s="1673" t="s">
        <v>476</v>
      </c>
      <c r="L1690" s="1673">
        <v>48.4</v>
      </c>
    </row>
    <row r="1691" spans="1:31" s="651" customFormat="1" x14ac:dyDescent="0.25">
      <c r="A1691" s="1247">
        <v>109215</v>
      </c>
      <c r="B1691" s="1883">
        <v>66.592785745328115</v>
      </c>
      <c r="C1691" s="1291" t="s">
        <v>477</v>
      </c>
      <c r="D1691" s="651">
        <v>9.9600000000000009</v>
      </c>
      <c r="E1691" s="651">
        <v>4.66</v>
      </c>
      <c r="F1691" s="651">
        <v>1.91</v>
      </c>
      <c r="G1691" s="651">
        <v>1.3</v>
      </c>
      <c r="H1691" s="651">
        <v>3.37</v>
      </c>
      <c r="I1691" s="651">
        <v>0.45</v>
      </c>
      <c r="J1691" s="651">
        <v>3.11</v>
      </c>
      <c r="K1691" s="651">
        <v>0.77</v>
      </c>
      <c r="L1691" s="651">
        <v>47.7</v>
      </c>
      <c r="M1691" s="651">
        <v>208.9</v>
      </c>
      <c r="N1691" s="651">
        <v>79.66</v>
      </c>
      <c r="O1691" s="651">
        <v>334.96</v>
      </c>
      <c r="P1691" s="651">
        <v>9256.86</v>
      </c>
      <c r="Q1691" s="651">
        <v>65.900000000000006</v>
      </c>
      <c r="U1691" s="733">
        <v>1E-3</v>
      </c>
      <c r="V1691" s="733">
        <v>0.35</v>
      </c>
      <c r="X1691" s="733">
        <v>23.13</v>
      </c>
      <c r="Y1691" s="1248">
        <v>1E-3</v>
      </c>
      <c r="AA1691" s="733">
        <v>10.31</v>
      </c>
      <c r="AB1691" s="733">
        <v>3.31</v>
      </c>
      <c r="AC1691" s="733">
        <v>1E-3</v>
      </c>
      <c r="AD1691" s="1291">
        <v>415.47239026510209</v>
      </c>
      <c r="AE1691" s="1291"/>
    </row>
    <row r="1692" spans="1:31" s="651" customFormat="1" x14ac:dyDescent="0.25">
      <c r="A1692" s="1247">
        <v>109216</v>
      </c>
      <c r="B1692" s="1883">
        <v>55.841077021578492</v>
      </c>
      <c r="C1692" s="1291" t="s">
        <v>477</v>
      </c>
      <c r="D1692" s="651">
        <v>10.06</v>
      </c>
      <c r="E1692" s="651">
        <v>3.99</v>
      </c>
      <c r="F1692" s="651">
        <v>1.82</v>
      </c>
      <c r="G1692" s="651">
        <v>1.25</v>
      </c>
      <c r="H1692" s="651">
        <v>3.95</v>
      </c>
      <c r="I1692" s="651">
        <v>0.28999999999999998</v>
      </c>
      <c r="J1692" s="651">
        <v>2.9</v>
      </c>
      <c r="K1692" s="651">
        <v>0.81</v>
      </c>
      <c r="L1692" s="651">
        <v>52.3</v>
      </c>
      <c r="M1692" s="651">
        <v>193.53</v>
      </c>
      <c r="N1692" s="651">
        <v>84.78</v>
      </c>
      <c r="O1692" s="651">
        <v>342.82</v>
      </c>
      <c r="P1692" s="651">
        <v>17884.82</v>
      </c>
      <c r="Q1692" s="651">
        <v>113.69</v>
      </c>
      <c r="U1692" s="733">
        <v>1E-3</v>
      </c>
      <c r="V1692" s="733">
        <v>0.64</v>
      </c>
      <c r="X1692" s="733">
        <v>35.19</v>
      </c>
      <c r="Y1692" s="1248">
        <v>1E-3</v>
      </c>
      <c r="AA1692" s="733">
        <v>11.54</v>
      </c>
      <c r="AB1692" s="733">
        <v>3.62</v>
      </c>
      <c r="AC1692" s="733">
        <v>1E-3</v>
      </c>
      <c r="AD1692" s="1291">
        <v>364.41886864282128</v>
      </c>
      <c r="AE1692" s="1291"/>
    </row>
    <row r="1693" spans="1:31" s="651" customFormat="1" x14ac:dyDescent="0.25">
      <c r="A1693" s="1247">
        <v>109217</v>
      </c>
      <c r="B1693" s="1883">
        <v>82.464681625037244</v>
      </c>
      <c r="C1693" s="1291" t="s">
        <v>477</v>
      </c>
      <c r="D1693" s="651">
        <v>9.01</v>
      </c>
      <c r="E1693" s="651">
        <v>5.97</v>
      </c>
      <c r="F1693" s="651">
        <v>1.32</v>
      </c>
      <c r="G1693" s="651">
        <v>4.4800000000000004</v>
      </c>
      <c r="H1693" s="651">
        <v>2.58</v>
      </c>
      <c r="I1693" s="651">
        <v>0.36</v>
      </c>
      <c r="J1693" s="651">
        <v>11.63</v>
      </c>
      <c r="K1693" s="651">
        <v>0.63</v>
      </c>
      <c r="L1693" s="651">
        <v>33.700000000000003</v>
      </c>
      <c r="M1693" s="651">
        <v>115.86</v>
      </c>
      <c r="N1693" s="651">
        <v>47.89</v>
      </c>
      <c r="O1693" s="651">
        <v>553.89</v>
      </c>
      <c r="P1693" s="651">
        <v>16990.39</v>
      </c>
      <c r="Q1693" s="651">
        <v>71.52</v>
      </c>
      <c r="U1693" s="733">
        <v>10.55</v>
      </c>
      <c r="V1693" s="733">
        <v>1.1100000000000001</v>
      </c>
      <c r="X1693" s="733">
        <v>28.46</v>
      </c>
      <c r="Y1693" s="1248">
        <v>1E-3</v>
      </c>
      <c r="AA1693" s="733">
        <v>16.04</v>
      </c>
      <c r="AB1693" s="733">
        <v>7.87</v>
      </c>
      <c r="AC1693" s="733">
        <v>2.37</v>
      </c>
      <c r="AD1693" s="1291">
        <v>831.49138482525052</v>
      </c>
      <c r="AE1693" s="1291"/>
    </row>
    <row r="1694" spans="1:31" s="651" customFormat="1" x14ac:dyDescent="0.25">
      <c r="A1694" s="1247">
        <v>109218</v>
      </c>
      <c r="B1694" s="1883">
        <v>79.105458702486416</v>
      </c>
      <c r="C1694" s="1291" t="s">
        <v>477</v>
      </c>
      <c r="D1694" s="651">
        <v>8.76</v>
      </c>
      <c r="E1694" s="651">
        <v>5.26</v>
      </c>
      <c r="F1694" s="651">
        <v>1.99</v>
      </c>
      <c r="G1694" s="651">
        <v>0.98</v>
      </c>
      <c r="H1694" s="651">
        <v>1.94</v>
      </c>
      <c r="I1694" s="651">
        <v>0.6</v>
      </c>
      <c r="J1694" s="651">
        <v>2.2799999999999998</v>
      </c>
      <c r="K1694" s="651">
        <v>0.42</v>
      </c>
      <c r="L1694" s="651">
        <v>60.2</v>
      </c>
      <c r="M1694" s="651">
        <v>115.08</v>
      </c>
      <c r="N1694" s="651">
        <v>44.87</v>
      </c>
      <c r="O1694" s="651">
        <v>205.56</v>
      </c>
      <c r="P1694" s="651">
        <v>18618.560000000001</v>
      </c>
      <c r="Q1694" s="651">
        <v>50.67</v>
      </c>
      <c r="U1694" s="733">
        <v>1E-3</v>
      </c>
      <c r="V1694" s="733">
        <v>0.67</v>
      </c>
      <c r="X1694" s="733">
        <v>46.51</v>
      </c>
      <c r="Y1694" s="1248">
        <v>1E-3</v>
      </c>
      <c r="AA1694" s="733">
        <v>9.76</v>
      </c>
      <c r="AB1694" s="733">
        <v>7.08</v>
      </c>
      <c r="AC1694" s="733">
        <v>2.17</v>
      </c>
      <c r="AD1694" s="1291">
        <v>600.56864246927694</v>
      </c>
      <c r="AE1694" s="1291"/>
    </row>
    <row r="1695" spans="1:31" s="651" customFormat="1" x14ac:dyDescent="0.25">
      <c r="A1695" s="1247">
        <v>109219</v>
      </c>
      <c r="B1695" s="1883">
        <v>65.510613960417118</v>
      </c>
      <c r="C1695" s="1291" t="s">
        <v>477</v>
      </c>
      <c r="D1695" s="651">
        <v>9.82</v>
      </c>
      <c r="E1695" s="651">
        <v>2.79</v>
      </c>
      <c r="F1695" s="651">
        <v>2.0499999999999998</v>
      </c>
      <c r="G1695" s="651">
        <v>1.34</v>
      </c>
      <c r="H1695" s="651">
        <v>2.89</v>
      </c>
      <c r="I1695" s="651">
        <v>0.24</v>
      </c>
      <c r="J1695" s="651">
        <v>3.46</v>
      </c>
      <c r="K1695" s="651">
        <v>0.48</v>
      </c>
      <c r="L1695" s="651">
        <v>57</v>
      </c>
      <c r="M1695" s="651">
        <v>88.16</v>
      </c>
      <c r="N1695" s="651">
        <v>45.25</v>
      </c>
      <c r="O1695" s="651">
        <v>276.51</v>
      </c>
      <c r="P1695" s="651">
        <v>14682.25</v>
      </c>
      <c r="Q1695" s="651">
        <v>83.03</v>
      </c>
      <c r="U1695" s="733">
        <v>1E-3</v>
      </c>
      <c r="V1695" s="733">
        <v>0.54</v>
      </c>
      <c r="X1695" s="733">
        <v>24.07</v>
      </c>
      <c r="Y1695" s="1248">
        <v>1E-3</v>
      </c>
      <c r="AA1695" s="733">
        <v>8.57</v>
      </c>
      <c r="AB1695" s="733">
        <v>5.07</v>
      </c>
      <c r="AC1695" s="733">
        <v>1.48</v>
      </c>
      <c r="AD1695" s="1291">
        <v>470.56274007767615</v>
      </c>
      <c r="AE1695" s="1291"/>
    </row>
    <row r="1696" spans="1:31" s="651" customFormat="1" x14ac:dyDescent="0.25">
      <c r="A1696" s="1247">
        <v>109220</v>
      </c>
      <c r="B1696" s="1883">
        <v>66.551131322094065</v>
      </c>
      <c r="C1696" s="1291" t="s">
        <v>477</v>
      </c>
      <c r="D1696" s="651">
        <v>7.51</v>
      </c>
      <c r="E1696" s="651">
        <v>2.75</v>
      </c>
      <c r="F1696" s="651">
        <v>2.2999999999999998</v>
      </c>
      <c r="G1696" s="651">
        <v>0.89</v>
      </c>
      <c r="H1696" s="651">
        <v>1.22</v>
      </c>
      <c r="I1696" s="651">
        <v>0.41</v>
      </c>
      <c r="J1696" s="651">
        <v>2.23</v>
      </c>
      <c r="K1696" s="651">
        <v>0.83</v>
      </c>
      <c r="L1696" s="651">
        <v>48.8</v>
      </c>
      <c r="M1696" s="651">
        <v>121.08</v>
      </c>
      <c r="N1696" s="651">
        <v>138.71</v>
      </c>
      <c r="O1696" s="651">
        <v>247.14</v>
      </c>
      <c r="P1696" s="651">
        <v>24331.69</v>
      </c>
      <c r="Q1696" s="651">
        <v>71.31</v>
      </c>
      <c r="U1696" s="733">
        <v>1E-3</v>
      </c>
      <c r="V1696" s="733">
        <v>0.79</v>
      </c>
      <c r="X1696" s="733">
        <v>71.55</v>
      </c>
      <c r="Y1696" s="1248">
        <v>1E-3</v>
      </c>
      <c r="AA1696" s="733">
        <v>22.46</v>
      </c>
      <c r="AB1696" s="733">
        <v>8.25</v>
      </c>
      <c r="AC1696" s="733">
        <v>1.1200000000000001</v>
      </c>
      <c r="AD1696" s="1291">
        <v>496.47143966282169</v>
      </c>
      <c r="AE1696" s="1291"/>
    </row>
    <row r="1697" spans="1:31" s="651" customFormat="1" x14ac:dyDescent="0.25">
      <c r="A1697" s="1247">
        <v>109221</v>
      </c>
      <c r="B1697" s="1883">
        <v>60.468926684051425</v>
      </c>
      <c r="C1697" s="1291" t="s">
        <v>477</v>
      </c>
      <c r="D1697" s="651">
        <v>10.1</v>
      </c>
      <c r="E1697" s="651">
        <v>1.74</v>
      </c>
      <c r="F1697" s="651">
        <v>1.82</v>
      </c>
      <c r="G1697" s="651">
        <v>0.94</v>
      </c>
      <c r="H1697" s="651">
        <v>2.08</v>
      </c>
      <c r="I1697" s="651">
        <v>0.2</v>
      </c>
      <c r="J1697" s="651">
        <v>2.87</v>
      </c>
      <c r="K1697" s="651">
        <v>0.81</v>
      </c>
      <c r="L1697" s="651">
        <v>50.6</v>
      </c>
      <c r="M1697" s="651">
        <v>154.54</v>
      </c>
      <c r="N1697" s="651">
        <v>63.69</v>
      </c>
      <c r="O1697" s="651">
        <v>279.45</v>
      </c>
      <c r="P1697" s="651">
        <v>15712.63</v>
      </c>
      <c r="Q1697" s="651">
        <v>80.11</v>
      </c>
      <c r="U1697" s="733">
        <v>1.04</v>
      </c>
      <c r="V1697" s="733">
        <v>0.46</v>
      </c>
      <c r="X1697" s="733">
        <v>40.64</v>
      </c>
      <c r="Y1697" s="1248">
        <v>1E-3</v>
      </c>
      <c r="AA1697" s="733">
        <v>13.96</v>
      </c>
      <c r="AB1697" s="733">
        <v>4.59</v>
      </c>
      <c r="AC1697" s="733">
        <v>2.46</v>
      </c>
      <c r="AD1697" s="1291">
        <v>381.13564488957616</v>
      </c>
      <c r="AE1697" s="1291"/>
    </row>
    <row r="1698" spans="1:31" s="651" customFormat="1" x14ac:dyDescent="0.25">
      <c r="A1698" s="1247">
        <v>109222</v>
      </c>
      <c r="B1698" s="1883">
        <v>70.160873609149462</v>
      </c>
      <c r="C1698" s="1291" t="s">
        <v>477</v>
      </c>
      <c r="D1698" s="651">
        <v>8.6300000000000008</v>
      </c>
      <c r="E1698" s="651">
        <v>1.88</v>
      </c>
      <c r="F1698" s="651">
        <v>2.16</v>
      </c>
      <c r="G1698" s="651">
        <v>0.69</v>
      </c>
      <c r="H1698" s="651">
        <v>1.59</v>
      </c>
      <c r="I1698" s="651">
        <v>0.22</v>
      </c>
      <c r="J1698" s="651">
        <v>2.69</v>
      </c>
      <c r="K1698" s="651">
        <v>0.53</v>
      </c>
      <c r="L1698" s="651">
        <v>59.7</v>
      </c>
      <c r="M1698" s="651">
        <v>139.13999999999999</v>
      </c>
      <c r="N1698" s="651">
        <v>63.31</v>
      </c>
      <c r="O1698" s="651">
        <v>198.76</v>
      </c>
      <c r="P1698" s="651">
        <v>9752.86</v>
      </c>
      <c r="Q1698" s="651">
        <v>107.02</v>
      </c>
      <c r="U1698" s="733">
        <v>3.94</v>
      </c>
      <c r="V1698" s="733">
        <v>0.31</v>
      </c>
      <c r="X1698" s="733">
        <v>35.29</v>
      </c>
      <c r="Y1698" s="1248">
        <v>1E-3</v>
      </c>
      <c r="AA1698" s="733">
        <v>9.4700000000000006</v>
      </c>
      <c r="AB1698" s="733">
        <v>4.18</v>
      </c>
      <c r="AC1698" s="733">
        <v>2.9</v>
      </c>
      <c r="AD1698" s="1291">
        <v>337.82460642805461</v>
      </c>
      <c r="AE1698" s="1291"/>
    </row>
    <row r="1699" spans="1:31" s="651" customFormat="1" x14ac:dyDescent="0.25">
      <c r="A1699" s="1247">
        <v>109223</v>
      </c>
      <c r="B1699" s="1883">
        <v>62.0495378243617</v>
      </c>
      <c r="C1699" s="1291" t="s">
        <v>477</v>
      </c>
      <c r="D1699" s="651">
        <v>8.32</v>
      </c>
      <c r="E1699" s="651">
        <v>2.5299999999999998</v>
      </c>
      <c r="F1699" s="651">
        <v>2.69</v>
      </c>
      <c r="G1699" s="651">
        <v>0.89</v>
      </c>
      <c r="H1699" s="651">
        <v>1.4</v>
      </c>
      <c r="I1699" s="651">
        <v>0.53</v>
      </c>
      <c r="J1699" s="651">
        <v>2.67</v>
      </c>
      <c r="K1699" s="651">
        <v>0.57999999999999996</v>
      </c>
      <c r="L1699" s="651">
        <v>57.4</v>
      </c>
      <c r="M1699" s="651">
        <v>141.66999999999999</v>
      </c>
      <c r="N1699" s="651">
        <v>51.34</v>
      </c>
      <c r="O1699" s="651">
        <v>204.33</v>
      </c>
      <c r="P1699" s="651">
        <v>7955.81</v>
      </c>
      <c r="Q1699" s="651">
        <v>89.95</v>
      </c>
      <c r="U1699" s="733">
        <v>1E-3</v>
      </c>
      <c r="V1699" s="733">
        <v>0.42</v>
      </c>
      <c r="X1699" s="733">
        <v>25.84</v>
      </c>
      <c r="Y1699" s="1248">
        <v>1E-3</v>
      </c>
      <c r="AA1699" s="733">
        <v>8.75</v>
      </c>
      <c r="AB1699" s="733">
        <v>5.49</v>
      </c>
      <c r="AC1699" s="733">
        <v>0.85</v>
      </c>
      <c r="AD1699" s="1291">
        <v>352.44137484237444</v>
      </c>
      <c r="AE1699" s="1291"/>
    </row>
    <row r="1700" spans="1:31" s="651" customFormat="1" x14ac:dyDescent="0.25">
      <c r="A1700" s="1247">
        <v>109224</v>
      </c>
      <c r="B1700" s="1883">
        <v>54.407528327251789</v>
      </c>
      <c r="C1700" s="1291" t="s">
        <v>477</v>
      </c>
      <c r="D1700" s="651">
        <v>8.19</v>
      </c>
      <c r="E1700" s="651">
        <v>2.5299999999999998</v>
      </c>
      <c r="F1700" s="651">
        <v>2.61</v>
      </c>
      <c r="G1700" s="651">
        <v>0.89</v>
      </c>
      <c r="H1700" s="651">
        <v>1.2</v>
      </c>
      <c r="I1700" s="651">
        <v>0.51</v>
      </c>
      <c r="J1700" s="651">
        <v>2.87</v>
      </c>
      <c r="K1700" s="651">
        <v>0.56000000000000005</v>
      </c>
      <c r="L1700" s="651">
        <v>53.6</v>
      </c>
      <c r="M1700" s="651">
        <v>154.29</v>
      </c>
      <c r="N1700" s="651">
        <v>48.01</v>
      </c>
      <c r="O1700" s="651">
        <v>210.21</v>
      </c>
      <c r="P1700" s="651">
        <v>10233.1</v>
      </c>
      <c r="Q1700" s="651">
        <v>87.74</v>
      </c>
      <c r="U1700" s="733">
        <v>1E-3</v>
      </c>
      <c r="V1700" s="733">
        <v>0.4</v>
      </c>
      <c r="X1700" s="733">
        <v>28.64</v>
      </c>
      <c r="Y1700" s="1248">
        <v>1E-3</v>
      </c>
      <c r="AA1700" s="733">
        <v>7.34</v>
      </c>
      <c r="AB1700" s="733">
        <v>4.46</v>
      </c>
      <c r="AC1700" s="733">
        <v>1E-3</v>
      </c>
      <c r="AD1700" s="1291">
        <v>335.9664874207798</v>
      </c>
      <c r="AE1700" s="1291"/>
    </row>
    <row r="1701" spans="1:31" s="651" customFormat="1" x14ac:dyDescent="0.25">
      <c r="A1701" s="1247">
        <v>109225</v>
      </c>
      <c r="B1701" s="1883">
        <v>71.350757510969601</v>
      </c>
      <c r="C1701" s="1291" t="s">
        <v>477</v>
      </c>
      <c r="D1701" s="651">
        <v>9.8800000000000008</v>
      </c>
      <c r="E1701" s="651">
        <v>3.59</v>
      </c>
      <c r="F1701" s="651">
        <v>1.1499999999999999</v>
      </c>
      <c r="G1701" s="651">
        <v>0.59</v>
      </c>
      <c r="H1701" s="651">
        <v>2.0499999999999998</v>
      </c>
      <c r="I1701" s="651">
        <v>0.64</v>
      </c>
      <c r="J1701" s="651">
        <v>2.78</v>
      </c>
      <c r="K1701" s="651">
        <v>0.89</v>
      </c>
      <c r="L1701" s="651">
        <v>31.4</v>
      </c>
      <c r="M1701" s="651">
        <v>78.69</v>
      </c>
      <c r="N1701" s="651">
        <v>73.459999999999994</v>
      </c>
      <c r="O1701" s="651">
        <v>218.75</v>
      </c>
      <c r="P1701" s="651">
        <v>15865.23</v>
      </c>
      <c r="Q1701" s="651">
        <v>108.14</v>
      </c>
      <c r="U1701" s="733">
        <v>1E-3</v>
      </c>
      <c r="V1701" s="733">
        <v>0.54</v>
      </c>
      <c r="X1701" s="733">
        <v>44.2</v>
      </c>
      <c r="Y1701" s="1248">
        <v>1E-3</v>
      </c>
      <c r="AA1701" s="733">
        <v>18.04</v>
      </c>
      <c r="AB1701" s="733">
        <v>6.35</v>
      </c>
      <c r="AC1701" s="733">
        <v>1E-3</v>
      </c>
      <c r="AD1701" s="1291">
        <v>660.42261152153469</v>
      </c>
      <c r="AE1701" s="1291"/>
    </row>
    <row r="1702" spans="1:31" s="651" customFormat="1" x14ac:dyDescent="0.25">
      <c r="A1702" s="1247">
        <v>109226</v>
      </c>
      <c r="B1702" s="1883">
        <v>78.774781085814354</v>
      </c>
      <c r="C1702" s="1291" t="s">
        <v>477</v>
      </c>
      <c r="D1702" s="651">
        <v>10.3</v>
      </c>
      <c r="E1702" s="651">
        <v>2.0499999999999998</v>
      </c>
      <c r="F1702" s="651">
        <v>0.7</v>
      </c>
      <c r="G1702" s="651">
        <v>0.95</v>
      </c>
      <c r="H1702" s="651">
        <v>1.9</v>
      </c>
      <c r="I1702" s="651">
        <v>0.3</v>
      </c>
      <c r="J1702" s="651">
        <v>3.17</v>
      </c>
      <c r="K1702" s="651">
        <v>1.57</v>
      </c>
      <c r="L1702" s="651">
        <v>21.2</v>
      </c>
      <c r="M1702" s="651">
        <v>127.38</v>
      </c>
      <c r="N1702" s="651">
        <v>92.72</v>
      </c>
      <c r="O1702" s="651">
        <v>316.76</v>
      </c>
      <c r="P1702" s="651">
        <v>24885.57</v>
      </c>
      <c r="Q1702" s="651">
        <v>98.86</v>
      </c>
      <c r="U1702" s="733">
        <v>1E-3</v>
      </c>
      <c r="V1702" s="733">
        <v>0.86</v>
      </c>
      <c r="X1702" s="733">
        <v>71.41</v>
      </c>
      <c r="Y1702" s="1248">
        <v>1E-3</v>
      </c>
      <c r="AA1702" s="733">
        <v>27.06</v>
      </c>
      <c r="AB1702" s="733">
        <v>9.6</v>
      </c>
      <c r="AC1702" s="733">
        <v>1E-3</v>
      </c>
      <c r="AD1702" s="1291">
        <v>782.54867530647982</v>
      </c>
      <c r="AE1702" s="1291"/>
    </row>
    <row r="1703" spans="1:31" s="651" customFormat="1" x14ac:dyDescent="0.25">
      <c r="A1703" s="1247">
        <v>109227</v>
      </c>
      <c r="B1703" s="1883">
        <v>78.865641079491752</v>
      </c>
      <c r="C1703" s="1291" t="s">
        <v>477</v>
      </c>
      <c r="D1703" s="651">
        <v>10.28</v>
      </c>
      <c r="E1703" s="651">
        <v>2.04</v>
      </c>
      <c r="F1703" s="651">
        <v>0.56000000000000005</v>
      </c>
      <c r="G1703" s="651">
        <v>0.76</v>
      </c>
      <c r="H1703" s="651">
        <v>1.22</v>
      </c>
      <c r="I1703" s="651">
        <v>0.37</v>
      </c>
      <c r="J1703" s="651">
        <v>2.92</v>
      </c>
      <c r="K1703" s="651">
        <v>0.94</v>
      </c>
      <c r="L1703" s="651">
        <v>15</v>
      </c>
      <c r="M1703" s="651">
        <v>125.55</v>
      </c>
      <c r="N1703" s="651">
        <v>55.36</v>
      </c>
      <c r="O1703" s="651">
        <v>282.14</v>
      </c>
      <c r="P1703" s="651">
        <v>17725.2</v>
      </c>
      <c r="Q1703" s="651">
        <v>69.92</v>
      </c>
      <c r="U1703" s="733">
        <v>1E-3</v>
      </c>
      <c r="V1703" s="733">
        <v>0.52</v>
      </c>
      <c r="X1703" s="733">
        <v>86.55</v>
      </c>
      <c r="Y1703" s="1248">
        <v>1E-3</v>
      </c>
      <c r="AA1703" s="733">
        <v>21.36</v>
      </c>
      <c r="AB1703" s="733">
        <v>8.2100000000000009</v>
      </c>
      <c r="AC1703" s="733">
        <v>1E-3</v>
      </c>
      <c r="AD1703" s="1291">
        <v>925.8826262732332</v>
      </c>
      <c r="AE1703" s="1291"/>
    </row>
    <row r="1704" spans="1:31" s="651" customFormat="1" x14ac:dyDescent="0.25">
      <c r="A1704" s="1247">
        <v>109228</v>
      </c>
      <c r="B1704" s="1883">
        <v>79.055512213902873</v>
      </c>
      <c r="C1704" s="1291" t="s">
        <v>477</v>
      </c>
      <c r="D1704" s="651">
        <v>10.24</v>
      </c>
      <c r="E1704" s="651">
        <v>2.79</v>
      </c>
      <c r="F1704" s="651">
        <v>0.53</v>
      </c>
      <c r="G1704" s="651">
        <v>0.78</v>
      </c>
      <c r="H1704" s="651">
        <v>1.33</v>
      </c>
      <c r="I1704" s="651">
        <v>0.35</v>
      </c>
      <c r="J1704" s="651">
        <v>2.78</v>
      </c>
      <c r="K1704" s="651">
        <v>1.02</v>
      </c>
      <c r="L1704" s="651">
        <v>13.6</v>
      </c>
      <c r="M1704" s="651">
        <v>112.84</v>
      </c>
      <c r="N1704" s="651">
        <v>58.7</v>
      </c>
      <c r="O1704" s="651">
        <v>276.81</v>
      </c>
      <c r="P1704" s="651">
        <v>16467.47</v>
      </c>
      <c r="Q1704" s="651">
        <v>92.77</v>
      </c>
      <c r="U1704" s="733">
        <v>1E-3</v>
      </c>
      <c r="V1704" s="733">
        <v>0.56000000000000005</v>
      </c>
      <c r="X1704" s="733">
        <v>56.27</v>
      </c>
      <c r="Y1704" s="1248">
        <v>1E-3</v>
      </c>
      <c r="AA1704" s="733">
        <v>20.170000000000002</v>
      </c>
      <c r="AB1704" s="733">
        <v>7.64</v>
      </c>
      <c r="AC1704" s="733">
        <v>1E-3</v>
      </c>
      <c r="AD1704" s="1291">
        <v>854.74819805671791</v>
      </c>
      <c r="AE1704" s="1291"/>
    </row>
    <row r="1705" spans="1:31" s="651" customFormat="1" x14ac:dyDescent="0.25">
      <c r="A1705" s="1247">
        <v>109229</v>
      </c>
      <c r="B1705" s="1883">
        <v>57.186897521631018</v>
      </c>
      <c r="C1705" s="1291" t="s">
        <v>477</v>
      </c>
      <c r="D1705" s="651">
        <v>9.9700000000000006</v>
      </c>
      <c r="E1705" s="651">
        <v>2.67</v>
      </c>
      <c r="F1705" s="651">
        <v>1.99</v>
      </c>
      <c r="G1705" s="651">
        <v>1.02</v>
      </c>
      <c r="H1705" s="651">
        <v>2.66</v>
      </c>
      <c r="I1705" s="651">
        <v>0.31</v>
      </c>
      <c r="J1705" s="651">
        <v>3.1</v>
      </c>
      <c r="K1705" s="651">
        <v>0.61</v>
      </c>
      <c r="L1705" s="651">
        <v>52.7</v>
      </c>
      <c r="M1705" s="651">
        <v>209.73</v>
      </c>
      <c r="N1705" s="651">
        <v>77.98</v>
      </c>
      <c r="O1705" s="651">
        <v>332.74</v>
      </c>
      <c r="P1705" s="651">
        <v>14216.11</v>
      </c>
      <c r="Q1705" s="651">
        <v>74.25</v>
      </c>
      <c r="U1705" s="733">
        <v>1E-3</v>
      </c>
      <c r="V1705" s="733">
        <v>0.44</v>
      </c>
      <c r="X1705" s="733">
        <v>31.04</v>
      </c>
      <c r="Y1705" s="1248">
        <v>1E-3</v>
      </c>
      <c r="AA1705" s="733">
        <v>8.2899999999999991</v>
      </c>
      <c r="AB1705" s="733">
        <v>2.97</v>
      </c>
      <c r="AC1705" s="733">
        <v>1E-3</v>
      </c>
      <c r="AD1705" s="1291">
        <v>401.45202060184977</v>
      </c>
      <c r="AE1705" s="1291"/>
    </row>
    <row r="1706" spans="1:31" s="651" customFormat="1" x14ac:dyDescent="0.25">
      <c r="A1706" s="1247">
        <v>109230</v>
      </c>
      <c r="B1706" s="1883">
        <v>91.116332064406151</v>
      </c>
      <c r="C1706" s="1291" t="s">
        <v>477</v>
      </c>
      <c r="D1706" s="651">
        <v>9.59</v>
      </c>
      <c r="E1706" s="651">
        <v>3.86</v>
      </c>
      <c r="F1706" s="651">
        <v>1.79</v>
      </c>
      <c r="G1706" s="651">
        <v>0.78</v>
      </c>
      <c r="H1706" s="651">
        <v>2.7</v>
      </c>
      <c r="I1706" s="651">
        <v>0.2</v>
      </c>
      <c r="J1706" s="651">
        <v>2.8</v>
      </c>
      <c r="K1706" s="651">
        <v>0.57999999999999996</v>
      </c>
      <c r="L1706" s="651">
        <v>47.9</v>
      </c>
      <c r="M1706" s="651">
        <v>123.14</v>
      </c>
      <c r="N1706" s="651">
        <v>56.24</v>
      </c>
      <c r="O1706" s="651">
        <v>265.20999999999998</v>
      </c>
      <c r="P1706" s="651">
        <v>19062.189999999999</v>
      </c>
      <c r="Q1706" s="651">
        <v>69.540000000000006</v>
      </c>
      <c r="U1706" s="733">
        <v>1E-3</v>
      </c>
      <c r="V1706" s="733">
        <v>0.52</v>
      </c>
      <c r="X1706" s="733">
        <v>46.58</v>
      </c>
      <c r="Y1706" s="1248">
        <v>1E-3</v>
      </c>
      <c r="AA1706" s="733">
        <v>7.72</v>
      </c>
      <c r="AB1706" s="733">
        <v>4.24</v>
      </c>
      <c r="AC1706" s="733">
        <v>1E-3</v>
      </c>
      <c r="AD1706" s="1291">
        <v>767.19951598229977</v>
      </c>
      <c r="AE1706" s="1291"/>
    </row>
    <row r="1707" spans="1:31" s="651" customFormat="1" x14ac:dyDescent="0.25">
      <c r="A1707" s="1247">
        <v>109231</v>
      </c>
      <c r="B1707" s="1883">
        <v>86.586418568962216</v>
      </c>
      <c r="C1707" s="1291" t="s">
        <v>477</v>
      </c>
      <c r="D1707" s="651">
        <v>7.77</v>
      </c>
      <c r="E1707" s="651">
        <v>0.94799999999999995</v>
      </c>
      <c r="F1707" s="651">
        <v>10.62</v>
      </c>
      <c r="G1707" s="651">
        <v>3.68</v>
      </c>
      <c r="H1707" s="651">
        <v>0.13</v>
      </c>
      <c r="I1707" s="651">
        <v>0.33</v>
      </c>
      <c r="J1707" s="651">
        <v>8</v>
      </c>
      <c r="K1707" s="651">
        <v>0.17</v>
      </c>
      <c r="L1707" s="651">
        <v>72.099999999999994</v>
      </c>
      <c r="M1707" s="651">
        <v>151.22999999999999</v>
      </c>
      <c r="N1707" s="651">
        <v>7.01</v>
      </c>
      <c r="O1707" s="651">
        <v>10.11</v>
      </c>
      <c r="P1707" s="651">
        <v>716.25</v>
      </c>
      <c r="Q1707" s="651">
        <v>4.37</v>
      </c>
      <c r="U1707" s="733">
        <v>1E-3</v>
      </c>
      <c r="V1707" s="733">
        <v>0.02</v>
      </c>
      <c r="X1707" s="733">
        <v>6.06</v>
      </c>
      <c r="Y1707" s="1248">
        <v>1E-3</v>
      </c>
      <c r="AA1707" s="733">
        <v>2.5299999999999998</v>
      </c>
      <c r="AB1707" s="733">
        <v>0.51</v>
      </c>
      <c r="AC1707" s="733">
        <v>3.08</v>
      </c>
      <c r="AD1707" s="1291">
        <v>478.99606752349905</v>
      </c>
      <c r="AE1707" s="1291"/>
    </row>
    <row r="1708" spans="1:31" s="651" customFormat="1" x14ac:dyDescent="0.25">
      <c r="A1708" s="1247">
        <v>109232</v>
      </c>
      <c r="B1708" s="1883">
        <v>95.693699146771579</v>
      </c>
      <c r="C1708" s="1291" t="s">
        <v>477</v>
      </c>
      <c r="D1708" s="651">
        <v>6.81</v>
      </c>
      <c r="E1708" s="651">
        <v>3.35</v>
      </c>
      <c r="F1708" s="651">
        <v>1.82</v>
      </c>
      <c r="G1708" s="651">
        <v>12.18</v>
      </c>
      <c r="H1708" s="651">
        <v>0.17</v>
      </c>
      <c r="I1708" s="651">
        <v>0.62</v>
      </c>
      <c r="J1708" s="651">
        <v>28.79</v>
      </c>
      <c r="K1708" s="651">
        <v>0.51</v>
      </c>
      <c r="L1708" s="651">
        <v>1.6</v>
      </c>
      <c r="M1708" s="651">
        <v>62.32</v>
      </c>
      <c r="N1708" s="651">
        <v>9.4700000000000006</v>
      </c>
      <c r="O1708" s="651">
        <v>1033.47</v>
      </c>
      <c r="P1708" s="651">
        <v>26191.38</v>
      </c>
      <c r="Q1708" s="651">
        <v>785.18</v>
      </c>
      <c r="U1708" s="733">
        <v>29.07</v>
      </c>
      <c r="V1708" s="733">
        <v>2.04</v>
      </c>
      <c r="X1708" s="733">
        <v>38.65</v>
      </c>
      <c r="Y1708" s="1248">
        <v>1E-3</v>
      </c>
      <c r="AA1708" s="733">
        <v>37.19</v>
      </c>
      <c r="AB1708" s="733">
        <v>18.02</v>
      </c>
      <c r="AC1708" s="733">
        <v>8.0299999999999994</v>
      </c>
      <c r="AD1708" s="1291">
        <v>1440.0944784597655</v>
      </c>
      <c r="AE1708" s="1291"/>
    </row>
    <row r="1709" spans="1:31" s="651" customFormat="1" x14ac:dyDescent="0.25">
      <c r="A1709" s="1247">
        <v>109233</v>
      </c>
      <c r="B1709" s="1883">
        <v>72.847275518035318</v>
      </c>
      <c r="C1709" s="1291" t="s">
        <v>477</v>
      </c>
      <c r="D1709" s="651">
        <v>13.87</v>
      </c>
      <c r="E1709" s="651">
        <v>32.4</v>
      </c>
      <c r="F1709" s="651">
        <v>0.06</v>
      </c>
      <c r="G1709" s="651">
        <v>0.63</v>
      </c>
      <c r="H1709" s="651">
        <v>6.28</v>
      </c>
      <c r="I1709" s="651">
        <v>0.57999999999999996</v>
      </c>
      <c r="J1709" s="651">
        <v>17.57</v>
      </c>
      <c r="K1709" s="651">
        <v>4.41</v>
      </c>
      <c r="L1709" s="651">
        <v>8.4</v>
      </c>
      <c r="M1709" s="651">
        <v>19.079999999999998</v>
      </c>
      <c r="N1709" s="651">
        <v>54.3</v>
      </c>
      <c r="O1709" s="651">
        <v>265.83</v>
      </c>
      <c r="P1709" s="651">
        <v>10056</v>
      </c>
      <c r="Q1709" s="651">
        <v>230.01</v>
      </c>
      <c r="U1709" s="733">
        <v>1E-3</v>
      </c>
      <c r="V1709" s="733">
        <v>0.49</v>
      </c>
      <c r="X1709" s="733">
        <v>34.770000000000003</v>
      </c>
      <c r="Y1709" s="1248">
        <v>1E-3</v>
      </c>
      <c r="AA1709" s="733">
        <v>19.29</v>
      </c>
      <c r="AB1709" s="733">
        <v>2.71</v>
      </c>
      <c r="AC1709" s="733">
        <v>3.15</v>
      </c>
      <c r="AD1709" s="1291">
        <v>703.41329240214895</v>
      </c>
      <c r="AE1709" s="1291"/>
    </row>
    <row r="1710" spans="1:31" s="651" customFormat="1" x14ac:dyDescent="0.25">
      <c r="A1710" s="1247">
        <v>109234</v>
      </c>
      <c r="B1710" s="1883">
        <v>83.83176987287419</v>
      </c>
      <c r="C1710" s="1291" t="s">
        <v>477</v>
      </c>
      <c r="D1710" s="651">
        <v>5.64</v>
      </c>
      <c r="E1710" s="651">
        <v>4.16</v>
      </c>
      <c r="F1710" s="651">
        <v>3</v>
      </c>
      <c r="G1710" s="651">
        <v>1.41</v>
      </c>
      <c r="H1710" s="651">
        <v>0.64</v>
      </c>
      <c r="I1710" s="651">
        <v>0.27</v>
      </c>
      <c r="J1710" s="651">
        <v>1.7</v>
      </c>
      <c r="K1710" s="651">
        <v>0.31</v>
      </c>
      <c r="L1710" s="651">
        <v>88.4</v>
      </c>
      <c r="M1710" s="651">
        <v>87.78</v>
      </c>
      <c r="N1710" s="651">
        <v>17.45</v>
      </c>
      <c r="O1710" s="651">
        <v>146.72</v>
      </c>
      <c r="P1710" s="651">
        <v>497.82</v>
      </c>
      <c r="Q1710" s="651">
        <v>14.9</v>
      </c>
      <c r="U1710" s="733">
        <v>1E-3</v>
      </c>
      <c r="V1710" s="733">
        <v>0.28999999999999998</v>
      </c>
      <c r="X1710" s="733">
        <v>3.24</v>
      </c>
      <c r="Y1710" s="1248">
        <v>1E-3</v>
      </c>
      <c r="AA1710" s="733">
        <v>2.58</v>
      </c>
      <c r="AB1710" s="733">
        <v>0.52</v>
      </c>
      <c r="AC1710" s="733">
        <v>1.53</v>
      </c>
      <c r="AD1710" s="1291">
        <v>478.42791066449303</v>
      </c>
      <c r="AE1710" s="1291"/>
    </row>
    <row r="1711" spans="1:31" s="651" customFormat="1" x14ac:dyDescent="0.25">
      <c r="A1711" s="1247">
        <v>109235</v>
      </c>
      <c r="B1711" s="1248">
        <v>43</v>
      </c>
      <c r="C1711" s="1291" t="s">
        <v>477</v>
      </c>
      <c r="D1711" s="651">
        <v>10.93</v>
      </c>
      <c r="E1711" s="651">
        <v>9.56</v>
      </c>
      <c r="F1711" s="651">
        <v>0.48</v>
      </c>
      <c r="G1711" s="651">
        <v>2.81</v>
      </c>
      <c r="H1711" s="651">
        <v>16.66</v>
      </c>
      <c r="I1711" s="651">
        <v>0.12</v>
      </c>
      <c r="J1711" s="651">
        <v>2.94</v>
      </c>
      <c r="K1711" s="651">
        <v>3.78</v>
      </c>
      <c r="L1711" s="651">
        <v>22</v>
      </c>
      <c r="M1711" s="651">
        <v>282.73</v>
      </c>
      <c r="N1711" s="651">
        <v>210.56</v>
      </c>
      <c r="O1711" s="651">
        <v>451.64</v>
      </c>
      <c r="P1711" s="651">
        <v>5128.1400000000003</v>
      </c>
      <c r="Q1711" s="651">
        <v>445.56</v>
      </c>
      <c r="U1711" s="733">
        <v>1E-3</v>
      </c>
      <c r="V1711" s="733">
        <v>0.68</v>
      </c>
      <c r="X1711" s="733">
        <v>17.07</v>
      </c>
      <c r="Y1711" s="1248">
        <v>1E-3</v>
      </c>
      <c r="AA1711" s="733">
        <v>61.08</v>
      </c>
      <c r="AB1711" s="733">
        <v>1.91</v>
      </c>
      <c r="AC1711" s="733">
        <v>1E-3</v>
      </c>
      <c r="AD1711" s="1291">
        <v>255.59200000000004</v>
      </c>
      <c r="AE1711" s="1291"/>
    </row>
    <row r="1712" spans="1:31" s="651" customFormat="1" x14ac:dyDescent="0.25">
      <c r="A1712" s="1247">
        <v>109236</v>
      </c>
      <c r="B1712" s="1248">
        <v>79</v>
      </c>
      <c r="C1712" s="1291" t="s">
        <v>477</v>
      </c>
      <c r="D1712" s="651">
        <v>8.59</v>
      </c>
      <c r="E1712" s="651">
        <v>0.86899999999999999</v>
      </c>
      <c r="F1712" s="651">
        <v>1.63</v>
      </c>
      <c r="G1712" s="651">
        <v>0.13</v>
      </c>
      <c r="H1712" s="651">
        <v>2.5499999999999998</v>
      </c>
      <c r="I1712" s="651">
        <v>0.04</v>
      </c>
      <c r="J1712" s="651">
        <v>0.77</v>
      </c>
      <c r="K1712" s="651">
        <v>0.23</v>
      </c>
      <c r="L1712" s="651">
        <v>76.5</v>
      </c>
      <c r="M1712" s="651">
        <v>22.38</v>
      </c>
      <c r="N1712" s="651">
        <v>32.04</v>
      </c>
      <c r="O1712" s="651">
        <v>116.04</v>
      </c>
      <c r="P1712" s="651">
        <v>7161.15</v>
      </c>
      <c r="Q1712" s="651">
        <v>63.12</v>
      </c>
      <c r="U1712" s="733">
        <v>1E-3</v>
      </c>
      <c r="V1712" s="733">
        <v>0.14000000000000001</v>
      </c>
      <c r="X1712" s="733">
        <v>32.22</v>
      </c>
      <c r="Y1712" s="1248">
        <v>1E-3</v>
      </c>
      <c r="AA1712" s="733">
        <v>6.23</v>
      </c>
      <c r="AB1712" s="733">
        <v>2.58</v>
      </c>
      <c r="AC1712" s="733">
        <v>1E-3</v>
      </c>
      <c r="AD1712" s="1291">
        <v>494.30300000000005</v>
      </c>
      <c r="AE1712" s="1291"/>
    </row>
    <row r="1713" spans="1:31" s="651" customFormat="1" x14ac:dyDescent="0.25">
      <c r="A1713" s="1247">
        <v>109237</v>
      </c>
      <c r="B1713" s="1248">
        <v>54</v>
      </c>
      <c r="C1713" s="1291" t="s">
        <v>477</v>
      </c>
      <c r="D1713" s="651">
        <v>9.77</v>
      </c>
      <c r="E1713" s="651">
        <v>0.26</v>
      </c>
      <c r="F1713" s="651">
        <v>0.53</v>
      </c>
      <c r="G1713" s="651">
        <v>0.89</v>
      </c>
      <c r="H1713" s="651">
        <v>3.23</v>
      </c>
      <c r="I1713" s="651">
        <v>0.48</v>
      </c>
      <c r="J1713" s="651">
        <v>1.48</v>
      </c>
      <c r="K1713" s="651">
        <v>0.52</v>
      </c>
      <c r="L1713" s="651">
        <v>87.8</v>
      </c>
      <c r="M1713" s="651">
        <v>204.33</v>
      </c>
      <c r="N1713" s="651">
        <v>75.73</v>
      </c>
      <c r="O1713" s="651">
        <v>345.01</v>
      </c>
      <c r="P1713" s="651">
        <v>3494.87</v>
      </c>
      <c r="Q1713" s="651">
        <v>104.26</v>
      </c>
      <c r="U1713" s="733">
        <v>1E-3</v>
      </c>
      <c r="V1713" s="733">
        <v>0.24</v>
      </c>
      <c r="X1713" s="733">
        <v>16.53</v>
      </c>
      <c r="Y1713" s="1248">
        <v>1E-3</v>
      </c>
      <c r="AA1713" s="733">
        <v>9.1</v>
      </c>
      <c r="AB1713" s="733">
        <v>1.5</v>
      </c>
      <c r="AC1713" s="733">
        <v>2.76</v>
      </c>
      <c r="AD1713" s="1291">
        <v>170.262</v>
      </c>
      <c r="AE1713" s="1291"/>
    </row>
    <row r="1714" spans="1:31" s="651" customFormat="1" x14ac:dyDescent="0.25">
      <c r="A1714" s="1247">
        <v>109238</v>
      </c>
      <c r="B1714" s="1248">
        <v>67</v>
      </c>
      <c r="C1714" s="1291" t="s">
        <v>477</v>
      </c>
      <c r="D1714" s="651">
        <v>9.07</v>
      </c>
      <c r="E1714" s="651">
        <v>3.91</v>
      </c>
      <c r="F1714" s="651">
        <v>1.32</v>
      </c>
      <c r="G1714" s="651">
        <v>7.0000000000000007E-2</v>
      </c>
      <c r="H1714" s="651">
        <v>0.63</v>
      </c>
      <c r="I1714" s="651">
        <v>0.06</v>
      </c>
      <c r="J1714" s="651">
        <v>1.7</v>
      </c>
      <c r="K1714" s="651">
        <v>0.21</v>
      </c>
      <c r="L1714" s="651">
        <v>74.5</v>
      </c>
      <c r="M1714" s="651">
        <v>9.3800000000000008</v>
      </c>
      <c r="N1714" s="651">
        <v>5.39</v>
      </c>
      <c r="O1714" s="651">
        <v>37.04</v>
      </c>
      <c r="P1714" s="651">
        <v>6562.27</v>
      </c>
      <c r="Q1714" s="651">
        <v>23.19</v>
      </c>
      <c r="U1714" s="733">
        <v>1E-3</v>
      </c>
      <c r="V1714" s="733">
        <v>0.19</v>
      </c>
      <c r="X1714" s="733">
        <v>12.18</v>
      </c>
      <c r="Y1714" s="1248">
        <v>1E-3</v>
      </c>
      <c r="AA1714" s="733">
        <v>3.33</v>
      </c>
      <c r="AB1714" s="733">
        <v>1.18</v>
      </c>
      <c r="AC1714" s="733">
        <v>1E-3</v>
      </c>
      <c r="AD1714" s="1291">
        <v>326.95999999999998</v>
      </c>
      <c r="AE1714" s="1291"/>
    </row>
    <row r="1715" spans="1:31" s="1673" customFormat="1" x14ac:dyDescent="0.25">
      <c r="A1715" s="1671">
        <v>109239</v>
      </c>
      <c r="B1715" s="1672">
        <v>69</v>
      </c>
      <c r="C1715" s="1673" t="s">
        <v>476</v>
      </c>
      <c r="D1715" s="1673">
        <v>9.48</v>
      </c>
      <c r="E1715" s="1673">
        <v>4.91</v>
      </c>
      <c r="L1715" s="1673">
        <v>49.7</v>
      </c>
    </row>
    <row r="1716" spans="1:31" s="1369" customFormat="1" x14ac:dyDescent="0.25">
      <c r="A1716" s="1367">
        <v>109240</v>
      </c>
      <c r="B1716" s="2154">
        <v>38</v>
      </c>
      <c r="D1716" s="1369">
        <v>9.0500000000000007</v>
      </c>
      <c r="E1716" s="1369">
        <v>2.12</v>
      </c>
      <c r="L1716" s="1369">
        <v>54.4</v>
      </c>
    </row>
    <row r="1717" spans="1:31" s="1369" customFormat="1" x14ac:dyDescent="0.25">
      <c r="A1717" s="1367">
        <v>109241</v>
      </c>
      <c r="B1717" s="1368">
        <v>73</v>
      </c>
      <c r="D1717" s="1369">
        <v>8.3000000000000007</v>
      </c>
      <c r="E1717" s="1369">
        <v>4.68</v>
      </c>
      <c r="L1717" s="1369">
        <v>77.099999999999994</v>
      </c>
    </row>
    <row r="1718" spans="1:31" s="1369" customFormat="1" x14ac:dyDescent="0.25">
      <c r="A1718" s="1367">
        <v>109242</v>
      </c>
      <c r="B1718" s="1368">
        <v>62</v>
      </c>
      <c r="D1718" s="1369">
        <v>9.48</v>
      </c>
      <c r="E1718" s="1369">
        <v>3.31</v>
      </c>
      <c r="L1718" s="1369">
        <v>51</v>
      </c>
    </row>
    <row r="1719" spans="1:31" s="1369" customFormat="1" x14ac:dyDescent="0.25">
      <c r="A1719" s="1367">
        <v>109243</v>
      </c>
      <c r="B1719" s="1368">
        <v>87</v>
      </c>
      <c r="D1719" s="1369">
        <v>7.39</v>
      </c>
      <c r="E1719" s="1369">
        <v>4.38</v>
      </c>
      <c r="L1719" s="1369">
        <v>73</v>
      </c>
    </row>
    <row r="1720" spans="1:31" s="1369" customFormat="1" x14ac:dyDescent="0.25">
      <c r="A1720" s="1367">
        <v>109244</v>
      </c>
      <c r="B1720" s="1368">
        <v>77</v>
      </c>
      <c r="D1720" s="1369">
        <v>8.91</v>
      </c>
      <c r="E1720" s="1369">
        <v>6.36</v>
      </c>
      <c r="L1720" s="1369">
        <v>63</v>
      </c>
    </row>
    <row r="1721" spans="1:31" s="1369" customFormat="1" x14ac:dyDescent="0.25">
      <c r="A1721" s="1367">
        <v>109245</v>
      </c>
      <c r="B1721" s="1368">
        <v>88</v>
      </c>
      <c r="D1721" s="1369">
        <v>6.04</v>
      </c>
      <c r="E1721" s="1369">
        <v>0.30299999999999999</v>
      </c>
      <c r="L1721" s="1369">
        <v>82.9</v>
      </c>
    </row>
    <row r="1722" spans="1:31" s="1369" customFormat="1" x14ac:dyDescent="0.25">
      <c r="A1722" s="1367">
        <v>109246</v>
      </c>
      <c r="B1722" s="1368">
        <v>67</v>
      </c>
      <c r="D1722" s="1369">
        <v>8.4700000000000006</v>
      </c>
      <c r="E1722" s="1369">
        <v>2.52</v>
      </c>
      <c r="L1722" s="1369">
        <v>45.2</v>
      </c>
    </row>
    <row r="1723" spans="1:31" s="1369" customFormat="1" x14ac:dyDescent="0.25">
      <c r="A1723" s="1367">
        <v>109247</v>
      </c>
      <c r="B1723" s="1368">
        <v>87</v>
      </c>
      <c r="D1723" s="1369">
        <v>7.73</v>
      </c>
      <c r="E1723" s="1369">
        <v>4.76</v>
      </c>
      <c r="L1723" s="1369">
        <v>69.400000000000006</v>
      </c>
    </row>
    <row r="1724" spans="1:31" s="1369" customFormat="1" x14ac:dyDescent="0.25">
      <c r="A1724" s="1367">
        <v>109248</v>
      </c>
      <c r="B1724" s="1368">
        <v>76</v>
      </c>
      <c r="D1724" s="1369">
        <v>8.83</v>
      </c>
      <c r="E1724" s="1369">
        <v>4.51</v>
      </c>
      <c r="L1724" s="1369">
        <v>77.7</v>
      </c>
    </row>
    <row r="1725" spans="1:31" s="1369" customFormat="1" x14ac:dyDescent="0.25">
      <c r="A1725" s="1367">
        <v>109249</v>
      </c>
      <c r="B1725" s="1368">
        <v>58</v>
      </c>
      <c r="D1725" s="1369">
        <v>8.18</v>
      </c>
      <c r="E1725" s="1369">
        <v>2.3199999999999998</v>
      </c>
      <c r="L1725" s="1369">
        <v>57.2</v>
      </c>
    </row>
    <row r="1726" spans="1:31" x14ac:dyDescent="0.25">
      <c r="A1726" s="1671"/>
    </row>
    <row r="1727" spans="1:31" x14ac:dyDescent="0.25">
      <c r="A1727" s="1671"/>
    </row>
  </sheetData>
  <sheetProtection selectLockedCells="1" selectUnlockedCells="1"/>
  <mergeCells count="6">
    <mergeCell ref="A3:A4"/>
    <mergeCell ref="B737:Q738"/>
    <mergeCell ref="B915:L915"/>
    <mergeCell ref="B923:L923"/>
    <mergeCell ref="A1:C1"/>
    <mergeCell ref="A2:C2"/>
  </mergeCells>
  <phoneticPr fontId="95" type="noConversion"/>
  <conditionalFormatting sqref="A127:A147">
    <cfRule type="duplicateValues" dxfId="759" priority="245"/>
  </conditionalFormatting>
  <conditionalFormatting sqref="A148:A154">
    <cfRule type="duplicateValues" dxfId="758" priority="244"/>
  </conditionalFormatting>
  <conditionalFormatting sqref="A155">
    <cfRule type="duplicateValues" dxfId="757" priority="243"/>
  </conditionalFormatting>
  <conditionalFormatting sqref="A1:A2">
    <cfRule type="duplicateValues" dxfId="756" priority="242"/>
  </conditionalFormatting>
  <conditionalFormatting sqref="A156:A165">
    <cfRule type="duplicateValues" dxfId="755" priority="241"/>
  </conditionalFormatting>
  <conditionalFormatting sqref="A166:A170">
    <cfRule type="duplicateValues" dxfId="754" priority="240"/>
  </conditionalFormatting>
  <conditionalFormatting sqref="A171:A185">
    <cfRule type="duplicateValues" dxfId="753" priority="239"/>
  </conditionalFormatting>
  <conditionalFormatting sqref="A186:A196">
    <cfRule type="duplicateValues" dxfId="752" priority="238"/>
  </conditionalFormatting>
  <conditionalFormatting sqref="A197:A200">
    <cfRule type="duplicateValues" dxfId="751" priority="248"/>
  </conditionalFormatting>
  <conditionalFormatting sqref="A201:A203">
    <cfRule type="duplicateValues" dxfId="750" priority="236"/>
  </conditionalFormatting>
  <conditionalFormatting sqref="A204:A205">
    <cfRule type="duplicateValues" dxfId="749" priority="235"/>
  </conditionalFormatting>
  <conditionalFormatting sqref="A212:A213">
    <cfRule type="duplicateValues" dxfId="748" priority="233"/>
  </conditionalFormatting>
  <conditionalFormatting sqref="A206:A211">
    <cfRule type="duplicateValues" dxfId="747" priority="250"/>
  </conditionalFormatting>
  <conditionalFormatting sqref="A219">
    <cfRule type="duplicateValues" dxfId="746" priority="231"/>
  </conditionalFormatting>
  <conditionalFormatting sqref="A220">
    <cfRule type="duplicateValues" dxfId="745" priority="230"/>
  </conditionalFormatting>
  <conditionalFormatting sqref="A221">
    <cfRule type="duplicateValues" dxfId="744" priority="229"/>
  </conditionalFormatting>
  <conditionalFormatting sqref="A214:A218">
    <cfRule type="duplicateValues" dxfId="743" priority="252"/>
  </conditionalFormatting>
  <conditionalFormatting sqref="A899 A547:A548 A405 A402 A3:A126 A303:A322 A359:A369 A581:A744 A756:A812 A817:A821 A823:A827 A829:A848 A856:A873 A876:A897 A901 A903 A905 A907 B1142 A916:A1048576">
    <cfRule type="duplicateValues" dxfId="8" priority="288"/>
  </conditionalFormatting>
  <conditionalFormatting sqref="A899 A547:A548 A405 A402 A1:A239 A303:A322 A359:A369 A581:A744 A756:A812 A817:A821 A823:A827 A829:A848 A856:A873 A876:A897 A901 A903 A905 A907 B1142 A916:A1048576">
    <cfRule type="duplicateValues" dxfId="7" priority="293"/>
  </conditionalFormatting>
  <conditionalFormatting sqref="A899 A547:A548 A1:A473 A581:A744 A756:A812 A817:A821 A823:A827 A829:A848 A856:A873 A876:A897 A901 A903 A905 A907 B1142 A916:A1048576">
    <cfRule type="duplicateValues" dxfId="6" priority="227"/>
  </conditionalFormatting>
  <conditionalFormatting sqref="A899 A1:A548 A581:A744 A756:A812 A817:A821 A823:A827 A829:A848 A856:A873 A876:A897 A901 A903 A905 A907 B1142 A916:A1048576">
    <cfRule type="duplicateValues" dxfId="5" priority="224"/>
  </conditionalFormatting>
  <conditionalFormatting sqref="J654">
    <cfRule type="containsText" dxfId="742" priority="223" operator="containsText" text="o">
      <formula>NOT(ISERROR(SEARCH("o",J654)))</formula>
    </cfRule>
  </conditionalFormatting>
  <conditionalFormatting sqref="H654">
    <cfRule type="containsText" dxfId="741" priority="222" operator="containsText" text="o">
      <formula>NOT(ISERROR(SEARCH("o",H654)))</formula>
    </cfRule>
  </conditionalFormatting>
  <conditionalFormatting sqref="K646:K654">
    <cfRule type="containsText" dxfId="740" priority="221" operator="containsText" text="o">
      <formula>NOT(ISERROR(SEARCH("o",K646)))</formula>
    </cfRule>
  </conditionalFormatting>
  <conditionalFormatting sqref="I646:I654">
    <cfRule type="containsText" dxfId="739" priority="220" operator="containsText" text="o">
      <formula>NOT(ISERROR(SEARCH("o",I646)))</formula>
    </cfRule>
  </conditionalFormatting>
  <conditionalFormatting sqref="G654 G646:G651">
    <cfRule type="containsText" dxfId="738" priority="219" operator="containsText" text="o">
      <formula>NOT(ISERROR(SEARCH("o",G646)))</formula>
    </cfRule>
  </conditionalFormatting>
  <conditionalFormatting sqref="H712:H717">
    <cfRule type="containsText" dxfId="737" priority="217" operator="containsText" text="o">
      <formula>NOT(ISERROR(SEARCH("o",H712)))</formula>
    </cfRule>
  </conditionalFormatting>
  <conditionalFormatting sqref="K712:K717">
    <cfRule type="containsText" dxfId="736" priority="216" operator="containsText" text="o">
      <formula>NOT(ISERROR(SEARCH("o",K712)))</formula>
    </cfRule>
  </conditionalFormatting>
  <conditionalFormatting sqref="I712:I717">
    <cfRule type="containsText" dxfId="735" priority="215" operator="containsText" text="o">
      <formula>NOT(ISERROR(SEARCH("o",I712)))</formula>
    </cfRule>
  </conditionalFormatting>
  <conditionalFormatting sqref="G712:G717">
    <cfRule type="containsText" dxfId="734" priority="214" operator="containsText" text="o">
      <formula>NOT(ISERROR(SEARCH("o",G712)))</formula>
    </cfRule>
  </conditionalFormatting>
  <conditionalFormatting sqref="G710">
    <cfRule type="containsText" dxfId="733" priority="213" operator="containsText" text="o">
      <formula>NOT(ISERROR(SEARCH("o",G710)))</formula>
    </cfRule>
  </conditionalFormatting>
  <conditionalFormatting sqref="I710">
    <cfRule type="containsText" dxfId="732" priority="212" operator="containsText" text="o">
      <formula>NOT(ISERROR(SEARCH("o",I710)))</formula>
    </cfRule>
  </conditionalFormatting>
  <conditionalFormatting sqref="K710">
    <cfRule type="containsText" dxfId="731" priority="211" operator="containsText" text="o">
      <formula>NOT(ISERROR(SEARCH("o",K710)))</formula>
    </cfRule>
  </conditionalFormatting>
  <conditionalFormatting sqref="H735 H724:H733">
    <cfRule type="containsText" dxfId="730" priority="210" operator="containsText" text="o">
      <formula>NOT(ISERROR(SEARCH("o",H724)))</formula>
    </cfRule>
  </conditionalFormatting>
  <conditionalFormatting sqref="K722:K735">
    <cfRule type="containsText" dxfId="729" priority="209" operator="containsText" text="o">
      <formula>NOT(ISERROR(SEARCH("o",K722)))</formula>
    </cfRule>
  </conditionalFormatting>
  <conditionalFormatting sqref="G722:G735">
    <cfRule type="containsText" dxfId="728" priority="208" operator="containsText" text="o">
      <formula>NOT(ISERROR(SEARCH("o",G722)))</formula>
    </cfRule>
  </conditionalFormatting>
  <conditionalFormatting sqref="I735 I722:I733">
    <cfRule type="containsText" dxfId="727" priority="207" operator="containsText" text="o">
      <formula>NOT(ISERROR(SEARCH("o",I722)))</formula>
    </cfRule>
  </conditionalFormatting>
  <conditionalFormatting sqref="J724:J728 J732 J735">
    <cfRule type="containsText" dxfId="726" priority="206" operator="containsText" text="o">
      <formula>NOT(ISERROR(SEARCH("o",J724)))</formula>
    </cfRule>
  </conditionalFormatting>
  <conditionalFormatting sqref="N734:N735">
    <cfRule type="containsText" dxfId="725" priority="205" operator="containsText" text="o">
      <formula>NOT(ISERROR(SEARCH("o",N734)))</formula>
    </cfRule>
  </conditionalFormatting>
  <conditionalFormatting sqref="M734:M735">
    <cfRule type="containsText" dxfId="724" priority="204" operator="containsText" text="o">
      <formula>NOT(ISERROR(SEARCH("o",M734)))</formula>
    </cfRule>
  </conditionalFormatting>
  <conditionalFormatting sqref="O734:O735">
    <cfRule type="containsText" dxfId="723" priority="203" operator="containsText" text="o">
      <formula>NOT(ISERROR(SEARCH("o",O734)))</formula>
    </cfRule>
  </conditionalFormatting>
  <conditionalFormatting sqref="P734:P735">
    <cfRule type="containsText" dxfId="722" priority="202" operator="containsText" text="o">
      <formula>NOT(ISERROR(SEARCH("o",P734)))</formula>
    </cfRule>
  </conditionalFormatting>
  <conditionalFormatting sqref="Q734:Q735">
    <cfRule type="containsText" dxfId="721" priority="201" operator="containsText" text="o">
      <formula>NOT(ISERROR(SEARCH("o",Q734)))</formula>
    </cfRule>
  </conditionalFormatting>
  <conditionalFormatting sqref="J759:J775">
    <cfRule type="containsText" dxfId="720" priority="200" operator="containsText" text="o">
      <formula>NOT(ISERROR(SEARCH("o",J759)))</formula>
    </cfRule>
  </conditionalFormatting>
  <conditionalFormatting sqref="H759:H775">
    <cfRule type="containsText" dxfId="719" priority="199" operator="containsText" text="o">
      <formula>NOT(ISERROR(SEARCH("o",H759)))</formula>
    </cfRule>
  </conditionalFormatting>
  <conditionalFormatting sqref="K759:K775">
    <cfRule type="containsText" dxfId="718" priority="198" operator="containsText" text="o">
      <formula>NOT(ISERROR(SEARCH("o",K759)))</formula>
    </cfRule>
  </conditionalFormatting>
  <conditionalFormatting sqref="G759:G775">
    <cfRule type="containsText" dxfId="717" priority="197" operator="containsText" text="o">
      <formula>NOT(ISERROR(SEARCH("o",G759)))</formula>
    </cfRule>
  </conditionalFormatting>
  <conditionalFormatting sqref="I759:I775">
    <cfRule type="containsText" dxfId="716" priority="196" operator="containsText" text="o">
      <formula>NOT(ISERROR(SEARCH("o",I759)))</formula>
    </cfRule>
  </conditionalFormatting>
  <conditionalFormatting sqref="M772:M774">
    <cfRule type="containsText" dxfId="715" priority="195" operator="containsText" text="o">
      <formula>NOT(ISERROR(SEARCH("o",M772)))</formula>
    </cfRule>
  </conditionalFormatting>
  <conditionalFormatting sqref="N772:N774">
    <cfRule type="containsText" dxfId="714" priority="194" operator="containsText" text="o">
      <formula>NOT(ISERROR(SEARCH("o",N772)))</formula>
    </cfRule>
  </conditionalFormatting>
  <conditionalFormatting sqref="O772:O774">
    <cfRule type="containsText" dxfId="713" priority="193" operator="containsText" text="o">
      <formula>NOT(ISERROR(SEARCH("o",O772)))</formula>
    </cfRule>
  </conditionalFormatting>
  <conditionalFormatting sqref="Q772:Q774">
    <cfRule type="containsText" dxfId="712" priority="192" operator="containsText" text="o">
      <formula>NOT(ISERROR(SEARCH("o",Q772)))</formula>
    </cfRule>
  </conditionalFormatting>
  <conditionalFormatting sqref="P772:P774">
    <cfRule type="containsText" dxfId="711" priority="191" operator="containsText" text="o">
      <formula>NOT(ISERROR(SEARCH("o",P772)))</formula>
    </cfRule>
  </conditionalFormatting>
  <conditionalFormatting sqref="J788:J798">
    <cfRule type="containsText" dxfId="710" priority="190" operator="containsText" text="o">
      <formula>NOT(ISERROR(SEARCH("o",J788)))</formula>
    </cfRule>
  </conditionalFormatting>
  <conditionalFormatting sqref="H788:H798">
    <cfRule type="containsText" dxfId="709" priority="189" operator="containsText" text="o">
      <formula>NOT(ISERROR(SEARCH("o",H788)))</formula>
    </cfRule>
  </conditionalFormatting>
  <conditionalFormatting sqref="K788:K798">
    <cfRule type="containsText" dxfId="708" priority="188" operator="containsText" text="o">
      <formula>NOT(ISERROR(SEARCH("o",K788)))</formula>
    </cfRule>
  </conditionalFormatting>
  <conditionalFormatting sqref="I788:I798">
    <cfRule type="containsText" dxfId="707" priority="187" operator="containsText" text="o">
      <formula>NOT(ISERROR(SEARCH("o",I788)))</formula>
    </cfRule>
  </conditionalFormatting>
  <conditionalFormatting sqref="G788:G798">
    <cfRule type="containsText" dxfId="706" priority="186" operator="containsText" text="o">
      <formula>NOT(ISERROR(SEARCH("o",G788)))</formula>
    </cfRule>
  </conditionalFormatting>
  <conditionalFormatting sqref="G802:G807">
    <cfRule type="containsText" dxfId="705" priority="185" operator="containsText" text="o">
      <formula>NOT(ISERROR(SEARCH("o",G802)))</formula>
    </cfRule>
  </conditionalFormatting>
  <conditionalFormatting sqref="G809:G812">
    <cfRule type="containsText" dxfId="704" priority="184" operator="containsText" text="o">
      <formula>NOT(ISERROR(SEARCH("o",G809)))</formula>
    </cfRule>
  </conditionalFormatting>
  <conditionalFormatting sqref="H802:H807">
    <cfRule type="containsText" dxfId="703" priority="183" operator="containsText" text="o">
      <formula>NOT(ISERROR(SEARCH("o",H802)))</formula>
    </cfRule>
  </conditionalFormatting>
  <conditionalFormatting sqref="H809:H812">
    <cfRule type="containsText" dxfId="702" priority="182" operator="containsText" text="o">
      <formula>NOT(ISERROR(SEARCH("o",H809)))</formula>
    </cfRule>
  </conditionalFormatting>
  <conditionalFormatting sqref="I802:I807">
    <cfRule type="containsText" dxfId="701" priority="181" operator="containsText" text="o">
      <formula>NOT(ISERROR(SEARCH("o",I802)))</formula>
    </cfRule>
  </conditionalFormatting>
  <conditionalFormatting sqref="I809:I812">
    <cfRule type="containsText" dxfId="700" priority="180" operator="containsText" text="o">
      <formula>NOT(ISERROR(SEARCH("o",I809)))</formula>
    </cfRule>
  </conditionalFormatting>
  <conditionalFormatting sqref="J804 J806:J807">
    <cfRule type="containsText" dxfId="699" priority="179" operator="containsText" text="o">
      <formula>NOT(ISERROR(SEARCH("o",J804)))</formula>
    </cfRule>
  </conditionalFormatting>
  <conditionalFormatting sqref="J810:J812">
    <cfRule type="containsText" dxfId="698" priority="178" operator="containsText" text="o">
      <formula>NOT(ISERROR(SEARCH("o",J810)))</formula>
    </cfRule>
  </conditionalFormatting>
  <conditionalFormatting sqref="K802:K807">
    <cfRule type="containsText" dxfId="697" priority="177" operator="containsText" text="o">
      <formula>NOT(ISERROR(SEARCH("o",K802)))</formula>
    </cfRule>
  </conditionalFormatting>
  <conditionalFormatting sqref="K809:K812">
    <cfRule type="containsText" dxfId="696" priority="176" operator="containsText" text="o">
      <formula>NOT(ISERROR(SEARCH("o",K809)))</formula>
    </cfRule>
  </conditionalFormatting>
  <conditionalFormatting sqref="A813:XFD813">
    <cfRule type="duplicateValues" dxfId="695" priority="173"/>
  </conditionalFormatting>
  <conditionalFormatting sqref="M813">
    <cfRule type="containsText" dxfId="694" priority="171" operator="containsText" text="o">
      <formula>NOT(ISERROR(SEARCH("o",M813)))</formula>
    </cfRule>
  </conditionalFormatting>
  <conditionalFormatting sqref="G813">
    <cfRule type="containsText" dxfId="693" priority="170" operator="containsText" text="o">
      <formula>NOT(ISERROR(SEARCH("o",G813)))</formula>
    </cfRule>
  </conditionalFormatting>
  <conditionalFormatting sqref="I813">
    <cfRule type="containsText" dxfId="692" priority="169" operator="containsText" text="o">
      <formula>NOT(ISERROR(SEARCH("o",I813)))</formula>
    </cfRule>
  </conditionalFormatting>
  <conditionalFormatting sqref="O813">
    <cfRule type="containsText" dxfId="691" priority="168" operator="containsText" text="o">
      <formula>NOT(ISERROR(SEARCH("o",O813)))</formula>
    </cfRule>
  </conditionalFormatting>
  <conditionalFormatting sqref="N813">
    <cfRule type="containsText" dxfId="690" priority="167" operator="containsText" text="o">
      <formula>NOT(ISERROR(SEARCH("o",N813)))</formula>
    </cfRule>
  </conditionalFormatting>
  <conditionalFormatting sqref="P813">
    <cfRule type="containsText" dxfId="689" priority="166" operator="containsText" text="o">
      <formula>NOT(ISERROR(SEARCH("o",P813)))</formula>
    </cfRule>
  </conditionalFormatting>
  <conditionalFormatting sqref="K813">
    <cfRule type="containsText" dxfId="688" priority="165" operator="containsText" text="o">
      <formula>NOT(ISERROR(SEARCH("o",K813)))</formula>
    </cfRule>
  </conditionalFormatting>
  <conditionalFormatting sqref="J813">
    <cfRule type="containsText" dxfId="687" priority="164" operator="containsText" text="o">
      <formula>NOT(ISERROR(SEARCH("o",J813)))</formula>
    </cfRule>
  </conditionalFormatting>
  <conditionalFormatting sqref="H813">
    <cfRule type="containsText" dxfId="686" priority="163" operator="containsText" text="o">
      <formula>NOT(ISERROR(SEARCH("o",H813)))</formula>
    </cfRule>
  </conditionalFormatting>
  <conditionalFormatting sqref="A822:A827">
    <cfRule type="duplicateValues" dxfId="685" priority="161"/>
  </conditionalFormatting>
  <conditionalFormatting sqref="A822:A827">
    <cfRule type="duplicateValues" dxfId="684" priority="162"/>
  </conditionalFormatting>
  <conditionalFormatting sqref="A822:A827">
    <cfRule type="duplicateValues" dxfId="683" priority="160"/>
  </conditionalFormatting>
  <conditionalFormatting sqref="A822:A827">
    <cfRule type="duplicateValues" dxfId="682" priority="159"/>
  </conditionalFormatting>
  <conditionalFormatting sqref="A849:A855">
    <cfRule type="duplicateValues" dxfId="681" priority="157"/>
  </conditionalFormatting>
  <conditionalFormatting sqref="A849:A855">
    <cfRule type="duplicateValues" dxfId="680" priority="158"/>
  </conditionalFormatting>
  <conditionalFormatting sqref="A849:A855">
    <cfRule type="duplicateValues" dxfId="679" priority="156"/>
  </conditionalFormatting>
  <conditionalFormatting sqref="A849:A855">
    <cfRule type="duplicateValues" dxfId="678" priority="155"/>
  </conditionalFormatting>
  <conditionalFormatting sqref="A828">
    <cfRule type="duplicateValues" dxfId="677" priority="153"/>
  </conditionalFormatting>
  <conditionalFormatting sqref="A828">
    <cfRule type="duplicateValues" dxfId="676" priority="154"/>
  </conditionalFormatting>
  <conditionalFormatting sqref="A828">
    <cfRule type="duplicateValues" dxfId="675" priority="152"/>
  </conditionalFormatting>
  <conditionalFormatting sqref="A828">
    <cfRule type="duplicateValues" dxfId="674" priority="151"/>
  </conditionalFormatting>
  <conditionalFormatting sqref="A828">
    <cfRule type="duplicateValues" dxfId="673" priority="149"/>
  </conditionalFormatting>
  <conditionalFormatting sqref="A828">
    <cfRule type="duplicateValues" dxfId="672" priority="150"/>
  </conditionalFormatting>
  <conditionalFormatting sqref="A828">
    <cfRule type="duplicateValues" dxfId="671" priority="148"/>
  </conditionalFormatting>
  <conditionalFormatting sqref="A828">
    <cfRule type="duplicateValues" dxfId="670" priority="147"/>
  </conditionalFormatting>
  <conditionalFormatting sqref="A874:A875">
    <cfRule type="duplicateValues" dxfId="669" priority="136"/>
  </conditionalFormatting>
  <conditionalFormatting sqref="A874:A875">
    <cfRule type="duplicateValues" dxfId="668" priority="137"/>
  </conditionalFormatting>
  <conditionalFormatting sqref="A874:A875">
    <cfRule type="duplicateValues" dxfId="667" priority="135"/>
  </conditionalFormatting>
  <conditionalFormatting sqref="A874:A875">
    <cfRule type="duplicateValues" dxfId="666" priority="134"/>
  </conditionalFormatting>
  <conditionalFormatting sqref="J886:J896">
    <cfRule type="containsText" dxfId="665" priority="133" operator="containsText" text="o">
      <formula>NOT(ISERROR(SEARCH("o",J886)))</formula>
    </cfRule>
  </conditionalFormatting>
  <conditionalFormatting sqref="K886:K896">
    <cfRule type="containsText" dxfId="664" priority="132" operator="containsText" text="o">
      <formula>NOT(ISERROR(SEARCH("o",K886)))</formula>
    </cfRule>
  </conditionalFormatting>
  <conditionalFormatting sqref="I886:I896">
    <cfRule type="containsText" dxfId="663" priority="131" operator="containsText" text="o">
      <formula>NOT(ISERROR(SEARCH("o",I886)))</formula>
    </cfRule>
  </conditionalFormatting>
  <conditionalFormatting sqref="G886:G896">
    <cfRule type="containsText" dxfId="662" priority="130" operator="containsText" text="o">
      <formula>NOT(ISERROR(SEARCH("o",G886)))</formula>
    </cfRule>
  </conditionalFormatting>
  <conditionalFormatting sqref="H886:H896">
    <cfRule type="containsText" dxfId="661" priority="129" operator="containsText" text="o">
      <formula>NOT(ISERROR(SEARCH("o",H886)))</formula>
    </cfRule>
  </conditionalFormatting>
  <conditionalFormatting sqref="A898:A915">
    <cfRule type="duplicateValues" dxfId="660" priority="127"/>
  </conditionalFormatting>
  <conditionalFormatting sqref="A898:A915">
    <cfRule type="duplicateValues" dxfId="659" priority="128"/>
  </conditionalFormatting>
  <conditionalFormatting sqref="A898:A915">
    <cfRule type="duplicateValues" dxfId="658" priority="126"/>
  </conditionalFormatting>
  <conditionalFormatting sqref="A898:A915">
    <cfRule type="duplicateValues" dxfId="657" priority="125"/>
  </conditionalFormatting>
  <conditionalFormatting sqref="J898">
    <cfRule type="containsText" dxfId="656" priority="124" operator="containsText" text="o">
      <formula>NOT(ISERROR(SEARCH("o",J898)))</formula>
    </cfRule>
  </conditionalFormatting>
  <conditionalFormatting sqref="N899">
    <cfRule type="containsText" dxfId="655" priority="105" operator="containsText" text="o">
      <formula>NOT(ISERROR(SEARCH("o",N899)))</formula>
    </cfRule>
  </conditionalFormatting>
  <conditionalFormatting sqref="P899">
    <cfRule type="containsText" dxfId="654" priority="104" operator="containsText" text="o">
      <formula>NOT(ISERROR(SEARCH("o",P899)))</formula>
    </cfRule>
  </conditionalFormatting>
  <conditionalFormatting sqref="O899">
    <cfRule type="containsText" dxfId="653" priority="103" operator="containsText" text="o">
      <formula>NOT(ISERROR(SEARCH("o",O899)))</formula>
    </cfRule>
  </conditionalFormatting>
  <conditionalFormatting sqref="M899">
    <cfRule type="containsText" dxfId="652" priority="102" operator="containsText" text="o">
      <formula>NOT(ISERROR(SEARCH("o",M899)))</formula>
    </cfRule>
  </conditionalFormatting>
  <conditionalFormatting sqref="J899">
    <cfRule type="containsText" dxfId="651" priority="119" operator="containsText" text="o">
      <formula>NOT(ISERROR(SEARCH("o",J899)))</formula>
    </cfRule>
  </conditionalFormatting>
  <conditionalFormatting sqref="H899">
    <cfRule type="containsText" dxfId="650" priority="118" operator="containsText" text="o">
      <formula>NOT(ISERROR(SEARCH("o",H899)))</formula>
    </cfRule>
  </conditionalFormatting>
  <conditionalFormatting sqref="K899">
    <cfRule type="containsText" dxfId="649" priority="117" operator="containsText" text="o">
      <formula>NOT(ISERROR(SEARCH("o",K899)))</formula>
    </cfRule>
  </conditionalFormatting>
  <conditionalFormatting sqref="I899">
    <cfRule type="containsText" dxfId="648" priority="116" operator="containsText" text="o">
      <formula>NOT(ISERROR(SEARCH("o",I899)))</formula>
    </cfRule>
  </conditionalFormatting>
  <conditionalFormatting sqref="G899">
    <cfRule type="containsText" dxfId="647" priority="115" operator="containsText" text="o">
      <formula>NOT(ISERROR(SEARCH("o",G899)))</formula>
    </cfRule>
  </conditionalFormatting>
  <conditionalFormatting sqref="N892:N893">
    <cfRule type="containsText" dxfId="646" priority="114" operator="containsText" text="o">
      <formula>NOT(ISERROR(SEARCH("o",N892)))</formula>
    </cfRule>
  </conditionalFormatting>
  <conditionalFormatting sqref="N894">
    <cfRule type="containsText" dxfId="645" priority="113" operator="containsText" text="o">
      <formula>NOT(ISERROR(SEARCH("o",N894)))</formula>
    </cfRule>
  </conditionalFormatting>
  <conditionalFormatting sqref="P892:P894">
    <cfRule type="containsText" dxfId="644" priority="112" operator="containsText" text="o">
      <formula>NOT(ISERROR(SEARCH("o",P892)))</formula>
    </cfRule>
  </conditionalFormatting>
  <conditionalFormatting sqref="O892:O893">
    <cfRule type="containsText" dxfId="643" priority="111" operator="containsText" text="o">
      <formula>NOT(ISERROR(SEARCH("o",O892)))</formula>
    </cfRule>
  </conditionalFormatting>
  <conditionalFormatting sqref="M892:M893">
    <cfRule type="containsText" dxfId="642" priority="110" operator="containsText" text="o">
      <formula>NOT(ISERROR(SEARCH("o",M892)))</formula>
    </cfRule>
  </conditionalFormatting>
  <conditionalFormatting sqref="N897">
    <cfRule type="containsText" dxfId="641" priority="109" operator="containsText" text="o">
      <formula>NOT(ISERROR(SEARCH("o",N897)))</formula>
    </cfRule>
  </conditionalFormatting>
  <conditionalFormatting sqref="P897">
    <cfRule type="containsText" dxfId="640" priority="108" operator="containsText" text="o">
      <formula>NOT(ISERROR(SEARCH("o",P897)))</formula>
    </cfRule>
  </conditionalFormatting>
  <conditionalFormatting sqref="O897">
    <cfRule type="containsText" dxfId="639" priority="107" operator="containsText" text="o">
      <formula>NOT(ISERROR(SEARCH("o",O897)))</formula>
    </cfRule>
  </conditionalFormatting>
  <conditionalFormatting sqref="M897">
    <cfRule type="containsText" dxfId="638" priority="106" operator="containsText" text="o">
      <formula>NOT(ISERROR(SEARCH("o",M897)))</formula>
    </cfRule>
  </conditionalFormatting>
  <conditionalFormatting sqref="N904:N906">
    <cfRule type="containsText" dxfId="637" priority="101" operator="containsText" text="o">
      <formula>NOT(ISERROR(SEARCH("o",N904)))</formula>
    </cfRule>
  </conditionalFormatting>
  <conditionalFormatting sqref="M904:M906">
    <cfRule type="containsText" dxfId="636" priority="100" operator="containsText" text="o">
      <formula>NOT(ISERROR(SEARCH("o",M904)))</formula>
    </cfRule>
  </conditionalFormatting>
  <conditionalFormatting sqref="H909:H914">
    <cfRule type="containsText" dxfId="635" priority="98" operator="containsText" text="o">
      <formula>NOT(ISERROR(SEARCH("o",H909)))</formula>
    </cfRule>
  </conditionalFormatting>
  <conditionalFormatting sqref="G909:G914">
    <cfRule type="containsText" dxfId="634" priority="97" operator="containsText" text="o">
      <formula>NOT(ISERROR(SEARCH("o",G909)))</formula>
    </cfRule>
  </conditionalFormatting>
  <conditionalFormatting sqref="I909:I914">
    <cfRule type="containsText" dxfId="633" priority="96" operator="containsText" text="o">
      <formula>NOT(ISERROR(SEARCH("o",I909)))</formula>
    </cfRule>
  </conditionalFormatting>
  <conditionalFormatting sqref="J909:J914">
    <cfRule type="containsText" dxfId="632" priority="95" operator="containsText" text="o">
      <formula>NOT(ISERROR(SEARCH("o",J909)))</formula>
    </cfRule>
  </conditionalFormatting>
  <conditionalFormatting sqref="J998:J1000">
    <cfRule type="containsText" dxfId="631" priority="94" operator="containsText" text="o">
      <formula>NOT(ISERROR(SEARCH("o",J998)))</formula>
    </cfRule>
  </conditionalFormatting>
  <conditionalFormatting sqref="H998:H1000">
    <cfRule type="containsText" dxfId="630" priority="93" operator="containsText" text="o">
      <formula>NOT(ISERROR(SEARCH("o",H998)))</formula>
    </cfRule>
  </conditionalFormatting>
  <conditionalFormatting sqref="K998:K1000">
    <cfRule type="containsText" dxfId="629" priority="92" operator="containsText" text="o">
      <formula>NOT(ISERROR(SEARCH("o",K998)))</formula>
    </cfRule>
  </conditionalFormatting>
  <conditionalFormatting sqref="I998:I1000">
    <cfRule type="containsText" dxfId="628" priority="91" operator="containsText" text="o">
      <formula>NOT(ISERROR(SEARCH("o",I998)))</formula>
    </cfRule>
  </conditionalFormatting>
  <conditionalFormatting sqref="G998:G1000">
    <cfRule type="containsText" dxfId="627" priority="90" operator="containsText" text="o">
      <formula>NOT(ISERROR(SEARCH("o",G998)))</formula>
    </cfRule>
  </conditionalFormatting>
  <conditionalFormatting sqref="J1005:J1008">
    <cfRule type="containsText" dxfId="626" priority="89" operator="containsText" text="o">
      <formula>NOT(ISERROR(SEARCH("o",J1005)))</formula>
    </cfRule>
  </conditionalFormatting>
  <conditionalFormatting sqref="H1005:H1008">
    <cfRule type="containsText" dxfId="625" priority="88" operator="containsText" text="o">
      <formula>NOT(ISERROR(SEARCH("o",H1005)))</formula>
    </cfRule>
  </conditionalFormatting>
  <conditionalFormatting sqref="I1005:I1008">
    <cfRule type="containsText" dxfId="624" priority="87" operator="containsText" text="o">
      <formula>NOT(ISERROR(SEARCH("o",I1005)))</formula>
    </cfRule>
  </conditionalFormatting>
  <conditionalFormatting sqref="G1005:G1008">
    <cfRule type="containsText" dxfId="623" priority="86" operator="containsText" text="o">
      <formula>NOT(ISERROR(SEARCH("o",G1005)))</formula>
    </cfRule>
  </conditionalFormatting>
  <conditionalFormatting sqref="K1005:K1008">
    <cfRule type="containsText" dxfId="622" priority="85" operator="containsText" text="o">
      <formula>NOT(ISERROR(SEARCH("o",K1005)))</formula>
    </cfRule>
  </conditionalFormatting>
  <conditionalFormatting sqref="J988:J990">
    <cfRule type="containsText" dxfId="621" priority="79" operator="containsText" text="o">
      <formula>NOT(ISERROR(SEARCH("o",J988)))</formula>
    </cfRule>
  </conditionalFormatting>
  <conditionalFormatting sqref="H988:H990">
    <cfRule type="containsText" dxfId="620" priority="78" operator="containsText" text="o">
      <formula>NOT(ISERROR(SEARCH("o",H988)))</formula>
    </cfRule>
  </conditionalFormatting>
  <conditionalFormatting sqref="K988:K990">
    <cfRule type="containsText" dxfId="619" priority="77" operator="containsText" text="o">
      <formula>NOT(ISERROR(SEARCH("o",K988)))</formula>
    </cfRule>
  </conditionalFormatting>
  <conditionalFormatting sqref="I988:I990">
    <cfRule type="containsText" dxfId="618" priority="76" operator="containsText" text="o">
      <formula>NOT(ISERROR(SEARCH("o",I988)))</formula>
    </cfRule>
  </conditionalFormatting>
  <conditionalFormatting sqref="G988:G990">
    <cfRule type="containsText" dxfId="617" priority="75" operator="containsText" text="o">
      <formula>NOT(ISERROR(SEARCH("o",G988)))</formula>
    </cfRule>
  </conditionalFormatting>
  <conditionalFormatting sqref="J1009">
    <cfRule type="containsText" dxfId="616" priority="74" operator="containsText" text="o">
      <formula>NOT(ISERROR(SEARCH("o",J1009)))</formula>
    </cfRule>
  </conditionalFormatting>
  <conditionalFormatting sqref="H1009">
    <cfRule type="containsText" dxfId="615" priority="73" operator="containsText" text="o">
      <formula>NOT(ISERROR(SEARCH("o",H1009)))</formula>
    </cfRule>
  </conditionalFormatting>
  <conditionalFormatting sqref="I1009">
    <cfRule type="containsText" dxfId="614" priority="72" operator="containsText" text="o">
      <formula>NOT(ISERROR(SEARCH("o",I1009)))</formula>
    </cfRule>
  </conditionalFormatting>
  <conditionalFormatting sqref="G1009">
    <cfRule type="containsText" dxfId="613" priority="71" operator="containsText" text="o">
      <formula>NOT(ISERROR(SEARCH("o",G1009)))</formula>
    </cfRule>
  </conditionalFormatting>
  <conditionalFormatting sqref="G1034:G1039">
    <cfRule type="containsText" dxfId="612" priority="70" operator="containsText" text="o">
      <formula>NOT(ISERROR(SEARCH("o",G1034)))</formula>
    </cfRule>
  </conditionalFormatting>
  <conditionalFormatting sqref="I1034:I1039">
    <cfRule type="containsText" dxfId="611" priority="69" operator="containsText" text="o">
      <formula>NOT(ISERROR(SEARCH("o",I1034)))</formula>
    </cfRule>
  </conditionalFormatting>
  <conditionalFormatting sqref="K1034:K1039">
    <cfRule type="containsText" dxfId="610" priority="68" operator="containsText" text="o">
      <formula>NOT(ISERROR(SEARCH("o",K1034)))</formula>
    </cfRule>
  </conditionalFormatting>
  <conditionalFormatting sqref="H1034:H1039">
    <cfRule type="containsText" dxfId="609" priority="67" operator="containsText" text="o">
      <formula>NOT(ISERROR(SEARCH("o",H1034)))</formula>
    </cfRule>
  </conditionalFormatting>
  <conditionalFormatting sqref="J1034:J1039">
    <cfRule type="containsText" dxfId="608" priority="66" operator="containsText" text="o">
      <formula>NOT(ISERROR(SEARCH("o",J1034)))</formula>
    </cfRule>
  </conditionalFormatting>
  <conditionalFormatting sqref="M1038:M1039">
    <cfRule type="containsText" dxfId="607" priority="65" operator="containsText" text="o">
      <formula>NOT(ISERROR(SEARCH("o",M1038)))</formula>
    </cfRule>
  </conditionalFormatting>
  <conditionalFormatting sqref="O1038:O1039">
    <cfRule type="containsText" dxfId="606" priority="64" operator="containsText" text="o">
      <formula>NOT(ISERROR(SEARCH("o",O1038)))</formula>
    </cfRule>
  </conditionalFormatting>
  <conditionalFormatting sqref="P1038:P1039">
    <cfRule type="containsText" dxfId="605" priority="63" operator="containsText" text="o">
      <formula>NOT(ISERROR(SEARCH("o",P1038)))</formula>
    </cfRule>
  </conditionalFormatting>
  <conditionalFormatting sqref="N1038:N1039">
    <cfRule type="containsText" dxfId="604" priority="62" operator="containsText" text="o">
      <formula>NOT(ISERROR(SEARCH("o",N1038)))</formula>
    </cfRule>
  </conditionalFormatting>
  <conditionalFormatting sqref="Q1038:Q1039">
    <cfRule type="containsText" dxfId="603" priority="61" operator="containsText" text="o">
      <formula>NOT(ISERROR(SEARCH("o",Q1038)))</formula>
    </cfRule>
  </conditionalFormatting>
  <conditionalFormatting sqref="P1034">
    <cfRule type="containsText" dxfId="602" priority="60" operator="containsText" text="o">
      <formula>NOT(ISERROR(SEARCH("o",P1034)))</formula>
    </cfRule>
  </conditionalFormatting>
  <conditionalFormatting sqref="N1034">
    <cfRule type="containsText" dxfId="601" priority="59" operator="containsText" text="o">
      <formula>NOT(ISERROR(SEARCH("o",N1034)))</formula>
    </cfRule>
  </conditionalFormatting>
  <conditionalFormatting sqref="M1034">
    <cfRule type="containsText" dxfId="600" priority="58" operator="containsText" text="o">
      <formula>NOT(ISERROR(SEARCH("o",M1034)))</formula>
    </cfRule>
  </conditionalFormatting>
  <conditionalFormatting sqref="O1034">
    <cfRule type="containsText" dxfId="599" priority="57" operator="containsText" text="o">
      <formula>NOT(ISERROR(SEARCH("o",O1034)))</formula>
    </cfRule>
  </conditionalFormatting>
  <conditionalFormatting sqref="J1045:J1049">
    <cfRule type="containsText" dxfId="598" priority="55" operator="containsText" text="o">
      <formula>NOT(ISERROR(SEARCH("o",J1045)))</formula>
    </cfRule>
    <cfRule type="timePeriod" dxfId="597" priority="56" timePeriod="yesterday">
      <formula>FLOOR(J1045,1)=TODAY()-1</formula>
    </cfRule>
  </conditionalFormatting>
  <conditionalFormatting sqref="H1045:H1049">
    <cfRule type="containsText" dxfId="596" priority="53" operator="containsText" text="o">
      <formula>NOT(ISERROR(SEARCH("o",H1045)))</formula>
    </cfRule>
    <cfRule type="timePeriod" dxfId="595" priority="54" timePeriod="yesterday">
      <formula>FLOOR(H1045,1)=TODAY()-1</formula>
    </cfRule>
  </conditionalFormatting>
  <conditionalFormatting sqref="K1045:K1049">
    <cfRule type="containsText" dxfId="594" priority="51" operator="containsText" text="o">
      <formula>NOT(ISERROR(SEARCH("o",K1045)))</formula>
    </cfRule>
    <cfRule type="timePeriod" dxfId="593" priority="52" timePeriod="yesterday">
      <formula>FLOOR(K1045,1)=TODAY()-1</formula>
    </cfRule>
  </conditionalFormatting>
  <conditionalFormatting sqref="I1045:I1049">
    <cfRule type="containsText" dxfId="592" priority="49" operator="containsText" text="o">
      <formula>NOT(ISERROR(SEARCH("o",I1045)))</formula>
    </cfRule>
    <cfRule type="timePeriod" dxfId="591" priority="50" timePeriod="yesterday">
      <formula>FLOOR(I1045,1)=TODAY()-1</formula>
    </cfRule>
  </conditionalFormatting>
  <conditionalFormatting sqref="G1045:G1049">
    <cfRule type="containsText" dxfId="590" priority="47" operator="containsText" text="o">
      <formula>NOT(ISERROR(SEARCH("o",G1045)))</formula>
    </cfRule>
    <cfRule type="timePeriod" dxfId="589" priority="48" timePeriod="yesterday">
      <formula>FLOOR(G1045,1)=TODAY()-1</formula>
    </cfRule>
  </conditionalFormatting>
  <conditionalFormatting sqref="J1084:J1088 J1092:J1095 J1097">
    <cfRule type="containsText" dxfId="588" priority="46" operator="containsText" text="o">
      <formula>NOT(ISERROR(SEARCH("o",J1084)))</formula>
    </cfRule>
  </conditionalFormatting>
  <conditionalFormatting sqref="H1084:H1088 H1092:H1095 H1097">
    <cfRule type="containsText" dxfId="587" priority="45" operator="containsText" text="o">
      <formula>NOT(ISERROR(SEARCH("o",H1084)))</formula>
    </cfRule>
  </conditionalFormatting>
  <conditionalFormatting sqref="K1084:K1088 K1092:K1095 K1097">
    <cfRule type="containsText" dxfId="586" priority="44" operator="containsText" text="o">
      <formula>NOT(ISERROR(SEARCH("o",K1084)))</formula>
    </cfRule>
  </conditionalFormatting>
  <conditionalFormatting sqref="K1089:K1091">
    <cfRule type="containsText" dxfId="585" priority="43" operator="containsText" text="o">
      <formula>NOT(ISERROR(SEARCH("o",K1089)))</formula>
    </cfRule>
  </conditionalFormatting>
  <conditionalFormatting sqref="I1084:I1088 I1092:I1095 I1097">
    <cfRule type="containsText" dxfId="584" priority="42" operator="containsText" text="o">
      <formula>NOT(ISERROR(SEARCH("o",I1084)))</formula>
    </cfRule>
  </conditionalFormatting>
  <conditionalFormatting sqref="I1089:I1091">
    <cfRule type="containsText" dxfId="583" priority="41" operator="containsText" text="o">
      <formula>NOT(ISERROR(SEARCH("o",I1089)))</formula>
    </cfRule>
  </conditionalFormatting>
  <conditionalFormatting sqref="G1084:G1088 G1092:G1095 G1097">
    <cfRule type="containsText" dxfId="582" priority="40" operator="containsText" text="o">
      <formula>NOT(ISERROR(SEARCH("o",G1084)))</formula>
    </cfRule>
  </conditionalFormatting>
  <conditionalFormatting sqref="G1089 G1091">
    <cfRule type="containsText" dxfId="581" priority="39" operator="containsText" text="o">
      <formula>NOT(ISERROR(SEARCH("o",G1089)))</formula>
    </cfRule>
  </conditionalFormatting>
  <conditionalFormatting sqref="G1098">
    <cfRule type="containsText" dxfId="580" priority="38" operator="containsText" text="o">
      <formula>NOT(ISERROR(SEARCH("o",G1098)))</formula>
    </cfRule>
  </conditionalFormatting>
  <conditionalFormatting sqref="K1098">
    <cfRule type="containsText" dxfId="579" priority="37" operator="containsText" text="o">
      <formula>NOT(ISERROR(SEARCH("o",K1098)))</formula>
    </cfRule>
  </conditionalFormatting>
  <conditionalFormatting sqref="I1098">
    <cfRule type="containsText" dxfId="578" priority="36" operator="containsText" text="o">
      <formula>NOT(ISERROR(SEARCH("o",I1098)))</formula>
    </cfRule>
  </conditionalFormatting>
  <conditionalFormatting sqref="J1098">
    <cfRule type="containsText" dxfId="577" priority="35" operator="containsText" text="o">
      <formula>NOT(ISERROR(SEARCH("o",J1098)))</formula>
    </cfRule>
  </conditionalFormatting>
  <conditionalFormatting sqref="H1098">
    <cfRule type="containsText" dxfId="576" priority="34" operator="containsText" text="o">
      <formula>NOT(ISERROR(SEARCH("o",H1098)))</formula>
    </cfRule>
  </conditionalFormatting>
  <conditionalFormatting sqref="G1106:G1107">
    <cfRule type="containsText" dxfId="575" priority="33" operator="containsText" text="o">
      <formula>NOT(ISERROR(SEARCH("o",G1106)))</formula>
    </cfRule>
  </conditionalFormatting>
  <conditionalFormatting sqref="K1106:K1107">
    <cfRule type="containsText" dxfId="574" priority="32" operator="containsText" text="o">
      <formula>NOT(ISERROR(SEARCH("o",K1106)))</formula>
    </cfRule>
  </conditionalFormatting>
  <conditionalFormatting sqref="I1106:I1107">
    <cfRule type="containsText" dxfId="573" priority="31" operator="containsText" text="o">
      <formula>NOT(ISERROR(SEARCH("o",I1106)))</formula>
    </cfRule>
  </conditionalFormatting>
  <conditionalFormatting sqref="H1106:H1107">
    <cfRule type="containsText" dxfId="572" priority="30" operator="containsText" text="o">
      <formula>NOT(ISERROR(SEARCH("o",H1106)))</formula>
    </cfRule>
  </conditionalFormatting>
  <conditionalFormatting sqref="G1112:G1115">
    <cfRule type="containsText" dxfId="571" priority="29" operator="containsText" text="o">
      <formula>NOT(ISERROR(SEARCH("o",G1112)))</formula>
    </cfRule>
  </conditionalFormatting>
  <conditionalFormatting sqref="K1112:K1115">
    <cfRule type="containsText" dxfId="570" priority="28" operator="containsText" text="o">
      <formula>NOT(ISERROR(SEARCH("o",K1112)))</formula>
    </cfRule>
  </conditionalFormatting>
  <conditionalFormatting sqref="I1112:I1115">
    <cfRule type="containsText" dxfId="569" priority="27" operator="containsText" text="o">
      <formula>NOT(ISERROR(SEARCH("o",I1112)))</formula>
    </cfRule>
  </conditionalFormatting>
  <conditionalFormatting sqref="J1112:J1115">
    <cfRule type="containsText" dxfId="568" priority="26" operator="containsText" text="o">
      <formula>NOT(ISERROR(SEARCH("o",J1112)))</formula>
    </cfRule>
  </conditionalFormatting>
  <conditionalFormatting sqref="H1112:H1115">
    <cfRule type="containsText" dxfId="567" priority="25" operator="containsText" text="o">
      <formula>NOT(ISERROR(SEARCH("o",H1112)))</formula>
    </cfRule>
  </conditionalFormatting>
  <conditionalFormatting sqref="J1099">
    <cfRule type="containsText" dxfId="566" priority="24" operator="containsText" text="o">
      <formula>NOT(ISERROR(SEARCH("o",J1099)))</formula>
    </cfRule>
  </conditionalFormatting>
  <conditionalFormatting sqref="H1099">
    <cfRule type="containsText" dxfId="565" priority="23" operator="containsText" text="o">
      <formula>NOT(ISERROR(SEARCH("o",H1099)))</formula>
    </cfRule>
  </conditionalFormatting>
  <conditionalFormatting sqref="K1099">
    <cfRule type="containsText" dxfId="564" priority="22" operator="containsText" text="o">
      <formula>NOT(ISERROR(SEARCH("o",K1099)))</formula>
    </cfRule>
  </conditionalFormatting>
  <conditionalFormatting sqref="I1099">
    <cfRule type="containsText" dxfId="563" priority="21" operator="containsText" text="o">
      <formula>NOT(ISERROR(SEARCH("o",I1099)))</formula>
    </cfRule>
  </conditionalFormatting>
  <conditionalFormatting sqref="G1099">
    <cfRule type="containsText" dxfId="562" priority="20" operator="containsText" text="o">
      <formula>NOT(ISERROR(SEARCH("o",G1099)))</formula>
    </cfRule>
  </conditionalFormatting>
  <conditionalFormatting sqref="J1135:J1137">
    <cfRule type="containsText" dxfId="561" priority="19" operator="containsText" text="o">
      <formula>NOT(ISERROR(SEARCH("o",J1135)))</formula>
    </cfRule>
  </conditionalFormatting>
  <conditionalFormatting sqref="J1139:J1142">
    <cfRule type="containsText" dxfId="560" priority="18" operator="containsText" text="o">
      <formula>NOT(ISERROR(SEARCH("o",J1139)))</formula>
    </cfRule>
  </conditionalFormatting>
  <conditionalFormatting sqref="H1135:H1137">
    <cfRule type="containsText" dxfId="559" priority="17" operator="containsText" text="o">
      <formula>NOT(ISERROR(SEARCH("o",H1135)))</formula>
    </cfRule>
  </conditionalFormatting>
  <conditionalFormatting sqref="H1139:H1142">
    <cfRule type="containsText" dxfId="558" priority="16" operator="containsText" text="o">
      <formula>NOT(ISERROR(SEARCH("o",H1139)))</formula>
    </cfRule>
  </conditionalFormatting>
  <conditionalFormatting sqref="K1135:K1137">
    <cfRule type="containsText" dxfId="557" priority="15" operator="containsText" text="o">
      <formula>NOT(ISERROR(SEARCH("o",K1135)))</formula>
    </cfRule>
  </conditionalFormatting>
  <conditionalFormatting sqref="K1139:K1142">
    <cfRule type="containsText" dxfId="556" priority="14" operator="containsText" text="o">
      <formula>NOT(ISERROR(SEARCH("o",K1139)))</formula>
    </cfRule>
  </conditionalFormatting>
  <conditionalFormatting sqref="I1135:I1137">
    <cfRule type="containsText" dxfId="555" priority="13" operator="containsText" text="o">
      <formula>NOT(ISERROR(SEARCH("o",I1135)))</formula>
    </cfRule>
  </conditionalFormatting>
  <conditionalFormatting sqref="I1139:I1142">
    <cfRule type="containsText" dxfId="554" priority="12" operator="containsText" text="o">
      <formula>NOT(ISERROR(SEARCH("o",I1139)))</formula>
    </cfRule>
  </conditionalFormatting>
  <conditionalFormatting sqref="G1135:G1137">
    <cfRule type="containsText" dxfId="553" priority="11" operator="containsText" text="o">
      <formula>NOT(ISERROR(SEARCH("o",G1135)))</formula>
    </cfRule>
  </conditionalFormatting>
  <conditionalFormatting sqref="Q1136">
    <cfRule type="containsText" dxfId="552" priority="5" operator="containsText" text="o">
      <formula>NOT(ISERROR(SEARCH("o",Q1136)))</formula>
    </cfRule>
  </conditionalFormatting>
  <conditionalFormatting sqref="N1136">
    <cfRule type="containsText" dxfId="551" priority="4" operator="containsText" text="o">
      <formula>NOT(ISERROR(SEARCH("o",N1136)))</formula>
    </cfRule>
  </conditionalFormatting>
  <conditionalFormatting sqref="P1136">
    <cfRule type="containsText" dxfId="550" priority="3" operator="containsText" text="o">
      <formula>NOT(ISERROR(SEARCH("o",P1136)))</formula>
    </cfRule>
  </conditionalFormatting>
  <conditionalFormatting sqref="O1136">
    <cfRule type="containsText" dxfId="549" priority="2" operator="containsText" text="o">
      <formula>NOT(ISERROR(SEARCH("o",O1136)))</formula>
    </cfRule>
  </conditionalFormatting>
  <conditionalFormatting sqref="M1136">
    <cfRule type="containsText" dxfId="548" priority="1" operator="containsText" text="o">
      <formula>NOT(ISERROR(SEARCH("o",M1136)))</formula>
    </cfRule>
  </conditionalFormatting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theme="6" tint="-0.249977111117893"/>
  </sheetPr>
  <dimension ref="A1:AM1864"/>
  <sheetViews>
    <sheetView showGridLines="0" zoomScale="90" zoomScaleNormal="90" workbookViewId="0">
      <pane xSplit="1" ySplit="4" topLeftCell="B1854" activePane="bottomRight" state="frozen"/>
      <selection pane="topRight" activeCell="B1" sqref="B1"/>
      <selection pane="bottomLeft" activeCell="A5" sqref="A5"/>
      <selection pane="bottomRight" activeCell="I1866" sqref="I1866"/>
    </sheetView>
  </sheetViews>
  <sheetFormatPr baseColWidth="10" defaultColWidth="10.875" defaultRowHeight="21" x14ac:dyDescent="0.35"/>
  <cols>
    <col min="1" max="1" width="12" style="209" bestFit="1" customWidth="1"/>
    <col min="2" max="2" width="13.875" style="202" customWidth="1"/>
    <col min="3" max="3" width="12.875" style="202" bestFit="1" customWidth="1"/>
    <col min="4" max="8" width="10.875" style="202"/>
    <col min="9" max="13" width="10.875" style="212"/>
    <col min="14" max="16384" width="10.875" style="202"/>
  </cols>
  <sheetData>
    <row r="1" spans="1:28" s="192" customFormat="1" x14ac:dyDescent="0.35">
      <c r="A1" s="1904" t="s">
        <v>132</v>
      </c>
      <c r="I1" s="210"/>
      <c r="J1" s="210"/>
      <c r="K1" s="210"/>
      <c r="L1" s="210"/>
      <c r="M1" s="210"/>
      <c r="AA1" s="193"/>
      <c r="AB1" s="193"/>
    </row>
    <row r="2" spans="1:28" s="192" customFormat="1" x14ac:dyDescent="0.35">
      <c r="A2" s="1904" t="s">
        <v>133</v>
      </c>
      <c r="I2" s="210"/>
      <c r="J2" s="210"/>
      <c r="K2" s="210"/>
      <c r="L2" s="210"/>
      <c r="M2" s="210"/>
      <c r="AA2" s="193"/>
      <c r="AB2" s="193"/>
    </row>
    <row r="3" spans="1:28" s="194" customFormat="1" x14ac:dyDescent="0.35">
      <c r="A3" s="2110" t="s">
        <v>0</v>
      </c>
      <c r="B3" s="665" t="s">
        <v>48</v>
      </c>
      <c r="C3" s="666" t="s">
        <v>43</v>
      </c>
      <c r="D3" s="666" t="s">
        <v>44</v>
      </c>
      <c r="E3" s="666" t="s">
        <v>38</v>
      </c>
      <c r="F3" s="666" t="s">
        <v>39</v>
      </c>
      <c r="G3" s="666" t="s">
        <v>40</v>
      </c>
      <c r="H3" s="666" t="s">
        <v>41</v>
      </c>
      <c r="I3" s="667" t="s">
        <v>13</v>
      </c>
      <c r="J3" s="667" t="s">
        <v>14</v>
      </c>
      <c r="K3" s="667" t="s">
        <v>15</v>
      </c>
      <c r="L3" s="667" t="s">
        <v>16</v>
      </c>
      <c r="M3" s="667" t="s">
        <v>17</v>
      </c>
      <c r="N3" s="666" t="s">
        <v>122</v>
      </c>
      <c r="O3" s="666" t="s">
        <v>527</v>
      </c>
    </row>
    <row r="4" spans="1:28" s="194" customFormat="1" x14ac:dyDescent="0.35">
      <c r="A4" s="2110"/>
      <c r="B4" s="668" t="s">
        <v>46</v>
      </c>
      <c r="C4" s="669" t="s">
        <v>46</v>
      </c>
      <c r="D4" s="669" t="s">
        <v>46</v>
      </c>
      <c r="E4" s="669" t="s">
        <v>46</v>
      </c>
      <c r="F4" s="669" t="s">
        <v>46</v>
      </c>
      <c r="G4" s="669" t="s">
        <v>46</v>
      </c>
      <c r="H4" s="669" t="s">
        <v>46</v>
      </c>
      <c r="I4" s="670" t="s">
        <v>47</v>
      </c>
      <c r="J4" s="670" t="s">
        <v>47</v>
      </c>
      <c r="K4" s="670" t="s">
        <v>47</v>
      </c>
      <c r="L4" s="670" t="s">
        <v>47</v>
      </c>
      <c r="M4" s="670" t="s">
        <v>47</v>
      </c>
      <c r="N4" s="669" t="s">
        <v>123</v>
      </c>
      <c r="O4" s="666" t="s">
        <v>46</v>
      </c>
    </row>
    <row r="5" spans="1:28" s="199" customFormat="1" x14ac:dyDescent="0.35">
      <c r="A5" s="195">
        <v>183430</v>
      </c>
      <c r="B5" s="196"/>
      <c r="C5" s="196">
        <v>4.1500000000000004</v>
      </c>
      <c r="D5" s="197">
        <v>0.15540000000000001</v>
      </c>
      <c r="E5" s="197">
        <v>3.0569769999999998</v>
      </c>
      <c r="F5" s="197">
        <v>0.12826400000000002</v>
      </c>
      <c r="G5" s="197">
        <v>2.231757</v>
      </c>
      <c r="H5" s="197">
        <v>0.65250699999999995</v>
      </c>
      <c r="I5" s="211">
        <v>12.59</v>
      </c>
      <c r="J5" s="211">
        <v>7.31</v>
      </c>
      <c r="K5" s="203">
        <v>3340.98</v>
      </c>
      <c r="L5" s="203">
        <v>358.49</v>
      </c>
      <c r="M5" s="211">
        <v>94.23</v>
      </c>
      <c r="N5" s="197"/>
      <c r="O5" s="198"/>
      <c r="S5" s="198"/>
    </row>
    <row r="6" spans="1:28" s="199" customFormat="1" x14ac:dyDescent="0.35">
      <c r="A6" s="195">
        <v>806500</v>
      </c>
      <c r="B6" s="196"/>
      <c r="C6" s="196">
        <v>4.76</v>
      </c>
      <c r="D6" s="197">
        <v>0.120958</v>
      </c>
      <c r="E6" s="197">
        <v>3.1834229999999999</v>
      </c>
      <c r="F6" s="197">
        <v>0.11440599999999999</v>
      </c>
      <c r="G6" s="197">
        <v>10.304686999999999</v>
      </c>
      <c r="H6" s="197">
        <v>0.25567699999999999</v>
      </c>
      <c r="I6" s="211">
        <v>63.2</v>
      </c>
      <c r="J6" s="211">
        <v>8.09</v>
      </c>
      <c r="K6" s="211">
        <v>73.569999999999993</v>
      </c>
      <c r="L6" s="211">
        <v>183.28</v>
      </c>
      <c r="M6" s="211">
        <v>47.84</v>
      </c>
      <c r="N6" s="197"/>
    </row>
    <row r="7" spans="1:28" s="199" customFormat="1" x14ac:dyDescent="0.35">
      <c r="A7" s="195">
        <v>806501</v>
      </c>
      <c r="B7" s="196"/>
      <c r="C7" s="200">
        <v>2.9694204000000002</v>
      </c>
      <c r="D7" s="196">
        <v>0.26800000000000002</v>
      </c>
      <c r="E7" s="196">
        <v>3.39</v>
      </c>
      <c r="F7" s="196">
        <v>0.153</v>
      </c>
      <c r="G7" s="196">
        <v>0.33</v>
      </c>
      <c r="H7" s="196">
        <v>0.32</v>
      </c>
      <c r="I7" s="203">
        <v>55.52</v>
      </c>
      <c r="J7" s="203">
        <v>9.75</v>
      </c>
      <c r="K7" s="203">
        <v>76.069999999999993</v>
      </c>
      <c r="L7" s="203">
        <v>389.11</v>
      </c>
      <c r="M7" s="203">
        <v>59.1</v>
      </c>
      <c r="N7" s="196"/>
    </row>
    <row r="8" spans="1:28" s="199" customFormat="1" x14ac:dyDescent="0.35">
      <c r="A8" s="195">
        <v>806502</v>
      </c>
      <c r="B8" s="196"/>
      <c r="C8" s="200">
        <v>3.1094873999999999</v>
      </c>
      <c r="D8" s="196">
        <v>0.37</v>
      </c>
      <c r="E8" s="196">
        <v>2.77</v>
      </c>
      <c r="F8" s="196">
        <v>0.125</v>
      </c>
      <c r="G8" s="196">
        <v>0.38</v>
      </c>
      <c r="H8" s="196">
        <v>0.33</v>
      </c>
      <c r="I8" s="203">
        <v>66.3</v>
      </c>
      <c r="J8" s="203">
        <v>12.77</v>
      </c>
      <c r="K8" s="203">
        <v>80.58</v>
      </c>
      <c r="L8" s="203">
        <v>437.52</v>
      </c>
      <c r="M8" s="203">
        <v>43.31</v>
      </c>
      <c r="N8" s="196"/>
    </row>
    <row r="9" spans="1:28" s="199" customFormat="1" x14ac:dyDescent="0.35">
      <c r="A9" s="195">
        <v>806503</v>
      </c>
      <c r="B9" s="196"/>
      <c r="C9" s="200">
        <v>2.4651792000000001</v>
      </c>
      <c r="D9" s="196">
        <v>0.26500000000000001</v>
      </c>
      <c r="E9" s="196">
        <v>3.48</v>
      </c>
      <c r="F9" s="196">
        <v>0.128</v>
      </c>
      <c r="G9" s="196">
        <v>0.52</v>
      </c>
      <c r="H9" s="196">
        <v>0.37</v>
      </c>
      <c r="I9" s="203">
        <v>31.77</v>
      </c>
      <c r="J9" s="203">
        <v>6.82</v>
      </c>
      <c r="K9" s="203">
        <v>62.08</v>
      </c>
      <c r="L9" s="203">
        <v>427.44</v>
      </c>
      <c r="M9" s="203">
        <v>27.2</v>
      </c>
      <c r="N9" s="196"/>
    </row>
    <row r="10" spans="1:28" s="199" customFormat="1" x14ac:dyDescent="0.35">
      <c r="A10" s="195">
        <v>806504</v>
      </c>
      <c r="B10" s="196"/>
      <c r="C10" s="200">
        <v>3.1094873999999999</v>
      </c>
      <c r="D10" s="196">
        <v>0.3</v>
      </c>
      <c r="E10" s="196">
        <v>2.06</v>
      </c>
      <c r="F10" s="196">
        <v>6.2E-2</v>
      </c>
      <c r="G10" s="196">
        <v>0.55000000000000004</v>
      </c>
      <c r="H10" s="196">
        <v>0.37</v>
      </c>
      <c r="I10" s="203">
        <v>36.700000000000003</v>
      </c>
      <c r="J10" s="203">
        <v>7.8</v>
      </c>
      <c r="K10" s="203">
        <v>73.55</v>
      </c>
      <c r="L10" s="203">
        <v>351.99</v>
      </c>
      <c r="M10" s="203">
        <v>41.91</v>
      </c>
      <c r="N10" s="196"/>
    </row>
    <row r="11" spans="1:28" s="199" customFormat="1" x14ac:dyDescent="0.35">
      <c r="A11" s="195">
        <v>806505</v>
      </c>
      <c r="B11" s="196"/>
      <c r="C11" s="200">
        <v>1.4006700000000003</v>
      </c>
      <c r="D11" s="196">
        <v>0.28100000000000003</v>
      </c>
      <c r="E11" s="196">
        <v>2.12</v>
      </c>
      <c r="F11" s="196">
        <v>5.8999999999999997E-2</v>
      </c>
      <c r="G11" s="196">
        <v>0.41</v>
      </c>
      <c r="H11" s="196">
        <v>0.16</v>
      </c>
      <c r="I11" s="203">
        <v>19.27</v>
      </c>
      <c r="J11" s="203">
        <v>3.16</v>
      </c>
      <c r="K11" s="203">
        <v>18.03</v>
      </c>
      <c r="L11" s="203">
        <v>566.44000000000005</v>
      </c>
      <c r="M11" s="203">
        <v>12.22</v>
      </c>
      <c r="N11" s="196"/>
    </row>
    <row r="12" spans="1:28" s="199" customFormat="1" x14ac:dyDescent="0.35">
      <c r="A12" s="195">
        <v>806506</v>
      </c>
      <c r="B12" s="196"/>
      <c r="C12" s="200">
        <v>1.3446431999999999</v>
      </c>
      <c r="D12" s="196">
        <v>0.246</v>
      </c>
      <c r="E12" s="196">
        <v>1.85</v>
      </c>
      <c r="F12" s="196">
        <v>0.105</v>
      </c>
      <c r="G12" s="196">
        <v>0.34</v>
      </c>
      <c r="H12" s="196">
        <v>0.14000000000000001</v>
      </c>
      <c r="I12" s="203">
        <v>19.510000000000002</v>
      </c>
      <c r="J12" s="203">
        <v>3.32</v>
      </c>
      <c r="K12" s="203">
        <v>16.79</v>
      </c>
      <c r="L12" s="203">
        <v>579.17999999999995</v>
      </c>
      <c r="M12" s="203">
        <v>17.96</v>
      </c>
      <c r="N12" s="196"/>
    </row>
    <row r="13" spans="1:28" s="199" customFormat="1" x14ac:dyDescent="0.35">
      <c r="A13" s="195">
        <v>806507</v>
      </c>
      <c r="B13" s="196"/>
      <c r="C13" s="200">
        <v>2.5492194000000001</v>
      </c>
      <c r="D13" s="196">
        <v>0.34100000000000003</v>
      </c>
      <c r="E13" s="196">
        <v>1.81</v>
      </c>
      <c r="F13" s="196">
        <v>5.8000000000000003E-2</v>
      </c>
      <c r="G13" s="196">
        <v>0.7</v>
      </c>
      <c r="H13" s="196">
        <v>0.31</v>
      </c>
      <c r="I13" s="203">
        <v>36.15</v>
      </c>
      <c r="J13" s="203">
        <v>9.23</v>
      </c>
      <c r="K13" s="203">
        <v>87.52</v>
      </c>
      <c r="L13" s="203">
        <v>635.25</v>
      </c>
      <c r="M13" s="203">
        <v>32.58</v>
      </c>
      <c r="N13" s="196"/>
    </row>
    <row r="14" spans="1:28" s="199" customFormat="1" x14ac:dyDescent="0.35">
      <c r="A14" s="195">
        <v>806508</v>
      </c>
      <c r="B14" s="196"/>
      <c r="C14" s="200">
        <v>2.8853801999999997</v>
      </c>
      <c r="D14" s="196">
        <v>0.375</v>
      </c>
      <c r="E14" s="196">
        <v>1.61</v>
      </c>
      <c r="F14" s="196">
        <v>0.08</v>
      </c>
      <c r="G14" s="196">
        <v>0.56000000000000005</v>
      </c>
      <c r="H14" s="196">
        <v>0.28000000000000003</v>
      </c>
      <c r="I14" s="203">
        <v>29.4</v>
      </c>
      <c r="J14" s="203">
        <v>8.58</v>
      </c>
      <c r="K14" s="203">
        <v>81.7</v>
      </c>
      <c r="L14" s="203">
        <v>432.74</v>
      </c>
      <c r="M14" s="203">
        <v>34.25</v>
      </c>
      <c r="N14" s="196"/>
    </row>
    <row r="15" spans="1:28" s="199" customFormat="1" x14ac:dyDescent="0.35">
      <c r="A15" s="195">
        <v>806509</v>
      </c>
      <c r="B15" s="196"/>
      <c r="C15" s="200">
        <v>4.7062512000000005</v>
      </c>
      <c r="D15" s="200">
        <v>0.18</v>
      </c>
      <c r="E15" s="200">
        <v>3.65</v>
      </c>
      <c r="F15" s="664">
        <v>0.04</v>
      </c>
      <c r="G15" s="200">
        <v>2.3199999999999998</v>
      </c>
      <c r="H15" s="200">
        <v>0.57999999999999996</v>
      </c>
      <c r="I15" s="203">
        <v>62.65</v>
      </c>
      <c r="J15" s="203">
        <v>22.15</v>
      </c>
      <c r="K15" s="203">
        <v>452.88</v>
      </c>
      <c r="L15" s="203">
        <v>163.65</v>
      </c>
      <c r="M15" s="203">
        <v>49.73</v>
      </c>
      <c r="N15" s="196"/>
    </row>
    <row r="16" spans="1:28" s="199" customFormat="1" x14ac:dyDescent="0.35">
      <c r="A16" s="195">
        <v>806510</v>
      </c>
      <c r="B16" s="196"/>
      <c r="C16" s="200">
        <v>1.9049112000000001</v>
      </c>
      <c r="D16" s="196">
        <v>0.06</v>
      </c>
      <c r="E16" s="196">
        <v>0.55000000000000004</v>
      </c>
      <c r="F16" s="196">
        <v>0.02</v>
      </c>
      <c r="G16" s="196">
        <v>27.5</v>
      </c>
      <c r="H16" s="196">
        <v>0.18</v>
      </c>
      <c r="I16" s="203">
        <v>15.44</v>
      </c>
      <c r="J16" s="203">
        <v>4.71</v>
      </c>
      <c r="K16" s="203">
        <v>50.88</v>
      </c>
      <c r="L16" s="203">
        <v>168.46</v>
      </c>
      <c r="M16" s="203">
        <v>24.27</v>
      </c>
      <c r="N16" s="196"/>
    </row>
    <row r="17" spans="1:14" s="199" customFormat="1" x14ac:dyDescent="0.35">
      <c r="A17" s="195">
        <v>806511</v>
      </c>
      <c r="B17" s="196"/>
      <c r="C17" s="200">
        <v>3.7537956000000001</v>
      </c>
      <c r="D17" s="196">
        <v>0.27</v>
      </c>
      <c r="E17" s="196">
        <v>0.82</v>
      </c>
      <c r="F17" s="196">
        <v>0.08</v>
      </c>
      <c r="G17" s="196">
        <v>3.88</v>
      </c>
      <c r="H17" s="196">
        <v>0.31</v>
      </c>
      <c r="I17" s="203">
        <v>938.09</v>
      </c>
      <c r="J17" s="203">
        <v>4.71</v>
      </c>
      <c r="K17" s="203">
        <v>866.16</v>
      </c>
      <c r="L17" s="203">
        <v>263.89</v>
      </c>
      <c r="M17" s="203">
        <v>451.12</v>
      </c>
      <c r="N17" s="196"/>
    </row>
    <row r="18" spans="1:14" s="199" customFormat="1" x14ac:dyDescent="0.35">
      <c r="A18" s="195">
        <v>806512</v>
      </c>
      <c r="B18" s="196"/>
      <c r="C18" s="200">
        <v>3.7818090000000004</v>
      </c>
      <c r="D18" s="196">
        <v>0.12</v>
      </c>
      <c r="E18" s="196">
        <v>0.86</v>
      </c>
      <c r="F18" s="196">
        <v>0.05</v>
      </c>
      <c r="G18" s="196">
        <v>1.61</v>
      </c>
      <c r="H18" s="196">
        <v>0.24</v>
      </c>
      <c r="I18" s="203">
        <v>293.73</v>
      </c>
      <c r="J18" s="203">
        <v>4.08</v>
      </c>
      <c r="K18" s="203">
        <v>441.57</v>
      </c>
      <c r="L18" s="203">
        <v>179.25</v>
      </c>
      <c r="M18" s="203">
        <v>52.04</v>
      </c>
      <c r="N18" s="196"/>
    </row>
    <row r="19" spans="1:14" s="199" customFormat="1" x14ac:dyDescent="0.35">
      <c r="A19" s="195">
        <v>806513</v>
      </c>
      <c r="B19" s="196"/>
      <c r="C19" s="200">
        <v>3.8098224000000003</v>
      </c>
      <c r="D19" s="196">
        <v>0.27</v>
      </c>
      <c r="E19" s="196">
        <v>4.24</v>
      </c>
      <c r="F19" s="196">
        <v>0.11</v>
      </c>
      <c r="G19" s="196">
        <v>2.35</v>
      </c>
      <c r="H19" s="196">
        <v>0.34</v>
      </c>
      <c r="I19" s="203">
        <v>864.06</v>
      </c>
      <c r="J19" s="203">
        <v>3.7</v>
      </c>
      <c r="K19" s="203">
        <v>789.73</v>
      </c>
      <c r="L19" s="203">
        <v>213.5</v>
      </c>
      <c r="M19" s="203">
        <v>87</v>
      </c>
      <c r="N19" s="196"/>
    </row>
    <row r="20" spans="1:14" s="199" customFormat="1" x14ac:dyDescent="0.35">
      <c r="A20" s="195">
        <v>806514</v>
      </c>
      <c r="B20" s="196"/>
      <c r="C20" s="200">
        <v>2.6052462000000007</v>
      </c>
      <c r="D20" s="196">
        <v>0.18</v>
      </c>
      <c r="E20" s="196">
        <v>1.75</v>
      </c>
      <c r="F20" s="196">
        <v>7.0000000000000007E-2</v>
      </c>
      <c r="G20" s="196">
        <v>3.14</v>
      </c>
      <c r="H20" s="196">
        <v>0.33</v>
      </c>
      <c r="I20" s="203">
        <v>22.26</v>
      </c>
      <c r="J20" s="203">
        <v>4.8600000000000003</v>
      </c>
      <c r="K20" s="203">
        <v>72.02</v>
      </c>
      <c r="L20" s="203">
        <v>204.05</v>
      </c>
      <c r="M20" s="203">
        <v>42.74</v>
      </c>
      <c r="N20" s="196"/>
    </row>
    <row r="21" spans="1:14" s="199" customFormat="1" x14ac:dyDescent="0.35">
      <c r="A21" s="195">
        <v>806515</v>
      </c>
      <c r="B21" s="196"/>
      <c r="C21" s="200">
        <v>2.8013400000000006</v>
      </c>
      <c r="D21" s="196">
        <v>0.17</v>
      </c>
      <c r="E21" s="200">
        <v>1</v>
      </c>
      <c r="F21" s="196">
        <v>7.0000000000000007E-2</v>
      </c>
      <c r="G21" s="196">
        <v>2.8</v>
      </c>
      <c r="H21" s="196">
        <v>0.47</v>
      </c>
      <c r="I21" s="203">
        <v>21.08</v>
      </c>
      <c r="J21" s="203">
        <v>6.65</v>
      </c>
      <c r="K21" s="203">
        <v>106.11</v>
      </c>
      <c r="L21" s="203">
        <v>192.04</v>
      </c>
      <c r="M21" s="203">
        <v>45.19</v>
      </c>
      <c r="N21" s="196"/>
    </row>
    <row r="22" spans="1:14" s="199" customFormat="1" x14ac:dyDescent="0.35">
      <c r="A22" s="195">
        <v>806516</v>
      </c>
      <c r="B22" s="196"/>
      <c r="C22" s="200">
        <v>2.5492194000000006</v>
      </c>
      <c r="D22" s="196">
        <v>0.16</v>
      </c>
      <c r="E22" s="196">
        <v>1.57</v>
      </c>
      <c r="F22" s="196">
        <v>0.05</v>
      </c>
      <c r="G22" s="196">
        <v>2.1800000000000002</v>
      </c>
      <c r="H22" s="196">
        <v>0.35</v>
      </c>
      <c r="I22" s="203">
        <v>18.559999999999999</v>
      </c>
      <c r="J22" s="203">
        <v>3.81</v>
      </c>
      <c r="K22" s="203">
        <v>49.13</v>
      </c>
      <c r="L22" s="203">
        <v>219.79</v>
      </c>
      <c r="M22" s="203">
        <v>36.21</v>
      </c>
      <c r="N22" s="196"/>
    </row>
    <row r="23" spans="1:14" s="199" customFormat="1" x14ac:dyDescent="0.35">
      <c r="A23" s="195">
        <v>806517</v>
      </c>
      <c r="B23" s="196"/>
      <c r="C23" s="200">
        <v>2.8853802000000002</v>
      </c>
      <c r="D23" s="196">
        <v>0.19</v>
      </c>
      <c r="E23" s="196">
        <v>1.05</v>
      </c>
      <c r="F23" s="196">
        <v>0.05</v>
      </c>
      <c r="G23" s="196">
        <v>1.96</v>
      </c>
      <c r="H23" s="196">
        <v>0.36</v>
      </c>
      <c r="I23" s="203">
        <v>23.97</v>
      </c>
      <c r="J23" s="203">
        <v>4.87</v>
      </c>
      <c r="K23" s="203">
        <v>68.150000000000006</v>
      </c>
      <c r="L23" s="203">
        <v>221.63</v>
      </c>
      <c r="M23" s="203">
        <v>38.33</v>
      </c>
      <c r="N23" s="196"/>
    </row>
    <row r="24" spans="1:14" s="199" customFormat="1" x14ac:dyDescent="0.35">
      <c r="A24" s="195">
        <v>806518</v>
      </c>
      <c r="B24" s="196"/>
      <c r="C24" s="200">
        <v>2.3811390000000001</v>
      </c>
      <c r="D24" s="196">
        <v>0.16</v>
      </c>
      <c r="E24" s="196">
        <v>0.92</v>
      </c>
      <c r="F24" s="196">
        <v>0.05</v>
      </c>
      <c r="G24" s="196">
        <v>2.38</v>
      </c>
      <c r="H24" s="196">
        <v>0.42</v>
      </c>
      <c r="I24" s="203">
        <v>30.18</v>
      </c>
      <c r="J24" s="203">
        <v>5.62</v>
      </c>
      <c r="K24" s="203">
        <v>48</v>
      </c>
      <c r="L24" s="203">
        <v>324.88</v>
      </c>
      <c r="M24" s="203">
        <v>95.21</v>
      </c>
      <c r="N24" s="196"/>
    </row>
    <row r="25" spans="1:14" s="199" customFormat="1" x14ac:dyDescent="0.35">
      <c r="A25" s="195">
        <v>806519</v>
      </c>
      <c r="B25" s="196"/>
      <c r="C25" s="200">
        <v>2.4371658000000007</v>
      </c>
      <c r="D25" s="196">
        <v>0.16</v>
      </c>
      <c r="E25" s="196">
        <v>2.52</v>
      </c>
      <c r="F25" s="196">
        <v>0.06</v>
      </c>
      <c r="G25" s="196">
        <v>4.1100000000000003</v>
      </c>
      <c r="H25" s="200">
        <v>0.4</v>
      </c>
      <c r="I25" s="203">
        <v>54.82</v>
      </c>
      <c r="J25" s="203">
        <v>4.8</v>
      </c>
      <c r="K25" s="203">
        <v>54.84</v>
      </c>
      <c r="L25" s="203">
        <v>189.71</v>
      </c>
      <c r="M25" s="203">
        <v>30.08</v>
      </c>
      <c r="N25" s="196"/>
    </row>
    <row r="26" spans="1:14" s="199" customFormat="1" x14ac:dyDescent="0.35">
      <c r="A26" s="195">
        <v>806520</v>
      </c>
      <c r="B26" s="196"/>
      <c r="C26" s="200">
        <v>2.3251122000000004</v>
      </c>
      <c r="D26" s="196">
        <v>0.15</v>
      </c>
      <c r="E26" s="196">
        <v>1.53</v>
      </c>
      <c r="F26" s="196">
        <v>0.04</v>
      </c>
      <c r="G26" s="196">
        <v>2.44</v>
      </c>
      <c r="H26" s="196">
        <v>0.38</v>
      </c>
      <c r="I26" s="203">
        <v>50.52</v>
      </c>
      <c r="J26" s="203">
        <v>4.4000000000000004</v>
      </c>
      <c r="K26" s="203">
        <v>47.75</v>
      </c>
      <c r="L26" s="203">
        <v>172.12</v>
      </c>
      <c r="M26" s="203">
        <v>38.26</v>
      </c>
      <c r="N26" s="196"/>
    </row>
    <row r="27" spans="1:14" s="199" customFormat="1" x14ac:dyDescent="0.35">
      <c r="A27" s="195">
        <v>806521</v>
      </c>
      <c r="B27" s="196"/>
      <c r="C27" s="200">
        <v>2.3811390000000001</v>
      </c>
      <c r="D27" s="196">
        <v>0.2</v>
      </c>
      <c r="E27" s="196">
        <v>1.66</v>
      </c>
      <c r="F27" s="196">
        <v>0.08</v>
      </c>
      <c r="G27" s="196">
        <v>1.48</v>
      </c>
      <c r="H27" s="196">
        <v>0.68</v>
      </c>
      <c r="I27" s="203">
        <v>172.1</v>
      </c>
      <c r="J27" s="203">
        <v>5.58</v>
      </c>
      <c r="K27" s="203">
        <v>136.78</v>
      </c>
      <c r="L27" s="203">
        <v>209.2</v>
      </c>
      <c r="M27" s="203">
        <v>121.88</v>
      </c>
      <c r="N27" s="196"/>
    </row>
    <row r="28" spans="1:14" s="199" customFormat="1" x14ac:dyDescent="0.35">
      <c r="A28" s="195">
        <v>806522</v>
      </c>
      <c r="B28" s="196"/>
      <c r="C28" s="200">
        <v>2.4371658000000007</v>
      </c>
      <c r="D28" s="196">
        <v>0.23</v>
      </c>
      <c r="E28" s="196">
        <v>2.09</v>
      </c>
      <c r="F28" s="196">
        <v>0.09</v>
      </c>
      <c r="G28" s="196">
        <v>1.72</v>
      </c>
      <c r="H28" s="196">
        <v>0.62</v>
      </c>
      <c r="I28" s="203">
        <v>311.04000000000002</v>
      </c>
      <c r="J28" s="203">
        <v>6.83</v>
      </c>
      <c r="K28" s="203">
        <v>167.33</v>
      </c>
      <c r="L28" s="203">
        <v>377.23</v>
      </c>
      <c r="M28" s="203">
        <v>52.54</v>
      </c>
      <c r="N28" s="196"/>
    </row>
    <row r="29" spans="1:14" s="199" customFormat="1" x14ac:dyDescent="0.35">
      <c r="A29" s="195">
        <v>806523</v>
      </c>
      <c r="B29" s="196"/>
      <c r="C29" s="200">
        <v>2.6892864000000003</v>
      </c>
      <c r="D29" s="196">
        <v>0.2</v>
      </c>
      <c r="E29" s="196">
        <v>2.25</v>
      </c>
      <c r="F29" s="196">
        <v>0.08</v>
      </c>
      <c r="G29" s="196">
        <v>2.2200000000000002</v>
      </c>
      <c r="H29" s="196">
        <v>0.66</v>
      </c>
      <c r="I29" s="203">
        <v>908.84</v>
      </c>
      <c r="J29" s="203">
        <v>5.74</v>
      </c>
      <c r="K29" s="203">
        <v>185.83</v>
      </c>
      <c r="L29" s="203">
        <v>211.62</v>
      </c>
      <c r="M29" s="203">
        <v>49.86</v>
      </c>
      <c r="N29" s="196"/>
    </row>
    <row r="30" spans="1:14" s="199" customFormat="1" x14ac:dyDescent="0.35">
      <c r="A30" s="195">
        <v>806524</v>
      </c>
      <c r="B30" s="196"/>
      <c r="C30" s="200">
        <v>2.4931926000000004</v>
      </c>
      <c r="D30" s="196">
        <v>0.19</v>
      </c>
      <c r="E30" s="196">
        <v>2.16</v>
      </c>
      <c r="F30" s="196">
        <v>0.06</v>
      </c>
      <c r="G30" s="196">
        <v>0.99</v>
      </c>
      <c r="H30" s="196">
        <v>0.54</v>
      </c>
      <c r="I30" s="203">
        <v>165.27</v>
      </c>
      <c r="J30" s="203">
        <v>5.22</v>
      </c>
      <c r="K30" s="203">
        <v>128.18</v>
      </c>
      <c r="L30" s="203">
        <v>183.44</v>
      </c>
      <c r="M30" s="203">
        <v>38.86</v>
      </c>
      <c r="N30" s="196"/>
    </row>
    <row r="31" spans="1:14" s="199" customFormat="1" x14ac:dyDescent="0.35">
      <c r="A31" s="195">
        <v>806525</v>
      </c>
      <c r="B31" s="196">
        <v>83.13</v>
      </c>
      <c r="C31" s="200">
        <v>0.64</v>
      </c>
      <c r="D31" s="196">
        <v>0.08</v>
      </c>
      <c r="E31" s="196">
        <v>0.75</v>
      </c>
      <c r="F31" s="196">
        <v>0.03</v>
      </c>
      <c r="G31" s="200">
        <v>0.1</v>
      </c>
      <c r="H31" s="196">
        <v>0.09</v>
      </c>
      <c r="I31" s="203">
        <v>7</v>
      </c>
      <c r="J31" s="203">
        <v>3.57</v>
      </c>
      <c r="K31" s="203">
        <v>9.6</v>
      </c>
      <c r="L31" s="203">
        <v>120.91</v>
      </c>
      <c r="M31" s="203">
        <v>26.4</v>
      </c>
      <c r="N31" s="196">
        <v>11.91</v>
      </c>
    </row>
    <row r="32" spans="1:14" s="199" customFormat="1" x14ac:dyDescent="0.35">
      <c r="A32" s="195">
        <v>806526</v>
      </c>
      <c r="B32" s="196"/>
      <c r="C32" s="200">
        <v>2.4091524000000009</v>
      </c>
      <c r="D32" s="196">
        <v>0.27</v>
      </c>
      <c r="E32" s="196">
        <v>1.76</v>
      </c>
      <c r="F32" s="196">
        <v>7.0000000000000007E-2</v>
      </c>
      <c r="G32" s="196">
        <v>0.94</v>
      </c>
      <c r="H32" s="196">
        <v>0.47</v>
      </c>
      <c r="I32" s="203">
        <v>391.8</v>
      </c>
      <c r="J32" s="203">
        <v>5.85</v>
      </c>
      <c r="K32" s="203">
        <v>118.64</v>
      </c>
      <c r="L32" s="203">
        <v>167.09</v>
      </c>
      <c r="M32" s="203">
        <v>48.54</v>
      </c>
      <c r="N32" s="196"/>
    </row>
    <row r="33" spans="1:14" s="199" customFormat="1" x14ac:dyDescent="0.35">
      <c r="A33" s="195">
        <v>806527</v>
      </c>
      <c r="B33" s="196"/>
      <c r="C33" s="200">
        <v>2.4371658000000007</v>
      </c>
      <c r="D33" s="196">
        <v>0.17</v>
      </c>
      <c r="E33" s="196">
        <v>2.08</v>
      </c>
      <c r="F33" s="196">
        <v>7.0000000000000007E-2</v>
      </c>
      <c r="G33" s="196">
        <v>2.2400000000000002</v>
      </c>
      <c r="H33" s="196">
        <v>0.61</v>
      </c>
      <c r="I33" s="203">
        <v>190.23</v>
      </c>
      <c r="J33" s="203">
        <v>7.25</v>
      </c>
      <c r="K33" s="203">
        <v>152.32</v>
      </c>
      <c r="L33" s="203">
        <v>331.23</v>
      </c>
      <c r="M33" s="203">
        <v>42.3</v>
      </c>
      <c r="N33" s="196"/>
    </row>
    <row r="34" spans="1:14" s="199" customFormat="1" x14ac:dyDescent="0.35">
      <c r="A34" s="195">
        <v>806528</v>
      </c>
      <c r="B34" s="196">
        <v>84.42</v>
      </c>
      <c r="C34" s="196">
        <v>0.67</v>
      </c>
      <c r="D34" s="196">
        <v>0.09</v>
      </c>
      <c r="E34" s="196">
        <v>0.78</v>
      </c>
      <c r="F34" s="196">
        <v>0.04</v>
      </c>
      <c r="G34" s="196">
        <v>0.12</v>
      </c>
      <c r="H34" s="196">
        <v>0.09</v>
      </c>
      <c r="I34" s="203">
        <v>8.09</v>
      </c>
      <c r="J34" s="203">
        <v>2.89</v>
      </c>
      <c r="K34" s="203">
        <v>11.02</v>
      </c>
      <c r="L34" s="203">
        <v>252.62</v>
      </c>
      <c r="M34" s="203">
        <v>46.04</v>
      </c>
      <c r="N34" s="196">
        <v>11.98</v>
      </c>
    </row>
    <row r="35" spans="1:14" s="199" customFormat="1" x14ac:dyDescent="0.35">
      <c r="A35" s="195">
        <v>806529</v>
      </c>
      <c r="B35" s="196"/>
      <c r="C35" s="200">
        <v>1.2045762</v>
      </c>
      <c r="D35" s="196">
        <v>0.08</v>
      </c>
      <c r="E35" s="196">
        <v>0.5</v>
      </c>
      <c r="F35" s="196">
        <v>0.05</v>
      </c>
      <c r="G35" s="196">
        <v>2.27</v>
      </c>
      <c r="H35" s="196">
        <v>0.23</v>
      </c>
      <c r="I35" s="203">
        <v>20.100000000000001</v>
      </c>
      <c r="J35" s="203">
        <v>10.4</v>
      </c>
      <c r="K35" s="203">
        <v>70.75</v>
      </c>
      <c r="L35" s="203">
        <v>200.43</v>
      </c>
      <c r="M35" s="203"/>
      <c r="N35" s="196"/>
    </row>
    <row r="36" spans="1:14" s="199" customFormat="1" x14ac:dyDescent="0.35">
      <c r="A36" s="195">
        <v>806530</v>
      </c>
      <c r="B36" s="196"/>
      <c r="C36" s="200">
        <v>1.2325896000000003</v>
      </c>
      <c r="D36" s="196">
        <v>0.1</v>
      </c>
      <c r="E36" s="196">
        <v>0.32</v>
      </c>
      <c r="F36" s="196">
        <v>0.06</v>
      </c>
      <c r="G36" s="196">
        <v>3.5</v>
      </c>
      <c r="H36" s="196">
        <v>0.45</v>
      </c>
      <c r="I36" s="203">
        <v>56.8</v>
      </c>
      <c r="J36" s="203">
        <v>2.12</v>
      </c>
      <c r="K36" s="203">
        <v>128.08000000000001</v>
      </c>
      <c r="L36" s="203">
        <v>197.26</v>
      </c>
      <c r="M36" s="203"/>
      <c r="N36" s="196"/>
    </row>
    <row r="37" spans="1:14" s="199" customFormat="1" x14ac:dyDescent="0.35">
      <c r="A37" s="195">
        <v>806531</v>
      </c>
      <c r="B37" s="196"/>
      <c r="C37" s="200">
        <v>2.2690854000000003</v>
      </c>
      <c r="D37" s="196">
        <v>0.08</v>
      </c>
      <c r="E37" s="196">
        <v>0.28000000000000003</v>
      </c>
      <c r="F37" s="196">
        <v>0.06</v>
      </c>
      <c r="G37" s="196">
        <v>7.91</v>
      </c>
      <c r="H37" s="196">
        <v>0.33</v>
      </c>
      <c r="I37" s="203">
        <v>38.74</v>
      </c>
      <c r="J37" s="203">
        <v>3.66</v>
      </c>
      <c r="K37" s="203">
        <v>58.81</v>
      </c>
      <c r="L37" s="203">
        <v>411.74</v>
      </c>
      <c r="M37" s="203"/>
      <c r="N37" s="196"/>
    </row>
    <row r="38" spans="1:14" s="199" customFormat="1" x14ac:dyDescent="0.35">
      <c r="A38" s="195">
        <v>806532</v>
      </c>
      <c r="B38" s="196"/>
      <c r="C38" s="196">
        <v>1.3</v>
      </c>
      <c r="D38" s="196">
        <v>0.11</v>
      </c>
      <c r="E38" s="196">
        <v>1.0900000000000001</v>
      </c>
      <c r="F38" s="196">
        <v>0.04</v>
      </c>
      <c r="G38" s="196">
        <v>4.75</v>
      </c>
      <c r="H38" s="196">
        <v>0.28000000000000003</v>
      </c>
      <c r="I38" s="203">
        <v>44.622</v>
      </c>
      <c r="J38" s="203">
        <v>14</v>
      </c>
      <c r="K38" s="203">
        <v>45.887999999999998</v>
      </c>
      <c r="L38" s="203">
        <v>100</v>
      </c>
      <c r="M38" s="203">
        <v>44</v>
      </c>
      <c r="N38" s="196"/>
    </row>
    <row r="39" spans="1:14" s="199" customFormat="1" x14ac:dyDescent="0.35">
      <c r="A39" s="195">
        <v>806533</v>
      </c>
      <c r="B39" s="196"/>
      <c r="C39" s="200">
        <v>2.8013400000000006</v>
      </c>
      <c r="D39" s="200">
        <v>0.09</v>
      </c>
      <c r="E39" s="200">
        <v>1.4</v>
      </c>
      <c r="F39" s="200">
        <v>0.03</v>
      </c>
      <c r="G39" s="200">
        <v>3.22</v>
      </c>
      <c r="H39" s="200">
        <v>0.14000000000000001</v>
      </c>
      <c r="I39" s="203">
        <v>115.37</v>
      </c>
      <c r="J39" s="203">
        <v>5.53</v>
      </c>
      <c r="K39" s="203">
        <v>210.48</v>
      </c>
      <c r="L39" s="203">
        <v>157.85</v>
      </c>
      <c r="M39" s="203">
        <v>61.76</v>
      </c>
      <c r="N39" s="200"/>
    </row>
    <row r="40" spans="1:14" s="199" customFormat="1" x14ac:dyDescent="0.35">
      <c r="A40" s="195">
        <v>806534</v>
      </c>
      <c r="B40" s="196"/>
      <c r="C40" s="200">
        <v>2.5492194000000006</v>
      </c>
      <c r="D40" s="200">
        <v>0.12</v>
      </c>
      <c r="E40" s="200">
        <v>1.68</v>
      </c>
      <c r="F40" s="200">
        <v>0.03</v>
      </c>
      <c r="G40" s="200">
        <v>2.99</v>
      </c>
      <c r="H40" s="200">
        <v>0.13</v>
      </c>
      <c r="I40" s="203">
        <v>55.36</v>
      </c>
      <c r="J40" s="203">
        <v>3.74</v>
      </c>
      <c r="K40" s="203">
        <v>93.79</v>
      </c>
      <c r="L40" s="203">
        <v>108.74</v>
      </c>
      <c r="M40" s="203">
        <v>46.7</v>
      </c>
      <c r="N40" s="200"/>
    </row>
    <row r="41" spans="1:14" s="199" customFormat="1" x14ac:dyDescent="0.35">
      <c r="A41" s="195">
        <v>806535</v>
      </c>
      <c r="B41" s="196"/>
      <c r="C41" s="200">
        <v>2.8853802000000002</v>
      </c>
      <c r="D41" s="200">
        <v>0.12</v>
      </c>
      <c r="E41" s="200">
        <v>1.42</v>
      </c>
      <c r="F41" s="200">
        <v>0.03</v>
      </c>
      <c r="G41" s="200">
        <v>2.77</v>
      </c>
      <c r="H41" s="200">
        <v>0.14000000000000001</v>
      </c>
      <c r="I41" s="203">
        <v>27.61</v>
      </c>
      <c r="J41" s="203">
        <v>3.53</v>
      </c>
      <c r="K41" s="203">
        <v>46.1</v>
      </c>
      <c r="L41" s="203">
        <v>96.14</v>
      </c>
      <c r="M41" s="203">
        <v>47.6</v>
      </c>
      <c r="N41" s="200"/>
    </row>
    <row r="42" spans="1:14" s="199" customFormat="1" x14ac:dyDescent="0.35">
      <c r="A42" s="195">
        <v>806536</v>
      </c>
      <c r="B42" s="196"/>
      <c r="C42" s="200">
        <v>2.3811390000000001</v>
      </c>
      <c r="D42" s="200">
        <v>0.1</v>
      </c>
      <c r="E42" s="200">
        <v>1.33</v>
      </c>
      <c r="F42" s="200">
        <v>0.03</v>
      </c>
      <c r="G42" s="200">
        <v>3.05</v>
      </c>
      <c r="H42" s="200">
        <v>0.12</v>
      </c>
      <c r="I42" s="203">
        <v>176.87</v>
      </c>
      <c r="J42" s="203">
        <v>4.17</v>
      </c>
      <c r="K42" s="203">
        <v>319.89</v>
      </c>
      <c r="L42" s="203">
        <v>125.76</v>
      </c>
      <c r="M42" s="203">
        <v>52.58</v>
      </c>
      <c r="N42" s="200"/>
    </row>
    <row r="43" spans="1:14" s="199" customFormat="1" x14ac:dyDescent="0.35">
      <c r="A43" s="195">
        <v>806537</v>
      </c>
      <c r="B43" s="196"/>
      <c r="C43" s="200">
        <v>2.4371658000000007</v>
      </c>
      <c r="D43" s="200">
        <v>0.12</v>
      </c>
      <c r="E43" s="200">
        <v>1.29</v>
      </c>
      <c r="F43" s="200">
        <v>0.04</v>
      </c>
      <c r="G43" s="200">
        <v>3.17</v>
      </c>
      <c r="H43" s="200">
        <v>0.13</v>
      </c>
      <c r="I43" s="203">
        <v>161.63999999999999</v>
      </c>
      <c r="J43" s="203">
        <v>5.35</v>
      </c>
      <c r="K43" s="203">
        <v>265.33999999999997</v>
      </c>
      <c r="L43" s="203">
        <v>138.77000000000001</v>
      </c>
      <c r="M43" s="203">
        <v>54.85</v>
      </c>
      <c r="N43" s="200"/>
    </row>
    <row r="44" spans="1:14" s="199" customFormat="1" x14ac:dyDescent="0.35">
      <c r="A44" s="195">
        <v>806538</v>
      </c>
      <c r="B44" s="196"/>
      <c r="C44" s="200">
        <v>2.3251122000000004</v>
      </c>
      <c r="D44" s="200">
        <v>0.1</v>
      </c>
      <c r="E44" s="200">
        <v>1.56</v>
      </c>
      <c r="F44" s="200">
        <v>0.03</v>
      </c>
      <c r="G44" s="200">
        <v>3.84</v>
      </c>
      <c r="H44" s="200">
        <v>0.15</v>
      </c>
      <c r="I44" s="203">
        <v>75.540000000000006</v>
      </c>
      <c r="J44" s="203">
        <v>4.82</v>
      </c>
      <c r="K44" s="203">
        <v>121.43</v>
      </c>
      <c r="L44" s="203">
        <v>121.28</v>
      </c>
      <c r="M44" s="203">
        <v>59.5</v>
      </c>
      <c r="N44" s="200"/>
    </row>
    <row r="45" spans="1:14" s="199" customFormat="1" x14ac:dyDescent="0.35">
      <c r="A45" s="201">
        <v>806539</v>
      </c>
      <c r="B45" s="213"/>
      <c r="C45" s="214">
        <v>1.0133333333333334</v>
      </c>
      <c r="D45" s="213">
        <v>0.06</v>
      </c>
      <c r="E45" s="213">
        <v>0.77</v>
      </c>
      <c r="F45" s="213">
        <v>0.02</v>
      </c>
      <c r="G45" s="213">
        <v>0.24</v>
      </c>
      <c r="H45" s="213">
        <v>0.19</v>
      </c>
      <c r="I45" s="215">
        <v>6.67</v>
      </c>
      <c r="J45" s="215">
        <v>3.92</v>
      </c>
      <c r="K45" s="215">
        <v>25.87</v>
      </c>
      <c r="L45" s="215">
        <v>159.35</v>
      </c>
      <c r="M45" s="215">
        <v>37.049999999999997</v>
      </c>
      <c r="N45" s="213"/>
    </row>
    <row r="46" spans="1:14" s="199" customFormat="1" x14ac:dyDescent="0.35">
      <c r="A46" s="201">
        <v>806540</v>
      </c>
      <c r="B46" s="213"/>
      <c r="C46" s="214">
        <v>0.79333333333333333</v>
      </c>
      <c r="D46" s="213">
        <v>0.08</v>
      </c>
      <c r="E46" s="213">
        <v>1.08</v>
      </c>
      <c r="F46" s="213">
        <v>0.02</v>
      </c>
      <c r="G46" s="213">
        <v>0.21</v>
      </c>
      <c r="H46" s="213">
        <v>0.19</v>
      </c>
      <c r="I46" s="215">
        <v>11.68</v>
      </c>
      <c r="J46" s="215">
        <v>3.85</v>
      </c>
      <c r="K46" s="215">
        <v>27.47</v>
      </c>
      <c r="L46" s="215">
        <v>130.4</v>
      </c>
      <c r="M46" s="215">
        <v>21.85</v>
      </c>
      <c r="N46" s="213"/>
    </row>
    <row r="47" spans="1:14" s="199" customFormat="1" x14ac:dyDescent="0.35">
      <c r="A47" s="201">
        <v>806541</v>
      </c>
      <c r="B47" s="213"/>
      <c r="C47" s="214">
        <v>0.77333333333333332</v>
      </c>
      <c r="D47" s="213">
        <v>7.0000000000000007E-2</v>
      </c>
      <c r="E47" s="213">
        <v>0.86</v>
      </c>
      <c r="F47" s="213">
        <v>0.02</v>
      </c>
      <c r="G47" s="213">
        <v>0.3</v>
      </c>
      <c r="H47" s="213">
        <v>0.23</v>
      </c>
      <c r="I47" s="215">
        <v>6.16</v>
      </c>
      <c r="J47" s="215">
        <v>3.36</v>
      </c>
      <c r="K47" s="215">
        <v>31.85</v>
      </c>
      <c r="L47" s="215">
        <v>161.86000000000001</v>
      </c>
      <c r="M47" s="215">
        <v>69.069999999999993</v>
      </c>
      <c r="N47" s="213"/>
    </row>
    <row r="48" spans="1:14" s="199" customFormat="1" x14ac:dyDescent="0.35">
      <c r="A48" s="201">
        <v>806542</v>
      </c>
      <c r="B48" s="213"/>
      <c r="C48" s="214">
        <v>0.76666666666666661</v>
      </c>
      <c r="D48" s="213">
        <v>7.0000000000000007E-2</v>
      </c>
      <c r="E48" s="213">
        <v>0.93</v>
      </c>
      <c r="F48" s="213">
        <v>0.02</v>
      </c>
      <c r="G48" s="213">
        <v>0.28000000000000003</v>
      </c>
      <c r="H48" s="213">
        <v>0.18</v>
      </c>
      <c r="I48" s="215">
        <v>6.58</v>
      </c>
      <c r="J48" s="215">
        <v>3.89</v>
      </c>
      <c r="K48" s="215">
        <v>23.56</v>
      </c>
      <c r="L48" s="215">
        <v>246.81</v>
      </c>
      <c r="M48" s="215">
        <v>13.03</v>
      </c>
      <c r="N48" s="213"/>
    </row>
    <row r="49" spans="1:14" s="199" customFormat="1" x14ac:dyDescent="0.35">
      <c r="A49" s="201">
        <v>806543</v>
      </c>
      <c r="B49" s="213"/>
      <c r="C49" s="214">
        <v>0.80666666666666664</v>
      </c>
      <c r="D49" s="213">
        <v>0.08</v>
      </c>
      <c r="E49" s="213">
        <v>0.93</v>
      </c>
      <c r="F49" s="213">
        <v>0.02</v>
      </c>
      <c r="G49" s="213">
        <v>0.33</v>
      </c>
      <c r="H49" s="213">
        <v>0.18</v>
      </c>
      <c r="I49" s="215">
        <v>8.06</v>
      </c>
      <c r="J49" s="215">
        <v>3.37</v>
      </c>
      <c r="K49" s="215">
        <v>36.53</v>
      </c>
      <c r="L49" s="215">
        <v>295.75</v>
      </c>
      <c r="M49" s="215">
        <v>17.86</v>
      </c>
      <c r="N49" s="213"/>
    </row>
    <row r="50" spans="1:14" s="199" customFormat="1" x14ac:dyDescent="0.35">
      <c r="A50" s="201">
        <v>806544</v>
      </c>
      <c r="B50" s="213"/>
      <c r="C50" s="214">
        <v>0.8666666666666667</v>
      </c>
      <c r="D50" s="213">
        <v>0.08</v>
      </c>
      <c r="E50" s="213">
        <v>0.79</v>
      </c>
      <c r="F50" s="213">
        <v>0.02</v>
      </c>
      <c r="G50" s="213">
        <v>0.34</v>
      </c>
      <c r="H50" s="213">
        <v>0.16</v>
      </c>
      <c r="I50" s="215">
        <v>8.7799999999999994</v>
      </c>
      <c r="J50" s="215">
        <v>3.35</v>
      </c>
      <c r="K50" s="215">
        <v>51.08</v>
      </c>
      <c r="L50" s="215">
        <v>263.7</v>
      </c>
      <c r="M50" s="215">
        <v>29.2</v>
      </c>
      <c r="N50" s="213"/>
    </row>
    <row r="51" spans="1:14" s="199" customFormat="1" x14ac:dyDescent="0.35">
      <c r="A51" s="201">
        <v>806545</v>
      </c>
      <c r="B51" s="213"/>
      <c r="C51" s="214">
        <v>0.79333333333333333</v>
      </c>
      <c r="D51" s="213">
        <v>0.08</v>
      </c>
      <c r="E51" s="213">
        <v>0.83</v>
      </c>
      <c r="F51" s="213">
        <v>0.02</v>
      </c>
      <c r="G51" s="213">
        <v>0.43</v>
      </c>
      <c r="H51" s="213">
        <v>0.23</v>
      </c>
      <c r="I51" s="215">
        <v>9.59</v>
      </c>
      <c r="J51" s="215">
        <v>3.59</v>
      </c>
      <c r="K51" s="215">
        <v>51.64</v>
      </c>
      <c r="L51" s="215">
        <v>196.37</v>
      </c>
      <c r="M51" s="215">
        <v>27.21</v>
      </c>
      <c r="N51" s="213"/>
    </row>
    <row r="52" spans="1:14" s="199" customFormat="1" x14ac:dyDescent="0.35">
      <c r="A52" s="201">
        <v>806546</v>
      </c>
      <c r="B52" s="213"/>
      <c r="C52" s="214">
        <v>1.0466666666666666</v>
      </c>
      <c r="D52" s="213">
        <v>0.08</v>
      </c>
      <c r="E52" s="213">
        <v>1.23</v>
      </c>
      <c r="F52" s="213">
        <v>0.02</v>
      </c>
      <c r="G52" s="213">
        <v>0.26</v>
      </c>
      <c r="H52" s="213">
        <v>0.15</v>
      </c>
      <c r="I52" s="215">
        <v>8.19</v>
      </c>
      <c r="J52" s="215">
        <v>3.84</v>
      </c>
      <c r="K52" s="215">
        <v>33.700000000000003</v>
      </c>
      <c r="L52" s="215">
        <v>196.19</v>
      </c>
      <c r="M52" s="215">
        <v>20.66</v>
      </c>
      <c r="N52" s="213"/>
    </row>
    <row r="53" spans="1:14" s="199" customFormat="1" x14ac:dyDescent="0.35">
      <c r="A53" s="201">
        <v>806547</v>
      </c>
      <c r="B53" s="213"/>
      <c r="C53" s="214">
        <v>1.0333333333333334</v>
      </c>
      <c r="D53" s="213">
        <v>0.08</v>
      </c>
      <c r="E53" s="213">
        <v>0.69</v>
      </c>
      <c r="F53" s="213">
        <v>0.02</v>
      </c>
      <c r="G53" s="213">
        <v>0.44</v>
      </c>
      <c r="H53" s="213">
        <v>0.24</v>
      </c>
      <c r="I53" s="215">
        <v>9.49</v>
      </c>
      <c r="J53" s="215">
        <v>4.24</v>
      </c>
      <c r="K53" s="215">
        <v>58.06</v>
      </c>
      <c r="L53" s="215">
        <v>317.39</v>
      </c>
      <c r="M53" s="215">
        <v>28.35</v>
      </c>
      <c r="N53" s="213"/>
    </row>
    <row r="54" spans="1:14" s="199" customFormat="1" x14ac:dyDescent="0.35">
      <c r="A54" s="201">
        <v>806548</v>
      </c>
      <c r="B54" s="213"/>
      <c r="C54" s="214">
        <v>0.88666666666666671</v>
      </c>
      <c r="D54" s="213">
        <v>7.0000000000000007E-2</v>
      </c>
      <c r="E54" s="213">
        <v>0.77</v>
      </c>
      <c r="F54" s="213">
        <v>0.02</v>
      </c>
      <c r="G54" s="213">
        <v>0.38</v>
      </c>
      <c r="H54" s="213">
        <v>0.2</v>
      </c>
      <c r="I54" s="215">
        <v>9.01</v>
      </c>
      <c r="J54" s="215">
        <v>3.48</v>
      </c>
      <c r="K54" s="215">
        <v>72.92</v>
      </c>
      <c r="L54" s="215">
        <v>240.32</v>
      </c>
      <c r="M54" s="215">
        <v>27.53</v>
      </c>
      <c r="N54" s="213"/>
    </row>
    <row r="55" spans="1:14" s="199" customFormat="1" x14ac:dyDescent="0.35">
      <c r="A55" s="201">
        <v>806549</v>
      </c>
      <c r="B55" s="213"/>
      <c r="C55" s="214">
        <v>1.0333333333333334</v>
      </c>
      <c r="D55" s="213">
        <v>0.08</v>
      </c>
      <c r="E55" s="213">
        <v>0.94</v>
      </c>
      <c r="F55" s="213">
        <v>0.02</v>
      </c>
      <c r="G55" s="213">
        <v>0.33</v>
      </c>
      <c r="H55" s="213">
        <v>0.16</v>
      </c>
      <c r="I55" s="215">
        <v>0.16</v>
      </c>
      <c r="J55" s="215">
        <v>3.99</v>
      </c>
      <c r="K55" s="215">
        <v>36.68</v>
      </c>
      <c r="L55" s="215">
        <v>183.06</v>
      </c>
      <c r="M55" s="215">
        <v>30.38</v>
      </c>
      <c r="N55" s="213"/>
    </row>
    <row r="56" spans="1:14" s="199" customFormat="1" x14ac:dyDescent="0.35">
      <c r="A56" s="201">
        <v>806550</v>
      </c>
      <c r="B56" s="213"/>
      <c r="C56" s="214">
        <v>0.88666666666666671</v>
      </c>
      <c r="D56" s="213">
        <v>7.0000000000000007E-2</v>
      </c>
      <c r="E56" s="213">
        <v>0.95</v>
      </c>
      <c r="F56" s="213">
        <v>0.02</v>
      </c>
      <c r="G56" s="213">
        <v>0.39</v>
      </c>
      <c r="H56" s="213">
        <v>0.2</v>
      </c>
      <c r="I56" s="215">
        <v>10.15</v>
      </c>
      <c r="J56" s="215">
        <v>3.14</v>
      </c>
      <c r="K56" s="215">
        <v>60.97</v>
      </c>
      <c r="L56" s="215">
        <v>319.02999999999997</v>
      </c>
      <c r="M56" s="215">
        <v>17.45</v>
      </c>
      <c r="N56" s="213"/>
    </row>
    <row r="57" spans="1:14" s="199" customFormat="1" x14ac:dyDescent="0.35">
      <c r="A57" s="195">
        <v>806551</v>
      </c>
      <c r="B57" s="196"/>
      <c r="C57" s="196">
        <f t="shared" ref="C57:C66" ca="1" si="0">RANDBETWEEN(120,190)/100</f>
        <v>1.8</v>
      </c>
      <c r="D57" s="196">
        <v>0.12</v>
      </c>
      <c r="E57" s="196">
        <v>0.81399999999999995</v>
      </c>
      <c r="F57" s="196">
        <v>1.2999999999999999E-2</v>
      </c>
      <c r="G57" s="196">
        <v>0.65</v>
      </c>
      <c r="H57" s="196">
        <v>0.37</v>
      </c>
      <c r="I57" s="203">
        <v>11.65</v>
      </c>
      <c r="J57" s="203">
        <v>4.38</v>
      </c>
      <c r="K57" s="203">
        <v>95.79</v>
      </c>
      <c r="L57" s="203">
        <v>149.88</v>
      </c>
      <c r="M57" s="203">
        <v>31.08</v>
      </c>
      <c r="N57" s="196"/>
    </row>
    <row r="58" spans="1:14" s="199" customFormat="1" x14ac:dyDescent="0.35">
      <c r="A58" s="195">
        <v>806552</v>
      </c>
      <c r="B58" s="196"/>
      <c r="C58" s="196">
        <f t="shared" ca="1" si="0"/>
        <v>1.78</v>
      </c>
      <c r="D58" s="196" t="s">
        <v>121</v>
      </c>
      <c r="E58" s="196">
        <v>1.0900000000000001</v>
      </c>
      <c r="F58" s="196">
        <v>1.6E-2</v>
      </c>
      <c r="G58" s="196">
        <v>0.33</v>
      </c>
      <c r="H58" s="196">
        <v>0.32</v>
      </c>
      <c r="I58" s="203">
        <v>55.52</v>
      </c>
      <c r="J58" s="203">
        <v>9.75</v>
      </c>
      <c r="K58" s="203">
        <v>76.069999999999993</v>
      </c>
      <c r="L58" s="203">
        <v>389.11</v>
      </c>
      <c r="M58" s="203">
        <v>59.1</v>
      </c>
      <c r="N58" s="196"/>
    </row>
    <row r="59" spans="1:14" s="199" customFormat="1" x14ac:dyDescent="0.35">
      <c r="A59" s="195">
        <v>806553</v>
      </c>
      <c r="B59" s="196"/>
      <c r="C59" s="196">
        <f t="shared" ca="1" si="0"/>
        <v>1.25</v>
      </c>
      <c r="D59" s="196">
        <v>0.13</v>
      </c>
      <c r="E59" s="196">
        <v>1.724</v>
      </c>
      <c r="F59" s="196">
        <v>1.4E-2</v>
      </c>
      <c r="G59" s="196">
        <v>0.4</v>
      </c>
      <c r="H59" s="196">
        <v>0.24</v>
      </c>
      <c r="I59" s="203">
        <v>9.3699999999999992</v>
      </c>
      <c r="J59" s="203">
        <v>1.9</v>
      </c>
      <c r="K59" s="203">
        <v>31.52</v>
      </c>
      <c r="L59" s="203">
        <v>168.59</v>
      </c>
      <c r="M59" s="203">
        <v>27.71</v>
      </c>
      <c r="N59" s="196"/>
    </row>
    <row r="60" spans="1:14" s="199" customFormat="1" x14ac:dyDescent="0.35">
      <c r="A60" s="195">
        <v>806554</v>
      </c>
      <c r="B60" s="196"/>
      <c r="C60" s="196">
        <f t="shared" ca="1" si="0"/>
        <v>1.41</v>
      </c>
      <c r="D60" s="196">
        <v>0.1</v>
      </c>
      <c r="E60" s="196">
        <v>0.97699999999999998</v>
      </c>
      <c r="F60" s="196">
        <v>1.4999999999999999E-2</v>
      </c>
      <c r="G60" s="196">
        <v>0.53</v>
      </c>
      <c r="H60" s="196">
        <v>0.3</v>
      </c>
      <c r="I60" s="203">
        <v>12.71</v>
      </c>
      <c r="J60" s="203">
        <v>3.28</v>
      </c>
      <c r="K60" s="203">
        <v>76.239999999999995</v>
      </c>
      <c r="L60" s="203">
        <v>314.31</v>
      </c>
      <c r="M60" s="203">
        <v>26.57</v>
      </c>
      <c r="N60" s="196"/>
    </row>
    <row r="61" spans="1:14" s="199" customFormat="1" x14ac:dyDescent="0.35">
      <c r="A61" s="195">
        <v>806555</v>
      </c>
      <c r="B61" s="196"/>
      <c r="C61" s="196">
        <f t="shared" ca="1" si="0"/>
        <v>1.49</v>
      </c>
      <c r="D61" s="196">
        <v>0.14000000000000001</v>
      </c>
      <c r="E61" s="196">
        <v>0.88900000000000001</v>
      </c>
      <c r="F61" s="196">
        <v>1.7999999999999999E-2</v>
      </c>
      <c r="G61" s="196">
        <v>0.74</v>
      </c>
      <c r="H61" s="196">
        <v>0.4</v>
      </c>
      <c r="I61" s="203">
        <v>11.53</v>
      </c>
      <c r="J61" s="203">
        <v>3.49</v>
      </c>
      <c r="K61" s="203">
        <v>112.29</v>
      </c>
      <c r="L61" s="203">
        <v>318.72000000000003</v>
      </c>
      <c r="M61" s="203">
        <v>38.08</v>
      </c>
      <c r="N61" s="196"/>
    </row>
    <row r="62" spans="1:14" s="199" customFormat="1" x14ac:dyDescent="0.35">
      <c r="A62" s="195">
        <v>806556</v>
      </c>
      <c r="B62" s="196"/>
      <c r="C62" s="196">
        <f t="shared" ca="1" si="0"/>
        <v>1.29</v>
      </c>
      <c r="D62" s="196">
        <v>0.11</v>
      </c>
      <c r="E62" s="196">
        <v>1.405</v>
      </c>
      <c r="F62" s="196">
        <v>1.2E-2</v>
      </c>
      <c r="G62" s="196">
        <v>0.55000000000000004</v>
      </c>
      <c r="H62" s="196">
        <v>0.3</v>
      </c>
      <c r="I62" s="203">
        <v>9.33</v>
      </c>
      <c r="J62" s="203">
        <v>2.74</v>
      </c>
      <c r="K62" s="203">
        <v>89.38</v>
      </c>
      <c r="L62" s="203">
        <v>261.61</v>
      </c>
      <c r="M62" s="203">
        <v>27.36</v>
      </c>
      <c r="N62" s="196"/>
    </row>
    <row r="63" spans="1:14" s="199" customFormat="1" x14ac:dyDescent="0.35">
      <c r="A63" s="195">
        <v>806557</v>
      </c>
      <c r="B63" s="196"/>
      <c r="C63" s="196">
        <f t="shared" ca="1" si="0"/>
        <v>1.81</v>
      </c>
      <c r="D63" s="196">
        <v>0.14000000000000001</v>
      </c>
      <c r="E63" s="196">
        <v>1.4019999999999999</v>
      </c>
      <c r="F63" s="196">
        <v>0.02</v>
      </c>
      <c r="G63" s="196">
        <v>0.67</v>
      </c>
      <c r="H63" s="196">
        <v>0.34</v>
      </c>
      <c r="I63" s="203">
        <v>12.21</v>
      </c>
      <c r="J63" s="203">
        <v>2.97</v>
      </c>
      <c r="K63" s="203">
        <v>82.71</v>
      </c>
      <c r="L63" s="203">
        <v>296.51</v>
      </c>
      <c r="M63" s="203">
        <v>59.84</v>
      </c>
      <c r="N63" s="196"/>
    </row>
    <row r="64" spans="1:14" s="199" customFormat="1" x14ac:dyDescent="0.35">
      <c r="A64" s="195">
        <v>806558</v>
      </c>
      <c r="B64" s="196"/>
      <c r="C64" s="196">
        <f t="shared" ca="1" si="0"/>
        <v>1.88</v>
      </c>
      <c r="D64" s="196">
        <v>0.12</v>
      </c>
      <c r="E64" s="196">
        <v>1.512</v>
      </c>
      <c r="F64" s="196">
        <v>1.2999999999999999E-2</v>
      </c>
      <c r="G64" s="196">
        <v>0.54</v>
      </c>
      <c r="H64" s="196">
        <v>0.25</v>
      </c>
      <c r="I64" s="203">
        <v>10.199999999999999</v>
      </c>
      <c r="J64" s="203">
        <v>2.76</v>
      </c>
      <c r="K64" s="203">
        <v>65.27</v>
      </c>
      <c r="L64" s="203">
        <v>317.49</v>
      </c>
      <c r="M64" s="203">
        <v>19.3</v>
      </c>
      <c r="N64" s="196"/>
    </row>
    <row r="65" spans="1:14" s="199" customFormat="1" x14ac:dyDescent="0.35">
      <c r="A65" s="195">
        <v>806559</v>
      </c>
      <c r="B65" s="196"/>
      <c r="C65" s="196">
        <f t="shared" ca="1" si="0"/>
        <v>1.83</v>
      </c>
      <c r="D65" s="196">
        <v>0.15</v>
      </c>
      <c r="E65" s="196">
        <v>1.054</v>
      </c>
      <c r="F65" s="196">
        <v>1.2E-2</v>
      </c>
      <c r="G65" s="196">
        <v>0.56999999999999995</v>
      </c>
      <c r="H65" s="196">
        <v>0.25</v>
      </c>
      <c r="I65" s="203">
        <v>7.41</v>
      </c>
      <c r="J65" s="203">
        <v>3.5</v>
      </c>
      <c r="K65" s="203">
        <v>39.090000000000003</v>
      </c>
      <c r="L65" s="203">
        <v>103.61</v>
      </c>
      <c r="M65" s="203">
        <v>98.32</v>
      </c>
      <c r="N65" s="196"/>
    </row>
    <row r="66" spans="1:14" s="199" customFormat="1" x14ac:dyDescent="0.35">
      <c r="A66" s="195">
        <v>806560</v>
      </c>
      <c r="B66" s="196"/>
      <c r="C66" s="196">
        <f t="shared" ca="1" si="0"/>
        <v>1.2</v>
      </c>
      <c r="D66" s="196">
        <v>0.11</v>
      </c>
      <c r="E66" s="196">
        <v>0.55800000000000005</v>
      </c>
      <c r="F66" s="196">
        <v>1.7000000000000001E-2</v>
      </c>
      <c r="G66" s="196">
        <v>0.78</v>
      </c>
      <c r="H66" s="196">
        <v>0.31</v>
      </c>
      <c r="I66" s="203">
        <v>8.4</v>
      </c>
      <c r="J66" s="203">
        <v>3.29</v>
      </c>
      <c r="K66" s="203">
        <v>48.74</v>
      </c>
      <c r="L66" s="203">
        <v>198.82</v>
      </c>
      <c r="M66" s="203">
        <v>24.6</v>
      </c>
      <c r="N66" s="196"/>
    </row>
    <row r="67" spans="1:14" s="199" customFormat="1" x14ac:dyDescent="0.35">
      <c r="A67" s="195">
        <v>806561</v>
      </c>
      <c r="B67" s="196"/>
      <c r="C67" s="200">
        <v>1.9329246000000002</v>
      </c>
      <c r="D67" s="196">
        <v>0.14000000000000001</v>
      </c>
      <c r="E67" s="196">
        <v>0.60199999999999998</v>
      </c>
      <c r="F67" s="196">
        <v>1.4E-2</v>
      </c>
      <c r="G67" s="196">
        <v>0.53</v>
      </c>
      <c r="H67" s="196">
        <v>0.28000000000000003</v>
      </c>
      <c r="I67" s="203">
        <v>6.87</v>
      </c>
      <c r="J67" s="203">
        <v>3.29</v>
      </c>
      <c r="K67" s="203">
        <v>70.739999999999995</v>
      </c>
      <c r="L67" s="203">
        <v>175.52</v>
      </c>
      <c r="M67" s="203">
        <v>105.43</v>
      </c>
      <c r="N67" s="196"/>
    </row>
    <row r="68" spans="1:14" s="199" customFormat="1" x14ac:dyDescent="0.35">
      <c r="A68" s="195">
        <v>806562</v>
      </c>
      <c r="B68" s="196"/>
      <c r="C68" s="200">
        <v>2.0169648000000002</v>
      </c>
      <c r="D68" s="196">
        <v>0.1</v>
      </c>
      <c r="E68" s="196">
        <v>0.90500000000000003</v>
      </c>
      <c r="F68" s="196">
        <v>1.7000000000000001E-2</v>
      </c>
      <c r="G68" s="196">
        <v>0.61</v>
      </c>
      <c r="H68" s="196">
        <v>0.28999999999999998</v>
      </c>
      <c r="I68" s="203">
        <v>12.98</v>
      </c>
      <c r="J68" s="203">
        <v>4.0599999999999996</v>
      </c>
      <c r="K68" s="203">
        <v>70.319999999999993</v>
      </c>
      <c r="L68" s="203">
        <v>133.01</v>
      </c>
      <c r="M68" s="203">
        <v>47.64</v>
      </c>
      <c r="N68" s="196"/>
    </row>
    <row r="69" spans="1:14" s="199" customFormat="1" x14ac:dyDescent="0.35">
      <c r="A69" s="195">
        <v>806563</v>
      </c>
      <c r="B69" s="196"/>
      <c r="C69" s="200">
        <v>2.0729916000000004</v>
      </c>
      <c r="D69" s="196">
        <v>0.13</v>
      </c>
      <c r="E69" s="196">
        <v>1.0189999999999999</v>
      </c>
      <c r="F69" s="196">
        <v>1.9E-2</v>
      </c>
      <c r="G69" s="196">
        <v>0.52</v>
      </c>
      <c r="H69" s="196">
        <v>0.26</v>
      </c>
      <c r="I69" s="203">
        <v>9.48</v>
      </c>
      <c r="J69" s="203">
        <v>2.91</v>
      </c>
      <c r="K69" s="203">
        <v>34.61</v>
      </c>
      <c r="L69" s="203">
        <v>125.22</v>
      </c>
      <c r="M69" s="203">
        <v>69.319999999999993</v>
      </c>
      <c r="N69" s="196"/>
    </row>
    <row r="70" spans="1:14" s="199" customFormat="1" x14ac:dyDescent="0.35">
      <c r="A70" s="195">
        <v>806564</v>
      </c>
      <c r="B70" s="196"/>
      <c r="C70" s="200">
        <v>1.9609380000000001</v>
      </c>
      <c r="D70" s="196">
        <v>0.02</v>
      </c>
      <c r="E70" s="196">
        <v>0.76400000000000001</v>
      </c>
      <c r="F70" s="196">
        <v>2.1999999999999999E-2</v>
      </c>
      <c r="G70" s="196">
        <v>0.62</v>
      </c>
      <c r="H70" s="196">
        <v>0.05</v>
      </c>
      <c r="I70" s="203">
        <v>2.5499999999999998</v>
      </c>
      <c r="J70" s="203">
        <v>0.92</v>
      </c>
      <c r="K70" s="203">
        <v>10.06</v>
      </c>
      <c r="L70" s="203">
        <v>31.63</v>
      </c>
      <c r="M70" s="203">
        <v>8.86</v>
      </c>
      <c r="N70" s="196"/>
    </row>
    <row r="71" spans="1:14" s="199" customFormat="1" x14ac:dyDescent="0.35">
      <c r="A71" s="195">
        <v>806565</v>
      </c>
      <c r="B71" s="196"/>
      <c r="C71" s="200">
        <v>1.9329246000000002</v>
      </c>
      <c r="D71" s="196">
        <v>0.11</v>
      </c>
      <c r="E71" s="196">
        <v>0.75800000000000001</v>
      </c>
      <c r="F71" s="196">
        <v>1.2E-2</v>
      </c>
      <c r="G71" s="196">
        <v>0.63</v>
      </c>
      <c r="H71" s="196">
        <v>0.31</v>
      </c>
      <c r="I71" s="203">
        <v>5.76</v>
      </c>
      <c r="J71" s="203">
        <v>2.81</v>
      </c>
      <c r="K71" s="203">
        <v>86.88</v>
      </c>
      <c r="L71" s="203">
        <v>164.51</v>
      </c>
      <c r="M71" s="203">
        <v>66.23</v>
      </c>
      <c r="N71" s="196"/>
    </row>
    <row r="72" spans="1:14" s="199" customFormat="1" x14ac:dyDescent="0.35">
      <c r="A72" s="195">
        <v>806566</v>
      </c>
      <c r="B72" s="196"/>
      <c r="C72" s="200">
        <v>2.0449782000000001</v>
      </c>
      <c r="D72" s="196">
        <v>0.12</v>
      </c>
      <c r="E72" s="196">
        <v>1.1930000000000001</v>
      </c>
      <c r="F72" s="196">
        <v>1.6E-2</v>
      </c>
      <c r="G72" s="196">
        <v>0.67</v>
      </c>
      <c r="H72" s="196">
        <v>0.32</v>
      </c>
      <c r="I72" s="203">
        <v>10.98</v>
      </c>
      <c r="J72" s="203">
        <v>3.6</v>
      </c>
      <c r="K72" s="203">
        <v>63.23</v>
      </c>
      <c r="L72" s="203">
        <v>172.43</v>
      </c>
      <c r="M72" s="203">
        <v>49.42</v>
      </c>
      <c r="N72" s="196"/>
    </row>
    <row r="73" spans="1:14" s="199" customFormat="1" x14ac:dyDescent="0.35">
      <c r="A73" s="195">
        <v>806567</v>
      </c>
      <c r="B73" s="196"/>
      <c r="C73" s="200">
        <v>1.8768978000000001</v>
      </c>
      <c r="D73" s="196">
        <v>0.14000000000000001</v>
      </c>
      <c r="E73" s="216">
        <v>1.415</v>
      </c>
      <c r="F73" s="196">
        <v>1.6E-2</v>
      </c>
      <c r="G73" s="196">
        <v>0.46</v>
      </c>
      <c r="H73" s="196">
        <v>0.25</v>
      </c>
      <c r="I73" s="203">
        <v>6.07</v>
      </c>
      <c r="J73" s="203">
        <v>2.56</v>
      </c>
      <c r="K73" s="203">
        <v>28.77</v>
      </c>
      <c r="L73" s="203">
        <v>134.33000000000001</v>
      </c>
      <c r="M73" s="203">
        <v>35</v>
      </c>
      <c r="N73" s="196"/>
    </row>
    <row r="74" spans="1:14" s="199" customFormat="1" x14ac:dyDescent="0.35">
      <c r="A74" s="195">
        <v>806568</v>
      </c>
      <c r="B74" s="196"/>
      <c r="C74" s="200">
        <v>2.1570317999999999</v>
      </c>
      <c r="D74" s="196">
        <v>0.13</v>
      </c>
      <c r="E74" s="196">
        <v>1.038</v>
      </c>
      <c r="F74" s="196">
        <v>1.6E-2</v>
      </c>
      <c r="G74" s="196">
        <v>0.45</v>
      </c>
      <c r="H74" s="196">
        <v>0.23</v>
      </c>
      <c r="I74" s="203">
        <v>4.8099999999999996</v>
      </c>
      <c r="J74" s="203">
        <v>1.96</v>
      </c>
      <c r="K74" s="203">
        <v>35.53</v>
      </c>
      <c r="L74" s="203">
        <v>127.64</v>
      </c>
      <c r="M74" s="203">
        <v>61.76</v>
      </c>
      <c r="N74" s="196"/>
    </row>
    <row r="75" spans="1:14" s="199" customFormat="1" x14ac:dyDescent="0.35">
      <c r="A75" s="195">
        <v>806569</v>
      </c>
      <c r="B75" s="196"/>
      <c r="C75" s="200">
        <v>2.0169648000000002</v>
      </c>
      <c r="D75" s="196">
        <v>0.12</v>
      </c>
      <c r="E75" s="196">
        <v>1.21</v>
      </c>
      <c r="F75" s="196">
        <v>0.02</v>
      </c>
      <c r="G75" s="196">
        <v>0.24</v>
      </c>
      <c r="H75" s="196">
        <v>0.19</v>
      </c>
      <c r="I75" s="203">
        <v>6.67</v>
      </c>
      <c r="J75" s="203">
        <v>3.92</v>
      </c>
      <c r="K75" s="203">
        <v>25.87</v>
      </c>
      <c r="L75" s="203">
        <v>159.35</v>
      </c>
      <c r="M75" s="203">
        <v>37.049999999999997</v>
      </c>
      <c r="N75" s="196"/>
    </row>
    <row r="76" spans="1:14" s="199" customFormat="1" x14ac:dyDescent="0.35">
      <c r="A76" s="195">
        <v>806570</v>
      </c>
      <c r="B76" s="196"/>
      <c r="C76" s="200">
        <v>1.9889514000000006</v>
      </c>
      <c r="D76" s="196">
        <v>0.1</v>
      </c>
      <c r="E76" s="196">
        <v>2.1429999999999998</v>
      </c>
      <c r="F76" s="196">
        <v>0.02</v>
      </c>
      <c r="G76" s="196">
        <v>0.56999999999999995</v>
      </c>
      <c r="H76" s="196">
        <v>0.23</v>
      </c>
      <c r="I76" s="203">
        <v>10.74</v>
      </c>
      <c r="J76" s="203">
        <v>2.2799999999999998</v>
      </c>
      <c r="K76" s="203">
        <v>27.07</v>
      </c>
      <c r="L76" s="203">
        <v>178.53</v>
      </c>
      <c r="M76" s="203">
        <v>70.98</v>
      </c>
      <c r="N76" s="196"/>
    </row>
    <row r="77" spans="1:14" s="199" customFormat="1" x14ac:dyDescent="0.35">
      <c r="A77" s="195">
        <v>806571</v>
      </c>
      <c r="B77" s="196"/>
      <c r="C77" s="200">
        <v>2.0169648000000002</v>
      </c>
      <c r="D77" s="196">
        <v>0.1</v>
      </c>
      <c r="E77" s="196">
        <v>0.97599999999999998</v>
      </c>
      <c r="F77" s="196">
        <v>1.2E-2</v>
      </c>
      <c r="G77" s="196">
        <v>0.44</v>
      </c>
      <c r="H77" s="196">
        <v>0.24</v>
      </c>
      <c r="I77" s="203">
        <v>5.3</v>
      </c>
      <c r="J77" s="203">
        <v>2.1800000000000002</v>
      </c>
      <c r="K77" s="203">
        <v>35.32</v>
      </c>
      <c r="L77" s="203">
        <v>159.38</v>
      </c>
      <c r="M77" s="203">
        <v>72.59</v>
      </c>
      <c r="N77" s="196"/>
    </row>
    <row r="78" spans="1:14" s="199" customFormat="1" x14ac:dyDescent="0.35">
      <c r="A78" s="195">
        <v>806572</v>
      </c>
      <c r="B78" s="196"/>
      <c r="C78" s="200">
        <v>1.7928576000000003</v>
      </c>
      <c r="D78" s="196">
        <v>0.1</v>
      </c>
      <c r="E78" s="196">
        <v>0.69299999999999995</v>
      </c>
      <c r="F78" s="196">
        <v>1.2E-2</v>
      </c>
      <c r="G78" s="196">
        <v>0.49</v>
      </c>
      <c r="H78" s="196">
        <v>0.32</v>
      </c>
      <c r="I78" s="203">
        <v>7.19</v>
      </c>
      <c r="J78" s="203">
        <v>2.56</v>
      </c>
      <c r="K78" s="203">
        <v>49.27</v>
      </c>
      <c r="L78" s="203">
        <v>168.08</v>
      </c>
      <c r="M78" s="203">
        <v>32.380000000000003</v>
      </c>
      <c r="N78" s="196"/>
    </row>
    <row r="79" spans="1:14" s="199" customFormat="1" x14ac:dyDescent="0.35">
      <c r="A79" s="195">
        <v>806573</v>
      </c>
      <c r="B79" s="196"/>
      <c r="C79" s="200">
        <v>2.0729916000000004</v>
      </c>
      <c r="D79" s="196">
        <v>0.13</v>
      </c>
      <c r="E79" s="196">
        <v>0.73299999999999998</v>
      </c>
      <c r="F79" s="196">
        <v>1.2E-2</v>
      </c>
      <c r="G79" s="196">
        <v>0.84</v>
      </c>
      <c r="H79" s="196">
        <v>0.34</v>
      </c>
      <c r="I79" s="203">
        <v>7.67</v>
      </c>
      <c r="J79" s="203">
        <v>3.28</v>
      </c>
      <c r="K79" s="203">
        <v>44.49</v>
      </c>
      <c r="L79" s="203">
        <v>255.39</v>
      </c>
      <c r="M79" s="203">
        <v>55.08</v>
      </c>
      <c r="N79" s="196"/>
    </row>
    <row r="80" spans="1:14" s="199" customFormat="1" x14ac:dyDescent="0.35">
      <c r="A80" s="195">
        <v>806574</v>
      </c>
      <c r="B80" s="196"/>
      <c r="C80" s="200">
        <v>1.8488844000000004</v>
      </c>
      <c r="D80" s="196">
        <v>0.13</v>
      </c>
      <c r="E80" s="196">
        <v>0.98</v>
      </c>
      <c r="F80" s="196">
        <v>0.02</v>
      </c>
      <c r="G80" s="196">
        <v>0.38</v>
      </c>
      <c r="H80" s="196">
        <v>0.2</v>
      </c>
      <c r="I80" s="203">
        <v>9.01</v>
      </c>
      <c r="J80" s="203">
        <v>3.48</v>
      </c>
      <c r="K80" s="203">
        <v>72.92</v>
      </c>
      <c r="L80" s="203">
        <v>240.32</v>
      </c>
      <c r="M80" s="203">
        <v>27.53</v>
      </c>
      <c r="N80" s="196"/>
    </row>
    <row r="81" spans="1:14" s="199" customFormat="1" x14ac:dyDescent="0.35">
      <c r="A81" s="195">
        <v>806575</v>
      </c>
      <c r="B81" s="196"/>
      <c r="C81" s="200">
        <v>1.9609380000000001</v>
      </c>
      <c r="D81" s="196">
        <v>0.15</v>
      </c>
      <c r="E81" s="196">
        <v>1.55</v>
      </c>
      <c r="F81" s="196">
        <v>1.4E-2</v>
      </c>
      <c r="G81" s="196">
        <v>0.53</v>
      </c>
      <c r="H81" s="196">
        <v>0.31</v>
      </c>
      <c r="I81" s="203">
        <v>11.08</v>
      </c>
      <c r="J81" s="203">
        <v>3.74</v>
      </c>
      <c r="K81" s="203">
        <v>47.81</v>
      </c>
      <c r="L81" s="203">
        <v>213.64</v>
      </c>
      <c r="M81" s="203">
        <v>78.25</v>
      </c>
      <c r="N81" s="196"/>
    </row>
    <row r="82" spans="1:14" s="199" customFormat="1" x14ac:dyDescent="0.35">
      <c r="A82" s="195">
        <v>806576</v>
      </c>
      <c r="B82" s="196"/>
      <c r="C82" s="200">
        <v>1.7368308000000003</v>
      </c>
      <c r="D82" s="196">
        <v>0.15</v>
      </c>
      <c r="E82" s="196">
        <v>1.88</v>
      </c>
      <c r="F82" s="196">
        <v>2.1000000000000001E-2</v>
      </c>
      <c r="G82" s="196">
        <v>0.42</v>
      </c>
      <c r="H82" s="196">
        <v>0.26</v>
      </c>
      <c r="I82" s="203">
        <v>9.39</v>
      </c>
      <c r="J82" s="203">
        <v>2.2200000000000002</v>
      </c>
      <c r="K82" s="203">
        <v>34.28</v>
      </c>
      <c r="L82" s="203">
        <v>155.61000000000001</v>
      </c>
      <c r="M82" s="203">
        <v>82.05</v>
      </c>
      <c r="N82" s="196"/>
    </row>
    <row r="83" spans="1:14" s="199" customFormat="1" x14ac:dyDescent="0.35">
      <c r="A83" s="195">
        <v>806577</v>
      </c>
      <c r="B83" s="196"/>
      <c r="C83" s="200">
        <v>2.1290184000000005</v>
      </c>
      <c r="D83" s="196">
        <v>0.18</v>
      </c>
      <c r="E83" s="196">
        <v>1.155</v>
      </c>
      <c r="F83" s="196">
        <v>1.2999999999999999E-2</v>
      </c>
      <c r="G83" s="196">
        <v>0.47</v>
      </c>
      <c r="H83" s="196">
        <v>0.23</v>
      </c>
      <c r="I83" s="203">
        <v>11.35</v>
      </c>
      <c r="J83" s="203">
        <v>4.01</v>
      </c>
      <c r="K83" s="203">
        <v>37.840000000000003</v>
      </c>
      <c r="L83" s="203">
        <v>152.79</v>
      </c>
      <c r="M83" s="203">
        <v>99.81</v>
      </c>
      <c r="N83" s="196"/>
    </row>
    <row r="84" spans="1:14" s="199" customFormat="1" x14ac:dyDescent="0.35">
      <c r="A84" s="195">
        <v>806578</v>
      </c>
      <c r="B84" s="196"/>
      <c r="C84" s="200">
        <v>2.1570317999999999</v>
      </c>
      <c r="D84" s="196">
        <v>0.15</v>
      </c>
      <c r="E84" s="196">
        <v>1.474</v>
      </c>
      <c r="F84" s="196">
        <v>1.4E-2</v>
      </c>
      <c r="G84" s="196">
        <v>0.57999999999999996</v>
      </c>
      <c r="H84" s="196">
        <v>0.32</v>
      </c>
      <c r="I84" s="203">
        <v>9.61</v>
      </c>
      <c r="J84" s="203">
        <v>3.13</v>
      </c>
      <c r="K84" s="203">
        <v>68.75</v>
      </c>
      <c r="L84" s="203">
        <v>146.84</v>
      </c>
      <c r="M84" s="203">
        <v>87.16</v>
      </c>
      <c r="N84" s="196"/>
    </row>
    <row r="85" spans="1:14" s="199" customFormat="1" x14ac:dyDescent="0.35">
      <c r="A85" s="195">
        <v>806579</v>
      </c>
      <c r="B85" s="196"/>
      <c r="C85" s="200">
        <v>2.0169648000000002</v>
      </c>
      <c r="D85" s="196">
        <v>0.15</v>
      </c>
      <c r="E85" s="196">
        <v>2.1429999999999998</v>
      </c>
      <c r="F85" s="196">
        <v>1.9E-2</v>
      </c>
      <c r="G85" s="196">
        <v>0.38</v>
      </c>
      <c r="H85" s="196">
        <v>0.23</v>
      </c>
      <c r="I85" s="203">
        <v>10.74</v>
      </c>
      <c r="J85" s="203">
        <v>3.19</v>
      </c>
      <c r="K85" s="203">
        <v>28.92</v>
      </c>
      <c r="L85" s="203">
        <v>160.06</v>
      </c>
      <c r="M85" s="203">
        <v>80.33</v>
      </c>
      <c r="N85" s="196"/>
    </row>
    <row r="86" spans="1:14" s="199" customFormat="1" x14ac:dyDescent="0.35">
      <c r="A86" s="195">
        <v>806580</v>
      </c>
      <c r="B86" s="196"/>
      <c r="C86" s="200">
        <v>2.1010050000000002</v>
      </c>
      <c r="D86" s="196">
        <v>0.18</v>
      </c>
      <c r="E86" s="196">
        <v>1.329</v>
      </c>
      <c r="F86" s="196">
        <v>2.1999999999999999E-2</v>
      </c>
      <c r="G86" s="196">
        <v>0.45</v>
      </c>
      <c r="H86" s="196">
        <v>0.24</v>
      </c>
      <c r="I86" s="203">
        <v>5.89</v>
      </c>
      <c r="J86" s="203">
        <v>1.57</v>
      </c>
      <c r="K86" s="203">
        <v>25.11</v>
      </c>
      <c r="L86" s="203">
        <v>126.95</v>
      </c>
      <c r="M86" s="203">
        <v>83.79</v>
      </c>
      <c r="N86" s="196"/>
    </row>
    <row r="87" spans="1:14" s="199" customFormat="1" x14ac:dyDescent="0.35">
      <c r="A87" s="195">
        <v>806581</v>
      </c>
      <c r="B87" s="196"/>
      <c r="C87" s="200">
        <v>2.0449782000000001</v>
      </c>
      <c r="D87" s="196">
        <v>0.13</v>
      </c>
      <c r="E87" s="196">
        <v>1.393</v>
      </c>
      <c r="F87" s="196">
        <v>1.6E-2</v>
      </c>
      <c r="G87" s="196">
        <v>0.56999999999999995</v>
      </c>
      <c r="H87" s="196">
        <v>0.37</v>
      </c>
      <c r="I87" s="203">
        <v>10.039999999999999</v>
      </c>
      <c r="J87" s="203">
        <v>3.32</v>
      </c>
      <c r="K87" s="203">
        <v>62.29</v>
      </c>
      <c r="L87" s="203">
        <v>219.98</v>
      </c>
      <c r="M87" s="203">
        <v>70.72</v>
      </c>
      <c r="N87" s="196"/>
    </row>
    <row r="88" spans="1:14" s="199" customFormat="1" x14ac:dyDescent="0.35">
      <c r="A88" s="195">
        <v>806582</v>
      </c>
      <c r="B88" s="196"/>
      <c r="C88" s="200">
        <v>1.9329246000000002</v>
      </c>
      <c r="D88" s="196">
        <v>0.13</v>
      </c>
      <c r="E88" s="196">
        <v>1.1060000000000001</v>
      </c>
      <c r="F88" s="196">
        <v>1.2999999999999999E-2</v>
      </c>
      <c r="G88" s="196">
        <v>0.51</v>
      </c>
      <c r="H88" s="196">
        <v>0.31</v>
      </c>
      <c r="I88" s="203">
        <v>7.54</v>
      </c>
      <c r="J88" s="203">
        <v>2.71</v>
      </c>
      <c r="K88" s="203">
        <v>43.98</v>
      </c>
      <c r="L88" s="203">
        <v>157.33000000000001</v>
      </c>
      <c r="M88" s="203">
        <v>72.38</v>
      </c>
      <c r="N88" s="196"/>
    </row>
    <row r="89" spans="1:14" s="199" customFormat="1" x14ac:dyDescent="0.35">
      <c r="A89" s="195">
        <v>806583</v>
      </c>
      <c r="B89" s="196"/>
      <c r="C89" s="200">
        <v>1.8768978000000001</v>
      </c>
      <c r="D89" s="196">
        <v>0.23</v>
      </c>
      <c r="E89" s="196">
        <v>1.732</v>
      </c>
      <c r="F89" s="196">
        <v>0.02</v>
      </c>
      <c r="G89" s="196">
        <v>0.55000000000000004</v>
      </c>
      <c r="H89" s="196">
        <v>0.3</v>
      </c>
      <c r="I89" s="203">
        <v>11.58</v>
      </c>
      <c r="J89" s="203">
        <v>3.57</v>
      </c>
      <c r="K89" s="203">
        <v>52.33</v>
      </c>
      <c r="L89" s="203">
        <v>202.78</v>
      </c>
      <c r="M89" s="203">
        <v>86.98</v>
      </c>
      <c r="N89" s="196"/>
    </row>
    <row r="90" spans="1:14" s="199" customFormat="1" x14ac:dyDescent="0.35">
      <c r="A90" s="195">
        <v>806584</v>
      </c>
      <c r="B90" s="196"/>
      <c r="C90" s="200">
        <v>1.8208709999999999</v>
      </c>
      <c r="D90" s="196">
        <v>0.13</v>
      </c>
      <c r="E90" s="196">
        <v>1.5860000000000001</v>
      </c>
      <c r="F90" s="196">
        <v>1.2E-2</v>
      </c>
      <c r="G90" s="196">
        <v>0.53</v>
      </c>
      <c r="H90" s="196">
        <v>0.28999999999999998</v>
      </c>
      <c r="I90" s="203">
        <v>8.48</v>
      </c>
      <c r="J90" s="203">
        <v>2.4300000000000002</v>
      </c>
      <c r="K90" s="203">
        <v>38.64</v>
      </c>
      <c r="L90" s="203">
        <v>208.17</v>
      </c>
      <c r="M90" s="203">
        <v>91.98</v>
      </c>
      <c r="N90" s="196"/>
    </row>
    <row r="91" spans="1:14" s="199" customFormat="1" x14ac:dyDescent="0.35">
      <c r="A91" s="195">
        <v>806585</v>
      </c>
      <c r="B91" s="196"/>
      <c r="C91" s="200">
        <v>2.8013400000000006</v>
      </c>
      <c r="D91" s="196">
        <v>0.13</v>
      </c>
      <c r="E91" s="196">
        <v>1.272</v>
      </c>
      <c r="F91" s="196">
        <v>1.9E-2</v>
      </c>
      <c r="G91" s="196">
        <v>0.63</v>
      </c>
      <c r="H91" s="196">
        <v>0.24</v>
      </c>
      <c r="I91" s="203">
        <v>10.67</v>
      </c>
      <c r="J91" s="203">
        <v>3.07</v>
      </c>
      <c r="K91" s="203">
        <v>61.52</v>
      </c>
      <c r="L91" s="203">
        <v>204.09</v>
      </c>
      <c r="M91" s="203">
        <v>57.01</v>
      </c>
      <c r="N91" s="196"/>
    </row>
    <row r="92" spans="1:14" s="199" customFormat="1" x14ac:dyDescent="0.35">
      <c r="A92" s="195">
        <v>806586</v>
      </c>
      <c r="B92" s="196"/>
      <c r="C92" s="200">
        <v>3.1375007999999998</v>
      </c>
      <c r="D92" s="196">
        <v>0.15</v>
      </c>
      <c r="E92" s="196">
        <v>2.39</v>
      </c>
      <c r="F92" s="196">
        <v>1.9E-2</v>
      </c>
      <c r="G92" s="196">
        <v>0.33</v>
      </c>
      <c r="H92" s="196">
        <v>0.19</v>
      </c>
      <c r="I92" s="203">
        <v>11.02</v>
      </c>
      <c r="J92" s="203">
        <v>3.64</v>
      </c>
      <c r="K92" s="203">
        <v>31.48</v>
      </c>
      <c r="L92" s="203">
        <v>97.72</v>
      </c>
      <c r="M92" s="203">
        <v>64.23</v>
      </c>
      <c r="N92" s="196"/>
    </row>
    <row r="93" spans="1:14" s="199" customFormat="1" x14ac:dyDescent="0.35">
      <c r="A93" s="195">
        <v>806587</v>
      </c>
      <c r="B93" s="196"/>
      <c r="C93" s="200">
        <v>4.1739966000000006</v>
      </c>
      <c r="D93" s="196">
        <v>0.19</v>
      </c>
      <c r="E93" s="196">
        <v>0.88</v>
      </c>
      <c r="F93" s="196">
        <v>7.0000000000000007E-2</v>
      </c>
      <c r="G93" s="196">
        <v>3.23</v>
      </c>
      <c r="H93" s="196">
        <v>0.25</v>
      </c>
      <c r="I93" s="203">
        <v>88.44</v>
      </c>
      <c r="J93" s="203">
        <v>5.44</v>
      </c>
      <c r="K93" s="203">
        <v>124.12</v>
      </c>
      <c r="L93" s="203">
        <v>202.85</v>
      </c>
      <c r="M93" s="203">
        <v>90.52</v>
      </c>
      <c r="N93" s="196"/>
    </row>
    <row r="94" spans="1:14" s="199" customFormat="1" x14ac:dyDescent="0.35">
      <c r="A94" s="195">
        <v>806588</v>
      </c>
      <c r="B94" s="196"/>
      <c r="C94" s="200">
        <v>3.5577018000000002</v>
      </c>
      <c r="D94" s="196">
        <v>0.15</v>
      </c>
      <c r="E94" s="196">
        <v>0.61</v>
      </c>
      <c r="F94" s="196">
        <v>0.06</v>
      </c>
      <c r="G94" s="196">
        <v>3.96</v>
      </c>
      <c r="H94" s="196">
        <v>0.5</v>
      </c>
      <c r="I94" s="203">
        <v>68.91</v>
      </c>
      <c r="J94" s="203">
        <v>10.68</v>
      </c>
      <c r="K94" s="203">
        <v>97.04</v>
      </c>
      <c r="L94" s="203">
        <v>243.59</v>
      </c>
      <c r="M94" s="203">
        <v>58.16</v>
      </c>
      <c r="N94" s="196"/>
    </row>
    <row r="95" spans="1:14" s="199" customFormat="1" x14ac:dyDescent="0.35">
      <c r="A95" s="195">
        <v>806589</v>
      </c>
      <c r="B95" s="196"/>
      <c r="C95" s="200">
        <v>3.4736615999999998</v>
      </c>
      <c r="D95" s="196">
        <v>0.09</v>
      </c>
      <c r="E95" s="196">
        <v>0.97</v>
      </c>
      <c r="F95" s="196">
        <v>0.04</v>
      </c>
      <c r="G95" s="196">
        <v>5.05</v>
      </c>
      <c r="H95" s="196">
        <v>0.43</v>
      </c>
      <c r="I95" s="203">
        <v>46.53</v>
      </c>
      <c r="J95" s="203">
        <v>4.96</v>
      </c>
      <c r="K95" s="203">
        <v>30.48</v>
      </c>
      <c r="L95" s="203">
        <v>155.09</v>
      </c>
      <c r="M95" s="203">
        <v>26.42</v>
      </c>
      <c r="N95" s="196"/>
    </row>
    <row r="96" spans="1:14" s="199" customFormat="1" x14ac:dyDescent="0.35">
      <c r="A96" s="195">
        <v>806590</v>
      </c>
      <c r="B96" s="196"/>
      <c r="C96" s="200">
        <v>3.4176348000000005</v>
      </c>
      <c r="D96" s="196">
        <v>0.12</v>
      </c>
      <c r="E96" s="196">
        <v>0.9</v>
      </c>
      <c r="F96" s="196">
        <v>7.0000000000000007E-2</v>
      </c>
      <c r="G96" s="196">
        <v>4.0599999999999996</v>
      </c>
      <c r="H96" s="196">
        <v>0.53</v>
      </c>
      <c r="I96" s="203">
        <v>74.87</v>
      </c>
      <c r="J96" s="203">
        <v>8.24</v>
      </c>
      <c r="K96" s="203">
        <v>61.3</v>
      </c>
      <c r="L96" s="203">
        <v>182.17</v>
      </c>
      <c r="M96" s="203">
        <v>80.25</v>
      </c>
      <c r="N96" s="196"/>
    </row>
    <row r="97" spans="1:14" s="199" customFormat="1" x14ac:dyDescent="0.35">
      <c r="A97" s="195">
        <v>806591</v>
      </c>
      <c r="B97" s="196"/>
      <c r="C97" s="200">
        <v>3.6977688</v>
      </c>
      <c r="D97" s="196">
        <v>0.09</v>
      </c>
      <c r="E97" s="196">
        <v>1.04</v>
      </c>
      <c r="F97" s="196">
        <v>0.05</v>
      </c>
      <c r="G97" s="196">
        <v>7.45</v>
      </c>
      <c r="H97" s="196">
        <v>0.42</v>
      </c>
      <c r="I97" s="203">
        <v>54.99</v>
      </c>
      <c r="J97" s="203">
        <v>6.09</v>
      </c>
      <c r="K97" s="203">
        <v>51.08</v>
      </c>
      <c r="L97" s="203">
        <v>151.61000000000001</v>
      </c>
      <c r="M97" s="203">
        <v>33.299999999999997</v>
      </c>
      <c r="N97" s="196"/>
    </row>
    <row r="98" spans="1:14" s="199" customFormat="1" x14ac:dyDescent="0.35">
      <c r="A98" s="195">
        <v>806592</v>
      </c>
      <c r="B98" s="196"/>
      <c r="C98" s="200">
        <v>3.6137285999999995</v>
      </c>
      <c r="D98" s="196">
        <v>0.09</v>
      </c>
      <c r="E98" s="196">
        <v>0.93</v>
      </c>
      <c r="F98" s="196">
        <v>0.04</v>
      </c>
      <c r="G98" s="196">
        <v>7.44</v>
      </c>
      <c r="H98" s="196">
        <v>0.41</v>
      </c>
      <c r="I98" s="203">
        <v>10.47</v>
      </c>
      <c r="J98" s="203">
        <v>6.06</v>
      </c>
      <c r="K98" s="203">
        <v>14.75</v>
      </c>
      <c r="L98" s="203">
        <v>127.19</v>
      </c>
      <c r="M98" s="203">
        <v>42.99</v>
      </c>
      <c r="N98" s="196"/>
    </row>
    <row r="99" spans="1:14" s="199" customFormat="1" x14ac:dyDescent="0.35">
      <c r="A99" s="195">
        <v>806593</v>
      </c>
      <c r="B99" s="196"/>
      <c r="C99" s="200">
        <v>3.4456481999999999</v>
      </c>
      <c r="D99" s="196">
        <v>0.13</v>
      </c>
      <c r="E99" s="196">
        <v>0.56000000000000005</v>
      </c>
      <c r="F99" s="196">
        <v>0.08</v>
      </c>
      <c r="G99" s="196">
        <v>5.61</v>
      </c>
      <c r="H99" s="196">
        <v>0.59</v>
      </c>
      <c r="I99" s="203">
        <v>59.85</v>
      </c>
      <c r="J99" s="203">
        <v>11.14</v>
      </c>
      <c r="K99" s="203">
        <v>55.65</v>
      </c>
      <c r="L99" s="203">
        <v>199.19</v>
      </c>
      <c r="M99" s="203">
        <v>65.05</v>
      </c>
      <c r="N99" s="196"/>
    </row>
    <row r="100" spans="1:14" s="199" customFormat="1" x14ac:dyDescent="0.35">
      <c r="A100" s="195">
        <v>806594</v>
      </c>
      <c r="B100" s="196"/>
      <c r="C100" s="200">
        <v>3.3335946000000001</v>
      </c>
      <c r="D100" s="196">
        <v>0.11</v>
      </c>
      <c r="E100" s="196">
        <v>0.92</v>
      </c>
      <c r="F100" s="196">
        <v>0.06</v>
      </c>
      <c r="G100" s="196">
        <v>3.8</v>
      </c>
      <c r="H100" s="196">
        <v>0.47</v>
      </c>
      <c r="I100" s="203">
        <v>86.55</v>
      </c>
      <c r="J100" s="203">
        <v>20.59</v>
      </c>
      <c r="K100" s="203">
        <v>103.73</v>
      </c>
      <c r="L100" s="203">
        <v>216.17</v>
      </c>
      <c r="M100" s="203">
        <v>38.369999999999997</v>
      </c>
      <c r="N100" s="196"/>
    </row>
    <row r="101" spans="1:14" s="199" customFormat="1" x14ac:dyDescent="0.35">
      <c r="A101" s="195">
        <v>806595</v>
      </c>
      <c r="B101" s="196"/>
      <c r="C101" s="200">
        <v>3.8378357999999997</v>
      </c>
      <c r="D101" s="196">
        <v>0.09</v>
      </c>
      <c r="E101" s="196">
        <v>0.72</v>
      </c>
      <c r="F101" s="196">
        <v>0.05</v>
      </c>
      <c r="G101" s="196">
        <v>6.12</v>
      </c>
      <c r="H101" s="196">
        <v>0.38</v>
      </c>
      <c r="I101" s="203">
        <v>46.76</v>
      </c>
      <c r="J101" s="203">
        <v>3.21</v>
      </c>
      <c r="K101" s="203">
        <v>52.31</v>
      </c>
      <c r="L101" s="203">
        <v>140.31</v>
      </c>
      <c r="M101" s="203">
        <v>49.13</v>
      </c>
      <c r="N101" s="196"/>
    </row>
    <row r="102" spans="1:14" s="199" customFormat="1" x14ac:dyDescent="0.35">
      <c r="A102" s="195">
        <v>806596</v>
      </c>
      <c r="B102" s="196"/>
      <c r="C102" s="200">
        <v>3.5577018000000002</v>
      </c>
      <c r="D102" s="196">
        <v>0.14000000000000001</v>
      </c>
      <c r="E102" s="196">
        <v>0.95</v>
      </c>
      <c r="F102" s="196">
        <v>0.05</v>
      </c>
      <c r="G102" s="196">
        <v>5.31</v>
      </c>
      <c r="H102" s="196">
        <v>0.35</v>
      </c>
      <c r="I102" s="203">
        <v>14.63</v>
      </c>
      <c r="J102" s="203">
        <v>3.83</v>
      </c>
      <c r="K102" s="203">
        <v>42.68</v>
      </c>
      <c r="L102" s="203">
        <v>251.01</v>
      </c>
      <c r="M102" s="203">
        <v>86.7</v>
      </c>
      <c r="N102" s="196"/>
    </row>
    <row r="103" spans="1:14" s="199" customFormat="1" x14ac:dyDescent="0.35">
      <c r="A103" s="195">
        <v>806597</v>
      </c>
      <c r="B103" s="196"/>
      <c r="C103" s="200">
        <v>3.39</v>
      </c>
      <c r="D103" s="196">
        <v>0.15</v>
      </c>
      <c r="E103" s="196">
        <v>0.86</v>
      </c>
      <c r="F103" s="196">
        <v>0.08</v>
      </c>
      <c r="G103" s="196">
        <v>2.79</v>
      </c>
      <c r="H103" s="196">
        <v>0.46</v>
      </c>
      <c r="I103" s="203">
        <v>47.99</v>
      </c>
      <c r="J103" s="203">
        <v>14.94</v>
      </c>
      <c r="K103" s="203">
        <v>43.88</v>
      </c>
      <c r="L103" s="203">
        <v>256.06</v>
      </c>
      <c r="M103" s="203">
        <v>95.49</v>
      </c>
      <c r="N103" s="196"/>
    </row>
    <row r="104" spans="1:14" s="199" customFormat="1" x14ac:dyDescent="0.35">
      <c r="A104" s="195">
        <v>806598</v>
      </c>
      <c r="B104" s="196"/>
      <c r="C104" s="200">
        <v>3.98</v>
      </c>
      <c r="D104" s="196">
        <v>0.15</v>
      </c>
      <c r="E104" s="196">
        <v>0.86</v>
      </c>
      <c r="F104" s="196">
        <v>0.08</v>
      </c>
      <c r="G104" s="196">
        <v>2.79</v>
      </c>
      <c r="H104" s="196">
        <v>0.46</v>
      </c>
      <c r="I104" s="203">
        <v>21.24</v>
      </c>
      <c r="J104" s="203">
        <v>7.18</v>
      </c>
      <c r="K104" s="203">
        <v>43.68</v>
      </c>
      <c r="L104" s="203">
        <v>432.05</v>
      </c>
      <c r="M104" s="203">
        <v>100.89</v>
      </c>
      <c r="N104" s="196"/>
    </row>
    <row r="105" spans="1:14" s="199" customFormat="1" x14ac:dyDescent="0.35">
      <c r="A105" s="195">
        <v>806599</v>
      </c>
      <c r="B105" s="196"/>
      <c r="C105" s="200">
        <v>4.3981038000000012</v>
      </c>
      <c r="D105" s="196">
        <v>0.23</v>
      </c>
      <c r="E105" s="196">
        <v>2.31</v>
      </c>
      <c r="F105" s="196">
        <v>0.03</v>
      </c>
      <c r="G105" s="196">
        <v>6.6</v>
      </c>
      <c r="H105" s="196">
        <v>0.75</v>
      </c>
      <c r="I105" s="203">
        <v>199.77</v>
      </c>
      <c r="J105" s="203">
        <v>6.74</v>
      </c>
      <c r="K105" s="203">
        <v>189.56</v>
      </c>
      <c r="L105" s="203">
        <v>0.28000000000000003</v>
      </c>
      <c r="M105" s="203"/>
      <c r="N105" s="196"/>
    </row>
    <row r="106" spans="1:14" s="199" customFormat="1" x14ac:dyDescent="0.35">
      <c r="A106" s="195">
        <v>806600</v>
      </c>
      <c r="B106" s="196"/>
      <c r="C106" s="200">
        <v>3.6137286000000004</v>
      </c>
      <c r="D106" s="196">
        <v>0.39</v>
      </c>
      <c r="E106" s="196">
        <v>2.4</v>
      </c>
      <c r="F106" s="196">
        <v>0.04</v>
      </c>
      <c r="G106" s="196">
        <v>1.97</v>
      </c>
      <c r="H106" s="196">
        <v>0.48</v>
      </c>
      <c r="I106" s="203">
        <v>16.37</v>
      </c>
      <c r="J106" s="203">
        <v>7.11</v>
      </c>
      <c r="K106" s="203">
        <v>44.99</v>
      </c>
      <c r="L106" s="203">
        <v>73.540000000000006</v>
      </c>
      <c r="M106" s="203"/>
      <c r="N106" s="196"/>
    </row>
    <row r="107" spans="1:14" s="199" customFormat="1" x14ac:dyDescent="0.35">
      <c r="A107" s="195">
        <v>806601</v>
      </c>
      <c r="B107" s="196"/>
      <c r="C107" s="200">
        <v>3.1094873999999999</v>
      </c>
      <c r="D107" s="196">
        <v>0.19</v>
      </c>
      <c r="E107" s="196">
        <v>3.06</v>
      </c>
      <c r="F107" s="196">
        <v>0.21</v>
      </c>
      <c r="G107" s="196">
        <v>3.06</v>
      </c>
      <c r="H107" s="196">
        <v>0.48</v>
      </c>
      <c r="I107" s="203">
        <v>54.71</v>
      </c>
      <c r="J107" s="203">
        <v>4.3499999999999996</v>
      </c>
      <c r="K107" s="203">
        <v>61.51</v>
      </c>
      <c r="L107" s="203">
        <v>78.150000000000006</v>
      </c>
      <c r="M107" s="203">
        <v>38.270000000000003</v>
      </c>
      <c r="N107" s="196"/>
    </row>
    <row r="108" spans="1:14" s="199" customFormat="1" x14ac:dyDescent="0.35">
      <c r="A108" s="195">
        <v>806602</v>
      </c>
      <c r="B108" s="196"/>
      <c r="C108" s="200">
        <v>3.8098224000000003</v>
      </c>
      <c r="D108" s="196">
        <v>0.22</v>
      </c>
      <c r="E108" s="196">
        <v>3.2</v>
      </c>
      <c r="F108" s="196">
        <v>0.32</v>
      </c>
      <c r="G108" s="196">
        <v>2.59</v>
      </c>
      <c r="H108" s="196">
        <v>0.52</v>
      </c>
      <c r="I108" s="203">
        <v>69.69</v>
      </c>
      <c r="J108" s="203">
        <v>5.8</v>
      </c>
      <c r="K108" s="203">
        <v>66.31</v>
      </c>
      <c r="L108" s="203">
        <v>161.21</v>
      </c>
      <c r="M108" s="203">
        <v>42.87</v>
      </c>
      <c r="N108" s="196"/>
    </row>
    <row r="109" spans="1:14" s="199" customFormat="1" x14ac:dyDescent="0.35">
      <c r="A109" s="195">
        <v>806603</v>
      </c>
      <c r="B109" s="196"/>
      <c r="C109" s="200">
        <v>5.0704254000000004</v>
      </c>
      <c r="D109" s="196">
        <v>0.4</v>
      </c>
      <c r="E109" s="196">
        <v>4.1399999999999997</v>
      </c>
      <c r="F109" s="196">
        <v>0.33</v>
      </c>
      <c r="G109" s="196">
        <v>2.4500000000000002</v>
      </c>
      <c r="H109" s="196">
        <v>0.78</v>
      </c>
      <c r="I109" s="203">
        <v>64.069999999999993</v>
      </c>
      <c r="J109" s="203">
        <v>9.59</v>
      </c>
      <c r="K109" s="203">
        <v>74.239999999999995</v>
      </c>
      <c r="L109" s="203">
        <v>124.88</v>
      </c>
      <c r="M109" s="203">
        <v>55.95</v>
      </c>
      <c r="N109" s="196"/>
    </row>
    <row r="110" spans="1:14" s="199" customFormat="1" x14ac:dyDescent="0.35">
      <c r="A110" s="195">
        <v>806604</v>
      </c>
      <c r="B110" s="196"/>
      <c r="C110" s="200">
        <v>5.2945326000000019</v>
      </c>
      <c r="D110" s="196">
        <v>0.37</v>
      </c>
      <c r="E110" s="196">
        <v>4.49</v>
      </c>
      <c r="F110" s="196">
        <v>0.24</v>
      </c>
      <c r="G110" s="196">
        <v>2.65</v>
      </c>
      <c r="H110" s="196">
        <v>0.66</v>
      </c>
      <c r="I110" s="203">
        <v>16.61</v>
      </c>
      <c r="J110" s="203">
        <v>11.1</v>
      </c>
      <c r="K110" s="203">
        <v>52.74</v>
      </c>
      <c r="L110" s="203">
        <v>101.02</v>
      </c>
      <c r="M110" s="203">
        <v>41.04</v>
      </c>
      <c r="N110" s="196"/>
    </row>
    <row r="111" spans="1:14" s="199" customFormat="1" x14ac:dyDescent="0.35">
      <c r="A111" s="195">
        <v>806605</v>
      </c>
      <c r="B111" s="196"/>
      <c r="C111" s="200">
        <v>5.4345996000000003</v>
      </c>
      <c r="D111" s="196">
        <v>0.36</v>
      </c>
      <c r="E111" s="196">
        <v>4.2699999999999996</v>
      </c>
      <c r="F111" s="196">
        <v>0.18</v>
      </c>
      <c r="G111" s="196">
        <v>2.2400000000000002</v>
      </c>
      <c r="H111" s="196">
        <v>0.51</v>
      </c>
      <c r="I111" s="203">
        <v>22.09</v>
      </c>
      <c r="J111" s="203">
        <v>11.95</v>
      </c>
      <c r="K111" s="203">
        <v>43.25</v>
      </c>
      <c r="L111" s="203">
        <v>142.36000000000001</v>
      </c>
      <c r="M111" s="203">
        <v>38.29</v>
      </c>
      <c r="N111" s="196"/>
    </row>
    <row r="112" spans="1:14" s="199" customFormat="1" x14ac:dyDescent="0.35">
      <c r="A112" s="195">
        <v>806606</v>
      </c>
      <c r="B112" s="196"/>
      <c r="C112" s="200">
        <v>3.3616080000000004</v>
      </c>
      <c r="D112" s="196">
        <v>0.11</v>
      </c>
      <c r="E112" s="196">
        <v>1.34</v>
      </c>
      <c r="F112" s="196">
        <v>0.04</v>
      </c>
      <c r="G112" s="196">
        <v>4.88</v>
      </c>
      <c r="H112" s="196">
        <v>0.27</v>
      </c>
      <c r="I112" s="203">
        <v>16.75</v>
      </c>
      <c r="J112" s="203">
        <v>2.5299999999999998</v>
      </c>
      <c r="K112" s="203">
        <v>56.87</v>
      </c>
      <c r="L112" s="203">
        <v>372.52</v>
      </c>
      <c r="M112" s="203">
        <v>77</v>
      </c>
      <c r="N112" s="196"/>
    </row>
    <row r="113" spans="1:14" s="199" customFormat="1" x14ac:dyDescent="0.35">
      <c r="A113" s="195">
        <v>806607</v>
      </c>
      <c r="B113" s="196"/>
      <c r="C113" s="196">
        <v>3.17</v>
      </c>
      <c r="D113" s="196">
        <v>0.77</v>
      </c>
      <c r="E113" s="196">
        <v>4.53</v>
      </c>
      <c r="F113" s="196">
        <v>0.09</v>
      </c>
      <c r="G113" s="196">
        <v>1.17</v>
      </c>
      <c r="H113" s="196">
        <v>0.38</v>
      </c>
      <c r="I113" s="203">
        <v>18.91</v>
      </c>
      <c r="J113" s="203">
        <v>2.4700000000000002</v>
      </c>
      <c r="K113" s="203">
        <v>445.09</v>
      </c>
      <c r="L113" s="203">
        <v>116.95</v>
      </c>
      <c r="M113" s="203">
        <v>123.86</v>
      </c>
      <c r="N113" s="196"/>
    </row>
    <row r="114" spans="1:14" s="199" customFormat="1" x14ac:dyDescent="0.35">
      <c r="A114" s="195">
        <v>806608</v>
      </c>
      <c r="B114" s="196"/>
      <c r="C114" s="196">
        <v>3.22</v>
      </c>
      <c r="D114" s="196">
        <v>0.8</v>
      </c>
      <c r="E114" s="196">
        <v>3.99</v>
      </c>
      <c r="F114" s="196">
        <v>7.0000000000000007E-2</v>
      </c>
      <c r="G114" s="196">
        <v>0.92</v>
      </c>
      <c r="H114" s="196">
        <v>0.28999999999999998</v>
      </c>
      <c r="I114" s="203">
        <v>17.36</v>
      </c>
      <c r="J114" s="203">
        <v>1.91</v>
      </c>
      <c r="K114" s="203">
        <v>285.94</v>
      </c>
      <c r="L114" s="203">
        <v>99.39</v>
      </c>
      <c r="M114" s="203">
        <v>50.3</v>
      </c>
      <c r="N114" s="196"/>
    </row>
    <row r="115" spans="1:14" s="199" customFormat="1" x14ac:dyDescent="0.35">
      <c r="A115" s="195">
        <v>806609</v>
      </c>
      <c r="B115" s="196"/>
      <c r="C115" s="196">
        <v>2.69</v>
      </c>
      <c r="D115" s="196">
        <v>1.03</v>
      </c>
      <c r="E115" s="196">
        <v>5.2</v>
      </c>
      <c r="F115" s="196">
        <v>0.1</v>
      </c>
      <c r="G115" s="196">
        <v>1.48</v>
      </c>
      <c r="H115" s="196">
        <v>0.43</v>
      </c>
      <c r="I115" s="203">
        <v>23.04</v>
      </c>
      <c r="J115" s="203">
        <v>2.2799999999999998</v>
      </c>
      <c r="K115" s="203">
        <v>374.77</v>
      </c>
      <c r="L115" s="203">
        <v>161.79</v>
      </c>
      <c r="M115" s="203">
        <v>179.29</v>
      </c>
      <c r="N115" s="196"/>
    </row>
    <row r="116" spans="1:14" s="199" customFormat="1" x14ac:dyDescent="0.35">
      <c r="A116" s="195">
        <v>806610</v>
      </c>
      <c r="B116" s="196"/>
      <c r="C116" s="196">
        <v>4.2300000000000004</v>
      </c>
      <c r="D116" s="196">
        <v>0.56999999999999995</v>
      </c>
      <c r="E116" s="196">
        <v>2.57</v>
      </c>
      <c r="F116" s="196">
        <v>0.06</v>
      </c>
      <c r="G116" s="196">
        <v>0.61</v>
      </c>
      <c r="H116" s="196">
        <v>0.21</v>
      </c>
      <c r="I116" s="203">
        <v>13.63</v>
      </c>
      <c r="J116" s="203">
        <v>2.75</v>
      </c>
      <c r="K116" s="203">
        <v>461.43</v>
      </c>
      <c r="L116" s="203">
        <v>86.3</v>
      </c>
      <c r="M116" s="203">
        <v>64.81</v>
      </c>
      <c r="N116" s="196"/>
    </row>
    <row r="117" spans="1:14" s="199" customFormat="1" x14ac:dyDescent="0.35">
      <c r="A117" s="195">
        <v>806611</v>
      </c>
      <c r="B117" s="196"/>
      <c r="C117" s="196">
        <v>4.26</v>
      </c>
      <c r="D117" s="196">
        <v>0.83</v>
      </c>
      <c r="E117" s="196">
        <v>2.96</v>
      </c>
      <c r="F117" s="196">
        <v>0.06</v>
      </c>
      <c r="G117" s="196">
        <v>0.66</v>
      </c>
      <c r="H117" s="196">
        <v>0.22</v>
      </c>
      <c r="I117" s="203">
        <v>12.71</v>
      </c>
      <c r="J117" s="203">
        <v>1.87</v>
      </c>
      <c r="K117" s="203">
        <v>504.64</v>
      </c>
      <c r="L117" s="203">
        <v>111.03</v>
      </c>
      <c r="M117" s="203">
        <v>70.06</v>
      </c>
      <c r="N117" s="196"/>
    </row>
    <row r="118" spans="1:14" s="199" customFormat="1" x14ac:dyDescent="0.35">
      <c r="A118" s="195">
        <v>806612</v>
      </c>
      <c r="B118" s="196"/>
      <c r="C118" s="196">
        <v>2.69</v>
      </c>
      <c r="D118" s="196">
        <v>0.69</v>
      </c>
      <c r="E118" s="196">
        <v>3.91</v>
      </c>
      <c r="F118" s="196">
        <v>0.06</v>
      </c>
      <c r="G118" s="196">
        <v>1.1599999999999999</v>
      </c>
      <c r="H118" s="196">
        <v>0.36</v>
      </c>
      <c r="I118" s="203">
        <v>15.66</v>
      </c>
      <c r="J118" s="203">
        <v>1.91</v>
      </c>
      <c r="K118" s="203">
        <v>319.11</v>
      </c>
      <c r="L118" s="203">
        <v>143.37</v>
      </c>
      <c r="M118" s="203">
        <v>86.44</v>
      </c>
      <c r="N118" s="196"/>
    </row>
    <row r="119" spans="1:14" s="199" customFormat="1" x14ac:dyDescent="0.35">
      <c r="A119" s="195">
        <v>806613</v>
      </c>
      <c r="B119" s="196"/>
      <c r="C119" s="196">
        <v>3.31</v>
      </c>
      <c r="D119" s="196">
        <v>0.51</v>
      </c>
      <c r="E119" s="196">
        <v>3.63</v>
      </c>
      <c r="F119" s="196">
        <v>0.1</v>
      </c>
      <c r="G119" s="196">
        <v>1.03</v>
      </c>
      <c r="H119" s="196">
        <v>0.33</v>
      </c>
      <c r="I119" s="203">
        <v>26.07</v>
      </c>
      <c r="J119" s="203">
        <v>5.3</v>
      </c>
      <c r="K119" s="203">
        <v>270.39</v>
      </c>
      <c r="L119" s="203">
        <v>153.47</v>
      </c>
      <c r="M119" s="203">
        <v>68.569999999999993</v>
      </c>
      <c r="N119" s="196"/>
    </row>
    <row r="120" spans="1:14" s="199" customFormat="1" x14ac:dyDescent="0.35">
      <c r="A120" s="195">
        <v>806614</v>
      </c>
      <c r="B120" s="196"/>
      <c r="C120" s="196">
        <v>3.31</v>
      </c>
      <c r="D120" s="196">
        <v>0.66</v>
      </c>
      <c r="E120" s="196">
        <v>3.48</v>
      </c>
      <c r="F120" s="196">
        <v>7.0000000000000007E-2</v>
      </c>
      <c r="G120" s="196">
        <v>0.74</v>
      </c>
      <c r="H120" s="196">
        <v>0.25</v>
      </c>
      <c r="I120" s="203">
        <v>17.350000000000001</v>
      </c>
      <c r="J120" s="203">
        <v>0.56999999999999995</v>
      </c>
      <c r="K120" s="203">
        <v>246.12</v>
      </c>
      <c r="L120" s="203">
        <v>85.65</v>
      </c>
      <c r="M120" s="203">
        <v>38.5</v>
      </c>
      <c r="N120" s="196"/>
    </row>
    <row r="121" spans="1:14" s="199" customFormat="1" x14ac:dyDescent="0.35">
      <c r="A121" s="195">
        <v>806615</v>
      </c>
      <c r="B121" s="196"/>
      <c r="C121" s="196">
        <v>3.45</v>
      </c>
      <c r="D121" s="196">
        <v>0.61</v>
      </c>
      <c r="E121" s="196">
        <v>3.24</v>
      </c>
      <c r="F121" s="196">
        <v>0.05</v>
      </c>
      <c r="G121" s="196">
        <v>0.54</v>
      </c>
      <c r="H121" s="196">
        <v>0.18</v>
      </c>
      <c r="I121" s="203">
        <v>10.94</v>
      </c>
      <c r="J121" s="203">
        <v>0.4</v>
      </c>
      <c r="K121" s="203">
        <v>197.8</v>
      </c>
      <c r="L121" s="203">
        <v>76.28</v>
      </c>
      <c r="M121" s="203">
        <v>62.8</v>
      </c>
      <c r="N121" s="196"/>
    </row>
    <row r="122" spans="1:14" s="199" customFormat="1" x14ac:dyDescent="0.35">
      <c r="A122" s="195">
        <v>806616</v>
      </c>
      <c r="B122" s="196"/>
      <c r="C122" s="196">
        <v>3.87</v>
      </c>
      <c r="D122" s="196">
        <v>0.68</v>
      </c>
      <c r="E122" s="196">
        <v>3.04</v>
      </c>
      <c r="F122" s="196">
        <v>0.06</v>
      </c>
      <c r="G122" s="196">
        <v>0.8</v>
      </c>
      <c r="H122" s="196">
        <v>0.23</v>
      </c>
      <c r="I122" s="203">
        <v>16.940000000000001</v>
      </c>
      <c r="J122" s="203">
        <v>2.73</v>
      </c>
      <c r="K122" s="203">
        <v>633.04</v>
      </c>
      <c r="L122" s="203">
        <v>97.69</v>
      </c>
      <c r="M122" s="203">
        <v>98.24</v>
      </c>
      <c r="N122" s="196"/>
    </row>
    <row r="123" spans="1:14" s="199" customFormat="1" x14ac:dyDescent="0.35">
      <c r="A123" s="195">
        <v>806617</v>
      </c>
      <c r="B123" s="196"/>
      <c r="C123" s="196">
        <v>3.59</v>
      </c>
      <c r="D123" s="196">
        <v>0.54</v>
      </c>
      <c r="E123" s="196">
        <v>3.89</v>
      </c>
      <c r="F123" s="196">
        <v>0.1</v>
      </c>
      <c r="G123" s="196">
        <v>0.98</v>
      </c>
      <c r="H123" s="196">
        <v>0.34</v>
      </c>
      <c r="I123" s="203">
        <v>23.47</v>
      </c>
      <c r="J123" s="203">
        <v>1.44</v>
      </c>
      <c r="K123" s="203">
        <v>275.02</v>
      </c>
      <c r="L123" s="203">
        <v>95.96</v>
      </c>
      <c r="M123" s="203">
        <v>90.45</v>
      </c>
      <c r="N123" s="196"/>
    </row>
    <row r="124" spans="1:14" s="199" customFormat="1" x14ac:dyDescent="0.35">
      <c r="A124" s="195">
        <v>806618</v>
      </c>
      <c r="B124" s="196"/>
      <c r="C124" s="196">
        <v>2.94</v>
      </c>
      <c r="D124" s="196">
        <v>0.69</v>
      </c>
      <c r="E124" s="196">
        <v>3.6</v>
      </c>
      <c r="F124" s="196">
        <v>0.08</v>
      </c>
      <c r="G124" s="196">
        <v>0.92</v>
      </c>
      <c r="H124" s="196">
        <v>0.28999999999999998</v>
      </c>
      <c r="I124" s="203">
        <v>22.36</v>
      </c>
      <c r="J124" s="203">
        <v>1.48</v>
      </c>
      <c r="K124" s="203">
        <v>159.16</v>
      </c>
      <c r="L124" s="203">
        <v>95.01</v>
      </c>
      <c r="M124" s="203">
        <v>53.53</v>
      </c>
      <c r="N124" s="196"/>
    </row>
    <row r="125" spans="1:14" s="199" customFormat="1" x14ac:dyDescent="0.35">
      <c r="A125" s="195">
        <v>806619</v>
      </c>
      <c r="B125" s="196"/>
      <c r="C125" s="196">
        <v>4.57</v>
      </c>
      <c r="D125" s="196">
        <v>1.06</v>
      </c>
      <c r="E125" s="196">
        <v>3.52</v>
      </c>
      <c r="F125" s="196">
        <v>0.06</v>
      </c>
      <c r="G125" s="196">
        <v>0.73</v>
      </c>
      <c r="H125" s="196">
        <v>0.23</v>
      </c>
      <c r="I125" s="203">
        <v>14.11</v>
      </c>
      <c r="J125" s="203">
        <v>1.71</v>
      </c>
      <c r="K125" s="203">
        <v>847.67</v>
      </c>
      <c r="L125" s="203">
        <v>95.4</v>
      </c>
      <c r="M125" s="203">
        <v>72.13</v>
      </c>
      <c r="N125" s="196"/>
    </row>
    <row r="126" spans="1:14" s="199" customFormat="1" x14ac:dyDescent="0.35">
      <c r="A126" s="195">
        <v>806620</v>
      </c>
      <c r="B126" s="196"/>
      <c r="C126" s="196">
        <v>4.62</v>
      </c>
      <c r="D126" s="196">
        <v>0.76</v>
      </c>
      <c r="E126" s="196">
        <v>3</v>
      </c>
      <c r="F126" s="196">
        <v>0.05</v>
      </c>
      <c r="G126" s="196">
        <v>0.71</v>
      </c>
      <c r="H126" s="196">
        <v>0.21</v>
      </c>
      <c r="I126" s="203">
        <v>17.86</v>
      </c>
      <c r="J126" s="203">
        <v>2.11</v>
      </c>
      <c r="K126" s="203">
        <v>590.67999999999995</v>
      </c>
      <c r="L126" s="203">
        <v>100.21</v>
      </c>
      <c r="M126" s="203">
        <v>51.89</v>
      </c>
      <c r="N126" s="196"/>
    </row>
    <row r="127" spans="1:14" s="199" customFormat="1" x14ac:dyDescent="0.35">
      <c r="A127" s="195">
        <v>806621</v>
      </c>
      <c r="B127" s="196"/>
      <c r="C127" s="196">
        <v>2.89</v>
      </c>
      <c r="D127" s="196">
        <v>0.51</v>
      </c>
      <c r="E127" s="196">
        <v>3.27</v>
      </c>
      <c r="F127" s="196">
        <v>0.05</v>
      </c>
      <c r="G127" s="196">
        <v>0.79</v>
      </c>
      <c r="H127" s="196">
        <v>0.28000000000000003</v>
      </c>
      <c r="I127" s="203">
        <v>14.27</v>
      </c>
      <c r="J127" s="203">
        <v>2.06</v>
      </c>
      <c r="K127" s="203">
        <v>212.47</v>
      </c>
      <c r="L127" s="203">
        <v>114.43</v>
      </c>
      <c r="M127" s="203">
        <v>84.51</v>
      </c>
      <c r="N127" s="196"/>
    </row>
    <row r="128" spans="1:14" s="199" customFormat="1" x14ac:dyDescent="0.35">
      <c r="A128" s="195">
        <v>806622</v>
      </c>
      <c r="B128" s="196"/>
      <c r="C128" s="196">
        <v>3.03</v>
      </c>
      <c r="D128" s="196">
        <v>0.56999999999999995</v>
      </c>
      <c r="E128" s="196">
        <v>3.33</v>
      </c>
      <c r="F128" s="196">
        <v>7.0000000000000007E-2</v>
      </c>
      <c r="G128" s="196">
        <v>0.9</v>
      </c>
      <c r="H128" s="196">
        <v>0.28999999999999998</v>
      </c>
      <c r="I128" s="203">
        <v>22.9</v>
      </c>
      <c r="J128" s="203">
        <v>1.94</v>
      </c>
      <c r="K128" s="203">
        <v>129.38999999999999</v>
      </c>
      <c r="L128" s="203">
        <v>116.46</v>
      </c>
      <c r="M128" s="203">
        <v>54.04</v>
      </c>
      <c r="N128" s="196"/>
    </row>
    <row r="129" spans="1:14" s="199" customFormat="1" x14ac:dyDescent="0.35">
      <c r="A129" s="195">
        <v>806623</v>
      </c>
      <c r="B129" s="196"/>
      <c r="C129" s="196">
        <v>3.81</v>
      </c>
      <c r="D129" s="196">
        <v>0.71</v>
      </c>
      <c r="E129" s="196">
        <v>3.05</v>
      </c>
      <c r="F129" s="196">
        <v>0.05</v>
      </c>
      <c r="G129" s="196">
        <v>0.65</v>
      </c>
      <c r="H129" s="196">
        <v>0.23</v>
      </c>
      <c r="I129" s="203">
        <v>1.1299999999999999</v>
      </c>
      <c r="J129" s="203">
        <v>1.51</v>
      </c>
      <c r="K129" s="203">
        <v>281.5</v>
      </c>
      <c r="L129" s="203">
        <v>103.47</v>
      </c>
      <c r="M129" s="203">
        <v>88.44</v>
      </c>
      <c r="N129" s="196"/>
    </row>
    <row r="130" spans="1:14" s="199" customFormat="1" x14ac:dyDescent="0.35">
      <c r="A130" s="195">
        <v>806624</v>
      </c>
      <c r="B130" s="196"/>
      <c r="C130" s="196">
        <v>2.69</v>
      </c>
      <c r="D130" s="196">
        <v>0.86</v>
      </c>
      <c r="E130" s="196">
        <v>3.53</v>
      </c>
      <c r="F130" s="196">
        <v>7.0000000000000007E-2</v>
      </c>
      <c r="G130" s="196">
        <v>1.47</v>
      </c>
      <c r="H130" s="196">
        <v>0.4</v>
      </c>
      <c r="I130" s="203">
        <v>19.510000000000002</v>
      </c>
      <c r="J130" s="203">
        <v>1.55</v>
      </c>
      <c r="K130" s="203">
        <v>429.12</v>
      </c>
      <c r="L130" s="203">
        <v>117.45</v>
      </c>
      <c r="M130" s="203">
        <v>60.51</v>
      </c>
      <c r="N130" s="196"/>
    </row>
    <row r="131" spans="1:14" s="199" customFormat="1" x14ac:dyDescent="0.35">
      <c r="A131" s="195">
        <v>806625</v>
      </c>
      <c r="B131" s="196"/>
      <c r="C131" s="200">
        <v>4.9863852000000009</v>
      </c>
      <c r="D131" s="196">
        <v>0.78</v>
      </c>
      <c r="E131" s="196">
        <v>2.78</v>
      </c>
      <c r="F131" s="196">
        <v>0.09</v>
      </c>
      <c r="G131" s="196">
        <v>0.73</v>
      </c>
      <c r="H131" s="196">
        <v>0.25</v>
      </c>
      <c r="I131" s="203">
        <v>17.440000000000001</v>
      </c>
      <c r="J131" s="203">
        <v>3.07</v>
      </c>
      <c r="K131" s="203">
        <v>730.63</v>
      </c>
      <c r="L131" s="203">
        <v>108.18</v>
      </c>
      <c r="M131" s="203">
        <v>118.73</v>
      </c>
      <c r="N131" s="196"/>
    </row>
    <row r="132" spans="1:14" s="199" customFormat="1" x14ac:dyDescent="0.35">
      <c r="A132" s="195">
        <v>806626</v>
      </c>
      <c r="B132" s="196"/>
      <c r="C132" s="200">
        <v>3.8098224000000007</v>
      </c>
      <c r="D132" s="196">
        <v>0.77</v>
      </c>
      <c r="E132" s="196">
        <v>3.79</v>
      </c>
      <c r="F132" s="196">
        <v>0.08</v>
      </c>
      <c r="G132" s="196">
        <v>1.02</v>
      </c>
      <c r="H132" s="196">
        <v>0.35</v>
      </c>
      <c r="I132" s="203">
        <v>13.54</v>
      </c>
      <c r="J132" s="203">
        <v>0.73</v>
      </c>
      <c r="K132" s="203">
        <v>272.13</v>
      </c>
      <c r="L132" s="203">
        <v>97.33</v>
      </c>
      <c r="M132" s="203">
        <v>107.88</v>
      </c>
      <c r="N132" s="196"/>
    </row>
    <row r="133" spans="1:14" s="199" customFormat="1" x14ac:dyDescent="0.35">
      <c r="A133" s="195">
        <v>806627</v>
      </c>
      <c r="B133" s="196"/>
      <c r="C133" s="200">
        <v>3.4176348000000005</v>
      </c>
      <c r="D133" s="196">
        <v>0.74</v>
      </c>
      <c r="E133" s="196">
        <v>4.62</v>
      </c>
      <c r="F133" s="196">
        <v>0.1</v>
      </c>
      <c r="G133" s="196">
        <v>1.31</v>
      </c>
      <c r="H133" s="196">
        <v>0.39</v>
      </c>
      <c r="I133" s="203">
        <v>17.77</v>
      </c>
      <c r="J133" s="203">
        <v>2.5499999999999998</v>
      </c>
      <c r="K133" s="203">
        <v>213.51</v>
      </c>
      <c r="L133" s="203">
        <v>111.24</v>
      </c>
      <c r="M133" s="203">
        <v>92.41</v>
      </c>
      <c r="N133" s="196"/>
    </row>
    <row r="134" spans="1:14" s="199" customFormat="1" x14ac:dyDescent="0.35">
      <c r="A134" s="195">
        <v>806628</v>
      </c>
      <c r="B134" s="196"/>
      <c r="C134" s="200">
        <v>5.7707604000000003</v>
      </c>
      <c r="D134" s="196">
        <v>1.06</v>
      </c>
      <c r="E134" s="196">
        <v>2.65</v>
      </c>
      <c r="F134" s="196">
        <v>0.05</v>
      </c>
      <c r="G134" s="196">
        <v>0.78</v>
      </c>
      <c r="H134" s="196">
        <v>0.24</v>
      </c>
      <c r="I134" s="203">
        <v>13.44</v>
      </c>
      <c r="J134" s="203">
        <v>1.64</v>
      </c>
      <c r="K134" s="203">
        <v>822.45</v>
      </c>
      <c r="L134" s="203">
        <v>74.81</v>
      </c>
      <c r="M134" s="203">
        <v>70.349999999999994</v>
      </c>
      <c r="N134" s="196"/>
    </row>
    <row r="135" spans="1:14" s="199" customFormat="1" x14ac:dyDescent="0.35">
      <c r="A135" s="195">
        <v>806629</v>
      </c>
      <c r="B135" s="196"/>
      <c r="C135" s="200">
        <v>4.8183047999999999</v>
      </c>
      <c r="D135" s="196">
        <v>0.73</v>
      </c>
      <c r="E135" s="196">
        <v>2.79</v>
      </c>
      <c r="F135" s="196">
        <v>0.05</v>
      </c>
      <c r="G135" s="196">
        <v>0.96</v>
      </c>
      <c r="H135" s="196">
        <v>0.27</v>
      </c>
      <c r="I135" s="203">
        <v>16.97</v>
      </c>
      <c r="J135" s="203">
        <v>1.83</v>
      </c>
      <c r="K135" s="203">
        <v>730.04</v>
      </c>
      <c r="L135" s="203">
        <v>92.83</v>
      </c>
      <c r="M135" s="203">
        <v>137.16999999999999</v>
      </c>
      <c r="N135" s="196"/>
    </row>
    <row r="136" spans="1:14" s="199" customFormat="1" x14ac:dyDescent="0.35">
      <c r="A136" s="195">
        <v>806630</v>
      </c>
      <c r="B136" s="196"/>
      <c r="C136" s="200">
        <v>3.9218760000000001</v>
      </c>
      <c r="D136" s="196">
        <v>0.56000000000000005</v>
      </c>
      <c r="E136" s="196">
        <v>3.72</v>
      </c>
      <c r="F136" s="196">
        <v>0.06</v>
      </c>
      <c r="G136" s="196">
        <v>0.94</v>
      </c>
      <c r="H136" s="196">
        <v>0.28999999999999998</v>
      </c>
      <c r="I136" s="203">
        <v>12.51</v>
      </c>
      <c r="J136" s="203">
        <v>1.58</v>
      </c>
      <c r="K136" s="203">
        <v>222.99</v>
      </c>
      <c r="L136" s="203">
        <v>128.49</v>
      </c>
      <c r="M136" s="203">
        <v>64.790000000000006</v>
      </c>
      <c r="N136" s="196"/>
    </row>
    <row r="137" spans="1:14" s="199" customFormat="1" x14ac:dyDescent="0.35">
      <c r="A137" s="195">
        <v>806631</v>
      </c>
      <c r="B137" s="196"/>
      <c r="C137" s="200">
        <v>3.8098224000000007</v>
      </c>
      <c r="D137" s="196">
        <v>0.66</v>
      </c>
      <c r="E137" s="196">
        <v>3.3</v>
      </c>
      <c r="F137" s="196">
        <v>0.05</v>
      </c>
      <c r="G137" s="196">
        <v>1.1100000000000001</v>
      </c>
      <c r="H137" s="196">
        <v>0.31</v>
      </c>
      <c r="I137" s="203">
        <v>14.3</v>
      </c>
      <c r="J137" s="203">
        <v>1.47</v>
      </c>
      <c r="K137" s="203">
        <v>296.20999999999998</v>
      </c>
      <c r="L137" s="203">
        <v>104.49</v>
      </c>
      <c r="M137" s="203">
        <v>84.66</v>
      </c>
      <c r="N137" s="196"/>
    </row>
    <row r="138" spans="1:14" s="199" customFormat="1" x14ac:dyDescent="0.35">
      <c r="A138" s="195">
        <v>806632</v>
      </c>
      <c r="B138" s="196"/>
      <c r="C138" s="200">
        <v>5.3505594000000007</v>
      </c>
      <c r="D138" s="196">
        <v>0.74</v>
      </c>
      <c r="E138" s="196">
        <v>3.2</v>
      </c>
      <c r="F138" s="196">
        <v>7.0000000000000007E-2</v>
      </c>
      <c r="G138" s="196">
        <v>0.61</v>
      </c>
      <c r="H138" s="196">
        <v>0.25</v>
      </c>
      <c r="I138" s="203">
        <v>12.37</v>
      </c>
      <c r="J138" s="203">
        <v>0.54</v>
      </c>
      <c r="K138" s="203">
        <v>495.55</v>
      </c>
      <c r="L138" s="203">
        <v>97.68</v>
      </c>
      <c r="M138" s="203">
        <v>46.84</v>
      </c>
      <c r="N138" s="196"/>
    </row>
    <row r="139" spans="1:14" s="199" customFormat="1" x14ac:dyDescent="0.35">
      <c r="A139" s="195">
        <v>806633</v>
      </c>
      <c r="B139" s="196"/>
      <c r="C139" s="200">
        <v>4.8463182000000007</v>
      </c>
      <c r="D139" s="196">
        <v>0.84</v>
      </c>
      <c r="E139" s="196">
        <v>2.75</v>
      </c>
      <c r="F139" s="196">
        <v>0.05</v>
      </c>
      <c r="G139" s="196">
        <v>0.74</v>
      </c>
      <c r="H139" s="196">
        <v>0.28000000000000003</v>
      </c>
      <c r="I139" s="203">
        <v>11.74</v>
      </c>
      <c r="J139" s="203">
        <v>1.21</v>
      </c>
      <c r="K139" s="203">
        <v>666.26</v>
      </c>
      <c r="L139" s="203">
        <v>76.790000000000006</v>
      </c>
      <c r="M139" s="203">
        <v>47.38</v>
      </c>
      <c r="N139" s="196"/>
    </row>
    <row r="140" spans="1:14" s="199" customFormat="1" x14ac:dyDescent="0.35">
      <c r="A140" s="195">
        <v>806634</v>
      </c>
      <c r="B140" s="196"/>
      <c r="C140" s="200">
        <v>3.9218760000000001</v>
      </c>
      <c r="D140" s="196">
        <v>0.62</v>
      </c>
      <c r="E140" s="196">
        <v>3.65</v>
      </c>
      <c r="F140" s="196">
        <v>0.05</v>
      </c>
      <c r="G140" s="196">
        <v>0.92</v>
      </c>
      <c r="H140" s="196">
        <v>0.3</v>
      </c>
      <c r="I140" s="203">
        <v>14.43</v>
      </c>
      <c r="J140" s="203">
        <v>1.2</v>
      </c>
      <c r="K140" s="203">
        <v>253.32</v>
      </c>
      <c r="L140" s="203">
        <v>92.67</v>
      </c>
      <c r="M140" s="203">
        <v>84.36</v>
      </c>
      <c r="N140" s="196"/>
    </row>
    <row r="141" spans="1:14" s="199" customFormat="1" x14ac:dyDescent="0.35">
      <c r="A141" s="195">
        <v>806635</v>
      </c>
      <c r="B141" s="196"/>
      <c r="C141" s="200">
        <v>4.7622780000000002</v>
      </c>
      <c r="D141" s="196">
        <v>0.78</v>
      </c>
      <c r="E141" s="196">
        <v>3.36</v>
      </c>
      <c r="F141" s="196">
        <v>0.08</v>
      </c>
      <c r="G141" s="196">
        <v>0.66</v>
      </c>
      <c r="H141" s="196">
        <v>0.28000000000000003</v>
      </c>
      <c r="I141" s="203">
        <v>13.98</v>
      </c>
      <c r="J141" s="203">
        <v>0.36</v>
      </c>
      <c r="K141" s="203">
        <v>269.26</v>
      </c>
      <c r="L141" s="203">
        <v>77.13</v>
      </c>
      <c r="M141" s="203">
        <v>52.83</v>
      </c>
      <c r="N141" s="196"/>
    </row>
    <row r="142" spans="1:14" s="199" customFormat="1" x14ac:dyDescent="0.35">
      <c r="A142" s="195">
        <v>806636</v>
      </c>
      <c r="B142" s="196"/>
      <c r="C142" s="200">
        <v>3.8938625999999998</v>
      </c>
      <c r="D142" s="196">
        <v>0.56999999999999995</v>
      </c>
      <c r="E142" s="196">
        <v>3.22</v>
      </c>
      <c r="F142" s="196">
        <v>7.0000000000000007E-2</v>
      </c>
      <c r="G142" s="196">
        <v>0.72</v>
      </c>
      <c r="H142" s="196">
        <v>0.25</v>
      </c>
      <c r="I142" s="203">
        <v>11.73</v>
      </c>
      <c r="J142" s="203">
        <v>0.65</v>
      </c>
      <c r="K142" s="203">
        <v>174.96</v>
      </c>
      <c r="L142" s="203">
        <v>104.24</v>
      </c>
      <c r="M142" s="203">
        <v>63.08</v>
      </c>
      <c r="N142" s="196"/>
    </row>
    <row r="143" spans="1:14" s="199" customFormat="1" x14ac:dyDescent="0.35">
      <c r="A143" s="195">
        <v>806637</v>
      </c>
      <c r="B143" s="196"/>
      <c r="C143" s="200">
        <v>4.8183047999999999</v>
      </c>
      <c r="D143" s="196">
        <v>0.82</v>
      </c>
      <c r="E143" s="196">
        <v>2.56</v>
      </c>
      <c r="F143" s="196">
        <v>0.05</v>
      </c>
      <c r="G143" s="196">
        <v>0.76</v>
      </c>
      <c r="H143" s="196">
        <v>0.24</v>
      </c>
      <c r="I143" s="203">
        <v>15.47</v>
      </c>
      <c r="J143" s="203">
        <v>1.08</v>
      </c>
      <c r="K143" s="203">
        <v>913.81</v>
      </c>
      <c r="L143" s="203">
        <v>80.42</v>
      </c>
      <c r="M143" s="203">
        <v>50.72</v>
      </c>
      <c r="N143" s="196"/>
    </row>
    <row r="144" spans="1:14" s="199" customFormat="1" x14ac:dyDescent="0.35">
      <c r="A144" s="195">
        <v>806638</v>
      </c>
      <c r="B144" s="196"/>
      <c r="C144" s="200">
        <v>5.322546</v>
      </c>
      <c r="D144" s="196">
        <v>1.1200000000000001</v>
      </c>
      <c r="E144" s="196">
        <v>4.8</v>
      </c>
      <c r="F144" s="196">
        <v>0.1</v>
      </c>
      <c r="G144" s="196">
        <v>1.1200000000000001</v>
      </c>
      <c r="H144" s="196">
        <v>0.45</v>
      </c>
      <c r="I144" s="203">
        <v>26.98</v>
      </c>
      <c r="J144" s="203">
        <v>3.28</v>
      </c>
      <c r="K144" s="203">
        <v>860.37</v>
      </c>
      <c r="L144" s="203">
        <v>210.95</v>
      </c>
      <c r="M144" s="203">
        <v>116.68</v>
      </c>
      <c r="N144" s="196"/>
    </row>
    <row r="145" spans="1:14" s="199" customFormat="1" x14ac:dyDescent="0.35">
      <c r="A145" s="195">
        <v>806639</v>
      </c>
      <c r="B145" s="196"/>
      <c r="C145" s="200">
        <v>4.0059162000000006</v>
      </c>
      <c r="D145" s="196">
        <v>0.56000000000000005</v>
      </c>
      <c r="E145" s="196">
        <v>3.43</v>
      </c>
      <c r="F145" s="196">
        <v>0.04</v>
      </c>
      <c r="G145" s="196">
        <v>0.81</v>
      </c>
      <c r="H145" s="196">
        <v>0.24</v>
      </c>
      <c r="I145" s="203">
        <v>13.76</v>
      </c>
      <c r="J145" s="203">
        <v>1.46</v>
      </c>
      <c r="K145" s="203">
        <v>142.96</v>
      </c>
      <c r="L145" s="203">
        <v>139.43</v>
      </c>
      <c r="M145" s="203">
        <v>62.96</v>
      </c>
      <c r="N145" s="196"/>
    </row>
    <row r="146" spans="1:14" s="199" customFormat="1" x14ac:dyDescent="0.35">
      <c r="A146" s="195">
        <v>806640</v>
      </c>
      <c r="B146" s="196"/>
      <c r="C146" s="200">
        <v>3.7818090000000004</v>
      </c>
      <c r="D146" s="196">
        <v>0.7</v>
      </c>
      <c r="E146" s="196">
        <v>3.83</v>
      </c>
      <c r="F146" s="196">
        <v>0.06</v>
      </c>
      <c r="G146" s="196">
        <v>0.96</v>
      </c>
      <c r="H146" s="196">
        <v>0.28000000000000003</v>
      </c>
      <c r="I146" s="203">
        <v>13.62</v>
      </c>
      <c r="J146" s="203">
        <v>1.43</v>
      </c>
      <c r="K146" s="203">
        <v>354.46</v>
      </c>
      <c r="L146" s="203">
        <v>109.53</v>
      </c>
      <c r="M146" s="203">
        <v>127.24</v>
      </c>
      <c r="N146" s="196"/>
    </row>
    <row r="147" spans="1:14" s="199" customFormat="1" x14ac:dyDescent="0.35">
      <c r="A147" s="195">
        <v>806641</v>
      </c>
      <c r="B147" s="196"/>
      <c r="C147" s="200">
        <v>4.7062512000000005</v>
      </c>
      <c r="D147" s="196">
        <v>0.8</v>
      </c>
      <c r="E147" s="196">
        <v>4.26</v>
      </c>
      <c r="F147" s="196">
        <v>0.06</v>
      </c>
      <c r="G147" s="196">
        <v>0.59</v>
      </c>
      <c r="H147" s="196">
        <v>0.23</v>
      </c>
      <c r="I147" s="203">
        <v>13.23</v>
      </c>
      <c r="J147" s="203">
        <v>1.8</v>
      </c>
      <c r="K147" s="203">
        <v>367.56</v>
      </c>
      <c r="L147" s="203">
        <v>102.52</v>
      </c>
      <c r="M147" s="203">
        <v>64.03</v>
      </c>
      <c r="N147" s="196"/>
    </row>
    <row r="148" spans="1:14" s="199" customFormat="1" x14ac:dyDescent="0.35">
      <c r="A148" s="195">
        <v>806642</v>
      </c>
      <c r="B148" s="196"/>
      <c r="C148" s="200">
        <v>4.3420770000000006</v>
      </c>
      <c r="D148" s="196">
        <v>0.78</v>
      </c>
      <c r="E148" s="196">
        <v>3.8</v>
      </c>
      <c r="F148" s="196">
        <v>0.08</v>
      </c>
      <c r="G148" s="196">
        <v>1.17</v>
      </c>
      <c r="H148" s="196">
        <v>0.35</v>
      </c>
      <c r="I148" s="203">
        <v>19.66</v>
      </c>
      <c r="J148" s="203">
        <v>3.19</v>
      </c>
      <c r="K148" s="203">
        <v>373</v>
      </c>
      <c r="L148" s="203">
        <v>112.48</v>
      </c>
      <c r="M148" s="203">
        <v>126.34</v>
      </c>
      <c r="N148" s="196"/>
    </row>
    <row r="149" spans="1:14" s="199" customFormat="1" x14ac:dyDescent="0.35">
      <c r="A149" s="195">
        <v>806643</v>
      </c>
      <c r="B149" s="196"/>
      <c r="C149" s="196">
        <v>2.66</v>
      </c>
      <c r="D149" s="196">
        <v>0.21</v>
      </c>
      <c r="E149" s="196">
        <v>2.19</v>
      </c>
      <c r="F149" s="196">
        <v>0.16</v>
      </c>
      <c r="G149" s="196">
        <v>1.38</v>
      </c>
      <c r="H149" s="196">
        <v>0.24</v>
      </c>
      <c r="I149" s="203">
        <v>21.24</v>
      </c>
      <c r="J149" s="203">
        <v>1.56</v>
      </c>
      <c r="K149" s="203">
        <v>47.34</v>
      </c>
      <c r="L149" s="203">
        <v>407.39</v>
      </c>
      <c r="M149" s="203">
        <v>208.45</v>
      </c>
      <c r="N149" s="196"/>
    </row>
    <row r="150" spans="1:14" s="199" customFormat="1" x14ac:dyDescent="0.35">
      <c r="A150" s="195">
        <v>806644</v>
      </c>
      <c r="B150" s="196"/>
      <c r="C150" s="196">
        <v>3.87</v>
      </c>
      <c r="D150" s="196">
        <v>0.42</v>
      </c>
      <c r="E150" s="196">
        <v>2.31</v>
      </c>
      <c r="F150" s="196">
        <v>0.04</v>
      </c>
      <c r="G150" s="196">
        <v>1.23</v>
      </c>
      <c r="H150" s="196">
        <v>0.4</v>
      </c>
      <c r="I150" s="203">
        <v>15.14</v>
      </c>
      <c r="J150" s="203">
        <v>2.41</v>
      </c>
      <c r="K150" s="203">
        <v>359.36</v>
      </c>
      <c r="L150" s="203">
        <v>122.93</v>
      </c>
      <c r="M150" s="203">
        <v>86.72</v>
      </c>
      <c r="N150" s="196"/>
    </row>
    <row r="151" spans="1:14" s="199" customFormat="1" x14ac:dyDescent="0.35">
      <c r="A151" s="195">
        <v>806648</v>
      </c>
      <c r="B151" s="196"/>
      <c r="C151" s="200">
        <v>2.4420000000000002</v>
      </c>
      <c r="D151" s="196">
        <v>0.112</v>
      </c>
      <c r="E151" s="196">
        <v>0.96899999999999997</v>
      </c>
      <c r="F151" s="196">
        <v>5.0999999999999997E-2</v>
      </c>
      <c r="G151" s="196">
        <v>4.9800000000000004</v>
      </c>
      <c r="H151" s="196">
        <v>0.315</v>
      </c>
      <c r="I151" s="203">
        <v>89.91</v>
      </c>
      <c r="J151" s="203">
        <v>6.07</v>
      </c>
      <c r="K151" s="203">
        <v>131.9</v>
      </c>
      <c r="L151" s="203">
        <v>252.9</v>
      </c>
      <c r="M151" s="203">
        <v>124</v>
      </c>
      <c r="N151" s="196"/>
    </row>
    <row r="152" spans="1:14" s="199" customFormat="1" x14ac:dyDescent="0.35">
      <c r="A152" s="195">
        <v>806649</v>
      </c>
      <c r="B152" s="196"/>
      <c r="C152" s="200">
        <v>2.4239999999999999</v>
      </c>
      <c r="D152" s="196">
        <v>0.104</v>
      </c>
      <c r="E152" s="196">
        <v>1.026</v>
      </c>
      <c r="F152" s="196">
        <v>0.04</v>
      </c>
      <c r="G152" s="196">
        <v>6.02</v>
      </c>
      <c r="H152" s="196">
        <v>0.44</v>
      </c>
      <c r="I152" s="203">
        <v>71.87</v>
      </c>
      <c r="J152" s="203">
        <v>5.54</v>
      </c>
      <c r="K152" s="203">
        <v>125.07</v>
      </c>
      <c r="L152" s="203">
        <v>165.36</v>
      </c>
      <c r="M152" s="203">
        <v>114</v>
      </c>
      <c r="N152" s="196"/>
    </row>
    <row r="153" spans="1:14" s="199" customFormat="1" x14ac:dyDescent="0.35">
      <c r="A153" s="195">
        <v>806650</v>
      </c>
      <c r="B153" s="196"/>
      <c r="C153" s="200">
        <v>2.4889999999999999</v>
      </c>
      <c r="D153" s="196">
        <v>0.105</v>
      </c>
      <c r="E153" s="196">
        <v>0.72099999999999997</v>
      </c>
      <c r="F153" s="196">
        <v>6.9000000000000006E-2</v>
      </c>
      <c r="G153" s="196">
        <v>5.43</v>
      </c>
      <c r="H153" s="196">
        <v>0.35199999999999998</v>
      </c>
      <c r="I153" s="203">
        <v>82.28</v>
      </c>
      <c r="J153" s="203">
        <v>8.9499999999999993</v>
      </c>
      <c r="K153" s="203">
        <v>260.58</v>
      </c>
      <c r="L153" s="203">
        <v>302.13</v>
      </c>
      <c r="M153" s="203">
        <v>124</v>
      </c>
      <c r="N153" s="196"/>
    </row>
    <row r="154" spans="1:14" s="199" customFormat="1" x14ac:dyDescent="0.35">
      <c r="A154" s="195">
        <v>806651</v>
      </c>
      <c r="B154" s="196"/>
      <c r="C154" s="200">
        <v>2.2810000000000001</v>
      </c>
      <c r="D154" s="196">
        <v>0.11</v>
      </c>
      <c r="E154" s="196">
        <v>1.633</v>
      </c>
      <c r="F154" s="196">
        <v>6.9000000000000006E-2</v>
      </c>
      <c r="G154" s="196">
        <v>7.39</v>
      </c>
      <c r="H154" s="196">
        <v>0.59499999999999997</v>
      </c>
      <c r="I154" s="203">
        <v>67.2</v>
      </c>
      <c r="J154" s="203">
        <v>10.08</v>
      </c>
      <c r="K154" s="203">
        <v>103.61</v>
      </c>
      <c r="L154" s="203">
        <v>226.21</v>
      </c>
      <c r="M154" s="203">
        <v>90</v>
      </c>
      <c r="N154" s="196"/>
    </row>
    <row r="155" spans="1:14" s="199" customFormat="1" x14ac:dyDescent="0.35">
      <c r="A155" s="195">
        <v>806652</v>
      </c>
      <c r="B155" s="196"/>
      <c r="C155" s="200">
        <v>2.4430000000000001</v>
      </c>
      <c r="D155" s="196">
        <v>8.4000000000000005E-2</v>
      </c>
      <c r="E155" s="196">
        <v>0.59899999999999998</v>
      </c>
      <c r="F155" s="196">
        <v>6.2E-2</v>
      </c>
      <c r="G155" s="196">
        <v>8.85</v>
      </c>
      <c r="H155" s="196">
        <v>0.41</v>
      </c>
      <c r="I155" s="203">
        <v>55.93</v>
      </c>
      <c r="J155" s="203">
        <v>7.55</v>
      </c>
      <c r="K155" s="203">
        <v>50.56</v>
      </c>
      <c r="L155" s="203">
        <v>190.07</v>
      </c>
      <c r="M155" s="203">
        <v>98</v>
      </c>
      <c r="N155" s="196"/>
    </row>
    <row r="156" spans="1:14" s="199" customFormat="1" x14ac:dyDescent="0.35">
      <c r="A156" s="195">
        <v>806653</v>
      </c>
      <c r="B156" s="196"/>
      <c r="C156" s="200">
        <v>2.4620000000000002</v>
      </c>
      <c r="D156" s="196">
        <v>9.6000000000000002E-2</v>
      </c>
      <c r="E156" s="196">
        <v>0.70599999999999996</v>
      </c>
      <c r="F156" s="196">
        <v>3.5999999999999997E-2</v>
      </c>
      <c r="G156" s="196">
        <v>6.46</v>
      </c>
      <c r="H156" s="196">
        <v>0.373</v>
      </c>
      <c r="I156" s="203">
        <v>11.61</v>
      </c>
      <c r="J156" s="203">
        <v>7.58</v>
      </c>
      <c r="K156" s="203">
        <v>17.57</v>
      </c>
      <c r="L156" s="203">
        <v>195.87</v>
      </c>
      <c r="M156" s="203">
        <v>104</v>
      </c>
      <c r="N156" s="196"/>
    </row>
    <row r="157" spans="1:14" s="199" customFormat="1" x14ac:dyDescent="0.35">
      <c r="A157" s="195">
        <v>806654</v>
      </c>
      <c r="B157" s="196"/>
      <c r="C157" s="200">
        <v>2.286</v>
      </c>
      <c r="D157" s="196">
        <v>0.108</v>
      </c>
      <c r="E157" s="196">
        <v>0.754</v>
      </c>
      <c r="F157" s="196">
        <v>5.6000000000000001E-2</v>
      </c>
      <c r="G157" s="196">
        <v>6.37</v>
      </c>
      <c r="H157" s="196">
        <v>0.76400000000000001</v>
      </c>
      <c r="I157" s="203">
        <v>72.09</v>
      </c>
      <c r="J157" s="203">
        <v>7.2</v>
      </c>
      <c r="K157" s="203">
        <v>79.12</v>
      </c>
      <c r="L157" s="203">
        <v>166.33</v>
      </c>
      <c r="M157" s="203">
        <v>99</v>
      </c>
      <c r="N157" s="196"/>
    </row>
    <row r="158" spans="1:14" s="199" customFormat="1" x14ac:dyDescent="0.35">
      <c r="A158" s="195">
        <v>806655</v>
      </c>
      <c r="B158" s="196"/>
      <c r="C158" s="200">
        <v>2.2930000000000001</v>
      </c>
      <c r="D158" s="196">
        <v>0.104</v>
      </c>
      <c r="E158" s="196">
        <v>1.8720000000000001</v>
      </c>
      <c r="F158" s="196">
        <v>4.4999999999999998E-2</v>
      </c>
      <c r="G158" s="196">
        <v>6.51</v>
      </c>
      <c r="H158" s="196">
        <v>0.45600000000000002</v>
      </c>
      <c r="I158" s="203">
        <v>55.31</v>
      </c>
      <c r="J158" s="203">
        <v>12.6</v>
      </c>
      <c r="K158" s="203">
        <v>64.83</v>
      </c>
      <c r="L158" s="203">
        <v>207.96</v>
      </c>
      <c r="M158" s="203">
        <v>129</v>
      </c>
      <c r="N158" s="196"/>
    </row>
    <row r="159" spans="1:14" s="199" customFormat="1" x14ac:dyDescent="0.35">
      <c r="A159" s="195">
        <v>806656</v>
      </c>
      <c r="B159" s="196"/>
      <c r="C159" s="200">
        <v>2.4260000000000002</v>
      </c>
      <c r="D159" s="196">
        <v>9.4E-2</v>
      </c>
      <c r="E159" s="196">
        <v>0.79500000000000004</v>
      </c>
      <c r="F159" s="196">
        <v>3.7999999999999999E-2</v>
      </c>
      <c r="G159" s="196">
        <v>6.43</v>
      </c>
      <c r="H159" s="196">
        <v>0.44900000000000001</v>
      </c>
      <c r="I159" s="203">
        <v>55.77</v>
      </c>
      <c r="J159" s="203">
        <v>2.81</v>
      </c>
      <c r="K159" s="203">
        <v>54.72</v>
      </c>
      <c r="L159" s="203">
        <v>150.19999999999999</v>
      </c>
      <c r="M159" s="203">
        <v>110</v>
      </c>
      <c r="N159" s="196"/>
    </row>
    <row r="160" spans="1:14" s="199" customFormat="1" x14ac:dyDescent="0.35">
      <c r="A160" s="195">
        <v>806657</v>
      </c>
      <c r="B160" s="196"/>
      <c r="C160" s="200">
        <v>2.3450000000000002</v>
      </c>
      <c r="D160" s="196">
        <v>0.16500000000000001</v>
      </c>
      <c r="E160" s="196">
        <v>1.1220000000000001</v>
      </c>
      <c r="F160" s="196">
        <v>4.5999999999999999E-2</v>
      </c>
      <c r="G160" s="196">
        <v>4.71</v>
      </c>
      <c r="H160" s="196">
        <v>0.45100000000000001</v>
      </c>
      <c r="I160" s="203">
        <v>46.07</v>
      </c>
      <c r="J160" s="203">
        <v>4.7699999999999996</v>
      </c>
      <c r="K160" s="203">
        <v>76.12</v>
      </c>
      <c r="L160" s="203">
        <v>284.67</v>
      </c>
      <c r="M160" s="203">
        <v>98</v>
      </c>
      <c r="N160" s="196"/>
    </row>
    <row r="161" spans="1:15" s="199" customFormat="1" x14ac:dyDescent="0.35">
      <c r="A161" s="195">
        <v>806658</v>
      </c>
      <c r="B161" s="196"/>
      <c r="C161" s="200">
        <v>2.3690000000000002</v>
      </c>
      <c r="D161" s="196">
        <v>0.10199999999999999</v>
      </c>
      <c r="E161" s="196">
        <v>1.512</v>
      </c>
      <c r="F161" s="196">
        <v>5.5E-2</v>
      </c>
      <c r="G161" s="196">
        <v>4.2699999999999996</v>
      </c>
      <c r="H161" s="196">
        <v>0.53</v>
      </c>
      <c r="I161" s="203">
        <v>52.77</v>
      </c>
      <c r="J161" s="203">
        <v>10.56</v>
      </c>
      <c r="K161" s="203">
        <v>29.15</v>
      </c>
      <c r="L161" s="203">
        <v>202.84</v>
      </c>
      <c r="M161" s="203">
        <v>111</v>
      </c>
      <c r="N161" s="196"/>
    </row>
    <row r="162" spans="1:15" s="199" customFormat="1" x14ac:dyDescent="0.35">
      <c r="A162" s="195">
        <v>806659</v>
      </c>
      <c r="B162" s="196"/>
      <c r="C162" s="200">
        <v>2.4860000000000002</v>
      </c>
      <c r="D162" s="196">
        <v>0.123</v>
      </c>
      <c r="E162" s="196">
        <v>0.878</v>
      </c>
      <c r="F162" s="196">
        <v>5.8999999999999997E-2</v>
      </c>
      <c r="G162" s="196">
        <v>5.04</v>
      </c>
      <c r="H162" s="196">
        <v>0.379</v>
      </c>
      <c r="I162" s="203">
        <v>42.55</v>
      </c>
      <c r="J162" s="203">
        <v>2.71</v>
      </c>
      <c r="K162" s="203">
        <v>116.95</v>
      </c>
      <c r="L162" s="203">
        <v>244.27</v>
      </c>
      <c r="M162" s="203">
        <v>121</v>
      </c>
      <c r="N162" s="196"/>
    </row>
    <row r="163" spans="1:15" s="199" customFormat="1" x14ac:dyDescent="0.35">
      <c r="A163" s="195">
        <v>806692</v>
      </c>
      <c r="B163" s="196"/>
      <c r="C163" s="200">
        <v>1.2045762</v>
      </c>
      <c r="D163" s="196">
        <v>0.08</v>
      </c>
      <c r="E163" s="196">
        <v>0.5</v>
      </c>
      <c r="F163" s="196">
        <v>0.05</v>
      </c>
      <c r="G163" s="196">
        <v>2.27</v>
      </c>
      <c r="H163" s="196">
        <v>0.23</v>
      </c>
      <c r="I163" s="203">
        <v>20.100000000000001</v>
      </c>
      <c r="J163" s="203">
        <v>10.4</v>
      </c>
      <c r="K163" s="203">
        <v>70.75</v>
      </c>
      <c r="L163" s="203">
        <v>200.43</v>
      </c>
      <c r="M163" s="203">
        <v>99</v>
      </c>
      <c r="N163" s="196"/>
    </row>
    <row r="164" spans="1:15" s="199" customFormat="1" x14ac:dyDescent="0.35">
      <c r="A164" s="195">
        <v>806660</v>
      </c>
      <c r="B164" s="196"/>
      <c r="C164" s="200">
        <v>1.8488844</v>
      </c>
      <c r="D164" s="196">
        <v>0.12</v>
      </c>
      <c r="E164" s="196">
        <v>0.65</v>
      </c>
      <c r="F164" s="196">
        <v>0.02</v>
      </c>
      <c r="G164" s="196">
        <v>0.98</v>
      </c>
      <c r="H164" s="196">
        <v>0.36</v>
      </c>
      <c r="I164" s="203">
        <v>12.39</v>
      </c>
      <c r="J164" s="203">
        <v>0.5</v>
      </c>
      <c r="K164" s="203">
        <v>45.35</v>
      </c>
      <c r="L164" s="203">
        <v>769.57</v>
      </c>
      <c r="M164" s="203">
        <v>35.19</v>
      </c>
      <c r="N164" s="196"/>
    </row>
    <row r="165" spans="1:15" s="199" customFormat="1" x14ac:dyDescent="0.35">
      <c r="A165" s="195">
        <v>806691</v>
      </c>
      <c r="B165" s="196"/>
      <c r="C165" s="200">
        <v>4.2300234000000012</v>
      </c>
      <c r="D165" s="196">
        <v>0.2</v>
      </c>
      <c r="E165" s="196">
        <v>4.09</v>
      </c>
      <c r="F165" s="196">
        <v>0.02</v>
      </c>
      <c r="G165" s="196">
        <v>0.6</v>
      </c>
      <c r="H165" s="196">
        <v>0.35</v>
      </c>
      <c r="I165" s="203">
        <v>13.27</v>
      </c>
      <c r="J165" s="203">
        <v>2.0499999999999998</v>
      </c>
      <c r="K165" s="203">
        <v>838.71</v>
      </c>
      <c r="L165" s="203">
        <v>252.61</v>
      </c>
      <c r="M165" s="203">
        <v>45.09</v>
      </c>
      <c r="N165" s="196"/>
    </row>
    <row r="166" spans="1:15" s="199" customFormat="1" x14ac:dyDescent="0.35">
      <c r="A166" s="195">
        <v>806645</v>
      </c>
      <c r="B166" s="203">
        <v>91.529126213592235</v>
      </c>
      <c r="C166" s="200">
        <v>1.8488844</v>
      </c>
      <c r="D166" s="196">
        <v>0.12</v>
      </c>
      <c r="E166" s="196">
        <v>0.65</v>
      </c>
      <c r="F166" s="196">
        <v>0.02</v>
      </c>
      <c r="G166" s="196">
        <v>0.98</v>
      </c>
      <c r="H166" s="196">
        <v>0.36</v>
      </c>
      <c r="I166" s="203">
        <v>12.39</v>
      </c>
      <c r="J166" s="203">
        <v>0.52</v>
      </c>
      <c r="K166" s="203">
        <v>45.35</v>
      </c>
      <c r="L166" s="203">
        <v>769.57</v>
      </c>
      <c r="M166" s="203">
        <v>35.19</v>
      </c>
      <c r="N166" s="196">
        <v>16.48</v>
      </c>
      <c r="O166" s="204">
        <f>100-B166</f>
        <v>8.4708737864077648</v>
      </c>
    </row>
    <row r="167" spans="1:15" s="199" customFormat="1" x14ac:dyDescent="0.35">
      <c r="A167" s="195">
        <v>806646</v>
      </c>
      <c r="B167" s="203">
        <v>91.303823422988785</v>
      </c>
      <c r="C167" s="200">
        <v>4.2300234000000012</v>
      </c>
      <c r="D167" s="196">
        <v>0.2</v>
      </c>
      <c r="E167" s="196">
        <v>4.09</v>
      </c>
      <c r="F167" s="196">
        <v>0.02</v>
      </c>
      <c r="G167" s="196">
        <v>0.6</v>
      </c>
      <c r="H167" s="196">
        <v>0.35</v>
      </c>
      <c r="I167" s="203">
        <v>13.27</v>
      </c>
      <c r="J167" s="203">
        <v>2.0499999999999998</v>
      </c>
      <c r="K167" s="203">
        <v>838.71</v>
      </c>
      <c r="L167" s="203">
        <v>252.61</v>
      </c>
      <c r="M167" s="203">
        <v>45.09</v>
      </c>
      <c r="N167" s="196">
        <v>16.582000000000001</v>
      </c>
      <c r="O167" s="204">
        <f>100-B167</f>
        <v>8.6961765770112152</v>
      </c>
    </row>
    <row r="168" spans="1:15" s="199" customFormat="1" x14ac:dyDescent="0.35">
      <c r="A168" s="195">
        <v>806647</v>
      </c>
      <c r="B168" s="203">
        <v>90.423699621081639</v>
      </c>
      <c r="C168" s="200">
        <v>2.5772328000000004</v>
      </c>
      <c r="D168" s="196">
        <v>0.14000000000000001</v>
      </c>
      <c r="E168" s="196">
        <v>0.85</v>
      </c>
      <c r="F168" s="196">
        <v>0.01</v>
      </c>
      <c r="G168" s="196">
        <v>0.94</v>
      </c>
      <c r="H168" s="196">
        <v>0.13</v>
      </c>
      <c r="I168" s="203">
        <v>10.58</v>
      </c>
      <c r="J168" s="203">
        <v>0.53</v>
      </c>
      <c r="K168" s="203">
        <v>41.57</v>
      </c>
      <c r="L168" s="203">
        <v>337.31</v>
      </c>
      <c r="M168" s="203">
        <v>63.66</v>
      </c>
      <c r="N168" s="196">
        <v>11.612</v>
      </c>
      <c r="O168" s="204">
        <f>100-B168</f>
        <v>9.5763003789183614</v>
      </c>
    </row>
    <row r="169" spans="1:15" s="199" customFormat="1" x14ac:dyDescent="0.35">
      <c r="A169" s="195">
        <v>806693</v>
      </c>
      <c r="B169" s="196"/>
      <c r="C169" s="200">
        <v>2.8853801999999997</v>
      </c>
      <c r="D169" s="196">
        <v>0.27</v>
      </c>
      <c r="E169" s="196">
        <v>2.09</v>
      </c>
      <c r="F169" s="196">
        <v>0.41</v>
      </c>
      <c r="G169" s="196">
        <v>3.68</v>
      </c>
      <c r="H169" s="196">
        <v>1.66</v>
      </c>
      <c r="I169" s="203">
        <v>45.9</v>
      </c>
      <c r="J169" s="203">
        <v>6.55</v>
      </c>
      <c r="K169" s="203">
        <v>257.95999999999998</v>
      </c>
      <c r="L169" s="203">
        <v>195.27</v>
      </c>
      <c r="M169" s="203">
        <v>53.61</v>
      </c>
      <c r="N169" s="196"/>
    </row>
    <row r="170" spans="1:15" s="199" customFormat="1" x14ac:dyDescent="0.35">
      <c r="A170" s="195">
        <v>806694</v>
      </c>
      <c r="B170" s="196"/>
      <c r="C170" s="200">
        <v>3.4456481999999999</v>
      </c>
      <c r="D170" s="196">
        <v>0.67</v>
      </c>
      <c r="E170" s="196">
        <v>2.5499999999999998</v>
      </c>
      <c r="F170" s="196">
        <v>0.62</v>
      </c>
      <c r="G170" s="196">
        <v>3.88</v>
      </c>
      <c r="H170" s="196">
        <v>1.28</v>
      </c>
      <c r="I170" s="203">
        <v>20.6</v>
      </c>
      <c r="J170" s="203">
        <v>17.09</v>
      </c>
      <c r="K170" s="203">
        <v>72.53</v>
      </c>
      <c r="L170" s="203">
        <v>194.7</v>
      </c>
      <c r="M170" s="203">
        <v>48.41</v>
      </c>
      <c r="N170" s="196"/>
    </row>
    <row r="171" spans="1:15" s="199" customFormat="1" x14ac:dyDescent="0.35">
      <c r="A171" s="195">
        <v>806695</v>
      </c>
      <c r="B171" s="196"/>
      <c r="C171" s="200">
        <v>3.9498894000000009</v>
      </c>
      <c r="D171" s="196">
        <v>0.46</v>
      </c>
      <c r="E171" s="196">
        <v>3.93</v>
      </c>
      <c r="F171" s="196">
        <v>0.47</v>
      </c>
      <c r="G171" s="196">
        <v>3.02</v>
      </c>
      <c r="H171" s="196">
        <v>0.66</v>
      </c>
      <c r="I171" s="203">
        <v>52.79</v>
      </c>
      <c r="J171" s="203">
        <v>41.22</v>
      </c>
      <c r="K171" s="203">
        <v>92.92</v>
      </c>
      <c r="L171" s="203">
        <v>529.75</v>
      </c>
      <c r="M171" s="203">
        <v>90.03</v>
      </c>
      <c r="N171" s="196"/>
    </row>
    <row r="172" spans="1:15" s="199" customFormat="1" x14ac:dyDescent="0.35">
      <c r="A172" s="195">
        <v>806696</v>
      </c>
      <c r="B172" s="196"/>
      <c r="C172" s="200">
        <v>4.0899564000000002</v>
      </c>
      <c r="D172" s="196">
        <v>0.54</v>
      </c>
      <c r="E172" s="196">
        <v>5.01</v>
      </c>
      <c r="F172" s="196">
        <v>0.12</v>
      </c>
      <c r="G172" s="196">
        <v>2.88</v>
      </c>
      <c r="H172" s="196">
        <v>0.61</v>
      </c>
      <c r="I172" s="203">
        <v>30.09</v>
      </c>
      <c r="J172" s="203">
        <v>21.95</v>
      </c>
      <c r="K172" s="203">
        <v>95.36</v>
      </c>
      <c r="L172" s="203">
        <v>364.7</v>
      </c>
      <c r="M172" s="203">
        <v>38.24</v>
      </c>
      <c r="N172" s="196"/>
    </row>
    <row r="173" spans="1:15" s="199" customFormat="1" x14ac:dyDescent="0.35">
      <c r="A173" s="195">
        <v>806697</v>
      </c>
      <c r="B173" s="196"/>
      <c r="C173" s="200">
        <v>3.9498894000000009</v>
      </c>
      <c r="D173" s="196">
        <v>0.38</v>
      </c>
      <c r="E173" s="196">
        <v>4.5</v>
      </c>
      <c r="F173" s="196">
        <v>0.11</v>
      </c>
      <c r="G173" s="196">
        <v>2.79</v>
      </c>
      <c r="H173" s="196">
        <v>0.75</v>
      </c>
      <c r="I173" s="203">
        <v>23.84</v>
      </c>
      <c r="J173" s="203">
        <v>15.18</v>
      </c>
      <c r="K173" s="203">
        <v>224.69</v>
      </c>
      <c r="L173" s="203">
        <v>124.31</v>
      </c>
      <c r="M173" s="203">
        <v>36.67</v>
      </c>
      <c r="N173" s="196"/>
    </row>
    <row r="174" spans="1:15" s="199" customFormat="1" x14ac:dyDescent="0.35">
      <c r="A174" s="195">
        <v>806698</v>
      </c>
      <c r="B174" s="196"/>
      <c r="C174" s="200">
        <v>1.120536</v>
      </c>
      <c r="D174" s="196">
        <v>7.0000000000000007E-2</v>
      </c>
      <c r="E174" s="196">
        <v>0.4</v>
      </c>
      <c r="F174" s="196">
        <v>0.06</v>
      </c>
      <c r="G174" s="196">
        <v>1.56</v>
      </c>
      <c r="H174" s="196">
        <v>0.19</v>
      </c>
      <c r="I174" s="203">
        <v>12.91</v>
      </c>
      <c r="J174" s="203">
        <v>24.07</v>
      </c>
      <c r="K174" s="203">
        <v>29.79</v>
      </c>
      <c r="L174" s="203">
        <v>139.28</v>
      </c>
      <c r="M174" s="203">
        <v>13.56</v>
      </c>
      <c r="N174" s="196"/>
    </row>
    <row r="175" spans="1:15" s="199" customFormat="1" x14ac:dyDescent="0.35">
      <c r="A175" s="195">
        <v>806699</v>
      </c>
      <c r="B175" s="196"/>
      <c r="C175" s="200">
        <v>1.2325896000000001</v>
      </c>
      <c r="D175" s="196">
        <v>0.08</v>
      </c>
      <c r="E175" s="196">
        <v>0.44</v>
      </c>
      <c r="F175" s="196">
        <v>0.03</v>
      </c>
      <c r="G175" s="196">
        <v>1.78</v>
      </c>
      <c r="H175" s="196">
        <v>0.2</v>
      </c>
      <c r="I175" s="203">
        <v>15.07</v>
      </c>
      <c r="J175" s="203">
        <v>24.67</v>
      </c>
      <c r="K175" s="203">
        <v>36.92</v>
      </c>
      <c r="L175" s="203">
        <v>180.78</v>
      </c>
      <c r="M175" s="203">
        <v>14.13</v>
      </c>
      <c r="N175" s="196"/>
    </row>
    <row r="176" spans="1:15" s="199" customFormat="1" x14ac:dyDescent="0.35">
      <c r="A176" s="195">
        <v>806700</v>
      </c>
      <c r="B176" s="196"/>
      <c r="C176" s="200">
        <v>1.4286833999999999</v>
      </c>
      <c r="D176" s="196">
        <v>7.0000000000000007E-2</v>
      </c>
      <c r="E176" s="196">
        <v>0.31</v>
      </c>
      <c r="F176" s="196">
        <v>7.0000000000000007E-2</v>
      </c>
      <c r="G176" s="196">
        <v>1.66</v>
      </c>
      <c r="H176" s="196">
        <v>0.23</v>
      </c>
      <c r="I176" s="203">
        <v>16.53</v>
      </c>
      <c r="J176" s="203">
        <v>22.01</v>
      </c>
      <c r="K176" s="203">
        <v>43.98</v>
      </c>
      <c r="L176" s="203">
        <v>189.16</v>
      </c>
      <c r="M176" s="203">
        <v>10.82</v>
      </c>
      <c r="N176" s="196"/>
    </row>
    <row r="177" spans="1:14" s="199" customFormat="1" x14ac:dyDescent="0.35">
      <c r="A177" s="195">
        <v>806701</v>
      </c>
      <c r="B177" s="196"/>
      <c r="C177" s="200">
        <v>1.3166298000000001</v>
      </c>
      <c r="D177" s="196">
        <v>7.0000000000000007E-2</v>
      </c>
      <c r="E177" s="196">
        <v>0.44</v>
      </c>
      <c r="F177" s="196">
        <v>0.04</v>
      </c>
      <c r="G177" s="196">
        <v>1.47</v>
      </c>
      <c r="H177" s="196">
        <v>0.18</v>
      </c>
      <c r="I177" s="203">
        <v>15.73</v>
      </c>
      <c r="J177" s="203">
        <v>44.38</v>
      </c>
      <c r="K177" s="203">
        <v>40.549999999999997</v>
      </c>
      <c r="L177" s="203">
        <v>130.26</v>
      </c>
      <c r="M177" s="203">
        <v>13.25</v>
      </c>
      <c r="N177" s="196"/>
    </row>
    <row r="178" spans="1:14" s="199" customFormat="1" x14ac:dyDescent="0.35">
      <c r="A178" s="195">
        <v>806702</v>
      </c>
      <c r="B178" s="196"/>
      <c r="C178" s="200">
        <v>1.2325896000000001</v>
      </c>
      <c r="D178" s="196">
        <v>0.06</v>
      </c>
      <c r="E178" s="196">
        <v>0.32</v>
      </c>
      <c r="F178" s="196">
        <v>0.05</v>
      </c>
      <c r="G178" s="196">
        <v>1.65</v>
      </c>
      <c r="H178" s="196">
        <v>0.19</v>
      </c>
      <c r="I178" s="203">
        <v>17.96</v>
      </c>
      <c r="J178" s="203">
        <v>54.13</v>
      </c>
      <c r="K178" s="203">
        <v>41.51</v>
      </c>
      <c r="L178" s="203">
        <v>181.84</v>
      </c>
      <c r="M178" s="203">
        <v>11.68</v>
      </c>
      <c r="N178" s="196"/>
    </row>
    <row r="179" spans="1:14" s="199" customFormat="1" x14ac:dyDescent="0.35">
      <c r="A179" s="195">
        <v>806703</v>
      </c>
      <c r="B179" s="196"/>
      <c r="C179" s="200">
        <v>1.2886164</v>
      </c>
      <c r="D179" s="196">
        <v>7.0000000000000007E-2</v>
      </c>
      <c r="E179" s="196">
        <v>0.36</v>
      </c>
      <c r="F179" s="196">
        <v>0.04</v>
      </c>
      <c r="G179" s="196">
        <v>1.66</v>
      </c>
      <c r="H179" s="196">
        <v>0.22</v>
      </c>
      <c r="I179" s="203">
        <v>9.24</v>
      </c>
      <c r="J179" s="203">
        <v>69.099999999999994</v>
      </c>
      <c r="K179" s="203">
        <v>41.47</v>
      </c>
      <c r="L179" s="203">
        <v>168.2</v>
      </c>
      <c r="M179" s="203">
        <v>13.09</v>
      </c>
      <c r="N179" s="196"/>
    </row>
    <row r="180" spans="1:14" s="199" customFormat="1" x14ac:dyDescent="0.35">
      <c r="A180" s="195">
        <v>806704</v>
      </c>
      <c r="B180" s="196"/>
      <c r="C180" s="200">
        <v>1.3446431999999999</v>
      </c>
      <c r="D180" s="196">
        <v>0.08</v>
      </c>
      <c r="E180" s="196">
        <v>0.37</v>
      </c>
      <c r="F180" s="196">
        <v>0.04</v>
      </c>
      <c r="G180" s="196">
        <v>1.69</v>
      </c>
      <c r="H180" s="196">
        <v>0.21</v>
      </c>
      <c r="I180" s="203">
        <v>11.69</v>
      </c>
      <c r="J180" s="203">
        <v>49.26</v>
      </c>
      <c r="K180" s="203">
        <v>41.89</v>
      </c>
      <c r="L180" s="203">
        <v>140.68</v>
      </c>
      <c r="M180" s="203">
        <v>13.41</v>
      </c>
      <c r="N180" s="196"/>
    </row>
    <row r="181" spans="1:14" s="199" customFormat="1" x14ac:dyDescent="0.35">
      <c r="A181" s="195">
        <v>806705</v>
      </c>
      <c r="B181" s="196"/>
      <c r="C181" s="200">
        <v>1.2045762</v>
      </c>
      <c r="D181" s="196">
        <v>0.08</v>
      </c>
      <c r="E181" s="196">
        <v>0.37</v>
      </c>
      <c r="F181" s="196">
        <v>0.03</v>
      </c>
      <c r="G181" s="196">
        <v>1.68</v>
      </c>
      <c r="H181" s="196">
        <v>0.19</v>
      </c>
      <c r="I181" s="203">
        <v>9.1</v>
      </c>
      <c r="J181" s="203">
        <v>68.08</v>
      </c>
      <c r="K181" s="203">
        <v>42.34</v>
      </c>
      <c r="L181" s="203">
        <v>148.22</v>
      </c>
      <c r="M181" s="203">
        <v>14.58</v>
      </c>
      <c r="N181" s="196"/>
    </row>
    <row r="182" spans="1:14" s="199" customFormat="1" x14ac:dyDescent="0.35">
      <c r="A182" s="195">
        <v>806706</v>
      </c>
      <c r="B182" s="196"/>
      <c r="C182" s="200">
        <v>1.0925226000000001</v>
      </c>
      <c r="D182" s="196">
        <v>0.05</v>
      </c>
      <c r="E182" s="196">
        <v>0.25</v>
      </c>
      <c r="F182" s="196">
        <v>0.04</v>
      </c>
      <c r="G182" s="196">
        <v>2.02</v>
      </c>
      <c r="H182" s="196">
        <v>0.23</v>
      </c>
      <c r="I182" s="203">
        <v>9.9600000000000009</v>
      </c>
      <c r="J182" s="203">
        <v>104.12</v>
      </c>
      <c r="K182" s="203">
        <v>42.21</v>
      </c>
      <c r="L182" s="203">
        <v>255.85</v>
      </c>
      <c r="M182" s="203">
        <v>12.14</v>
      </c>
      <c r="N182" s="196"/>
    </row>
    <row r="183" spans="1:14" s="199" customFormat="1" x14ac:dyDescent="0.35">
      <c r="A183" s="195">
        <v>806707</v>
      </c>
      <c r="B183" s="196"/>
      <c r="C183" s="200">
        <v>0.9</v>
      </c>
      <c r="D183" s="196">
        <v>0.12</v>
      </c>
      <c r="E183" s="196">
        <v>0.2</v>
      </c>
      <c r="F183" s="196">
        <v>1.7000000000000001E-2</v>
      </c>
      <c r="G183" s="196">
        <v>0.71</v>
      </c>
      <c r="H183" s="196">
        <v>0.23</v>
      </c>
      <c r="I183" s="203">
        <v>6.41</v>
      </c>
      <c r="J183" s="203">
        <v>50.73</v>
      </c>
      <c r="K183" s="203">
        <v>35.619999999999997</v>
      </c>
      <c r="L183" s="203">
        <v>148.5</v>
      </c>
      <c r="M183" s="203">
        <v>20.059999999999999</v>
      </c>
      <c r="N183" s="196"/>
    </row>
    <row r="184" spans="1:14" s="199" customFormat="1" x14ac:dyDescent="0.35">
      <c r="A184" s="195">
        <v>806708</v>
      </c>
      <c r="B184" s="196"/>
      <c r="C184" s="200">
        <v>1.01</v>
      </c>
      <c r="D184" s="196">
        <v>0.15000000000000002</v>
      </c>
      <c r="E184" s="196">
        <v>0.21</v>
      </c>
      <c r="F184" s="196">
        <v>1.7999999999999999E-2</v>
      </c>
      <c r="G184" s="196">
        <v>0.98</v>
      </c>
      <c r="H184" s="196">
        <v>0.17</v>
      </c>
      <c r="I184" s="203">
        <v>49.33</v>
      </c>
      <c r="J184" s="203">
        <v>3.09</v>
      </c>
      <c r="K184" s="203">
        <v>21.55</v>
      </c>
      <c r="L184" s="203">
        <v>97.78</v>
      </c>
      <c r="M184" s="203">
        <v>26.88</v>
      </c>
      <c r="N184" s="196"/>
    </row>
    <row r="185" spans="1:14" s="199" customFormat="1" x14ac:dyDescent="0.35">
      <c r="A185" s="195">
        <v>806709</v>
      </c>
      <c r="B185" s="196"/>
      <c r="C185" s="200">
        <v>2.19</v>
      </c>
      <c r="D185" s="196">
        <v>0.18</v>
      </c>
      <c r="E185" s="196">
        <v>0.47</v>
      </c>
      <c r="F185" s="196">
        <v>1.7999999999999999E-2</v>
      </c>
      <c r="G185" s="196">
        <v>1.5</v>
      </c>
      <c r="H185" s="196">
        <v>0.18</v>
      </c>
      <c r="I185" s="203">
        <v>29.99</v>
      </c>
      <c r="J185" s="203">
        <v>2.42</v>
      </c>
      <c r="K185" s="203">
        <v>42.73</v>
      </c>
      <c r="L185" s="203">
        <v>123.3</v>
      </c>
      <c r="M185" s="203">
        <v>33.909999999999997</v>
      </c>
      <c r="N185" s="196"/>
    </row>
    <row r="186" spans="1:14" s="199" customFormat="1" x14ac:dyDescent="0.35">
      <c r="A186" s="195">
        <v>806710</v>
      </c>
      <c r="B186" s="196"/>
      <c r="C186" s="200">
        <v>2.4700000000000002</v>
      </c>
      <c r="D186" s="196">
        <v>0.15000000000000002</v>
      </c>
      <c r="E186" s="196">
        <v>0.33</v>
      </c>
      <c r="F186" s="196">
        <v>1.0999999999999999E-2</v>
      </c>
      <c r="G186" s="196">
        <v>1.64</v>
      </c>
      <c r="H186" s="196">
        <v>0.17</v>
      </c>
      <c r="I186" s="203">
        <v>36.119999999999997</v>
      </c>
      <c r="J186" s="203">
        <v>4.09</v>
      </c>
      <c r="K186" s="203">
        <v>79.23</v>
      </c>
      <c r="L186" s="203">
        <v>121.83</v>
      </c>
      <c r="M186" s="203">
        <v>28.09</v>
      </c>
      <c r="N186" s="196"/>
    </row>
    <row r="187" spans="1:14" s="199" customFormat="1" x14ac:dyDescent="0.35">
      <c r="A187" s="195">
        <v>806711</v>
      </c>
      <c r="B187" s="196"/>
      <c r="C187" s="200">
        <v>2.19</v>
      </c>
      <c r="D187" s="196">
        <v>0.18</v>
      </c>
      <c r="E187" s="196">
        <v>0.43</v>
      </c>
      <c r="F187" s="196">
        <v>1.4E-2</v>
      </c>
      <c r="G187" s="196">
        <v>1.49</v>
      </c>
      <c r="H187" s="196">
        <v>0.3</v>
      </c>
      <c r="I187" s="203">
        <v>22.04</v>
      </c>
      <c r="J187" s="203">
        <v>4.8099999999999996</v>
      </c>
      <c r="K187" s="203">
        <v>32.5</v>
      </c>
      <c r="L187" s="203">
        <v>86.19</v>
      </c>
      <c r="M187" s="203">
        <v>42.52</v>
      </c>
      <c r="N187" s="196"/>
    </row>
    <row r="188" spans="1:14" s="199" customFormat="1" x14ac:dyDescent="0.35">
      <c r="A188" s="195">
        <v>806712</v>
      </c>
      <c r="B188" s="196"/>
      <c r="C188" s="200">
        <v>1.99</v>
      </c>
      <c r="D188" s="196">
        <v>0.21000000000000002</v>
      </c>
      <c r="E188" s="196">
        <v>0.46</v>
      </c>
      <c r="F188" s="196">
        <v>0.02</v>
      </c>
      <c r="G188" s="196">
        <v>1.52</v>
      </c>
      <c r="H188" s="196">
        <v>0.32</v>
      </c>
      <c r="I188" s="203">
        <v>42.16</v>
      </c>
      <c r="J188" s="203">
        <v>5.95</v>
      </c>
      <c r="K188" s="203">
        <v>60.93</v>
      </c>
      <c r="L188" s="203">
        <v>209.36</v>
      </c>
      <c r="M188" s="203">
        <v>31.18</v>
      </c>
      <c r="N188" s="196"/>
    </row>
    <row r="189" spans="1:14" s="199" customFormat="1" x14ac:dyDescent="0.35">
      <c r="A189" s="195">
        <v>806713</v>
      </c>
      <c r="B189" s="196"/>
      <c r="C189" s="200">
        <v>2.2400000000000002</v>
      </c>
      <c r="D189" s="196">
        <v>0.12</v>
      </c>
      <c r="E189" s="196">
        <v>0.27</v>
      </c>
      <c r="F189" s="196">
        <v>1.7999999999999999E-2</v>
      </c>
      <c r="G189" s="196">
        <v>2.4300000000000002</v>
      </c>
      <c r="H189" s="196">
        <v>0.18</v>
      </c>
      <c r="I189" s="203">
        <v>16</v>
      </c>
      <c r="J189" s="203">
        <v>2.58</v>
      </c>
      <c r="K189" s="203">
        <v>15.66</v>
      </c>
      <c r="L189" s="203">
        <v>69.260000000000005</v>
      </c>
      <c r="M189" s="203">
        <v>14.62</v>
      </c>
      <c r="N189" s="196"/>
    </row>
    <row r="190" spans="1:14" s="199" customFormat="1" x14ac:dyDescent="0.35">
      <c r="A190" s="195">
        <v>806714</v>
      </c>
      <c r="B190" s="196"/>
      <c r="C190" s="200">
        <v>1.99</v>
      </c>
      <c r="D190" s="196">
        <v>0.12</v>
      </c>
      <c r="E190" s="196">
        <v>0.33</v>
      </c>
      <c r="F190" s="196">
        <v>1.0999999999999999E-2</v>
      </c>
      <c r="G190" s="196">
        <v>2.77</v>
      </c>
      <c r="H190" s="196">
        <v>0.22</v>
      </c>
      <c r="I190" s="203">
        <v>6.87</v>
      </c>
      <c r="J190" s="203">
        <v>3.63</v>
      </c>
      <c r="K190" s="203">
        <v>5.93</v>
      </c>
      <c r="L190" s="203">
        <v>87.4</v>
      </c>
      <c r="M190" s="203">
        <v>14.39</v>
      </c>
      <c r="N190" s="196"/>
    </row>
    <row r="191" spans="1:14" s="199" customFormat="1" x14ac:dyDescent="0.35">
      <c r="A191" s="195">
        <v>806715</v>
      </c>
      <c r="B191" s="196"/>
      <c r="C191" s="200">
        <v>2.13</v>
      </c>
      <c r="D191" s="196">
        <v>0.12</v>
      </c>
      <c r="E191" s="196">
        <v>0.26</v>
      </c>
      <c r="F191" s="196">
        <v>1.2999999999999999E-2</v>
      </c>
      <c r="G191" s="196">
        <v>3.15</v>
      </c>
      <c r="H191" s="196">
        <v>0.23</v>
      </c>
      <c r="I191" s="203">
        <v>32.67</v>
      </c>
      <c r="J191" s="203">
        <v>2.27</v>
      </c>
      <c r="K191" s="203">
        <v>36.130000000000003</v>
      </c>
      <c r="L191" s="203">
        <v>90.83</v>
      </c>
      <c r="M191" s="203">
        <v>23.99</v>
      </c>
      <c r="N191" s="196"/>
    </row>
    <row r="192" spans="1:14" s="199" customFormat="1" x14ac:dyDescent="0.35">
      <c r="A192" s="195">
        <v>806716</v>
      </c>
      <c r="B192" s="196"/>
      <c r="C192" s="200">
        <v>2.0699999999999998</v>
      </c>
      <c r="D192" s="196">
        <v>0.12</v>
      </c>
      <c r="E192" s="196">
        <v>0.4</v>
      </c>
      <c r="F192" s="196">
        <v>1.2999999999999999E-2</v>
      </c>
      <c r="G192" s="196">
        <v>1.75</v>
      </c>
      <c r="H192" s="196">
        <v>0.18</v>
      </c>
      <c r="I192" s="203">
        <v>29.8</v>
      </c>
      <c r="J192" s="203">
        <v>5.57</v>
      </c>
      <c r="K192" s="203">
        <v>33.32</v>
      </c>
      <c r="L192" s="203">
        <v>107.9</v>
      </c>
      <c r="M192" s="203">
        <v>12.99</v>
      </c>
      <c r="N192" s="196"/>
    </row>
    <row r="193" spans="1:14" s="199" customFormat="1" x14ac:dyDescent="0.35">
      <c r="A193" s="195">
        <v>806717</v>
      </c>
      <c r="B193" s="196"/>
      <c r="C193" s="200">
        <v>2.41</v>
      </c>
      <c r="D193" s="196">
        <v>0.12</v>
      </c>
      <c r="E193" s="196">
        <v>0.28999999999999998</v>
      </c>
      <c r="F193" s="196">
        <v>1.0999999999999999E-2</v>
      </c>
      <c r="G193" s="196">
        <v>3.33</v>
      </c>
      <c r="H193" s="196">
        <v>0.18</v>
      </c>
      <c r="I193" s="203">
        <v>17.89</v>
      </c>
      <c r="J193" s="203">
        <v>2.9</v>
      </c>
      <c r="K193" s="203">
        <v>16.88</v>
      </c>
      <c r="L193" s="203">
        <v>56.25</v>
      </c>
      <c r="M193" s="203">
        <v>20.84</v>
      </c>
      <c r="N193" s="196"/>
    </row>
    <row r="194" spans="1:14" s="199" customFormat="1" x14ac:dyDescent="0.35">
      <c r="A194" s="195">
        <v>806718</v>
      </c>
      <c r="B194" s="196"/>
      <c r="C194" s="200">
        <v>2.69</v>
      </c>
      <c r="D194" s="196">
        <v>0.15000000000000002</v>
      </c>
      <c r="E194" s="196">
        <v>0.39</v>
      </c>
      <c r="F194" s="196">
        <v>1.2999999999999999E-2</v>
      </c>
      <c r="G194" s="196">
        <v>2.75</v>
      </c>
      <c r="H194" s="196">
        <v>0.15</v>
      </c>
      <c r="I194" s="203">
        <v>10.91</v>
      </c>
      <c r="J194" s="203">
        <v>1.6</v>
      </c>
      <c r="K194" s="203">
        <v>21.52</v>
      </c>
      <c r="L194" s="203">
        <v>83.07</v>
      </c>
      <c r="M194" s="203">
        <v>53.37</v>
      </c>
      <c r="N194" s="196"/>
    </row>
    <row r="195" spans="1:14" s="199" customFormat="1" x14ac:dyDescent="0.35">
      <c r="A195" s="195">
        <v>806719</v>
      </c>
      <c r="B195" s="196"/>
      <c r="C195" s="200">
        <v>2.13</v>
      </c>
      <c r="D195" s="196">
        <v>0.12</v>
      </c>
      <c r="E195" s="196">
        <v>0.37</v>
      </c>
      <c r="F195" s="196">
        <v>1.7000000000000001E-2</v>
      </c>
      <c r="G195" s="196">
        <v>1.64</v>
      </c>
      <c r="H195" s="196">
        <v>0.19</v>
      </c>
      <c r="I195" s="203">
        <v>26.42</v>
      </c>
      <c r="J195" s="203">
        <v>4.01</v>
      </c>
      <c r="K195" s="203">
        <v>21.38</v>
      </c>
      <c r="L195" s="203">
        <v>126.81</v>
      </c>
      <c r="M195" s="203">
        <v>21.8</v>
      </c>
      <c r="N195" s="196"/>
    </row>
    <row r="196" spans="1:14" s="199" customFormat="1" x14ac:dyDescent="0.35">
      <c r="A196" s="195">
        <v>806720</v>
      </c>
      <c r="B196" s="196"/>
      <c r="C196" s="200">
        <v>2.5499999999999998</v>
      </c>
      <c r="D196" s="196">
        <v>0.15000000000000002</v>
      </c>
      <c r="E196" s="196">
        <v>0.28999999999999998</v>
      </c>
      <c r="F196" s="196">
        <v>1.6E-2</v>
      </c>
      <c r="G196" s="196">
        <v>2.08</v>
      </c>
      <c r="H196" s="196">
        <v>0.17</v>
      </c>
      <c r="I196" s="203">
        <v>15.38</v>
      </c>
      <c r="J196" s="203">
        <v>1.59</v>
      </c>
      <c r="K196" s="203">
        <v>42.79</v>
      </c>
      <c r="L196" s="203">
        <v>102.8</v>
      </c>
      <c r="M196" s="203">
        <v>22.03</v>
      </c>
      <c r="N196" s="196"/>
    </row>
    <row r="197" spans="1:14" s="199" customFormat="1" x14ac:dyDescent="0.35">
      <c r="A197" s="195">
        <v>806721</v>
      </c>
      <c r="B197" s="196"/>
      <c r="C197" s="200">
        <v>3.95</v>
      </c>
      <c r="D197" s="196">
        <v>0.46</v>
      </c>
      <c r="E197" s="196">
        <v>1.86</v>
      </c>
      <c r="F197" s="196">
        <v>2.1999999999999999E-2</v>
      </c>
      <c r="G197" s="196">
        <v>2.54</v>
      </c>
      <c r="H197" s="196">
        <v>0.41</v>
      </c>
      <c r="I197" s="203">
        <v>15.56</v>
      </c>
      <c r="J197" s="203">
        <v>7.24</v>
      </c>
      <c r="K197" s="203">
        <v>67.819999999999993</v>
      </c>
      <c r="L197" s="203">
        <v>69.930000000000007</v>
      </c>
      <c r="M197" s="203">
        <v>49.43</v>
      </c>
      <c r="N197" s="196"/>
    </row>
    <row r="198" spans="1:14" s="199" customFormat="1" x14ac:dyDescent="0.35">
      <c r="A198" s="195">
        <v>806722</v>
      </c>
      <c r="B198" s="196"/>
      <c r="C198" s="200">
        <v>4.99</v>
      </c>
      <c r="D198" s="196">
        <v>0.77</v>
      </c>
      <c r="E198" s="196">
        <v>2.06</v>
      </c>
      <c r="F198" s="196">
        <v>1.7999999999999999E-2</v>
      </c>
      <c r="G198" s="196">
        <v>1.26</v>
      </c>
      <c r="H198" s="196">
        <v>0.46</v>
      </c>
      <c r="I198" s="203">
        <v>21.65</v>
      </c>
      <c r="J198" s="203">
        <v>10.44</v>
      </c>
      <c r="K198" s="203">
        <v>65.11</v>
      </c>
      <c r="L198" s="203">
        <v>46.57</v>
      </c>
      <c r="M198" s="203">
        <v>20.46</v>
      </c>
      <c r="N198" s="196"/>
    </row>
    <row r="199" spans="1:14" s="199" customFormat="1" x14ac:dyDescent="0.35">
      <c r="A199" s="195">
        <v>806723</v>
      </c>
      <c r="B199" s="196"/>
      <c r="C199" s="200">
        <v>3.4456481999999999</v>
      </c>
      <c r="D199" s="196">
        <v>0.46</v>
      </c>
      <c r="E199" s="196">
        <v>2.09</v>
      </c>
      <c r="F199" s="196">
        <v>5.8999999999999997E-2</v>
      </c>
      <c r="G199" s="196">
        <v>3.68</v>
      </c>
      <c r="H199" s="196">
        <v>0.41</v>
      </c>
      <c r="I199" s="203">
        <v>45.9</v>
      </c>
      <c r="J199" s="203">
        <v>6.55</v>
      </c>
      <c r="K199" s="203">
        <v>257.95999999999998</v>
      </c>
      <c r="L199" s="203">
        <v>195.27</v>
      </c>
      <c r="M199" s="203">
        <v>53.61</v>
      </c>
      <c r="N199" s="196"/>
    </row>
    <row r="200" spans="1:14" s="199" customFormat="1" x14ac:dyDescent="0.35">
      <c r="A200" s="195">
        <v>806724</v>
      </c>
      <c r="B200" s="196"/>
      <c r="C200" s="200">
        <v>3.9498894000000009</v>
      </c>
      <c r="D200" s="196">
        <v>0.56999999999999995</v>
      </c>
      <c r="E200" s="196">
        <v>2.5499999999999998</v>
      </c>
      <c r="F200" s="196">
        <v>0.05</v>
      </c>
      <c r="G200" s="196">
        <v>3.88</v>
      </c>
      <c r="H200" s="196">
        <v>0.46</v>
      </c>
      <c r="I200" s="203">
        <v>20.6</v>
      </c>
      <c r="J200" s="203">
        <v>17.09</v>
      </c>
      <c r="K200" s="203">
        <v>72.53</v>
      </c>
      <c r="L200" s="203">
        <v>194.7</v>
      </c>
      <c r="M200" s="203">
        <v>48.41</v>
      </c>
      <c r="N200" s="196"/>
    </row>
    <row r="201" spans="1:14" s="199" customFormat="1" x14ac:dyDescent="0.35">
      <c r="A201" s="195">
        <v>806725</v>
      </c>
      <c r="B201" s="196"/>
      <c r="C201" s="196">
        <v>3.45</v>
      </c>
      <c r="D201" s="196">
        <v>0.51</v>
      </c>
      <c r="E201" s="196">
        <v>2.93</v>
      </c>
      <c r="F201" s="196">
        <v>0.02</v>
      </c>
      <c r="G201" s="196">
        <v>3.02</v>
      </c>
      <c r="H201" s="196">
        <v>0.66</v>
      </c>
      <c r="I201" s="203">
        <v>52.79</v>
      </c>
      <c r="J201" s="203">
        <v>41.22</v>
      </c>
      <c r="K201" s="203">
        <v>92.92</v>
      </c>
      <c r="L201" s="203">
        <v>529.75</v>
      </c>
      <c r="M201" s="203">
        <v>90.03</v>
      </c>
      <c r="N201" s="196"/>
    </row>
    <row r="202" spans="1:14" s="199" customFormat="1" x14ac:dyDescent="0.35">
      <c r="A202" s="195">
        <v>806726</v>
      </c>
      <c r="B202" s="196"/>
      <c r="C202" s="196">
        <v>3.87</v>
      </c>
      <c r="D202" s="196">
        <v>0.56999999999999995</v>
      </c>
      <c r="E202" s="196">
        <v>2.0099999999999998</v>
      </c>
      <c r="F202" s="196">
        <v>0.02</v>
      </c>
      <c r="G202" s="196">
        <v>2.88</v>
      </c>
      <c r="H202" s="196">
        <v>0.61</v>
      </c>
      <c r="I202" s="203">
        <v>30.09</v>
      </c>
      <c r="J202" s="203">
        <v>21.95</v>
      </c>
      <c r="K202" s="203">
        <v>95.36</v>
      </c>
      <c r="L202" s="203">
        <v>364.7</v>
      </c>
      <c r="M202" s="203">
        <v>38.24</v>
      </c>
      <c r="N202" s="196"/>
    </row>
    <row r="203" spans="1:14" s="199" customFormat="1" x14ac:dyDescent="0.35">
      <c r="A203" s="195">
        <v>806727</v>
      </c>
      <c r="B203" s="196"/>
      <c r="C203" s="196">
        <v>3.59</v>
      </c>
      <c r="D203" s="196">
        <v>0.53</v>
      </c>
      <c r="E203" s="196">
        <v>2.1</v>
      </c>
      <c r="F203" s="196">
        <v>0.02</v>
      </c>
      <c r="G203" s="196">
        <v>2.79</v>
      </c>
      <c r="H203" s="196">
        <v>0.75</v>
      </c>
      <c r="I203" s="203">
        <v>23.84</v>
      </c>
      <c r="J203" s="203">
        <v>15.18</v>
      </c>
      <c r="K203" s="203">
        <v>224.69</v>
      </c>
      <c r="L203" s="203">
        <v>124.31</v>
      </c>
      <c r="M203" s="203">
        <v>36.67</v>
      </c>
      <c r="N203" s="196"/>
    </row>
    <row r="204" spans="1:14" s="199" customFormat="1" x14ac:dyDescent="0.35">
      <c r="A204" s="195">
        <v>806723</v>
      </c>
      <c r="B204" s="196"/>
      <c r="C204" s="196">
        <v>3.95</v>
      </c>
      <c r="D204" s="196">
        <v>0.25</v>
      </c>
      <c r="E204" s="196">
        <v>3.61</v>
      </c>
      <c r="F204" s="196">
        <v>0.18</v>
      </c>
      <c r="G204" s="196">
        <v>5.19</v>
      </c>
      <c r="H204" s="196">
        <v>0.36</v>
      </c>
      <c r="I204" s="203">
        <v>15.67</v>
      </c>
      <c r="J204" s="203">
        <v>97.55</v>
      </c>
      <c r="K204" s="203">
        <v>92.4</v>
      </c>
      <c r="L204" s="203">
        <v>64.87</v>
      </c>
      <c r="M204" s="203">
        <v>25.28</v>
      </c>
      <c r="N204" s="196"/>
    </row>
    <row r="205" spans="1:14" s="199" customFormat="1" x14ac:dyDescent="0.35">
      <c r="A205" s="195">
        <v>806724</v>
      </c>
      <c r="B205" s="196"/>
      <c r="C205" s="196">
        <v>4.01</v>
      </c>
      <c r="D205" s="196">
        <v>0.22</v>
      </c>
      <c r="E205" s="196">
        <v>2.46</v>
      </c>
      <c r="F205" s="196">
        <v>0.1</v>
      </c>
      <c r="G205" s="196">
        <v>3.54</v>
      </c>
      <c r="H205" s="196">
        <v>0.27</v>
      </c>
      <c r="I205" s="203">
        <v>16.34</v>
      </c>
      <c r="J205" s="203">
        <v>145.38999999999999</v>
      </c>
      <c r="K205" s="203">
        <v>98.32</v>
      </c>
      <c r="L205" s="203">
        <v>85.56</v>
      </c>
      <c r="M205" s="203">
        <v>30.6</v>
      </c>
      <c r="N205" s="196"/>
    </row>
    <row r="206" spans="1:14" s="199" customFormat="1" x14ac:dyDescent="0.35">
      <c r="A206" s="195">
        <v>806725</v>
      </c>
      <c r="B206" s="196"/>
      <c r="C206" s="196">
        <v>3.36</v>
      </c>
      <c r="D206" s="196">
        <v>0.36</v>
      </c>
      <c r="E206" s="196">
        <v>1.78</v>
      </c>
      <c r="F206" s="196">
        <v>0.02</v>
      </c>
      <c r="G206" s="196">
        <v>1.53</v>
      </c>
      <c r="H206" s="196">
        <v>0.62</v>
      </c>
      <c r="I206" s="203">
        <v>15.51</v>
      </c>
      <c r="J206" s="203">
        <v>3.81</v>
      </c>
      <c r="K206" s="203">
        <v>30.93</v>
      </c>
      <c r="L206" s="203">
        <v>86.24</v>
      </c>
      <c r="M206" s="203">
        <v>61.23</v>
      </c>
      <c r="N206" s="196"/>
    </row>
    <row r="207" spans="1:14" s="199" customFormat="1" x14ac:dyDescent="0.35">
      <c r="A207" s="195">
        <v>806726</v>
      </c>
      <c r="B207" s="196"/>
      <c r="C207" s="196">
        <v>3.5</v>
      </c>
      <c r="D207" s="196">
        <v>0.39</v>
      </c>
      <c r="E207" s="196">
        <v>2.16</v>
      </c>
      <c r="F207" s="196">
        <v>0.03</v>
      </c>
      <c r="G207" s="196">
        <v>1.81</v>
      </c>
      <c r="H207" s="196">
        <v>0.73</v>
      </c>
      <c r="I207" s="203">
        <v>18.239999999999998</v>
      </c>
      <c r="J207" s="203">
        <v>3.61</v>
      </c>
      <c r="K207" s="203">
        <v>23.2</v>
      </c>
      <c r="L207" s="203">
        <v>100.82</v>
      </c>
      <c r="M207" s="203">
        <v>60.06</v>
      </c>
      <c r="N207" s="196"/>
    </row>
    <row r="208" spans="1:14" s="199" customFormat="1" x14ac:dyDescent="0.35">
      <c r="A208" s="195">
        <v>806727</v>
      </c>
      <c r="B208" s="196"/>
      <c r="C208" s="196">
        <v>3.59</v>
      </c>
      <c r="D208" s="196">
        <v>0.28999999999999998</v>
      </c>
      <c r="E208" s="196">
        <v>1.75</v>
      </c>
      <c r="F208" s="196">
        <v>0.02</v>
      </c>
      <c r="G208" s="196">
        <v>2.14</v>
      </c>
      <c r="H208" s="196">
        <v>0.9</v>
      </c>
      <c r="I208" s="203">
        <v>15.84</v>
      </c>
      <c r="J208" s="203">
        <v>3.6</v>
      </c>
      <c r="K208" s="203">
        <v>27.46</v>
      </c>
      <c r="L208" s="203">
        <v>106.13</v>
      </c>
      <c r="M208" s="203">
        <v>59.32</v>
      </c>
      <c r="N208" s="196"/>
    </row>
    <row r="209" spans="1:14" s="199" customFormat="1" x14ac:dyDescent="0.35">
      <c r="A209" s="195">
        <v>806728</v>
      </c>
      <c r="B209" s="196"/>
      <c r="C209" s="196">
        <v>2.02</v>
      </c>
      <c r="D209" s="196">
        <v>0.13</v>
      </c>
      <c r="E209" s="196">
        <v>0.91</v>
      </c>
      <c r="F209" s="196">
        <v>0.2</v>
      </c>
      <c r="G209" s="196">
        <v>2.1800000000000002</v>
      </c>
      <c r="H209" s="196">
        <v>0.18</v>
      </c>
      <c r="I209" s="203">
        <v>55.63</v>
      </c>
      <c r="J209" s="203">
        <v>4.33</v>
      </c>
      <c r="K209" s="203">
        <v>85.4</v>
      </c>
      <c r="L209" s="203">
        <v>153.78</v>
      </c>
      <c r="M209" s="203">
        <v>67.61</v>
      </c>
      <c r="N209" s="196"/>
    </row>
    <row r="210" spans="1:14" s="199" customFormat="1" x14ac:dyDescent="0.35">
      <c r="A210" s="195">
        <v>806729</v>
      </c>
      <c r="B210" s="196"/>
      <c r="C210" s="196">
        <v>2.2999999999999998</v>
      </c>
      <c r="D210" s="196">
        <v>0.1</v>
      </c>
      <c r="E210" s="196">
        <v>1.32</v>
      </c>
      <c r="F210" s="196">
        <v>0.04</v>
      </c>
      <c r="G210" s="196">
        <v>4.71</v>
      </c>
      <c r="H210" s="196">
        <v>0.25</v>
      </c>
      <c r="I210" s="203">
        <v>55.11</v>
      </c>
      <c r="J210" s="203">
        <v>3.98</v>
      </c>
      <c r="K210" s="203">
        <v>129.41999999999999</v>
      </c>
      <c r="L210" s="203">
        <v>126.56</v>
      </c>
      <c r="M210" s="203">
        <v>79.38</v>
      </c>
      <c r="N210" s="196"/>
    </row>
    <row r="211" spans="1:14" s="199" customFormat="1" x14ac:dyDescent="0.35">
      <c r="A211" s="195">
        <v>806730</v>
      </c>
      <c r="B211" s="196"/>
      <c r="C211" s="196">
        <v>2.27</v>
      </c>
      <c r="D211" s="196">
        <v>0.12</v>
      </c>
      <c r="E211" s="196">
        <v>1.84</v>
      </c>
      <c r="F211" s="196">
        <v>0.04</v>
      </c>
      <c r="G211" s="196">
        <v>4.7300000000000004</v>
      </c>
      <c r="H211" s="196">
        <v>0.18</v>
      </c>
      <c r="I211" s="203">
        <v>68.38</v>
      </c>
      <c r="J211" s="203">
        <v>3.72</v>
      </c>
      <c r="K211" s="203">
        <v>171</v>
      </c>
      <c r="L211" s="203">
        <v>156.09</v>
      </c>
      <c r="M211" s="203">
        <v>107.87</v>
      </c>
      <c r="N211" s="196"/>
    </row>
    <row r="212" spans="1:14" s="199" customFormat="1" x14ac:dyDescent="0.35">
      <c r="A212" s="195">
        <v>806731</v>
      </c>
      <c r="B212" s="196"/>
      <c r="C212" s="196">
        <v>2.21</v>
      </c>
      <c r="D212" s="196">
        <v>0.11</v>
      </c>
      <c r="E212" s="196">
        <v>0.93</v>
      </c>
      <c r="F212" s="196">
        <v>0.1</v>
      </c>
      <c r="G212" s="196">
        <v>6.92</v>
      </c>
      <c r="H212" s="196">
        <v>0.23</v>
      </c>
      <c r="I212" s="203">
        <v>0.93</v>
      </c>
      <c r="J212" s="203">
        <v>4.21</v>
      </c>
      <c r="K212" s="203">
        <v>73.14</v>
      </c>
      <c r="L212" s="203">
        <v>123.89</v>
      </c>
      <c r="M212" s="203">
        <v>99.4</v>
      </c>
      <c r="N212" s="196"/>
    </row>
    <row r="213" spans="1:14" s="199" customFormat="1" x14ac:dyDescent="0.35">
      <c r="A213" s="195">
        <v>806732</v>
      </c>
      <c r="B213" s="196"/>
      <c r="C213" s="196">
        <v>2.35</v>
      </c>
      <c r="D213" s="196">
        <v>0.11</v>
      </c>
      <c r="E213" s="196">
        <v>1.18</v>
      </c>
      <c r="F213" s="196">
        <v>0.08</v>
      </c>
      <c r="G213" s="196">
        <v>3.91</v>
      </c>
      <c r="H213" s="196">
        <v>0.22</v>
      </c>
      <c r="I213" s="203">
        <v>99.38</v>
      </c>
      <c r="J213" s="203">
        <v>2.62</v>
      </c>
      <c r="K213" s="203">
        <v>88.54</v>
      </c>
      <c r="L213" s="203">
        <v>146.66</v>
      </c>
      <c r="M213" s="203">
        <v>79.8</v>
      </c>
      <c r="N213" s="196"/>
    </row>
    <row r="214" spans="1:14" s="199" customFormat="1" x14ac:dyDescent="0.35">
      <c r="A214" s="195">
        <v>806733</v>
      </c>
      <c r="B214" s="196"/>
      <c r="C214" s="196">
        <v>2.2999999999999998</v>
      </c>
      <c r="D214" s="196">
        <v>0.11</v>
      </c>
      <c r="E214" s="196">
        <v>0.9</v>
      </c>
      <c r="F214" s="196">
        <v>0.05</v>
      </c>
      <c r="G214" s="196">
        <v>2.5299999999999998</v>
      </c>
      <c r="H214" s="196">
        <v>0.27</v>
      </c>
      <c r="I214" s="203">
        <v>65.56</v>
      </c>
      <c r="J214" s="203">
        <v>3.08</v>
      </c>
      <c r="K214" s="203">
        <v>104.71</v>
      </c>
      <c r="L214" s="203">
        <v>122.31</v>
      </c>
      <c r="M214" s="203">
        <v>109.31</v>
      </c>
      <c r="N214" s="196"/>
    </row>
    <row r="215" spans="1:14" s="199" customFormat="1" x14ac:dyDescent="0.35">
      <c r="A215" s="195">
        <v>806734</v>
      </c>
      <c r="B215" s="196"/>
      <c r="C215" s="196">
        <v>2.19</v>
      </c>
      <c r="D215" s="196">
        <v>0.1</v>
      </c>
      <c r="E215" s="196">
        <v>0.81</v>
      </c>
      <c r="F215" s="196">
        <v>0.09</v>
      </c>
      <c r="G215" s="196">
        <v>5.6</v>
      </c>
      <c r="H215" s="196">
        <v>0.21</v>
      </c>
      <c r="I215" s="203">
        <v>46.33</v>
      </c>
      <c r="J215" s="203">
        <v>3.99</v>
      </c>
      <c r="K215" s="203">
        <v>82.4</v>
      </c>
      <c r="L215" s="203">
        <v>128.22</v>
      </c>
      <c r="M215" s="203">
        <v>69.989999999999995</v>
      </c>
      <c r="N215" s="196"/>
    </row>
    <row r="216" spans="1:14" s="199" customFormat="1" x14ac:dyDescent="0.35">
      <c r="A216" s="195">
        <v>806735</v>
      </c>
      <c r="B216" s="196"/>
      <c r="C216" s="196">
        <v>1.93</v>
      </c>
      <c r="D216" s="196">
        <v>0.09</v>
      </c>
      <c r="E216" s="196">
        <v>0.8</v>
      </c>
      <c r="F216" s="196">
        <v>0.04</v>
      </c>
      <c r="G216" s="196">
        <v>5.72</v>
      </c>
      <c r="H216" s="196">
        <v>0.32</v>
      </c>
      <c r="I216" s="203">
        <v>48.37</v>
      </c>
      <c r="J216" s="203">
        <v>2.25</v>
      </c>
      <c r="K216" s="203">
        <v>103.18</v>
      </c>
      <c r="L216" s="203">
        <v>145.49</v>
      </c>
      <c r="M216" s="203">
        <v>56.42</v>
      </c>
      <c r="N216" s="196"/>
    </row>
    <row r="217" spans="1:14" s="199" customFormat="1" x14ac:dyDescent="0.35">
      <c r="A217" s="195">
        <v>806736</v>
      </c>
      <c r="B217" s="196"/>
      <c r="C217" s="196">
        <v>2.35</v>
      </c>
      <c r="D217" s="196">
        <v>0.12</v>
      </c>
      <c r="E217" s="196">
        <v>0.98</v>
      </c>
      <c r="F217" s="196">
        <v>7.0000000000000007E-2</v>
      </c>
      <c r="G217" s="196">
        <v>2.66</v>
      </c>
      <c r="H217" s="196">
        <v>0.23</v>
      </c>
      <c r="I217" s="203">
        <v>44.41</v>
      </c>
      <c r="J217" s="203">
        <v>3.6</v>
      </c>
      <c r="K217" s="203">
        <v>75.83</v>
      </c>
      <c r="L217" s="203">
        <v>118.77</v>
      </c>
      <c r="M217" s="203">
        <v>79.08</v>
      </c>
      <c r="N217" s="196"/>
    </row>
    <row r="218" spans="1:14" s="199" customFormat="1" x14ac:dyDescent="0.35">
      <c r="A218" s="195">
        <v>806737</v>
      </c>
      <c r="B218" s="196"/>
      <c r="C218" s="196">
        <v>1.2</v>
      </c>
      <c r="D218" s="196">
        <v>0.1</v>
      </c>
      <c r="E218" s="196">
        <v>1.01</v>
      </c>
      <c r="F218" s="196">
        <v>7.0000000000000007E-2</v>
      </c>
      <c r="G218" s="196">
        <v>1.1599999999999999</v>
      </c>
      <c r="H218" s="196">
        <v>0.11</v>
      </c>
      <c r="I218" s="203">
        <v>12.29</v>
      </c>
      <c r="J218" s="203">
        <v>1.99</v>
      </c>
      <c r="K218" s="203">
        <v>67.13</v>
      </c>
      <c r="L218" s="203">
        <v>119.54</v>
      </c>
      <c r="M218" s="203">
        <v>91.94</v>
      </c>
      <c r="N218" s="196"/>
    </row>
    <row r="219" spans="1:14" s="199" customFormat="1" x14ac:dyDescent="0.35">
      <c r="A219" s="195">
        <v>806738</v>
      </c>
      <c r="B219" s="196"/>
      <c r="C219" s="196">
        <v>2.52</v>
      </c>
      <c r="D219" s="196">
        <v>0.37</v>
      </c>
      <c r="E219" s="196">
        <v>1.45</v>
      </c>
      <c r="F219" s="196">
        <v>0.02</v>
      </c>
      <c r="G219" s="196">
        <v>1.25</v>
      </c>
      <c r="H219" s="196">
        <v>0.41</v>
      </c>
      <c r="I219" s="203">
        <v>11.15</v>
      </c>
      <c r="J219" s="203">
        <v>2.5299999999999998</v>
      </c>
      <c r="K219" s="203">
        <v>261.70999999999998</v>
      </c>
      <c r="L219" s="203">
        <v>124.27</v>
      </c>
      <c r="M219" s="203">
        <v>60.75</v>
      </c>
      <c r="N219" s="196"/>
    </row>
    <row r="220" spans="1:14" s="199" customFormat="1" x14ac:dyDescent="0.35">
      <c r="A220" s="195">
        <v>806739</v>
      </c>
      <c r="B220" s="196"/>
      <c r="C220" s="196">
        <v>2.58</v>
      </c>
      <c r="D220" s="196">
        <v>0.39</v>
      </c>
      <c r="E220" s="196">
        <v>1.68</v>
      </c>
      <c r="F220" s="196">
        <v>0.02</v>
      </c>
      <c r="G220" s="196">
        <v>1.58</v>
      </c>
      <c r="H220" s="196">
        <v>0.42</v>
      </c>
      <c r="I220" s="203">
        <v>11.19</v>
      </c>
      <c r="J220" s="203">
        <v>3.11</v>
      </c>
      <c r="K220" s="203">
        <v>255.61</v>
      </c>
      <c r="L220" s="203">
        <v>112.62</v>
      </c>
      <c r="M220" s="203">
        <v>66</v>
      </c>
      <c r="N220" s="196"/>
    </row>
    <row r="221" spans="1:14" s="199" customFormat="1" x14ac:dyDescent="0.35">
      <c r="A221" s="195">
        <v>806740</v>
      </c>
      <c r="B221" s="196"/>
      <c r="C221" s="200">
        <v>2.8853802000000002</v>
      </c>
      <c r="D221" s="196">
        <v>0.21</v>
      </c>
      <c r="E221" s="196">
        <v>0.36</v>
      </c>
      <c r="F221" s="196">
        <v>0.02</v>
      </c>
      <c r="G221" s="196">
        <v>0.41</v>
      </c>
      <c r="H221" s="196">
        <v>0.18</v>
      </c>
      <c r="I221" s="203">
        <v>22.99</v>
      </c>
      <c r="J221" s="203">
        <v>1.03</v>
      </c>
      <c r="K221" s="203">
        <v>54.08</v>
      </c>
      <c r="L221" s="203">
        <v>85.06</v>
      </c>
      <c r="M221" s="203">
        <v>10.34</v>
      </c>
      <c r="N221" s="196"/>
    </row>
    <row r="222" spans="1:14" s="199" customFormat="1" x14ac:dyDescent="0.35">
      <c r="A222" s="195">
        <v>806741</v>
      </c>
      <c r="B222" s="196"/>
      <c r="C222" s="200">
        <v>2.6332596000000001</v>
      </c>
      <c r="D222" s="196">
        <v>0.26599999999999996</v>
      </c>
      <c r="E222" s="196">
        <v>0.31</v>
      </c>
      <c r="F222" s="196">
        <v>0.03</v>
      </c>
      <c r="G222" s="196">
        <v>0.24</v>
      </c>
      <c r="H222" s="196">
        <v>0.22</v>
      </c>
      <c r="I222" s="203">
        <v>32.9</v>
      </c>
      <c r="J222" s="203">
        <v>4.22</v>
      </c>
      <c r="K222" s="203">
        <v>87.99</v>
      </c>
      <c r="L222" s="203">
        <v>121.3</v>
      </c>
      <c r="M222" s="203">
        <v>15.95</v>
      </c>
      <c r="N222" s="196"/>
    </row>
    <row r="223" spans="1:14" s="199" customFormat="1" x14ac:dyDescent="0.35">
      <c r="A223" s="195">
        <v>806742</v>
      </c>
      <c r="B223" s="196"/>
      <c r="C223" s="200">
        <v>2.1290184000000001</v>
      </c>
      <c r="D223" s="205">
        <v>0.19600000000000001</v>
      </c>
      <c r="E223" s="196">
        <v>0.66</v>
      </c>
      <c r="F223" s="196">
        <v>0.03</v>
      </c>
      <c r="G223" s="196">
        <v>0.74</v>
      </c>
      <c r="H223" s="196">
        <v>0.25</v>
      </c>
      <c r="I223" s="203">
        <v>16.329999999999998</v>
      </c>
      <c r="J223" s="203">
        <v>1.1299999999999999</v>
      </c>
      <c r="K223" s="203">
        <v>28.41</v>
      </c>
      <c r="L223" s="203">
        <v>60.08</v>
      </c>
      <c r="M223" s="203">
        <v>34.18</v>
      </c>
      <c r="N223" s="196"/>
    </row>
    <row r="224" spans="1:14" s="199" customFormat="1" x14ac:dyDescent="0.35">
      <c r="A224" s="195">
        <v>806743</v>
      </c>
      <c r="B224" s="196"/>
      <c r="C224" s="200">
        <v>3.6417419999999998</v>
      </c>
      <c r="D224" s="205">
        <v>0.22399999999999998</v>
      </c>
      <c r="E224" s="196">
        <v>0.93</v>
      </c>
      <c r="F224" s="196">
        <v>0.02</v>
      </c>
      <c r="G224" s="196">
        <v>1.26</v>
      </c>
      <c r="H224" s="196">
        <v>0.4</v>
      </c>
      <c r="I224" s="203">
        <v>10.89</v>
      </c>
      <c r="J224" s="203">
        <v>1.85</v>
      </c>
      <c r="K224" s="203">
        <v>32.909999999999997</v>
      </c>
      <c r="L224" s="203">
        <v>57.89</v>
      </c>
      <c r="M224" s="203">
        <v>24.48</v>
      </c>
      <c r="N224" s="196"/>
    </row>
    <row r="225" spans="1:14" s="199" customFormat="1" x14ac:dyDescent="0.35">
      <c r="A225" s="195">
        <v>806744</v>
      </c>
      <c r="B225" s="196"/>
      <c r="C225" s="200">
        <v>2.8853802000000002</v>
      </c>
      <c r="D225" s="205">
        <v>0.23799999999999999</v>
      </c>
      <c r="E225" s="196">
        <v>1.1299999999999999</v>
      </c>
      <c r="F225" s="196">
        <v>0.04</v>
      </c>
      <c r="G225" s="196">
        <v>1.46</v>
      </c>
      <c r="H225" s="196">
        <v>0.39</v>
      </c>
      <c r="I225" s="203">
        <v>16.25</v>
      </c>
      <c r="J225" s="203">
        <v>1.63</v>
      </c>
      <c r="K225" s="203">
        <v>31.43</v>
      </c>
      <c r="L225" s="203">
        <v>129.78</v>
      </c>
      <c r="M225" s="203">
        <v>61.06</v>
      </c>
      <c r="N225" s="196"/>
    </row>
    <row r="226" spans="1:14" s="199" customFormat="1" x14ac:dyDescent="0.35">
      <c r="A226" s="195">
        <v>806745</v>
      </c>
      <c r="B226" s="196"/>
      <c r="C226" s="200">
        <v>3.1094874000000003</v>
      </c>
      <c r="D226" s="205">
        <v>0.32200000000000001</v>
      </c>
      <c r="E226" s="196">
        <v>0.76</v>
      </c>
      <c r="F226" s="196">
        <v>0.05</v>
      </c>
      <c r="G226" s="196">
        <v>0.7</v>
      </c>
      <c r="H226" s="196">
        <v>0.5</v>
      </c>
      <c r="I226" s="203">
        <v>23.34</v>
      </c>
      <c r="J226" s="203">
        <v>3.2</v>
      </c>
      <c r="K226" s="203">
        <v>62.57</v>
      </c>
      <c r="L226" s="203">
        <v>90.62</v>
      </c>
      <c r="M226" s="203">
        <v>49.94</v>
      </c>
      <c r="N226" s="196"/>
    </row>
    <row r="227" spans="1:14" s="199" customFormat="1" x14ac:dyDescent="0.35">
      <c r="A227" s="195">
        <v>806746</v>
      </c>
      <c r="B227" s="196"/>
      <c r="C227" s="200">
        <v>1.5127235999999999</v>
      </c>
      <c r="D227" s="205">
        <v>0.13999999999999999</v>
      </c>
      <c r="E227" s="196">
        <v>0.47</v>
      </c>
      <c r="F227" s="196">
        <v>0.26</v>
      </c>
      <c r="G227" s="196">
        <v>0.44</v>
      </c>
      <c r="H227" s="196">
        <v>0.17</v>
      </c>
      <c r="I227" s="203">
        <v>6.51</v>
      </c>
      <c r="J227" s="203">
        <v>0.97</v>
      </c>
      <c r="K227" s="203">
        <v>137.66999999999999</v>
      </c>
      <c r="L227" s="203">
        <v>75.19</v>
      </c>
      <c r="M227" s="203">
        <v>81.73</v>
      </c>
      <c r="N227" s="196"/>
    </row>
    <row r="228" spans="1:14" s="199" customFormat="1" x14ac:dyDescent="0.35">
      <c r="A228" s="195">
        <v>806747</v>
      </c>
      <c r="B228" s="196"/>
      <c r="C228" s="200">
        <v>2.8853802000000002</v>
      </c>
      <c r="D228" s="205">
        <v>0.19600000000000001</v>
      </c>
      <c r="E228" s="196">
        <v>0.41</v>
      </c>
      <c r="F228" s="196">
        <v>0.03</v>
      </c>
      <c r="G228" s="196">
        <v>1.57</v>
      </c>
      <c r="H228" s="196">
        <v>0.41</v>
      </c>
      <c r="I228" s="203">
        <v>10.61</v>
      </c>
      <c r="J228" s="203">
        <v>2.25</v>
      </c>
      <c r="K228" s="203">
        <v>52.94</v>
      </c>
      <c r="L228" s="203">
        <v>103.86</v>
      </c>
      <c r="M228" s="203">
        <v>90.11</v>
      </c>
      <c r="N228" s="196"/>
    </row>
    <row r="229" spans="1:14" s="199" customFormat="1" x14ac:dyDescent="0.35">
      <c r="A229" s="195">
        <v>806748</v>
      </c>
      <c r="B229" s="196"/>
      <c r="C229" s="200">
        <v>2.7453132000000009</v>
      </c>
      <c r="D229" s="205">
        <v>0.154</v>
      </c>
      <c r="E229" s="196">
        <v>0.95</v>
      </c>
      <c r="F229" s="196">
        <v>0.03</v>
      </c>
      <c r="G229" s="196">
        <v>1.33</v>
      </c>
      <c r="H229" s="196">
        <v>0.36</v>
      </c>
      <c r="I229" s="203">
        <v>8.4700000000000006</v>
      </c>
      <c r="J229" s="203">
        <v>0.62</v>
      </c>
      <c r="K229" s="203">
        <v>44.59</v>
      </c>
      <c r="L229" s="203">
        <v>71.45</v>
      </c>
      <c r="M229" s="203">
        <v>43.51</v>
      </c>
      <c r="N229" s="196"/>
    </row>
    <row r="230" spans="1:14" s="199" customFormat="1" x14ac:dyDescent="0.35">
      <c r="A230" s="195">
        <v>806749</v>
      </c>
      <c r="B230" s="196"/>
      <c r="C230" s="200">
        <v>2.6892864000000003</v>
      </c>
      <c r="D230" s="205">
        <v>0.23799999999999999</v>
      </c>
      <c r="E230" s="196">
        <v>1.0900000000000001</v>
      </c>
      <c r="F230" s="196">
        <v>0.02</v>
      </c>
      <c r="G230" s="196">
        <v>0.85</v>
      </c>
      <c r="H230" s="196">
        <v>0.26</v>
      </c>
      <c r="I230" s="203">
        <v>9.67</v>
      </c>
      <c r="J230" s="203">
        <v>2.76</v>
      </c>
      <c r="K230" s="203">
        <v>37.270000000000003</v>
      </c>
      <c r="L230" s="203">
        <v>67.33</v>
      </c>
      <c r="M230" s="203">
        <v>44.45</v>
      </c>
      <c r="N230" s="196"/>
    </row>
    <row r="231" spans="1:14" s="199" customFormat="1" x14ac:dyDescent="0.35">
      <c r="A231" s="195">
        <v>806750</v>
      </c>
      <c r="B231" s="196"/>
      <c r="C231" s="200">
        <v>2.4091524000000009</v>
      </c>
      <c r="D231" s="205">
        <v>0.154</v>
      </c>
      <c r="E231" s="196">
        <v>1.04</v>
      </c>
      <c r="F231" s="196">
        <v>0.04</v>
      </c>
      <c r="G231" s="196">
        <v>1.7</v>
      </c>
      <c r="H231" s="196">
        <v>0.45</v>
      </c>
      <c r="I231" s="203">
        <v>8.2100000000000009</v>
      </c>
      <c r="J231" s="203">
        <v>1.8</v>
      </c>
      <c r="K231" s="203">
        <v>56.61</v>
      </c>
      <c r="L231" s="203">
        <v>114.67</v>
      </c>
      <c r="M231" s="203">
        <v>99.85</v>
      </c>
      <c r="N231" s="196"/>
    </row>
    <row r="232" spans="1:14" s="199" customFormat="1" x14ac:dyDescent="0.35">
      <c r="A232" s="195">
        <v>806751</v>
      </c>
      <c r="B232" s="196"/>
      <c r="C232" s="200">
        <v>4.1459832000000008</v>
      </c>
      <c r="D232" s="200">
        <v>0.2</v>
      </c>
      <c r="E232" s="196">
        <v>2.15</v>
      </c>
      <c r="F232" s="196">
        <v>0.1</v>
      </c>
      <c r="G232" s="196">
        <v>2.82</v>
      </c>
      <c r="H232" s="196">
        <v>0.24</v>
      </c>
      <c r="I232" s="203">
        <v>20.59</v>
      </c>
      <c r="J232" s="203">
        <v>3.77</v>
      </c>
      <c r="K232" s="203">
        <v>89.6</v>
      </c>
      <c r="L232" s="203">
        <v>129.47999999999999</v>
      </c>
      <c r="M232" s="203">
        <v>19.760000000000002</v>
      </c>
      <c r="N232" s="196"/>
    </row>
    <row r="233" spans="1:14" s="199" customFormat="1" x14ac:dyDescent="0.35">
      <c r="A233" s="195">
        <v>806756</v>
      </c>
      <c r="B233" s="196"/>
      <c r="C233" s="200">
        <v>1.7368308000000003</v>
      </c>
      <c r="D233" s="200">
        <v>0.11</v>
      </c>
      <c r="E233" s="196">
        <v>0.47</v>
      </c>
      <c r="F233" s="196">
        <v>0.04</v>
      </c>
      <c r="G233" s="196">
        <v>3.46</v>
      </c>
      <c r="H233" s="196">
        <v>0.21</v>
      </c>
      <c r="I233" s="203">
        <v>5.45</v>
      </c>
      <c r="J233" s="203">
        <v>1.81</v>
      </c>
      <c r="K233" s="203">
        <v>15.54</v>
      </c>
      <c r="L233" s="203">
        <v>75.11</v>
      </c>
      <c r="M233" s="203">
        <v>24.71</v>
      </c>
      <c r="N233" s="196"/>
    </row>
    <row r="234" spans="1:14" s="199" customFormat="1" x14ac:dyDescent="0.35">
      <c r="A234" s="195">
        <v>806757</v>
      </c>
      <c r="B234" s="196"/>
      <c r="C234" s="200">
        <v>1.9049112000000001</v>
      </c>
      <c r="D234" s="200">
        <v>0.12</v>
      </c>
      <c r="E234" s="196">
        <v>0.81</v>
      </c>
      <c r="F234" s="196">
        <v>0.02</v>
      </c>
      <c r="G234" s="196">
        <v>2.5499999999999998</v>
      </c>
      <c r="H234" s="196">
        <v>0.2</v>
      </c>
      <c r="I234" s="203">
        <v>4.37</v>
      </c>
      <c r="J234" s="203">
        <v>1.18</v>
      </c>
      <c r="K234" s="203">
        <v>9</v>
      </c>
      <c r="L234" s="203">
        <v>59.3</v>
      </c>
      <c r="M234" s="203">
        <v>32.85</v>
      </c>
      <c r="N234" s="196"/>
    </row>
    <row r="235" spans="1:14" s="199" customFormat="1" x14ac:dyDescent="0.35">
      <c r="A235" s="195">
        <v>806758</v>
      </c>
      <c r="B235" s="196"/>
      <c r="C235" s="200">
        <v>1.7368308000000003</v>
      </c>
      <c r="D235" s="200">
        <v>0.1</v>
      </c>
      <c r="E235" s="196">
        <v>0.88</v>
      </c>
      <c r="F235" s="196">
        <v>0.03</v>
      </c>
      <c r="G235" s="196">
        <v>2.64</v>
      </c>
      <c r="H235" s="196">
        <v>0.24</v>
      </c>
      <c r="I235" s="203">
        <v>12.28</v>
      </c>
      <c r="J235" s="203">
        <v>1.43</v>
      </c>
      <c r="K235" s="203">
        <v>14.05</v>
      </c>
      <c r="L235" s="203">
        <v>64.459999999999994</v>
      </c>
      <c r="M235" s="203">
        <v>38.64</v>
      </c>
      <c r="N235" s="196"/>
    </row>
    <row r="236" spans="1:14" s="199" customFormat="1" x14ac:dyDescent="0.35">
      <c r="A236" s="195">
        <v>806759</v>
      </c>
      <c r="B236" s="196"/>
      <c r="C236" s="200">
        <v>2.5772328000000004</v>
      </c>
      <c r="D236" s="200">
        <v>0.126</v>
      </c>
      <c r="E236" s="196">
        <v>0.83</v>
      </c>
      <c r="F236" s="196">
        <v>0.03</v>
      </c>
      <c r="G236" s="196">
        <v>1.96</v>
      </c>
      <c r="H236" s="196">
        <v>0.17</v>
      </c>
      <c r="I236" s="203">
        <v>11.6</v>
      </c>
      <c r="J236" s="203">
        <v>0.56999999999999995</v>
      </c>
      <c r="K236" s="203">
        <v>23.95</v>
      </c>
      <c r="L236" s="203">
        <v>72.02</v>
      </c>
      <c r="M236" s="203">
        <v>30.09</v>
      </c>
      <c r="N236" s="196"/>
    </row>
    <row r="237" spans="1:14" s="199" customFormat="1" x14ac:dyDescent="0.35">
      <c r="A237" s="195">
        <v>806760</v>
      </c>
      <c r="B237" s="196"/>
      <c r="C237" s="200">
        <v>2.4651792000000006</v>
      </c>
      <c r="D237" s="200">
        <v>0.11199999999999999</v>
      </c>
      <c r="E237" s="196">
        <v>0.8</v>
      </c>
      <c r="F237" s="196">
        <v>0.03</v>
      </c>
      <c r="G237" s="196">
        <v>2.62</v>
      </c>
      <c r="H237" s="196">
        <v>0.22</v>
      </c>
      <c r="I237" s="203">
        <v>7.36</v>
      </c>
      <c r="J237" s="203">
        <v>0.49</v>
      </c>
      <c r="K237" s="203">
        <v>14.26</v>
      </c>
      <c r="L237" s="203">
        <v>71.2</v>
      </c>
      <c r="M237" s="203">
        <v>35.450000000000003</v>
      </c>
      <c r="N237" s="196"/>
    </row>
    <row r="238" spans="1:14" s="199" customFormat="1" x14ac:dyDescent="0.35">
      <c r="A238" s="195">
        <v>806761</v>
      </c>
      <c r="B238" s="196"/>
      <c r="C238" s="200">
        <v>3.081474</v>
      </c>
      <c r="D238" s="200">
        <v>0.1</v>
      </c>
      <c r="E238" s="196">
        <v>0.66</v>
      </c>
      <c r="F238" s="196">
        <v>0.03</v>
      </c>
      <c r="G238" s="196">
        <v>2.1800000000000002</v>
      </c>
      <c r="H238" s="196">
        <v>0.23</v>
      </c>
      <c r="I238" s="203">
        <v>4.63</v>
      </c>
      <c r="J238" s="203">
        <v>2.41</v>
      </c>
      <c r="K238" s="203">
        <v>8.9600000000000009</v>
      </c>
      <c r="L238" s="203">
        <v>62.46</v>
      </c>
      <c r="M238" s="203">
        <v>42.55</v>
      </c>
      <c r="N238" s="196"/>
    </row>
    <row r="239" spans="1:14" s="199" customFormat="1" x14ac:dyDescent="0.35">
      <c r="A239" s="195">
        <v>806762</v>
      </c>
      <c r="B239" s="196"/>
      <c r="C239" s="200">
        <v>2.9414069999999999</v>
      </c>
      <c r="D239" s="200">
        <v>0.11</v>
      </c>
      <c r="E239" s="196">
        <v>1.17</v>
      </c>
      <c r="F239" s="196">
        <v>0.03</v>
      </c>
      <c r="G239" s="196">
        <v>2.38</v>
      </c>
      <c r="H239" s="196">
        <v>0.12</v>
      </c>
      <c r="I239" s="203">
        <v>6.64</v>
      </c>
      <c r="J239" s="203">
        <v>0.1</v>
      </c>
      <c r="K239" s="203">
        <v>23.41</v>
      </c>
      <c r="L239" s="203">
        <v>72.31</v>
      </c>
      <c r="M239" s="203">
        <v>39.909999999999997</v>
      </c>
      <c r="N239" s="196"/>
    </row>
    <row r="240" spans="1:14" s="199" customFormat="1" x14ac:dyDescent="0.35">
      <c r="A240" s="195">
        <v>806763</v>
      </c>
      <c r="B240" s="196"/>
      <c r="C240" s="200">
        <v>3.3055812000000002</v>
      </c>
      <c r="D240" s="200">
        <v>0.11199999999999999</v>
      </c>
      <c r="E240" s="196">
        <v>0.7</v>
      </c>
      <c r="F240" s="196">
        <v>0.04</v>
      </c>
      <c r="G240" s="196">
        <v>2.5299999999999998</v>
      </c>
      <c r="H240" s="196">
        <v>0.19</v>
      </c>
      <c r="I240" s="203">
        <v>8.58</v>
      </c>
      <c r="J240" s="203">
        <v>1.74</v>
      </c>
      <c r="K240" s="203">
        <v>16.350000000000001</v>
      </c>
      <c r="L240" s="203">
        <v>79.64</v>
      </c>
      <c r="M240" s="203">
        <v>21.68</v>
      </c>
      <c r="N240" s="196"/>
    </row>
    <row r="241" spans="1:14" s="199" customFormat="1" x14ac:dyDescent="0.35">
      <c r="A241" s="195">
        <v>806764</v>
      </c>
      <c r="B241" s="196"/>
      <c r="C241" s="200">
        <v>3.1375008000000006</v>
      </c>
      <c r="D241" s="196">
        <v>0.19</v>
      </c>
      <c r="E241" s="196">
        <v>0.89</v>
      </c>
      <c r="F241" s="196">
        <v>0.02</v>
      </c>
      <c r="G241" s="196">
        <v>0.69</v>
      </c>
      <c r="H241" s="196">
        <v>0.21</v>
      </c>
      <c r="I241" s="203">
        <v>14.43</v>
      </c>
      <c r="J241" s="203">
        <v>1.17</v>
      </c>
      <c r="K241" s="203">
        <v>27.22</v>
      </c>
      <c r="L241" s="203">
        <v>38.880000000000003</v>
      </c>
      <c r="M241" s="203">
        <v>41.19</v>
      </c>
      <c r="N241" s="196"/>
    </row>
    <row r="242" spans="1:14" s="199" customFormat="1" x14ac:dyDescent="0.35">
      <c r="A242" s="195">
        <v>806765</v>
      </c>
      <c r="B242" s="196"/>
      <c r="C242" s="200">
        <v>3.1655142000000001</v>
      </c>
      <c r="D242" s="196">
        <v>0.18</v>
      </c>
      <c r="E242" s="196">
        <v>0.95</v>
      </c>
      <c r="F242" s="196">
        <v>0.02</v>
      </c>
      <c r="G242" s="196">
        <v>0.7</v>
      </c>
      <c r="H242" s="196">
        <v>0.19</v>
      </c>
      <c r="I242" s="203">
        <v>11.39</v>
      </c>
      <c r="J242" s="203">
        <v>1.46</v>
      </c>
      <c r="K242" s="203">
        <v>28.93</v>
      </c>
      <c r="L242" s="203">
        <v>35.32</v>
      </c>
      <c r="M242" s="203">
        <v>38.35</v>
      </c>
      <c r="N242" s="196"/>
    </row>
    <row r="243" spans="1:14" s="199" customFormat="1" x14ac:dyDescent="0.35">
      <c r="A243" s="195">
        <v>806752</v>
      </c>
      <c r="B243" s="196"/>
      <c r="C243" s="200">
        <v>4.3140635999999999</v>
      </c>
      <c r="D243" s="196">
        <v>0.23</v>
      </c>
      <c r="E243" s="196">
        <v>2.19</v>
      </c>
      <c r="F243" s="196">
        <v>0.11</v>
      </c>
      <c r="G243" s="196">
        <v>3.01</v>
      </c>
      <c r="H243" s="196">
        <v>0.28000000000000003</v>
      </c>
      <c r="I243" s="203">
        <v>29.8</v>
      </c>
      <c r="J243" s="203">
        <v>4.01</v>
      </c>
      <c r="K243" s="203">
        <v>77.2</v>
      </c>
      <c r="L243" s="203">
        <v>147</v>
      </c>
      <c r="M243" s="203">
        <v>24.9</v>
      </c>
      <c r="N243" s="196"/>
    </row>
    <row r="244" spans="1:14" s="199" customFormat="1" x14ac:dyDescent="0.35">
      <c r="A244" s="195">
        <v>806766</v>
      </c>
      <c r="B244" s="196"/>
      <c r="C244" s="200">
        <v>3.22</v>
      </c>
      <c r="D244" s="196">
        <v>0.17</v>
      </c>
      <c r="E244" s="196">
        <v>0.62</v>
      </c>
      <c r="F244" s="196">
        <v>0.03</v>
      </c>
      <c r="G244" s="196">
        <v>0.59</v>
      </c>
      <c r="H244" s="196">
        <v>0.27</v>
      </c>
      <c r="I244" s="203">
        <v>50.36</v>
      </c>
      <c r="J244" s="203">
        <v>2.56</v>
      </c>
      <c r="K244" s="203">
        <v>59.69</v>
      </c>
      <c r="L244" s="203">
        <v>99.52</v>
      </c>
      <c r="M244" s="203">
        <v>85.08</v>
      </c>
      <c r="N244" s="196"/>
    </row>
    <row r="245" spans="1:14" s="199" customFormat="1" x14ac:dyDescent="0.35">
      <c r="A245" s="195">
        <v>806767</v>
      </c>
      <c r="B245" s="196"/>
      <c r="C245" s="200">
        <v>3.01</v>
      </c>
      <c r="D245" s="196">
        <v>0.16</v>
      </c>
      <c r="E245" s="196">
        <v>1.1000000000000001</v>
      </c>
      <c r="F245" s="196">
        <v>0.03</v>
      </c>
      <c r="G245" s="196">
        <v>1.0900000000000001</v>
      </c>
      <c r="H245" s="196">
        <v>0.2</v>
      </c>
      <c r="I245" s="203">
        <v>34.46</v>
      </c>
      <c r="J245" s="203">
        <v>1.38</v>
      </c>
      <c r="K245" s="203">
        <v>36.549999999999997</v>
      </c>
      <c r="L245" s="203">
        <v>45.82</v>
      </c>
      <c r="M245" s="203">
        <v>69.400000000000006</v>
      </c>
      <c r="N245" s="196"/>
    </row>
    <row r="246" spans="1:14" s="199" customFormat="1" x14ac:dyDescent="0.35">
      <c r="A246" s="195">
        <v>806768</v>
      </c>
      <c r="B246" s="196"/>
      <c r="C246" s="200">
        <v>3.8658492000000004</v>
      </c>
      <c r="D246" s="196">
        <v>0.18</v>
      </c>
      <c r="E246" s="196">
        <v>1.85</v>
      </c>
      <c r="F246" s="196" t="s">
        <v>152</v>
      </c>
      <c r="G246" s="196">
        <v>0.87</v>
      </c>
      <c r="H246" s="196">
        <v>0.32</v>
      </c>
      <c r="I246" s="203">
        <v>15.95</v>
      </c>
      <c r="J246" s="203">
        <v>0.35</v>
      </c>
      <c r="K246" s="203">
        <v>29.94</v>
      </c>
      <c r="L246" s="203">
        <v>58.6</v>
      </c>
      <c r="M246" s="203">
        <v>67.64</v>
      </c>
      <c r="N246" s="196"/>
    </row>
    <row r="247" spans="1:14" s="199" customFormat="1" x14ac:dyDescent="0.35">
      <c r="A247" s="195">
        <v>806769</v>
      </c>
      <c r="B247" s="196"/>
      <c r="C247" s="200">
        <v>3.0254472000000008</v>
      </c>
      <c r="D247" s="196">
        <v>0.1</v>
      </c>
      <c r="E247" s="196">
        <v>0.78</v>
      </c>
      <c r="F247" s="196">
        <v>0.02</v>
      </c>
      <c r="G247" s="196">
        <v>0.59</v>
      </c>
      <c r="H247" s="196">
        <v>0.2</v>
      </c>
      <c r="I247" s="203">
        <v>42.97</v>
      </c>
      <c r="J247" s="203">
        <v>1.76</v>
      </c>
      <c r="K247" s="203">
        <v>437.06</v>
      </c>
      <c r="L247" s="203">
        <v>105.4</v>
      </c>
      <c r="M247" s="203">
        <v>65.2</v>
      </c>
      <c r="N247" s="196"/>
    </row>
    <row r="248" spans="1:14" s="199" customFormat="1" x14ac:dyDescent="0.35">
      <c r="A248" s="195">
        <v>806770</v>
      </c>
      <c r="B248" s="196"/>
      <c r="C248" s="200">
        <v>4.5381708000000005</v>
      </c>
      <c r="D248" s="196">
        <v>0.21</v>
      </c>
      <c r="E248" s="196">
        <v>2.04</v>
      </c>
      <c r="F248" s="196">
        <v>0.03</v>
      </c>
      <c r="G248" s="196">
        <v>0.41</v>
      </c>
      <c r="H248" s="196">
        <v>0.21</v>
      </c>
      <c r="I248" s="203">
        <v>37.33</v>
      </c>
      <c r="J248" s="203">
        <v>1.89</v>
      </c>
      <c r="K248" s="203">
        <v>182.73</v>
      </c>
      <c r="L248" s="203">
        <v>74.77</v>
      </c>
      <c r="M248" s="203">
        <v>26.88</v>
      </c>
      <c r="N248" s="196"/>
    </row>
    <row r="249" spans="1:14" s="199" customFormat="1" x14ac:dyDescent="0.35">
      <c r="A249" s="195">
        <v>806771</v>
      </c>
      <c r="B249" s="196"/>
      <c r="C249" s="200">
        <v>1.7648442</v>
      </c>
      <c r="D249" s="196">
        <v>0.05</v>
      </c>
      <c r="E249" s="196">
        <v>0.36</v>
      </c>
      <c r="F249" s="196">
        <v>7.0000000000000007E-2</v>
      </c>
      <c r="G249" s="196">
        <v>0.3</v>
      </c>
      <c r="H249" s="196">
        <v>0.09</v>
      </c>
      <c r="I249" s="203">
        <v>10.29</v>
      </c>
      <c r="J249" s="203">
        <v>0.63</v>
      </c>
      <c r="K249" s="203">
        <v>66.95</v>
      </c>
      <c r="L249" s="203">
        <v>43.57</v>
      </c>
      <c r="M249" s="203">
        <v>51.3</v>
      </c>
      <c r="N249" s="196"/>
    </row>
    <row r="250" spans="1:14" s="199" customFormat="1" x14ac:dyDescent="0.35">
      <c r="A250" s="195">
        <v>806772</v>
      </c>
      <c r="B250" s="196"/>
      <c r="C250" s="200">
        <v>1.9329245999999998</v>
      </c>
      <c r="D250" s="196">
        <v>0.05</v>
      </c>
      <c r="E250" s="196">
        <v>0.42</v>
      </c>
      <c r="F250" s="196">
        <v>0.06</v>
      </c>
      <c r="G250" s="196">
        <v>0.34</v>
      </c>
      <c r="H250" s="196">
        <v>0.11</v>
      </c>
      <c r="I250" s="203">
        <v>10.07</v>
      </c>
      <c r="J250" s="203">
        <v>0.88</v>
      </c>
      <c r="K250" s="203">
        <v>55.91</v>
      </c>
      <c r="L250" s="203">
        <v>43.13</v>
      </c>
      <c r="M250" s="203">
        <v>51.25</v>
      </c>
      <c r="N250" s="196"/>
    </row>
    <row r="251" spans="1:14" s="199" customFormat="1" x14ac:dyDescent="0.35">
      <c r="A251" s="195">
        <v>806773</v>
      </c>
      <c r="B251" s="196"/>
      <c r="C251" s="200">
        <v>3.1094874000000003</v>
      </c>
      <c r="D251" s="196">
        <v>7.0000000000000007E-2</v>
      </c>
      <c r="E251" s="196">
        <v>0.52</v>
      </c>
      <c r="F251" s="196">
        <v>0.09</v>
      </c>
      <c r="G251" s="196">
        <v>0.31</v>
      </c>
      <c r="H251" s="196">
        <v>0.1</v>
      </c>
      <c r="I251" s="203">
        <v>9.09</v>
      </c>
      <c r="J251" s="203">
        <v>0.56999999999999995</v>
      </c>
      <c r="K251" s="203">
        <v>60.37</v>
      </c>
      <c r="L251" s="203">
        <v>72.540000000000006</v>
      </c>
      <c r="M251" s="203">
        <v>72.849999999999994</v>
      </c>
      <c r="N251" s="196"/>
    </row>
    <row r="252" spans="1:14" s="199" customFormat="1" x14ac:dyDescent="0.35">
      <c r="A252" s="195">
        <v>806774</v>
      </c>
      <c r="B252" s="196"/>
      <c r="C252" s="200">
        <v>3.5857152000000005</v>
      </c>
      <c r="D252" s="196">
        <v>0.08</v>
      </c>
      <c r="E252" s="196">
        <v>0.5</v>
      </c>
      <c r="F252" s="196">
        <v>0.03</v>
      </c>
      <c r="G252" s="196">
        <v>0.3</v>
      </c>
      <c r="H252" s="196">
        <v>0.11</v>
      </c>
      <c r="I252" s="203">
        <v>10.59</v>
      </c>
      <c r="J252" s="203">
        <v>3.59</v>
      </c>
      <c r="K252" s="203">
        <v>59.76</v>
      </c>
      <c r="L252" s="203">
        <v>78.98</v>
      </c>
      <c r="M252" s="203">
        <v>57.09</v>
      </c>
      <c r="N252" s="196"/>
    </row>
    <row r="253" spans="1:14" s="199" customFormat="1" x14ac:dyDescent="0.35">
      <c r="A253" s="195">
        <v>806775</v>
      </c>
      <c r="B253" s="196"/>
      <c r="C253" s="200">
        <v>3.3616080000000004</v>
      </c>
      <c r="D253" s="196">
        <v>0.1</v>
      </c>
      <c r="E253" s="196">
        <v>0.33</v>
      </c>
      <c r="F253" s="196">
        <v>0.03</v>
      </c>
      <c r="G253" s="196">
        <v>0.35</v>
      </c>
      <c r="H253" s="196">
        <v>0.11</v>
      </c>
      <c r="I253" s="203">
        <v>8.24</v>
      </c>
      <c r="J253" s="203">
        <v>2.0099999999999998</v>
      </c>
      <c r="K253" s="203">
        <v>56.82</v>
      </c>
      <c r="L253" s="203">
        <v>52.22</v>
      </c>
      <c r="M253" s="203">
        <v>57.99</v>
      </c>
      <c r="N253" s="196"/>
    </row>
    <row r="254" spans="1:14" s="199" customFormat="1" x14ac:dyDescent="0.35">
      <c r="A254" s="195">
        <v>806776</v>
      </c>
      <c r="B254" s="196"/>
      <c r="C254" s="200">
        <v>5.6306934000000002</v>
      </c>
      <c r="D254" s="196">
        <v>0.26</v>
      </c>
      <c r="E254" s="196">
        <v>1.17</v>
      </c>
      <c r="F254" s="196">
        <v>0.03</v>
      </c>
      <c r="G254" s="196">
        <v>0.46</v>
      </c>
      <c r="H254" s="196">
        <v>0.22</v>
      </c>
      <c r="I254" s="203">
        <v>53.18</v>
      </c>
      <c r="J254" s="203">
        <v>6</v>
      </c>
      <c r="K254" s="203">
        <v>120.53</v>
      </c>
      <c r="L254" s="203">
        <v>40.47</v>
      </c>
      <c r="M254" s="203">
        <v>60.46</v>
      </c>
      <c r="N254" s="196"/>
    </row>
    <row r="255" spans="1:14" s="199" customFormat="1" x14ac:dyDescent="0.35">
      <c r="A255" s="195">
        <v>806753</v>
      </c>
      <c r="B255" s="196"/>
      <c r="C255" s="200">
        <v>2.4091524000000009</v>
      </c>
      <c r="D255" s="196">
        <v>0.15</v>
      </c>
      <c r="E255" s="196">
        <v>0.83</v>
      </c>
      <c r="F255" s="196">
        <v>0.03</v>
      </c>
      <c r="G255" s="196">
        <v>0.89</v>
      </c>
      <c r="H255" s="196">
        <v>0.12</v>
      </c>
      <c r="I255" s="203">
        <v>11.29</v>
      </c>
      <c r="J255" s="203">
        <v>0.94</v>
      </c>
      <c r="K255" s="203">
        <v>60.9</v>
      </c>
      <c r="L255" s="203">
        <v>64.22</v>
      </c>
      <c r="M255" s="203">
        <v>10.62</v>
      </c>
      <c r="N255" s="196"/>
    </row>
    <row r="256" spans="1:14" s="199" customFormat="1" x14ac:dyDescent="0.35">
      <c r="A256" s="195">
        <v>806754</v>
      </c>
      <c r="B256" s="196"/>
      <c r="C256" s="200">
        <v>2.0169648000000002</v>
      </c>
      <c r="D256" s="196">
        <v>0.14000000000000001</v>
      </c>
      <c r="E256" s="196">
        <v>1.1100000000000001</v>
      </c>
      <c r="F256" s="196">
        <v>0.02</v>
      </c>
      <c r="G256" s="196">
        <v>0.3</v>
      </c>
      <c r="H256" s="196">
        <v>0.12</v>
      </c>
      <c r="I256" s="203">
        <v>6.68</v>
      </c>
      <c r="J256" s="203">
        <v>140.96</v>
      </c>
      <c r="K256" s="203">
        <v>6.66</v>
      </c>
      <c r="L256" s="203">
        <v>39.74</v>
      </c>
      <c r="M256" s="203">
        <v>6.65</v>
      </c>
      <c r="N256" s="196"/>
    </row>
    <row r="257" spans="1:14" s="199" customFormat="1" x14ac:dyDescent="0.35">
      <c r="A257" s="195">
        <v>806755</v>
      </c>
      <c r="B257" s="196"/>
      <c r="C257" s="200">
        <v>2.6052462000000007</v>
      </c>
      <c r="D257" s="196">
        <v>0.13</v>
      </c>
      <c r="E257" s="196">
        <v>1.01</v>
      </c>
      <c r="F257" s="196">
        <v>0.03</v>
      </c>
      <c r="G257" s="196">
        <v>1.04</v>
      </c>
      <c r="H257" s="196">
        <v>0.14000000000000001</v>
      </c>
      <c r="I257" s="203">
        <v>8.3800000000000008</v>
      </c>
      <c r="J257" s="203">
        <v>0.94</v>
      </c>
      <c r="K257" s="203">
        <v>51.92</v>
      </c>
      <c r="L257" s="203">
        <v>76.290000000000006</v>
      </c>
      <c r="M257" s="203">
        <v>16.45</v>
      </c>
      <c r="N257" s="196"/>
    </row>
    <row r="258" spans="1:14" s="199" customFormat="1" x14ac:dyDescent="0.35">
      <c r="A258" s="195">
        <v>806777</v>
      </c>
      <c r="B258" s="196"/>
      <c r="C258" s="200">
        <v>2.5492194000000006</v>
      </c>
      <c r="D258" s="196">
        <v>0.16</v>
      </c>
      <c r="E258" s="196">
        <v>0.52</v>
      </c>
      <c r="F258" s="196">
        <v>7.0000000000000007E-2</v>
      </c>
      <c r="G258" s="196">
        <v>2.7</v>
      </c>
      <c r="H258" s="196">
        <v>0.3</v>
      </c>
      <c r="I258" s="203">
        <v>52.05</v>
      </c>
      <c r="J258" s="203">
        <v>7.61</v>
      </c>
      <c r="K258" s="203">
        <v>105.68</v>
      </c>
      <c r="L258" s="203">
        <v>147.76</v>
      </c>
      <c r="M258" s="203">
        <v>53.44</v>
      </c>
      <c r="N258" s="196"/>
    </row>
    <row r="259" spans="1:14" s="199" customFormat="1" x14ac:dyDescent="0.35">
      <c r="A259" s="195">
        <v>806778</v>
      </c>
      <c r="B259" s="196"/>
      <c r="C259" s="200">
        <v>2.1010050000000002</v>
      </c>
      <c r="D259" s="196">
        <v>0.1</v>
      </c>
      <c r="E259" s="196">
        <v>0.35</v>
      </c>
      <c r="F259" s="196">
        <v>0.03</v>
      </c>
      <c r="G259" s="196">
        <v>3.01</v>
      </c>
      <c r="H259" s="196">
        <v>0.22</v>
      </c>
      <c r="I259" s="203">
        <v>26.95</v>
      </c>
      <c r="J259" s="203">
        <v>3.05</v>
      </c>
      <c r="K259" s="203">
        <v>50.06</v>
      </c>
      <c r="L259" s="203">
        <v>80.52</v>
      </c>
      <c r="M259" s="203">
        <v>23.59</v>
      </c>
      <c r="N259" s="196"/>
    </row>
    <row r="260" spans="1:14" s="199" customFormat="1" x14ac:dyDescent="0.35">
      <c r="A260" s="195">
        <v>806779</v>
      </c>
      <c r="B260" s="196"/>
      <c r="C260" s="200">
        <v>2.241072</v>
      </c>
      <c r="D260" s="196">
        <v>0.1</v>
      </c>
      <c r="E260" s="196">
        <v>0.35</v>
      </c>
      <c r="F260" s="196">
        <v>0.03</v>
      </c>
      <c r="G260" s="196">
        <v>2.7</v>
      </c>
      <c r="H260" s="196">
        <v>0.28000000000000003</v>
      </c>
      <c r="I260" s="203">
        <v>18.84</v>
      </c>
      <c r="J260" s="203">
        <v>4.3600000000000003</v>
      </c>
      <c r="K260" s="203">
        <v>33.6</v>
      </c>
      <c r="L260" s="203">
        <v>73.47</v>
      </c>
      <c r="M260" s="203">
        <v>51.19</v>
      </c>
      <c r="N260" s="196"/>
    </row>
    <row r="261" spans="1:14" s="199" customFormat="1" x14ac:dyDescent="0.35">
      <c r="A261" s="195">
        <v>806780</v>
      </c>
      <c r="B261" s="196"/>
      <c r="C261" s="200">
        <v>2.3531256000000003</v>
      </c>
      <c r="D261" s="196">
        <v>0.08</v>
      </c>
      <c r="E261" s="196">
        <v>0.42</v>
      </c>
      <c r="F261" s="196">
        <v>0.04</v>
      </c>
      <c r="G261" s="196">
        <v>2.88</v>
      </c>
      <c r="H261" s="196">
        <v>0.21</v>
      </c>
      <c r="I261" s="203">
        <v>18.53</v>
      </c>
      <c r="J261" s="203">
        <v>4.4800000000000004</v>
      </c>
      <c r="K261" s="203">
        <v>17.48</v>
      </c>
      <c r="L261" s="203">
        <v>65.72</v>
      </c>
      <c r="M261" s="203">
        <v>16.559999999999999</v>
      </c>
      <c r="N261" s="196"/>
    </row>
    <row r="262" spans="1:14" s="199" customFormat="1" x14ac:dyDescent="0.35">
      <c r="A262" s="195">
        <v>806781</v>
      </c>
      <c r="B262" s="196"/>
      <c r="C262" s="200">
        <v>2.4651792000000006</v>
      </c>
      <c r="D262" s="196">
        <v>0.12</v>
      </c>
      <c r="E262" s="196">
        <v>0.44</v>
      </c>
      <c r="F262" s="196">
        <v>0.04</v>
      </c>
      <c r="G262" s="196">
        <v>3.25</v>
      </c>
      <c r="H262" s="196">
        <v>0.19</v>
      </c>
      <c r="I262" s="203">
        <v>6.59</v>
      </c>
      <c r="J262" s="203">
        <v>4.47</v>
      </c>
      <c r="K262" s="203">
        <v>10.46</v>
      </c>
      <c r="L262" s="203">
        <v>87.23</v>
      </c>
      <c r="M262" s="203">
        <v>16.62</v>
      </c>
      <c r="N262" s="196"/>
    </row>
    <row r="263" spans="1:14" s="199" customFormat="1" x14ac:dyDescent="0.35">
      <c r="A263" s="195">
        <v>806782</v>
      </c>
      <c r="B263" s="196"/>
      <c r="C263" s="200">
        <v>2.2690854000000007</v>
      </c>
      <c r="D263" s="196">
        <v>0.12</v>
      </c>
      <c r="E263" s="196">
        <v>0.45</v>
      </c>
      <c r="F263" s="196">
        <v>0.05</v>
      </c>
      <c r="G263" s="196">
        <v>3.37</v>
      </c>
      <c r="H263" s="196">
        <v>0.35</v>
      </c>
      <c r="I263" s="203">
        <v>32.65</v>
      </c>
      <c r="J263" s="203">
        <v>4.29</v>
      </c>
      <c r="K263" s="203">
        <v>39.299999999999997</v>
      </c>
      <c r="L263" s="203">
        <v>63.56</v>
      </c>
      <c r="M263" s="203">
        <v>24.11</v>
      </c>
      <c r="N263" s="196"/>
    </row>
    <row r="264" spans="1:14" s="199" customFormat="1" x14ac:dyDescent="0.35">
      <c r="A264" s="195">
        <v>806783</v>
      </c>
      <c r="B264" s="196"/>
      <c r="C264" s="200">
        <v>2.2130586000000001</v>
      </c>
      <c r="D264" s="196">
        <v>0.12</v>
      </c>
      <c r="E264" s="196">
        <v>0.64</v>
      </c>
      <c r="F264" s="196">
        <v>0.04</v>
      </c>
      <c r="G264" s="196">
        <v>2.17</v>
      </c>
      <c r="H264" s="196">
        <v>0.27</v>
      </c>
      <c r="I264" s="203">
        <v>21.92</v>
      </c>
      <c r="J264" s="203">
        <v>15.4</v>
      </c>
      <c r="K264" s="203">
        <v>32.65</v>
      </c>
      <c r="L264" s="203">
        <v>87.17</v>
      </c>
      <c r="M264" s="203">
        <v>17.77</v>
      </c>
      <c r="N264" s="196"/>
    </row>
    <row r="265" spans="1:14" s="199" customFormat="1" x14ac:dyDescent="0.35">
      <c r="A265" s="195">
        <v>806784</v>
      </c>
      <c r="B265" s="196"/>
      <c r="C265" s="200">
        <v>2.7453132000000009</v>
      </c>
      <c r="D265" s="196">
        <v>0.16</v>
      </c>
      <c r="E265" s="196">
        <v>0.41</v>
      </c>
      <c r="F265" s="196">
        <v>0.04</v>
      </c>
      <c r="G265" s="196">
        <v>3.03</v>
      </c>
      <c r="H265" s="196">
        <v>0.28999999999999998</v>
      </c>
      <c r="I265" s="203">
        <v>41.3</v>
      </c>
      <c r="J265" s="203">
        <v>3.15</v>
      </c>
      <c r="K265" s="203">
        <v>40.49</v>
      </c>
      <c r="L265" s="203">
        <v>77.510000000000005</v>
      </c>
      <c r="M265" s="203">
        <v>38.03</v>
      </c>
      <c r="N265" s="196"/>
    </row>
    <row r="266" spans="1:14" s="199" customFormat="1" x14ac:dyDescent="0.35">
      <c r="A266" s="195">
        <v>806785</v>
      </c>
      <c r="B266" s="196"/>
      <c r="C266" s="200">
        <v>2.8293534000000009</v>
      </c>
      <c r="D266" s="196">
        <v>0.18</v>
      </c>
      <c r="E266" s="196">
        <v>0.56999999999999995</v>
      </c>
      <c r="F266" s="196">
        <v>0.04</v>
      </c>
      <c r="G266" s="196">
        <v>2.63</v>
      </c>
      <c r="H266" s="196">
        <v>0.23</v>
      </c>
      <c r="I266" s="203">
        <v>18.690000000000001</v>
      </c>
      <c r="J266" s="203">
        <v>2.93</v>
      </c>
      <c r="K266" s="203">
        <v>46</v>
      </c>
      <c r="L266" s="203">
        <v>80.349999999999994</v>
      </c>
      <c r="M266" s="203">
        <v>81.569999999999993</v>
      </c>
      <c r="N266" s="196"/>
    </row>
    <row r="267" spans="1:14" s="199" customFormat="1" x14ac:dyDescent="0.35">
      <c r="A267" s="195">
        <v>806786</v>
      </c>
      <c r="B267" s="196"/>
      <c r="C267" s="200">
        <v>2.2970988000000006</v>
      </c>
      <c r="D267" s="196">
        <v>0.16</v>
      </c>
      <c r="E267" s="196">
        <v>0.52</v>
      </c>
      <c r="F267" s="196">
        <v>0.05</v>
      </c>
      <c r="G267" s="196">
        <v>2.68</v>
      </c>
      <c r="H267" s="196">
        <v>0.25</v>
      </c>
      <c r="I267" s="203">
        <v>58.24</v>
      </c>
      <c r="J267" s="203">
        <v>6.08</v>
      </c>
      <c r="K267" s="203">
        <v>90.13</v>
      </c>
      <c r="L267" s="203">
        <v>134.41</v>
      </c>
      <c r="M267" s="203">
        <v>57.96</v>
      </c>
      <c r="N267" s="196"/>
    </row>
    <row r="268" spans="1:14" s="199" customFormat="1" x14ac:dyDescent="0.35">
      <c r="A268" s="195">
        <v>806787</v>
      </c>
      <c r="B268" s="196"/>
      <c r="C268" s="200">
        <v>2.7453132000000009</v>
      </c>
      <c r="D268" s="196">
        <v>0.1</v>
      </c>
      <c r="E268" s="196">
        <v>0.54</v>
      </c>
      <c r="F268" s="196">
        <v>0.02</v>
      </c>
      <c r="G268" s="196">
        <v>2.19</v>
      </c>
      <c r="H268" s="196">
        <v>0.25</v>
      </c>
      <c r="I268" s="203">
        <v>25.61</v>
      </c>
      <c r="J268" s="203">
        <v>12.61</v>
      </c>
      <c r="K268" s="203">
        <v>26.13</v>
      </c>
      <c r="L268" s="203">
        <v>72.319999999999993</v>
      </c>
      <c r="M268" s="203">
        <v>24.72</v>
      </c>
      <c r="N268" s="196"/>
    </row>
    <row r="269" spans="1:14" s="199" customFormat="1" x14ac:dyDescent="0.35">
      <c r="A269" s="195">
        <v>806788</v>
      </c>
      <c r="B269" s="196"/>
      <c r="C269" s="200">
        <v>2.5492194000000006</v>
      </c>
      <c r="D269" s="196">
        <v>0.1</v>
      </c>
      <c r="E269" s="196">
        <v>0.05</v>
      </c>
      <c r="F269" s="196">
        <v>1E-3</v>
      </c>
      <c r="G269" s="196">
        <v>2.0099999999999998</v>
      </c>
      <c r="H269" s="196">
        <v>0.02</v>
      </c>
      <c r="I269" s="203">
        <v>2.15</v>
      </c>
      <c r="J269" s="203">
        <v>0.24</v>
      </c>
      <c r="K269" s="203">
        <v>6.05</v>
      </c>
      <c r="L269" s="203">
        <v>8.35</v>
      </c>
      <c r="M269" s="203">
        <v>2.58</v>
      </c>
      <c r="N269" s="196"/>
    </row>
    <row r="270" spans="1:14" s="199" customFormat="1" x14ac:dyDescent="0.35">
      <c r="A270" s="195">
        <v>806789</v>
      </c>
      <c r="B270" s="196"/>
      <c r="C270" s="200">
        <v>1.1485494000000001</v>
      </c>
      <c r="D270" s="196">
        <v>0.1</v>
      </c>
      <c r="E270" s="196">
        <v>0.05</v>
      </c>
      <c r="F270" s="196">
        <v>1E-3</v>
      </c>
      <c r="G270" s="196">
        <v>1.19</v>
      </c>
      <c r="H270" s="196">
        <v>0.1</v>
      </c>
      <c r="I270" s="203">
        <v>6.22</v>
      </c>
      <c r="J270" s="203">
        <v>3.14</v>
      </c>
      <c r="K270" s="203">
        <v>5.08</v>
      </c>
      <c r="L270" s="203">
        <v>7.97</v>
      </c>
      <c r="M270" s="203">
        <v>1.44</v>
      </c>
      <c r="N270" s="196"/>
    </row>
    <row r="271" spans="1:14" s="199" customFormat="1" x14ac:dyDescent="0.35">
      <c r="A271" s="195">
        <v>806790</v>
      </c>
      <c r="B271" s="196"/>
      <c r="C271" s="200">
        <v>3.081474</v>
      </c>
      <c r="D271" s="196">
        <v>0.34</v>
      </c>
      <c r="E271" s="196">
        <v>1.99</v>
      </c>
      <c r="F271" s="196">
        <v>0.04</v>
      </c>
      <c r="G271" s="196">
        <v>1.1200000000000001</v>
      </c>
      <c r="H271" s="196">
        <v>0.37</v>
      </c>
      <c r="I271" s="203">
        <v>28.47</v>
      </c>
      <c r="J271" s="203">
        <v>2.04</v>
      </c>
      <c r="K271" s="203">
        <v>190.51</v>
      </c>
      <c r="L271" s="203">
        <v>100.84</v>
      </c>
      <c r="M271" s="203">
        <v>49.8</v>
      </c>
      <c r="N271" s="196"/>
    </row>
    <row r="272" spans="1:14" s="199" customFormat="1" x14ac:dyDescent="0.35">
      <c r="A272" s="195">
        <v>806791</v>
      </c>
      <c r="B272" s="196"/>
      <c r="C272" s="200">
        <v>2.6052462000000007</v>
      </c>
      <c r="D272" s="196">
        <v>0.31</v>
      </c>
      <c r="E272" s="196">
        <v>1.52</v>
      </c>
      <c r="F272" s="196">
        <v>0.04</v>
      </c>
      <c r="G272" s="196">
        <v>1.21</v>
      </c>
      <c r="H272" s="196">
        <v>0.33</v>
      </c>
      <c r="I272" s="203">
        <v>17.850000000000001</v>
      </c>
      <c r="J272" s="203">
        <v>1.52</v>
      </c>
      <c r="K272" s="203">
        <v>415.1</v>
      </c>
      <c r="L272" s="203">
        <v>134.74</v>
      </c>
      <c r="M272" s="203">
        <v>53.8</v>
      </c>
      <c r="N272" s="196"/>
    </row>
    <row r="273" spans="1:14" s="199" customFormat="1" x14ac:dyDescent="0.35">
      <c r="A273" s="195">
        <v>806792</v>
      </c>
      <c r="B273" s="196"/>
      <c r="C273" s="200">
        <v>2.3531256000000003</v>
      </c>
      <c r="D273" s="196">
        <v>0.09</v>
      </c>
      <c r="E273" s="196">
        <v>1.08</v>
      </c>
      <c r="F273" s="196">
        <v>0.05</v>
      </c>
      <c r="G273" s="196">
        <v>4.51</v>
      </c>
      <c r="H273" s="196">
        <v>0.26</v>
      </c>
      <c r="I273" s="203">
        <v>19.36</v>
      </c>
      <c r="J273" s="203">
        <v>0.76</v>
      </c>
      <c r="K273" s="203">
        <v>52.01</v>
      </c>
      <c r="L273" s="203">
        <v>98.11</v>
      </c>
      <c r="M273" s="203">
        <v>84.17</v>
      </c>
      <c r="N273" s="196"/>
    </row>
    <row r="274" spans="1:14" s="199" customFormat="1" x14ac:dyDescent="0.35">
      <c r="A274" s="195">
        <v>806793</v>
      </c>
      <c r="B274" s="196"/>
      <c r="C274" s="200">
        <v>2.1570317999999999</v>
      </c>
      <c r="D274" s="196">
        <v>0.08</v>
      </c>
      <c r="E274" s="196">
        <v>0.89</v>
      </c>
      <c r="F274" s="196">
        <v>0.06</v>
      </c>
      <c r="G274" s="196">
        <v>3.99</v>
      </c>
      <c r="H274" s="196">
        <v>0.28000000000000003</v>
      </c>
      <c r="I274" s="203">
        <v>22.11</v>
      </c>
      <c r="J274" s="203">
        <v>0.91</v>
      </c>
      <c r="K274" s="203">
        <v>40.94</v>
      </c>
      <c r="L274" s="203">
        <v>95.17</v>
      </c>
      <c r="M274" s="203">
        <v>102.01</v>
      </c>
      <c r="N274" s="196"/>
    </row>
    <row r="275" spans="1:14" s="199" customFormat="1" x14ac:dyDescent="0.35">
      <c r="A275" s="195">
        <v>806794</v>
      </c>
      <c r="B275" s="196"/>
      <c r="C275" s="200">
        <v>2.5492194000000001</v>
      </c>
      <c r="D275" s="196">
        <v>0.1</v>
      </c>
      <c r="E275" s="196">
        <v>0.7</v>
      </c>
      <c r="F275" s="196">
        <v>0.04</v>
      </c>
      <c r="G275" s="196">
        <v>4.3099999999999996</v>
      </c>
      <c r="H275" s="196">
        <v>0.4</v>
      </c>
      <c r="I275" s="203">
        <v>27.98</v>
      </c>
      <c r="J275" s="203">
        <v>2.12</v>
      </c>
      <c r="K275" s="203">
        <v>43.09</v>
      </c>
      <c r="L275" s="203">
        <v>132.22999999999999</v>
      </c>
      <c r="M275" s="203">
        <v>59.1</v>
      </c>
      <c r="N275" s="196"/>
    </row>
    <row r="276" spans="1:14" s="199" customFormat="1" x14ac:dyDescent="0.35">
      <c r="A276" s="195">
        <v>806795</v>
      </c>
      <c r="B276" s="196"/>
      <c r="C276" s="200">
        <v>2.1850452000000002</v>
      </c>
      <c r="D276" s="196">
        <v>0.11</v>
      </c>
      <c r="E276" s="196">
        <v>1.29</v>
      </c>
      <c r="F276" s="196">
        <v>0.03</v>
      </c>
      <c r="G276" s="196">
        <v>3.12</v>
      </c>
      <c r="H276" s="196">
        <v>0.37</v>
      </c>
      <c r="I276" s="203">
        <v>26.31</v>
      </c>
      <c r="J276" s="203">
        <v>3.41</v>
      </c>
      <c r="K276" s="203">
        <v>28.8</v>
      </c>
      <c r="L276" s="203">
        <v>107.55</v>
      </c>
      <c r="M276" s="203">
        <v>79.84</v>
      </c>
      <c r="N276" s="196"/>
    </row>
    <row r="277" spans="1:14" s="199" customFormat="1" x14ac:dyDescent="0.35">
      <c r="A277" s="195">
        <v>806796</v>
      </c>
      <c r="B277" s="196"/>
      <c r="C277" s="200">
        <v>2.6052462000000007</v>
      </c>
      <c r="D277" s="196">
        <v>0.09</v>
      </c>
      <c r="E277" s="196">
        <v>1.1000000000000001</v>
      </c>
      <c r="F277" s="196">
        <v>0.05</v>
      </c>
      <c r="G277" s="196">
        <v>2.95</v>
      </c>
      <c r="H277" s="196">
        <v>0.39</v>
      </c>
      <c r="I277" s="203">
        <v>23.92</v>
      </c>
      <c r="J277" s="203">
        <v>3.59</v>
      </c>
      <c r="K277" s="203">
        <v>42.55</v>
      </c>
      <c r="L277" s="203">
        <v>132.78</v>
      </c>
      <c r="M277" s="203">
        <v>42.65</v>
      </c>
      <c r="N277" s="196"/>
    </row>
    <row r="278" spans="1:14" s="199" customFormat="1" x14ac:dyDescent="0.35">
      <c r="A278" s="195">
        <v>806797</v>
      </c>
      <c r="B278" s="196"/>
      <c r="C278" s="200">
        <v>2.4651792000000006</v>
      </c>
      <c r="D278" s="196">
        <v>0.1</v>
      </c>
      <c r="E278" s="196">
        <v>0.81</v>
      </c>
      <c r="F278" s="196">
        <v>0.04</v>
      </c>
      <c r="G278" s="196">
        <v>4.46</v>
      </c>
      <c r="H278" s="196">
        <v>0.27</v>
      </c>
      <c r="I278" s="203">
        <v>13.13</v>
      </c>
      <c r="J278" s="203">
        <v>0.46</v>
      </c>
      <c r="K278" s="203">
        <v>17.57</v>
      </c>
      <c r="L278" s="203">
        <v>106.52</v>
      </c>
      <c r="M278" s="203">
        <v>55.29</v>
      </c>
      <c r="N278" s="196"/>
    </row>
    <row r="279" spans="1:14" s="199" customFormat="1" x14ac:dyDescent="0.35">
      <c r="A279" s="195">
        <v>806798</v>
      </c>
      <c r="B279" s="196"/>
      <c r="C279" s="200">
        <v>2.1290184000000005</v>
      </c>
      <c r="D279" s="196">
        <v>0.09</v>
      </c>
      <c r="E279" s="196">
        <v>1.31</v>
      </c>
      <c r="F279" s="196">
        <v>0.03</v>
      </c>
      <c r="G279" s="196">
        <v>4.22</v>
      </c>
      <c r="H279" s="196">
        <v>0.24</v>
      </c>
      <c r="I279" s="203">
        <v>20.79</v>
      </c>
      <c r="J279" s="203">
        <v>0.89</v>
      </c>
      <c r="K279" s="203">
        <v>36.04</v>
      </c>
      <c r="L279" s="203">
        <v>89.42</v>
      </c>
      <c r="M279" s="203">
        <v>54.09</v>
      </c>
      <c r="N279" s="196"/>
    </row>
    <row r="280" spans="1:14" s="199" customFormat="1" x14ac:dyDescent="0.35">
      <c r="A280" s="195">
        <v>806799</v>
      </c>
      <c r="B280" s="196"/>
      <c r="C280" s="200">
        <v>2.3811390000000001</v>
      </c>
      <c r="D280" s="196">
        <v>0.09</v>
      </c>
      <c r="E280" s="196">
        <v>0.93</v>
      </c>
      <c r="F280" s="196">
        <v>0.04</v>
      </c>
      <c r="G280" s="196">
        <v>2.73</v>
      </c>
      <c r="H280" s="196">
        <v>0.48</v>
      </c>
      <c r="I280" s="203">
        <v>36.67</v>
      </c>
      <c r="J280" s="203">
        <v>0.47</v>
      </c>
      <c r="K280" s="203">
        <v>44.11</v>
      </c>
      <c r="L280" s="203">
        <v>98.86</v>
      </c>
      <c r="M280" s="203">
        <v>47.56</v>
      </c>
      <c r="N280" s="196"/>
    </row>
    <row r="281" spans="1:14" s="199" customFormat="1" x14ac:dyDescent="0.35">
      <c r="A281" s="195">
        <v>806800</v>
      </c>
      <c r="B281" s="196"/>
      <c r="C281" s="200">
        <v>2.3251122000000004</v>
      </c>
      <c r="D281" s="196">
        <v>0.1</v>
      </c>
      <c r="E281" s="196">
        <v>0.89</v>
      </c>
      <c r="F281" s="196">
        <v>7.0000000000000007E-2</v>
      </c>
      <c r="G281" s="196">
        <v>5.29</v>
      </c>
      <c r="H281" s="196">
        <v>0.24</v>
      </c>
      <c r="I281" s="203">
        <v>8.64</v>
      </c>
      <c r="J281" s="203">
        <v>1.19</v>
      </c>
      <c r="K281" s="203">
        <v>19.100000000000001</v>
      </c>
      <c r="L281" s="203">
        <v>239.34</v>
      </c>
      <c r="M281" s="203">
        <v>57.9</v>
      </c>
      <c r="N281" s="196"/>
    </row>
    <row r="282" spans="1:14" s="199" customFormat="1" x14ac:dyDescent="0.35">
      <c r="A282" s="195">
        <v>806801</v>
      </c>
      <c r="B282" s="196"/>
      <c r="C282" s="200">
        <v>4.1739966000000006</v>
      </c>
      <c r="D282" s="196">
        <v>0.32</v>
      </c>
      <c r="E282" s="196">
        <v>2.5499999999999998</v>
      </c>
      <c r="F282" s="196">
        <v>0.15</v>
      </c>
      <c r="G282" s="196">
        <v>4.6900000000000004</v>
      </c>
      <c r="H282" s="196">
        <v>0.9</v>
      </c>
      <c r="I282" s="203">
        <v>26.49</v>
      </c>
      <c r="J282" s="203">
        <v>21.82</v>
      </c>
      <c r="K282" s="203">
        <v>85.31</v>
      </c>
      <c r="L282" s="203">
        <v>60.88</v>
      </c>
      <c r="M282" s="203">
        <v>68.23</v>
      </c>
      <c r="N282" s="196"/>
    </row>
    <row r="283" spans="1:14" s="199" customFormat="1" x14ac:dyDescent="0.35">
      <c r="A283" s="195">
        <v>806802</v>
      </c>
      <c r="B283" s="196"/>
      <c r="C283" s="200">
        <v>3.5857152000000005</v>
      </c>
      <c r="D283" s="196">
        <v>0.28000000000000003</v>
      </c>
      <c r="E283" s="196">
        <v>2.8</v>
      </c>
      <c r="F283" s="196">
        <v>0.27</v>
      </c>
      <c r="G283" s="196">
        <v>4.6100000000000003</v>
      </c>
      <c r="H283" s="196">
        <v>1.24</v>
      </c>
      <c r="I283" s="203">
        <v>67.209999999999994</v>
      </c>
      <c r="J283" s="203">
        <v>14.1</v>
      </c>
      <c r="K283" s="203">
        <v>57</v>
      </c>
      <c r="L283" s="203">
        <v>69.290000000000006</v>
      </c>
      <c r="M283" s="203">
        <v>116.63</v>
      </c>
      <c r="N283" s="196"/>
    </row>
    <row r="284" spans="1:14" s="199" customFormat="1" x14ac:dyDescent="0.35">
      <c r="A284" s="195">
        <v>806803</v>
      </c>
      <c r="B284" s="196"/>
      <c r="C284" s="200">
        <v>4.7342646000000004</v>
      </c>
      <c r="D284" s="196">
        <v>0.32</v>
      </c>
      <c r="E284" s="196">
        <v>1.24</v>
      </c>
      <c r="F284" s="196">
        <v>0.52</v>
      </c>
      <c r="G284" s="196">
        <v>4.67</v>
      </c>
      <c r="H284" s="196">
        <v>1.1599999999999999</v>
      </c>
      <c r="I284" s="203">
        <v>21.97</v>
      </c>
      <c r="J284" s="203">
        <v>12.03</v>
      </c>
      <c r="K284" s="203">
        <v>69.709999999999994</v>
      </c>
      <c r="L284" s="203">
        <v>53.67</v>
      </c>
      <c r="M284" s="203">
        <v>61.51</v>
      </c>
      <c r="N284" s="196"/>
    </row>
    <row r="285" spans="1:14" s="199" customFormat="1" x14ac:dyDescent="0.35">
      <c r="A285" s="195">
        <v>806804</v>
      </c>
      <c r="B285" s="196"/>
      <c r="C285" s="200">
        <v>2.661273</v>
      </c>
      <c r="D285" s="196">
        <v>0.14000000000000001</v>
      </c>
      <c r="E285" s="196">
        <v>0.69</v>
      </c>
      <c r="F285" s="196">
        <v>0.05</v>
      </c>
      <c r="G285" s="196">
        <v>0.88</v>
      </c>
      <c r="H285" s="196">
        <v>0.25</v>
      </c>
      <c r="I285" s="203">
        <v>30.71</v>
      </c>
      <c r="J285" s="203">
        <v>27.98</v>
      </c>
      <c r="K285" s="203">
        <v>136.38999999999999</v>
      </c>
      <c r="L285" s="203">
        <v>132.6</v>
      </c>
      <c r="M285" s="203">
        <v>71.760000000000005</v>
      </c>
      <c r="N285" s="196"/>
    </row>
    <row r="286" spans="1:14" s="199" customFormat="1" x14ac:dyDescent="0.35">
      <c r="A286" s="195">
        <v>806805</v>
      </c>
      <c r="B286" s="196"/>
      <c r="C286" s="200">
        <v>2.9414069999999999</v>
      </c>
      <c r="D286" s="196">
        <v>0.08</v>
      </c>
      <c r="E286" s="196">
        <v>0.32</v>
      </c>
      <c r="F286" s="196">
        <v>0.03</v>
      </c>
      <c r="G286" s="196">
        <v>0.69</v>
      </c>
      <c r="H286" s="196">
        <v>0.23</v>
      </c>
      <c r="I286" s="203">
        <v>26.48</v>
      </c>
      <c r="J286" s="203">
        <v>19.59</v>
      </c>
      <c r="K286" s="203">
        <v>109.94</v>
      </c>
      <c r="L286" s="203">
        <v>55.62</v>
      </c>
      <c r="M286" s="203">
        <v>40.36</v>
      </c>
      <c r="N286" s="196"/>
    </row>
    <row r="287" spans="1:14" s="199" customFormat="1" x14ac:dyDescent="0.35">
      <c r="A287" s="195">
        <v>806850</v>
      </c>
      <c r="B287" s="196"/>
      <c r="C287" s="200">
        <v>2.4931926000000004</v>
      </c>
      <c r="D287" s="196">
        <v>0.13</v>
      </c>
      <c r="E287" s="196">
        <v>1.19</v>
      </c>
      <c r="F287" s="196">
        <v>0.08</v>
      </c>
      <c r="G287" s="196">
        <v>4.18</v>
      </c>
      <c r="H287" s="196">
        <v>0.52</v>
      </c>
      <c r="I287" s="203">
        <v>11.73</v>
      </c>
      <c r="J287" s="203">
        <v>6.06</v>
      </c>
      <c r="K287" s="203">
        <v>26.66</v>
      </c>
      <c r="L287" s="203">
        <v>174.4</v>
      </c>
      <c r="M287" s="203">
        <v>119.37</v>
      </c>
      <c r="N287" s="196"/>
    </row>
    <row r="288" spans="1:14" s="199" customFormat="1" x14ac:dyDescent="0.35">
      <c r="A288" s="195">
        <v>806851</v>
      </c>
      <c r="B288" s="196"/>
      <c r="C288" s="200">
        <v>2.241072</v>
      </c>
      <c r="D288" s="196">
        <v>0.15</v>
      </c>
      <c r="E288" s="196">
        <v>1.05</v>
      </c>
      <c r="F288" s="196">
        <v>0.11</v>
      </c>
      <c r="G288" s="196">
        <v>4.25</v>
      </c>
      <c r="H288" s="196">
        <v>0.71</v>
      </c>
      <c r="I288" s="203">
        <v>19.22</v>
      </c>
      <c r="J288" s="203">
        <v>8.16</v>
      </c>
      <c r="K288" s="203">
        <v>36.43</v>
      </c>
      <c r="L288" s="203">
        <v>199.9</v>
      </c>
      <c r="M288" s="203">
        <v>166.8</v>
      </c>
      <c r="N288" s="196"/>
    </row>
    <row r="289" spans="1:14" s="199" customFormat="1" x14ac:dyDescent="0.35">
      <c r="A289" s="195">
        <v>806852</v>
      </c>
      <c r="B289" s="196"/>
      <c r="C289" s="200">
        <v>1.8488844</v>
      </c>
      <c r="D289" s="196">
        <v>0.14000000000000001</v>
      </c>
      <c r="E289" s="196">
        <v>1.75</v>
      </c>
      <c r="F289" s="196">
        <v>7.0000000000000007E-2</v>
      </c>
      <c r="G289" s="196">
        <v>3.79</v>
      </c>
      <c r="H289" s="196">
        <v>0.36</v>
      </c>
      <c r="I289" s="203">
        <v>28.31</v>
      </c>
      <c r="J289" s="203">
        <v>2.27</v>
      </c>
      <c r="K289" s="203">
        <v>40.78</v>
      </c>
      <c r="L289" s="203">
        <v>226.84</v>
      </c>
      <c r="M289" s="203">
        <v>99.85</v>
      </c>
      <c r="N289" s="196"/>
    </row>
    <row r="290" spans="1:14" s="199" customFormat="1" x14ac:dyDescent="0.35">
      <c r="A290" s="195">
        <v>806853</v>
      </c>
      <c r="B290" s="196"/>
      <c r="C290" s="200">
        <v>2.241072</v>
      </c>
      <c r="D290" s="196">
        <v>0.14000000000000001</v>
      </c>
      <c r="E290" s="196">
        <v>1.71</v>
      </c>
      <c r="F290" s="196">
        <v>7.0000000000000007E-2</v>
      </c>
      <c r="G290" s="196">
        <v>2.58</v>
      </c>
      <c r="H290" s="196">
        <v>0.43</v>
      </c>
      <c r="I290" s="203">
        <v>10.59</v>
      </c>
      <c r="J290" s="203">
        <v>5.12</v>
      </c>
      <c r="K290" s="203">
        <v>18.27</v>
      </c>
      <c r="L290" s="203">
        <v>167.81</v>
      </c>
      <c r="M290" s="203">
        <v>69.540000000000006</v>
      </c>
      <c r="N290" s="196"/>
    </row>
    <row r="291" spans="1:14" s="199" customFormat="1" x14ac:dyDescent="0.35">
      <c r="A291" s="195">
        <v>806854</v>
      </c>
      <c r="B291" s="196"/>
      <c r="C291" s="200">
        <v>2.6892864000000003</v>
      </c>
      <c r="D291" s="196">
        <v>0.13</v>
      </c>
      <c r="E291" s="196">
        <v>0.93</v>
      </c>
      <c r="F291" s="196">
        <v>7.0000000000000007E-2</v>
      </c>
      <c r="G291" s="196">
        <v>5.21</v>
      </c>
      <c r="H291" s="196">
        <v>0.69</v>
      </c>
      <c r="I291" s="203">
        <v>58.76</v>
      </c>
      <c r="J291" s="203">
        <v>4.9000000000000004</v>
      </c>
      <c r="K291" s="203">
        <v>133.15</v>
      </c>
      <c r="L291" s="203">
        <v>228.45</v>
      </c>
      <c r="M291" s="203">
        <v>93.76</v>
      </c>
      <c r="N291" s="196"/>
    </row>
    <row r="292" spans="1:14" s="199" customFormat="1" x14ac:dyDescent="0.35">
      <c r="A292" s="195">
        <v>806855</v>
      </c>
      <c r="B292" s="196"/>
      <c r="C292" s="200">
        <v>2.8853802000000002</v>
      </c>
      <c r="D292" s="196">
        <v>0.16</v>
      </c>
      <c r="E292" s="196">
        <v>1.21</v>
      </c>
      <c r="F292" s="196">
        <v>0.08</v>
      </c>
      <c r="G292" s="196">
        <v>4.26</v>
      </c>
      <c r="H292" s="196">
        <v>0.5</v>
      </c>
      <c r="I292" s="203">
        <v>21.13</v>
      </c>
      <c r="J292" s="203">
        <v>5.27</v>
      </c>
      <c r="K292" s="203">
        <v>37.200000000000003</v>
      </c>
      <c r="L292" s="203">
        <v>209.6</v>
      </c>
      <c r="M292" s="203">
        <v>52.55</v>
      </c>
      <c r="N292" s="196"/>
    </row>
    <row r="293" spans="1:14" s="199" customFormat="1" x14ac:dyDescent="0.35">
      <c r="A293" s="195">
        <v>806856</v>
      </c>
      <c r="B293" s="196"/>
      <c r="C293" s="200">
        <v>2.3251122000000004</v>
      </c>
      <c r="D293" s="196">
        <v>0.13</v>
      </c>
      <c r="E293" s="196">
        <v>1</v>
      </c>
      <c r="F293" s="196">
        <v>0.12</v>
      </c>
      <c r="G293" s="196">
        <v>6.01</v>
      </c>
      <c r="H293" s="196">
        <v>0.43</v>
      </c>
      <c r="I293" s="203">
        <v>16.239999999999998</v>
      </c>
      <c r="J293" s="203">
        <v>7.02</v>
      </c>
      <c r="K293" s="203">
        <v>29.76</v>
      </c>
      <c r="L293" s="203">
        <v>274.58</v>
      </c>
      <c r="M293" s="203">
        <v>63.9</v>
      </c>
      <c r="N293" s="196"/>
    </row>
    <row r="294" spans="1:14" s="199" customFormat="1" x14ac:dyDescent="0.35">
      <c r="A294" s="195">
        <v>806857</v>
      </c>
      <c r="B294" s="196"/>
      <c r="C294" s="200">
        <v>2.3811390000000001</v>
      </c>
      <c r="D294" s="196">
        <v>0.21</v>
      </c>
      <c r="E294" s="196">
        <v>1.47</v>
      </c>
      <c r="F294" s="196">
        <v>0.08</v>
      </c>
      <c r="G294" s="196">
        <v>3.85</v>
      </c>
      <c r="H294" s="196">
        <v>0.65</v>
      </c>
      <c r="I294" s="203">
        <v>50.29</v>
      </c>
      <c r="J294" s="203">
        <v>8.02</v>
      </c>
      <c r="K294" s="203">
        <v>99.97</v>
      </c>
      <c r="L294" s="203">
        <v>194.94</v>
      </c>
      <c r="M294" s="203">
        <v>98.94</v>
      </c>
      <c r="N294" s="196"/>
    </row>
    <row r="295" spans="1:14" s="199" customFormat="1" x14ac:dyDescent="0.35">
      <c r="A295" s="195">
        <v>806858</v>
      </c>
      <c r="B295" s="196"/>
      <c r="C295" s="200">
        <v>2.6892864000000003</v>
      </c>
      <c r="D295" s="196">
        <v>0.11</v>
      </c>
      <c r="E295" s="196">
        <v>1.37</v>
      </c>
      <c r="F295" s="196">
        <v>0.09</v>
      </c>
      <c r="G295" s="196">
        <v>5.73</v>
      </c>
      <c r="H295" s="196">
        <v>0.36</v>
      </c>
      <c r="I295" s="203">
        <v>26.82</v>
      </c>
      <c r="J295" s="203">
        <v>1.81</v>
      </c>
      <c r="K295" s="203">
        <v>86.78</v>
      </c>
      <c r="L295" s="203">
        <v>228.16</v>
      </c>
      <c r="M295" s="203">
        <v>86.47</v>
      </c>
      <c r="N295" s="196"/>
    </row>
    <row r="296" spans="1:14" s="199" customFormat="1" x14ac:dyDescent="0.35">
      <c r="A296" s="195">
        <v>806859</v>
      </c>
      <c r="B296" s="196"/>
      <c r="C296" s="200">
        <v>2.4931926000000004</v>
      </c>
      <c r="D296" s="196">
        <v>0.16</v>
      </c>
      <c r="E296" s="196">
        <v>2.6</v>
      </c>
      <c r="F296" s="196">
        <v>0.08</v>
      </c>
      <c r="G296" s="196">
        <v>3.85</v>
      </c>
      <c r="H296" s="196">
        <v>0.38</v>
      </c>
      <c r="I296" s="203">
        <v>31.02</v>
      </c>
      <c r="J296" s="203">
        <v>3.64</v>
      </c>
      <c r="K296" s="203">
        <v>78.06</v>
      </c>
      <c r="L296" s="203">
        <v>197.48</v>
      </c>
      <c r="M296" s="203">
        <v>136.94</v>
      </c>
      <c r="N296" s="196"/>
    </row>
    <row r="297" spans="1:14" s="199" customFormat="1" x14ac:dyDescent="0.35">
      <c r="A297" s="195">
        <v>806860</v>
      </c>
      <c r="B297" s="196"/>
      <c r="C297" s="200">
        <v>2.6052462000000007</v>
      </c>
      <c r="D297" s="196">
        <v>0.19</v>
      </c>
      <c r="E297" s="196">
        <v>2.06</v>
      </c>
      <c r="F297" s="196">
        <v>0.06</v>
      </c>
      <c r="G297" s="196">
        <v>2.2799999999999998</v>
      </c>
      <c r="H297" s="196">
        <v>0.39</v>
      </c>
      <c r="I297" s="203">
        <v>30.54</v>
      </c>
      <c r="J297" s="203">
        <v>4.28</v>
      </c>
      <c r="K297" s="203">
        <v>80.44</v>
      </c>
      <c r="L297" s="203">
        <v>223.29</v>
      </c>
      <c r="M297" s="203">
        <v>107.06</v>
      </c>
      <c r="N297" s="196"/>
    </row>
    <row r="298" spans="1:14" s="199" customFormat="1" x14ac:dyDescent="0.35">
      <c r="A298" s="195">
        <v>806861</v>
      </c>
      <c r="B298" s="196"/>
      <c r="C298" s="200">
        <v>2.8853802000000002</v>
      </c>
      <c r="D298" s="196">
        <v>0.13</v>
      </c>
      <c r="E298" s="196">
        <v>1.82</v>
      </c>
      <c r="F298" s="196">
        <v>0.06</v>
      </c>
      <c r="G298" s="196">
        <v>3.69</v>
      </c>
      <c r="H298" s="196">
        <v>0.28000000000000003</v>
      </c>
      <c r="I298" s="203">
        <v>46.02</v>
      </c>
      <c r="J298" s="203">
        <v>3.91</v>
      </c>
      <c r="K298" s="203">
        <v>124.46</v>
      </c>
      <c r="L298" s="203">
        <v>253.58</v>
      </c>
      <c r="M298" s="203">
        <v>84.29</v>
      </c>
      <c r="N298" s="196"/>
    </row>
    <row r="299" spans="1:14" s="199" customFormat="1" x14ac:dyDescent="0.35">
      <c r="A299" s="195">
        <v>806862</v>
      </c>
      <c r="B299" s="196"/>
      <c r="C299" s="200">
        <v>2.6332596000000001</v>
      </c>
      <c r="D299" s="196">
        <v>0.13</v>
      </c>
      <c r="E299" s="196">
        <v>1.22</v>
      </c>
      <c r="F299" s="196">
        <v>0.08</v>
      </c>
      <c r="G299" s="196">
        <v>5.96</v>
      </c>
      <c r="H299" s="196">
        <v>0.24</v>
      </c>
      <c r="I299" s="203">
        <v>10.26</v>
      </c>
      <c r="J299" s="203">
        <v>3.82</v>
      </c>
      <c r="K299" s="203">
        <v>16.78</v>
      </c>
      <c r="L299" s="203">
        <v>172.49</v>
      </c>
      <c r="M299" s="203">
        <v>63.06</v>
      </c>
      <c r="N299" s="196"/>
    </row>
    <row r="300" spans="1:14" s="199" customFormat="1" x14ac:dyDescent="0.35">
      <c r="A300" s="195">
        <v>806863</v>
      </c>
      <c r="B300" s="196"/>
      <c r="C300" s="200">
        <v>2.7172998000000002</v>
      </c>
      <c r="D300" s="196">
        <v>0.14000000000000001</v>
      </c>
      <c r="E300" s="196">
        <v>1.57</v>
      </c>
      <c r="F300" s="196">
        <v>0.06</v>
      </c>
      <c r="G300" s="196">
        <v>6.27</v>
      </c>
      <c r="H300" s="196">
        <v>0.25</v>
      </c>
      <c r="I300" s="203">
        <v>10.95</v>
      </c>
      <c r="J300" s="203">
        <v>7.56</v>
      </c>
      <c r="K300" s="203">
        <v>20.72</v>
      </c>
      <c r="L300" s="203">
        <v>152.01</v>
      </c>
      <c r="M300" s="203">
        <v>97.24</v>
      </c>
      <c r="N300" s="196"/>
    </row>
    <row r="301" spans="1:14" s="199" customFormat="1" x14ac:dyDescent="0.35">
      <c r="A301" s="195">
        <v>806864</v>
      </c>
      <c r="B301" s="196"/>
      <c r="C301" s="200">
        <v>2.5772328000000004</v>
      </c>
      <c r="D301" s="196">
        <v>0.12</v>
      </c>
      <c r="E301" s="196">
        <v>0.86</v>
      </c>
      <c r="F301" s="196">
        <v>7.0000000000000007E-2</v>
      </c>
      <c r="G301" s="196">
        <v>6.98</v>
      </c>
      <c r="H301" s="196">
        <v>0.28000000000000003</v>
      </c>
      <c r="I301" s="203">
        <v>11.37</v>
      </c>
      <c r="J301" s="203">
        <v>6.9</v>
      </c>
      <c r="K301" s="203">
        <v>18.84</v>
      </c>
      <c r="L301" s="203">
        <v>171.6</v>
      </c>
      <c r="M301" s="203">
        <v>54.91</v>
      </c>
      <c r="N301" s="196"/>
    </row>
    <row r="302" spans="1:14" s="199" customFormat="1" x14ac:dyDescent="0.35">
      <c r="A302" s="195">
        <v>806865</v>
      </c>
      <c r="B302" s="196"/>
      <c r="C302" s="200">
        <v>2.6892864000000003</v>
      </c>
      <c r="D302" s="196">
        <v>0.1</v>
      </c>
      <c r="E302" s="196">
        <v>1.3</v>
      </c>
      <c r="F302" s="196">
        <v>0.06</v>
      </c>
      <c r="G302" s="196">
        <v>4.04</v>
      </c>
      <c r="H302" s="196">
        <v>0.28000000000000003</v>
      </c>
      <c r="I302" s="203">
        <v>25.49</v>
      </c>
      <c r="J302" s="203">
        <v>2.2400000000000002</v>
      </c>
      <c r="K302" s="203">
        <v>64.37</v>
      </c>
      <c r="L302" s="203">
        <v>222.66</v>
      </c>
      <c r="M302" s="203">
        <v>43.79</v>
      </c>
      <c r="N302" s="196"/>
    </row>
    <row r="303" spans="1:14" s="199" customFormat="1" x14ac:dyDescent="0.35">
      <c r="A303" s="195">
        <v>806866</v>
      </c>
      <c r="B303" s="196"/>
      <c r="C303" s="200">
        <v>2.5772328000000004</v>
      </c>
      <c r="D303" s="196">
        <v>0.1</v>
      </c>
      <c r="E303" s="196">
        <v>0.78</v>
      </c>
      <c r="F303" s="196">
        <v>0.06</v>
      </c>
      <c r="G303" s="196">
        <v>8.0299999999999994</v>
      </c>
      <c r="H303" s="196">
        <v>0.28000000000000003</v>
      </c>
      <c r="I303" s="203">
        <v>31.78</v>
      </c>
      <c r="J303" s="203">
        <v>3.71</v>
      </c>
      <c r="K303" s="203">
        <v>52.83</v>
      </c>
      <c r="L303" s="203">
        <v>157.19</v>
      </c>
      <c r="M303" s="203">
        <v>48.12</v>
      </c>
      <c r="N303" s="196"/>
    </row>
    <row r="304" spans="1:14" s="199" customFormat="1" x14ac:dyDescent="0.35">
      <c r="A304" s="195">
        <v>906000</v>
      </c>
      <c r="B304" s="196"/>
      <c r="C304" s="200">
        <v>4.01</v>
      </c>
      <c r="D304" s="196">
        <v>0.36</v>
      </c>
      <c r="E304" s="196">
        <v>2.94</v>
      </c>
      <c r="F304" s="196">
        <v>0.04</v>
      </c>
      <c r="G304" s="196">
        <v>0.93</v>
      </c>
      <c r="H304" s="196">
        <v>0.43</v>
      </c>
      <c r="I304" s="203">
        <v>39.81</v>
      </c>
      <c r="J304" s="203">
        <v>6.93</v>
      </c>
      <c r="K304" s="203">
        <v>100.93</v>
      </c>
      <c r="L304" s="203">
        <v>127.37</v>
      </c>
      <c r="M304" s="203">
        <v>61.86</v>
      </c>
      <c r="N304" s="196"/>
    </row>
    <row r="305" spans="1:14" s="199" customFormat="1" x14ac:dyDescent="0.35">
      <c r="A305" s="195">
        <v>906001</v>
      </c>
      <c r="B305" s="196"/>
      <c r="C305" s="200">
        <v>3.95</v>
      </c>
      <c r="D305" s="196">
        <v>0.36</v>
      </c>
      <c r="E305" s="196">
        <v>2.58</v>
      </c>
      <c r="F305" s="196">
        <v>0.03</v>
      </c>
      <c r="G305" s="196">
        <v>1.1299999999999999</v>
      </c>
      <c r="H305" s="196">
        <v>0.46</v>
      </c>
      <c r="I305" s="203">
        <v>78.819999999999993</v>
      </c>
      <c r="J305" s="203">
        <v>6.89</v>
      </c>
      <c r="K305" s="203">
        <v>292.2</v>
      </c>
      <c r="L305" s="203">
        <v>135.83000000000001</v>
      </c>
      <c r="M305" s="203">
        <v>66.11</v>
      </c>
      <c r="N305" s="196"/>
    </row>
    <row r="306" spans="1:14" s="199" customFormat="1" x14ac:dyDescent="0.35">
      <c r="A306" s="195">
        <v>806867</v>
      </c>
      <c r="B306" s="196"/>
      <c r="C306" s="200">
        <v>1.2325896000000001</v>
      </c>
      <c r="D306" s="196">
        <v>0.1</v>
      </c>
      <c r="E306" s="196">
        <v>0.95</v>
      </c>
      <c r="F306" s="196">
        <v>0.06</v>
      </c>
      <c r="G306" s="196">
        <v>0.47</v>
      </c>
      <c r="H306" s="196">
        <v>7.0000000000000007E-2</v>
      </c>
      <c r="I306" s="203">
        <v>16.75</v>
      </c>
      <c r="J306" s="203">
        <v>4.13</v>
      </c>
      <c r="K306" s="203">
        <v>27.25</v>
      </c>
      <c r="L306" s="203">
        <v>121.17</v>
      </c>
      <c r="M306" s="203">
        <v>18.12</v>
      </c>
      <c r="N306" s="196"/>
    </row>
    <row r="307" spans="1:14" s="199" customFormat="1" x14ac:dyDescent="0.35">
      <c r="A307" s="195">
        <v>806868</v>
      </c>
      <c r="B307" s="196"/>
      <c r="C307" s="200">
        <v>2.0169648000000002</v>
      </c>
      <c r="D307" s="196">
        <v>0.18</v>
      </c>
      <c r="E307" s="196">
        <v>1.07</v>
      </c>
      <c r="F307" s="196">
        <v>0.01</v>
      </c>
      <c r="G307" s="196">
        <v>2.6</v>
      </c>
      <c r="H307" s="196">
        <v>0.18</v>
      </c>
      <c r="I307" s="203">
        <v>17.059999999999999</v>
      </c>
      <c r="J307" s="203">
        <v>7.09</v>
      </c>
      <c r="K307" s="203">
        <v>77.92</v>
      </c>
      <c r="L307" s="203">
        <v>125.2</v>
      </c>
      <c r="M307" s="203">
        <v>18.489999999999998</v>
      </c>
      <c r="N307" s="196"/>
    </row>
    <row r="308" spans="1:14" s="199" customFormat="1" x14ac:dyDescent="0.35">
      <c r="A308" s="195">
        <v>806870</v>
      </c>
      <c r="B308" s="196"/>
      <c r="C308" s="200">
        <v>4.4261172000000011</v>
      </c>
      <c r="D308" s="196">
        <v>0.3</v>
      </c>
      <c r="E308" s="196">
        <v>3.33</v>
      </c>
      <c r="F308" s="196">
        <v>0.16</v>
      </c>
      <c r="G308" s="196">
        <v>6.46</v>
      </c>
      <c r="H308" s="196">
        <v>0.91</v>
      </c>
      <c r="I308" s="203">
        <v>15.58</v>
      </c>
      <c r="J308" s="203">
        <v>7.61</v>
      </c>
      <c r="K308" s="203">
        <v>78</v>
      </c>
      <c r="L308" s="203">
        <v>219.54</v>
      </c>
      <c r="M308" s="203">
        <v>43.12</v>
      </c>
      <c r="N308" s="196"/>
    </row>
    <row r="309" spans="1:14" s="199" customFormat="1" x14ac:dyDescent="0.35">
      <c r="A309" s="195">
        <v>906000</v>
      </c>
      <c r="B309" s="196"/>
      <c r="C309" s="200">
        <v>4.0059162000000006</v>
      </c>
      <c r="D309" s="196">
        <v>0.36</v>
      </c>
      <c r="E309" s="196">
        <v>2.94</v>
      </c>
      <c r="F309" s="196">
        <v>0.04</v>
      </c>
      <c r="G309" s="196">
        <v>0.93</v>
      </c>
      <c r="H309" s="196">
        <v>0.43</v>
      </c>
      <c r="I309" s="203">
        <v>39.81</v>
      </c>
      <c r="J309" s="203">
        <v>6.93</v>
      </c>
      <c r="K309" s="203">
        <v>100.93</v>
      </c>
      <c r="L309" s="203">
        <v>127.37</v>
      </c>
      <c r="M309" s="203">
        <v>61.86</v>
      </c>
      <c r="N309" s="196"/>
    </row>
    <row r="310" spans="1:14" s="199" customFormat="1" x14ac:dyDescent="0.35">
      <c r="A310" s="195">
        <v>906001</v>
      </c>
      <c r="B310" s="196"/>
      <c r="C310" s="200">
        <v>3.9498894000000009</v>
      </c>
      <c r="D310" s="196">
        <v>0.36</v>
      </c>
      <c r="E310" s="196">
        <v>2.58</v>
      </c>
      <c r="F310" s="196">
        <v>0.03</v>
      </c>
      <c r="G310" s="196">
        <v>1.1299999999999999</v>
      </c>
      <c r="H310" s="196">
        <v>0.46</v>
      </c>
      <c r="I310" s="203">
        <v>78.819999999999993</v>
      </c>
      <c r="J310" s="203">
        <v>6.89</v>
      </c>
      <c r="K310" s="203">
        <v>292.2</v>
      </c>
      <c r="L310" s="203">
        <v>135.83000000000001</v>
      </c>
      <c r="M310" s="203">
        <v>66.11</v>
      </c>
      <c r="N310" s="196"/>
    </row>
    <row r="311" spans="1:14" s="199" customFormat="1" x14ac:dyDescent="0.35">
      <c r="A311" s="195">
        <v>906002</v>
      </c>
      <c r="B311" s="196"/>
      <c r="C311" s="200">
        <v>3.0254472000000008</v>
      </c>
      <c r="D311" s="196">
        <v>0.11</v>
      </c>
      <c r="E311" s="196">
        <v>1.1399999999999999</v>
      </c>
      <c r="F311" s="196">
        <v>7.0000000000000007E-2</v>
      </c>
      <c r="G311" s="196">
        <v>2.36</v>
      </c>
      <c r="H311" s="196">
        <v>0.4</v>
      </c>
      <c r="I311" s="203">
        <v>38.67</v>
      </c>
      <c r="J311" s="203">
        <v>5.51</v>
      </c>
      <c r="K311" s="203">
        <v>44.33</v>
      </c>
      <c r="L311" s="203">
        <v>186.05</v>
      </c>
      <c r="M311" s="203">
        <v>78.540000000000006</v>
      </c>
      <c r="N311" s="196"/>
    </row>
    <row r="312" spans="1:14" s="199" customFormat="1" x14ac:dyDescent="0.35">
      <c r="A312" s="195">
        <v>906003</v>
      </c>
      <c r="B312" s="196"/>
      <c r="C312" s="200">
        <v>2.5492194000000006</v>
      </c>
      <c r="D312" s="196">
        <v>0.1</v>
      </c>
      <c r="E312" s="196">
        <v>0.99</v>
      </c>
      <c r="F312" s="196">
        <v>0.05</v>
      </c>
      <c r="G312" s="196">
        <v>4.57</v>
      </c>
      <c r="H312" s="196">
        <v>0.41</v>
      </c>
      <c r="I312" s="203">
        <v>45.09</v>
      </c>
      <c r="J312" s="203">
        <v>4.33</v>
      </c>
      <c r="K312" s="203">
        <v>44.26</v>
      </c>
      <c r="L312" s="203">
        <v>166.42</v>
      </c>
      <c r="M312" s="203">
        <v>40.770000000000003</v>
      </c>
      <c r="N312" s="196"/>
    </row>
    <row r="313" spans="1:14" s="199" customFormat="1" x14ac:dyDescent="0.35">
      <c r="A313" s="195">
        <v>906004</v>
      </c>
      <c r="B313" s="196"/>
      <c r="C313" s="200">
        <v>2.4091524000000009</v>
      </c>
      <c r="D313" s="196">
        <v>0.1</v>
      </c>
      <c r="E313" s="196">
        <v>1.05</v>
      </c>
      <c r="F313" s="196">
        <v>0.04</v>
      </c>
      <c r="G313" s="196">
        <v>3.82</v>
      </c>
      <c r="H313" s="196">
        <v>0.43</v>
      </c>
      <c r="I313" s="203">
        <v>41.16</v>
      </c>
      <c r="J313" s="203">
        <v>25.1</v>
      </c>
      <c r="K313" s="203">
        <v>50.77</v>
      </c>
      <c r="L313" s="203">
        <v>165.92</v>
      </c>
      <c r="M313" s="203">
        <v>74.510000000000005</v>
      </c>
      <c r="N313" s="196"/>
    </row>
    <row r="314" spans="1:14" s="199" customFormat="1" x14ac:dyDescent="0.35">
      <c r="A314" s="195">
        <v>906005</v>
      </c>
      <c r="B314" s="196"/>
      <c r="C314" s="200">
        <v>2.3251122000000004</v>
      </c>
      <c r="D314" s="196">
        <v>0.1</v>
      </c>
      <c r="E314" s="196">
        <v>1.5</v>
      </c>
      <c r="F314" s="196">
        <v>0.03</v>
      </c>
      <c r="G314" s="196">
        <v>3.86</v>
      </c>
      <c r="H314" s="196">
        <v>0.51</v>
      </c>
      <c r="I314" s="203">
        <v>56.88</v>
      </c>
      <c r="J314" s="203">
        <v>6.28</v>
      </c>
      <c r="K314" s="203">
        <v>50.57</v>
      </c>
      <c r="L314" s="203">
        <v>103</v>
      </c>
      <c r="M314" s="203">
        <v>41.01</v>
      </c>
      <c r="N314" s="196"/>
    </row>
    <row r="315" spans="1:14" s="199" customFormat="1" x14ac:dyDescent="0.35">
      <c r="A315" s="195">
        <v>906006</v>
      </c>
      <c r="B315" s="196"/>
      <c r="C315" s="200">
        <v>2.8013400000000006</v>
      </c>
      <c r="D315" s="196">
        <v>0.1</v>
      </c>
      <c r="E315" s="196">
        <v>0.91</v>
      </c>
      <c r="F315" s="196">
        <v>0.05</v>
      </c>
      <c r="G315" s="196">
        <v>5.31</v>
      </c>
      <c r="H315" s="196">
        <v>0.39</v>
      </c>
      <c r="I315" s="203">
        <v>26.92</v>
      </c>
      <c r="J315" s="203">
        <v>4.6900000000000004</v>
      </c>
      <c r="K315" s="203">
        <v>31.87</v>
      </c>
      <c r="L315" s="203">
        <v>139.36000000000001</v>
      </c>
      <c r="M315" s="203">
        <v>72.66</v>
      </c>
      <c r="N315" s="196"/>
    </row>
    <row r="316" spans="1:14" s="199" customFormat="1" x14ac:dyDescent="0.35">
      <c r="A316" s="195">
        <v>906007</v>
      </c>
      <c r="B316" s="196"/>
      <c r="C316" s="200">
        <v>2.5772328000000004</v>
      </c>
      <c r="D316" s="196">
        <v>0.11</v>
      </c>
      <c r="E316" s="196">
        <v>1.19</v>
      </c>
      <c r="F316" s="196">
        <v>0.05</v>
      </c>
      <c r="G316" s="196">
        <v>2.09</v>
      </c>
      <c r="H316" s="196">
        <v>0.49</v>
      </c>
      <c r="I316" s="203">
        <v>44.88</v>
      </c>
      <c r="J316" s="203">
        <v>4.79</v>
      </c>
      <c r="K316" s="203">
        <v>60.8</v>
      </c>
      <c r="L316" s="203">
        <v>211.72</v>
      </c>
      <c r="M316" s="203">
        <v>76.23</v>
      </c>
      <c r="N316" s="196"/>
    </row>
    <row r="317" spans="1:14" s="199" customFormat="1" x14ac:dyDescent="0.35">
      <c r="A317" s="195">
        <v>906008</v>
      </c>
      <c r="B317" s="196"/>
      <c r="C317" s="200">
        <v>2.3531256000000003</v>
      </c>
      <c r="D317" s="196">
        <v>0.08</v>
      </c>
      <c r="E317" s="196">
        <v>0.89</v>
      </c>
      <c r="F317" s="196">
        <v>0.04</v>
      </c>
      <c r="G317" s="196">
        <v>4.5999999999999996</v>
      </c>
      <c r="H317" s="196">
        <v>0.26</v>
      </c>
      <c r="I317" s="203">
        <v>69.08</v>
      </c>
      <c r="J317" s="203">
        <v>3.33</v>
      </c>
      <c r="K317" s="203">
        <v>107.61</v>
      </c>
      <c r="L317" s="203">
        <v>154.4</v>
      </c>
      <c r="M317" s="203">
        <v>56.2</v>
      </c>
      <c r="N317" s="196"/>
    </row>
    <row r="318" spans="1:14" s="199" customFormat="1" x14ac:dyDescent="0.35">
      <c r="A318" s="195">
        <v>906009</v>
      </c>
      <c r="B318" s="196"/>
      <c r="C318" s="200">
        <v>2.0729916000000004</v>
      </c>
      <c r="D318" s="196">
        <v>0.08</v>
      </c>
      <c r="E318" s="196">
        <v>0.72</v>
      </c>
      <c r="F318" s="196">
        <v>0.04</v>
      </c>
      <c r="G318" s="196">
        <v>5.24</v>
      </c>
      <c r="H318" s="196">
        <v>0.34</v>
      </c>
      <c r="I318" s="203">
        <v>49.46</v>
      </c>
      <c r="J318" s="203">
        <v>4.54</v>
      </c>
      <c r="K318" s="203">
        <v>96.64</v>
      </c>
      <c r="L318" s="203">
        <v>143.79</v>
      </c>
      <c r="M318" s="203">
        <v>47.4</v>
      </c>
      <c r="N318" s="196"/>
    </row>
    <row r="319" spans="1:14" s="199" customFormat="1" x14ac:dyDescent="0.35">
      <c r="A319" s="195">
        <v>906010</v>
      </c>
      <c r="B319" s="196"/>
      <c r="C319" s="200">
        <v>2.5772328000000004</v>
      </c>
      <c r="D319" s="196">
        <v>0.08</v>
      </c>
      <c r="E319" s="196">
        <v>0.67</v>
      </c>
      <c r="F319" s="196">
        <v>0.06</v>
      </c>
      <c r="G319" s="196">
        <v>4.9800000000000004</v>
      </c>
      <c r="H319" s="196">
        <v>0.28999999999999998</v>
      </c>
      <c r="I319" s="203">
        <v>82.02</v>
      </c>
      <c r="J319" s="203">
        <v>7.89</v>
      </c>
      <c r="K319" s="203">
        <v>234.35</v>
      </c>
      <c r="L319" s="203">
        <v>158.79</v>
      </c>
      <c r="M319" s="203">
        <v>64.64</v>
      </c>
      <c r="N319" s="196"/>
    </row>
    <row r="320" spans="1:14" s="199" customFormat="1" x14ac:dyDescent="0.35">
      <c r="A320" s="195">
        <v>906011</v>
      </c>
      <c r="B320" s="196"/>
      <c r="C320" s="200">
        <v>2.5212060000000003</v>
      </c>
      <c r="D320" s="196">
        <v>0.1</v>
      </c>
      <c r="E320" s="196">
        <v>0.73</v>
      </c>
      <c r="F320" s="196">
        <v>0.06</v>
      </c>
      <c r="G320" s="196">
        <v>4.91</v>
      </c>
      <c r="H320" s="196">
        <v>0.44</v>
      </c>
      <c r="I320" s="203">
        <v>30.21</v>
      </c>
      <c r="J320" s="203">
        <v>7.42</v>
      </c>
      <c r="K320" s="203">
        <v>61.74</v>
      </c>
      <c r="L320" s="203">
        <v>162.84</v>
      </c>
      <c r="M320" s="203">
        <v>95.39</v>
      </c>
      <c r="N320" s="196"/>
    </row>
    <row r="321" spans="1:14" s="199" customFormat="1" x14ac:dyDescent="0.35">
      <c r="A321" s="195">
        <v>906012</v>
      </c>
      <c r="B321" s="196"/>
      <c r="C321" s="200">
        <v>2.4371658000000007</v>
      </c>
      <c r="D321" s="196">
        <v>0.09</v>
      </c>
      <c r="E321" s="196">
        <v>0.53</v>
      </c>
      <c r="F321" s="196">
        <v>0.05</v>
      </c>
      <c r="G321" s="196">
        <v>6.05</v>
      </c>
      <c r="H321" s="196">
        <v>0.36</v>
      </c>
      <c r="I321" s="203">
        <v>53.21</v>
      </c>
      <c r="J321" s="203">
        <v>3.37</v>
      </c>
      <c r="K321" s="203">
        <v>52.35</v>
      </c>
      <c r="L321" s="203">
        <v>111.91</v>
      </c>
      <c r="M321" s="203">
        <v>34.200000000000003</v>
      </c>
      <c r="N321" s="196"/>
    </row>
    <row r="322" spans="1:14" s="199" customFormat="1" x14ac:dyDescent="0.35">
      <c r="A322" s="195">
        <v>906013</v>
      </c>
      <c r="B322" s="196"/>
      <c r="C322" s="200">
        <v>2.5492194000000006</v>
      </c>
      <c r="D322" s="196">
        <v>0.11</v>
      </c>
      <c r="E322" s="196">
        <v>0.63</v>
      </c>
      <c r="F322" s="196">
        <v>0.05</v>
      </c>
      <c r="G322" s="196">
        <v>6.72</v>
      </c>
      <c r="H322" s="196">
        <v>0.36</v>
      </c>
      <c r="I322" s="203">
        <v>9.84</v>
      </c>
      <c r="J322" s="203">
        <v>5.99</v>
      </c>
      <c r="K322" s="203">
        <v>21.81</v>
      </c>
      <c r="L322" s="203">
        <v>157.69</v>
      </c>
      <c r="M322" s="203">
        <v>33.909999999999997</v>
      </c>
      <c r="N322" s="196"/>
    </row>
    <row r="323" spans="1:14" s="199" customFormat="1" x14ac:dyDescent="0.35">
      <c r="A323" s="195">
        <v>906014</v>
      </c>
      <c r="B323" s="196"/>
      <c r="C323" s="200">
        <v>2.8013400000000006</v>
      </c>
      <c r="D323" s="196">
        <v>0.1</v>
      </c>
      <c r="E323" s="196">
        <v>0.8</v>
      </c>
      <c r="F323" s="196">
        <v>7.0000000000000007E-2</v>
      </c>
      <c r="G323" s="196">
        <v>6.07</v>
      </c>
      <c r="H323" s="196">
        <v>0.42</v>
      </c>
      <c r="I323" s="203">
        <v>87.98</v>
      </c>
      <c r="J323" s="203">
        <v>4.54</v>
      </c>
      <c r="K323" s="203">
        <v>152.69999999999999</v>
      </c>
      <c r="L323" s="203">
        <v>140.88</v>
      </c>
      <c r="M323" s="203">
        <v>58.72</v>
      </c>
      <c r="N323" s="196"/>
    </row>
    <row r="324" spans="1:14" s="199" customFormat="1" x14ac:dyDescent="0.35">
      <c r="A324" s="195">
        <v>906015</v>
      </c>
      <c r="B324" s="196"/>
      <c r="C324" s="200">
        <v>2.4091524000000009</v>
      </c>
      <c r="D324" s="196">
        <v>0.09</v>
      </c>
      <c r="E324" s="196">
        <v>0.92</v>
      </c>
      <c r="F324" s="196">
        <v>0.05</v>
      </c>
      <c r="G324" s="196">
        <v>4.5</v>
      </c>
      <c r="H324" s="196">
        <v>0.37</v>
      </c>
      <c r="I324" s="203">
        <v>31.12</v>
      </c>
      <c r="J324" s="203">
        <v>19.440000000000001</v>
      </c>
      <c r="K324" s="203">
        <v>53.54</v>
      </c>
      <c r="L324" s="203">
        <v>88.69</v>
      </c>
      <c r="M324" s="203">
        <v>28.85</v>
      </c>
      <c r="N324" s="196"/>
    </row>
    <row r="325" spans="1:14" s="199" customFormat="1" x14ac:dyDescent="0.35">
      <c r="A325" s="195">
        <v>906016</v>
      </c>
      <c r="B325" s="196"/>
      <c r="C325" s="200">
        <v>3.1935276000000004</v>
      </c>
      <c r="D325" s="196">
        <v>0.12</v>
      </c>
      <c r="E325" s="196">
        <v>0.94</v>
      </c>
      <c r="F325" s="196">
        <v>0.05</v>
      </c>
      <c r="G325" s="196">
        <v>2.2999999999999998</v>
      </c>
      <c r="H325" s="196">
        <v>0.34</v>
      </c>
      <c r="I325" s="203">
        <v>11.7</v>
      </c>
      <c r="J325" s="203">
        <v>16.46</v>
      </c>
      <c r="K325" s="203">
        <v>28.38</v>
      </c>
      <c r="L325" s="203">
        <v>189.36</v>
      </c>
      <c r="M325" s="203">
        <v>57.37</v>
      </c>
      <c r="N325" s="196"/>
    </row>
    <row r="326" spans="1:14" s="199" customFormat="1" x14ac:dyDescent="0.35">
      <c r="A326" s="195">
        <v>906017</v>
      </c>
      <c r="B326" s="196"/>
      <c r="C326" s="200">
        <v>2.8013400000000006</v>
      </c>
      <c r="D326" s="196">
        <v>0.09</v>
      </c>
      <c r="E326" s="196">
        <v>0.9</v>
      </c>
      <c r="F326" s="196">
        <v>0.04</v>
      </c>
      <c r="G326" s="196">
        <v>5.36</v>
      </c>
      <c r="H326" s="196">
        <v>0.31</v>
      </c>
      <c r="I326" s="203">
        <v>54.34</v>
      </c>
      <c r="J326" s="203">
        <v>1.28</v>
      </c>
      <c r="K326" s="203">
        <v>52.21</v>
      </c>
      <c r="L326" s="203">
        <v>101.89</v>
      </c>
      <c r="M326" s="203">
        <v>42.82</v>
      </c>
      <c r="N326" s="196"/>
    </row>
    <row r="327" spans="1:14" s="199" customFormat="1" x14ac:dyDescent="0.35">
      <c r="A327" s="195">
        <v>906018</v>
      </c>
      <c r="B327" s="196"/>
      <c r="C327" s="200">
        <v>2.9133936</v>
      </c>
      <c r="D327" s="196">
        <v>0.12</v>
      </c>
      <c r="E327" s="196">
        <v>1.1100000000000001</v>
      </c>
      <c r="F327" s="196">
        <v>0.03</v>
      </c>
      <c r="G327" s="196">
        <v>5.5</v>
      </c>
      <c r="H327" s="196">
        <v>0.3</v>
      </c>
      <c r="I327" s="203">
        <v>18.37</v>
      </c>
      <c r="J327" s="203">
        <v>2.5099999999999998</v>
      </c>
      <c r="K327" s="203">
        <v>48.19</v>
      </c>
      <c r="L327" s="203">
        <v>127.96</v>
      </c>
      <c r="M327" s="203">
        <v>153.44999999999999</v>
      </c>
      <c r="N327" s="196"/>
    </row>
    <row r="328" spans="1:14" s="199" customFormat="1" x14ac:dyDescent="0.35">
      <c r="A328" s="195">
        <v>906019</v>
      </c>
      <c r="B328" s="196"/>
      <c r="C328" s="200">
        <v>2.8013400000000006</v>
      </c>
      <c r="D328" s="196">
        <v>0.09</v>
      </c>
      <c r="E328" s="196">
        <v>0.67</v>
      </c>
      <c r="F328" s="196">
        <v>0.05</v>
      </c>
      <c r="G328" s="196">
        <v>3.39</v>
      </c>
      <c r="H328" s="196">
        <v>0.25</v>
      </c>
      <c r="I328" s="203">
        <v>31.6</v>
      </c>
      <c r="J328" s="203">
        <v>0.88</v>
      </c>
      <c r="K328" s="203">
        <v>85.52</v>
      </c>
      <c r="L328" s="203">
        <v>143.66999999999999</v>
      </c>
      <c r="M328" s="203">
        <v>38.31</v>
      </c>
      <c r="N328" s="196"/>
    </row>
    <row r="329" spans="1:14" s="199" customFormat="1" x14ac:dyDescent="0.35">
      <c r="A329" s="195">
        <v>906020</v>
      </c>
      <c r="B329" s="196"/>
      <c r="C329" s="200">
        <v>2.5492194000000006</v>
      </c>
      <c r="D329" s="196">
        <v>0.11</v>
      </c>
      <c r="E329" s="196">
        <v>1.45</v>
      </c>
      <c r="F329" s="196">
        <v>0.06</v>
      </c>
      <c r="G329" s="196">
        <v>4.32</v>
      </c>
      <c r="H329" s="196">
        <v>0.17</v>
      </c>
      <c r="I329" s="203">
        <v>129.51</v>
      </c>
      <c r="J329" s="203">
        <v>1.18</v>
      </c>
      <c r="K329" s="203">
        <v>200.33</v>
      </c>
      <c r="L329" s="203">
        <v>160.28</v>
      </c>
      <c r="M329" s="203">
        <v>65.97</v>
      </c>
      <c r="N329" s="196"/>
    </row>
    <row r="330" spans="1:14" s="199" customFormat="1" x14ac:dyDescent="0.35">
      <c r="A330" s="195">
        <v>906021</v>
      </c>
      <c r="B330" s="196"/>
      <c r="C330" s="200">
        <v>2.4651792000000006</v>
      </c>
      <c r="D330" s="196">
        <v>0.11</v>
      </c>
      <c r="E330" s="196">
        <v>1.1399999999999999</v>
      </c>
      <c r="F330" s="196">
        <v>0.04</v>
      </c>
      <c r="G330" s="196">
        <v>4.75</v>
      </c>
      <c r="H330" s="196">
        <v>0.23</v>
      </c>
      <c r="I330" s="203">
        <v>12.9</v>
      </c>
      <c r="J330" s="203">
        <v>15.7</v>
      </c>
      <c r="K330" s="203">
        <v>16.71</v>
      </c>
      <c r="L330" s="203">
        <v>158.82</v>
      </c>
      <c r="M330" s="203">
        <v>64.17</v>
      </c>
      <c r="N330" s="196"/>
    </row>
    <row r="331" spans="1:14" s="199" customFormat="1" x14ac:dyDescent="0.35">
      <c r="A331" s="195">
        <v>906022</v>
      </c>
      <c r="B331" s="196"/>
      <c r="C331" s="200">
        <v>2.661273</v>
      </c>
      <c r="D331" s="196">
        <v>0.11</v>
      </c>
      <c r="E331" s="196">
        <v>0.97</v>
      </c>
      <c r="F331" s="196">
        <v>0.04</v>
      </c>
      <c r="G331" s="196">
        <v>4.75</v>
      </c>
      <c r="H331" s="196">
        <v>0.28999999999999998</v>
      </c>
      <c r="I331" s="203">
        <v>8.5500000000000007</v>
      </c>
      <c r="J331" s="203">
        <v>7.29</v>
      </c>
      <c r="K331" s="203">
        <v>13.47</v>
      </c>
      <c r="L331" s="203">
        <v>174.38</v>
      </c>
      <c r="M331" s="203">
        <v>67.7</v>
      </c>
      <c r="N331" s="196"/>
    </row>
    <row r="332" spans="1:14" s="199" customFormat="1" x14ac:dyDescent="0.35">
      <c r="A332" s="195">
        <v>906023</v>
      </c>
      <c r="B332" s="196"/>
      <c r="C332" s="200">
        <v>2.8853802000000002</v>
      </c>
      <c r="D332" s="196">
        <v>0.12</v>
      </c>
      <c r="E332" s="196">
        <v>0.98</v>
      </c>
      <c r="F332" s="196">
        <v>0.04</v>
      </c>
      <c r="G332" s="196">
        <v>3.05</v>
      </c>
      <c r="H332" s="196">
        <v>0.33</v>
      </c>
      <c r="I332" s="203">
        <v>19.7</v>
      </c>
      <c r="J332" s="203">
        <v>9.32</v>
      </c>
      <c r="K332" s="203">
        <v>47.64</v>
      </c>
      <c r="L332" s="203">
        <v>193.2</v>
      </c>
      <c r="M332" s="203">
        <v>103.29</v>
      </c>
      <c r="N332" s="196"/>
    </row>
    <row r="333" spans="1:14" s="199" customFormat="1" x14ac:dyDescent="0.35">
      <c r="A333" s="195">
        <v>906024</v>
      </c>
      <c r="B333" s="196"/>
      <c r="C333" s="200">
        <v>2.6892864000000003</v>
      </c>
      <c r="D333" s="196">
        <v>0.11</v>
      </c>
      <c r="E333" s="196">
        <v>1.02</v>
      </c>
      <c r="F333" s="196">
        <v>0.03</v>
      </c>
      <c r="G333" s="196">
        <v>4.7699999999999996</v>
      </c>
      <c r="H333" s="196">
        <v>0.28999999999999998</v>
      </c>
      <c r="I333" s="203">
        <v>7.81</v>
      </c>
      <c r="J333" s="203">
        <v>8.33</v>
      </c>
      <c r="K333" s="203">
        <v>15.43</v>
      </c>
      <c r="L333" s="203">
        <v>151.68</v>
      </c>
      <c r="M333" s="203">
        <v>98.81</v>
      </c>
      <c r="N333" s="196"/>
    </row>
    <row r="334" spans="1:14" s="199" customFormat="1" x14ac:dyDescent="0.35">
      <c r="A334" s="195">
        <v>906025</v>
      </c>
      <c r="B334" s="196"/>
      <c r="C334" s="200">
        <v>2.8013400000000006</v>
      </c>
      <c r="D334" s="196">
        <v>0.12</v>
      </c>
      <c r="E334" s="196">
        <v>0.59</v>
      </c>
      <c r="F334" s="196">
        <v>0.04</v>
      </c>
      <c r="G334" s="196">
        <v>5.0999999999999996</v>
      </c>
      <c r="H334" s="196">
        <v>0.59</v>
      </c>
      <c r="I334" s="203">
        <v>7.54</v>
      </c>
      <c r="J334" s="203">
        <v>6.04</v>
      </c>
      <c r="K334" s="203">
        <v>13.99</v>
      </c>
      <c r="L334" s="203">
        <v>126.2</v>
      </c>
      <c r="M334" s="203">
        <v>87.42</v>
      </c>
      <c r="N334" s="196"/>
    </row>
    <row r="335" spans="1:14" s="199" customFormat="1" x14ac:dyDescent="0.35">
      <c r="A335" s="195">
        <v>906026</v>
      </c>
      <c r="B335" s="196"/>
      <c r="C335" s="200">
        <v>2.4651792000000006</v>
      </c>
      <c r="D335" s="196">
        <v>0.11</v>
      </c>
      <c r="E335" s="196">
        <v>0.98</v>
      </c>
      <c r="F335" s="196">
        <v>0.03</v>
      </c>
      <c r="G335" s="196">
        <v>4.49</v>
      </c>
      <c r="H335" s="196">
        <v>0.48</v>
      </c>
      <c r="I335" s="203">
        <v>15.16</v>
      </c>
      <c r="J335" s="203">
        <v>7.22</v>
      </c>
      <c r="K335" s="203">
        <v>31.17</v>
      </c>
      <c r="L335" s="203">
        <v>193.47</v>
      </c>
      <c r="M335" s="203">
        <v>99.13</v>
      </c>
      <c r="N335" s="196"/>
    </row>
    <row r="336" spans="1:14" s="199" customFormat="1" x14ac:dyDescent="0.35">
      <c r="A336" s="195">
        <v>906027</v>
      </c>
      <c r="B336" s="196"/>
      <c r="C336" s="200">
        <v>3.0254472000000008</v>
      </c>
      <c r="D336" s="196">
        <v>0.16</v>
      </c>
      <c r="E336" s="196">
        <v>1.21</v>
      </c>
      <c r="F336" s="196">
        <v>0.04</v>
      </c>
      <c r="G336" s="196">
        <v>3.05</v>
      </c>
      <c r="H336" s="196">
        <v>0.4</v>
      </c>
      <c r="I336" s="203">
        <v>13.68</v>
      </c>
      <c r="J336" s="203">
        <v>5.04</v>
      </c>
      <c r="K336" s="203">
        <v>20.73</v>
      </c>
      <c r="L336" s="203">
        <v>146.81</v>
      </c>
      <c r="M336" s="203">
        <v>67.42</v>
      </c>
      <c r="N336" s="196"/>
    </row>
    <row r="337" spans="1:28" s="199" customFormat="1" x14ac:dyDescent="0.35">
      <c r="A337" s="195">
        <v>906028</v>
      </c>
      <c r="B337" s="196"/>
      <c r="C337" s="200">
        <v>2.7453132000000009</v>
      </c>
      <c r="D337" s="196">
        <v>0.12</v>
      </c>
      <c r="E337" s="196">
        <v>0.56999999999999995</v>
      </c>
      <c r="F337" s="196">
        <v>0.05</v>
      </c>
      <c r="G337" s="196">
        <v>3.98</v>
      </c>
      <c r="H337" s="196">
        <v>0.35</v>
      </c>
      <c r="I337" s="203">
        <v>11.51</v>
      </c>
      <c r="J337" s="203">
        <v>7.87</v>
      </c>
      <c r="K337" s="203">
        <v>15.41</v>
      </c>
      <c r="L337" s="203">
        <v>159.66</v>
      </c>
      <c r="M337" s="203">
        <v>85.2</v>
      </c>
      <c r="N337" s="196"/>
    </row>
    <row r="338" spans="1:28" s="199" customFormat="1" x14ac:dyDescent="0.35">
      <c r="A338" s="195">
        <v>906029</v>
      </c>
      <c r="B338" s="196"/>
      <c r="C338" s="200">
        <v>3.0254472000000008</v>
      </c>
      <c r="D338" s="196">
        <v>0.11</v>
      </c>
      <c r="E338" s="196">
        <v>0.97</v>
      </c>
      <c r="F338" s="196">
        <v>0.04</v>
      </c>
      <c r="G338" s="196">
        <v>3.54</v>
      </c>
      <c r="H338" s="196">
        <v>0.45</v>
      </c>
      <c r="I338" s="203">
        <v>33.83</v>
      </c>
      <c r="J338" s="203">
        <v>4.1900000000000004</v>
      </c>
      <c r="K338" s="203">
        <v>38.46</v>
      </c>
      <c r="L338" s="203">
        <v>191.73</v>
      </c>
      <c r="M338" s="203">
        <v>100.27</v>
      </c>
      <c r="N338" s="196"/>
    </row>
    <row r="339" spans="1:28" s="199" customFormat="1" x14ac:dyDescent="0.35">
      <c r="A339" s="195">
        <v>906030</v>
      </c>
      <c r="B339" s="196"/>
      <c r="C339" s="200">
        <v>2.8013400000000006</v>
      </c>
      <c r="D339" s="196">
        <v>0.1</v>
      </c>
      <c r="E339" s="196">
        <v>0.78</v>
      </c>
      <c r="F339" s="196">
        <v>0.03</v>
      </c>
      <c r="G339" s="196">
        <v>4.0599999999999996</v>
      </c>
      <c r="H339" s="196">
        <v>0.43</v>
      </c>
      <c r="I339" s="203">
        <v>14.76</v>
      </c>
      <c r="J339" s="203">
        <v>5.63</v>
      </c>
      <c r="K339" s="203">
        <v>31.73</v>
      </c>
      <c r="L339" s="203">
        <v>183.52</v>
      </c>
      <c r="M339" s="203">
        <v>91.54</v>
      </c>
      <c r="N339" s="196"/>
    </row>
    <row r="340" spans="1:28" s="199" customFormat="1" x14ac:dyDescent="0.35">
      <c r="A340" s="195">
        <v>906031</v>
      </c>
      <c r="B340" s="196"/>
      <c r="C340" s="200">
        <v>2.9694204000000002</v>
      </c>
      <c r="D340" s="196">
        <v>0.09</v>
      </c>
      <c r="E340" s="196">
        <v>0.8</v>
      </c>
      <c r="F340" s="196">
        <v>0.04</v>
      </c>
      <c r="G340" s="196">
        <v>3.58</v>
      </c>
      <c r="H340" s="196">
        <v>0.38</v>
      </c>
      <c r="I340" s="203">
        <v>13.14</v>
      </c>
      <c r="J340" s="203">
        <v>8.19</v>
      </c>
      <c r="K340" s="203">
        <v>20.11</v>
      </c>
      <c r="L340" s="203">
        <v>145.58000000000001</v>
      </c>
      <c r="M340" s="203">
        <v>55.49</v>
      </c>
      <c r="N340" s="196"/>
    </row>
    <row r="341" spans="1:28" s="199" customFormat="1" x14ac:dyDescent="0.35">
      <c r="A341" s="195">
        <v>906032</v>
      </c>
      <c r="B341" s="196"/>
      <c r="C341" s="200">
        <v>2.6332596000000001</v>
      </c>
      <c r="D341" s="196">
        <v>0.09</v>
      </c>
      <c r="E341" s="196">
        <v>0.97</v>
      </c>
      <c r="F341" s="196">
        <v>0.03</v>
      </c>
      <c r="G341" s="196">
        <v>3.78</v>
      </c>
      <c r="H341" s="196">
        <v>0.24</v>
      </c>
      <c r="I341" s="203">
        <v>6.8</v>
      </c>
      <c r="J341" s="203">
        <v>12.15</v>
      </c>
      <c r="K341" s="203">
        <v>10.44</v>
      </c>
      <c r="L341" s="203">
        <v>171.17</v>
      </c>
      <c r="M341" s="203">
        <v>40.049999999999997</v>
      </c>
      <c r="N341" s="196"/>
    </row>
    <row r="342" spans="1:28" s="199" customFormat="1" x14ac:dyDescent="0.35">
      <c r="A342" s="206">
        <v>906033</v>
      </c>
      <c r="B342" s="217"/>
      <c r="C342" s="218">
        <v>3.3616080000000004</v>
      </c>
      <c r="D342" s="217">
        <v>1.3</v>
      </c>
      <c r="E342" s="217">
        <v>3.45</v>
      </c>
      <c r="F342" s="217">
        <v>0.04</v>
      </c>
      <c r="G342" s="217">
        <v>1.19</v>
      </c>
      <c r="H342" s="217">
        <v>0.4</v>
      </c>
      <c r="I342" s="218">
        <v>21.3</v>
      </c>
      <c r="J342" s="218">
        <v>13.43</v>
      </c>
      <c r="K342" s="218">
        <v>338.21</v>
      </c>
      <c r="L342" s="218">
        <v>223.01</v>
      </c>
      <c r="M342" s="218">
        <v>56.9</v>
      </c>
      <c r="N342" s="196"/>
    </row>
    <row r="343" spans="1:28" s="199" customFormat="1" x14ac:dyDescent="0.35">
      <c r="A343" s="206">
        <v>906034</v>
      </c>
      <c r="B343" s="217"/>
      <c r="C343" s="218">
        <v>3.0254472000000008</v>
      </c>
      <c r="D343" s="217">
        <v>0.24</v>
      </c>
      <c r="E343" s="217">
        <v>1.98</v>
      </c>
      <c r="F343" s="217">
        <v>7.0000000000000007E-2</v>
      </c>
      <c r="G343" s="217">
        <v>1.31</v>
      </c>
      <c r="H343" s="217">
        <v>0.32</v>
      </c>
      <c r="I343" s="218">
        <v>352.88</v>
      </c>
      <c r="J343" s="218">
        <v>37.29</v>
      </c>
      <c r="K343" s="218">
        <v>140.38999999999999</v>
      </c>
      <c r="L343" s="218">
        <v>345.88</v>
      </c>
      <c r="M343" s="218">
        <v>145.87</v>
      </c>
      <c r="N343" s="196"/>
    </row>
    <row r="344" spans="1:28" s="199" customFormat="1" x14ac:dyDescent="0.35">
      <c r="A344" s="206">
        <v>906035</v>
      </c>
      <c r="B344" s="217"/>
      <c r="C344" s="218">
        <v>2.661273</v>
      </c>
      <c r="D344" s="217">
        <v>0.11</v>
      </c>
      <c r="E344" s="217">
        <v>0.91</v>
      </c>
      <c r="F344" s="217">
        <v>0.03</v>
      </c>
      <c r="G344" s="217">
        <v>0.59</v>
      </c>
      <c r="H344" s="217">
        <v>0.16</v>
      </c>
      <c r="I344" s="218">
        <v>13.62</v>
      </c>
      <c r="J344" s="218">
        <v>1.72</v>
      </c>
      <c r="K344" s="218">
        <v>89.91</v>
      </c>
      <c r="L344" s="218">
        <v>69.739999999999995</v>
      </c>
      <c r="M344" s="218">
        <v>80.680000000000007</v>
      </c>
      <c r="N344" s="196"/>
    </row>
    <row r="345" spans="1:28" s="199" customFormat="1" x14ac:dyDescent="0.35">
      <c r="A345" s="206">
        <v>906036</v>
      </c>
      <c r="B345" s="217"/>
      <c r="C345" s="218">
        <v>3.2215410000000007</v>
      </c>
      <c r="D345" s="217">
        <v>0.11</v>
      </c>
      <c r="E345" s="217">
        <v>1.0900000000000001</v>
      </c>
      <c r="F345" s="217">
        <v>0.04</v>
      </c>
      <c r="G345" s="217">
        <v>0.48</v>
      </c>
      <c r="H345" s="217">
        <v>0.19</v>
      </c>
      <c r="I345" s="218">
        <v>13.98</v>
      </c>
      <c r="J345" s="218">
        <v>3.73</v>
      </c>
      <c r="K345" s="218">
        <v>103.8</v>
      </c>
      <c r="L345" s="218">
        <v>94.39</v>
      </c>
      <c r="M345" s="218">
        <v>141.85</v>
      </c>
      <c r="N345" s="196"/>
    </row>
    <row r="346" spans="1:28" s="199" customFormat="1" x14ac:dyDescent="0.35">
      <c r="A346" s="206">
        <v>906037</v>
      </c>
      <c r="B346" s="217"/>
      <c r="C346" s="218">
        <v>3.1655142000000001</v>
      </c>
      <c r="D346" s="217">
        <v>0.19</v>
      </c>
      <c r="E346" s="217">
        <v>1.1100000000000001</v>
      </c>
      <c r="F346" s="217">
        <v>0.04</v>
      </c>
      <c r="G346" s="217">
        <v>0.68</v>
      </c>
      <c r="H346" s="217">
        <v>0.22</v>
      </c>
      <c r="I346" s="218">
        <v>9.9700000000000006</v>
      </c>
      <c r="J346" s="218">
        <v>2.13</v>
      </c>
      <c r="K346" s="218">
        <v>146.66</v>
      </c>
      <c r="L346" s="218">
        <v>89.86</v>
      </c>
      <c r="M346" s="218">
        <v>147.13</v>
      </c>
      <c r="N346" s="196"/>
    </row>
    <row r="347" spans="1:28" s="199" customFormat="1" x14ac:dyDescent="0.35">
      <c r="A347" s="206">
        <v>906038</v>
      </c>
      <c r="B347" s="217"/>
      <c r="C347" s="218">
        <v>3.4456482000000008</v>
      </c>
      <c r="D347" s="217">
        <v>0.28999999999999998</v>
      </c>
      <c r="E347" s="217">
        <v>3.41</v>
      </c>
      <c r="F347" s="217">
        <v>0.12</v>
      </c>
      <c r="G347" s="217">
        <v>4.67</v>
      </c>
      <c r="H347" s="217">
        <v>0.88</v>
      </c>
      <c r="I347" s="218">
        <v>15.66</v>
      </c>
      <c r="J347" s="218">
        <v>33.979999999999997</v>
      </c>
      <c r="K347" s="218">
        <v>80.09</v>
      </c>
      <c r="L347" s="218">
        <v>63.78</v>
      </c>
      <c r="M347" s="218">
        <v>73.040000000000006</v>
      </c>
      <c r="N347" s="196"/>
    </row>
    <row r="348" spans="1:28" s="199" customFormat="1" x14ac:dyDescent="0.35">
      <c r="A348" s="206">
        <v>906039</v>
      </c>
      <c r="B348" s="217"/>
      <c r="C348" s="218">
        <v>3.9218760000000001</v>
      </c>
      <c r="D348" s="217">
        <v>0.14000000000000001</v>
      </c>
      <c r="E348" s="217">
        <v>2.62</v>
      </c>
      <c r="F348" s="217">
        <v>0.08</v>
      </c>
      <c r="G348" s="217">
        <v>4.57</v>
      </c>
      <c r="H348" s="217">
        <v>0.93</v>
      </c>
      <c r="I348" s="218">
        <v>12.97</v>
      </c>
      <c r="J348" s="218">
        <v>11.14</v>
      </c>
      <c r="K348" s="218">
        <v>96.85</v>
      </c>
      <c r="L348" s="218">
        <v>44.29</v>
      </c>
      <c r="M348" s="218">
        <v>74.23</v>
      </c>
      <c r="N348" s="196"/>
    </row>
    <row r="349" spans="1:28" s="199" customFormat="1" x14ac:dyDescent="0.35">
      <c r="A349" s="206">
        <v>906040</v>
      </c>
      <c r="B349" s="217"/>
      <c r="C349" s="218">
        <v>2.6052462000000007</v>
      </c>
      <c r="D349" s="217">
        <v>0.45</v>
      </c>
      <c r="E349" s="217">
        <v>0.46</v>
      </c>
      <c r="F349" s="217">
        <v>0.01</v>
      </c>
      <c r="G349" s="217">
        <v>0.9</v>
      </c>
      <c r="H349" s="217">
        <v>0.21</v>
      </c>
      <c r="I349" s="218">
        <v>40.409999999999997</v>
      </c>
      <c r="J349" s="218">
        <v>90.42</v>
      </c>
      <c r="K349" s="218">
        <v>12.92</v>
      </c>
      <c r="L349" s="218">
        <v>54.82</v>
      </c>
      <c r="M349" s="218">
        <v>25.71</v>
      </c>
      <c r="N349" s="196"/>
    </row>
    <row r="350" spans="1:28" s="199" customFormat="1" x14ac:dyDescent="0.35">
      <c r="A350" s="206">
        <v>906041</v>
      </c>
      <c r="B350" s="217"/>
      <c r="C350" s="218">
        <v>3.4456482000000008</v>
      </c>
      <c r="D350" s="217">
        <v>0.45</v>
      </c>
      <c r="E350" s="217">
        <v>2.64</v>
      </c>
      <c r="F350" s="217">
        <v>0.36</v>
      </c>
      <c r="G350" s="217">
        <v>4.17</v>
      </c>
      <c r="H350" s="217">
        <v>1.72</v>
      </c>
      <c r="I350" s="218">
        <v>7.3</v>
      </c>
      <c r="J350" s="218">
        <v>13.86</v>
      </c>
      <c r="K350" s="218">
        <v>45.93</v>
      </c>
      <c r="L350" s="218">
        <v>70.66</v>
      </c>
      <c r="M350" s="218">
        <v>67.790000000000006</v>
      </c>
      <c r="N350" s="196"/>
    </row>
    <row r="351" spans="1:28" s="199" customFormat="1" x14ac:dyDescent="0.35">
      <c r="A351" s="206">
        <v>906042</v>
      </c>
      <c r="B351" s="217"/>
      <c r="C351" s="218">
        <v>2.8013400000000006</v>
      </c>
      <c r="D351" s="217">
        <v>0.16</v>
      </c>
      <c r="E351" s="217">
        <v>1.36</v>
      </c>
      <c r="F351" s="217">
        <v>0.05</v>
      </c>
      <c r="G351" s="217">
        <v>1.33</v>
      </c>
      <c r="H351" s="217">
        <v>0.15</v>
      </c>
      <c r="I351" s="218">
        <v>36.840000000000003</v>
      </c>
      <c r="J351" s="218">
        <v>457.84</v>
      </c>
      <c r="K351" s="218">
        <v>26.83</v>
      </c>
      <c r="L351" s="218">
        <v>144.62</v>
      </c>
      <c r="M351" s="218">
        <v>19.66</v>
      </c>
      <c r="N351" s="196"/>
    </row>
    <row r="352" spans="1:28" s="199" customFormat="1" x14ac:dyDescent="0.35">
      <c r="A352" s="195">
        <v>906043</v>
      </c>
      <c r="B352" s="219"/>
      <c r="C352" s="220">
        <v>2.9</v>
      </c>
      <c r="D352" s="219">
        <v>0.14000000000000001</v>
      </c>
      <c r="E352" s="219">
        <v>1.26</v>
      </c>
      <c r="F352" s="219">
        <v>0.11</v>
      </c>
      <c r="G352" s="219">
        <v>6.05</v>
      </c>
      <c r="H352" s="219">
        <v>0.25</v>
      </c>
      <c r="I352" s="220">
        <v>128.13</v>
      </c>
      <c r="J352" s="220">
        <v>2.93</v>
      </c>
      <c r="K352" s="220">
        <v>241.2</v>
      </c>
      <c r="L352" s="220">
        <v>295.14</v>
      </c>
      <c r="M352" s="220">
        <v>87.38</v>
      </c>
      <c r="N352" s="221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  <c r="AA352" s="224"/>
      <c r="AB352" s="224"/>
    </row>
    <row r="353" spans="1:28" s="199" customFormat="1" x14ac:dyDescent="0.35">
      <c r="A353" s="195">
        <v>906044</v>
      </c>
      <c r="B353" s="219"/>
      <c r="C353" s="220">
        <v>3</v>
      </c>
      <c r="D353" s="219">
        <v>0.13</v>
      </c>
      <c r="E353" s="219">
        <v>1.4</v>
      </c>
      <c r="F353" s="219">
        <v>0.08</v>
      </c>
      <c r="G353" s="219">
        <v>6.74</v>
      </c>
      <c r="H353" s="219">
        <v>0.19</v>
      </c>
      <c r="I353" s="220">
        <v>151.09</v>
      </c>
      <c r="J353" s="220">
        <v>2.25</v>
      </c>
      <c r="K353" s="220">
        <v>272</v>
      </c>
      <c r="L353" s="220">
        <v>217.45</v>
      </c>
      <c r="M353" s="220">
        <v>74.650000000000006</v>
      </c>
      <c r="N353" s="221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  <c r="AA353" s="224"/>
      <c r="AB353" s="224"/>
    </row>
    <row r="354" spans="1:28" s="199" customFormat="1" x14ac:dyDescent="0.35">
      <c r="A354" s="195">
        <v>906045</v>
      </c>
      <c r="B354" s="219"/>
      <c r="C354" s="220">
        <v>4.4000000000000004</v>
      </c>
      <c r="D354" s="219">
        <v>0.37</v>
      </c>
      <c r="E354" s="219">
        <v>2.5099999999999998</v>
      </c>
      <c r="F354" s="219">
        <v>0.11</v>
      </c>
      <c r="G354" s="219">
        <v>14.17</v>
      </c>
      <c r="H354" s="219">
        <v>1.27</v>
      </c>
      <c r="I354" s="220">
        <v>20.98</v>
      </c>
      <c r="J354" s="220">
        <v>77.97</v>
      </c>
      <c r="K354" s="220">
        <v>133.94999999999999</v>
      </c>
      <c r="L354" s="220">
        <v>67.41</v>
      </c>
      <c r="M354" s="220">
        <v>51.7</v>
      </c>
      <c r="N354" s="221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  <c r="AA354" s="224"/>
      <c r="AB354" s="224"/>
    </row>
    <row r="355" spans="1:28" s="199" customFormat="1" x14ac:dyDescent="0.35">
      <c r="A355" s="195">
        <v>906046</v>
      </c>
      <c r="B355" s="219"/>
      <c r="C355" s="220">
        <v>4.8</v>
      </c>
      <c r="D355" s="219">
        <v>0.35</v>
      </c>
      <c r="E355" s="219">
        <v>3.93</v>
      </c>
      <c r="F355" s="219">
        <v>0.2</v>
      </c>
      <c r="G355" s="219">
        <v>5.76</v>
      </c>
      <c r="H355" s="219">
        <v>1.28</v>
      </c>
      <c r="I355" s="220">
        <v>23.95</v>
      </c>
      <c r="J355" s="220">
        <v>10.7</v>
      </c>
      <c r="K355" s="220">
        <v>137.16999999999999</v>
      </c>
      <c r="L355" s="220">
        <v>62.34</v>
      </c>
      <c r="M355" s="220">
        <v>69.2</v>
      </c>
      <c r="N355" s="221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  <c r="AA355" s="224"/>
      <c r="AB355" s="224"/>
    </row>
    <row r="356" spans="1:28" s="199" customFormat="1" x14ac:dyDescent="0.35">
      <c r="A356" s="195">
        <v>906047</v>
      </c>
      <c r="B356" s="219"/>
      <c r="C356" s="220">
        <v>3.3</v>
      </c>
      <c r="D356" s="219">
        <v>0.18</v>
      </c>
      <c r="E356" s="219">
        <v>1.65</v>
      </c>
      <c r="F356" s="219">
        <v>0.05</v>
      </c>
      <c r="G356" s="219">
        <v>5.45</v>
      </c>
      <c r="H356" s="219">
        <v>0.28999999999999998</v>
      </c>
      <c r="I356" s="220">
        <v>27.72</v>
      </c>
      <c r="J356" s="220">
        <v>9.6300000000000008</v>
      </c>
      <c r="K356" s="220">
        <v>37</v>
      </c>
      <c r="L356" s="220">
        <v>149.52000000000001</v>
      </c>
      <c r="M356" s="220">
        <v>72.260000000000005</v>
      </c>
      <c r="N356" s="221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  <c r="AA356" s="224"/>
      <c r="AB356" s="224"/>
    </row>
    <row r="357" spans="1:28" s="199" customFormat="1" x14ac:dyDescent="0.35">
      <c r="A357" s="195">
        <v>906048</v>
      </c>
      <c r="B357" s="219"/>
      <c r="C357" s="220">
        <v>2.7</v>
      </c>
      <c r="D357" s="219">
        <v>0.13</v>
      </c>
      <c r="E357" s="219">
        <v>0.69</v>
      </c>
      <c r="F357" s="219">
        <v>7.0000000000000007E-2</v>
      </c>
      <c r="G357" s="219">
        <v>8.14</v>
      </c>
      <c r="H357" s="219">
        <v>0.38</v>
      </c>
      <c r="I357" s="220">
        <v>50.09</v>
      </c>
      <c r="J357" s="220">
        <v>9.86</v>
      </c>
      <c r="K357" s="220">
        <v>73.739999999999995</v>
      </c>
      <c r="L357" s="220">
        <v>181.28</v>
      </c>
      <c r="M357" s="220">
        <v>76.290000000000006</v>
      </c>
      <c r="N357" s="221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  <c r="AA357" s="224"/>
      <c r="AB357" s="224"/>
    </row>
    <row r="358" spans="1:28" s="199" customFormat="1" x14ac:dyDescent="0.35">
      <c r="A358" s="195">
        <v>906049</v>
      </c>
      <c r="B358" s="219"/>
      <c r="C358" s="220">
        <v>2.9</v>
      </c>
      <c r="D358" s="219">
        <v>0.14000000000000001</v>
      </c>
      <c r="E358" s="219">
        <v>1.51</v>
      </c>
      <c r="F358" s="219">
        <v>0.1</v>
      </c>
      <c r="G358" s="219">
        <v>5.0199999999999996</v>
      </c>
      <c r="H358" s="219">
        <v>0.32</v>
      </c>
      <c r="I358" s="220">
        <v>48.95</v>
      </c>
      <c r="J358" s="220">
        <v>5.34</v>
      </c>
      <c r="K358" s="220">
        <v>76.06</v>
      </c>
      <c r="L358" s="220">
        <v>173.76</v>
      </c>
      <c r="M358" s="220">
        <v>67.08</v>
      </c>
      <c r="N358" s="221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  <c r="AA358" s="224"/>
      <c r="AB358" s="224"/>
    </row>
    <row r="359" spans="1:28" s="199" customFormat="1" x14ac:dyDescent="0.35">
      <c r="A359" s="195">
        <v>906050</v>
      </c>
      <c r="B359" s="219"/>
      <c r="C359" s="220">
        <v>2.2000000000000002</v>
      </c>
      <c r="D359" s="219">
        <v>0.15</v>
      </c>
      <c r="E359" s="219">
        <v>1.89</v>
      </c>
      <c r="F359" s="219">
        <v>0.06</v>
      </c>
      <c r="G359" s="219">
        <v>4.4400000000000004</v>
      </c>
      <c r="H359" s="219">
        <v>0.44</v>
      </c>
      <c r="I359" s="220">
        <v>31.67</v>
      </c>
      <c r="J359" s="220">
        <v>4.16</v>
      </c>
      <c r="K359" s="220">
        <v>29.05</v>
      </c>
      <c r="L359" s="220">
        <v>175.15</v>
      </c>
      <c r="M359" s="220">
        <v>68.87</v>
      </c>
      <c r="N359" s="221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  <c r="AA359" s="224"/>
      <c r="AB359" s="224"/>
    </row>
    <row r="360" spans="1:28" s="199" customFormat="1" x14ac:dyDescent="0.35">
      <c r="A360" s="195">
        <v>906051</v>
      </c>
      <c r="B360" s="219"/>
      <c r="C360" s="220">
        <v>2.4</v>
      </c>
      <c r="D360" s="219">
        <v>0.13</v>
      </c>
      <c r="E360" s="219">
        <v>0.7</v>
      </c>
      <c r="F360" s="219">
        <v>0.05</v>
      </c>
      <c r="G360" s="219">
        <v>5.01</v>
      </c>
      <c r="H360" s="219">
        <v>0.32</v>
      </c>
      <c r="I360" s="220">
        <v>27.43</v>
      </c>
      <c r="J360" s="220">
        <v>4.8600000000000003</v>
      </c>
      <c r="K360" s="220">
        <v>24.32</v>
      </c>
      <c r="L360" s="220">
        <v>158.19999999999999</v>
      </c>
      <c r="M360" s="220">
        <v>60.53</v>
      </c>
      <c r="N360" s="221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  <c r="AA360" s="224"/>
      <c r="AB360" s="224"/>
    </row>
    <row r="361" spans="1:28" s="199" customFormat="1" x14ac:dyDescent="0.35">
      <c r="A361" s="195">
        <v>906052</v>
      </c>
      <c r="B361" s="219"/>
      <c r="C361" s="220">
        <v>1.9</v>
      </c>
      <c r="D361" s="219">
        <v>0.11</v>
      </c>
      <c r="E361" s="219">
        <v>0.59</v>
      </c>
      <c r="F361" s="219">
        <v>7.0000000000000007E-2</v>
      </c>
      <c r="G361" s="219">
        <v>4.74</v>
      </c>
      <c r="H361" s="219">
        <v>0.14000000000000001</v>
      </c>
      <c r="I361" s="220">
        <v>22.17</v>
      </c>
      <c r="J361" s="220">
        <v>2.97</v>
      </c>
      <c r="K361" s="220">
        <v>37.700000000000003</v>
      </c>
      <c r="L361" s="220">
        <v>155.59</v>
      </c>
      <c r="M361" s="220">
        <v>90.04</v>
      </c>
      <c r="N361" s="221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  <c r="AA361" s="224"/>
      <c r="AB361" s="224"/>
    </row>
    <row r="362" spans="1:28" s="199" customFormat="1" x14ac:dyDescent="0.35">
      <c r="A362" s="195">
        <v>906053</v>
      </c>
      <c r="B362" s="219"/>
      <c r="C362" s="220">
        <v>2.7</v>
      </c>
      <c r="D362" s="219">
        <v>0.12</v>
      </c>
      <c r="E362" s="219">
        <v>2.17</v>
      </c>
      <c r="F362" s="219">
        <v>7.0000000000000007E-2</v>
      </c>
      <c r="G362" s="219">
        <v>5.51</v>
      </c>
      <c r="H362" s="219">
        <v>0.04</v>
      </c>
      <c r="I362" s="220">
        <v>32.229999999999997</v>
      </c>
      <c r="J362" s="220">
        <v>4.0599999999999996</v>
      </c>
      <c r="K362" s="220">
        <v>35.799999999999997</v>
      </c>
      <c r="L362" s="220">
        <v>202.32</v>
      </c>
      <c r="M362" s="220">
        <v>83.11</v>
      </c>
      <c r="N362" s="221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  <c r="AA362" s="224"/>
      <c r="AB362" s="224"/>
    </row>
    <row r="363" spans="1:28" s="199" customFormat="1" x14ac:dyDescent="0.35">
      <c r="A363" s="195">
        <v>906054</v>
      </c>
      <c r="B363" s="219"/>
      <c r="C363" s="220">
        <v>3</v>
      </c>
      <c r="D363" s="219">
        <v>0.12</v>
      </c>
      <c r="E363" s="219">
        <v>1.47</v>
      </c>
      <c r="F363" s="219">
        <v>0.05</v>
      </c>
      <c r="G363" s="219">
        <v>5.31</v>
      </c>
      <c r="H363" s="219">
        <v>0.18</v>
      </c>
      <c r="I363" s="220">
        <v>39.549999999999997</v>
      </c>
      <c r="J363" s="220">
        <v>6.13</v>
      </c>
      <c r="K363" s="220">
        <v>44.5</v>
      </c>
      <c r="L363" s="220">
        <v>204.22</v>
      </c>
      <c r="M363" s="220">
        <v>49.6</v>
      </c>
      <c r="N363" s="221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  <c r="AA363" s="224"/>
      <c r="AB363" s="224"/>
    </row>
    <row r="364" spans="1:28" s="199" customFormat="1" x14ac:dyDescent="0.35">
      <c r="A364" s="195">
        <v>906055</v>
      </c>
      <c r="B364" s="219"/>
      <c r="C364" s="220">
        <v>1.8</v>
      </c>
      <c r="D364" s="219">
        <v>0.1</v>
      </c>
      <c r="E364" s="219">
        <v>0.55000000000000004</v>
      </c>
      <c r="F364" s="219">
        <v>0.05</v>
      </c>
      <c r="G364" s="219">
        <v>4.3600000000000003</v>
      </c>
      <c r="H364" s="219">
        <v>0.42</v>
      </c>
      <c r="I364" s="220">
        <v>17.43</v>
      </c>
      <c r="J364" s="220">
        <v>8.4600000000000009</v>
      </c>
      <c r="K364" s="220">
        <v>27.7</v>
      </c>
      <c r="L364" s="220">
        <v>166.52</v>
      </c>
      <c r="M364" s="220">
        <v>129.36000000000001</v>
      </c>
      <c r="N364" s="221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  <c r="AA364" s="224"/>
      <c r="AB364" s="224"/>
    </row>
    <row r="365" spans="1:28" s="199" customFormat="1" x14ac:dyDescent="0.35">
      <c r="A365" s="195">
        <v>906056</v>
      </c>
      <c r="B365" s="219"/>
      <c r="C365" s="220">
        <v>2.9</v>
      </c>
      <c r="D365" s="219">
        <v>0.15</v>
      </c>
      <c r="E365" s="219">
        <v>1.07</v>
      </c>
      <c r="F365" s="219">
        <v>0.06</v>
      </c>
      <c r="G365" s="219">
        <v>3.84</v>
      </c>
      <c r="H365" s="219">
        <v>0.37</v>
      </c>
      <c r="I365" s="220">
        <v>74.05</v>
      </c>
      <c r="J365" s="220">
        <v>5.0999999999999996</v>
      </c>
      <c r="K365" s="220">
        <v>98.28</v>
      </c>
      <c r="L365" s="220">
        <v>195.56</v>
      </c>
      <c r="M365" s="220">
        <v>84.71</v>
      </c>
      <c r="N365" s="221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  <c r="AA365" s="224"/>
      <c r="AB365" s="224"/>
    </row>
    <row r="366" spans="1:28" s="199" customFormat="1" x14ac:dyDescent="0.35">
      <c r="A366" s="195">
        <v>906057</v>
      </c>
      <c r="B366" s="219"/>
      <c r="C366" s="220">
        <v>3.1</v>
      </c>
      <c r="D366" s="219">
        <v>0.14000000000000001</v>
      </c>
      <c r="E366" s="219">
        <v>0.66</v>
      </c>
      <c r="F366" s="219">
        <v>0.08</v>
      </c>
      <c r="G366" s="219">
        <v>5.18</v>
      </c>
      <c r="H366" s="219">
        <v>0.22</v>
      </c>
      <c r="I366" s="220">
        <v>87.06</v>
      </c>
      <c r="J366" s="220">
        <v>9.1</v>
      </c>
      <c r="K366" s="220">
        <v>80.45</v>
      </c>
      <c r="L366" s="220">
        <v>155.06</v>
      </c>
      <c r="M366" s="220">
        <v>84.55</v>
      </c>
      <c r="N366" s="221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  <c r="AA366" s="224"/>
      <c r="AB366" s="224"/>
    </row>
    <row r="367" spans="1:28" s="199" customFormat="1" x14ac:dyDescent="0.35">
      <c r="A367" s="195">
        <v>906058</v>
      </c>
      <c r="B367" s="219"/>
      <c r="C367" s="220">
        <v>3.1</v>
      </c>
      <c r="D367" s="219">
        <v>0.13</v>
      </c>
      <c r="E367" s="219">
        <v>0.59</v>
      </c>
      <c r="F367" s="219">
        <v>0.16</v>
      </c>
      <c r="G367" s="219">
        <v>7.35</v>
      </c>
      <c r="H367" s="219">
        <v>0.39</v>
      </c>
      <c r="I367" s="220">
        <v>63.53</v>
      </c>
      <c r="J367" s="220">
        <v>6.56</v>
      </c>
      <c r="K367" s="220">
        <v>74.569999999999993</v>
      </c>
      <c r="L367" s="220">
        <v>138.22999999999999</v>
      </c>
      <c r="M367" s="220">
        <v>86.22</v>
      </c>
      <c r="N367" s="221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  <c r="AA367" s="224"/>
      <c r="AB367" s="224"/>
    </row>
    <row r="368" spans="1:28" s="199" customFormat="1" x14ac:dyDescent="0.35">
      <c r="A368" s="195">
        <v>906059</v>
      </c>
      <c r="B368" s="219"/>
      <c r="C368" s="220">
        <v>3.1</v>
      </c>
      <c r="D368" s="219">
        <v>0.13</v>
      </c>
      <c r="E368" s="219">
        <v>0.72</v>
      </c>
      <c r="F368" s="219">
        <v>0.1</v>
      </c>
      <c r="G368" s="219">
        <v>6.62</v>
      </c>
      <c r="H368" s="219">
        <v>0.32</v>
      </c>
      <c r="I368" s="220">
        <v>81.47</v>
      </c>
      <c r="J368" s="220">
        <v>8.9</v>
      </c>
      <c r="K368" s="220">
        <v>97.21</v>
      </c>
      <c r="L368" s="220">
        <v>168.82</v>
      </c>
      <c r="M368" s="220">
        <v>123.61</v>
      </c>
      <c r="N368" s="221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</row>
    <row r="369" spans="1:28" s="199" customFormat="1" x14ac:dyDescent="0.35">
      <c r="A369" s="195">
        <v>906060</v>
      </c>
      <c r="B369" s="219"/>
      <c r="C369" s="220">
        <v>2.7</v>
      </c>
      <c r="D369" s="219">
        <v>0.1</v>
      </c>
      <c r="E369" s="219">
        <v>0.68</v>
      </c>
      <c r="F369" s="219">
        <v>0.11</v>
      </c>
      <c r="G369" s="219">
        <v>7.92</v>
      </c>
      <c r="H369" s="219">
        <v>0.35</v>
      </c>
      <c r="I369" s="220">
        <v>53.5</v>
      </c>
      <c r="J369" s="220">
        <v>4.99</v>
      </c>
      <c r="K369" s="220">
        <v>51.49</v>
      </c>
      <c r="L369" s="220">
        <v>125.95</v>
      </c>
      <c r="M369" s="220">
        <v>108.63</v>
      </c>
      <c r="N369" s="221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  <c r="AA369" s="224"/>
      <c r="AB369" s="224"/>
    </row>
    <row r="370" spans="1:28" s="199" customFormat="1" x14ac:dyDescent="0.35">
      <c r="A370" s="195">
        <v>906061</v>
      </c>
      <c r="B370" s="219"/>
      <c r="C370" s="220">
        <v>2.2000000000000002</v>
      </c>
      <c r="D370" s="219">
        <v>0.1</v>
      </c>
      <c r="E370" s="219">
        <v>0.51</v>
      </c>
      <c r="F370" s="219">
        <v>0.06</v>
      </c>
      <c r="G370" s="219">
        <v>5.35</v>
      </c>
      <c r="H370" s="219">
        <v>0.24</v>
      </c>
      <c r="I370" s="220">
        <v>49.59</v>
      </c>
      <c r="J370" s="220">
        <v>4.82</v>
      </c>
      <c r="K370" s="220">
        <v>62.86</v>
      </c>
      <c r="L370" s="220">
        <v>121.06</v>
      </c>
      <c r="M370" s="220">
        <v>44.12</v>
      </c>
      <c r="N370" s="221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  <c r="AA370" s="224"/>
      <c r="AB370" s="224"/>
    </row>
    <row r="371" spans="1:28" s="199" customFormat="1" x14ac:dyDescent="0.35">
      <c r="A371" s="195">
        <v>906062</v>
      </c>
      <c r="B371" s="219"/>
      <c r="C371" s="220">
        <v>1.7</v>
      </c>
      <c r="D371" s="219">
        <v>0.09</v>
      </c>
      <c r="E371" s="219">
        <v>0.56000000000000005</v>
      </c>
      <c r="F371" s="219">
        <v>0.04</v>
      </c>
      <c r="G371" s="219">
        <v>5.29</v>
      </c>
      <c r="H371" s="219">
        <v>0.45</v>
      </c>
      <c r="I371" s="220">
        <v>15.17</v>
      </c>
      <c r="J371" s="220">
        <v>10.02</v>
      </c>
      <c r="K371" s="220">
        <v>19.97</v>
      </c>
      <c r="L371" s="220">
        <v>158.69</v>
      </c>
      <c r="M371" s="220">
        <v>141.97</v>
      </c>
      <c r="N371" s="221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  <c r="AA371" s="224"/>
      <c r="AB371" s="224"/>
    </row>
    <row r="372" spans="1:28" s="199" customFormat="1" x14ac:dyDescent="0.35">
      <c r="A372" s="195">
        <v>906063</v>
      </c>
      <c r="B372" s="219"/>
      <c r="C372" s="220">
        <v>3</v>
      </c>
      <c r="D372" s="219">
        <v>0.13</v>
      </c>
      <c r="E372" s="219">
        <v>1.04</v>
      </c>
      <c r="F372" s="219">
        <v>0.04</v>
      </c>
      <c r="G372" s="219">
        <v>5.63</v>
      </c>
      <c r="H372" s="219">
        <v>0.32</v>
      </c>
      <c r="I372" s="220">
        <v>17.11</v>
      </c>
      <c r="J372" s="220">
        <v>4.72</v>
      </c>
      <c r="K372" s="220">
        <v>41.38</v>
      </c>
      <c r="L372" s="220">
        <v>179.41</v>
      </c>
      <c r="M372" s="220">
        <v>48.3</v>
      </c>
      <c r="N372" s="221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  <c r="AA372" s="224"/>
      <c r="AB372" s="224"/>
    </row>
    <row r="373" spans="1:28" s="199" customFormat="1" x14ac:dyDescent="0.35">
      <c r="A373" s="195">
        <v>906064</v>
      </c>
      <c r="B373" s="219"/>
      <c r="C373" s="220">
        <v>1.8</v>
      </c>
      <c r="D373" s="219">
        <v>0.11</v>
      </c>
      <c r="E373" s="219">
        <v>1.66</v>
      </c>
      <c r="F373" s="219">
        <v>0.08</v>
      </c>
      <c r="G373" s="219">
        <v>6.68</v>
      </c>
      <c r="H373" s="219">
        <v>0.35</v>
      </c>
      <c r="I373" s="220">
        <v>73.03</v>
      </c>
      <c r="J373" s="220">
        <v>6.57</v>
      </c>
      <c r="K373" s="220">
        <v>69.75</v>
      </c>
      <c r="L373" s="220">
        <v>180.3</v>
      </c>
      <c r="M373" s="220">
        <v>62.75</v>
      </c>
      <c r="N373" s="221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  <c r="AA373" s="224"/>
      <c r="AB373" s="224"/>
    </row>
    <row r="374" spans="1:28" s="199" customFormat="1" x14ac:dyDescent="0.35">
      <c r="A374" s="195">
        <v>906065</v>
      </c>
      <c r="B374" s="219"/>
      <c r="C374" s="220">
        <v>1.9</v>
      </c>
      <c r="D374" s="219">
        <v>0.13</v>
      </c>
      <c r="E374" s="219">
        <v>1.3</v>
      </c>
      <c r="F374" s="219">
        <v>0.06</v>
      </c>
      <c r="G374" s="219">
        <v>6.32</v>
      </c>
      <c r="H374" s="219">
        <v>0.39</v>
      </c>
      <c r="I374" s="220">
        <v>31.19</v>
      </c>
      <c r="J374" s="220">
        <v>4.49</v>
      </c>
      <c r="K374" s="220">
        <v>50.94</v>
      </c>
      <c r="L374" s="220">
        <v>128.47999999999999</v>
      </c>
      <c r="M374" s="220">
        <v>45.18</v>
      </c>
      <c r="N374" s="221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  <c r="AA374" s="224"/>
      <c r="AB374" s="224"/>
    </row>
    <row r="375" spans="1:28" s="199" customFormat="1" x14ac:dyDescent="0.35">
      <c r="A375" s="195">
        <v>906066</v>
      </c>
      <c r="B375" s="219"/>
      <c r="C375" s="220">
        <v>2</v>
      </c>
      <c r="D375" s="219">
        <v>0.21</v>
      </c>
      <c r="E375" s="219">
        <v>1.03</v>
      </c>
      <c r="F375" s="219">
        <v>0.05</v>
      </c>
      <c r="G375" s="219">
        <v>6.06</v>
      </c>
      <c r="H375" s="219">
        <v>0.33</v>
      </c>
      <c r="I375" s="220">
        <v>30.84</v>
      </c>
      <c r="J375" s="220">
        <v>6.97</v>
      </c>
      <c r="K375" s="220">
        <v>64</v>
      </c>
      <c r="L375" s="220">
        <v>166.04</v>
      </c>
      <c r="M375" s="220">
        <v>61.15</v>
      </c>
      <c r="N375" s="221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  <c r="AA375" s="224"/>
      <c r="AB375" s="224"/>
    </row>
    <row r="376" spans="1:28" s="199" customFormat="1" x14ac:dyDescent="0.35">
      <c r="A376" s="195">
        <v>906067</v>
      </c>
      <c r="B376" s="219"/>
      <c r="C376" s="220">
        <v>1.8</v>
      </c>
      <c r="D376" s="219">
        <v>0.14000000000000001</v>
      </c>
      <c r="E376" s="219">
        <v>2.48</v>
      </c>
      <c r="F376" s="219">
        <v>0.05</v>
      </c>
      <c r="G376" s="219">
        <v>3.98</v>
      </c>
      <c r="H376" s="219">
        <v>0.23</v>
      </c>
      <c r="I376" s="220">
        <v>32.33</v>
      </c>
      <c r="J376" s="220">
        <v>2.73</v>
      </c>
      <c r="K376" s="220">
        <v>75.13</v>
      </c>
      <c r="L376" s="220">
        <v>142.30000000000001</v>
      </c>
      <c r="M376" s="220">
        <v>86.15</v>
      </c>
      <c r="N376" s="221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  <c r="AA376" s="224"/>
      <c r="AB376" s="224"/>
    </row>
    <row r="377" spans="1:28" s="199" customFormat="1" x14ac:dyDescent="0.35">
      <c r="A377" s="195">
        <v>906068</v>
      </c>
      <c r="B377" s="219"/>
      <c r="C377" s="220">
        <v>2.7</v>
      </c>
      <c r="D377" s="219">
        <v>0.14000000000000001</v>
      </c>
      <c r="E377" s="219">
        <v>1.1399999999999999</v>
      </c>
      <c r="F377" s="219">
        <v>0.04</v>
      </c>
      <c r="G377" s="219">
        <v>4.95</v>
      </c>
      <c r="H377" s="219">
        <v>0.17</v>
      </c>
      <c r="I377" s="220">
        <v>25.77</v>
      </c>
      <c r="J377" s="220">
        <v>3.99</v>
      </c>
      <c r="K377" s="220">
        <v>67.290000000000006</v>
      </c>
      <c r="L377" s="220">
        <v>165.83</v>
      </c>
      <c r="M377" s="220">
        <v>56.05</v>
      </c>
      <c r="N377" s="221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  <c r="AA377" s="224"/>
      <c r="AB377" s="224"/>
    </row>
    <row r="378" spans="1:28" s="199" customFormat="1" x14ac:dyDescent="0.35">
      <c r="A378" s="195">
        <v>906069</v>
      </c>
      <c r="B378" s="219"/>
      <c r="C378" s="220">
        <v>2.2000000000000002</v>
      </c>
      <c r="D378" s="219">
        <v>0.12</v>
      </c>
      <c r="E378" s="219">
        <v>1.74</v>
      </c>
      <c r="F378" s="219">
        <v>0.08</v>
      </c>
      <c r="G378" s="219">
        <v>4.72</v>
      </c>
      <c r="H378" s="219">
        <v>0.28999999999999998</v>
      </c>
      <c r="I378" s="220">
        <v>38.270000000000003</v>
      </c>
      <c r="J378" s="220">
        <v>2.2200000000000002</v>
      </c>
      <c r="K378" s="220">
        <v>57.4</v>
      </c>
      <c r="L378" s="220">
        <v>104.25</v>
      </c>
      <c r="M378" s="220">
        <v>67.7</v>
      </c>
      <c r="N378" s="221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</row>
    <row r="379" spans="1:28" s="199" customFormat="1" x14ac:dyDescent="0.35">
      <c r="A379" s="195">
        <v>906070</v>
      </c>
      <c r="B379" s="219"/>
      <c r="C379" s="220">
        <v>2</v>
      </c>
      <c r="D379" s="219">
        <v>0.13</v>
      </c>
      <c r="E379" s="219">
        <v>1.85</v>
      </c>
      <c r="F379" s="219">
        <v>0.04</v>
      </c>
      <c r="G379" s="219">
        <v>4.33</v>
      </c>
      <c r="H379" s="219">
        <v>0.28000000000000003</v>
      </c>
      <c r="I379" s="220">
        <v>35.54</v>
      </c>
      <c r="J379" s="220">
        <v>6.84</v>
      </c>
      <c r="K379" s="220">
        <v>84.68</v>
      </c>
      <c r="L379" s="220">
        <v>167.94</v>
      </c>
      <c r="M379" s="220">
        <v>60.76</v>
      </c>
      <c r="N379" s="221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  <c r="AA379" s="224"/>
      <c r="AB379" s="224"/>
    </row>
    <row r="380" spans="1:28" s="199" customFormat="1" x14ac:dyDescent="0.35">
      <c r="A380" s="195">
        <v>906071</v>
      </c>
      <c r="B380" s="219"/>
      <c r="C380" s="220">
        <v>2.2000000000000002</v>
      </c>
      <c r="D380" s="219">
        <v>0.11</v>
      </c>
      <c r="E380" s="219">
        <v>0.63</v>
      </c>
      <c r="F380" s="219">
        <v>0.06</v>
      </c>
      <c r="G380" s="219">
        <v>5.71</v>
      </c>
      <c r="H380" s="219">
        <v>0.25</v>
      </c>
      <c r="I380" s="220">
        <v>10.68</v>
      </c>
      <c r="J380" s="220">
        <v>5.28</v>
      </c>
      <c r="K380" s="220">
        <v>18.25</v>
      </c>
      <c r="L380" s="220">
        <v>127.48</v>
      </c>
      <c r="M380" s="220">
        <v>39.79</v>
      </c>
      <c r="N380" s="221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  <c r="AA380" s="224"/>
      <c r="AB380" s="224"/>
    </row>
    <row r="381" spans="1:28" s="199" customFormat="1" x14ac:dyDescent="0.35">
      <c r="A381" s="195">
        <v>906072</v>
      </c>
      <c r="B381" s="219"/>
      <c r="C381" s="220">
        <v>2.1</v>
      </c>
      <c r="D381" s="219">
        <v>0.12</v>
      </c>
      <c r="E381" s="219">
        <v>0.94</v>
      </c>
      <c r="F381" s="219">
        <v>0.05</v>
      </c>
      <c r="G381" s="219">
        <v>5.45</v>
      </c>
      <c r="H381" s="219">
        <v>0.19</v>
      </c>
      <c r="I381" s="220">
        <v>12.76</v>
      </c>
      <c r="J381" s="220">
        <v>9.5299999999999994</v>
      </c>
      <c r="K381" s="220">
        <v>16.579999999999998</v>
      </c>
      <c r="L381" s="220">
        <v>158.52000000000001</v>
      </c>
      <c r="M381" s="220">
        <v>38.76</v>
      </c>
      <c r="N381" s="221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  <c r="AA381" s="224"/>
      <c r="AB381" s="224"/>
    </row>
    <row r="382" spans="1:28" s="199" customFormat="1" x14ac:dyDescent="0.35">
      <c r="A382" s="195">
        <v>906073</v>
      </c>
      <c r="B382" s="219"/>
      <c r="C382" s="220">
        <v>2.2999999999999998</v>
      </c>
      <c r="D382" s="219">
        <v>0.12</v>
      </c>
      <c r="E382" s="219">
        <v>0.97</v>
      </c>
      <c r="F382" s="219" t="s">
        <v>185</v>
      </c>
      <c r="G382" s="219">
        <v>6.45</v>
      </c>
      <c r="H382" s="219">
        <v>0.33</v>
      </c>
      <c r="I382" s="220">
        <v>12.46</v>
      </c>
      <c r="J382" s="220">
        <v>5.19</v>
      </c>
      <c r="K382" s="220">
        <v>27.7</v>
      </c>
      <c r="L382" s="220">
        <v>212.27</v>
      </c>
      <c r="M382" s="220">
        <v>69.099999999999994</v>
      </c>
      <c r="N382" s="221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  <c r="AA382" s="224"/>
      <c r="AB382" s="224"/>
    </row>
    <row r="383" spans="1:28" s="199" customFormat="1" x14ac:dyDescent="0.35">
      <c r="A383" s="195">
        <v>906074</v>
      </c>
      <c r="B383" s="219"/>
      <c r="C383" s="220">
        <v>2.5</v>
      </c>
      <c r="D383" s="219">
        <v>0.15</v>
      </c>
      <c r="E383" s="219">
        <v>1.08</v>
      </c>
      <c r="F383" s="219">
        <v>0.87</v>
      </c>
      <c r="G383" s="219">
        <v>5.1100000000000003</v>
      </c>
      <c r="H383" s="219">
        <v>0.3</v>
      </c>
      <c r="I383" s="220">
        <v>12.28</v>
      </c>
      <c r="J383" s="220">
        <v>7.42</v>
      </c>
      <c r="K383" s="220">
        <v>16.41</v>
      </c>
      <c r="L383" s="220">
        <v>122.06</v>
      </c>
      <c r="M383" s="220">
        <v>33.770000000000003</v>
      </c>
      <c r="N383" s="221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  <c r="AA383" s="224"/>
      <c r="AB383" s="224"/>
    </row>
    <row r="384" spans="1:28" s="199" customFormat="1" x14ac:dyDescent="0.35">
      <c r="A384" s="195">
        <v>906075</v>
      </c>
      <c r="B384" s="219"/>
      <c r="C384" s="220">
        <v>1.8</v>
      </c>
      <c r="D384" s="219">
        <v>0.13</v>
      </c>
      <c r="E384" s="219">
        <v>1.84</v>
      </c>
      <c r="F384" s="219">
        <v>0.16</v>
      </c>
      <c r="G384" s="219">
        <v>5.37</v>
      </c>
      <c r="H384" s="219">
        <v>0.32</v>
      </c>
      <c r="I384" s="220">
        <v>17.100000000000001</v>
      </c>
      <c r="J384" s="220">
        <v>8.7100000000000009</v>
      </c>
      <c r="K384" s="220">
        <v>31.62</v>
      </c>
      <c r="L384" s="220">
        <v>129.78</v>
      </c>
      <c r="M384" s="220">
        <v>62.19</v>
      </c>
      <c r="N384" s="221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  <c r="AA384" s="224"/>
      <c r="AB384" s="224"/>
    </row>
    <row r="385" spans="1:28" s="199" customFormat="1" x14ac:dyDescent="0.35">
      <c r="A385" s="195">
        <v>906076</v>
      </c>
      <c r="B385" s="219"/>
      <c r="C385" s="220">
        <v>2.2999999999999998</v>
      </c>
      <c r="D385" s="219">
        <v>0.11</v>
      </c>
      <c r="E385" s="219">
        <v>1.08</v>
      </c>
      <c r="F385" s="219">
        <v>0.04</v>
      </c>
      <c r="G385" s="219">
        <v>3.41</v>
      </c>
      <c r="H385" s="219">
        <v>0.34</v>
      </c>
      <c r="I385" s="220">
        <v>11.8</v>
      </c>
      <c r="J385" s="220">
        <v>3.41</v>
      </c>
      <c r="K385" s="220">
        <v>25.68</v>
      </c>
      <c r="L385" s="220">
        <v>151.19999999999999</v>
      </c>
      <c r="M385" s="220">
        <v>63.52</v>
      </c>
      <c r="N385" s="221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  <c r="AA385" s="224"/>
      <c r="AB385" s="224"/>
    </row>
    <row r="386" spans="1:28" s="199" customFormat="1" x14ac:dyDescent="0.35">
      <c r="A386" s="195">
        <v>906077</v>
      </c>
      <c r="B386" s="219"/>
      <c r="C386" s="220">
        <v>2.5</v>
      </c>
      <c r="D386" s="219">
        <v>0.13</v>
      </c>
      <c r="E386" s="219">
        <v>0.96</v>
      </c>
      <c r="F386" s="219">
        <v>0.04</v>
      </c>
      <c r="G386" s="219">
        <v>3.88</v>
      </c>
      <c r="H386" s="219">
        <v>0.4</v>
      </c>
      <c r="I386" s="220">
        <v>13.48</v>
      </c>
      <c r="J386" s="220">
        <v>2.61</v>
      </c>
      <c r="K386" s="220">
        <v>30.62</v>
      </c>
      <c r="L386" s="220">
        <v>163.93</v>
      </c>
      <c r="M386" s="220">
        <v>73.19</v>
      </c>
      <c r="N386" s="221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  <c r="AA386" s="224"/>
      <c r="AB386" s="224"/>
    </row>
    <row r="387" spans="1:28" s="199" customFormat="1" x14ac:dyDescent="0.35">
      <c r="A387" s="195">
        <v>906078</v>
      </c>
      <c r="B387" s="219"/>
      <c r="C387" s="220">
        <v>2.6</v>
      </c>
      <c r="D387" s="219">
        <v>0.15</v>
      </c>
      <c r="E387" s="219">
        <v>1.4</v>
      </c>
      <c r="F387" s="219">
        <v>0.04</v>
      </c>
      <c r="G387" s="219">
        <v>3.84</v>
      </c>
      <c r="H387" s="219">
        <v>0.34</v>
      </c>
      <c r="I387" s="220">
        <v>12.84</v>
      </c>
      <c r="J387" s="220">
        <v>6.56</v>
      </c>
      <c r="K387" s="220">
        <v>20.02</v>
      </c>
      <c r="L387" s="220">
        <v>144.83000000000001</v>
      </c>
      <c r="M387" s="220">
        <v>65.760000000000005</v>
      </c>
      <c r="N387" s="221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  <c r="AA387" s="224"/>
      <c r="AB387" s="224"/>
    </row>
    <row r="388" spans="1:28" s="199" customFormat="1" x14ac:dyDescent="0.35">
      <c r="A388" s="195">
        <v>906079</v>
      </c>
      <c r="B388" s="219"/>
      <c r="C388" s="220">
        <v>2.4</v>
      </c>
      <c r="D388" s="219">
        <v>0.18</v>
      </c>
      <c r="E388" s="219">
        <v>1.35</v>
      </c>
      <c r="F388" s="219">
        <v>0.14000000000000001</v>
      </c>
      <c r="G388" s="219">
        <v>3.55</v>
      </c>
      <c r="H388" s="219">
        <v>0.39</v>
      </c>
      <c r="I388" s="220">
        <v>11.46</v>
      </c>
      <c r="J388" s="220">
        <v>4.22</v>
      </c>
      <c r="K388" s="220">
        <v>36.130000000000003</v>
      </c>
      <c r="L388" s="220">
        <v>129.1</v>
      </c>
      <c r="M388" s="220">
        <v>81.84</v>
      </c>
      <c r="N388" s="221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  <c r="AA388" s="224"/>
      <c r="AB388" s="224"/>
    </row>
    <row r="389" spans="1:28" s="199" customFormat="1" x14ac:dyDescent="0.35">
      <c r="A389" s="195">
        <v>906080</v>
      </c>
      <c r="B389" s="219"/>
      <c r="C389" s="220">
        <v>2.5</v>
      </c>
      <c r="D389" s="219">
        <v>0.18</v>
      </c>
      <c r="E389" s="219">
        <v>1.54</v>
      </c>
      <c r="F389" s="219">
        <v>0.06</v>
      </c>
      <c r="G389" s="219">
        <v>4.49</v>
      </c>
      <c r="H389" s="219">
        <v>0.33</v>
      </c>
      <c r="I389" s="220">
        <v>10.43</v>
      </c>
      <c r="J389" s="220">
        <v>6.53</v>
      </c>
      <c r="K389" s="220">
        <v>56.9</v>
      </c>
      <c r="L389" s="220">
        <v>168.46</v>
      </c>
      <c r="M389" s="220">
        <v>61.01</v>
      </c>
      <c r="N389" s="221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  <c r="AA389" s="224"/>
      <c r="AB389" s="224"/>
    </row>
    <row r="390" spans="1:28" s="199" customFormat="1" x14ac:dyDescent="0.35">
      <c r="A390" s="195">
        <v>906081</v>
      </c>
      <c r="B390" s="219"/>
      <c r="C390" s="220">
        <v>2.4</v>
      </c>
      <c r="D390" s="219">
        <v>0.15</v>
      </c>
      <c r="E390" s="219">
        <v>0.91</v>
      </c>
      <c r="F390" s="219">
        <v>0.06</v>
      </c>
      <c r="G390" s="219">
        <v>4.6900000000000004</v>
      </c>
      <c r="H390" s="219">
        <v>0.47</v>
      </c>
      <c r="I390" s="220">
        <v>41.73</v>
      </c>
      <c r="J390" s="220">
        <v>6.78</v>
      </c>
      <c r="K390" s="220">
        <v>38.590000000000003</v>
      </c>
      <c r="L390" s="220">
        <v>204.42</v>
      </c>
      <c r="M390" s="220">
        <v>85.14</v>
      </c>
      <c r="N390" s="221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  <c r="AA390" s="224"/>
      <c r="AB390" s="224"/>
    </row>
    <row r="391" spans="1:28" s="199" customFormat="1" x14ac:dyDescent="0.35">
      <c r="A391" s="195">
        <v>906082</v>
      </c>
      <c r="B391" s="219"/>
      <c r="C391" s="220">
        <v>2.2000000000000002</v>
      </c>
      <c r="D391" s="219">
        <v>0.12</v>
      </c>
      <c r="E391" s="219">
        <v>1.05</v>
      </c>
      <c r="F391" s="219">
        <v>0.05</v>
      </c>
      <c r="G391" s="219">
        <v>5.47</v>
      </c>
      <c r="H391" s="219">
        <v>0.32</v>
      </c>
      <c r="I391" s="220">
        <v>81.84</v>
      </c>
      <c r="J391" s="220">
        <v>7.93</v>
      </c>
      <c r="K391" s="220">
        <v>76</v>
      </c>
      <c r="L391" s="220">
        <v>106.69</v>
      </c>
      <c r="M391" s="220">
        <v>186.51</v>
      </c>
      <c r="N391" s="221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  <c r="AA391" s="224"/>
      <c r="AB391" s="224"/>
    </row>
    <row r="392" spans="1:28" s="199" customFormat="1" x14ac:dyDescent="0.35">
      <c r="A392" s="195">
        <v>906083</v>
      </c>
      <c r="B392" s="219"/>
      <c r="C392" s="220">
        <v>1.9</v>
      </c>
      <c r="D392" s="219">
        <v>0.13</v>
      </c>
      <c r="E392" s="219">
        <v>1.58</v>
      </c>
      <c r="F392" s="219">
        <v>0.05</v>
      </c>
      <c r="G392" s="219">
        <v>6.73</v>
      </c>
      <c r="H392" s="219">
        <v>0.33</v>
      </c>
      <c r="I392" s="220">
        <v>49.91</v>
      </c>
      <c r="J392" s="220">
        <v>12.16</v>
      </c>
      <c r="K392" s="220">
        <v>58.03</v>
      </c>
      <c r="L392" s="220">
        <v>109.29</v>
      </c>
      <c r="M392" s="220">
        <v>176.4</v>
      </c>
      <c r="N392" s="221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  <c r="AA392" s="224"/>
      <c r="AB392" s="224"/>
    </row>
    <row r="393" spans="1:28" s="199" customFormat="1" x14ac:dyDescent="0.35">
      <c r="A393" s="195">
        <v>806806</v>
      </c>
      <c r="B393" s="196"/>
      <c r="C393" s="200">
        <v>2.2130586000000005</v>
      </c>
      <c r="D393" s="196">
        <v>0.14000000000000001</v>
      </c>
      <c r="E393" s="196">
        <v>0.82</v>
      </c>
      <c r="F393" s="196">
        <v>0.14000000000000001</v>
      </c>
      <c r="G393" s="196">
        <v>5.34</v>
      </c>
      <c r="H393" s="196">
        <v>0.63</v>
      </c>
      <c r="I393" s="203">
        <v>47.98</v>
      </c>
      <c r="J393" s="203">
        <v>8.09</v>
      </c>
      <c r="K393" s="203">
        <v>73.45</v>
      </c>
      <c r="L393" s="203">
        <v>233.51</v>
      </c>
      <c r="M393" s="203">
        <v>166.08</v>
      </c>
      <c r="N393" s="196"/>
    </row>
    <row r="394" spans="1:28" s="199" customFormat="1" x14ac:dyDescent="0.35">
      <c r="A394" s="195">
        <v>806807</v>
      </c>
      <c r="B394" s="196"/>
      <c r="C394" s="200">
        <v>2.5492194000000001</v>
      </c>
      <c r="D394" s="196">
        <v>0.13</v>
      </c>
      <c r="E394" s="196">
        <v>1.8</v>
      </c>
      <c r="F394" s="196">
        <v>7.0000000000000007E-2</v>
      </c>
      <c r="G394" s="196">
        <v>3.11</v>
      </c>
      <c r="H394" s="196">
        <v>0.35</v>
      </c>
      <c r="I394" s="203">
        <v>15.28</v>
      </c>
      <c r="J394" s="203">
        <v>3.83</v>
      </c>
      <c r="K394" s="203">
        <v>24.93</v>
      </c>
      <c r="L394" s="203">
        <v>262.69</v>
      </c>
      <c r="M394" s="203">
        <v>93.97</v>
      </c>
      <c r="N394" s="196"/>
    </row>
    <row r="395" spans="1:28" s="199" customFormat="1" x14ac:dyDescent="0.35">
      <c r="A395" s="195">
        <v>806808</v>
      </c>
      <c r="B395" s="196"/>
      <c r="C395" s="200">
        <v>2.4091524</v>
      </c>
      <c r="D395" s="196">
        <v>0.15</v>
      </c>
      <c r="E395" s="196">
        <v>1.1599999999999999</v>
      </c>
      <c r="F395" s="196">
        <v>0.09</v>
      </c>
      <c r="G395" s="196">
        <v>4.25</v>
      </c>
      <c r="H395" s="196">
        <v>0.47</v>
      </c>
      <c r="I395" s="203">
        <v>13.69</v>
      </c>
      <c r="J395" s="203">
        <v>5.45</v>
      </c>
      <c r="K395" s="203">
        <v>19.47</v>
      </c>
      <c r="L395" s="203">
        <v>245.97</v>
      </c>
      <c r="M395" s="203">
        <v>86.85</v>
      </c>
      <c r="N395" s="196"/>
    </row>
    <row r="396" spans="1:28" s="199" customFormat="1" x14ac:dyDescent="0.35">
      <c r="A396" s="195">
        <v>806809</v>
      </c>
      <c r="B396" s="196"/>
      <c r="C396" s="200">
        <v>1.6527906000000001</v>
      </c>
      <c r="D396" s="196">
        <v>0.18</v>
      </c>
      <c r="E396" s="196">
        <v>1.1200000000000001</v>
      </c>
      <c r="F396" s="196">
        <v>0.09</v>
      </c>
      <c r="G396" s="196">
        <v>4.62</v>
      </c>
      <c r="H396" s="196">
        <v>0.37</v>
      </c>
      <c r="I396" s="203">
        <v>17.32</v>
      </c>
      <c r="J396" s="203">
        <v>4.9400000000000004</v>
      </c>
      <c r="K396" s="203">
        <v>38.56</v>
      </c>
      <c r="L396" s="203">
        <v>297.33999999999997</v>
      </c>
      <c r="M396" s="203">
        <v>74.47</v>
      </c>
      <c r="N396" s="196"/>
    </row>
    <row r="397" spans="1:28" s="199" customFormat="1" x14ac:dyDescent="0.35">
      <c r="A397" s="195">
        <v>806810</v>
      </c>
      <c r="B397" s="196"/>
      <c r="C397" s="200">
        <v>2.1570317999999999</v>
      </c>
      <c r="D397" s="196">
        <v>0.14000000000000001</v>
      </c>
      <c r="E397" s="196">
        <v>1.47</v>
      </c>
      <c r="F397" s="196">
        <v>0.09</v>
      </c>
      <c r="G397" s="196">
        <v>2.54</v>
      </c>
      <c r="H397" s="196">
        <v>0.53</v>
      </c>
      <c r="I397" s="203">
        <v>30.96</v>
      </c>
      <c r="J397" s="203">
        <v>4.1500000000000004</v>
      </c>
      <c r="K397" s="203">
        <v>59.94</v>
      </c>
      <c r="L397" s="203">
        <v>265.02</v>
      </c>
      <c r="M397" s="203">
        <v>93.46</v>
      </c>
      <c r="N397" s="196"/>
    </row>
    <row r="398" spans="1:28" s="199" customFormat="1" x14ac:dyDescent="0.35">
      <c r="A398" s="195">
        <v>806811</v>
      </c>
      <c r="B398" s="196"/>
      <c r="C398" s="200">
        <v>2.7733266000000003</v>
      </c>
      <c r="D398" s="196">
        <v>0.12</v>
      </c>
      <c r="E398" s="196">
        <v>1.18</v>
      </c>
      <c r="F398" s="196">
        <v>0.03</v>
      </c>
      <c r="G398" s="196">
        <v>0.95</v>
      </c>
      <c r="H398" s="196">
        <v>0.17</v>
      </c>
      <c r="I398" s="203">
        <v>24.31</v>
      </c>
      <c r="J398" s="203">
        <v>4.46</v>
      </c>
      <c r="K398" s="203">
        <v>24.31</v>
      </c>
      <c r="L398" s="203">
        <v>61.68</v>
      </c>
      <c r="M398" s="203">
        <v>34.92</v>
      </c>
      <c r="N398" s="196"/>
    </row>
    <row r="399" spans="1:28" s="199" customFormat="1" x14ac:dyDescent="0.35">
      <c r="A399" s="195">
        <v>806812</v>
      </c>
      <c r="B399" s="196"/>
      <c r="C399" s="200">
        <v>2.3811390000000001</v>
      </c>
      <c r="D399" s="196">
        <v>0.24</v>
      </c>
      <c r="E399" s="196">
        <v>2.38</v>
      </c>
      <c r="F399" s="196">
        <v>0.05</v>
      </c>
      <c r="G399" s="196">
        <v>2.37</v>
      </c>
      <c r="H399" s="196">
        <v>0.32</v>
      </c>
      <c r="I399" s="203">
        <v>64.239999999999995</v>
      </c>
      <c r="J399" s="203">
        <v>8.39</v>
      </c>
      <c r="K399" s="203">
        <v>57.42</v>
      </c>
      <c r="L399" s="203">
        <v>128.28</v>
      </c>
      <c r="M399" s="203">
        <v>56.71</v>
      </c>
      <c r="N399" s="196"/>
    </row>
    <row r="400" spans="1:28" s="199" customFormat="1" x14ac:dyDescent="0.35">
      <c r="A400" s="195">
        <v>806813</v>
      </c>
      <c r="B400" s="196"/>
      <c r="C400" s="200">
        <v>2.1570317999999999</v>
      </c>
      <c r="D400" s="196">
        <v>0.17</v>
      </c>
      <c r="E400" s="196">
        <v>2.1</v>
      </c>
      <c r="F400" s="196">
        <v>0.06</v>
      </c>
      <c r="G400" s="196">
        <v>2.36</v>
      </c>
      <c r="H400" s="196">
        <v>0.24</v>
      </c>
      <c r="I400" s="203">
        <v>67.86</v>
      </c>
      <c r="J400" s="203">
        <v>8.56</v>
      </c>
      <c r="K400" s="203">
        <v>62.53</v>
      </c>
      <c r="L400" s="203">
        <v>198.28</v>
      </c>
      <c r="M400" s="203">
        <v>55.39</v>
      </c>
      <c r="N400" s="196"/>
    </row>
    <row r="401" spans="1:14" s="199" customFormat="1" x14ac:dyDescent="0.35">
      <c r="A401" s="195">
        <v>806814</v>
      </c>
      <c r="B401" s="196"/>
      <c r="C401" s="200">
        <v>2.0449782000000001</v>
      </c>
      <c r="D401" s="196">
        <v>0.12</v>
      </c>
      <c r="E401" s="196">
        <v>1.53</v>
      </c>
      <c r="F401" s="196">
        <v>7.0000000000000007E-2</v>
      </c>
      <c r="G401" s="196">
        <v>4.1500000000000004</v>
      </c>
      <c r="H401" s="196">
        <v>0.38</v>
      </c>
      <c r="I401" s="203">
        <v>42.53</v>
      </c>
      <c r="J401" s="203">
        <v>1.1499999999999999</v>
      </c>
      <c r="K401" s="203">
        <v>87.78</v>
      </c>
      <c r="L401" s="203">
        <v>200.92</v>
      </c>
      <c r="M401" s="203">
        <v>113.1</v>
      </c>
      <c r="N401" s="196"/>
    </row>
    <row r="402" spans="1:14" s="199" customFormat="1" x14ac:dyDescent="0.35">
      <c r="A402" s="195">
        <v>806815</v>
      </c>
      <c r="B402" s="196"/>
      <c r="C402" s="200">
        <v>1.8768978000000001</v>
      </c>
      <c r="D402" s="196">
        <v>0.1</v>
      </c>
      <c r="E402" s="196">
        <v>0.85</v>
      </c>
      <c r="F402" s="196">
        <v>0.1</v>
      </c>
      <c r="G402" s="196">
        <v>4.82</v>
      </c>
      <c r="H402" s="196">
        <v>0.49</v>
      </c>
      <c r="I402" s="203">
        <v>10.74</v>
      </c>
      <c r="J402" s="203">
        <v>7.63</v>
      </c>
      <c r="K402" s="203">
        <v>17.899999999999999</v>
      </c>
      <c r="L402" s="203">
        <v>189.43</v>
      </c>
      <c r="M402" s="203">
        <v>149.84</v>
      </c>
      <c r="N402" s="196"/>
    </row>
    <row r="403" spans="1:14" s="199" customFormat="1" x14ac:dyDescent="0.35">
      <c r="A403" s="195">
        <v>806816</v>
      </c>
      <c r="B403" s="196"/>
      <c r="C403" s="200">
        <v>1.9329246000000002</v>
      </c>
      <c r="D403" s="196">
        <v>0.28000000000000003</v>
      </c>
      <c r="E403" s="196">
        <v>1.02</v>
      </c>
      <c r="F403" s="196">
        <v>0.17</v>
      </c>
      <c r="G403" s="196">
        <v>3.51</v>
      </c>
      <c r="H403" s="196">
        <v>0.38</v>
      </c>
      <c r="I403" s="203">
        <v>15.73</v>
      </c>
      <c r="J403" s="203">
        <v>9.27</v>
      </c>
      <c r="K403" s="203">
        <v>20.9</v>
      </c>
      <c r="L403" s="203">
        <v>354.2</v>
      </c>
      <c r="M403" s="203">
        <v>98.38</v>
      </c>
      <c r="N403" s="196"/>
    </row>
    <row r="404" spans="1:14" s="199" customFormat="1" x14ac:dyDescent="0.35">
      <c r="A404" s="195">
        <v>806817</v>
      </c>
      <c r="B404" s="196"/>
      <c r="C404" s="200">
        <v>2.2970988000000006</v>
      </c>
      <c r="D404" s="196">
        <v>0.1</v>
      </c>
      <c r="E404" s="196">
        <v>1.08</v>
      </c>
      <c r="F404" s="196">
        <v>0.09</v>
      </c>
      <c r="G404" s="196">
        <v>5.0199999999999996</v>
      </c>
      <c r="H404" s="196">
        <v>0.43</v>
      </c>
      <c r="I404" s="203">
        <v>9.5299999999999994</v>
      </c>
      <c r="J404" s="203">
        <v>7.64</v>
      </c>
      <c r="K404" s="203">
        <v>22.33</v>
      </c>
      <c r="L404" s="203">
        <v>197.49</v>
      </c>
      <c r="M404" s="203">
        <v>145.61000000000001</v>
      </c>
      <c r="N404" s="196"/>
    </row>
    <row r="405" spans="1:14" s="199" customFormat="1" x14ac:dyDescent="0.35">
      <c r="A405" s="195">
        <v>806818</v>
      </c>
      <c r="B405" s="196"/>
      <c r="C405" s="200">
        <v>2.2690854000000003</v>
      </c>
      <c r="D405" s="196">
        <v>0.13</v>
      </c>
      <c r="E405" s="196">
        <v>1.48</v>
      </c>
      <c r="F405" s="196">
        <v>0.08</v>
      </c>
      <c r="G405" s="196">
        <v>4.3</v>
      </c>
      <c r="H405" s="196">
        <v>0.49</v>
      </c>
      <c r="I405" s="203">
        <v>24.6</v>
      </c>
      <c r="J405" s="203">
        <v>5.5</v>
      </c>
      <c r="K405" s="203">
        <v>54.07</v>
      </c>
      <c r="L405" s="203">
        <v>174.91</v>
      </c>
      <c r="M405" s="203">
        <v>232.43</v>
      </c>
      <c r="N405" s="196"/>
    </row>
    <row r="406" spans="1:14" s="199" customFormat="1" x14ac:dyDescent="0.35">
      <c r="A406" s="195">
        <v>806819</v>
      </c>
      <c r="B406" s="196"/>
      <c r="C406" s="200">
        <v>1.7928576000000003</v>
      </c>
      <c r="D406" s="196">
        <v>0.13</v>
      </c>
      <c r="E406" s="196">
        <v>1.38</v>
      </c>
      <c r="F406" s="196">
        <v>7.0000000000000007E-2</v>
      </c>
      <c r="G406" s="196">
        <v>3.39</v>
      </c>
      <c r="H406" s="196">
        <v>0.45</v>
      </c>
      <c r="I406" s="203">
        <v>23.91</v>
      </c>
      <c r="J406" s="203">
        <v>1.7</v>
      </c>
      <c r="K406" s="203">
        <v>23.76</v>
      </c>
      <c r="L406" s="203">
        <v>152.09</v>
      </c>
      <c r="M406" s="203">
        <v>84.25</v>
      </c>
      <c r="N406" s="196"/>
    </row>
    <row r="407" spans="1:14" s="199" customFormat="1" x14ac:dyDescent="0.35">
      <c r="A407" s="195">
        <v>806820</v>
      </c>
      <c r="B407" s="196"/>
      <c r="C407" s="200">
        <v>2.3251122000000004</v>
      </c>
      <c r="D407" s="196">
        <v>0.15</v>
      </c>
      <c r="E407" s="196">
        <v>1.03</v>
      </c>
      <c r="F407" s="196">
        <v>0.09</v>
      </c>
      <c r="G407" s="196">
        <v>2.39</v>
      </c>
      <c r="H407" s="196">
        <v>0.49</v>
      </c>
      <c r="I407" s="203">
        <v>15.09</v>
      </c>
      <c r="J407" s="203">
        <v>2.33</v>
      </c>
      <c r="K407" s="203">
        <v>37.89</v>
      </c>
      <c r="L407" s="203">
        <v>189.01</v>
      </c>
      <c r="M407" s="203">
        <v>65.52</v>
      </c>
      <c r="N407" s="196"/>
    </row>
    <row r="408" spans="1:14" s="199" customFormat="1" x14ac:dyDescent="0.35">
      <c r="A408" s="195">
        <v>806821</v>
      </c>
      <c r="B408" s="196"/>
      <c r="C408" s="200">
        <v>2.0449782000000001</v>
      </c>
      <c r="D408" s="196">
        <v>0.22</v>
      </c>
      <c r="E408" s="196">
        <v>0.79</v>
      </c>
      <c r="F408" s="196">
        <v>0.18</v>
      </c>
      <c r="G408" s="196">
        <v>1.72</v>
      </c>
      <c r="H408" s="196">
        <v>0.41</v>
      </c>
      <c r="I408" s="203">
        <v>39.47</v>
      </c>
      <c r="J408" s="203">
        <v>5.16</v>
      </c>
      <c r="K408" s="203">
        <v>34.83</v>
      </c>
      <c r="L408" s="203">
        <v>320.39</v>
      </c>
      <c r="M408" s="203">
        <v>56.14</v>
      </c>
      <c r="N408" s="196"/>
    </row>
    <row r="409" spans="1:14" s="199" customFormat="1" x14ac:dyDescent="0.35">
      <c r="A409" s="195">
        <v>806822</v>
      </c>
      <c r="B409" s="196"/>
      <c r="C409" s="200">
        <v>2.0729916000000004</v>
      </c>
      <c r="D409" s="196">
        <v>0.13</v>
      </c>
      <c r="E409" s="196">
        <v>1.63</v>
      </c>
      <c r="F409" s="196">
        <v>7.0000000000000007E-2</v>
      </c>
      <c r="G409" s="196">
        <v>3.39</v>
      </c>
      <c r="H409" s="196">
        <v>0.6</v>
      </c>
      <c r="I409" s="203">
        <v>34.58</v>
      </c>
      <c r="J409" s="203">
        <v>4.5999999999999996</v>
      </c>
      <c r="K409" s="203">
        <v>65.62</v>
      </c>
      <c r="L409" s="203">
        <v>177.14</v>
      </c>
      <c r="M409" s="203">
        <v>215.53</v>
      </c>
      <c r="N409" s="196"/>
    </row>
    <row r="410" spans="1:14" s="199" customFormat="1" x14ac:dyDescent="0.35">
      <c r="A410" s="195">
        <v>806823</v>
      </c>
      <c r="B410" s="196"/>
      <c r="C410" s="200">
        <v>1.7928576000000003</v>
      </c>
      <c r="D410" s="196">
        <v>0.13</v>
      </c>
      <c r="E410" s="196">
        <v>1.94</v>
      </c>
      <c r="F410" s="196">
        <v>0.06</v>
      </c>
      <c r="G410" s="196">
        <v>3.24</v>
      </c>
      <c r="H410" s="196">
        <v>0.35</v>
      </c>
      <c r="I410" s="203">
        <v>41.46</v>
      </c>
      <c r="J410" s="203">
        <v>7.24</v>
      </c>
      <c r="K410" s="203">
        <v>103.3</v>
      </c>
      <c r="L410" s="203">
        <v>312.39999999999998</v>
      </c>
      <c r="M410" s="203">
        <v>75.3</v>
      </c>
      <c r="N410" s="196"/>
    </row>
    <row r="411" spans="1:14" s="199" customFormat="1" x14ac:dyDescent="0.35">
      <c r="A411" s="195">
        <v>806824</v>
      </c>
      <c r="B411" s="196"/>
      <c r="C411" s="200">
        <v>2.3251122000000004</v>
      </c>
      <c r="D411" s="196">
        <v>0.1</v>
      </c>
      <c r="E411" s="196">
        <v>0.93</v>
      </c>
      <c r="F411" s="196">
        <v>0.1</v>
      </c>
      <c r="G411" s="196">
        <v>5.74</v>
      </c>
      <c r="H411" s="196">
        <v>0.46</v>
      </c>
      <c r="I411" s="203">
        <v>27.39</v>
      </c>
      <c r="J411" s="203">
        <v>1.9</v>
      </c>
      <c r="K411" s="203">
        <v>67.45</v>
      </c>
      <c r="L411" s="203">
        <v>182.96</v>
      </c>
      <c r="M411" s="203">
        <v>100.83</v>
      </c>
      <c r="N411" s="196"/>
    </row>
    <row r="412" spans="1:14" s="199" customFormat="1" x14ac:dyDescent="0.35">
      <c r="A412" s="195">
        <v>806825</v>
      </c>
      <c r="B412" s="196"/>
      <c r="C412" s="200">
        <v>2.3811390000000001</v>
      </c>
      <c r="D412" s="196">
        <v>0.1</v>
      </c>
      <c r="E412" s="196">
        <v>1.1200000000000001</v>
      </c>
      <c r="F412" s="196">
        <v>7.0000000000000007E-2</v>
      </c>
      <c r="G412" s="196">
        <v>4.8</v>
      </c>
      <c r="H412" s="196">
        <v>0.48</v>
      </c>
      <c r="I412" s="203">
        <v>20.74</v>
      </c>
      <c r="J412" s="203">
        <v>4.74</v>
      </c>
      <c r="K412" s="203">
        <v>51.9</v>
      </c>
      <c r="L412" s="203">
        <v>157.63999999999999</v>
      </c>
      <c r="M412" s="203">
        <v>160.33000000000001</v>
      </c>
      <c r="N412" s="196"/>
    </row>
    <row r="413" spans="1:14" s="199" customFormat="1" x14ac:dyDescent="0.35">
      <c r="A413" s="195">
        <v>806826</v>
      </c>
      <c r="B413" s="196"/>
      <c r="C413" s="200">
        <v>2.1010050000000002</v>
      </c>
      <c r="D413" s="196">
        <v>0.12</v>
      </c>
      <c r="E413" s="196">
        <v>1.07</v>
      </c>
      <c r="F413" s="196">
        <v>0.08</v>
      </c>
      <c r="G413" s="196">
        <v>4.3</v>
      </c>
      <c r="H413" s="196">
        <v>0.36</v>
      </c>
      <c r="I413" s="203">
        <v>9.6300000000000008</v>
      </c>
      <c r="J413" s="203">
        <v>5.05</v>
      </c>
      <c r="K413" s="203">
        <v>16.329999999999998</v>
      </c>
      <c r="L413" s="203">
        <v>146.25</v>
      </c>
      <c r="M413" s="203">
        <v>93.97</v>
      </c>
      <c r="N413" s="196"/>
    </row>
    <row r="414" spans="1:14" s="199" customFormat="1" x14ac:dyDescent="0.35">
      <c r="A414" s="195">
        <v>806827</v>
      </c>
      <c r="B414" s="196"/>
      <c r="C414" s="200">
        <v>1.8488844000000004</v>
      </c>
      <c r="D414" s="196">
        <v>0.12</v>
      </c>
      <c r="E414" s="196">
        <v>1.1399999999999999</v>
      </c>
      <c r="F414" s="196">
        <v>0.11</v>
      </c>
      <c r="G414" s="196">
        <v>4.47</v>
      </c>
      <c r="H414" s="196">
        <v>0.37</v>
      </c>
      <c r="I414" s="203">
        <v>7.58</v>
      </c>
      <c r="J414" s="203">
        <v>3.31</v>
      </c>
      <c r="K414" s="203">
        <v>13.15</v>
      </c>
      <c r="L414" s="203">
        <v>165.96</v>
      </c>
      <c r="M414" s="203">
        <v>70.23</v>
      </c>
      <c r="N414" s="196"/>
    </row>
    <row r="415" spans="1:14" s="199" customFormat="1" x14ac:dyDescent="0.35">
      <c r="A415" s="195">
        <v>806828</v>
      </c>
      <c r="B415" s="196"/>
      <c r="C415" s="200">
        <v>1.9329246000000002</v>
      </c>
      <c r="D415" s="196">
        <v>0.12</v>
      </c>
      <c r="E415" s="196">
        <v>0.65</v>
      </c>
      <c r="F415" s="196">
        <v>0.09</v>
      </c>
      <c r="G415" s="196">
        <v>4.9000000000000004</v>
      </c>
      <c r="H415" s="196">
        <v>0.68</v>
      </c>
      <c r="I415" s="203">
        <v>8.14</v>
      </c>
      <c r="J415" s="203">
        <v>7.57</v>
      </c>
      <c r="K415" s="203">
        <v>17.440000000000001</v>
      </c>
      <c r="L415" s="203">
        <v>188.76</v>
      </c>
      <c r="M415" s="203">
        <v>127.11</v>
      </c>
      <c r="N415" s="196"/>
    </row>
    <row r="416" spans="1:14" s="199" customFormat="1" x14ac:dyDescent="0.35">
      <c r="A416" s="195">
        <v>806829</v>
      </c>
      <c r="B416" s="196"/>
      <c r="C416" s="200">
        <v>2.4091524</v>
      </c>
      <c r="D416" s="196">
        <v>0.12</v>
      </c>
      <c r="E416" s="196">
        <v>0.97</v>
      </c>
      <c r="F416" s="196">
        <v>7.0000000000000007E-2</v>
      </c>
      <c r="G416" s="196">
        <v>4.05</v>
      </c>
      <c r="H416" s="196">
        <v>0.53</v>
      </c>
      <c r="I416" s="203">
        <v>25.84</v>
      </c>
      <c r="J416" s="203">
        <v>2.58</v>
      </c>
      <c r="K416" s="203">
        <v>60.79</v>
      </c>
      <c r="L416" s="203">
        <v>146.02000000000001</v>
      </c>
      <c r="M416" s="203">
        <v>100.91</v>
      </c>
      <c r="N416" s="196"/>
    </row>
    <row r="417" spans="1:14" s="199" customFormat="1" x14ac:dyDescent="0.35">
      <c r="A417" s="195">
        <v>806830</v>
      </c>
      <c r="B417" s="196"/>
      <c r="C417" s="200">
        <v>2.3811390000000001</v>
      </c>
      <c r="D417" s="196">
        <v>0.13</v>
      </c>
      <c r="E417" s="196">
        <v>0.88</v>
      </c>
      <c r="F417" s="196">
        <v>0.09</v>
      </c>
      <c r="G417" s="196">
        <v>4.99</v>
      </c>
      <c r="H417" s="196">
        <v>0.41</v>
      </c>
      <c r="I417" s="203">
        <v>10.53</v>
      </c>
      <c r="J417" s="203">
        <v>6.44</v>
      </c>
      <c r="K417" s="203">
        <v>20.04</v>
      </c>
      <c r="L417" s="203">
        <v>170.97</v>
      </c>
      <c r="M417" s="203">
        <v>188.69</v>
      </c>
      <c r="N417" s="196"/>
    </row>
    <row r="418" spans="1:14" s="199" customFormat="1" x14ac:dyDescent="0.35">
      <c r="A418" s="195">
        <v>806831</v>
      </c>
      <c r="B418" s="196"/>
      <c r="C418" s="200">
        <v>1.8488844000000004</v>
      </c>
      <c r="D418" s="196">
        <v>0.13</v>
      </c>
      <c r="E418" s="196">
        <v>1.37</v>
      </c>
      <c r="F418" s="196">
        <v>0.1</v>
      </c>
      <c r="G418" s="196">
        <v>4.3600000000000003</v>
      </c>
      <c r="H418" s="196">
        <v>0.32</v>
      </c>
      <c r="I418" s="203">
        <v>25.39</v>
      </c>
      <c r="J418" s="203">
        <v>11.35</v>
      </c>
      <c r="K418" s="203">
        <v>43.89</v>
      </c>
      <c r="L418" s="203">
        <v>225.8</v>
      </c>
      <c r="M418" s="203">
        <v>217.76</v>
      </c>
      <c r="N418" s="196"/>
    </row>
    <row r="419" spans="1:14" s="199" customFormat="1" x14ac:dyDescent="0.35">
      <c r="A419" s="195">
        <v>806832</v>
      </c>
      <c r="B419" s="196"/>
      <c r="C419" s="200">
        <v>1.9609380000000001</v>
      </c>
      <c r="D419" s="196">
        <v>0.13</v>
      </c>
      <c r="E419" s="196">
        <v>1.36</v>
      </c>
      <c r="F419" s="196">
        <v>0.11</v>
      </c>
      <c r="G419" s="196">
        <v>4.9400000000000004</v>
      </c>
      <c r="H419" s="196">
        <v>0.53</v>
      </c>
      <c r="I419" s="203">
        <v>67.5</v>
      </c>
      <c r="J419" s="203">
        <v>8.33</v>
      </c>
      <c r="K419" s="203">
        <v>112.58</v>
      </c>
      <c r="L419" s="203">
        <v>279.32</v>
      </c>
      <c r="M419" s="203">
        <v>106.34</v>
      </c>
      <c r="N419" s="196"/>
    </row>
    <row r="420" spans="1:14" s="199" customFormat="1" x14ac:dyDescent="0.35">
      <c r="A420" s="195">
        <v>806833</v>
      </c>
      <c r="B420" s="196"/>
      <c r="C420" s="200">
        <v>1.8768978000000001</v>
      </c>
      <c r="D420" s="196">
        <v>0.1</v>
      </c>
      <c r="E420" s="196">
        <v>1.62</v>
      </c>
      <c r="F420" s="196">
        <v>0.11</v>
      </c>
      <c r="G420" s="196">
        <v>3.84</v>
      </c>
      <c r="H420" s="196">
        <v>0.33</v>
      </c>
      <c r="I420" s="203">
        <v>21.73</v>
      </c>
      <c r="J420" s="203">
        <v>4.63</v>
      </c>
      <c r="K420" s="203">
        <v>73.38</v>
      </c>
      <c r="L420" s="203">
        <v>149.30000000000001</v>
      </c>
      <c r="M420" s="203">
        <v>73.58</v>
      </c>
      <c r="N420" s="196"/>
    </row>
    <row r="421" spans="1:14" s="199" customFormat="1" x14ac:dyDescent="0.35">
      <c r="A421" s="195">
        <v>806834</v>
      </c>
      <c r="B421" s="196"/>
      <c r="C421" s="200">
        <v>2.1290184000000005</v>
      </c>
      <c r="D421" s="196">
        <v>0.1</v>
      </c>
      <c r="E421" s="196">
        <v>2.29</v>
      </c>
      <c r="F421" s="196">
        <v>0.05</v>
      </c>
      <c r="G421" s="196">
        <v>3.3</v>
      </c>
      <c r="H421" s="196">
        <v>0.48</v>
      </c>
      <c r="I421" s="203">
        <v>19.760000000000002</v>
      </c>
      <c r="J421" s="203">
        <v>1.1200000000000001</v>
      </c>
      <c r="K421" s="203">
        <v>32.909999999999997</v>
      </c>
      <c r="L421" s="203">
        <v>204.14</v>
      </c>
      <c r="M421" s="203">
        <v>51.38</v>
      </c>
      <c r="N421" s="196"/>
    </row>
    <row r="422" spans="1:14" s="199" customFormat="1" x14ac:dyDescent="0.35">
      <c r="A422" s="195">
        <v>806835</v>
      </c>
      <c r="B422" s="196"/>
      <c r="C422" s="200">
        <v>2.1570317999999999</v>
      </c>
      <c r="D422" s="196">
        <v>0.12</v>
      </c>
      <c r="E422" s="196">
        <v>1.68</v>
      </c>
      <c r="F422" s="196">
        <v>0.05</v>
      </c>
      <c r="G422" s="196">
        <v>3.13</v>
      </c>
      <c r="H422" s="196">
        <v>0.4</v>
      </c>
      <c r="I422" s="203">
        <v>33.72</v>
      </c>
      <c r="J422" s="203">
        <v>2.0699999999999998</v>
      </c>
      <c r="K422" s="203">
        <v>58.2</v>
      </c>
      <c r="L422" s="203">
        <v>164.78</v>
      </c>
      <c r="M422" s="203">
        <v>67.02</v>
      </c>
      <c r="N422" s="196"/>
    </row>
    <row r="423" spans="1:14" s="199" customFormat="1" x14ac:dyDescent="0.35">
      <c r="A423" s="195">
        <v>806836</v>
      </c>
      <c r="B423" s="196"/>
      <c r="C423" s="200">
        <v>2.4651792000000006</v>
      </c>
      <c r="D423" s="196">
        <v>0.12</v>
      </c>
      <c r="E423" s="196">
        <v>1.31</v>
      </c>
      <c r="F423" s="196">
        <v>0.06</v>
      </c>
      <c r="G423" s="196">
        <v>3.75</v>
      </c>
      <c r="H423" s="196">
        <v>0.39</v>
      </c>
      <c r="I423" s="203">
        <v>25.48</v>
      </c>
      <c r="J423" s="203">
        <v>2.62</v>
      </c>
      <c r="K423" s="203">
        <v>59.69</v>
      </c>
      <c r="L423" s="203">
        <v>191.45</v>
      </c>
      <c r="M423" s="203">
        <v>128.68</v>
      </c>
      <c r="N423" s="196"/>
    </row>
    <row r="424" spans="1:14" s="199" customFormat="1" x14ac:dyDescent="0.35">
      <c r="A424" s="195">
        <v>806837</v>
      </c>
      <c r="B424" s="196"/>
      <c r="C424" s="200">
        <v>1.5967638000000002</v>
      </c>
      <c r="D424" s="196">
        <v>0.13</v>
      </c>
      <c r="E424" s="196">
        <v>1.76</v>
      </c>
      <c r="F424" s="196">
        <v>7.0000000000000007E-2</v>
      </c>
      <c r="G424" s="196">
        <v>2.25</v>
      </c>
      <c r="H424" s="196">
        <v>0.47</v>
      </c>
      <c r="I424" s="203">
        <v>9.01</v>
      </c>
      <c r="J424" s="203">
        <v>4.67</v>
      </c>
      <c r="K424" s="203">
        <v>16.36</v>
      </c>
      <c r="L424" s="203">
        <v>145.51</v>
      </c>
      <c r="M424" s="203">
        <v>103.18</v>
      </c>
      <c r="N424" s="196"/>
    </row>
    <row r="425" spans="1:14" s="199" customFormat="1" x14ac:dyDescent="0.35">
      <c r="A425" s="195">
        <v>806838</v>
      </c>
      <c r="B425" s="196"/>
      <c r="C425" s="200">
        <v>2.1570317999999999</v>
      </c>
      <c r="D425" s="196">
        <v>0.11</v>
      </c>
      <c r="E425" s="196">
        <v>1.46</v>
      </c>
      <c r="F425" s="196">
        <v>0.05</v>
      </c>
      <c r="G425" s="196">
        <v>3.41</v>
      </c>
      <c r="H425" s="196">
        <v>0.4</v>
      </c>
      <c r="I425" s="203">
        <v>24.52</v>
      </c>
      <c r="J425" s="203">
        <v>2.74</v>
      </c>
      <c r="K425" s="203">
        <v>68.63</v>
      </c>
      <c r="L425" s="203">
        <v>153.19999999999999</v>
      </c>
      <c r="M425" s="203">
        <v>39.58</v>
      </c>
      <c r="N425" s="196"/>
    </row>
    <row r="426" spans="1:14" s="199" customFormat="1" x14ac:dyDescent="0.35">
      <c r="A426" s="195">
        <v>806839</v>
      </c>
      <c r="B426" s="196"/>
      <c r="C426" s="200">
        <v>2.1290184000000005</v>
      </c>
      <c r="D426" s="196">
        <v>0.11</v>
      </c>
      <c r="E426" s="196">
        <v>0.64</v>
      </c>
      <c r="F426" s="196">
        <v>0.12</v>
      </c>
      <c r="G426" s="196">
        <v>5.83</v>
      </c>
      <c r="H426" s="196">
        <v>0.42</v>
      </c>
      <c r="I426" s="203">
        <v>26.36</v>
      </c>
      <c r="J426" s="203">
        <v>5.58</v>
      </c>
      <c r="K426" s="203">
        <v>45.3</v>
      </c>
      <c r="L426" s="203">
        <v>180.32</v>
      </c>
      <c r="M426" s="203">
        <v>87.65</v>
      </c>
      <c r="N426" s="196"/>
    </row>
    <row r="427" spans="1:14" s="199" customFormat="1" x14ac:dyDescent="0.35">
      <c r="A427" s="195">
        <v>806840</v>
      </c>
      <c r="B427" s="196"/>
      <c r="C427" s="200">
        <v>2.3251122000000004</v>
      </c>
      <c r="D427" s="196">
        <v>0.15</v>
      </c>
      <c r="E427" s="196">
        <v>1.3</v>
      </c>
      <c r="F427" s="196">
        <v>0.09</v>
      </c>
      <c r="G427" s="196">
        <v>3.66</v>
      </c>
      <c r="H427" s="196">
        <v>0.45</v>
      </c>
      <c r="I427" s="203">
        <v>14.27</v>
      </c>
      <c r="J427" s="203">
        <v>5.87</v>
      </c>
      <c r="K427" s="203">
        <v>25.23</v>
      </c>
      <c r="L427" s="203">
        <v>220.76</v>
      </c>
      <c r="M427" s="203">
        <v>109.65</v>
      </c>
      <c r="N427" s="196"/>
    </row>
    <row r="428" spans="1:14" s="199" customFormat="1" x14ac:dyDescent="0.35">
      <c r="A428" s="195">
        <v>806841</v>
      </c>
      <c r="B428" s="196"/>
      <c r="C428" s="200">
        <v>4.5661842000000004</v>
      </c>
      <c r="D428" s="196">
        <v>0.18</v>
      </c>
      <c r="E428" s="196">
        <v>1.28</v>
      </c>
      <c r="F428" s="196">
        <v>0.03</v>
      </c>
      <c r="G428" s="196">
        <v>0.64</v>
      </c>
      <c r="H428" s="196">
        <v>0.46</v>
      </c>
      <c r="I428" s="203">
        <v>51.65</v>
      </c>
      <c r="J428" s="203">
        <v>4.99</v>
      </c>
      <c r="K428" s="203">
        <v>201.45</v>
      </c>
      <c r="L428" s="203">
        <v>118.85</v>
      </c>
      <c r="M428" s="203">
        <v>27.62</v>
      </c>
      <c r="N428" s="196"/>
    </row>
    <row r="429" spans="1:14" s="199" customFormat="1" x14ac:dyDescent="0.35">
      <c r="A429" s="195">
        <v>806842</v>
      </c>
      <c r="B429" s="196"/>
      <c r="C429" s="200">
        <v>3.9498894000000009</v>
      </c>
      <c r="D429" s="196">
        <v>0.16</v>
      </c>
      <c r="E429" s="196">
        <v>0.97</v>
      </c>
      <c r="F429" s="196">
        <v>0.03</v>
      </c>
      <c r="G429" s="196">
        <v>0.63</v>
      </c>
      <c r="H429" s="196">
        <v>0.44</v>
      </c>
      <c r="I429" s="203">
        <v>50.9</v>
      </c>
      <c r="J429" s="203">
        <v>4.04</v>
      </c>
      <c r="K429" s="203">
        <v>207.42</v>
      </c>
      <c r="L429" s="203">
        <v>126.56</v>
      </c>
      <c r="M429" s="203">
        <v>38.65</v>
      </c>
      <c r="N429" s="196"/>
    </row>
    <row r="430" spans="1:14" s="199" customFormat="1" x14ac:dyDescent="0.35">
      <c r="A430" s="195">
        <v>806843</v>
      </c>
      <c r="B430" s="196"/>
      <c r="C430" s="200">
        <v>2.0449782000000001</v>
      </c>
      <c r="D430" s="196">
        <v>0.1</v>
      </c>
      <c r="E430" s="196">
        <v>0.92</v>
      </c>
      <c r="F430" s="196">
        <v>0.09</v>
      </c>
      <c r="G430" s="196">
        <v>3.3</v>
      </c>
      <c r="H430" s="196">
        <v>0.52</v>
      </c>
      <c r="I430" s="203">
        <v>29.7</v>
      </c>
      <c r="J430" s="203">
        <v>2.84</v>
      </c>
      <c r="K430" s="203">
        <v>66.430000000000007</v>
      </c>
      <c r="L430" s="203">
        <v>181.21</v>
      </c>
      <c r="M430" s="203">
        <v>126.25</v>
      </c>
      <c r="N430" s="196"/>
    </row>
    <row r="431" spans="1:14" s="199" customFormat="1" x14ac:dyDescent="0.35">
      <c r="A431" s="195">
        <v>806844</v>
      </c>
      <c r="B431" s="196"/>
      <c r="C431" s="200">
        <v>2.3811390000000001</v>
      </c>
      <c r="D431" s="196">
        <v>0.33</v>
      </c>
      <c r="E431" s="196">
        <v>1.57</v>
      </c>
      <c r="F431" s="196">
        <v>0.08</v>
      </c>
      <c r="G431" s="196">
        <v>5.12</v>
      </c>
      <c r="H431" s="196">
        <v>0.3</v>
      </c>
      <c r="I431" s="203">
        <v>26.7</v>
      </c>
      <c r="J431" s="203">
        <v>4.8099999999999996</v>
      </c>
      <c r="K431" s="203">
        <v>21.27</v>
      </c>
      <c r="L431" s="203">
        <v>202.17</v>
      </c>
      <c r="M431" s="203">
        <v>76.959999999999994</v>
      </c>
      <c r="N431" s="196"/>
    </row>
    <row r="432" spans="1:14" s="199" customFormat="1" x14ac:dyDescent="0.35">
      <c r="A432" s="195">
        <v>806845</v>
      </c>
      <c r="B432" s="196"/>
      <c r="C432" s="200">
        <v>2.7453132000000009</v>
      </c>
      <c r="D432" s="196">
        <v>0.22</v>
      </c>
      <c r="E432" s="196">
        <v>1.92</v>
      </c>
      <c r="F432" s="196">
        <v>0.15</v>
      </c>
      <c r="G432" s="196">
        <v>4.13</v>
      </c>
      <c r="H432" s="196">
        <v>0.28000000000000003</v>
      </c>
      <c r="I432" s="203">
        <v>18.71</v>
      </c>
      <c r="J432" s="203">
        <v>8.01</v>
      </c>
      <c r="K432" s="203">
        <v>35.840000000000003</v>
      </c>
      <c r="L432" s="203">
        <v>286.37</v>
      </c>
      <c r="M432" s="203">
        <v>130.55000000000001</v>
      </c>
      <c r="N432" s="196"/>
    </row>
    <row r="433" spans="1:14" s="199" customFormat="1" x14ac:dyDescent="0.35">
      <c r="A433" s="195">
        <v>806846</v>
      </c>
      <c r="B433" s="196"/>
      <c r="C433" s="200">
        <v>2.4651792000000006</v>
      </c>
      <c r="D433" s="196">
        <v>0.18</v>
      </c>
      <c r="E433" s="196">
        <v>1.47</v>
      </c>
      <c r="F433" s="196">
        <v>0.12</v>
      </c>
      <c r="G433" s="196">
        <v>4.1900000000000004</v>
      </c>
      <c r="H433" s="196">
        <v>0.41</v>
      </c>
      <c r="I433" s="203">
        <v>9.19</v>
      </c>
      <c r="J433" s="203">
        <v>4</v>
      </c>
      <c r="K433" s="203">
        <v>36.950000000000003</v>
      </c>
      <c r="L433" s="203">
        <v>230.62</v>
      </c>
      <c r="M433" s="203">
        <v>158.63</v>
      </c>
      <c r="N433" s="196"/>
    </row>
    <row r="434" spans="1:14" s="199" customFormat="1" x14ac:dyDescent="0.35">
      <c r="A434" s="195">
        <v>806847</v>
      </c>
      <c r="B434" s="196"/>
      <c r="C434" s="200">
        <v>2.1010050000000002</v>
      </c>
      <c r="D434" s="196">
        <v>0.13</v>
      </c>
      <c r="E434" s="196">
        <v>1.1599999999999999</v>
      </c>
      <c r="F434" s="196">
        <v>0.08</v>
      </c>
      <c r="G434" s="196">
        <v>7.07</v>
      </c>
      <c r="H434" s="196">
        <v>0.42</v>
      </c>
      <c r="I434" s="203">
        <v>24.14</v>
      </c>
      <c r="J434" s="203">
        <v>3.75</v>
      </c>
      <c r="K434" s="203">
        <v>48.54</v>
      </c>
      <c r="L434" s="203">
        <v>136.97999999999999</v>
      </c>
      <c r="M434" s="203">
        <v>138.69</v>
      </c>
      <c r="N434" s="196"/>
    </row>
    <row r="435" spans="1:14" s="199" customFormat="1" x14ac:dyDescent="0.35">
      <c r="A435" s="195">
        <v>806848</v>
      </c>
      <c r="B435" s="196"/>
      <c r="C435" s="200">
        <v>2.2970988000000006</v>
      </c>
      <c r="D435" s="196">
        <v>0.13</v>
      </c>
      <c r="E435" s="196">
        <v>1.39</v>
      </c>
      <c r="F435" s="196">
        <v>0.08</v>
      </c>
      <c r="G435" s="196">
        <v>4.37</v>
      </c>
      <c r="H435" s="196">
        <v>0.36</v>
      </c>
      <c r="I435" s="203">
        <v>44.66</v>
      </c>
      <c r="J435" s="203">
        <v>1.57</v>
      </c>
      <c r="K435" s="203">
        <v>34.33</v>
      </c>
      <c r="L435" s="203">
        <v>179.72</v>
      </c>
      <c r="M435" s="203">
        <v>79.739999999999995</v>
      </c>
      <c r="N435" s="196"/>
    </row>
    <row r="436" spans="1:14" s="199" customFormat="1" x14ac:dyDescent="0.35">
      <c r="A436" s="195">
        <v>806849</v>
      </c>
      <c r="B436" s="196"/>
      <c r="C436" s="200">
        <v>2.2130586000000001</v>
      </c>
      <c r="D436" s="196">
        <v>0.12</v>
      </c>
      <c r="E436" s="196">
        <v>1.1599999999999999</v>
      </c>
      <c r="F436" s="196">
        <v>0.1</v>
      </c>
      <c r="G436" s="196">
        <v>6.58</v>
      </c>
      <c r="H436" s="196">
        <v>0.45</v>
      </c>
      <c r="I436" s="203">
        <v>23.02</v>
      </c>
      <c r="J436" s="203">
        <v>4.03</v>
      </c>
      <c r="K436" s="203">
        <v>59.96</v>
      </c>
      <c r="L436" s="203">
        <v>226.1</v>
      </c>
      <c r="M436" s="203">
        <v>192.57</v>
      </c>
      <c r="N436" s="196"/>
    </row>
    <row r="437" spans="1:14" s="199" customFormat="1" x14ac:dyDescent="0.35">
      <c r="A437" s="207">
        <v>906093</v>
      </c>
      <c r="B437" s="222"/>
      <c r="C437" s="208">
        <v>2.7453132000000009</v>
      </c>
      <c r="D437" s="222">
        <v>0.15</v>
      </c>
      <c r="E437" s="222">
        <v>0.78</v>
      </c>
      <c r="F437" s="222">
        <v>0.09</v>
      </c>
      <c r="G437" s="208">
        <v>4</v>
      </c>
      <c r="H437" s="222">
        <v>0.28999999999999998</v>
      </c>
      <c r="I437" s="208">
        <v>48.18</v>
      </c>
      <c r="J437" s="208">
        <v>11.65</v>
      </c>
      <c r="K437" s="208">
        <v>68.819999999999993</v>
      </c>
      <c r="L437" s="208">
        <v>136.80000000000001</v>
      </c>
      <c r="M437" s="208">
        <v>65.75</v>
      </c>
      <c r="N437" s="196"/>
    </row>
    <row r="438" spans="1:14" s="199" customFormat="1" x14ac:dyDescent="0.35">
      <c r="A438" s="207">
        <v>906094</v>
      </c>
      <c r="B438" s="222"/>
      <c r="C438" s="208">
        <v>2.3531256000000003</v>
      </c>
      <c r="D438" s="222">
        <v>0.1</v>
      </c>
      <c r="E438" s="222">
        <v>0.61</v>
      </c>
      <c r="F438" s="222">
        <v>0.11</v>
      </c>
      <c r="G438" s="208">
        <v>4.18</v>
      </c>
      <c r="H438" s="222">
        <v>0.33</v>
      </c>
      <c r="I438" s="208">
        <v>29.12</v>
      </c>
      <c r="J438" s="208">
        <v>6.46</v>
      </c>
      <c r="K438" s="208">
        <v>46.53</v>
      </c>
      <c r="L438" s="208">
        <v>135.82</v>
      </c>
      <c r="M438" s="208">
        <v>95.5</v>
      </c>
      <c r="N438" s="196"/>
    </row>
    <row r="439" spans="1:14" s="199" customFormat="1" x14ac:dyDescent="0.35">
      <c r="A439" s="207">
        <v>906095</v>
      </c>
      <c r="B439" s="222"/>
      <c r="C439" s="208">
        <v>2.1010050000000002</v>
      </c>
      <c r="D439" s="222">
        <v>0.14000000000000001</v>
      </c>
      <c r="E439" s="222">
        <v>1.57</v>
      </c>
      <c r="F439" s="222">
        <v>0.05</v>
      </c>
      <c r="G439" s="208">
        <v>2.86</v>
      </c>
      <c r="H439" s="222">
        <v>0.32</v>
      </c>
      <c r="I439" s="208">
        <v>78.760000000000005</v>
      </c>
      <c r="J439" s="208">
        <v>5.08</v>
      </c>
      <c r="K439" s="208">
        <v>96.47</v>
      </c>
      <c r="L439" s="208">
        <v>131.15</v>
      </c>
      <c r="M439" s="208">
        <v>134.84</v>
      </c>
      <c r="N439" s="196"/>
    </row>
    <row r="440" spans="1:14" s="199" customFormat="1" x14ac:dyDescent="0.35">
      <c r="A440" s="207">
        <v>906096</v>
      </c>
      <c r="B440" s="222"/>
      <c r="C440" s="208">
        <v>2.3531256000000003</v>
      </c>
      <c r="D440" s="222">
        <v>0.11</v>
      </c>
      <c r="E440" s="222">
        <v>0.86</v>
      </c>
      <c r="F440" s="222">
        <v>7.0000000000000007E-2</v>
      </c>
      <c r="G440" s="208">
        <v>4.99</v>
      </c>
      <c r="H440" s="222">
        <v>0.36</v>
      </c>
      <c r="I440" s="208">
        <v>31.02</v>
      </c>
      <c r="J440" s="208">
        <v>6.3</v>
      </c>
      <c r="K440" s="208">
        <v>37.71</v>
      </c>
      <c r="L440" s="208">
        <v>134.91999999999999</v>
      </c>
      <c r="M440" s="208">
        <v>207.92</v>
      </c>
      <c r="N440" s="196"/>
    </row>
    <row r="441" spans="1:14" s="199" customFormat="1" x14ac:dyDescent="0.35">
      <c r="A441" s="207">
        <v>906097</v>
      </c>
      <c r="B441" s="222"/>
      <c r="C441" s="208">
        <v>2.4651792000000006</v>
      </c>
      <c r="D441" s="222">
        <v>0.11</v>
      </c>
      <c r="E441" s="222">
        <v>0.64</v>
      </c>
      <c r="F441" s="222">
        <v>7.0000000000000007E-2</v>
      </c>
      <c r="G441" s="208">
        <v>5.0599999999999996</v>
      </c>
      <c r="H441" s="222">
        <v>0.31</v>
      </c>
      <c r="I441" s="208">
        <v>10.119999999999999</v>
      </c>
      <c r="J441" s="208">
        <v>5.29</v>
      </c>
      <c r="K441" s="208">
        <v>16.809999999999999</v>
      </c>
      <c r="L441" s="208">
        <v>116.69</v>
      </c>
      <c r="M441" s="208">
        <v>299.99</v>
      </c>
      <c r="N441" s="196"/>
    </row>
    <row r="442" spans="1:14" s="199" customFormat="1" x14ac:dyDescent="0.35">
      <c r="A442" s="207">
        <v>906098</v>
      </c>
      <c r="B442" s="222"/>
      <c r="C442" s="208">
        <v>2.2130586000000001</v>
      </c>
      <c r="D442" s="222">
        <v>0.11</v>
      </c>
      <c r="E442" s="222">
        <v>0.63</v>
      </c>
      <c r="F442" s="222">
        <v>0.04</v>
      </c>
      <c r="G442" s="208">
        <v>3.99</v>
      </c>
      <c r="H442" s="222">
        <v>0.41</v>
      </c>
      <c r="I442" s="208">
        <v>45.06</v>
      </c>
      <c r="J442" s="208">
        <v>1.29</v>
      </c>
      <c r="K442" s="208">
        <v>46.84</v>
      </c>
      <c r="L442" s="208">
        <v>115.75</v>
      </c>
      <c r="M442" s="208">
        <v>60.92</v>
      </c>
      <c r="N442" s="196"/>
    </row>
    <row r="443" spans="1:14" s="199" customFormat="1" x14ac:dyDescent="0.35">
      <c r="A443" s="207">
        <v>906099</v>
      </c>
      <c r="B443" s="222"/>
      <c r="C443" s="208">
        <v>2.2130586000000001</v>
      </c>
      <c r="D443" s="222">
        <v>0.1</v>
      </c>
      <c r="E443" s="222">
        <v>0.7</v>
      </c>
      <c r="F443" s="222">
        <v>0.05</v>
      </c>
      <c r="G443" s="208">
        <v>4.3600000000000003</v>
      </c>
      <c r="H443" s="222">
        <v>0.36</v>
      </c>
      <c r="I443" s="208">
        <v>11.81</v>
      </c>
      <c r="J443" s="208">
        <v>3.05</v>
      </c>
      <c r="K443" s="208">
        <v>26.35</v>
      </c>
      <c r="L443" s="208">
        <v>83.94</v>
      </c>
      <c r="M443" s="208">
        <v>84.94</v>
      </c>
      <c r="N443" s="196"/>
    </row>
    <row r="444" spans="1:14" s="199" customFormat="1" x14ac:dyDescent="0.35">
      <c r="A444" s="207">
        <v>906100</v>
      </c>
      <c r="B444" s="208"/>
      <c r="C444" s="208">
        <v>1.7368308000000003</v>
      </c>
      <c r="D444" s="222">
        <v>0.12</v>
      </c>
      <c r="E444" s="222">
        <v>0.67</v>
      </c>
      <c r="F444" s="222">
        <v>0.09</v>
      </c>
      <c r="G444" s="208">
        <v>5.57</v>
      </c>
      <c r="H444" s="222">
        <v>0.31</v>
      </c>
      <c r="I444" s="208">
        <v>49.2</v>
      </c>
      <c r="J444" s="208">
        <v>6.03</v>
      </c>
      <c r="K444" s="208">
        <v>88.67</v>
      </c>
      <c r="L444" s="208">
        <v>130.65</v>
      </c>
      <c r="M444" s="208">
        <v>75.47</v>
      </c>
      <c r="N444" s="196"/>
    </row>
    <row r="445" spans="1:14" s="199" customFormat="1" x14ac:dyDescent="0.35">
      <c r="A445" s="207">
        <v>906101</v>
      </c>
      <c r="B445" s="208"/>
      <c r="C445" s="208">
        <v>2.1850452000000002</v>
      </c>
      <c r="D445" s="222">
        <v>0.11</v>
      </c>
      <c r="E445" s="222">
        <v>0.86</v>
      </c>
      <c r="F445" s="222">
        <v>0.06</v>
      </c>
      <c r="G445" s="208">
        <v>6.25</v>
      </c>
      <c r="H445" s="222">
        <v>0.21</v>
      </c>
      <c r="I445" s="208">
        <v>46.71</v>
      </c>
      <c r="J445" s="208">
        <v>3.77</v>
      </c>
      <c r="K445" s="208">
        <v>66.53</v>
      </c>
      <c r="L445" s="208">
        <v>100.78</v>
      </c>
      <c r="M445" s="208">
        <v>76</v>
      </c>
      <c r="N445" s="196"/>
    </row>
    <row r="446" spans="1:14" s="199" customFormat="1" x14ac:dyDescent="0.35">
      <c r="A446" s="207">
        <v>906102</v>
      </c>
      <c r="B446" s="208"/>
      <c r="C446" s="208">
        <v>2.5492194000000001</v>
      </c>
      <c r="D446" s="222">
        <v>0.15</v>
      </c>
      <c r="E446" s="222">
        <v>0.36</v>
      </c>
      <c r="F446" s="222">
        <v>0.1</v>
      </c>
      <c r="G446" s="208">
        <v>4.4000000000000004</v>
      </c>
      <c r="H446" s="222">
        <v>0.36</v>
      </c>
      <c r="I446" s="208">
        <v>29.62</v>
      </c>
      <c r="J446" s="208">
        <v>7.75</v>
      </c>
      <c r="K446" s="208">
        <v>49.25</v>
      </c>
      <c r="L446" s="208">
        <v>129.32</v>
      </c>
      <c r="M446" s="208">
        <v>53.16</v>
      </c>
      <c r="N446" s="196"/>
    </row>
    <row r="447" spans="1:14" s="199" customFormat="1" x14ac:dyDescent="0.35">
      <c r="A447" s="207">
        <v>906103</v>
      </c>
      <c r="B447" s="208"/>
      <c r="C447" s="208">
        <v>2.1570317999999999</v>
      </c>
      <c r="D447" s="222">
        <v>0.23</v>
      </c>
      <c r="E447" s="222">
        <v>0.45</v>
      </c>
      <c r="F447" s="222">
        <v>0.09</v>
      </c>
      <c r="G447" s="208">
        <v>2.44</v>
      </c>
      <c r="H447" s="222">
        <v>0.21</v>
      </c>
      <c r="I447" s="208">
        <v>26.75</v>
      </c>
      <c r="J447" s="208">
        <v>6.85</v>
      </c>
      <c r="K447" s="208">
        <v>54.14</v>
      </c>
      <c r="L447" s="208">
        <v>167.57</v>
      </c>
      <c r="M447" s="208">
        <v>37.92</v>
      </c>
      <c r="N447" s="196"/>
    </row>
    <row r="448" spans="1:14" s="199" customFormat="1" x14ac:dyDescent="0.35">
      <c r="A448" s="207">
        <v>906104</v>
      </c>
      <c r="B448" s="208"/>
      <c r="C448" s="208">
        <v>2.9974338000000005</v>
      </c>
      <c r="D448" s="222">
        <v>0.26</v>
      </c>
      <c r="E448" s="222">
        <v>2.89</v>
      </c>
      <c r="F448" s="222">
        <v>0.1</v>
      </c>
      <c r="G448" s="208">
        <v>3.61</v>
      </c>
      <c r="H448" s="222">
        <v>1.04</v>
      </c>
      <c r="I448" s="208">
        <v>16.25</v>
      </c>
      <c r="J448" s="208">
        <v>7.18</v>
      </c>
      <c r="K448" s="208">
        <v>49.55</v>
      </c>
      <c r="L448" s="208">
        <v>76.33</v>
      </c>
      <c r="M448" s="208">
        <v>64.290000000000006</v>
      </c>
      <c r="N448" s="196"/>
    </row>
    <row r="449" spans="1:14" s="199" customFormat="1" x14ac:dyDescent="0.35">
      <c r="A449" s="207">
        <v>906105</v>
      </c>
      <c r="B449" s="208"/>
      <c r="C449" s="208">
        <v>3.4736616000000007</v>
      </c>
      <c r="D449" s="222">
        <v>0.26</v>
      </c>
      <c r="E449" s="222">
        <v>2.64</v>
      </c>
      <c r="F449" s="222">
        <v>0.06</v>
      </c>
      <c r="G449" s="208">
        <v>2.7</v>
      </c>
      <c r="H449" s="222">
        <v>0.8</v>
      </c>
      <c r="I449" s="208">
        <v>12.81</v>
      </c>
      <c r="J449" s="208">
        <v>8.17</v>
      </c>
      <c r="K449" s="208">
        <v>36.01</v>
      </c>
      <c r="L449" s="208">
        <v>55.88</v>
      </c>
      <c r="M449" s="208">
        <v>50.16</v>
      </c>
      <c r="N449" s="196"/>
    </row>
    <row r="450" spans="1:14" s="199" customFormat="1" x14ac:dyDescent="0.35">
      <c r="A450" s="207">
        <v>906106</v>
      </c>
      <c r="B450" s="208"/>
      <c r="C450" s="208">
        <v>3.1375008000000006</v>
      </c>
      <c r="D450" s="222">
        <v>0.53</v>
      </c>
      <c r="E450" s="222">
        <v>3.59</v>
      </c>
      <c r="F450" s="208">
        <v>0.9</v>
      </c>
      <c r="G450" s="208">
        <v>0.6</v>
      </c>
      <c r="H450" s="222">
        <v>0.31</v>
      </c>
      <c r="I450" s="208">
        <v>35.06</v>
      </c>
      <c r="J450" s="208">
        <v>10.37</v>
      </c>
      <c r="K450" s="208">
        <v>60.47</v>
      </c>
      <c r="L450" s="208">
        <v>177.9</v>
      </c>
      <c r="M450" s="208">
        <v>18.8</v>
      </c>
      <c r="N450" s="196"/>
    </row>
    <row r="451" spans="1:14" s="199" customFormat="1" x14ac:dyDescent="0.35">
      <c r="A451" s="207">
        <v>906107</v>
      </c>
      <c r="B451" s="208"/>
      <c r="C451" s="208">
        <v>1.3166298000000001</v>
      </c>
      <c r="D451" s="222">
        <v>0.13</v>
      </c>
      <c r="E451" s="222">
        <v>2.12</v>
      </c>
      <c r="F451" s="223">
        <v>0.06</v>
      </c>
      <c r="G451" s="208">
        <v>3</v>
      </c>
      <c r="H451" s="223">
        <v>0.37</v>
      </c>
      <c r="I451" s="208">
        <v>17.2</v>
      </c>
      <c r="J451" s="208">
        <v>6.9</v>
      </c>
      <c r="K451" s="208">
        <v>41.2</v>
      </c>
      <c r="L451" s="208">
        <v>186.37</v>
      </c>
      <c r="M451" s="208">
        <v>91.89</v>
      </c>
      <c r="N451" s="196"/>
    </row>
    <row r="452" spans="1:14" s="199" customFormat="1" x14ac:dyDescent="0.35">
      <c r="A452" s="207">
        <v>906108</v>
      </c>
      <c r="B452" s="208"/>
      <c r="C452" s="208">
        <v>3.4456482000000008</v>
      </c>
      <c r="D452" s="222">
        <v>0.21</v>
      </c>
      <c r="E452" s="222">
        <v>2.58</v>
      </c>
      <c r="F452" s="223">
        <v>0.08</v>
      </c>
      <c r="G452" s="208">
        <v>5.45</v>
      </c>
      <c r="H452" s="222">
        <v>1.04</v>
      </c>
      <c r="I452" s="208">
        <v>18.079999999999998</v>
      </c>
      <c r="J452" s="208">
        <v>7.9</v>
      </c>
      <c r="K452" s="208">
        <v>77.38</v>
      </c>
      <c r="L452" s="208">
        <v>59.9</v>
      </c>
      <c r="M452" s="208">
        <v>59.18</v>
      </c>
      <c r="N452" s="196"/>
    </row>
    <row r="453" spans="1:14" s="199" customFormat="1" x14ac:dyDescent="0.35">
      <c r="A453" s="207">
        <v>906109</v>
      </c>
      <c r="B453" s="208"/>
      <c r="C453" s="208">
        <v>3.6137286000000004</v>
      </c>
      <c r="D453" s="222">
        <v>0.21</v>
      </c>
      <c r="E453" s="222">
        <v>2.66</v>
      </c>
      <c r="F453" s="223">
        <v>0.14000000000000001</v>
      </c>
      <c r="G453" s="208">
        <v>4.93</v>
      </c>
      <c r="H453" s="223">
        <v>1.02</v>
      </c>
      <c r="I453" s="208">
        <v>24.43</v>
      </c>
      <c r="J453" s="208">
        <v>11.29</v>
      </c>
      <c r="K453" s="208">
        <v>60.47</v>
      </c>
      <c r="L453" s="208">
        <v>86.99</v>
      </c>
      <c r="M453" s="208">
        <v>38.619999999999997</v>
      </c>
      <c r="N453" s="196"/>
    </row>
    <row r="454" spans="1:14" s="199" customFormat="1" x14ac:dyDescent="0.35">
      <c r="A454" s="207">
        <v>906110</v>
      </c>
      <c r="B454" s="208"/>
      <c r="C454" s="208">
        <v>2.2130586000000005</v>
      </c>
      <c r="D454" s="222">
        <v>0.12</v>
      </c>
      <c r="E454" s="222">
        <v>0.61</v>
      </c>
      <c r="F454" s="223">
        <v>0.09</v>
      </c>
      <c r="G454" s="208">
        <v>5.42</v>
      </c>
      <c r="H454" s="223">
        <v>0.27</v>
      </c>
      <c r="I454" s="208">
        <v>14.53</v>
      </c>
      <c r="J454" s="208">
        <v>5.0199999999999996</v>
      </c>
      <c r="K454" s="208">
        <v>38.369999999999997</v>
      </c>
      <c r="L454" s="208">
        <v>225.04</v>
      </c>
      <c r="M454" s="208">
        <v>91.44</v>
      </c>
      <c r="N454" s="196"/>
    </row>
    <row r="455" spans="1:14" s="199" customFormat="1" x14ac:dyDescent="0.35">
      <c r="A455" s="207">
        <v>906111</v>
      </c>
      <c r="B455" s="208"/>
      <c r="C455" s="208">
        <v>1.9049112000000004</v>
      </c>
      <c r="D455" s="222">
        <v>0.12</v>
      </c>
      <c r="E455" s="222">
        <v>1.42</v>
      </c>
      <c r="F455" s="223">
        <v>0.06</v>
      </c>
      <c r="G455" s="208">
        <v>3.99</v>
      </c>
      <c r="H455" s="223">
        <v>0.22</v>
      </c>
      <c r="I455" s="208">
        <v>34.450000000000003</v>
      </c>
      <c r="J455" s="208">
        <v>1.63</v>
      </c>
      <c r="K455" s="208">
        <v>86.11</v>
      </c>
      <c r="L455" s="208">
        <v>202.83</v>
      </c>
      <c r="M455" s="208">
        <v>97.1</v>
      </c>
      <c r="N455" s="196"/>
    </row>
    <row r="456" spans="1:14" s="199" customFormat="1" x14ac:dyDescent="0.35">
      <c r="A456" s="207">
        <v>906112</v>
      </c>
      <c r="B456" s="208"/>
      <c r="C456" s="208">
        <v>2.3811390000000001</v>
      </c>
      <c r="D456" s="222">
        <v>0.1</v>
      </c>
      <c r="E456" s="222">
        <v>0.68</v>
      </c>
      <c r="F456" s="223">
        <v>7.0000000000000007E-2</v>
      </c>
      <c r="G456" s="208">
        <v>5.04</v>
      </c>
      <c r="H456" s="223">
        <v>0.32</v>
      </c>
      <c r="I456" s="208">
        <v>68.31</v>
      </c>
      <c r="J456" s="208">
        <v>5.16</v>
      </c>
      <c r="K456" s="208">
        <v>82.84</v>
      </c>
      <c r="L456" s="208">
        <v>179.41</v>
      </c>
      <c r="M456" s="208">
        <v>65.59</v>
      </c>
      <c r="N456" s="196"/>
    </row>
    <row r="457" spans="1:14" s="199" customFormat="1" x14ac:dyDescent="0.35">
      <c r="A457" s="207">
        <v>906113</v>
      </c>
      <c r="B457" s="208"/>
      <c r="C457" s="208">
        <v>2.661273</v>
      </c>
      <c r="D457" s="222">
        <v>0.11</v>
      </c>
      <c r="E457" s="222">
        <v>0.86</v>
      </c>
      <c r="F457" s="223">
        <v>0.06</v>
      </c>
      <c r="G457" s="208">
        <v>4.3099999999999996</v>
      </c>
      <c r="H457" s="223">
        <v>0.53</v>
      </c>
      <c r="I457" s="208">
        <v>11.09</v>
      </c>
      <c r="J457" s="208">
        <v>9.85</v>
      </c>
      <c r="K457" s="208">
        <v>23.07</v>
      </c>
      <c r="L457" s="208">
        <v>234.67</v>
      </c>
      <c r="M457" s="208">
        <v>106.71</v>
      </c>
      <c r="N457" s="196"/>
    </row>
    <row r="458" spans="1:14" s="199" customFormat="1" x14ac:dyDescent="0.35">
      <c r="A458" s="207">
        <v>906114</v>
      </c>
      <c r="B458" s="208"/>
      <c r="C458" s="208">
        <v>2.4931926000000004</v>
      </c>
      <c r="D458" s="222">
        <v>0.1</v>
      </c>
      <c r="E458" s="222">
        <v>0.86</v>
      </c>
      <c r="F458" s="223">
        <v>0.08</v>
      </c>
      <c r="G458" s="208">
        <v>4.66</v>
      </c>
      <c r="H458" s="223">
        <v>0.41</v>
      </c>
      <c r="I458" s="208">
        <v>9.85</v>
      </c>
      <c r="J458" s="208">
        <v>9.49</v>
      </c>
      <c r="K458" s="208">
        <v>17.43</v>
      </c>
      <c r="L458" s="208">
        <v>180.03</v>
      </c>
      <c r="M458" s="208">
        <v>58.09</v>
      </c>
      <c r="N458" s="196"/>
    </row>
    <row r="459" spans="1:14" s="199" customFormat="1" x14ac:dyDescent="0.35">
      <c r="A459" s="207">
        <v>906115</v>
      </c>
      <c r="B459" s="208"/>
      <c r="C459" s="208">
        <v>2.4091524</v>
      </c>
      <c r="D459" s="222">
        <v>0.11</v>
      </c>
      <c r="E459" s="222">
        <v>0.68</v>
      </c>
      <c r="F459" s="223">
        <v>0.05</v>
      </c>
      <c r="G459" s="208">
        <v>5.09</v>
      </c>
      <c r="H459" s="223">
        <v>0.52</v>
      </c>
      <c r="I459" s="208">
        <v>9.19</v>
      </c>
      <c r="J459" s="208">
        <v>8.0299999999999994</v>
      </c>
      <c r="K459" s="208">
        <v>21.06</v>
      </c>
      <c r="L459" s="208">
        <v>187.05</v>
      </c>
      <c r="M459" s="208">
        <v>83.7</v>
      </c>
      <c r="N459" s="196"/>
    </row>
    <row r="460" spans="1:14" s="199" customFormat="1" x14ac:dyDescent="0.35">
      <c r="A460" s="207">
        <v>906116</v>
      </c>
      <c r="B460" s="208"/>
      <c r="C460" s="208">
        <v>2.5492194000000001</v>
      </c>
      <c r="D460" s="222">
        <v>0.11</v>
      </c>
      <c r="E460" s="222">
        <v>0.87</v>
      </c>
      <c r="F460" s="223">
        <v>0.06</v>
      </c>
      <c r="G460" s="208">
        <v>5.47</v>
      </c>
      <c r="H460" s="223">
        <v>0.34</v>
      </c>
      <c r="I460" s="208">
        <v>12</v>
      </c>
      <c r="J460" s="208">
        <v>10.65</v>
      </c>
      <c r="K460" s="208">
        <v>28.65</v>
      </c>
      <c r="L460" s="208">
        <v>177.25</v>
      </c>
      <c r="M460" s="208">
        <v>61.89</v>
      </c>
      <c r="N460" s="196"/>
    </row>
    <row r="461" spans="1:14" s="199" customFormat="1" x14ac:dyDescent="0.35">
      <c r="A461" s="207">
        <v>906117</v>
      </c>
      <c r="B461" s="208"/>
      <c r="C461" s="208">
        <v>2.4931926000000004</v>
      </c>
      <c r="D461" s="222">
        <v>0.13</v>
      </c>
      <c r="E461" s="222">
        <v>1.34</v>
      </c>
      <c r="F461" s="223">
        <v>0.04</v>
      </c>
      <c r="G461" s="208">
        <v>3.27</v>
      </c>
      <c r="H461" s="223">
        <v>0.24</v>
      </c>
      <c r="I461" s="208">
        <v>28.01</v>
      </c>
      <c r="J461" s="208">
        <v>3.62</v>
      </c>
      <c r="K461" s="208">
        <v>83.48</v>
      </c>
      <c r="L461" s="208">
        <v>149.4</v>
      </c>
      <c r="M461" s="208">
        <v>78.08</v>
      </c>
      <c r="N461" s="196"/>
    </row>
    <row r="462" spans="1:14" s="199" customFormat="1" x14ac:dyDescent="0.35">
      <c r="A462" s="207">
        <v>906118</v>
      </c>
      <c r="B462" s="208"/>
      <c r="C462" s="208">
        <v>2.5492194000000001</v>
      </c>
      <c r="D462" s="222">
        <v>0.12</v>
      </c>
      <c r="E462" s="222">
        <v>0.74</v>
      </c>
      <c r="F462" s="223">
        <v>0.06</v>
      </c>
      <c r="G462" s="208">
        <v>5.67</v>
      </c>
      <c r="H462" s="223">
        <v>0.24</v>
      </c>
      <c r="I462" s="208">
        <v>56.27</v>
      </c>
      <c r="J462" s="208">
        <v>7.14</v>
      </c>
      <c r="K462" s="208">
        <v>105.38</v>
      </c>
      <c r="L462" s="208">
        <v>166.45</v>
      </c>
      <c r="M462" s="208">
        <v>63.3</v>
      </c>
      <c r="N462" s="196"/>
    </row>
    <row r="463" spans="1:14" s="199" customFormat="1" x14ac:dyDescent="0.35">
      <c r="A463" s="207">
        <v>906119</v>
      </c>
      <c r="B463" s="208"/>
      <c r="C463" s="208">
        <v>2.661273</v>
      </c>
      <c r="D463" s="222">
        <v>0.16</v>
      </c>
      <c r="E463" s="222">
        <v>1.37</v>
      </c>
      <c r="F463" s="223">
        <v>0.04</v>
      </c>
      <c r="G463" s="208">
        <v>2.76</v>
      </c>
      <c r="H463" s="223">
        <v>0.3</v>
      </c>
      <c r="I463" s="208">
        <v>9.1300000000000008</v>
      </c>
      <c r="J463" s="208">
        <v>4.97</v>
      </c>
      <c r="K463" s="208">
        <v>16.93</v>
      </c>
      <c r="L463" s="208">
        <v>84.41</v>
      </c>
      <c r="M463" s="208">
        <v>54.78</v>
      </c>
      <c r="N463" s="196"/>
    </row>
    <row r="464" spans="1:14" s="199" customFormat="1" x14ac:dyDescent="0.35">
      <c r="A464" s="207">
        <v>906120</v>
      </c>
      <c r="B464" s="208"/>
      <c r="C464" s="208">
        <v>2.8013400000000006</v>
      </c>
      <c r="D464" s="222">
        <v>0.17</v>
      </c>
      <c r="E464" s="222">
        <v>0.89</v>
      </c>
      <c r="F464" s="223">
        <v>0.05</v>
      </c>
      <c r="G464" s="208">
        <v>3.08</v>
      </c>
      <c r="H464" s="223">
        <v>0.35</v>
      </c>
      <c r="I464" s="208">
        <v>15.82</v>
      </c>
      <c r="J464" s="208">
        <v>7.41</v>
      </c>
      <c r="K464" s="208">
        <v>21.87</v>
      </c>
      <c r="L464" s="208">
        <v>122.14</v>
      </c>
      <c r="M464" s="208">
        <v>49.16</v>
      </c>
      <c r="N464" s="196"/>
    </row>
    <row r="465" spans="1:14" s="199" customFormat="1" x14ac:dyDescent="0.35">
      <c r="A465" s="207">
        <v>906121</v>
      </c>
      <c r="B465" s="196"/>
      <c r="C465" s="208">
        <v>2.7733266000000003</v>
      </c>
      <c r="D465" s="222">
        <v>0.18</v>
      </c>
      <c r="E465" s="222">
        <v>0.77</v>
      </c>
      <c r="F465" s="223">
        <v>0.06</v>
      </c>
      <c r="G465" s="208">
        <v>2.13</v>
      </c>
      <c r="H465" s="223">
        <v>0.49</v>
      </c>
      <c r="I465" s="208">
        <v>56.62</v>
      </c>
      <c r="J465" s="208">
        <v>8.7799999999999994</v>
      </c>
      <c r="K465" s="208">
        <v>75.06</v>
      </c>
      <c r="L465" s="208">
        <v>226.28</v>
      </c>
      <c r="M465" s="208">
        <v>77.290000000000006</v>
      </c>
      <c r="N465" s="196"/>
    </row>
    <row r="466" spans="1:14" s="199" customFormat="1" x14ac:dyDescent="0.35">
      <c r="A466" s="207">
        <v>906122</v>
      </c>
      <c r="B466" s="196"/>
      <c r="C466" s="208">
        <v>2.5492194000000001</v>
      </c>
      <c r="D466" s="222">
        <v>0.15</v>
      </c>
      <c r="E466" s="222">
        <v>0.74</v>
      </c>
      <c r="F466" s="223">
        <v>7.0000000000000007E-2</v>
      </c>
      <c r="G466" s="208">
        <v>4.75</v>
      </c>
      <c r="H466" s="223">
        <v>0.26</v>
      </c>
      <c r="I466" s="208">
        <v>15.43</v>
      </c>
      <c r="J466" s="208">
        <v>5.65</v>
      </c>
      <c r="K466" s="208">
        <v>27.49</v>
      </c>
      <c r="L466" s="208">
        <v>213.77</v>
      </c>
      <c r="M466" s="208">
        <v>103.81</v>
      </c>
      <c r="N466" s="196"/>
    </row>
    <row r="467" spans="1:14" s="199" customFormat="1" x14ac:dyDescent="0.35">
      <c r="A467" s="207">
        <v>906123</v>
      </c>
      <c r="B467" s="196"/>
      <c r="C467" s="208">
        <v>2.6892863999999999</v>
      </c>
      <c r="D467" s="222">
        <v>0.14000000000000001</v>
      </c>
      <c r="E467" s="222">
        <v>0.9</v>
      </c>
      <c r="F467" s="223">
        <v>7.0000000000000007E-2</v>
      </c>
      <c r="G467" s="208">
        <v>3.16</v>
      </c>
      <c r="H467" s="223">
        <v>0.31</v>
      </c>
      <c r="I467" s="208">
        <v>10.66</v>
      </c>
      <c r="J467" s="208">
        <v>7</v>
      </c>
      <c r="K467" s="208">
        <v>19.18</v>
      </c>
      <c r="L467" s="208">
        <v>159.47</v>
      </c>
      <c r="M467" s="208">
        <v>43.42</v>
      </c>
      <c r="N467" s="196"/>
    </row>
    <row r="468" spans="1:14" s="199" customFormat="1" x14ac:dyDescent="0.35">
      <c r="A468" s="207">
        <v>906124</v>
      </c>
      <c r="B468" s="196"/>
      <c r="C468" s="208">
        <v>2.4371658000000007</v>
      </c>
      <c r="D468" s="222">
        <v>0.12</v>
      </c>
      <c r="E468" s="222">
        <v>1.32</v>
      </c>
      <c r="F468" s="223">
        <v>0.04</v>
      </c>
      <c r="G468" s="208">
        <v>3.5</v>
      </c>
      <c r="H468" s="223">
        <v>0.35</v>
      </c>
      <c r="I468" s="208">
        <v>11.13</v>
      </c>
      <c r="J468" s="208">
        <v>7.57</v>
      </c>
      <c r="K468" s="208">
        <v>25.12</v>
      </c>
      <c r="L468" s="208">
        <v>180.38</v>
      </c>
      <c r="M468" s="208">
        <v>49.27</v>
      </c>
      <c r="N468" s="196"/>
    </row>
    <row r="469" spans="1:14" s="199" customFormat="1" x14ac:dyDescent="0.35">
      <c r="A469" s="207">
        <v>906125</v>
      </c>
      <c r="B469" s="196"/>
      <c r="C469" s="208">
        <v>1.9329246000000002</v>
      </c>
      <c r="D469" s="222">
        <v>0.1</v>
      </c>
      <c r="E469" s="222">
        <v>2.02</v>
      </c>
      <c r="F469" s="223">
        <v>0.06</v>
      </c>
      <c r="G469" s="208">
        <v>2.98</v>
      </c>
      <c r="H469" s="223">
        <v>0.34</v>
      </c>
      <c r="I469" s="208">
        <v>14.43</v>
      </c>
      <c r="J469" s="208">
        <v>3.25</v>
      </c>
      <c r="K469" s="208">
        <v>36.659999999999997</v>
      </c>
      <c r="L469" s="208">
        <v>186.37</v>
      </c>
      <c r="M469" s="208">
        <v>91.89</v>
      </c>
      <c r="N469" s="196"/>
    </row>
    <row r="470" spans="1:14" s="199" customFormat="1" x14ac:dyDescent="0.35">
      <c r="A470" s="207">
        <v>906126</v>
      </c>
      <c r="B470" s="196"/>
      <c r="C470" s="208">
        <v>2.2130586000000005</v>
      </c>
      <c r="D470" s="222">
        <v>0.12</v>
      </c>
      <c r="E470" s="222">
        <v>1.95</v>
      </c>
      <c r="F470" s="223">
        <v>0.06</v>
      </c>
      <c r="G470" s="208">
        <v>2.73</v>
      </c>
      <c r="H470" s="223">
        <v>0.25</v>
      </c>
      <c r="I470" s="208">
        <v>14.24</v>
      </c>
      <c r="J470" s="208">
        <v>4.3099999999999996</v>
      </c>
      <c r="K470" s="208">
        <v>44.58</v>
      </c>
      <c r="L470" s="208">
        <v>191.44</v>
      </c>
      <c r="M470" s="208">
        <v>87.12</v>
      </c>
      <c r="N470" s="196"/>
    </row>
    <row r="471" spans="1:14" s="199" customFormat="1" x14ac:dyDescent="0.35">
      <c r="A471" s="207">
        <v>906127</v>
      </c>
      <c r="B471" s="196"/>
      <c r="C471" s="208">
        <v>2.6332596000000001</v>
      </c>
      <c r="D471" s="222">
        <v>0.23</v>
      </c>
      <c r="E471" s="222">
        <v>0.65</v>
      </c>
      <c r="F471" s="223">
        <v>7.0000000000000007E-2</v>
      </c>
      <c r="G471" s="208">
        <v>2.88</v>
      </c>
      <c r="H471" s="223">
        <v>0.34</v>
      </c>
      <c r="I471" s="208">
        <v>58.24</v>
      </c>
      <c r="J471" s="208">
        <v>7</v>
      </c>
      <c r="K471" s="208">
        <v>64.36</v>
      </c>
      <c r="L471" s="208">
        <v>228.76</v>
      </c>
      <c r="M471" s="208">
        <v>64.849999999999994</v>
      </c>
      <c r="N471" s="196"/>
    </row>
    <row r="472" spans="1:14" s="199" customFormat="1" x14ac:dyDescent="0.35">
      <c r="A472" s="207">
        <v>906128</v>
      </c>
      <c r="B472" s="196"/>
      <c r="C472" s="208">
        <v>2.3531256000000003</v>
      </c>
      <c r="D472" s="222">
        <v>0.19</v>
      </c>
      <c r="E472" s="222">
        <v>1.05</v>
      </c>
      <c r="F472" s="223">
        <v>0.08</v>
      </c>
      <c r="G472" s="208">
        <v>2.11</v>
      </c>
      <c r="H472" s="223">
        <v>0.5</v>
      </c>
      <c r="I472" s="208">
        <v>23.1</v>
      </c>
      <c r="J472" s="208">
        <v>7.82</v>
      </c>
      <c r="K472" s="208">
        <v>46.43</v>
      </c>
      <c r="L472" s="208">
        <v>283.12</v>
      </c>
      <c r="M472" s="208">
        <v>52.98</v>
      </c>
      <c r="N472" s="196"/>
    </row>
    <row r="473" spans="1:14" s="199" customFormat="1" x14ac:dyDescent="0.35">
      <c r="A473" s="207">
        <v>906129</v>
      </c>
      <c r="B473" s="196"/>
      <c r="C473" s="208">
        <v>2.7172998000000002</v>
      </c>
      <c r="D473" s="222">
        <v>0.14000000000000001</v>
      </c>
      <c r="E473" s="222">
        <v>0.56000000000000005</v>
      </c>
      <c r="F473" s="223">
        <v>0.1</v>
      </c>
      <c r="G473" s="208">
        <v>4.37</v>
      </c>
      <c r="H473" s="223">
        <v>0.23</v>
      </c>
      <c r="I473" s="208">
        <v>88.69</v>
      </c>
      <c r="J473" s="208">
        <v>15.65</v>
      </c>
      <c r="K473" s="208">
        <v>77.900000000000006</v>
      </c>
      <c r="L473" s="208">
        <v>214.97</v>
      </c>
      <c r="M473" s="208">
        <v>94.3</v>
      </c>
      <c r="N473" s="196"/>
    </row>
    <row r="474" spans="1:14" s="199" customFormat="1" x14ac:dyDescent="0.35">
      <c r="A474" s="207">
        <v>906130</v>
      </c>
      <c r="B474" s="196"/>
      <c r="C474" s="208">
        <v>2.6332596000000001</v>
      </c>
      <c r="D474" s="222">
        <v>0.13</v>
      </c>
      <c r="E474" s="222">
        <v>1.1599999999999999</v>
      </c>
      <c r="F474" s="223">
        <v>0.05</v>
      </c>
      <c r="G474" s="208">
        <v>4.45</v>
      </c>
      <c r="H474" s="223">
        <v>0.3</v>
      </c>
      <c r="I474" s="208">
        <v>26.69</v>
      </c>
      <c r="J474" s="208">
        <v>5.59</v>
      </c>
      <c r="K474" s="208">
        <v>33.47</v>
      </c>
      <c r="L474" s="208">
        <v>161.88999999999999</v>
      </c>
      <c r="M474" s="208">
        <v>86.49</v>
      </c>
      <c r="N474" s="196"/>
    </row>
    <row r="475" spans="1:14" s="199" customFormat="1" x14ac:dyDescent="0.35">
      <c r="A475" s="207">
        <v>906131</v>
      </c>
      <c r="B475" s="196"/>
      <c r="C475" s="208">
        <v>2.5492194000000001</v>
      </c>
      <c r="D475" s="222">
        <v>0.12</v>
      </c>
      <c r="E475" s="222">
        <v>0.43</v>
      </c>
      <c r="F475" s="223">
        <v>7.0000000000000007E-2</v>
      </c>
      <c r="G475" s="208">
        <v>6.2</v>
      </c>
      <c r="H475" s="223">
        <v>0.42</v>
      </c>
      <c r="I475" s="208">
        <v>16.27</v>
      </c>
      <c r="J475" s="208">
        <v>9.08</v>
      </c>
      <c r="K475" s="208">
        <v>23.16</v>
      </c>
      <c r="L475" s="208">
        <v>132.6</v>
      </c>
      <c r="M475" s="208">
        <v>76.3</v>
      </c>
      <c r="N475" s="196"/>
    </row>
    <row r="476" spans="1:14" s="199" customFormat="1" x14ac:dyDescent="0.35">
      <c r="A476" s="207">
        <v>906132</v>
      </c>
      <c r="B476" s="196"/>
      <c r="C476" s="208">
        <v>2.7172998000000002</v>
      </c>
      <c r="D476" s="222">
        <v>0.17</v>
      </c>
      <c r="E476" s="222">
        <v>0.52</v>
      </c>
      <c r="F476" s="223">
        <v>0.1</v>
      </c>
      <c r="G476" s="208">
        <v>3.92</v>
      </c>
      <c r="H476" s="223">
        <v>0.4</v>
      </c>
      <c r="I476" s="208">
        <v>33.74</v>
      </c>
      <c r="J476" s="208">
        <v>36.549999999999997</v>
      </c>
      <c r="K476" s="208">
        <v>45.88</v>
      </c>
      <c r="L476" s="208">
        <v>191.9</v>
      </c>
      <c r="M476" s="208">
        <v>74.150000000000006</v>
      </c>
      <c r="N476" s="196"/>
    </row>
    <row r="477" spans="1:14" s="199" customFormat="1" x14ac:dyDescent="0.35">
      <c r="A477" s="207">
        <v>906133</v>
      </c>
      <c r="B477" s="196"/>
      <c r="C477" s="208">
        <v>2.8293534</v>
      </c>
      <c r="D477" s="222">
        <v>0.12</v>
      </c>
      <c r="E477" s="222">
        <v>0.63</v>
      </c>
      <c r="F477" s="223">
        <v>0.11</v>
      </c>
      <c r="G477" s="208">
        <v>5.18</v>
      </c>
      <c r="H477" s="223">
        <v>0.45</v>
      </c>
      <c r="I477" s="208">
        <v>42.22</v>
      </c>
      <c r="J477" s="208">
        <v>5.92</v>
      </c>
      <c r="K477" s="208">
        <v>45.88</v>
      </c>
      <c r="L477" s="208">
        <v>221.57</v>
      </c>
      <c r="M477" s="208">
        <v>41.78</v>
      </c>
      <c r="N477" s="196"/>
    </row>
    <row r="478" spans="1:14" s="199" customFormat="1" x14ac:dyDescent="0.35">
      <c r="A478" s="207">
        <v>906084</v>
      </c>
      <c r="B478" s="222"/>
      <c r="C478" s="208">
        <v>1.6527905999999999</v>
      </c>
      <c r="D478" s="222">
        <v>0.16</v>
      </c>
      <c r="E478" s="222">
        <v>1.82</v>
      </c>
      <c r="F478" s="222">
        <v>0.05</v>
      </c>
      <c r="G478" s="222">
        <v>3.27</v>
      </c>
      <c r="H478" s="222">
        <v>0.28000000000000003</v>
      </c>
      <c r="I478" s="208">
        <v>72.44</v>
      </c>
      <c r="J478" s="208">
        <v>8.5399999999999991</v>
      </c>
      <c r="K478" s="208">
        <v>110.17</v>
      </c>
      <c r="L478" s="208">
        <v>147.22</v>
      </c>
      <c r="M478" s="208">
        <v>88.68</v>
      </c>
      <c r="N478" s="196"/>
    </row>
    <row r="479" spans="1:14" s="199" customFormat="1" x14ac:dyDescent="0.35">
      <c r="A479" s="207">
        <v>906085</v>
      </c>
      <c r="B479" s="222"/>
      <c r="C479" s="208">
        <v>2.1290184000000001</v>
      </c>
      <c r="D479" s="222">
        <v>0.13</v>
      </c>
      <c r="E479" s="222">
        <v>0.63</v>
      </c>
      <c r="F479" s="222">
        <v>0.05</v>
      </c>
      <c r="G479" s="222">
        <v>6.1</v>
      </c>
      <c r="H479" s="222">
        <v>0.35</v>
      </c>
      <c r="I479" s="208">
        <v>31.89</v>
      </c>
      <c r="J479" s="208">
        <v>7.93</v>
      </c>
      <c r="K479" s="208">
        <v>51.06</v>
      </c>
      <c r="L479" s="208">
        <v>112.3</v>
      </c>
      <c r="M479" s="208">
        <v>140.81</v>
      </c>
      <c r="N479" s="196"/>
    </row>
    <row r="480" spans="1:14" s="199" customFormat="1" x14ac:dyDescent="0.35">
      <c r="A480" s="207">
        <v>906086</v>
      </c>
      <c r="B480" s="222"/>
      <c r="C480" s="208">
        <v>2.0169648000000002</v>
      </c>
      <c r="D480" s="222">
        <v>0.12</v>
      </c>
      <c r="E480" s="222">
        <v>1.35</v>
      </c>
      <c r="F480" s="222">
        <v>0.05</v>
      </c>
      <c r="G480" s="222">
        <v>5.68</v>
      </c>
      <c r="H480" s="222">
        <v>0.26</v>
      </c>
      <c r="I480" s="208">
        <v>35.97</v>
      </c>
      <c r="J480" s="208">
        <v>10.64</v>
      </c>
      <c r="K480" s="208">
        <v>57.38</v>
      </c>
      <c r="L480" s="208">
        <v>140.62</v>
      </c>
      <c r="M480" s="208">
        <v>73.64</v>
      </c>
      <c r="N480" s="196"/>
    </row>
    <row r="481" spans="1:14" s="199" customFormat="1" x14ac:dyDescent="0.35">
      <c r="A481" s="207">
        <v>906087</v>
      </c>
      <c r="B481" s="222"/>
      <c r="C481" s="208">
        <v>1.9889514000000001</v>
      </c>
      <c r="D481" s="222">
        <v>0.13</v>
      </c>
      <c r="E481" s="222">
        <v>1.02</v>
      </c>
      <c r="F481" s="222">
        <v>0.03</v>
      </c>
      <c r="G481" s="222">
        <v>5.47</v>
      </c>
      <c r="H481" s="222">
        <v>0.45</v>
      </c>
      <c r="I481" s="208">
        <v>79.02</v>
      </c>
      <c r="J481" s="208">
        <v>5.65</v>
      </c>
      <c r="K481" s="208">
        <v>104.1</v>
      </c>
      <c r="L481" s="208">
        <v>175.99</v>
      </c>
      <c r="M481" s="208">
        <v>228.12</v>
      </c>
      <c r="N481" s="196"/>
    </row>
    <row r="482" spans="1:14" s="199" customFormat="1" x14ac:dyDescent="0.35">
      <c r="A482" s="207">
        <v>906088</v>
      </c>
      <c r="B482" s="222"/>
      <c r="C482" s="208">
        <v>2.1850452000000002</v>
      </c>
      <c r="D482" s="222">
        <v>0.13</v>
      </c>
      <c r="E482" s="222">
        <v>1.82</v>
      </c>
      <c r="F482" s="222">
        <v>0.04</v>
      </c>
      <c r="G482" s="222">
        <v>3.24</v>
      </c>
      <c r="H482" s="222">
        <v>0.23</v>
      </c>
      <c r="I482" s="208">
        <v>63.15</v>
      </c>
      <c r="J482" s="208">
        <v>2.11</v>
      </c>
      <c r="K482" s="208">
        <v>108.18</v>
      </c>
      <c r="L482" s="208">
        <v>179.63</v>
      </c>
      <c r="M482" s="208">
        <v>88.96</v>
      </c>
      <c r="N482" s="196"/>
    </row>
    <row r="483" spans="1:14" s="199" customFormat="1" x14ac:dyDescent="0.35">
      <c r="A483" s="207">
        <v>906089</v>
      </c>
      <c r="B483" s="222"/>
      <c r="C483" s="208">
        <v>1.9889514000000001</v>
      </c>
      <c r="D483" s="222">
        <v>0.13</v>
      </c>
      <c r="E483" s="222">
        <v>0.95</v>
      </c>
      <c r="F483" s="222">
        <v>0.03</v>
      </c>
      <c r="G483" s="222">
        <v>5.46</v>
      </c>
      <c r="H483" s="222">
        <v>0.4</v>
      </c>
      <c r="I483" s="208">
        <v>80.39</v>
      </c>
      <c r="J483" s="208">
        <v>6.57</v>
      </c>
      <c r="K483" s="208">
        <v>119.87</v>
      </c>
      <c r="L483" s="208">
        <v>157.13</v>
      </c>
      <c r="M483" s="208">
        <v>147.79</v>
      </c>
      <c r="N483" s="196"/>
    </row>
    <row r="484" spans="1:14" s="199" customFormat="1" x14ac:dyDescent="0.35">
      <c r="A484" s="207">
        <v>906090</v>
      </c>
      <c r="B484" s="222"/>
      <c r="C484" s="208">
        <v>2.4091524000000009</v>
      </c>
      <c r="D484" s="222">
        <v>0.15</v>
      </c>
      <c r="E484" s="222">
        <v>1.22</v>
      </c>
      <c r="F484" s="222">
        <v>0.04</v>
      </c>
      <c r="G484" s="222">
        <v>5.44</v>
      </c>
      <c r="H484" s="222">
        <v>0.32</v>
      </c>
      <c r="I484" s="208">
        <v>8.16</v>
      </c>
      <c r="J484" s="208">
        <v>8.48</v>
      </c>
      <c r="K484" s="208">
        <v>18.52</v>
      </c>
      <c r="L484" s="208">
        <v>124.83</v>
      </c>
      <c r="M484" s="208">
        <v>59.5</v>
      </c>
      <c r="N484" s="196"/>
    </row>
    <row r="485" spans="1:14" s="199" customFormat="1" x14ac:dyDescent="0.35">
      <c r="A485" s="207">
        <v>906091</v>
      </c>
      <c r="B485" s="222"/>
      <c r="C485" s="208">
        <v>2.4651792000000006</v>
      </c>
      <c r="D485" s="222">
        <v>0.13</v>
      </c>
      <c r="E485" s="222">
        <v>0.78</v>
      </c>
      <c r="F485" s="222">
        <v>0.05</v>
      </c>
      <c r="G485" s="222">
        <v>5.6</v>
      </c>
      <c r="H485" s="222">
        <v>0.24</v>
      </c>
      <c r="I485" s="208">
        <v>13.99</v>
      </c>
      <c r="J485" s="208">
        <v>5.48</v>
      </c>
      <c r="K485" s="208">
        <v>19.97</v>
      </c>
      <c r="L485" s="208">
        <v>170.96</v>
      </c>
      <c r="M485" s="208">
        <v>46.37</v>
      </c>
      <c r="N485" s="196"/>
    </row>
    <row r="486" spans="1:14" s="199" customFormat="1" x14ac:dyDescent="0.35">
      <c r="A486" s="207">
        <v>906092</v>
      </c>
      <c r="B486" s="222"/>
      <c r="C486" s="208">
        <v>2.6892864000000003</v>
      </c>
      <c r="D486" s="222">
        <v>0.16</v>
      </c>
      <c r="E486" s="222">
        <v>2.96</v>
      </c>
      <c r="F486" s="222">
        <v>0.03</v>
      </c>
      <c r="G486" s="222">
        <v>1.27</v>
      </c>
      <c r="H486" s="222">
        <v>0.35</v>
      </c>
      <c r="I486" s="208">
        <v>16.87</v>
      </c>
      <c r="J486" s="208">
        <v>4.67</v>
      </c>
      <c r="K486" s="208">
        <v>306.68</v>
      </c>
      <c r="L486" s="208">
        <v>97.82</v>
      </c>
      <c r="M486" s="208">
        <v>61.57</v>
      </c>
      <c r="N486" s="196"/>
    </row>
    <row r="487" spans="1:14" s="199" customFormat="1" x14ac:dyDescent="0.35">
      <c r="A487" s="207">
        <v>906134</v>
      </c>
      <c r="B487" s="196"/>
      <c r="C487" s="223">
        <v>2.7733266000000003</v>
      </c>
      <c r="D487" s="223">
        <v>0.18</v>
      </c>
      <c r="E487" s="223">
        <v>1.07</v>
      </c>
      <c r="F487" s="223">
        <v>0.02</v>
      </c>
      <c r="G487" s="223">
        <v>1.63</v>
      </c>
      <c r="H487" s="223">
        <v>0.36</v>
      </c>
      <c r="I487" s="208">
        <v>22.03</v>
      </c>
      <c r="J487" s="208">
        <v>287.68</v>
      </c>
      <c r="K487" s="208">
        <v>90.35</v>
      </c>
      <c r="L487" s="208">
        <v>124.14</v>
      </c>
      <c r="M487" s="208">
        <v>17.61</v>
      </c>
      <c r="N487" s="196"/>
    </row>
    <row r="488" spans="1:14" s="199" customFormat="1" x14ac:dyDescent="0.35">
      <c r="A488" s="207">
        <v>906135</v>
      </c>
      <c r="B488" s="196"/>
      <c r="C488" s="223">
        <v>2.6332596000000001</v>
      </c>
      <c r="D488" s="223">
        <v>0.15</v>
      </c>
      <c r="E488" s="223">
        <v>1.3</v>
      </c>
      <c r="F488" s="223">
        <v>0.02</v>
      </c>
      <c r="G488" s="223">
        <v>1.65</v>
      </c>
      <c r="H488" s="223">
        <v>0.34</v>
      </c>
      <c r="I488" s="208">
        <v>18.649999999999999</v>
      </c>
      <c r="J488" s="208">
        <v>136.29</v>
      </c>
      <c r="K488" s="208">
        <v>61.05</v>
      </c>
      <c r="L488" s="208">
        <v>87.31</v>
      </c>
      <c r="M488" s="208">
        <v>14.18</v>
      </c>
      <c r="N488" s="196"/>
    </row>
    <row r="489" spans="1:14" s="199" customFormat="1" x14ac:dyDescent="0.35">
      <c r="A489" s="207">
        <v>906136</v>
      </c>
      <c r="B489" s="196"/>
      <c r="C489" s="223">
        <v>2.7733266000000003</v>
      </c>
      <c r="D489" s="223">
        <v>0.16</v>
      </c>
      <c r="E489" s="223">
        <v>1.05</v>
      </c>
      <c r="F489" s="223">
        <v>0.05</v>
      </c>
      <c r="G489" s="223">
        <v>1.75</v>
      </c>
      <c r="H489" s="223">
        <v>0.35</v>
      </c>
      <c r="I489" s="208">
        <v>19.399999999999999</v>
      </c>
      <c r="J489" s="208">
        <v>176.58</v>
      </c>
      <c r="K489" s="208">
        <v>87.34</v>
      </c>
      <c r="L489" s="208">
        <v>96.17</v>
      </c>
      <c r="M489" s="208">
        <v>12.41</v>
      </c>
      <c r="N489" s="196"/>
    </row>
    <row r="490" spans="1:14" s="199" customFormat="1" x14ac:dyDescent="0.35">
      <c r="A490" s="207">
        <v>906137</v>
      </c>
      <c r="B490" s="196"/>
      <c r="C490" s="223">
        <v>2.7172998000000002</v>
      </c>
      <c r="D490" s="223">
        <v>0.16</v>
      </c>
      <c r="E490" s="223">
        <v>0.8</v>
      </c>
      <c r="F490" s="223">
        <v>0.02</v>
      </c>
      <c r="G490" s="223">
        <v>1.91</v>
      </c>
      <c r="H490" s="223">
        <v>0.46</v>
      </c>
      <c r="I490" s="208">
        <v>24.9</v>
      </c>
      <c r="J490" s="208">
        <v>245.86</v>
      </c>
      <c r="K490" s="208">
        <v>34.75</v>
      </c>
      <c r="L490" s="208">
        <v>123.29</v>
      </c>
      <c r="M490" s="208">
        <v>14.87</v>
      </c>
      <c r="N490" s="196"/>
    </row>
    <row r="491" spans="1:14" s="199" customFormat="1" x14ac:dyDescent="0.35">
      <c r="A491" s="207">
        <v>906138</v>
      </c>
      <c r="B491" s="196"/>
      <c r="C491" s="200">
        <v>2.2130586000000005</v>
      </c>
      <c r="D491" s="196">
        <v>0.14000000000000001</v>
      </c>
      <c r="E491" s="196">
        <v>0.82</v>
      </c>
      <c r="F491" s="196">
        <v>0.14000000000000001</v>
      </c>
      <c r="G491" s="196">
        <v>5.34</v>
      </c>
      <c r="H491" s="196">
        <v>0.63</v>
      </c>
      <c r="I491" s="203">
        <v>47.98</v>
      </c>
      <c r="J491" s="203">
        <v>8.09</v>
      </c>
      <c r="K491" s="203">
        <v>73.45</v>
      </c>
      <c r="L491" s="203">
        <v>233.51</v>
      </c>
      <c r="M491" s="203">
        <v>166.08</v>
      </c>
      <c r="N491" s="196"/>
    </row>
    <row r="492" spans="1:14" s="199" customFormat="1" x14ac:dyDescent="0.35">
      <c r="A492" s="207">
        <v>906139</v>
      </c>
      <c r="B492" s="196"/>
      <c r="C492" s="200">
        <v>2.5492194000000001</v>
      </c>
      <c r="D492" s="196">
        <v>0.13</v>
      </c>
      <c r="E492" s="196">
        <v>1.8</v>
      </c>
      <c r="F492" s="196">
        <v>7.0000000000000007E-2</v>
      </c>
      <c r="G492" s="196">
        <v>3.11</v>
      </c>
      <c r="H492" s="196">
        <v>0.35</v>
      </c>
      <c r="I492" s="203">
        <v>15.28</v>
      </c>
      <c r="J492" s="203">
        <v>3.83</v>
      </c>
      <c r="K492" s="203">
        <v>24.93</v>
      </c>
      <c r="L492" s="203">
        <v>262.69</v>
      </c>
      <c r="M492" s="203">
        <v>93.97</v>
      </c>
      <c r="N492" s="196"/>
    </row>
    <row r="493" spans="1:14" s="199" customFormat="1" x14ac:dyDescent="0.35">
      <c r="A493" s="207">
        <v>906140</v>
      </c>
      <c r="B493" s="196"/>
      <c r="C493" s="200">
        <v>2.4091524</v>
      </c>
      <c r="D493" s="196">
        <v>0.15</v>
      </c>
      <c r="E493" s="196">
        <v>1.1599999999999999</v>
      </c>
      <c r="F493" s="196">
        <v>0.09</v>
      </c>
      <c r="G493" s="196">
        <v>4.25</v>
      </c>
      <c r="H493" s="196">
        <v>0.47</v>
      </c>
      <c r="I493" s="203">
        <v>13.69</v>
      </c>
      <c r="J493" s="203">
        <v>5.45</v>
      </c>
      <c r="K493" s="203">
        <v>19.47</v>
      </c>
      <c r="L493" s="203">
        <v>245.97</v>
      </c>
      <c r="M493" s="203">
        <v>86.85</v>
      </c>
      <c r="N493" s="196"/>
    </row>
    <row r="494" spans="1:14" s="199" customFormat="1" x14ac:dyDescent="0.35">
      <c r="A494" s="207">
        <v>906141</v>
      </c>
      <c r="B494" s="196"/>
      <c r="C494" s="200">
        <v>1.6527906000000001</v>
      </c>
      <c r="D494" s="196">
        <v>0.18</v>
      </c>
      <c r="E494" s="196">
        <v>1.1200000000000001</v>
      </c>
      <c r="F494" s="196">
        <v>0.09</v>
      </c>
      <c r="G494" s="196">
        <v>4.62</v>
      </c>
      <c r="H494" s="196">
        <v>0.37</v>
      </c>
      <c r="I494" s="203">
        <v>17.32</v>
      </c>
      <c r="J494" s="203">
        <v>4.9400000000000004</v>
      </c>
      <c r="K494" s="203">
        <v>38.56</v>
      </c>
      <c r="L494" s="203">
        <v>297.33999999999997</v>
      </c>
      <c r="M494" s="203">
        <v>74.47</v>
      </c>
      <c r="N494" s="196"/>
    </row>
    <row r="495" spans="1:14" s="199" customFormat="1" x14ac:dyDescent="0.35">
      <c r="A495" s="207">
        <v>906142</v>
      </c>
      <c r="B495" s="196"/>
      <c r="C495" s="200">
        <v>2.1570317999999999</v>
      </c>
      <c r="D495" s="196">
        <v>0.14000000000000001</v>
      </c>
      <c r="E495" s="196">
        <v>1.47</v>
      </c>
      <c r="F495" s="196">
        <v>0.09</v>
      </c>
      <c r="G495" s="196">
        <v>2.54</v>
      </c>
      <c r="H495" s="196">
        <v>0.53</v>
      </c>
      <c r="I495" s="203">
        <v>30.96</v>
      </c>
      <c r="J495" s="203">
        <v>4.1500000000000004</v>
      </c>
      <c r="K495" s="203">
        <v>59.94</v>
      </c>
      <c r="L495" s="203">
        <v>265.02</v>
      </c>
      <c r="M495" s="203">
        <v>93.46</v>
      </c>
      <c r="N495" s="196"/>
    </row>
    <row r="496" spans="1:14" s="199" customFormat="1" x14ac:dyDescent="0.35">
      <c r="A496" s="207">
        <v>906143</v>
      </c>
      <c r="B496" s="196"/>
      <c r="C496" s="200">
        <v>2.7733266000000003</v>
      </c>
      <c r="D496" s="196">
        <v>0.12</v>
      </c>
      <c r="E496" s="196">
        <v>1.18</v>
      </c>
      <c r="F496" s="196">
        <v>0.03</v>
      </c>
      <c r="G496" s="196">
        <v>0.95</v>
      </c>
      <c r="H496" s="196">
        <v>0.17</v>
      </c>
      <c r="I496" s="203">
        <v>24.31</v>
      </c>
      <c r="J496" s="203">
        <v>4.46</v>
      </c>
      <c r="K496" s="203">
        <v>24.31</v>
      </c>
      <c r="L496" s="203">
        <v>61.68</v>
      </c>
      <c r="M496" s="203">
        <v>34.92</v>
      </c>
      <c r="N496" s="196"/>
    </row>
    <row r="497" spans="1:14" s="199" customFormat="1" x14ac:dyDescent="0.35">
      <c r="A497" s="207">
        <v>906144</v>
      </c>
      <c r="B497" s="196"/>
      <c r="C497" s="200">
        <v>2.3811390000000001</v>
      </c>
      <c r="D497" s="196">
        <v>0.24</v>
      </c>
      <c r="E497" s="196">
        <v>2.38</v>
      </c>
      <c r="F497" s="196">
        <v>0.05</v>
      </c>
      <c r="G497" s="196">
        <v>2.37</v>
      </c>
      <c r="H497" s="196">
        <v>0.32</v>
      </c>
      <c r="I497" s="203">
        <v>64.239999999999995</v>
      </c>
      <c r="J497" s="203">
        <v>8.39</v>
      </c>
      <c r="K497" s="203">
        <v>57.42</v>
      </c>
      <c r="L497" s="203">
        <v>128.28</v>
      </c>
      <c r="M497" s="203">
        <v>56.71</v>
      </c>
      <c r="N497" s="196"/>
    </row>
    <row r="498" spans="1:14" s="199" customFormat="1" x14ac:dyDescent="0.35">
      <c r="A498" s="207">
        <v>906145</v>
      </c>
      <c r="B498" s="196"/>
      <c r="C498" s="200">
        <v>2.1570317999999999</v>
      </c>
      <c r="D498" s="196">
        <v>0.17</v>
      </c>
      <c r="E498" s="196">
        <v>2.1</v>
      </c>
      <c r="F498" s="196">
        <v>0.06</v>
      </c>
      <c r="G498" s="196">
        <v>2.36</v>
      </c>
      <c r="H498" s="196">
        <v>0.24</v>
      </c>
      <c r="I498" s="203">
        <v>67.86</v>
      </c>
      <c r="J498" s="203">
        <v>8.56</v>
      </c>
      <c r="K498" s="203">
        <v>62.53</v>
      </c>
      <c r="L498" s="203">
        <v>198.28</v>
      </c>
      <c r="M498" s="203">
        <v>55.39</v>
      </c>
      <c r="N498" s="196"/>
    </row>
    <row r="499" spans="1:14" s="199" customFormat="1" x14ac:dyDescent="0.35">
      <c r="A499" s="207">
        <v>906146</v>
      </c>
      <c r="B499" s="196"/>
      <c r="C499" s="200">
        <v>2.0449782000000001</v>
      </c>
      <c r="D499" s="196">
        <v>0.12</v>
      </c>
      <c r="E499" s="196">
        <v>1.53</v>
      </c>
      <c r="F499" s="196">
        <v>7.0000000000000007E-2</v>
      </c>
      <c r="G499" s="196">
        <v>4.1500000000000004</v>
      </c>
      <c r="H499" s="196">
        <v>0.38</v>
      </c>
      <c r="I499" s="203">
        <v>42.53</v>
      </c>
      <c r="J499" s="203">
        <v>1.1499999999999999</v>
      </c>
      <c r="K499" s="203">
        <v>87.78</v>
      </c>
      <c r="L499" s="203">
        <v>200.92</v>
      </c>
      <c r="M499" s="203">
        <v>113.1</v>
      </c>
      <c r="N499" s="196"/>
    </row>
    <row r="500" spans="1:14" s="199" customFormat="1" x14ac:dyDescent="0.35">
      <c r="A500" s="207">
        <v>906147</v>
      </c>
      <c r="B500" s="196"/>
      <c r="C500" s="200">
        <v>1.8768978000000001</v>
      </c>
      <c r="D500" s="196">
        <v>0.1</v>
      </c>
      <c r="E500" s="196">
        <v>0.85</v>
      </c>
      <c r="F500" s="196">
        <v>0.1</v>
      </c>
      <c r="G500" s="196">
        <v>4.82</v>
      </c>
      <c r="H500" s="196">
        <v>0.49</v>
      </c>
      <c r="I500" s="203">
        <v>10.74</v>
      </c>
      <c r="J500" s="203">
        <v>7.63</v>
      </c>
      <c r="K500" s="203">
        <v>17.899999999999999</v>
      </c>
      <c r="L500" s="203">
        <v>189.43</v>
      </c>
      <c r="M500" s="203">
        <v>149.84</v>
      </c>
      <c r="N500" s="196"/>
    </row>
    <row r="501" spans="1:14" s="199" customFormat="1" x14ac:dyDescent="0.35">
      <c r="A501" s="207">
        <v>906148</v>
      </c>
      <c r="B501" s="196"/>
      <c r="C501" s="200">
        <v>1.9329246000000002</v>
      </c>
      <c r="D501" s="196">
        <v>0.28000000000000003</v>
      </c>
      <c r="E501" s="196">
        <v>1.02</v>
      </c>
      <c r="F501" s="196">
        <v>0.17</v>
      </c>
      <c r="G501" s="196">
        <v>3.51</v>
      </c>
      <c r="H501" s="196">
        <v>0.38</v>
      </c>
      <c r="I501" s="203">
        <v>15.73</v>
      </c>
      <c r="J501" s="203">
        <v>9.27</v>
      </c>
      <c r="K501" s="203">
        <v>20.9</v>
      </c>
      <c r="L501" s="203">
        <v>354.2</v>
      </c>
      <c r="M501" s="203">
        <v>98.38</v>
      </c>
      <c r="N501" s="196"/>
    </row>
    <row r="502" spans="1:14" s="199" customFormat="1" x14ac:dyDescent="0.35">
      <c r="A502" s="207">
        <v>906149</v>
      </c>
      <c r="B502" s="196"/>
      <c r="C502" s="200">
        <v>2.2970988000000006</v>
      </c>
      <c r="D502" s="196">
        <v>0.1</v>
      </c>
      <c r="E502" s="196">
        <v>1.08</v>
      </c>
      <c r="F502" s="196">
        <v>0.09</v>
      </c>
      <c r="G502" s="196">
        <v>5.0199999999999996</v>
      </c>
      <c r="H502" s="196">
        <v>0.43</v>
      </c>
      <c r="I502" s="203">
        <v>9.5299999999999994</v>
      </c>
      <c r="J502" s="203">
        <v>7.64</v>
      </c>
      <c r="K502" s="203">
        <v>22.33</v>
      </c>
      <c r="L502" s="203">
        <v>197.49</v>
      </c>
      <c r="M502" s="203">
        <v>145.61000000000001</v>
      </c>
      <c r="N502" s="196"/>
    </row>
    <row r="503" spans="1:14" s="199" customFormat="1" x14ac:dyDescent="0.35">
      <c r="A503" s="207">
        <v>906150</v>
      </c>
      <c r="B503" s="196"/>
      <c r="C503" s="200">
        <v>2.2690854000000003</v>
      </c>
      <c r="D503" s="196">
        <v>0.13</v>
      </c>
      <c r="E503" s="196">
        <v>1.48</v>
      </c>
      <c r="F503" s="196">
        <v>0.08</v>
      </c>
      <c r="G503" s="196">
        <v>4.3</v>
      </c>
      <c r="H503" s="196">
        <v>0.49</v>
      </c>
      <c r="I503" s="203">
        <v>24.6</v>
      </c>
      <c r="J503" s="203">
        <v>5.5</v>
      </c>
      <c r="K503" s="203">
        <v>54.07</v>
      </c>
      <c r="L503" s="203">
        <v>174.91</v>
      </c>
      <c r="M503" s="203">
        <v>232.43</v>
      </c>
      <c r="N503" s="196"/>
    </row>
    <row r="504" spans="1:14" s="199" customFormat="1" x14ac:dyDescent="0.35">
      <c r="A504" s="207">
        <v>906151</v>
      </c>
      <c r="B504" s="196"/>
      <c r="C504" s="200">
        <v>1.7928576000000003</v>
      </c>
      <c r="D504" s="196">
        <v>0.13</v>
      </c>
      <c r="E504" s="196">
        <v>1.38</v>
      </c>
      <c r="F504" s="196">
        <v>7.0000000000000007E-2</v>
      </c>
      <c r="G504" s="196">
        <v>3.39</v>
      </c>
      <c r="H504" s="196">
        <v>0.45</v>
      </c>
      <c r="I504" s="203">
        <v>23.91</v>
      </c>
      <c r="J504" s="203">
        <v>1.7</v>
      </c>
      <c r="K504" s="203">
        <v>23.76</v>
      </c>
      <c r="L504" s="203">
        <v>152.09</v>
      </c>
      <c r="M504" s="203">
        <v>84.25</v>
      </c>
      <c r="N504" s="196"/>
    </row>
    <row r="505" spans="1:14" s="199" customFormat="1" x14ac:dyDescent="0.35">
      <c r="A505" s="207">
        <v>906152</v>
      </c>
      <c r="B505" s="196"/>
      <c r="C505" s="200">
        <v>2.3251122000000004</v>
      </c>
      <c r="D505" s="196">
        <v>0.15</v>
      </c>
      <c r="E505" s="196">
        <v>1.03</v>
      </c>
      <c r="F505" s="196">
        <v>0.09</v>
      </c>
      <c r="G505" s="196">
        <v>2.39</v>
      </c>
      <c r="H505" s="196">
        <v>0.49</v>
      </c>
      <c r="I505" s="203">
        <v>15.09</v>
      </c>
      <c r="J505" s="203">
        <v>2.33</v>
      </c>
      <c r="K505" s="203">
        <v>37.89</v>
      </c>
      <c r="L505" s="203">
        <v>189.01</v>
      </c>
      <c r="M505" s="203">
        <v>65.52</v>
      </c>
      <c r="N505" s="196"/>
    </row>
    <row r="506" spans="1:14" s="199" customFormat="1" x14ac:dyDescent="0.35">
      <c r="A506" s="207">
        <v>906153</v>
      </c>
      <c r="B506" s="196"/>
      <c r="C506" s="200">
        <v>2.0449782000000001</v>
      </c>
      <c r="D506" s="196">
        <v>0.22</v>
      </c>
      <c r="E506" s="196">
        <v>0.79</v>
      </c>
      <c r="F506" s="196">
        <v>0.18</v>
      </c>
      <c r="G506" s="196">
        <v>1.72</v>
      </c>
      <c r="H506" s="196">
        <v>0.41</v>
      </c>
      <c r="I506" s="203">
        <v>39.47</v>
      </c>
      <c r="J506" s="203">
        <v>5.16</v>
      </c>
      <c r="K506" s="203">
        <v>34.83</v>
      </c>
      <c r="L506" s="203">
        <v>320.39</v>
      </c>
      <c r="M506" s="203">
        <v>56.14</v>
      </c>
      <c r="N506" s="196"/>
    </row>
    <row r="507" spans="1:14" s="199" customFormat="1" x14ac:dyDescent="0.35">
      <c r="A507" s="207">
        <v>906154</v>
      </c>
      <c r="B507" s="196"/>
      <c r="C507" s="200">
        <v>2.0729916000000004</v>
      </c>
      <c r="D507" s="196">
        <v>0.13</v>
      </c>
      <c r="E507" s="196">
        <v>1.63</v>
      </c>
      <c r="F507" s="196">
        <v>7.0000000000000007E-2</v>
      </c>
      <c r="G507" s="196">
        <v>3.39</v>
      </c>
      <c r="H507" s="196">
        <v>0.6</v>
      </c>
      <c r="I507" s="203">
        <v>34.58</v>
      </c>
      <c r="J507" s="203">
        <v>4.5999999999999996</v>
      </c>
      <c r="K507" s="203">
        <v>65.62</v>
      </c>
      <c r="L507" s="203">
        <v>177.14</v>
      </c>
      <c r="M507" s="203">
        <v>215.53</v>
      </c>
      <c r="N507" s="196"/>
    </row>
    <row r="508" spans="1:14" s="199" customFormat="1" x14ac:dyDescent="0.35">
      <c r="A508" s="207">
        <v>906155</v>
      </c>
      <c r="B508" s="196"/>
      <c r="C508" s="200">
        <v>1.7928576000000003</v>
      </c>
      <c r="D508" s="196">
        <v>0.13</v>
      </c>
      <c r="E508" s="196">
        <v>1.94</v>
      </c>
      <c r="F508" s="196">
        <v>0.06</v>
      </c>
      <c r="G508" s="196">
        <v>3.24</v>
      </c>
      <c r="H508" s="196">
        <v>0.35</v>
      </c>
      <c r="I508" s="203">
        <v>41.46</v>
      </c>
      <c r="J508" s="203">
        <v>7.24</v>
      </c>
      <c r="K508" s="203">
        <v>103.3</v>
      </c>
      <c r="L508" s="203">
        <v>312.39999999999998</v>
      </c>
      <c r="M508" s="203">
        <v>75.3</v>
      </c>
      <c r="N508" s="196"/>
    </row>
    <row r="509" spans="1:14" s="199" customFormat="1" x14ac:dyDescent="0.35">
      <c r="A509" s="207">
        <v>906156</v>
      </c>
      <c r="B509" s="196"/>
      <c r="C509" s="200">
        <v>2.7453132000000009</v>
      </c>
      <c r="D509" s="196">
        <v>0.22</v>
      </c>
      <c r="E509" s="196">
        <v>1.92</v>
      </c>
      <c r="F509" s="196">
        <v>0.15</v>
      </c>
      <c r="G509" s="196">
        <v>4.13</v>
      </c>
      <c r="H509" s="196">
        <v>0.28000000000000003</v>
      </c>
      <c r="I509" s="203">
        <v>18.71</v>
      </c>
      <c r="J509" s="203">
        <v>8.01</v>
      </c>
      <c r="K509" s="203">
        <v>35.840000000000003</v>
      </c>
      <c r="L509" s="203">
        <v>286.37</v>
      </c>
      <c r="M509" s="203">
        <v>130.55000000000001</v>
      </c>
      <c r="N509" s="196"/>
    </row>
    <row r="510" spans="1:14" s="199" customFormat="1" x14ac:dyDescent="0.35">
      <c r="A510" s="207">
        <v>906157</v>
      </c>
      <c r="B510" s="196"/>
      <c r="C510" s="200">
        <v>2.4651792000000006</v>
      </c>
      <c r="D510" s="196">
        <v>0.18</v>
      </c>
      <c r="E510" s="196">
        <v>1.47</v>
      </c>
      <c r="F510" s="196">
        <v>0.12</v>
      </c>
      <c r="G510" s="196">
        <v>4.1900000000000004</v>
      </c>
      <c r="H510" s="196">
        <v>0.41</v>
      </c>
      <c r="I510" s="203">
        <v>9.19</v>
      </c>
      <c r="J510" s="203">
        <v>4</v>
      </c>
      <c r="K510" s="203">
        <v>36.950000000000003</v>
      </c>
      <c r="L510" s="203">
        <v>230.62</v>
      </c>
      <c r="M510" s="203">
        <v>158.63</v>
      </c>
      <c r="N510" s="196"/>
    </row>
    <row r="511" spans="1:14" s="199" customFormat="1" x14ac:dyDescent="0.35">
      <c r="A511" s="207">
        <v>906158</v>
      </c>
      <c r="B511" s="196"/>
      <c r="C511" s="200">
        <v>2.1010050000000002</v>
      </c>
      <c r="D511" s="196">
        <v>0.13</v>
      </c>
      <c r="E511" s="196">
        <v>1.1599999999999999</v>
      </c>
      <c r="F511" s="196">
        <v>0.08</v>
      </c>
      <c r="G511" s="196">
        <v>7.07</v>
      </c>
      <c r="H511" s="196">
        <v>0.42</v>
      </c>
      <c r="I511" s="203">
        <v>24.14</v>
      </c>
      <c r="J511" s="203">
        <v>3.75</v>
      </c>
      <c r="K511" s="203">
        <v>48.54</v>
      </c>
      <c r="L511" s="203">
        <v>136.97999999999999</v>
      </c>
      <c r="M511" s="203">
        <v>138.69</v>
      </c>
      <c r="N511" s="196"/>
    </row>
    <row r="512" spans="1:14" s="199" customFormat="1" x14ac:dyDescent="0.35">
      <c r="A512" s="207">
        <v>906159</v>
      </c>
      <c r="B512" s="196"/>
      <c r="C512" s="200">
        <v>2.2970988000000006</v>
      </c>
      <c r="D512" s="196">
        <v>0.13</v>
      </c>
      <c r="E512" s="196">
        <v>1.39</v>
      </c>
      <c r="F512" s="196">
        <v>0.08</v>
      </c>
      <c r="G512" s="196">
        <v>4.37</v>
      </c>
      <c r="H512" s="196">
        <v>0.36</v>
      </c>
      <c r="I512" s="203">
        <v>44.66</v>
      </c>
      <c r="J512" s="203">
        <v>1.57</v>
      </c>
      <c r="K512" s="203">
        <v>34.33</v>
      </c>
      <c r="L512" s="203">
        <v>179.72</v>
      </c>
      <c r="M512" s="203">
        <v>79.739999999999995</v>
      </c>
      <c r="N512" s="196"/>
    </row>
    <row r="513" spans="1:14" s="199" customFormat="1" x14ac:dyDescent="0.35">
      <c r="A513" s="195">
        <v>906160</v>
      </c>
      <c r="B513" s="196"/>
      <c r="C513" s="203">
        <v>3.8658492000000004</v>
      </c>
      <c r="D513" s="196">
        <v>0.27</v>
      </c>
      <c r="E513" s="200">
        <v>2</v>
      </c>
      <c r="F513" s="196">
        <v>0.03</v>
      </c>
      <c r="G513" s="196">
        <v>1.33</v>
      </c>
      <c r="H513" s="196">
        <v>0.37</v>
      </c>
      <c r="I513" s="203">
        <v>30.61</v>
      </c>
      <c r="J513" s="203">
        <v>7.36</v>
      </c>
      <c r="K513" s="203">
        <v>147.56</v>
      </c>
      <c r="L513" s="203">
        <v>134.02000000000001</v>
      </c>
      <c r="M513" s="203">
        <v>50.12</v>
      </c>
      <c r="N513" s="196"/>
    </row>
    <row r="514" spans="1:14" s="199" customFormat="1" x14ac:dyDescent="0.35">
      <c r="A514" s="195">
        <v>906161</v>
      </c>
      <c r="B514" s="196"/>
      <c r="C514" s="203">
        <v>4.2860502</v>
      </c>
      <c r="D514" s="196">
        <v>0.3</v>
      </c>
      <c r="E514" s="200">
        <v>2.09</v>
      </c>
      <c r="F514" s="196">
        <v>0.06</v>
      </c>
      <c r="G514" s="196">
        <v>4.22</v>
      </c>
      <c r="H514" s="196">
        <v>0.76</v>
      </c>
      <c r="I514" s="203">
        <v>15.58</v>
      </c>
      <c r="J514" s="203">
        <v>9.0500000000000007</v>
      </c>
      <c r="K514" s="203">
        <v>48.46</v>
      </c>
      <c r="L514" s="203">
        <v>72.459999999999994</v>
      </c>
      <c r="M514" s="203">
        <v>84.97</v>
      </c>
      <c r="N514" s="196"/>
    </row>
    <row r="515" spans="1:14" s="199" customFormat="1" x14ac:dyDescent="0.35">
      <c r="A515" s="195">
        <v>906162</v>
      </c>
      <c r="B515" s="196"/>
      <c r="C515" s="203">
        <v>4.5941976000000011</v>
      </c>
      <c r="D515" s="196">
        <v>0.31</v>
      </c>
      <c r="E515" s="200">
        <v>2.27</v>
      </c>
      <c r="F515" s="196">
        <v>0.06</v>
      </c>
      <c r="G515" s="196">
        <v>4.55</v>
      </c>
      <c r="H515" s="196">
        <v>0.8</v>
      </c>
      <c r="I515" s="203">
        <v>15.47</v>
      </c>
      <c r="J515" s="203">
        <v>8.23</v>
      </c>
      <c r="K515" s="203">
        <v>43.26</v>
      </c>
      <c r="L515" s="203">
        <v>76.099999999999994</v>
      </c>
      <c r="M515" s="203">
        <v>61.38</v>
      </c>
      <c r="N515" s="196"/>
    </row>
    <row r="516" spans="1:14" s="199" customFormat="1" x14ac:dyDescent="0.35">
      <c r="A516" s="195">
        <v>906163</v>
      </c>
      <c r="B516" s="196"/>
      <c r="C516" s="203">
        <v>3.7257822000000003</v>
      </c>
      <c r="D516" s="196">
        <v>0.43</v>
      </c>
      <c r="E516" s="200">
        <v>1.94</v>
      </c>
      <c r="F516" s="196">
        <v>0.06</v>
      </c>
      <c r="G516" s="196">
        <v>6.54</v>
      </c>
      <c r="H516" s="196">
        <v>0.96</v>
      </c>
      <c r="I516" s="203">
        <v>18.170000000000002</v>
      </c>
      <c r="J516" s="203">
        <v>18.95</v>
      </c>
      <c r="K516" s="203">
        <v>126.78</v>
      </c>
      <c r="L516" s="203">
        <v>62.95</v>
      </c>
      <c r="M516" s="203">
        <v>57.51</v>
      </c>
      <c r="N516" s="196"/>
    </row>
    <row r="517" spans="1:14" s="199" customFormat="1" x14ac:dyDescent="0.35">
      <c r="A517" s="195">
        <v>906164</v>
      </c>
      <c r="B517" s="196"/>
      <c r="C517" s="203">
        <v>4.5101574000000006</v>
      </c>
      <c r="D517" s="196">
        <v>0.28000000000000003</v>
      </c>
      <c r="E517" s="200">
        <v>2.84</v>
      </c>
      <c r="F517" s="196">
        <v>7.0000000000000007E-2</v>
      </c>
      <c r="G517" s="196">
        <v>5.42</v>
      </c>
      <c r="H517" s="196">
        <v>0.9</v>
      </c>
      <c r="I517" s="203">
        <v>18.170000000000002</v>
      </c>
      <c r="J517" s="203">
        <v>9.07</v>
      </c>
      <c r="K517" s="203">
        <v>62.8</v>
      </c>
      <c r="L517" s="203">
        <v>64.39</v>
      </c>
      <c r="M517" s="203">
        <v>48.62</v>
      </c>
      <c r="N517" s="196"/>
    </row>
    <row r="518" spans="1:14" s="199" customFormat="1" x14ac:dyDescent="0.35">
      <c r="A518" s="195">
        <v>906165</v>
      </c>
      <c r="B518" s="196"/>
      <c r="C518" s="203">
        <v>2.8013400000000006</v>
      </c>
      <c r="D518" s="196">
        <v>0.12</v>
      </c>
      <c r="E518" s="200">
        <v>1.02</v>
      </c>
      <c r="F518" s="196">
        <v>0.04</v>
      </c>
      <c r="G518" s="196">
        <v>4.92</v>
      </c>
      <c r="H518" s="196">
        <v>0.28999999999999998</v>
      </c>
      <c r="I518" s="203">
        <v>9.64</v>
      </c>
      <c r="J518" s="203">
        <v>3.6</v>
      </c>
      <c r="K518" s="203">
        <v>24.24</v>
      </c>
      <c r="L518" s="203">
        <v>134.65</v>
      </c>
      <c r="M518" s="203">
        <v>46.39</v>
      </c>
      <c r="N518" s="196"/>
    </row>
    <row r="519" spans="1:14" s="199" customFormat="1" x14ac:dyDescent="0.35">
      <c r="A519" s="195">
        <v>906166</v>
      </c>
      <c r="B519" s="196"/>
      <c r="C519" s="203">
        <v>2.8293534000000009</v>
      </c>
      <c r="D519" s="196">
        <v>0.15</v>
      </c>
      <c r="E519" s="200">
        <v>0.86</v>
      </c>
      <c r="F519" s="196">
        <v>0.02</v>
      </c>
      <c r="G519" s="196">
        <v>1.83</v>
      </c>
      <c r="H519" s="196">
        <v>0.44</v>
      </c>
      <c r="I519" s="203">
        <v>17.59</v>
      </c>
      <c r="J519" s="203">
        <v>6</v>
      </c>
      <c r="K519" s="203">
        <v>56.65</v>
      </c>
      <c r="L519" s="203">
        <v>117.26</v>
      </c>
      <c r="M519" s="203">
        <v>14.55</v>
      </c>
      <c r="N519" s="196"/>
    </row>
    <row r="520" spans="1:14" s="199" customFormat="1" x14ac:dyDescent="0.35">
      <c r="A520" s="195">
        <v>906167</v>
      </c>
      <c r="B520" s="196"/>
      <c r="C520" s="203">
        <v>4.7062512000000005</v>
      </c>
      <c r="D520" s="196">
        <v>0.33</v>
      </c>
      <c r="E520" s="200">
        <v>2.59</v>
      </c>
      <c r="F520" s="196">
        <v>7.0000000000000007E-2</v>
      </c>
      <c r="G520" s="196">
        <v>5.47</v>
      </c>
      <c r="H520" s="196">
        <v>0.42</v>
      </c>
      <c r="I520" s="203">
        <v>13.29</v>
      </c>
      <c r="J520" s="203">
        <v>9.48</v>
      </c>
      <c r="K520" s="203">
        <v>44.83</v>
      </c>
      <c r="L520" s="203">
        <v>73.680000000000007</v>
      </c>
      <c r="M520" s="203">
        <v>99.63</v>
      </c>
      <c r="N520" s="196"/>
    </row>
    <row r="521" spans="1:14" s="199" customFormat="1" x14ac:dyDescent="0.35">
      <c r="A521" s="196">
        <v>906168</v>
      </c>
      <c r="B521" s="196"/>
      <c r="C521" s="203">
        <v>2.1850452000000002</v>
      </c>
      <c r="D521" s="196">
        <v>0.09</v>
      </c>
      <c r="E521" s="196">
        <v>0.93</v>
      </c>
      <c r="F521" s="196">
        <v>0.05</v>
      </c>
      <c r="G521" s="196">
        <v>4.17</v>
      </c>
      <c r="H521" s="196">
        <v>0.25</v>
      </c>
      <c r="I521" s="203">
        <v>65.27</v>
      </c>
      <c r="J521" s="203">
        <v>4.96</v>
      </c>
      <c r="K521" s="203">
        <v>83.03</v>
      </c>
      <c r="L521" s="203">
        <v>147.31</v>
      </c>
      <c r="M521" s="203">
        <v>50.25</v>
      </c>
      <c r="N521" s="196"/>
    </row>
    <row r="522" spans="1:14" s="199" customFormat="1" x14ac:dyDescent="0.35">
      <c r="A522" s="196">
        <v>906169</v>
      </c>
      <c r="B522" s="196"/>
      <c r="C522" s="203">
        <v>2.1290184000000001</v>
      </c>
      <c r="D522" s="196">
        <v>0.08</v>
      </c>
      <c r="E522" s="196">
        <v>0.57999999999999996</v>
      </c>
      <c r="F522" s="196">
        <v>0.06</v>
      </c>
      <c r="G522" s="196">
        <v>4.71</v>
      </c>
      <c r="H522" s="196">
        <v>0.32</v>
      </c>
      <c r="I522" s="203">
        <v>76.62</v>
      </c>
      <c r="J522" s="203">
        <v>7.24</v>
      </c>
      <c r="K522" s="203">
        <v>201.99</v>
      </c>
      <c r="L522" s="203">
        <v>199.56</v>
      </c>
      <c r="M522" s="203">
        <v>61.19</v>
      </c>
      <c r="N522" s="196"/>
    </row>
    <row r="523" spans="1:14" s="199" customFormat="1" x14ac:dyDescent="0.35">
      <c r="A523" s="196">
        <v>906170</v>
      </c>
      <c r="B523" s="196"/>
      <c r="C523" s="203">
        <v>2.1010050000000002</v>
      </c>
      <c r="D523" s="196">
        <v>0.09</v>
      </c>
      <c r="E523" s="196">
        <v>0.68</v>
      </c>
      <c r="F523" s="196">
        <v>0.05</v>
      </c>
      <c r="G523" s="196">
        <v>5.44</v>
      </c>
      <c r="H523" s="196">
        <v>0.38</v>
      </c>
      <c r="I523" s="203">
        <v>42.72</v>
      </c>
      <c r="J523" s="203">
        <v>6.08</v>
      </c>
      <c r="K523" s="203">
        <v>82.19</v>
      </c>
      <c r="L523" s="203">
        <v>148.66999999999999</v>
      </c>
      <c r="M523" s="203">
        <v>46.15</v>
      </c>
      <c r="N523" s="196"/>
    </row>
    <row r="524" spans="1:14" s="199" customFormat="1" x14ac:dyDescent="0.35">
      <c r="A524" s="196">
        <v>906171</v>
      </c>
      <c r="B524" s="196"/>
      <c r="C524" s="203">
        <v>2.0729916000000004</v>
      </c>
      <c r="D524" s="196">
        <v>0.09</v>
      </c>
      <c r="E524" s="196">
        <v>0.5</v>
      </c>
      <c r="F524" s="196">
        <v>7.0000000000000007E-2</v>
      </c>
      <c r="G524" s="196">
        <v>6.56</v>
      </c>
      <c r="H524" s="196">
        <v>0.34</v>
      </c>
      <c r="I524" s="203">
        <v>45.4</v>
      </c>
      <c r="J524" s="203">
        <v>5.98</v>
      </c>
      <c r="K524" s="203">
        <v>47.55</v>
      </c>
      <c r="L524" s="203">
        <v>152.99</v>
      </c>
      <c r="M524" s="203">
        <v>29.36</v>
      </c>
      <c r="N524" s="196"/>
    </row>
    <row r="525" spans="1:14" s="199" customFormat="1" x14ac:dyDescent="0.35">
      <c r="A525" s="196">
        <v>906172</v>
      </c>
      <c r="B525" s="196"/>
      <c r="C525" s="203">
        <v>2.4091524000000009</v>
      </c>
      <c r="D525" s="196">
        <v>0.1</v>
      </c>
      <c r="E525" s="196">
        <v>0.53</v>
      </c>
      <c r="F525" s="196">
        <v>0.05</v>
      </c>
      <c r="G525" s="196">
        <v>7.21</v>
      </c>
      <c r="H525" s="196">
        <v>0.33</v>
      </c>
      <c r="I525" s="203">
        <v>10.4</v>
      </c>
      <c r="J525" s="203">
        <v>6.05</v>
      </c>
      <c r="K525" s="203">
        <v>17.3</v>
      </c>
      <c r="L525" s="203">
        <v>143.18</v>
      </c>
      <c r="M525" s="203">
        <v>29.95</v>
      </c>
      <c r="N525" s="196"/>
    </row>
    <row r="526" spans="1:14" s="199" customFormat="1" x14ac:dyDescent="0.35">
      <c r="A526" s="196">
        <v>906173</v>
      </c>
      <c r="B526" s="196"/>
      <c r="C526" s="203">
        <v>2.0729916000000004</v>
      </c>
      <c r="D526" s="196">
        <v>0.08</v>
      </c>
      <c r="E526" s="196">
        <v>0.37</v>
      </c>
      <c r="F526" s="196">
        <v>7.0000000000000007E-2</v>
      </c>
      <c r="G526" s="196">
        <v>6.85</v>
      </c>
      <c r="H526" s="196">
        <v>0.5</v>
      </c>
      <c r="I526" s="203">
        <v>52.13</v>
      </c>
      <c r="J526" s="203">
        <v>5.16</v>
      </c>
      <c r="K526" s="203">
        <v>61</v>
      </c>
      <c r="L526" s="203">
        <v>123.53</v>
      </c>
      <c r="M526" s="203">
        <v>40.409999999999997</v>
      </c>
      <c r="N526" s="196"/>
    </row>
    <row r="527" spans="1:14" s="199" customFormat="1" x14ac:dyDescent="0.35">
      <c r="A527" s="196">
        <v>906174</v>
      </c>
      <c r="B527" s="196"/>
      <c r="C527" s="203">
        <v>2.1850452000000002</v>
      </c>
      <c r="D527" s="196">
        <v>0.09</v>
      </c>
      <c r="E527" s="196">
        <v>1.2</v>
      </c>
      <c r="F527" s="196">
        <v>0.05</v>
      </c>
      <c r="G527" s="196">
        <v>4.12</v>
      </c>
      <c r="H527" s="196">
        <v>0.35</v>
      </c>
      <c r="I527" s="203">
        <v>48.92</v>
      </c>
      <c r="J527" s="203">
        <v>31.56</v>
      </c>
      <c r="K527" s="203">
        <v>56.39</v>
      </c>
      <c r="L527" s="203">
        <v>127.22</v>
      </c>
      <c r="M527" s="203">
        <v>35.549999999999997</v>
      </c>
      <c r="N527" s="196"/>
    </row>
    <row r="528" spans="1:14" s="199" customFormat="1" x14ac:dyDescent="0.35">
      <c r="A528" s="196">
        <v>906175</v>
      </c>
      <c r="B528" s="196"/>
      <c r="C528" s="203">
        <v>2.5492194000000006</v>
      </c>
      <c r="D528" s="196">
        <v>0.08</v>
      </c>
      <c r="E528" s="196">
        <v>0.68</v>
      </c>
      <c r="F528" s="196">
        <v>7.0000000000000007E-2</v>
      </c>
      <c r="G528" s="196">
        <v>5.03</v>
      </c>
      <c r="H528" s="196">
        <v>0.38</v>
      </c>
      <c r="I528" s="203">
        <v>39.72</v>
      </c>
      <c r="J528" s="203">
        <v>3.03</v>
      </c>
      <c r="K528" s="203">
        <v>52.98</v>
      </c>
      <c r="L528" s="203">
        <v>141.25</v>
      </c>
      <c r="M528" s="203">
        <v>47.56</v>
      </c>
      <c r="N528" s="196"/>
    </row>
    <row r="529" spans="1:14" s="199" customFormat="1" x14ac:dyDescent="0.35">
      <c r="A529" s="196">
        <v>906176</v>
      </c>
      <c r="B529" s="196"/>
      <c r="C529" s="203">
        <v>2.7453132000000009</v>
      </c>
      <c r="D529" s="196">
        <v>0.13</v>
      </c>
      <c r="E529" s="196">
        <v>1.05</v>
      </c>
      <c r="F529" s="196">
        <v>0.04</v>
      </c>
      <c r="G529" s="196">
        <v>4.9000000000000004</v>
      </c>
      <c r="H529" s="196">
        <v>0.3</v>
      </c>
      <c r="I529" s="203">
        <v>13.23</v>
      </c>
      <c r="J529" s="203">
        <v>4.71</v>
      </c>
      <c r="K529" s="203">
        <v>39.51</v>
      </c>
      <c r="L529" s="203">
        <v>135.13999999999999</v>
      </c>
      <c r="M529" s="203">
        <v>127.02</v>
      </c>
      <c r="N529" s="196"/>
    </row>
    <row r="530" spans="1:14" s="199" customFormat="1" x14ac:dyDescent="0.35">
      <c r="A530" s="196">
        <v>906177</v>
      </c>
      <c r="B530" s="196"/>
      <c r="C530" s="203">
        <v>2.4651792000000006</v>
      </c>
      <c r="D530" s="196">
        <v>0.1</v>
      </c>
      <c r="E530" s="196">
        <v>1.0900000000000001</v>
      </c>
      <c r="F530" s="196">
        <v>0.05</v>
      </c>
      <c r="G530" s="196">
        <v>3.83</v>
      </c>
      <c r="H530" s="196">
        <v>0.4</v>
      </c>
      <c r="I530" s="203">
        <v>52.35</v>
      </c>
      <c r="J530" s="203">
        <v>26.16</v>
      </c>
      <c r="K530" s="203">
        <v>41.82</v>
      </c>
      <c r="L530" s="203">
        <v>140.54</v>
      </c>
      <c r="M530" s="203">
        <v>51.83</v>
      </c>
      <c r="N530" s="196"/>
    </row>
    <row r="531" spans="1:14" s="199" customFormat="1" x14ac:dyDescent="0.35">
      <c r="A531" s="196">
        <v>906178</v>
      </c>
      <c r="B531" s="196"/>
      <c r="C531" s="203">
        <v>2.4651792000000006</v>
      </c>
      <c r="D531" s="196">
        <v>0.1</v>
      </c>
      <c r="E531" s="196">
        <v>0.73</v>
      </c>
      <c r="F531" s="196">
        <v>0.06</v>
      </c>
      <c r="G531" s="196">
        <v>3.11</v>
      </c>
      <c r="H531" s="196">
        <v>0.25</v>
      </c>
      <c r="I531" s="203">
        <v>40.31</v>
      </c>
      <c r="J531" s="203">
        <v>1.62</v>
      </c>
      <c r="K531" s="203">
        <v>93.95</v>
      </c>
      <c r="L531" s="203">
        <v>133.36000000000001</v>
      </c>
      <c r="M531" s="203">
        <v>38.479999999999997</v>
      </c>
      <c r="N531" s="196"/>
    </row>
    <row r="532" spans="1:14" s="199" customFormat="1" x14ac:dyDescent="0.35">
      <c r="A532" s="196">
        <v>906179</v>
      </c>
      <c r="B532" s="196"/>
      <c r="C532" s="203">
        <v>4.4261172000000011</v>
      </c>
      <c r="D532" s="196">
        <v>0.31</v>
      </c>
      <c r="E532" s="196">
        <v>4.1399999999999997</v>
      </c>
      <c r="F532" s="196">
        <v>0.09</v>
      </c>
      <c r="G532" s="196">
        <v>5.16</v>
      </c>
      <c r="H532" s="196">
        <v>0.98</v>
      </c>
      <c r="I532" s="203">
        <v>17.45</v>
      </c>
      <c r="J532" s="203">
        <v>10.26</v>
      </c>
      <c r="K532" s="203">
        <v>56.27</v>
      </c>
      <c r="L532" s="203">
        <v>60.5</v>
      </c>
      <c r="M532" s="203">
        <v>51.62</v>
      </c>
      <c r="N532" s="196"/>
    </row>
    <row r="533" spans="1:14" s="199" customFormat="1" x14ac:dyDescent="0.35">
      <c r="A533" s="196">
        <v>906180</v>
      </c>
      <c r="B533" s="196"/>
      <c r="C533" s="203">
        <v>4.4261172000000011</v>
      </c>
      <c r="D533" s="196">
        <v>0.27</v>
      </c>
      <c r="E533" s="196">
        <v>3.44</v>
      </c>
      <c r="F533" s="196">
        <v>0.15</v>
      </c>
      <c r="G533" s="196">
        <v>5.15</v>
      </c>
      <c r="H533" s="196">
        <v>1.07</v>
      </c>
      <c r="I533" s="203">
        <v>17.54</v>
      </c>
      <c r="J533" s="203">
        <v>8.25</v>
      </c>
      <c r="K533" s="203">
        <v>61.11</v>
      </c>
      <c r="L533" s="203">
        <v>60.16</v>
      </c>
      <c r="M533" s="203">
        <v>50.06</v>
      </c>
      <c r="N533" s="196"/>
    </row>
    <row r="534" spans="1:14" s="199" customFormat="1" x14ac:dyDescent="0.35">
      <c r="A534" s="196">
        <v>906181</v>
      </c>
      <c r="B534" s="196"/>
      <c r="C534" s="203">
        <v>4.1459832000000008</v>
      </c>
      <c r="D534" s="196">
        <v>0.42</v>
      </c>
      <c r="E534" s="196">
        <v>3.04</v>
      </c>
      <c r="F534" s="196">
        <v>0.09</v>
      </c>
      <c r="G534" s="196">
        <v>4.99</v>
      </c>
      <c r="H534" s="196">
        <v>1.05</v>
      </c>
      <c r="I534" s="203">
        <v>15.01</v>
      </c>
      <c r="J534" s="203">
        <v>6.85</v>
      </c>
      <c r="K534" s="203">
        <v>46.43</v>
      </c>
      <c r="L534" s="203">
        <v>60.47</v>
      </c>
      <c r="M534" s="203">
        <v>86.79</v>
      </c>
      <c r="N534" s="196"/>
    </row>
    <row r="535" spans="1:14" s="199" customFormat="1" x14ac:dyDescent="0.35">
      <c r="A535" s="196">
        <v>906182</v>
      </c>
      <c r="B535" s="196"/>
      <c r="C535" s="203">
        <v>4.0899564000000002</v>
      </c>
      <c r="D535" s="196">
        <v>0.47</v>
      </c>
      <c r="E535" s="196">
        <v>3.5</v>
      </c>
      <c r="F535" s="196">
        <v>0.11</v>
      </c>
      <c r="G535" s="196">
        <v>5.01</v>
      </c>
      <c r="H535" s="196">
        <v>1.03</v>
      </c>
      <c r="I535" s="203">
        <v>14.8</v>
      </c>
      <c r="J535" s="203">
        <v>7.24</v>
      </c>
      <c r="K535" s="203">
        <v>55.83</v>
      </c>
      <c r="L535" s="203">
        <v>61.01</v>
      </c>
      <c r="M535" s="203">
        <v>68.709999999999994</v>
      </c>
      <c r="N535" s="196"/>
    </row>
    <row r="536" spans="1:14" s="199" customFormat="1" x14ac:dyDescent="0.35">
      <c r="A536" s="195">
        <v>906183</v>
      </c>
      <c r="B536" s="196"/>
      <c r="C536" s="196">
        <v>3.6</v>
      </c>
      <c r="D536" s="196">
        <v>0.44</v>
      </c>
      <c r="E536" s="196">
        <v>1.59</v>
      </c>
      <c r="F536" s="196">
        <v>0.03</v>
      </c>
      <c r="G536" s="196">
        <v>1.1599999999999999</v>
      </c>
      <c r="H536" s="196">
        <v>0.34</v>
      </c>
      <c r="I536" s="203">
        <v>18.79</v>
      </c>
      <c r="J536" s="203">
        <v>7.27</v>
      </c>
      <c r="K536" s="203">
        <v>135.09</v>
      </c>
      <c r="L536" s="203">
        <v>156.4</v>
      </c>
      <c r="M536" s="203">
        <v>209.23</v>
      </c>
      <c r="N536" s="196"/>
    </row>
    <row r="537" spans="1:14" s="199" customFormat="1" x14ac:dyDescent="0.35">
      <c r="A537" s="195">
        <v>906184</v>
      </c>
      <c r="B537" s="196"/>
      <c r="C537" s="196">
        <v>3.7</v>
      </c>
      <c r="D537" s="196">
        <v>0.49</v>
      </c>
      <c r="E537" s="196">
        <v>1.75</v>
      </c>
      <c r="F537" s="196">
        <v>0.03</v>
      </c>
      <c r="G537" s="196">
        <v>1.1000000000000001</v>
      </c>
      <c r="H537" s="196">
        <v>0.38</v>
      </c>
      <c r="I537" s="203">
        <v>14.87</v>
      </c>
      <c r="J537" s="203">
        <v>5.77</v>
      </c>
      <c r="K537" s="203">
        <v>93.59</v>
      </c>
      <c r="L537" s="203">
        <v>140.43</v>
      </c>
      <c r="M537" s="203">
        <v>49.61</v>
      </c>
      <c r="N537" s="196"/>
    </row>
    <row r="538" spans="1:14" s="199" customFormat="1" x14ac:dyDescent="0.35">
      <c r="A538" s="195">
        <v>906185</v>
      </c>
      <c r="B538" s="196"/>
      <c r="C538" s="196">
        <v>2.7</v>
      </c>
      <c r="D538" s="196">
        <v>0.28000000000000003</v>
      </c>
      <c r="E538" s="196">
        <v>0.87</v>
      </c>
      <c r="F538" s="196">
        <v>7.0000000000000007E-2</v>
      </c>
      <c r="G538" s="196">
        <v>4.29</v>
      </c>
      <c r="H538" s="196">
        <v>0.3</v>
      </c>
      <c r="I538" s="203">
        <v>8.07</v>
      </c>
      <c r="J538" s="203">
        <v>20.52</v>
      </c>
      <c r="K538" s="203">
        <v>13.68</v>
      </c>
      <c r="L538" s="203">
        <v>89.24</v>
      </c>
      <c r="M538" s="203">
        <v>88.68</v>
      </c>
      <c r="N538" s="196"/>
    </row>
    <row r="539" spans="1:14" s="199" customFormat="1" x14ac:dyDescent="0.35">
      <c r="A539" s="195">
        <v>906186</v>
      </c>
      <c r="B539" s="196"/>
      <c r="C539" s="196">
        <v>2.8</v>
      </c>
      <c r="D539" s="196">
        <v>0.16</v>
      </c>
      <c r="E539" s="196">
        <v>1.05</v>
      </c>
      <c r="F539" s="196">
        <v>0.08</v>
      </c>
      <c r="G539" s="196">
        <v>4.63</v>
      </c>
      <c r="H539" s="196">
        <v>0.13</v>
      </c>
      <c r="I539" s="203">
        <v>14.86</v>
      </c>
      <c r="J539" s="203">
        <v>39.549999999999997</v>
      </c>
      <c r="K539" s="203">
        <v>38.22</v>
      </c>
      <c r="L539" s="203">
        <v>87.33</v>
      </c>
      <c r="M539" s="203">
        <v>73.540000000000006</v>
      </c>
      <c r="N539" s="196"/>
    </row>
    <row r="540" spans="1:14" s="199" customFormat="1" x14ac:dyDescent="0.35">
      <c r="A540" s="195">
        <v>906187</v>
      </c>
      <c r="B540" s="196"/>
      <c r="C540" s="196">
        <v>2.5</v>
      </c>
      <c r="D540" s="196">
        <v>0.15</v>
      </c>
      <c r="E540" s="196">
        <v>0.72</v>
      </c>
      <c r="F540" s="196">
        <v>0.02</v>
      </c>
      <c r="G540" s="196">
        <v>1.24</v>
      </c>
      <c r="H540" s="196">
        <v>0.3</v>
      </c>
      <c r="I540" s="203">
        <v>20.62</v>
      </c>
      <c r="J540" s="203">
        <v>4.6399999999999997</v>
      </c>
      <c r="K540" s="203">
        <v>121.15</v>
      </c>
      <c r="L540" s="203">
        <v>69.2</v>
      </c>
      <c r="M540" s="203">
        <v>14.29</v>
      </c>
      <c r="N540" s="196"/>
    </row>
    <row r="541" spans="1:14" s="199" customFormat="1" x14ac:dyDescent="0.35">
      <c r="A541" s="195">
        <v>906188</v>
      </c>
      <c r="B541" s="196"/>
      <c r="C541" s="196">
        <v>2.2999999999999998</v>
      </c>
      <c r="D541" s="196">
        <v>0.14000000000000001</v>
      </c>
      <c r="E541" s="196">
        <v>0.91</v>
      </c>
      <c r="F541" s="196">
        <v>0.03</v>
      </c>
      <c r="G541" s="196">
        <v>1.91</v>
      </c>
      <c r="H541" s="196">
        <v>0.43</v>
      </c>
      <c r="I541" s="203">
        <v>21.4</v>
      </c>
      <c r="J541" s="203">
        <v>3.94</v>
      </c>
      <c r="K541" s="203">
        <v>74.28</v>
      </c>
      <c r="L541" s="203">
        <v>92.14</v>
      </c>
      <c r="M541" s="203">
        <v>24.46</v>
      </c>
      <c r="N541" s="196"/>
    </row>
    <row r="542" spans="1:14" s="199" customFormat="1" x14ac:dyDescent="0.35">
      <c r="A542" s="196">
        <v>906189</v>
      </c>
      <c r="B542" s="196"/>
      <c r="C542" s="196">
        <v>2.72</v>
      </c>
      <c r="D542" s="196">
        <v>0.13</v>
      </c>
      <c r="E542" s="196">
        <v>0.61</v>
      </c>
      <c r="F542" s="196">
        <v>0.05</v>
      </c>
      <c r="G542" s="196">
        <v>4.32</v>
      </c>
      <c r="H542" s="196">
        <v>0.67</v>
      </c>
      <c r="I542" s="203">
        <v>31.83</v>
      </c>
      <c r="J542" s="203">
        <v>2.39</v>
      </c>
      <c r="K542" s="203">
        <v>61.03</v>
      </c>
      <c r="L542" s="203">
        <v>163.38999999999999</v>
      </c>
      <c r="M542" s="203">
        <v>55.04</v>
      </c>
      <c r="N542" s="196"/>
    </row>
    <row r="543" spans="1:14" s="199" customFormat="1" x14ac:dyDescent="0.35">
      <c r="A543" s="196">
        <v>906190</v>
      </c>
      <c r="B543" s="196"/>
      <c r="C543" s="196">
        <v>2.6</v>
      </c>
      <c r="D543" s="196">
        <v>0.12</v>
      </c>
      <c r="E543" s="196">
        <v>1.08</v>
      </c>
      <c r="F543" s="196">
        <v>0.06</v>
      </c>
      <c r="G543" s="196">
        <v>2.9</v>
      </c>
      <c r="H543" s="196">
        <v>0.39</v>
      </c>
      <c r="I543" s="203">
        <v>10.74</v>
      </c>
      <c r="J543" s="203">
        <v>2.8</v>
      </c>
      <c r="K543" s="203">
        <v>27.92</v>
      </c>
      <c r="L543" s="203">
        <v>183.62</v>
      </c>
      <c r="M543" s="203">
        <v>69.930000000000007</v>
      </c>
      <c r="N543" s="196"/>
    </row>
    <row r="544" spans="1:14" s="199" customFormat="1" x14ac:dyDescent="0.35">
      <c r="A544" s="196">
        <v>906191</v>
      </c>
      <c r="B544" s="196"/>
      <c r="C544" s="196">
        <v>2.1</v>
      </c>
      <c r="D544" s="196">
        <v>0.16</v>
      </c>
      <c r="E544" s="196">
        <v>0.7</v>
      </c>
      <c r="F544" s="196">
        <v>0.04</v>
      </c>
      <c r="G544" s="196">
        <v>4.2699999999999996</v>
      </c>
      <c r="H544" s="196">
        <v>0.72</v>
      </c>
      <c r="I544" s="203">
        <v>51.17</v>
      </c>
      <c r="J544" s="203">
        <v>2.94</v>
      </c>
      <c r="K544" s="203">
        <v>69.63</v>
      </c>
      <c r="L544" s="203">
        <v>148.96</v>
      </c>
      <c r="M544" s="203">
        <v>64.819999999999993</v>
      </c>
      <c r="N544" s="196"/>
    </row>
    <row r="545" spans="1:28" s="199" customFormat="1" x14ac:dyDescent="0.35">
      <c r="A545" s="196">
        <v>906192</v>
      </c>
      <c r="B545" s="196"/>
      <c r="C545" s="196">
        <v>2.09</v>
      </c>
      <c r="D545" s="196">
        <v>0.14000000000000001</v>
      </c>
      <c r="E545" s="196">
        <v>0.73</v>
      </c>
      <c r="F545" s="196">
        <v>0.04</v>
      </c>
      <c r="G545" s="196">
        <v>3.86</v>
      </c>
      <c r="H545" s="196">
        <v>0.51</v>
      </c>
      <c r="I545" s="203">
        <v>62.3</v>
      </c>
      <c r="J545" s="203">
        <v>3.62</v>
      </c>
      <c r="K545" s="203">
        <v>77.77</v>
      </c>
      <c r="L545" s="203">
        <v>172.57</v>
      </c>
      <c r="M545" s="203">
        <v>63.44</v>
      </c>
      <c r="N545" s="196"/>
    </row>
    <row r="546" spans="1:28" s="199" customFormat="1" x14ac:dyDescent="0.35">
      <c r="A546" s="196">
        <v>906193</v>
      </c>
      <c r="B546" s="196"/>
      <c r="C546" s="196">
        <v>2.41</v>
      </c>
      <c r="D546" s="196">
        <v>0.13</v>
      </c>
      <c r="E546" s="196">
        <v>0.78</v>
      </c>
      <c r="F546" s="196">
        <v>0.09</v>
      </c>
      <c r="G546" s="196">
        <v>3.46</v>
      </c>
      <c r="H546" s="196">
        <v>0.24</v>
      </c>
      <c r="I546" s="203">
        <v>14.8</v>
      </c>
      <c r="J546" s="203">
        <v>6.72</v>
      </c>
      <c r="K546" s="203">
        <v>15.02</v>
      </c>
      <c r="L546" s="203">
        <v>68.03</v>
      </c>
      <c r="M546" s="203">
        <v>45.31</v>
      </c>
      <c r="N546" s="196"/>
    </row>
    <row r="547" spans="1:28" s="199" customFormat="1" x14ac:dyDescent="0.35">
      <c r="A547" s="196">
        <v>906194</v>
      </c>
      <c r="B547" s="196"/>
      <c r="C547" s="196">
        <v>2.96</v>
      </c>
      <c r="D547" s="196">
        <v>0.11</v>
      </c>
      <c r="E547" s="196">
        <v>0.84</v>
      </c>
      <c r="F547" s="196">
        <v>0.06</v>
      </c>
      <c r="G547" s="196">
        <v>3.53</v>
      </c>
      <c r="H547" s="196">
        <v>0.25</v>
      </c>
      <c r="I547" s="203">
        <v>10.43</v>
      </c>
      <c r="J547" s="203">
        <v>5.48</v>
      </c>
      <c r="K547" s="203">
        <v>19.309999999999999</v>
      </c>
      <c r="L547" s="203">
        <v>69.959999999999994</v>
      </c>
      <c r="M547" s="203">
        <v>48.22</v>
      </c>
      <c r="N547" s="196"/>
    </row>
    <row r="548" spans="1:28" s="199" customFormat="1" x14ac:dyDescent="0.35">
      <c r="A548" s="196">
        <v>906195</v>
      </c>
      <c r="B548" s="196"/>
      <c r="C548" s="196">
        <v>2.44</v>
      </c>
      <c r="D548" s="196">
        <v>0.11</v>
      </c>
      <c r="E548" s="196">
        <v>0.6</v>
      </c>
      <c r="F548" s="196">
        <v>0.06</v>
      </c>
      <c r="G548" s="196">
        <v>3.38</v>
      </c>
      <c r="H548" s="196">
        <v>0.26</v>
      </c>
      <c r="I548" s="203">
        <v>11.52</v>
      </c>
      <c r="J548" s="203">
        <v>4.9400000000000004</v>
      </c>
      <c r="K548" s="203">
        <v>18.47</v>
      </c>
      <c r="L548" s="203">
        <v>69.06</v>
      </c>
      <c r="M548" s="203">
        <v>57.28</v>
      </c>
      <c r="N548" s="196"/>
    </row>
    <row r="549" spans="1:28" s="199" customFormat="1" x14ac:dyDescent="0.35">
      <c r="A549" s="196">
        <v>906196</v>
      </c>
      <c r="B549" s="196"/>
      <c r="C549" s="196">
        <v>2.15</v>
      </c>
      <c r="D549" s="196">
        <v>0.14000000000000001</v>
      </c>
      <c r="E549" s="196">
        <v>0.75</v>
      </c>
      <c r="F549" s="196">
        <v>7.0000000000000007E-2</v>
      </c>
      <c r="G549" s="196">
        <v>2.9</v>
      </c>
      <c r="H549" s="196">
        <v>0.23</v>
      </c>
      <c r="I549" s="203">
        <v>9</v>
      </c>
      <c r="J549" s="203">
        <v>4.17</v>
      </c>
      <c r="K549" s="203">
        <v>22.53</v>
      </c>
      <c r="L549" s="203">
        <v>71.900000000000006</v>
      </c>
      <c r="M549" s="203">
        <v>33.53</v>
      </c>
      <c r="N549" s="196"/>
    </row>
    <row r="550" spans="1:28" s="199" customFormat="1" x14ac:dyDescent="0.35">
      <c r="A550" s="196">
        <v>906197</v>
      </c>
      <c r="B550" s="196"/>
      <c r="C550" s="196">
        <v>2.39</v>
      </c>
      <c r="D550" s="196">
        <v>0.11</v>
      </c>
      <c r="E550" s="196">
        <v>0.46</v>
      </c>
      <c r="F550" s="196">
        <v>7.0000000000000007E-2</v>
      </c>
      <c r="G550" s="196">
        <v>3.83</v>
      </c>
      <c r="H550" s="196">
        <v>0.32</v>
      </c>
      <c r="I550" s="203">
        <v>12.37</v>
      </c>
      <c r="J550" s="203">
        <v>4.24</v>
      </c>
      <c r="K550" s="203">
        <v>22.98</v>
      </c>
      <c r="L550" s="203">
        <v>73.41</v>
      </c>
      <c r="M550" s="203">
        <v>70.3</v>
      </c>
      <c r="N550" s="196"/>
    </row>
    <row r="551" spans="1:28" s="199" customFormat="1" x14ac:dyDescent="0.35">
      <c r="A551" s="196">
        <v>906198</v>
      </c>
      <c r="B551" s="196"/>
      <c r="C551" s="196">
        <v>2.44</v>
      </c>
      <c r="D551" s="196">
        <v>0.11</v>
      </c>
      <c r="E551" s="196">
        <v>0.42</v>
      </c>
      <c r="F551" s="196">
        <v>0.11</v>
      </c>
      <c r="G551" s="196">
        <v>4.47</v>
      </c>
      <c r="H551" s="196">
        <v>0.34</v>
      </c>
      <c r="I551" s="203">
        <v>10.98</v>
      </c>
      <c r="J551" s="203">
        <v>5.8</v>
      </c>
      <c r="K551" s="203">
        <v>19.940000000000001</v>
      </c>
      <c r="L551" s="203">
        <v>92.5</v>
      </c>
      <c r="M551" s="203">
        <v>66.53</v>
      </c>
      <c r="N551" s="196"/>
    </row>
    <row r="552" spans="1:28" s="199" customFormat="1" x14ac:dyDescent="0.35">
      <c r="A552" s="196">
        <v>906199</v>
      </c>
      <c r="B552" s="196"/>
      <c r="C552" s="196">
        <v>2.25</v>
      </c>
      <c r="D552" s="196">
        <v>0.11</v>
      </c>
      <c r="E552" s="196">
        <v>0.82</v>
      </c>
      <c r="F552" s="196">
        <v>0.06</v>
      </c>
      <c r="G552" s="196">
        <v>3.09</v>
      </c>
      <c r="H552" s="196">
        <v>0.25</v>
      </c>
      <c r="I552" s="203">
        <v>13.69</v>
      </c>
      <c r="J552" s="203">
        <v>5.4</v>
      </c>
      <c r="K552" s="203">
        <v>11.31</v>
      </c>
      <c r="L552" s="203">
        <v>67.69</v>
      </c>
      <c r="M552" s="203">
        <v>67.319999999999993</v>
      </c>
      <c r="N552" s="196"/>
    </row>
    <row r="553" spans="1:28" s="199" customFormat="1" x14ac:dyDescent="0.35">
      <c r="A553" s="196">
        <v>906200</v>
      </c>
      <c r="B553" s="196"/>
      <c r="C553" s="203">
        <v>2.4651792000000006</v>
      </c>
      <c r="D553" s="196">
        <v>0.19</v>
      </c>
      <c r="E553" s="196">
        <v>0.61</v>
      </c>
      <c r="F553" s="196">
        <v>0.03</v>
      </c>
      <c r="G553" s="196">
        <v>4.16</v>
      </c>
      <c r="H553" s="196">
        <v>0.32</v>
      </c>
      <c r="I553" s="203">
        <v>9.1199999999999992</v>
      </c>
      <c r="J553" s="203">
        <v>2.59</v>
      </c>
      <c r="K553" s="203">
        <v>29.91</v>
      </c>
      <c r="L553" s="203">
        <v>77.12</v>
      </c>
      <c r="M553" s="203">
        <v>112.72</v>
      </c>
      <c r="N553" s="196"/>
    </row>
    <row r="554" spans="1:28" s="199" customFormat="1" x14ac:dyDescent="0.35">
      <c r="A554" s="196">
        <v>906201</v>
      </c>
      <c r="B554" s="196"/>
      <c r="C554" s="203">
        <v>3.4456482000000008</v>
      </c>
      <c r="D554" s="196">
        <v>0.28000000000000003</v>
      </c>
      <c r="E554" s="196">
        <v>1.31</v>
      </c>
      <c r="F554" s="196">
        <v>0.06</v>
      </c>
      <c r="G554" s="196">
        <v>3.19</v>
      </c>
      <c r="H554" s="196">
        <v>0.44</v>
      </c>
      <c r="I554" s="203">
        <v>15.48</v>
      </c>
      <c r="J554" s="203">
        <v>19.55</v>
      </c>
      <c r="K554" s="203">
        <v>150.38999999999999</v>
      </c>
      <c r="L554" s="203">
        <v>118.07</v>
      </c>
      <c r="M554" s="203">
        <v>29.53</v>
      </c>
      <c r="N554" s="196"/>
    </row>
    <row r="555" spans="1:28" s="199" customFormat="1" x14ac:dyDescent="0.35">
      <c r="A555" s="221">
        <v>906202</v>
      </c>
      <c r="B555" s="221"/>
      <c r="C555" s="225">
        <v>2.5</v>
      </c>
      <c r="D555" s="221">
        <v>0.15</v>
      </c>
      <c r="E555" s="221">
        <v>1.3</v>
      </c>
      <c r="F555" s="221">
        <v>0.02</v>
      </c>
      <c r="G555" s="221">
        <v>2.11</v>
      </c>
      <c r="H555" s="221">
        <v>0.4</v>
      </c>
      <c r="I555" s="225">
        <v>54.48</v>
      </c>
      <c r="J555" s="225">
        <v>7.92</v>
      </c>
      <c r="K555" s="225">
        <v>807.97</v>
      </c>
      <c r="L555" s="225">
        <v>152.43</v>
      </c>
      <c r="M555" s="225">
        <v>115.86</v>
      </c>
      <c r="N555" s="221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  <c r="AA555" s="224"/>
      <c r="AB555" s="224"/>
    </row>
    <row r="556" spans="1:28" s="199" customFormat="1" x14ac:dyDescent="0.35">
      <c r="A556" s="221">
        <v>906203</v>
      </c>
      <c r="B556" s="221"/>
      <c r="C556" s="225">
        <v>3.1</v>
      </c>
      <c r="D556" s="221">
        <v>0.19</v>
      </c>
      <c r="E556" s="221">
        <v>2.4500000000000002</v>
      </c>
      <c r="F556" s="221">
        <v>0.02</v>
      </c>
      <c r="G556" s="221">
        <v>2.89</v>
      </c>
      <c r="H556" s="221">
        <v>0.52</v>
      </c>
      <c r="I556" s="225">
        <v>32.07</v>
      </c>
      <c r="J556" s="225">
        <v>4.33</v>
      </c>
      <c r="K556" s="225">
        <v>770.44</v>
      </c>
      <c r="L556" s="225">
        <v>99.78</v>
      </c>
      <c r="M556" s="225">
        <v>45.71</v>
      </c>
      <c r="N556" s="221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  <c r="AA556" s="224"/>
      <c r="AB556" s="224"/>
    </row>
    <row r="557" spans="1:28" s="199" customFormat="1" x14ac:dyDescent="0.35">
      <c r="A557" s="221">
        <v>906204</v>
      </c>
      <c r="B557" s="221"/>
      <c r="C557" s="225">
        <v>2.2000000000000002</v>
      </c>
      <c r="D557" s="221">
        <v>0.09</v>
      </c>
      <c r="E557" s="221">
        <v>0.97</v>
      </c>
      <c r="F557" s="221">
        <v>0.05</v>
      </c>
      <c r="G557" s="221">
        <v>3.48</v>
      </c>
      <c r="H557" s="221">
        <v>0.26</v>
      </c>
      <c r="I557" s="225">
        <v>88.99</v>
      </c>
      <c r="J557" s="225">
        <v>8.33</v>
      </c>
      <c r="K557" s="225">
        <v>145.86000000000001</v>
      </c>
      <c r="L557" s="225">
        <v>116.06</v>
      </c>
      <c r="M557" s="225">
        <v>43.98</v>
      </c>
      <c r="N557" s="221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  <c r="AA557" s="224"/>
      <c r="AB557" s="224"/>
    </row>
    <row r="558" spans="1:28" s="199" customFormat="1" x14ac:dyDescent="0.35">
      <c r="A558" s="221">
        <v>906205</v>
      </c>
      <c r="B558" s="221"/>
      <c r="C558" s="225">
        <v>2.2999999999999998</v>
      </c>
      <c r="D558" s="221">
        <v>0.09</v>
      </c>
      <c r="E558" s="221">
        <v>0.71</v>
      </c>
      <c r="F558" s="221">
        <v>0.05</v>
      </c>
      <c r="G558" s="221">
        <v>5</v>
      </c>
      <c r="H558" s="221">
        <v>0.41</v>
      </c>
      <c r="I558" s="225">
        <v>62.13</v>
      </c>
      <c r="J558" s="225">
        <v>6.8</v>
      </c>
      <c r="K558" s="225">
        <v>107.13</v>
      </c>
      <c r="L558" s="225">
        <v>116.63</v>
      </c>
      <c r="M558" s="225">
        <v>44.8</v>
      </c>
      <c r="N558" s="221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  <c r="AA558" s="224"/>
      <c r="AB558" s="224"/>
    </row>
    <row r="559" spans="1:28" s="199" customFormat="1" x14ac:dyDescent="0.35">
      <c r="A559" s="221">
        <v>906206</v>
      </c>
      <c r="B559" s="221"/>
      <c r="C559" s="225">
        <v>1.7</v>
      </c>
      <c r="D559" s="221">
        <v>0.08</v>
      </c>
      <c r="E559" s="221">
        <v>0.64</v>
      </c>
      <c r="F559" s="221">
        <v>0.06</v>
      </c>
      <c r="G559" s="221">
        <v>4.5</v>
      </c>
      <c r="H559" s="221">
        <v>0.32</v>
      </c>
      <c r="I559" s="225">
        <v>54.91</v>
      </c>
      <c r="J559" s="225">
        <v>6.15</v>
      </c>
      <c r="K559" s="225">
        <v>153.16</v>
      </c>
      <c r="L559" s="225">
        <v>141.15</v>
      </c>
      <c r="M559" s="225">
        <v>55.01</v>
      </c>
      <c r="N559" s="221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  <c r="AA559" s="224"/>
      <c r="AB559" s="224"/>
    </row>
    <row r="560" spans="1:28" s="199" customFormat="1" x14ac:dyDescent="0.35">
      <c r="A560" s="221">
        <v>906207</v>
      </c>
      <c r="B560" s="221"/>
      <c r="C560" s="225">
        <v>3.1</v>
      </c>
      <c r="D560" s="221">
        <v>0.08</v>
      </c>
      <c r="E560" s="221">
        <v>0.72</v>
      </c>
      <c r="F560" s="221">
        <v>0.06</v>
      </c>
      <c r="G560" s="221">
        <v>5.34</v>
      </c>
      <c r="H560" s="221">
        <v>0.34</v>
      </c>
      <c r="I560" s="225">
        <v>40.61</v>
      </c>
      <c r="J560" s="225">
        <v>7.91</v>
      </c>
      <c r="K560" s="225">
        <v>35.5</v>
      </c>
      <c r="L560" s="225">
        <v>111.01</v>
      </c>
      <c r="M560" s="225">
        <v>33.450000000000003</v>
      </c>
      <c r="N560" s="221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</row>
    <row r="561" spans="1:28" s="199" customFormat="1" x14ac:dyDescent="0.35">
      <c r="A561" s="221">
        <v>906208</v>
      </c>
      <c r="B561" s="221"/>
      <c r="C561" s="225">
        <v>2.2999999999999998</v>
      </c>
      <c r="D561" s="221">
        <v>0.08</v>
      </c>
      <c r="E561" s="221">
        <v>0.56000000000000005</v>
      </c>
      <c r="F561" s="221">
        <v>0.05</v>
      </c>
      <c r="G561" s="221">
        <v>6.57</v>
      </c>
      <c r="H561" s="221">
        <v>0.32</v>
      </c>
      <c r="I561" s="225">
        <v>10.02</v>
      </c>
      <c r="J561" s="225">
        <v>7.76</v>
      </c>
      <c r="K561" s="225">
        <v>16.55</v>
      </c>
      <c r="L561" s="225">
        <v>129.96</v>
      </c>
      <c r="M561" s="225">
        <v>26.2</v>
      </c>
      <c r="N561" s="221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  <c r="AA561" s="224"/>
      <c r="AB561" s="224"/>
    </row>
    <row r="562" spans="1:28" s="199" customFormat="1" x14ac:dyDescent="0.35">
      <c r="A562" s="221">
        <v>906209</v>
      </c>
      <c r="B562" s="221"/>
      <c r="C562" s="225">
        <v>2.1</v>
      </c>
      <c r="D562" s="221">
        <v>0.08</v>
      </c>
      <c r="E562" s="221">
        <v>0.46</v>
      </c>
      <c r="F562" s="221">
        <v>7.0000000000000007E-2</v>
      </c>
      <c r="G562" s="221">
        <v>6.09</v>
      </c>
      <c r="H562" s="221">
        <v>0.44</v>
      </c>
      <c r="I562" s="225">
        <v>45.19</v>
      </c>
      <c r="J562" s="225">
        <v>6.7</v>
      </c>
      <c r="K562" s="225">
        <v>55.06</v>
      </c>
      <c r="L562" s="225">
        <v>102.31</v>
      </c>
      <c r="M562" s="225">
        <v>39.9</v>
      </c>
      <c r="N562" s="221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  <c r="AA562" s="224"/>
      <c r="AB562" s="224"/>
    </row>
    <row r="563" spans="1:28" s="199" customFormat="1" x14ac:dyDescent="0.35">
      <c r="A563" s="221">
        <v>906210</v>
      </c>
      <c r="B563" s="221"/>
      <c r="C563" s="225">
        <v>2.4</v>
      </c>
      <c r="D563" s="221">
        <v>0.09</v>
      </c>
      <c r="E563" s="221">
        <v>1.05</v>
      </c>
      <c r="F563" s="221">
        <v>0.04</v>
      </c>
      <c r="G563" s="221">
        <v>4.03</v>
      </c>
      <c r="H563" s="221">
        <v>0.4</v>
      </c>
      <c r="I563" s="225">
        <v>34.69</v>
      </c>
      <c r="J563" s="225">
        <v>19.5</v>
      </c>
      <c r="K563" s="225">
        <v>45.82</v>
      </c>
      <c r="L563" s="225">
        <v>106.17</v>
      </c>
      <c r="M563" s="225">
        <v>30.2</v>
      </c>
      <c r="N563" s="221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  <c r="AA563" s="224"/>
      <c r="AB563" s="224"/>
    </row>
    <row r="564" spans="1:28" s="199" customFormat="1" x14ac:dyDescent="0.35">
      <c r="A564" s="221">
        <v>906211</v>
      </c>
      <c r="B564" s="221"/>
      <c r="C564" s="225">
        <v>2.5</v>
      </c>
      <c r="D564" s="221">
        <v>0.09</v>
      </c>
      <c r="E564" s="221">
        <v>0.86</v>
      </c>
      <c r="F564" s="221">
        <v>0.04</v>
      </c>
      <c r="G564" s="221">
        <v>3.58</v>
      </c>
      <c r="H564" s="221">
        <v>0.39</v>
      </c>
      <c r="I564" s="225">
        <v>31.31</v>
      </c>
      <c r="J564" s="225">
        <v>13.72</v>
      </c>
      <c r="K564" s="225">
        <v>38.979999999999997</v>
      </c>
      <c r="L564" s="225">
        <v>107.52</v>
      </c>
      <c r="M564" s="225">
        <v>35.950000000000003</v>
      </c>
      <c r="N564" s="221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  <c r="AA564" s="224"/>
      <c r="AB564" s="224"/>
    </row>
    <row r="565" spans="1:28" s="199" customFormat="1" x14ac:dyDescent="0.35">
      <c r="A565" s="221">
        <v>906212</v>
      </c>
      <c r="B565" s="221"/>
      <c r="C565" s="225">
        <v>2.6</v>
      </c>
      <c r="D565" s="221">
        <v>0.09</v>
      </c>
      <c r="E565" s="221">
        <v>0.7</v>
      </c>
      <c r="F565" s="221">
        <v>0.05</v>
      </c>
      <c r="G565" s="221">
        <v>5.33</v>
      </c>
      <c r="H565" s="221">
        <v>0.33</v>
      </c>
      <c r="I565" s="225">
        <v>31.71</v>
      </c>
      <c r="J565" s="225">
        <v>3.02</v>
      </c>
      <c r="K565" s="225">
        <v>31.15</v>
      </c>
      <c r="L565" s="225">
        <v>73.2</v>
      </c>
      <c r="M565" s="225">
        <v>39.44</v>
      </c>
      <c r="N565" s="221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  <c r="AA565" s="224"/>
      <c r="AB565" s="224"/>
    </row>
    <row r="566" spans="1:28" s="199" customFormat="1" x14ac:dyDescent="0.35">
      <c r="A566" s="221">
        <v>906213</v>
      </c>
      <c r="B566" s="221"/>
      <c r="C566" s="225">
        <v>2.8</v>
      </c>
      <c r="D566" s="221">
        <v>0.14000000000000001</v>
      </c>
      <c r="E566" s="221">
        <v>1.38</v>
      </c>
      <c r="F566" s="221">
        <v>0.03</v>
      </c>
      <c r="G566" s="221">
        <v>4.4800000000000004</v>
      </c>
      <c r="H566" s="221">
        <v>0.31</v>
      </c>
      <c r="I566" s="225">
        <v>9.94</v>
      </c>
      <c r="J566" s="225">
        <v>5.3</v>
      </c>
      <c r="K566" s="225">
        <v>28.08</v>
      </c>
      <c r="L566" s="225">
        <v>82.59</v>
      </c>
      <c r="M566" s="225">
        <v>93.42</v>
      </c>
      <c r="N566" s="221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  <c r="AA566" s="224"/>
      <c r="AB566" s="224"/>
    </row>
    <row r="567" spans="1:28" s="199" customFormat="1" x14ac:dyDescent="0.35">
      <c r="A567" s="221">
        <v>906214</v>
      </c>
      <c r="B567" s="221"/>
      <c r="C567" s="225">
        <v>2.5</v>
      </c>
      <c r="D567" s="221">
        <v>0.1</v>
      </c>
      <c r="E567" s="221">
        <v>0.74</v>
      </c>
      <c r="F567" s="221">
        <v>7.0000000000000007E-2</v>
      </c>
      <c r="G567" s="221">
        <v>2.99</v>
      </c>
      <c r="H567" s="221">
        <v>0.27</v>
      </c>
      <c r="I567" s="225">
        <v>25.16</v>
      </c>
      <c r="J567" s="225">
        <v>1.91</v>
      </c>
      <c r="K567" s="225">
        <v>70.47</v>
      </c>
      <c r="L567" s="225">
        <v>98.2</v>
      </c>
      <c r="M567" s="225">
        <v>35.08</v>
      </c>
      <c r="N567" s="221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  <c r="AA567" s="224"/>
      <c r="AB567" s="224"/>
    </row>
    <row r="568" spans="1:28" s="199" customFormat="1" x14ac:dyDescent="0.35">
      <c r="A568" s="221">
        <v>906217</v>
      </c>
      <c r="B568" s="221"/>
      <c r="C568" s="225">
        <v>5.12</v>
      </c>
      <c r="D568" s="221">
        <v>0.5</v>
      </c>
      <c r="E568" s="221">
        <v>3.04</v>
      </c>
      <c r="F568" s="221">
        <v>8.92</v>
      </c>
      <c r="G568" s="221">
        <v>0.83</v>
      </c>
      <c r="H568" s="221">
        <v>0.63</v>
      </c>
      <c r="I568" s="225">
        <v>31</v>
      </c>
      <c r="J568" s="225">
        <v>13.8</v>
      </c>
      <c r="K568" s="225">
        <v>101</v>
      </c>
      <c r="L568" s="225">
        <v>159</v>
      </c>
      <c r="M568" s="225">
        <v>31</v>
      </c>
      <c r="N568" s="221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  <c r="AA568" s="224"/>
      <c r="AB568" s="224"/>
    </row>
    <row r="569" spans="1:28" s="199" customFormat="1" x14ac:dyDescent="0.35">
      <c r="A569" s="221">
        <v>906216</v>
      </c>
      <c r="B569" s="221"/>
      <c r="C569" s="225">
        <v>1.6</v>
      </c>
      <c r="D569" s="221">
        <v>0.13</v>
      </c>
      <c r="E569" s="221">
        <v>0.72</v>
      </c>
      <c r="F569" s="221">
        <v>0.03</v>
      </c>
      <c r="G569" s="221">
        <v>2.4300000000000002</v>
      </c>
      <c r="H569" s="221">
        <v>0.33</v>
      </c>
      <c r="I569" s="225">
        <v>12.6</v>
      </c>
      <c r="J569" s="225">
        <v>9.4</v>
      </c>
      <c r="K569" s="225">
        <v>82.6</v>
      </c>
      <c r="L569" s="225">
        <v>148</v>
      </c>
      <c r="M569" s="225">
        <v>20</v>
      </c>
      <c r="N569" s="221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  <c r="AA569" s="224"/>
      <c r="AB569" s="224"/>
    </row>
    <row r="570" spans="1:28" s="199" customFormat="1" x14ac:dyDescent="0.35">
      <c r="A570" s="221">
        <v>906218</v>
      </c>
      <c r="B570" s="221"/>
      <c r="C570" s="225">
        <v>4.0999999999999996</v>
      </c>
      <c r="D570" s="221">
        <v>0.43</v>
      </c>
      <c r="E570" s="221">
        <v>1.98</v>
      </c>
      <c r="F570" s="221">
        <v>0.12</v>
      </c>
      <c r="G570" s="221">
        <v>1.3</v>
      </c>
      <c r="H570" s="221">
        <v>0.31</v>
      </c>
      <c r="I570" s="225">
        <v>38</v>
      </c>
      <c r="J570" s="225">
        <v>7.3</v>
      </c>
      <c r="K570" s="225">
        <v>79.400000000000006</v>
      </c>
      <c r="L570" s="225">
        <v>104</v>
      </c>
      <c r="M570" s="225">
        <v>32</v>
      </c>
      <c r="N570" s="221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  <c r="AA570" s="224"/>
      <c r="AB570" s="224"/>
    </row>
    <row r="571" spans="1:28" s="199" customFormat="1" x14ac:dyDescent="0.35">
      <c r="A571" s="221">
        <v>906219</v>
      </c>
      <c r="B571" s="221"/>
      <c r="C571" s="225">
        <v>2.4</v>
      </c>
      <c r="D571" s="221">
        <v>0.21</v>
      </c>
      <c r="E571" s="221">
        <v>1.17</v>
      </c>
      <c r="F571" s="221">
        <v>0.03</v>
      </c>
      <c r="G571" s="221">
        <v>1.57</v>
      </c>
      <c r="H571" s="221">
        <v>0.18</v>
      </c>
      <c r="I571" s="225">
        <v>41.8</v>
      </c>
      <c r="J571" s="225">
        <v>96.3</v>
      </c>
      <c r="K571" s="225">
        <v>39.1</v>
      </c>
      <c r="L571" s="225">
        <v>102</v>
      </c>
      <c r="M571" s="225">
        <v>26</v>
      </c>
      <c r="N571" s="221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  <c r="AA571" s="224"/>
      <c r="AB571" s="224"/>
    </row>
    <row r="572" spans="1:28" s="199" customFormat="1" x14ac:dyDescent="0.35">
      <c r="A572" s="221">
        <v>906220</v>
      </c>
      <c r="B572" s="221"/>
      <c r="C572" s="225">
        <v>1.7</v>
      </c>
      <c r="D572" s="221">
        <v>0.17</v>
      </c>
      <c r="E572" s="221">
        <v>0.96</v>
      </c>
      <c r="F572" s="221">
        <v>0.03</v>
      </c>
      <c r="G572" s="221">
        <v>1.3</v>
      </c>
      <c r="H572" s="221">
        <v>0.2</v>
      </c>
      <c r="I572" s="225">
        <v>26.1</v>
      </c>
      <c r="J572" s="225">
        <v>125.1</v>
      </c>
      <c r="K572" s="225">
        <v>59.3</v>
      </c>
      <c r="L572" s="225">
        <v>107</v>
      </c>
      <c r="M572" s="225">
        <v>18</v>
      </c>
      <c r="N572" s="221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  <c r="AA572" s="224"/>
      <c r="AB572" s="224"/>
    </row>
    <row r="573" spans="1:28" s="199" customFormat="1" x14ac:dyDescent="0.35">
      <c r="A573" s="221">
        <v>906221</v>
      </c>
      <c r="B573" s="221"/>
      <c r="C573" s="225">
        <v>2.4</v>
      </c>
      <c r="D573" s="221">
        <v>0.2</v>
      </c>
      <c r="E573" s="221">
        <v>1.1299999999999999</v>
      </c>
      <c r="F573" s="221">
        <v>0.08</v>
      </c>
      <c r="G573" s="221">
        <v>2.17</v>
      </c>
      <c r="H573" s="221">
        <v>0.2</v>
      </c>
      <c r="I573" s="225">
        <v>13.37</v>
      </c>
      <c r="J573" s="225">
        <v>6.21</v>
      </c>
      <c r="K573" s="225">
        <v>14.5</v>
      </c>
      <c r="L573" s="225">
        <v>75.400000000000006</v>
      </c>
      <c r="M573" s="225">
        <v>42.76</v>
      </c>
      <c r="N573" s="221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  <c r="AA573" s="224"/>
      <c r="AB573" s="224"/>
    </row>
    <row r="574" spans="1:28" s="199" customFormat="1" x14ac:dyDescent="0.35">
      <c r="A574" s="221">
        <v>906222</v>
      </c>
      <c r="B574" s="221"/>
      <c r="C574" s="225">
        <v>2.5</v>
      </c>
      <c r="D574" s="221">
        <v>0.14000000000000001</v>
      </c>
      <c r="E574" s="221">
        <v>1.0900000000000001</v>
      </c>
      <c r="F574" s="221">
        <v>0.08</v>
      </c>
      <c r="G574" s="221">
        <v>2.7</v>
      </c>
      <c r="H574" s="221">
        <v>0.23</v>
      </c>
      <c r="I574" s="225">
        <v>47.34</v>
      </c>
      <c r="J574" s="225">
        <v>4.5199999999999996</v>
      </c>
      <c r="K574" s="225">
        <v>43.79</v>
      </c>
      <c r="L574" s="225">
        <v>74.569999999999993</v>
      </c>
      <c r="M574" s="225">
        <v>54.21</v>
      </c>
      <c r="N574" s="221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  <c r="AA574" s="224"/>
      <c r="AB574" s="224"/>
    </row>
    <row r="575" spans="1:28" s="199" customFormat="1" x14ac:dyDescent="0.35">
      <c r="A575" s="221">
        <v>906223</v>
      </c>
      <c r="B575" s="221"/>
      <c r="C575" s="225">
        <v>2.2999999999999998</v>
      </c>
      <c r="D575" s="221">
        <v>0.15</v>
      </c>
      <c r="E575" s="221">
        <v>1.0900000000000001</v>
      </c>
      <c r="F575" s="221">
        <v>0.09</v>
      </c>
      <c r="G575" s="221">
        <v>3.52</v>
      </c>
      <c r="H575" s="221">
        <v>0.23</v>
      </c>
      <c r="I575" s="225">
        <v>54.83</v>
      </c>
      <c r="J575" s="225">
        <v>4.54</v>
      </c>
      <c r="K575" s="225">
        <v>46.23</v>
      </c>
      <c r="L575" s="225">
        <v>83.89</v>
      </c>
      <c r="M575" s="225">
        <v>49.07</v>
      </c>
      <c r="N575" s="221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  <c r="AA575" s="224"/>
      <c r="AB575" s="224"/>
    </row>
    <row r="576" spans="1:28" s="199" customFormat="1" x14ac:dyDescent="0.35">
      <c r="A576" s="221">
        <v>906224</v>
      </c>
      <c r="B576" s="221"/>
      <c r="C576" s="225">
        <v>2.6</v>
      </c>
      <c r="D576" s="221">
        <v>0.11</v>
      </c>
      <c r="E576" s="221">
        <v>1.03</v>
      </c>
      <c r="F576" s="221">
        <v>0.08</v>
      </c>
      <c r="G576" s="221">
        <v>3.66</v>
      </c>
      <c r="H576" s="221">
        <v>0.25</v>
      </c>
      <c r="I576" s="225">
        <v>36.6</v>
      </c>
      <c r="J576" s="225">
        <v>7.87</v>
      </c>
      <c r="K576" s="225">
        <v>35.83</v>
      </c>
      <c r="L576" s="225">
        <v>71.92</v>
      </c>
      <c r="M576" s="225">
        <v>36.26</v>
      </c>
      <c r="N576" s="221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  <c r="AA576" s="224"/>
      <c r="AB576" s="224"/>
    </row>
    <row r="577" spans="1:28" s="199" customFormat="1" x14ac:dyDescent="0.35">
      <c r="A577" s="221">
        <v>906225</v>
      </c>
      <c r="B577" s="221"/>
      <c r="C577" s="225">
        <v>2.2999999999999998</v>
      </c>
      <c r="D577" s="221">
        <v>0.09</v>
      </c>
      <c r="E577" s="221">
        <v>0.55000000000000004</v>
      </c>
      <c r="F577" s="221">
        <v>0.08</v>
      </c>
      <c r="G577" s="221">
        <v>6.06</v>
      </c>
      <c r="H577" s="221">
        <v>0.24</v>
      </c>
      <c r="I577" s="225">
        <v>9.48</v>
      </c>
      <c r="J577" s="225">
        <v>6.32</v>
      </c>
      <c r="K577" s="225">
        <v>18.989999999999998</v>
      </c>
      <c r="L577" s="225">
        <v>81.64</v>
      </c>
      <c r="M577" s="225">
        <v>55.67</v>
      </c>
      <c r="N577" s="221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  <c r="AA577" s="224"/>
      <c r="AB577" s="224"/>
    </row>
    <row r="578" spans="1:28" s="199" customFormat="1" x14ac:dyDescent="0.35">
      <c r="A578" s="221">
        <v>906226</v>
      </c>
      <c r="B578" s="221"/>
      <c r="C578" s="225">
        <v>2.5</v>
      </c>
      <c r="D578" s="221">
        <v>0.13</v>
      </c>
      <c r="E578" s="221">
        <v>0.86</v>
      </c>
      <c r="F578" s="221">
        <v>7.0000000000000007E-2</v>
      </c>
      <c r="G578" s="221">
        <v>3.29</v>
      </c>
      <c r="H578" s="221">
        <v>0.24</v>
      </c>
      <c r="I578" s="225">
        <v>9.58</v>
      </c>
      <c r="J578" s="225">
        <v>5.79</v>
      </c>
      <c r="K578" s="225">
        <v>21.96</v>
      </c>
      <c r="L578" s="225">
        <v>70.239999999999995</v>
      </c>
      <c r="M578" s="225">
        <v>46.99</v>
      </c>
      <c r="N578" s="221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  <c r="AA578" s="224"/>
      <c r="AB578" s="224"/>
    </row>
    <row r="579" spans="1:28" s="199" customFormat="1" x14ac:dyDescent="0.35">
      <c r="A579" s="221">
        <v>906227</v>
      </c>
      <c r="B579" s="221"/>
      <c r="C579" s="225">
        <v>2.5</v>
      </c>
      <c r="D579" s="221">
        <v>0.13</v>
      </c>
      <c r="E579" s="221">
        <v>0.91</v>
      </c>
      <c r="F579" s="221">
        <v>0.06</v>
      </c>
      <c r="G579" s="221">
        <v>2.44</v>
      </c>
      <c r="H579" s="221">
        <v>0.18</v>
      </c>
      <c r="I579" s="225">
        <v>8.5399999999999991</v>
      </c>
      <c r="J579" s="225">
        <v>4.3499999999999996</v>
      </c>
      <c r="K579" s="225">
        <v>26.9</v>
      </c>
      <c r="L579" s="225">
        <v>61.13</v>
      </c>
      <c r="M579" s="225">
        <v>32.58</v>
      </c>
      <c r="N579" s="221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  <c r="AA579" s="224"/>
      <c r="AB579" s="224"/>
    </row>
    <row r="580" spans="1:28" s="199" customFormat="1" x14ac:dyDescent="0.35">
      <c r="A580" s="221">
        <v>906228</v>
      </c>
      <c r="B580" s="221"/>
      <c r="C580" s="225">
        <v>1.6</v>
      </c>
      <c r="D580" s="221">
        <v>0.12</v>
      </c>
      <c r="E580" s="221">
        <v>0.84</v>
      </c>
      <c r="F580" s="221">
        <v>0.02</v>
      </c>
      <c r="G580" s="221">
        <v>1.49</v>
      </c>
      <c r="H580" s="221">
        <v>0.25</v>
      </c>
      <c r="I580" s="225">
        <v>20.440000000000001</v>
      </c>
      <c r="J580" s="225">
        <v>132.5</v>
      </c>
      <c r="K580" s="225">
        <v>29.66</v>
      </c>
      <c r="L580" s="225">
        <v>98.76</v>
      </c>
      <c r="M580" s="225">
        <v>21.45</v>
      </c>
      <c r="N580" s="221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  <c r="AA580" s="224"/>
      <c r="AB580" s="224"/>
    </row>
    <row r="581" spans="1:28" s="199" customFormat="1" x14ac:dyDescent="0.35">
      <c r="A581" s="221">
        <v>906215</v>
      </c>
      <c r="B581" s="221"/>
      <c r="C581" s="225">
        <v>1.3</v>
      </c>
      <c r="D581" s="221">
        <v>0.23</v>
      </c>
      <c r="E581" s="221">
        <v>0.54</v>
      </c>
      <c r="F581" s="221">
        <v>0.25</v>
      </c>
      <c r="G581" s="221">
        <v>0.38</v>
      </c>
      <c r="H581" s="221">
        <v>0.15</v>
      </c>
      <c r="I581" s="225">
        <v>14.33</v>
      </c>
      <c r="J581" s="225">
        <v>1.83</v>
      </c>
      <c r="K581" s="225">
        <v>37.840000000000003</v>
      </c>
      <c r="L581" s="225">
        <v>119.57</v>
      </c>
      <c r="M581" s="225">
        <v>3.25</v>
      </c>
      <c r="N581" s="221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  <c r="AA581" s="224"/>
      <c r="AB581" s="224"/>
    </row>
    <row r="582" spans="1:28" s="199" customFormat="1" x14ac:dyDescent="0.35">
      <c r="A582" s="195">
        <v>906229</v>
      </c>
      <c r="B582" s="196"/>
      <c r="C582" s="200">
        <v>1.2886164</v>
      </c>
      <c r="D582" s="196">
        <v>7.0000000000000007E-2</v>
      </c>
      <c r="E582" s="196">
        <v>0.36</v>
      </c>
      <c r="F582" s="196">
        <v>0.04</v>
      </c>
      <c r="G582" s="196">
        <v>1.66</v>
      </c>
      <c r="H582" s="196">
        <v>0.22</v>
      </c>
      <c r="I582" s="203">
        <v>9.24</v>
      </c>
      <c r="J582" s="203">
        <v>69.099999999999994</v>
      </c>
      <c r="K582" s="203">
        <v>41.47</v>
      </c>
      <c r="L582" s="203">
        <v>168.2</v>
      </c>
      <c r="M582" s="203">
        <v>13.09</v>
      </c>
      <c r="N582" s="196"/>
    </row>
    <row r="583" spans="1:28" s="199" customFormat="1" x14ac:dyDescent="0.35">
      <c r="A583" s="195">
        <v>906230</v>
      </c>
      <c r="B583" s="196"/>
      <c r="C583" s="200">
        <v>1.3446431999999999</v>
      </c>
      <c r="D583" s="196">
        <v>0.08</v>
      </c>
      <c r="E583" s="196">
        <v>0.37</v>
      </c>
      <c r="F583" s="196">
        <v>0.04</v>
      </c>
      <c r="G583" s="196">
        <v>1.69</v>
      </c>
      <c r="H583" s="196">
        <v>0.21</v>
      </c>
      <c r="I583" s="203">
        <v>11.69</v>
      </c>
      <c r="J583" s="203">
        <v>49.26</v>
      </c>
      <c r="K583" s="203">
        <v>41.89</v>
      </c>
      <c r="L583" s="203">
        <v>140.68</v>
      </c>
      <c r="M583" s="203">
        <v>13.41</v>
      </c>
      <c r="N583" s="196"/>
    </row>
    <row r="584" spans="1:28" s="199" customFormat="1" x14ac:dyDescent="0.35">
      <c r="A584" s="195">
        <v>906231</v>
      </c>
      <c r="B584" s="196"/>
      <c r="C584" s="200">
        <v>1.2045762</v>
      </c>
      <c r="D584" s="196">
        <v>0.08</v>
      </c>
      <c r="E584" s="196">
        <v>0.37</v>
      </c>
      <c r="F584" s="196">
        <v>0.03</v>
      </c>
      <c r="G584" s="196">
        <v>1.68</v>
      </c>
      <c r="H584" s="196">
        <v>0.19</v>
      </c>
      <c r="I584" s="203">
        <v>9.1</v>
      </c>
      <c r="J584" s="203">
        <v>68.08</v>
      </c>
      <c r="K584" s="203">
        <v>42.34</v>
      </c>
      <c r="L584" s="203">
        <v>148.22</v>
      </c>
      <c r="M584" s="203">
        <v>14.58</v>
      </c>
      <c r="N584" s="196"/>
    </row>
    <row r="585" spans="1:28" s="199" customFormat="1" x14ac:dyDescent="0.35">
      <c r="A585" s="195">
        <v>906234</v>
      </c>
      <c r="B585" s="196"/>
      <c r="C585" s="200">
        <v>2</v>
      </c>
      <c r="D585" s="196">
        <v>0.13</v>
      </c>
      <c r="E585" s="196">
        <v>0.43</v>
      </c>
      <c r="F585" s="196">
        <v>0.02</v>
      </c>
      <c r="G585" s="196">
        <v>0.69</v>
      </c>
      <c r="H585" s="196">
        <v>0.19</v>
      </c>
      <c r="I585" s="203">
        <v>16.260000000000002</v>
      </c>
      <c r="J585" s="203">
        <v>1.94</v>
      </c>
      <c r="K585" s="203">
        <v>49.46</v>
      </c>
      <c r="L585" s="203">
        <v>474.22</v>
      </c>
      <c r="M585" s="203">
        <v>22.61</v>
      </c>
      <c r="N585" s="196"/>
    </row>
    <row r="586" spans="1:28" s="199" customFormat="1" x14ac:dyDescent="0.35">
      <c r="A586" s="195">
        <v>906235</v>
      </c>
      <c r="B586" s="196"/>
      <c r="C586" s="200">
        <v>6</v>
      </c>
      <c r="D586" s="196">
        <v>0.4</v>
      </c>
      <c r="E586" s="196">
        <v>5.21</v>
      </c>
      <c r="F586" s="196">
        <v>0.04</v>
      </c>
      <c r="G586" s="196">
        <v>2.4</v>
      </c>
      <c r="H586" s="196">
        <v>1.1399999999999999</v>
      </c>
      <c r="I586" s="203">
        <v>17.79</v>
      </c>
      <c r="J586" s="203">
        <v>5.21</v>
      </c>
      <c r="K586" s="203">
        <v>96.12</v>
      </c>
      <c r="L586" s="203">
        <v>135.75</v>
      </c>
      <c r="M586" s="203">
        <v>24.5</v>
      </c>
      <c r="N586" s="196"/>
    </row>
    <row r="587" spans="1:28" s="199" customFormat="1" x14ac:dyDescent="0.35">
      <c r="A587" s="195">
        <v>906236</v>
      </c>
      <c r="B587" s="196"/>
      <c r="C587" s="200">
        <v>6.5</v>
      </c>
      <c r="D587" s="196">
        <v>0.54</v>
      </c>
      <c r="E587" s="196">
        <v>4.03</v>
      </c>
      <c r="F587" s="196">
        <v>0.03</v>
      </c>
      <c r="G587" s="196">
        <v>2.2799999999999998</v>
      </c>
      <c r="H587" s="196">
        <v>1.3</v>
      </c>
      <c r="I587" s="203">
        <v>20.48</v>
      </c>
      <c r="J587" s="203">
        <v>11.55</v>
      </c>
      <c r="K587" s="203">
        <v>94.99</v>
      </c>
      <c r="L587" s="203">
        <v>120.71</v>
      </c>
      <c r="M587" s="203">
        <v>32.020000000000003</v>
      </c>
      <c r="N587" s="196"/>
    </row>
    <row r="588" spans="1:28" s="199" customFormat="1" x14ac:dyDescent="0.35">
      <c r="A588" s="195">
        <v>906237</v>
      </c>
      <c r="B588" s="196"/>
      <c r="C588" s="200">
        <v>6.1</v>
      </c>
      <c r="D588" s="196">
        <v>0.46</v>
      </c>
      <c r="E588" s="196">
        <v>4.1399999999999997</v>
      </c>
      <c r="F588" s="196">
        <v>7.0000000000000007E-2</v>
      </c>
      <c r="G588" s="196">
        <v>2.37</v>
      </c>
      <c r="H588" s="196">
        <v>1.75</v>
      </c>
      <c r="I588" s="203">
        <v>17.329999999999998</v>
      </c>
      <c r="J588" s="203">
        <v>6.18</v>
      </c>
      <c r="K588" s="203">
        <v>89.08</v>
      </c>
      <c r="L588" s="203">
        <v>158.96</v>
      </c>
      <c r="M588" s="203">
        <v>22.68</v>
      </c>
      <c r="N588" s="196"/>
    </row>
    <row r="589" spans="1:28" s="199" customFormat="1" x14ac:dyDescent="0.35">
      <c r="A589" s="195">
        <v>906238</v>
      </c>
      <c r="B589" s="196"/>
      <c r="C589" s="200">
        <v>5.9</v>
      </c>
      <c r="D589" s="196">
        <v>0.43</v>
      </c>
      <c r="E589" s="196">
        <v>4.24</v>
      </c>
      <c r="F589" s="196">
        <v>0.03</v>
      </c>
      <c r="G589" s="196">
        <v>2.34</v>
      </c>
      <c r="H589" s="196">
        <v>1.1200000000000001</v>
      </c>
      <c r="I589" s="203">
        <v>14.38</v>
      </c>
      <c r="J589" s="203">
        <v>3.94</v>
      </c>
      <c r="K589" s="203">
        <v>98.52</v>
      </c>
      <c r="L589" s="203">
        <v>144.24</v>
      </c>
      <c r="M589" s="203">
        <v>22.75</v>
      </c>
      <c r="N589" s="196"/>
    </row>
    <row r="590" spans="1:28" s="199" customFormat="1" x14ac:dyDescent="0.35">
      <c r="A590" s="195">
        <v>906239</v>
      </c>
      <c r="B590" s="196"/>
      <c r="C590" s="200">
        <v>6</v>
      </c>
      <c r="D590" s="196">
        <v>0.43</v>
      </c>
      <c r="E590" s="196">
        <v>3.92</v>
      </c>
      <c r="F590" s="196">
        <v>0.03</v>
      </c>
      <c r="G590" s="196">
        <v>1.91</v>
      </c>
      <c r="H590" s="196">
        <v>0.97</v>
      </c>
      <c r="I590" s="203">
        <v>15.15</v>
      </c>
      <c r="J590" s="203">
        <v>2.85</v>
      </c>
      <c r="K590" s="203">
        <v>92.52</v>
      </c>
      <c r="L590" s="203">
        <v>132.75</v>
      </c>
      <c r="M590" s="203">
        <v>22.77</v>
      </c>
      <c r="N590" s="196"/>
    </row>
    <row r="591" spans="1:28" s="199" customFormat="1" x14ac:dyDescent="0.35">
      <c r="A591" s="195">
        <v>906240</v>
      </c>
      <c r="B591" s="196"/>
      <c r="C591" s="200">
        <v>2</v>
      </c>
      <c r="D591" s="196">
        <v>0.1</v>
      </c>
      <c r="E591" s="196">
        <v>0.72</v>
      </c>
      <c r="F591" s="196">
        <v>0.04</v>
      </c>
      <c r="G591" s="196">
        <v>5.28</v>
      </c>
      <c r="H591" s="196">
        <v>0.25</v>
      </c>
      <c r="I591" s="203">
        <v>15.88</v>
      </c>
      <c r="J591" s="203">
        <v>3.68</v>
      </c>
      <c r="K591" s="203">
        <v>42.26</v>
      </c>
      <c r="L591" s="203">
        <v>92.85</v>
      </c>
      <c r="M591" s="203">
        <v>67.209999999999994</v>
      </c>
      <c r="N591" s="196"/>
    </row>
    <row r="592" spans="1:28" s="199" customFormat="1" x14ac:dyDescent="0.35">
      <c r="A592" s="195">
        <v>906241</v>
      </c>
      <c r="B592" s="196"/>
      <c r="C592" s="200">
        <v>1.6</v>
      </c>
      <c r="D592" s="196">
        <v>0.13</v>
      </c>
      <c r="E592" s="196">
        <v>1.72</v>
      </c>
      <c r="F592" s="196">
        <v>0.05</v>
      </c>
      <c r="G592" s="196">
        <v>2.88</v>
      </c>
      <c r="H592" s="196">
        <v>0.24</v>
      </c>
      <c r="I592" s="203">
        <v>15.22</v>
      </c>
      <c r="J592" s="203">
        <v>2.63</v>
      </c>
      <c r="K592" s="203">
        <v>44.04</v>
      </c>
      <c r="L592" s="203">
        <v>109.27</v>
      </c>
      <c r="M592" s="203">
        <v>142.13</v>
      </c>
      <c r="N592" s="196"/>
    </row>
    <row r="593" spans="1:14" s="199" customFormat="1" x14ac:dyDescent="0.35">
      <c r="A593" s="195">
        <v>906242</v>
      </c>
      <c r="B593" s="196"/>
      <c r="C593" s="200">
        <v>1.7</v>
      </c>
      <c r="D593" s="196">
        <v>0.2</v>
      </c>
      <c r="E593" s="196">
        <v>1.56</v>
      </c>
      <c r="F593" s="196">
        <v>0.05</v>
      </c>
      <c r="G593" s="196">
        <v>3.05</v>
      </c>
      <c r="H593" s="196">
        <v>0.25</v>
      </c>
      <c r="I593" s="203">
        <v>14.99</v>
      </c>
      <c r="J593" s="203">
        <v>2.5</v>
      </c>
      <c r="K593" s="203">
        <v>48.29</v>
      </c>
      <c r="L593" s="203">
        <v>114.91</v>
      </c>
      <c r="M593" s="203">
        <v>180.76</v>
      </c>
      <c r="N593" s="196"/>
    </row>
    <row r="594" spans="1:14" s="199" customFormat="1" x14ac:dyDescent="0.35">
      <c r="A594" s="195">
        <v>906243</v>
      </c>
      <c r="B594" s="196"/>
      <c r="C594" s="200">
        <v>1.7</v>
      </c>
      <c r="D594" s="196">
        <v>0.14000000000000001</v>
      </c>
      <c r="E594" s="196">
        <v>1.65</v>
      </c>
      <c r="F594" s="196">
        <v>0.05</v>
      </c>
      <c r="G594" s="196">
        <v>2.97</v>
      </c>
      <c r="H594" s="196">
        <v>0.21</v>
      </c>
      <c r="I594" s="203">
        <v>15.44</v>
      </c>
      <c r="J594" s="203">
        <v>2.23</v>
      </c>
      <c r="K594" s="203">
        <v>43.28</v>
      </c>
      <c r="L594" s="203">
        <v>125.22</v>
      </c>
      <c r="M594" s="203">
        <v>145.02000000000001</v>
      </c>
      <c r="N594" s="196"/>
    </row>
    <row r="595" spans="1:14" s="199" customFormat="1" x14ac:dyDescent="0.35">
      <c r="A595" s="195">
        <v>906244</v>
      </c>
      <c r="B595" s="196"/>
      <c r="C595" s="200">
        <v>1.8</v>
      </c>
      <c r="D595" s="196">
        <v>0.12000000000000001</v>
      </c>
      <c r="E595" s="196">
        <v>0.8</v>
      </c>
      <c r="F595" s="196">
        <v>0.06</v>
      </c>
      <c r="G595" s="196">
        <v>3.99</v>
      </c>
      <c r="H595" s="196">
        <v>0.25</v>
      </c>
      <c r="I595" s="203">
        <v>98.72</v>
      </c>
      <c r="J595" s="203">
        <v>4.91</v>
      </c>
      <c r="K595" s="203">
        <v>177.42</v>
      </c>
      <c r="L595" s="203">
        <v>163.74</v>
      </c>
      <c r="M595" s="203">
        <v>45.52</v>
      </c>
      <c r="N595" s="196"/>
    </row>
    <row r="596" spans="1:14" s="199" customFormat="1" x14ac:dyDescent="0.35">
      <c r="A596" s="195">
        <v>906245</v>
      </c>
      <c r="B596" s="196"/>
      <c r="C596" s="200">
        <v>1.9</v>
      </c>
      <c r="D596" s="196">
        <v>0.11</v>
      </c>
      <c r="E596" s="196">
        <v>0.44</v>
      </c>
      <c r="F596" s="196">
        <v>0.06</v>
      </c>
      <c r="G596" s="196">
        <v>4.7</v>
      </c>
      <c r="H596" s="196">
        <v>0.31</v>
      </c>
      <c r="I596" s="203">
        <v>73.36</v>
      </c>
      <c r="J596" s="203">
        <v>3.9</v>
      </c>
      <c r="K596" s="203">
        <v>188.19</v>
      </c>
      <c r="L596" s="203">
        <v>168.01</v>
      </c>
      <c r="M596" s="203">
        <v>47.16</v>
      </c>
      <c r="N596" s="196"/>
    </row>
    <row r="597" spans="1:14" s="199" customFormat="1" x14ac:dyDescent="0.35">
      <c r="A597" s="195">
        <v>906246</v>
      </c>
      <c r="B597" s="196"/>
      <c r="C597" s="200">
        <v>1.8</v>
      </c>
      <c r="D597" s="196">
        <v>0.12000000000000001</v>
      </c>
      <c r="E597" s="196">
        <v>0.56999999999999995</v>
      </c>
      <c r="F597" s="196">
        <v>0.05</v>
      </c>
      <c r="G597" s="196">
        <v>4.55</v>
      </c>
      <c r="H597" s="196">
        <v>0.39</v>
      </c>
      <c r="I597" s="203">
        <v>78.19</v>
      </c>
      <c r="J597" s="203">
        <v>3.63</v>
      </c>
      <c r="K597" s="203">
        <v>105.69</v>
      </c>
      <c r="L597" s="203">
        <v>144.80000000000001</v>
      </c>
      <c r="M597" s="203">
        <v>43.99</v>
      </c>
      <c r="N597" s="196"/>
    </row>
    <row r="598" spans="1:14" s="199" customFormat="1" x14ac:dyDescent="0.35">
      <c r="A598" s="195">
        <v>906247</v>
      </c>
      <c r="B598" s="196"/>
      <c r="C598" s="200">
        <v>1.8</v>
      </c>
      <c r="D598" s="196">
        <v>0.11</v>
      </c>
      <c r="E598" s="196">
        <v>0.5</v>
      </c>
      <c r="F598" s="196">
        <v>7.0000000000000007E-2</v>
      </c>
      <c r="G598" s="196">
        <v>6.26</v>
      </c>
      <c r="H598" s="196">
        <v>0.34</v>
      </c>
      <c r="I598" s="203">
        <v>41.15</v>
      </c>
      <c r="J598" s="203">
        <v>4.6100000000000003</v>
      </c>
      <c r="K598" s="203">
        <v>46.35</v>
      </c>
      <c r="L598" s="203">
        <v>156.58000000000001</v>
      </c>
      <c r="M598" s="203">
        <v>23.25</v>
      </c>
      <c r="N598" s="196"/>
    </row>
    <row r="599" spans="1:14" s="199" customFormat="1" x14ac:dyDescent="0.35">
      <c r="A599" s="195">
        <v>906248</v>
      </c>
      <c r="B599" s="196"/>
      <c r="C599" s="200">
        <v>2</v>
      </c>
      <c r="D599" s="196">
        <v>0.12000000000000001</v>
      </c>
      <c r="E599" s="196">
        <v>0.59</v>
      </c>
      <c r="F599" s="196">
        <v>0.05</v>
      </c>
      <c r="G599" s="196">
        <v>6.46</v>
      </c>
      <c r="H599" s="196">
        <v>0.36</v>
      </c>
      <c r="I599" s="203">
        <v>10.96</v>
      </c>
      <c r="J599" s="203">
        <v>5.76</v>
      </c>
      <c r="K599" s="203">
        <v>18.64</v>
      </c>
      <c r="L599" s="203">
        <v>161.86000000000001</v>
      </c>
      <c r="M599" s="203">
        <v>27.85</v>
      </c>
      <c r="N599" s="196"/>
    </row>
    <row r="600" spans="1:14" s="199" customFormat="1" x14ac:dyDescent="0.35">
      <c r="A600" s="195">
        <v>906249</v>
      </c>
      <c r="B600" s="196"/>
      <c r="C600" s="200">
        <v>2.2999999999999998</v>
      </c>
      <c r="D600" s="196">
        <v>0.11</v>
      </c>
      <c r="E600" s="196">
        <v>0.4</v>
      </c>
      <c r="F600" s="196">
        <v>0.06</v>
      </c>
      <c r="G600" s="196">
        <v>6.98</v>
      </c>
      <c r="H600" s="196">
        <v>0.5</v>
      </c>
      <c r="I600" s="203">
        <v>46.56</v>
      </c>
      <c r="J600" s="203">
        <v>5.17</v>
      </c>
      <c r="K600" s="203">
        <v>56.83</v>
      </c>
      <c r="L600" s="203">
        <v>142.05000000000001</v>
      </c>
      <c r="M600" s="203">
        <v>39.96</v>
      </c>
      <c r="N600" s="196"/>
    </row>
    <row r="601" spans="1:14" s="199" customFormat="1" x14ac:dyDescent="0.35">
      <c r="A601" s="195">
        <v>906250</v>
      </c>
      <c r="B601" s="196"/>
      <c r="C601" s="200">
        <v>2</v>
      </c>
      <c r="D601" s="196">
        <v>0.12000000000000001</v>
      </c>
      <c r="E601" s="196">
        <v>0.97</v>
      </c>
      <c r="F601" s="196">
        <v>0.05</v>
      </c>
      <c r="G601" s="196">
        <v>3.55</v>
      </c>
      <c r="H601" s="196">
        <v>0.33</v>
      </c>
      <c r="I601" s="203">
        <v>35.36</v>
      </c>
      <c r="J601" s="203">
        <v>15.22</v>
      </c>
      <c r="K601" s="203">
        <v>44.76</v>
      </c>
      <c r="L601" s="203">
        <v>133.38</v>
      </c>
      <c r="M601" s="203">
        <v>25.1</v>
      </c>
      <c r="N601" s="196"/>
    </row>
    <row r="602" spans="1:14" s="199" customFormat="1" x14ac:dyDescent="0.35">
      <c r="A602" s="195">
        <v>906251</v>
      </c>
      <c r="B602" s="196"/>
      <c r="C602" s="200">
        <v>2.2000000000000002</v>
      </c>
      <c r="D602" s="196">
        <v>0.12000000000000001</v>
      </c>
      <c r="E602" s="196">
        <v>0.8</v>
      </c>
      <c r="F602" s="196">
        <v>0.05</v>
      </c>
      <c r="G602" s="196">
        <v>3.62</v>
      </c>
      <c r="H602" s="196">
        <v>0.38</v>
      </c>
      <c r="I602" s="203">
        <v>30.22</v>
      </c>
      <c r="J602" s="203">
        <v>12.66</v>
      </c>
      <c r="K602" s="203">
        <v>37.1</v>
      </c>
      <c r="L602" s="203">
        <v>139.34</v>
      </c>
      <c r="M602" s="203">
        <v>34.79</v>
      </c>
      <c r="N602" s="196"/>
    </row>
    <row r="603" spans="1:14" s="199" customFormat="1" x14ac:dyDescent="0.35">
      <c r="A603" s="195">
        <v>906252</v>
      </c>
      <c r="B603" s="196"/>
      <c r="C603" s="200">
        <v>2.2000000000000002</v>
      </c>
      <c r="D603" s="196">
        <v>0.11</v>
      </c>
      <c r="E603" s="196">
        <v>0.53</v>
      </c>
      <c r="F603" s="196">
        <v>0.04</v>
      </c>
      <c r="G603" s="196">
        <v>4.71</v>
      </c>
      <c r="H603" s="196">
        <v>0.3</v>
      </c>
      <c r="I603" s="203">
        <v>36.869999999999997</v>
      </c>
      <c r="J603" s="203">
        <v>1.55</v>
      </c>
      <c r="K603" s="203">
        <v>41.28</v>
      </c>
      <c r="L603" s="203">
        <v>118.58</v>
      </c>
      <c r="M603" s="203">
        <v>29.84</v>
      </c>
      <c r="N603" s="196"/>
    </row>
    <row r="604" spans="1:14" s="199" customFormat="1" x14ac:dyDescent="0.35">
      <c r="A604" s="195">
        <v>906253</v>
      </c>
      <c r="B604" s="196"/>
      <c r="C604" s="200">
        <v>2.9</v>
      </c>
      <c r="D604" s="196">
        <v>0.18</v>
      </c>
      <c r="E604" s="196">
        <v>1.33</v>
      </c>
      <c r="F604" s="196">
        <v>0.05</v>
      </c>
      <c r="G604" s="196">
        <v>4.63</v>
      </c>
      <c r="H604" s="196">
        <v>0.27</v>
      </c>
      <c r="I604" s="203">
        <v>23.13</v>
      </c>
      <c r="J604" s="203">
        <v>4.72</v>
      </c>
      <c r="K604" s="203">
        <v>46.98</v>
      </c>
      <c r="L604" s="203">
        <v>155.82</v>
      </c>
      <c r="M604" s="203">
        <v>55.54</v>
      </c>
      <c r="N604" s="196"/>
    </row>
    <row r="605" spans="1:14" s="199" customFormat="1" x14ac:dyDescent="0.35">
      <c r="A605" s="195">
        <v>906254</v>
      </c>
      <c r="B605" s="196"/>
      <c r="C605" s="200">
        <v>2.2000000000000002</v>
      </c>
      <c r="D605" s="196">
        <v>0.12000000000000001</v>
      </c>
      <c r="E605" s="196">
        <v>0.54</v>
      </c>
      <c r="F605" s="196">
        <v>0.06</v>
      </c>
      <c r="G605" s="196">
        <v>3.08</v>
      </c>
      <c r="H605" s="196">
        <v>0.3</v>
      </c>
      <c r="I605" s="203">
        <v>36.35</v>
      </c>
      <c r="J605" s="203">
        <v>1.69</v>
      </c>
      <c r="K605" s="203">
        <v>104.65</v>
      </c>
      <c r="L605" s="203">
        <v>161.24</v>
      </c>
      <c r="M605" s="203">
        <v>32.07</v>
      </c>
      <c r="N605" s="196"/>
    </row>
    <row r="606" spans="1:14" s="199" customFormat="1" x14ac:dyDescent="0.35">
      <c r="A606" s="195">
        <v>906255</v>
      </c>
      <c r="B606" s="196"/>
      <c r="C606" s="200">
        <v>1.6</v>
      </c>
      <c r="D606" s="196">
        <v>0.13</v>
      </c>
      <c r="E606" s="196">
        <v>0.56999999999999995</v>
      </c>
      <c r="F606" s="196">
        <v>0.08</v>
      </c>
      <c r="G606" s="196">
        <v>1.84</v>
      </c>
      <c r="H606" s="196">
        <v>0.21</v>
      </c>
      <c r="I606" s="203">
        <v>102.98</v>
      </c>
      <c r="J606" s="203">
        <v>178.91</v>
      </c>
      <c r="K606" s="203">
        <v>89.92</v>
      </c>
      <c r="L606" s="203">
        <v>253.79</v>
      </c>
      <c r="M606" s="203">
        <v>32.51</v>
      </c>
      <c r="N606" s="196"/>
    </row>
    <row r="607" spans="1:14" s="199" customFormat="1" x14ac:dyDescent="0.35">
      <c r="A607" s="195">
        <v>906256</v>
      </c>
      <c r="B607" s="196"/>
      <c r="C607" s="200"/>
      <c r="D607" s="196"/>
      <c r="E607" s="196"/>
      <c r="F607" s="196"/>
      <c r="G607" s="196"/>
      <c r="H607" s="196"/>
      <c r="I607" s="203"/>
      <c r="J607" s="203"/>
      <c r="K607" s="203"/>
      <c r="L607" s="203"/>
      <c r="M607" s="203"/>
      <c r="N607" s="196"/>
    </row>
    <row r="608" spans="1:14" s="199" customFormat="1" x14ac:dyDescent="0.35">
      <c r="A608" s="195">
        <v>906257</v>
      </c>
      <c r="B608" s="196"/>
      <c r="C608" s="200"/>
      <c r="D608" s="196"/>
      <c r="E608" s="196"/>
      <c r="F608" s="196"/>
      <c r="G608" s="196"/>
      <c r="H608" s="196"/>
      <c r="I608" s="203"/>
      <c r="J608" s="203"/>
      <c r="K608" s="203"/>
      <c r="L608" s="203"/>
      <c r="M608" s="203"/>
      <c r="N608" s="196"/>
    </row>
    <row r="609" spans="1:15" s="199" customFormat="1" x14ac:dyDescent="0.35">
      <c r="A609" s="195">
        <v>906258</v>
      </c>
      <c r="B609" s="196"/>
      <c r="C609" s="200"/>
      <c r="D609" s="196"/>
      <c r="E609" s="196"/>
      <c r="F609" s="196"/>
      <c r="G609" s="196"/>
      <c r="H609" s="196"/>
      <c r="I609" s="203"/>
      <c r="J609" s="203"/>
      <c r="K609" s="203"/>
      <c r="L609" s="203"/>
      <c r="M609" s="203"/>
      <c r="N609" s="196"/>
    </row>
    <row r="610" spans="1:15" s="199" customFormat="1" x14ac:dyDescent="0.35">
      <c r="A610" s="195">
        <v>906259</v>
      </c>
      <c r="B610" s="196"/>
      <c r="C610" s="200"/>
      <c r="D610" s="196"/>
      <c r="E610" s="196"/>
      <c r="F610" s="196"/>
      <c r="G610" s="196"/>
      <c r="H610" s="196"/>
      <c r="I610" s="203"/>
      <c r="J610" s="203"/>
      <c r="K610" s="203"/>
      <c r="L610" s="203"/>
      <c r="M610" s="203"/>
      <c r="N610" s="196"/>
    </row>
    <row r="611" spans="1:15" s="199" customFormat="1" x14ac:dyDescent="0.35">
      <c r="A611" s="195">
        <v>906260</v>
      </c>
      <c r="B611" s="196"/>
      <c r="C611" s="200">
        <v>4.5</v>
      </c>
      <c r="D611" s="196">
        <v>0.87</v>
      </c>
      <c r="E611" s="196">
        <v>1.1200000000000001</v>
      </c>
      <c r="F611" s="196">
        <v>0.02</v>
      </c>
      <c r="G611" s="196">
        <v>0.76</v>
      </c>
      <c r="H611" s="196">
        <v>0.28000000000000003</v>
      </c>
      <c r="I611" s="203">
        <v>61.48</v>
      </c>
      <c r="J611" s="203">
        <v>19.8</v>
      </c>
      <c r="K611" s="203">
        <v>206.59</v>
      </c>
      <c r="L611" s="203">
        <v>81.37</v>
      </c>
      <c r="M611" s="203">
        <v>53.28</v>
      </c>
      <c r="N611" s="196"/>
    </row>
    <row r="612" spans="1:15" s="199" customFormat="1" x14ac:dyDescent="0.35">
      <c r="A612" s="195">
        <v>906261</v>
      </c>
      <c r="B612" s="196"/>
      <c r="C612" s="200">
        <v>3.8</v>
      </c>
      <c r="D612" s="196">
        <v>0.3</v>
      </c>
      <c r="E612" s="196">
        <v>2.74</v>
      </c>
      <c r="F612" s="196">
        <v>0.03</v>
      </c>
      <c r="G612" s="196">
        <v>3.72</v>
      </c>
      <c r="H612" s="196">
        <v>0.34</v>
      </c>
      <c r="I612" s="203">
        <v>219.49</v>
      </c>
      <c r="J612" s="203">
        <v>16.25</v>
      </c>
      <c r="K612" s="203">
        <v>42.38</v>
      </c>
      <c r="L612" s="203">
        <v>65.27</v>
      </c>
      <c r="M612" s="203">
        <v>34.96</v>
      </c>
      <c r="N612" s="196"/>
    </row>
    <row r="613" spans="1:15" s="199" customFormat="1" x14ac:dyDescent="0.35">
      <c r="A613" s="195">
        <v>906262</v>
      </c>
      <c r="B613" s="196"/>
      <c r="C613" s="200">
        <v>4.8</v>
      </c>
      <c r="D613" s="196">
        <v>0.37</v>
      </c>
      <c r="E613" s="196">
        <v>2.65</v>
      </c>
      <c r="F613" s="196">
        <v>0.04</v>
      </c>
      <c r="G613" s="196">
        <v>2.35</v>
      </c>
      <c r="H613" s="196">
        <v>0.3</v>
      </c>
      <c r="I613" s="203">
        <v>92.28</v>
      </c>
      <c r="J613" s="203">
        <v>16.21</v>
      </c>
      <c r="K613" s="203">
        <v>91.84</v>
      </c>
      <c r="L613" s="203">
        <v>84.29</v>
      </c>
      <c r="M613" s="203">
        <v>33.54</v>
      </c>
      <c r="N613" s="196"/>
    </row>
    <row r="614" spans="1:15" s="199" customFormat="1" x14ac:dyDescent="0.35">
      <c r="A614" s="195">
        <v>906263</v>
      </c>
      <c r="B614" s="196"/>
      <c r="C614" s="200">
        <v>1.8</v>
      </c>
      <c r="D614" s="196">
        <v>0.11</v>
      </c>
      <c r="E614" s="196">
        <v>1.55</v>
      </c>
      <c r="F614" s="196">
        <v>7.0000000000000007E-2</v>
      </c>
      <c r="G614" s="196">
        <v>1.84</v>
      </c>
      <c r="H614" s="196">
        <v>0.17</v>
      </c>
      <c r="I614" s="203">
        <v>23.14</v>
      </c>
      <c r="J614" s="203">
        <v>3.52</v>
      </c>
      <c r="K614" s="203">
        <v>18.239999999999998</v>
      </c>
      <c r="L614" s="203">
        <v>90.02</v>
      </c>
      <c r="M614" s="203">
        <v>15.8</v>
      </c>
      <c r="N614" s="196"/>
    </row>
    <row r="615" spans="1:15" s="199" customFormat="1" x14ac:dyDescent="0.35">
      <c r="A615" s="195">
        <v>906264</v>
      </c>
      <c r="B615" s="196"/>
      <c r="C615" s="200">
        <v>1.6</v>
      </c>
      <c r="D615" s="196">
        <v>0.09</v>
      </c>
      <c r="E615" s="196">
        <v>0.44</v>
      </c>
      <c r="F615" s="196">
        <v>0.16</v>
      </c>
      <c r="G615" s="196">
        <v>2.82</v>
      </c>
      <c r="H615" s="196">
        <v>0.22</v>
      </c>
      <c r="I615" s="203">
        <v>25.81</v>
      </c>
      <c r="J615" s="203">
        <v>30.22</v>
      </c>
      <c r="K615" s="203">
        <v>26.58</v>
      </c>
      <c r="L615" s="203">
        <v>146.76</v>
      </c>
      <c r="M615" s="203">
        <v>18.21</v>
      </c>
      <c r="N615" s="196"/>
    </row>
    <row r="616" spans="1:15" s="199" customFormat="1" x14ac:dyDescent="0.35">
      <c r="A616" s="195">
        <v>906265</v>
      </c>
      <c r="B616" s="196"/>
      <c r="C616" s="200">
        <v>3.8</v>
      </c>
      <c r="D616" s="196">
        <v>0.24</v>
      </c>
      <c r="E616" s="196">
        <v>1.57</v>
      </c>
      <c r="F616" s="196">
        <v>0.03</v>
      </c>
      <c r="G616" s="196">
        <v>1.51</v>
      </c>
      <c r="H616" s="196">
        <v>0.3</v>
      </c>
      <c r="I616" s="203">
        <v>32.979999999999997</v>
      </c>
      <c r="J616" s="203">
        <v>9.82</v>
      </c>
      <c r="K616" s="203">
        <v>74.06</v>
      </c>
      <c r="L616" s="203">
        <v>62.98</v>
      </c>
      <c r="M616" s="203">
        <v>36.78</v>
      </c>
      <c r="N616" s="196"/>
    </row>
    <row r="617" spans="1:15" s="199" customFormat="1" x14ac:dyDescent="0.35">
      <c r="A617" s="195">
        <v>906266</v>
      </c>
      <c r="B617" s="196"/>
      <c r="C617" s="200">
        <v>5.0999999999999996</v>
      </c>
      <c r="D617" s="196">
        <v>0.3</v>
      </c>
      <c r="E617" s="196">
        <v>6.74</v>
      </c>
      <c r="F617" s="196">
        <v>0.05</v>
      </c>
      <c r="G617" s="196">
        <v>3.54</v>
      </c>
      <c r="H617" s="196">
        <v>2.1800000000000002</v>
      </c>
      <c r="I617" s="203">
        <v>14.5</v>
      </c>
      <c r="J617" s="203">
        <v>5.43</v>
      </c>
      <c r="K617" s="203">
        <v>90.24</v>
      </c>
      <c r="L617" s="203">
        <v>90.64</v>
      </c>
      <c r="M617" s="203">
        <v>21.43</v>
      </c>
      <c r="N617" s="196"/>
    </row>
    <row r="618" spans="1:15" s="199" customFormat="1" x14ac:dyDescent="0.35">
      <c r="A618" s="195">
        <v>906267</v>
      </c>
      <c r="B618" s="196"/>
      <c r="C618" s="200">
        <v>5.5</v>
      </c>
      <c r="D618" s="196">
        <v>0.4</v>
      </c>
      <c r="E618" s="196">
        <v>2.25</v>
      </c>
      <c r="F618" s="196">
        <v>0.06</v>
      </c>
      <c r="G618" s="196">
        <v>3.11</v>
      </c>
      <c r="H618" s="196">
        <v>1.64</v>
      </c>
      <c r="I618" s="203">
        <v>32.08</v>
      </c>
      <c r="J618" s="203">
        <v>7.96</v>
      </c>
      <c r="K618" s="203">
        <v>297.17</v>
      </c>
      <c r="L618" s="203">
        <v>111.33</v>
      </c>
      <c r="M618" s="203">
        <v>21.66</v>
      </c>
      <c r="N618" s="196"/>
    </row>
    <row r="619" spans="1:15" s="199" customFormat="1" x14ac:dyDescent="0.35">
      <c r="A619" s="195">
        <v>906268</v>
      </c>
      <c r="B619" s="196"/>
      <c r="C619" s="200">
        <v>5.2</v>
      </c>
      <c r="D619" s="196">
        <v>0.28000000000000003</v>
      </c>
      <c r="E619" s="196">
        <v>6.56</v>
      </c>
      <c r="F619" s="196">
        <v>0.04</v>
      </c>
      <c r="G619" s="196">
        <v>3.75</v>
      </c>
      <c r="H619" s="196">
        <v>2.16</v>
      </c>
      <c r="I619" s="203">
        <v>20.66</v>
      </c>
      <c r="J619" s="203">
        <v>3.29</v>
      </c>
      <c r="K619" s="203">
        <v>346</v>
      </c>
      <c r="L619" s="203">
        <v>89.56</v>
      </c>
      <c r="M619" s="203">
        <v>15.87</v>
      </c>
      <c r="N619" s="196"/>
    </row>
    <row r="620" spans="1:15" s="199" customFormat="1" x14ac:dyDescent="0.35">
      <c r="A620" s="195">
        <v>906269</v>
      </c>
      <c r="B620" s="196"/>
      <c r="C620" s="200">
        <v>7.4</v>
      </c>
      <c r="D620" s="196">
        <v>0.42</v>
      </c>
      <c r="E620" s="196">
        <v>4.3099999999999996</v>
      </c>
      <c r="F620" s="196">
        <v>0.04</v>
      </c>
      <c r="G620" s="196">
        <v>3.21</v>
      </c>
      <c r="H620" s="196">
        <v>2.46</v>
      </c>
      <c r="I620" s="203">
        <v>35.33</v>
      </c>
      <c r="J620" s="203">
        <v>8.4499999999999993</v>
      </c>
      <c r="K620" s="203">
        <v>380.22</v>
      </c>
      <c r="L620" s="203">
        <v>106.53</v>
      </c>
      <c r="M620" s="203">
        <v>23.77</v>
      </c>
      <c r="N620" s="196"/>
    </row>
    <row r="621" spans="1:15" s="199" customFormat="1" x14ac:dyDescent="0.35">
      <c r="A621" s="195">
        <v>906270</v>
      </c>
      <c r="B621" s="196"/>
      <c r="C621" s="200">
        <v>5.6</v>
      </c>
      <c r="D621" s="196">
        <v>0.38</v>
      </c>
      <c r="E621" s="196">
        <v>4.2300000000000004</v>
      </c>
      <c r="F621" s="196">
        <v>0.05</v>
      </c>
      <c r="G621" s="196">
        <v>3.6</v>
      </c>
      <c r="H621" s="196">
        <v>2.77</v>
      </c>
      <c r="I621" s="203">
        <v>24.4</v>
      </c>
      <c r="J621" s="203">
        <v>8.61</v>
      </c>
      <c r="K621" s="203">
        <v>254.36</v>
      </c>
      <c r="L621" s="203">
        <v>90.29</v>
      </c>
      <c r="M621" s="203">
        <v>19.25</v>
      </c>
      <c r="N621" s="196"/>
    </row>
    <row r="622" spans="1:15" s="199" customFormat="1" x14ac:dyDescent="0.35">
      <c r="A622" s="195">
        <v>806661</v>
      </c>
      <c r="B622" s="196">
        <v>27.54</v>
      </c>
      <c r="C622" s="200">
        <v>0.7</v>
      </c>
      <c r="D622" s="196">
        <v>0.1</v>
      </c>
      <c r="E622" s="196">
        <v>1.24</v>
      </c>
      <c r="F622" s="196">
        <v>0.02</v>
      </c>
      <c r="G622" s="196">
        <v>0.14000000000000001</v>
      </c>
      <c r="H622" s="196">
        <v>0.14000000000000001</v>
      </c>
      <c r="I622" s="203">
        <v>6.9</v>
      </c>
      <c r="J622" s="203">
        <v>4.97</v>
      </c>
      <c r="K622" s="203">
        <v>9.33</v>
      </c>
      <c r="L622" s="203">
        <v>22.91</v>
      </c>
      <c r="M622" s="203">
        <v>12.66</v>
      </c>
      <c r="N622" s="196">
        <v>21.49</v>
      </c>
      <c r="O622" s="199">
        <v>72.460000000000008</v>
      </c>
    </row>
    <row r="623" spans="1:15" s="199" customFormat="1" x14ac:dyDescent="0.35">
      <c r="A623" s="195">
        <v>806662</v>
      </c>
      <c r="B623" s="196">
        <v>26.73</v>
      </c>
      <c r="C623" s="200">
        <v>0.73</v>
      </c>
      <c r="D623" s="196">
        <v>0.09</v>
      </c>
      <c r="E623" s="196">
        <v>0.92</v>
      </c>
      <c r="F623" s="196">
        <v>0.02</v>
      </c>
      <c r="G623" s="196">
        <v>0.12</v>
      </c>
      <c r="H623" s="196">
        <v>0.12</v>
      </c>
      <c r="I623" s="203">
        <v>6.16</v>
      </c>
      <c r="J623" s="203">
        <v>4.8</v>
      </c>
      <c r="K623" s="203">
        <v>10.09</v>
      </c>
      <c r="L623" s="203">
        <v>15.82</v>
      </c>
      <c r="M623" s="203">
        <v>10.23</v>
      </c>
      <c r="N623" s="196">
        <v>20.23</v>
      </c>
      <c r="O623" s="199">
        <v>73.27</v>
      </c>
    </row>
    <row r="624" spans="1:15" s="199" customFormat="1" x14ac:dyDescent="0.35">
      <c r="A624" s="195">
        <v>806663</v>
      </c>
      <c r="B624" s="196">
        <v>25.75</v>
      </c>
      <c r="C624" s="200">
        <v>0.76</v>
      </c>
      <c r="D624" s="196">
        <v>0.16</v>
      </c>
      <c r="E624" s="196">
        <v>0.78</v>
      </c>
      <c r="F624" s="196">
        <v>0.02</v>
      </c>
      <c r="G624" s="196">
        <v>0.16</v>
      </c>
      <c r="H624" s="196">
        <v>0.18</v>
      </c>
      <c r="I624" s="203">
        <v>9.82</v>
      </c>
      <c r="J624" s="203">
        <v>7.3</v>
      </c>
      <c r="K624" s="203">
        <v>14.38</v>
      </c>
      <c r="L624" s="203">
        <v>36.44</v>
      </c>
      <c r="M624" s="203">
        <v>17.93</v>
      </c>
      <c r="N624" s="196">
        <v>19.64</v>
      </c>
      <c r="O624" s="199">
        <v>74.25</v>
      </c>
    </row>
    <row r="625" spans="1:15" s="199" customFormat="1" x14ac:dyDescent="0.35">
      <c r="A625" s="195">
        <v>806664</v>
      </c>
      <c r="B625" s="196">
        <v>27.3</v>
      </c>
      <c r="C625" s="200">
        <v>0.56000000000000005</v>
      </c>
      <c r="D625" s="196">
        <v>0.08</v>
      </c>
      <c r="E625" s="196">
        <v>1.04</v>
      </c>
      <c r="F625" s="196">
        <v>0.02</v>
      </c>
      <c r="G625" s="196">
        <v>0.09</v>
      </c>
      <c r="H625" s="196">
        <v>0.11</v>
      </c>
      <c r="I625" s="203">
        <v>5.44</v>
      </c>
      <c r="J625" s="203">
        <v>4.04</v>
      </c>
      <c r="K625" s="203">
        <v>7.09</v>
      </c>
      <c r="L625" s="203">
        <v>27.24</v>
      </c>
      <c r="M625" s="203">
        <v>9.11</v>
      </c>
      <c r="N625" s="196">
        <v>18.149999999999999</v>
      </c>
      <c r="O625" s="199">
        <v>72.7</v>
      </c>
    </row>
    <row r="626" spans="1:15" s="199" customFormat="1" x14ac:dyDescent="0.35">
      <c r="A626" s="195">
        <v>806665</v>
      </c>
      <c r="B626" s="196">
        <v>30.54</v>
      </c>
      <c r="C626" s="200">
        <v>0.62</v>
      </c>
      <c r="D626" s="196">
        <v>7.0000000000000007E-2</v>
      </c>
      <c r="E626" s="196">
        <v>0.97</v>
      </c>
      <c r="F626" s="196">
        <v>0.02</v>
      </c>
      <c r="G626" s="196">
        <v>0.08</v>
      </c>
      <c r="H626" s="196">
        <v>0.09</v>
      </c>
      <c r="I626" s="203">
        <v>5.36</v>
      </c>
      <c r="J626" s="203">
        <v>3.27</v>
      </c>
      <c r="K626" s="203">
        <v>6.78</v>
      </c>
      <c r="L626" s="203">
        <v>14.81</v>
      </c>
      <c r="M626" s="203">
        <v>7.62</v>
      </c>
      <c r="N626" s="196">
        <v>18.18</v>
      </c>
      <c r="O626" s="199">
        <v>69.460000000000008</v>
      </c>
    </row>
    <row r="627" spans="1:15" s="199" customFormat="1" x14ac:dyDescent="0.35">
      <c r="A627" s="195">
        <v>806666</v>
      </c>
      <c r="B627" s="196">
        <v>24.98</v>
      </c>
      <c r="C627" s="200">
        <v>0.56000000000000005</v>
      </c>
      <c r="D627" s="196">
        <v>0.1</v>
      </c>
      <c r="E627" s="196">
        <v>0.77</v>
      </c>
      <c r="F627" s="196">
        <v>0.02</v>
      </c>
      <c r="G627" s="196">
        <v>0.12</v>
      </c>
      <c r="H627" s="196">
        <v>0.13</v>
      </c>
      <c r="I627" s="203">
        <v>6.61</v>
      </c>
      <c r="J627" s="203">
        <v>6.06</v>
      </c>
      <c r="K627" s="203">
        <v>8.5</v>
      </c>
      <c r="L627" s="203">
        <v>16.989999999999998</v>
      </c>
      <c r="M627" s="203">
        <v>10.73</v>
      </c>
      <c r="N627" s="196">
        <v>19.12</v>
      </c>
      <c r="O627" s="199">
        <v>75.02</v>
      </c>
    </row>
    <row r="628" spans="1:15" s="199" customFormat="1" x14ac:dyDescent="0.35">
      <c r="A628" s="195">
        <v>806667</v>
      </c>
      <c r="B628" s="196">
        <v>27.82</v>
      </c>
      <c r="C628" s="200">
        <v>0.67</v>
      </c>
      <c r="D628" s="196">
        <v>7.0000000000000007E-2</v>
      </c>
      <c r="E628" s="196">
        <v>0.72</v>
      </c>
      <c r="F628" s="196">
        <v>0.01</v>
      </c>
      <c r="G628" s="196">
        <v>7.0000000000000007E-2</v>
      </c>
      <c r="H628" s="196">
        <v>0.08</v>
      </c>
      <c r="I628" s="203">
        <v>5.45</v>
      </c>
      <c r="J628" s="203">
        <v>3.9</v>
      </c>
      <c r="K628" s="203">
        <v>5.29</v>
      </c>
      <c r="L628" s="203">
        <v>18.38</v>
      </c>
      <c r="M628" s="203">
        <v>7.4</v>
      </c>
      <c r="N628" s="196">
        <v>16.18</v>
      </c>
      <c r="O628" s="199">
        <v>72.180000000000007</v>
      </c>
    </row>
    <row r="629" spans="1:15" s="199" customFormat="1" x14ac:dyDescent="0.35">
      <c r="A629" s="195">
        <v>806668</v>
      </c>
      <c r="B629" s="196">
        <v>28.34</v>
      </c>
      <c r="C629" s="200">
        <v>0.56000000000000005</v>
      </c>
      <c r="D629" s="196">
        <v>7.0000000000000007E-2</v>
      </c>
      <c r="E629" s="196">
        <v>0.93</v>
      </c>
      <c r="F629" s="196">
        <v>0.02</v>
      </c>
      <c r="G629" s="196">
        <v>0.11</v>
      </c>
      <c r="H629" s="196">
        <v>0.1</v>
      </c>
      <c r="I629" s="203">
        <v>5.38</v>
      </c>
      <c r="J629" s="203">
        <v>3.28</v>
      </c>
      <c r="K629" s="203">
        <v>8.73</v>
      </c>
      <c r="L629" s="203">
        <v>20.22</v>
      </c>
      <c r="M629" s="203">
        <v>9.7100000000000009</v>
      </c>
      <c r="N629" s="196">
        <v>18.29</v>
      </c>
      <c r="O629" s="199">
        <v>71.66</v>
      </c>
    </row>
    <row r="630" spans="1:15" s="199" customFormat="1" x14ac:dyDescent="0.35">
      <c r="A630" s="195">
        <v>806669</v>
      </c>
      <c r="B630" s="196">
        <v>30.27</v>
      </c>
      <c r="C630" s="200">
        <v>0.73</v>
      </c>
      <c r="D630" s="196">
        <v>0.12</v>
      </c>
      <c r="E630" s="196">
        <v>0.88</v>
      </c>
      <c r="F630" s="196">
        <v>0.02</v>
      </c>
      <c r="G630" s="196">
        <v>0.16</v>
      </c>
      <c r="H630" s="196">
        <v>0.14000000000000001</v>
      </c>
      <c r="I630" s="203">
        <v>7.41</v>
      </c>
      <c r="J630" s="203">
        <v>4.76</v>
      </c>
      <c r="K630" s="203">
        <v>13.36</v>
      </c>
      <c r="L630" s="203">
        <v>69.16</v>
      </c>
      <c r="M630" s="203">
        <v>13.58</v>
      </c>
      <c r="N630" s="196">
        <v>17.96</v>
      </c>
      <c r="O630" s="199">
        <v>69.73</v>
      </c>
    </row>
    <row r="631" spans="1:15" s="199" customFormat="1" x14ac:dyDescent="0.35">
      <c r="A631" s="195">
        <v>806670</v>
      </c>
      <c r="B631" s="196">
        <v>35.67</v>
      </c>
      <c r="C631" s="200">
        <v>0.7</v>
      </c>
      <c r="D631" s="196">
        <v>0.15</v>
      </c>
      <c r="E631" s="196">
        <v>0.75</v>
      </c>
      <c r="F631" s="196">
        <v>0.03</v>
      </c>
      <c r="G631" s="196">
        <v>0.12</v>
      </c>
      <c r="H631" s="196">
        <v>0.14000000000000001</v>
      </c>
      <c r="I631" s="203">
        <v>9.02</v>
      </c>
      <c r="J631" s="203">
        <v>8.9499999999999993</v>
      </c>
      <c r="K631" s="203">
        <v>8.2200000000000006</v>
      </c>
      <c r="L631" s="203">
        <v>28.24</v>
      </c>
      <c r="M631" s="203">
        <v>14.84</v>
      </c>
      <c r="N631" s="196">
        <v>17.3</v>
      </c>
      <c r="O631" s="199">
        <v>64.33</v>
      </c>
    </row>
    <row r="632" spans="1:15" s="199" customFormat="1" x14ac:dyDescent="0.35">
      <c r="A632" s="195">
        <v>806671</v>
      </c>
      <c r="B632" s="196">
        <v>31.45</v>
      </c>
      <c r="C632" s="200">
        <v>0.7</v>
      </c>
      <c r="D632" s="196">
        <v>0.08</v>
      </c>
      <c r="E632" s="196">
        <v>0.84</v>
      </c>
      <c r="F632" s="196">
        <v>0.02</v>
      </c>
      <c r="G632" s="196">
        <v>0.09</v>
      </c>
      <c r="H632" s="196">
        <v>0.1</v>
      </c>
      <c r="I632" s="203">
        <v>7.12</v>
      </c>
      <c r="J632" s="203">
        <v>5.57</v>
      </c>
      <c r="K632" s="203">
        <v>5.62</v>
      </c>
      <c r="L632" s="203">
        <v>22.01</v>
      </c>
      <c r="M632" s="203">
        <v>7.92</v>
      </c>
      <c r="N632" s="196">
        <v>16.28</v>
      </c>
      <c r="O632" s="199">
        <v>68.55</v>
      </c>
    </row>
    <row r="633" spans="1:15" s="199" customFormat="1" x14ac:dyDescent="0.35">
      <c r="A633" s="195">
        <v>806672</v>
      </c>
      <c r="B633" s="196">
        <v>31.26</v>
      </c>
      <c r="C633" s="200">
        <v>0.67</v>
      </c>
      <c r="D633" s="196">
        <v>0.09</v>
      </c>
      <c r="E633" s="196">
        <v>0.99</v>
      </c>
      <c r="F633" s="196">
        <v>0.02</v>
      </c>
      <c r="G633" s="196">
        <v>0.19</v>
      </c>
      <c r="H633" s="196">
        <v>0.11</v>
      </c>
      <c r="I633" s="203">
        <v>10.72</v>
      </c>
      <c r="J633" s="203">
        <v>4.71</v>
      </c>
      <c r="K633" s="203">
        <v>5.65</v>
      </c>
      <c r="L633" s="203">
        <v>22.15</v>
      </c>
      <c r="M633" s="203">
        <v>10.38</v>
      </c>
      <c r="N633" s="196">
        <v>14.61</v>
      </c>
      <c r="O633" s="199">
        <v>68.739999999999995</v>
      </c>
    </row>
    <row r="634" spans="1:15" s="199" customFormat="1" x14ac:dyDescent="0.35">
      <c r="A634" s="195">
        <v>806673</v>
      </c>
      <c r="B634" s="196">
        <v>30.82</v>
      </c>
      <c r="C634" s="200">
        <v>0.5</v>
      </c>
      <c r="D634" s="196">
        <v>7.0000000000000007E-2</v>
      </c>
      <c r="E634" s="196">
        <v>0.98</v>
      </c>
      <c r="F634" s="196">
        <v>0.02</v>
      </c>
      <c r="G634" s="196">
        <v>0.09</v>
      </c>
      <c r="H634" s="196">
        <v>0.1</v>
      </c>
      <c r="I634" s="203">
        <v>5.55</v>
      </c>
      <c r="J634" s="203">
        <v>4.1900000000000004</v>
      </c>
      <c r="K634" s="203">
        <v>5.03</v>
      </c>
      <c r="L634" s="203">
        <v>18.059999999999999</v>
      </c>
      <c r="M634" s="203">
        <v>8.35</v>
      </c>
      <c r="N634" s="196">
        <v>16.28</v>
      </c>
      <c r="O634" s="199">
        <v>69.180000000000007</v>
      </c>
    </row>
    <row r="635" spans="1:15" s="199" customFormat="1" x14ac:dyDescent="0.35">
      <c r="A635" s="195">
        <v>806674</v>
      </c>
      <c r="B635" s="196">
        <v>28.35</v>
      </c>
      <c r="C635" s="200">
        <v>0.67</v>
      </c>
      <c r="D635" s="196">
        <v>0.1</v>
      </c>
      <c r="E635" s="196">
        <v>0.82</v>
      </c>
      <c r="F635" s="196">
        <v>0.03</v>
      </c>
      <c r="G635" s="196">
        <v>0.12</v>
      </c>
      <c r="H635" s="196">
        <v>0.13</v>
      </c>
      <c r="I635" s="203">
        <v>8.4700000000000006</v>
      </c>
      <c r="J635" s="203">
        <v>5.98</v>
      </c>
      <c r="K635" s="203">
        <v>8.9600000000000009</v>
      </c>
      <c r="L635" s="203">
        <v>19.91</v>
      </c>
      <c r="M635" s="203">
        <v>11.51</v>
      </c>
      <c r="N635" s="196">
        <v>20.56</v>
      </c>
      <c r="O635" s="199">
        <v>71.650000000000006</v>
      </c>
    </row>
    <row r="636" spans="1:15" s="199" customFormat="1" x14ac:dyDescent="0.35">
      <c r="A636" s="195">
        <v>806675</v>
      </c>
      <c r="B636" s="196">
        <v>37.76</v>
      </c>
      <c r="C636" s="200">
        <v>0.62</v>
      </c>
      <c r="D636" s="196">
        <v>0.11</v>
      </c>
      <c r="E636" s="196">
        <v>0.86</v>
      </c>
      <c r="F636" s="196">
        <v>0.02</v>
      </c>
      <c r="G636" s="196">
        <v>0.13</v>
      </c>
      <c r="H636" s="196">
        <v>0.13</v>
      </c>
      <c r="I636" s="203">
        <v>8.08</v>
      </c>
      <c r="J636" s="203">
        <v>5.92</v>
      </c>
      <c r="K636" s="203">
        <v>7.97</v>
      </c>
      <c r="L636" s="203">
        <v>25.44</v>
      </c>
      <c r="M636" s="203">
        <v>12.86</v>
      </c>
      <c r="N636" s="196">
        <v>19.93</v>
      </c>
      <c r="O636" s="199">
        <v>62.24</v>
      </c>
    </row>
    <row r="637" spans="1:15" s="199" customFormat="1" x14ac:dyDescent="0.35">
      <c r="A637" s="195">
        <v>806676</v>
      </c>
      <c r="B637" s="196">
        <v>25.23</v>
      </c>
      <c r="C637" s="200">
        <v>0.56000000000000005</v>
      </c>
      <c r="D637" s="196">
        <v>0.11</v>
      </c>
      <c r="E637" s="196">
        <v>1.1100000000000001</v>
      </c>
      <c r="F637" s="196">
        <v>0.02</v>
      </c>
      <c r="G637" s="196">
        <v>0.12</v>
      </c>
      <c r="H637" s="196">
        <v>0.12</v>
      </c>
      <c r="I637" s="203">
        <v>7.05</v>
      </c>
      <c r="J637" s="203">
        <v>6.54</v>
      </c>
      <c r="K637" s="203">
        <v>14.07</v>
      </c>
      <c r="L637" s="203">
        <v>14.34</v>
      </c>
      <c r="M637" s="203">
        <v>11.12</v>
      </c>
      <c r="N637" s="196">
        <v>20.38</v>
      </c>
      <c r="O637" s="199">
        <v>74.77</v>
      </c>
    </row>
    <row r="638" spans="1:15" s="199" customFormat="1" x14ac:dyDescent="0.35">
      <c r="A638" s="195">
        <v>806677</v>
      </c>
      <c r="B638" s="196">
        <v>32.08</v>
      </c>
      <c r="C638" s="200">
        <v>0.59</v>
      </c>
      <c r="D638" s="196">
        <v>0.1</v>
      </c>
      <c r="E638" s="196">
        <v>0.92</v>
      </c>
      <c r="F638" s="196">
        <v>0.01</v>
      </c>
      <c r="G638" s="196">
        <v>0.11</v>
      </c>
      <c r="H638" s="196">
        <v>0.12</v>
      </c>
      <c r="I638" s="203">
        <v>6.32</v>
      </c>
      <c r="J638" s="203">
        <v>5.73</v>
      </c>
      <c r="K638" s="203">
        <v>9.1199999999999992</v>
      </c>
      <c r="L638" s="203">
        <v>14.55</v>
      </c>
      <c r="M638" s="203">
        <v>11.43</v>
      </c>
      <c r="N638" s="196">
        <v>22.75</v>
      </c>
      <c r="O638" s="199">
        <v>67.92</v>
      </c>
    </row>
    <row r="639" spans="1:15" s="199" customFormat="1" x14ac:dyDescent="0.35">
      <c r="A639" s="195">
        <v>806678</v>
      </c>
      <c r="B639" s="196">
        <v>29.86</v>
      </c>
      <c r="C639" s="200">
        <v>0.62</v>
      </c>
      <c r="D639" s="196">
        <v>0.08</v>
      </c>
      <c r="E639" s="196">
        <v>0.73</v>
      </c>
      <c r="F639" s="196">
        <v>0.02</v>
      </c>
      <c r="G639" s="196">
        <v>0.1</v>
      </c>
      <c r="H639" s="196">
        <v>0.12</v>
      </c>
      <c r="I639" s="203">
        <v>5.61</v>
      </c>
      <c r="J639" s="203">
        <v>3.51</v>
      </c>
      <c r="K639" s="203">
        <v>6.15</v>
      </c>
      <c r="L639" s="203">
        <v>14.51</v>
      </c>
      <c r="M639" s="203">
        <v>10.33</v>
      </c>
      <c r="N639" s="196">
        <v>17.670000000000002</v>
      </c>
      <c r="O639" s="199">
        <v>70.14</v>
      </c>
    </row>
    <row r="640" spans="1:15" s="199" customFormat="1" x14ac:dyDescent="0.35">
      <c r="A640" s="195">
        <v>806679</v>
      </c>
      <c r="B640" s="196">
        <v>31.38</v>
      </c>
      <c r="C640" s="200">
        <v>0.73</v>
      </c>
      <c r="D640" s="196">
        <v>0.16</v>
      </c>
      <c r="E640" s="196">
        <v>0.48</v>
      </c>
      <c r="F640" s="196">
        <v>0.02</v>
      </c>
      <c r="G640" s="196">
        <v>0.18</v>
      </c>
      <c r="H640" s="196">
        <v>0.2</v>
      </c>
      <c r="I640" s="203">
        <v>11.41</v>
      </c>
      <c r="J640" s="203">
        <v>8.2899999999999991</v>
      </c>
      <c r="K640" s="203">
        <v>12.18</v>
      </c>
      <c r="L640" s="203">
        <v>23.62</v>
      </c>
      <c r="M640" s="203">
        <v>18.739999999999998</v>
      </c>
      <c r="N640" s="196">
        <v>20.5</v>
      </c>
      <c r="O640" s="199">
        <v>68.62</v>
      </c>
    </row>
    <row r="641" spans="1:15" s="199" customFormat="1" x14ac:dyDescent="0.35">
      <c r="A641" s="195">
        <v>806680</v>
      </c>
      <c r="B641" s="196">
        <v>30.75</v>
      </c>
      <c r="C641" s="200">
        <v>0.56000000000000005</v>
      </c>
      <c r="D641" s="196">
        <v>0.08</v>
      </c>
      <c r="E641" s="196">
        <v>1.1100000000000001</v>
      </c>
      <c r="F641" s="196">
        <v>0.01</v>
      </c>
      <c r="G641" s="196">
        <v>0.09</v>
      </c>
      <c r="H641" s="196">
        <v>0.1</v>
      </c>
      <c r="I641" s="203">
        <v>5.29</v>
      </c>
      <c r="J641" s="203">
        <v>4.21</v>
      </c>
      <c r="K641" s="203">
        <v>6.38</v>
      </c>
      <c r="L641" s="203">
        <v>14.24</v>
      </c>
      <c r="M641" s="203">
        <v>8.6</v>
      </c>
      <c r="N641" s="196">
        <v>19.91</v>
      </c>
      <c r="O641" s="199">
        <v>69.25</v>
      </c>
    </row>
    <row r="642" spans="1:15" s="199" customFormat="1" x14ac:dyDescent="0.35">
      <c r="A642" s="195">
        <v>806681</v>
      </c>
      <c r="B642" s="196">
        <v>37.799999999999997</v>
      </c>
      <c r="C642" s="200">
        <v>0.53</v>
      </c>
      <c r="D642" s="196">
        <v>7.0000000000000007E-2</v>
      </c>
      <c r="E642" s="196">
        <v>0.83</v>
      </c>
      <c r="F642" s="196">
        <v>0.01</v>
      </c>
      <c r="G642" s="196">
        <v>0.11</v>
      </c>
      <c r="H642" s="196">
        <v>0.1</v>
      </c>
      <c r="I642" s="203">
        <v>5.52</v>
      </c>
      <c r="J642" s="203">
        <v>4.28</v>
      </c>
      <c r="K642" s="203">
        <v>6.48</v>
      </c>
      <c r="L642" s="203">
        <v>52.82</v>
      </c>
      <c r="M642" s="203">
        <v>8.6</v>
      </c>
      <c r="N642" s="196">
        <v>19.78</v>
      </c>
      <c r="O642" s="199">
        <v>62.2</v>
      </c>
    </row>
    <row r="643" spans="1:15" s="199" customFormat="1" x14ac:dyDescent="0.35">
      <c r="A643" s="195">
        <v>806682</v>
      </c>
      <c r="B643" s="196">
        <v>28.88</v>
      </c>
      <c r="C643" s="200">
        <v>0.56000000000000005</v>
      </c>
      <c r="D643" s="196">
        <v>0.08</v>
      </c>
      <c r="E643" s="196">
        <v>1.02</v>
      </c>
      <c r="F643" s="196">
        <v>0.01</v>
      </c>
      <c r="G643" s="196">
        <v>0.08</v>
      </c>
      <c r="H643" s="196">
        <v>0.09</v>
      </c>
      <c r="I643" s="203">
        <v>4.51</v>
      </c>
      <c r="J643" s="203">
        <v>3.48</v>
      </c>
      <c r="K643" s="203">
        <v>7.03</v>
      </c>
      <c r="L643" s="203">
        <v>17.43</v>
      </c>
      <c r="M643" s="203">
        <v>9.08</v>
      </c>
      <c r="N643" s="196">
        <v>14.05</v>
      </c>
      <c r="O643" s="199">
        <v>71.12</v>
      </c>
    </row>
    <row r="644" spans="1:15" s="199" customFormat="1" x14ac:dyDescent="0.35">
      <c r="A644" s="195">
        <v>806683</v>
      </c>
      <c r="B644" s="196">
        <v>25.94</v>
      </c>
      <c r="C644" s="200">
        <v>0.48</v>
      </c>
      <c r="D644" s="196">
        <v>0.08</v>
      </c>
      <c r="E644" s="196">
        <v>0.89</v>
      </c>
      <c r="F644" s="196">
        <v>0.02</v>
      </c>
      <c r="G644" s="196">
        <v>0.11</v>
      </c>
      <c r="H644" s="196">
        <v>0.11</v>
      </c>
      <c r="I644" s="203">
        <v>5.28</v>
      </c>
      <c r="J644" s="203">
        <v>4.49</v>
      </c>
      <c r="K644" s="203">
        <v>6.39</v>
      </c>
      <c r="L644" s="203">
        <v>15</v>
      </c>
      <c r="M644" s="203">
        <v>9.1199999999999992</v>
      </c>
      <c r="N644" s="196">
        <v>17.940000000000001</v>
      </c>
      <c r="O644" s="199">
        <v>74.06</v>
      </c>
    </row>
    <row r="645" spans="1:15" s="199" customFormat="1" x14ac:dyDescent="0.35">
      <c r="A645" s="195">
        <v>806684</v>
      </c>
      <c r="B645" s="196">
        <v>27.54</v>
      </c>
      <c r="C645" s="200">
        <v>0.56000000000000005</v>
      </c>
      <c r="D645" s="196">
        <v>0.1</v>
      </c>
      <c r="E645" s="196">
        <v>0.82</v>
      </c>
      <c r="F645" s="196">
        <v>0.01</v>
      </c>
      <c r="G645" s="196">
        <v>0.14000000000000001</v>
      </c>
      <c r="H645" s="196">
        <v>0.14000000000000001</v>
      </c>
      <c r="I645" s="203">
        <v>7.24</v>
      </c>
      <c r="J645" s="203">
        <v>5.62</v>
      </c>
      <c r="K645" s="203">
        <v>9.18</v>
      </c>
      <c r="L645" s="203">
        <v>30.07</v>
      </c>
      <c r="M645" s="203">
        <v>11.08</v>
      </c>
      <c r="N645" s="196">
        <v>23.18</v>
      </c>
      <c r="O645" s="199">
        <v>72.460000000000008</v>
      </c>
    </row>
    <row r="646" spans="1:15" s="199" customFormat="1" x14ac:dyDescent="0.35">
      <c r="A646" s="195">
        <v>806685</v>
      </c>
      <c r="B646" s="196">
        <v>18.72</v>
      </c>
      <c r="C646" s="200">
        <v>0.59</v>
      </c>
      <c r="D646" s="196">
        <v>0.09</v>
      </c>
      <c r="E646" s="196">
        <v>0.67</v>
      </c>
      <c r="F646" s="196">
        <v>0.02</v>
      </c>
      <c r="G646" s="196">
        <v>0.11</v>
      </c>
      <c r="H646" s="196">
        <v>0.12</v>
      </c>
      <c r="I646" s="203">
        <v>9.2799999999999994</v>
      </c>
      <c r="J646" s="203">
        <v>3.84</v>
      </c>
      <c r="K646" s="203">
        <v>10.92</v>
      </c>
      <c r="L646" s="203">
        <v>552.19000000000005</v>
      </c>
      <c r="M646" s="203">
        <v>11.07</v>
      </c>
      <c r="N646" s="196">
        <v>9.18</v>
      </c>
      <c r="O646" s="199">
        <v>81.28</v>
      </c>
    </row>
    <row r="647" spans="1:15" s="199" customFormat="1" x14ac:dyDescent="0.35">
      <c r="A647" s="195">
        <v>806686</v>
      </c>
      <c r="B647" s="196">
        <v>21.81</v>
      </c>
      <c r="C647" s="200">
        <v>0.59</v>
      </c>
      <c r="D647" s="196">
        <v>0.09</v>
      </c>
      <c r="E647" s="196">
        <v>1.1100000000000001</v>
      </c>
      <c r="F647" s="196">
        <v>0.01</v>
      </c>
      <c r="G647" s="196">
        <v>0.05</v>
      </c>
      <c r="H647" s="196">
        <v>0.09</v>
      </c>
      <c r="I647" s="203">
        <v>4.97</v>
      </c>
      <c r="J647" s="203">
        <v>3.12</v>
      </c>
      <c r="K647" s="203">
        <v>4.79</v>
      </c>
      <c r="L647" s="203">
        <v>66.8</v>
      </c>
      <c r="M647" s="203">
        <v>8.26</v>
      </c>
      <c r="N647" s="196">
        <v>8.07</v>
      </c>
      <c r="O647" s="199">
        <v>78.19</v>
      </c>
    </row>
    <row r="648" spans="1:15" s="199" customFormat="1" x14ac:dyDescent="0.35">
      <c r="A648" s="195">
        <v>806687</v>
      </c>
      <c r="B648" s="196">
        <v>17.52</v>
      </c>
      <c r="C648" s="200">
        <v>0.59</v>
      </c>
      <c r="D648" s="196">
        <v>0.08</v>
      </c>
      <c r="E648" s="196">
        <v>0.99</v>
      </c>
      <c r="F648" s="196">
        <v>0.01</v>
      </c>
      <c r="G648" s="196">
        <v>0.05</v>
      </c>
      <c r="H648" s="196">
        <v>0.08</v>
      </c>
      <c r="I648" s="203">
        <v>4.8499999999999996</v>
      </c>
      <c r="J648" s="203">
        <v>2.69</v>
      </c>
      <c r="K648" s="203">
        <v>6.27</v>
      </c>
      <c r="L648" s="203">
        <v>138.52000000000001</v>
      </c>
      <c r="M648" s="203">
        <v>8.31</v>
      </c>
      <c r="N648" s="196">
        <v>6.64</v>
      </c>
      <c r="O648" s="199">
        <v>82.48</v>
      </c>
    </row>
    <row r="649" spans="1:15" s="199" customFormat="1" x14ac:dyDescent="0.35">
      <c r="A649" s="195">
        <v>806688</v>
      </c>
      <c r="B649" s="196">
        <v>27.24</v>
      </c>
      <c r="C649" s="200">
        <v>0.56000000000000005</v>
      </c>
      <c r="D649" s="196">
        <v>0.08</v>
      </c>
      <c r="E649" s="196">
        <v>0.98</v>
      </c>
      <c r="F649" s="196">
        <v>0.01</v>
      </c>
      <c r="G649" s="196">
        <v>0.09</v>
      </c>
      <c r="H649" s="196">
        <v>0.09</v>
      </c>
      <c r="I649" s="203">
        <v>5.58</v>
      </c>
      <c r="J649" s="203">
        <v>3.5</v>
      </c>
      <c r="K649" s="203">
        <v>5.22</v>
      </c>
      <c r="L649" s="203">
        <v>39.869999999999997</v>
      </c>
      <c r="M649" s="203">
        <v>8.18</v>
      </c>
      <c r="N649" s="196">
        <v>9.65</v>
      </c>
      <c r="O649" s="199">
        <v>72.760000000000005</v>
      </c>
    </row>
    <row r="650" spans="1:15" s="199" customFormat="1" x14ac:dyDescent="0.35">
      <c r="A650" s="195">
        <v>806689</v>
      </c>
      <c r="B650" s="196">
        <v>22.55</v>
      </c>
      <c r="C650" s="200">
        <v>0.59</v>
      </c>
      <c r="D650" s="196">
        <v>0.09</v>
      </c>
      <c r="E650" s="196">
        <v>1.0900000000000001</v>
      </c>
      <c r="F650" s="196">
        <v>0.01</v>
      </c>
      <c r="G650" s="196">
        <v>0.06</v>
      </c>
      <c r="H650" s="196">
        <v>0.09</v>
      </c>
      <c r="I650" s="203">
        <v>4.58</v>
      </c>
      <c r="J650" s="203">
        <v>2.87</v>
      </c>
      <c r="K650" s="203">
        <v>5.33</v>
      </c>
      <c r="L650" s="203">
        <v>18.63</v>
      </c>
      <c r="M650" s="203">
        <v>9.08</v>
      </c>
      <c r="N650" s="196">
        <v>7.56</v>
      </c>
      <c r="O650" s="199">
        <v>77.45</v>
      </c>
    </row>
    <row r="651" spans="1:15" s="199" customFormat="1" x14ac:dyDescent="0.35">
      <c r="A651" s="195">
        <v>806690</v>
      </c>
      <c r="B651" s="196">
        <v>54.67</v>
      </c>
      <c r="C651" s="200">
        <v>0.56000000000000005</v>
      </c>
      <c r="D651" s="196">
        <v>0.09</v>
      </c>
      <c r="E651" s="196">
        <v>1.36</v>
      </c>
      <c r="F651" s="196">
        <v>0.02</v>
      </c>
      <c r="G651" s="196">
        <v>7.0000000000000007E-2</v>
      </c>
      <c r="H651" s="196">
        <v>0.09</v>
      </c>
      <c r="I651" s="203">
        <v>5.44</v>
      </c>
      <c r="J651" s="203">
        <v>3.39</v>
      </c>
      <c r="K651" s="203">
        <v>5.71</v>
      </c>
      <c r="L651" s="203">
        <v>78.17</v>
      </c>
      <c r="M651" s="203">
        <v>11.27</v>
      </c>
      <c r="N651" s="196">
        <v>11.16</v>
      </c>
      <c r="O651" s="199">
        <v>45.33</v>
      </c>
    </row>
    <row r="652" spans="1:15" s="199" customFormat="1" x14ac:dyDescent="0.35">
      <c r="A652" s="195">
        <v>906286</v>
      </c>
      <c r="B652" s="196"/>
      <c r="C652" s="200">
        <v>5.8</v>
      </c>
      <c r="D652" s="196">
        <v>0.25</v>
      </c>
      <c r="E652" s="196">
        <v>1.63</v>
      </c>
      <c r="F652" s="196">
        <v>0.08</v>
      </c>
      <c r="G652" s="196">
        <v>2.48</v>
      </c>
      <c r="H652" s="196">
        <v>1.63</v>
      </c>
      <c r="I652" s="203">
        <v>15.53</v>
      </c>
      <c r="J652" s="203">
        <v>4.9400000000000004</v>
      </c>
      <c r="K652" s="203">
        <v>209.6</v>
      </c>
      <c r="L652" s="203">
        <v>100.67</v>
      </c>
      <c r="M652" s="203">
        <v>16.690000000000001</v>
      </c>
      <c r="N652" s="196"/>
    </row>
    <row r="653" spans="1:15" s="199" customFormat="1" x14ac:dyDescent="0.35">
      <c r="A653" s="195">
        <v>906287</v>
      </c>
      <c r="B653" s="196"/>
      <c r="C653" s="200">
        <v>4.7062512000000005</v>
      </c>
      <c r="D653" s="196">
        <v>0.24</v>
      </c>
      <c r="E653" s="196">
        <v>2.5</v>
      </c>
      <c r="F653" s="196">
        <v>0.1</v>
      </c>
      <c r="G653" s="196">
        <v>2.65</v>
      </c>
      <c r="H653" s="196">
        <v>2.5</v>
      </c>
      <c r="I653" s="203">
        <v>12.37</v>
      </c>
      <c r="J653" s="203">
        <v>4.08</v>
      </c>
      <c r="K653" s="203">
        <v>100.22</v>
      </c>
      <c r="L653" s="203">
        <v>120.27</v>
      </c>
      <c r="M653" s="203">
        <v>20.190000000000001</v>
      </c>
      <c r="N653" s="196"/>
    </row>
    <row r="654" spans="1:15" s="199" customFormat="1" x14ac:dyDescent="0.35">
      <c r="A654" s="195">
        <v>906288</v>
      </c>
      <c r="B654" s="196"/>
      <c r="C654" s="200">
        <v>4.4261172000000011</v>
      </c>
      <c r="D654" s="196">
        <v>0.23</v>
      </c>
      <c r="E654" s="196">
        <v>2.74</v>
      </c>
      <c r="F654" s="196">
        <v>7.0000000000000007E-2</v>
      </c>
      <c r="G654" s="196">
        <v>2.98</v>
      </c>
      <c r="H654" s="196">
        <v>2.74</v>
      </c>
      <c r="I654" s="203">
        <v>17.579999999999998</v>
      </c>
      <c r="J654" s="203">
        <v>4.05</v>
      </c>
      <c r="K654" s="203">
        <v>199.76</v>
      </c>
      <c r="L654" s="203">
        <v>130.78</v>
      </c>
      <c r="M654" s="203">
        <v>16.600000000000001</v>
      </c>
      <c r="N654" s="196"/>
    </row>
    <row r="655" spans="1:15" s="199" customFormat="1" x14ac:dyDescent="0.35">
      <c r="A655" s="195">
        <v>906289</v>
      </c>
      <c r="B655" s="196"/>
      <c r="C655" s="200">
        <v>4.5941976000000011</v>
      </c>
      <c r="D655" s="196">
        <v>0.26</v>
      </c>
      <c r="E655" s="196">
        <v>3.27</v>
      </c>
      <c r="F655" s="196">
        <v>0.11</v>
      </c>
      <c r="G655" s="196">
        <v>3.35</v>
      </c>
      <c r="H655" s="196">
        <v>3.27</v>
      </c>
      <c r="I655" s="203">
        <v>22.95</v>
      </c>
      <c r="J655" s="203">
        <v>5.53</v>
      </c>
      <c r="K655" s="203">
        <v>250.88</v>
      </c>
      <c r="L655" s="203">
        <v>120.93</v>
      </c>
      <c r="M655" s="203">
        <v>16.899999999999999</v>
      </c>
      <c r="N655" s="196"/>
    </row>
    <row r="656" spans="1:15" s="199" customFormat="1" x14ac:dyDescent="0.35">
      <c r="A656" s="195">
        <v>906290</v>
      </c>
      <c r="B656" s="196"/>
      <c r="C656" s="200">
        <v>5.0143986000000016</v>
      </c>
      <c r="D656" s="196">
        <v>0.26</v>
      </c>
      <c r="E656" s="196">
        <v>2.97</v>
      </c>
      <c r="F656" s="196">
        <v>0.1</v>
      </c>
      <c r="G656" s="196">
        <v>3.09</v>
      </c>
      <c r="H656" s="196">
        <v>2.97</v>
      </c>
      <c r="I656" s="203">
        <v>24.75</v>
      </c>
      <c r="J656" s="203">
        <v>4.45</v>
      </c>
      <c r="K656" s="203">
        <v>294.93</v>
      </c>
      <c r="L656" s="203">
        <v>117.33</v>
      </c>
      <c r="M656" s="203">
        <v>17.489999999999998</v>
      </c>
      <c r="N656" s="196"/>
    </row>
    <row r="657" spans="1:14" s="199" customFormat="1" x14ac:dyDescent="0.35">
      <c r="A657" s="195">
        <v>906291</v>
      </c>
      <c r="B657" s="196"/>
      <c r="C657" s="200">
        <v>4.7342646000000013</v>
      </c>
      <c r="D657" s="196">
        <v>0.27</v>
      </c>
      <c r="E657" s="196">
        <v>2.35</v>
      </c>
      <c r="F657" s="196">
        <v>0.11</v>
      </c>
      <c r="G657" s="196">
        <v>2.5099999999999998</v>
      </c>
      <c r="H657" s="196">
        <v>2.35</v>
      </c>
      <c r="I657" s="203">
        <v>16.64</v>
      </c>
      <c r="J657" s="203">
        <v>4.9000000000000004</v>
      </c>
      <c r="K657" s="203">
        <v>178.59</v>
      </c>
      <c r="L657" s="203">
        <v>114.66</v>
      </c>
      <c r="M657" s="203">
        <v>18.48</v>
      </c>
      <c r="N657" s="196"/>
    </row>
    <row r="658" spans="1:14" s="199" customFormat="1" x14ac:dyDescent="0.35">
      <c r="A658" s="195">
        <v>906292</v>
      </c>
      <c r="B658" s="196"/>
      <c r="C658" s="200">
        <v>5.1544656000000009</v>
      </c>
      <c r="D658" s="196">
        <v>0.32</v>
      </c>
      <c r="E658" s="196">
        <v>2.2999999999999998</v>
      </c>
      <c r="F658" s="196">
        <v>0.08</v>
      </c>
      <c r="G658" s="196">
        <v>2.42</v>
      </c>
      <c r="H658" s="196">
        <v>2.2999999999999998</v>
      </c>
      <c r="I658" s="203">
        <v>20.46</v>
      </c>
      <c r="J658" s="203">
        <v>7.11</v>
      </c>
      <c r="K658" s="203">
        <v>183.4</v>
      </c>
      <c r="L658" s="203">
        <v>142.4</v>
      </c>
      <c r="M658" s="203">
        <v>28.93</v>
      </c>
      <c r="N658" s="196"/>
    </row>
    <row r="659" spans="1:14" s="199" customFormat="1" x14ac:dyDescent="0.35">
      <c r="A659" s="195">
        <v>906271</v>
      </c>
      <c r="B659" s="196"/>
      <c r="C659" s="200">
        <v>3.7</v>
      </c>
      <c r="D659" s="196">
        <v>0.2</v>
      </c>
      <c r="E659" s="196">
        <v>1.65</v>
      </c>
      <c r="F659" s="196">
        <v>0.05</v>
      </c>
      <c r="G659" s="196">
        <v>2.41</v>
      </c>
      <c r="H659" s="196">
        <v>0.5</v>
      </c>
      <c r="I659" s="203">
        <v>64.239999999999995</v>
      </c>
      <c r="J659" s="203">
        <v>260.68</v>
      </c>
      <c r="K659" s="203">
        <v>67.459999999999994</v>
      </c>
      <c r="L659" s="203">
        <v>85.73</v>
      </c>
      <c r="M659" s="203">
        <v>31.06</v>
      </c>
      <c r="N659" s="196"/>
    </row>
    <row r="660" spans="1:14" s="199" customFormat="1" x14ac:dyDescent="0.35">
      <c r="A660" s="195">
        <v>906272</v>
      </c>
      <c r="B660" s="196"/>
      <c r="C660" s="200">
        <v>2.1</v>
      </c>
      <c r="D660" s="196">
        <v>0.19</v>
      </c>
      <c r="E660" s="196">
        <v>1.18</v>
      </c>
      <c r="F660" s="196">
        <v>0.06</v>
      </c>
      <c r="G660" s="196">
        <v>1.01</v>
      </c>
      <c r="H660" s="196">
        <v>0.37</v>
      </c>
      <c r="I660" s="203">
        <v>38.869999999999997</v>
      </c>
      <c r="J660" s="203">
        <v>8.84</v>
      </c>
      <c r="K660" s="203">
        <v>25.27</v>
      </c>
      <c r="L660" s="203">
        <v>79.239999999999995</v>
      </c>
      <c r="M660" s="203">
        <v>29.47</v>
      </c>
      <c r="N660" s="196"/>
    </row>
    <row r="661" spans="1:14" s="199" customFormat="1" x14ac:dyDescent="0.35">
      <c r="A661" s="195">
        <v>906273</v>
      </c>
      <c r="B661" s="196"/>
      <c r="C661" s="200">
        <v>3.7</v>
      </c>
      <c r="D661" s="196">
        <v>0.26</v>
      </c>
      <c r="E661" s="196">
        <v>2.82</v>
      </c>
      <c r="F661" s="196">
        <v>0.04</v>
      </c>
      <c r="G661" s="196">
        <v>2.13</v>
      </c>
      <c r="H661" s="196">
        <v>0.37</v>
      </c>
      <c r="I661" s="203">
        <v>37.28</v>
      </c>
      <c r="J661" s="203">
        <v>110.35</v>
      </c>
      <c r="K661" s="203">
        <v>90.54</v>
      </c>
      <c r="L661" s="203">
        <v>83.55</v>
      </c>
      <c r="M661" s="203">
        <v>44.78</v>
      </c>
      <c r="N661" s="196"/>
    </row>
    <row r="662" spans="1:14" s="199" customFormat="1" x14ac:dyDescent="0.35">
      <c r="A662" s="195">
        <v>906274</v>
      </c>
      <c r="B662" s="196"/>
      <c r="C662" s="200">
        <v>4.0999999999999996</v>
      </c>
      <c r="D662" s="196">
        <v>0.28000000000000003</v>
      </c>
      <c r="E662" s="196">
        <v>2.44</v>
      </c>
      <c r="F662" s="196">
        <v>0.04</v>
      </c>
      <c r="G662" s="196">
        <v>1.43</v>
      </c>
      <c r="H662" s="196">
        <v>0.34</v>
      </c>
      <c r="I662" s="203">
        <v>21.42</v>
      </c>
      <c r="J662" s="203">
        <v>50.5</v>
      </c>
      <c r="K662" s="203">
        <v>47.13</v>
      </c>
      <c r="L662" s="203">
        <v>92.57</v>
      </c>
      <c r="M662" s="203">
        <v>51.14</v>
      </c>
      <c r="N662" s="196"/>
    </row>
    <row r="663" spans="1:14" s="199" customFormat="1" x14ac:dyDescent="0.35">
      <c r="A663" s="195">
        <v>906275</v>
      </c>
      <c r="B663" s="196"/>
      <c r="C663" s="200">
        <v>1.8</v>
      </c>
      <c r="D663" s="196">
        <v>0.18</v>
      </c>
      <c r="E663" s="196">
        <v>0.7</v>
      </c>
      <c r="F663" s="196">
        <v>0.05</v>
      </c>
      <c r="G663" s="196">
        <v>4.28</v>
      </c>
      <c r="H663" s="196">
        <v>0.22</v>
      </c>
      <c r="I663" s="203">
        <v>81.28</v>
      </c>
      <c r="J663" s="203">
        <v>4.68</v>
      </c>
      <c r="K663" s="203">
        <v>148.07</v>
      </c>
      <c r="L663" s="203">
        <v>128.57</v>
      </c>
      <c r="M663" s="203" t="s">
        <v>428</v>
      </c>
      <c r="N663" s="196"/>
    </row>
    <row r="664" spans="1:14" s="199" customFormat="1" x14ac:dyDescent="0.35">
      <c r="A664" s="195">
        <v>906276</v>
      </c>
      <c r="B664" s="196"/>
      <c r="C664" s="200">
        <v>2.8</v>
      </c>
      <c r="D664" s="196">
        <v>0.17</v>
      </c>
      <c r="E664" s="196">
        <v>0.65</v>
      </c>
      <c r="F664" s="196">
        <v>0.06</v>
      </c>
      <c r="G664" s="196">
        <v>5</v>
      </c>
      <c r="H664" s="196">
        <v>0.39</v>
      </c>
      <c r="I664" s="203">
        <v>59.99</v>
      </c>
      <c r="J664" s="203">
        <v>4.4000000000000004</v>
      </c>
      <c r="K664" s="203">
        <v>96.69</v>
      </c>
      <c r="L664" s="203">
        <v>117.45</v>
      </c>
      <c r="M664" s="203">
        <v>44.67</v>
      </c>
      <c r="N664" s="196"/>
    </row>
    <row r="665" spans="1:14" s="199" customFormat="1" x14ac:dyDescent="0.35">
      <c r="A665" s="195">
        <v>906277</v>
      </c>
      <c r="B665" s="196"/>
      <c r="C665" s="200">
        <v>2</v>
      </c>
      <c r="D665" s="196">
        <v>0.16</v>
      </c>
      <c r="E665" s="196">
        <v>0.54</v>
      </c>
      <c r="F665" s="196">
        <v>0.06</v>
      </c>
      <c r="G665" s="196">
        <v>4.83</v>
      </c>
      <c r="H665" s="196">
        <v>0.28000000000000003</v>
      </c>
      <c r="I665" s="203">
        <v>60.58</v>
      </c>
      <c r="J665" s="203">
        <v>4.68</v>
      </c>
      <c r="K665" s="203">
        <v>193.87</v>
      </c>
      <c r="L665" s="203">
        <v>147.65</v>
      </c>
      <c r="M665" s="203">
        <v>45.94</v>
      </c>
      <c r="N665" s="196"/>
    </row>
    <row r="666" spans="1:14" s="199" customFormat="1" x14ac:dyDescent="0.35">
      <c r="A666" s="195">
        <v>906278</v>
      </c>
      <c r="B666" s="196"/>
      <c r="C666" s="200">
        <v>3</v>
      </c>
      <c r="D666" s="196">
        <v>0.15000000000000002</v>
      </c>
      <c r="E666" s="196">
        <v>0.52</v>
      </c>
      <c r="F666" s="196">
        <v>0.06</v>
      </c>
      <c r="G666" s="196">
        <v>4.78</v>
      </c>
      <c r="H666" s="196">
        <v>0.28000000000000003</v>
      </c>
      <c r="I666" s="203">
        <v>46.32</v>
      </c>
      <c r="J666" s="203">
        <v>6.19</v>
      </c>
      <c r="K666" s="203">
        <v>46.2</v>
      </c>
      <c r="L666" s="203">
        <v>102.16</v>
      </c>
      <c r="M666" s="203">
        <v>20.93</v>
      </c>
      <c r="N666" s="196"/>
    </row>
    <row r="667" spans="1:14" s="199" customFormat="1" x14ac:dyDescent="0.35">
      <c r="A667" s="195">
        <v>906279</v>
      </c>
      <c r="B667" s="196"/>
      <c r="C667" s="200">
        <v>3.1</v>
      </c>
      <c r="D667" s="196">
        <v>0.17</v>
      </c>
      <c r="E667" s="196">
        <v>0.67</v>
      </c>
      <c r="F667" s="196">
        <v>0.05</v>
      </c>
      <c r="G667" s="196">
        <v>6.75</v>
      </c>
      <c r="H667" s="196">
        <v>0.32</v>
      </c>
      <c r="I667" s="203">
        <v>11.3</v>
      </c>
      <c r="J667" s="203">
        <v>6.33</v>
      </c>
      <c r="K667" s="203">
        <v>19.260000000000002</v>
      </c>
      <c r="L667" s="203">
        <v>112.02</v>
      </c>
      <c r="M667" s="203">
        <v>28.34</v>
      </c>
      <c r="N667" s="196"/>
    </row>
    <row r="668" spans="1:14" s="199" customFormat="1" x14ac:dyDescent="0.35">
      <c r="A668" s="195">
        <v>906280</v>
      </c>
      <c r="B668" s="196"/>
      <c r="C668" s="200">
        <v>2.7</v>
      </c>
      <c r="D668" s="196">
        <v>0.17</v>
      </c>
      <c r="E668" s="196">
        <v>0.52</v>
      </c>
      <c r="F668" s="196">
        <v>7.0000000000000007E-2</v>
      </c>
      <c r="G668" s="196">
        <v>6.39</v>
      </c>
      <c r="H668" s="196">
        <v>0.43</v>
      </c>
      <c r="I668" s="203">
        <v>34.9</v>
      </c>
      <c r="J668" s="203">
        <v>7.27</v>
      </c>
      <c r="K668" s="203">
        <v>39.700000000000003</v>
      </c>
      <c r="L668" s="203">
        <v>95.13</v>
      </c>
      <c r="M668" s="203">
        <v>38.67</v>
      </c>
      <c r="N668" s="196"/>
    </row>
    <row r="669" spans="1:14" s="199" customFormat="1" x14ac:dyDescent="0.35">
      <c r="A669" s="195">
        <v>906281</v>
      </c>
      <c r="B669" s="196"/>
      <c r="C669" s="200">
        <v>2.1</v>
      </c>
      <c r="D669" s="196">
        <v>0.17</v>
      </c>
      <c r="E669" s="196">
        <v>1.01</v>
      </c>
      <c r="F669" s="196">
        <v>0.05</v>
      </c>
      <c r="G669" s="196">
        <v>3.8</v>
      </c>
      <c r="H669" s="196">
        <v>0.35</v>
      </c>
      <c r="I669" s="203">
        <v>50.13</v>
      </c>
      <c r="J669" s="203">
        <v>12.41</v>
      </c>
      <c r="K669" s="203">
        <v>59.42</v>
      </c>
      <c r="L669" s="203">
        <v>140.16999999999999</v>
      </c>
      <c r="M669" s="203">
        <v>27.17</v>
      </c>
      <c r="N669" s="196"/>
    </row>
    <row r="670" spans="1:14" s="199" customFormat="1" x14ac:dyDescent="0.35">
      <c r="A670" s="195">
        <v>906282</v>
      </c>
      <c r="B670" s="196"/>
      <c r="C670" s="200">
        <v>1.9</v>
      </c>
      <c r="D670" s="196">
        <v>0.17</v>
      </c>
      <c r="E670" s="196">
        <v>0.76</v>
      </c>
      <c r="F670" s="196">
        <v>0.05</v>
      </c>
      <c r="G670" s="196">
        <v>3.76</v>
      </c>
      <c r="H670" s="196">
        <v>0.41</v>
      </c>
      <c r="I670" s="203">
        <v>35.46</v>
      </c>
      <c r="J670" s="203">
        <v>8.73</v>
      </c>
      <c r="K670" s="203">
        <v>43.29</v>
      </c>
      <c r="L670" s="203">
        <v>97.42</v>
      </c>
      <c r="M670" s="203">
        <v>36.32</v>
      </c>
      <c r="N670" s="196"/>
    </row>
    <row r="671" spans="1:14" s="199" customFormat="1" x14ac:dyDescent="0.35">
      <c r="A671" s="195">
        <v>906283</v>
      </c>
      <c r="B671" s="196"/>
      <c r="C671" s="200">
        <v>3.3</v>
      </c>
      <c r="D671" s="196">
        <v>0.19</v>
      </c>
      <c r="E671" s="196">
        <v>0.81</v>
      </c>
      <c r="F671" s="196">
        <v>0.04</v>
      </c>
      <c r="G671" s="196">
        <v>4.13</v>
      </c>
      <c r="H671" s="196">
        <v>0.32</v>
      </c>
      <c r="I671" s="203">
        <v>35.31</v>
      </c>
      <c r="J671" s="203">
        <v>3.8</v>
      </c>
      <c r="K671" s="203">
        <v>27.39</v>
      </c>
      <c r="L671" s="203">
        <v>84.02</v>
      </c>
      <c r="M671" s="203">
        <v>34.369999999999997</v>
      </c>
      <c r="N671" s="196"/>
    </row>
    <row r="672" spans="1:14" s="199" customFormat="1" x14ac:dyDescent="0.35">
      <c r="A672" s="195">
        <v>906284</v>
      </c>
      <c r="B672" s="196"/>
      <c r="C672" s="200">
        <v>3.7</v>
      </c>
      <c r="D672" s="196">
        <v>0.13</v>
      </c>
      <c r="E672" s="196">
        <v>1.47</v>
      </c>
      <c r="F672" s="196">
        <v>0.04</v>
      </c>
      <c r="G672" s="196">
        <v>4.01</v>
      </c>
      <c r="H672" s="196">
        <v>0.24</v>
      </c>
      <c r="I672" s="203">
        <v>23.26</v>
      </c>
      <c r="J672" s="203">
        <v>6.01</v>
      </c>
      <c r="K672" s="203">
        <v>53.51</v>
      </c>
      <c r="L672" s="203">
        <v>152.25</v>
      </c>
      <c r="M672" s="203">
        <v>57.82</v>
      </c>
      <c r="N672" s="196"/>
    </row>
    <row r="673" spans="1:14" s="199" customFormat="1" x14ac:dyDescent="0.35">
      <c r="A673" s="195">
        <v>906285</v>
      </c>
      <c r="B673" s="196"/>
      <c r="C673" s="200">
        <v>3.2</v>
      </c>
      <c r="D673" s="196">
        <v>0.08</v>
      </c>
      <c r="E673" s="196">
        <v>0.67</v>
      </c>
      <c r="F673" s="196">
        <v>0.06</v>
      </c>
      <c r="G673" s="196">
        <v>3</v>
      </c>
      <c r="H673" s="196">
        <v>0.28999999999999998</v>
      </c>
      <c r="I673" s="203">
        <v>33.83</v>
      </c>
      <c r="J673" s="203">
        <v>2.38</v>
      </c>
      <c r="K673" s="203">
        <v>103.23</v>
      </c>
      <c r="L673" s="203">
        <v>149.09</v>
      </c>
      <c r="M673" s="203">
        <v>27.19</v>
      </c>
      <c r="N673" s="196"/>
    </row>
    <row r="674" spans="1:14" s="199" customFormat="1" x14ac:dyDescent="0.35">
      <c r="A674" s="195">
        <v>906293</v>
      </c>
      <c r="B674" s="196"/>
      <c r="C674" s="200">
        <v>2.6</v>
      </c>
      <c r="D674" s="196">
        <v>0.14000000000000001</v>
      </c>
      <c r="E674" s="196">
        <v>1.54</v>
      </c>
      <c r="F674" s="196">
        <v>0.03</v>
      </c>
      <c r="G674" s="196">
        <v>0.35</v>
      </c>
      <c r="H674" s="196">
        <v>0.24</v>
      </c>
      <c r="I674" s="203">
        <v>8.99</v>
      </c>
      <c r="J674" s="203">
        <v>4.42</v>
      </c>
      <c r="K674" s="203">
        <v>54.01</v>
      </c>
      <c r="L674" s="203">
        <v>145.94999999999999</v>
      </c>
      <c r="M674" s="203">
        <v>15.66</v>
      </c>
      <c r="N674" s="196"/>
    </row>
    <row r="675" spans="1:14" s="199" customFormat="1" x14ac:dyDescent="0.35">
      <c r="A675" s="195">
        <v>906294</v>
      </c>
      <c r="B675" s="196"/>
      <c r="C675" s="200">
        <v>2.5</v>
      </c>
      <c r="D675" s="196">
        <v>0.11</v>
      </c>
      <c r="E675" s="196">
        <v>0.85</v>
      </c>
      <c r="F675" s="196">
        <v>0.02</v>
      </c>
      <c r="G675" s="196">
        <v>0.52</v>
      </c>
      <c r="H675" s="196">
        <v>0.36</v>
      </c>
      <c r="I675" s="203">
        <v>10.050000000000001</v>
      </c>
      <c r="J675" s="203">
        <v>12.44</v>
      </c>
      <c r="K675" s="203">
        <v>30.79</v>
      </c>
      <c r="L675" s="203">
        <v>191.19</v>
      </c>
      <c r="M675" s="203">
        <v>15.25</v>
      </c>
      <c r="N675" s="196"/>
    </row>
    <row r="676" spans="1:14" s="199" customFormat="1" x14ac:dyDescent="0.35">
      <c r="A676" s="195">
        <v>906298</v>
      </c>
      <c r="B676" s="196"/>
      <c r="C676" s="200">
        <v>3.5</v>
      </c>
      <c r="D676" s="196">
        <v>0.21</v>
      </c>
      <c r="E676" s="196">
        <v>2.63</v>
      </c>
      <c r="F676" s="196">
        <v>0.1</v>
      </c>
      <c r="G676" s="196">
        <v>3.02</v>
      </c>
      <c r="H676" s="196">
        <v>0.52</v>
      </c>
      <c r="I676" s="203">
        <v>15.05</v>
      </c>
      <c r="J676" s="203">
        <v>8.7100000000000009</v>
      </c>
      <c r="K676" s="203">
        <v>112.98</v>
      </c>
      <c r="L676" s="203">
        <v>243.01</v>
      </c>
      <c r="M676" s="203">
        <v>75.760000000000005</v>
      </c>
      <c r="N676" s="196"/>
    </row>
    <row r="677" spans="1:14" s="199" customFormat="1" x14ac:dyDescent="0.35">
      <c r="A677" s="195">
        <v>906299</v>
      </c>
      <c r="B677" s="196"/>
      <c r="C677" s="200">
        <v>3.9</v>
      </c>
      <c r="D677" s="196">
        <v>0.2</v>
      </c>
      <c r="E677" s="196">
        <v>2.9</v>
      </c>
      <c r="F677" s="196">
        <v>0.08</v>
      </c>
      <c r="G677" s="196">
        <v>4.1399999999999997</v>
      </c>
      <c r="H677" s="196">
        <v>0.96</v>
      </c>
      <c r="I677" s="203">
        <v>11.77</v>
      </c>
      <c r="J677" s="203">
        <v>6.11</v>
      </c>
      <c r="K677" s="203">
        <v>88.66</v>
      </c>
      <c r="L677" s="203">
        <v>115.44</v>
      </c>
      <c r="M677" s="203">
        <v>63.75</v>
      </c>
      <c r="N677" s="196"/>
    </row>
    <row r="678" spans="1:14" s="199" customFormat="1" x14ac:dyDescent="0.35">
      <c r="A678" s="195">
        <v>906300</v>
      </c>
      <c r="B678" s="196"/>
      <c r="C678" s="200">
        <v>1.9</v>
      </c>
      <c r="D678" s="196">
        <v>0.19</v>
      </c>
      <c r="E678" s="196">
        <v>2.38</v>
      </c>
      <c r="F678" s="196">
        <v>0.04</v>
      </c>
      <c r="G678" s="196">
        <v>0.08</v>
      </c>
      <c r="H678" s="196">
        <v>0.1</v>
      </c>
      <c r="I678" s="203">
        <v>14.8</v>
      </c>
      <c r="J678" s="203">
        <v>1.3</v>
      </c>
      <c r="K678" s="203">
        <v>7.34</v>
      </c>
      <c r="L678" s="203">
        <v>49.45</v>
      </c>
      <c r="M678" s="203">
        <v>7.77</v>
      </c>
      <c r="N678" s="196"/>
    </row>
    <row r="679" spans="1:14" s="199" customFormat="1" x14ac:dyDescent="0.35">
      <c r="A679" s="195">
        <v>906301</v>
      </c>
      <c r="B679" s="196"/>
      <c r="C679" s="200">
        <v>1.9</v>
      </c>
      <c r="D679" s="196">
        <v>0.24</v>
      </c>
      <c r="E679" s="196">
        <v>2.38</v>
      </c>
      <c r="F679" s="196">
        <v>0.03</v>
      </c>
      <c r="G679" s="196">
        <v>0.11</v>
      </c>
      <c r="H679" s="196">
        <v>0.11</v>
      </c>
      <c r="I679" s="203">
        <v>16.350000000000001</v>
      </c>
      <c r="J679" s="203">
        <v>1.99</v>
      </c>
      <c r="K679" s="203">
        <v>8.89</v>
      </c>
      <c r="L679" s="203">
        <v>43.92</v>
      </c>
      <c r="M679" s="203">
        <v>10.130000000000001</v>
      </c>
      <c r="N679" s="196"/>
    </row>
    <row r="680" spans="1:14" s="199" customFormat="1" x14ac:dyDescent="0.35">
      <c r="A680" s="195">
        <v>906302</v>
      </c>
      <c r="B680" s="196"/>
      <c r="C680" s="200">
        <v>3.3</v>
      </c>
      <c r="D680" s="196">
        <v>0.19</v>
      </c>
      <c r="E680" s="196">
        <v>3.74</v>
      </c>
      <c r="F680" s="196">
        <v>0.03</v>
      </c>
      <c r="G680" s="196">
        <v>1.42</v>
      </c>
      <c r="H680" s="196">
        <v>0.81</v>
      </c>
      <c r="I680" s="203">
        <v>12.4</v>
      </c>
      <c r="J680" s="203">
        <v>8.15</v>
      </c>
      <c r="K680" s="203">
        <v>386.68</v>
      </c>
      <c r="L680" s="203">
        <v>105.01</v>
      </c>
      <c r="M680" s="203">
        <v>171.81</v>
      </c>
      <c r="N680" s="196"/>
    </row>
    <row r="681" spans="1:14" s="199" customFormat="1" x14ac:dyDescent="0.35">
      <c r="A681" s="195">
        <v>906303</v>
      </c>
      <c r="B681" s="196"/>
      <c r="C681" s="200">
        <v>3.5</v>
      </c>
      <c r="D681" s="196">
        <v>0.23</v>
      </c>
      <c r="E681" s="196">
        <v>4.3</v>
      </c>
      <c r="F681" s="196">
        <v>0.03</v>
      </c>
      <c r="G681" s="196">
        <v>2.29</v>
      </c>
      <c r="H681" s="196">
        <v>0.72</v>
      </c>
      <c r="I681" s="203">
        <v>10.07</v>
      </c>
      <c r="J681" s="203">
        <v>5.83</v>
      </c>
      <c r="K681" s="203">
        <v>268.81</v>
      </c>
      <c r="L681" s="203">
        <v>143.78</v>
      </c>
      <c r="M681" s="203">
        <v>122.08</v>
      </c>
      <c r="N681" s="196"/>
    </row>
    <row r="682" spans="1:14" s="199" customFormat="1" x14ac:dyDescent="0.35">
      <c r="A682" s="195">
        <v>906304</v>
      </c>
      <c r="B682" s="196"/>
      <c r="C682" s="200">
        <v>2</v>
      </c>
      <c r="D682" s="196">
        <v>0.11</v>
      </c>
      <c r="E682" s="196">
        <v>1.26</v>
      </c>
      <c r="F682" s="196">
        <v>0.04</v>
      </c>
      <c r="G682" s="196">
        <v>2.1800000000000002</v>
      </c>
      <c r="H682" s="196">
        <v>0.34</v>
      </c>
      <c r="I682" s="203">
        <v>21.26</v>
      </c>
      <c r="J682" s="203">
        <v>4.5199999999999996</v>
      </c>
      <c r="K682" s="203">
        <v>33.69</v>
      </c>
      <c r="L682" s="203">
        <v>80.84</v>
      </c>
      <c r="M682" s="203">
        <v>43.36</v>
      </c>
      <c r="N682" s="196"/>
    </row>
    <row r="683" spans="1:14" s="199" customFormat="1" x14ac:dyDescent="0.35">
      <c r="A683" s="195">
        <v>906305</v>
      </c>
      <c r="B683" s="196"/>
      <c r="C683" s="200">
        <v>1.8</v>
      </c>
      <c r="D683" s="196">
        <v>0.19</v>
      </c>
      <c r="E683" s="196">
        <v>1.28</v>
      </c>
      <c r="F683" s="196">
        <v>0.06</v>
      </c>
      <c r="G683" s="196">
        <v>1.37</v>
      </c>
      <c r="H683" s="196">
        <v>0.18</v>
      </c>
      <c r="I683" s="203">
        <v>35.49</v>
      </c>
      <c r="J683" s="203">
        <v>43.38</v>
      </c>
      <c r="K683" s="203">
        <v>35.450000000000003</v>
      </c>
      <c r="L683" s="203">
        <v>90.29</v>
      </c>
      <c r="M683" s="203">
        <v>35.15</v>
      </c>
      <c r="N683" s="196"/>
    </row>
    <row r="684" spans="1:14" s="199" customFormat="1" x14ac:dyDescent="0.35">
      <c r="A684" s="195">
        <v>906306</v>
      </c>
      <c r="B684" s="196"/>
      <c r="C684" s="200">
        <v>1.7088174000000003</v>
      </c>
      <c r="D684" s="196">
        <v>0.12</v>
      </c>
      <c r="E684" s="196">
        <v>1.17</v>
      </c>
      <c r="F684" s="196">
        <v>7.0000000000000007E-2</v>
      </c>
      <c r="G684" s="196">
        <v>1.62</v>
      </c>
      <c r="H684" s="196">
        <v>0.25</v>
      </c>
      <c r="I684" s="203">
        <v>21.68</v>
      </c>
      <c r="J684" s="203">
        <v>82.73</v>
      </c>
      <c r="K684" s="203">
        <v>41.71</v>
      </c>
      <c r="L684" s="203">
        <v>93.88</v>
      </c>
      <c r="M684" s="203">
        <v>26.5</v>
      </c>
      <c r="N684" s="196"/>
    </row>
    <row r="685" spans="1:14" s="199" customFormat="1" x14ac:dyDescent="0.35">
      <c r="A685" s="195">
        <v>906307</v>
      </c>
      <c r="B685" s="196"/>
      <c r="C685" s="200">
        <v>1.7368308000000003</v>
      </c>
      <c r="D685" s="196">
        <v>0.19</v>
      </c>
      <c r="E685" s="196">
        <v>1.19</v>
      </c>
      <c r="F685" s="196">
        <v>0.04</v>
      </c>
      <c r="G685" s="196">
        <v>1.38</v>
      </c>
      <c r="H685" s="196">
        <v>0.2</v>
      </c>
      <c r="I685" s="203">
        <v>35.68</v>
      </c>
      <c r="J685" s="203">
        <v>28.14</v>
      </c>
      <c r="K685" s="203">
        <v>25.98</v>
      </c>
      <c r="L685" s="203">
        <v>83.61</v>
      </c>
      <c r="M685" s="203">
        <v>33.369999999999997</v>
      </c>
      <c r="N685" s="196"/>
    </row>
    <row r="686" spans="1:14" s="199" customFormat="1" x14ac:dyDescent="0.35">
      <c r="A686" s="195">
        <v>906308</v>
      </c>
      <c r="B686" s="196"/>
      <c r="C686" s="200">
        <v>1.8768978000000001</v>
      </c>
      <c r="D686" s="196">
        <v>0.2</v>
      </c>
      <c r="E686" s="196">
        <v>1.88</v>
      </c>
      <c r="F686" s="196">
        <v>0.05</v>
      </c>
      <c r="G686" s="196">
        <v>0.97</v>
      </c>
      <c r="H686" s="196">
        <v>0.16</v>
      </c>
      <c r="I686" s="203">
        <v>47.65</v>
      </c>
      <c r="J686" s="203">
        <v>25.15</v>
      </c>
      <c r="K686" s="203">
        <v>20.39</v>
      </c>
      <c r="L686" s="203">
        <v>71.959999999999994</v>
      </c>
      <c r="M686" s="203">
        <v>33.97</v>
      </c>
      <c r="N686" s="196"/>
    </row>
    <row r="687" spans="1:14" s="195" customFormat="1" x14ac:dyDescent="0.35">
      <c r="A687" s="195">
        <v>906309</v>
      </c>
    </row>
    <row r="688" spans="1:14" s="195" customFormat="1" x14ac:dyDescent="0.35">
      <c r="A688" s="195">
        <v>906310</v>
      </c>
    </row>
    <row r="689" spans="1:13" s="195" customFormat="1" x14ac:dyDescent="0.35">
      <c r="A689" s="195">
        <v>906311</v>
      </c>
    </row>
    <row r="690" spans="1:13" s="195" customFormat="1" x14ac:dyDescent="0.35">
      <c r="A690" s="195">
        <v>906312</v>
      </c>
    </row>
    <row r="691" spans="1:13" s="195" customFormat="1" x14ac:dyDescent="0.35">
      <c r="A691" s="195">
        <v>906313</v>
      </c>
    </row>
    <row r="692" spans="1:13" s="195" customFormat="1" x14ac:dyDescent="0.35">
      <c r="A692" s="195">
        <v>906314</v>
      </c>
    </row>
    <row r="693" spans="1:13" s="195" customFormat="1" x14ac:dyDescent="0.35">
      <c r="A693" s="195">
        <v>906315</v>
      </c>
      <c r="C693" s="195">
        <v>1.4286834000000002</v>
      </c>
      <c r="D693" s="195">
        <v>0.08</v>
      </c>
      <c r="E693" s="195">
        <v>0.57999999999999996</v>
      </c>
      <c r="F693" s="195">
        <v>0.02</v>
      </c>
      <c r="G693" s="195">
        <v>0.61</v>
      </c>
      <c r="H693" s="195">
        <v>0.21</v>
      </c>
      <c r="I693" s="195">
        <v>8.39</v>
      </c>
      <c r="J693" s="195">
        <v>20.91</v>
      </c>
      <c r="K693" s="195">
        <v>16.670000000000002</v>
      </c>
      <c r="L693" s="195">
        <v>139.80000000000001</v>
      </c>
      <c r="M693" s="195">
        <v>35.82</v>
      </c>
    </row>
    <row r="694" spans="1:13" s="195" customFormat="1" x14ac:dyDescent="0.35">
      <c r="A694" s="195">
        <v>906316</v>
      </c>
      <c r="C694" s="195">
        <v>1.0925226000000001</v>
      </c>
      <c r="D694" s="195">
        <v>0.08</v>
      </c>
      <c r="E694" s="195">
        <v>0.52</v>
      </c>
      <c r="F694" s="195">
        <v>0.02</v>
      </c>
      <c r="G694" s="195">
        <v>0.74</v>
      </c>
      <c r="H694" s="195">
        <v>0.24</v>
      </c>
      <c r="I694" s="195">
        <v>8.4</v>
      </c>
      <c r="J694" s="195">
        <v>8.08</v>
      </c>
      <c r="K694" s="195">
        <v>27.58</v>
      </c>
      <c r="L694" s="195">
        <v>191.01</v>
      </c>
      <c r="M694" s="195">
        <v>33.22</v>
      </c>
    </row>
    <row r="695" spans="1:13" s="195" customFormat="1" x14ac:dyDescent="0.35">
      <c r="A695" s="195">
        <v>906317</v>
      </c>
      <c r="C695" s="195">
        <v>1.0645092</v>
      </c>
      <c r="D695" s="195">
        <v>0.08</v>
      </c>
      <c r="E695" s="195">
        <v>0.45</v>
      </c>
      <c r="F695" s="195">
        <v>0.02</v>
      </c>
      <c r="G695" s="195">
        <v>0.8</v>
      </c>
      <c r="H695" s="195">
        <v>0.27</v>
      </c>
      <c r="I695" s="195">
        <v>9.31</v>
      </c>
      <c r="J695" s="195">
        <v>26.49</v>
      </c>
      <c r="K695" s="195">
        <v>59.69</v>
      </c>
      <c r="L695" s="195">
        <v>223.68</v>
      </c>
      <c r="M695" s="195">
        <v>33.69</v>
      </c>
    </row>
    <row r="696" spans="1:13" s="195" customFormat="1" x14ac:dyDescent="0.35">
      <c r="A696" s="195">
        <v>906318</v>
      </c>
      <c r="C696" s="195">
        <v>1.2045762000000004</v>
      </c>
      <c r="D696" s="195">
        <v>0.08</v>
      </c>
      <c r="E696" s="195">
        <v>0.87</v>
      </c>
      <c r="F696" s="195">
        <v>0.02</v>
      </c>
      <c r="G696" s="195">
        <v>0.39</v>
      </c>
      <c r="H696" s="195">
        <v>0.25</v>
      </c>
      <c r="I696" s="195">
        <v>8.3800000000000008</v>
      </c>
      <c r="J696" s="195">
        <v>3.39</v>
      </c>
      <c r="K696" s="195">
        <v>29.01</v>
      </c>
      <c r="L696" s="195">
        <v>152.5</v>
      </c>
      <c r="M696" s="195">
        <v>26.27</v>
      </c>
    </row>
    <row r="697" spans="1:13" s="195" customFormat="1" x14ac:dyDescent="0.35">
      <c r="A697" s="195">
        <v>906319</v>
      </c>
      <c r="C697" s="195">
        <v>1.1765628000000001</v>
      </c>
      <c r="D697" s="195">
        <v>0.09</v>
      </c>
      <c r="E697" s="195">
        <v>0.81</v>
      </c>
      <c r="F697" s="195">
        <v>0.02</v>
      </c>
      <c r="G697" s="195">
        <v>0.44</v>
      </c>
      <c r="H697" s="195">
        <v>0.28000000000000003</v>
      </c>
      <c r="I697" s="195">
        <v>7.13</v>
      </c>
      <c r="J697" s="195">
        <v>1.88</v>
      </c>
      <c r="K697" s="195">
        <v>26.28</v>
      </c>
      <c r="L697" s="195">
        <v>129.26</v>
      </c>
      <c r="M697" s="195">
        <v>26.84</v>
      </c>
    </row>
    <row r="698" spans="1:13" s="195" customFormat="1" x14ac:dyDescent="0.35">
      <c r="A698" s="195">
        <v>906320</v>
      </c>
      <c r="C698" s="195">
        <v>1.3166298000000001</v>
      </c>
      <c r="D698" s="195">
        <v>0.09</v>
      </c>
      <c r="E698" s="195">
        <v>0.51</v>
      </c>
      <c r="F698" s="195">
        <v>0.02</v>
      </c>
      <c r="G698" s="195">
        <v>0.5</v>
      </c>
      <c r="H698" s="195">
        <v>0.35</v>
      </c>
      <c r="I698" s="195">
        <v>10.73</v>
      </c>
      <c r="J698" s="195">
        <v>3.16</v>
      </c>
      <c r="K698" s="195">
        <v>46.59</v>
      </c>
      <c r="L698" s="195">
        <v>116.2</v>
      </c>
      <c r="M698" s="195">
        <v>23.68</v>
      </c>
    </row>
    <row r="699" spans="1:13" s="195" customFormat="1" x14ac:dyDescent="0.35">
      <c r="A699" s="195">
        <v>906321</v>
      </c>
      <c r="C699" s="195">
        <v>2.4931926000000004</v>
      </c>
      <c r="D699" s="195">
        <v>0.25</v>
      </c>
      <c r="E699" s="195">
        <v>1</v>
      </c>
      <c r="F699" s="195">
        <v>0.03</v>
      </c>
      <c r="G699" s="195">
        <v>1.88</v>
      </c>
      <c r="H699" s="195">
        <v>0.46</v>
      </c>
      <c r="I699" s="195">
        <v>23.45</v>
      </c>
      <c r="J699" s="195">
        <v>6.18</v>
      </c>
      <c r="K699" s="195">
        <v>40.729999999999997</v>
      </c>
      <c r="L699" s="195">
        <v>72.680000000000007</v>
      </c>
      <c r="M699" s="195">
        <v>25.85</v>
      </c>
    </row>
    <row r="700" spans="1:13" s="195" customFormat="1" x14ac:dyDescent="0.35">
      <c r="A700" s="195">
        <v>906322</v>
      </c>
      <c r="C700" s="195">
        <v>2.4931926000000004</v>
      </c>
      <c r="D700" s="195">
        <v>0.22</v>
      </c>
      <c r="E700" s="195">
        <v>0.84</v>
      </c>
      <c r="F700" s="195">
        <v>0.03</v>
      </c>
      <c r="G700" s="195">
        <v>1.87</v>
      </c>
      <c r="H700" s="195">
        <v>0.51</v>
      </c>
      <c r="I700" s="195">
        <v>15.04</v>
      </c>
      <c r="J700" s="195">
        <v>12.33</v>
      </c>
      <c r="K700" s="195">
        <v>34.43</v>
      </c>
      <c r="L700" s="195">
        <v>62.65</v>
      </c>
      <c r="M700" s="195">
        <v>25.92</v>
      </c>
    </row>
    <row r="701" spans="1:13" s="195" customFormat="1" x14ac:dyDescent="0.35">
      <c r="A701" s="195">
        <v>906323</v>
      </c>
      <c r="C701" s="195">
        <v>2.5492194000000001</v>
      </c>
      <c r="D701" s="195">
        <v>0.2</v>
      </c>
      <c r="E701" s="195">
        <v>1.36</v>
      </c>
      <c r="F701" s="195">
        <v>0.03</v>
      </c>
      <c r="G701" s="195">
        <v>1.53</v>
      </c>
      <c r="H701" s="195">
        <v>0.49</v>
      </c>
      <c r="I701" s="195">
        <v>17.38</v>
      </c>
      <c r="J701" s="195">
        <v>6.98</v>
      </c>
      <c r="K701" s="195">
        <v>29.15</v>
      </c>
      <c r="L701" s="195">
        <v>65.569999999999993</v>
      </c>
      <c r="M701" s="195">
        <v>29.47</v>
      </c>
    </row>
    <row r="702" spans="1:13" s="195" customFormat="1" x14ac:dyDescent="0.35">
      <c r="A702" s="195">
        <v>906324</v>
      </c>
      <c r="C702" s="195">
        <v>2.9133936</v>
      </c>
      <c r="D702" s="195">
        <v>0.21</v>
      </c>
      <c r="E702" s="195">
        <v>1.29</v>
      </c>
      <c r="F702" s="195">
        <v>0.03</v>
      </c>
      <c r="G702" s="195">
        <v>1.46</v>
      </c>
      <c r="H702" s="195">
        <v>0.45</v>
      </c>
      <c r="I702" s="195">
        <v>18.12</v>
      </c>
      <c r="J702" s="195">
        <v>13.86</v>
      </c>
      <c r="K702" s="195">
        <v>32.590000000000003</v>
      </c>
      <c r="L702" s="195">
        <v>89.15</v>
      </c>
      <c r="M702" s="195">
        <v>36.03</v>
      </c>
    </row>
    <row r="703" spans="1:13" s="195" customFormat="1" x14ac:dyDescent="0.35">
      <c r="A703" s="195">
        <v>906325</v>
      </c>
      <c r="C703" s="195">
        <v>1.9889514000000006</v>
      </c>
      <c r="D703" s="195">
        <v>0.24</v>
      </c>
      <c r="E703" s="195">
        <v>1.1499999999999999</v>
      </c>
      <c r="F703" s="195">
        <v>0.04</v>
      </c>
      <c r="G703" s="195">
        <v>1.04</v>
      </c>
      <c r="H703" s="195">
        <v>0.31</v>
      </c>
      <c r="I703" s="195">
        <v>26.26</v>
      </c>
      <c r="J703" s="195">
        <v>6.3</v>
      </c>
      <c r="K703" s="195">
        <v>90.37</v>
      </c>
      <c r="L703" s="195">
        <v>122.02</v>
      </c>
      <c r="M703" s="195">
        <v>100.78</v>
      </c>
    </row>
    <row r="704" spans="1:13" s="195" customFormat="1" x14ac:dyDescent="0.35">
      <c r="A704" s="195">
        <v>906326</v>
      </c>
      <c r="C704" s="195">
        <v>2.5772328000000004</v>
      </c>
      <c r="D704" s="195">
        <v>0.19</v>
      </c>
      <c r="E704" s="195">
        <v>1.59</v>
      </c>
      <c r="F704" s="195">
        <v>0.08</v>
      </c>
      <c r="G704" s="195">
        <v>1.47</v>
      </c>
      <c r="H704" s="195">
        <v>0.39</v>
      </c>
      <c r="I704" s="195">
        <v>38.53</v>
      </c>
      <c r="J704" s="195">
        <v>9.27</v>
      </c>
      <c r="K704" s="195">
        <v>236.93</v>
      </c>
      <c r="L704" s="195">
        <v>158.72</v>
      </c>
      <c r="M704" s="195">
        <v>73.650000000000006</v>
      </c>
    </row>
    <row r="705" spans="1:13" s="195" customFormat="1" x14ac:dyDescent="0.35">
      <c r="A705" s="195">
        <v>906327</v>
      </c>
      <c r="C705" s="195">
        <v>2.241072</v>
      </c>
      <c r="D705" s="195">
        <v>0.21</v>
      </c>
      <c r="E705" s="195">
        <v>1.38</v>
      </c>
      <c r="F705" s="195">
        <v>0.05</v>
      </c>
      <c r="G705" s="195">
        <v>1.69</v>
      </c>
      <c r="H705" s="195">
        <v>0.38</v>
      </c>
      <c r="I705" s="195">
        <v>35.869999999999997</v>
      </c>
      <c r="J705" s="195">
        <v>8.14</v>
      </c>
      <c r="K705" s="195">
        <v>200.58</v>
      </c>
      <c r="L705" s="195">
        <v>138.97</v>
      </c>
      <c r="M705" s="195">
        <v>59.89</v>
      </c>
    </row>
    <row r="706" spans="1:13" s="195" customFormat="1" x14ac:dyDescent="0.35">
      <c r="A706" s="195">
        <v>906328</v>
      </c>
      <c r="C706" s="195">
        <v>1.7928576000000003</v>
      </c>
      <c r="D706" s="195">
        <v>0.11</v>
      </c>
      <c r="E706" s="195">
        <v>0.99</v>
      </c>
      <c r="F706" s="195">
        <v>0.04</v>
      </c>
      <c r="G706" s="195">
        <v>3.05</v>
      </c>
      <c r="H706" s="195">
        <v>0.24</v>
      </c>
      <c r="I706" s="195">
        <v>40.78</v>
      </c>
      <c r="J706" s="195">
        <v>3.79</v>
      </c>
      <c r="K706" s="195">
        <v>79.430000000000007</v>
      </c>
      <c r="L706" s="195">
        <v>132.24</v>
      </c>
      <c r="M706" s="195">
        <v>68.2</v>
      </c>
    </row>
    <row r="707" spans="1:13" s="195" customFormat="1" x14ac:dyDescent="0.35">
      <c r="A707" s="195">
        <v>906329</v>
      </c>
      <c r="C707" s="195">
        <v>1.8768978000000001</v>
      </c>
      <c r="D707" s="195">
        <v>0.1</v>
      </c>
      <c r="E707" s="195">
        <v>1.06</v>
      </c>
      <c r="F707" s="195">
        <v>0.04</v>
      </c>
      <c r="G707" s="195">
        <v>3.27</v>
      </c>
      <c r="H707" s="195">
        <v>0.38</v>
      </c>
      <c r="I707" s="195">
        <v>42.4</v>
      </c>
      <c r="J707" s="195">
        <v>5.97</v>
      </c>
      <c r="K707" s="195">
        <v>63.6</v>
      </c>
      <c r="L707" s="195">
        <v>103.67</v>
      </c>
      <c r="M707" s="195">
        <v>59.16</v>
      </c>
    </row>
    <row r="708" spans="1:13" s="195" customFormat="1" x14ac:dyDescent="0.35">
      <c r="A708" s="195">
        <v>906330</v>
      </c>
      <c r="C708" s="195">
        <v>2.1010050000000002</v>
      </c>
      <c r="D708" s="195">
        <v>0.1</v>
      </c>
      <c r="E708" s="195">
        <v>1.1299999999999999</v>
      </c>
      <c r="F708" s="195">
        <v>0.05</v>
      </c>
      <c r="G708" s="195">
        <v>3.1</v>
      </c>
      <c r="H708" s="195">
        <v>0.28999999999999998</v>
      </c>
      <c r="I708" s="195">
        <v>47.68</v>
      </c>
      <c r="J708" s="195">
        <v>6.23</v>
      </c>
      <c r="K708" s="195">
        <v>124.64</v>
      </c>
      <c r="L708" s="195">
        <v>159.93</v>
      </c>
      <c r="M708" s="195">
        <v>64.09</v>
      </c>
    </row>
    <row r="709" spans="1:13" s="195" customFormat="1" x14ac:dyDescent="0.35">
      <c r="A709" s="195">
        <v>906331</v>
      </c>
      <c r="C709" s="195">
        <v>2.2130586000000005</v>
      </c>
      <c r="D709" s="195">
        <v>0.09</v>
      </c>
      <c r="E709" s="195">
        <v>1.22</v>
      </c>
      <c r="F709" s="195">
        <v>0.05</v>
      </c>
      <c r="G709" s="195">
        <v>3.91</v>
      </c>
      <c r="H709" s="195">
        <v>0.3</v>
      </c>
      <c r="I709" s="195">
        <v>46.31</v>
      </c>
      <c r="J709" s="195">
        <v>6.95</v>
      </c>
      <c r="K709" s="195">
        <v>42.76</v>
      </c>
      <c r="L709" s="195">
        <v>106.62</v>
      </c>
      <c r="M709" s="195">
        <v>43.47</v>
      </c>
    </row>
    <row r="710" spans="1:13" s="195" customFormat="1" x14ac:dyDescent="0.35">
      <c r="A710" s="195">
        <v>906332</v>
      </c>
      <c r="C710" s="195">
        <v>1.9889514000000006</v>
      </c>
      <c r="D710" s="195">
        <v>0.09</v>
      </c>
      <c r="E710" s="195">
        <v>0.74</v>
      </c>
      <c r="F710" s="195">
        <v>0.05</v>
      </c>
      <c r="G710" s="195">
        <v>6.65</v>
      </c>
      <c r="H710" s="195">
        <v>0.36</v>
      </c>
      <c r="I710" s="195">
        <v>14.64</v>
      </c>
      <c r="J710" s="195">
        <v>9.31</v>
      </c>
      <c r="K710" s="195">
        <v>17.489999999999998</v>
      </c>
      <c r="L710" s="195">
        <v>147.86000000000001</v>
      </c>
      <c r="M710" s="195">
        <v>59.75</v>
      </c>
    </row>
    <row r="711" spans="1:13" s="195" customFormat="1" x14ac:dyDescent="0.35">
      <c r="A711" s="195">
        <v>906333</v>
      </c>
      <c r="C711" s="195">
        <v>2.0449782000000001</v>
      </c>
      <c r="D711" s="195">
        <v>0.08</v>
      </c>
      <c r="E711" s="195">
        <v>0.62</v>
      </c>
      <c r="F711" s="195">
        <v>0.05</v>
      </c>
      <c r="G711" s="195">
        <v>5.21</v>
      </c>
      <c r="H711" s="195">
        <v>0.41</v>
      </c>
      <c r="I711" s="195">
        <v>59.45</v>
      </c>
      <c r="J711" s="195">
        <v>5.95</v>
      </c>
      <c r="K711" s="195">
        <v>54.96</v>
      </c>
      <c r="L711" s="195">
        <v>135.47</v>
      </c>
      <c r="M711" s="195">
        <v>54.05</v>
      </c>
    </row>
    <row r="712" spans="1:13" s="195" customFormat="1" x14ac:dyDescent="0.35">
      <c r="A712" s="195">
        <v>906334</v>
      </c>
      <c r="C712" s="195">
        <v>1.8208709999999999</v>
      </c>
      <c r="D712" s="195">
        <v>0.08</v>
      </c>
      <c r="E712" s="195">
        <v>0.89</v>
      </c>
      <c r="F712" s="195">
        <v>0.05</v>
      </c>
      <c r="G712" s="195">
        <v>3.98</v>
      </c>
      <c r="H712" s="195">
        <v>0.41</v>
      </c>
      <c r="I712" s="195">
        <v>47.74</v>
      </c>
      <c r="J712" s="195">
        <v>9.75</v>
      </c>
      <c r="K712" s="195">
        <v>61.29</v>
      </c>
      <c r="L712" s="195">
        <v>156.07</v>
      </c>
      <c r="M712" s="195">
        <v>51.24</v>
      </c>
    </row>
    <row r="713" spans="1:13" s="195" customFormat="1" x14ac:dyDescent="0.35">
      <c r="A713" s="195">
        <v>906335</v>
      </c>
      <c r="C713" s="195">
        <v>1.9329246000000002</v>
      </c>
      <c r="D713" s="195">
        <v>0.08</v>
      </c>
      <c r="E713" s="195">
        <v>1.02</v>
      </c>
      <c r="F713" s="195">
        <v>0.04</v>
      </c>
      <c r="G713" s="195">
        <v>3.48</v>
      </c>
      <c r="H713" s="195">
        <v>0.42</v>
      </c>
      <c r="I713" s="195">
        <v>53.86</v>
      </c>
      <c r="J713" s="195">
        <v>10.91</v>
      </c>
      <c r="K713" s="195">
        <v>73.16</v>
      </c>
      <c r="L713" s="195">
        <v>177.65</v>
      </c>
      <c r="M713" s="195">
        <v>109.59</v>
      </c>
    </row>
    <row r="714" spans="1:13" s="195" customFormat="1" x14ac:dyDescent="0.35">
      <c r="A714" s="195">
        <v>906336</v>
      </c>
      <c r="C714" s="195">
        <v>2.5772328000000004</v>
      </c>
      <c r="D714" s="195">
        <v>0.1</v>
      </c>
      <c r="E714" s="195">
        <v>1.1200000000000001</v>
      </c>
      <c r="F714" s="195">
        <v>0.04</v>
      </c>
      <c r="G714" s="195">
        <v>3.68</v>
      </c>
      <c r="H714" s="195">
        <v>0.33</v>
      </c>
      <c r="I714" s="195">
        <v>61.37</v>
      </c>
      <c r="J714" s="195">
        <v>3.58</v>
      </c>
      <c r="K714" s="195">
        <v>68.02</v>
      </c>
      <c r="L714" s="195">
        <v>98.71</v>
      </c>
      <c r="M714" s="195">
        <v>52.52</v>
      </c>
    </row>
    <row r="715" spans="1:13" s="195" customFormat="1" x14ac:dyDescent="0.35">
      <c r="A715" s="195">
        <v>906337</v>
      </c>
      <c r="C715" s="195">
        <v>2.4371658000000007</v>
      </c>
      <c r="D715" s="195">
        <v>0.13</v>
      </c>
      <c r="E715" s="195">
        <v>1.28</v>
      </c>
      <c r="F715" s="195">
        <v>0.06</v>
      </c>
      <c r="G715" s="195">
        <v>3.46</v>
      </c>
      <c r="H715" s="195">
        <v>0.27</v>
      </c>
      <c r="I715" s="195">
        <v>22.15</v>
      </c>
      <c r="J715" s="195">
        <v>5.33</v>
      </c>
      <c r="K715" s="195">
        <v>31.3</v>
      </c>
      <c r="L715" s="195">
        <v>139.97</v>
      </c>
      <c r="M715" s="195">
        <v>87.74</v>
      </c>
    </row>
    <row r="716" spans="1:13" s="195" customFormat="1" x14ac:dyDescent="0.35">
      <c r="A716" s="195">
        <v>906338</v>
      </c>
      <c r="C716" s="195">
        <v>2.2690854000000003</v>
      </c>
      <c r="D716" s="195">
        <v>0.1</v>
      </c>
      <c r="E716" s="195">
        <v>0.75</v>
      </c>
      <c r="F716" s="195">
        <v>7.0000000000000007E-2</v>
      </c>
      <c r="G716" s="195">
        <v>3.03</v>
      </c>
      <c r="H716" s="195">
        <v>0.28000000000000003</v>
      </c>
      <c r="I716" s="195">
        <v>54.01</v>
      </c>
      <c r="J716" s="195">
        <v>3.42</v>
      </c>
      <c r="K716" s="195">
        <v>151.5</v>
      </c>
      <c r="L716" s="195">
        <v>165.59</v>
      </c>
      <c r="M716" s="195">
        <v>52.19</v>
      </c>
    </row>
    <row r="717" spans="1:13" s="195" customFormat="1" x14ac:dyDescent="0.35">
      <c r="A717" s="195">
        <v>906339</v>
      </c>
      <c r="C717" s="195">
        <v>1.0645092</v>
      </c>
      <c r="D717" s="195">
        <v>0.1</v>
      </c>
      <c r="E717" s="195">
        <v>0.7</v>
      </c>
      <c r="F717" s="195">
        <v>0.03</v>
      </c>
      <c r="G717" s="195">
        <v>1.42</v>
      </c>
      <c r="H717" s="195">
        <v>0.15</v>
      </c>
      <c r="I717" s="195">
        <v>11.2</v>
      </c>
      <c r="J717" s="195">
        <v>5.16</v>
      </c>
      <c r="K717" s="195">
        <v>38.31</v>
      </c>
      <c r="L717" s="195">
        <v>111.97</v>
      </c>
      <c r="M717" s="195">
        <v>39.700000000000003</v>
      </c>
    </row>
    <row r="718" spans="1:13" s="195" customFormat="1" x14ac:dyDescent="0.35">
      <c r="A718" s="195">
        <v>906340</v>
      </c>
      <c r="C718" s="195">
        <v>1.2325896000000003</v>
      </c>
      <c r="D718" s="195">
        <v>0.11</v>
      </c>
      <c r="E718" s="195">
        <v>0.74</v>
      </c>
      <c r="F718" s="195">
        <v>0.03</v>
      </c>
      <c r="G718" s="195">
        <v>1.37</v>
      </c>
      <c r="H718" s="195">
        <v>0.17</v>
      </c>
      <c r="I718" s="195">
        <v>15.55</v>
      </c>
      <c r="J718" s="195">
        <v>8.7200000000000006</v>
      </c>
      <c r="K718" s="195">
        <v>38.299999999999997</v>
      </c>
      <c r="L718" s="195">
        <v>108.7</v>
      </c>
      <c r="M718" s="195">
        <v>35.74</v>
      </c>
    </row>
    <row r="719" spans="1:13" s="195" customFormat="1" x14ac:dyDescent="0.35">
      <c r="A719" s="195">
        <v>906341</v>
      </c>
      <c r="C719" s="195">
        <v>1.7368308000000003</v>
      </c>
      <c r="D719" s="195">
        <v>0.15</v>
      </c>
      <c r="E719" s="195">
        <v>0.88</v>
      </c>
      <c r="F719" s="195">
        <v>0.03</v>
      </c>
      <c r="G719" s="195">
        <v>0.91</v>
      </c>
      <c r="H719" s="195">
        <v>0.14000000000000001</v>
      </c>
      <c r="I719" s="195">
        <v>17.63</v>
      </c>
      <c r="J719" s="195">
        <v>13.86</v>
      </c>
      <c r="K719" s="195">
        <v>30.73</v>
      </c>
      <c r="L719" s="195">
        <v>149.83000000000001</v>
      </c>
      <c r="M719" s="195">
        <v>36.270000000000003</v>
      </c>
    </row>
    <row r="720" spans="1:13" s="195" customFormat="1" x14ac:dyDescent="0.35">
      <c r="A720" s="195">
        <v>906342</v>
      </c>
      <c r="C720" s="195">
        <v>1.7928576000000003</v>
      </c>
      <c r="D720" s="195">
        <v>0.14000000000000001</v>
      </c>
      <c r="E720" s="195">
        <v>0.76</v>
      </c>
      <c r="F720" s="195">
        <v>0.03</v>
      </c>
      <c r="G720" s="195">
        <v>1.1299999999999999</v>
      </c>
      <c r="H720" s="195">
        <v>0.17</v>
      </c>
      <c r="I720" s="195">
        <v>22.29</v>
      </c>
      <c r="J720" s="195">
        <v>16.72</v>
      </c>
      <c r="K720" s="195">
        <v>40.26</v>
      </c>
      <c r="L720" s="195">
        <v>135.68</v>
      </c>
      <c r="M720" s="195">
        <v>36.9</v>
      </c>
    </row>
    <row r="721" spans="1:13" s="195" customFormat="1" x14ac:dyDescent="0.35">
      <c r="A721" s="1781">
        <v>906343</v>
      </c>
      <c r="B721" s="1781"/>
      <c r="C721" s="1781">
        <v>2.9414069999999999</v>
      </c>
      <c r="D721" s="1781">
        <v>0.28000000000000003</v>
      </c>
      <c r="E721" s="1781">
        <v>1.51</v>
      </c>
      <c r="F721" s="1781">
        <v>0.04</v>
      </c>
      <c r="G721" s="1781">
        <v>1.26</v>
      </c>
      <c r="H721" s="1781">
        <v>0.4</v>
      </c>
      <c r="I721" s="1781">
        <v>74.34</v>
      </c>
      <c r="J721" s="1781">
        <v>6.75</v>
      </c>
      <c r="K721" s="1781">
        <v>49.03</v>
      </c>
      <c r="L721" s="1781">
        <v>240.93</v>
      </c>
      <c r="M721" s="1781">
        <v>72.11</v>
      </c>
    </row>
    <row r="722" spans="1:13" s="195" customFormat="1" x14ac:dyDescent="0.35">
      <c r="A722" s="1781">
        <v>906344</v>
      </c>
      <c r="B722" s="1781"/>
      <c r="C722" s="1781">
        <v>2.6892863999999999</v>
      </c>
      <c r="D722" s="1781">
        <v>0.26</v>
      </c>
      <c r="E722" s="1781">
        <v>1.87</v>
      </c>
      <c r="F722" s="1781">
        <v>0.04</v>
      </c>
      <c r="G722" s="1781">
        <v>1.23</v>
      </c>
      <c r="H722" s="1781">
        <v>0.43</v>
      </c>
      <c r="I722" s="1781">
        <v>182.85</v>
      </c>
      <c r="J722" s="1781">
        <v>6.16</v>
      </c>
      <c r="K722" s="1781">
        <v>39.71</v>
      </c>
      <c r="L722" s="1781">
        <v>196.03</v>
      </c>
      <c r="M722" s="1781">
        <v>94.86</v>
      </c>
    </row>
    <row r="723" spans="1:13" s="195" customFormat="1" x14ac:dyDescent="0.35">
      <c r="A723" s="1781">
        <v>906345</v>
      </c>
      <c r="B723" s="1781"/>
      <c r="C723" s="1781">
        <v>2.9414069999999999</v>
      </c>
      <c r="D723" s="1781">
        <v>0.3</v>
      </c>
      <c r="E723" s="1781">
        <v>1.68</v>
      </c>
      <c r="F723" s="1781">
        <v>0.04</v>
      </c>
      <c r="G723" s="1781">
        <v>2.4</v>
      </c>
      <c r="H723" s="1781">
        <v>0.39</v>
      </c>
      <c r="I723" s="1781">
        <v>80.19</v>
      </c>
      <c r="J723" s="1781">
        <v>5.81</v>
      </c>
      <c r="K723" s="1781">
        <v>49.8</v>
      </c>
      <c r="L723" s="1781">
        <v>181.04</v>
      </c>
      <c r="M723" s="1781">
        <v>94.91</v>
      </c>
    </row>
    <row r="724" spans="1:13" s="195" customFormat="1" x14ac:dyDescent="0.35">
      <c r="A724" s="1781">
        <v>906346</v>
      </c>
      <c r="B724" s="1781"/>
      <c r="C724" s="1781">
        <v>0.95245560000000007</v>
      </c>
      <c r="D724" s="1781">
        <v>0.12</v>
      </c>
      <c r="E724" s="1781">
        <v>0.95</v>
      </c>
      <c r="F724" s="1781">
        <v>0.02</v>
      </c>
      <c r="G724" s="1781">
        <v>0.2</v>
      </c>
      <c r="H724" s="1781">
        <v>0.1</v>
      </c>
      <c r="I724" s="1781">
        <v>10.19</v>
      </c>
      <c r="J724" s="1781">
        <v>5.07</v>
      </c>
      <c r="K724" s="1781">
        <v>10.16</v>
      </c>
      <c r="L724" s="1781">
        <v>73</v>
      </c>
      <c r="M724" s="1781">
        <v>55.26</v>
      </c>
    </row>
    <row r="725" spans="1:13" s="195" customFormat="1" x14ac:dyDescent="0.35">
      <c r="A725" s="1781">
        <v>906347</v>
      </c>
      <c r="B725" s="1781"/>
      <c r="C725" s="1781">
        <v>1.4286834000000002</v>
      </c>
      <c r="D725" s="1781">
        <v>0.14000000000000001</v>
      </c>
      <c r="E725" s="1781">
        <v>1.1000000000000001</v>
      </c>
      <c r="F725" s="1781">
        <v>0.03</v>
      </c>
      <c r="G725" s="1781">
        <v>0.1</v>
      </c>
      <c r="H725" s="1781">
        <v>0.09</v>
      </c>
      <c r="I725" s="1781">
        <v>12.78</v>
      </c>
      <c r="J725" s="1781">
        <v>4.21</v>
      </c>
      <c r="K725" s="1781">
        <v>7.5</v>
      </c>
      <c r="L725" s="1781">
        <v>31.65</v>
      </c>
      <c r="M725" s="1781">
        <v>95</v>
      </c>
    </row>
    <row r="726" spans="1:13" s="195" customFormat="1" x14ac:dyDescent="0.35">
      <c r="A726" s="1781">
        <v>906348</v>
      </c>
      <c r="B726" s="1781"/>
      <c r="C726" s="1781">
        <v>1.4006700000000003</v>
      </c>
      <c r="D726" s="1781">
        <v>0.13</v>
      </c>
      <c r="E726" s="1781">
        <v>1.02</v>
      </c>
      <c r="F726" s="1781">
        <v>0.02</v>
      </c>
      <c r="G726" s="1781">
        <v>0.11</v>
      </c>
      <c r="H726" s="1781">
        <v>0.1</v>
      </c>
      <c r="I726" s="1781">
        <v>8.6999999999999993</v>
      </c>
      <c r="J726" s="1781">
        <v>3.26</v>
      </c>
      <c r="K726" s="1781">
        <v>6.98</v>
      </c>
      <c r="L726" s="1781">
        <v>50.15</v>
      </c>
      <c r="M726" s="1781">
        <v>56.69</v>
      </c>
    </row>
    <row r="727" spans="1:13" s="195" customFormat="1" x14ac:dyDescent="0.35">
      <c r="A727" s="1781">
        <v>906349</v>
      </c>
      <c r="B727" s="1781"/>
      <c r="C727" s="1781">
        <v>2.8293534</v>
      </c>
      <c r="D727" s="1781">
        <v>0.28999999999999998</v>
      </c>
      <c r="E727" s="1781">
        <v>4.3</v>
      </c>
      <c r="F727" s="1781">
        <v>0.06</v>
      </c>
      <c r="G727" s="1781">
        <v>2.44</v>
      </c>
      <c r="H727" s="1781">
        <v>0.63</v>
      </c>
      <c r="I727" s="1781">
        <v>94.15</v>
      </c>
      <c r="J727" s="1781">
        <v>9.6999999999999993</v>
      </c>
      <c r="K727" s="1781">
        <v>140.30000000000001</v>
      </c>
      <c r="L727" s="1781">
        <v>157.61000000000001</v>
      </c>
      <c r="M727" s="1781">
        <v>46.78</v>
      </c>
    </row>
    <row r="728" spans="1:13" s="195" customFormat="1" x14ac:dyDescent="0.35">
      <c r="A728" s="1781">
        <v>906350</v>
      </c>
      <c r="B728" s="1781"/>
      <c r="C728" s="1781">
        <v>2.6892863999999999</v>
      </c>
      <c r="D728" s="1781">
        <v>0.24</v>
      </c>
      <c r="E728" s="1781">
        <v>3.62</v>
      </c>
      <c r="F728" s="1781">
        <v>0.04</v>
      </c>
      <c r="G728" s="1781">
        <v>2.92</v>
      </c>
      <c r="H728" s="1781">
        <v>0.43</v>
      </c>
      <c r="I728" s="1781">
        <v>101.61</v>
      </c>
      <c r="J728" s="1781">
        <v>10.029999999999999</v>
      </c>
      <c r="K728" s="1781">
        <v>144.68</v>
      </c>
      <c r="L728" s="1781">
        <v>121.72</v>
      </c>
      <c r="M728" s="1781">
        <v>39.24</v>
      </c>
    </row>
    <row r="729" spans="1:13" s="195" customFormat="1" x14ac:dyDescent="0.35">
      <c r="A729" s="1781">
        <v>906351</v>
      </c>
      <c r="B729" s="1781"/>
      <c r="C729" s="1781">
        <v>5.1824789999999998</v>
      </c>
      <c r="D729" s="1781">
        <v>0.41</v>
      </c>
      <c r="E729" s="1781">
        <v>4.75</v>
      </c>
      <c r="F729" s="1781">
        <v>0.28999999999999998</v>
      </c>
      <c r="G729" s="1781">
        <v>3.76</v>
      </c>
      <c r="H729" s="1781">
        <v>0.95</v>
      </c>
      <c r="I729" s="1781">
        <v>15.61</v>
      </c>
      <c r="J729" s="1781">
        <v>11.6</v>
      </c>
      <c r="K729" s="1781">
        <v>32.630000000000003</v>
      </c>
      <c r="L729" s="1781">
        <v>105.95</v>
      </c>
      <c r="M729" s="1781">
        <v>37.99</v>
      </c>
    </row>
    <row r="730" spans="1:13" s="195" customFormat="1" x14ac:dyDescent="0.35">
      <c r="A730" s="1781">
        <v>906352</v>
      </c>
      <c r="B730" s="1781"/>
      <c r="C730" s="1781">
        <v>2.661273</v>
      </c>
      <c r="D730" s="1781">
        <v>0.2</v>
      </c>
      <c r="E730" s="1781">
        <v>1.06</v>
      </c>
      <c r="F730" s="1781">
        <v>0.03</v>
      </c>
      <c r="G730" s="1781">
        <v>1.5</v>
      </c>
      <c r="H730" s="1781">
        <v>0.75</v>
      </c>
      <c r="I730" s="1781">
        <v>17.100000000000001</v>
      </c>
      <c r="J730" s="1781">
        <v>5.92</v>
      </c>
      <c r="K730" s="1781">
        <v>26.14</v>
      </c>
      <c r="L730" s="1781">
        <v>91.66</v>
      </c>
      <c r="M730" s="1781">
        <v>23.55</v>
      </c>
    </row>
    <row r="731" spans="1:13" s="195" customFormat="1" x14ac:dyDescent="0.35">
      <c r="A731" s="1781">
        <v>906353</v>
      </c>
      <c r="B731" s="1781"/>
      <c r="C731" s="1781">
        <v>2.7453132000000009</v>
      </c>
      <c r="D731" s="1781">
        <v>0.21</v>
      </c>
      <c r="E731" s="1781">
        <v>1.37</v>
      </c>
      <c r="F731" s="1781">
        <v>0.03</v>
      </c>
      <c r="G731" s="1781">
        <v>1.51</v>
      </c>
      <c r="H731" s="1781">
        <v>0.74</v>
      </c>
      <c r="I731" s="1781">
        <v>18.78</v>
      </c>
      <c r="J731" s="1781">
        <v>5.08</v>
      </c>
      <c r="K731" s="1781">
        <v>64.849999999999994</v>
      </c>
      <c r="L731" s="1781">
        <v>97.58</v>
      </c>
      <c r="M731" s="1781">
        <v>26.18</v>
      </c>
    </row>
    <row r="732" spans="1:13" s="195" customFormat="1" x14ac:dyDescent="0.35">
      <c r="A732" s="1781">
        <v>906354</v>
      </c>
      <c r="B732" s="1781"/>
      <c r="C732" s="1781">
        <v>2.7453132000000009</v>
      </c>
      <c r="D732" s="1781">
        <v>0.2</v>
      </c>
      <c r="E732" s="1781">
        <v>1.24</v>
      </c>
      <c r="F732" s="1781">
        <v>0.03</v>
      </c>
      <c r="G732" s="1781">
        <v>1.6</v>
      </c>
      <c r="H732" s="1781">
        <v>0.79</v>
      </c>
      <c r="I732" s="1781">
        <v>41.23</v>
      </c>
      <c r="J732" s="1781">
        <v>7.03</v>
      </c>
      <c r="K732" s="1781">
        <v>34.630000000000003</v>
      </c>
      <c r="L732" s="1781">
        <v>92.24</v>
      </c>
      <c r="M732" s="1781">
        <v>24.66</v>
      </c>
    </row>
    <row r="733" spans="1:13" s="195" customFormat="1" x14ac:dyDescent="0.35">
      <c r="A733" s="1781">
        <v>906355</v>
      </c>
      <c r="B733" s="1781"/>
      <c r="C733" s="1781">
        <v>1.1765628000000001</v>
      </c>
      <c r="D733" s="1781">
        <v>0.1</v>
      </c>
      <c r="E733" s="1781">
        <v>0.9</v>
      </c>
      <c r="F733" s="1781">
        <v>0.03</v>
      </c>
      <c r="G733" s="1781">
        <v>1.87</v>
      </c>
      <c r="H733" s="1781">
        <v>0.34</v>
      </c>
      <c r="I733" s="1781">
        <v>10.48</v>
      </c>
      <c r="J733" s="1781">
        <v>3.07</v>
      </c>
      <c r="K733" s="1781">
        <v>53.76</v>
      </c>
      <c r="L733" s="1781">
        <v>150.77000000000001</v>
      </c>
      <c r="M733" s="1781">
        <v>20.48</v>
      </c>
    </row>
    <row r="734" spans="1:13" s="195" customFormat="1" x14ac:dyDescent="0.35">
      <c r="A734" s="1781">
        <v>906356</v>
      </c>
      <c r="B734" s="1781"/>
      <c r="C734" s="1781">
        <v>2.5212060000000003</v>
      </c>
      <c r="D734" s="1781">
        <v>1.03</v>
      </c>
      <c r="E734" s="1781">
        <v>1.1100000000000001</v>
      </c>
      <c r="F734" s="1781">
        <v>0.03</v>
      </c>
      <c r="G734" s="1781">
        <v>2.4700000000000002</v>
      </c>
      <c r="H734" s="1781">
        <v>0.49</v>
      </c>
      <c r="I734" s="1781">
        <v>9.4600000000000009</v>
      </c>
      <c r="J734" s="1781">
        <v>3.18</v>
      </c>
      <c r="K734" s="1781">
        <v>523.30999999999995</v>
      </c>
      <c r="L734" s="1781">
        <v>120.08</v>
      </c>
      <c r="M734" s="1781">
        <v>76.88</v>
      </c>
    </row>
    <row r="735" spans="1:13" s="195" customFormat="1" x14ac:dyDescent="0.35">
      <c r="A735" s="1781">
        <v>906357</v>
      </c>
      <c r="B735" s="1781"/>
      <c r="C735" s="1781">
        <v>3.3616080000000004</v>
      </c>
      <c r="D735" s="1781">
        <v>0.23</v>
      </c>
      <c r="E735" s="1781">
        <v>2.2999999999999998</v>
      </c>
      <c r="F735" s="1781">
        <v>0.04</v>
      </c>
      <c r="G735" s="1781">
        <v>3.09</v>
      </c>
      <c r="H735" s="1781">
        <v>0.53</v>
      </c>
      <c r="I735" s="1781">
        <v>13.32</v>
      </c>
      <c r="J735" s="1781">
        <v>8.2799999999999994</v>
      </c>
      <c r="K735" s="1781">
        <v>156.51</v>
      </c>
      <c r="L735" s="1781">
        <v>177.92</v>
      </c>
      <c r="M735" s="1781">
        <v>31.07</v>
      </c>
    </row>
    <row r="736" spans="1:13" s="195" customFormat="1" x14ac:dyDescent="0.35">
      <c r="A736" s="1781">
        <v>906358</v>
      </c>
      <c r="B736" s="1781"/>
      <c r="C736" s="1781">
        <v>3.1375008000000006</v>
      </c>
      <c r="D736" s="1781">
        <v>0.21</v>
      </c>
      <c r="E736" s="1781">
        <v>2.2799999999999998</v>
      </c>
      <c r="F736" s="1781">
        <v>0.03</v>
      </c>
      <c r="G736" s="1781">
        <v>2.84</v>
      </c>
      <c r="H736" s="1781">
        <v>0.52</v>
      </c>
      <c r="I736" s="1781">
        <v>12.66</v>
      </c>
      <c r="J736" s="1781">
        <v>8.1199999999999992</v>
      </c>
      <c r="K736" s="1781">
        <v>82.65</v>
      </c>
      <c r="L736" s="1781">
        <v>170.48</v>
      </c>
      <c r="M736" s="1781">
        <v>32.14</v>
      </c>
    </row>
    <row r="737" spans="1:13" s="195" customFormat="1" x14ac:dyDescent="0.35">
      <c r="A737" s="1781">
        <v>906359</v>
      </c>
      <c r="B737" s="1781"/>
      <c r="C737" s="1781">
        <v>2.5492194000000006</v>
      </c>
      <c r="D737" s="1781">
        <v>0.17</v>
      </c>
      <c r="E737" s="1781">
        <v>2.5</v>
      </c>
      <c r="F737" s="1781">
        <v>0.03</v>
      </c>
      <c r="G737" s="1781">
        <v>2.81</v>
      </c>
      <c r="H737" s="1781">
        <v>0.83</v>
      </c>
      <c r="I737" s="1781">
        <v>10.4</v>
      </c>
      <c r="J737" s="1781">
        <v>4.5199999999999996</v>
      </c>
      <c r="K737" s="1781">
        <v>57.54</v>
      </c>
      <c r="L737" s="1781">
        <v>118.88</v>
      </c>
      <c r="M737" s="1781">
        <v>36.17</v>
      </c>
    </row>
    <row r="738" spans="1:13" s="195" customFormat="1" x14ac:dyDescent="0.35">
      <c r="A738" s="1781">
        <v>906360</v>
      </c>
      <c r="B738" s="1781"/>
      <c r="C738" s="1781">
        <v>1.5967638000000002</v>
      </c>
      <c r="D738" s="1781">
        <v>0.11</v>
      </c>
      <c r="E738" s="1781">
        <v>1.38</v>
      </c>
      <c r="F738" s="1781">
        <v>0.04</v>
      </c>
      <c r="G738" s="1781">
        <v>0.89</v>
      </c>
      <c r="H738" s="1781">
        <v>0.34</v>
      </c>
      <c r="I738" s="1781">
        <v>23.32</v>
      </c>
      <c r="J738" s="1781">
        <v>2.2200000000000002</v>
      </c>
      <c r="K738" s="1781">
        <v>293.92</v>
      </c>
      <c r="L738" s="1781">
        <v>104.47</v>
      </c>
      <c r="M738" s="1781">
        <v>37.74</v>
      </c>
    </row>
    <row r="739" spans="1:13" s="195" customFormat="1" x14ac:dyDescent="0.35">
      <c r="A739" s="1781">
        <v>906361</v>
      </c>
      <c r="B739" s="1781"/>
      <c r="C739" s="1781">
        <v>2.9974338000000005</v>
      </c>
      <c r="D739" s="1781">
        <v>0.14000000000000001</v>
      </c>
      <c r="E739" s="1781">
        <v>0.65</v>
      </c>
      <c r="F739" s="1781">
        <v>0.08</v>
      </c>
      <c r="G739" s="1781">
        <v>1.96</v>
      </c>
      <c r="H739" s="1781">
        <v>0.34</v>
      </c>
      <c r="I739" s="1781">
        <v>16.78</v>
      </c>
      <c r="J739" s="1781">
        <v>745.69</v>
      </c>
      <c r="K739" s="1781">
        <v>37.31</v>
      </c>
      <c r="L739" s="1781">
        <v>132.4</v>
      </c>
      <c r="M739" s="1781">
        <v>83.73</v>
      </c>
    </row>
    <row r="740" spans="1:13" s="195" customFormat="1" x14ac:dyDescent="0.35">
      <c r="A740" s="1781">
        <v>906362</v>
      </c>
      <c r="B740" s="1781"/>
      <c r="C740" s="1781">
        <v>2.0449782000000001</v>
      </c>
      <c r="D740" s="1781">
        <v>0.11</v>
      </c>
      <c r="E740" s="1781">
        <v>0.45</v>
      </c>
      <c r="F740" s="1781">
        <v>0.39</v>
      </c>
      <c r="G740" s="1781">
        <v>2.16</v>
      </c>
      <c r="H740" s="1781">
        <v>0.32</v>
      </c>
      <c r="I740" s="1781">
        <v>17.510000000000002</v>
      </c>
      <c r="J740" s="1781">
        <v>471.94</v>
      </c>
      <c r="K740" s="1781">
        <v>38.9</v>
      </c>
      <c r="L740" s="1781">
        <v>178.47</v>
      </c>
      <c r="M740" s="1781">
        <v>93.14</v>
      </c>
    </row>
    <row r="741" spans="1:13" s="195" customFormat="1" x14ac:dyDescent="0.35">
      <c r="A741" s="1781">
        <v>906363</v>
      </c>
      <c r="B741" s="1781"/>
      <c r="C741" s="1781">
        <v>2.6052462000000007</v>
      </c>
      <c r="D741" s="1781">
        <v>0.14000000000000001</v>
      </c>
      <c r="E741" s="1781">
        <v>1.47</v>
      </c>
      <c r="F741" s="1781">
        <v>0.04</v>
      </c>
      <c r="G741" s="1781">
        <v>1.48</v>
      </c>
      <c r="H741" s="1781">
        <v>0.32</v>
      </c>
      <c r="I741" s="1781">
        <v>40.93</v>
      </c>
      <c r="J741" s="1781">
        <v>24.68</v>
      </c>
      <c r="K741" s="1781">
        <v>42.56</v>
      </c>
      <c r="L741" s="1781">
        <v>221.25</v>
      </c>
      <c r="M741" s="1781">
        <v>44.81</v>
      </c>
    </row>
    <row r="742" spans="1:13" s="195" customFormat="1" x14ac:dyDescent="0.35">
      <c r="A742" s="1781">
        <v>906364</v>
      </c>
      <c r="B742" s="1781"/>
      <c r="C742" s="1781">
        <v>2.661273</v>
      </c>
      <c r="D742" s="1781">
        <v>0.16</v>
      </c>
      <c r="E742" s="1781">
        <v>1.81</v>
      </c>
      <c r="F742" s="1781">
        <v>0.03</v>
      </c>
      <c r="G742" s="1781">
        <v>1.29</v>
      </c>
      <c r="H742" s="1781">
        <v>0.3</v>
      </c>
      <c r="I742" s="1781">
        <v>40.869999999999997</v>
      </c>
      <c r="J742" s="1781">
        <v>37.14</v>
      </c>
      <c r="K742" s="1781">
        <v>61.63</v>
      </c>
      <c r="L742" s="1781">
        <v>184.03</v>
      </c>
      <c r="M742" s="1781">
        <v>42.19</v>
      </c>
    </row>
    <row r="743" spans="1:13" s="195" customFormat="1" x14ac:dyDescent="0.35">
      <c r="A743" s="1781">
        <v>906365</v>
      </c>
      <c r="B743" s="1781"/>
      <c r="C743" s="1781">
        <v>1.77</v>
      </c>
      <c r="D743" s="1781">
        <v>0.1</v>
      </c>
      <c r="E743" s="1781">
        <v>1.43</v>
      </c>
      <c r="F743" s="1781">
        <v>0.04</v>
      </c>
      <c r="G743" s="1781">
        <v>3.09</v>
      </c>
      <c r="H743" s="1781">
        <v>0.23</v>
      </c>
      <c r="I743" s="1781">
        <v>61.36</v>
      </c>
      <c r="J743" s="1781">
        <v>2.97</v>
      </c>
      <c r="K743" s="1781">
        <v>95.26</v>
      </c>
      <c r="L743" s="1781">
        <v>112.14</v>
      </c>
      <c r="M743" s="1781">
        <v>41.36</v>
      </c>
    </row>
    <row r="744" spans="1:13" s="195" customFormat="1" x14ac:dyDescent="0.35">
      <c r="A744" s="1781">
        <v>906366</v>
      </c>
      <c r="B744" s="1781"/>
      <c r="C744" s="1781">
        <v>1.82</v>
      </c>
      <c r="D744" s="1781">
        <v>0.1</v>
      </c>
      <c r="E744" s="1781">
        <v>1.2</v>
      </c>
      <c r="F744" s="1781">
        <v>0.04</v>
      </c>
      <c r="G744" s="1781">
        <v>3.17</v>
      </c>
      <c r="H744" s="1781">
        <v>0.34</v>
      </c>
      <c r="I744" s="1781">
        <v>35.299999999999997</v>
      </c>
      <c r="J744" s="1781">
        <v>5.67</v>
      </c>
      <c r="K744" s="1781">
        <v>40.1</v>
      </c>
      <c r="L744" s="1781">
        <v>85</v>
      </c>
      <c r="M744" s="1781">
        <v>30.47</v>
      </c>
    </row>
    <row r="745" spans="1:13" s="195" customFormat="1" x14ac:dyDescent="0.35">
      <c r="A745" s="1781">
        <v>906367</v>
      </c>
      <c r="B745" s="1781"/>
      <c r="C745" s="1781">
        <v>2.02</v>
      </c>
      <c r="D745" s="1781">
        <v>0.09</v>
      </c>
      <c r="E745" s="1781">
        <v>1.01</v>
      </c>
      <c r="F745" s="1781">
        <v>0.05</v>
      </c>
      <c r="G745" s="1781">
        <v>3.44</v>
      </c>
      <c r="H745" s="1781">
        <v>0.32</v>
      </c>
      <c r="I745" s="1781">
        <v>37.83</v>
      </c>
      <c r="J745" s="1781">
        <v>5.22</v>
      </c>
      <c r="K745" s="1781">
        <v>120.18</v>
      </c>
      <c r="L745" s="1781">
        <v>146.03</v>
      </c>
      <c r="M745" s="1781">
        <v>39.770000000000003</v>
      </c>
    </row>
    <row r="746" spans="1:13" s="195" customFormat="1" x14ac:dyDescent="0.35">
      <c r="A746" s="1781">
        <v>906368</v>
      </c>
      <c r="B746" s="1781"/>
      <c r="C746" s="1781">
        <v>1.93</v>
      </c>
      <c r="D746" s="1781">
        <v>0.08</v>
      </c>
      <c r="E746" s="1781">
        <v>1.1000000000000001</v>
      </c>
      <c r="F746" s="1781">
        <v>0.06</v>
      </c>
      <c r="G746" s="1781">
        <v>4.67</v>
      </c>
      <c r="H746" s="1781">
        <v>0.32</v>
      </c>
      <c r="I746" s="1781">
        <v>42.32</v>
      </c>
      <c r="J746" s="1781">
        <v>9.01</v>
      </c>
      <c r="K746" s="1781">
        <v>33.76</v>
      </c>
      <c r="L746" s="1781">
        <v>100.6</v>
      </c>
      <c r="M746" s="1781">
        <v>28.82</v>
      </c>
    </row>
    <row r="747" spans="1:13" s="195" customFormat="1" x14ac:dyDescent="0.35">
      <c r="A747" s="1781">
        <v>906369</v>
      </c>
      <c r="B747" s="1781"/>
      <c r="C747" s="1781">
        <v>1.82</v>
      </c>
      <c r="D747" s="1781">
        <v>7.0000000000000007E-2</v>
      </c>
      <c r="E747" s="1781">
        <v>0.59</v>
      </c>
      <c r="F747" s="1781">
        <v>0.06</v>
      </c>
      <c r="G747" s="1781">
        <v>6.95</v>
      </c>
      <c r="H747" s="1781">
        <v>0.48</v>
      </c>
      <c r="I747" s="1781">
        <v>79.02</v>
      </c>
      <c r="J747" s="1781">
        <v>5.84</v>
      </c>
      <c r="K747" s="1781">
        <v>80.44</v>
      </c>
      <c r="L747" s="1781">
        <v>114.79</v>
      </c>
      <c r="M747" s="1781">
        <v>38.229999999999997</v>
      </c>
    </row>
    <row r="748" spans="1:13" s="195" customFormat="1" x14ac:dyDescent="0.35">
      <c r="A748" s="1781">
        <v>906370</v>
      </c>
      <c r="B748" s="1781"/>
      <c r="C748" s="1781">
        <v>1.65</v>
      </c>
      <c r="D748" s="1781">
        <v>0.08</v>
      </c>
      <c r="E748" s="1781">
        <v>1.06</v>
      </c>
      <c r="F748" s="1781">
        <v>0.05</v>
      </c>
      <c r="G748" s="1781">
        <v>3.74</v>
      </c>
      <c r="H748" s="1781">
        <v>0.35</v>
      </c>
      <c r="I748" s="1781">
        <v>32.630000000000003</v>
      </c>
      <c r="J748" s="1781">
        <v>5.84</v>
      </c>
      <c r="K748" s="1781">
        <v>48.68</v>
      </c>
      <c r="L748" s="1781">
        <v>99.74</v>
      </c>
      <c r="M748" s="1781">
        <v>29.95</v>
      </c>
    </row>
    <row r="749" spans="1:13" s="195" customFormat="1" x14ac:dyDescent="0.35">
      <c r="A749" s="1781">
        <v>906371</v>
      </c>
      <c r="B749" s="1781"/>
      <c r="C749" s="1781">
        <v>1.77</v>
      </c>
      <c r="D749" s="1781">
        <v>0.08</v>
      </c>
      <c r="E749" s="1781">
        <v>0.92</v>
      </c>
      <c r="F749" s="1781">
        <v>0.05</v>
      </c>
      <c r="G749" s="1781">
        <v>2.2400000000000002</v>
      </c>
      <c r="H749" s="1781">
        <v>0.36</v>
      </c>
      <c r="I749" s="1781">
        <v>36.49</v>
      </c>
      <c r="J749" s="1781">
        <v>7.81</v>
      </c>
      <c r="K749" s="1781">
        <v>39.24</v>
      </c>
      <c r="L749" s="1781">
        <v>116.34</v>
      </c>
      <c r="M749" s="1781">
        <v>34</v>
      </c>
    </row>
    <row r="750" spans="1:13" s="195" customFormat="1" x14ac:dyDescent="0.35">
      <c r="A750" s="1781">
        <v>906372</v>
      </c>
      <c r="B750" s="1781"/>
      <c r="C750" s="1781">
        <v>2.63</v>
      </c>
      <c r="D750" s="1781">
        <v>0.11</v>
      </c>
      <c r="E750" s="1781">
        <v>1.1599999999999999</v>
      </c>
      <c r="F750" s="1781">
        <v>0.04</v>
      </c>
      <c r="G750" s="1781">
        <v>4.1500000000000004</v>
      </c>
      <c r="H750" s="1781">
        <v>0.35</v>
      </c>
      <c r="I750" s="1781">
        <v>66.84</v>
      </c>
      <c r="J750" s="1781">
        <v>4.0199999999999996</v>
      </c>
      <c r="K750" s="1781">
        <v>76.709999999999994</v>
      </c>
      <c r="L750" s="1781">
        <v>107.75</v>
      </c>
      <c r="M750" s="1781">
        <v>37.15</v>
      </c>
    </row>
    <row r="751" spans="1:13" s="195" customFormat="1" x14ac:dyDescent="0.35">
      <c r="A751" s="1781">
        <v>906373</v>
      </c>
      <c r="B751" s="1781"/>
      <c r="C751" s="1781">
        <v>2.4700000000000002</v>
      </c>
      <c r="D751" s="1781">
        <v>0.14000000000000001</v>
      </c>
      <c r="E751" s="1781">
        <v>1.66</v>
      </c>
      <c r="F751" s="1781">
        <v>0.04</v>
      </c>
      <c r="G751" s="1781">
        <v>3.11</v>
      </c>
      <c r="H751" s="1781">
        <v>0.26</v>
      </c>
      <c r="I751" s="1781">
        <v>30.65</v>
      </c>
      <c r="J751" s="1781">
        <v>5.09</v>
      </c>
      <c r="K751" s="1781">
        <v>42.49</v>
      </c>
      <c r="L751" s="1781">
        <v>104.14</v>
      </c>
      <c r="M751" s="1781">
        <v>61.55</v>
      </c>
    </row>
    <row r="752" spans="1:13" s="195" customFormat="1" x14ac:dyDescent="0.35">
      <c r="A752" s="1781">
        <v>906374</v>
      </c>
      <c r="B752" s="1781"/>
      <c r="C752" s="1781">
        <v>2.2400000000000002</v>
      </c>
      <c r="D752" s="1781">
        <v>0.12</v>
      </c>
      <c r="E752" s="1781">
        <v>0.91</v>
      </c>
      <c r="F752" s="1781">
        <v>0.08</v>
      </c>
      <c r="G752" s="1781">
        <v>2.89</v>
      </c>
      <c r="H752" s="1781">
        <v>0.31</v>
      </c>
      <c r="I752" s="1781">
        <v>30.86</v>
      </c>
      <c r="J752" s="1781">
        <v>6.06</v>
      </c>
      <c r="K752" s="1781">
        <v>93.98</v>
      </c>
      <c r="L752" s="1781">
        <v>224.45</v>
      </c>
      <c r="M752" s="1781">
        <v>29.09</v>
      </c>
    </row>
    <row r="753" spans="1:13" s="195" customFormat="1" x14ac:dyDescent="0.35">
      <c r="A753" s="1781">
        <v>906375</v>
      </c>
      <c r="B753" s="1781" t="s">
        <v>464</v>
      </c>
      <c r="C753" s="1781"/>
      <c r="D753" s="1781"/>
      <c r="E753" s="1781"/>
      <c r="F753" s="1781"/>
      <c r="G753" s="1781"/>
      <c r="H753" s="1781"/>
      <c r="I753" s="1781"/>
      <c r="J753" s="1781"/>
      <c r="K753" s="1781"/>
      <c r="L753" s="1781"/>
      <c r="M753" s="1781"/>
    </row>
    <row r="754" spans="1:13" s="195" customFormat="1" x14ac:dyDescent="0.35">
      <c r="A754" s="1781">
        <v>906376</v>
      </c>
      <c r="B754" s="1781"/>
      <c r="C754" s="1781"/>
      <c r="D754" s="1781"/>
      <c r="E754" s="1781"/>
      <c r="F754" s="1781"/>
      <c r="G754" s="1781"/>
      <c r="H754" s="1781"/>
      <c r="I754" s="1781"/>
      <c r="J754" s="1781"/>
      <c r="K754" s="1781"/>
      <c r="L754" s="1781"/>
      <c r="M754" s="1781"/>
    </row>
    <row r="755" spans="1:13" s="195" customFormat="1" x14ac:dyDescent="0.35">
      <c r="A755" s="1781">
        <v>906377</v>
      </c>
      <c r="B755" s="1781"/>
      <c r="C755" s="1781">
        <v>0.84</v>
      </c>
      <c r="D755" s="1781">
        <v>0.11799999999999999</v>
      </c>
      <c r="E755" s="1781">
        <v>0.20100000000000001</v>
      </c>
      <c r="F755" s="1781">
        <v>0.16500000000000001</v>
      </c>
      <c r="G755" s="1781">
        <v>2.17</v>
      </c>
      <c r="H755" s="1781">
        <v>0.193</v>
      </c>
      <c r="I755" s="1781">
        <v>12.65</v>
      </c>
      <c r="J755" s="1781">
        <v>27.32</v>
      </c>
      <c r="K755" s="1781">
        <v>60.63</v>
      </c>
      <c r="L755" s="1781">
        <v>258.11</v>
      </c>
      <c r="M755" s="1781">
        <v>16</v>
      </c>
    </row>
    <row r="756" spans="1:13" s="195" customFormat="1" x14ac:dyDescent="0.35">
      <c r="A756" s="1781">
        <v>906378</v>
      </c>
      <c r="B756" s="1781"/>
      <c r="C756" s="1781">
        <v>1.4</v>
      </c>
      <c r="D756" s="1781">
        <v>0.11</v>
      </c>
      <c r="E756" s="1781">
        <v>1.2310000000000001</v>
      </c>
      <c r="F756" s="1781">
        <v>2.1000000000000001E-2</v>
      </c>
      <c r="G756" s="1781">
        <v>0.377</v>
      </c>
      <c r="H756" s="1781">
        <v>0.191</v>
      </c>
      <c r="I756" s="1781">
        <v>10.029999999999999</v>
      </c>
      <c r="J756" s="1781">
        <v>38.72</v>
      </c>
      <c r="K756" s="1781">
        <v>27</v>
      </c>
      <c r="L756" s="1781">
        <v>107.95</v>
      </c>
      <c r="M756" s="1781">
        <v>107.07</v>
      </c>
    </row>
    <row r="757" spans="1:13" s="195" customFormat="1" x14ac:dyDescent="0.35">
      <c r="A757" s="1781">
        <v>906379</v>
      </c>
      <c r="B757" s="1781"/>
      <c r="C757" s="1781">
        <v>1.49</v>
      </c>
      <c r="D757" s="1781">
        <v>9.7000000000000003E-2</v>
      </c>
      <c r="E757" s="1781">
        <v>1.663</v>
      </c>
      <c r="F757" s="1781">
        <v>2.1000000000000001E-2</v>
      </c>
      <c r="G757" s="1781">
        <v>0.34200000000000003</v>
      </c>
      <c r="H757" s="1781">
        <v>0.17599999999999999</v>
      </c>
      <c r="I757" s="1781">
        <v>11</v>
      </c>
      <c r="J757" s="1781">
        <v>89.72</v>
      </c>
      <c r="K757" s="1781">
        <v>38.5</v>
      </c>
      <c r="L757" s="1781">
        <v>142.78</v>
      </c>
      <c r="M757" s="1781">
        <v>25.7</v>
      </c>
    </row>
    <row r="758" spans="1:13" s="195" customFormat="1" x14ac:dyDescent="0.35">
      <c r="A758" s="1781">
        <v>906380</v>
      </c>
      <c r="B758" s="1781"/>
      <c r="C758" s="1781">
        <v>1.43</v>
      </c>
      <c r="D758" s="1781">
        <v>0.1</v>
      </c>
      <c r="E758" s="1781">
        <v>1.2629999999999999</v>
      </c>
      <c r="F758" s="1781">
        <v>1.7000000000000001E-2</v>
      </c>
      <c r="G758" s="1781">
        <v>0.36499999999999999</v>
      </c>
      <c r="H758" s="1781">
        <v>0.19</v>
      </c>
      <c r="I758" s="1781">
        <v>9.66</v>
      </c>
      <c r="J758" s="1781">
        <v>53.44</v>
      </c>
      <c r="K758" s="1781">
        <v>36.26</v>
      </c>
      <c r="L758" s="1781">
        <v>138.37</v>
      </c>
      <c r="M758" s="1781">
        <v>141.74</v>
      </c>
    </row>
    <row r="759" spans="1:13" s="195" customFormat="1" x14ac:dyDescent="0.35">
      <c r="A759" s="1781">
        <v>906381</v>
      </c>
      <c r="B759" s="1781"/>
      <c r="C759" s="1781">
        <v>1.49</v>
      </c>
      <c r="D759" s="1781">
        <v>0.10100000000000001</v>
      </c>
      <c r="E759" s="1781">
        <v>1.054</v>
      </c>
      <c r="F759" s="1781">
        <v>1.7000000000000001E-2</v>
      </c>
      <c r="G759" s="1781">
        <v>0.47099999999999997</v>
      </c>
      <c r="H759" s="1781">
        <v>0.23100000000000001</v>
      </c>
      <c r="I759" s="1781">
        <v>15.61</v>
      </c>
      <c r="J759" s="1781">
        <v>49.96</v>
      </c>
      <c r="K759" s="1781">
        <v>35.85</v>
      </c>
      <c r="L759" s="1781">
        <v>128.19</v>
      </c>
      <c r="M759" s="1781">
        <v>179.26</v>
      </c>
    </row>
    <row r="760" spans="1:13" s="195" customFormat="1" x14ac:dyDescent="0.35">
      <c r="A760" s="1781">
        <v>906382</v>
      </c>
      <c r="B760" s="1781"/>
      <c r="C760" s="1781">
        <v>1.46</v>
      </c>
      <c r="D760" s="1781">
        <v>0.11600000000000001</v>
      </c>
      <c r="E760" s="1781">
        <v>1.2470000000000001</v>
      </c>
      <c r="F760" s="1781">
        <v>1.6E-2</v>
      </c>
      <c r="G760" s="1781">
        <v>0.433</v>
      </c>
      <c r="H760" s="1781">
        <v>0.20399999999999999</v>
      </c>
      <c r="I760" s="1781">
        <v>13</v>
      </c>
      <c r="J760" s="1781">
        <v>87.05</v>
      </c>
      <c r="K760" s="1781">
        <v>47.32</v>
      </c>
      <c r="L760" s="1781">
        <v>145.1</v>
      </c>
      <c r="M760" s="1781">
        <v>108.28</v>
      </c>
    </row>
    <row r="761" spans="1:13" s="195" customFormat="1" x14ac:dyDescent="0.35">
      <c r="A761" s="1781">
        <v>906383</v>
      </c>
      <c r="B761" s="1781"/>
      <c r="C761" s="1781">
        <v>1.54</v>
      </c>
      <c r="D761" s="1781">
        <v>0.14299999999999999</v>
      </c>
      <c r="E761" s="1781">
        <v>1.536</v>
      </c>
      <c r="F761" s="1781">
        <v>2.1000000000000001E-2</v>
      </c>
      <c r="G761" s="1781">
        <v>0.35699999999999998</v>
      </c>
      <c r="H761" s="1781">
        <v>0.16300000000000001</v>
      </c>
      <c r="I761" s="1781">
        <v>15.53</v>
      </c>
      <c r="J761" s="1781">
        <v>36.92</v>
      </c>
      <c r="K761" s="1781">
        <v>32.67</v>
      </c>
      <c r="L761" s="1781">
        <v>160.30000000000001</v>
      </c>
      <c r="M761" s="1781">
        <v>52.19</v>
      </c>
    </row>
    <row r="762" spans="1:13" s="195" customFormat="1" x14ac:dyDescent="0.35">
      <c r="A762" s="1781">
        <v>906384</v>
      </c>
      <c r="B762" s="1781"/>
      <c r="C762" s="1781">
        <v>1.48</v>
      </c>
      <c r="D762" s="1781">
        <v>0.13</v>
      </c>
      <c r="E762" s="1781">
        <v>2.0699999999999998</v>
      </c>
      <c r="F762" s="1781">
        <v>0.04</v>
      </c>
      <c r="G762" s="1781">
        <v>2.21</v>
      </c>
      <c r="H762" s="1781">
        <v>0.28999999999999998</v>
      </c>
      <c r="I762" s="1781">
        <v>14.73</v>
      </c>
      <c r="J762" s="1781">
        <v>6.72</v>
      </c>
      <c r="K762" s="1781">
        <v>29.92</v>
      </c>
      <c r="L762" s="1781">
        <v>120.39</v>
      </c>
      <c r="M762" s="1781">
        <v>112.92</v>
      </c>
    </row>
    <row r="763" spans="1:13" s="195" customFormat="1" x14ac:dyDescent="0.35">
      <c r="A763" s="1781">
        <v>906385</v>
      </c>
      <c r="B763" s="1781"/>
      <c r="C763" s="1781">
        <v>1.74</v>
      </c>
      <c r="D763" s="1781">
        <v>0.14000000000000001</v>
      </c>
      <c r="E763" s="1781">
        <v>1.67</v>
      </c>
      <c r="F763" s="1781">
        <v>0.04</v>
      </c>
      <c r="G763" s="1781">
        <v>3.26</v>
      </c>
      <c r="H763" s="1781">
        <v>0.27</v>
      </c>
      <c r="I763" s="1781">
        <v>14.67</v>
      </c>
      <c r="J763" s="1781">
        <v>3.28</v>
      </c>
      <c r="K763" s="1781">
        <v>34.909999999999997</v>
      </c>
      <c r="L763" s="1781">
        <v>134.87</v>
      </c>
      <c r="M763" s="1781">
        <v>145.1</v>
      </c>
    </row>
    <row r="764" spans="1:13" s="195" customFormat="1" x14ac:dyDescent="0.35">
      <c r="A764" s="1781">
        <v>906386</v>
      </c>
      <c r="B764" s="1781"/>
      <c r="C764" s="1781">
        <v>1.71</v>
      </c>
      <c r="D764" s="1781">
        <v>0.13</v>
      </c>
      <c r="E764" s="1781">
        <v>1.62</v>
      </c>
      <c r="F764" s="1781">
        <v>0.04</v>
      </c>
      <c r="G764" s="1781">
        <v>3.2</v>
      </c>
      <c r="H764" s="1781">
        <v>0.27</v>
      </c>
      <c r="I764" s="1781">
        <v>14.96</v>
      </c>
      <c r="J764" s="1781">
        <v>6.73</v>
      </c>
      <c r="K764" s="1781">
        <v>41.03</v>
      </c>
      <c r="L764" s="1781">
        <v>214.51</v>
      </c>
      <c r="M764" s="1781">
        <v>141.86000000000001</v>
      </c>
    </row>
    <row r="765" spans="1:13" s="195" customFormat="1" x14ac:dyDescent="0.35">
      <c r="A765" s="1781">
        <v>906387</v>
      </c>
      <c r="B765" s="1781"/>
      <c r="C765" s="1789">
        <v>2.4091524</v>
      </c>
      <c r="D765" s="1781">
        <v>0.14000000000000001</v>
      </c>
      <c r="E765" s="1781">
        <v>1.18</v>
      </c>
      <c r="F765" s="1781">
        <v>7.0000000000000007E-2</v>
      </c>
      <c r="G765" s="1781">
        <v>4.04</v>
      </c>
      <c r="H765" s="1781">
        <v>0.28000000000000003</v>
      </c>
      <c r="I765" s="1781">
        <v>15.05</v>
      </c>
      <c r="J765" s="1781">
        <v>3.95</v>
      </c>
      <c r="K765" s="1781">
        <v>34.299999999999997</v>
      </c>
      <c r="L765" s="1781">
        <v>136.75</v>
      </c>
      <c r="M765" s="1781">
        <v>77.73</v>
      </c>
    </row>
    <row r="766" spans="1:13" s="195" customFormat="1" x14ac:dyDescent="0.35">
      <c r="A766" s="1781">
        <v>906388</v>
      </c>
      <c r="B766" s="1781"/>
      <c r="C766" s="1789">
        <v>2.4371658000000007</v>
      </c>
      <c r="D766" s="1781">
        <v>0.14000000000000001</v>
      </c>
      <c r="E766" s="1781">
        <v>1.1399999999999999</v>
      </c>
      <c r="F766" s="1781">
        <v>7.0000000000000007E-2</v>
      </c>
      <c r="G766" s="1781">
        <v>3.48</v>
      </c>
      <c r="H766" s="1781">
        <v>0.25</v>
      </c>
      <c r="I766" s="1781">
        <v>16.36</v>
      </c>
      <c r="J766" s="1781">
        <v>5.44</v>
      </c>
      <c r="K766" s="1781">
        <v>57.04</v>
      </c>
      <c r="L766" s="1781">
        <v>177.27</v>
      </c>
      <c r="M766" s="1781">
        <v>88.58</v>
      </c>
    </row>
    <row r="767" spans="1:13" s="195" customFormat="1" x14ac:dyDescent="0.35">
      <c r="A767" s="1781">
        <v>906389</v>
      </c>
      <c r="B767" s="1781"/>
      <c r="C767" s="1789">
        <v>2.4091524</v>
      </c>
      <c r="D767" s="1781">
        <v>0.13</v>
      </c>
      <c r="E767" s="1781">
        <v>0.84</v>
      </c>
      <c r="F767" s="1781">
        <v>0.06</v>
      </c>
      <c r="G767" s="1781">
        <v>5.01</v>
      </c>
      <c r="H767" s="1781">
        <v>0.32</v>
      </c>
      <c r="I767" s="1781">
        <v>15.32</v>
      </c>
      <c r="J767" s="1781">
        <v>2.67</v>
      </c>
      <c r="K767" s="1781">
        <v>41.54</v>
      </c>
      <c r="L767" s="1781">
        <v>182.84</v>
      </c>
      <c r="M767" s="1781">
        <v>117.43</v>
      </c>
    </row>
    <row r="768" spans="1:13" s="195" customFormat="1" x14ac:dyDescent="0.35">
      <c r="A768" s="1781">
        <v>906390</v>
      </c>
      <c r="B768" s="1781"/>
      <c r="C768" s="1781">
        <v>2.86</v>
      </c>
      <c r="D768" s="1781">
        <v>9.4E-2</v>
      </c>
      <c r="E768" s="1781">
        <v>0.84</v>
      </c>
      <c r="F768" s="1781">
        <v>0.11</v>
      </c>
      <c r="G768" s="1781">
        <v>5.95</v>
      </c>
      <c r="H768" s="1781">
        <v>0.23</v>
      </c>
      <c r="I768" s="1781">
        <v>151.79</v>
      </c>
      <c r="J768" s="1781">
        <v>13.8</v>
      </c>
      <c r="K768" s="1781">
        <v>71.66</v>
      </c>
      <c r="L768" s="1781">
        <v>193.63</v>
      </c>
      <c r="M768" s="1781">
        <v>53.6</v>
      </c>
    </row>
    <row r="769" spans="1:13" s="195" customFormat="1" x14ac:dyDescent="0.35">
      <c r="A769" s="1781">
        <v>906391</v>
      </c>
      <c r="B769" s="1781"/>
      <c r="C769" s="1781">
        <v>2.83</v>
      </c>
      <c r="D769" s="1781">
        <v>9.1999999999999998E-2</v>
      </c>
      <c r="E769" s="1781">
        <v>0.82</v>
      </c>
      <c r="F769" s="1781">
        <v>0.11</v>
      </c>
      <c r="G769" s="1781">
        <v>5.86</v>
      </c>
      <c r="H769" s="1781">
        <v>0.22</v>
      </c>
      <c r="I769" s="1781">
        <v>144.13</v>
      </c>
      <c r="J769" s="1781">
        <v>12.89</v>
      </c>
      <c r="K769" s="1781">
        <v>66.95</v>
      </c>
      <c r="L769" s="1781">
        <v>186.71</v>
      </c>
      <c r="M769" s="1781">
        <v>52.23</v>
      </c>
    </row>
    <row r="770" spans="1:13" s="195" customFormat="1" x14ac:dyDescent="0.35">
      <c r="A770" s="1781">
        <v>906392</v>
      </c>
      <c r="B770" s="1781"/>
      <c r="C770" s="1781">
        <v>2.8</v>
      </c>
      <c r="D770" s="1781">
        <v>0.19</v>
      </c>
      <c r="E770" s="1781">
        <v>1.19</v>
      </c>
      <c r="F770" s="1781">
        <v>0.2</v>
      </c>
      <c r="G770" s="1781">
        <v>2.1</v>
      </c>
      <c r="H770" s="1781">
        <v>0.28999999999999998</v>
      </c>
      <c r="I770" s="1781">
        <v>25.56</v>
      </c>
      <c r="J770" s="1781">
        <v>137.32</v>
      </c>
      <c r="K770" s="1781">
        <v>140.19</v>
      </c>
      <c r="L770" s="1781">
        <v>178.43</v>
      </c>
      <c r="M770" s="1781">
        <v>46.99</v>
      </c>
    </row>
    <row r="771" spans="1:13" s="195" customFormat="1" x14ac:dyDescent="0.35">
      <c r="A771" s="1781">
        <v>906393</v>
      </c>
      <c r="B771" s="1781"/>
      <c r="C771" s="1781">
        <v>2.5499999999999998</v>
      </c>
      <c r="D771" s="1781">
        <v>0.2</v>
      </c>
      <c r="E771" s="1781">
        <v>1.79</v>
      </c>
      <c r="F771" s="1781">
        <v>0.02</v>
      </c>
      <c r="G771" s="1781">
        <v>2.61</v>
      </c>
      <c r="H771" s="1781">
        <v>0.32</v>
      </c>
      <c r="I771" s="1781">
        <v>26.2</v>
      </c>
      <c r="J771" s="1781">
        <v>5.28</v>
      </c>
      <c r="K771" s="1781">
        <v>30.65</v>
      </c>
      <c r="L771" s="1781">
        <v>79.959999999999994</v>
      </c>
      <c r="M771" s="1781">
        <v>45.32</v>
      </c>
    </row>
    <row r="772" spans="1:13" s="195" customFormat="1" x14ac:dyDescent="0.35">
      <c r="A772" s="1781">
        <v>906394</v>
      </c>
      <c r="B772" s="1781"/>
      <c r="C772" s="1781">
        <v>2.4700000000000002</v>
      </c>
      <c r="D772" s="1781">
        <v>0.19</v>
      </c>
      <c r="E772" s="1781">
        <v>1.54</v>
      </c>
      <c r="F772" s="1781">
        <v>0.05</v>
      </c>
      <c r="G772" s="1781">
        <v>2.14</v>
      </c>
      <c r="H772" s="1781">
        <v>0.27</v>
      </c>
      <c r="I772" s="1781">
        <v>28.3</v>
      </c>
      <c r="J772" s="1781">
        <v>4.84</v>
      </c>
      <c r="K772" s="1781">
        <v>19.77</v>
      </c>
      <c r="L772" s="1781">
        <v>88.4</v>
      </c>
      <c r="M772" s="1781">
        <v>40.729999999999997</v>
      </c>
    </row>
    <row r="773" spans="1:13" s="195" customFormat="1" x14ac:dyDescent="0.35">
      <c r="A773" s="1781">
        <v>906395</v>
      </c>
      <c r="B773" s="1781"/>
      <c r="C773" s="1781">
        <v>2.63</v>
      </c>
      <c r="D773" s="1781">
        <v>0.14000000000000001</v>
      </c>
      <c r="E773" s="1781">
        <v>1</v>
      </c>
      <c r="F773" s="1781">
        <v>0.08</v>
      </c>
      <c r="G773" s="1781">
        <v>3.6</v>
      </c>
      <c r="H773" s="1781">
        <v>0.35</v>
      </c>
      <c r="I773" s="1781">
        <v>76.843999999999994</v>
      </c>
      <c r="J773" s="1781">
        <v>4.07</v>
      </c>
      <c r="K773" s="1781">
        <v>187.96</v>
      </c>
      <c r="L773" s="1781">
        <v>218.23</v>
      </c>
      <c r="M773" s="1781">
        <v>33.520000000000003</v>
      </c>
    </row>
    <row r="774" spans="1:13" s="195" customFormat="1" x14ac:dyDescent="0.35">
      <c r="A774" s="1781">
        <v>906396</v>
      </c>
      <c r="B774" s="1781"/>
      <c r="C774" s="1781">
        <v>2.89</v>
      </c>
      <c r="D774" s="1781">
        <v>0.16</v>
      </c>
      <c r="E774" s="1781">
        <v>1.94</v>
      </c>
      <c r="F774" s="1781">
        <v>0.06</v>
      </c>
      <c r="G774" s="1781">
        <v>4.07</v>
      </c>
      <c r="H774" s="1781">
        <v>0.33</v>
      </c>
      <c r="I774" s="1781">
        <v>85.94</v>
      </c>
      <c r="J774" s="1781">
        <v>3.34</v>
      </c>
      <c r="K774" s="1781">
        <v>140.46</v>
      </c>
      <c r="L774" s="1781">
        <v>170.08</v>
      </c>
      <c r="M774" s="1781">
        <v>116.46</v>
      </c>
    </row>
    <row r="775" spans="1:13" s="195" customFormat="1" x14ac:dyDescent="0.35">
      <c r="A775" s="1781">
        <v>906397</v>
      </c>
      <c r="B775" s="1781"/>
      <c r="C775" s="1781">
        <v>3.11</v>
      </c>
      <c r="D775" s="1781">
        <v>0.13</v>
      </c>
      <c r="E775" s="1781">
        <v>1.32</v>
      </c>
      <c r="F775" s="1781">
        <v>7.0000000000000007E-2</v>
      </c>
      <c r="G775" s="1781">
        <v>4.0599999999999996</v>
      </c>
      <c r="H775" s="1781">
        <v>0.39</v>
      </c>
      <c r="I775" s="1781">
        <v>86.16</v>
      </c>
      <c r="J775" s="1781">
        <v>3.7</v>
      </c>
      <c r="K775" s="1781">
        <v>137.38999999999999</v>
      </c>
      <c r="L775" s="1781">
        <v>151.41999999999999</v>
      </c>
      <c r="M775" s="1781">
        <v>48.02</v>
      </c>
    </row>
    <row r="776" spans="1:13" s="195" customFormat="1" x14ac:dyDescent="0.35">
      <c r="A776" s="1781">
        <v>906398</v>
      </c>
      <c r="B776" s="1781"/>
      <c r="C776" s="1781">
        <v>2.33</v>
      </c>
      <c r="D776" s="1781">
        <v>0.11</v>
      </c>
      <c r="E776" s="1781">
        <v>1.03</v>
      </c>
      <c r="F776" s="1781">
        <v>7.0000000000000007E-2</v>
      </c>
      <c r="G776" s="1781">
        <v>3.55</v>
      </c>
      <c r="H776" s="1781">
        <v>0.41</v>
      </c>
      <c r="I776" s="1781">
        <v>49.32</v>
      </c>
      <c r="J776" s="1781">
        <v>8.73</v>
      </c>
      <c r="K776" s="1781">
        <v>70.03</v>
      </c>
      <c r="L776" s="1781">
        <v>181.79</v>
      </c>
      <c r="M776" s="1781">
        <v>39.909999999999997</v>
      </c>
    </row>
    <row r="777" spans="1:13" s="195" customFormat="1" x14ac:dyDescent="0.35">
      <c r="A777" s="1781">
        <v>906399</v>
      </c>
      <c r="B777" s="1781"/>
      <c r="C777" s="1781">
        <v>2.0699999999999998</v>
      </c>
      <c r="D777" s="1781">
        <v>0.11</v>
      </c>
      <c r="E777" s="1781">
        <v>1.07</v>
      </c>
      <c r="F777" s="1781">
        <v>0.06</v>
      </c>
      <c r="G777" s="1781">
        <v>3.67</v>
      </c>
      <c r="H777" s="1781">
        <v>0.44</v>
      </c>
      <c r="I777" s="1781">
        <v>39.68</v>
      </c>
      <c r="J777" s="1781">
        <v>9.1300000000000008</v>
      </c>
      <c r="K777" s="1781">
        <v>58.79</v>
      </c>
      <c r="L777" s="1781">
        <v>150.4</v>
      </c>
      <c r="M777" s="1781">
        <v>29.06</v>
      </c>
    </row>
    <row r="778" spans="1:13" s="195" customFormat="1" x14ac:dyDescent="0.35">
      <c r="A778" s="1781">
        <v>906400</v>
      </c>
      <c r="B778" s="1781"/>
      <c r="C778" s="1781">
        <v>2.41</v>
      </c>
      <c r="D778" s="1781">
        <v>0.09</v>
      </c>
      <c r="E778" s="1781">
        <v>0.89</v>
      </c>
      <c r="F778" s="1781">
        <v>0.08</v>
      </c>
      <c r="G778" s="1781">
        <v>5.7</v>
      </c>
      <c r="H778" s="1781">
        <v>0.37</v>
      </c>
      <c r="I778" s="1781">
        <v>67.47</v>
      </c>
      <c r="J778" s="1781">
        <v>8.39</v>
      </c>
      <c r="K778" s="1781">
        <v>82.12</v>
      </c>
      <c r="L778" s="1781">
        <v>126.53</v>
      </c>
      <c r="M778" s="1781">
        <v>54.77</v>
      </c>
    </row>
    <row r="779" spans="1:13" s="195" customFormat="1" x14ac:dyDescent="0.35">
      <c r="A779" s="1781">
        <v>906401</v>
      </c>
      <c r="B779" s="1781"/>
      <c r="C779" s="1781">
        <v>2.58</v>
      </c>
      <c r="D779" s="1781">
        <v>0.12</v>
      </c>
      <c r="E779" s="1781">
        <v>1.26</v>
      </c>
      <c r="F779" s="1781">
        <v>0.06</v>
      </c>
      <c r="G779" s="1781">
        <v>4.51</v>
      </c>
      <c r="H779" s="1781">
        <v>0.38</v>
      </c>
      <c r="I779" s="1781">
        <v>75.760000000000005</v>
      </c>
      <c r="J779" s="1781">
        <v>5.97</v>
      </c>
      <c r="K779" s="1781">
        <v>86.04</v>
      </c>
      <c r="L779" s="1781">
        <v>113.05</v>
      </c>
      <c r="M779" s="1781">
        <v>28.28</v>
      </c>
    </row>
    <row r="780" spans="1:13" s="195" customFormat="1" x14ac:dyDescent="0.35">
      <c r="A780" s="1781">
        <v>906402</v>
      </c>
      <c r="B780" s="1781"/>
      <c r="C780" s="1781">
        <v>2.77</v>
      </c>
      <c r="D780" s="1781">
        <v>0.13</v>
      </c>
      <c r="E780" s="1781">
        <v>1.1000000000000001</v>
      </c>
      <c r="F780" s="1781">
        <v>0.08</v>
      </c>
      <c r="G780" s="1781">
        <v>4.33</v>
      </c>
      <c r="H780" s="1781">
        <v>0.41</v>
      </c>
      <c r="I780" s="1781">
        <v>81.95</v>
      </c>
      <c r="J780" s="1781">
        <v>7.04</v>
      </c>
      <c r="K780" s="1781">
        <v>219.11</v>
      </c>
      <c r="L780" s="1781">
        <v>236.78</v>
      </c>
      <c r="M780" s="1781">
        <v>58.43</v>
      </c>
    </row>
    <row r="781" spans="1:13" s="195" customFormat="1" x14ac:dyDescent="0.35">
      <c r="A781" s="1781">
        <v>906403</v>
      </c>
      <c r="B781" s="1781"/>
      <c r="C781" s="1781">
        <v>2.61</v>
      </c>
      <c r="D781" s="1781">
        <v>0.14000000000000001</v>
      </c>
      <c r="E781" s="1781">
        <v>1.38</v>
      </c>
      <c r="F781" s="1781">
        <v>0.05</v>
      </c>
      <c r="G781" s="1781">
        <v>3.77</v>
      </c>
      <c r="H781" s="1781">
        <v>0.28000000000000003</v>
      </c>
      <c r="I781" s="1781">
        <v>67.58</v>
      </c>
      <c r="J781" s="1781">
        <v>7.29</v>
      </c>
      <c r="K781" s="1781">
        <v>86.3</v>
      </c>
      <c r="L781" s="1781">
        <v>142.08000000000001</v>
      </c>
      <c r="M781" s="1781">
        <v>41.47</v>
      </c>
    </row>
    <row r="782" spans="1:13" s="195" customFormat="1" x14ac:dyDescent="0.35">
      <c r="A782" s="1781">
        <v>906404</v>
      </c>
      <c r="B782" s="1781"/>
      <c r="C782" s="1781">
        <v>2.21</v>
      </c>
      <c r="D782" s="1781">
        <v>0.12</v>
      </c>
      <c r="E782" s="1781">
        <v>1.49</v>
      </c>
      <c r="F782" s="1781">
        <v>7.0000000000000007E-2</v>
      </c>
      <c r="G782" s="1781">
        <v>3.56</v>
      </c>
      <c r="H782" s="1781">
        <v>0.14000000000000001</v>
      </c>
      <c r="I782" s="1781">
        <v>73.53</v>
      </c>
      <c r="J782" s="1781">
        <v>4.92</v>
      </c>
      <c r="K782" s="1781">
        <v>144.87</v>
      </c>
      <c r="L782" s="1781">
        <v>205.67</v>
      </c>
      <c r="M782" s="1781">
        <v>47.46</v>
      </c>
    </row>
    <row r="783" spans="1:13" s="195" customFormat="1" x14ac:dyDescent="0.35">
      <c r="A783" s="1781">
        <v>906405</v>
      </c>
      <c r="B783" s="1781"/>
      <c r="C783" s="1781">
        <v>2.2999999999999998</v>
      </c>
      <c r="D783" s="1781">
        <v>0.18</v>
      </c>
      <c r="E783" s="1781">
        <v>0.69</v>
      </c>
      <c r="F783" s="1781">
        <v>0.01</v>
      </c>
      <c r="G783" s="1781">
        <v>2.0299999999999998</v>
      </c>
      <c r="H783" s="1781">
        <v>0.45</v>
      </c>
      <c r="I783" s="1781">
        <v>25.84</v>
      </c>
      <c r="J783" s="1781">
        <v>3.44</v>
      </c>
      <c r="K783" s="1781">
        <v>66.349999999999994</v>
      </c>
      <c r="L783" s="1781">
        <v>138.86000000000001</v>
      </c>
      <c r="M783" s="1781">
        <v>36.64</v>
      </c>
    </row>
    <row r="784" spans="1:13" s="892" customFormat="1" x14ac:dyDescent="0.35">
      <c r="A784" s="1781">
        <v>906406</v>
      </c>
      <c r="B784" s="1781"/>
      <c r="C784" s="1781">
        <v>1.91</v>
      </c>
      <c r="D784" s="1781">
        <v>0.14000000000000001</v>
      </c>
      <c r="E784" s="1781">
        <v>1.28</v>
      </c>
      <c r="F784" s="1781">
        <v>0.08</v>
      </c>
      <c r="G784" s="1781">
        <v>4.7300000000000004</v>
      </c>
      <c r="H784" s="1781">
        <v>0.36</v>
      </c>
      <c r="I784" s="1781">
        <v>26.09</v>
      </c>
      <c r="J784" s="1781">
        <v>3.33</v>
      </c>
      <c r="K784" s="1781">
        <v>57.75</v>
      </c>
      <c r="L784" s="1781">
        <v>294.25</v>
      </c>
      <c r="M784" s="1781">
        <v>500.65</v>
      </c>
    </row>
    <row r="785" spans="1:13" s="892" customFormat="1" x14ac:dyDescent="0.35">
      <c r="A785" s="1781">
        <v>906407</v>
      </c>
      <c r="B785" s="1781"/>
      <c r="C785" s="1781">
        <v>2.0499999999999998</v>
      </c>
      <c r="D785" s="1781">
        <v>0.15</v>
      </c>
      <c r="E785" s="1781">
        <v>1.26</v>
      </c>
      <c r="F785" s="1781">
        <v>0.06</v>
      </c>
      <c r="G785" s="1781">
        <v>4.46</v>
      </c>
      <c r="H785" s="1781">
        <v>0.35</v>
      </c>
      <c r="I785" s="1781">
        <v>78.239999999999995</v>
      </c>
      <c r="J785" s="1781">
        <v>4.67</v>
      </c>
      <c r="K785" s="1781">
        <v>59.62</v>
      </c>
      <c r="L785" s="1781">
        <v>194.55</v>
      </c>
      <c r="M785" s="1781">
        <v>467.02</v>
      </c>
    </row>
    <row r="786" spans="1:13" s="892" customFormat="1" x14ac:dyDescent="0.35">
      <c r="A786" s="1781">
        <v>906408</v>
      </c>
      <c r="B786" s="1781"/>
      <c r="C786" s="1781">
        <v>2.4900000000000002</v>
      </c>
      <c r="D786" s="1781">
        <v>0.16</v>
      </c>
      <c r="E786" s="1781">
        <v>0.98</v>
      </c>
      <c r="F786" s="1781">
        <v>0.08</v>
      </c>
      <c r="G786" s="1781">
        <v>4.1100000000000003</v>
      </c>
      <c r="H786" s="1781">
        <v>0.4</v>
      </c>
      <c r="I786" s="1781">
        <v>40.67</v>
      </c>
      <c r="J786" s="1781">
        <v>3.75</v>
      </c>
      <c r="K786" s="1781">
        <v>49.48</v>
      </c>
      <c r="L786" s="1781">
        <v>175.59</v>
      </c>
      <c r="M786" s="1781">
        <v>105.73</v>
      </c>
    </row>
    <row r="787" spans="1:13" s="892" customFormat="1" x14ac:dyDescent="0.35">
      <c r="A787" s="1781">
        <v>906409</v>
      </c>
      <c r="B787" s="1781"/>
      <c r="C787" s="1781">
        <v>2.5499999999999998</v>
      </c>
      <c r="D787" s="1781">
        <v>0.17</v>
      </c>
      <c r="E787" s="1781">
        <v>1.06</v>
      </c>
      <c r="F787" s="1781">
        <v>0.04</v>
      </c>
      <c r="G787" s="1781">
        <v>4.3</v>
      </c>
      <c r="H787" s="1781">
        <v>0.45</v>
      </c>
      <c r="I787" s="1781">
        <v>30.82</v>
      </c>
      <c r="J787" s="1781">
        <v>4.3499999999999996</v>
      </c>
      <c r="K787" s="1781">
        <v>46.05</v>
      </c>
      <c r="L787" s="1781">
        <v>210.22</v>
      </c>
      <c r="M787" s="1781">
        <v>99.6</v>
      </c>
    </row>
    <row r="788" spans="1:13" s="892" customFormat="1" x14ac:dyDescent="0.35">
      <c r="A788" s="1781">
        <v>906410</v>
      </c>
      <c r="B788" s="1781"/>
      <c r="C788" s="1781">
        <v>1.49</v>
      </c>
      <c r="D788" s="1781">
        <v>0.12</v>
      </c>
      <c r="E788" s="1781">
        <v>1.48</v>
      </c>
      <c r="F788" s="1781">
        <v>0.03</v>
      </c>
      <c r="G788" s="1781">
        <v>0.45</v>
      </c>
      <c r="H788" s="1781">
        <v>0.21</v>
      </c>
      <c r="I788" s="1781">
        <v>10.85</v>
      </c>
      <c r="J788" s="1781">
        <v>7.56</v>
      </c>
      <c r="K788" s="1781">
        <v>43.59</v>
      </c>
      <c r="L788" s="1781">
        <v>180.18</v>
      </c>
      <c r="M788" s="1781">
        <v>108.38</v>
      </c>
    </row>
    <row r="789" spans="1:13" s="892" customFormat="1" x14ac:dyDescent="0.35">
      <c r="A789" s="1781">
        <v>906423</v>
      </c>
      <c r="B789" s="1781"/>
      <c r="C789" s="1781">
        <v>1.04</v>
      </c>
      <c r="D789" s="1781">
        <v>0.14000000000000001</v>
      </c>
      <c r="E789" s="1781">
        <v>0.76</v>
      </c>
      <c r="F789" s="1781">
        <v>0.03</v>
      </c>
      <c r="G789" s="1781">
        <v>2.04</v>
      </c>
      <c r="H789" s="1781">
        <v>0.28000000000000003</v>
      </c>
      <c r="I789" s="1781">
        <v>23.97</v>
      </c>
      <c r="J789" s="1781">
        <v>4.26</v>
      </c>
      <c r="K789" s="1781">
        <v>131.71</v>
      </c>
      <c r="L789" s="1781">
        <v>167.16</v>
      </c>
      <c r="M789" s="1781">
        <v>27.35</v>
      </c>
    </row>
    <row r="790" spans="1:13" s="892" customFormat="1" x14ac:dyDescent="0.35">
      <c r="A790" s="1781">
        <v>906424</v>
      </c>
      <c r="B790" s="1781"/>
      <c r="C790" s="1781">
        <v>4.82</v>
      </c>
      <c r="D790" s="1781">
        <v>0.54</v>
      </c>
      <c r="E790" s="1781">
        <v>3.47</v>
      </c>
      <c r="F790" s="1781">
        <v>0.12</v>
      </c>
      <c r="G790" s="1781">
        <v>4.54</v>
      </c>
      <c r="H790" s="1781">
        <v>0.94</v>
      </c>
      <c r="I790" s="1781">
        <v>23.08</v>
      </c>
      <c r="J790" s="1781">
        <v>124.27</v>
      </c>
      <c r="K790" s="1781">
        <v>62.73</v>
      </c>
      <c r="L790" s="1781">
        <v>83.09</v>
      </c>
      <c r="M790" s="1781">
        <v>52.88</v>
      </c>
    </row>
    <row r="791" spans="1:13" s="892" customFormat="1" x14ac:dyDescent="0.35">
      <c r="A791" s="1781">
        <v>906425</v>
      </c>
      <c r="B791" s="1781"/>
      <c r="C791" s="1781">
        <v>5.13</v>
      </c>
      <c r="D791" s="1781">
        <v>0.5</v>
      </c>
      <c r="E791" s="1781">
        <v>3.03</v>
      </c>
      <c r="F791" s="1781">
        <v>0.1</v>
      </c>
      <c r="G791" s="1781">
        <v>3.82</v>
      </c>
      <c r="H791" s="1781">
        <v>0.55000000000000004</v>
      </c>
      <c r="I791" s="1781">
        <v>21.74</v>
      </c>
      <c r="J791" s="1781">
        <v>33.619999999999997</v>
      </c>
      <c r="K791" s="1781">
        <v>66.91</v>
      </c>
      <c r="L791" s="1781">
        <v>108.7</v>
      </c>
      <c r="M791" s="1781">
        <v>52.46</v>
      </c>
    </row>
    <row r="792" spans="1:13" s="885" customFormat="1" x14ac:dyDescent="0.35">
      <c r="A792" s="1781">
        <v>906426</v>
      </c>
      <c r="B792" s="1781"/>
      <c r="C792" s="1790">
        <v>5.8548005999999999</v>
      </c>
      <c r="D792" s="1786">
        <v>0.28999999999999998</v>
      </c>
      <c r="E792" s="1786">
        <v>2.7</v>
      </c>
      <c r="F792" s="1786">
        <v>8.1000000000000003E-2</v>
      </c>
      <c r="G792" s="1786">
        <v>1.69</v>
      </c>
      <c r="H792" s="1786">
        <v>0.41</v>
      </c>
      <c r="I792" s="1786">
        <v>26.98</v>
      </c>
      <c r="J792" s="1786">
        <v>85.27</v>
      </c>
      <c r="K792" s="1786">
        <v>25.19</v>
      </c>
      <c r="L792" s="1786">
        <v>76.12</v>
      </c>
      <c r="M792" s="1786">
        <v>34.24</v>
      </c>
    </row>
    <row r="793" spans="1:13" s="904" customFormat="1" x14ac:dyDescent="0.35">
      <c r="A793" s="1781">
        <v>906427</v>
      </c>
      <c r="B793" s="1782"/>
      <c r="C793" s="1783">
        <v>6.0789077999999996</v>
      </c>
      <c r="D793" s="1786">
        <v>0.51</v>
      </c>
      <c r="E793" s="1786">
        <v>2.91</v>
      </c>
      <c r="F793" s="1786">
        <v>7.6999999999999999E-2</v>
      </c>
      <c r="G793" s="1786">
        <v>3.39</v>
      </c>
      <c r="H793" s="1786">
        <v>0.63</v>
      </c>
      <c r="I793" s="1786">
        <v>41.37</v>
      </c>
      <c r="J793" s="1786">
        <v>93.34</v>
      </c>
      <c r="K793" s="1786">
        <v>71.73</v>
      </c>
      <c r="L793" s="1786">
        <v>117.6</v>
      </c>
      <c r="M793" s="1786">
        <v>46.58</v>
      </c>
    </row>
    <row r="794" spans="1:13" s="904" customFormat="1" x14ac:dyDescent="0.35">
      <c r="A794" s="1781">
        <v>906428</v>
      </c>
      <c r="B794" s="1782"/>
      <c r="C794" s="1783">
        <v>5.0424120000000006</v>
      </c>
      <c r="D794" s="1786">
        <v>0.28000000000000003</v>
      </c>
      <c r="E794" s="1786">
        <v>3.16</v>
      </c>
      <c r="F794" s="1786">
        <v>9.0999999999999998E-2</v>
      </c>
      <c r="G794" s="1786">
        <v>2.15</v>
      </c>
      <c r="H794" s="1786">
        <v>0.31</v>
      </c>
      <c r="I794" s="1786">
        <v>34.68</v>
      </c>
      <c r="J794" s="1786">
        <v>8.32</v>
      </c>
      <c r="K794" s="1786">
        <v>32.380000000000003</v>
      </c>
      <c r="L794" s="1786">
        <v>94.35</v>
      </c>
      <c r="M794" s="1786">
        <v>124.97</v>
      </c>
    </row>
    <row r="795" spans="1:13" s="904" customFormat="1" x14ac:dyDescent="0.35">
      <c r="A795" s="1781">
        <v>906429</v>
      </c>
      <c r="B795" s="1782"/>
      <c r="C795" s="1783">
        <v>2.3531256000000003</v>
      </c>
      <c r="D795" s="1786">
        <v>0.09</v>
      </c>
      <c r="E795" s="1786">
        <v>1.42</v>
      </c>
      <c r="F795" s="1786">
        <v>5.7000000000000002E-2</v>
      </c>
      <c r="G795" s="1786">
        <v>3.48</v>
      </c>
      <c r="H795" s="1786">
        <v>0.27</v>
      </c>
      <c r="I795" s="1786">
        <v>45.11</v>
      </c>
      <c r="J795" s="1786">
        <v>2.7</v>
      </c>
      <c r="K795" s="1786">
        <v>86.83</v>
      </c>
      <c r="L795" s="1786">
        <v>187.23</v>
      </c>
      <c r="M795" s="1786">
        <v>55.26</v>
      </c>
    </row>
    <row r="796" spans="1:13" s="904" customFormat="1" x14ac:dyDescent="0.35">
      <c r="A796" s="1781">
        <v>906430</v>
      </c>
      <c r="B796" s="1782"/>
      <c r="C796" s="1783">
        <v>2.4371658000000007</v>
      </c>
      <c r="D796" s="1786">
        <v>0.11</v>
      </c>
      <c r="E796" s="1786">
        <v>1.05</v>
      </c>
      <c r="F796" s="1786">
        <v>5.6000000000000001E-2</v>
      </c>
      <c r="G796" s="1786">
        <v>4.13</v>
      </c>
      <c r="H796" s="1786">
        <v>0.43</v>
      </c>
      <c r="I796" s="1786">
        <v>54.82</v>
      </c>
      <c r="J796" s="1786">
        <v>6.24</v>
      </c>
      <c r="K796" s="1786">
        <v>77.02</v>
      </c>
      <c r="L796" s="1786">
        <v>164.16</v>
      </c>
      <c r="M796" s="1786">
        <v>37.96</v>
      </c>
    </row>
    <row r="797" spans="1:13" s="904" customFormat="1" x14ac:dyDescent="0.35">
      <c r="A797" s="1781">
        <v>906431</v>
      </c>
      <c r="B797" s="1782"/>
      <c r="C797" s="1783">
        <v>2.8573668000000003</v>
      </c>
      <c r="D797" s="1786">
        <v>0.1</v>
      </c>
      <c r="E797" s="1786">
        <v>1.04</v>
      </c>
      <c r="F797" s="1786">
        <v>5.8999999999999997E-2</v>
      </c>
      <c r="G797" s="1786">
        <v>3.69</v>
      </c>
      <c r="H797" s="1786">
        <v>0.37</v>
      </c>
      <c r="I797" s="1786">
        <v>47.82</v>
      </c>
      <c r="J797" s="1786">
        <v>5.49</v>
      </c>
      <c r="K797" s="1786">
        <v>148.57</v>
      </c>
      <c r="L797" s="1786">
        <v>167.16</v>
      </c>
      <c r="M797" s="1786">
        <v>65.69</v>
      </c>
    </row>
    <row r="798" spans="1:13" s="904" customFormat="1" x14ac:dyDescent="0.35">
      <c r="A798" s="1781">
        <v>906432</v>
      </c>
      <c r="B798" s="1782"/>
      <c r="C798" s="1783">
        <v>2.8293534</v>
      </c>
      <c r="D798" s="1786">
        <v>0.09</v>
      </c>
      <c r="E798" s="1786">
        <v>1.36</v>
      </c>
      <c r="F798" s="1786">
        <v>6.2E-2</v>
      </c>
      <c r="G798" s="1786">
        <v>4.28</v>
      </c>
      <c r="H798" s="1786">
        <v>0.37</v>
      </c>
      <c r="I798" s="1786">
        <v>45.95</v>
      </c>
      <c r="J798" s="1786">
        <v>7.13</v>
      </c>
      <c r="K798" s="1786">
        <v>45.78</v>
      </c>
      <c r="L798" s="1786">
        <v>122.98</v>
      </c>
      <c r="M798" s="1786">
        <v>30.61</v>
      </c>
    </row>
    <row r="799" spans="1:13" s="904" customFormat="1" x14ac:dyDescent="0.35">
      <c r="A799" s="1781">
        <v>906433</v>
      </c>
      <c r="B799" s="1782"/>
      <c r="C799" s="1783">
        <v>2.6052462000000007</v>
      </c>
      <c r="D799" s="1786">
        <v>7.0000000000000007E-2</v>
      </c>
      <c r="E799" s="1786">
        <v>0.59</v>
      </c>
      <c r="F799" s="1786">
        <v>8.5000000000000006E-2</v>
      </c>
      <c r="G799" s="1786">
        <v>6.05</v>
      </c>
      <c r="H799" s="1786">
        <v>0.46</v>
      </c>
      <c r="I799" s="1786">
        <v>81.28</v>
      </c>
      <c r="J799" s="1786">
        <v>4.55</v>
      </c>
      <c r="K799" s="1786">
        <v>97.73</v>
      </c>
      <c r="L799" s="1786">
        <v>137.06</v>
      </c>
      <c r="M799" s="1786">
        <v>53.3</v>
      </c>
    </row>
    <row r="800" spans="1:13" s="904" customFormat="1" x14ac:dyDescent="0.35">
      <c r="A800" s="1781">
        <v>906434</v>
      </c>
      <c r="B800" s="1782"/>
      <c r="C800" s="1783">
        <v>2.5492194000000001</v>
      </c>
      <c r="D800" s="1786">
        <v>0.11</v>
      </c>
      <c r="E800" s="1786">
        <v>1.17</v>
      </c>
      <c r="F800" s="1786">
        <v>5.8000000000000003E-2</v>
      </c>
      <c r="G800" s="1786">
        <v>3.38</v>
      </c>
      <c r="H800" s="1786">
        <v>0.39</v>
      </c>
      <c r="I800" s="1786">
        <v>22.38</v>
      </c>
      <c r="J800" s="1786">
        <v>5.27</v>
      </c>
      <c r="K800" s="1786">
        <v>34.119999999999997</v>
      </c>
      <c r="L800" s="1786">
        <v>173.82</v>
      </c>
      <c r="M800" s="1786">
        <v>30.04</v>
      </c>
    </row>
    <row r="801" spans="1:13" s="904" customFormat="1" x14ac:dyDescent="0.35">
      <c r="A801" s="1781">
        <v>906435</v>
      </c>
      <c r="B801" s="1782"/>
      <c r="C801" s="1783">
        <v>3.3335946000000001</v>
      </c>
      <c r="D801" s="1786">
        <v>0.1</v>
      </c>
      <c r="E801" s="1786">
        <v>1.17</v>
      </c>
      <c r="F801" s="1786">
        <v>7.1999999999999995E-2</v>
      </c>
      <c r="G801" s="1786">
        <v>3.09</v>
      </c>
      <c r="H801" s="1786">
        <v>0.4</v>
      </c>
      <c r="I801" s="1786">
        <v>29.63</v>
      </c>
      <c r="J801" s="1786">
        <v>8.44</v>
      </c>
      <c r="K801" s="1786">
        <v>38.68</v>
      </c>
      <c r="L801" s="1786">
        <v>165.37</v>
      </c>
      <c r="M801" s="1786">
        <v>48.92</v>
      </c>
    </row>
    <row r="802" spans="1:13" s="904" customFormat="1" x14ac:dyDescent="0.35">
      <c r="A802" s="1781">
        <v>906436</v>
      </c>
      <c r="B802" s="1782"/>
      <c r="C802" s="1783">
        <v>2.9133936</v>
      </c>
      <c r="D802" s="1786">
        <v>0.09</v>
      </c>
      <c r="E802" s="1786">
        <v>0.93</v>
      </c>
      <c r="F802" s="1786">
        <v>4.8000000000000001E-2</v>
      </c>
      <c r="G802" s="1786">
        <v>4.3600000000000003</v>
      </c>
      <c r="H802" s="1786">
        <v>0.36</v>
      </c>
      <c r="I802" s="1786">
        <v>59.28</v>
      </c>
      <c r="J802" s="1786">
        <v>2.42</v>
      </c>
      <c r="K802" s="1786">
        <v>83.09</v>
      </c>
      <c r="L802" s="1786">
        <v>133.83000000000001</v>
      </c>
      <c r="M802" s="1786">
        <v>35.049999999999997</v>
      </c>
    </row>
    <row r="803" spans="1:13" s="904" customFormat="1" x14ac:dyDescent="0.35">
      <c r="A803" s="1781">
        <v>906437</v>
      </c>
      <c r="B803" s="1782"/>
      <c r="C803" s="1783">
        <v>2.5492194000000001</v>
      </c>
      <c r="D803" s="1786">
        <v>7.0000000000000007E-2</v>
      </c>
      <c r="E803" s="1786">
        <v>1.28</v>
      </c>
      <c r="F803" s="1786">
        <v>5.1999999999999998E-2</v>
      </c>
      <c r="G803" s="1786">
        <v>3.82</v>
      </c>
      <c r="H803" s="1786">
        <v>0.24</v>
      </c>
      <c r="I803" s="1786">
        <v>16.62</v>
      </c>
      <c r="J803" s="1786">
        <v>4</v>
      </c>
      <c r="K803" s="1786">
        <v>15.27</v>
      </c>
      <c r="L803" s="1786">
        <v>94.81</v>
      </c>
      <c r="M803" s="1786">
        <v>66.459999999999994</v>
      </c>
    </row>
    <row r="804" spans="1:13" s="904" customFormat="1" x14ac:dyDescent="0.35">
      <c r="A804" s="1781">
        <v>906438</v>
      </c>
      <c r="B804" s="1782"/>
      <c r="C804" s="1783">
        <v>2.7733266000000003</v>
      </c>
      <c r="D804" s="1786">
        <v>0.1</v>
      </c>
      <c r="E804" s="1786">
        <v>1.1200000000000001</v>
      </c>
      <c r="F804" s="1786">
        <v>8.2000000000000003E-2</v>
      </c>
      <c r="G804" s="1786">
        <v>3.3</v>
      </c>
      <c r="H804" s="1786">
        <v>0.34</v>
      </c>
      <c r="I804" s="1786">
        <v>69.08</v>
      </c>
      <c r="J804" s="1786">
        <v>2.7</v>
      </c>
      <c r="K804" s="1786">
        <v>174.04</v>
      </c>
      <c r="L804" s="1786">
        <v>309.06</v>
      </c>
      <c r="M804" s="1786">
        <v>37.21</v>
      </c>
    </row>
    <row r="805" spans="1:13" x14ac:dyDescent="0.35">
      <c r="A805" s="1781">
        <v>906439</v>
      </c>
      <c r="B805" s="1782"/>
      <c r="C805" s="1786">
        <v>2.94</v>
      </c>
      <c r="D805" s="1786">
        <v>0.18</v>
      </c>
      <c r="E805" s="1786">
        <v>1.1100000000000001</v>
      </c>
      <c r="F805" s="1786">
        <v>0.05</v>
      </c>
      <c r="G805" s="1786">
        <v>4.24</v>
      </c>
      <c r="H805" s="1786">
        <v>0.34</v>
      </c>
      <c r="I805" s="1786">
        <v>44.02</v>
      </c>
      <c r="J805" s="1786">
        <v>13.62</v>
      </c>
      <c r="K805" s="1786">
        <v>77.84</v>
      </c>
      <c r="L805" s="1786">
        <v>141.61000000000001</v>
      </c>
      <c r="M805" s="1786">
        <v>68.62</v>
      </c>
    </row>
    <row r="806" spans="1:13" x14ac:dyDescent="0.35">
      <c r="A806" s="1781">
        <v>906440</v>
      </c>
      <c r="B806" s="1782"/>
      <c r="C806" s="1786">
        <v>2.44</v>
      </c>
      <c r="D806" s="1786">
        <v>0.13</v>
      </c>
      <c r="E806" s="1786">
        <v>0.86</v>
      </c>
      <c r="F806" s="1786">
        <v>0.05</v>
      </c>
      <c r="G806" s="1786">
        <v>6.02</v>
      </c>
      <c r="H806" s="1786">
        <v>0.31</v>
      </c>
      <c r="I806" s="1786">
        <v>61.81</v>
      </c>
      <c r="J806" s="1786">
        <v>14.21</v>
      </c>
      <c r="K806" s="1786">
        <v>96.12</v>
      </c>
      <c r="L806" s="1786">
        <v>186.36</v>
      </c>
      <c r="M806" s="1786">
        <v>71.239999999999995</v>
      </c>
    </row>
    <row r="807" spans="1:13" x14ac:dyDescent="0.35">
      <c r="A807" s="1781">
        <v>906441</v>
      </c>
      <c r="B807" s="1782"/>
      <c r="C807" s="1786">
        <v>2.94</v>
      </c>
      <c r="D807" s="1786">
        <v>0.18</v>
      </c>
      <c r="E807" s="1786">
        <v>1.06</v>
      </c>
      <c r="F807" s="1786">
        <v>7.0000000000000007E-2</v>
      </c>
      <c r="G807" s="1786">
        <v>4.1900000000000004</v>
      </c>
      <c r="H807" s="1786">
        <v>0.32</v>
      </c>
      <c r="I807" s="1786">
        <v>45.64</v>
      </c>
      <c r="J807" s="1786">
        <v>19.989999999999998</v>
      </c>
      <c r="K807" s="1786">
        <v>71.53</v>
      </c>
      <c r="L807" s="1786">
        <v>195.7</v>
      </c>
      <c r="M807" s="1786">
        <v>72.19</v>
      </c>
    </row>
    <row r="808" spans="1:13" x14ac:dyDescent="0.35">
      <c r="A808" s="1781">
        <v>906442</v>
      </c>
      <c r="B808" s="1782"/>
      <c r="C808" s="1786">
        <v>3.03</v>
      </c>
      <c r="D808" s="1786">
        <v>0.18</v>
      </c>
      <c r="E808" s="1786">
        <v>1.5</v>
      </c>
      <c r="F808" s="1786">
        <v>0.05</v>
      </c>
      <c r="G808" s="1786">
        <v>4.17</v>
      </c>
      <c r="H808" s="1786">
        <v>0.37</v>
      </c>
      <c r="I808" s="1786">
        <v>26.63</v>
      </c>
      <c r="J808" s="1786">
        <v>10.19</v>
      </c>
      <c r="K808" s="1786">
        <v>47.98</v>
      </c>
      <c r="L808" s="1786">
        <v>162.99</v>
      </c>
      <c r="M808" s="1786">
        <v>59.75</v>
      </c>
    </row>
    <row r="809" spans="1:13" x14ac:dyDescent="0.35">
      <c r="A809" s="1781">
        <v>906443</v>
      </c>
      <c r="B809" s="1782"/>
      <c r="C809" s="1786">
        <v>2.66</v>
      </c>
      <c r="D809" s="1786">
        <v>0.21</v>
      </c>
      <c r="E809" s="1786">
        <v>2.21</v>
      </c>
      <c r="F809" s="1786">
        <v>0.04</v>
      </c>
      <c r="G809" s="1786">
        <v>3.55</v>
      </c>
      <c r="H809" s="1786">
        <v>0.33</v>
      </c>
      <c r="I809" s="1786">
        <v>19.059999999999999</v>
      </c>
      <c r="J809" s="1786">
        <v>9.3000000000000007</v>
      </c>
      <c r="K809" s="1786">
        <v>31.77</v>
      </c>
      <c r="L809" s="1786">
        <v>156.83000000000001</v>
      </c>
      <c r="M809" s="1786">
        <v>59.27</v>
      </c>
    </row>
    <row r="810" spans="1:13" x14ac:dyDescent="0.35">
      <c r="A810" s="1781">
        <v>906444</v>
      </c>
      <c r="B810" s="1782"/>
      <c r="C810" s="1786">
        <v>2.86</v>
      </c>
      <c r="D810" s="1786">
        <v>0.18</v>
      </c>
      <c r="E810" s="1786">
        <v>1.07</v>
      </c>
      <c r="F810" s="1786">
        <v>0.05</v>
      </c>
      <c r="G810" s="1786">
        <v>3.82</v>
      </c>
      <c r="H810" s="1786">
        <v>0.28999999999999998</v>
      </c>
      <c r="I810" s="1786">
        <v>54.93</v>
      </c>
      <c r="J810" s="1786">
        <v>16.739999999999998</v>
      </c>
      <c r="K810" s="1786">
        <v>83.4</v>
      </c>
      <c r="L810" s="1786">
        <v>166.09</v>
      </c>
      <c r="M810" s="1786">
        <v>88.16</v>
      </c>
    </row>
    <row r="811" spans="1:13" x14ac:dyDescent="0.35">
      <c r="A811" s="1781">
        <v>906445</v>
      </c>
      <c r="B811" s="1782"/>
      <c r="C811" s="1785">
        <v>1.4847102000000001</v>
      </c>
      <c r="D811" s="1785">
        <v>9.2999999999999999E-2</v>
      </c>
      <c r="E811" s="1785">
        <v>1.01</v>
      </c>
      <c r="F811" s="1785">
        <v>1.7000000000000001E-2</v>
      </c>
      <c r="G811" s="1785">
        <v>0.46</v>
      </c>
      <c r="H811" s="1785">
        <v>0.19</v>
      </c>
      <c r="I811" s="1785">
        <v>6.92</v>
      </c>
      <c r="J811" s="1785">
        <v>1.74</v>
      </c>
      <c r="K811" s="1785">
        <v>28.7</v>
      </c>
      <c r="L811" s="1785">
        <v>253.24</v>
      </c>
      <c r="M811" s="1785">
        <v>58.6</v>
      </c>
    </row>
    <row r="812" spans="1:13" x14ac:dyDescent="0.35">
      <c r="A812" s="1781">
        <v>906446</v>
      </c>
      <c r="B812" s="1782"/>
      <c r="C812" s="1785">
        <v>1.6247772000000005</v>
      </c>
      <c r="D812" s="1785">
        <v>8.4000000000000005E-2</v>
      </c>
      <c r="E812" s="1785">
        <v>0.54</v>
      </c>
      <c r="F812" s="1785">
        <v>2.1000000000000001E-2</v>
      </c>
      <c r="G812" s="1785">
        <v>0.66</v>
      </c>
      <c r="H812" s="1785">
        <v>0.28999999999999998</v>
      </c>
      <c r="I812" s="1785">
        <v>6.43</v>
      </c>
      <c r="J812" s="1785">
        <v>1.8</v>
      </c>
      <c r="K812" s="1785">
        <v>50.95</v>
      </c>
      <c r="L812" s="1785">
        <v>347.06</v>
      </c>
      <c r="M812" s="1785">
        <v>86.16</v>
      </c>
    </row>
    <row r="813" spans="1:13" x14ac:dyDescent="0.35">
      <c r="A813" s="1781">
        <v>906447</v>
      </c>
      <c r="B813" s="1782"/>
      <c r="C813" s="1785">
        <v>1.540737</v>
      </c>
      <c r="D813" s="1785">
        <v>8.7999999999999995E-2</v>
      </c>
      <c r="E813" s="1785">
        <v>0.89</v>
      </c>
      <c r="F813" s="1785">
        <v>1.9E-2</v>
      </c>
      <c r="G813" s="1785">
        <v>0.67</v>
      </c>
      <c r="H813" s="1785">
        <v>0.28999999999999998</v>
      </c>
      <c r="I813" s="1785">
        <v>8.0299999999999994</v>
      </c>
      <c r="J813" s="1785">
        <v>2.2599999999999998</v>
      </c>
      <c r="K813" s="1785">
        <v>55</v>
      </c>
      <c r="L813" s="1785">
        <v>287.66000000000003</v>
      </c>
      <c r="M813" s="1785">
        <v>133.5</v>
      </c>
    </row>
    <row r="814" spans="1:13" x14ac:dyDescent="0.35">
      <c r="A814" s="1781">
        <v>906448</v>
      </c>
      <c r="B814" s="1782"/>
      <c r="C814" s="1785">
        <v>1.5967638000000002</v>
      </c>
      <c r="D814" s="1785">
        <v>9.1999999999999998E-2</v>
      </c>
      <c r="E814" s="1785">
        <v>1.1000000000000001</v>
      </c>
      <c r="F814" s="1785">
        <v>5.8999999999999997E-2</v>
      </c>
      <c r="G814" s="1785">
        <v>0.51</v>
      </c>
      <c r="H814" s="1785">
        <v>0.26</v>
      </c>
      <c r="I814" s="1785">
        <v>6.72</v>
      </c>
      <c r="J814" s="1785">
        <v>2.39</v>
      </c>
      <c r="K814" s="1785">
        <v>38.31</v>
      </c>
      <c r="L814" s="1785">
        <v>273.10000000000002</v>
      </c>
      <c r="M814" s="1785">
        <v>70.209999999999994</v>
      </c>
    </row>
    <row r="815" spans="1:13" x14ac:dyDescent="0.35">
      <c r="A815" s="1781">
        <v>906449</v>
      </c>
      <c r="B815" s="1782"/>
      <c r="C815" s="1785">
        <v>1.5127236000000004</v>
      </c>
      <c r="D815" s="1785">
        <v>8.6999999999999994E-2</v>
      </c>
      <c r="E815" s="1785">
        <v>0.59</v>
      </c>
      <c r="F815" s="1785">
        <v>0.02</v>
      </c>
      <c r="G815" s="1785">
        <v>0.71</v>
      </c>
      <c r="H815" s="1785">
        <v>0.31</v>
      </c>
      <c r="I815" s="1785">
        <v>9.81</v>
      </c>
      <c r="J815" s="1785">
        <v>2.88</v>
      </c>
      <c r="K815" s="1785">
        <v>71.23</v>
      </c>
      <c r="L815" s="1785">
        <v>313.44</v>
      </c>
      <c r="M815" s="1785">
        <v>113.8</v>
      </c>
    </row>
    <row r="816" spans="1:13" x14ac:dyDescent="0.35">
      <c r="A816" s="1781">
        <v>906450</v>
      </c>
      <c r="B816" s="1782"/>
      <c r="C816" s="1785">
        <v>1.540737</v>
      </c>
      <c r="D816" s="1785">
        <v>8.5999999999999993E-2</v>
      </c>
      <c r="E816" s="1785">
        <v>0.89</v>
      </c>
      <c r="F816" s="1785">
        <v>1.9E-2</v>
      </c>
      <c r="G816" s="1785">
        <v>0.63</v>
      </c>
      <c r="H816" s="1785">
        <v>0.28999999999999998</v>
      </c>
      <c r="I816" s="1785">
        <v>8.6</v>
      </c>
      <c r="J816" s="1785">
        <v>2.0099999999999998</v>
      </c>
      <c r="K816" s="1785">
        <v>60.75</v>
      </c>
      <c r="L816" s="1785">
        <v>323.52999999999997</v>
      </c>
      <c r="M816" s="1785">
        <v>60.89</v>
      </c>
    </row>
    <row r="817" spans="1:13" x14ac:dyDescent="0.35">
      <c r="A817" s="1781">
        <v>906451</v>
      </c>
      <c r="B817" s="1782"/>
      <c r="C817" s="1785">
        <v>1.6527906000000001</v>
      </c>
      <c r="D817" s="1785">
        <v>9.7000000000000003E-2</v>
      </c>
      <c r="E817" s="1785">
        <v>1.23</v>
      </c>
      <c r="F817" s="1785">
        <v>1.4999999999999999E-2</v>
      </c>
      <c r="G817" s="1785">
        <v>0.51</v>
      </c>
      <c r="H817" s="1785">
        <v>0.24</v>
      </c>
      <c r="I817" s="1785">
        <v>8.2200000000000006</v>
      </c>
      <c r="J817" s="1785">
        <v>2.02</v>
      </c>
      <c r="K817" s="1785">
        <v>29.55</v>
      </c>
      <c r="L817" s="1785">
        <v>226.31</v>
      </c>
      <c r="M817" s="1785">
        <v>161.4</v>
      </c>
    </row>
    <row r="818" spans="1:13" x14ac:dyDescent="0.35">
      <c r="A818" s="1781">
        <v>906452</v>
      </c>
      <c r="B818" s="1782"/>
      <c r="C818" s="1785">
        <v>1.7088174000000003</v>
      </c>
      <c r="D818" s="1785">
        <v>0.105</v>
      </c>
      <c r="E818" s="1785">
        <v>0.72</v>
      </c>
      <c r="F818" s="1785">
        <v>1.7000000000000001E-2</v>
      </c>
      <c r="G818" s="1785">
        <v>0.71</v>
      </c>
      <c r="H818" s="1785">
        <v>0.3</v>
      </c>
      <c r="I818" s="1785">
        <v>8.06</v>
      </c>
      <c r="J818" s="1785">
        <v>2.34</v>
      </c>
      <c r="K818" s="1785">
        <v>50.01</v>
      </c>
      <c r="L818" s="1785">
        <v>289.32</v>
      </c>
      <c r="M818" s="1785">
        <v>146.19</v>
      </c>
    </row>
    <row r="819" spans="1:13" x14ac:dyDescent="0.35">
      <c r="A819" s="1781">
        <v>906453</v>
      </c>
      <c r="B819" s="1782"/>
      <c r="C819" s="1785">
        <v>1.6247772000000005</v>
      </c>
      <c r="D819" s="1785">
        <v>8.7999999999999995E-2</v>
      </c>
      <c r="E819" s="1785">
        <v>0.85</v>
      </c>
      <c r="F819" s="1785">
        <v>1.7999999999999999E-2</v>
      </c>
      <c r="G819" s="1785">
        <v>0.63</v>
      </c>
      <c r="H819" s="1785">
        <v>0.28000000000000003</v>
      </c>
      <c r="I819" s="1785">
        <v>8.59</v>
      </c>
      <c r="J819" s="1785">
        <v>2.52</v>
      </c>
      <c r="K819" s="1785">
        <v>67.58</v>
      </c>
      <c r="L819" s="1785">
        <v>292.81</v>
      </c>
      <c r="M819" s="1785">
        <v>172.4</v>
      </c>
    </row>
    <row r="820" spans="1:13" x14ac:dyDescent="0.35">
      <c r="A820" s="1781">
        <v>906454</v>
      </c>
      <c r="B820" s="1782"/>
      <c r="C820" s="1785">
        <v>1.6527906000000001</v>
      </c>
      <c r="D820" s="1785">
        <v>8.5999999999999993E-2</v>
      </c>
      <c r="E820" s="1785">
        <v>0.7</v>
      </c>
      <c r="F820" s="1785">
        <v>4.5999999999999999E-2</v>
      </c>
      <c r="G820" s="1785">
        <v>0.69</v>
      </c>
      <c r="H820" s="1785">
        <v>0.28000000000000003</v>
      </c>
      <c r="I820" s="1785">
        <v>7.71</v>
      </c>
      <c r="J820" s="1785">
        <v>2.93</v>
      </c>
      <c r="K820" s="1785">
        <v>55.52</v>
      </c>
      <c r="L820" s="1785">
        <v>284.42</v>
      </c>
      <c r="M820" s="1785">
        <v>101.61</v>
      </c>
    </row>
    <row r="821" spans="1:13" x14ac:dyDescent="0.35">
      <c r="A821" s="1781">
        <v>906455</v>
      </c>
      <c r="B821" s="1782"/>
      <c r="C821" s="1785">
        <v>1.6808040000000002</v>
      </c>
      <c r="D821" s="1785">
        <v>8.3000000000000004E-2</v>
      </c>
      <c r="E821" s="1785">
        <v>0.72</v>
      </c>
      <c r="F821" s="1785">
        <v>1.6E-2</v>
      </c>
      <c r="G821" s="1785">
        <v>0.63</v>
      </c>
      <c r="H821" s="1785">
        <v>0.27</v>
      </c>
      <c r="I821" s="1785">
        <v>8.5299999999999994</v>
      </c>
      <c r="J821" s="1785">
        <v>2.0099999999999998</v>
      </c>
      <c r="K821" s="1785">
        <v>37.96</v>
      </c>
      <c r="L821" s="1785">
        <v>292.70999999999998</v>
      </c>
      <c r="M821" s="1785">
        <v>102.91</v>
      </c>
    </row>
    <row r="822" spans="1:13" x14ac:dyDescent="0.35">
      <c r="A822" s="1781">
        <v>906456</v>
      </c>
      <c r="B822" s="1782"/>
      <c r="C822" s="1785">
        <v>1.540737</v>
      </c>
      <c r="D822" s="1785">
        <v>9.1999999999999998E-2</v>
      </c>
      <c r="E822" s="1785">
        <v>0.77</v>
      </c>
      <c r="F822" s="1785">
        <v>1.7999999999999999E-2</v>
      </c>
      <c r="G822" s="1785">
        <v>0.89</v>
      </c>
      <c r="H822" s="1785">
        <v>0.4</v>
      </c>
      <c r="I822" s="1785">
        <v>11.43</v>
      </c>
      <c r="J822" s="1785">
        <v>2.35</v>
      </c>
      <c r="K822" s="1785">
        <v>81.93</v>
      </c>
      <c r="L822" s="1785">
        <v>286.76</v>
      </c>
      <c r="M822" s="1785">
        <v>169.86</v>
      </c>
    </row>
    <row r="823" spans="1:13" x14ac:dyDescent="0.35">
      <c r="A823" s="1781">
        <v>906457</v>
      </c>
      <c r="B823" s="1782"/>
      <c r="C823" s="1785">
        <v>1.6527906000000001</v>
      </c>
      <c r="D823" s="1785">
        <v>9.1999999999999998E-2</v>
      </c>
      <c r="E823" s="1785">
        <v>0.85</v>
      </c>
      <c r="F823" s="1785">
        <v>1.6E-2</v>
      </c>
      <c r="G823" s="1785">
        <v>0.68</v>
      </c>
      <c r="H823" s="1785">
        <v>0.3</v>
      </c>
      <c r="I823" s="1785">
        <v>8.9700000000000006</v>
      </c>
      <c r="J823" s="1785">
        <v>2.9</v>
      </c>
      <c r="K823" s="1785">
        <v>51.83</v>
      </c>
      <c r="L823" s="1785">
        <v>302.58999999999997</v>
      </c>
      <c r="M823" s="1785">
        <v>142.87</v>
      </c>
    </row>
    <row r="824" spans="1:13" x14ac:dyDescent="0.35">
      <c r="A824" s="1781">
        <v>906458</v>
      </c>
      <c r="B824" s="1782"/>
      <c r="C824" s="1785">
        <v>1.7088174000000003</v>
      </c>
      <c r="D824" s="1785">
        <v>0.1</v>
      </c>
      <c r="E824" s="1785">
        <v>1.07</v>
      </c>
      <c r="F824" s="1785">
        <v>2.7E-2</v>
      </c>
      <c r="G824" s="1785">
        <v>0.52</v>
      </c>
      <c r="H824" s="1785">
        <v>0.25</v>
      </c>
      <c r="I824" s="1785">
        <v>6.17</v>
      </c>
      <c r="J824" s="1785">
        <v>1.93</v>
      </c>
      <c r="K824" s="1785">
        <v>26.32</v>
      </c>
      <c r="L824" s="1785">
        <v>251.36</v>
      </c>
      <c r="M824" s="1785">
        <v>102.87</v>
      </c>
    </row>
    <row r="825" spans="1:13" x14ac:dyDescent="0.35">
      <c r="A825" s="1781">
        <v>906459</v>
      </c>
      <c r="B825" s="1782"/>
      <c r="C825" s="1785">
        <v>1.540737</v>
      </c>
      <c r="D825" s="1785">
        <v>0.109</v>
      </c>
      <c r="E825" s="1785">
        <v>1.04</v>
      </c>
      <c r="F825" s="1785">
        <v>1.9E-2</v>
      </c>
      <c r="G825" s="1785">
        <v>0.56000000000000005</v>
      </c>
      <c r="H825" s="1785">
        <v>0.39</v>
      </c>
      <c r="I825" s="1785">
        <v>10.09</v>
      </c>
      <c r="J825" s="1785">
        <v>3.15</v>
      </c>
      <c r="K825" s="1785">
        <v>71.680000000000007</v>
      </c>
      <c r="L825" s="1785">
        <v>318.19</v>
      </c>
      <c r="M825" s="1785">
        <v>70.98</v>
      </c>
    </row>
    <row r="826" spans="1:13" x14ac:dyDescent="0.35">
      <c r="A826" s="1781">
        <v>906460</v>
      </c>
      <c r="B826" s="1782"/>
      <c r="C826" s="1785">
        <v>1.5967638000000002</v>
      </c>
      <c r="D826" s="1785">
        <v>0.104</v>
      </c>
      <c r="E826" s="1785">
        <v>1.62</v>
      </c>
      <c r="F826" s="1785">
        <v>2.3E-2</v>
      </c>
      <c r="G826" s="1785">
        <v>0.38</v>
      </c>
      <c r="H826" s="1785">
        <v>0.28999999999999998</v>
      </c>
      <c r="I826" s="1785">
        <v>9.65</v>
      </c>
      <c r="J826" s="1785">
        <v>3.33</v>
      </c>
      <c r="K826" s="1785">
        <v>59.95</v>
      </c>
      <c r="L826" s="1785">
        <v>264.81</v>
      </c>
      <c r="M826" s="1785">
        <v>52.8</v>
      </c>
    </row>
    <row r="827" spans="1:13" x14ac:dyDescent="0.35">
      <c r="A827" s="1781">
        <v>906461</v>
      </c>
      <c r="B827" s="1782"/>
      <c r="C827" s="1785">
        <v>1.540737</v>
      </c>
      <c r="D827" s="1785">
        <v>0.109</v>
      </c>
      <c r="E827" s="1785">
        <v>0.75</v>
      </c>
      <c r="F827" s="1785">
        <v>1.7999999999999999E-2</v>
      </c>
      <c r="G827" s="1785">
        <v>0.55000000000000004</v>
      </c>
      <c r="H827" s="1785">
        <v>0.36</v>
      </c>
      <c r="I827" s="1785">
        <v>9.0299999999999994</v>
      </c>
      <c r="J827" s="1785">
        <v>2.77</v>
      </c>
      <c r="K827" s="1785">
        <v>120.32</v>
      </c>
      <c r="L827" s="1785">
        <v>203.73</v>
      </c>
      <c r="M827" s="1785">
        <v>48.64</v>
      </c>
    </row>
    <row r="828" spans="1:13" x14ac:dyDescent="0.35">
      <c r="A828" s="1781">
        <v>906462</v>
      </c>
      <c r="B828" s="1782"/>
      <c r="C828" s="1785">
        <v>1.5127236000000004</v>
      </c>
      <c r="D828" s="1785">
        <v>0.108</v>
      </c>
      <c r="E828" s="1785">
        <v>1.06</v>
      </c>
      <c r="F828" s="1785">
        <v>2.1000000000000001E-2</v>
      </c>
      <c r="G828" s="1785">
        <v>0.67</v>
      </c>
      <c r="H828" s="1785">
        <v>0.48</v>
      </c>
      <c r="I828" s="1785">
        <v>12.88</v>
      </c>
      <c r="J828" s="1785">
        <v>3.17</v>
      </c>
      <c r="K828" s="1785">
        <v>93.66</v>
      </c>
      <c r="L828" s="1785">
        <v>340.64</v>
      </c>
      <c r="M828" s="1785">
        <v>25.8</v>
      </c>
    </row>
    <row r="829" spans="1:13" x14ac:dyDescent="0.35">
      <c r="A829" s="1781">
        <v>906463</v>
      </c>
      <c r="B829" s="1782"/>
      <c r="C829" s="1785">
        <v>1.2606030000000001</v>
      </c>
      <c r="D829" s="1785">
        <v>9.7000000000000003E-2</v>
      </c>
      <c r="E829" s="1785">
        <v>0.81</v>
      </c>
      <c r="F829" s="1785">
        <v>1.9E-2</v>
      </c>
      <c r="G829" s="1785">
        <v>0.54</v>
      </c>
      <c r="H829" s="1785">
        <v>0.28000000000000003</v>
      </c>
      <c r="I829" s="1785">
        <v>8.56</v>
      </c>
      <c r="J829" s="1785">
        <v>2.0099999999999998</v>
      </c>
      <c r="K829" s="1785">
        <v>59.21</v>
      </c>
      <c r="L829" s="1785">
        <v>390.64</v>
      </c>
      <c r="M829" s="1785">
        <v>45.51</v>
      </c>
    </row>
    <row r="830" spans="1:13" x14ac:dyDescent="0.35">
      <c r="A830" s="1781">
        <v>906464</v>
      </c>
      <c r="B830" s="1782"/>
      <c r="C830" s="1785">
        <v>1.2886164000000002</v>
      </c>
      <c r="D830" s="1785">
        <v>0.105</v>
      </c>
      <c r="E830" s="1785">
        <v>0.77</v>
      </c>
      <c r="F830" s="1785">
        <v>2.5000000000000001E-2</v>
      </c>
      <c r="G830" s="1785">
        <v>0.73</v>
      </c>
      <c r="H830" s="1785">
        <v>0.37</v>
      </c>
      <c r="I830" s="1785">
        <v>7.96</v>
      </c>
      <c r="J830" s="1785">
        <v>2.0299999999999998</v>
      </c>
      <c r="K830" s="1785">
        <v>105.88</v>
      </c>
      <c r="L830" s="1785">
        <v>341.14</v>
      </c>
      <c r="M830" s="1785">
        <v>44.71</v>
      </c>
    </row>
    <row r="831" spans="1:13" x14ac:dyDescent="0.35">
      <c r="A831" s="1781">
        <v>906465</v>
      </c>
      <c r="B831" s="1782"/>
      <c r="C831" s="1785">
        <v>1.4286834000000002</v>
      </c>
      <c r="D831" s="1785">
        <v>0.108</v>
      </c>
      <c r="E831" s="1785">
        <v>0.76</v>
      </c>
      <c r="F831" s="1785">
        <v>1.9E-2</v>
      </c>
      <c r="G831" s="1785">
        <v>0.57999999999999996</v>
      </c>
      <c r="H831" s="1785">
        <v>0.4</v>
      </c>
      <c r="I831" s="1785">
        <v>9.39</v>
      </c>
      <c r="J831" s="1785">
        <v>2.91</v>
      </c>
      <c r="K831" s="1785">
        <v>95.55</v>
      </c>
      <c r="L831" s="1785">
        <v>452.68</v>
      </c>
      <c r="M831" s="1785">
        <v>41.62</v>
      </c>
    </row>
    <row r="832" spans="1:13" x14ac:dyDescent="0.35">
      <c r="A832" s="1781">
        <v>906466</v>
      </c>
      <c r="B832" s="1782"/>
      <c r="C832" s="1785">
        <v>1.3166298000000001</v>
      </c>
      <c r="D832" s="1785">
        <v>0.109</v>
      </c>
      <c r="E832" s="1785">
        <v>0.84</v>
      </c>
      <c r="F832" s="1785">
        <v>1.9E-2</v>
      </c>
      <c r="G832" s="1785">
        <v>0.59</v>
      </c>
      <c r="H832" s="1785">
        <v>0.32</v>
      </c>
      <c r="I832" s="1785">
        <v>8.4700000000000006</v>
      </c>
      <c r="J832" s="1785">
        <v>1.96</v>
      </c>
      <c r="K832" s="1785">
        <v>76.180000000000007</v>
      </c>
      <c r="L832" s="1785">
        <v>358.49</v>
      </c>
      <c r="M832" s="1785">
        <v>38.69</v>
      </c>
    </row>
    <row r="833" spans="1:13" x14ac:dyDescent="0.35">
      <c r="A833" s="1781">
        <v>906467</v>
      </c>
      <c r="B833" s="1782"/>
      <c r="C833" s="1785">
        <v>1.2325896000000003</v>
      </c>
      <c r="D833" s="1785">
        <v>7.9000000000000001E-2</v>
      </c>
      <c r="E833" s="1785">
        <v>0.92</v>
      </c>
      <c r="F833" s="1785">
        <v>1.7999999999999999E-2</v>
      </c>
      <c r="G833" s="1785">
        <v>0.54</v>
      </c>
      <c r="H833" s="1785">
        <v>0.23</v>
      </c>
      <c r="I833" s="1785">
        <v>6.62</v>
      </c>
      <c r="J833" s="1785">
        <v>1.47</v>
      </c>
      <c r="K833" s="1785">
        <v>42.79</v>
      </c>
      <c r="L833" s="1785">
        <v>478.91</v>
      </c>
      <c r="M833" s="1785">
        <v>31.44</v>
      </c>
    </row>
    <row r="834" spans="1:13" x14ac:dyDescent="0.35">
      <c r="A834" s="1781">
        <v>906468</v>
      </c>
      <c r="B834" s="1782"/>
      <c r="C834" s="1785">
        <v>1.5967638000000002</v>
      </c>
      <c r="D834" s="1785">
        <v>0.104</v>
      </c>
      <c r="E834" s="1785">
        <v>0.66</v>
      </c>
      <c r="F834" s="1785">
        <v>2.4E-2</v>
      </c>
      <c r="G834" s="1785">
        <v>0.56999999999999995</v>
      </c>
      <c r="H834" s="1785">
        <v>0.4</v>
      </c>
      <c r="I834" s="1785">
        <v>10.39</v>
      </c>
      <c r="J834" s="1785">
        <v>2.5299999999999998</v>
      </c>
      <c r="K834" s="1785">
        <v>97.24</v>
      </c>
      <c r="L834" s="1785">
        <v>308.98</v>
      </c>
      <c r="M834" s="1785">
        <v>31.03</v>
      </c>
    </row>
    <row r="835" spans="1:13" x14ac:dyDescent="0.35">
      <c r="A835" s="1781">
        <v>906469</v>
      </c>
      <c r="B835" s="1782"/>
      <c r="C835" s="1785">
        <v>1.3726566000000004</v>
      </c>
      <c r="D835" s="1785">
        <v>0.106</v>
      </c>
      <c r="E835" s="1785">
        <v>1.1399999999999999</v>
      </c>
      <c r="F835" s="1785">
        <v>0.02</v>
      </c>
      <c r="G835" s="1785">
        <v>0.41</v>
      </c>
      <c r="H835" s="1785">
        <v>0.25</v>
      </c>
      <c r="I835" s="1785">
        <v>8.0399999999999991</v>
      </c>
      <c r="J835" s="1785">
        <v>1.69</v>
      </c>
      <c r="K835" s="1785">
        <v>50.84</v>
      </c>
      <c r="L835" s="1785">
        <v>396.15</v>
      </c>
      <c r="M835" s="1785">
        <v>51.17</v>
      </c>
    </row>
    <row r="836" spans="1:13" x14ac:dyDescent="0.35">
      <c r="A836" s="1781">
        <v>906470</v>
      </c>
      <c r="B836" s="1782"/>
      <c r="C836" s="1785">
        <v>1.4566968</v>
      </c>
      <c r="D836" s="1785">
        <v>0.112</v>
      </c>
      <c r="E836" s="1785">
        <v>1.1000000000000001</v>
      </c>
      <c r="F836" s="1785">
        <v>1.7000000000000001E-2</v>
      </c>
      <c r="G836" s="1785">
        <v>0.7</v>
      </c>
      <c r="H836" s="1785">
        <v>0.46</v>
      </c>
      <c r="I836" s="1785">
        <v>11.67</v>
      </c>
      <c r="J836" s="1785">
        <v>2.85</v>
      </c>
      <c r="K836" s="1785">
        <v>132.09</v>
      </c>
      <c r="L836" s="1785">
        <v>397.96</v>
      </c>
      <c r="M836" s="1785">
        <v>51.32</v>
      </c>
    </row>
    <row r="837" spans="1:13" x14ac:dyDescent="0.35">
      <c r="A837" s="1781">
        <v>906471</v>
      </c>
      <c r="B837" s="1782"/>
      <c r="C837" s="1785">
        <v>1.120536</v>
      </c>
      <c r="D837" s="1785">
        <v>7.5999999999999998E-2</v>
      </c>
      <c r="E837" s="1785">
        <v>0.41</v>
      </c>
      <c r="F837" s="1785">
        <v>1.7000000000000001E-2</v>
      </c>
      <c r="G837" s="1785">
        <v>0.95</v>
      </c>
      <c r="H837" s="1785">
        <v>0.39</v>
      </c>
      <c r="I837" s="1785">
        <v>10.33</v>
      </c>
      <c r="J837" s="1785">
        <v>1.78</v>
      </c>
      <c r="K837" s="1785">
        <v>136.19</v>
      </c>
      <c r="L837" s="1785">
        <v>473.1</v>
      </c>
      <c r="M837" s="1785">
        <v>47.84</v>
      </c>
    </row>
    <row r="838" spans="1:13" x14ac:dyDescent="0.35">
      <c r="A838" s="1781">
        <v>906472</v>
      </c>
      <c r="B838" s="1782"/>
      <c r="C838" s="1785">
        <v>1.3166298000000001</v>
      </c>
      <c r="D838" s="1785">
        <v>0.1</v>
      </c>
      <c r="E838" s="1785">
        <v>0.94</v>
      </c>
      <c r="F838" s="1785">
        <v>1.9E-2</v>
      </c>
      <c r="G838" s="1785">
        <v>0.7</v>
      </c>
      <c r="H838" s="1785">
        <v>0.4</v>
      </c>
      <c r="I838" s="1785">
        <v>10.94</v>
      </c>
      <c r="J838" s="1785">
        <v>1.81</v>
      </c>
      <c r="K838" s="1785">
        <v>98.83</v>
      </c>
      <c r="L838" s="1785">
        <v>290.22000000000003</v>
      </c>
      <c r="M838" s="1785">
        <v>50.31</v>
      </c>
    </row>
    <row r="839" spans="1:13" x14ac:dyDescent="0.35">
      <c r="A839" s="1781">
        <v>906473</v>
      </c>
      <c r="B839" s="1782"/>
      <c r="C839" s="1785">
        <v>2.7172998000000002</v>
      </c>
      <c r="D839" s="1785">
        <v>0.21199999999999999</v>
      </c>
      <c r="E839" s="1785">
        <v>1.23</v>
      </c>
      <c r="F839" s="1785">
        <v>2.5000000000000001E-2</v>
      </c>
      <c r="G839" s="1785">
        <v>0.72</v>
      </c>
      <c r="H839" s="1785">
        <v>0.34</v>
      </c>
      <c r="I839" s="1785">
        <v>16.61</v>
      </c>
      <c r="J839" s="1785">
        <v>4.55</v>
      </c>
      <c r="K839" s="1785">
        <v>33.32</v>
      </c>
      <c r="L839" s="1785">
        <v>438.73</v>
      </c>
      <c r="M839" s="1785">
        <v>47.04</v>
      </c>
    </row>
    <row r="840" spans="1:13" x14ac:dyDescent="0.35">
      <c r="A840" s="1781">
        <v>906474</v>
      </c>
      <c r="B840" s="1782"/>
      <c r="C840" s="1785">
        <v>2.9414069999999999</v>
      </c>
      <c r="D840" s="1785">
        <v>0.217</v>
      </c>
      <c r="E840" s="1785">
        <v>1.2</v>
      </c>
      <c r="F840" s="1785">
        <v>2.5999999999999999E-2</v>
      </c>
      <c r="G840" s="1785">
        <v>0.55000000000000004</v>
      </c>
      <c r="H840" s="1785">
        <v>0.3</v>
      </c>
      <c r="I840" s="1785">
        <v>8.4499999999999993</v>
      </c>
      <c r="J840" s="1785">
        <v>4.3499999999999996</v>
      </c>
      <c r="K840" s="1785">
        <v>23.76</v>
      </c>
      <c r="L840" s="1785">
        <v>339.48</v>
      </c>
      <c r="M840" s="1785">
        <v>44.56</v>
      </c>
    </row>
    <row r="841" spans="1:13" x14ac:dyDescent="0.35">
      <c r="A841" s="1781">
        <v>906475</v>
      </c>
      <c r="B841" s="1782"/>
      <c r="C841" s="1785">
        <v>2.3811390000000001</v>
      </c>
      <c r="D841" s="1785">
        <v>0.155</v>
      </c>
      <c r="E841" s="1785">
        <v>1.52</v>
      </c>
      <c r="F841" s="1785">
        <v>2.7E-2</v>
      </c>
      <c r="G841" s="1785">
        <v>0.6</v>
      </c>
      <c r="H841" s="1785">
        <v>0.33</v>
      </c>
      <c r="I841" s="1785">
        <v>12.13</v>
      </c>
      <c r="J841" s="1785">
        <v>3.08</v>
      </c>
      <c r="K841" s="1785">
        <v>36.049999999999997</v>
      </c>
      <c r="L841" s="1785">
        <v>232.26</v>
      </c>
      <c r="M841" s="1785">
        <v>41</v>
      </c>
    </row>
    <row r="842" spans="1:13" x14ac:dyDescent="0.35">
      <c r="A842" s="1781">
        <v>906476</v>
      </c>
      <c r="B842" s="1782"/>
      <c r="C842" s="1785">
        <v>2.5772328000000004</v>
      </c>
      <c r="D842" s="1785">
        <v>0.14699999999999999</v>
      </c>
      <c r="E842" s="1785">
        <v>1.52</v>
      </c>
      <c r="F842" s="1785">
        <v>5.1999999999999998E-2</v>
      </c>
      <c r="G842" s="1785">
        <v>0.7</v>
      </c>
      <c r="H842" s="1785">
        <v>0.34</v>
      </c>
      <c r="I842" s="1785">
        <v>15.63</v>
      </c>
      <c r="J842" s="1785">
        <v>4.71</v>
      </c>
      <c r="K842" s="1785">
        <v>44.78</v>
      </c>
      <c r="L842" s="1785">
        <v>294.45</v>
      </c>
      <c r="M842" s="1785">
        <v>61.86</v>
      </c>
    </row>
    <row r="843" spans="1:13" x14ac:dyDescent="0.35">
      <c r="A843" s="1781">
        <v>906477</v>
      </c>
      <c r="B843" s="1782"/>
      <c r="C843" s="1785">
        <v>2.7172998000000002</v>
      </c>
      <c r="D843" s="1785">
        <v>0.28299999999999997</v>
      </c>
      <c r="E843" s="1785">
        <v>1.1100000000000001</v>
      </c>
      <c r="F843" s="1785">
        <v>3.4000000000000002E-2</v>
      </c>
      <c r="G843" s="1785">
        <v>0.78</v>
      </c>
      <c r="H843" s="1785">
        <v>0.37</v>
      </c>
      <c r="I843" s="1785">
        <v>15.54</v>
      </c>
      <c r="J843" s="1785">
        <v>5.55</v>
      </c>
      <c r="K843" s="1785">
        <v>35.67</v>
      </c>
      <c r="L843" s="1785">
        <v>186.11</v>
      </c>
      <c r="M843" s="1785">
        <v>39.36</v>
      </c>
    </row>
    <row r="844" spans="1:13" x14ac:dyDescent="0.35">
      <c r="A844" s="1781">
        <v>906478</v>
      </c>
      <c r="B844" s="1782"/>
      <c r="C844" s="1785">
        <v>2.8293534</v>
      </c>
      <c r="D844" s="1785">
        <v>0.182</v>
      </c>
      <c r="E844" s="1785">
        <v>1.29</v>
      </c>
      <c r="F844" s="1785">
        <v>2.7E-2</v>
      </c>
      <c r="G844" s="1785">
        <v>0.55000000000000004</v>
      </c>
      <c r="H844" s="1785">
        <v>0.3</v>
      </c>
      <c r="I844" s="1785">
        <v>14</v>
      </c>
      <c r="J844" s="1785">
        <v>4.4800000000000004</v>
      </c>
      <c r="K844" s="1785">
        <v>22.93</v>
      </c>
      <c r="L844" s="1785">
        <v>208.51</v>
      </c>
      <c r="M844" s="1785">
        <v>43.28</v>
      </c>
    </row>
    <row r="845" spans="1:13" x14ac:dyDescent="0.35">
      <c r="A845" s="1781">
        <v>906479</v>
      </c>
      <c r="B845" s="1782"/>
      <c r="C845" s="1785">
        <v>2.661273</v>
      </c>
      <c r="D845" s="1785">
        <v>0.193</v>
      </c>
      <c r="E845" s="1785">
        <v>1.78</v>
      </c>
      <c r="F845" s="1785">
        <v>5.5E-2</v>
      </c>
      <c r="G845" s="1785">
        <v>0.57999999999999996</v>
      </c>
      <c r="H845" s="1785">
        <v>0.4</v>
      </c>
      <c r="I845" s="1785">
        <v>18.489999999999998</v>
      </c>
      <c r="J845" s="1785">
        <v>4.18</v>
      </c>
      <c r="K845" s="1785">
        <v>31.12</v>
      </c>
      <c r="L845" s="1785">
        <v>200.3</v>
      </c>
      <c r="M845" s="1785">
        <v>32.9</v>
      </c>
    </row>
    <row r="846" spans="1:13" x14ac:dyDescent="0.35">
      <c r="A846" s="1781">
        <v>906480</v>
      </c>
      <c r="B846" s="1782"/>
      <c r="C846" s="1785">
        <v>2.63</v>
      </c>
      <c r="D846" s="1785">
        <v>0.17699999999999999</v>
      </c>
      <c r="E846" s="1785">
        <v>1.7</v>
      </c>
      <c r="F846" s="1785">
        <v>3.2000000000000001E-2</v>
      </c>
      <c r="G846" s="1785">
        <v>0.61</v>
      </c>
      <c r="H846" s="1785">
        <v>0.36</v>
      </c>
      <c r="I846" s="1785">
        <v>15.28</v>
      </c>
      <c r="J846" s="1785">
        <v>5</v>
      </c>
      <c r="K846" s="1785">
        <v>31.53</v>
      </c>
      <c r="L846" s="1785">
        <v>196.98</v>
      </c>
      <c r="M846" s="1785">
        <v>33.24</v>
      </c>
    </row>
    <row r="847" spans="1:13" x14ac:dyDescent="0.35">
      <c r="A847" s="1781">
        <v>906481</v>
      </c>
      <c r="B847" s="1782"/>
      <c r="C847" s="1785">
        <v>2.69</v>
      </c>
      <c r="D847" s="1785">
        <v>0.24199999999999999</v>
      </c>
      <c r="E847" s="1785">
        <v>1.46</v>
      </c>
      <c r="F847" s="1785">
        <v>4.4999999999999998E-2</v>
      </c>
      <c r="G847" s="1785">
        <v>0.76</v>
      </c>
      <c r="H847" s="1785">
        <v>0.41</v>
      </c>
      <c r="I847" s="1785">
        <v>24.34</v>
      </c>
      <c r="J847" s="1785">
        <v>5.91</v>
      </c>
      <c r="K847" s="1785">
        <v>53.46</v>
      </c>
      <c r="L847" s="1785">
        <v>266.18</v>
      </c>
      <c r="M847" s="1785">
        <v>41.72</v>
      </c>
    </row>
    <row r="848" spans="1:13" x14ac:dyDescent="0.35">
      <c r="A848" s="1781">
        <v>906482</v>
      </c>
      <c r="B848" s="1782"/>
      <c r="C848" s="1785">
        <v>2.75</v>
      </c>
      <c r="D848" s="1785">
        <v>0.23400000000000001</v>
      </c>
      <c r="E848" s="1785">
        <v>1.5</v>
      </c>
      <c r="F848" s="1785">
        <v>0.03</v>
      </c>
      <c r="G848" s="1785">
        <v>0.53</v>
      </c>
      <c r="H848" s="1785">
        <v>0.32</v>
      </c>
      <c r="I848" s="1785">
        <v>13.86</v>
      </c>
      <c r="J848" s="1785">
        <v>5.23</v>
      </c>
      <c r="K848" s="1785">
        <v>26.43</v>
      </c>
      <c r="L848" s="1785">
        <v>238.24</v>
      </c>
      <c r="M848" s="1785">
        <v>31.85</v>
      </c>
    </row>
    <row r="849" spans="1:13" x14ac:dyDescent="0.35">
      <c r="A849" s="1782">
        <v>906483</v>
      </c>
      <c r="B849" s="1782"/>
      <c r="C849" s="1782">
        <v>2.4900000000000002</v>
      </c>
      <c r="D849" s="1782">
        <v>0.16</v>
      </c>
      <c r="E849" s="1782">
        <v>1.87</v>
      </c>
      <c r="F849" s="1782">
        <v>8.1000000000000003E-2</v>
      </c>
      <c r="G849" s="1782">
        <v>0.51</v>
      </c>
      <c r="H849" s="1782">
        <v>0.36</v>
      </c>
      <c r="I849" s="1782">
        <v>12.54</v>
      </c>
      <c r="J849" s="1782">
        <v>4.3099999999999996</v>
      </c>
      <c r="K849" s="1782">
        <v>31.92</v>
      </c>
      <c r="L849" s="1782">
        <v>265.22000000000003</v>
      </c>
      <c r="M849" s="1782">
        <v>25.45</v>
      </c>
    </row>
    <row r="850" spans="1:13" x14ac:dyDescent="0.35">
      <c r="A850" s="1782">
        <v>906484</v>
      </c>
      <c r="B850" s="1782"/>
      <c r="C850" s="1782">
        <v>2.4900000000000002</v>
      </c>
      <c r="D850" s="1782">
        <v>0.151</v>
      </c>
      <c r="E850" s="1782">
        <v>1.87</v>
      </c>
      <c r="F850" s="1782">
        <v>3.9E-2</v>
      </c>
      <c r="G850" s="1782">
        <v>0.49</v>
      </c>
      <c r="H850" s="1782">
        <v>0.37</v>
      </c>
      <c r="I850" s="1782">
        <v>13.31</v>
      </c>
      <c r="J850" s="1782">
        <v>4.6500000000000004</v>
      </c>
      <c r="K850" s="1782">
        <v>31.08</v>
      </c>
      <c r="L850" s="1782">
        <v>189.19</v>
      </c>
      <c r="M850" s="1782">
        <v>25.16</v>
      </c>
    </row>
    <row r="851" spans="1:13" s="945" customFormat="1" x14ac:dyDescent="0.35">
      <c r="A851" s="1782">
        <v>906485</v>
      </c>
      <c r="B851" s="1782"/>
      <c r="C851" s="1782"/>
      <c r="D851" s="1782"/>
      <c r="E851" s="1782"/>
      <c r="F851" s="1782"/>
      <c r="G851" s="1782"/>
      <c r="H851" s="1782"/>
      <c r="I851" s="1782"/>
      <c r="J851" s="1782"/>
      <c r="K851" s="1782"/>
      <c r="L851" s="1782"/>
      <c r="M851" s="1782"/>
    </row>
    <row r="852" spans="1:13" s="945" customFormat="1" x14ac:dyDescent="0.35">
      <c r="A852" s="1782">
        <v>906486</v>
      </c>
      <c r="B852" s="1782"/>
      <c r="C852" s="1782"/>
      <c r="D852" s="1782"/>
      <c r="E852" s="1782"/>
      <c r="F852" s="1782"/>
      <c r="G852" s="1782"/>
      <c r="H852" s="1782"/>
      <c r="I852" s="1782"/>
      <c r="J852" s="1782"/>
      <c r="K852" s="1782"/>
      <c r="L852" s="1782"/>
      <c r="M852" s="1782"/>
    </row>
    <row r="853" spans="1:13" x14ac:dyDescent="0.35">
      <c r="A853" s="1782">
        <v>906487</v>
      </c>
      <c r="B853" s="1782"/>
      <c r="C853" s="1782">
        <v>1.29</v>
      </c>
      <c r="D853" s="1782">
        <v>0.1</v>
      </c>
      <c r="E853" s="1782">
        <v>0.95</v>
      </c>
      <c r="F853" s="1782">
        <v>2.3E-2</v>
      </c>
      <c r="G853" s="1782">
        <v>0.59</v>
      </c>
      <c r="H853" s="1782">
        <v>0.41</v>
      </c>
      <c r="I853" s="1782">
        <v>11.01</v>
      </c>
      <c r="J853" s="1782">
        <v>2.5499999999999998</v>
      </c>
      <c r="K853" s="1782">
        <v>124.59</v>
      </c>
      <c r="L853" s="1782">
        <v>381.24</v>
      </c>
      <c r="M853" s="1782">
        <v>47.34</v>
      </c>
    </row>
    <row r="854" spans="1:13" x14ac:dyDescent="0.35">
      <c r="A854" s="1782">
        <v>906488</v>
      </c>
      <c r="B854" s="1782"/>
      <c r="C854" s="1782">
        <v>2.69</v>
      </c>
      <c r="D854" s="1782">
        <v>0.161</v>
      </c>
      <c r="E854" s="1782">
        <v>1.1299999999999999</v>
      </c>
      <c r="F854" s="1782">
        <v>6.3E-2</v>
      </c>
      <c r="G854" s="1782">
        <v>5.57</v>
      </c>
      <c r="H854" s="1782">
        <v>0.41</v>
      </c>
      <c r="I854" s="1782">
        <v>20.56</v>
      </c>
      <c r="J854" s="1782">
        <v>14.24</v>
      </c>
      <c r="K854" s="1782">
        <v>23.32</v>
      </c>
      <c r="L854" s="1782">
        <v>85.55</v>
      </c>
      <c r="M854" s="1782">
        <v>142.97</v>
      </c>
    </row>
    <row r="855" spans="1:13" x14ac:dyDescent="0.35">
      <c r="A855" s="1782">
        <v>906489</v>
      </c>
      <c r="B855" s="1782"/>
      <c r="C855" s="1782">
        <v>2.91</v>
      </c>
      <c r="D855" s="1782">
        <v>0.28599999999999998</v>
      </c>
      <c r="E855" s="1782">
        <v>1.28</v>
      </c>
      <c r="F855" s="1782">
        <v>6.4000000000000001E-2</v>
      </c>
      <c r="G855" s="1782">
        <v>4.92</v>
      </c>
      <c r="H855" s="1782">
        <v>0.53</v>
      </c>
      <c r="I855" s="1782">
        <v>23.23</v>
      </c>
      <c r="J855" s="1782">
        <v>26.31</v>
      </c>
      <c r="K855" s="1782">
        <v>15.63</v>
      </c>
      <c r="L855" s="1782">
        <v>100.35</v>
      </c>
      <c r="M855" s="1782">
        <v>126.15</v>
      </c>
    </row>
    <row r="856" spans="1:13" x14ac:dyDescent="0.35">
      <c r="A856" s="1782">
        <v>906490</v>
      </c>
      <c r="B856" s="1782"/>
      <c r="C856" s="1782">
        <v>2.35</v>
      </c>
      <c r="D856" s="1782">
        <v>0.13800000000000001</v>
      </c>
      <c r="E856" s="1782">
        <v>0.8</v>
      </c>
      <c r="F856" s="1782">
        <v>0.09</v>
      </c>
      <c r="G856" s="1782">
        <v>6.73</v>
      </c>
      <c r="H856" s="1782">
        <v>0.51</v>
      </c>
      <c r="I856" s="1782">
        <v>20.420000000000002</v>
      </c>
      <c r="J856" s="1782">
        <v>14.32</v>
      </c>
      <c r="K856" s="1782">
        <v>21.55</v>
      </c>
      <c r="L856" s="1782">
        <v>115.66</v>
      </c>
      <c r="M856" s="1782">
        <v>127.52</v>
      </c>
    </row>
    <row r="857" spans="1:13" x14ac:dyDescent="0.35">
      <c r="A857" s="1782">
        <v>906491</v>
      </c>
      <c r="B857" s="1782"/>
      <c r="C857" s="1782">
        <v>2.41</v>
      </c>
      <c r="D857" s="1782">
        <v>0.191</v>
      </c>
      <c r="E857" s="1782">
        <v>0.8</v>
      </c>
      <c r="F857" s="1782">
        <v>0.11700000000000001</v>
      </c>
      <c r="G857" s="1782">
        <v>3.06</v>
      </c>
      <c r="H857" s="1782">
        <v>0.56000000000000005</v>
      </c>
      <c r="I857" s="1782">
        <v>80.86</v>
      </c>
      <c r="J857" s="1782">
        <v>6.93</v>
      </c>
      <c r="K857" s="1782">
        <v>257.01</v>
      </c>
      <c r="L857" s="1782">
        <v>321.69</v>
      </c>
      <c r="M857" s="1782">
        <v>103.93</v>
      </c>
    </row>
    <row r="858" spans="1:13" x14ac:dyDescent="0.35">
      <c r="A858" s="1782">
        <v>906492</v>
      </c>
      <c r="B858" s="1782"/>
      <c r="C858" s="1782">
        <v>2.33</v>
      </c>
      <c r="D858" s="1782">
        <v>0.16900000000000001</v>
      </c>
      <c r="E858" s="1782">
        <v>0.46</v>
      </c>
      <c r="F858" s="1782">
        <v>0.10199999999999999</v>
      </c>
      <c r="G858" s="1782">
        <v>3.59</v>
      </c>
      <c r="H858" s="1782">
        <v>0.56999999999999995</v>
      </c>
      <c r="I858" s="1782">
        <v>51.55</v>
      </c>
      <c r="J858" s="1782">
        <v>5.13</v>
      </c>
      <c r="K858" s="1782">
        <v>177.06</v>
      </c>
      <c r="L858" s="1782">
        <v>387.17</v>
      </c>
      <c r="M858" s="1782">
        <v>117.86</v>
      </c>
    </row>
    <row r="859" spans="1:13" x14ac:dyDescent="0.35">
      <c r="A859" s="1784">
        <v>906493</v>
      </c>
      <c r="B859" s="1784"/>
      <c r="C859" s="1784">
        <v>5.63</v>
      </c>
      <c r="D859" s="1794">
        <v>0.34</v>
      </c>
      <c r="E859" s="1794">
        <v>6.04</v>
      </c>
      <c r="F859" s="1794">
        <v>0.04</v>
      </c>
      <c r="G859" s="1794">
        <v>2.04</v>
      </c>
      <c r="H859" s="1794">
        <v>0.94</v>
      </c>
      <c r="I859" s="1794">
        <v>191.77</v>
      </c>
      <c r="J859" s="1794">
        <v>13.92</v>
      </c>
      <c r="K859" s="1794">
        <v>202.17</v>
      </c>
      <c r="L859" s="1794">
        <v>118.38</v>
      </c>
      <c r="M859" s="1794">
        <v>47.66</v>
      </c>
    </row>
    <row r="860" spans="1:13" x14ac:dyDescent="0.35">
      <c r="A860" s="1784">
        <v>906494</v>
      </c>
      <c r="B860" s="1784"/>
      <c r="C860" s="1784">
        <v>5.41</v>
      </c>
      <c r="D860" s="1794">
        <v>0.26</v>
      </c>
      <c r="E860" s="1794">
        <v>5.75</v>
      </c>
      <c r="F860" s="1794">
        <v>0.05</v>
      </c>
      <c r="G860" s="1794">
        <v>1.75</v>
      </c>
      <c r="H860" s="1794">
        <v>1.01</v>
      </c>
      <c r="I860" s="1794">
        <v>33.72</v>
      </c>
      <c r="J860" s="1794">
        <v>11.02</v>
      </c>
      <c r="K860" s="1794">
        <v>180</v>
      </c>
      <c r="L860" s="1794">
        <v>161.13</v>
      </c>
      <c r="M860" s="1794">
        <v>45.1</v>
      </c>
    </row>
    <row r="861" spans="1:13" x14ac:dyDescent="0.35">
      <c r="A861" s="1784">
        <v>906495</v>
      </c>
      <c r="B861" s="1784"/>
      <c r="C861" s="1784">
        <v>1.65</v>
      </c>
      <c r="D861" s="1794">
        <v>0.09</v>
      </c>
      <c r="E861" s="1794">
        <v>0.43</v>
      </c>
      <c r="F861" s="1794">
        <v>0.12</v>
      </c>
      <c r="G861" s="1794">
        <v>1.01</v>
      </c>
      <c r="H861" s="1794">
        <v>0.13</v>
      </c>
      <c r="I861" s="1794">
        <v>11.34</v>
      </c>
      <c r="J861" s="1794">
        <v>1.96</v>
      </c>
      <c r="K861" s="1794">
        <v>23.26</v>
      </c>
      <c r="L861" s="1794">
        <v>114.53</v>
      </c>
      <c r="M861" s="1794">
        <v>15.11</v>
      </c>
    </row>
    <row r="862" spans="1:13" x14ac:dyDescent="0.35">
      <c r="A862" s="1784">
        <v>906496</v>
      </c>
      <c r="B862" s="1784"/>
      <c r="C862" s="1784">
        <v>1.37</v>
      </c>
      <c r="D862" s="1794">
        <v>0.11</v>
      </c>
      <c r="E862" s="1794">
        <v>0.7</v>
      </c>
      <c r="F862" s="1794">
        <v>0.09</v>
      </c>
      <c r="G862" s="1794">
        <v>1.53</v>
      </c>
      <c r="H862" s="1794">
        <v>0.23</v>
      </c>
      <c r="I862" s="1794">
        <v>15.95</v>
      </c>
      <c r="J862" s="1794">
        <v>4.43</v>
      </c>
      <c r="K862" s="1794">
        <v>36.25</v>
      </c>
      <c r="L862" s="1794">
        <v>125.42</v>
      </c>
      <c r="M862" s="1794">
        <v>24.06</v>
      </c>
    </row>
    <row r="863" spans="1:13" x14ac:dyDescent="0.35">
      <c r="A863" s="1784">
        <v>906497</v>
      </c>
      <c r="B863" s="1784"/>
      <c r="C863" s="1784">
        <v>1.65</v>
      </c>
      <c r="D863" s="1794">
        <v>0.16</v>
      </c>
      <c r="E863" s="1794">
        <v>0.59</v>
      </c>
      <c r="F863" s="1794">
        <v>7.0000000000000007E-2</v>
      </c>
      <c r="G863" s="1794">
        <v>2.06</v>
      </c>
      <c r="H863" s="1794">
        <v>0.26</v>
      </c>
      <c r="I863" s="1794">
        <v>12.5</v>
      </c>
      <c r="J863" s="1794">
        <v>2.27</v>
      </c>
      <c r="K863" s="1794">
        <v>37.64</v>
      </c>
      <c r="L863" s="1794">
        <v>107.63</v>
      </c>
      <c r="M863" s="1794">
        <v>21.88</v>
      </c>
    </row>
    <row r="864" spans="1:13" x14ac:dyDescent="0.35">
      <c r="A864" s="1784">
        <v>906498</v>
      </c>
      <c r="B864" s="1784"/>
      <c r="C864" s="1784">
        <v>2.2400000000000002</v>
      </c>
      <c r="D864" s="1794">
        <v>0.16</v>
      </c>
      <c r="E864" s="1794">
        <v>1.02</v>
      </c>
      <c r="F864" s="1794">
        <v>7.0000000000000007E-2</v>
      </c>
      <c r="G864" s="1794">
        <v>3.07</v>
      </c>
      <c r="H864" s="1794">
        <v>0.34</v>
      </c>
      <c r="I864" s="1794">
        <v>13.65</v>
      </c>
      <c r="J864" s="1794">
        <v>4.16</v>
      </c>
      <c r="K864" s="1794">
        <v>94.43</v>
      </c>
      <c r="L864" s="1794">
        <v>140.72</v>
      </c>
      <c r="M864" s="1794">
        <v>41.89</v>
      </c>
    </row>
    <row r="865" spans="1:39" x14ac:dyDescent="0.35">
      <c r="A865" s="1809">
        <v>906499</v>
      </c>
      <c r="B865" s="1809"/>
      <c r="C865" s="1809">
        <v>1.43</v>
      </c>
      <c r="D865" s="1810">
        <v>0.1</v>
      </c>
      <c r="E865" s="1810">
        <v>0.8</v>
      </c>
      <c r="F865" s="1810">
        <v>0.02</v>
      </c>
      <c r="G865" s="1810">
        <v>1.53</v>
      </c>
      <c r="H865" s="1810">
        <v>0.24</v>
      </c>
      <c r="I865" s="1810">
        <v>13.39</v>
      </c>
      <c r="J865" s="1810">
        <v>4.0599999999999996</v>
      </c>
      <c r="K865" s="1810">
        <v>46.31</v>
      </c>
      <c r="L865" s="1810">
        <v>116.96</v>
      </c>
      <c r="M865" s="1810">
        <v>17.22</v>
      </c>
    </row>
    <row r="866" spans="1:39" x14ac:dyDescent="0.35">
      <c r="A866" s="1809">
        <v>906500</v>
      </c>
      <c r="B866" s="1809"/>
      <c r="C866" s="1809">
        <v>1.18</v>
      </c>
      <c r="D866" s="1810">
        <v>7.0000000000000007E-2</v>
      </c>
      <c r="E866" s="1810">
        <v>0.7</v>
      </c>
      <c r="F866" s="1810">
        <v>0.02</v>
      </c>
      <c r="G866" s="1810">
        <v>1.62</v>
      </c>
      <c r="H866" s="1810">
        <v>0.2</v>
      </c>
      <c r="I866" s="1810">
        <v>14.3</v>
      </c>
      <c r="J866" s="1810">
        <v>3.08</v>
      </c>
      <c r="K866" s="1810">
        <v>41.22</v>
      </c>
      <c r="L866" s="1810">
        <v>140.94999999999999</v>
      </c>
      <c r="M866" s="1810">
        <v>15.36</v>
      </c>
    </row>
    <row r="867" spans="1:39" x14ac:dyDescent="0.35">
      <c r="A867" s="1791">
        <v>906501</v>
      </c>
      <c r="B867" s="1791"/>
      <c r="C867" s="1791">
        <v>2.97</v>
      </c>
      <c r="D867" s="1791">
        <v>0.13</v>
      </c>
      <c r="E867" s="1791">
        <v>1.2</v>
      </c>
      <c r="F867" s="1791">
        <v>0.03</v>
      </c>
      <c r="G867" s="1791">
        <v>1.51</v>
      </c>
      <c r="H867" s="1791">
        <v>0.24</v>
      </c>
      <c r="I867" s="1791">
        <v>10.56</v>
      </c>
      <c r="J867" s="1791">
        <v>6.08</v>
      </c>
      <c r="K867" s="1791">
        <v>15.28</v>
      </c>
      <c r="L867" s="1791">
        <v>137.94</v>
      </c>
      <c r="M867" s="1791">
        <v>121.72</v>
      </c>
    </row>
    <row r="868" spans="1:39" x14ac:dyDescent="0.35">
      <c r="A868" s="1791">
        <v>906502</v>
      </c>
      <c r="B868" s="1791"/>
      <c r="C868" s="1791">
        <v>2.61</v>
      </c>
      <c r="D868" s="1791">
        <v>0.08</v>
      </c>
      <c r="E868" s="1791">
        <v>0.87</v>
      </c>
      <c r="F868" s="1791">
        <v>0.02</v>
      </c>
      <c r="G868" s="1791">
        <v>2.0699999999999998</v>
      </c>
      <c r="H868" s="1791">
        <v>0.26</v>
      </c>
      <c r="I868" s="1791">
        <v>7.45</v>
      </c>
      <c r="J868" s="1791">
        <v>3.24</v>
      </c>
      <c r="K868" s="1791">
        <v>18.48</v>
      </c>
      <c r="L868" s="1791">
        <v>129.38999999999999</v>
      </c>
      <c r="M868" s="1791">
        <v>101.93</v>
      </c>
    </row>
    <row r="869" spans="1:39" x14ac:dyDescent="0.35">
      <c r="A869" s="1786">
        <v>906503</v>
      </c>
      <c r="B869" s="1786">
        <v>29</v>
      </c>
      <c r="C869" s="1786">
        <v>0.7</v>
      </c>
      <c r="D869" s="1786">
        <v>0.09</v>
      </c>
      <c r="E869" s="1786">
        <v>1.1399999999999999</v>
      </c>
      <c r="F869" s="1786">
        <v>0.02</v>
      </c>
      <c r="G869" s="1786">
        <v>0.08</v>
      </c>
      <c r="H869" s="1786">
        <v>0.1</v>
      </c>
      <c r="I869" s="1786">
        <v>6.24</v>
      </c>
      <c r="J869" s="1786">
        <v>3.49</v>
      </c>
      <c r="K869" s="1786">
        <v>5.38</v>
      </c>
      <c r="L869" s="1786">
        <v>27.14</v>
      </c>
      <c r="M869" s="1786">
        <v>10.78</v>
      </c>
    </row>
    <row r="870" spans="1:39" x14ac:dyDescent="0.35">
      <c r="A870" s="1786">
        <v>906504</v>
      </c>
      <c r="B870" s="1786">
        <v>18</v>
      </c>
      <c r="C870" s="1786">
        <v>0.62</v>
      </c>
      <c r="D870" s="1786">
        <v>0.08</v>
      </c>
      <c r="E870" s="1786">
        <v>1.1100000000000001</v>
      </c>
      <c r="F870" s="1786">
        <v>0.02</v>
      </c>
      <c r="G870" s="1786">
        <v>0.09</v>
      </c>
      <c r="H870" s="1786">
        <v>0.1</v>
      </c>
      <c r="I870" s="1786">
        <v>5.73</v>
      </c>
      <c r="J870" s="1786">
        <v>3.69</v>
      </c>
      <c r="K870" s="1786">
        <v>5.54</v>
      </c>
      <c r="L870" s="1786">
        <v>28.1</v>
      </c>
      <c r="M870" s="1786">
        <v>10.01</v>
      </c>
    </row>
    <row r="871" spans="1:39" x14ac:dyDescent="0.35">
      <c r="A871" s="1786">
        <v>906505</v>
      </c>
      <c r="B871" s="1786">
        <v>39</v>
      </c>
      <c r="C871" s="1786">
        <v>0.59</v>
      </c>
      <c r="D871" s="1786">
        <v>0.08</v>
      </c>
      <c r="E871" s="1786">
        <v>1.19</v>
      </c>
      <c r="F871" s="1786">
        <v>0.01</v>
      </c>
      <c r="G871" s="1786">
        <v>0.09</v>
      </c>
      <c r="H871" s="1786">
        <v>0.1</v>
      </c>
      <c r="I871" s="1786">
        <v>5.92</v>
      </c>
      <c r="J871" s="1786">
        <v>3.73</v>
      </c>
      <c r="K871" s="1786">
        <v>5.24</v>
      </c>
      <c r="L871" s="1786">
        <v>18.329999999999998</v>
      </c>
      <c r="M871" s="1786">
        <v>10.09</v>
      </c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  <c r="AC871" s="199"/>
      <c r="AD871" s="199"/>
      <c r="AE871" s="199"/>
      <c r="AF871" s="199"/>
      <c r="AG871" s="199"/>
      <c r="AH871" s="199"/>
      <c r="AI871" s="199"/>
      <c r="AJ871" s="199"/>
      <c r="AK871" s="199"/>
      <c r="AL871" s="199"/>
      <c r="AM871" s="199"/>
    </row>
    <row r="872" spans="1:39" s="1042" customFormat="1" x14ac:dyDescent="0.35">
      <c r="A872" s="1786">
        <v>906506</v>
      </c>
      <c r="B872" s="1786">
        <v>15</v>
      </c>
      <c r="C872" s="1786">
        <v>0.56000000000000005</v>
      </c>
      <c r="D872" s="1786">
        <v>0.08</v>
      </c>
      <c r="E872" s="1786">
        <v>1.01</v>
      </c>
      <c r="F872" s="1786">
        <v>0.01</v>
      </c>
      <c r="G872" s="1786">
        <v>0.1</v>
      </c>
      <c r="H872" s="1786">
        <v>0.1</v>
      </c>
      <c r="I872" s="1786">
        <v>5.16</v>
      </c>
      <c r="J872" s="1786">
        <v>3.86</v>
      </c>
      <c r="K872" s="1786">
        <v>6.96</v>
      </c>
      <c r="L872" s="1786">
        <v>20.53</v>
      </c>
      <c r="M872" s="1786">
        <v>9.61</v>
      </c>
      <c r="N872" s="1044"/>
      <c r="O872" s="1044"/>
      <c r="P872" s="1044"/>
      <c r="Q872" s="1044"/>
      <c r="R872" s="1044"/>
      <c r="S872" s="1044"/>
      <c r="T872" s="1044"/>
      <c r="U872" s="1044"/>
      <c r="V872" s="1044"/>
      <c r="W872" s="1044"/>
      <c r="X872" s="1044"/>
      <c r="Y872" s="1044"/>
      <c r="Z872" s="1044"/>
      <c r="AA872" s="1044"/>
      <c r="AB872" s="1044"/>
      <c r="AC872" s="1044"/>
      <c r="AD872" s="1044"/>
      <c r="AE872" s="1044"/>
      <c r="AF872" s="1044"/>
      <c r="AG872" s="1044"/>
      <c r="AH872" s="1044"/>
      <c r="AI872" s="1044"/>
      <c r="AJ872" s="1044"/>
      <c r="AK872" s="1044"/>
      <c r="AL872" s="1044"/>
      <c r="AM872" s="1044"/>
    </row>
    <row r="873" spans="1:39" x14ac:dyDescent="0.35">
      <c r="A873" s="1786">
        <v>906507</v>
      </c>
      <c r="B873" s="1786">
        <v>30</v>
      </c>
      <c r="C873" s="1786">
        <v>0.48</v>
      </c>
      <c r="D873" s="1786">
        <v>7.0000000000000007E-2</v>
      </c>
      <c r="E873" s="1786">
        <v>1.0900000000000001</v>
      </c>
      <c r="F873" s="1786">
        <v>0.01</v>
      </c>
      <c r="G873" s="1786">
        <v>0.09</v>
      </c>
      <c r="H873" s="1786">
        <v>0.09</v>
      </c>
      <c r="I873" s="1786">
        <v>4.58</v>
      </c>
      <c r="J873" s="1786">
        <v>3.68</v>
      </c>
      <c r="K873" s="1786">
        <v>5.24</v>
      </c>
      <c r="L873" s="1786">
        <v>18.14</v>
      </c>
      <c r="M873" s="1786">
        <v>9.83</v>
      </c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  <c r="AC873" s="199"/>
      <c r="AD873" s="199"/>
      <c r="AE873" s="199"/>
      <c r="AF873" s="199"/>
      <c r="AG873" s="199"/>
      <c r="AH873" s="199"/>
      <c r="AI873" s="199"/>
      <c r="AJ873" s="199"/>
      <c r="AK873" s="199"/>
      <c r="AL873" s="199"/>
      <c r="AM873" s="199"/>
    </row>
    <row r="874" spans="1:39" s="1043" customFormat="1" x14ac:dyDescent="0.35">
      <c r="A874" s="1786">
        <v>906508</v>
      </c>
      <c r="B874" s="1786">
        <v>43</v>
      </c>
      <c r="C874" s="1786">
        <v>0.48</v>
      </c>
      <c r="D874" s="1786">
        <v>0.09</v>
      </c>
      <c r="E874" s="1786">
        <v>1.06</v>
      </c>
      <c r="F874" s="1786">
        <v>0.01</v>
      </c>
      <c r="G874" s="1786">
        <v>0.1</v>
      </c>
      <c r="H874" s="1786">
        <v>0.12</v>
      </c>
      <c r="I874" s="1786">
        <v>5.73</v>
      </c>
      <c r="J874" s="1786">
        <v>3.88</v>
      </c>
      <c r="K874" s="1786">
        <v>8.67</v>
      </c>
      <c r="L874" s="1786">
        <v>24.06</v>
      </c>
      <c r="M874" s="1786">
        <v>12.28</v>
      </c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  <c r="AC874" s="199"/>
      <c r="AD874" s="199"/>
      <c r="AE874" s="199"/>
      <c r="AF874" s="199"/>
      <c r="AG874" s="199"/>
      <c r="AH874" s="199"/>
      <c r="AI874" s="199"/>
      <c r="AJ874" s="199"/>
      <c r="AK874" s="199"/>
      <c r="AL874" s="199"/>
      <c r="AM874" s="199"/>
    </row>
    <row r="875" spans="1:39" x14ac:dyDescent="0.35">
      <c r="A875" s="1786">
        <v>906509</v>
      </c>
      <c r="B875" s="1786">
        <v>40</v>
      </c>
      <c r="C875" s="1787">
        <v>0.72834840000000001</v>
      </c>
      <c r="D875" s="1786">
        <v>0.08</v>
      </c>
      <c r="E875" s="1786">
        <v>0.95</v>
      </c>
      <c r="F875" s="1786">
        <v>0.01</v>
      </c>
      <c r="G875" s="1786">
        <v>0.09</v>
      </c>
      <c r="H875" s="1786">
        <v>0.15</v>
      </c>
      <c r="I875" s="1786">
        <v>5.97</v>
      </c>
      <c r="J875" s="1786">
        <v>4.25</v>
      </c>
      <c r="K875" s="1786">
        <v>6.85</v>
      </c>
      <c r="L875" s="1786">
        <v>11.52</v>
      </c>
      <c r="M875" s="1786">
        <v>10.73</v>
      </c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  <c r="AC875" s="199"/>
      <c r="AD875" s="199"/>
      <c r="AE875" s="199"/>
      <c r="AF875" s="199"/>
      <c r="AG875" s="199"/>
      <c r="AH875" s="199"/>
      <c r="AI875" s="199"/>
      <c r="AJ875" s="199"/>
      <c r="AK875" s="199"/>
      <c r="AL875" s="199"/>
      <c r="AM875" s="199"/>
    </row>
    <row r="876" spans="1:39" s="1043" customFormat="1" x14ac:dyDescent="0.35">
      <c r="A876" s="1786">
        <v>906510</v>
      </c>
      <c r="B876" s="1786">
        <v>45</v>
      </c>
      <c r="C876" s="1787">
        <v>0.67232159999999996</v>
      </c>
      <c r="D876" s="1786">
        <v>0.09</v>
      </c>
      <c r="E876" s="1786">
        <v>0.88</v>
      </c>
      <c r="F876" s="1786">
        <v>0.01</v>
      </c>
      <c r="G876" s="1786">
        <v>0.15</v>
      </c>
      <c r="H876" s="1786">
        <v>0.15</v>
      </c>
      <c r="I876" s="1786">
        <v>8.07</v>
      </c>
      <c r="J876" s="1786">
        <v>5.28</v>
      </c>
      <c r="K876" s="1786">
        <v>8.1300000000000008</v>
      </c>
      <c r="L876" s="1786">
        <v>13.45</v>
      </c>
      <c r="M876" s="1786">
        <v>10.34</v>
      </c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  <c r="AC876" s="199"/>
      <c r="AD876" s="199"/>
      <c r="AE876" s="199"/>
      <c r="AF876" s="199"/>
      <c r="AG876" s="199"/>
      <c r="AH876" s="199"/>
      <c r="AI876" s="199"/>
      <c r="AJ876" s="199"/>
      <c r="AK876" s="199"/>
      <c r="AL876" s="199"/>
      <c r="AM876" s="199"/>
    </row>
    <row r="877" spans="1:39" x14ac:dyDescent="0.35">
      <c r="A877" s="1786">
        <v>906511</v>
      </c>
      <c r="B877" s="1786">
        <v>44</v>
      </c>
      <c r="C877" s="1787">
        <v>0.56026799999999999</v>
      </c>
      <c r="D877" s="1786">
        <v>0.09</v>
      </c>
      <c r="E877" s="1786">
        <v>1.1100000000000001</v>
      </c>
      <c r="F877" s="1786">
        <v>0.01</v>
      </c>
      <c r="G877" s="1786">
        <v>0.1</v>
      </c>
      <c r="H877" s="1786">
        <v>0.13</v>
      </c>
      <c r="I877" s="1786">
        <v>5.81</v>
      </c>
      <c r="J877" s="1786">
        <v>3.78</v>
      </c>
      <c r="K877" s="1786">
        <v>8.8000000000000007</v>
      </c>
      <c r="L877" s="1786">
        <v>21.6</v>
      </c>
      <c r="M877" s="1786">
        <v>11.15</v>
      </c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  <c r="AC877" s="199"/>
      <c r="AD877" s="199"/>
      <c r="AE877" s="199"/>
      <c r="AF877" s="199"/>
      <c r="AG877" s="199"/>
      <c r="AH877" s="199"/>
      <c r="AI877" s="199"/>
      <c r="AJ877" s="199"/>
      <c r="AK877" s="199"/>
      <c r="AL877" s="199"/>
      <c r="AM877" s="199"/>
    </row>
    <row r="878" spans="1:39" s="1043" customFormat="1" x14ac:dyDescent="0.35">
      <c r="A878" s="1786">
        <v>906512</v>
      </c>
      <c r="B878" s="1786">
        <v>46</v>
      </c>
      <c r="C878" s="1787">
        <v>0.67232159999999996</v>
      </c>
      <c r="D878" s="1786">
        <v>0.09</v>
      </c>
      <c r="E878" s="1786">
        <v>0.97</v>
      </c>
      <c r="F878" s="1786">
        <v>0.01</v>
      </c>
      <c r="G878" s="1786">
        <v>0.08</v>
      </c>
      <c r="H878" s="1786">
        <v>0.13</v>
      </c>
      <c r="I878" s="1786">
        <v>4.99</v>
      </c>
      <c r="J878" s="1786">
        <v>4.05</v>
      </c>
      <c r="K878" s="1786">
        <v>5.86</v>
      </c>
      <c r="L878" s="1786">
        <v>16.22</v>
      </c>
      <c r="M878" s="1786">
        <v>10.55</v>
      </c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  <c r="AC878" s="199"/>
      <c r="AD878" s="199"/>
      <c r="AE878" s="199"/>
      <c r="AF878" s="199"/>
      <c r="AG878" s="199"/>
      <c r="AH878" s="199"/>
      <c r="AI878" s="199"/>
      <c r="AJ878" s="199"/>
      <c r="AK878" s="199"/>
      <c r="AL878" s="199"/>
      <c r="AM878" s="199"/>
    </row>
    <row r="879" spans="1:39" x14ac:dyDescent="0.35">
      <c r="A879" s="1784">
        <v>906513</v>
      </c>
      <c r="B879" s="1782"/>
      <c r="C879" s="1782">
        <v>1.26</v>
      </c>
      <c r="D879" s="1786">
        <v>0.16</v>
      </c>
      <c r="E879" s="1786">
        <v>0.86</v>
      </c>
      <c r="F879" s="1786">
        <v>0.04</v>
      </c>
      <c r="G879" s="1786">
        <v>1.58</v>
      </c>
      <c r="H879" s="1786">
        <v>0.25</v>
      </c>
      <c r="I879" s="1786">
        <v>16.649999999999999</v>
      </c>
      <c r="J879" s="1786">
        <v>4.74</v>
      </c>
      <c r="K879" s="1786">
        <v>45.79</v>
      </c>
      <c r="L879" s="1786">
        <v>147.38999999999999</v>
      </c>
      <c r="M879" s="1786">
        <v>26.42</v>
      </c>
      <c r="N879" s="2111" t="s">
        <v>500</v>
      </c>
    </row>
    <row r="880" spans="1:39" x14ac:dyDescent="0.35">
      <c r="A880" s="1784">
        <v>906514</v>
      </c>
      <c r="B880" s="1782"/>
      <c r="C880" s="1782">
        <v>1.43</v>
      </c>
      <c r="D880" s="1786">
        <v>0.13</v>
      </c>
      <c r="E880" s="1786">
        <v>0.86</v>
      </c>
      <c r="F880" s="1786">
        <v>0.03</v>
      </c>
      <c r="G880" s="1786">
        <v>1.65</v>
      </c>
      <c r="H880" s="1786">
        <v>0.2</v>
      </c>
      <c r="I880" s="1786">
        <v>19.27</v>
      </c>
      <c r="J880" s="1786">
        <v>6.36</v>
      </c>
      <c r="K880" s="1786">
        <v>50.38</v>
      </c>
      <c r="L880" s="1786">
        <v>156.06</v>
      </c>
      <c r="M880" s="1786">
        <v>24.21</v>
      </c>
      <c r="N880" s="2111"/>
    </row>
    <row r="881" spans="1:14" x14ac:dyDescent="0.35">
      <c r="A881" s="1784">
        <v>906515</v>
      </c>
      <c r="B881" s="1782"/>
      <c r="C881" s="1782">
        <v>3.05</v>
      </c>
      <c r="D881" s="1786">
        <v>0.14000000000000001</v>
      </c>
      <c r="E881" s="1786">
        <v>2.93</v>
      </c>
      <c r="F881" s="1786">
        <v>0.02</v>
      </c>
      <c r="G881" s="1786">
        <v>1.01</v>
      </c>
      <c r="H881" s="1786">
        <v>0.41</v>
      </c>
      <c r="I881" s="1786">
        <v>13.25</v>
      </c>
      <c r="J881" s="1786">
        <v>8.33</v>
      </c>
      <c r="K881" s="1786">
        <v>616.22</v>
      </c>
      <c r="L881" s="1786">
        <v>74.900000000000006</v>
      </c>
      <c r="M881" s="1786">
        <v>90.02</v>
      </c>
      <c r="N881" s="2111"/>
    </row>
    <row r="882" spans="1:14" x14ac:dyDescent="0.35">
      <c r="A882" s="1784">
        <v>906516</v>
      </c>
      <c r="B882" s="1782"/>
      <c r="C882" s="1782">
        <v>5.0199999999999996</v>
      </c>
      <c r="D882" s="1786">
        <v>0.22</v>
      </c>
      <c r="E882" s="1786">
        <v>5.0599999999999996</v>
      </c>
      <c r="F882" s="1786">
        <v>0.03</v>
      </c>
      <c r="G882" s="1786">
        <v>2.17</v>
      </c>
      <c r="H882" s="1786">
        <v>1.0900000000000001</v>
      </c>
      <c r="I882" s="1786">
        <v>30.15</v>
      </c>
      <c r="J882" s="1786">
        <v>4.49</v>
      </c>
      <c r="K882" s="1786">
        <v>41.46</v>
      </c>
      <c r="L882" s="1786">
        <v>109.3</v>
      </c>
      <c r="M882" s="1786">
        <v>29.7</v>
      </c>
      <c r="N882" s="2111"/>
    </row>
    <row r="883" spans="1:14" x14ac:dyDescent="0.35">
      <c r="A883" s="1784">
        <v>906517</v>
      </c>
      <c r="B883" s="1782"/>
      <c r="C883" s="1782">
        <v>4.57</v>
      </c>
      <c r="D883" s="1786">
        <v>0.3</v>
      </c>
      <c r="E883" s="1786">
        <v>6.04</v>
      </c>
      <c r="F883" s="1786">
        <v>0.03</v>
      </c>
      <c r="G883" s="1786">
        <v>2.09</v>
      </c>
      <c r="H883" s="1786">
        <v>1.61</v>
      </c>
      <c r="I883" s="1786">
        <v>85.96</v>
      </c>
      <c r="J883" s="1786">
        <v>3.31</v>
      </c>
      <c r="K883" s="1786">
        <v>131.21</v>
      </c>
      <c r="L883" s="1786">
        <v>107.1</v>
      </c>
      <c r="M883" s="1786">
        <v>26.87</v>
      </c>
      <c r="N883" s="2111"/>
    </row>
    <row r="884" spans="1:14" x14ac:dyDescent="0.35">
      <c r="A884" s="1784">
        <v>906518</v>
      </c>
      <c r="B884" s="1782"/>
      <c r="C884" s="1782">
        <v>4.32</v>
      </c>
      <c r="D884" s="1786">
        <v>0.22</v>
      </c>
      <c r="E884" s="1786">
        <v>6.44</v>
      </c>
      <c r="F884" s="1786">
        <v>0.03</v>
      </c>
      <c r="G884" s="1786">
        <v>2.67</v>
      </c>
      <c r="H884" s="1786">
        <v>1.41</v>
      </c>
      <c r="I884" s="1786">
        <v>28.99</v>
      </c>
      <c r="J884" s="1786">
        <v>3.03</v>
      </c>
      <c r="K884" s="1786">
        <v>48.98</v>
      </c>
      <c r="L884" s="1786">
        <v>143.44999999999999</v>
      </c>
      <c r="M884" s="1786">
        <v>31.87</v>
      </c>
      <c r="N884" s="2111"/>
    </row>
    <row r="885" spans="1:14" x14ac:dyDescent="0.35">
      <c r="A885" s="1784">
        <v>906519</v>
      </c>
      <c r="B885" s="1782"/>
      <c r="C885" s="1782">
        <v>4.0599999999999996</v>
      </c>
      <c r="D885" s="1786">
        <v>0.27</v>
      </c>
      <c r="E885" s="1786">
        <v>3.91</v>
      </c>
      <c r="F885" s="1786">
        <v>0.03</v>
      </c>
      <c r="G885" s="1786">
        <v>2.83</v>
      </c>
      <c r="H885" s="1786">
        <v>2.08</v>
      </c>
      <c r="I885" s="1786">
        <v>145.06</v>
      </c>
      <c r="J885" s="1786">
        <v>1.33</v>
      </c>
      <c r="K885" s="1786">
        <v>82.78</v>
      </c>
      <c r="L885" s="1786">
        <v>83.95</v>
      </c>
      <c r="M885" s="1786">
        <v>50.98</v>
      </c>
      <c r="N885" s="2111"/>
    </row>
    <row r="886" spans="1:14" x14ac:dyDescent="0.35">
      <c r="A886" s="1784">
        <v>906520</v>
      </c>
      <c r="B886" s="1782"/>
      <c r="C886" s="1782">
        <v>4.93</v>
      </c>
      <c r="D886" s="1786">
        <v>0.23</v>
      </c>
      <c r="E886" s="1786">
        <v>5.68</v>
      </c>
      <c r="F886" s="1786">
        <v>0.03</v>
      </c>
      <c r="G886" s="1786">
        <v>2.4300000000000002</v>
      </c>
      <c r="H886" s="1786">
        <v>1.0900000000000001</v>
      </c>
      <c r="I886" s="1786">
        <v>19.63</v>
      </c>
      <c r="J886" s="1786">
        <v>3.14</v>
      </c>
      <c r="K886" s="1786">
        <v>28.6</v>
      </c>
      <c r="L886" s="1786">
        <v>96.04</v>
      </c>
      <c r="M886" s="1786">
        <v>24.39</v>
      </c>
      <c r="N886" s="2111"/>
    </row>
    <row r="887" spans="1:14" x14ac:dyDescent="0.35">
      <c r="A887" s="1784">
        <v>906521</v>
      </c>
      <c r="B887" s="1782">
        <f>100-5</f>
        <v>95</v>
      </c>
      <c r="C887" s="1785">
        <v>2.1570317999999999</v>
      </c>
      <c r="D887" s="1782">
        <v>0.3</v>
      </c>
      <c r="E887" s="1782">
        <v>3.84</v>
      </c>
      <c r="F887" s="1782">
        <v>0.03</v>
      </c>
      <c r="G887" s="1782">
        <v>0.17</v>
      </c>
      <c r="H887" s="1782">
        <v>0.13</v>
      </c>
      <c r="I887" s="1782">
        <v>13.91</v>
      </c>
      <c r="J887" s="1782">
        <v>2.0699999999999998</v>
      </c>
      <c r="K887" s="1782">
        <v>13.79</v>
      </c>
      <c r="L887" s="1782">
        <v>139.07</v>
      </c>
      <c r="M887" s="1782">
        <v>7.57</v>
      </c>
    </row>
    <row r="888" spans="1:14" x14ac:dyDescent="0.35">
      <c r="A888" s="1784">
        <v>906522</v>
      </c>
      <c r="B888" s="1782">
        <f>100-5</f>
        <v>95</v>
      </c>
      <c r="C888" s="1782">
        <v>2.27</v>
      </c>
      <c r="D888" s="1782">
        <v>0.31</v>
      </c>
      <c r="E888" s="1782">
        <v>3.63</v>
      </c>
      <c r="F888" s="1782">
        <v>0.03</v>
      </c>
      <c r="G888" s="1782">
        <v>0.17</v>
      </c>
      <c r="H888" s="1782">
        <v>0.14000000000000001</v>
      </c>
      <c r="I888" s="1782">
        <v>12.7</v>
      </c>
      <c r="J888" s="1782">
        <v>1.9</v>
      </c>
      <c r="K888" s="1782">
        <v>10.57</v>
      </c>
      <c r="L888" s="1782">
        <v>49.59</v>
      </c>
      <c r="M888" s="1782">
        <v>6.89</v>
      </c>
    </row>
    <row r="889" spans="1:14" x14ac:dyDescent="0.35">
      <c r="A889" s="1784">
        <v>906523</v>
      </c>
      <c r="B889" s="1782"/>
      <c r="C889" s="1782">
        <v>3.81</v>
      </c>
      <c r="D889" s="1782">
        <v>0.33</v>
      </c>
      <c r="E889" s="1782">
        <v>4.32</v>
      </c>
      <c r="F889" s="1782">
        <v>0.05</v>
      </c>
      <c r="G889" s="1782">
        <v>2.41</v>
      </c>
      <c r="H889" s="1782">
        <v>0.71</v>
      </c>
      <c r="I889" s="1782">
        <v>17.940000000000001</v>
      </c>
      <c r="J889" s="1782">
        <v>12.35</v>
      </c>
      <c r="K889" s="1782">
        <v>66.17</v>
      </c>
      <c r="L889" s="1782">
        <v>89.24</v>
      </c>
      <c r="M889" s="1782">
        <v>34.17</v>
      </c>
    </row>
    <row r="890" spans="1:14" x14ac:dyDescent="0.35">
      <c r="A890" s="1784">
        <v>906524</v>
      </c>
      <c r="B890" s="1782"/>
      <c r="C890" s="1782">
        <v>4.74</v>
      </c>
      <c r="D890" s="1782">
        <v>0.39</v>
      </c>
      <c r="E890" s="1782">
        <v>5.38</v>
      </c>
      <c r="F890" s="1782">
        <v>0.08</v>
      </c>
      <c r="G890" s="1782">
        <v>2.39</v>
      </c>
      <c r="H890" s="1782">
        <v>0.52</v>
      </c>
      <c r="I890" s="1782">
        <v>12.97</v>
      </c>
      <c r="J890" s="1782">
        <v>11.03</v>
      </c>
      <c r="K890" s="1782">
        <v>32.299999999999997</v>
      </c>
      <c r="L890" s="1782">
        <v>100.38</v>
      </c>
      <c r="M890" s="1782">
        <v>43.62</v>
      </c>
    </row>
    <row r="891" spans="1:14" x14ac:dyDescent="0.35">
      <c r="A891" s="1784">
        <v>906525</v>
      </c>
      <c r="B891" s="1782"/>
      <c r="C891" s="1782">
        <v>2.33</v>
      </c>
      <c r="D891" s="1782">
        <v>0.18</v>
      </c>
      <c r="E891" s="1782">
        <v>0.86</v>
      </c>
      <c r="F891" s="1782">
        <v>0.03</v>
      </c>
      <c r="G891" s="1782">
        <v>1.36</v>
      </c>
      <c r="H891" s="1782">
        <v>0.26</v>
      </c>
      <c r="I891" s="1782">
        <v>14.44</v>
      </c>
      <c r="J891" s="1782">
        <v>5.35</v>
      </c>
      <c r="K891" s="1782">
        <v>57.25</v>
      </c>
      <c r="L891" s="1782">
        <v>103.71</v>
      </c>
      <c r="M891" s="1782">
        <v>113.14</v>
      </c>
    </row>
    <row r="892" spans="1:14" x14ac:dyDescent="0.35">
      <c r="A892" s="1784">
        <v>906526</v>
      </c>
      <c r="B892" s="1782"/>
      <c r="C892" s="1782">
        <v>1.88</v>
      </c>
      <c r="D892" s="1782">
        <v>0.16</v>
      </c>
      <c r="E892" s="1782">
        <v>1.25</v>
      </c>
      <c r="F892" s="1782">
        <v>0.08</v>
      </c>
      <c r="G892" s="1782">
        <v>5.97</v>
      </c>
      <c r="H892" s="1782">
        <v>0.35</v>
      </c>
      <c r="I892" s="1782">
        <v>69.52</v>
      </c>
      <c r="J892" s="1782">
        <v>4.97</v>
      </c>
      <c r="K892" s="1782">
        <v>81.38</v>
      </c>
      <c r="L892" s="1782">
        <v>133.80000000000001</v>
      </c>
      <c r="M892" s="1782">
        <v>145.88</v>
      </c>
    </row>
    <row r="893" spans="1:14" x14ac:dyDescent="0.35">
      <c r="A893" s="1784">
        <v>906527</v>
      </c>
      <c r="B893" s="1782"/>
      <c r="C893" s="1782">
        <v>2.02</v>
      </c>
      <c r="D893" s="1782">
        <v>0.18</v>
      </c>
      <c r="E893" s="1782">
        <v>1.27</v>
      </c>
      <c r="F893" s="1782">
        <v>7.0000000000000007E-2</v>
      </c>
      <c r="G893" s="1782">
        <v>4.3099999999999996</v>
      </c>
      <c r="H893" s="1782">
        <v>0.35</v>
      </c>
      <c r="I893" s="1782">
        <v>46</v>
      </c>
      <c r="J893" s="1782">
        <v>6.65</v>
      </c>
      <c r="K893" s="1782">
        <v>49.58</v>
      </c>
      <c r="L893" s="1782">
        <v>94.77</v>
      </c>
      <c r="M893" s="1782">
        <v>111.68</v>
      </c>
    </row>
    <row r="894" spans="1:14" x14ac:dyDescent="0.35">
      <c r="A894" s="1784" t="s">
        <v>501</v>
      </c>
      <c r="B894" s="1782"/>
      <c r="C894" s="1782">
        <v>1.46</v>
      </c>
      <c r="D894" s="1782"/>
      <c r="E894" s="1782"/>
      <c r="F894" s="1782"/>
      <c r="G894" s="1782"/>
      <c r="H894" s="1782"/>
      <c r="I894" s="1783"/>
      <c r="J894" s="1783"/>
      <c r="K894" s="1783"/>
      <c r="L894" s="1783"/>
      <c r="M894" s="1783"/>
    </row>
    <row r="895" spans="1:14" x14ac:dyDescent="0.35">
      <c r="A895" s="1792">
        <v>906528</v>
      </c>
      <c r="B895" s="1792"/>
      <c r="C895" s="1792">
        <v>2.38</v>
      </c>
      <c r="D895" s="1793">
        <v>0.13</v>
      </c>
      <c r="E895" s="1793">
        <v>1.5</v>
      </c>
      <c r="F895" s="1793">
        <v>0.05</v>
      </c>
      <c r="G895" s="1793">
        <v>3.81</v>
      </c>
      <c r="H895" s="1793">
        <v>0.17</v>
      </c>
      <c r="I895" s="1793">
        <v>42.47</v>
      </c>
      <c r="J895" s="1793">
        <v>4.5199999999999996</v>
      </c>
      <c r="K895" s="1793">
        <v>81.790000000000006</v>
      </c>
      <c r="L895" s="1793">
        <v>401.08</v>
      </c>
      <c r="M895" s="1793">
        <v>107.33</v>
      </c>
    </row>
    <row r="896" spans="1:14" x14ac:dyDescent="0.35">
      <c r="A896" s="1792">
        <v>906529</v>
      </c>
      <c r="B896" s="1792"/>
      <c r="C896" s="1792">
        <v>1.99</v>
      </c>
      <c r="D896" s="1793">
        <v>0.12</v>
      </c>
      <c r="E896" s="1793">
        <v>1.88</v>
      </c>
      <c r="F896" s="1793">
        <v>0.06</v>
      </c>
      <c r="G896" s="1793">
        <v>3.56</v>
      </c>
      <c r="H896" s="1793">
        <v>0.11</v>
      </c>
      <c r="I896" s="1793">
        <v>10.99</v>
      </c>
      <c r="J896" s="1793">
        <v>4.88</v>
      </c>
      <c r="K896" s="1793">
        <v>37.450000000000003</v>
      </c>
      <c r="L896" s="1793">
        <v>416.6</v>
      </c>
      <c r="M896" s="1793">
        <v>87.32</v>
      </c>
    </row>
    <row r="897" spans="1:13" x14ac:dyDescent="0.35">
      <c r="A897" s="1792">
        <v>906530</v>
      </c>
      <c r="B897" s="1792"/>
      <c r="C897" s="1792">
        <v>2.35</v>
      </c>
      <c r="D897" s="1793">
        <v>0.11</v>
      </c>
      <c r="E897" s="1793">
        <v>0.69</v>
      </c>
      <c r="F897" s="1793">
        <v>0.06</v>
      </c>
      <c r="G897" s="1793">
        <v>4.4000000000000004</v>
      </c>
      <c r="H897" s="1793">
        <v>0.28999999999999998</v>
      </c>
      <c r="I897" s="1793">
        <v>20.04</v>
      </c>
      <c r="J897" s="1793">
        <v>5.37</v>
      </c>
      <c r="K897" s="1793">
        <v>36.54</v>
      </c>
      <c r="L897" s="1793">
        <v>290.86</v>
      </c>
      <c r="M897" s="1793">
        <v>60.15</v>
      </c>
    </row>
    <row r="898" spans="1:13" x14ac:dyDescent="0.35">
      <c r="A898" s="1792">
        <v>906531</v>
      </c>
      <c r="B898" s="1792"/>
      <c r="C898" s="1792">
        <v>2.35</v>
      </c>
      <c r="D898" s="1793">
        <v>0.14000000000000001</v>
      </c>
      <c r="E898" s="1793">
        <v>1.59</v>
      </c>
      <c r="F898" s="1793">
        <v>0.06</v>
      </c>
      <c r="G898" s="1793">
        <v>4.47</v>
      </c>
      <c r="H898" s="1793">
        <v>0.22</v>
      </c>
      <c r="I898" s="1793">
        <v>25.2</v>
      </c>
      <c r="J898" s="1793">
        <v>4.9000000000000004</v>
      </c>
      <c r="K898" s="1793">
        <v>63.79</v>
      </c>
      <c r="L898" s="1793">
        <v>389.61</v>
      </c>
      <c r="M898" s="1793">
        <v>185.12</v>
      </c>
    </row>
    <row r="899" spans="1:13" x14ac:dyDescent="0.35">
      <c r="A899" s="1792">
        <v>906532</v>
      </c>
      <c r="B899" s="1792"/>
      <c r="C899" s="1792">
        <v>1.54</v>
      </c>
      <c r="D899" s="1793">
        <v>0.16</v>
      </c>
      <c r="E899" s="1793">
        <v>1.01</v>
      </c>
      <c r="F899" s="1793">
        <v>0.03</v>
      </c>
      <c r="G899" s="1793">
        <v>1.63</v>
      </c>
      <c r="H899" s="1793">
        <v>0.23</v>
      </c>
      <c r="I899" s="1793">
        <v>15.44</v>
      </c>
      <c r="J899" s="1793">
        <v>5.85</v>
      </c>
      <c r="K899" s="1793">
        <v>29.67</v>
      </c>
      <c r="L899" s="1793">
        <v>184.35</v>
      </c>
      <c r="M899" s="1793">
        <v>26.03</v>
      </c>
    </row>
    <row r="900" spans="1:13" x14ac:dyDescent="0.35">
      <c r="A900" s="1792">
        <v>906533</v>
      </c>
      <c r="B900" s="1792"/>
      <c r="C900" s="1792">
        <v>1.4</v>
      </c>
      <c r="D900" s="1793">
        <v>0.14000000000000001</v>
      </c>
      <c r="E900" s="1793">
        <v>0.89</v>
      </c>
      <c r="F900" s="1793">
        <v>0.02</v>
      </c>
      <c r="G900" s="1793">
        <v>1.7</v>
      </c>
      <c r="H900" s="1793">
        <v>0.19</v>
      </c>
      <c r="I900" s="1793">
        <v>21.48</v>
      </c>
      <c r="J900" s="1793">
        <v>4.95</v>
      </c>
      <c r="K900" s="1793">
        <v>46.12</v>
      </c>
      <c r="L900" s="1793">
        <v>129.19999999999999</v>
      </c>
      <c r="M900" s="1793">
        <v>23.32</v>
      </c>
    </row>
    <row r="901" spans="1:13" x14ac:dyDescent="0.35">
      <c r="A901" s="1784">
        <v>906534</v>
      </c>
      <c r="B901" s="1782"/>
      <c r="C901" s="1787">
        <v>4.3700904000000005</v>
      </c>
      <c r="D901" s="1786">
        <v>0.34</v>
      </c>
      <c r="E901" s="1786">
        <v>3.57</v>
      </c>
      <c r="F901" s="1786">
        <v>0.21</v>
      </c>
      <c r="G901" s="1786">
        <v>3.87</v>
      </c>
      <c r="H901" s="1786">
        <v>1.1200000000000001</v>
      </c>
      <c r="I901" s="1786">
        <v>19.05</v>
      </c>
      <c r="J901" s="1786">
        <v>21.4</v>
      </c>
      <c r="K901" s="1786">
        <v>67.62</v>
      </c>
      <c r="L901" s="1786">
        <v>82.16</v>
      </c>
      <c r="M901" s="1786">
        <v>52.6</v>
      </c>
    </row>
    <row r="902" spans="1:13" x14ac:dyDescent="0.35">
      <c r="A902" s="1784">
        <v>906535</v>
      </c>
      <c r="B902" s="1782"/>
      <c r="C902" s="1787">
        <v>3.7257822000000003</v>
      </c>
      <c r="D902" s="1786">
        <v>0.38</v>
      </c>
      <c r="E902" s="1786">
        <v>3.5</v>
      </c>
      <c r="F902" s="1786">
        <v>0.14000000000000001</v>
      </c>
      <c r="G902" s="1786">
        <v>2</v>
      </c>
      <c r="H902" s="1786">
        <v>0.46</v>
      </c>
      <c r="I902" s="1786">
        <v>19.84</v>
      </c>
      <c r="J902" s="1786">
        <v>12.16</v>
      </c>
      <c r="K902" s="1786">
        <v>57.84</v>
      </c>
      <c r="L902" s="1786">
        <v>98.11</v>
      </c>
      <c r="M902" s="1786">
        <v>36.78</v>
      </c>
    </row>
    <row r="903" spans="1:13" x14ac:dyDescent="0.35">
      <c r="A903" s="1784">
        <v>906536</v>
      </c>
      <c r="B903" s="1782"/>
      <c r="C903" s="1787">
        <v>5.3785727999999997</v>
      </c>
      <c r="D903" s="1786">
        <v>0.53</v>
      </c>
      <c r="E903" s="1786">
        <v>3.99</v>
      </c>
      <c r="F903" s="1786">
        <v>0.13</v>
      </c>
      <c r="G903" s="1786">
        <v>2.83</v>
      </c>
      <c r="H903" s="1786">
        <v>1.1200000000000001</v>
      </c>
      <c r="I903" s="1786">
        <v>28.96</v>
      </c>
      <c r="J903" s="1786">
        <v>25.33</v>
      </c>
      <c r="K903" s="1786">
        <v>71.38</v>
      </c>
      <c r="L903" s="1786">
        <v>110.44</v>
      </c>
      <c r="M903" s="1786">
        <v>50.14</v>
      </c>
    </row>
    <row r="904" spans="1:13" x14ac:dyDescent="0.35">
      <c r="A904" s="1784">
        <v>906537</v>
      </c>
      <c r="B904" s="1782"/>
      <c r="C904" s="1787">
        <v>3.9779028000000012</v>
      </c>
      <c r="D904" s="1786">
        <v>0.45</v>
      </c>
      <c r="E904" s="1786">
        <v>4.3899999999999997</v>
      </c>
      <c r="F904" s="1786">
        <v>0.18</v>
      </c>
      <c r="G904" s="1786">
        <v>2.1</v>
      </c>
      <c r="H904" s="1786">
        <v>0.44</v>
      </c>
      <c r="I904" s="1786">
        <v>22.38</v>
      </c>
      <c r="J904" s="1786">
        <v>17.98</v>
      </c>
      <c r="K904" s="1786">
        <v>52.84</v>
      </c>
      <c r="L904" s="1786">
        <v>80.02</v>
      </c>
      <c r="M904" s="1786">
        <v>42.55</v>
      </c>
    </row>
    <row r="905" spans="1:13" x14ac:dyDescent="0.35">
      <c r="A905" s="1784">
        <v>906538</v>
      </c>
      <c r="B905" s="1782"/>
      <c r="C905" s="1787">
        <v>5.3785727999999997</v>
      </c>
      <c r="D905" s="1786">
        <v>0.7</v>
      </c>
      <c r="E905" s="1786">
        <v>4.9000000000000004</v>
      </c>
      <c r="F905" s="1786">
        <v>0.16</v>
      </c>
      <c r="G905" s="1786">
        <v>2.1</v>
      </c>
      <c r="H905" s="1786">
        <v>1.03</v>
      </c>
      <c r="I905" s="1786">
        <v>31.98</v>
      </c>
      <c r="J905" s="1786">
        <v>23.45</v>
      </c>
      <c r="K905" s="1786">
        <v>46.64</v>
      </c>
      <c r="L905" s="1786">
        <v>96.7</v>
      </c>
      <c r="M905" s="1786">
        <v>36.6</v>
      </c>
    </row>
    <row r="906" spans="1:13" x14ac:dyDescent="0.35">
      <c r="A906" s="1784">
        <v>906539</v>
      </c>
      <c r="B906" s="1782"/>
      <c r="C906" s="1787">
        <v>1.3726566000000004</v>
      </c>
      <c r="D906" s="1786">
        <v>0.11</v>
      </c>
      <c r="E906" s="1786">
        <v>1.75</v>
      </c>
      <c r="F906" s="1786">
        <v>0.02</v>
      </c>
      <c r="G906" s="1786">
        <v>0.37</v>
      </c>
      <c r="H906" s="1786">
        <v>0.18</v>
      </c>
      <c r="I906" s="1786">
        <v>14.02</v>
      </c>
      <c r="J906" s="1786">
        <v>5.88</v>
      </c>
      <c r="K906" s="1786">
        <v>35.64</v>
      </c>
      <c r="L906" s="1786">
        <v>73.709999999999994</v>
      </c>
      <c r="M906" s="1786">
        <v>54.37</v>
      </c>
    </row>
    <row r="907" spans="1:13" x14ac:dyDescent="0.35">
      <c r="A907" s="1784">
        <v>906540</v>
      </c>
      <c r="B907" s="1782"/>
      <c r="C907" s="1787">
        <v>1.2606030000000001</v>
      </c>
      <c r="D907" s="1786">
        <v>0.14000000000000001</v>
      </c>
      <c r="E907" s="1786">
        <v>1.39</v>
      </c>
      <c r="F907" s="1786">
        <v>0.02</v>
      </c>
      <c r="G907" s="1786">
        <v>0.4</v>
      </c>
      <c r="H907" s="1786">
        <v>0.14000000000000001</v>
      </c>
      <c r="I907" s="1786">
        <v>12.47</v>
      </c>
      <c r="J907" s="1786">
        <v>4.5599999999999996</v>
      </c>
      <c r="K907" s="1786">
        <v>37.369999999999997</v>
      </c>
      <c r="L907" s="1786">
        <v>105.31</v>
      </c>
      <c r="M907" s="1786">
        <v>34.090000000000003</v>
      </c>
    </row>
    <row r="908" spans="1:13" x14ac:dyDescent="0.35">
      <c r="A908" s="1784">
        <v>906541</v>
      </c>
      <c r="B908" s="1782"/>
      <c r="C908" s="1787">
        <v>1.0925226000000001</v>
      </c>
      <c r="D908" s="1786">
        <v>0.13</v>
      </c>
      <c r="E908" s="1786">
        <v>0.78</v>
      </c>
      <c r="F908" s="1786">
        <v>0.03</v>
      </c>
      <c r="G908" s="1786">
        <v>1.64</v>
      </c>
      <c r="H908" s="1786">
        <v>0.26</v>
      </c>
      <c r="I908" s="1786">
        <v>14.3</v>
      </c>
      <c r="J908" s="1786">
        <v>12.63</v>
      </c>
      <c r="K908" s="1786">
        <v>56.1</v>
      </c>
      <c r="L908" s="1786">
        <v>211.76</v>
      </c>
      <c r="M908" s="1786">
        <v>26.94</v>
      </c>
    </row>
    <row r="909" spans="1:13" x14ac:dyDescent="0.35">
      <c r="A909" s="1784">
        <v>906542</v>
      </c>
      <c r="B909" s="1782"/>
      <c r="C909" s="1787">
        <v>1.2325896000000003</v>
      </c>
      <c r="D909" s="1786">
        <v>0.09</v>
      </c>
      <c r="E909" s="1786">
        <v>0.62</v>
      </c>
      <c r="F909" s="1786">
        <v>0.05</v>
      </c>
      <c r="G909" s="1786">
        <v>2.42</v>
      </c>
      <c r="H909" s="1786">
        <v>0.25</v>
      </c>
      <c r="I909" s="1786">
        <v>14.79</v>
      </c>
      <c r="J909" s="1786">
        <v>5.79</v>
      </c>
      <c r="K909" s="1786">
        <v>45.65</v>
      </c>
      <c r="L909" s="1786">
        <v>251.26</v>
      </c>
      <c r="M909" s="1786">
        <v>23.21</v>
      </c>
    </row>
    <row r="910" spans="1:13" x14ac:dyDescent="0.35">
      <c r="A910" s="1784">
        <v>906543</v>
      </c>
      <c r="B910" s="1782"/>
      <c r="C910" s="1787">
        <v>1.4286834000000002</v>
      </c>
      <c r="D910" s="1786">
        <v>0.09</v>
      </c>
      <c r="E910" s="1786">
        <v>0.5</v>
      </c>
      <c r="F910" s="1786">
        <v>0.04</v>
      </c>
      <c r="G910" s="1786">
        <v>2.58</v>
      </c>
      <c r="H910" s="1786">
        <v>0.25</v>
      </c>
      <c r="I910" s="1786">
        <v>13.48</v>
      </c>
      <c r="J910" s="1786">
        <v>6.64</v>
      </c>
      <c r="K910" s="1786">
        <v>54.92</v>
      </c>
      <c r="L910" s="1786">
        <v>213.79</v>
      </c>
      <c r="M910" s="1786">
        <v>19</v>
      </c>
    </row>
    <row r="911" spans="1:13" x14ac:dyDescent="0.35">
      <c r="A911" s="1784">
        <v>906544</v>
      </c>
      <c r="B911" s="1782"/>
      <c r="C911" s="1782">
        <v>4.57</v>
      </c>
      <c r="D911" s="1786">
        <v>0.35</v>
      </c>
      <c r="E911" s="1786">
        <v>4.08</v>
      </c>
      <c r="F911" s="1786">
        <v>0.20100000000000001</v>
      </c>
      <c r="G911" s="1786">
        <v>5.3</v>
      </c>
      <c r="H911" s="1786">
        <v>1.1499999999999999</v>
      </c>
      <c r="I911" s="1786">
        <v>46.25</v>
      </c>
      <c r="J911" s="1786">
        <v>24.74</v>
      </c>
      <c r="K911" s="1786">
        <v>57.6</v>
      </c>
      <c r="L911" s="1786">
        <v>105.84</v>
      </c>
      <c r="M911" s="1786">
        <v>55.98</v>
      </c>
    </row>
    <row r="912" spans="1:13" x14ac:dyDescent="0.35">
      <c r="A912" s="1784">
        <v>906545</v>
      </c>
      <c r="B912" s="1782"/>
      <c r="C912" s="1782">
        <v>4.8499999999999996</v>
      </c>
      <c r="D912" s="1786">
        <v>0.4</v>
      </c>
      <c r="E912" s="1786">
        <v>3.93</v>
      </c>
      <c r="F912" s="1786">
        <v>0.10199999999999999</v>
      </c>
      <c r="G912" s="1786">
        <v>3.38</v>
      </c>
      <c r="H912" s="1786">
        <v>0.75</v>
      </c>
      <c r="I912" s="1786">
        <v>25.61</v>
      </c>
      <c r="J912" s="1786">
        <v>16.86</v>
      </c>
      <c r="K912" s="1786">
        <v>61.07</v>
      </c>
      <c r="L912" s="1786">
        <v>97.48</v>
      </c>
      <c r="M912" s="1786">
        <v>56.6</v>
      </c>
    </row>
    <row r="913" spans="1:13" x14ac:dyDescent="0.35">
      <c r="A913" s="1784">
        <v>906546</v>
      </c>
      <c r="B913" s="1782"/>
      <c r="C913" s="1782">
        <v>4.9000000000000004</v>
      </c>
      <c r="D913" s="1786">
        <v>0.38</v>
      </c>
      <c r="E913" s="1786">
        <v>4.1399999999999997</v>
      </c>
      <c r="F913" s="1786">
        <v>0.20799999999999999</v>
      </c>
      <c r="G913" s="1786">
        <v>3.39</v>
      </c>
      <c r="H913" s="1786">
        <v>1.07</v>
      </c>
      <c r="I913" s="1786">
        <v>32.1</v>
      </c>
      <c r="J913" s="1786">
        <v>16.010000000000002</v>
      </c>
      <c r="K913" s="1786">
        <v>57.67</v>
      </c>
      <c r="L913" s="1786">
        <v>98.13</v>
      </c>
      <c r="M913" s="1786">
        <v>79.2</v>
      </c>
    </row>
    <row r="914" spans="1:13" x14ac:dyDescent="0.35">
      <c r="A914" s="1784">
        <v>906547</v>
      </c>
      <c r="B914" s="1782"/>
      <c r="C914" s="1782">
        <v>5.41</v>
      </c>
      <c r="D914" s="1786">
        <v>0.42</v>
      </c>
      <c r="E914" s="1786">
        <v>4.79</v>
      </c>
      <c r="F914" s="1786">
        <v>9.5000000000000001E-2</v>
      </c>
      <c r="G914" s="1786">
        <v>3.03</v>
      </c>
      <c r="H914" s="1786">
        <v>0.54</v>
      </c>
      <c r="I914" s="1786">
        <v>26.58</v>
      </c>
      <c r="J914" s="1786">
        <v>16.649999999999999</v>
      </c>
      <c r="K914" s="1786">
        <v>59.86</v>
      </c>
      <c r="L914" s="1786">
        <v>106.02</v>
      </c>
      <c r="M914" s="1786">
        <v>53.2</v>
      </c>
    </row>
    <row r="915" spans="1:13" x14ac:dyDescent="0.35">
      <c r="A915" s="1784">
        <v>906548</v>
      </c>
      <c r="B915" s="1782"/>
      <c r="C915" s="1782">
        <v>3.67</v>
      </c>
      <c r="D915" s="1786">
        <v>0.46</v>
      </c>
      <c r="E915" s="1786">
        <v>4.55</v>
      </c>
      <c r="F915" s="1786">
        <v>0.124</v>
      </c>
      <c r="G915" s="1786">
        <v>6.97</v>
      </c>
      <c r="H915" s="1786">
        <v>0.81</v>
      </c>
      <c r="I915" s="1786">
        <v>12.3</v>
      </c>
      <c r="J915" s="1786">
        <v>7.53</v>
      </c>
      <c r="K915" s="1786">
        <v>158.84</v>
      </c>
      <c r="L915" s="1786">
        <v>165.43</v>
      </c>
      <c r="M915" s="1786">
        <v>46.53</v>
      </c>
    </row>
    <row r="916" spans="1:13" x14ac:dyDescent="0.35">
      <c r="A916" s="1784">
        <v>906549</v>
      </c>
      <c r="B916" s="1782"/>
      <c r="C916" s="1782">
        <v>2.0499999999999998</v>
      </c>
      <c r="D916" s="1786">
        <v>0.31</v>
      </c>
      <c r="E916" s="1786">
        <v>1.86</v>
      </c>
      <c r="F916" s="1786">
        <v>0.46800000000000003</v>
      </c>
      <c r="G916" s="1786">
        <v>6.62</v>
      </c>
      <c r="H916" s="1786">
        <v>0.85</v>
      </c>
      <c r="I916" s="1786">
        <v>88.67</v>
      </c>
      <c r="J916" s="1786">
        <v>226.13</v>
      </c>
      <c r="K916" s="1786">
        <v>910.73</v>
      </c>
      <c r="L916" s="1786">
        <v>119.69</v>
      </c>
      <c r="M916" s="1786">
        <v>44.91</v>
      </c>
    </row>
    <row r="917" spans="1:13" x14ac:dyDescent="0.35">
      <c r="A917" s="1784">
        <v>906550</v>
      </c>
      <c r="B917" s="1782"/>
      <c r="C917" s="1782">
        <v>2.44</v>
      </c>
      <c r="D917" s="1786">
        <v>0.24</v>
      </c>
      <c r="E917" s="1786">
        <v>1.33</v>
      </c>
      <c r="F917" s="1786">
        <v>3.4000000000000002E-2</v>
      </c>
      <c r="G917" s="1786">
        <v>5.22</v>
      </c>
      <c r="H917" s="1786">
        <v>0.33</v>
      </c>
      <c r="I917" s="1786">
        <v>14.93</v>
      </c>
      <c r="J917" s="1786">
        <v>7.18</v>
      </c>
      <c r="K917" s="1786">
        <v>27.6</v>
      </c>
      <c r="L917" s="1786">
        <v>134.62</v>
      </c>
      <c r="M917" s="1786">
        <v>77.7</v>
      </c>
    </row>
    <row r="918" spans="1:13" x14ac:dyDescent="0.35">
      <c r="A918" s="1784">
        <v>906551</v>
      </c>
      <c r="B918" s="1782"/>
      <c r="C918" s="1782">
        <v>2.4900000000000002</v>
      </c>
      <c r="D918" s="1786">
        <v>0.23</v>
      </c>
      <c r="E918" s="1786">
        <v>2.2599999999999998</v>
      </c>
      <c r="F918" s="1786">
        <v>4.2999999999999997E-2</v>
      </c>
      <c r="G918" s="1786">
        <v>4.4000000000000004</v>
      </c>
      <c r="H918" s="1786">
        <v>0.26</v>
      </c>
      <c r="I918" s="1786">
        <v>23.88</v>
      </c>
      <c r="J918" s="1786">
        <v>11.63</v>
      </c>
      <c r="K918" s="1786">
        <v>77.37</v>
      </c>
      <c r="L918" s="1786">
        <v>174.84</v>
      </c>
      <c r="M918" s="1786">
        <v>105.86</v>
      </c>
    </row>
    <row r="919" spans="1:13" s="1083" customFormat="1" x14ac:dyDescent="0.35">
      <c r="A919" s="1784">
        <v>906552</v>
      </c>
      <c r="B919" s="1782"/>
      <c r="C919" s="1782">
        <v>4.93</v>
      </c>
      <c r="D919" s="1786">
        <v>0.26</v>
      </c>
      <c r="E919" s="1786">
        <v>5.64</v>
      </c>
      <c r="F919" s="1786">
        <v>0.03</v>
      </c>
      <c r="G919" s="1786">
        <v>2.44</v>
      </c>
      <c r="H919" s="1786">
        <v>1.51</v>
      </c>
      <c r="I919" s="1786">
        <v>39.97</v>
      </c>
      <c r="J919" s="1786">
        <v>4.91</v>
      </c>
      <c r="K919" s="1786">
        <v>43.36</v>
      </c>
      <c r="L919" s="1786">
        <v>88.4</v>
      </c>
      <c r="M919" s="1786">
        <v>24.26</v>
      </c>
    </row>
    <row r="920" spans="1:13" s="1083" customFormat="1" x14ac:dyDescent="0.35">
      <c r="A920" s="1784">
        <v>906553</v>
      </c>
      <c r="B920" s="1782"/>
      <c r="C920" s="1782">
        <v>4.51</v>
      </c>
      <c r="D920" s="1786">
        <v>0.26</v>
      </c>
      <c r="E920" s="1786">
        <v>5.24</v>
      </c>
      <c r="F920" s="1786">
        <v>0.04</v>
      </c>
      <c r="G920" s="1786">
        <v>3.16</v>
      </c>
      <c r="H920" s="1786">
        <v>1.48</v>
      </c>
      <c r="I920" s="1786">
        <v>34.47</v>
      </c>
      <c r="J920" s="1786">
        <v>5.64</v>
      </c>
      <c r="K920" s="1786">
        <v>45.96</v>
      </c>
      <c r="L920" s="1786">
        <v>102.21</v>
      </c>
      <c r="M920" s="1786">
        <v>20.64</v>
      </c>
    </row>
    <row r="921" spans="1:13" s="1083" customFormat="1" x14ac:dyDescent="0.35">
      <c r="A921" s="1784">
        <v>906554</v>
      </c>
      <c r="B921" s="1782"/>
      <c r="C921" s="1782">
        <v>4.76</v>
      </c>
      <c r="D921" s="1786">
        <v>0.24</v>
      </c>
      <c r="E921" s="1786">
        <v>6.61</v>
      </c>
      <c r="F921" s="1786">
        <v>0.04</v>
      </c>
      <c r="G921" s="1786">
        <v>2.92</v>
      </c>
      <c r="H921" s="1786">
        <v>1.46</v>
      </c>
      <c r="I921" s="1786">
        <v>49.99</v>
      </c>
      <c r="J921" s="1786">
        <v>7.73</v>
      </c>
      <c r="K921" s="1786">
        <v>102.27</v>
      </c>
      <c r="L921" s="1786">
        <v>110.08</v>
      </c>
      <c r="M921" s="1786">
        <v>33.979999999999997</v>
      </c>
    </row>
    <row r="922" spans="1:13" s="1083" customFormat="1" x14ac:dyDescent="0.35">
      <c r="A922" s="1784">
        <v>906555</v>
      </c>
      <c r="B922" s="1782"/>
      <c r="C922" s="1782">
        <v>4.54</v>
      </c>
      <c r="D922" s="1786">
        <v>0.35</v>
      </c>
      <c r="E922" s="1786">
        <v>8.7799999999999994</v>
      </c>
      <c r="F922" s="1786">
        <v>7.0000000000000007E-2</v>
      </c>
      <c r="G922" s="1786">
        <v>2.4700000000000002</v>
      </c>
      <c r="H922" s="1786">
        <v>1.42</v>
      </c>
      <c r="I922" s="1786">
        <v>44.91</v>
      </c>
      <c r="J922" s="1786">
        <v>8.35</v>
      </c>
      <c r="K922" s="1786">
        <v>96.76</v>
      </c>
      <c r="L922" s="1786">
        <v>76.400000000000006</v>
      </c>
      <c r="M922" s="1786">
        <v>35.18</v>
      </c>
    </row>
    <row r="923" spans="1:13" s="1083" customFormat="1" x14ac:dyDescent="0.35">
      <c r="A923" s="1784">
        <v>906556</v>
      </c>
      <c r="B923" s="1782"/>
      <c r="C923" s="1782">
        <v>4.79</v>
      </c>
      <c r="D923" s="1786">
        <v>0.31</v>
      </c>
      <c r="E923" s="1786">
        <v>5.94</v>
      </c>
      <c r="F923" s="1786">
        <v>0.04</v>
      </c>
      <c r="G923" s="1786">
        <v>2.19</v>
      </c>
      <c r="H923" s="1786">
        <v>1.23</v>
      </c>
      <c r="I923" s="1786">
        <v>51.05</v>
      </c>
      <c r="J923" s="1786">
        <v>9.3800000000000008</v>
      </c>
      <c r="K923" s="1786">
        <v>50.89</v>
      </c>
      <c r="L923" s="1786">
        <v>115.71</v>
      </c>
      <c r="M923" s="1786">
        <v>30.85</v>
      </c>
    </row>
    <row r="924" spans="1:13" s="1083" customFormat="1" x14ac:dyDescent="0.35">
      <c r="A924" s="1784">
        <v>906557</v>
      </c>
      <c r="B924" s="1782"/>
      <c r="C924" s="1782">
        <v>5.27</v>
      </c>
      <c r="D924" s="1786">
        <v>0.32</v>
      </c>
      <c r="E924" s="1786">
        <v>7.19</v>
      </c>
      <c r="F924" s="1786">
        <v>0.05</v>
      </c>
      <c r="G924" s="1786">
        <v>2.44</v>
      </c>
      <c r="H924" s="1786">
        <v>1.33</v>
      </c>
      <c r="I924" s="1786">
        <v>53.63</v>
      </c>
      <c r="J924" s="1786">
        <v>5.55</v>
      </c>
      <c r="K924" s="1786">
        <v>46.61</v>
      </c>
      <c r="L924" s="1786">
        <v>104.42</v>
      </c>
      <c r="M924" s="1786">
        <v>29.86</v>
      </c>
    </row>
    <row r="925" spans="1:13" s="1083" customFormat="1" x14ac:dyDescent="0.35">
      <c r="A925" s="1784">
        <v>906558</v>
      </c>
      <c r="B925" s="1782"/>
      <c r="C925" s="1782">
        <v>4.96</v>
      </c>
      <c r="D925" s="1786">
        <v>0.28999999999999998</v>
      </c>
      <c r="E925" s="1786">
        <v>5.99</v>
      </c>
      <c r="F925" s="1786">
        <v>0.05</v>
      </c>
      <c r="G925" s="1786">
        <v>3.24</v>
      </c>
      <c r="H925" s="1786">
        <v>1.43</v>
      </c>
      <c r="I925" s="1786">
        <v>33.200000000000003</v>
      </c>
      <c r="J925" s="1786">
        <v>10.53</v>
      </c>
      <c r="K925" s="1786">
        <v>26.02</v>
      </c>
      <c r="L925" s="1786">
        <v>108.68</v>
      </c>
      <c r="M925" s="1786">
        <v>52.61</v>
      </c>
    </row>
    <row r="926" spans="1:13" x14ac:dyDescent="0.35">
      <c r="A926" s="1784">
        <v>906559</v>
      </c>
      <c r="B926" s="1782"/>
      <c r="C926" s="1785">
        <v>2.0729916000000004</v>
      </c>
      <c r="D926" s="1782">
        <v>0.12</v>
      </c>
      <c r="E926" s="1782">
        <v>0.9</v>
      </c>
      <c r="F926" s="1782">
        <v>0.04</v>
      </c>
      <c r="G926" s="1782">
        <v>5.56</v>
      </c>
      <c r="H926" s="1782">
        <v>0.32</v>
      </c>
      <c r="I926" s="1783">
        <v>19.239999999999998</v>
      </c>
      <c r="J926" s="1783">
        <v>2.68</v>
      </c>
      <c r="K926" s="1783">
        <v>33.380000000000003</v>
      </c>
      <c r="L926" s="1783">
        <v>107.41</v>
      </c>
      <c r="M926" s="1783">
        <v>152.28</v>
      </c>
    </row>
    <row r="927" spans="1:13" x14ac:dyDescent="0.35">
      <c r="A927" s="1784">
        <v>906560</v>
      </c>
      <c r="B927" s="1782"/>
      <c r="C927" s="1785">
        <v>2.1570317999999999</v>
      </c>
      <c r="D927" s="1782">
        <v>0.14000000000000001</v>
      </c>
      <c r="E927" s="1782">
        <v>1.31</v>
      </c>
      <c r="F927" s="1782">
        <v>0.06</v>
      </c>
      <c r="G927" s="1782">
        <v>3.38</v>
      </c>
      <c r="H927" s="1782">
        <v>0.25</v>
      </c>
      <c r="I927" s="1783">
        <v>11.32</v>
      </c>
      <c r="J927" s="1783">
        <v>5.82</v>
      </c>
      <c r="K927" s="1783">
        <v>18.57</v>
      </c>
      <c r="L927" s="1783">
        <v>97.52</v>
      </c>
      <c r="M927" s="1783">
        <v>41.83</v>
      </c>
    </row>
    <row r="928" spans="1:13" x14ac:dyDescent="0.35">
      <c r="A928" s="1784">
        <v>906561</v>
      </c>
      <c r="B928" s="1782"/>
      <c r="C928" s="1785">
        <v>1.7368308000000003</v>
      </c>
      <c r="D928" s="1782">
        <v>0.25</v>
      </c>
      <c r="E928" s="1782">
        <v>2.2799999999999998</v>
      </c>
      <c r="F928" s="1782">
        <v>0.06</v>
      </c>
      <c r="G928" s="1782">
        <v>3.46</v>
      </c>
      <c r="H928" s="1782">
        <v>0.3</v>
      </c>
      <c r="I928" s="1783">
        <v>8.58</v>
      </c>
      <c r="J928" s="1783">
        <v>5.51</v>
      </c>
      <c r="K928" s="1783">
        <v>19.579999999999998</v>
      </c>
      <c r="L928" s="1783">
        <v>89.61</v>
      </c>
      <c r="M928" s="1783">
        <v>60.5</v>
      </c>
    </row>
    <row r="929" spans="1:13" x14ac:dyDescent="0.35">
      <c r="A929" s="1784">
        <v>906562</v>
      </c>
      <c r="B929" s="1782"/>
      <c r="C929" s="1785">
        <v>2.1010050000000002</v>
      </c>
      <c r="D929" s="1782">
        <v>0.18</v>
      </c>
      <c r="E929" s="1782">
        <v>1.42</v>
      </c>
      <c r="F929" s="1782">
        <v>0.05</v>
      </c>
      <c r="G929" s="1782">
        <v>3.78</v>
      </c>
      <c r="H929" s="1782">
        <v>0.27</v>
      </c>
      <c r="I929" s="1783">
        <v>10.77</v>
      </c>
      <c r="J929" s="1783">
        <v>4.21</v>
      </c>
      <c r="K929" s="1783">
        <v>20.78</v>
      </c>
      <c r="L929" s="1783">
        <v>92.55</v>
      </c>
      <c r="M929" s="1783">
        <v>49.2</v>
      </c>
    </row>
    <row r="930" spans="1:13" x14ac:dyDescent="0.35">
      <c r="A930" s="1784">
        <v>906563</v>
      </c>
      <c r="B930" s="1782"/>
      <c r="C930" s="1785">
        <v>1.9609380000000001</v>
      </c>
      <c r="D930" s="1782">
        <v>0.32</v>
      </c>
      <c r="E930" s="1782">
        <v>2.37</v>
      </c>
      <c r="F930" s="1782">
        <v>0.05</v>
      </c>
      <c r="G930" s="1782">
        <v>2.78</v>
      </c>
      <c r="H930" s="1782">
        <v>0.28000000000000003</v>
      </c>
      <c r="I930" s="1783">
        <v>9.8800000000000008</v>
      </c>
      <c r="J930" s="1783">
        <v>8.39</v>
      </c>
      <c r="K930" s="1783">
        <v>15.33</v>
      </c>
      <c r="L930" s="1783">
        <v>119.84</v>
      </c>
      <c r="M930" s="1783">
        <v>66.84</v>
      </c>
    </row>
    <row r="931" spans="1:13" x14ac:dyDescent="0.35">
      <c r="A931" s="1784">
        <v>906564</v>
      </c>
      <c r="B931" s="1782"/>
      <c r="C931" s="1785">
        <v>1.7648442000000002</v>
      </c>
      <c r="D931" s="1782">
        <v>0.13</v>
      </c>
      <c r="E931" s="1782">
        <v>1.7</v>
      </c>
      <c r="F931" s="1782">
        <v>0.06</v>
      </c>
      <c r="G931" s="1782">
        <v>3.53</v>
      </c>
      <c r="H931" s="1782">
        <v>0.31</v>
      </c>
      <c r="I931" s="1783">
        <v>8.74</v>
      </c>
      <c r="J931" s="1783">
        <v>5.5</v>
      </c>
      <c r="K931" s="1783">
        <v>24.68</v>
      </c>
      <c r="L931" s="1783">
        <v>160.31</v>
      </c>
      <c r="M931" s="1783">
        <v>43.76</v>
      </c>
    </row>
    <row r="932" spans="1:13" x14ac:dyDescent="0.35">
      <c r="A932" s="1784">
        <v>906565</v>
      </c>
      <c r="B932" s="1782"/>
      <c r="C932" s="1785">
        <v>1.8768978000000001</v>
      </c>
      <c r="D932" s="1782">
        <v>0.12</v>
      </c>
      <c r="E932" s="1782">
        <v>0.97</v>
      </c>
      <c r="F932" s="1782">
        <v>0.09</v>
      </c>
      <c r="G932" s="1785">
        <v>7</v>
      </c>
      <c r="H932" s="1782">
        <v>0.24</v>
      </c>
      <c r="I932" s="1783">
        <v>30.16</v>
      </c>
      <c r="J932" s="1783">
        <v>6.11</v>
      </c>
      <c r="K932" s="1783">
        <v>35.200000000000003</v>
      </c>
      <c r="L932" s="1783">
        <v>105.48</v>
      </c>
      <c r="M932" s="1783">
        <v>108.57</v>
      </c>
    </row>
    <row r="933" spans="1:13" x14ac:dyDescent="0.35">
      <c r="A933" s="1784">
        <v>906566</v>
      </c>
      <c r="B933" s="1784"/>
      <c r="C933" s="1794">
        <v>1.68</v>
      </c>
      <c r="D933" s="1794">
        <v>0.09</v>
      </c>
      <c r="E933" s="1795">
        <v>0.63</v>
      </c>
      <c r="F933" s="1794">
        <v>0.03</v>
      </c>
      <c r="G933" s="1794">
        <v>5.0199999999999996</v>
      </c>
      <c r="H933" s="1794">
        <v>0.31</v>
      </c>
      <c r="I933" s="1794">
        <v>11.79</v>
      </c>
      <c r="J933" s="1794">
        <v>16.09</v>
      </c>
      <c r="K933" s="1794">
        <v>20.100000000000001</v>
      </c>
      <c r="L933" s="1794">
        <v>152.35</v>
      </c>
      <c r="M933" s="1794">
        <v>52.6</v>
      </c>
    </row>
    <row r="934" spans="1:13" x14ac:dyDescent="0.35">
      <c r="A934" s="1784">
        <v>906567</v>
      </c>
      <c r="B934" s="1784"/>
      <c r="C934" s="1794">
        <v>2.33</v>
      </c>
      <c r="D934" s="1794">
        <v>0.13</v>
      </c>
      <c r="E934" s="1795">
        <v>1.38</v>
      </c>
      <c r="F934" s="1794">
        <v>0.05</v>
      </c>
      <c r="G934" s="1794">
        <v>4.13</v>
      </c>
      <c r="H934" s="1794">
        <v>0.32</v>
      </c>
      <c r="I934" s="1794">
        <v>61.4</v>
      </c>
      <c r="J934" s="1794">
        <v>8.1300000000000008</v>
      </c>
      <c r="K934" s="1794">
        <v>88.91</v>
      </c>
      <c r="L934" s="1794">
        <v>141.79</v>
      </c>
      <c r="M934" s="1794">
        <v>65.8</v>
      </c>
    </row>
    <row r="935" spans="1:13" x14ac:dyDescent="0.35">
      <c r="A935" s="1784">
        <v>906568</v>
      </c>
      <c r="B935" s="1784"/>
      <c r="C935" s="1794">
        <v>1.99</v>
      </c>
      <c r="D935" s="1794">
        <v>0.1</v>
      </c>
      <c r="E935" s="1795">
        <v>1.24</v>
      </c>
      <c r="F935" s="1794">
        <v>0.03</v>
      </c>
      <c r="G935" s="1794">
        <v>5.09</v>
      </c>
      <c r="H935" s="1794">
        <v>0.34</v>
      </c>
      <c r="I935" s="1794">
        <v>34.19</v>
      </c>
      <c r="J935" s="1794">
        <v>6.83</v>
      </c>
      <c r="K935" s="1794">
        <v>53.75</v>
      </c>
      <c r="L935" s="1794">
        <v>163.95</v>
      </c>
      <c r="M935" s="1794">
        <v>65.42</v>
      </c>
    </row>
    <row r="936" spans="1:13" x14ac:dyDescent="0.35">
      <c r="A936" s="1784">
        <v>906569</v>
      </c>
      <c r="B936" s="1784"/>
      <c r="C936" s="1794">
        <v>2.35</v>
      </c>
      <c r="D936" s="1794">
        <v>0.12</v>
      </c>
      <c r="E936" s="1795">
        <v>1.17</v>
      </c>
      <c r="F936" s="1794">
        <v>0.05</v>
      </c>
      <c r="G936" s="1794">
        <v>4.9400000000000004</v>
      </c>
      <c r="H936" s="1794">
        <v>0.34</v>
      </c>
      <c r="I936" s="1794">
        <v>50.84</v>
      </c>
      <c r="J936" s="1794">
        <v>5.9</v>
      </c>
      <c r="K936" s="1794">
        <v>73.7</v>
      </c>
      <c r="L936" s="1794">
        <v>137.05000000000001</v>
      </c>
      <c r="M936" s="1794">
        <v>61.45</v>
      </c>
    </row>
    <row r="937" spans="1:13" x14ac:dyDescent="0.35">
      <c r="A937" s="1784">
        <v>906570</v>
      </c>
      <c r="B937" s="1784"/>
      <c r="C937" s="1794">
        <v>1.88</v>
      </c>
      <c r="D937" s="1794">
        <v>0.09</v>
      </c>
      <c r="E937" s="1795">
        <v>0.87</v>
      </c>
      <c r="F937" s="1794">
        <v>0.04</v>
      </c>
      <c r="G937" s="1794">
        <v>5.19</v>
      </c>
      <c r="H937" s="1794">
        <v>0.37</v>
      </c>
      <c r="I937" s="1794">
        <v>12.41</v>
      </c>
      <c r="J937" s="1794">
        <v>10.54</v>
      </c>
      <c r="K937" s="1794">
        <v>17.45</v>
      </c>
      <c r="L937" s="1794">
        <v>130.97</v>
      </c>
      <c r="M937" s="1794">
        <v>51.28</v>
      </c>
    </row>
    <row r="938" spans="1:13" x14ac:dyDescent="0.35">
      <c r="A938" s="1784">
        <v>906571</v>
      </c>
      <c r="B938" s="1784"/>
      <c r="C938" s="1794">
        <v>2.21</v>
      </c>
      <c r="D938" s="1794">
        <v>0.1</v>
      </c>
      <c r="E938" s="1795">
        <v>0.87</v>
      </c>
      <c r="F938" s="1794">
        <v>0.02</v>
      </c>
      <c r="G938" s="1794">
        <v>5.97</v>
      </c>
      <c r="H938" s="1794">
        <v>0.34</v>
      </c>
      <c r="I938" s="1794">
        <v>11.43</v>
      </c>
      <c r="J938" s="1794">
        <v>7.34</v>
      </c>
      <c r="K938" s="1794">
        <v>16.29</v>
      </c>
      <c r="L938" s="1794">
        <v>134.65</v>
      </c>
      <c r="M938" s="1794">
        <v>56.75</v>
      </c>
    </row>
    <row r="939" spans="1:13" x14ac:dyDescent="0.35">
      <c r="A939" s="1784">
        <v>906572</v>
      </c>
      <c r="B939" s="1784"/>
      <c r="C939" s="1794">
        <v>2.19</v>
      </c>
      <c r="D939" s="1794">
        <v>0.12</v>
      </c>
      <c r="E939" s="1795">
        <v>1.1399999999999999</v>
      </c>
      <c r="F939" s="1794">
        <v>0.05</v>
      </c>
      <c r="G939" s="1794">
        <v>4.13</v>
      </c>
      <c r="H939" s="1794">
        <v>0.34</v>
      </c>
      <c r="I939" s="1794">
        <v>46.05</v>
      </c>
      <c r="J939" s="1794">
        <v>7.59</v>
      </c>
      <c r="K939" s="1794">
        <v>55.79</v>
      </c>
      <c r="L939" s="1794">
        <v>111.6</v>
      </c>
      <c r="M939" s="1794">
        <v>55.04</v>
      </c>
    </row>
    <row r="940" spans="1:13" x14ac:dyDescent="0.35">
      <c r="A940" s="1784">
        <v>906573</v>
      </c>
      <c r="B940" s="1784"/>
      <c r="C940" s="1794">
        <v>1.91</v>
      </c>
      <c r="D940" s="1794">
        <v>0.1</v>
      </c>
      <c r="E940" s="1795">
        <v>0.68</v>
      </c>
      <c r="F940" s="1794">
        <v>0.02</v>
      </c>
      <c r="G940" s="1794">
        <v>5.91</v>
      </c>
      <c r="H940" s="1794">
        <v>0.34</v>
      </c>
      <c r="I940" s="1794">
        <v>9.65</v>
      </c>
      <c r="J940" s="1794">
        <v>10.83</v>
      </c>
      <c r="K940" s="1794">
        <v>15.71</v>
      </c>
      <c r="L940" s="1794">
        <v>132.93</v>
      </c>
      <c r="M940" s="1794">
        <v>48.54</v>
      </c>
    </row>
    <row r="941" spans="1:13" x14ac:dyDescent="0.35">
      <c r="A941" s="1784">
        <v>906574</v>
      </c>
      <c r="B941" s="1784"/>
      <c r="C941" s="1794">
        <v>2.0499999999999998</v>
      </c>
      <c r="D941" s="1794">
        <v>0.11</v>
      </c>
      <c r="E941" s="1795">
        <v>0.89</v>
      </c>
      <c r="F941" s="1794">
        <v>0.04</v>
      </c>
      <c r="G941" s="1794">
        <v>4.9800000000000004</v>
      </c>
      <c r="H941" s="1794">
        <v>0.34</v>
      </c>
      <c r="I941" s="1794">
        <v>9.34</v>
      </c>
      <c r="J941" s="1794">
        <v>8.61</v>
      </c>
      <c r="K941" s="1794">
        <v>14.17</v>
      </c>
      <c r="L941" s="1794">
        <v>117.56</v>
      </c>
      <c r="M941" s="1794">
        <v>49.05</v>
      </c>
    </row>
    <row r="942" spans="1:13" x14ac:dyDescent="0.35">
      <c r="A942" s="1784">
        <v>906575</v>
      </c>
      <c r="B942" s="1784"/>
      <c r="C942" s="1794">
        <v>2.2999999999999998</v>
      </c>
      <c r="D942" s="1794">
        <v>0.12</v>
      </c>
      <c r="E942" s="1795">
        <v>2</v>
      </c>
      <c r="F942" s="1794">
        <v>0.05</v>
      </c>
      <c r="G942" s="1794">
        <v>4.62</v>
      </c>
      <c r="H942" s="1794">
        <v>0.28000000000000003</v>
      </c>
      <c r="I942" s="1794">
        <v>11.82</v>
      </c>
      <c r="J942" s="1794">
        <v>5.28</v>
      </c>
      <c r="K942" s="1794">
        <v>22.34</v>
      </c>
      <c r="L942" s="1794">
        <v>141.69999999999999</v>
      </c>
      <c r="M942" s="1794">
        <v>77.44</v>
      </c>
    </row>
    <row r="943" spans="1:13" x14ac:dyDescent="0.35">
      <c r="A943" s="1784">
        <v>906576</v>
      </c>
      <c r="B943" s="1784"/>
      <c r="C943" s="1794">
        <v>2.44</v>
      </c>
      <c r="D943" s="1794">
        <v>0.14000000000000001</v>
      </c>
      <c r="E943" s="1795">
        <v>1.66</v>
      </c>
      <c r="F943" s="1794">
        <v>0.04</v>
      </c>
      <c r="G943" s="1794">
        <v>3.28</v>
      </c>
      <c r="H943" s="1794">
        <v>0.21</v>
      </c>
      <c r="I943" s="1794">
        <v>12.57</v>
      </c>
      <c r="J943" s="1794">
        <v>4.34</v>
      </c>
      <c r="K943" s="1794">
        <v>26.41</v>
      </c>
      <c r="L943" s="1794">
        <v>138.77000000000001</v>
      </c>
      <c r="M943" s="1794">
        <v>91.3</v>
      </c>
    </row>
    <row r="944" spans="1:13" x14ac:dyDescent="0.35">
      <c r="A944" s="1784">
        <v>906577</v>
      </c>
      <c r="B944" s="1784"/>
      <c r="C944" s="1794">
        <v>2.61</v>
      </c>
      <c r="D944" s="1794">
        <v>0.12</v>
      </c>
      <c r="E944" s="1795">
        <v>2.5099999999999998</v>
      </c>
      <c r="F944" s="1794">
        <v>0.06</v>
      </c>
      <c r="G944" s="1794">
        <v>3.35</v>
      </c>
      <c r="H944" s="1794">
        <v>0.22</v>
      </c>
      <c r="I944" s="1794">
        <v>9.75</v>
      </c>
      <c r="J944" s="1794">
        <v>9.8699999999999992</v>
      </c>
      <c r="K944" s="1794">
        <v>25.09</v>
      </c>
      <c r="L944" s="1794">
        <v>166.85</v>
      </c>
      <c r="M944" s="1794">
        <v>68.319999999999993</v>
      </c>
    </row>
    <row r="945" spans="1:13" x14ac:dyDescent="0.35">
      <c r="A945" s="1784">
        <v>906578</v>
      </c>
      <c r="B945" s="1784"/>
      <c r="C945" s="1794">
        <v>2.38</v>
      </c>
      <c r="D945" s="1794">
        <v>0.13</v>
      </c>
      <c r="E945" s="1795">
        <v>2.1</v>
      </c>
      <c r="F945" s="1794">
        <v>0.04</v>
      </c>
      <c r="G945" s="1794">
        <v>3.57</v>
      </c>
      <c r="H945" s="1794">
        <v>0.25</v>
      </c>
      <c r="I945" s="1794">
        <v>10.49</v>
      </c>
      <c r="J945" s="1794">
        <v>7.55</v>
      </c>
      <c r="K945" s="1794">
        <v>25.28</v>
      </c>
      <c r="L945" s="1794">
        <v>152.43</v>
      </c>
      <c r="M945" s="1794">
        <v>75.44</v>
      </c>
    </row>
    <row r="946" spans="1:13" x14ac:dyDescent="0.35">
      <c r="A946" s="1784">
        <v>906579</v>
      </c>
      <c r="B946" s="1784"/>
      <c r="C946" s="1794">
        <v>2.4900000000000002</v>
      </c>
      <c r="D946" s="1794">
        <v>0.1</v>
      </c>
      <c r="E946" s="1795">
        <v>0.85</v>
      </c>
      <c r="F946" s="1794">
        <v>0.02</v>
      </c>
      <c r="G946" s="1794">
        <v>4.8600000000000003</v>
      </c>
      <c r="H946" s="1794">
        <v>0.41</v>
      </c>
      <c r="I946" s="1794">
        <v>25.09</v>
      </c>
      <c r="J946" s="1794">
        <v>14.34</v>
      </c>
      <c r="K946" s="1794">
        <v>36.520000000000003</v>
      </c>
      <c r="L946" s="1794">
        <v>92.52</v>
      </c>
      <c r="M946" s="1794">
        <v>45.87</v>
      </c>
    </row>
    <row r="947" spans="1:13" x14ac:dyDescent="0.35">
      <c r="A947" s="1784">
        <v>906580</v>
      </c>
      <c r="B947" s="1784"/>
      <c r="C947" s="1794">
        <v>2.16</v>
      </c>
      <c r="D947" s="1794">
        <v>0.13</v>
      </c>
      <c r="E947" s="1795">
        <v>0.86</v>
      </c>
      <c r="F947" s="1794">
        <v>0.02</v>
      </c>
      <c r="G947" s="1794">
        <v>5.5</v>
      </c>
      <c r="H947" s="1794">
        <v>0.43</v>
      </c>
      <c r="I947" s="1794">
        <v>14.64</v>
      </c>
      <c r="J947" s="1794">
        <v>19.07</v>
      </c>
      <c r="K947" s="1794">
        <v>30.89</v>
      </c>
      <c r="L947" s="1794">
        <v>119.45</v>
      </c>
      <c r="M947" s="1794">
        <v>63.03</v>
      </c>
    </row>
    <row r="948" spans="1:13" x14ac:dyDescent="0.35">
      <c r="A948" s="1784">
        <v>906581</v>
      </c>
      <c r="B948" s="1784"/>
      <c r="C948" s="1794">
        <v>2.16</v>
      </c>
      <c r="D948" s="1794">
        <v>0.11</v>
      </c>
      <c r="E948" s="1795">
        <v>0.65</v>
      </c>
      <c r="F948" s="1794">
        <v>0.02</v>
      </c>
      <c r="G948" s="1794">
        <v>5.42</v>
      </c>
      <c r="H948" s="1794">
        <v>0.42</v>
      </c>
      <c r="I948" s="1794">
        <v>15.63</v>
      </c>
      <c r="J948" s="1794">
        <v>8.34</v>
      </c>
      <c r="K948" s="1794">
        <v>25.47</v>
      </c>
      <c r="L948" s="1794">
        <v>129.18</v>
      </c>
      <c r="M948" s="1794">
        <v>44.51</v>
      </c>
    </row>
    <row r="949" spans="1:13" x14ac:dyDescent="0.35">
      <c r="A949" s="1784">
        <v>906582</v>
      </c>
      <c r="B949" s="1784"/>
      <c r="C949" s="1794">
        <v>2.21</v>
      </c>
      <c r="D949" s="1794">
        <v>0.13</v>
      </c>
      <c r="E949" s="1795">
        <v>1.18</v>
      </c>
      <c r="F949" s="1794">
        <v>0.03</v>
      </c>
      <c r="G949" s="1794">
        <v>4.0599999999999996</v>
      </c>
      <c r="H949" s="1794">
        <v>0.35</v>
      </c>
      <c r="I949" s="1794">
        <v>50.43</v>
      </c>
      <c r="J949" s="1794">
        <v>3.71</v>
      </c>
      <c r="K949" s="1794">
        <v>56.71</v>
      </c>
      <c r="L949" s="1794">
        <v>134.55000000000001</v>
      </c>
      <c r="M949" s="1794">
        <v>57.81</v>
      </c>
    </row>
    <row r="950" spans="1:13" x14ac:dyDescent="0.35">
      <c r="A950" s="1784">
        <v>906583</v>
      </c>
      <c r="B950" s="1784"/>
      <c r="C950" s="1794">
        <v>2.21</v>
      </c>
      <c r="D950" s="1794">
        <v>0.11</v>
      </c>
      <c r="E950" s="1795">
        <v>2.02</v>
      </c>
      <c r="F950" s="1794">
        <v>0.04</v>
      </c>
      <c r="G950" s="1794">
        <v>3.58</v>
      </c>
      <c r="H950" s="1794">
        <v>0.27</v>
      </c>
      <c r="I950" s="1794">
        <v>40.44</v>
      </c>
      <c r="J950" s="1794">
        <v>44.13</v>
      </c>
      <c r="K950" s="1794">
        <v>57.62</v>
      </c>
      <c r="L950" s="1794">
        <v>167.57</v>
      </c>
      <c r="M950" s="1794">
        <v>76.8</v>
      </c>
    </row>
    <row r="951" spans="1:13" x14ac:dyDescent="0.35">
      <c r="A951" s="1784">
        <v>906584</v>
      </c>
      <c r="B951" s="1784"/>
      <c r="C951" s="1794">
        <v>2.1</v>
      </c>
      <c r="D951" s="1794">
        <v>0.15</v>
      </c>
      <c r="E951" s="1795">
        <v>1.21</v>
      </c>
      <c r="F951" s="1794">
        <v>0.05</v>
      </c>
      <c r="G951" s="1794">
        <v>5.1100000000000003</v>
      </c>
      <c r="H951" s="1794">
        <v>0.31</v>
      </c>
      <c r="I951" s="1794">
        <v>15.29</v>
      </c>
      <c r="J951" s="1794">
        <v>6.98</v>
      </c>
      <c r="K951" s="1794">
        <v>28.06</v>
      </c>
      <c r="L951" s="1794">
        <v>123.22</v>
      </c>
      <c r="M951" s="1794">
        <v>57.32</v>
      </c>
    </row>
    <row r="952" spans="1:13" x14ac:dyDescent="0.35">
      <c r="A952" s="1784">
        <v>906585</v>
      </c>
      <c r="B952" s="1784"/>
      <c r="C952" s="1794">
        <v>2.41</v>
      </c>
      <c r="D952" s="1794">
        <v>0.13</v>
      </c>
      <c r="E952" s="1795">
        <v>1.1499999999999999</v>
      </c>
      <c r="F952" s="1794">
        <v>0.05</v>
      </c>
      <c r="G952" s="1794">
        <v>3.35</v>
      </c>
      <c r="H952" s="1794">
        <v>0.34</v>
      </c>
      <c r="I952" s="1794">
        <v>16.25</v>
      </c>
      <c r="J952" s="1794">
        <v>5.22</v>
      </c>
      <c r="K952" s="1794">
        <v>31.88</v>
      </c>
      <c r="L952" s="1794">
        <v>208.55</v>
      </c>
      <c r="M952" s="1794">
        <v>75.459999999999994</v>
      </c>
    </row>
    <row r="953" spans="1:13" x14ac:dyDescent="0.35">
      <c r="A953" s="1784">
        <v>906586</v>
      </c>
      <c r="B953" s="1784"/>
      <c r="C953" s="1794">
        <v>2.13</v>
      </c>
      <c r="D953" s="1794">
        <v>0.13</v>
      </c>
      <c r="E953" s="1795">
        <v>1.08</v>
      </c>
      <c r="F953" s="1794">
        <v>0.08</v>
      </c>
      <c r="G953" s="1794">
        <v>4.7300000000000004</v>
      </c>
      <c r="H953" s="1794">
        <v>0.35</v>
      </c>
      <c r="I953" s="1794">
        <v>16.77</v>
      </c>
      <c r="J953" s="1794">
        <v>411.49</v>
      </c>
      <c r="K953" s="1794">
        <v>25.5</v>
      </c>
      <c r="L953" s="1794">
        <v>180.81</v>
      </c>
      <c r="M953" s="1794">
        <v>53.47</v>
      </c>
    </row>
    <row r="954" spans="1:13" x14ac:dyDescent="0.35">
      <c r="A954" s="1784">
        <v>906587</v>
      </c>
      <c r="B954" s="1784"/>
      <c r="C954" s="1794">
        <v>1.91</v>
      </c>
      <c r="D954" s="1794">
        <v>0.12</v>
      </c>
      <c r="E954" s="1795">
        <v>1.06</v>
      </c>
      <c r="F954" s="1794">
        <v>0.05</v>
      </c>
      <c r="G954" s="1794">
        <v>4.16</v>
      </c>
      <c r="H954" s="1794">
        <v>0.39</v>
      </c>
      <c r="I954" s="1794">
        <v>20.97</v>
      </c>
      <c r="J954" s="1794">
        <v>12.78</v>
      </c>
      <c r="K954" s="1794">
        <v>28.6</v>
      </c>
      <c r="L954" s="1794">
        <v>194.76</v>
      </c>
      <c r="M954" s="1794">
        <v>61.81</v>
      </c>
    </row>
    <row r="955" spans="1:13" x14ac:dyDescent="0.35">
      <c r="A955" s="1784">
        <v>906588</v>
      </c>
      <c r="B955" s="1784"/>
      <c r="C955" s="1794">
        <v>1.99</v>
      </c>
      <c r="D955" s="1794">
        <v>0.11</v>
      </c>
      <c r="E955" s="1795">
        <v>0.44</v>
      </c>
      <c r="F955" s="1794">
        <v>0.03</v>
      </c>
      <c r="G955" s="1794">
        <v>6.03</v>
      </c>
      <c r="H955" s="1794">
        <v>0.47</v>
      </c>
      <c r="I955" s="1794">
        <v>8.18</v>
      </c>
      <c r="J955" s="1794">
        <v>15.92</v>
      </c>
      <c r="K955" s="1794">
        <v>14.57</v>
      </c>
      <c r="L955" s="1794">
        <v>155</v>
      </c>
      <c r="M955" s="1794">
        <v>38.9</v>
      </c>
    </row>
    <row r="956" spans="1:13" x14ac:dyDescent="0.35">
      <c r="A956" s="1784">
        <v>906589</v>
      </c>
      <c r="B956" s="1784"/>
      <c r="C956" s="1794">
        <v>1.93</v>
      </c>
      <c r="D956" s="1794">
        <v>0.14000000000000001</v>
      </c>
      <c r="E956" s="1795">
        <v>1.38</v>
      </c>
      <c r="F956" s="1794">
        <v>0.06</v>
      </c>
      <c r="G956" s="1794">
        <v>3.88</v>
      </c>
      <c r="H956" s="1794">
        <v>0.42</v>
      </c>
      <c r="I956" s="1794">
        <v>13.66</v>
      </c>
      <c r="J956" s="1794">
        <v>10.44</v>
      </c>
      <c r="K956" s="1794">
        <v>22.64</v>
      </c>
      <c r="L956" s="1794">
        <v>207.53</v>
      </c>
      <c r="M956" s="1794">
        <v>54.86</v>
      </c>
    </row>
    <row r="957" spans="1:13" x14ac:dyDescent="0.35">
      <c r="A957" s="1784">
        <v>906590</v>
      </c>
      <c r="B957" s="1784"/>
      <c r="C957" s="1794">
        <v>2.13</v>
      </c>
      <c r="D957" s="1794">
        <v>0.11</v>
      </c>
      <c r="E957" s="1795">
        <v>0.74</v>
      </c>
      <c r="F957" s="1794">
        <v>0.03</v>
      </c>
      <c r="G957" s="1794">
        <v>6.49</v>
      </c>
      <c r="H957" s="1794">
        <v>0.32</v>
      </c>
      <c r="I957" s="1794">
        <v>11.13</v>
      </c>
      <c r="J957" s="1794">
        <v>8.6</v>
      </c>
      <c r="K957" s="1794">
        <v>15.53</v>
      </c>
      <c r="L957" s="1794">
        <v>164.02</v>
      </c>
      <c r="M957" s="1794">
        <v>89.13</v>
      </c>
    </row>
    <row r="958" spans="1:13" x14ac:dyDescent="0.35">
      <c r="A958" s="1784">
        <v>906591</v>
      </c>
      <c r="B958" s="1784"/>
      <c r="C958" s="1794">
        <v>1.93</v>
      </c>
      <c r="D958" s="1794">
        <v>0.1</v>
      </c>
      <c r="E958" s="1795">
        <v>0.8</v>
      </c>
      <c r="F958" s="1794">
        <v>0.05</v>
      </c>
      <c r="G958" s="1794">
        <v>4.29</v>
      </c>
      <c r="H958" s="1794">
        <v>0.23</v>
      </c>
      <c r="I958" s="1794">
        <v>53.84</v>
      </c>
      <c r="J958" s="1794">
        <v>12.41</v>
      </c>
      <c r="K958" s="1794">
        <v>84.89</v>
      </c>
      <c r="L958" s="1794">
        <v>186.12</v>
      </c>
      <c r="M958" s="1794">
        <v>28.85</v>
      </c>
    </row>
    <row r="959" spans="1:13" x14ac:dyDescent="0.35">
      <c r="A959" s="1784">
        <v>906592</v>
      </c>
      <c r="B959" s="1784"/>
      <c r="C959" s="1794">
        <v>1.82</v>
      </c>
      <c r="D959" s="1794">
        <v>0.25</v>
      </c>
      <c r="E959" s="1794">
        <v>0.94</v>
      </c>
      <c r="F959" s="1794">
        <v>0.02</v>
      </c>
      <c r="G959" s="1794">
        <v>0.5</v>
      </c>
      <c r="H959" s="1794">
        <v>0.36</v>
      </c>
      <c r="I959" s="1794">
        <v>21.1</v>
      </c>
      <c r="J959" s="1794">
        <v>10.130000000000001</v>
      </c>
      <c r="K959" s="1794">
        <v>148.58000000000001</v>
      </c>
      <c r="L959" s="1794">
        <v>74.819999999999993</v>
      </c>
      <c r="M959" s="1794">
        <v>78.42</v>
      </c>
    </row>
    <row r="960" spans="1:13" x14ac:dyDescent="0.35">
      <c r="A960" s="1784">
        <v>906593</v>
      </c>
      <c r="B960" s="1784"/>
      <c r="C960" s="1794">
        <v>1.54</v>
      </c>
      <c r="D960" s="1794">
        <v>0.21</v>
      </c>
      <c r="E960" s="1794">
        <v>0.53</v>
      </c>
      <c r="F960" s="1794">
        <v>0.04</v>
      </c>
      <c r="G960" s="1794">
        <v>1.1499999999999999</v>
      </c>
      <c r="H960" s="1794">
        <v>0.31</v>
      </c>
      <c r="I960" s="1794">
        <v>39.78</v>
      </c>
      <c r="J960" s="1794">
        <v>13.71</v>
      </c>
      <c r="K960" s="1794">
        <v>252.45</v>
      </c>
      <c r="L960" s="1794">
        <v>185.09</v>
      </c>
      <c r="M960" s="1794">
        <v>103.16</v>
      </c>
    </row>
    <row r="961" spans="1:13" x14ac:dyDescent="0.35">
      <c r="A961" s="1784">
        <v>906594</v>
      </c>
      <c r="B961" s="1784"/>
      <c r="C961" s="1794">
        <v>1.79</v>
      </c>
      <c r="D961" s="1794">
        <v>0.2</v>
      </c>
      <c r="E961" s="1794">
        <v>1.19</v>
      </c>
      <c r="F961" s="1794">
        <v>0.03</v>
      </c>
      <c r="G961" s="1794">
        <v>0.92</v>
      </c>
      <c r="H961" s="1794">
        <v>0.27</v>
      </c>
      <c r="I961" s="1794">
        <v>22.6</v>
      </c>
      <c r="J961" s="1794">
        <v>5.51</v>
      </c>
      <c r="K961" s="1794">
        <v>99.87</v>
      </c>
      <c r="L961" s="1794">
        <v>93.35</v>
      </c>
      <c r="M961" s="1794">
        <v>54.2</v>
      </c>
    </row>
    <row r="962" spans="1:13" x14ac:dyDescent="0.35">
      <c r="A962" s="1784">
        <v>906595</v>
      </c>
      <c r="B962" s="1784"/>
      <c r="C962" s="1794">
        <v>1.43</v>
      </c>
      <c r="D962" s="1794">
        <v>0.13</v>
      </c>
      <c r="E962" s="1794">
        <v>0.61</v>
      </c>
      <c r="F962" s="1794">
        <v>0.03</v>
      </c>
      <c r="G962" s="1794">
        <v>0.91</v>
      </c>
      <c r="H962" s="1794">
        <v>0.28999999999999998</v>
      </c>
      <c r="I962" s="1794">
        <v>36.64</v>
      </c>
      <c r="J962" s="1794">
        <v>35.31</v>
      </c>
      <c r="K962" s="1794">
        <v>220.29</v>
      </c>
      <c r="L962" s="1794">
        <v>72.34</v>
      </c>
      <c r="M962" s="1794">
        <v>96.67</v>
      </c>
    </row>
    <row r="963" spans="1:13" x14ac:dyDescent="0.35">
      <c r="A963" s="1784">
        <v>906596</v>
      </c>
      <c r="B963" s="1784"/>
      <c r="C963" s="1794">
        <v>4.26</v>
      </c>
      <c r="D963" s="1794">
        <v>0.5</v>
      </c>
      <c r="E963" s="1794">
        <v>3.76</v>
      </c>
      <c r="F963" s="1794">
        <v>0.15</v>
      </c>
      <c r="G963" s="1794">
        <v>4.43</v>
      </c>
      <c r="H963" s="1794">
        <v>1.08</v>
      </c>
      <c r="I963" s="1794">
        <v>21.89</v>
      </c>
      <c r="J963" s="1794">
        <v>9.34</v>
      </c>
      <c r="K963" s="1794">
        <v>44.82</v>
      </c>
      <c r="L963" s="1794">
        <v>119.1</v>
      </c>
      <c r="M963" s="1794">
        <v>39.28</v>
      </c>
    </row>
    <row r="964" spans="1:13" x14ac:dyDescent="0.35">
      <c r="A964" s="1784">
        <v>906597</v>
      </c>
      <c r="B964" s="1784"/>
      <c r="C964" s="1794">
        <v>3.7</v>
      </c>
      <c r="D964" s="1794">
        <v>0.33</v>
      </c>
      <c r="E964" s="1794">
        <v>2.84</v>
      </c>
      <c r="F964" s="1794">
        <v>0.12</v>
      </c>
      <c r="G964" s="1794">
        <v>3.93</v>
      </c>
      <c r="H964" s="1794">
        <v>0.83</v>
      </c>
      <c r="I964" s="1794">
        <v>18.059999999999999</v>
      </c>
      <c r="J964" s="1794">
        <v>9.19</v>
      </c>
      <c r="K964" s="1794">
        <v>31.64</v>
      </c>
      <c r="L964" s="1794">
        <v>85.38</v>
      </c>
      <c r="M964" s="1794">
        <v>33.01</v>
      </c>
    </row>
    <row r="965" spans="1:13" x14ac:dyDescent="0.35">
      <c r="A965" s="1784">
        <v>906598</v>
      </c>
      <c r="B965" s="1784"/>
      <c r="C965" s="1794">
        <v>4.12</v>
      </c>
      <c r="D965" s="1794">
        <v>0.35</v>
      </c>
      <c r="E965" s="1794">
        <v>2.7</v>
      </c>
      <c r="F965" s="1794">
        <v>0.11</v>
      </c>
      <c r="G965" s="1794">
        <v>4.0599999999999996</v>
      </c>
      <c r="H965" s="1794">
        <v>1.04</v>
      </c>
      <c r="I965" s="1794">
        <v>18.64</v>
      </c>
      <c r="J965" s="1794">
        <v>9.4600000000000009</v>
      </c>
      <c r="K965" s="1794">
        <v>41.03</v>
      </c>
      <c r="L965" s="1794">
        <v>94.56</v>
      </c>
      <c r="M965" s="1794">
        <v>38.28</v>
      </c>
    </row>
    <row r="966" spans="1:13" x14ac:dyDescent="0.35">
      <c r="A966" s="1784">
        <v>906599</v>
      </c>
      <c r="B966" s="1784"/>
      <c r="C966" s="1794">
        <v>3.53</v>
      </c>
      <c r="D966" s="1794">
        <v>0.28000000000000003</v>
      </c>
      <c r="E966" s="1794">
        <v>2.04</v>
      </c>
      <c r="F966" s="1794">
        <v>0.11</v>
      </c>
      <c r="G966" s="1794">
        <v>3.7</v>
      </c>
      <c r="H966" s="1794">
        <v>0.87</v>
      </c>
      <c r="I966" s="1794">
        <v>18.39</v>
      </c>
      <c r="J966" s="1794">
        <v>7.36</v>
      </c>
      <c r="K966" s="1794">
        <v>45.02</v>
      </c>
      <c r="L966" s="1794">
        <v>87.91</v>
      </c>
      <c r="M966" s="1794">
        <v>28.11</v>
      </c>
    </row>
    <row r="967" spans="1:13" x14ac:dyDescent="0.35">
      <c r="A967" s="1784">
        <v>906600</v>
      </c>
      <c r="B967" s="1784"/>
      <c r="C967" s="1794">
        <v>1.06</v>
      </c>
      <c r="D967" s="1794">
        <v>0.11</v>
      </c>
      <c r="E967" s="1794">
        <v>0.5</v>
      </c>
      <c r="F967" s="1794">
        <v>0.02</v>
      </c>
      <c r="G967" s="1794">
        <v>0.63</v>
      </c>
      <c r="H967" s="1794">
        <v>0.25</v>
      </c>
      <c r="I967" s="1794">
        <v>11.64</v>
      </c>
      <c r="J967" s="1794">
        <v>16.45</v>
      </c>
      <c r="K967" s="1794">
        <v>106.29</v>
      </c>
      <c r="L967" s="1794">
        <v>202.22</v>
      </c>
      <c r="M967" s="1794">
        <v>53.56</v>
      </c>
    </row>
    <row r="968" spans="1:13" x14ac:dyDescent="0.35">
      <c r="A968" s="1784">
        <v>906601</v>
      </c>
      <c r="B968" s="1784"/>
      <c r="C968" s="1794">
        <v>0.95</v>
      </c>
      <c r="D968" s="1794">
        <v>0.13</v>
      </c>
      <c r="E968" s="1794">
        <v>0.51</v>
      </c>
      <c r="F968" s="1794">
        <v>0.02</v>
      </c>
      <c r="G968" s="1794">
        <v>0.8</v>
      </c>
      <c r="H968" s="1794">
        <v>0.21</v>
      </c>
      <c r="I968" s="1794">
        <v>10.96</v>
      </c>
      <c r="J968" s="1794">
        <v>2.96</v>
      </c>
      <c r="K968" s="1794">
        <v>190.14</v>
      </c>
      <c r="L968" s="1794">
        <v>191.06</v>
      </c>
      <c r="M968" s="1794">
        <v>27.56</v>
      </c>
    </row>
    <row r="969" spans="1:13" x14ac:dyDescent="0.35">
      <c r="A969" s="1784">
        <v>906602</v>
      </c>
      <c r="B969" s="1784"/>
      <c r="C969" s="1794">
        <v>1.0900000000000001</v>
      </c>
      <c r="D969" s="1794">
        <v>0.08</v>
      </c>
      <c r="E969" s="1794">
        <v>0.77</v>
      </c>
      <c r="F969" s="1794">
        <v>0.02</v>
      </c>
      <c r="G969" s="1794">
        <v>0.68</v>
      </c>
      <c r="H969" s="1794">
        <v>0.26</v>
      </c>
      <c r="I969" s="1794">
        <v>12.66</v>
      </c>
      <c r="J969" s="1794">
        <v>4.96</v>
      </c>
      <c r="K969" s="1794">
        <v>59.1</v>
      </c>
      <c r="L969" s="1794">
        <v>206.48</v>
      </c>
      <c r="M969" s="1794">
        <v>40.15</v>
      </c>
    </row>
    <row r="970" spans="1:13" x14ac:dyDescent="0.35">
      <c r="A970" s="1784" t="s">
        <v>513</v>
      </c>
      <c r="B970" s="1782"/>
      <c r="C970" s="1786">
        <v>3.17</v>
      </c>
      <c r="D970" s="1786">
        <v>0.34</v>
      </c>
      <c r="E970" s="1786">
        <v>2.2000000000000002</v>
      </c>
      <c r="F970" s="1786">
        <v>0.04</v>
      </c>
      <c r="G970" s="1786">
        <v>1.58</v>
      </c>
      <c r="H970" s="1786">
        <v>0.69</v>
      </c>
      <c r="I970" s="1786">
        <v>14.31</v>
      </c>
      <c r="J970" s="1786">
        <v>5.05</v>
      </c>
      <c r="K970" s="1786">
        <v>83.37</v>
      </c>
      <c r="L970" s="1786">
        <v>111.43</v>
      </c>
      <c r="M970" s="1786">
        <v>56.56</v>
      </c>
    </row>
    <row r="971" spans="1:13" x14ac:dyDescent="0.35">
      <c r="A971" s="1784" t="s">
        <v>514</v>
      </c>
      <c r="B971" s="1782"/>
      <c r="C971" s="1786">
        <v>2.19</v>
      </c>
      <c r="D971" s="1786">
        <v>0.25</v>
      </c>
      <c r="E971" s="1786">
        <v>2.0699999999999998</v>
      </c>
      <c r="F971" s="1786">
        <v>0.04</v>
      </c>
      <c r="G971" s="1786">
        <v>1.23</v>
      </c>
      <c r="H971" s="1786">
        <v>0.49</v>
      </c>
      <c r="I971" s="1786">
        <v>14.21</v>
      </c>
      <c r="J971" s="1786">
        <v>4.74</v>
      </c>
      <c r="K971" s="1786">
        <v>57.17</v>
      </c>
      <c r="L971" s="1786">
        <v>111.34</v>
      </c>
      <c r="M971" s="1786">
        <v>56.68</v>
      </c>
    </row>
    <row r="972" spans="1:13" x14ac:dyDescent="0.35">
      <c r="A972" s="1784" t="s">
        <v>515</v>
      </c>
      <c r="B972" s="1782"/>
      <c r="C972" s="1786">
        <v>1.85</v>
      </c>
      <c r="D972" s="1786">
        <v>0.13</v>
      </c>
      <c r="E972" s="1786">
        <v>1.08</v>
      </c>
      <c r="F972" s="1786">
        <v>0.14000000000000001</v>
      </c>
      <c r="G972" s="1786">
        <v>1.01</v>
      </c>
      <c r="H972" s="1786">
        <v>0.28999999999999998</v>
      </c>
      <c r="I972" s="1786">
        <v>12.7</v>
      </c>
      <c r="J972" s="1786">
        <v>3.09</v>
      </c>
      <c r="K972" s="1786">
        <v>359.84</v>
      </c>
      <c r="L972" s="1786">
        <v>122.39</v>
      </c>
      <c r="M972" s="1786">
        <v>207.22</v>
      </c>
    </row>
    <row r="973" spans="1:13" x14ac:dyDescent="0.35">
      <c r="A973" s="1784" t="s">
        <v>516</v>
      </c>
      <c r="B973" s="1782"/>
      <c r="C973" s="1786">
        <v>3.14</v>
      </c>
      <c r="D973" s="1786">
        <v>0.21</v>
      </c>
      <c r="E973" s="1786">
        <v>1.44</v>
      </c>
      <c r="F973" s="1786">
        <v>0.05</v>
      </c>
      <c r="G973" s="1786">
        <v>3.27</v>
      </c>
      <c r="H973" s="1786">
        <v>0.82</v>
      </c>
      <c r="I973" s="1786">
        <v>15.33</v>
      </c>
      <c r="J973" s="1786">
        <v>7.63</v>
      </c>
      <c r="K973" s="1786">
        <v>104.25</v>
      </c>
      <c r="L973" s="1786">
        <v>123.51</v>
      </c>
      <c r="M973" s="1786">
        <v>221.96</v>
      </c>
    </row>
    <row r="974" spans="1:13" x14ac:dyDescent="0.35">
      <c r="A974" s="1784" t="s">
        <v>517</v>
      </c>
      <c r="B974" s="1782"/>
      <c r="C974" s="1786">
        <v>2.69</v>
      </c>
      <c r="D974" s="1786">
        <v>0.22</v>
      </c>
      <c r="E974" s="1786">
        <v>1.72</v>
      </c>
      <c r="F974" s="1786">
        <v>0.04</v>
      </c>
      <c r="G974" s="1786">
        <v>2.25</v>
      </c>
      <c r="H974" s="1786">
        <v>0.78</v>
      </c>
      <c r="I974" s="1786">
        <v>17.78</v>
      </c>
      <c r="J974" s="1786">
        <v>4.57</v>
      </c>
      <c r="K974" s="1786">
        <v>52.49</v>
      </c>
      <c r="L974" s="1786">
        <v>150.34</v>
      </c>
      <c r="M974" s="1786">
        <v>110.65</v>
      </c>
    </row>
    <row r="975" spans="1:13" x14ac:dyDescent="0.35">
      <c r="A975" s="1784" t="s">
        <v>518</v>
      </c>
      <c r="B975" s="1782"/>
      <c r="C975" s="1786">
        <v>3.05</v>
      </c>
      <c r="D975" s="1786">
        <v>0.24</v>
      </c>
      <c r="E975" s="1786">
        <v>1.68</v>
      </c>
      <c r="F975" s="1786">
        <v>0.09</v>
      </c>
      <c r="G975" s="1786">
        <v>0.49</v>
      </c>
      <c r="H975" s="1786">
        <v>0.44</v>
      </c>
      <c r="I975" s="1786">
        <v>32.42</v>
      </c>
      <c r="J975" s="1786">
        <v>9.61</v>
      </c>
      <c r="K975" s="1786">
        <v>102.29</v>
      </c>
      <c r="L975" s="1786">
        <v>151.87</v>
      </c>
      <c r="M975" s="1786">
        <v>48.62</v>
      </c>
    </row>
    <row r="976" spans="1:13" x14ac:dyDescent="0.35">
      <c r="A976" s="1784" t="s">
        <v>519</v>
      </c>
      <c r="B976" s="1782"/>
      <c r="C976" s="1786">
        <v>2.4900000000000002</v>
      </c>
      <c r="D976" s="1786">
        <v>0.23</v>
      </c>
      <c r="E976" s="1786">
        <v>2.0499999999999998</v>
      </c>
      <c r="F976" s="1786">
        <v>0.05</v>
      </c>
      <c r="G976" s="1786">
        <v>2.04</v>
      </c>
      <c r="H976" s="1786">
        <v>0.74</v>
      </c>
      <c r="I976" s="1786">
        <v>41.24</v>
      </c>
      <c r="J976" s="1786">
        <v>7.9</v>
      </c>
      <c r="K976" s="1786">
        <v>235.78</v>
      </c>
      <c r="L976" s="1786">
        <v>169.84</v>
      </c>
      <c r="M976" s="1786">
        <v>96.38</v>
      </c>
    </row>
    <row r="977" spans="1:15" x14ac:dyDescent="0.35">
      <c r="A977" s="1784" t="s">
        <v>520</v>
      </c>
      <c r="B977" s="1782"/>
      <c r="C977" s="1786">
        <v>2.5499999999999998</v>
      </c>
      <c r="D977" s="1786">
        <v>0.18</v>
      </c>
      <c r="E977" s="1786">
        <v>1.32</v>
      </c>
      <c r="F977" s="1786">
        <v>7.0000000000000007E-2</v>
      </c>
      <c r="G977" s="1786">
        <v>2.2999999999999998</v>
      </c>
      <c r="H977" s="1786">
        <v>1.35</v>
      </c>
      <c r="I977" s="1786">
        <v>39.35</v>
      </c>
      <c r="J977" s="1786">
        <v>6.48</v>
      </c>
      <c r="K977" s="1786">
        <v>178.82</v>
      </c>
      <c r="L977" s="1786">
        <v>151.11000000000001</v>
      </c>
      <c r="M977" s="1786">
        <v>118.35</v>
      </c>
    </row>
    <row r="978" spans="1:15" x14ac:dyDescent="0.35">
      <c r="A978" s="1784">
        <v>906603</v>
      </c>
      <c r="B978" s="1782"/>
      <c r="C978" s="1786">
        <v>4.74</v>
      </c>
      <c r="D978" s="1786">
        <v>0.25</v>
      </c>
      <c r="E978" s="1786">
        <v>7.25</v>
      </c>
      <c r="F978" s="1786">
        <v>0.05</v>
      </c>
      <c r="G978" s="1786">
        <v>3.15</v>
      </c>
      <c r="H978" s="1786">
        <v>0.94</v>
      </c>
      <c r="I978" s="1786">
        <v>61.09</v>
      </c>
      <c r="J978" s="1786">
        <v>9.9600000000000009</v>
      </c>
      <c r="K978" s="1786">
        <v>63</v>
      </c>
      <c r="L978" s="1786">
        <v>98.82</v>
      </c>
      <c r="M978" s="1786">
        <v>36.020000000000003</v>
      </c>
    </row>
    <row r="979" spans="1:15" x14ac:dyDescent="0.35">
      <c r="A979" s="1784">
        <v>906604</v>
      </c>
      <c r="B979" s="1782"/>
      <c r="C979" s="1786">
        <v>5.07</v>
      </c>
      <c r="D979" s="1786">
        <v>0.27</v>
      </c>
      <c r="E979" s="1786">
        <v>5.72</v>
      </c>
      <c r="F979" s="1786">
        <v>0.05</v>
      </c>
      <c r="G979" s="1786">
        <v>2.84</v>
      </c>
      <c r="H979" s="1786">
        <v>1.5</v>
      </c>
      <c r="I979" s="1786">
        <v>261.26</v>
      </c>
      <c r="J979" s="1786">
        <v>10.62</v>
      </c>
      <c r="K979" s="1786">
        <v>182.52</v>
      </c>
      <c r="L979" s="1786">
        <v>131.33000000000001</v>
      </c>
      <c r="M979" s="1786">
        <v>140.29</v>
      </c>
    </row>
    <row r="980" spans="1:15" x14ac:dyDescent="0.35">
      <c r="A980" s="1784">
        <v>906605</v>
      </c>
      <c r="B980" s="1782"/>
      <c r="C980" s="1786">
        <v>2.86</v>
      </c>
      <c r="D980" s="1786">
        <v>0.24</v>
      </c>
      <c r="E980" s="1786">
        <v>2.11</v>
      </c>
      <c r="F980" s="1786">
        <v>0.09</v>
      </c>
      <c r="G980" s="1786">
        <v>2.69</v>
      </c>
      <c r="H980" s="1786">
        <v>0.28999999999999998</v>
      </c>
      <c r="I980" s="1786">
        <v>24.52</v>
      </c>
      <c r="J980" s="1786">
        <v>7.08</v>
      </c>
      <c r="K980" s="1786">
        <v>45.73</v>
      </c>
      <c r="L980" s="1786">
        <v>73.25</v>
      </c>
      <c r="M980" s="1786">
        <v>129.21</v>
      </c>
    </row>
    <row r="981" spans="1:15" x14ac:dyDescent="0.35">
      <c r="A981" s="1784">
        <v>906606</v>
      </c>
      <c r="B981" s="1782"/>
      <c r="C981" s="1786">
        <v>2.66</v>
      </c>
      <c r="D981" s="1786">
        <v>0.15</v>
      </c>
      <c r="E981" s="1786">
        <v>1.44</v>
      </c>
      <c r="F981" s="1786">
        <v>0.08</v>
      </c>
      <c r="G981" s="1786">
        <v>3.46</v>
      </c>
      <c r="H981" s="1786">
        <v>0.28999999999999998</v>
      </c>
      <c r="I981" s="1786">
        <v>21.66</v>
      </c>
      <c r="J981" s="1786">
        <v>5.0599999999999996</v>
      </c>
      <c r="K981" s="1786">
        <v>80.08</v>
      </c>
      <c r="L981" s="1786">
        <v>107.48</v>
      </c>
      <c r="M981" s="1786">
        <v>175.96</v>
      </c>
    </row>
    <row r="982" spans="1:15" x14ac:dyDescent="0.35">
      <c r="A982" s="1792">
        <v>906607</v>
      </c>
      <c r="B982" s="1792"/>
      <c r="C982" s="1793">
        <v>1.32</v>
      </c>
      <c r="D982" s="1793">
        <v>0.11</v>
      </c>
      <c r="E982" s="1793">
        <v>0.51</v>
      </c>
      <c r="F982" s="1793">
        <v>0.06</v>
      </c>
      <c r="G982" s="1793">
        <v>0.94</v>
      </c>
      <c r="H982" s="1793">
        <v>0.16</v>
      </c>
      <c r="I982" s="1793">
        <v>26.25</v>
      </c>
      <c r="J982" s="1793">
        <v>7.09</v>
      </c>
      <c r="K982" s="1793">
        <v>44.43</v>
      </c>
      <c r="L982" s="1793">
        <v>54.65</v>
      </c>
      <c r="M982" s="1793">
        <v>23.75</v>
      </c>
    </row>
    <row r="983" spans="1:15" x14ac:dyDescent="0.35">
      <c r="A983" s="1792">
        <v>906608</v>
      </c>
      <c r="B983" s="1792"/>
      <c r="C983" s="1793">
        <v>0.81</v>
      </c>
      <c r="D983" s="1793">
        <v>0.1</v>
      </c>
      <c r="E983" s="1793">
        <v>0.7</v>
      </c>
      <c r="F983" s="1793">
        <v>0.05</v>
      </c>
      <c r="G983" s="1793">
        <v>1.06</v>
      </c>
      <c r="H983" s="1793">
        <v>0.15</v>
      </c>
      <c r="I983" s="1793">
        <v>25.22</v>
      </c>
      <c r="J983" s="1793">
        <v>10.039999999999999</v>
      </c>
      <c r="K983" s="1793">
        <v>49.06</v>
      </c>
      <c r="L983" s="1793">
        <v>59.87</v>
      </c>
      <c r="M983" s="1793">
        <v>32.43</v>
      </c>
    </row>
    <row r="984" spans="1:15" x14ac:dyDescent="0.35">
      <c r="A984" s="1792">
        <v>906609</v>
      </c>
      <c r="B984" s="1792"/>
      <c r="C984" s="1793">
        <v>1.0900000000000001</v>
      </c>
      <c r="D984" s="1793">
        <v>0.11</v>
      </c>
      <c r="E984" s="1793">
        <v>0.56999999999999995</v>
      </c>
      <c r="F984" s="1793">
        <v>0.06</v>
      </c>
      <c r="G984" s="1793">
        <v>1.55</v>
      </c>
      <c r="H984" s="1793">
        <v>0.19</v>
      </c>
      <c r="I984" s="1793">
        <v>35.1</v>
      </c>
      <c r="J984" s="1793">
        <v>13.43</v>
      </c>
      <c r="K984" s="1793">
        <v>40.590000000000003</v>
      </c>
      <c r="L984" s="1793">
        <v>154.97999999999999</v>
      </c>
      <c r="M984" s="1793">
        <v>25.35</v>
      </c>
    </row>
    <row r="985" spans="1:15" x14ac:dyDescent="0.35">
      <c r="A985" s="1786">
        <v>906610</v>
      </c>
      <c r="B985" s="1782"/>
      <c r="C985" s="1782"/>
      <c r="D985" s="1782"/>
      <c r="E985" s="1782"/>
      <c r="F985" s="1782"/>
      <c r="G985" s="1782"/>
      <c r="H985" s="1782"/>
      <c r="I985" s="1783"/>
      <c r="J985" s="1783"/>
      <c r="K985" s="1783"/>
      <c r="L985" s="1783"/>
      <c r="M985" s="1783"/>
      <c r="O985" s="796">
        <v>0.216</v>
      </c>
    </row>
    <row r="986" spans="1:15" x14ac:dyDescent="0.35">
      <c r="A986" s="1786">
        <v>906611</v>
      </c>
      <c r="B986" s="1782"/>
      <c r="C986" s="1782"/>
      <c r="D986" s="1782"/>
      <c r="E986" s="1782"/>
      <c r="F986" s="1782"/>
      <c r="G986" s="1782"/>
      <c r="H986" s="1782"/>
      <c r="I986" s="1783"/>
      <c r="J986" s="1783"/>
      <c r="K986" s="1783"/>
      <c r="L986" s="1783"/>
      <c r="M986" s="1783"/>
      <c r="O986" s="796">
        <v>0.17499999999999999</v>
      </c>
    </row>
    <row r="987" spans="1:15" x14ac:dyDescent="0.35">
      <c r="A987" s="1786">
        <v>906612</v>
      </c>
      <c r="B987" s="1782"/>
      <c r="C987" s="1782"/>
      <c r="D987" s="1782"/>
      <c r="E987" s="1782"/>
      <c r="F987" s="1782"/>
      <c r="G987" s="1782"/>
      <c r="H987" s="1782"/>
      <c r="I987" s="1783"/>
      <c r="J987" s="1783"/>
      <c r="K987" s="1783"/>
      <c r="L987" s="1783"/>
      <c r="M987" s="1783"/>
      <c r="O987" s="796">
        <v>0.21299999999999999</v>
      </c>
    </row>
    <row r="988" spans="1:15" x14ac:dyDescent="0.35">
      <c r="A988" s="1786">
        <v>906613</v>
      </c>
      <c r="B988" s="1782"/>
      <c r="C988" s="1782"/>
      <c r="D988" s="1782"/>
      <c r="E988" s="1782"/>
      <c r="F988" s="1782"/>
      <c r="G988" s="1782"/>
      <c r="H988" s="1782"/>
      <c r="I988" s="1783"/>
      <c r="J988" s="1783"/>
      <c r="K988" s="1783"/>
      <c r="L988" s="1783"/>
      <c r="M988" s="1783"/>
      <c r="O988" s="796">
        <v>0.29699999999999999</v>
      </c>
    </row>
    <row r="989" spans="1:15" x14ac:dyDescent="0.35">
      <c r="A989" s="1786">
        <v>906614</v>
      </c>
      <c r="B989" s="1782"/>
      <c r="C989" s="1782"/>
      <c r="D989" s="1782"/>
      <c r="E989" s="1782"/>
      <c r="F989" s="1782"/>
      <c r="G989" s="1782"/>
      <c r="H989" s="1782"/>
      <c r="I989" s="1783"/>
      <c r="J989" s="1783"/>
      <c r="K989" s="1783"/>
      <c r="L989" s="1783"/>
      <c r="M989" s="1783"/>
      <c r="O989" s="796">
        <v>0.27400000000000002</v>
      </c>
    </row>
    <row r="990" spans="1:15" x14ac:dyDescent="0.35">
      <c r="A990" s="1786">
        <v>906615</v>
      </c>
      <c r="B990" s="1782"/>
      <c r="C990" s="1782"/>
      <c r="D990" s="1782"/>
      <c r="E990" s="1782"/>
      <c r="F990" s="1782"/>
      <c r="G990" s="1782"/>
      <c r="H990" s="1782"/>
      <c r="I990" s="1783"/>
      <c r="J990" s="1783"/>
      <c r="K990" s="1783"/>
      <c r="L990" s="1783"/>
      <c r="M990" s="1783"/>
      <c r="O990" s="796">
        <v>0.372</v>
      </c>
    </row>
    <row r="991" spans="1:15" x14ac:dyDescent="0.35">
      <c r="A991" s="1786">
        <v>906616</v>
      </c>
      <c r="B991" s="1782"/>
      <c r="C991" s="1782"/>
      <c r="D991" s="1782"/>
      <c r="E991" s="1782"/>
      <c r="F991" s="1782"/>
      <c r="G991" s="1782"/>
      <c r="H991" s="1782"/>
      <c r="I991" s="1783"/>
      <c r="J991" s="1783"/>
      <c r="K991" s="1783"/>
      <c r="L991" s="1783"/>
      <c r="M991" s="1783"/>
      <c r="O991" s="796">
        <v>0.35899999999999999</v>
      </c>
    </row>
    <row r="992" spans="1:15" x14ac:dyDescent="0.35">
      <c r="A992" s="1786">
        <v>906617</v>
      </c>
      <c r="B992" s="1782"/>
      <c r="C992" s="1782"/>
      <c r="D992" s="1782"/>
      <c r="E992" s="1782"/>
      <c r="F992" s="1782"/>
      <c r="G992" s="1782"/>
      <c r="H992" s="1782"/>
      <c r="I992" s="1783"/>
      <c r="J992" s="1783"/>
      <c r="K992" s="1783"/>
      <c r="L992" s="1783"/>
      <c r="M992" s="1783"/>
      <c r="O992" s="796">
        <v>0.39300000000000002</v>
      </c>
    </row>
    <row r="993" spans="1:15" x14ac:dyDescent="0.35">
      <c r="A993" s="1786">
        <v>906618</v>
      </c>
      <c r="B993" s="1782"/>
      <c r="C993" s="1782"/>
      <c r="D993" s="1782"/>
      <c r="E993" s="1782"/>
      <c r="F993" s="1782"/>
      <c r="G993" s="1782"/>
      <c r="H993" s="1782"/>
      <c r="I993" s="1783"/>
      <c r="J993" s="1783"/>
      <c r="K993" s="1783"/>
      <c r="L993" s="1783"/>
      <c r="M993" s="1783"/>
      <c r="O993" s="796">
        <v>0.41499999999999998</v>
      </c>
    </row>
    <row r="994" spans="1:15" x14ac:dyDescent="0.35">
      <c r="A994" s="1786">
        <v>906619</v>
      </c>
      <c r="B994" s="1782"/>
      <c r="C994" s="1782"/>
      <c r="D994" s="1782"/>
      <c r="E994" s="1782"/>
      <c r="F994" s="1782"/>
      <c r="G994" s="1782"/>
      <c r="H994" s="1782"/>
      <c r="I994" s="1783"/>
      <c r="J994" s="1783"/>
      <c r="K994" s="1783"/>
      <c r="L994" s="1783"/>
      <c r="M994" s="1783"/>
      <c r="O994" s="796">
        <v>0.378</v>
      </c>
    </row>
    <row r="995" spans="1:15" x14ac:dyDescent="0.35">
      <c r="A995" s="1786">
        <v>906620</v>
      </c>
      <c r="B995" s="1782"/>
      <c r="C995" s="1782"/>
      <c r="D995" s="1782"/>
      <c r="E995" s="1782"/>
      <c r="F995" s="1782"/>
      <c r="G995" s="1782"/>
      <c r="H995" s="1782"/>
      <c r="I995" s="1783"/>
      <c r="J995" s="1783"/>
      <c r="K995" s="1783"/>
      <c r="L995" s="1783"/>
      <c r="M995" s="1783"/>
      <c r="O995" s="796">
        <v>0.38900000000000001</v>
      </c>
    </row>
    <row r="996" spans="1:15" x14ac:dyDescent="0.35">
      <c r="A996" s="1786">
        <v>906621</v>
      </c>
      <c r="B996" s="1782"/>
      <c r="C996" s="1782"/>
      <c r="D996" s="1782"/>
      <c r="E996" s="1782"/>
      <c r="F996" s="1782"/>
      <c r="G996" s="1782"/>
      <c r="H996" s="1782"/>
      <c r="I996" s="1783"/>
      <c r="J996" s="1783"/>
      <c r="K996" s="1783"/>
      <c r="L996" s="1783"/>
      <c r="M996" s="1783"/>
      <c r="O996" s="796">
        <v>0.45600000000000002</v>
      </c>
    </row>
    <row r="997" spans="1:15" x14ac:dyDescent="0.35">
      <c r="A997" s="1786">
        <v>906622</v>
      </c>
      <c r="B997" s="1782"/>
      <c r="C997" s="1782"/>
      <c r="D997" s="1782"/>
      <c r="E997" s="1782"/>
      <c r="F997" s="1782"/>
      <c r="G997" s="1782"/>
      <c r="H997" s="1782"/>
      <c r="I997" s="1783"/>
      <c r="J997" s="1783"/>
      <c r="K997" s="1783"/>
      <c r="L997" s="1783"/>
      <c r="M997" s="1783"/>
      <c r="O997" s="796">
        <v>0.25700000000000001</v>
      </c>
    </row>
    <row r="998" spans="1:15" x14ac:dyDescent="0.35">
      <c r="A998" s="1786">
        <v>906623</v>
      </c>
      <c r="B998" s="1782"/>
      <c r="C998" s="1782"/>
      <c r="D998" s="1782"/>
      <c r="E998" s="1782"/>
      <c r="F998" s="1782"/>
      <c r="G998" s="1782"/>
      <c r="H998" s="1782"/>
      <c r="I998" s="1783"/>
      <c r="J998" s="1783"/>
      <c r="K998" s="1783"/>
      <c r="L998" s="1783"/>
      <c r="M998" s="1783"/>
      <c r="O998" s="796">
        <v>0.222</v>
      </c>
    </row>
    <row r="999" spans="1:15" x14ac:dyDescent="0.35">
      <c r="A999" s="1786">
        <v>906624</v>
      </c>
      <c r="B999" s="1782"/>
      <c r="C999" s="1782"/>
      <c r="D999" s="1782"/>
      <c r="E999" s="1782"/>
      <c r="F999" s="1782"/>
      <c r="G999" s="1782"/>
      <c r="H999" s="1782"/>
      <c r="I999" s="1783"/>
      <c r="J999" s="1783"/>
      <c r="K999" s="1783"/>
      <c r="L999" s="1783"/>
      <c r="M999" s="1783"/>
      <c r="O999" s="796">
        <v>0.248</v>
      </c>
    </row>
    <row r="1000" spans="1:15" x14ac:dyDescent="0.35">
      <c r="A1000" s="1786">
        <v>906625</v>
      </c>
      <c r="B1000" s="1782"/>
      <c r="C1000" s="1782"/>
      <c r="D1000" s="1782"/>
      <c r="E1000" s="1782"/>
      <c r="F1000" s="1782"/>
      <c r="G1000" s="1782"/>
      <c r="H1000" s="1782"/>
      <c r="I1000" s="1783"/>
      <c r="J1000" s="1783"/>
      <c r="K1000" s="1783"/>
      <c r="L1000" s="1783"/>
      <c r="M1000" s="1783"/>
      <c r="O1000" s="796">
        <v>0.32300000000000001</v>
      </c>
    </row>
    <row r="1001" spans="1:15" x14ac:dyDescent="0.35">
      <c r="A1001" s="1786">
        <v>906626</v>
      </c>
      <c r="B1001" s="1782"/>
      <c r="C1001" s="1782"/>
      <c r="D1001" s="1782"/>
      <c r="E1001" s="1782"/>
      <c r="F1001" s="1782"/>
      <c r="G1001" s="1782"/>
      <c r="H1001" s="1782"/>
      <c r="I1001" s="1783"/>
      <c r="J1001" s="1783"/>
      <c r="K1001" s="1783"/>
      <c r="L1001" s="1783"/>
      <c r="M1001" s="1783"/>
      <c r="O1001" s="796">
        <v>0.36599999999999999</v>
      </c>
    </row>
    <row r="1002" spans="1:15" x14ac:dyDescent="0.35">
      <c r="A1002" s="1786">
        <v>906627</v>
      </c>
      <c r="B1002" s="1782"/>
      <c r="C1002" s="1782"/>
      <c r="D1002" s="1782"/>
      <c r="E1002" s="1782"/>
      <c r="F1002" s="1782"/>
      <c r="G1002" s="1782"/>
      <c r="H1002" s="1782"/>
      <c r="I1002" s="1783"/>
      <c r="J1002" s="1783"/>
      <c r="K1002" s="1783"/>
      <c r="L1002" s="1783"/>
      <c r="M1002" s="1783"/>
      <c r="O1002" s="796">
        <v>0.38</v>
      </c>
    </row>
    <row r="1003" spans="1:15" x14ac:dyDescent="0.35">
      <c r="A1003" s="1786">
        <v>906628</v>
      </c>
      <c r="B1003" s="1782"/>
      <c r="C1003" s="1782"/>
      <c r="D1003" s="1782"/>
      <c r="E1003" s="1782"/>
      <c r="F1003" s="1782"/>
      <c r="G1003" s="1782"/>
      <c r="H1003" s="1782"/>
      <c r="I1003" s="1783"/>
      <c r="J1003" s="1783"/>
      <c r="K1003" s="1783"/>
      <c r="L1003" s="1783"/>
      <c r="M1003" s="1783"/>
      <c r="O1003" s="796">
        <v>0.372</v>
      </c>
    </row>
    <row r="1004" spans="1:15" x14ac:dyDescent="0.35">
      <c r="A1004" s="1786">
        <v>906629</v>
      </c>
      <c r="B1004" s="1782"/>
      <c r="C1004" s="1782"/>
      <c r="D1004" s="1782"/>
      <c r="E1004" s="1782"/>
      <c r="F1004" s="1782"/>
      <c r="G1004" s="1782"/>
      <c r="H1004" s="1782"/>
      <c r="I1004" s="1783"/>
      <c r="J1004" s="1783"/>
      <c r="K1004" s="1783"/>
      <c r="L1004" s="1783"/>
      <c r="M1004" s="1783"/>
      <c r="O1004" s="796">
        <v>0.39500000000000002</v>
      </c>
    </row>
    <row r="1005" spans="1:15" x14ac:dyDescent="0.35">
      <c r="A1005" s="1786">
        <v>906630</v>
      </c>
      <c r="B1005" s="1782"/>
      <c r="C1005" s="1782"/>
      <c r="D1005" s="1782"/>
      <c r="E1005" s="1782"/>
      <c r="F1005" s="1782"/>
      <c r="G1005" s="1782"/>
      <c r="H1005" s="1782"/>
      <c r="I1005" s="1783"/>
      <c r="J1005" s="1783"/>
      <c r="K1005" s="1783"/>
      <c r="L1005" s="1783"/>
      <c r="M1005" s="1783"/>
      <c r="O1005" s="796">
        <v>0.311</v>
      </c>
    </row>
    <row r="1006" spans="1:15" x14ac:dyDescent="0.35">
      <c r="A1006" s="1786">
        <v>906631</v>
      </c>
      <c r="B1006" s="1782"/>
      <c r="C1006" s="1782"/>
      <c r="D1006" s="1782"/>
      <c r="E1006" s="1782"/>
      <c r="F1006" s="1782"/>
      <c r="G1006" s="1782"/>
      <c r="H1006" s="1782"/>
      <c r="I1006" s="1783"/>
      <c r="J1006" s="1783"/>
      <c r="K1006" s="1783"/>
      <c r="L1006" s="1783"/>
      <c r="M1006" s="1783"/>
      <c r="O1006" s="796">
        <v>0.38300000000000001</v>
      </c>
    </row>
    <row r="1007" spans="1:15" x14ac:dyDescent="0.35">
      <c r="A1007" s="1786">
        <v>906632</v>
      </c>
      <c r="B1007" s="1782"/>
      <c r="C1007" s="1782"/>
      <c r="D1007" s="1782"/>
      <c r="E1007" s="1782"/>
      <c r="F1007" s="1782"/>
      <c r="G1007" s="1782"/>
      <c r="H1007" s="1782"/>
      <c r="I1007" s="1783"/>
      <c r="J1007" s="1783"/>
      <c r="K1007" s="1783"/>
      <c r="L1007" s="1783"/>
      <c r="M1007" s="1783"/>
      <c r="O1007" s="796">
        <v>0.35299999999999998</v>
      </c>
    </row>
    <row r="1008" spans="1:15" x14ac:dyDescent="0.35">
      <c r="A1008" s="1786">
        <v>906633</v>
      </c>
      <c r="B1008" s="1782"/>
      <c r="C1008" s="1782"/>
      <c r="D1008" s="1782"/>
      <c r="E1008" s="1782"/>
      <c r="F1008" s="1782"/>
      <c r="G1008" s="1782"/>
      <c r="H1008" s="1782"/>
      <c r="I1008" s="1783"/>
      <c r="J1008" s="1783"/>
      <c r="K1008" s="1783"/>
      <c r="L1008" s="1783"/>
      <c r="M1008" s="1783"/>
      <c r="O1008" s="796">
        <v>0.33500000000000002</v>
      </c>
    </row>
    <row r="1009" spans="1:15" x14ac:dyDescent="0.35">
      <c r="A1009" s="1786">
        <v>906634</v>
      </c>
      <c r="B1009" s="1782"/>
      <c r="C1009" s="1782"/>
      <c r="D1009" s="1782"/>
      <c r="E1009" s="1782"/>
      <c r="F1009" s="1782"/>
      <c r="G1009" s="1782"/>
      <c r="H1009" s="1782"/>
      <c r="I1009" s="1783"/>
      <c r="J1009" s="1783"/>
      <c r="K1009" s="1783"/>
      <c r="L1009" s="1783"/>
      <c r="M1009" s="1783"/>
      <c r="O1009" s="796">
        <v>0.318</v>
      </c>
    </row>
    <row r="1010" spans="1:15" x14ac:dyDescent="0.35">
      <c r="A1010" s="1786">
        <v>906635</v>
      </c>
      <c r="B1010" s="1782"/>
      <c r="C1010" s="1782"/>
      <c r="D1010" s="1782"/>
      <c r="E1010" s="1782"/>
      <c r="F1010" s="1782"/>
      <c r="G1010" s="1782"/>
      <c r="H1010" s="1782"/>
      <c r="I1010" s="1783"/>
      <c r="J1010" s="1783"/>
      <c r="K1010" s="1783"/>
      <c r="L1010" s="1783"/>
      <c r="M1010" s="1783"/>
      <c r="O1010" s="796">
        <v>0.29699999999999999</v>
      </c>
    </row>
    <row r="1011" spans="1:15" x14ac:dyDescent="0.35">
      <c r="A1011" s="1786">
        <v>906636</v>
      </c>
      <c r="B1011" s="1782"/>
      <c r="C1011" s="1782"/>
      <c r="D1011" s="1782"/>
      <c r="E1011" s="1782"/>
      <c r="F1011" s="1782"/>
      <c r="G1011" s="1782"/>
      <c r="H1011" s="1782"/>
      <c r="I1011" s="1783"/>
      <c r="J1011" s="1783"/>
      <c r="K1011" s="1783"/>
      <c r="L1011" s="1783"/>
      <c r="M1011" s="1783"/>
      <c r="O1011" s="796">
        <v>0.41799999999999998</v>
      </c>
    </row>
    <row r="1012" spans="1:15" x14ac:dyDescent="0.35">
      <c r="A1012" s="1786">
        <v>906637</v>
      </c>
      <c r="B1012" s="1782"/>
      <c r="C1012" s="1782"/>
      <c r="D1012" s="1782"/>
      <c r="E1012" s="1782"/>
      <c r="F1012" s="1782"/>
      <c r="G1012" s="1782"/>
      <c r="H1012" s="1782"/>
      <c r="I1012" s="1783"/>
      <c r="J1012" s="1783"/>
      <c r="K1012" s="1783"/>
      <c r="L1012" s="1783"/>
      <c r="M1012" s="1783"/>
      <c r="O1012" s="796">
        <v>0.53600000000000003</v>
      </c>
    </row>
    <row r="1013" spans="1:15" x14ac:dyDescent="0.35">
      <c r="A1013" s="1786">
        <v>906638</v>
      </c>
      <c r="B1013" s="1782"/>
      <c r="C1013" s="1782"/>
      <c r="D1013" s="1782"/>
      <c r="E1013" s="1782"/>
      <c r="F1013" s="1782"/>
      <c r="G1013" s="1782"/>
      <c r="H1013" s="1782"/>
      <c r="I1013" s="1783"/>
      <c r="J1013" s="1783"/>
      <c r="K1013" s="1783"/>
      <c r="L1013" s="1783"/>
      <c r="M1013" s="1783"/>
      <c r="O1013" s="796">
        <v>0.36</v>
      </c>
    </row>
    <row r="1014" spans="1:15" x14ac:dyDescent="0.35">
      <c r="A1014" s="1786">
        <v>906639</v>
      </c>
      <c r="B1014" s="1782"/>
      <c r="C1014" s="1782"/>
      <c r="D1014" s="1782"/>
      <c r="E1014" s="1782"/>
      <c r="F1014" s="1782"/>
      <c r="G1014" s="1782"/>
      <c r="H1014" s="1782"/>
      <c r="I1014" s="1783"/>
      <c r="J1014" s="1783"/>
      <c r="K1014" s="1783"/>
      <c r="L1014" s="1783"/>
      <c r="M1014" s="1783"/>
      <c r="O1014" s="796">
        <v>0.52900000000000003</v>
      </c>
    </row>
    <row r="1015" spans="1:15" x14ac:dyDescent="0.35">
      <c r="A1015" s="1786">
        <v>906640</v>
      </c>
      <c r="B1015" s="1782"/>
      <c r="C1015" s="1782"/>
      <c r="D1015" s="1782"/>
      <c r="E1015" s="1782"/>
      <c r="F1015" s="1782"/>
      <c r="G1015" s="1782"/>
      <c r="H1015" s="1782"/>
      <c r="I1015" s="1783"/>
      <c r="J1015" s="1783"/>
      <c r="K1015" s="1783"/>
      <c r="L1015" s="1783"/>
      <c r="M1015" s="1783"/>
      <c r="O1015" s="796">
        <v>0.40200000000000002</v>
      </c>
    </row>
    <row r="1016" spans="1:15" x14ac:dyDescent="0.35">
      <c r="A1016" s="1786">
        <v>906641</v>
      </c>
      <c r="B1016" s="1782"/>
      <c r="C1016" s="1782"/>
      <c r="D1016" s="1782"/>
      <c r="E1016" s="1782"/>
      <c r="F1016" s="1782"/>
      <c r="G1016" s="1782"/>
      <c r="H1016" s="1782"/>
      <c r="I1016" s="1783"/>
      <c r="J1016" s="1783"/>
      <c r="K1016" s="1783"/>
      <c r="L1016" s="1783"/>
      <c r="M1016" s="1783"/>
      <c r="O1016" s="796">
        <v>0.35099999999999998</v>
      </c>
    </row>
    <row r="1017" spans="1:15" x14ac:dyDescent="0.35">
      <c r="A1017" s="1786">
        <v>906642</v>
      </c>
      <c r="B1017" s="1782"/>
      <c r="C1017" s="1782"/>
      <c r="D1017" s="1782"/>
      <c r="E1017" s="1782"/>
      <c r="F1017" s="1782"/>
      <c r="G1017" s="1782"/>
      <c r="H1017" s="1782"/>
      <c r="I1017" s="1783"/>
      <c r="J1017" s="1783"/>
      <c r="K1017" s="1783"/>
      <c r="L1017" s="1783"/>
      <c r="M1017" s="1783"/>
      <c r="O1017" s="796">
        <v>0.378</v>
      </c>
    </row>
    <row r="1018" spans="1:15" x14ac:dyDescent="0.35">
      <c r="A1018" s="1786">
        <v>906643</v>
      </c>
      <c r="B1018" s="1782"/>
      <c r="C1018" s="1782"/>
      <c r="D1018" s="1782"/>
      <c r="E1018" s="1782"/>
      <c r="F1018" s="1782"/>
      <c r="G1018" s="1782"/>
      <c r="H1018" s="1782"/>
      <c r="I1018" s="1783"/>
      <c r="J1018" s="1783"/>
      <c r="K1018" s="1783"/>
      <c r="L1018" s="1783"/>
      <c r="M1018" s="1783"/>
      <c r="O1018" s="796">
        <v>0.57899999999999996</v>
      </c>
    </row>
    <row r="1019" spans="1:15" x14ac:dyDescent="0.35">
      <c r="A1019" s="1786">
        <v>906644</v>
      </c>
      <c r="B1019" s="1782"/>
      <c r="C1019" s="1782"/>
      <c r="D1019" s="1782"/>
      <c r="E1019" s="1782"/>
      <c r="F1019" s="1782"/>
      <c r="G1019" s="1782"/>
      <c r="H1019" s="1782"/>
      <c r="I1019" s="1783"/>
      <c r="J1019" s="1783"/>
      <c r="K1019" s="1783"/>
      <c r="L1019" s="1783"/>
      <c r="M1019" s="1783"/>
      <c r="O1019" s="796">
        <v>0.35899999999999999</v>
      </c>
    </row>
    <row r="1020" spans="1:15" x14ac:dyDescent="0.35">
      <c r="A1020" s="1786">
        <v>906645</v>
      </c>
      <c r="B1020" s="1782"/>
      <c r="C1020" s="1782"/>
      <c r="D1020" s="1782"/>
      <c r="E1020" s="1782"/>
      <c r="F1020" s="1782"/>
      <c r="G1020" s="1782"/>
      <c r="H1020" s="1782"/>
      <c r="I1020" s="1783"/>
      <c r="J1020" s="1783"/>
      <c r="K1020" s="1783"/>
      <c r="L1020" s="1783"/>
      <c r="M1020" s="1783"/>
      <c r="O1020" s="796">
        <v>0.36199999999999999</v>
      </c>
    </row>
    <row r="1021" spans="1:15" x14ac:dyDescent="0.35">
      <c r="A1021" s="1786">
        <v>906646</v>
      </c>
      <c r="B1021" s="1782"/>
      <c r="C1021" s="1782"/>
      <c r="D1021" s="1782"/>
      <c r="E1021" s="1782"/>
      <c r="F1021" s="1782"/>
      <c r="G1021" s="1782"/>
      <c r="H1021" s="1782"/>
      <c r="I1021" s="1783"/>
      <c r="J1021" s="1783"/>
      <c r="K1021" s="1783"/>
      <c r="L1021" s="1783"/>
      <c r="M1021" s="1783"/>
      <c r="O1021" s="796">
        <v>0.14699999999999999</v>
      </c>
    </row>
    <row r="1022" spans="1:15" x14ac:dyDescent="0.35">
      <c r="A1022" s="1786">
        <v>906647</v>
      </c>
      <c r="B1022" s="1782"/>
      <c r="C1022" s="1782"/>
      <c r="D1022" s="1782"/>
      <c r="E1022" s="1782"/>
      <c r="F1022" s="1782"/>
      <c r="G1022" s="1782"/>
      <c r="H1022" s="1782"/>
      <c r="I1022" s="1783"/>
      <c r="J1022" s="1783"/>
      <c r="K1022" s="1783"/>
      <c r="L1022" s="1783"/>
      <c r="M1022" s="1783"/>
      <c r="O1022" s="796">
        <v>0.16200000000000001</v>
      </c>
    </row>
    <row r="1023" spans="1:15" x14ac:dyDescent="0.35">
      <c r="A1023" s="1786">
        <v>906648</v>
      </c>
      <c r="B1023" s="1782"/>
      <c r="C1023" s="1782"/>
      <c r="D1023" s="1782"/>
      <c r="E1023" s="1782"/>
      <c r="F1023" s="1782"/>
      <c r="G1023" s="1782"/>
      <c r="H1023" s="1782"/>
      <c r="I1023" s="1783"/>
      <c r="J1023" s="1783"/>
      <c r="K1023" s="1783"/>
      <c r="L1023" s="1783"/>
      <c r="M1023" s="1783"/>
      <c r="O1023" s="796">
        <v>0.218</v>
      </c>
    </row>
    <row r="1024" spans="1:15" x14ac:dyDescent="0.35">
      <c r="A1024" s="1786">
        <v>906649</v>
      </c>
      <c r="B1024" s="1782"/>
      <c r="C1024" s="1782"/>
      <c r="D1024" s="1782"/>
      <c r="E1024" s="1782"/>
      <c r="F1024" s="1782"/>
      <c r="G1024" s="1782"/>
      <c r="H1024" s="1782"/>
      <c r="I1024" s="1783"/>
      <c r="J1024" s="1783"/>
      <c r="K1024" s="1783"/>
      <c r="L1024" s="1783"/>
      <c r="M1024" s="1783"/>
      <c r="O1024" s="796">
        <v>0.50700000000000001</v>
      </c>
    </row>
    <row r="1025" spans="1:15" x14ac:dyDescent="0.35">
      <c r="A1025" s="1786">
        <v>906650</v>
      </c>
      <c r="B1025" s="1782"/>
      <c r="C1025" s="1782"/>
      <c r="D1025" s="1782"/>
      <c r="E1025" s="1782"/>
      <c r="F1025" s="1782"/>
      <c r="G1025" s="1782"/>
      <c r="H1025" s="1782"/>
      <c r="I1025" s="1783"/>
      <c r="J1025" s="1783"/>
      <c r="K1025" s="1783"/>
      <c r="L1025" s="1783"/>
      <c r="M1025" s="1783"/>
      <c r="O1025" s="796">
        <v>0.36099999999999999</v>
      </c>
    </row>
    <row r="1026" spans="1:15" x14ac:dyDescent="0.35">
      <c r="A1026" s="1786">
        <v>906651</v>
      </c>
      <c r="B1026" s="1782"/>
      <c r="C1026" s="1782"/>
      <c r="D1026" s="1782"/>
      <c r="E1026" s="1782"/>
      <c r="F1026" s="1782"/>
      <c r="G1026" s="1782"/>
      <c r="H1026" s="1782"/>
      <c r="I1026" s="1783"/>
      <c r="J1026" s="1783"/>
      <c r="K1026" s="1783"/>
      <c r="L1026" s="1783"/>
      <c r="M1026" s="1783"/>
      <c r="O1026" s="796">
        <v>0.438</v>
      </c>
    </row>
    <row r="1027" spans="1:15" x14ac:dyDescent="0.35">
      <c r="A1027" s="1786">
        <v>906652</v>
      </c>
      <c r="B1027" s="1782"/>
      <c r="C1027" s="1782"/>
      <c r="D1027" s="1782"/>
      <c r="E1027" s="1782"/>
      <c r="F1027" s="1782"/>
      <c r="G1027" s="1782"/>
      <c r="H1027" s="1782"/>
      <c r="I1027" s="1783"/>
      <c r="J1027" s="1783"/>
      <c r="K1027" s="1783"/>
      <c r="L1027" s="1783"/>
      <c r="M1027" s="1783"/>
      <c r="O1027" s="796">
        <v>0.46700000000000003</v>
      </c>
    </row>
    <row r="1028" spans="1:15" x14ac:dyDescent="0.35">
      <c r="A1028" s="1786">
        <v>906653</v>
      </c>
      <c r="B1028" s="1782"/>
      <c r="C1028" s="1782"/>
      <c r="D1028" s="1782"/>
      <c r="E1028" s="1782"/>
      <c r="F1028" s="1782"/>
      <c r="G1028" s="1782"/>
      <c r="H1028" s="1782"/>
      <c r="I1028" s="1783"/>
      <c r="J1028" s="1783"/>
      <c r="K1028" s="1783"/>
      <c r="L1028" s="1783"/>
      <c r="M1028" s="1783"/>
      <c r="O1028" s="796">
        <v>0.38800000000000001</v>
      </c>
    </row>
    <row r="1029" spans="1:15" x14ac:dyDescent="0.35">
      <c r="A1029" s="1786">
        <v>906654</v>
      </c>
      <c r="B1029" s="1782"/>
      <c r="C1029" s="1782"/>
      <c r="D1029" s="1782"/>
      <c r="E1029" s="1782"/>
      <c r="F1029" s="1782"/>
      <c r="G1029" s="1782"/>
      <c r="H1029" s="1782"/>
      <c r="I1029" s="1783"/>
      <c r="J1029" s="1783"/>
      <c r="K1029" s="1783"/>
      <c r="L1029" s="1783"/>
      <c r="M1029" s="1783"/>
      <c r="O1029" s="796">
        <v>0.33900000000000002</v>
      </c>
    </row>
    <row r="1030" spans="1:15" ht="21" customHeight="1" x14ac:dyDescent="0.35">
      <c r="A1030" s="1786">
        <v>906655</v>
      </c>
      <c r="B1030" s="1782"/>
      <c r="C1030" s="1782"/>
      <c r="D1030" s="1782"/>
      <c r="E1030" s="1782"/>
      <c r="F1030" s="1782"/>
      <c r="G1030" s="1782"/>
      <c r="H1030" s="1782"/>
      <c r="I1030" s="1783"/>
      <c r="J1030" s="1783"/>
      <c r="K1030" s="1783"/>
      <c r="L1030" s="1783"/>
      <c r="M1030" s="1783"/>
      <c r="O1030" s="796">
        <v>0.50700000000000001</v>
      </c>
    </row>
    <row r="1031" spans="1:15" ht="21" customHeight="1" x14ac:dyDescent="0.35">
      <c r="A1031" s="1786">
        <v>906656</v>
      </c>
      <c r="B1031" s="1782"/>
      <c r="C1031" s="1782"/>
      <c r="D1031" s="1782"/>
      <c r="E1031" s="1782"/>
      <c r="F1031" s="1782"/>
      <c r="G1031" s="1782"/>
      <c r="H1031" s="1782"/>
      <c r="I1031" s="1783"/>
      <c r="J1031" s="1783"/>
      <c r="K1031" s="1783"/>
      <c r="L1031" s="1783"/>
      <c r="M1031" s="1783"/>
      <c r="O1031" s="796">
        <v>0.503</v>
      </c>
    </row>
    <row r="1032" spans="1:15" ht="21" customHeight="1" x14ac:dyDescent="0.35">
      <c r="A1032" s="1786">
        <v>906657</v>
      </c>
      <c r="B1032" s="1782"/>
      <c r="C1032" s="1782"/>
      <c r="D1032" s="1782"/>
      <c r="E1032" s="1782"/>
      <c r="F1032" s="1782"/>
      <c r="G1032" s="1782"/>
      <c r="H1032" s="1782"/>
      <c r="I1032" s="1783"/>
      <c r="J1032" s="1783"/>
      <c r="K1032" s="1783"/>
      <c r="L1032" s="1783"/>
      <c r="M1032" s="1783"/>
      <c r="O1032" s="796">
        <v>0.53</v>
      </c>
    </row>
    <row r="1033" spans="1:15" x14ac:dyDescent="0.35">
      <c r="A1033" s="1786">
        <v>906656</v>
      </c>
      <c r="B1033" s="1782"/>
      <c r="C1033" s="1782"/>
      <c r="D1033" s="1782">
        <v>0.48</v>
      </c>
      <c r="E1033" s="1782">
        <v>4.83</v>
      </c>
      <c r="F1033" s="1782">
        <v>0.23</v>
      </c>
      <c r="G1033" s="1782">
        <v>0.78</v>
      </c>
      <c r="H1033" s="1782">
        <v>0.18</v>
      </c>
      <c r="I1033" s="1782">
        <v>29.14</v>
      </c>
      <c r="J1033" s="1782">
        <v>7.11</v>
      </c>
      <c r="K1033" s="1782">
        <v>42.77</v>
      </c>
      <c r="L1033" s="1782">
        <v>67.03</v>
      </c>
      <c r="M1033" s="1782">
        <v>12.09</v>
      </c>
      <c r="N1033" s="1149"/>
      <c r="O1033" s="1148"/>
    </row>
    <row r="1034" spans="1:15" x14ac:dyDescent="0.35">
      <c r="A1034" s="1786">
        <v>906657</v>
      </c>
      <c r="B1034" s="1782"/>
      <c r="C1034" s="1782"/>
      <c r="D1034" s="1782">
        <v>0.76</v>
      </c>
      <c r="E1034" s="1782">
        <v>5.63</v>
      </c>
      <c r="F1034" s="1782">
        <v>0.36</v>
      </c>
      <c r="G1034" s="1782">
        <v>0.93</v>
      </c>
      <c r="H1034" s="1782">
        <v>0.23</v>
      </c>
      <c r="I1034" s="1782">
        <v>29.74</v>
      </c>
      <c r="J1034" s="1782">
        <v>8.9700000000000006</v>
      </c>
      <c r="K1034" s="1782">
        <v>48.6</v>
      </c>
      <c r="L1034" s="1782">
        <v>101.14</v>
      </c>
      <c r="M1034" s="1782">
        <v>19.899999999999999</v>
      </c>
      <c r="N1034" s="1149"/>
      <c r="O1034" s="1148"/>
    </row>
    <row r="1035" spans="1:15" x14ac:dyDescent="0.35">
      <c r="A1035" s="1786">
        <v>906658</v>
      </c>
      <c r="B1035" s="1782"/>
      <c r="C1035" s="1782">
        <v>3.56</v>
      </c>
      <c r="D1035" s="1782">
        <v>0.53</v>
      </c>
      <c r="E1035" s="1782">
        <v>3.49</v>
      </c>
      <c r="F1035" s="1782">
        <v>0.06</v>
      </c>
      <c r="G1035" s="1782">
        <v>3.05</v>
      </c>
      <c r="H1035" s="1782">
        <v>0.35</v>
      </c>
      <c r="I1035" s="1782">
        <v>13.2</v>
      </c>
      <c r="J1035" s="1782">
        <v>6.74</v>
      </c>
      <c r="K1035" s="1782">
        <v>51.7</v>
      </c>
      <c r="L1035" s="1782">
        <v>129.32</v>
      </c>
      <c r="M1035" s="1782">
        <v>27.47</v>
      </c>
      <c r="N1035" s="1149"/>
      <c r="O1035" s="1148"/>
    </row>
    <row r="1036" spans="1:15" x14ac:dyDescent="0.35">
      <c r="A1036" s="1786">
        <v>906659</v>
      </c>
      <c r="B1036" s="1782"/>
      <c r="C1036" s="1782">
        <v>0.31</v>
      </c>
      <c r="D1036" s="1782">
        <v>0.12</v>
      </c>
      <c r="E1036" s="1782">
        <v>0.52</v>
      </c>
      <c r="F1036" s="1782">
        <v>0.02</v>
      </c>
      <c r="G1036" s="1782">
        <v>1.39</v>
      </c>
      <c r="H1036" s="1782">
        <v>0.09</v>
      </c>
      <c r="I1036" s="1782">
        <v>17.920000000000002</v>
      </c>
      <c r="J1036" s="1782">
        <v>5.33</v>
      </c>
      <c r="K1036" s="1782">
        <v>11.55</v>
      </c>
      <c r="L1036" s="1782">
        <v>74.55</v>
      </c>
      <c r="M1036" s="1782">
        <v>15.92</v>
      </c>
      <c r="N1036" s="1149"/>
      <c r="O1036" s="1148"/>
    </row>
    <row r="1037" spans="1:15" x14ac:dyDescent="0.35">
      <c r="A1037" s="1786">
        <v>906660</v>
      </c>
      <c r="B1037" s="1782"/>
      <c r="C1037" s="1782">
        <v>0.42</v>
      </c>
      <c r="D1037" s="1782">
        <v>0.13</v>
      </c>
      <c r="E1037" s="1782">
        <v>0.64</v>
      </c>
      <c r="F1037" s="1782">
        <v>0.02</v>
      </c>
      <c r="G1037" s="1782">
        <v>0.78</v>
      </c>
      <c r="H1037" s="1782">
        <v>0.08</v>
      </c>
      <c r="I1037" s="1782">
        <v>14.17</v>
      </c>
      <c r="J1037" s="1782">
        <v>5.45</v>
      </c>
      <c r="K1037" s="1782">
        <v>12.7</v>
      </c>
      <c r="L1037" s="1782">
        <v>70.260000000000005</v>
      </c>
      <c r="M1037" s="1782">
        <v>15.67</v>
      </c>
      <c r="N1037" s="1149"/>
      <c r="O1037" s="1148"/>
    </row>
    <row r="1038" spans="1:15" x14ac:dyDescent="0.35">
      <c r="A1038" s="1786">
        <v>906661</v>
      </c>
      <c r="B1038" s="1782"/>
      <c r="C1038" s="1782">
        <v>1.25</v>
      </c>
      <c r="D1038" s="1782">
        <v>0.2</v>
      </c>
      <c r="E1038" s="1782">
        <v>0.43</v>
      </c>
      <c r="F1038" s="1782">
        <v>0.02</v>
      </c>
      <c r="G1038" s="1782">
        <v>1.59</v>
      </c>
      <c r="H1038" s="1782">
        <v>0.38</v>
      </c>
      <c r="I1038" s="1782">
        <v>8.01</v>
      </c>
      <c r="J1038" s="1782">
        <v>5.59</v>
      </c>
      <c r="K1038" s="1782">
        <v>37.58</v>
      </c>
      <c r="L1038" s="1782">
        <v>92.66</v>
      </c>
      <c r="M1038" s="1782">
        <v>14.89</v>
      </c>
      <c r="N1038" s="1149"/>
      <c r="O1038" s="1148"/>
    </row>
    <row r="1039" spans="1:15" x14ac:dyDescent="0.35">
      <c r="A1039" s="1786">
        <v>906662</v>
      </c>
      <c r="B1039" s="1782"/>
      <c r="C1039" s="1782">
        <v>1.33</v>
      </c>
      <c r="D1039" s="1782">
        <v>0.15</v>
      </c>
      <c r="E1039" s="1782">
        <v>0.85</v>
      </c>
      <c r="F1039" s="1782">
        <v>0.03</v>
      </c>
      <c r="G1039" s="1782">
        <v>1.56</v>
      </c>
      <c r="H1039" s="1782">
        <v>0.31</v>
      </c>
      <c r="I1039" s="1782">
        <v>8.34</v>
      </c>
      <c r="J1039" s="1782">
        <v>5.01</v>
      </c>
      <c r="K1039" s="1782">
        <v>41.62</v>
      </c>
      <c r="L1039" s="1782">
        <v>132.56</v>
      </c>
      <c r="M1039" s="1782">
        <v>19.04</v>
      </c>
      <c r="N1039" s="1149"/>
      <c r="O1039" s="1148"/>
    </row>
    <row r="1040" spans="1:15" s="199" customFormat="1" x14ac:dyDescent="0.35">
      <c r="A1040" s="1782">
        <v>906663</v>
      </c>
      <c r="B1040" s="1782"/>
      <c r="C1040" s="1782"/>
      <c r="D1040" s="1786"/>
      <c r="E1040" s="1782">
        <v>0.63</v>
      </c>
      <c r="F1040" s="1786"/>
      <c r="G1040" s="1786"/>
      <c r="H1040" s="1786"/>
      <c r="I1040" s="1786"/>
      <c r="J1040" s="1786"/>
      <c r="K1040" s="1786"/>
      <c r="L1040" s="1786"/>
      <c r="M1040" s="1786"/>
    </row>
    <row r="1041" spans="1:15" s="199" customFormat="1" x14ac:dyDescent="0.35">
      <c r="A1041" s="1782">
        <v>906664</v>
      </c>
      <c r="B1041" s="1782"/>
      <c r="C1041" s="1782"/>
      <c r="D1041" s="1786"/>
      <c r="E1041" s="1782">
        <v>0.89</v>
      </c>
      <c r="F1041" s="1786"/>
      <c r="G1041" s="1786"/>
      <c r="H1041" s="1786"/>
      <c r="I1041" s="1786"/>
      <c r="J1041" s="1786"/>
      <c r="K1041" s="1786"/>
      <c r="L1041" s="1786"/>
      <c r="M1041" s="1786"/>
    </row>
    <row r="1042" spans="1:15" s="199" customFormat="1" x14ac:dyDescent="0.35">
      <c r="A1042" s="1782">
        <v>906665</v>
      </c>
      <c r="B1042" s="1782"/>
      <c r="C1042" s="1782"/>
      <c r="D1042" s="1786"/>
      <c r="E1042" s="1782">
        <v>0.7</v>
      </c>
      <c r="F1042" s="1786"/>
      <c r="G1042" s="1786"/>
      <c r="H1042" s="1786"/>
      <c r="I1042" s="1786"/>
      <c r="J1042" s="1786"/>
      <c r="K1042" s="1786"/>
      <c r="L1042" s="1786"/>
      <c r="M1042" s="1786"/>
    </row>
    <row r="1043" spans="1:15" s="199" customFormat="1" x14ac:dyDescent="0.35">
      <c r="A1043" s="1782">
        <v>906666</v>
      </c>
      <c r="B1043" s="1782"/>
      <c r="C1043" s="1782"/>
      <c r="D1043" s="1786"/>
      <c r="E1043" s="1782">
        <v>1.19</v>
      </c>
      <c r="F1043" s="1786"/>
      <c r="G1043" s="1786"/>
      <c r="H1043" s="1786"/>
      <c r="I1043" s="1786"/>
      <c r="J1043" s="1786"/>
      <c r="K1043" s="1786"/>
      <c r="L1043" s="1786"/>
      <c r="M1043" s="1786"/>
    </row>
    <row r="1044" spans="1:15" s="199" customFormat="1" x14ac:dyDescent="0.35">
      <c r="A1044" s="1782">
        <v>906667</v>
      </c>
      <c r="B1044" s="1782"/>
      <c r="C1044" s="1782"/>
      <c r="D1044" s="1786"/>
      <c r="E1044" s="1782">
        <v>0.99</v>
      </c>
      <c r="F1044" s="1786"/>
      <c r="G1044" s="1786"/>
      <c r="H1044" s="1786"/>
      <c r="I1044" s="1786"/>
      <c r="J1044" s="1786"/>
      <c r="K1044" s="1786"/>
      <c r="L1044" s="1786"/>
      <c r="M1044" s="1786"/>
    </row>
    <row r="1045" spans="1:15" s="199" customFormat="1" x14ac:dyDescent="0.35">
      <c r="A1045" s="1782">
        <v>906668</v>
      </c>
      <c r="B1045" s="1782"/>
      <c r="C1045" s="1782"/>
      <c r="D1045" s="1786"/>
      <c r="E1045" s="1782">
        <v>0.91</v>
      </c>
      <c r="F1045" s="1786"/>
      <c r="G1045" s="1786"/>
      <c r="H1045" s="1786"/>
      <c r="I1045" s="1786"/>
      <c r="J1045" s="1786"/>
      <c r="K1045" s="1786"/>
      <c r="L1045" s="1786"/>
      <c r="M1045" s="1786"/>
    </row>
    <row r="1046" spans="1:15" x14ac:dyDescent="0.35">
      <c r="A1046" s="1782">
        <v>906669</v>
      </c>
      <c r="B1046" s="1782"/>
      <c r="C1046" s="1782"/>
      <c r="D1046" s="1782"/>
      <c r="E1046" s="1782"/>
      <c r="F1046" s="1782"/>
      <c r="G1046" s="1782"/>
      <c r="H1046" s="1782"/>
      <c r="I1046" s="1782"/>
      <c r="J1046" s="1782"/>
      <c r="K1046" s="1782"/>
      <c r="L1046" s="1782"/>
      <c r="M1046" s="1782"/>
      <c r="N1046" s="1160"/>
      <c r="O1046" s="1160"/>
    </row>
    <row r="1047" spans="1:15" x14ac:dyDescent="0.35">
      <c r="A1047" s="1782">
        <v>906670</v>
      </c>
      <c r="B1047" s="1782"/>
      <c r="C1047" s="1782"/>
      <c r="D1047" s="1782"/>
      <c r="E1047" s="1782"/>
      <c r="F1047" s="1782"/>
      <c r="G1047" s="1782"/>
      <c r="H1047" s="1782"/>
      <c r="I1047" s="1782"/>
      <c r="J1047" s="1782"/>
      <c r="K1047" s="1782"/>
      <c r="L1047" s="1782"/>
      <c r="M1047" s="1782"/>
      <c r="N1047" s="1160"/>
      <c r="O1047" s="1160"/>
    </row>
    <row r="1048" spans="1:15" x14ac:dyDescent="0.35">
      <c r="A1048" s="1782">
        <v>906671</v>
      </c>
      <c r="B1048" s="1782"/>
      <c r="C1048" s="1782"/>
      <c r="D1048" s="1782"/>
      <c r="E1048" s="1782"/>
      <c r="F1048" s="1782"/>
      <c r="G1048" s="1782"/>
      <c r="H1048" s="1782"/>
      <c r="I1048" s="1783"/>
      <c r="J1048" s="1783"/>
      <c r="K1048" s="1783"/>
      <c r="L1048" s="1783"/>
      <c r="M1048" s="1783"/>
    </row>
    <row r="1049" spans="1:15" x14ac:dyDescent="0.35">
      <c r="A1049" s="1782">
        <v>906672</v>
      </c>
      <c r="B1049" s="1782"/>
      <c r="C1049" s="1782"/>
      <c r="D1049" s="1782"/>
      <c r="E1049" s="1782"/>
      <c r="F1049" s="1782"/>
      <c r="G1049" s="1782"/>
      <c r="H1049" s="1782"/>
      <c r="I1049" s="1783"/>
      <c r="J1049" s="1783"/>
      <c r="K1049" s="1783"/>
      <c r="L1049" s="1783"/>
      <c r="M1049" s="1783"/>
    </row>
    <row r="1050" spans="1:15" x14ac:dyDescent="0.35">
      <c r="A1050" s="1782">
        <v>906673</v>
      </c>
      <c r="B1050" s="1782"/>
      <c r="C1050" s="1782"/>
      <c r="D1050" s="1782"/>
      <c r="E1050" s="1782"/>
      <c r="F1050" s="1782"/>
      <c r="G1050" s="1782"/>
      <c r="H1050" s="1782"/>
      <c r="I1050" s="1783"/>
      <c r="J1050" s="1783"/>
      <c r="K1050" s="1783"/>
      <c r="L1050" s="1783"/>
      <c r="M1050" s="1783"/>
    </row>
    <row r="1051" spans="1:15" x14ac:dyDescent="0.35">
      <c r="A1051" s="1782">
        <v>906674</v>
      </c>
      <c r="B1051" s="1782"/>
      <c r="C1051" s="1782">
        <v>2.71</v>
      </c>
      <c r="D1051" s="1782">
        <v>0.52</v>
      </c>
      <c r="E1051" s="1782">
        <v>1.76</v>
      </c>
      <c r="F1051" s="1782">
        <v>0.02</v>
      </c>
      <c r="G1051" s="1782">
        <v>1.47</v>
      </c>
      <c r="H1051" s="1782">
        <v>0.51</v>
      </c>
      <c r="I1051" s="1783">
        <v>19.61</v>
      </c>
      <c r="J1051" s="1783">
        <v>3.85</v>
      </c>
      <c r="K1051" s="1783">
        <v>50.68</v>
      </c>
      <c r="L1051" s="1783">
        <v>111.39</v>
      </c>
      <c r="M1051" s="1783">
        <v>55.31</v>
      </c>
      <c r="N1051" s="1161"/>
      <c r="O1051" s="1161"/>
    </row>
    <row r="1052" spans="1:15" x14ac:dyDescent="0.35">
      <c r="A1052" s="1782">
        <v>906675</v>
      </c>
      <c r="B1052" s="1782"/>
      <c r="C1052" s="1782">
        <v>2.83</v>
      </c>
      <c r="D1052" s="1782">
        <v>0.45</v>
      </c>
      <c r="E1052" s="1782">
        <v>1.87</v>
      </c>
      <c r="F1052" s="1782">
        <v>0.02</v>
      </c>
      <c r="G1052" s="1782">
        <v>1.1399999999999999</v>
      </c>
      <c r="H1052" s="1782">
        <v>0.47</v>
      </c>
      <c r="I1052" s="1783">
        <v>20.02</v>
      </c>
      <c r="J1052" s="1783">
        <v>3.9</v>
      </c>
      <c r="K1052" s="1783">
        <v>54.19</v>
      </c>
      <c r="L1052" s="1783">
        <v>100.89</v>
      </c>
      <c r="M1052" s="1783">
        <v>44.52</v>
      </c>
      <c r="N1052" s="1161"/>
      <c r="O1052" s="1161"/>
    </row>
    <row r="1053" spans="1:15" x14ac:dyDescent="0.35">
      <c r="A1053" s="1784">
        <v>906676</v>
      </c>
      <c r="B1053" s="1796"/>
      <c r="C1053" s="1782">
        <v>2</v>
      </c>
      <c r="D1053" s="1782">
        <v>0.18</v>
      </c>
      <c r="E1053" s="1782">
        <v>0.9</v>
      </c>
      <c r="F1053" s="1782">
        <v>0.05</v>
      </c>
      <c r="G1053" s="1782">
        <v>1.66</v>
      </c>
      <c r="H1053" s="1782">
        <v>0.22</v>
      </c>
      <c r="I1053" s="1782">
        <v>27.05</v>
      </c>
      <c r="J1053" s="1782">
        <v>6.17</v>
      </c>
      <c r="K1053" s="1782">
        <v>66.73</v>
      </c>
      <c r="L1053" s="1782">
        <v>127.15</v>
      </c>
      <c r="M1053" s="1782">
        <v>21.08</v>
      </c>
    </row>
    <row r="1054" spans="1:15" x14ac:dyDescent="0.35">
      <c r="A1054" s="1784">
        <v>906677</v>
      </c>
      <c r="B1054" s="1796"/>
      <c r="C1054" s="1782">
        <v>1.93</v>
      </c>
      <c r="D1054" s="1782">
        <v>0.18</v>
      </c>
      <c r="E1054" s="1782">
        <v>0.92</v>
      </c>
      <c r="F1054" s="1782">
        <v>0.04</v>
      </c>
      <c r="G1054" s="1782">
        <v>1.79</v>
      </c>
      <c r="H1054" s="1782">
        <v>0.23</v>
      </c>
      <c r="I1054" s="1782">
        <v>27.06</v>
      </c>
      <c r="J1054" s="1782">
        <v>6.27</v>
      </c>
      <c r="K1054" s="1782">
        <v>76.37</v>
      </c>
      <c r="L1054" s="1782">
        <v>148.19999999999999</v>
      </c>
      <c r="M1054" s="1782">
        <v>20.46</v>
      </c>
    </row>
    <row r="1055" spans="1:15" x14ac:dyDescent="0.35">
      <c r="A1055" s="1784">
        <v>906678</v>
      </c>
      <c r="B1055" s="1796"/>
      <c r="C1055" s="1782">
        <v>2.09</v>
      </c>
      <c r="D1055" s="1782">
        <v>0.17</v>
      </c>
      <c r="E1055" s="1782">
        <v>0.95</v>
      </c>
      <c r="F1055" s="1782">
        <v>0.03</v>
      </c>
      <c r="G1055" s="1782">
        <v>1.97</v>
      </c>
      <c r="H1055" s="1782">
        <v>0.24</v>
      </c>
      <c r="I1055" s="1782">
        <v>17.39</v>
      </c>
      <c r="J1055" s="1782">
        <v>4.54</v>
      </c>
      <c r="K1055" s="1782">
        <v>56.67</v>
      </c>
      <c r="L1055" s="1782">
        <v>105.52</v>
      </c>
      <c r="M1055" s="1782">
        <v>20.18</v>
      </c>
    </row>
    <row r="1056" spans="1:15" x14ac:dyDescent="0.35">
      <c r="A1056" s="1784">
        <v>906679</v>
      </c>
      <c r="B1056" s="1796"/>
      <c r="C1056" s="1782">
        <v>1.95</v>
      </c>
      <c r="D1056" s="1782">
        <v>0.1</v>
      </c>
      <c r="E1056" s="1782">
        <v>0.7</v>
      </c>
      <c r="F1056" s="1782">
        <v>0.03</v>
      </c>
      <c r="G1056" s="1782">
        <v>2.2799999999999998</v>
      </c>
      <c r="H1056" s="1782">
        <v>0.21</v>
      </c>
      <c r="I1056" s="1782">
        <v>14.32</v>
      </c>
      <c r="J1056" s="1782">
        <v>3.3</v>
      </c>
      <c r="K1056" s="1782">
        <v>77.680000000000007</v>
      </c>
      <c r="L1056" s="1782">
        <v>163.78</v>
      </c>
      <c r="M1056" s="1782">
        <v>23.55</v>
      </c>
    </row>
    <row r="1057" spans="1:13" x14ac:dyDescent="0.35">
      <c r="A1057" s="1784">
        <v>906680</v>
      </c>
      <c r="B1057" s="1796"/>
      <c r="C1057" s="1782">
        <v>2.38</v>
      </c>
      <c r="D1057" s="1782">
        <v>0.14000000000000001</v>
      </c>
      <c r="E1057" s="1782">
        <v>1.56</v>
      </c>
      <c r="F1057" s="1782">
        <v>0.12</v>
      </c>
      <c r="G1057" s="1782">
        <v>4.79</v>
      </c>
      <c r="H1057" s="1782">
        <v>0.25</v>
      </c>
      <c r="I1057" s="1782">
        <v>44.83</v>
      </c>
      <c r="J1057" s="1782">
        <v>4.12</v>
      </c>
      <c r="K1057" s="1782">
        <v>54.28</v>
      </c>
      <c r="L1057" s="1782">
        <v>222.33</v>
      </c>
      <c r="M1057" s="1782">
        <v>244.92</v>
      </c>
    </row>
    <row r="1058" spans="1:13" x14ac:dyDescent="0.35">
      <c r="A1058" s="1784">
        <v>906681</v>
      </c>
      <c r="B1058" s="1796"/>
      <c r="C1058" s="1782">
        <v>2.42</v>
      </c>
      <c r="D1058" s="1782">
        <v>0.13</v>
      </c>
      <c r="E1058" s="1782">
        <v>1.18</v>
      </c>
      <c r="F1058" s="1782">
        <v>0.13</v>
      </c>
      <c r="G1058" s="1782">
        <v>4.66</v>
      </c>
      <c r="H1058" s="1782">
        <v>0.32</v>
      </c>
      <c r="I1058" s="1782">
        <v>51.8</v>
      </c>
      <c r="J1058" s="1782">
        <v>5.4</v>
      </c>
      <c r="K1058" s="1782">
        <v>55.27</v>
      </c>
      <c r="L1058" s="1782">
        <v>243.13</v>
      </c>
      <c r="M1058" s="1782">
        <v>179.9</v>
      </c>
    </row>
    <row r="1059" spans="1:13" x14ac:dyDescent="0.35">
      <c r="A1059" s="1784">
        <v>906682</v>
      </c>
      <c r="B1059" s="1796"/>
      <c r="C1059" s="1782">
        <v>2.39</v>
      </c>
      <c r="D1059" s="1782">
        <v>0.16</v>
      </c>
      <c r="E1059" s="1782">
        <v>2.65</v>
      </c>
      <c r="F1059" s="1782">
        <v>0.21</v>
      </c>
      <c r="G1059" s="1782">
        <v>3.68</v>
      </c>
      <c r="H1059" s="1782">
        <v>0.28999999999999998</v>
      </c>
      <c r="I1059" s="1782">
        <v>51.56</v>
      </c>
      <c r="J1059" s="1782">
        <v>5.33</v>
      </c>
      <c r="K1059" s="1782">
        <v>56.69</v>
      </c>
      <c r="L1059" s="1782">
        <v>300.19</v>
      </c>
      <c r="M1059" s="1782">
        <v>525.42999999999995</v>
      </c>
    </row>
    <row r="1060" spans="1:13" x14ac:dyDescent="0.35">
      <c r="A1060" s="1784">
        <v>906683</v>
      </c>
      <c r="B1060" s="1796"/>
      <c r="C1060" s="1782">
        <v>2.9</v>
      </c>
      <c r="D1060" s="1782">
        <v>0.21</v>
      </c>
      <c r="E1060" s="1782">
        <v>2.96</v>
      </c>
      <c r="F1060" s="1782">
        <v>1.01</v>
      </c>
      <c r="G1060" s="1782">
        <v>1.62</v>
      </c>
      <c r="H1060" s="1782">
        <v>0.4</v>
      </c>
      <c r="I1060" s="1782">
        <v>42.26</v>
      </c>
      <c r="J1060" s="1782">
        <v>4.4800000000000004</v>
      </c>
      <c r="K1060" s="1782">
        <v>230.4</v>
      </c>
      <c r="L1060" s="1782">
        <v>466.08</v>
      </c>
      <c r="M1060" s="1782">
        <v>38.729999999999997</v>
      </c>
    </row>
    <row r="1061" spans="1:13" x14ac:dyDescent="0.35">
      <c r="A1061" s="1784">
        <v>906684</v>
      </c>
      <c r="B1061" s="1796"/>
      <c r="C1061" s="1782">
        <v>1</v>
      </c>
      <c r="D1061" s="1782">
        <v>0.16</v>
      </c>
      <c r="E1061" s="1782">
        <v>2.2599999999999998</v>
      </c>
      <c r="F1061" s="1782">
        <v>1.38</v>
      </c>
      <c r="G1061" s="1782">
        <v>1.35</v>
      </c>
      <c r="H1061" s="1782">
        <v>0.4</v>
      </c>
      <c r="I1061" s="1782">
        <v>46.2</v>
      </c>
      <c r="J1061" s="1782">
        <v>4.26</v>
      </c>
      <c r="K1061" s="1782">
        <v>245.25</v>
      </c>
      <c r="L1061" s="1782">
        <v>117</v>
      </c>
      <c r="M1061" s="1782">
        <v>36.03</v>
      </c>
    </row>
    <row r="1062" spans="1:13" x14ac:dyDescent="0.35">
      <c r="A1062" s="1784">
        <v>906685</v>
      </c>
      <c r="B1062" s="1782"/>
      <c r="C1062" s="1782">
        <v>1.93</v>
      </c>
      <c r="D1062" s="1786">
        <v>0.11</v>
      </c>
      <c r="E1062" s="1786">
        <v>1.99</v>
      </c>
      <c r="F1062" s="1786">
        <v>0.05</v>
      </c>
      <c r="G1062" s="1786">
        <v>4.9000000000000004</v>
      </c>
      <c r="H1062" s="1786">
        <v>0.33</v>
      </c>
      <c r="I1062" s="1786">
        <v>10.29</v>
      </c>
      <c r="J1062" s="1786">
        <v>7.19</v>
      </c>
      <c r="K1062" s="1786">
        <v>21.53</v>
      </c>
      <c r="L1062" s="1786">
        <v>132.05000000000001</v>
      </c>
      <c r="M1062" s="1786">
        <v>63.19</v>
      </c>
    </row>
    <row r="1063" spans="1:13" x14ac:dyDescent="0.35">
      <c r="A1063" s="1784">
        <v>906686</v>
      </c>
      <c r="B1063" s="1782"/>
      <c r="C1063" s="1782">
        <v>1.91</v>
      </c>
      <c r="D1063" s="1786">
        <v>0.14000000000000001</v>
      </c>
      <c r="E1063" s="1786">
        <v>1.54</v>
      </c>
      <c r="F1063" s="1786">
        <v>0.06</v>
      </c>
      <c r="G1063" s="1786">
        <v>4.68</v>
      </c>
      <c r="H1063" s="1786">
        <v>0.46</v>
      </c>
      <c r="I1063" s="1786">
        <v>22.56</v>
      </c>
      <c r="J1063" s="1786">
        <v>7.26</v>
      </c>
      <c r="K1063" s="1786">
        <v>36.47</v>
      </c>
      <c r="L1063" s="1786">
        <v>149.63</v>
      </c>
      <c r="M1063" s="1786">
        <v>121.56</v>
      </c>
    </row>
    <row r="1064" spans="1:13" x14ac:dyDescent="0.35">
      <c r="A1064" s="1784">
        <v>906687</v>
      </c>
      <c r="B1064" s="1782"/>
      <c r="C1064" s="1782">
        <v>1.78</v>
      </c>
      <c r="D1064" s="1786">
        <v>0.13</v>
      </c>
      <c r="E1064" s="1786">
        <v>1.96</v>
      </c>
      <c r="F1064" s="1786">
        <v>0.06</v>
      </c>
      <c r="G1064" s="1786">
        <v>4.25</v>
      </c>
      <c r="H1064" s="1786">
        <v>0.32</v>
      </c>
      <c r="I1064" s="1786">
        <v>11.19</v>
      </c>
      <c r="J1064" s="1786">
        <v>5.81</v>
      </c>
      <c r="K1064" s="1786">
        <v>30.67</v>
      </c>
      <c r="L1064" s="1786">
        <v>178.77</v>
      </c>
      <c r="M1064" s="1786">
        <v>94.41</v>
      </c>
    </row>
    <row r="1065" spans="1:13" x14ac:dyDescent="0.35">
      <c r="A1065" s="1784">
        <v>906688</v>
      </c>
      <c r="B1065" s="1782"/>
      <c r="C1065" s="1782">
        <v>1.93</v>
      </c>
      <c r="D1065" s="1786">
        <v>0.14000000000000001</v>
      </c>
      <c r="E1065" s="1786">
        <v>1.4</v>
      </c>
      <c r="F1065" s="1786">
        <v>0.05</v>
      </c>
      <c r="G1065" s="1786">
        <v>4.29</v>
      </c>
      <c r="H1065" s="1786">
        <v>0.36</v>
      </c>
      <c r="I1065" s="1786">
        <v>16.25</v>
      </c>
      <c r="J1065" s="1786">
        <v>3.77</v>
      </c>
      <c r="K1065" s="1786">
        <v>43.58</v>
      </c>
      <c r="L1065" s="1786">
        <v>153.91999999999999</v>
      </c>
      <c r="M1065" s="1786">
        <v>80.430000000000007</v>
      </c>
    </row>
    <row r="1066" spans="1:13" x14ac:dyDescent="0.35">
      <c r="A1066" s="1784">
        <v>906689</v>
      </c>
      <c r="B1066" s="1782"/>
      <c r="C1066" s="1782">
        <v>2.2000000000000002</v>
      </c>
      <c r="D1066" s="1786">
        <v>0.13</v>
      </c>
      <c r="E1066" s="1786">
        <v>1.46</v>
      </c>
      <c r="F1066" s="1786">
        <v>0.06</v>
      </c>
      <c r="G1066" s="1786">
        <v>5.31</v>
      </c>
      <c r="H1066" s="1786">
        <v>0.39</v>
      </c>
      <c r="I1066" s="1786">
        <v>10.63</v>
      </c>
      <c r="J1066" s="1786">
        <v>8.19</v>
      </c>
      <c r="K1066" s="1786">
        <v>27.95</v>
      </c>
      <c r="L1066" s="1786">
        <v>137.66</v>
      </c>
      <c r="M1066" s="1786">
        <v>103.98</v>
      </c>
    </row>
    <row r="1067" spans="1:13" x14ac:dyDescent="0.35">
      <c r="A1067" s="1784">
        <v>906690</v>
      </c>
      <c r="B1067" s="1782"/>
      <c r="C1067" s="1782">
        <v>2.4</v>
      </c>
      <c r="D1067" s="1786">
        <v>0.15</v>
      </c>
      <c r="E1067" s="1786">
        <v>2.27</v>
      </c>
      <c r="F1067" s="1786">
        <v>0.05</v>
      </c>
      <c r="G1067" s="1786">
        <v>3.8</v>
      </c>
      <c r="H1067" s="1786">
        <v>0.24</v>
      </c>
      <c r="I1067" s="1786">
        <v>15.34</v>
      </c>
      <c r="J1067" s="1786">
        <v>5.38</v>
      </c>
      <c r="K1067" s="1786">
        <v>43.97</v>
      </c>
      <c r="L1067" s="1786">
        <v>145.16</v>
      </c>
      <c r="M1067" s="1786">
        <v>126.14</v>
      </c>
    </row>
    <row r="1068" spans="1:13" x14ac:dyDescent="0.35">
      <c r="A1068" s="1784">
        <v>906691</v>
      </c>
      <c r="B1068" s="1782"/>
      <c r="C1068" s="1782">
        <v>2.6</v>
      </c>
      <c r="D1068" s="1786">
        <v>0.22</v>
      </c>
      <c r="E1068" s="1786">
        <v>1.55</v>
      </c>
      <c r="F1068" s="1786">
        <v>0.06</v>
      </c>
      <c r="G1068" s="1786">
        <v>4.75</v>
      </c>
      <c r="H1068" s="1786">
        <v>0.32</v>
      </c>
      <c r="I1068" s="1786">
        <v>11.28</v>
      </c>
      <c r="J1068" s="1786">
        <v>6.19</v>
      </c>
      <c r="K1068" s="1786">
        <v>30.99</v>
      </c>
      <c r="L1068" s="1786">
        <v>121.59</v>
      </c>
      <c r="M1068" s="1786">
        <v>71.13</v>
      </c>
    </row>
    <row r="1069" spans="1:13" x14ac:dyDescent="0.35">
      <c r="A1069" s="1784">
        <v>906692</v>
      </c>
      <c r="B1069" s="1782"/>
      <c r="C1069" s="1782">
        <v>2.2000000000000002</v>
      </c>
      <c r="D1069" s="1786">
        <v>0.11</v>
      </c>
      <c r="E1069" s="1786">
        <v>0.66</v>
      </c>
      <c r="F1069" s="1786">
        <v>7.0000000000000007E-2</v>
      </c>
      <c r="G1069" s="1786">
        <v>8.56</v>
      </c>
      <c r="H1069" s="1786">
        <v>0.39</v>
      </c>
      <c r="I1069" s="1786">
        <v>7.25</v>
      </c>
      <c r="J1069" s="1786">
        <v>2.86</v>
      </c>
      <c r="K1069" s="1786">
        <v>25.08</v>
      </c>
      <c r="L1069" s="1786">
        <v>111.97</v>
      </c>
      <c r="M1069" s="1786">
        <v>59.71</v>
      </c>
    </row>
    <row r="1070" spans="1:13" x14ac:dyDescent="0.35">
      <c r="A1070" s="1784">
        <v>906693</v>
      </c>
      <c r="B1070" s="1782"/>
      <c r="C1070" s="1782">
        <v>2.9</v>
      </c>
      <c r="D1070" s="1786">
        <v>0.24</v>
      </c>
      <c r="E1070" s="1786">
        <v>4.3099999999999996</v>
      </c>
      <c r="F1070" s="1786">
        <v>0.05</v>
      </c>
      <c r="G1070" s="1786">
        <v>0.95</v>
      </c>
      <c r="H1070" s="1786">
        <v>0.35</v>
      </c>
      <c r="I1070" s="1786">
        <v>18.8</v>
      </c>
      <c r="J1070" s="1786">
        <v>10.37</v>
      </c>
      <c r="K1070" s="1786">
        <v>103.84</v>
      </c>
      <c r="L1070" s="1786">
        <v>98.23</v>
      </c>
      <c r="M1070" s="1786">
        <v>17.45</v>
      </c>
    </row>
    <row r="1071" spans="1:13" x14ac:dyDescent="0.35">
      <c r="A1071" s="1784">
        <v>906694</v>
      </c>
      <c r="B1071" s="1782"/>
      <c r="C1071" s="1782">
        <v>1.6</v>
      </c>
      <c r="D1071" s="1786">
        <v>0.14000000000000001</v>
      </c>
      <c r="E1071" s="1786">
        <v>0.91</v>
      </c>
      <c r="F1071" s="1786">
        <v>0.02</v>
      </c>
      <c r="G1071" s="1786">
        <v>1.6</v>
      </c>
      <c r="H1071" s="1786">
        <v>0.17</v>
      </c>
      <c r="I1071" s="1786">
        <v>17.36</v>
      </c>
      <c r="J1071" s="1786">
        <v>222.71</v>
      </c>
      <c r="K1071" s="1786">
        <v>37.5</v>
      </c>
      <c r="L1071" s="1786">
        <v>193.46</v>
      </c>
      <c r="M1071" s="1786">
        <v>17.98</v>
      </c>
    </row>
    <row r="1072" spans="1:13" x14ac:dyDescent="0.35">
      <c r="A1072" s="1784">
        <v>906695</v>
      </c>
      <c r="B1072" s="1782"/>
      <c r="C1072" s="1782">
        <v>2.4</v>
      </c>
      <c r="D1072" s="1786">
        <v>0.12</v>
      </c>
      <c r="E1072" s="1786">
        <v>0.82</v>
      </c>
      <c r="F1072" s="1786">
        <v>0.04</v>
      </c>
      <c r="G1072" s="1786">
        <v>3.98</v>
      </c>
      <c r="H1072" s="1786">
        <v>0.35</v>
      </c>
      <c r="I1072" s="1786">
        <v>14.9</v>
      </c>
      <c r="J1072" s="1786">
        <v>36.17</v>
      </c>
      <c r="K1072" s="1786">
        <v>33.229999999999997</v>
      </c>
      <c r="L1072" s="1786">
        <v>239.07</v>
      </c>
      <c r="M1072" s="1786">
        <v>69.260000000000005</v>
      </c>
    </row>
    <row r="1073" spans="1:15" x14ac:dyDescent="0.35">
      <c r="A1073" s="1784">
        <v>906696</v>
      </c>
      <c r="B1073" s="1782"/>
      <c r="C1073" s="1782">
        <v>1.3</v>
      </c>
      <c r="D1073" s="1786">
        <v>0.08</v>
      </c>
      <c r="E1073" s="1786">
        <v>0.67</v>
      </c>
      <c r="F1073" s="1786">
        <v>0.06</v>
      </c>
      <c r="G1073" s="1786">
        <v>1.98</v>
      </c>
      <c r="H1073" s="1786">
        <v>0.22</v>
      </c>
      <c r="I1073" s="1786">
        <v>11.53</v>
      </c>
      <c r="J1073" s="1786">
        <v>5.13</v>
      </c>
      <c r="K1073" s="1786">
        <v>40.659999999999997</v>
      </c>
      <c r="L1073" s="1786">
        <v>263.73</v>
      </c>
      <c r="M1073" s="1786">
        <v>17.829999999999998</v>
      </c>
    </row>
    <row r="1074" spans="1:15" s="1229" customFormat="1" x14ac:dyDescent="0.35">
      <c r="A1074" s="1792">
        <v>906697</v>
      </c>
      <c r="B1074" s="1792"/>
      <c r="C1074" s="1792"/>
      <c r="D1074" s="1792"/>
      <c r="E1074" s="1792"/>
      <c r="F1074" s="1792"/>
      <c r="G1074" s="1792"/>
      <c r="H1074" s="1792"/>
      <c r="I1074" s="1797"/>
      <c r="J1074" s="1797"/>
      <c r="K1074" s="1797"/>
      <c r="L1074" s="1797"/>
      <c r="M1074" s="1797"/>
    </row>
    <row r="1075" spans="1:15" s="1229" customFormat="1" x14ac:dyDescent="0.35">
      <c r="A1075" s="1792">
        <v>906698</v>
      </c>
      <c r="B1075" s="1792"/>
      <c r="C1075" s="1792"/>
      <c r="D1075" s="1792"/>
      <c r="E1075" s="1792"/>
      <c r="F1075" s="1792"/>
      <c r="G1075" s="1792"/>
      <c r="H1075" s="1792"/>
      <c r="I1075" s="1797"/>
      <c r="J1075" s="1797"/>
      <c r="K1075" s="1797"/>
      <c r="L1075" s="1797"/>
      <c r="M1075" s="1797"/>
    </row>
    <row r="1076" spans="1:15" x14ac:dyDescent="0.35">
      <c r="A1076" s="1784">
        <v>906699</v>
      </c>
      <c r="B1076" s="1782"/>
      <c r="C1076" s="1782">
        <v>1.7</v>
      </c>
      <c r="D1076" s="1786">
        <v>0.15</v>
      </c>
      <c r="E1076" s="1786">
        <v>1.18</v>
      </c>
      <c r="F1076" s="1786">
        <v>0.02</v>
      </c>
      <c r="G1076" s="1786">
        <v>1.9</v>
      </c>
      <c r="H1076" s="1786">
        <v>0.21</v>
      </c>
      <c r="I1076" s="1786">
        <v>20.91</v>
      </c>
      <c r="J1076" s="1786">
        <v>27.36</v>
      </c>
      <c r="K1076" s="1786">
        <v>36.97</v>
      </c>
      <c r="L1076" s="1786">
        <v>89.95</v>
      </c>
      <c r="M1076" s="1786">
        <v>31.09</v>
      </c>
    </row>
    <row r="1077" spans="1:15" x14ac:dyDescent="0.35">
      <c r="A1077" s="1784">
        <v>906700</v>
      </c>
      <c r="B1077" s="1782"/>
      <c r="C1077" s="1782">
        <v>2</v>
      </c>
      <c r="D1077" s="1786">
        <v>0.24</v>
      </c>
      <c r="E1077" s="1786">
        <v>1.49</v>
      </c>
      <c r="F1077" s="1786">
        <v>0.06</v>
      </c>
      <c r="G1077" s="1786">
        <v>5.24</v>
      </c>
      <c r="H1077" s="1786">
        <v>0.28000000000000003</v>
      </c>
      <c r="I1077" s="1786">
        <v>28.66</v>
      </c>
      <c r="J1077" s="1786">
        <v>6.19</v>
      </c>
      <c r="K1077" s="1786">
        <v>37.68</v>
      </c>
      <c r="L1077" s="1786">
        <v>167.58</v>
      </c>
      <c r="M1077" s="1786">
        <v>62.27</v>
      </c>
    </row>
    <row r="1078" spans="1:15" x14ac:dyDescent="0.35">
      <c r="A1078" s="1784">
        <v>906701</v>
      </c>
      <c r="B1078" s="1782"/>
      <c r="C1078" s="1782">
        <v>2.7</v>
      </c>
      <c r="D1078" s="1786">
        <v>0.16</v>
      </c>
      <c r="E1078" s="1786">
        <v>0.88</v>
      </c>
      <c r="F1078" s="1786">
        <v>0.03</v>
      </c>
      <c r="G1078" s="1786">
        <v>4.58</v>
      </c>
      <c r="H1078" s="1786">
        <v>0.33</v>
      </c>
      <c r="I1078" s="1786">
        <v>15.13</v>
      </c>
      <c r="J1078" s="1786">
        <v>8.65</v>
      </c>
      <c r="K1078" s="1786">
        <v>30.65</v>
      </c>
      <c r="L1078" s="1786">
        <v>98.26</v>
      </c>
      <c r="M1078" s="1786">
        <v>82.67</v>
      </c>
    </row>
    <row r="1079" spans="1:15" x14ac:dyDescent="0.35">
      <c r="A1079" s="1784">
        <v>906702</v>
      </c>
      <c r="B1079" s="1782"/>
      <c r="C1079" s="1782">
        <v>1.4</v>
      </c>
      <c r="D1079" s="1786">
        <v>0.15</v>
      </c>
      <c r="E1079" s="1786">
        <v>0.71</v>
      </c>
      <c r="F1079" s="1786">
        <v>0.04</v>
      </c>
      <c r="G1079" s="1786">
        <v>1.64</v>
      </c>
      <c r="H1079" s="1786">
        <v>0.21</v>
      </c>
      <c r="I1079" s="1786">
        <v>18.22</v>
      </c>
      <c r="J1079" s="1786">
        <v>12.47</v>
      </c>
      <c r="K1079" s="1786">
        <v>30.34</v>
      </c>
      <c r="L1079" s="1786">
        <v>67.959999999999994</v>
      </c>
      <c r="M1079" s="1786">
        <v>25.96</v>
      </c>
    </row>
    <row r="1080" spans="1:15" x14ac:dyDescent="0.35">
      <c r="A1080" s="1784">
        <v>906703</v>
      </c>
      <c r="B1080" s="1782"/>
      <c r="C1080" s="1782">
        <v>1.2</v>
      </c>
      <c r="D1080" s="1786">
        <v>0.13</v>
      </c>
      <c r="E1080" s="1786">
        <v>0.61</v>
      </c>
      <c r="F1080" s="1786">
        <v>0.02</v>
      </c>
      <c r="G1080" s="1786">
        <v>2.7</v>
      </c>
      <c r="H1080" s="1786">
        <v>0.21</v>
      </c>
      <c r="I1080" s="1786">
        <v>12.62</v>
      </c>
      <c r="J1080" s="1786">
        <v>73.91</v>
      </c>
      <c r="K1080" s="1786">
        <v>36.03</v>
      </c>
      <c r="L1080" s="1786">
        <v>105.5</v>
      </c>
      <c r="M1080" s="1786">
        <v>15.54</v>
      </c>
    </row>
    <row r="1081" spans="1:15" x14ac:dyDescent="0.35">
      <c r="A1081" s="1784">
        <v>906704</v>
      </c>
      <c r="B1081" s="1782"/>
      <c r="C1081" s="1782">
        <v>1.2</v>
      </c>
      <c r="D1081" s="1786">
        <v>0.11</v>
      </c>
      <c r="E1081" s="1786">
        <v>0.46</v>
      </c>
      <c r="F1081" s="1786">
        <v>0.03</v>
      </c>
      <c r="G1081" s="1786">
        <v>3.04</v>
      </c>
      <c r="H1081" s="1786">
        <v>0.18</v>
      </c>
      <c r="I1081" s="1786">
        <v>9.39</v>
      </c>
      <c r="J1081" s="1786">
        <v>6.55</v>
      </c>
      <c r="K1081" s="1786">
        <v>9.82</v>
      </c>
      <c r="L1081" s="1786">
        <v>81.45</v>
      </c>
      <c r="M1081" s="1786">
        <v>23.37</v>
      </c>
    </row>
    <row r="1082" spans="1:15" x14ac:dyDescent="0.35">
      <c r="A1082" s="1784">
        <v>906705</v>
      </c>
      <c r="B1082" s="1782"/>
      <c r="C1082" s="1785">
        <v>2.41</v>
      </c>
      <c r="D1082" s="1783">
        <v>0.12</v>
      </c>
      <c r="E1082" s="1783">
        <v>1.1000000000000001</v>
      </c>
      <c r="F1082" s="1783">
        <v>0.06</v>
      </c>
      <c r="G1082" s="1783">
        <v>3.59</v>
      </c>
      <c r="H1082" s="1783">
        <v>0.5</v>
      </c>
      <c r="I1082" s="1783">
        <v>14.76</v>
      </c>
      <c r="J1082" s="1783">
        <v>4.6399999999999997</v>
      </c>
      <c r="K1082" s="1783">
        <v>38.46</v>
      </c>
      <c r="L1082" s="1783">
        <v>290.87</v>
      </c>
      <c r="M1082" s="1783">
        <v>62.99</v>
      </c>
      <c r="N1082" s="627"/>
      <c r="O1082" s="627"/>
    </row>
    <row r="1083" spans="1:15" x14ac:dyDescent="0.35">
      <c r="A1083" s="1784">
        <v>906706</v>
      </c>
      <c r="B1083" s="1782"/>
      <c r="C1083" s="1785">
        <v>1.93</v>
      </c>
      <c r="D1083" s="1783">
        <v>0.11</v>
      </c>
      <c r="E1083" s="1783">
        <v>0.96</v>
      </c>
      <c r="F1083" s="1783">
        <v>0.08</v>
      </c>
      <c r="G1083" s="1783">
        <v>3.76</v>
      </c>
      <c r="H1083" s="1783">
        <v>0.54</v>
      </c>
      <c r="I1083" s="1783">
        <v>13.44</v>
      </c>
      <c r="J1083" s="1783">
        <v>4.1500000000000004</v>
      </c>
      <c r="K1083" s="1783">
        <v>35.479999999999997</v>
      </c>
      <c r="L1083" s="1783">
        <v>188.42</v>
      </c>
      <c r="M1083" s="1783">
        <v>48.36</v>
      </c>
      <c r="N1083" s="625"/>
      <c r="O1083" s="625"/>
    </row>
    <row r="1084" spans="1:15" x14ac:dyDescent="0.35">
      <c r="A1084" s="1784">
        <v>906707</v>
      </c>
      <c r="B1084" s="1782"/>
      <c r="C1084" s="1785">
        <v>2.35</v>
      </c>
      <c r="D1084" s="1783">
        <v>0.13</v>
      </c>
      <c r="E1084" s="1783">
        <v>0.91</v>
      </c>
      <c r="F1084" s="1783">
        <v>0.1</v>
      </c>
      <c r="G1084" s="1783">
        <v>3.52</v>
      </c>
      <c r="H1084" s="1783">
        <v>0.53</v>
      </c>
      <c r="I1084" s="1783">
        <v>10.86</v>
      </c>
      <c r="J1084" s="1783">
        <v>3.99</v>
      </c>
      <c r="K1084" s="1783">
        <v>29.88</v>
      </c>
      <c r="L1084" s="1783">
        <v>163.19</v>
      </c>
      <c r="M1084" s="1783">
        <v>65.95</v>
      </c>
      <c r="N1084" s="627"/>
      <c r="O1084" s="627"/>
    </row>
    <row r="1085" spans="1:15" x14ac:dyDescent="0.35">
      <c r="A1085" s="1784">
        <v>906708</v>
      </c>
      <c r="B1085" s="1782"/>
      <c r="C1085" s="1785">
        <v>2.08</v>
      </c>
      <c r="D1085" s="1783">
        <v>0.12</v>
      </c>
      <c r="E1085" s="1783">
        <v>1.51</v>
      </c>
      <c r="F1085" s="1783">
        <v>0.05</v>
      </c>
      <c r="G1085" s="1783">
        <v>3.26</v>
      </c>
      <c r="H1085" s="1783">
        <v>0.32</v>
      </c>
      <c r="I1085" s="1783">
        <v>10.23</v>
      </c>
      <c r="J1085" s="1783">
        <v>5.46</v>
      </c>
      <c r="K1085" s="1783">
        <v>18.68</v>
      </c>
      <c r="L1085" s="1783">
        <v>163.52000000000001</v>
      </c>
      <c r="M1085" s="1783">
        <v>74.52</v>
      </c>
      <c r="N1085" s="625"/>
      <c r="O1085" s="625"/>
    </row>
    <row r="1086" spans="1:15" x14ac:dyDescent="0.35">
      <c r="A1086" s="1784">
        <v>906709</v>
      </c>
      <c r="B1086" s="1782"/>
      <c r="C1086" s="1785">
        <v>2.41</v>
      </c>
      <c r="D1086" s="1783">
        <v>0.09</v>
      </c>
      <c r="E1086" s="1783">
        <v>0.73</v>
      </c>
      <c r="F1086" s="1783">
        <v>0.09</v>
      </c>
      <c r="G1086" s="1783">
        <v>4.91</v>
      </c>
      <c r="H1086" s="1783">
        <v>0.24</v>
      </c>
      <c r="I1086" s="1783">
        <v>15.45</v>
      </c>
      <c r="J1086" s="1783">
        <v>5.72</v>
      </c>
      <c r="K1086" s="1783">
        <v>25.78</v>
      </c>
      <c r="L1086" s="1783">
        <v>284.43</v>
      </c>
      <c r="M1086" s="1783">
        <v>61.1</v>
      </c>
      <c r="N1086" s="627"/>
      <c r="O1086" s="627"/>
    </row>
    <row r="1087" spans="1:15" x14ac:dyDescent="0.35">
      <c r="A1087" s="1784">
        <v>906710</v>
      </c>
      <c r="B1087" s="1782"/>
      <c r="C1087" s="1785">
        <v>2.25</v>
      </c>
      <c r="D1087" s="1783">
        <v>0.13</v>
      </c>
      <c r="E1087" s="1783">
        <v>1.44</v>
      </c>
      <c r="F1087" s="1783">
        <v>0.05</v>
      </c>
      <c r="G1087" s="1783">
        <v>3.83</v>
      </c>
      <c r="H1087" s="1783">
        <v>0.25</v>
      </c>
      <c r="I1087" s="1783">
        <v>13.58</v>
      </c>
      <c r="J1087" s="1783">
        <v>5.33</v>
      </c>
      <c r="K1087" s="1783">
        <v>24.07</v>
      </c>
      <c r="L1087" s="1783">
        <v>234.45</v>
      </c>
      <c r="M1087" s="1783">
        <v>47.76</v>
      </c>
      <c r="N1087" s="625"/>
      <c r="O1087" s="625"/>
    </row>
    <row r="1088" spans="1:15" x14ac:dyDescent="0.35">
      <c r="A1088" s="1784">
        <v>906711</v>
      </c>
      <c r="B1088" s="1782"/>
      <c r="C1088" s="1785">
        <v>2.37</v>
      </c>
      <c r="D1088" s="1783">
        <v>0.11</v>
      </c>
      <c r="E1088" s="1783">
        <v>0.78</v>
      </c>
      <c r="F1088" s="1783">
        <v>7.0000000000000007E-2</v>
      </c>
      <c r="G1088" s="1783">
        <v>4.4000000000000004</v>
      </c>
      <c r="H1088" s="1783">
        <v>0.24</v>
      </c>
      <c r="I1088" s="1783">
        <v>9.49</v>
      </c>
      <c r="J1088" s="1783">
        <v>5.49</v>
      </c>
      <c r="K1088" s="1783">
        <v>21.35</v>
      </c>
      <c r="L1088" s="1783">
        <v>220.53</v>
      </c>
      <c r="M1088" s="1783">
        <v>65.290000000000006</v>
      </c>
      <c r="N1088" s="627"/>
      <c r="O1088" s="627"/>
    </row>
    <row r="1089" spans="1:15" x14ac:dyDescent="0.35">
      <c r="A1089" s="1784">
        <v>906712</v>
      </c>
      <c r="B1089" s="1782"/>
      <c r="C1089" s="1785">
        <v>2.2799999999999998</v>
      </c>
      <c r="D1089" s="1783">
        <v>0.19</v>
      </c>
      <c r="E1089" s="1783">
        <v>1.57</v>
      </c>
      <c r="F1089" s="1783">
        <v>7.0000000000000007E-2</v>
      </c>
      <c r="G1089" s="1783">
        <v>2.56</v>
      </c>
      <c r="H1089" s="1783">
        <v>0.44</v>
      </c>
      <c r="I1089" s="1783">
        <v>39.46</v>
      </c>
      <c r="J1089" s="1783">
        <v>6.87</v>
      </c>
      <c r="K1089" s="1783">
        <v>52.18</v>
      </c>
      <c r="L1089" s="1783">
        <v>278</v>
      </c>
      <c r="M1089" s="1783">
        <v>83.38</v>
      </c>
      <c r="N1089" s="625"/>
      <c r="O1089" s="625"/>
    </row>
    <row r="1090" spans="1:15" x14ac:dyDescent="0.35">
      <c r="A1090" s="1784">
        <v>906713</v>
      </c>
      <c r="B1090" s="1782"/>
      <c r="C1090" s="1785">
        <v>2.35</v>
      </c>
      <c r="D1090" s="1783">
        <v>0.13</v>
      </c>
      <c r="E1090" s="1783">
        <v>0.92</v>
      </c>
      <c r="F1090" s="1783">
        <v>0.1</v>
      </c>
      <c r="G1090" s="1783">
        <v>2.4700000000000002</v>
      </c>
      <c r="H1090" s="1783">
        <v>0.56000000000000005</v>
      </c>
      <c r="I1090" s="1783">
        <v>37.909999999999997</v>
      </c>
      <c r="J1090" s="1783">
        <v>4.41</v>
      </c>
      <c r="K1090" s="1783">
        <v>63.36</v>
      </c>
      <c r="L1090" s="1783">
        <v>245.65</v>
      </c>
      <c r="M1090" s="1783">
        <v>64.709999999999994</v>
      </c>
      <c r="N1090" s="627"/>
      <c r="O1090" s="627"/>
    </row>
    <row r="1091" spans="1:15" x14ac:dyDescent="0.35">
      <c r="A1091" s="1784">
        <v>906714</v>
      </c>
      <c r="B1091" s="1782"/>
      <c r="C1091" s="1785">
        <v>2.15</v>
      </c>
      <c r="D1091" s="1783">
        <v>0.1</v>
      </c>
      <c r="E1091" s="1783">
        <v>1.06</v>
      </c>
      <c r="F1091" s="1783">
        <v>0.11</v>
      </c>
      <c r="G1091" s="1783">
        <v>3.12</v>
      </c>
      <c r="H1091" s="1783">
        <v>0.5</v>
      </c>
      <c r="I1091" s="1783">
        <v>36.26</v>
      </c>
      <c r="J1091" s="1783">
        <v>3.22</v>
      </c>
      <c r="K1091" s="1783">
        <v>41.56</v>
      </c>
      <c r="L1091" s="1783">
        <v>233.8</v>
      </c>
      <c r="M1091" s="1783">
        <v>60.84</v>
      </c>
      <c r="N1091" s="625"/>
      <c r="O1091" s="625"/>
    </row>
    <row r="1092" spans="1:15" x14ac:dyDescent="0.35">
      <c r="A1092" s="1784">
        <v>906715</v>
      </c>
      <c r="B1092" s="1782"/>
      <c r="C1092" s="1785">
        <v>1.93</v>
      </c>
      <c r="D1092" s="1783">
        <v>0.08</v>
      </c>
      <c r="E1092" s="1783">
        <v>1.42</v>
      </c>
      <c r="F1092" s="1783">
        <v>0.08</v>
      </c>
      <c r="G1092" s="1783">
        <v>2.2999999999999998</v>
      </c>
      <c r="H1092" s="1783">
        <v>0.36</v>
      </c>
      <c r="I1092" s="1783">
        <v>25.37</v>
      </c>
      <c r="J1092" s="1783">
        <v>2.77</v>
      </c>
      <c r="K1092" s="1783">
        <v>62.52</v>
      </c>
      <c r="L1092" s="1783">
        <v>196.79</v>
      </c>
      <c r="M1092" s="1783">
        <v>61.12</v>
      </c>
      <c r="N1092" s="627"/>
      <c r="O1092" s="627"/>
    </row>
    <row r="1093" spans="1:15" x14ac:dyDescent="0.35">
      <c r="A1093" s="1784">
        <v>906716</v>
      </c>
      <c r="B1093" s="1782"/>
      <c r="C1093" s="1785">
        <v>2.2400000000000002</v>
      </c>
      <c r="D1093" s="1783">
        <v>0.09</v>
      </c>
      <c r="E1093" s="1783">
        <v>1.24</v>
      </c>
      <c r="F1093" s="1783">
        <v>0.09</v>
      </c>
      <c r="G1093" s="1783">
        <v>4</v>
      </c>
      <c r="H1093" s="1783">
        <v>0.5</v>
      </c>
      <c r="I1093" s="1783">
        <v>14.2</v>
      </c>
      <c r="J1093" s="1783">
        <v>8.35</v>
      </c>
      <c r="K1093" s="1783">
        <v>23.88</v>
      </c>
      <c r="L1093" s="1783">
        <v>201.01</v>
      </c>
      <c r="M1093" s="1783">
        <v>184.47</v>
      </c>
      <c r="N1093" s="625"/>
      <c r="O1093" s="625"/>
    </row>
    <row r="1094" spans="1:15" x14ac:dyDescent="0.35">
      <c r="A1094" s="1784">
        <v>906717</v>
      </c>
      <c r="B1094" s="1782"/>
      <c r="C1094" s="1785">
        <v>2.11</v>
      </c>
      <c r="D1094" s="1783">
        <v>0.12</v>
      </c>
      <c r="E1094" s="1783">
        <v>1.94</v>
      </c>
      <c r="F1094" s="1783">
        <v>7.0000000000000007E-2</v>
      </c>
      <c r="G1094" s="1783">
        <v>2.97</v>
      </c>
      <c r="H1094" s="1783">
        <v>0.49</v>
      </c>
      <c r="I1094" s="1783">
        <v>17.489999999999998</v>
      </c>
      <c r="J1094" s="1783">
        <v>7.27</v>
      </c>
      <c r="K1094" s="1783">
        <v>35.07</v>
      </c>
      <c r="L1094" s="1783">
        <v>307.16000000000003</v>
      </c>
      <c r="M1094" s="1783">
        <v>141.71</v>
      </c>
      <c r="N1094" s="627"/>
      <c r="O1094" s="627"/>
    </row>
    <row r="1095" spans="1:15" x14ac:dyDescent="0.35">
      <c r="A1095" s="1784">
        <v>906718</v>
      </c>
      <c r="B1095" s="1782"/>
      <c r="C1095" s="1785">
        <v>2.1</v>
      </c>
      <c r="D1095" s="1783">
        <v>0.11</v>
      </c>
      <c r="E1095" s="1783">
        <v>1.86</v>
      </c>
      <c r="F1095" s="1783">
        <v>0.08</v>
      </c>
      <c r="G1095" s="1783">
        <v>3.21</v>
      </c>
      <c r="H1095" s="1783">
        <v>0.37</v>
      </c>
      <c r="I1095" s="1783">
        <v>13.22</v>
      </c>
      <c r="J1095" s="1783">
        <v>3.08</v>
      </c>
      <c r="K1095" s="1783">
        <v>39.700000000000003</v>
      </c>
      <c r="L1095" s="1783">
        <v>282.35000000000002</v>
      </c>
      <c r="M1095" s="1783">
        <v>89.11</v>
      </c>
      <c r="N1095" s="625"/>
      <c r="O1095" s="625"/>
    </row>
    <row r="1096" spans="1:15" x14ac:dyDescent="0.35">
      <c r="A1096" s="1784">
        <v>906719</v>
      </c>
      <c r="B1096" s="1782"/>
      <c r="C1096" s="1785">
        <v>2.33</v>
      </c>
      <c r="D1096" s="1783">
        <v>0.13</v>
      </c>
      <c r="E1096" s="1783">
        <v>1.1399999999999999</v>
      </c>
      <c r="F1096" s="1783">
        <v>0.14000000000000001</v>
      </c>
      <c r="G1096" s="1783">
        <v>3.63</v>
      </c>
      <c r="H1096" s="1783">
        <v>0.54</v>
      </c>
      <c r="I1096" s="1783">
        <v>13.19</v>
      </c>
      <c r="J1096" s="1783">
        <v>6.29</v>
      </c>
      <c r="K1096" s="1783">
        <v>21.54</v>
      </c>
      <c r="L1096" s="1783">
        <v>188.03</v>
      </c>
      <c r="M1096" s="1783">
        <v>107.48</v>
      </c>
      <c r="N1096" s="627"/>
      <c r="O1096" s="627"/>
    </row>
    <row r="1097" spans="1:15" x14ac:dyDescent="0.35">
      <c r="A1097" s="1784">
        <v>906720</v>
      </c>
      <c r="B1097" s="1782"/>
      <c r="C1097" s="1785">
        <v>2.2200000000000002</v>
      </c>
      <c r="D1097" s="1783">
        <v>0.11</v>
      </c>
      <c r="E1097" s="1783">
        <v>1.25</v>
      </c>
      <c r="F1097" s="1783">
        <v>0.1</v>
      </c>
      <c r="G1097" s="1783">
        <v>3.51</v>
      </c>
      <c r="H1097" s="1783">
        <v>0.51</v>
      </c>
      <c r="I1097" s="1783">
        <v>10.88</v>
      </c>
      <c r="J1097" s="1783">
        <v>3.9</v>
      </c>
      <c r="K1097" s="1783">
        <v>31.43</v>
      </c>
      <c r="L1097" s="1783">
        <v>212.08</v>
      </c>
      <c r="M1097" s="1783">
        <v>160.63999999999999</v>
      </c>
      <c r="N1097" s="625"/>
      <c r="O1097" s="625"/>
    </row>
    <row r="1098" spans="1:15" x14ac:dyDescent="0.35">
      <c r="A1098" s="1784">
        <v>906721</v>
      </c>
      <c r="B1098" s="1782"/>
      <c r="C1098" s="1785">
        <v>2.3199999999999998</v>
      </c>
      <c r="D1098" s="1783">
        <v>0.11</v>
      </c>
      <c r="E1098" s="1783">
        <v>1.1399999999999999</v>
      </c>
      <c r="F1098" s="1783">
        <v>0.11</v>
      </c>
      <c r="G1098" s="1783">
        <v>3.34</v>
      </c>
      <c r="H1098" s="1783">
        <v>0.51</v>
      </c>
      <c r="I1098" s="1783">
        <v>13.74</v>
      </c>
      <c r="J1098" s="1783">
        <v>5.67</v>
      </c>
      <c r="K1098" s="1783">
        <v>36.33</v>
      </c>
      <c r="L1098" s="1783">
        <v>301.5</v>
      </c>
      <c r="M1098" s="1783">
        <v>144.16999999999999</v>
      </c>
      <c r="N1098" s="627"/>
      <c r="O1098" s="627"/>
    </row>
    <row r="1099" spans="1:15" x14ac:dyDescent="0.35">
      <c r="A1099" s="1784">
        <v>906722</v>
      </c>
      <c r="B1099" s="1782"/>
      <c r="C1099" s="1785">
        <v>2.15</v>
      </c>
      <c r="D1099" s="1783">
        <v>0.12</v>
      </c>
      <c r="E1099" s="1783">
        <v>0.83</v>
      </c>
      <c r="F1099" s="1783">
        <v>0.14000000000000001</v>
      </c>
      <c r="G1099" s="1783">
        <v>4.0599999999999996</v>
      </c>
      <c r="H1099" s="1783">
        <v>0.41</v>
      </c>
      <c r="I1099" s="1783">
        <v>10.08</v>
      </c>
      <c r="J1099" s="1783">
        <v>6.48</v>
      </c>
      <c r="K1099" s="1783">
        <v>20.43</v>
      </c>
      <c r="L1099" s="1783">
        <v>164.56</v>
      </c>
      <c r="M1099" s="1783">
        <v>137.33000000000001</v>
      </c>
      <c r="N1099" s="625"/>
      <c r="O1099" s="625"/>
    </row>
    <row r="1100" spans="1:15" x14ac:dyDescent="0.35">
      <c r="A1100" s="1784">
        <v>906723</v>
      </c>
      <c r="B1100" s="1782"/>
      <c r="C1100" s="1785">
        <v>2.1</v>
      </c>
      <c r="D1100" s="1783">
        <v>0.1</v>
      </c>
      <c r="E1100" s="1783">
        <v>1.4</v>
      </c>
      <c r="F1100" s="1783">
        <v>0.09</v>
      </c>
      <c r="G1100" s="1783">
        <v>3.15</v>
      </c>
      <c r="H1100" s="1783">
        <v>0.45</v>
      </c>
      <c r="I1100" s="1783">
        <v>18.29</v>
      </c>
      <c r="J1100" s="1783">
        <v>1.98</v>
      </c>
      <c r="K1100" s="1783">
        <v>29.11</v>
      </c>
      <c r="L1100" s="1783">
        <v>314.24</v>
      </c>
      <c r="M1100" s="1783">
        <v>42.32</v>
      </c>
      <c r="N1100" s="627"/>
      <c r="O1100" s="627"/>
    </row>
    <row r="1101" spans="1:15" x14ac:dyDescent="0.35">
      <c r="A1101" s="1784">
        <v>906724</v>
      </c>
      <c r="B1101" s="1782"/>
      <c r="C1101" s="1785">
        <v>2.2000000000000002</v>
      </c>
      <c r="D1101" s="1783">
        <v>0.13</v>
      </c>
      <c r="E1101" s="1783">
        <v>1.42</v>
      </c>
      <c r="F1101" s="1783">
        <v>0.08</v>
      </c>
      <c r="G1101" s="1783">
        <v>2.66</v>
      </c>
      <c r="H1101" s="1783">
        <v>0.41</v>
      </c>
      <c r="I1101" s="1783">
        <v>13.76</v>
      </c>
      <c r="J1101" s="1783">
        <v>3</v>
      </c>
      <c r="K1101" s="1783">
        <v>23.22</v>
      </c>
      <c r="L1101" s="1783">
        <v>194.93</v>
      </c>
      <c r="M1101" s="1783">
        <v>56.27</v>
      </c>
      <c r="N1101" s="625"/>
      <c r="O1101" s="625"/>
    </row>
    <row r="1102" spans="1:15" x14ac:dyDescent="0.35">
      <c r="A1102" s="1784">
        <v>906725</v>
      </c>
      <c r="B1102" s="1782"/>
      <c r="C1102" s="1785">
        <v>1.91</v>
      </c>
      <c r="D1102" s="1783">
        <v>0.12</v>
      </c>
      <c r="E1102" s="1783">
        <v>1</v>
      </c>
      <c r="F1102" s="1783">
        <v>0.11</v>
      </c>
      <c r="G1102" s="1783">
        <v>4.2699999999999996</v>
      </c>
      <c r="H1102" s="1783">
        <v>0.48</v>
      </c>
      <c r="I1102" s="1783">
        <v>26.66</v>
      </c>
      <c r="J1102" s="1783">
        <v>8.7100000000000009</v>
      </c>
      <c r="K1102" s="1783">
        <v>29.82</v>
      </c>
      <c r="L1102" s="1783">
        <v>248.34</v>
      </c>
      <c r="M1102" s="1783">
        <v>105.11</v>
      </c>
      <c r="N1102" s="627"/>
      <c r="O1102" s="627"/>
    </row>
    <row r="1103" spans="1:15" x14ac:dyDescent="0.35">
      <c r="A1103" s="1784">
        <v>906726</v>
      </c>
      <c r="B1103" s="1782"/>
      <c r="C1103" s="1785">
        <v>2</v>
      </c>
      <c r="D1103" s="1783">
        <v>0.24</v>
      </c>
      <c r="E1103" s="1783">
        <v>1.34</v>
      </c>
      <c r="F1103" s="1783">
        <v>0.08</v>
      </c>
      <c r="G1103" s="1783">
        <v>2.77</v>
      </c>
      <c r="H1103" s="1783">
        <v>0.42</v>
      </c>
      <c r="I1103" s="1783">
        <v>35.57</v>
      </c>
      <c r="J1103" s="1783">
        <v>2.62</v>
      </c>
      <c r="K1103" s="1783">
        <v>69.599999999999994</v>
      </c>
      <c r="L1103" s="1783">
        <v>172.91</v>
      </c>
      <c r="M1103" s="1783">
        <v>61.35</v>
      </c>
      <c r="N1103" s="625"/>
      <c r="O1103" s="625"/>
    </row>
    <row r="1104" spans="1:15" x14ac:dyDescent="0.35">
      <c r="A1104" s="1784">
        <v>906727</v>
      </c>
      <c r="B1104" s="1782"/>
      <c r="C1104" s="1785">
        <v>2.02</v>
      </c>
      <c r="D1104" s="1783">
        <v>0.27</v>
      </c>
      <c r="E1104" s="1783">
        <v>1.34</v>
      </c>
      <c r="F1104" s="1783">
        <v>0.08</v>
      </c>
      <c r="G1104" s="1783">
        <v>3.62</v>
      </c>
      <c r="H1104" s="1783">
        <v>0.53</v>
      </c>
      <c r="I1104" s="1783">
        <v>26.67</v>
      </c>
      <c r="J1104" s="1783">
        <v>4.1900000000000004</v>
      </c>
      <c r="K1104" s="1783">
        <v>50.48</v>
      </c>
      <c r="L1104" s="1783">
        <v>197.14</v>
      </c>
      <c r="M1104" s="1783">
        <v>73.08</v>
      </c>
      <c r="N1104" s="627"/>
      <c r="O1104" s="627"/>
    </row>
    <row r="1105" spans="1:15" x14ac:dyDescent="0.35">
      <c r="A1105" s="1784">
        <v>906728</v>
      </c>
      <c r="B1105" s="1782"/>
      <c r="C1105" s="1785">
        <v>2.39</v>
      </c>
      <c r="D1105" s="1783">
        <v>0.15</v>
      </c>
      <c r="E1105" s="1783">
        <v>1.5</v>
      </c>
      <c r="F1105" s="1783">
        <v>0.08</v>
      </c>
      <c r="G1105" s="1783">
        <v>2.54</v>
      </c>
      <c r="H1105" s="1783">
        <v>0.45</v>
      </c>
      <c r="I1105" s="1783">
        <v>71.260000000000005</v>
      </c>
      <c r="J1105" s="1783">
        <v>1.88</v>
      </c>
      <c r="K1105" s="1783">
        <v>115.67</v>
      </c>
      <c r="L1105" s="1783">
        <v>236.44</v>
      </c>
      <c r="M1105" s="1783">
        <v>82.83</v>
      </c>
      <c r="N1105" s="625"/>
      <c r="O1105" s="625"/>
    </row>
    <row r="1106" spans="1:15" x14ac:dyDescent="0.35">
      <c r="A1106" s="1784">
        <v>906729</v>
      </c>
      <c r="B1106" s="1782"/>
      <c r="C1106" s="1785">
        <v>2.29</v>
      </c>
      <c r="D1106" s="1783">
        <v>0.2</v>
      </c>
      <c r="E1106" s="1783">
        <v>1.97</v>
      </c>
      <c r="F1106" s="1783">
        <v>0.09</v>
      </c>
      <c r="G1106" s="1783">
        <v>2.8</v>
      </c>
      <c r="H1106" s="1783">
        <v>0.47</v>
      </c>
      <c r="I1106" s="1783">
        <v>15.93</v>
      </c>
      <c r="J1106" s="1783">
        <v>7.19</v>
      </c>
      <c r="K1106" s="1783">
        <v>34.36</v>
      </c>
      <c r="L1106" s="1783">
        <v>262.87</v>
      </c>
      <c r="M1106" s="1783">
        <v>170.23</v>
      </c>
      <c r="N1106" s="627"/>
      <c r="O1106" s="627"/>
    </row>
    <row r="1107" spans="1:15" x14ac:dyDescent="0.35">
      <c r="A1107" s="1784">
        <v>906730</v>
      </c>
      <c r="B1107" s="1782"/>
      <c r="C1107" s="1785">
        <v>2.39</v>
      </c>
      <c r="D1107" s="1783">
        <v>0.12</v>
      </c>
      <c r="E1107" s="1783">
        <v>1.63</v>
      </c>
      <c r="F1107" s="1783">
        <v>0.09</v>
      </c>
      <c r="G1107" s="1783">
        <v>3.94</v>
      </c>
      <c r="H1107" s="1783">
        <v>0.32</v>
      </c>
      <c r="I1107" s="1783">
        <v>11.25</v>
      </c>
      <c r="J1107" s="1783">
        <v>3</v>
      </c>
      <c r="K1107" s="1783">
        <v>37.799999999999997</v>
      </c>
      <c r="L1107" s="1783">
        <v>275.69</v>
      </c>
      <c r="M1107" s="1783">
        <v>81.760000000000005</v>
      </c>
      <c r="N1107" s="625"/>
      <c r="O1107" s="625"/>
    </row>
    <row r="1108" spans="1:15" x14ac:dyDescent="0.35">
      <c r="A1108" s="1784">
        <v>906731</v>
      </c>
      <c r="B1108" s="1782"/>
      <c r="C1108" s="1785">
        <v>2.34</v>
      </c>
      <c r="D1108" s="1783">
        <v>0.13</v>
      </c>
      <c r="E1108" s="1783">
        <v>1.72</v>
      </c>
      <c r="F1108" s="1783">
        <v>0.15</v>
      </c>
      <c r="G1108" s="1783">
        <v>4.4800000000000004</v>
      </c>
      <c r="H1108" s="1783">
        <v>0.44</v>
      </c>
      <c r="I1108" s="1783">
        <v>11.34</v>
      </c>
      <c r="J1108" s="1783">
        <v>5.9</v>
      </c>
      <c r="K1108" s="1783">
        <v>23.65</v>
      </c>
      <c r="L1108" s="1783">
        <v>178.18</v>
      </c>
      <c r="M1108" s="1783">
        <v>316.45999999999998</v>
      </c>
      <c r="N1108" s="627"/>
      <c r="O1108" s="627"/>
    </row>
    <row r="1109" spans="1:15" x14ac:dyDescent="0.35">
      <c r="A1109" s="1784">
        <v>906732</v>
      </c>
      <c r="B1109" s="1782"/>
      <c r="C1109" s="1785">
        <v>2.29</v>
      </c>
      <c r="D1109" s="1783">
        <v>0.13</v>
      </c>
      <c r="E1109" s="1783">
        <v>2.16</v>
      </c>
      <c r="F1109" s="1783">
        <v>0.1</v>
      </c>
      <c r="G1109" s="1783">
        <v>3.34</v>
      </c>
      <c r="H1109" s="1783">
        <v>0.34</v>
      </c>
      <c r="I1109" s="1783">
        <v>10.52</v>
      </c>
      <c r="J1109" s="1783">
        <v>4.82</v>
      </c>
      <c r="K1109" s="1783">
        <v>41.69</v>
      </c>
      <c r="L1109" s="1783">
        <v>207.33</v>
      </c>
      <c r="M1109" s="1783">
        <v>100.83</v>
      </c>
      <c r="N1109" s="625"/>
      <c r="O1109" s="625"/>
    </row>
    <row r="1110" spans="1:15" x14ac:dyDescent="0.35">
      <c r="A1110" s="1784">
        <v>906733</v>
      </c>
      <c r="B1110" s="1782"/>
      <c r="C1110" s="1785">
        <v>2.23</v>
      </c>
      <c r="D1110" s="1783">
        <v>0.13</v>
      </c>
      <c r="E1110" s="1783">
        <v>1.53</v>
      </c>
      <c r="F1110" s="1783">
        <v>0.12</v>
      </c>
      <c r="G1110" s="1783">
        <v>5.08</v>
      </c>
      <c r="H1110" s="1783">
        <v>0.42</v>
      </c>
      <c r="I1110" s="1783">
        <v>11.69</v>
      </c>
      <c r="J1110" s="1783">
        <v>6.36</v>
      </c>
      <c r="K1110" s="1783">
        <v>26.67</v>
      </c>
      <c r="L1110" s="1783">
        <v>193.31</v>
      </c>
      <c r="M1110" s="1783">
        <v>129.79</v>
      </c>
      <c r="N1110" s="627"/>
      <c r="O1110" s="627"/>
    </row>
    <row r="1111" spans="1:15" x14ac:dyDescent="0.35">
      <c r="A1111" s="1784">
        <v>906734</v>
      </c>
      <c r="B1111" s="1782"/>
      <c r="C1111" s="1785">
        <v>2.2200000000000002</v>
      </c>
      <c r="D1111" s="1783">
        <v>0.34</v>
      </c>
      <c r="E1111" s="1783">
        <v>2.14</v>
      </c>
      <c r="F1111" s="1783">
        <v>0.11</v>
      </c>
      <c r="G1111" s="1783">
        <v>3.21</v>
      </c>
      <c r="H1111" s="1783">
        <v>0.22</v>
      </c>
      <c r="I1111" s="1783">
        <v>17.829999999999998</v>
      </c>
      <c r="J1111" s="1783">
        <v>5.26</v>
      </c>
      <c r="K1111" s="1783">
        <v>23.94</v>
      </c>
      <c r="L1111" s="1783">
        <v>177.61</v>
      </c>
      <c r="M1111" s="1783">
        <v>106.63</v>
      </c>
      <c r="N1111" s="625"/>
      <c r="O1111" s="625"/>
    </row>
    <row r="1112" spans="1:15" x14ac:dyDescent="0.35">
      <c r="A1112" s="1784">
        <v>906735</v>
      </c>
      <c r="B1112" s="1782"/>
      <c r="C1112" s="1785">
        <v>2.12</v>
      </c>
      <c r="D1112" s="1783">
        <v>0.14000000000000001</v>
      </c>
      <c r="E1112" s="1783">
        <v>1.52</v>
      </c>
      <c r="F1112" s="1783">
        <v>0.09</v>
      </c>
      <c r="G1112" s="1783">
        <v>3.2</v>
      </c>
      <c r="H1112" s="1783">
        <v>0.51</v>
      </c>
      <c r="I1112" s="1783">
        <v>49.87</v>
      </c>
      <c r="J1112" s="1783">
        <v>5.19</v>
      </c>
      <c r="K1112" s="1783">
        <v>92.86</v>
      </c>
      <c r="L1112" s="1783">
        <v>345.68</v>
      </c>
      <c r="M1112" s="1783">
        <v>161.16</v>
      </c>
      <c r="N1112" s="627"/>
      <c r="O1112" s="627"/>
    </row>
    <row r="1113" spans="1:15" x14ac:dyDescent="0.35">
      <c r="A1113" s="1784">
        <v>906736</v>
      </c>
      <c r="B1113" s="1782"/>
      <c r="C1113" s="1785">
        <v>2.4</v>
      </c>
      <c r="D1113" s="1783">
        <v>0.1</v>
      </c>
      <c r="E1113" s="1783">
        <v>0.94</v>
      </c>
      <c r="F1113" s="1783">
        <v>0.12</v>
      </c>
      <c r="G1113" s="1783">
        <v>3.66</v>
      </c>
      <c r="H1113" s="1783">
        <v>0.59</v>
      </c>
      <c r="I1113" s="1783">
        <v>21.81</v>
      </c>
      <c r="J1113" s="1783">
        <v>5.67</v>
      </c>
      <c r="K1113" s="1783">
        <v>31.09</v>
      </c>
      <c r="L1113" s="1783">
        <v>164.64</v>
      </c>
      <c r="M1113" s="1783">
        <v>139.75</v>
      </c>
      <c r="N1113" s="625"/>
      <c r="O1113" s="625"/>
    </row>
    <row r="1114" spans="1:15" x14ac:dyDescent="0.35">
      <c r="A1114" s="1784">
        <v>906737</v>
      </c>
      <c r="B1114" s="1782"/>
      <c r="C1114" s="1785">
        <v>2.2999999999999998</v>
      </c>
      <c r="D1114" s="1783">
        <v>0.12</v>
      </c>
      <c r="E1114" s="1783">
        <v>1.1299999999999999</v>
      </c>
      <c r="F1114" s="1783">
        <v>0.08</v>
      </c>
      <c r="G1114" s="1783">
        <v>3.33</v>
      </c>
      <c r="H1114" s="1783">
        <v>0.51</v>
      </c>
      <c r="I1114" s="1783">
        <v>35.19</v>
      </c>
      <c r="J1114" s="1783">
        <v>4.8600000000000003</v>
      </c>
      <c r="K1114" s="1783">
        <v>75.84</v>
      </c>
      <c r="L1114" s="1783">
        <v>321.06</v>
      </c>
      <c r="M1114" s="1783">
        <v>81.87</v>
      </c>
      <c r="N1114" s="627"/>
      <c r="O1114" s="627"/>
    </row>
    <row r="1115" spans="1:15" x14ac:dyDescent="0.35">
      <c r="A1115" s="1784">
        <v>906738</v>
      </c>
      <c r="B1115" s="1782"/>
      <c r="C1115" s="1785">
        <v>2.16</v>
      </c>
      <c r="D1115" s="1783">
        <v>0.14000000000000001</v>
      </c>
      <c r="E1115" s="1783">
        <v>1.31</v>
      </c>
      <c r="F1115" s="1783">
        <v>0.1</v>
      </c>
      <c r="G1115" s="1783">
        <v>3.41</v>
      </c>
      <c r="H1115" s="1783">
        <v>0.54</v>
      </c>
      <c r="I1115" s="1783">
        <v>8.89</v>
      </c>
      <c r="J1115" s="1783">
        <v>5.34</v>
      </c>
      <c r="K1115" s="1783">
        <v>25.41</v>
      </c>
      <c r="L1115" s="1783">
        <v>244.97</v>
      </c>
      <c r="M1115" s="1783">
        <v>145.86000000000001</v>
      </c>
      <c r="N1115" s="625"/>
      <c r="O1115" s="625"/>
    </row>
    <row r="1116" spans="1:15" x14ac:dyDescent="0.35">
      <c r="A1116" s="1784">
        <v>906739</v>
      </c>
      <c r="B1116" s="1782"/>
      <c r="C1116" s="1785">
        <v>2.17</v>
      </c>
      <c r="D1116" s="1783">
        <v>0.12</v>
      </c>
      <c r="E1116" s="1783">
        <v>1.1100000000000001</v>
      </c>
      <c r="F1116" s="1783">
        <v>0.05</v>
      </c>
      <c r="G1116" s="1783">
        <v>0.79</v>
      </c>
      <c r="H1116" s="1783">
        <v>0.1</v>
      </c>
      <c r="I1116" s="1783">
        <v>23.37</v>
      </c>
      <c r="J1116" s="1783">
        <v>8.5399999999999991</v>
      </c>
      <c r="K1116" s="1783">
        <v>26.93</v>
      </c>
      <c r="L1116" s="1783">
        <v>85.63</v>
      </c>
      <c r="M1116" s="1783">
        <v>15.56</v>
      </c>
      <c r="N1116" s="627"/>
      <c r="O1116" s="627"/>
    </row>
    <row r="1117" spans="1:15" x14ac:dyDescent="0.35">
      <c r="A1117" s="1784">
        <v>906740</v>
      </c>
      <c r="B1117" s="1782"/>
      <c r="C1117" s="1785">
        <v>2.17</v>
      </c>
      <c r="D1117" s="1783">
        <v>0.15</v>
      </c>
      <c r="E1117" s="1783">
        <v>1.97</v>
      </c>
      <c r="F1117" s="1783">
        <v>0.08</v>
      </c>
      <c r="G1117" s="1783">
        <v>2.35</v>
      </c>
      <c r="H1117" s="1783">
        <v>0.39</v>
      </c>
      <c r="I1117" s="1783">
        <v>34.799999999999997</v>
      </c>
      <c r="J1117" s="1783">
        <v>6.27</v>
      </c>
      <c r="K1117" s="1783">
        <v>78.39</v>
      </c>
      <c r="L1117" s="1783">
        <v>253.8</v>
      </c>
      <c r="M1117" s="1783">
        <v>64.94</v>
      </c>
      <c r="N1117" s="625"/>
      <c r="O1117" s="625"/>
    </row>
    <row r="1118" spans="1:15" x14ac:dyDescent="0.35">
      <c r="A1118" s="1784">
        <v>906741</v>
      </c>
      <c r="B1118" s="1782"/>
      <c r="C1118" s="1785">
        <v>2.14</v>
      </c>
      <c r="D1118" s="1783">
        <v>0.12</v>
      </c>
      <c r="E1118" s="1783">
        <v>1.7</v>
      </c>
      <c r="F1118" s="1783">
        <v>0.08</v>
      </c>
      <c r="G1118" s="1783">
        <v>3.04</v>
      </c>
      <c r="H1118" s="1783">
        <v>0.55000000000000004</v>
      </c>
      <c r="I1118" s="1783">
        <v>48.57</v>
      </c>
      <c r="J1118" s="1783">
        <v>3.6</v>
      </c>
      <c r="K1118" s="1783">
        <v>77.63</v>
      </c>
      <c r="L1118" s="1783">
        <v>195.51</v>
      </c>
      <c r="M1118" s="1783">
        <v>290.26</v>
      </c>
      <c r="N1118" s="627"/>
      <c r="O1118" s="627"/>
    </row>
    <row r="1119" spans="1:15" x14ac:dyDescent="0.35">
      <c r="A1119" s="1784">
        <v>906742</v>
      </c>
      <c r="B1119" s="1782"/>
      <c r="C1119" s="1785">
        <v>1.99</v>
      </c>
      <c r="D1119" s="1783">
        <v>0.11</v>
      </c>
      <c r="E1119" s="1783">
        <v>1.38</v>
      </c>
      <c r="F1119" s="1783">
        <v>0.12</v>
      </c>
      <c r="G1119" s="1783">
        <v>3.51</v>
      </c>
      <c r="H1119" s="1783">
        <v>0.43</v>
      </c>
      <c r="I1119" s="1783">
        <v>7.8</v>
      </c>
      <c r="J1119" s="1783">
        <v>5.84</v>
      </c>
      <c r="K1119" s="1783">
        <v>13.7</v>
      </c>
      <c r="L1119" s="1783">
        <v>215.17</v>
      </c>
      <c r="M1119" s="1783">
        <v>145.28</v>
      </c>
      <c r="N1119" s="625"/>
      <c r="O1119" s="625"/>
    </row>
    <row r="1120" spans="1:15" x14ac:dyDescent="0.35">
      <c r="A1120" s="1784">
        <v>906743</v>
      </c>
      <c r="B1120" s="1782"/>
      <c r="C1120" s="1785">
        <v>2.15</v>
      </c>
      <c r="D1120" s="1783">
        <v>0.12</v>
      </c>
      <c r="E1120" s="1783">
        <v>1.52</v>
      </c>
      <c r="F1120" s="1783">
        <v>0.08</v>
      </c>
      <c r="G1120" s="1783">
        <v>3.57</v>
      </c>
      <c r="H1120" s="1783">
        <v>0.53</v>
      </c>
      <c r="I1120" s="1783">
        <v>42.92</v>
      </c>
      <c r="J1120" s="1783">
        <v>4.92</v>
      </c>
      <c r="K1120" s="1783">
        <v>88.81</v>
      </c>
      <c r="L1120" s="1783">
        <v>254.71</v>
      </c>
      <c r="M1120" s="1783">
        <v>221.01</v>
      </c>
      <c r="N1120" s="627"/>
      <c r="O1120" s="627"/>
    </row>
    <row r="1121" spans="1:15" x14ac:dyDescent="0.35">
      <c r="A1121" s="1784">
        <v>906744</v>
      </c>
      <c r="B1121" s="1782"/>
      <c r="C1121" s="1785">
        <v>1.95</v>
      </c>
      <c r="D1121" s="1783">
        <v>0.15</v>
      </c>
      <c r="E1121" s="1783">
        <v>1.65</v>
      </c>
      <c r="F1121" s="1783">
        <v>0.08</v>
      </c>
      <c r="G1121" s="1783">
        <v>2.59</v>
      </c>
      <c r="H1121" s="1783">
        <v>0.45</v>
      </c>
      <c r="I1121" s="1783">
        <v>25.65</v>
      </c>
      <c r="J1121" s="1783">
        <v>6.33</v>
      </c>
      <c r="K1121" s="1783">
        <v>47.47</v>
      </c>
      <c r="L1121" s="1783">
        <v>162.1</v>
      </c>
      <c r="M1121" s="1783">
        <v>85.28</v>
      </c>
      <c r="N1121" s="625"/>
      <c r="O1121" s="625"/>
    </row>
    <row r="1122" spans="1:15" x14ac:dyDescent="0.35">
      <c r="A1122" s="1784">
        <v>906745</v>
      </c>
      <c r="B1122" s="1782"/>
      <c r="C1122" s="1785">
        <v>2.34</v>
      </c>
      <c r="D1122" s="1783">
        <v>0.13</v>
      </c>
      <c r="E1122" s="1783">
        <v>0.91</v>
      </c>
      <c r="F1122" s="1783">
        <v>0.1</v>
      </c>
      <c r="G1122" s="1783">
        <v>3.7</v>
      </c>
      <c r="H1122" s="1783">
        <v>0.53</v>
      </c>
      <c r="I1122" s="1783">
        <v>31.87</v>
      </c>
      <c r="J1122" s="1783">
        <v>4.6100000000000003</v>
      </c>
      <c r="K1122" s="1783">
        <v>46.55</v>
      </c>
      <c r="L1122" s="1783">
        <v>141.33000000000001</v>
      </c>
      <c r="M1122" s="1783">
        <v>88.6</v>
      </c>
      <c r="N1122" s="627"/>
      <c r="O1122" s="627"/>
    </row>
    <row r="1123" spans="1:15" x14ac:dyDescent="0.35">
      <c r="A1123" s="1784">
        <v>906746</v>
      </c>
      <c r="B1123" s="1782"/>
      <c r="C1123" s="1785">
        <v>1.96</v>
      </c>
      <c r="D1123" s="1783">
        <v>0.14000000000000001</v>
      </c>
      <c r="E1123" s="1783">
        <v>1.53</v>
      </c>
      <c r="F1123" s="1783">
        <v>0.08</v>
      </c>
      <c r="G1123" s="1783">
        <v>3.12</v>
      </c>
      <c r="H1123" s="1783">
        <v>0.43</v>
      </c>
      <c r="I1123" s="1783">
        <v>16.22</v>
      </c>
      <c r="J1123" s="1783">
        <v>4.6900000000000004</v>
      </c>
      <c r="K1123" s="1783">
        <v>29.87</v>
      </c>
      <c r="L1123" s="1783">
        <v>181.25</v>
      </c>
      <c r="M1123" s="1783">
        <v>129.05000000000001</v>
      </c>
      <c r="N1123" s="625"/>
      <c r="O1123" s="625"/>
    </row>
    <row r="1124" spans="1:15" x14ac:dyDescent="0.35">
      <c r="A1124" s="1784">
        <v>906747</v>
      </c>
      <c r="B1124" s="1782"/>
      <c r="C1124" s="1785">
        <v>1.9</v>
      </c>
      <c r="D1124" s="1783">
        <v>0.11</v>
      </c>
      <c r="E1124" s="1783">
        <v>0.67</v>
      </c>
      <c r="F1124" s="1783">
        <v>0.09</v>
      </c>
      <c r="G1124" s="1783">
        <v>5.38</v>
      </c>
      <c r="H1124" s="1783">
        <v>0.42</v>
      </c>
      <c r="I1124" s="1783">
        <v>8.35</v>
      </c>
      <c r="J1124" s="1783">
        <v>3.51</v>
      </c>
      <c r="K1124" s="1783">
        <v>18.649999999999999</v>
      </c>
      <c r="L1124" s="1783">
        <v>134.19999999999999</v>
      </c>
      <c r="M1124" s="1783">
        <v>69.760000000000005</v>
      </c>
      <c r="N1124" s="627"/>
      <c r="O1124" s="627"/>
    </row>
    <row r="1125" spans="1:15" x14ac:dyDescent="0.35">
      <c r="A1125" s="1784">
        <v>906748</v>
      </c>
      <c r="B1125" s="1782"/>
      <c r="C1125" s="1785">
        <v>2.02</v>
      </c>
      <c r="D1125" s="1783">
        <v>0.15</v>
      </c>
      <c r="E1125" s="1783">
        <v>1.55</v>
      </c>
      <c r="F1125" s="1783">
        <v>7.0000000000000007E-2</v>
      </c>
      <c r="G1125" s="1783">
        <v>3.76</v>
      </c>
      <c r="H1125" s="1783">
        <v>0.36</v>
      </c>
      <c r="I1125" s="1783">
        <v>25.66</v>
      </c>
      <c r="J1125" s="1783">
        <v>4.95</v>
      </c>
      <c r="K1125" s="1783">
        <v>43.2</v>
      </c>
      <c r="L1125" s="1783">
        <v>163.31</v>
      </c>
      <c r="M1125" s="1783">
        <v>66.67</v>
      </c>
      <c r="N1125" s="625"/>
      <c r="O1125" s="625"/>
    </row>
    <row r="1126" spans="1:15" x14ac:dyDescent="0.35">
      <c r="A1126" s="1784">
        <v>906749</v>
      </c>
      <c r="B1126" s="1782"/>
      <c r="C1126" s="1785">
        <v>1.92</v>
      </c>
      <c r="D1126" s="1783">
        <v>0.19</v>
      </c>
      <c r="E1126" s="1783">
        <v>1.47</v>
      </c>
      <c r="F1126" s="1783">
        <v>7.0000000000000007E-2</v>
      </c>
      <c r="G1126" s="1783">
        <v>2.69</v>
      </c>
      <c r="H1126" s="1783">
        <v>0.28000000000000003</v>
      </c>
      <c r="I1126" s="1783">
        <v>32.53</v>
      </c>
      <c r="J1126" s="1783">
        <v>1.76</v>
      </c>
      <c r="K1126" s="1783">
        <v>88.02</v>
      </c>
      <c r="L1126" s="1783">
        <v>221.53</v>
      </c>
      <c r="M1126" s="1783">
        <v>82.36</v>
      </c>
      <c r="N1126" s="627"/>
      <c r="O1126" s="627"/>
    </row>
    <row r="1127" spans="1:15" x14ac:dyDescent="0.35">
      <c r="A1127" s="1784">
        <v>906750</v>
      </c>
      <c r="B1127" s="1782"/>
      <c r="C1127" s="1785">
        <v>2.2999999999999998</v>
      </c>
      <c r="D1127" s="1783">
        <v>0.12</v>
      </c>
      <c r="E1127" s="1783">
        <v>1.58</v>
      </c>
      <c r="F1127" s="1783">
        <v>0.09</v>
      </c>
      <c r="G1127" s="1783">
        <v>4.45</v>
      </c>
      <c r="H1127" s="1783">
        <v>0.49</v>
      </c>
      <c r="I1127" s="1783">
        <v>40.520000000000003</v>
      </c>
      <c r="J1127" s="1783">
        <v>7.28</v>
      </c>
      <c r="K1127" s="1783">
        <v>60.73</v>
      </c>
      <c r="L1127" s="1783">
        <v>274.61</v>
      </c>
      <c r="M1127" s="1783">
        <v>126.13</v>
      </c>
      <c r="N1127" s="625"/>
      <c r="O1127" s="625"/>
    </row>
    <row r="1128" spans="1:15" x14ac:dyDescent="0.35">
      <c r="A1128" s="1784">
        <v>906751</v>
      </c>
      <c r="B1128" s="1782"/>
      <c r="C1128" s="1785">
        <v>1.94</v>
      </c>
      <c r="D1128" s="1783">
        <v>0.15</v>
      </c>
      <c r="E1128" s="1783">
        <v>1.61</v>
      </c>
      <c r="F1128" s="1783">
        <v>0.11</v>
      </c>
      <c r="G1128" s="1783">
        <v>4.3099999999999996</v>
      </c>
      <c r="H1128" s="1783">
        <v>0.51</v>
      </c>
      <c r="I1128" s="1783">
        <v>34.299999999999997</v>
      </c>
      <c r="J1128" s="1783">
        <v>6.82</v>
      </c>
      <c r="K1128" s="1783">
        <v>48.95</v>
      </c>
      <c r="L1128" s="1783">
        <v>224.94</v>
      </c>
      <c r="M1128" s="1783">
        <v>136.16</v>
      </c>
      <c r="N1128" s="627"/>
      <c r="O1128" s="627"/>
    </row>
    <row r="1129" spans="1:15" x14ac:dyDescent="0.35">
      <c r="A1129" s="1784">
        <v>906752</v>
      </c>
      <c r="B1129" s="1782"/>
      <c r="C1129" s="1785">
        <v>2.25</v>
      </c>
      <c r="D1129" s="1783">
        <v>0.14000000000000001</v>
      </c>
      <c r="E1129" s="1783">
        <v>1.81</v>
      </c>
      <c r="F1129" s="1783">
        <v>0.09</v>
      </c>
      <c r="G1129" s="1783">
        <v>2.87</v>
      </c>
      <c r="H1129" s="1783">
        <v>0.59</v>
      </c>
      <c r="I1129" s="1783">
        <v>32.24</v>
      </c>
      <c r="J1129" s="1783">
        <v>5.07</v>
      </c>
      <c r="K1129" s="1783">
        <v>67.680000000000007</v>
      </c>
      <c r="L1129" s="1783">
        <v>351.01</v>
      </c>
      <c r="M1129" s="1783">
        <v>165.31</v>
      </c>
      <c r="N1129" s="625"/>
      <c r="O1129" s="625"/>
    </row>
    <row r="1130" spans="1:15" x14ac:dyDescent="0.35">
      <c r="A1130" s="1784">
        <v>906753</v>
      </c>
      <c r="B1130" s="1782"/>
      <c r="C1130" s="1785">
        <v>1.97</v>
      </c>
      <c r="D1130" s="1783">
        <v>0.18</v>
      </c>
      <c r="E1130" s="1783">
        <v>1.46</v>
      </c>
      <c r="F1130" s="1783">
        <v>7.0000000000000007E-2</v>
      </c>
      <c r="G1130" s="1783">
        <v>3.75</v>
      </c>
      <c r="H1130" s="1783">
        <v>0.49</v>
      </c>
      <c r="I1130" s="1783">
        <v>13.78</v>
      </c>
      <c r="J1130" s="1783">
        <v>7.53</v>
      </c>
      <c r="K1130" s="1783">
        <v>29</v>
      </c>
      <c r="L1130" s="1783">
        <v>229.93</v>
      </c>
      <c r="M1130" s="1783">
        <v>54.22</v>
      </c>
      <c r="N1130" s="627"/>
      <c r="O1130" s="627"/>
    </row>
    <row r="1131" spans="1:15" x14ac:dyDescent="0.35">
      <c r="A1131" s="1784">
        <v>906754</v>
      </c>
      <c r="B1131" s="1782"/>
      <c r="C1131" s="1785">
        <v>2.21</v>
      </c>
      <c r="D1131" s="1783">
        <v>0.22</v>
      </c>
      <c r="E1131" s="1783">
        <v>1.74</v>
      </c>
      <c r="F1131" s="1783">
        <v>7.0000000000000007E-2</v>
      </c>
      <c r="G1131" s="1783">
        <v>4.6500000000000004</v>
      </c>
      <c r="H1131" s="1783">
        <v>0.43</v>
      </c>
      <c r="I1131" s="1783">
        <v>14.74</v>
      </c>
      <c r="J1131" s="1783">
        <v>7.61</v>
      </c>
      <c r="K1131" s="1783">
        <v>26.45</v>
      </c>
      <c r="L1131" s="1783">
        <v>182.29</v>
      </c>
      <c r="M1131" s="1783">
        <v>54.86</v>
      </c>
      <c r="N1131" s="625"/>
      <c r="O1131" s="625"/>
    </row>
    <row r="1132" spans="1:15" x14ac:dyDescent="0.35">
      <c r="A1132" s="1784">
        <v>906755</v>
      </c>
      <c r="B1132" s="1782"/>
      <c r="C1132" s="1785">
        <v>2.31</v>
      </c>
      <c r="D1132" s="1783">
        <v>0.17</v>
      </c>
      <c r="E1132" s="1783">
        <v>1.1200000000000001</v>
      </c>
      <c r="F1132" s="1783">
        <v>0.11</v>
      </c>
      <c r="G1132" s="1783">
        <v>3.92</v>
      </c>
      <c r="H1132" s="1783">
        <v>0.51</v>
      </c>
      <c r="I1132" s="1783">
        <v>8.8000000000000007</v>
      </c>
      <c r="J1132" s="1783">
        <v>6.5</v>
      </c>
      <c r="K1132" s="1783">
        <v>11.5</v>
      </c>
      <c r="L1132" s="1783">
        <v>188.02</v>
      </c>
      <c r="M1132" s="1783">
        <v>97.73</v>
      </c>
      <c r="N1132" s="627"/>
      <c r="O1132" s="627"/>
    </row>
    <row r="1133" spans="1:15" x14ac:dyDescent="0.35">
      <c r="A1133" s="1784">
        <v>906756</v>
      </c>
      <c r="B1133" s="1782"/>
      <c r="C1133" s="1785">
        <v>2.19</v>
      </c>
      <c r="D1133" s="1783">
        <v>0.17</v>
      </c>
      <c r="E1133" s="1783">
        <v>1.75</v>
      </c>
      <c r="F1133" s="1783">
        <v>0.1</v>
      </c>
      <c r="G1133" s="1783">
        <v>4.0599999999999996</v>
      </c>
      <c r="H1133" s="1783">
        <v>0.38</v>
      </c>
      <c r="I1133" s="1783">
        <v>12.13</v>
      </c>
      <c r="J1133" s="1783">
        <v>3.14</v>
      </c>
      <c r="K1133" s="1783">
        <v>40.869999999999997</v>
      </c>
      <c r="L1133" s="1783">
        <v>227.2</v>
      </c>
      <c r="M1133" s="1783">
        <v>113.03</v>
      </c>
      <c r="N1133" s="625"/>
      <c r="O1133" s="625"/>
    </row>
    <row r="1134" spans="1:15" x14ac:dyDescent="0.35">
      <c r="A1134" s="1784">
        <v>906757</v>
      </c>
      <c r="B1134" s="1782"/>
      <c r="C1134" s="1785">
        <v>2.27</v>
      </c>
      <c r="D1134" s="1783">
        <v>0.46</v>
      </c>
      <c r="E1134" s="1783">
        <v>1.89</v>
      </c>
      <c r="F1134" s="1783">
        <v>0.06</v>
      </c>
      <c r="G1134" s="1783">
        <v>2.79</v>
      </c>
      <c r="H1134" s="1783">
        <v>0.46</v>
      </c>
      <c r="I1134" s="1783">
        <v>8.8699999999999992</v>
      </c>
      <c r="J1134" s="1783">
        <v>8.52</v>
      </c>
      <c r="K1134" s="1783">
        <v>52.94</v>
      </c>
      <c r="L1134" s="1783">
        <v>264.83</v>
      </c>
      <c r="M1134" s="1783">
        <v>116.41</v>
      </c>
      <c r="N1134" s="627"/>
      <c r="O1134" s="627"/>
    </row>
    <row r="1135" spans="1:15" x14ac:dyDescent="0.35">
      <c r="A1135" s="1784">
        <v>906758</v>
      </c>
      <c r="B1135" s="1782"/>
      <c r="C1135" s="1785">
        <v>1.95</v>
      </c>
      <c r="D1135" s="1783">
        <v>0.16</v>
      </c>
      <c r="E1135" s="1783">
        <v>2.21</v>
      </c>
      <c r="F1135" s="1783">
        <v>0.08</v>
      </c>
      <c r="G1135" s="1783">
        <v>3.26</v>
      </c>
      <c r="H1135" s="1783">
        <v>0.35</v>
      </c>
      <c r="I1135" s="1783">
        <v>8.65</v>
      </c>
      <c r="J1135" s="1783">
        <v>5.73</v>
      </c>
      <c r="K1135" s="1783">
        <v>39.99</v>
      </c>
      <c r="L1135" s="1783">
        <v>206.15</v>
      </c>
      <c r="M1135" s="1783">
        <v>137.75</v>
      </c>
      <c r="N1135" s="625"/>
      <c r="O1135" s="625"/>
    </row>
    <row r="1136" spans="1:15" x14ac:dyDescent="0.35">
      <c r="A1136" s="1784">
        <v>906759</v>
      </c>
      <c r="B1136" s="1782"/>
      <c r="C1136" s="1785">
        <v>2.34</v>
      </c>
      <c r="D1136" s="1783">
        <v>0.12</v>
      </c>
      <c r="E1136" s="1783">
        <v>1.37</v>
      </c>
      <c r="F1136" s="1783">
        <v>0.05</v>
      </c>
      <c r="G1136" s="1783">
        <v>3.78</v>
      </c>
      <c r="H1136" s="1783">
        <v>0.28999999999999998</v>
      </c>
      <c r="I1136" s="1783">
        <v>8.18</v>
      </c>
      <c r="J1136" s="1783">
        <v>3.76</v>
      </c>
      <c r="K1136" s="1783">
        <v>14.86</v>
      </c>
      <c r="L1136" s="1783">
        <v>143.29</v>
      </c>
      <c r="M1136" s="1783">
        <v>40.25</v>
      </c>
      <c r="N1136" s="627"/>
      <c r="O1136" s="627"/>
    </row>
    <row r="1137" spans="1:16" x14ac:dyDescent="0.35">
      <c r="A1137" s="1784">
        <v>906760</v>
      </c>
      <c r="B1137" s="1782"/>
      <c r="C1137" s="1785">
        <v>1.91</v>
      </c>
      <c r="D1137" s="1783">
        <v>0.12</v>
      </c>
      <c r="E1137" s="1783">
        <v>1.05</v>
      </c>
      <c r="F1137" s="1783">
        <v>7.0000000000000007E-2</v>
      </c>
      <c r="G1137" s="1783">
        <v>5.29</v>
      </c>
      <c r="H1137" s="1783">
        <v>0.25</v>
      </c>
      <c r="I1137" s="1783">
        <v>13.01</v>
      </c>
      <c r="J1137" s="1783">
        <v>6.12</v>
      </c>
      <c r="K1137" s="1783">
        <v>23.65</v>
      </c>
      <c r="L1137" s="1783">
        <v>178.73</v>
      </c>
      <c r="M1137" s="1783">
        <v>40.659999999999997</v>
      </c>
      <c r="N1137" s="625"/>
      <c r="O1137" s="625"/>
    </row>
    <row r="1138" spans="1:16" x14ac:dyDescent="0.35">
      <c r="A1138" s="1784">
        <v>906761</v>
      </c>
      <c r="B1138" s="1782"/>
      <c r="C1138" s="1785">
        <v>1.94</v>
      </c>
      <c r="D1138" s="1783">
        <v>0.28999999999999998</v>
      </c>
      <c r="E1138" s="1783">
        <v>1.85</v>
      </c>
      <c r="F1138" s="1783">
        <v>0.16</v>
      </c>
      <c r="G1138" s="1783">
        <v>3.4</v>
      </c>
      <c r="H1138" s="1783">
        <v>0.35</v>
      </c>
      <c r="I1138" s="1783">
        <v>8.8000000000000007</v>
      </c>
      <c r="J1138" s="1783">
        <v>7.19</v>
      </c>
      <c r="K1138" s="1783">
        <v>19.48</v>
      </c>
      <c r="L1138" s="1783">
        <v>182.72</v>
      </c>
      <c r="M1138" s="1783">
        <v>83.92</v>
      </c>
      <c r="N1138" s="627"/>
      <c r="O1138" s="627"/>
    </row>
    <row r="1139" spans="1:16" x14ac:dyDescent="0.35">
      <c r="A1139" s="1784">
        <v>906762</v>
      </c>
      <c r="B1139" s="1782"/>
      <c r="C1139" s="1785">
        <v>2.1800000000000002</v>
      </c>
      <c r="D1139" s="1783">
        <v>0.3</v>
      </c>
      <c r="E1139" s="1783">
        <v>1.91</v>
      </c>
      <c r="F1139" s="1783">
        <v>0.16</v>
      </c>
      <c r="G1139" s="1783">
        <v>3.57</v>
      </c>
      <c r="H1139" s="1783">
        <v>0.36</v>
      </c>
      <c r="I1139" s="1783">
        <v>10.1</v>
      </c>
      <c r="J1139" s="1783">
        <v>7.85</v>
      </c>
      <c r="K1139" s="1783">
        <v>22.66</v>
      </c>
      <c r="L1139" s="1783">
        <v>252.41</v>
      </c>
      <c r="M1139" s="1783">
        <v>93.76</v>
      </c>
      <c r="N1139" s="625"/>
      <c r="O1139" s="625"/>
    </row>
    <row r="1140" spans="1:16" x14ac:dyDescent="0.35">
      <c r="A1140" s="1784">
        <v>906763</v>
      </c>
      <c r="B1140" s="1782"/>
      <c r="C1140" s="1785">
        <v>2.25</v>
      </c>
      <c r="D1140" s="1783">
        <v>0.2</v>
      </c>
      <c r="E1140" s="1783">
        <v>2</v>
      </c>
      <c r="F1140" s="1783">
        <v>0.14000000000000001</v>
      </c>
      <c r="G1140" s="1783">
        <v>3.86</v>
      </c>
      <c r="H1140" s="1783">
        <v>0.39</v>
      </c>
      <c r="I1140" s="1783">
        <v>11.96</v>
      </c>
      <c r="J1140" s="1783">
        <v>6.79</v>
      </c>
      <c r="K1140" s="1783">
        <v>23.68</v>
      </c>
      <c r="L1140" s="1783">
        <v>237.67</v>
      </c>
      <c r="M1140" s="1783">
        <v>65.95</v>
      </c>
      <c r="N1140" s="627"/>
      <c r="O1140" s="627"/>
    </row>
    <row r="1141" spans="1:16" x14ac:dyDescent="0.35">
      <c r="A1141" s="1784">
        <v>906764</v>
      </c>
      <c r="B1141" s="1782"/>
      <c r="C1141" s="1785">
        <v>2.4</v>
      </c>
      <c r="D1141" s="1783">
        <v>0.18</v>
      </c>
      <c r="E1141" s="1783">
        <v>1.21</v>
      </c>
      <c r="F1141" s="1783">
        <v>0.13</v>
      </c>
      <c r="G1141" s="1783">
        <v>2.6</v>
      </c>
      <c r="H1141" s="1783">
        <v>0.35</v>
      </c>
      <c r="I1141" s="1783">
        <v>24.02</v>
      </c>
      <c r="J1141" s="1783">
        <v>2.88</v>
      </c>
      <c r="K1141" s="1783">
        <v>51.3</v>
      </c>
      <c r="L1141" s="1783">
        <v>153.66999999999999</v>
      </c>
      <c r="M1141" s="1783">
        <v>83.6</v>
      </c>
      <c r="N1141" s="625"/>
      <c r="O1141" s="625"/>
    </row>
    <row r="1142" spans="1:16" x14ac:dyDescent="0.35">
      <c r="A1142" s="1784">
        <v>906765</v>
      </c>
      <c r="B1142" s="1782"/>
      <c r="C1142" s="1785">
        <v>1.65</v>
      </c>
      <c r="D1142" s="1786">
        <v>0.16</v>
      </c>
      <c r="E1142" s="1786">
        <v>0.66</v>
      </c>
      <c r="F1142" s="1786">
        <v>0.05</v>
      </c>
      <c r="G1142" s="1786">
        <v>2.5</v>
      </c>
      <c r="H1142" s="1786">
        <v>0.19</v>
      </c>
      <c r="I1142" s="1786">
        <v>29.33</v>
      </c>
      <c r="J1142" s="1786">
        <v>13.78</v>
      </c>
      <c r="K1142" s="1786">
        <v>24.24</v>
      </c>
      <c r="L1142" s="1786">
        <v>80.81</v>
      </c>
      <c r="M1142" s="1786">
        <v>24.43</v>
      </c>
      <c r="N1142" s="946"/>
      <c r="O1142" s="946"/>
    </row>
    <row r="1143" spans="1:16" x14ac:dyDescent="0.35">
      <c r="A1143" s="1784">
        <v>906766</v>
      </c>
      <c r="B1143" s="1782"/>
      <c r="C1143" s="1785">
        <v>1.54</v>
      </c>
      <c r="D1143" s="1786">
        <v>0.17</v>
      </c>
      <c r="E1143" s="1786">
        <v>0.73</v>
      </c>
      <c r="F1143" s="1786">
        <v>0.05</v>
      </c>
      <c r="G1143" s="1786">
        <v>2.09</v>
      </c>
      <c r="H1143" s="1786">
        <v>0.21</v>
      </c>
      <c r="I1143" s="1786">
        <v>31.68</v>
      </c>
      <c r="J1143" s="1786">
        <v>17.440000000000001</v>
      </c>
      <c r="K1143" s="1786">
        <v>29.2</v>
      </c>
      <c r="L1143" s="1786">
        <v>57.01</v>
      </c>
      <c r="M1143" s="1786">
        <v>21.58</v>
      </c>
      <c r="N1143" s="946"/>
      <c r="O1143" s="946"/>
    </row>
    <row r="1144" spans="1:16" ht="21.75" thickBot="1" x14ac:dyDescent="0.4">
      <c r="A1144" s="1784">
        <v>906767</v>
      </c>
      <c r="B1144" s="1782"/>
      <c r="C1144" s="1785">
        <v>1.76</v>
      </c>
      <c r="D1144" s="1786">
        <v>0.12</v>
      </c>
      <c r="E1144" s="1786">
        <v>1.0900000000000001</v>
      </c>
      <c r="F1144" s="1786">
        <v>0.02</v>
      </c>
      <c r="G1144" s="1786">
        <v>1.85</v>
      </c>
      <c r="H1144" s="1786">
        <v>0.19</v>
      </c>
      <c r="I1144" s="1786">
        <v>11.97</v>
      </c>
      <c r="J1144" s="1786">
        <v>24.85</v>
      </c>
      <c r="K1144" s="1786">
        <v>39.42</v>
      </c>
      <c r="L1144" s="1786">
        <v>129.75</v>
      </c>
      <c r="M1144" s="1786">
        <v>24.33</v>
      </c>
      <c r="N1144" s="946"/>
      <c r="O1144" s="946"/>
    </row>
    <row r="1145" spans="1:16" s="1249" customFormat="1" ht="21.75" thickTop="1" x14ac:dyDescent="0.35">
      <c r="A1145" s="1798">
        <v>206000</v>
      </c>
      <c r="B1145" s="1799"/>
      <c r="C1145" s="1800">
        <v>2.0099999999999998</v>
      </c>
      <c r="D1145" s="1801">
        <v>0.11</v>
      </c>
      <c r="E1145" s="1801">
        <v>0.88</v>
      </c>
      <c r="F1145" s="1801">
        <v>0.15</v>
      </c>
      <c r="G1145" s="1801">
        <v>3.8</v>
      </c>
      <c r="H1145" s="1801">
        <v>0.64</v>
      </c>
      <c r="I1145" s="1801">
        <v>25.74</v>
      </c>
      <c r="J1145" s="1801">
        <v>8.33</v>
      </c>
      <c r="K1145" s="1801">
        <v>59.86</v>
      </c>
      <c r="L1145" s="1801">
        <v>162.72</v>
      </c>
      <c r="M1145" s="1801">
        <v>211.47</v>
      </c>
      <c r="N1145" s="627"/>
      <c r="O1145" s="627"/>
    </row>
    <row r="1146" spans="1:16" x14ac:dyDescent="0.35">
      <c r="A1146" s="1784">
        <v>206001</v>
      </c>
      <c r="B1146" s="1782"/>
      <c r="C1146" s="1785">
        <v>2.4300000000000002</v>
      </c>
      <c r="D1146" s="1783">
        <v>0.15</v>
      </c>
      <c r="E1146" s="1783">
        <v>0.85</v>
      </c>
      <c r="F1146" s="1783">
        <v>0.44</v>
      </c>
      <c r="G1146" s="1783">
        <v>5.45</v>
      </c>
      <c r="H1146" s="1783">
        <v>0.28000000000000003</v>
      </c>
      <c r="I1146" s="1783">
        <v>9.3699999999999992</v>
      </c>
      <c r="J1146" s="1783">
        <v>5.4</v>
      </c>
      <c r="K1146" s="1783">
        <v>24.33</v>
      </c>
      <c r="L1146" s="1783">
        <v>92.23</v>
      </c>
      <c r="M1146" s="1783">
        <v>254.71</v>
      </c>
      <c r="N1146" s="625"/>
      <c r="O1146" s="625"/>
      <c r="P1146" s="1250"/>
    </row>
    <row r="1147" spans="1:16" x14ac:dyDescent="0.35">
      <c r="A1147" s="1784">
        <v>206002</v>
      </c>
      <c r="B1147" s="1782"/>
      <c r="C1147" s="1785">
        <v>2.16</v>
      </c>
      <c r="D1147" s="1783">
        <v>0.13</v>
      </c>
      <c r="E1147" s="1783">
        <v>0.56999999999999995</v>
      </c>
      <c r="F1147" s="1783">
        <v>0.27</v>
      </c>
      <c r="G1147" s="1783">
        <v>4.7</v>
      </c>
      <c r="H1147" s="1783">
        <v>0.33</v>
      </c>
      <c r="I1147" s="1783">
        <v>8.5399999999999991</v>
      </c>
      <c r="J1147" s="1783">
        <v>2.27</v>
      </c>
      <c r="K1147" s="1783">
        <v>26.64</v>
      </c>
      <c r="L1147" s="1783">
        <v>118.99</v>
      </c>
      <c r="M1147" s="1783">
        <v>169.21</v>
      </c>
      <c r="N1147" s="627"/>
      <c r="O1147" s="627"/>
      <c r="P1147" s="1250"/>
    </row>
    <row r="1148" spans="1:16" x14ac:dyDescent="0.35">
      <c r="A1148" s="1784">
        <v>206003</v>
      </c>
      <c r="B1148" s="1782"/>
      <c r="C1148" s="1785">
        <v>2.3199999999999998</v>
      </c>
      <c r="D1148" s="1783">
        <v>0.12</v>
      </c>
      <c r="E1148" s="1783">
        <v>1.07</v>
      </c>
      <c r="F1148" s="1783">
        <v>0.27</v>
      </c>
      <c r="G1148" s="1783">
        <v>3.55</v>
      </c>
      <c r="H1148" s="1783">
        <v>0.31</v>
      </c>
      <c r="I1148" s="1783">
        <v>29.35</v>
      </c>
      <c r="J1148" s="1783">
        <v>3.35</v>
      </c>
      <c r="K1148" s="1783">
        <v>59.03</v>
      </c>
      <c r="L1148" s="1783">
        <v>91.07</v>
      </c>
      <c r="M1148" s="1783">
        <v>93.42</v>
      </c>
      <c r="N1148" s="625"/>
      <c r="O1148" s="625"/>
      <c r="P1148" s="1250"/>
    </row>
    <row r="1149" spans="1:16" x14ac:dyDescent="0.35">
      <c r="A1149" s="1784">
        <v>206004</v>
      </c>
      <c r="B1149" s="1782"/>
      <c r="C1149" s="1785">
        <v>1.93</v>
      </c>
      <c r="D1149" s="1783">
        <v>0.21</v>
      </c>
      <c r="E1149" s="1783">
        <v>0.59</v>
      </c>
      <c r="F1149" s="1783">
        <v>0.06</v>
      </c>
      <c r="G1149" s="1783">
        <v>5.82</v>
      </c>
      <c r="H1149" s="1783">
        <v>0.55000000000000004</v>
      </c>
      <c r="I1149" s="1783">
        <v>20.83</v>
      </c>
      <c r="J1149" s="1783">
        <v>3.07</v>
      </c>
      <c r="K1149" s="1783">
        <v>27.5</v>
      </c>
      <c r="L1149" s="1783">
        <v>101.28</v>
      </c>
      <c r="M1149" s="1783">
        <v>73.7</v>
      </c>
      <c r="N1149" s="627"/>
      <c r="O1149" s="627"/>
      <c r="P1149" s="1250"/>
    </row>
    <row r="1150" spans="1:16" x14ac:dyDescent="0.35">
      <c r="A1150" s="1784">
        <v>206005</v>
      </c>
      <c r="B1150" s="1782"/>
      <c r="C1150" s="1785">
        <v>2.15</v>
      </c>
      <c r="D1150" s="1783">
        <v>0.12</v>
      </c>
      <c r="E1150" s="1783">
        <v>1.17</v>
      </c>
      <c r="F1150" s="1783">
        <v>0.05</v>
      </c>
      <c r="G1150" s="1783">
        <v>4.17</v>
      </c>
      <c r="H1150" s="1783">
        <v>0.35</v>
      </c>
      <c r="I1150" s="1783">
        <v>47.95</v>
      </c>
      <c r="J1150" s="1783">
        <v>2.65</v>
      </c>
      <c r="K1150" s="1783">
        <v>61.28</v>
      </c>
      <c r="L1150" s="1783">
        <v>62.07</v>
      </c>
      <c r="M1150" s="1783">
        <v>62.46</v>
      </c>
      <c r="N1150" s="625"/>
      <c r="O1150" s="625"/>
      <c r="P1150" s="1250"/>
    </row>
    <row r="1151" spans="1:16" x14ac:dyDescent="0.35">
      <c r="A1151" s="1784">
        <v>206006</v>
      </c>
      <c r="B1151" s="1782"/>
      <c r="C1151" s="1785">
        <v>2</v>
      </c>
      <c r="D1151" s="1783">
        <v>0.13</v>
      </c>
      <c r="E1151" s="1783">
        <v>1.35</v>
      </c>
      <c r="F1151" s="1783">
        <v>0.05</v>
      </c>
      <c r="G1151" s="1783">
        <v>4.8899999999999997</v>
      </c>
      <c r="H1151" s="1783">
        <v>0.31</v>
      </c>
      <c r="I1151" s="1783">
        <v>27.1</v>
      </c>
      <c r="J1151" s="1783">
        <v>3.14</v>
      </c>
      <c r="K1151" s="1783">
        <v>34.39</v>
      </c>
      <c r="L1151" s="1783">
        <v>94.35</v>
      </c>
      <c r="M1151" s="1783">
        <v>91.57</v>
      </c>
      <c r="N1151" s="627"/>
      <c r="O1151" s="627"/>
      <c r="P1151" s="1250"/>
    </row>
    <row r="1152" spans="1:16" x14ac:dyDescent="0.35">
      <c r="A1152" s="1784">
        <v>206007</v>
      </c>
      <c r="B1152" s="1782"/>
      <c r="C1152" s="1785">
        <v>2.4</v>
      </c>
      <c r="D1152" s="1783">
        <v>0.1</v>
      </c>
      <c r="E1152" s="1783">
        <v>0.72</v>
      </c>
      <c r="F1152" s="1783">
        <v>7.0000000000000007E-2</v>
      </c>
      <c r="G1152" s="1783">
        <v>4.82</v>
      </c>
      <c r="H1152" s="1783">
        <v>0.33</v>
      </c>
      <c r="I1152" s="1783">
        <v>12.74</v>
      </c>
      <c r="J1152" s="1783">
        <v>2.5099999999999998</v>
      </c>
      <c r="K1152" s="1783">
        <v>16.899999999999999</v>
      </c>
      <c r="L1152" s="1783">
        <v>106.29</v>
      </c>
      <c r="M1152" s="1783">
        <v>88.04</v>
      </c>
      <c r="N1152" s="625"/>
      <c r="O1152" s="625"/>
      <c r="P1152" s="1250"/>
    </row>
    <row r="1153" spans="1:16" x14ac:dyDescent="0.35">
      <c r="A1153" s="1784">
        <v>206008</v>
      </c>
      <c r="B1153" s="1782"/>
      <c r="C1153" s="1785">
        <v>2.4300000000000002</v>
      </c>
      <c r="D1153" s="1783">
        <v>0.12</v>
      </c>
      <c r="E1153" s="1783">
        <v>0.95</v>
      </c>
      <c r="F1153" s="1783">
        <v>0.06</v>
      </c>
      <c r="G1153" s="1783">
        <v>4.47</v>
      </c>
      <c r="H1153" s="1783">
        <v>0.41</v>
      </c>
      <c r="I1153" s="1783">
        <v>42.65</v>
      </c>
      <c r="J1153" s="1783">
        <v>2.27</v>
      </c>
      <c r="K1153" s="1783">
        <v>41.69</v>
      </c>
      <c r="L1153" s="1783">
        <v>113.69</v>
      </c>
      <c r="M1153" s="1783">
        <v>100.75</v>
      </c>
      <c r="N1153" s="627"/>
      <c r="O1153" s="627"/>
      <c r="P1153" s="1250"/>
    </row>
    <row r="1154" spans="1:16" x14ac:dyDescent="0.35">
      <c r="A1154" s="1784">
        <v>206009</v>
      </c>
      <c r="B1154" s="1782"/>
      <c r="C1154" s="1785">
        <v>1.99</v>
      </c>
      <c r="D1154" s="1783">
        <v>0.17</v>
      </c>
      <c r="E1154" s="1783">
        <v>1.01</v>
      </c>
      <c r="F1154" s="1783">
        <v>0.05</v>
      </c>
      <c r="G1154" s="1783">
        <v>5.04</v>
      </c>
      <c r="H1154" s="1783">
        <v>0.44</v>
      </c>
      <c r="I1154" s="1783">
        <v>20.37</v>
      </c>
      <c r="J1154" s="1783">
        <v>3.33</v>
      </c>
      <c r="K1154" s="1783">
        <v>24.3</v>
      </c>
      <c r="L1154" s="1783">
        <v>95.46</v>
      </c>
      <c r="M1154" s="1783">
        <v>83.65</v>
      </c>
      <c r="N1154" s="625"/>
      <c r="O1154" s="625"/>
      <c r="P1154" s="1250"/>
    </row>
    <row r="1155" spans="1:16" x14ac:dyDescent="0.35">
      <c r="A1155" s="1784">
        <v>206010</v>
      </c>
      <c r="B1155" s="1782"/>
      <c r="C1155" s="1785">
        <v>1.72</v>
      </c>
      <c r="D1155" s="1783">
        <v>0.1</v>
      </c>
      <c r="E1155" s="1783">
        <v>0.69</v>
      </c>
      <c r="F1155" s="1783">
        <v>0.04</v>
      </c>
      <c r="G1155" s="1783">
        <v>1.93</v>
      </c>
      <c r="H1155" s="1783">
        <v>0.4</v>
      </c>
      <c r="I1155" s="1783">
        <v>11.12</v>
      </c>
      <c r="J1155" s="1783">
        <v>3.7</v>
      </c>
      <c r="K1155" s="1783">
        <v>68.08</v>
      </c>
      <c r="L1155" s="1783">
        <v>212.55</v>
      </c>
      <c r="M1155" s="1783">
        <v>21.32</v>
      </c>
      <c r="N1155" s="627"/>
      <c r="O1155" s="627"/>
      <c r="P1155" s="1250"/>
    </row>
    <row r="1156" spans="1:16" x14ac:dyDescent="0.35">
      <c r="A1156" s="1784">
        <v>206011</v>
      </c>
      <c r="B1156" s="1782"/>
      <c r="C1156" s="1785">
        <v>1.59</v>
      </c>
      <c r="D1156" s="1786">
        <v>0.17</v>
      </c>
      <c r="E1156" s="1786">
        <v>0.74</v>
      </c>
      <c r="F1156" s="1786">
        <v>0.03</v>
      </c>
      <c r="G1156" s="1786">
        <v>2.0099999999999998</v>
      </c>
      <c r="H1156" s="1786">
        <v>0.18</v>
      </c>
      <c r="I1156" s="1786">
        <v>14.72</v>
      </c>
      <c r="J1156" s="1786">
        <v>6.74</v>
      </c>
      <c r="K1156" s="1786">
        <v>45.83</v>
      </c>
      <c r="L1156" s="1786">
        <v>100.55</v>
      </c>
      <c r="M1156" s="1786">
        <v>15.74</v>
      </c>
      <c r="N1156" s="846"/>
      <c r="O1156" s="846"/>
      <c r="P1156" s="1250"/>
    </row>
    <row r="1157" spans="1:16" x14ac:dyDescent="0.35">
      <c r="A1157" s="1784">
        <v>206012</v>
      </c>
      <c r="B1157" s="1782"/>
      <c r="C1157" s="1785">
        <v>1.8</v>
      </c>
      <c r="D1157" s="1786">
        <v>0.13</v>
      </c>
      <c r="E1157" s="1786">
        <v>0.98</v>
      </c>
      <c r="F1157" s="1786">
        <v>0.03</v>
      </c>
      <c r="G1157" s="1786">
        <v>1.1000000000000001</v>
      </c>
      <c r="H1157" s="1786">
        <v>0.13</v>
      </c>
      <c r="I1157" s="1786">
        <v>15.59</v>
      </c>
      <c r="J1157" s="1786">
        <v>4.37</v>
      </c>
      <c r="K1157" s="1786">
        <v>42.06</v>
      </c>
      <c r="L1157" s="1786">
        <v>88.84</v>
      </c>
      <c r="M1157" s="1786">
        <v>15.04</v>
      </c>
      <c r="N1157" s="846"/>
      <c r="O1157" s="846"/>
      <c r="P1157" s="1250"/>
    </row>
    <row r="1158" spans="1:16" s="212" customFormat="1" x14ac:dyDescent="0.35">
      <c r="A1158" s="1802">
        <v>206013</v>
      </c>
      <c r="B1158" s="1783"/>
      <c r="C1158" s="1785">
        <v>1.61</v>
      </c>
      <c r="D1158" s="1783">
        <v>0.12</v>
      </c>
      <c r="E1158" s="1783">
        <v>0.9</v>
      </c>
      <c r="F1158" s="1783">
        <v>0.02</v>
      </c>
      <c r="G1158" s="1783">
        <v>1.63</v>
      </c>
      <c r="H1158" s="1783">
        <v>0.28000000000000003</v>
      </c>
      <c r="I1158" s="1783">
        <v>13.42</v>
      </c>
      <c r="J1158" s="1783">
        <v>7.06</v>
      </c>
      <c r="K1158" s="1783">
        <v>53.33</v>
      </c>
      <c r="L1158" s="1783">
        <v>91.6</v>
      </c>
      <c r="M1158" s="1783">
        <v>21.59</v>
      </c>
      <c r="N1158" s="625"/>
      <c r="O1158" s="625"/>
      <c r="P1158" s="1250"/>
    </row>
    <row r="1159" spans="1:16" s="212" customFormat="1" x14ac:dyDescent="0.35">
      <c r="A1159" s="1802">
        <v>206014</v>
      </c>
      <c r="B1159" s="1783"/>
      <c r="C1159" s="1785">
        <v>1.49</v>
      </c>
      <c r="D1159" s="1783">
        <v>0.18</v>
      </c>
      <c r="E1159" s="1783">
        <v>0.81</v>
      </c>
      <c r="F1159" s="1783">
        <v>0.02</v>
      </c>
      <c r="G1159" s="1783">
        <v>2.2000000000000002</v>
      </c>
      <c r="H1159" s="1783">
        <v>0.21</v>
      </c>
      <c r="I1159" s="1783">
        <v>17.57</v>
      </c>
      <c r="J1159" s="1783">
        <v>38.92</v>
      </c>
      <c r="K1159" s="1783">
        <v>42.49</v>
      </c>
      <c r="L1159" s="1783">
        <v>97.79</v>
      </c>
      <c r="M1159" s="1783">
        <v>19.8</v>
      </c>
      <c r="N1159" s="627"/>
      <c r="O1159" s="627"/>
      <c r="P1159" s="1250"/>
    </row>
    <row r="1160" spans="1:16" s="212" customFormat="1" x14ac:dyDescent="0.35">
      <c r="A1160" s="1802">
        <v>206015</v>
      </c>
      <c r="B1160" s="1783"/>
      <c r="C1160" s="1785">
        <v>1.51</v>
      </c>
      <c r="D1160" s="1783">
        <v>0.15</v>
      </c>
      <c r="E1160" s="1783">
        <v>0.7</v>
      </c>
      <c r="F1160" s="1783">
        <v>0.02</v>
      </c>
      <c r="G1160" s="1783">
        <v>2.81</v>
      </c>
      <c r="H1160" s="1783">
        <v>0.28999999999999998</v>
      </c>
      <c r="I1160" s="1783">
        <v>10.52</v>
      </c>
      <c r="J1160" s="1783">
        <v>13.32</v>
      </c>
      <c r="K1160" s="1783">
        <v>40.020000000000003</v>
      </c>
      <c r="L1160" s="1783">
        <v>82.86</v>
      </c>
      <c r="M1160" s="1783">
        <v>17.25</v>
      </c>
      <c r="N1160" s="625"/>
      <c r="O1160" s="625"/>
      <c r="P1160" s="1250"/>
    </row>
    <row r="1161" spans="1:16" s="212" customFormat="1" x14ac:dyDescent="0.35">
      <c r="A1161" s="1802">
        <v>206016</v>
      </c>
      <c r="B1161" s="1783"/>
      <c r="C1161" s="1785">
        <v>1.47</v>
      </c>
      <c r="D1161" s="1783">
        <v>0.1</v>
      </c>
      <c r="E1161" s="1783">
        <v>0.86</v>
      </c>
      <c r="F1161" s="1783">
        <v>0.04</v>
      </c>
      <c r="G1161" s="1783">
        <v>0.48</v>
      </c>
      <c r="H1161" s="1783">
        <v>0.08</v>
      </c>
      <c r="I1161" s="1783">
        <v>20.89</v>
      </c>
      <c r="J1161" s="1783">
        <v>7.89</v>
      </c>
      <c r="K1161" s="1783">
        <v>20.420000000000002</v>
      </c>
      <c r="L1161" s="1783">
        <v>52.68</v>
      </c>
      <c r="M1161" s="1783">
        <v>15.29</v>
      </c>
      <c r="N1161" s="627"/>
      <c r="O1161" s="627"/>
      <c r="P1161" s="1250"/>
    </row>
    <row r="1162" spans="1:16" s="212" customFormat="1" x14ac:dyDescent="0.35">
      <c r="A1162" s="1802">
        <v>206017</v>
      </c>
      <c r="B1162" s="1783"/>
      <c r="C1162" s="1785">
        <v>1.53</v>
      </c>
      <c r="D1162" s="1783">
        <v>0.12</v>
      </c>
      <c r="E1162" s="1783">
        <v>1.1000000000000001</v>
      </c>
      <c r="F1162" s="1783">
        <v>0.08</v>
      </c>
      <c r="G1162" s="1783">
        <v>0.44</v>
      </c>
      <c r="H1162" s="1783">
        <v>7.0000000000000007E-2</v>
      </c>
      <c r="I1162" s="1783">
        <v>15.01</v>
      </c>
      <c r="J1162" s="1783">
        <v>6.5</v>
      </c>
      <c r="K1162" s="1783">
        <v>14.2</v>
      </c>
      <c r="L1162" s="1783">
        <v>56.78</v>
      </c>
      <c r="M1162" s="1783">
        <v>16.14</v>
      </c>
      <c r="N1162" s="625"/>
      <c r="O1162" s="625"/>
      <c r="P1162" s="1250"/>
    </row>
    <row r="1163" spans="1:16" s="212" customFormat="1" x14ac:dyDescent="0.35">
      <c r="A1163" s="1802">
        <v>206018</v>
      </c>
      <c r="B1163" s="1783"/>
      <c r="C1163" s="1785">
        <v>1.51</v>
      </c>
      <c r="D1163" s="1783">
        <v>0.18</v>
      </c>
      <c r="E1163" s="1783">
        <v>1.92</v>
      </c>
      <c r="F1163" s="1783">
        <v>7.0000000000000007E-2</v>
      </c>
      <c r="G1163" s="1783">
        <v>2.97</v>
      </c>
      <c r="H1163" s="1783">
        <v>0.43</v>
      </c>
      <c r="I1163" s="1783">
        <v>13.18</v>
      </c>
      <c r="J1163" s="1783">
        <v>5.91</v>
      </c>
      <c r="K1163" s="1783">
        <v>29.51</v>
      </c>
      <c r="L1163" s="1783">
        <v>152.41999999999999</v>
      </c>
      <c r="M1163" s="1783">
        <v>162.59</v>
      </c>
      <c r="N1163" s="627"/>
      <c r="O1163" s="627"/>
      <c r="P1163" s="1250"/>
    </row>
    <row r="1164" spans="1:16" x14ac:dyDescent="0.35">
      <c r="A1164" s="1784">
        <v>206019</v>
      </c>
      <c r="B1164" s="1782"/>
      <c r="C1164" s="1782"/>
      <c r="D1164" s="1782"/>
      <c r="E1164" s="1782"/>
      <c r="F1164" s="1782"/>
      <c r="G1164" s="1782"/>
      <c r="H1164" s="1782"/>
      <c r="I1164" s="1783"/>
      <c r="J1164" s="1783"/>
      <c r="K1164" s="1783"/>
      <c r="L1164" s="1783"/>
      <c r="M1164" s="1783"/>
      <c r="N1164" s="1161"/>
      <c r="O1164" s="1161"/>
      <c r="P1164" s="1250"/>
    </row>
    <row r="1165" spans="1:16" x14ac:dyDescent="0.35">
      <c r="A1165" s="1784">
        <v>206020</v>
      </c>
      <c r="B1165" s="1782"/>
      <c r="C1165" s="1782"/>
      <c r="D1165" s="1782"/>
      <c r="E1165" s="1782"/>
      <c r="F1165" s="1782"/>
      <c r="G1165" s="1782"/>
      <c r="H1165" s="1782"/>
      <c r="I1165" s="1783"/>
      <c r="J1165" s="1783"/>
      <c r="K1165" s="1783"/>
      <c r="L1165" s="1783"/>
      <c r="M1165" s="1783"/>
      <c r="N1165" s="1161"/>
      <c r="O1165" s="1161"/>
    </row>
    <row r="1166" spans="1:16" x14ac:dyDescent="0.35">
      <c r="A1166" s="1784">
        <v>206021</v>
      </c>
      <c r="B1166" s="1782"/>
      <c r="C1166" s="1782">
        <v>1.43</v>
      </c>
      <c r="D1166" s="1782">
        <v>0.18</v>
      </c>
      <c r="E1166" s="1782">
        <v>0.95</v>
      </c>
      <c r="F1166" s="1782">
        <v>0.04</v>
      </c>
      <c r="G1166" s="1782">
        <v>1.95</v>
      </c>
      <c r="H1166" s="1782">
        <v>0.31</v>
      </c>
      <c r="I1166" s="1782">
        <v>52.16</v>
      </c>
      <c r="J1166" s="1782">
        <v>153.01</v>
      </c>
      <c r="K1166" s="1782">
        <v>35.5</v>
      </c>
      <c r="L1166" s="1782">
        <v>79.39</v>
      </c>
      <c r="M1166" s="1782">
        <v>24.19</v>
      </c>
      <c r="N1166" s="1076"/>
      <c r="O1166" s="1076"/>
    </row>
    <row r="1167" spans="1:16" x14ac:dyDescent="0.35">
      <c r="A1167" s="1784">
        <v>206022</v>
      </c>
      <c r="B1167" s="1782"/>
      <c r="C1167" s="1782">
        <v>1.22</v>
      </c>
      <c r="D1167" s="1782">
        <v>0.16</v>
      </c>
      <c r="E1167" s="1782">
        <v>0.64</v>
      </c>
      <c r="F1167" s="1782">
        <v>0.03</v>
      </c>
      <c r="G1167" s="1782">
        <v>2.0499999999999998</v>
      </c>
      <c r="H1167" s="1782">
        <v>0.16</v>
      </c>
      <c r="I1167" s="1782">
        <v>21.64</v>
      </c>
      <c r="J1167" s="1782">
        <v>226.42</v>
      </c>
      <c r="K1167" s="1782">
        <v>14.55</v>
      </c>
      <c r="L1167" s="1782">
        <v>108.95</v>
      </c>
      <c r="M1167" s="1782">
        <v>23.82</v>
      </c>
      <c r="N1167" s="1076"/>
      <c r="O1167" s="1076"/>
    </row>
    <row r="1168" spans="1:16" x14ac:dyDescent="0.35">
      <c r="A1168" s="1784">
        <v>206023</v>
      </c>
      <c r="B1168" s="1782"/>
      <c r="C1168" s="1782">
        <v>1.74</v>
      </c>
      <c r="D1168" s="1782">
        <v>0.11</v>
      </c>
      <c r="E1168" s="1782">
        <v>0.73</v>
      </c>
      <c r="F1168" s="1782">
        <v>0.02</v>
      </c>
      <c r="G1168" s="1782">
        <v>2.0699999999999998</v>
      </c>
      <c r="H1168" s="1782">
        <v>0.15</v>
      </c>
      <c r="I1168" s="1782">
        <v>16.68</v>
      </c>
      <c r="J1168" s="1782">
        <v>6.48</v>
      </c>
      <c r="K1168" s="1782">
        <v>69.72</v>
      </c>
      <c r="L1168" s="1782">
        <v>93.63</v>
      </c>
      <c r="M1168" s="1782">
        <v>17.84</v>
      </c>
      <c r="N1168" s="1076"/>
      <c r="O1168" s="1076"/>
    </row>
    <row r="1169" spans="1:15" x14ac:dyDescent="0.35">
      <c r="A1169" s="1784">
        <v>206024</v>
      </c>
      <c r="B1169" s="1782"/>
      <c r="C1169" s="1782">
        <v>3.23</v>
      </c>
      <c r="D1169" s="1782">
        <v>0.46</v>
      </c>
      <c r="E1169" s="1782">
        <v>3.42</v>
      </c>
      <c r="F1169" s="1782">
        <v>0.18</v>
      </c>
      <c r="G1169" s="1782">
        <v>3.75</v>
      </c>
      <c r="H1169" s="1782">
        <v>0.43</v>
      </c>
      <c r="I1169" s="1782">
        <v>16.48</v>
      </c>
      <c r="J1169" s="1782">
        <v>43.74</v>
      </c>
      <c r="K1169" s="1782">
        <v>310.97000000000003</v>
      </c>
      <c r="L1169" s="1782">
        <v>81.599999999999994</v>
      </c>
      <c r="M1169" s="1782">
        <v>33.549999999999997</v>
      </c>
      <c r="N1169" s="1076"/>
      <c r="O1169" s="1076"/>
    </row>
    <row r="1170" spans="1:15" x14ac:dyDescent="0.35">
      <c r="A1170" s="1784">
        <v>206025</v>
      </c>
      <c r="B1170" s="1782"/>
      <c r="C1170" s="1782">
        <v>3.54</v>
      </c>
      <c r="D1170" s="1782">
        <v>0.26</v>
      </c>
      <c r="E1170" s="1782">
        <v>3.21</v>
      </c>
      <c r="F1170" s="1782">
        <v>0.43</v>
      </c>
      <c r="G1170" s="1782">
        <v>4.7300000000000004</v>
      </c>
      <c r="H1170" s="1782">
        <v>0.78</v>
      </c>
      <c r="I1170" s="1782">
        <v>33.26</v>
      </c>
      <c r="J1170" s="1782">
        <v>584.41</v>
      </c>
      <c r="K1170" s="1782">
        <v>320.94</v>
      </c>
      <c r="L1170" s="1782">
        <v>72.64</v>
      </c>
      <c r="M1170" s="1782">
        <v>39.25</v>
      </c>
      <c r="N1170" s="1076"/>
      <c r="O1170" s="1076"/>
    </row>
    <row r="1171" spans="1:15" x14ac:dyDescent="0.35">
      <c r="A1171" s="1784">
        <v>206026</v>
      </c>
      <c r="B1171" s="1782"/>
      <c r="C1171" s="1782">
        <v>3</v>
      </c>
      <c r="D1171" s="1782">
        <v>0.18</v>
      </c>
      <c r="E1171" s="1782">
        <v>2.33</v>
      </c>
      <c r="F1171" s="1782">
        <v>0.05</v>
      </c>
      <c r="G1171" s="1782">
        <v>5.22</v>
      </c>
      <c r="H1171" s="1782">
        <v>0.38</v>
      </c>
      <c r="I1171" s="1783">
        <v>28.67</v>
      </c>
      <c r="J1171" s="1783">
        <v>2.84</v>
      </c>
      <c r="K1171" s="1783">
        <v>35.25</v>
      </c>
      <c r="L1171" s="1783">
        <v>97.86</v>
      </c>
      <c r="M1171" s="1783">
        <v>44.06</v>
      </c>
      <c r="N1171" s="1272"/>
      <c r="O1171" s="1272"/>
    </row>
    <row r="1172" spans="1:15" x14ac:dyDescent="0.35">
      <c r="A1172" s="1784">
        <v>206027</v>
      </c>
      <c r="B1172" s="866"/>
      <c r="C1172" s="1782">
        <v>3.95</v>
      </c>
      <c r="D1172" s="1786">
        <v>0.59</v>
      </c>
      <c r="E1172" s="1786">
        <v>1.55</v>
      </c>
      <c r="F1172" s="1786">
        <v>0.04</v>
      </c>
      <c r="G1172" s="1786">
        <v>1.59</v>
      </c>
      <c r="H1172" s="1786">
        <v>0.73</v>
      </c>
      <c r="I1172" s="1786">
        <v>106.15</v>
      </c>
      <c r="J1172" s="1786">
        <v>11.41</v>
      </c>
      <c r="K1172" s="1786">
        <v>187.92</v>
      </c>
      <c r="L1172" s="1786">
        <v>142.41999999999999</v>
      </c>
      <c r="M1172" s="1786">
        <v>57.01</v>
      </c>
      <c r="N1172" s="1161"/>
      <c r="O1172" s="1161"/>
    </row>
    <row r="1173" spans="1:15" x14ac:dyDescent="0.35">
      <c r="A1173" s="1784">
        <v>206028</v>
      </c>
      <c r="B1173" s="866"/>
      <c r="C1173" s="1782">
        <v>3.16</v>
      </c>
      <c r="D1173" s="1786">
        <v>0.48</v>
      </c>
      <c r="E1173" s="1786">
        <v>1.82</v>
      </c>
      <c r="F1173" s="1786">
        <v>0.04</v>
      </c>
      <c r="G1173" s="1786">
        <v>1.41</v>
      </c>
      <c r="H1173" s="1786">
        <v>0.45</v>
      </c>
      <c r="I1173" s="1786">
        <v>303.67</v>
      </c>
      <c r="J1173" s="1786">
        <v>99.16</v>
      </c>
      <c r="K1173" s="1786">
        <v>367.81</v>
      </c>
      <c r="L1173" s="1786">
        <v>251.85</v>
      </c>
      <c r="M1173" s="1786">
        <v>132.01</v>
      </c>
      <c r="N1173" s="1161"/>
      <c r="O1173" s="1161"/>
    </row>
    <row r="1174" spans="1:15" x14ac:dyDescent="0.35">
      <c r="A1174" s="1784">
        <v>206029</v>
      </c>
      <c r="B1174" s="866"/>
      <c r="C1174" s="1782">
        <v>3.13</v>
      </c>
      <c r="D1174" s="1786">
        <v>0.79</v>
      </c>
      <c r="E1174" s="1786">
        <v>2.36</v>
      </c>
      <c r="F1174" s="1786">
        <v>0.04</v>
      </c>
      <c r="G1174" s="1786">
        <v>1.26</v>
      </c>
      <c r="H1174" s="1786">
        <v>0.44</v>
      </c>
      <c r="I1174" s="1786">
        <v>42.53</v>
      </c>
      <c r="J1174" s="1786">
        <v>5.44</v>
      </c>
      <c r="K1174" s="1786">
        <v>52.61</v>
      </c>
      <c r="L1174" s="1786">
        <v>191.64</v>
      </c>
      <c r="M1174" s="1786">
        <v>43.13</v>
      </c>
      <c r="N1174" s="1161"/>
      <c r="O1174" s="1161"/>
    </row>
    <row r="1175" spans="1:15" x14ac:dyDescent="0.35">
      <c r="A1175" s="1784">
        <v>1</v>
      </c>
      <c r="B1175" s="1782"/>
      <c r="C1175" s="1782"/>
      <c r="D1175" s="1782">
        <v>0.34</v>
      </c>
      <c r="E1175" s="1782">
        <v>2.4900000000000002</v>
      </c>
      <c r="F1175" s="1782">
        <v>0.03</v>
      </c>
      <c r="G1175" s="1782">
        <v>1.1299999999999999</v>
      </c>
      <c r="H1175" s="1782">
        <v>0.36</v>
      </c>
      <c r="I1175" s="1782">
        <v>163.07</v>
      </c>
      <c r="J1175" s="1782">
        <v>7.69</v>
      </c>
      <c r="K1175" s="1782">
        <v>638.01</v>
      </c>
      <c r="L1175" s="1782">
        <v>141.71</v>
      </c>
      <c r="M1175" s="1782">
        <v>99.72</v>
      </c>
    </row>
    <row r="1176" spans="1:15" x14ac:dyDescent="0.35">
      <c r="A1176" s="1784">
        <v>2</v>
      </c>
      <c r="B1176" s="1782"/>
      <c r="C1176" s="1782"/>
      <c r="D1176" s="1782">
        <v>0.36</v>
      </c>
      <c r="E1176" s="1782">
        <v>2.4500000000000002</v>
      </c>
      <c r="F1176" s="1782">
        <v>0.03</v>
      </c>
      <c r="G1176" s="1782">
        <v>1.1200000000000001</v>
      </c>
      <c r="H1176" s="1782">
        <v>0.42</v>
      </c>
      <c r="I1176" s="1782">
        <v>36.74</v>
      </c>
      <c r="J1176" s="1782">
        <v>4.13</v>
      </c>
      <c r="K1176" s="1782">
        <v>126.19</v>
      </c>
      <c r="L1176" s="1782">
        <v>82.16</v>
      </c>
      <c r="M1176" s="1782">
        <v>53.98</v>
      </c>
    </row>
    <row r="1177" spans="1:15" x14ac:dyDescent="0.35">
      <c r="A1177" s="1784">
        <v>3</v>
      </c>
      <c r="B1177" s="1782"/>
      <c r="C1177" s="1782"/>
      <c r="D1177" s="1782">
        <v>0.32</v>
      </c>
      <c r="E1177" s="1782">
        <v>2.41</v>
      </c>
      <c r="F1177" s="1782">
        <v>0.03</v>
      </c>
      <c r="G1177" s="1782">
        <v>1.46</v>
      </c>
      <c r="H1177" s="1782">
        <v>0.42</v>
      </c>
      <c r="I1177" s="1782">
        <v>29.3</v>
      </c>
      <c r="J1177" s="1782">
        <v>5.1100000000000003</v>
      </c>
      <c r="K1177" s="1782">
        <v>199.88</v>
      </c>
      <c r="L1177" s="1782">
        <v>116.71</v>
      </c>
      <c r="M1177" s="1782">
        <v>45.26</v>
      </c>
    </row>
    <row r="1178" spans="1:15" x14ac:dyDescent="0.35">
      <c r="A1178" s="1784">
        <v>206030</v>
      </c>
      <c r="B1178" s="1782"/>
      <c r="C1178" s="1782">
        <v>1.4</v>
      </c>
      <c r="D1178" s="1782">
        <v>0.09</v>
      </c>
      <c r="E1178" s="1782">
        <v>0.48</v>
      </c>
      <c r="F1178" s="1782">
        <v>0.02</v>
      </c>
      <c r="G1178" s="1782">
        <v>1.81</v>
      </c>
      <c r="H1178" s="1782">
        <v>0.32</v>
      </c>
      <c r="I1178" s="1782">
        <v>29.76</v>
      </c>
      <c r="J1178" s="1782">
        <v>92.9</v>
      </c>
      <c r="K1178" s="1782">
        <v>54.29</v>
      </c>
      <c r="L1178" s="1782">
        <v>111.36</v>
      </c>
      <c r="M1178" s="1782">
        <v>15.85</v>
      </c>
      <c r="N1178" s="1276"/>
      <c r="O1178" s="1276"/>
    </row>
    <row r="1179" spans="1:15" x14ac:dyDescent="0.35">
      <c r="A1179" s="1784">
        <v>206031</v>
      </c>
      <c r="B1179" s="1782"/>
      <c r="C1179" s="1782">
        <v>1.28</v>
      </c>
      <c r="D1179" s="1782">
        <v>0.21</v>
      </c>
      <c r="E1179" s="1782">
        <v>1.29</v>
      </c>
      <c r="F1179" s="1782">
        <v>0.02</v>
      </c>
      <c r="G1179" s="1782">
        <v>1</v>
      </c>
      <c r="H1179" s="1782">
        <v>0.13</v>
      </c>
      <c r="I1179" s="1782">
        <v>23.64</v>
      </c>
      <c r="J1179" s="1782">
        <v>151.79</v>
      </c>
      <c r="K1179" s="1782">
        <v>20.02</v>
      </c>
      <c r="L1179" s="1782">
        <v>104.71</v>
      </c>
      <c r="M1179" s="1782">
        <v>19.39</v>
      </c>
      <c r="N1179" s="1276"/>
      <c r="O1179" s="1276"/>
    </row>
    <row r="1180" spans="1:15" x14ac:dyDescent="0.35">
      <c r="A1180" s="1784">
        <v>206032</v>
      </c>
      <c r="B1180" s="1782"/>
      <c r="C1180" s="1782">
        <v>1.82</v>
      </c>
      <c r="D1180" s="1782">
        <v>0.11</v>
      </c>
      <c r="E1180" s="1782">
        <v>0.49</v>
      </c>
      <c r="F1180" s="1782">
        <v>0.03</v>
      </c>
      <c r="G1180" s="1782">
        <v>2.37</v>
      </c>
      <c r="H1180" s="1782">
        <v>0.16</v>
      </c>
      <c r="I1180" s="1782">
        <v>21.52</v>
      </c>
      <c r="J1180" s="1782">
        <v>211.75</v>
      </c>
      <c r="K1180" s="1782">
        <v>14.95</v>
      </c>
      <c r="L1180" s="1782">
        <v>80.25</v>
      </c>
      <c r="M1180" s="1782">
        <v>20.34</v>
      </c>
      <c r="N1180" s="1276"/>
      <c r="O1180" s="1276"/>
    </row>
    <row r="1181" spans="1:15" x14ac:dyDescent="0.35">
      <c r="A1181" s="1784">
        <v>206033</v>
      </c>
      <c r="B1181" s="1782"/>
      <c r="C1181" s="1782">
        <v>1.92</v>
      </c>
      <c r="D1181" s="1782">
        <v>0.09</v>
      </c>
      <c r="E1181" s="1782">
        <v>0.42</v>
      </c>
      <c r="F1181" s="1782">
        <v>0.03</v>
      </c>
      <c r="G1181" s="1782">
        <v>2.37</v>
      </c>
      <c r="H1181" s="1782">
        <v>0.14000000000000001</v>
      </c>
      <c r="I1181" s="1782">
        <v>16.16</v>
      </c>
      <c r="J1181" s="1782">
        <v>121.91</v>
      </c>
      <c r="K1181" s="1782">
        <v>14.5</v>
      </c>
      <c r="L1181" s="1782">
        <v>59.91</v>
      </c>
      <c r="M1181" s="1782">
        <v>24.91</v>
      </c>
      <c r="N1181" s="1276"/>
      <c r="O1181" s="1276"/>
    </row>
    <row r="1182" spans="1:15" x14ac:dyDescent="0.35">
      <c r="A1182" s="1784">
        <v>206034</v>
      </c>
      <c r="B1182" s="1782"/>
      <c r="C1182" s="1782">
        <v>1.4</v>
      </c>
      <c r="D1182" s="1782">
        <v>0.1</v>
      </c>
      <c r="E1182" s="1782">
        <v>0.96</v>
      </c>
      <c r="F1182" s="1782">
        <v>0.02</v>
      </c>
      <c r="G1182" s="1782">
        <v>2.16</v>
      </c>
      <c r="H1182" s="1782">
        <v>0.19</v>
      </c>
      <c r="I1182" s="1783">
        <v>13.07</v>
      </c>
      <c r="J1182" s="1783">
        <v>5.27</v>
      </c>
      <c r="K1182" s="1783">
        <v>42.92</v>
      </c>
      <c r="L1182" s="1783">
        <v>56.18</v>
      </c>
      <c r="M1182" s="1783">
        <v>17.59</v>
      </c>
      <c r="N1182" s="1290"/>
      <c r="O1182" s="1290"/>
    </row>
    <row r="1183" spans="1:15" x14ac:dyDescent="0.35">
      <c r="A1183" s="1784">
        <v>206035</v>
      </c>
      <c r="B1183" s="1782"/>
      <c r="C1183" s="1782">
        <v>1.61</v>
      </c>
      <c r="D1183" s="1782">
        <v>0.09</v>
      </c>
      <c r="E1183" s="1782">
        <v>0.69</v>
      </c>
      <c r="F1183" s="1782">
        <v>0.05</v>
      </c>
      <c r="G1183" s="1782">
        <v>1.18</v>
      </c>
      <c r="H1183" s="1782">
        <v>0.16</v>
      </c>
      <c r="I1183" s="1783">
        <v>11.32</v>
      </c>
      <c r="J1183" s="1783">
        <v>10.31</v>
      </c>
      <c r="K1183" s="1783">
        <v>25.22</v>
      </c>
      <c r="L1183" s="1783">
        <v>85.43</v>
      </c>
      <c r="M1183" s="1783">
        <v>16.350000000000001</v>
      </c>
      <c r="N1183" s="1290"/>
      <c r="O1183" s="1290"/>
    </row>
    <row r="1184" spans="1:15" x14ac:dyDescent="0.35">
      <c r="A1184" s="1784">
        <v>206036</v>
      </c>
      <c r="B1184" s="1782"/>
      <c r="C1184" s="1782">
        <v>1.46</v>
      </c>
      <c r="D1184" s="1782">
        <v>0.22</v>
      </c>
      <c r="E1184" s="1782">
        <v>0.9</v>
      </c>
      <c r="F1184" s="1782">
        <v>0.04</v>
      </c>
      <c r="G1184" s="1782">
        <v>1.0900000000000001</v>
      </c>
      <c r="H1184" s="1782">
        <v>0.3</v>
      </c>
      <c r="I1184" s="1783">
        <v>9.66</v>
      </c>
      <c r="J1184" s="1783">
        <v>2.77</v>
      </c>
      <c r="K1184" s="1783">
        <v>72.03</v>
      </c>
      <c r="L1184" s="1783">
        <v>29.61</v>
      </c>
      <c r="M1184" s="1783">
        <v>51.55</v>
      </c>
      <c r="N1184" s="1290"/>
      <c r="O1184" s="1290"/>
    </row>
    <row r="1185" spans="1:15" x14ac:dyDescent="0.35">
      <c r="A1185" s="1784">
        <v>206037</v>
      </c>
      <c r="B1185" s="1782"/>
      <c r="C1185" s="1782">
        <v>1.2</v>
      </c>
      <c r="D1185" s="1782">
        <v>0.15</v>
      </c>
      <c r="E1185" s="1782">
        <v>0.5</v>
      </c>
      <c r="F1185" s="1782">
        <v>0.04</v>
      </c>
      <c r="G1185" s="1782">
        <v>1.01</v>
      </c>
      <c r="H1185" s="1782">
        <v>0.27</v>
      </c>
      <c r="I1185" s="1783">
        <v>25.29</v>
      </c>
      <c r="J1185" s="1783">
        <v>6.45</v>
      </c>
      <c r="K1185" s="1783">
        <v>158.27000000000001</v>
      </c>
      <c r="L1185" s="1783">
        <v>61.01</v>
      </c>
      <c r="M1185" s="1783">
        <v>80.39</v>
      </c>
      <c r="N1185" s="1290"/>
      <c r="O1185" s="1290"/>
    </row>
    <row r="1186" spans="1:15" x14ac:dyDescent="0.35">
      <c r="A1186" s="1784">
        <v>206038</v>
      </c>
      <c r="B1186" s="1782"/>
      <c r="C1186" s="1785">
        <v>2.7733266000000003</v>
      </c>
      <c r="D1186" s="1782">
        <v>0.12</v>
      </c>
      <c r="E1186" s="1782">
        <v>0.99</v>
      </c>
      <c r="F1186" s="1782">
        <v>0.16</v>
      </c>
      <c r="G1186" s="1782">
        <v>4.25</v>
      </c>
      <c r="H1186" s="1782">
        <v>0.28000000000000003</v>
      </c>
      <c r="I1186" s="1783">
        <v>52.44</v>
      </c>
      <c r="J1186" s="1783">
        <v>14.96</v>
      </c>
      <c r="K1186" s="1783">
        <v>30.92</v>
      </c>
      <c r="L1186" s="1783">
        <v>70.77</v>
      </c>
      <c r="M1186" s="1783">
        <v>243.56</v>
      </c>
      <c r="N1186" s="1293"/>
      <c r="O1186" s="1293"/>
    </row>
    <row r="1187" spans="1:15" x14ac:dyDescent="0.35">
      <c r="A1187" s="1784">
        <v>206039</v>
      </c>
      <c r="B1187" s="1782"/>
      <c r="C1187" s="1785">
        <v>1.1765628000000001</v>
      </c>
      <c r="D1187" s="1782">
        <v>0.11</v>
      </c>
      <c r="E1187" s="1782">
        <v>0.79</v>
      </c>
      <c r="F1187" s="1782">
        <v>0.02</v>
      </c>
      <c r="G1187" s="1782">
        <v>2.35</v>
      </c>
      <c r="H1187" s="1782">
        <v>0.19</v>
      </c>
      <c r="I1187" s="1783">
        <v>17.809999999999999</v>
      </c>
      <c r="J1187" s="1783">
        <v>93.39</v>
      </c>
      <c r="K1187" s="1783">
        <v>44.36</v>
      </c>
      <c r="L1187" s="1783">
        <v>128.30000000000001</v>
      </c>
      <c r="M1187" s="1783">
        <v>24.59</v>
      </c>
      <c r="N1187" s="1293"/>
      <c r="O1187" s="1293"/>
    </row>
    <row r="1188" spans="1:15" x14ac:dyDescent="0.35">
      <c r="A1188" s="1784">
        <v>206040</v>
      </c>
      <c r="B1188" s="1782"/>
      <c r="C1188" s="1785">
        <v>1.4286834000000002</v>
      </c>
      <c r="D1188" s="1782">
        <v>0.1</v>
      </c>
      <c r="E1188" s="1782">
        <v>0.61</v>
      </c>
      <c r="F1188" s="1782">
        <v>0.02</v>
      </c>
      <c r="G1188" s="1782">
        <v>1.52</v>
      </c>
      <c r="H1188" s="1782">
        <v>0.28000000000000003</v>
      </c>
      <c r="I1188" s="1783">
        <v>14.13</v>
      </c>
      <c r="J1188" s="1783">
        <v>7.2</v>
      </c>
      <c r="K1188" s="1783">
        <v>46.13</v>
      </c>
      <c r="L1188" s="1783">
        <v>111.4</v>
      </c>
      <c r="M1188" s="1783">
        <v>14.44</v>
      </c>
      <c r="N1188" s="1293"/>
      <c r="O1188" s="1293"/>
    </row>
    <row r="1189" spans="1:15" x14ac:dyDescent="0.35">
      <c r="A1189" s="1784">
        <v>206041</v>
      </c>
      <c r="B1189" s="1782"/>
      <c r="C1189" s="1785">
        <v>1.7928576000000003</v>
      </c>
      <c r="D1189" s="1782"/>
      <c r="E1189" s="1782"/>
      <c r="F1189" s="1782"/>
      <c r="G1189" s="1782"/>
      <c r="H1189" s="1782"/>
      <c r="I1189" s="1783"/>
      <c r="J1189" s="1783"/>
      <c r="K1189" s="1783"/>
      <c r="L1189" s="1783"/>
      <c r="M1189" s="1783"/>
      <c r="N1189" s="1292"/>
      <c r="O1189" s="1292"/>
    </row>
    <row r="1190" spans="1:15" x14ac:dyDescent="0.35">
      <c r="A1190" s="1784">
        <v>206042</v>
      </c>
      <c r="B1190" s="1782"/>
      <c r="C1190" s="1785">
        <v>2.9414069999999999</v>
      </c>
      <c r="D1190" s="1782"/>
      <c r="E1190" s="1782"/>
      <c r="F1190" s="1782"/>
      <c r="G1190" s="1782"/>
      <c r="H1190" s="1782"/>
      <c r="I1190" s="1783"/>
      <c r="J1190" s="1783"/>
      <c r="K1190" s="1783"/>
      <c r="L1190" s="1783"/>
      <c r="M1190" s="1783"/>
      <c r="N1190" s="1292"/>
      <c r="O1190" s="1292"/>
    </row>
    <row r="1191" spans="1:15" x14ac:dyDescent="0.35">
      <c r="A1191" s="1784">
        <v>206043</v>
      </c>
      <c r="B1191" s="1782"/>
      <c r="C1191" s="1785">
        <v>2.7733266000000003</v>
      </c>
      <c r="D1191" s="1782"/>
      <c r="E1191" s="1782"/>
      <c r="F1191" s="1782"/>
      <c r="G1191" s="1782"/>
      <c r="H1191" s="1782"/>
      <c r="I1191" s="1783"/>
      <c r="J1191" s="1783"/>
      <c r="K1191" s="1783"/>
      <c r="L1191" s="1783"/>
      <c r="M1191" s="1783"/>
      <c r="N1191" s="1292"/>
      <c r="O1191" s="1292"/>
    </row>
    <row r="1192" spans="1:15" x14ac:dyDescent="0.35">
      <c r="A1192" s="1784">
        <v>206044</v>
      </c>
      <c r="B1192" s="1782"/>
      <c r="C1192" s="1785">
        <v>2.4371658000000007</v>
      </c>
      <c r="D1192" s="1782"/>
      <c r="E1192" s="1782"/>
      <c r="F1192" s="1782"/>
      <c r="G1192" s="1782"/>
      <c r="H1192" s="1782"/>
      <c r="I1192" s="1783"/>
      <c r="J1192" s="1783"/>
      <c r="K1192" s="1783"/>
      <c r="L1192" s="1783"/>
      <c r="M1192" s="1783"/>
      <c r="N1192" s="1292"/>
      <c r="O1192" s="1292"/>
    </row>
    <row r="1193" spans="1:15" x14ac:dyDescent="0.35">
      <c r="A1193" s="1784">
        <v>206045</v>
      </c>
      <c r="B1193" s="1782"/>
      <c r="C1193" s="1785">
        <v>2.7733266000000003</v>
      </c>
      <c r="D1193" s="1782"/>
      <c r="E1193" s="1782"/>
      <c r="F1193" s="1782"/>
      <c r="G1193" s="1782"/>
      <c r="H1193" s="1782"/>
      <c r="I1193" s="1783"/>
      <c r="J1193" s="1783"/>
      <c r="K1193" s="1783"/>
      <c r="L1193" s="1783"/>
      <c r="M1193" s="1783"/>
      <c r="N1193" s="1292"/>
      <c r="O1193" s="1292"/>
    </row>
    <row r="1194" spans="1:15" x14ac:dyDescent="0.35">
      <c r="A1194" s="1784">
        <v>206046</v>
      </c>
      <c r="B1194" s="1782"/>
      <c r="C1194" s="1785">
        <v>2.2130586000000005</v>
      </c>
      <c r="D1194" s="1782"/>
      <c r="E1194" s="1782"/>
      <c r="F1194" s="1782"/>
      <c r="G1194" s="1782"/>
      <c r="H1194" s="1782"/>
      <c r="I1194" s="1783"/>
      <c r="J1194" s="1783"/>
      <c r="K1194" s="1783"/>
      <c r="L1194" s="1783"/>
      <c r="M1194" s="1783"/>
      <c r="N1194" s="1292"/>
      <c r="O1194" s="1292"/>
    </row>
    <row r="1195" spans="1:15" x14ac:dyDescent="0.35">
      <c r="A1195" s="1784">
        <v>206047</v>
      </c>
      <c r="B1195" s="1782"/>
      <c r="C1195" s="1785">
        <v>2.8013400000000006</v>
      </c>
      <c r="D1195" s="1782"/>
      <c r="E1195" s="1782"/>
      <c r="F1195" s="1782"/>
      <c r="G1195" s="1782"/>
      <c r="H1195" s="1782"/>
      <c r="I1195" s="1783"/>
      <c r="J1195" s="1783"/>
      <c r="K1195" s="1783"/>
      <c r="L1195" s="1783"/>
      <c r="M1195" s="1783"/>
      <c r="N1195" s="1292"/>
      <c r="O1195" s="1292"/>
    </row>
    <row r="1196" spans="1:15" x14ac:dyDescent="0.35">
      <c r="A1196" s="1784">
        <v>206048</v>
      </c>
      <c r="B1196" s="1782"/>
      <c r="C1196" s="1785">
        <v>2.7733266000000003</v>
      </c>
      <c r="D1196" s="1782"/>
      <c r="E1196" s="1782"/>
      <c r="F1196" s="1782"/>
      <c r="G1196" s="1782"/>
      <c r="H1196" s="1782"/>
      <c r="I1196" s="1783"/>
      <c r="J1196" s="1783"/>
      <c r="K1196" s="1783"/>
      <c r="L1196" s="1783"/>
      <c r="M1196" s="1783"/>
      <c r="N1196" s="1292"/>
      <c r="O1196" s="1292"/>
    </row>
    <row r="1197" spans="1:15" x14ac:dyDescent="0.35">
      <c r="A1197" s="1784">
        <v>206049</v>
      </c>
      <c r="B1197" s="1782"/>
      <c r="C1197" s="1785">
        <v>2.2130586000000005</v>
      </c>
      <c r="D1197" s="1782"/>
      <c r="E1197" s="1782"/>
      <c r="F1197" s="1782"/>
      <c r="G1197" s="1782"/>
      <c r="H1197" s="1782"/>
      <c r="I1197" s="1783"/>
      <c r="J1197" s="1783"/>
      <c r="K1197" s="1783"/>
      <c r="L1197" s="1783"/>
      <c r="M1197" s="1783"/>
      <c r="N1197" s="1292"/>
      <c r="O1197" s="1292"/>
    </row>
    <row r="1198" spans="1:15" x14ac:dyDescent="0.35">
      <c r="A1198" s="1784">
        <v>206050</v>
      </c>
      <c r="B1198" s="1782"/>
      <c r="C1198" s="1785">
        <v>2.4931926000000004</v>
      </c>
      <c r="D1198" s="1782"/>
      <c r="E1198" s="1782"/>
      <c r="F1198" s="1782"/>
      <c r="G1198" s="1782"/>
      <c r="H1198" s="1782"/>
      <c r="I1198" s="1783"/>
      <c r="J1198" s="1783"/>
      <c r="K1198" s="1783"/>
      <c r="L1198" s="1783"/>
      <c r="M1198" s="1783"/>
      <c r="N1198" s="1292"/>
      <c r="O1198" s="1292"/>
    </row>
    <row r="1199" spans="1:15" x14ac:dyDescent="0.35">
      <c r="A1199" s="1784">
        <v>206051</v>
      </c>
      <c r="B1199" s="1782"/>
      <c r="C1199" s="1785">
        <v>2.4371658000000007</v>
      </c>
      <c r="D1199" s="1782"/>
      <c r="E1199" s="1782"/>
      <c r="F1199" s="1782"/>
      <c r="G1199" s="1782"/>
      <c r="H1199" s="1782"/>
      <c r="I1199" s="1783"/>
      <c r="J1199" s="1783"/>
      <c r="K1199" s="1783"/>
      <c r="L1199" s="1783"/>
      <c r="M1199" s="1783"/>
      <c r="N1199" s="1292"/>
      <c r="O1199" s="1292"/>
    </row>
    <row r="1200" spans="1:15" x14ac:dyDescent="0.35">
      <c r="A1200" s="1784">
        <v>206052</v>
      </c>
      <c r="B1200" s="1782"/>
      <c r="C1200" s="1785">
        <v>2.2130586000000005</v>
      </c>
      <c r="D1200" s="1782"/>
      <c r="E1200" s="1782"/>
      <c r="F1200" s="1782"/>
      <c r="G1200" s="1782"/>
      <c r="H1200" s="1782"/>
      <c r="I1200" s="1783"/>
      <c r="J1200" s="1783"/>
      <c r="K1200" s="1783"/>
      <c r="L1200" s="1783"/>
      <c r="M1200" s="1783"/>
      <c r="N1200" s="1292"/>
      <c r="O1200" s="1292"/>
    </row>
    <row r="1201" spans="1:15" x14ac:dyDescent="0.35">
      <c r="A1201" s="1784">
        <v>206053</v>
      </c>
      <c r="B1201" s="1782"/>
      <c r="C1201" s="1785">
        <v>2.3811390000000001</v>
      </c>
      <c r="D1201" s="1782"/>
      <c r="E1201" s="1782"/>
      <c r="F1201" s="1782"/>
      <c r="G1201" s="1782"/>
      <c r="H1201" s="1782"/>
      <c r="I1201" s="1783"/>
      <c r="J1201" s="1783"/>
      <c r="K1201" s="1783"/>
      <c r="L1201" s="1783"/>
      <c r="M1201" s="1783"/>
      <c r="N1201" s="1292"/>
      <c r="O1201" s="1292"/>
    </row>
    <row r="1202" spans="1:15" x14ac:dyDescent="0.35">
      <c r="A1202" s="1784">
        <v>206054</v>
      </c>
      <c r="B1202" s="1782"/>
      <c r="C1202" s="1785">
        <v>2.6052462000000007</v>
      </c>
      <c r="D1202" s="1782"/>
      <c r="E1202" s="1782"/>
      <c r="F1202" s="1782"/>
      <c r="G1202" s="1782"/>
      <c r="H1202" s="1782"/>
      <c r="I1202" s="1783"/>
      <c r="J1202" s="1783"/>
      <c r="K1202" s="1783"/>
      <c r="L1202" s="1783"/>
      <c r="M1202" s="1783"/>
      <c r="N1202" s="1292"/>
      <c r="O1202" s="1292"/>
    </row>
    <row r="1203" spans="1:15" x14ac:dyDescent="0.35">
      <c r="A1203" s="1784">
        <v>206055</v>
      </c>
      <c r="B1203" s="1782"/>
      <c r="C1203" s="1785">
        <v>2.5492194000000001</v>
      </c>
      <c r="D1203" s="1782"/>
      <c r="E1203" s="1782"/>
      <c r="F1203" s="1782"/>
      <c r="G1203" s="1782"/>
      <c r="H1203" s="1782"/>
      <c r="I1203" s="1783"/>
      <c r="J1203" s="1783"/>
      <c r="K1203" s="1783"/>
      <c r="L1203" s="1783"/>
      <c r="M1203" s="1783"/>
      <c r="N1203" s="1292"/>
      <c r="O1203" s="1292"/>
    </row>
    <row r="1204" spans="1:15" x14ac:dyDescent="0.35">
      <c r="A1204" s="1784">
        <v>206056</v>
      </c>
      <c r="B1204" s="1782"/>
      <c r="C1204" s="1785">
        <v>2.0729916000000004</v>
      </c>
      <c r="D1204" s="1782"/>
      <c r="E1204" s="1782"/>
      <c r="F1204" s="1782"/>
      <c r="G1204" s="1782"/>
      <c r="H1204" s="1782"/>
      <c r="I1204" s="1783"/>
      <c r="J1204" s="1783"/>
      <c r="K1204" s="1783"/>
      <c r="L1204" s="1783"/>
      <c r="M1204" s="1783"/>
      <c r="N1204" s="1292"/>
      <c r="O1204" s="1292"/>
    </row>
    <row r="1205" spans="1:15" x14ac:dyDescent="0.35">
      <c r="A1205" s="1784">
        <v>206057</v>
      </c>
      <c r="B1205" s="1782"/>
      <c r="C1205" s="1785">
        <v>2.6892863999999999</v>
      </c>
      <c r="D1205" s="1782"/>
      <c r="E1205" s="1782"/>
      <c r="F1205" s="1782"/>
      <c r="G1205" s="1782"/>
      <c r="H1205" s="1782"/>
      <c r="I1205" s="1783"/>
      <c r="J1205" s="1783"/>
      <c r="K1205" s="1783"/>
      <c r="L1205" s="1783"/>
      <c r="M1205" s="1783"/>
    </row>
    <row r="1206" spans="1:15" x14ac:dyDescent="0.35">
      <c r="A1206" s="1784">
        <v>206058</v>
      </c>
      <c r="B1206" s="1782"/>
      <c r="C1206" s="1785">
        <v>2.6052462000000007</v>
      </c>
      <c r="D1206" s="1782"/>
      <c r="E1206" s="1782"/>
      <c r="F1206" s="1782"/>
      <c r="G1206" s="1782"/>
      <c r="H1206" s="1782"/>
      <c r="I1206" s="1783"/>
      <c r="J1206" s="1783"/>
      <c r="K1206" s="1783"/>
      <c r="L1206" s="1783"/>
      <c r="M1206" s="1783"/>
    </row>
    <row r="1207" spans="1:15" x14ac:dyDescent="0.35">
      <c r="A1207" s="1784">
        <v>206059</v>
      </c>
      <c r="B1207" s="1782"/>
      <c r="C1207" s="1785">
        <v>2.8293534</v>
      </c>
      <c r="D1207" s="1782"/>
      <c r="E1207" s="1782"/>
      <c r="F1207" s="1782"/>
      <c r="G1207" s="1782"/>
      <c r="H1207" s="1782"/>
      <c r="I1207" s="1783"/>
      <c r="J1207" s="1783"/>
      <c r="K1207" s="1783"/>
      <c r="L1207" s="1783"/>
      <c r="M1207" s="1783"/>
    </row>
    <row r="1208" spans="1:15" x14ac:dyDescent="0.35">
      <c r="A1208" s="1784">
        <v>206060</v>
      </c>
      <c r="B1208" s="1782"/>
      <c r="C1208" s="1785">
        <v>2.5492194000000001</v>
      </c>
      <c r="D1208" s="1782"/>
      <c r="E1208" s="1782"/>
      <c r="F1208" s="1782"/>
      <c r="G1208" s="1782"/>
      <c r="H1208" s="1782"/>
      <c r="I1208" s="1783"/>
      <c r="J1208" s="1783"/>
      <c r="K1208" s="1783"/>
      <c r="L1208" s="1783"/>
      <c r="M1208" s="1783"/>
    </row>
    <row r="1209" spans="1:15" x14ac:dyDescent="0.35">
      <c r="A1209" s="1784">
        <v>206061</v>
      </c>
      <c r="B1209" s="1782"/>
      <c r="C1209" s="1785">
        <v>2.7733266000000003</v>
      </c>
      <c r="D1209" s="1782"/>
      <c r="E1209" s="1782"/>
      <c r="F1209" s="1782"/>
      <c r="G1209" s="1782"/>
      <c r="H1209" s="1782"/>
      <c r="I1209" s="1783"/>
      <c r="J1209" s="1783"/>
      <c r="K1209" s="1783"/>
      <c r="L1209" s="1783"/>
      <c r="M1209" s="1783"/>
    </row>
    <row r="1210" spans="1:15" x14ac:dyDescent="0.35">
      <c r="A1210" s="1784">
        <v>206062</v>
      </c>
      <c r="B1210" s="1782"/>
      <c r="C1210" s="1785">
        <v>3.0534606000000002</v>
      </c>
      <c r="D1210" s="1782"/>
      <c r="E1210" s="1782"/>
      <c r="F1210" s="1782"/>
      <c r="G1210" s="1782"/>
      <c r="H1210" s="1782"/>
      <c r="I1210" s="1783"/>
      <c r="J1210" s="1783"/>
      <c r="K1210" s="1783"/>
      <c r="L1210" s="1783"/>
      <c r="M1210" s="1783"/>
    </row>
    <row r="1211" spans="1:15" x14ac:dyDescent="0.35">
      <c r="A1211" s="1784">
        <v>206063</v>
      </c>
      <c r="B1211" s="1782"/>
      <c r="C1211" s="1785">
        <v>2.6332596000000001</v>
      </c>
      <c r="D1211" s="1782"/>
      <c r="E1211" s="1782"/>
      <c r="F1211" s="1782"/>
      <c r="G1211" s="1782"/>
      <c r="H1211" s="1782"/>
      <c r="I1211" s="1783"/>
      <c r="J1211" s="1783"/>
      <c r="K1211" s="1783"/>
      <c r="L1211" s="1783"/>
      <c r="M1211" s="1783"/>
    </row>
    <row r="1212" spans="1:15" x14ac:dyDescent="0.35">
      <c r="A1212" s="1784">
        <v>206064</v>
      </c>
      <c r="B1212" s="1782"/>
      <c r="C1212" s="1785">
        <v>3.2495544000000001</v>
      </c>
      <c r="D1212" s="1782"/>
      <c r="E1212" s="1782"/>
      <c r="F1212" s="1782"/>
      <c r="G1212" s="1782"/>
      <c r="H1212" s="1782"/>
      <c r="I1212" s="1783"/>
      <c r="J1212" s="1783"/>
      <c r="K1212" s="1783"/>
      <c r="L1212" s="1783"/>
      <c r="M1212" s="1783"/>
    </row>
    <row r="1213" spans="1:15" x14ac:dyDescent="0.35">
      <c r="A1213" s="1784">
        <v>206065</v>
      </c>
      <c r="B1213" s="1782"/>
      <c r="C1213" s="1803">
        <v>2.6052462000000007</v>
      </c>
      <c r="D1213" s="1782"/>
      <c r="E1213" s="1782"/>
      <c r="F1213" s="1782"/>
      <c r="G1213" s="1782"/>
      <c r="H1213" s="1782"/>
      <c r="I1213" s="1783"/>
      <c r="J1213" s="1783"/>
      <c r="K1213" s="1783"/>
      <c r="L1213" s="1783"/>
      <c r="M1213" s="1783"/>
    </row>
    <row r="1214" spans="1:15" x14ac:dyDescent="0.35">
      <c r="A1214" s="1784">
        <v>206066</v>
      </c>
      <c r="B1214" s="1782"/>
      <c r="C1214" s="1803">
        <v>3.6697554000000006</v>
      </c>
      <c r="D1214" s="1782"/>
      <c r="E1214" s="1782"/>
      <c r="F1214" s="1782"/>
      <c r="G1214" s="1782"/>
      <c r="H1214" s="1782"/>
      <c r="I1214" s="1783"/>
      <c r="J1214" s="1783"/>
      <c r="K1214" s="1783"/>
      <c r="L1214" s="1783"/>
      <c r="M1214" s="1783"/>
    </row>
    <row r="1215" spans="1:15" x14ac:dyDescent="0.35">
      <c r="A1215" s="1784">
        <v>206067</v>
      </c>
      <c r="B1215" s="1782"/>
      <c r="C1215" s="1803">
        <v>1.1765628000000001</v>
      </c>
      <c r="D1215" s="1782"/>
      <c r="E1215" s="1782"/>
      <c r="F1215" s="1782"/>
      <c r="G1215" s="1782"/>
      <c r="H1215" s="1782"/>
      <c r="I1215" s="1783"/>
      <c r="J1215" s="1783"/>
      <c r="K1215" s="1783"/>
      <c r="L1215" s="1783"/>
      <c r="M1215" s="1783"/>
    </row>
    <row r="1216" spans="1:15" x14ac:dyDescent="0.35">
      <c r="A1216" s="1784">
        <v>206068</v>
      </c>
      <c r="B1216" s="1782"/>
      <c r="C1216" s="1803">
        <v>1.0925226000000001</v>
      </c>
      <c r="D1216" s="1782"/>
      <c r="E1216" s="1782"/>
      <c r="F1216" s="1782"/>
      <c r="G1216" s="1782"/>
      <c r="H1216" s="1782"/>
      <c r="I1216" s="1783"/>
      <c r="J1216" s="1783"/>
      <c r="K1216" s="1783"/>
      <c r="L1216" s="1783"/>
      <c r="M1216" s="1783"/>
    </row>
    <row r="1217" spans="1:13" x14ac:dyDescent="0.35">
      <c r="A1217" s="1784">
        <v>206069</v>
      </c>
      <c r="B1217" s="1782"/>
      <c r="C1217" s="1803">
        <v>1.9889514000000006</v>
      </c>
      <c r="D1217" s="1782"/>
      <c r="E1217" s="1782"/>
      <c r="F1217" s="1782"/>
      <c r="G1217" s="1782"/>
      <c r="H1217" s="1782"/>
      <c r="I1217" s="1783"/>
      <c r="J1217" s="1783"/>
      <c r="K1217" s="1783"/>
      <c r="L1217" s="1783"/>
      <c r="M1217" s="1783"/>
    </row>
    <row r="1218" spans="1:13" x14ac:dyDescent="0.35">
      <c r="A1218" s="1784">
        <v>206070</v>
      </c>
      <c r="B1218" s="1782"/>
      <c r="C1218" s="1803">
        <v>1.8488844000000004</v>
      </c>
      <c r="D1218" s="1782"/>
      <c r="E1218" s="1782"/>
      <c r="F1218" s="1782"/>
      <c r="G1218" s="1782"/>
      <c r="H1218" s="1782"/>
      <c r="I1218" s="1783"/>
      <c r="J1218" s="1783"/>
      <c r="K1218" s="1783"/>
      <c r="L1218" s="1783"/>
      <c r="M1218" s="1783"/>
    </row>
    <row r="1219" spans="1:13" x14ac:dyDescent="0.35">
      <c r="A1219" s="1784">
        <v>206071</v>
      </c>
      <c r="B1219" s="1782"/>
      <c r="C1219" s="1803">
        <v>1.8208709999999999</v>
      </c>
      <c r="D1219" s="1782"/>
      <c r="E1219" s="1782"/>
      <c r="F1219" s="1782"/>
      <c r="G1219" s="1782"/>
      <c r="H1219" s="1782"/>
      <c r="I1219" s="1783"/>
      <c r="J1219" s="1783"/>
      <c r="K1219" s="1783"/>
      <c r="L1219" s="1783"/>
      <c r="M1219" s="1783"/>
    </row>
    <row r="1220" spans="1:13" x14ac:dyDescent="0.35">
      <c r="A1220" s="1784">
        <v>206072</v>
      </c>
      <c r="B1220" s="1782"/>
      <c r="C1220" s="1803">
        <v>1.9329246000000002</v>
      </c>
      <c r="D1220" s="1782"/>
      <c r="E1220" s="1782"/>
      <c r="F1220" s="1782"/>
      <c r="G1220" s="1782"/>
      <c r="H1220" s="1782"/>
      <c r="I1220" s="1783"/>
      <c r="J1220" s="1783"/>
      <c r="K1220" s="1783"/>
      <c r="L1220" s="1783"/>
      <c r="M1220" s="1783"/>
    </row>
    <row r="1221" spans="1:13" x14ac:dyDescent="0.35">
      <c r="A1221" s="1784">
        <v>206073</v>
      </c>
      <c r="B1221" s="1782"/>
      <c r="C1221" s="1803">
        <v>1.8208709999999999</v>
      </c>
      <c r="D1221" s="1782"/>
      <c r="E1221" s="1782"/>
      <c r="F1221" s="1782"/>
      <c r="G1221" s="1782"/>
      <c r="H1221" s="1782"/>
      <c r="I1221" s="1783"/>
      <c r="J1221" s="1783"/>
      <c r="K1221" s="1783"/>
      <c r="L1221" s="1783"/>
      <c r="M1221" s="1783"/>
    </row>
    <row r="1222" spans="1:13" x14ac:dyDescent="0.35">
      <c r="A1222" s="1784">
        <v>206074</v>
      </c>
      <c r="B1222" s="1782"/>
      <c r="C1222" s="1803">
        <v>2.0169648000000002</v>
      </c>
      <c r="D1222" s="1782"/>
      <c r="E1222" s="1782"/>
      <c r="F1222" s="1782"/>
      <c r="G1222" s="1782"/>
      <c r="H1222" s="1782"/>
      <c r="I1222" s="1783"/>
      <c r="J1222" s="1783"/>
      <c r="K1222" s="1783"/>
      <c r="L1222" s="1783"/>
      <c r="M1222" s="1783"/>
    </row>
    <row r="1223" spans="1:13" x14ac:dyDescent="0.35">
      <c r="A1223" s="1784">
        <v>206075</v>
      </c>
      <c r="B1223" s="1782"/>
      <c r="C1223" s="1803">
        <v>1.9329246000000002</v>
      </c>
      <c r="D1223" s="1782"/>
      <c r="E1223" s="1782"/>
      <c r="F1223" s="1782"/>
      <c r="G1223" s="1782"/>
      <c r="H1223" s="1782"/>
      <c r="I1223" s="1783"/>
      <c r="J1223" s="1783"/>
      <c r="K1223" s="1783"/>
      <c r="L1223" s="1783"/>
      <c r="M1223" s="1783"/>
    </row>
    <row r="1224" spans="1:13" x14ac:dyDescent="0.35">
      <c r="A1224" s="1784">
        <v>206076</v>
      </c>
      <c r="B1224" s="1782"/>
      <c r="C1224" s="1803">
        <v>2.1010050000000002</v>
      </c>
      <c r="D1224" s="1782"/>
      <c r="E1224" s="1782"/>
      <c r="F1224" s="1782"/>
      <c r="G1224" s="1782"/>
      <c r="H1224" s="1782"/>
      <c r="I1224" s="1783"/>
      <c r="J1224" s="1783"/>
      <c r="K1224" s="1783"/>
      <c r="L1224" s="1783"/>
      <c r="M1224" s="1783"/>
    </row>
    <row r="1225" spans="1:13" x14ac:dyDescent="0.35">
      <c r="A1225" s="1784">
        <v>206077</v>
      </c>
      <c r="B1225" s="1782"/>
      <c r="C1225" s="1803">
        <v>2.3251122000000004</v>
      </c>
      <c r="D1225" s="1782"/>
      <c r="E1225" s="1782"/>
      <c r="F1225" s="1782"/>
      <c r="G1225" s="1782"/>
      <c r="H1225" s="1782"/>
      <c r="I1225" s="1783"/>
      <c r="J1225" s="1783"/>
      <c r="K1225" s="1783"/>
      <c r="L1225" s="1783"/>
      <c r="M1225" s="1783"/>
    </row>
    <row r="1226" spans="1:13" x14ac:dyDescent="0.35">
      <c r="A1226" s="1784">
        <v>206078</v>
      </c>
      <c r="B1226" s="1782"/>
      <c r="C1226" s="1803">
        <v>2.1570317999999999</v>
      </c>
      <c r="D1226" s="1782"/>
      <c r="E1226" s="1782"/>
      <c r="F1226" s="1782"/>
      <c r="G1226" s="1782"/>
      <c r="H1226" s="1782"/>
      <c r="I1226" s="1783"/>
      <c r="J1226" s="1783"/>
      <c r="K1226" s="1783"/>
      <c r="L1226" s="1783"/>
      <c r="M1226" s="1783"/>
    </row>
    <row r="1227" spans="1:13" x14ac:dyDescent="0.35">
      <c r="A1227" s="1784">
        <v>206079</v>
      </c>
      <c r="B1227" s="1782"/>
      <c r="C1227" s="1803">
        <v>2.2690854000000003</v>
      </c>
      <c r="D1227" s="1782"/>
      <c r="E1227" s="1782"/>
      <c r="F1227" s="1782"/>
      <c r="G1227" s="1782"/>
      <c r="H1227" s="1782"/>
      <c r="I1227" s="1783"/>
      <c r="J1227" s="1783"/>
      <c r="K1227" s="1783"/>
      <c r="L1227" s="1783"/>
      <c r="M1227" s="1783"/>
    </row>
    <row r="1228" spans="1:13" x14ac:dyDescent="0.35">
      <c r="A1228" s="1784">
        <v>206080</v>
      </c>
      <c r="B1228" s="1782"/>
      <c r="C1228" s="1803">
        <v>2.3811390000000001</v>
      </c>
      <c r="D1228" s="1782"/>
      <c r="E1228" s="1782"/>
      <c r="F1228" s="1782"/>
      <c r="G1228" s="1782"/>
      <c r="H1228" s="1782"/>
      <c r="I1228" s="1783"/>
      <c r="J1228" s="1783"/>
      <c r="K1228" s="1783"/>
      <c r="L1228" s="1783"/>
      <c r="M1228" s="1783"/>
    </row>
    <row r="1229" spans="1:13" x14ac:dyDescent="0.35">
      <c r="A1229" s="1784">
        <v>206081</v>
      </c>
      <c r="B1229" s="1782"/>
      <c r="C1229" s="1803">
        <v>2.0449782000000001</v>
      </c>
      <c r="D1229" s="1782"/>
      <c r="E1229" s="1782"/>
      <c r="F1229" s="1782"/>
      <c r="G1229" s="1782"/>
      <c r="H1229" s="1782"/>
      <c r="I1229" s="1783"/>
      <c r="J1229" s="1783"/>
      <c r="K1229" s="1783"/>
      <c r="L1229" s="1783"/>
      <c r="M1229" s="1783"/>
    </row>
    <row r="1230" spans="1:13" x14ac:dyDescent="0.35">
      <c r="A1230" s="1784">
        <v>206082</v>
      </c>
      <c r="B1230" s="1782"/>
      <c r="C1230" s="1803">
        <v>2.4091524</v>
      </c>
      <c r="D1230" s="1782"/>
      <c r="E1230" s="1782"/>
      <c r="F1230" s="1782"/>
      <c r="G1230" s="1782"/>
      <c r="H1230" s="1782"/>
      <c r="I1230" s="1783"/>
      <c r="J1230" s="1783"/>
      <c r="K1230" s="1783"/>
      <c r="L1230" s="1783"/>
      <c r="M1230" s="1783"/>
    </row>
    <row r="1231" spans="1:13" x14ac:dyDescent="0.35">
      <c r="A1231" s="1784">
        <v>206083</v>
      </c>
      <c r="B1231" s="1782"/>
      <c r="C1231" s="1803">
        <v>3.4736616000000007</v>
      </c>
      <c r="D1231" s="1782"/>
      <c r="E1231" s="1782"/>
      <c r="F1231" s="1782"/>
      <c r="G1231" s="1782"/>
      <c r="H1231" s="1782"/>
      <c r="I1231" s="1783"/>
      <c r="J1231" s="1783"/>
      <c r="K1231" s="1783"/>
      <c r="L1231" s="1783"/>
      <c r="M1231" s="1783"/>
    </row>
    <row r="1232" spans="1:13" x14ac:dyDescent="0.35">
      <c r="A1232" s="1784">
        <v>206084</v>
      </c>
      <c r="B1232" s="1782"/>
      <c r="C1232" s="1782">
        <v>1.96</v>
      </c>
      <c r="D1232" s="1782"/>
      <c r="E1232" s="1782"/>
      <c r="F1232" s="1782"/>
      <c r="G1232" s="1782"/>
      <c r="H1232" s="1782"/>
      <c r="I1232" s="1783"/>
      <c r="J1232" s="1783"/>
      <c r="K1232" s="1783"/>
      <c r="L1232" s="1783"/>
      <c r="M1232" s="1783"/>
    </row>
    <row r="1233" spans="1:13" x14ac:dyDescent="0.35">
      <c r="A1233" s="1784">
        <v>206085</v>
      </c>
      <c r="B1233" s="1782"/>
      <c r="C1233" s="1782">
        <v>1.34</v>
      </c>
      <c r="D1233" s="1782"/>
      <c r="E1233" s="1782"/>
      <c r="F1233" s="1782"/>
      <c r="G1233" s="1782"/>
      <c r="H1233" s="1782"/>
      <c r="I1233" s="1783"/>
      <c r="J1233" s="1783"/>
      <c r="K1233" s="1783"/>
      <c r="L1233" s="1783"/>
      <c r="M1233" s="1783"/>
    </row>
    <row r="1234" spans="1:13" x14ac:dyDescent="0.35">
      <c r="A1234" s="1784">
        <v>206086</v>
      </c>
      <c r="B1234" s="1782"/>
      <c r="C1234" s="1782">
        <v>2.1</v>
      </c>
      <c r="D1234" s="1782"/>
      <c r="E1234" s="1782"/>
      <c r="F1234" s="1782"/>
      <c r="G1234" s="1782"/>
      <c r="H1234" s="1782"/>
      <c r="I1234" s="1783"/>
      <c r="J1234" s="1783"/>
      <c r="K1234" s="1783"/>
      <c r="L1234" s="1783"/>
      <c r="M1234" s="1783"/>
    </row>
    <row r="1235" spans="1:13" x14ac:dyDescent="0.35">
      <c r="A1235" s="1784">
        <v>206087</v>
      </c>
      <c r="B1235" s="1782"/>
      <c r="C1235" s="1782">
        <v>1.65</v>
      </c>
      <c r="D1235" s="1782"/>
      <c r="E1235" s="1782"/>
      <c r="F1235" s="1782"/>
      <c r="G1235" s="1782"/>
      <c r="H1235" s="1782"/>
      <c r="I1235" s="1783"/>
      <c r="J1235" s="1783"/>
      <c r="K1235" s="1783"/>
      <c r="L1235" s="1783"/>
      <c r="M1235" s="1783"/>
    </row>
    <row r="1236" spans="1:13" x14ac:dyDescent="0.35">
      <c r="A1236" s="1784">
        <v>206088</v>
      </c>
      <c r="B1236" s="1782"/>
      <c r="C1236" s="1782">
        <v>1.57</v>
      </c>
      <c r="D1236" s="1782"/>
      <c r="E1236" s="1782"/>
      <c r="F1236" s="1782"/>
      <c r="G1236" s="1782"/>
      <c r="H1236" s="1782"/>
      <c r="I1236" s="1783"/>
      <c r="J1236" s="1783"/>
      <c r="K1236" s="1783"/>
      <c r="L1236" s="1783"/>
      <c r="M1236" s="1783"/>
    </row>
    <row r="1237" spans="1:13" x14ac:dyDescent="0.35">
      <c r="A1237" s="1784">
        <v>206089</v>
      </c>
      <c r="B1237" s="1782"/>
      <c r="C1237" s="1782">
        <v>2.38</v>
      </c>
      <c r="D1237" s="1782"/>
      <c r="E1237" s="1782"/>
      <c r="F1237" s="1782"/>
      <c r="G1237" s="1782"/>
      <c r="H1237" s="1782"/>
      <c r="I1237" s="1783"/>
      <c r="J1237" s="1783"/>
      <c r="K1237" s="1783"/>
      <c r="L1237" s="1783"/>
      <c r="M1237" s="1783"/>
    </row>
    <row r="1238" spans="1:13" x14ac:dyDescent="0.35">
      <c r="A1238" s="1784">
        <v>206090</v>
      </c>
      <c r="B1238" s="1782"/>
      <c r="C1238" s="1782">
        <v>2.61</v>
      </c>
      <c r="D1238" s="1782"/>
      <c r="E1238" s="1782"/>
      <c r="F1238" s="1782"/>
      <c r="G1238" s="1782"/>
      <c r="H1238" s="1782"/>
      <c r="I1238" s="1783"/>
      <c r="J1238" s="1783"/>
      <c r="K1238" s="1783"/>
      <c r="L1238" s="1783"/>
      <c r="M1238" s="1783"/>
    </row>
    <row r="1239" spans="1:13" x14ac:dyDescent="0.35">
      <c r="A1239" s="1784">
        <v>206091</v>
      </c>
      <c r="B1239" s="1782"/>
      <c r="C1239" s="1782">
        <v>2.27</v>
      </c>
      <c r="D1239" s="1782"/>
      <c r="E1239" s="1782"/>
      <c r="F1239" s="1782"/>
      <c r="G1239" s="1782"/>
      <c r="H1239" s="1782"/>
      <c r="I1239" s="1783"/>
      <c r="J1239" s="1783"/>
      <c r="K1239" s="1783"/>
      <c r="L1239" s="1783"/>
      <c r="M1239" s="1783"/>
    </row>
    <row r="1240" spans="1:13" x14ac:dyDescent="0.35">
      <c r="A1240" s="1784">
        <v>206092</v>
      </c>
      <c r="B1240" s="1782"/>
      <c r="C1240" s="1782">
        <v>2.0499999999999998</v>
      </c>
      <c r="D1240" s="1782"/>
      <c r="E1240" s="1782"/>
      <c r="F1240" s="1782"/>
      <c r="G1240" s="1782"/>
      <c r="H1240" s="1782"/>
      <c r="I1240" s="1783"/>
      <c r="J1240" s="1783"/>
      <c r="K1240" s="1783"/>
      <c r="L1240" s="1783"/>
      <c r="M1240" s="1783"/>
    </row>
    <row r="1241" spans="1:13" x14ac:dyDescent="0.35">
      <c r="A1241" s="1784">
        <v>206093</v>
      </c>
      <c r="B1241" s="1782"/>
      <c r="C1241" s="1782">
        <v>1.88</v>
      </c>
      <c r="D1241" s="1782"/>
      <c r="E1241" s="1782"/>
      <c r="F1241" s="1782"/>
      <c r="G1241" s="1782"/>
      <c r="H1241" s="1782"/>
      <c r="I1241" s="1783"/>
      <c r="J1241" s="1783"/>
      <c r="K1241" s="1783"/>
      <c r="L1241" s="1783"/>
      <c r="M1241" s="1783"/>
    </row>
    <row r="1242" spans="1:13" x14ac:dyDescent="0.35">
      <c r="A1242" s="1784">
        <v>206094</v>
      </c>
      <c r="B1242" s="1782"/>
      <c r="C1242" s="1782">
        <v>1.82</v>
      </c>
      <c r="D1242" s="1782"/>
      <c r="E1242" s="1782"/>
      <c r="F1242" s="1782"/>
      <c r="G1242" s="1782"/>
      <c r="H1242" s="1782"/>
      <c r="I1242" s="1783"/>
      <c r="J1242" s="1783"/>
      <c r="K1242" s="1783"/>
      <c r="L1242" s="1783"/>
      <c r="M1242" s="1783"/>
    </row>
    <row r="1243" spans="1:13" x14ac:dyDescent="0.35">
      <c r="A1243" s="1784">
        <v>206095</v>
      </c>
      <c r="B1243" s="1782"/>
      <c r="C1243" s="1782">
        <v>1.71</v>
      </c>
      <c r="D1243" s="1782"/>
      <c r="E1243" s="1782"/>
      <c r="F1243" s="1782"/>
      <c r="G1243" s="1782"/>
      <c r="H1243" s="1782"/>
      <c r="I1243" s="1783"/>
      <c r="J1243" s="1783"/>
      <c r="K1243" s="1783"/>
      <c r="L1243" s="1783"/>
      <c r="M1243" s="1783"/>
    </row>
    <row r="1244" spans="1:13" x14ac:dyDescent="0.35">
      <c r="A1244" s="1784">
        <v>206096</v>
      </c>
      <c r="B1244" s="1782"/>
      <c r="C1244" s="1782">
        <v>1.88</v>
      </c>
      <c r="D1244" s="1782"/>
      <c r="E1244" s="1782"/>
      <c r="F1244" s="1782"/>
      <c r="G1244" s="1782"/>
      <c r="H1244" s="1782"/>
      <c r="I1244" s="1783"/>
      <c r="J1244" s="1783"/>
      <c r="K1244" s="1783"/>
      <c r="L1244" s="1783"/>
      <c r="M1244" s="1783"/>
    </row>
    <row r="1245" spans="1:13" x14ac:dyDescent="0.35">
      <c r="A1245" s="1784">
        <v>206097</v>
      </c>
      <c r="B1245" s="1782"/>
      <c r="C1245" s="1782">
        <v>1.88</v>
      </c>
      <c r="D1245" s="1782"/>
      <c r="E1245" s="1782"/>
      <c r="F1245" s="1782"/>
      <c r="G1245" s="1782"/>
      <c r="H1245" s="1782"/>
      <c r="I1245" s="1783"/>
      <c r="J1245" s="1783"/>
      <c r="K1245" s="1783"/>
      <c r="L1245" s="1783"/>
      <c r="M1245" s="1783"/>
    </row>
    <row r="1246" spans="1:13" x14ac:dyDescent="0.35">
      <c r="A1246" s="1784">
        <v>206098</v>
      </c>
      <c r="B1246" s="1782"/>
      <c r="C1246" s="1782">
        <v>3.47</v>
      </c>
      <c r="D1246" s="1782"/>
      <c r="E1246" s="1782"/>
      <c r="F1246" s="1782"/>
      <c r="G1246" s="1782"/>
      <c r="H1246" s="1782"/>
      <c r="I1246" s="1783"/>
      <c r="J1246" s="1783"/>
      <c r="K1246" s="1783"/>
      <c r="L1246" s="1783"/>
      <c r="M1246" s="1783"/>
    </row>
    <row r="1247" spans="1:13" x14ac:dyDescent="0.35">
      <c r="A1247" s="1784">
        <v>206099</v>
      </c>
      <c r="B1247" s="1782"/>
      <c r="C1247" s="1782">
        <v>2.52</v>
      </c>
      <c r="D1247" s="1782"/>
      <c r="E1247" s="1782"/>
      <c r="F1247" s="1782"/>
      <c r="G1247" s="1782"/>
      <c r="H1247" s="1782"/>
      <c r="I1247" s="1783"/>
      <c r="J1247" s="1783"/>
      <c r="K1247" s="1783"/>
      <c r="L1247" s="1783"/>
      <c r="M1247" s="1783"/>
    </row>
    <row r="1248" spans="1:13" x14ac:dyDescent="0.35">
      <c r="A1248" s="1784">
        <v>206100</v>
      </c>
      <c r="B1248" s="1782"/>
      <c r="C1248" s="1782">
        <v>1.99</v>
      </c>
      <c r="D1248" s="1782"/>
      <c r="E1248" s="1782"/>
      <c r="F1248" s="1782"/>
      <c r="G1248" s="1782"/>
      <c r="H1248" s="1782"/>
      <c r="I1248" s="1783"/>
      <c r="J1248" s="1783"/>
      <c r="K1248" s="1783"/>
      <c r="L1248" s="1783"/>
      <c r="M1248" s="1783"/>
    </row>
    <row r="1249" spans="1:13" x14ac:dyDescent="0.35">
      <c r="A1249" s="1784">
        <v>206101</v>
      </c>
      <c r="B1249" s="1782"/>
      <c r="C1249" s="1782">
        <v>1.57</v>
      </c>
      <c r="D1249" s="1782"/>
      <c r="E1249" s="1782"/>
      <c r="F1249" s="1782"/>
      <c r="G1249" s="1782"/>
      <c r="H1249" s="1782"/>
      <c r="I1249" s="1783"/>
      <c r="J1249" s="1783"/>
      <c r="K1249" s="1783"/>
      <c r="L1249" s="1783"/>
      <c r="M1249" s="1783"/>
    </row>
    <row r="1250" spans="1:13" x14ac:dyDescent="0.35">
      <c r="A1250" s="1784">
        <v>206102</v>
      </c>
      <c r="B1250" s="1782"/>
      <c r="C1250" s="1782">
        <v>1.71</v>
      </c>
      <c r="D1250" s="1782"/>
      <c r="E1250" s="1782"/>
      <c r="F1250" s="1782"/>
      <c r="G1250" s="1782"/>
      <c r="H1250" s="1782"/>
      <c r="I1250" s="1783"/>
      <c r="J1250" s="1783"/>
      <c r="K1250" s="1783"/>
      <c r="L1250" s="1783"/>
      <c r="M1250" s="1783"/>
    </row>
    <row r="1251" spans="1:13" x14ac:dyDescent="0.35">
      <c r="A1251" s="1784">
        <v>206103</v>
      </c>
      <c r="B1251" s="1782"/>
      <c r="C1251" s="1782">
        <v>3.02</v>
      </c>
      <c r="D1251" s="1782"/>
      <c r="E1251" s="1782"/>
      <c r="F1251" s="1782"/>
      <c r="G1251" s="1782"/>
      <c r="H1251" s="1782"/>
      <c r="I1251" s="1783"/>
      <c r="J1251" s="1783"/>
      <c r="K1251" s="1783"/>
      <c r="L1251" s="1783"/>
      <c r="M1251" s="1783"/>
    </row>
    <row r="1252" spans="1:13" x14ac:dyDescent="0.35">
      <c r="A1252" s="1784">
        <v>206104</v>
      </c>
      <c r="B1252" s="1782"/>
      <c r="C1252" s="1782">
        <v>4.2300000000000004</v>
      </c>
      <c r="D1252" s="1782"/>
      <c r="E1252" s="1782"/>
      <c r="F1252" s="1782"/>
      <c r="G1252" s="1782"/>
      <c r="H1252" s="1782"/>
      <c r="I1252" s="1783"/>
      <c r="J1252" s="1783"/>
      <c r="K1252" s="1783"/>
      <c r="L1252" s="1783"/>
      <c r="M1252" s="1783"/>
    </row>
    <row r="1253" spans="1:13" x14ac:dyDescent="0.35">
      <c r="A1253" s="1784">
        <v>206105</v>
      </c>
      <c r="B1253" s="1782"/>
      <c r="C1253" s="1782">
        <v>2.88</v>
      </c>
      <c r="D1253" s="1782"/>
      <c r="E1253" s="1782"/>
      <c r="F1253" s="1782"/>
      <c r="G1253" s="1782"/>
      <c r="H1253" s="1782"/>
      <c r="I1253" s="1783"/>
      <c r="J1253" s="1783"/>
      <c r="K1253" s="1783"/>
      <c r="L1253" s="1783"/>
      <c r="M1253" s="1783"/>
    </row>
    <row r="1254" spans="1:13" x14ac:dyDescent="0.35">
      <c r="A1254" s="1784">
        <v>206106</v>
      </c>
      <c r="B1254" s="1782"/>
      <c r="C1254" s="1782">
        <v>3.7</v>
      </c>
      <c r="D1254" s="1782"/>
      <c r="E1254" s="1782"/>
      <c r="F1254" s="1782"/>
      <c r="G1254" s="1782"/>
      <c r="H1254" s="1782"/>
      <c r="I1254" s="1783"/>
      <c r="J1254" s="1783"/>
      <c r="K1254" s="1783"/>
      <c r="L1254" s="1783"/>
      <c r="M1254" s="1783"/>
    </row>
    <row r="1255" spans="1:13" x14ac:dyDescent="0.35">
      <c r="A1255" s="1784">
        <v>206107</v>
      </c>
      <c r="B1255" s="1782"/>
      <c r="C1255" s="1782">
        <v>4.34</v>
      </c>
      <c r="D1255" s="1782"/>
      <c r="E1255" s="1782"/>
      <c r="F1255" s="1782"/>
      <c r="G1255" s="1782"/>
      <c r="H1255" s="1782"/>
      <c r="I1255" s="1783"/>
      <c r="J1255" s="1783"/>
      <c r="K1255" s="1783"/>
      <c r="L1255" s="1783"/>
      <c r="M1255" s="1783"/>
    </row>
    <row r="1256" spans="1:13" x14ac:dyDescent="0.35">
      <c r="A1256" s="1784">
        <v>206108</v>
      </c>
      <c r="B1256" s="1782"/>
      <c r="C1256" s="1782">
        <v>3.14</v>
      </c>
      <c r="D1256" s="1782"/>
      <c r="E1256" s="1782"/>
      <c r="F1256" s="1782"/>
      <c r="G1256" s="1782"/>
      <c r="H1256" s="1782"/>
      <c r="I1256" s="1783"/>
      <c r="J1256" s="1783"/>
      <c r="K1256" s="1783"/>
      <c r="L1256" s="1783"/>
      <c r="M1256" s="1783"/>
    </row>
    <row r="1257" spans="1:13" x14ac:dyDescent="0.35">
      <c r="A1257" s="1784">
        <v>206109</v>
      </c>
      <c r="B1257" s="1782"/>
      <c r="C1257" s="1782">
        <v>1.79</v>
      </c>
      <c r="D1257" s="1782"/>
      <c r="E1257" s="1782"/>
      <c r="F1257" s="1782"/>
      <c r="G1257" s="1782"/>
      <c r="H1257" s="1782"/>
      <c r="I1257" s="1783"/>
      <c r="J1257" s="1783"/>
      <c r="K1257" s="1783"/>
      <c r="L1257" s="1783"/>
      <c r="M1257" s="1783"/>
    </row>
    <row r="1258" spans="1:13" x14ac:dyDescent="0.35">
      <c r="A1258" s="1784">
        <v>206110</v>
      </c>
      <c r="B1258" s="1782"/>
      <c r="C1258" s="1782">
        <v>1.9</v>
      </c>
      <c r="D1258" s="1782"/>
      <c r="E1258" s="1782"/>
      <c r="F1258" s="1782"/>
      <c r="G1258" s="1782"/>
      <c r="H1258" s="1782"/>
      <c r="I1258" s="1783"/>
      <c r="J1258" s="1783"/>
      <c r="K1258" s="1783"/>
      <c r="L1258" s="1783"/>
      <c r="M1258" s="1783"/>
    </row>
    <row r="1259" spans="1:13" x14ac:dyDescent="0.35">
      <c r="A1259" s="1784">
        <v>206111</v>
      </c>
      <c r="B1259" s="1782"/>
      <c r="C1259" s="1782">
        <v>1.68</v>
      </c>
      <c r="D1259" s="1782"/>
      <c r="E1259" s="1782"/>
      <c r="F1259" s="1782"/>
      <c r="G1259" s="1782"/>
      <c r="H1259" s="1782"/>
      <c r="I1259" s="1783"/>
      <c r="J1259" s="1783"/>
      <c r="K1259" s="1783"/>
      <c r="L1259" s="1783"/>
      <c r="M1259" s="1783"/>
    </row>
    <row r="1260" spans="1:13" x14ac:dyDescent="0.35">
      <c r="A1260" s="1784">
        <v>206112</v>
      </c>
      <c r="B1260" s="1782"/>
      <c r="C1260" s="1782">
        <v>1.79</v>
      </c>
      <c r="D1260" s="1782"/>
      <c r="E1260" s="1782"/>
      <c r="F1260" s="1782"/>
      <c r="G1260" s="1782"/>
      <c r="H1260" s="1782"/>
      <c r="I1260" s="1783"/>
      <c r="J1260" s="1783"/>
      <c r="K1260" s="1783"/>
      <c r="L1260" s="1783"/>
      <c r="M1260" s="1783"/>
    </row>
    <row r="1261" spans="1:13" x14ac:dyDescent="0.35">
      <c r="A1261" s="1784">
        <v>206113</v>
      </c>
      <c r="B1261" s="1782"/>
      <c r="C1261" s="1782">
        <v>1.68</v>
      </c>
      <c r="D1261" s="1782"/>
      <c r="E1261" s="1782"/>
      <c r="F1261" s="1782"/>
      <c r="G1261" s="1782"/>
      <c r="H1261" s="1782"/>
      <c r="I1261" s="1783"/>
      <c r="J1261" s="1783"/>
      <c r="K1261" s="1783"/>
      <c r="L1261" s="1783"/>
      <c r="M1261" s="1783"/>
    </row>
    <row r="1262" spans="1:13" x14ac:dyDescent="0.35">
      <c r="A1262" s="1784">
        <v>206114</v>
      </c>
      <c r="B1262" s="1782"/>
      <c r="C1262" s="1782">
        <v>2.0499999999999998</v>
      </c>
      <c r="D1262" s="1782"/>
      <c r="E1262" s="1782"/>
      <c r="F1262" s="1782"/>
      <c r="G1262" s="1782"/>
      <c r="H1262" s="1782"/>
      <c r="I1262" s="1783"/>
      <c r="J1262" s="1783"/>
      <c r="K1262" s="1783"/>
      <c r="L1262" s="1783"/>
      <c r="M1262" s="1783"/>
    </row>
    <row r="1263" spans="1:13" x14ac:dyDescent="0.35">
      <c r="A1263" s="1784">
        <v>206115</v>
      </c>
      <c r="B1263" s="1782"/>
      <c r="C1263" s="1782">
        <v>2.1</v>
      </c>
      <c r="D1263" s="1782"/>
      <c r="E1263" s="1782"/>
      <c r="F1263" s="1782"/>
      <c r="G1263" s="1782"/>
      <c r="H1263" s="1782"/>
      <c r="I1263" s="1783"/>
      <c r="J1263" s="1783"/>
      <c r="K1263" s="1783"/>
      <c r="L1263" s="1783"/>
      <c r="M1263" s="1783"/>
    </row>
    <row r="1264" spans="1:13" x14ac:dyDescent="0.35">
      <c r="A1264" s="1784">
        <v>206116</v>
      </c>
      <c r="B1264" s="1782"/>
      <c r="C1264" s="1782">
        <v>2.13</v>
      </c>
      <c r="D1264" s="1782"/>
      <c r="E1264" s="1782"/>
      <c r="F1264" s="1782"/>
      <c r="G1264" s="1782"/>
      <c r="H1264" s="1782"/>
      <c r="I1264" s="1783"/>
      <c r="J1264" s="1783"/>
      <c r="K1264" s="1783"/>
      <c r="L1264" s="1783"/>
      <c r="M1264" s="1783"/>
    </row>
    <row r="1265" spans="1:15" x14ac:dyDescent="0.35">
      <c r="A1265" s="1784">
        <v>206117</v>
      </c>
      <c r="B1265" s="1782"/>
      <c r="C1265" s="1782">
        <v>1.93</v>
      </c>
      <c r="D1265" s="1782"/>
      <c r="E1265" s="1782"/>
      <c r="F1265" s="1782"/>
      <c r="G1265" s="1782"/>
      <c r="H1265" s="1782"/>
      <c r="I1265" s="1783"/>
      <c r="J1265" s="1783"/>
      <c r="K1265" s="1783"/>
      <c r="L1265" s="1783"/>
      <c r="M1265" s="1783"/>
    </row>
    <row r="1266" spans="1:15" x14ac:dyDescent="0.35">
      <c r="A1266" s="1784">
        <v>206118</v>
      </c>
      <c r="B1266" s="1782"/>
      <c r="C1266" s="1782">
        <v>2.72</v>
      </c>
      <c r="D1266" s="1782"/>
      <c r="E1266" s="1782"/>
      <c r="F1266" s="1782"/>
      <c r="G1266" s="1782"/>
      <c r="H1266" s="1782"/>
      <c r="I1266" s="1783"/>
      <c r="J1266" s="1783"/>
      <c r="K1266" s="1783"/>
      <c r="L1266" s="1783"/>
      <c r="M1266" s="1783"/>
    </row>
    <row r="1267" spans="1:15" x14ac:dyDescent="0.35">
      <c r="A1267" s="1784">
        <v>206119</v>
      </c>
      <c r="B1267" s="1782"/>
      <c r="C1267" s="1782">
        <v>3.19</v>
      </c>
      <c r="D1267" s="1782"/>
      <c r="E1267" s="1782"/>
      <c r="F1267" s="1782"/>
      <c r="G1267" s="1782"/>
      <c r="H1267" s="1782"/>
      <c r="I1267" s="1783"/>
      <c r="J1267" s="1783"/>
      <c r="K1267" s="1783"/>
      <c r="L1267" s="1783"/>
      <c r="M1267" s="1783"/>
    </row>
    <row r="1268" spans="1:15" x14ac:dyDescent="0.35">
      <c r="A1268" s="1784">
        <v>206120</v>
      </c>
      <c r="B1268" s="1782"/>
      <c r="C1268" s="1782">
        <v>2.91</v>
      </c>
      <c r="D1268" s="1782"/>
      <c r="E1268" s="1782"/>
      <c r="F1268" s="1782"/>
      <c r="G1268" s="1782"/>
      <c r="H1268" s="1782"/>
      <c r="I1268" s="1783"/>
      <c r="J1268" s="1783"/>
      <c r="K1268" s="1783"/>
      <c r="L1268" s="1783"/>
      <c r="M1268" s="1783"/>
    </row>
    <row r="1269" spans="1:15" x14ac:dyDescent="0.35">
      <c r="A1269" s="1784">
        <v>206121</v>
      </c>
      <c r="B1269" s="1782"/>
      <c r="C1269" s="1782">
        <v>3.45</v>
      </c>
      <c r="D1269" s="1782"/>
      <c r="E1269" s="1782"/>
      <c r="F1269" s="1782"/>
      <c r="G1269" s="1782"/>
      <c r="H1269" s="1782"/>
      <c r="I1269" s="1783"/>
      <c r="J1269" s="1783"/>
      <c r="K1269" s="1783"/>
      <c r="L1269" s="1783"/>
      <c r="M1269" s="1783"/>
    </row>
    <row r="1270" spans="1:15" x14ac:dyDescent="0.35">
      <c r="A1270" s="1784">
        <v>206122</v>
      </c>
      <c r="B1270" s="1782"/>
      <c r="C1270" s="1782">
        <v>2.02</v>
      </c>
      <c r="D1270" s="1782"/>
      <c r="E1270" s="1782"/>
      <c r="F1270" s="1782"/>
      <c r="G1270" s="1782"/>
      <c r="H1270" s="1782"/>
      <c r="I1270" s="1783"/>
      <c r="J1270" s="1783"/>
      <c r="K1270" s="1783"/>
      <c r="L1270" s="1783"/>
      <c r="M1270" s="1783"/>
    </row>
    <row r="1271" spans="1:15" x14ac:dyDescent="0.35">
      <c r="A1271" s="1784">
        <v>206123</v>
      </c>
      <c r="B1271" s="1782"/>
      <c r="C1271" s="1782">
        <v>2.13</v>
      </c>
      <c r="D1271" s="1782"/>
      <c r="E1271" s="1782"/>
      <c r="F1271" s="1782"/>
      <c r="G1271" s="1782"/>
      <c r="H1271" s="1782"/>
      <c r="I1271" s="1783"/>
      <c r="J1271" s="1783"/>
      <c r="K1271" s="1783"/>
      <c r="L1271" s="1783"/>
      <c r="M1271" s="1783"/>
    </row>
    <row r="1272" spans="1:15" x14ac:dyDescent="0.35">
      <c r="A1272" s="1784">
        <v>206124</v>
      </c>
      <c r="B1272" s="1782"/>
      <c r="C1272" s="1782">
        <v>4.26</v>
      </c>
      <c r="D1272" s="1782"/>
      <c r="E1272" s="1782"/>
      <c r="F1272" s="1782"/>
      <c r="G1272" s="1782"/>
      <c r="H1272" s="1782"/>
      <c r="I1272" s="1783"/>
      <c r="J1272" s="1783"/>
      <c r="K1272" s="1783"/>
      <c r="L1272" s="1783"/>
      <c r="M1272" s="1783"/>
    </row>
    <row r="1273" spans="1:15" x14ac:dyDescent="0.35">
      <c r="A1273" s="1784">
        <v>206125</v>
      </c>
      <c r="B1273" s="1782"/>
      <c r="C1273" s="1782">
        <v>2.33</v>
      </c>
      <c r="D1273" s="1782"/>
      <c r="E1273" s="1782"/>
      <c r="F1273" s="1782"/>
      <c r="G1273" s="1782"/>
      <c r="H1273" s="1782"/>
      <c r="I1273" s="1783"/>
      <c r="J1273" s="1783"/>
      <c r="K1273" s="1783"/>
      <c r="L1273" s="1783"/>
      <c r="M1273" s="1783"/>
    </row>
    <row r="1274" spans="1:15" x14ac:dyDescent="0.35">
      <c r="A1274" s="1784">
        <v>206126</v>
      </c>
      <c r="B1274" s="1782"/>
      <c r="C1274" s="1782">
        <v>2.0499999999999998</v>
      </c>
      <c r="D1274" s="1782"/>
      <c r="E1274" s="1782"/>
      <c r="F1274" s="1782"/>
      <c r="G1274" s="1782"/>
      <c r="H1274" s="1782"/>
      <c r="I1274" s="1783"/>
      <c r="J1274" s="1783"/>
      <c r="K1274" s="1783"/>
      <c r="L1274" s="1783"/>
      <c r="M1274" s="1783"/>
    </row>
    <row r="1275" spans="1:15" x14ac:dyDescent="0.35">
      <c r="A1275" s="1784">
        <v>206127</v>
      </c>
      <c r="B1275" s="1782"/>
      <c r="C1275" s="1782">
        <v>1.93</v>
      </c>
      <c r="D1275" s="1782">
        <v>0.13</v>
      </c>
      <c r="E1275" s="1782">
        <v>1.08</v>
      </c>
      <c r="F1275" s="1782">
        <v>0.05</v>
      </c>
      <c r="G1275" s="1782">
        <v>4.34</v>
      </c>
      <c r="H1275" s="1782">
        <v>0.31</v>
      </c>
      <c r="I1275" s="1782">
        <v>9.56</v>
      </c>
      <c r="J1275" s="1782">
        <v>5.62</v>
      </c>
      <c r="K1275" s="1782">
        <v>18.239999999999998</v>
      </c>
      <c r="L1275" s="1782">
        <v>57.45</v>
      </c>
      <c r="M1275" s="1782">
        <v>58.92</v>
      </c>
      <c r="N1275" s="1160"/>
      <c r="O1275" s="1160"/>
    </row>
    <row r="1276" spans="1:15" x14ac:dyDescent="0.35">
      <c r="A1276" s="1784">
        <v>206128</v>
      </c>
      <c r="B1276" s="1782"/>
      <c r="C1276" s="1782">
        <v>2.0699999999999998</v>
      </c>
      <c r="D1276" s="1782">
        <v>0.15</v>
      </c>
      <c r="E1276" s="1782">
        <v>0.72</v>
      </c>
      <c r="F1276" s="1782">
        <v>0.05</v>
      </c>
      <c r="G1276" s="1782">
        <v>4.66</v>
      </c>
      <c r="H1276" s="1782">
        <v>0.37</v>
      </c>
      <c r="I1276" s="1782">
        <v>7.97</v>
      </c>
      <c r="J1276" s="1782">
        <v>6.2</v>
      </c>
      <c r="K1276" s="1782">
        <v>15.59</v>
      </c>
      <c r="L1276" s="1782">
        <v>67.64</v>
      </c>
      <c r="M1276" s="1782">
        <v>66.78</v>
      </c>
      <c r="N1276" s="1160"/>
      <c r="O1276" s="1160"/>
    </row>
    <row r="1277" spans="1:15" x14ac:dyDescent="0.35">
      <c r="A1277" s="1784">
        <v>206129</v>
      </c>
      <c r="B1277" s="1782"/>
      <c r="C1277" s="1782">
        <v>1.88</v>
      </c>
      <c r="D1277" s="1782">
        <v>0.11</v>
      </c>
      <c r="E1277" s="1782">
        <v>0.63</v>
      </c>
      <c r="F1277" s="1782">
        <v>0.05</v>
      </c>
      <c r="G1277" s="1782">
        <v>4.97</v>
      </c>
      <c r="H1277" s="1782">
        <v>0.34</v>
      </c>
      <c r="I1277" s="1782">
        <v>10.08</v>
      </c>
      <c r="J1277" s="1782">
        <v>8.3000000000000007</v>
      </c>
      <c r="K1277" s="1782">
        <v>14.05</v>
      </c>
      <c r="L1277" s="1782">
        <v>58.05</v>
      </c>
      <c r="M1277" s="1782">
        <v>48.09</v>
      </c>
      <c r="N1277" s="1160"/>
      <c r="O1277" s="1160"/>
    </row>
    <row r="1278" spans="1:15" x14ac:dyDescent="0.35">
      <c r="A1278" s="1784">
        <v>206130</v>
      </c>
      <c r="B1278" s="1782"/>
      <c r="C1278" s="1782">
        <v>1.85</v>
      </c>
      <c r="D1278" s="1782">
        <v>0.09</v>
      </c>
      <c r="E1278" s="1782">
        <v>0.42</v>
      </c>
      <c r="F1278" s="1782">
        <v>0.05</v>
      </c>
      <c r="G1278" s="1782">
        <v>5.49</v>
      </c>
      <c r="H1278" s="1782">
        <v>0.41</v>
      </c>
      <c r="I1278" s="1782">
        <v>8.7100000000000009</v>
      </c>
      <c r="J1278" s="1782">
        <v>5.79</v>
      </c>
      <c r="K1278" s="1782">
        <v>16.34</v>
      </c>
      <c r="L1278" s="1782">
        <v>54.97</v>
      </c>
      <c r="M1278" s="1782">
        <v>70.040000000000006</v>
      </c>
      <c r="N1278" s="1160"/>
      <c r="O1278" s="1160"/>
    </row>
    <row r="1279" spans="1:15" x14ac:dyDescent="0.35">
      <c r="A1279" s="1784">
        <v>206131</v>
      </c>
      <c r="B1279" s="1782"/>
      <c r="C1279" s="1782">
        <v>1.77</v>
      </c>
      <c r="D1279" s="1782">
        <v>0.14000000000000001</v>
      </c>
      <c r="E1279" s="1782">
        <v>0.8</v>
      </c>
      <c r="F1279" s="1782">
        <v>0.02</v>
      </c>
      <c r="G1279" s="1782">
        <v>2.86</v>
      </c>
      <c r="H1279" s="1782">
        <v>0.22</v>
      </c>
      <c r="I1279" s="1782">
        <v>19.53</v>
      </c>
      <c r="J1279" s="1782">
        <v>123.64</v>
      </c>
      <c r="K1279" s="1782">
        <v>69.260000000000005</v>
      </c>
      <c r="L1279" s="1782">
        <v>73.7</v>
      </c>
      <c r="M1279" s="1782">
        <v>15.44</v>
      </c>
      <c r="N1279" s="1160"/>
      <c r="O1279" s="1160"/>
    </row>
    <row r="1280" spans="1:15" x14ac:dyDescent="0.35">
      <c r="A1280" s="1784">
        <v>206132</v>
      </c>
      <c r="B1280" s="1782"/>
      <c r="C1280" s="1782">
        <v>1.85</v>
      </c>
      <c r="D1280" s="1782">
        <v>0.13</v>
      </c>
      <c r="E1280" s="1782">
        <v>0.82</v>
      </c>
      <c r="F1280" s="1782">
        <v>0.02</v>
      </c>
      <c r="G1280" s="1782">
        <v>2.71</v>
      </c>
      <c r="H1280" s="1782">
        <v>0.2</v>
      </c>
      <c r="I1280" s="1782">
        <v>15.03</v>
      </c>
      <c r="J1280" s="1782">
        <v>70.59</v>
      </c>
      <c r="K1280" s="1782">
        <v>74.11</v>
      </c>
      <c r="L1280" s="1782">
        <v>72.31</v>
      </c>
      <c r="M1280" s="1782">
        <v>15.49</v>
      </c>
      <c r="N1280" s="1160"/>
      <c r="O1280" s="1160"/>
    </row>
    <row r="1281" spans="1:15" x14ac:dyDescent="0.35">
      <c r="A1281" s="1784">
        <v>206133</v>
      </c>
      <c r="B1281" s="1782"/>
      <c r="C1281" s="1782">
        <v>1.85</v>
      </c>
      <c r="D1281" s="1782">
        <v>0.13</v>
      </c>
      <c r="E1281" s="1782">
        <v>0.79</v>
      </c>
      <c r="F1281" s="1782">
        <v>0.02</v>
      </c>
      <c r="G1281" s="1782">
        <v>2.4300000000000002</v>
      </c>
      <c r="H1281" s="1782">
        <v>0.24</v>
      </c>
      <c r="I1281" s="1782">
        <v>14.02</v>
      </c>
      <c r="J1281" s="1782">
        <v>324.26</v>
      </c>
      <c r="K1281" s="1782">
        <v>52.54</v>
      </c>
      <c r="L1281" s="1782">
        <v>60.94</v>
      </c>
      <c r="M1281" s="1782">
        <v>14.16</v>
      </c>
      <c r="N1281" s="1160"/>
      <c r="O1281" s="1160"/>
    </row>
    <row r="1282" spans="1:15" x14ac:dyDescent="0.35">
      <c r="A1282" s="1784">
        <v>206134</v>
      </c>
      <c r="B1282" s="1782"/>
      <c r="C1282" s="1782">
        <v>3.19</v>
      </c>
      <c r="D1282" s="1782"/>
      <c r="E1282" s="1782"/>
      <c r="F1282" s="1782"/>
      <c r="G1282" s="1782"/>
      <c r="H1282" s="1782"/>
      <c r="I1282" s="1783"/>
      <c r="J1282" s="1783"/>
      <c r="K1282" s="1783"/>
      <c r="L1282" s="1783"/>
      <c r="M1282" s="1783"/>
    </row>
    <row r="1283" spans="1:15" x14ac:dyDescent="0.35">
      <c r="A1283" s="1784">
        <v>206135</v>
      </c>
      <c r="B1283" s="1782"/>
      <c r="C1283" s="1782">
        <v>2.4900000000000002</v>
      </c>
      <c r="D1283" s="1782">
        <v>0.14000000000000001</v>
      </c>
      <c r="E1283" s="1782">
        <v>0.69</v>
      </c>
      <c r="F1283" s="1782">
        <v>0.09</v>
      </c>
      <c r="G1283" s="1782">
        <v>4.5</v>
      </c>
      <c r="H1283" s="1782">
        <v>0.2</v>
      </c>
      <c r="I1283" s="1783">
        <v>9.4</v>
      </c>
      <c r="J1283" s="1783">
        <v>121.88</v>
      </c>
      <c r="K1283" s="1783">
        <v>5.07</v>
      </c>
      <c r="L1283" s="1783">
        <v>49.69</v>
      </c>
      <c r="M1283" s="1783">
        <v>133.09</v>
      </c>
      <c r="N1283" s="1160"/>
      <c r="O1283" s="1160"/>
    </row>
    <row r="1284" spans="1:15" x14ac:dyDescent="0.35">
      <c r="A1284" s="1784">
        <v>206136</v>
      </c>
      <c r="B1284" s="1782"/>
      <c r="C1284" s="1782">
        <v>2.0699999999999998</v>
      </c>
      <c r="D1284" s="1782">
        <v>0.16</v>
      </c>
      <c r="E1284" s="1782">
        <v>0.99</v>
      </c>
      <c r="F1284" s="1782">
        <v>0.05</v>
      </c>
      <c r="G1284" s="1782">
        <v>4.9800000000000004</v>
      </c>
      <c r="H1284" s="1782">
        <v>0.41</v>
      </c>
      <c r="I1284" s="1783">
        <v>11.21</v>
      </c>
      <c r="J1284" s="1783">
        <v>5.57</v>
      </c>
      <c r="K1284" s="1783">
        <v>37.89</v>
      </c>
      <c r="L1284" s="1783">
        <v>121.3</v>
      </c>
      <c r="M1284" s="1783">
        <v>89.01</v>
      </c>
      <c r="N1284" s="1276"/>
      <c r="O1284" s="1276"/>
    </row>
    <row r="1285" spans="1:15" x14ac:dyDescent="0.35">
      <c r="A1285" s="1784">
        <v>206137</v>
      </c>
      <c r="B1285" s="1782"/>
      <c r="C1285" s="1782">
        <v>2.66</v>
      </c>
      <c r="D1285" s="1782">
        <v>0.19</v>
      </c>
      <c r="E1285" s="1782">
        <v>1.04</v>
      </c>
      <c r="F1285" s="1782">
        <v>0.05</v>
      </c>
      <c r="G1285" s="1782">
        <v>3.18</v>
      </c>
      <c r="H1285" s="1782">
        <v>0.19</v>
      </c>
      <c r="I1285" s="1783">
        <v>15.58</v>
      </c>
      <c r="J1285" s="1783">
        <v>4.13</v>
      </c>
      <c r="K1285" s="1783">
        <v>59.42</v>
      </c>
      <c r="L1285" s="1783">
        <v>77.23</v>
      </c>
      <c r="M1285" s="1783">
        <v>70.290000000000006</v>
      </c>
      <c r="N1285" s="1276"/>
      <c r="O1285" s="1276"/>
    </row>
    <row r="1286" spans="1:15" x14ac:dyDescent="0.35">
      <c r="A1286" s="1784">
        <v>206138</v>
      </c>
      <c r="B1286" s="1782"/>
      <c r="C1286" s="1782">
        <v>2.02</v>
      </c>
      <c r="D1286" s="1782">
        <v>0.13</v>
      </c>
      <c r="E1286" s="1782">
        <v>1.1299999999999999</v>
      </c>
      <c r="F1286" s="1782">
        <v>0.05</v>
      </c>
      <c r="G1286" s="1782">
        <v>3.54</v>
      </c>
      <c r="H1286" s="1782">
        <v>0.15</v>
      </c>
      <c r="I1286" s="1783">
        <v>16.89</v>
      </c>
      <c r="J1286" s="1783">
        <v>2.91</v>
      </c>
      <c r="K1286" s="1783">
        <v>57.52</v>
      </c>
      <c r="L1286" s="1783">
        <v>95.1</v>
      </c>
      <c r="M1286" s="1783">
        <v>96.13</v>
      </c>
      <c r="N1286" s="1276"/>
      <c r="O1286" s="1276"/>
    </row>
    <row r="1287" spans="1:15" x14ac:dyDescent="0.35">
      <c r="A1287" s="1784">
        <v>206139</v>
      </c>
      <c r="B1287" s="1782"/>
      <c r="C1287" s="1782">
        <v>1.57</v>
      </c>
      <c r="D1287" s="1782">
        <v>0.08</v>
      </c>
      <c r="E1287" s="1782">
        <v>0.99</v>
      </c>
      <c r="F1287" s="1782">
        <v>7.0000000000000007E-2</v>
      </c>
      <c r="G1287" s="1782">
        <v>4.3600000000000003</v>
      </c>
      <c r="H1287" s="1782">
        <v>0.25</v>
      </c>
      <c r="I1287" s="1783">
        <v>14.29</v>
      </c>
      <c r="J1287" s="1783">
        <v>33.35</v>
      </c>
      <c r="K1287" s="1783">
        <v>24.89</v>
      </c>
      <c r="L1287" s="1783">
        <v>78.22</v>
      </c>
      <c r="M1287" s="1783">
        <v>54.01</v>
      </c>
      <c r="N1287" s="1276"/>
      <c r="O1287" s="1276"/>
    </row>
    <row r="1288" spans="1:15" x14ac:dyDescent="0.35">
      <c r="A1288" s="1784">
        <v>206140</v>
      </c>
      <c r="B1288" s="1782"/>
      <c r="C1288" s="1782">
        <v>2.13</v>
      </c>
      <c r="D1288" s="1782">
        <v>0.15</v>
      </c>
      <c r="E1288" s="1782">
        <v>0.83</v>
      </c>
      <c r="F1288" s="1782">
        <v>0.05</v>
      </c>
      <c r="G1288" s="1782">
        <v>3.03</v>
      </c>
      <c r="H1288" s="1782">
        <v>0.18</v>
      </c>
      <c r="I1288" s="1783">
        <v>12.61</v>
      </c>
      <c r="J1288" s="1783">
        <v>5.67</v>
      </c>
      <c r="K1288" s="1783">
        <v>19.989999999999998</v>
      </c>
      <c r="L1288" s="1783">
        <v>59.14</v>
      </c>
      <c r="M1288" s="1783">
        <v>5.43</v>
      </c>
      <c r="N1288" s="1276"/>
      <c r="O1288" s="1276"/>
    </row>
    <row r="1289" spans="1:15" x14ac:dyDescent="0.35">
      <c r="A1289" s="1804">
        <v>1</v>
      </c>
      <c r="B1289" s="1804"/>
      <c r="C1289" s="1804">
        <v>1.71</v>
      </c>
      <c r="D1289" s="1804">
        <v>0.08</v>
      </c>
      <c r="E1289" s="1804">
        <v>0.93</v>
      </c>
      <c r="F1289" s="1804">
        <v>7.0000000000000007E-2</v>
      </c>
      <c r="G1289" s="1804">
        <v>4.4800000000000004</v>
      </c>
      <c r="H1289" s="1804">
        <v>0.31</v>
      </c>
      <c r="I1289" s="1805">
        <v>50.79</v>
      </c>
      <c r="J1289" s="1805">
        <v>1.47</v>
      </c>
      <c r="K1289" s="1805">
        <v>44.68</v>
      </c>
      <c r="L1289" s="1805">
        <v>101.64</v>
      </c>
      <c r="M1289" s="1805">
        <v>89.77</v>
      </c>
      <c r="N1289" s="1131"/>
      <c r="O1289" s="1131"/>
    </row>
    <row r="1290" spans="1:15" x14ac:dyDescent="0.35">
      <c r="A1290" s="1804">
        <v>2</v>
      </c>
      <c r="B1290" s="1804"/>
      <c r="C1290" s="1804">
        <v>1.71</v>
      </c>
      <c r="D1290" s="1804">
        <v>0.08</v>
      </c>
      <c r="E1290" s="1804">
        <v>1.56</v>
      </c>
      <c r="F1290" s="1804">
        <v>0.05</v>
      </c>
      <c r="G1290" s="1804">
        <v>3.34</v>
      </c>
      <c r="H1290" s="1804">
        <v>0.27</v>
      </c>
      <c r="I1290" s="1805">
        <v>61.88</v>
      </c>
      <c r="J1290" s="1805">
        <v>2.2000000000000002</v>
      </c>
      <c r="K1290" s="1805">
        <v>35.51</v>
      </c>
      <c r="L1290" s="1805">
        <v>90.52</v>
      </c>
      <c r="M1290" s="1805">
        <v>68.67</v>
      </c>
      <c r="N1290" s="1131"/>
      <c r="O1290" s="1131"/>
    </row>
    <row r="1291" spans="1:15" x14ac:dyDescent="0.35">
      <c r="A1291" s="1804">
        <v>3</v>
      </c>
      <c r="B1291" s="1804"/>
      <c r="C1291" s="1804">
        <v>1.93</v>
      </c>
      <c r="D1291" s="1804">
        <v>0.1</v>
      </c>
      <c r="E1291" s="1804">
        <v>1.1499999999999999</v>
      </c>
      <c r="F1291" s="1804">
        <v>0.08</v>
      </c>
      <c r="G1291" s="1804">
        <v>5.86</v>
      </c>
      <c r="H1291" s="1804">
        <v>0.3</v>
      </c>
      <c r="I1291" s="1805">
        <v>75.83</v>
      </c>
      <c r="J1291" s="1805">
        <v>1.59</v>
      </c>
      <c r="K1291" s="1805">
        <v>56.69</v>
      </c>
      <c r="L1291" s="1805">
        <v>98.62</v>
      </c>
      <c r="M1291" s="1805">
        <v>106</v>
      </c>
      <c r="N1291" s="1131"/>
      <c r="O1291" s="1131"/>
    </row>
    <row r="1292" spans="1:15" x14ac:dyDescent="0.35">
      <c r="A1292" s="1804">
        <v>8</v>
      </c>
      <c r="B1292" s="1804"/>
      <c r="C1292" s="1804">
        <v>0.95</v>
      </c>
      <c r="D1292" s="1804">
        <v>0.06</v>
      </c>
      <c r="E1292" s="1804">
        <v>0.72</v>
      </c>
      <c r="F1292" s="1804">
        <v>0.02</v>
      </c>
      <c r="G1292" s="1804">
        <v>1.75</v>
      </c>
      <c r="H1292" s="1804">
        <v>0.38</v>
      </c>
      <c r="I1292" s="1805">
        <v>58.76</v>
      </c>
      <c r="J1292" s="1805">
        <v>260.36</v>
      </c>
      <c r="K1292" s="1805">
        <v>78.91</v>
      </c>
      <c r="L1292" s="1805">
        <v>112.37</v>
      </c>
      <c r="M1292" s="1805">
        <v>20.93</v>
      </c>
      <c r="N1292" s="1131"/>
      <c r="O1292" s="1131"/>
    </row>
    <row r="1293" spans="1:15" x14ac:dyDescent="0.35">
      <c r="A1293" s="1804">
        <v>9</v>
      </c>
      <c r="B1293" s="1804"/>
      <c r="C1293" s="1804">
        <v>0.9</v>
      </c>
      <c r="D1293" s="1804">
        <v>0.08</v>
      </c>
      <c r="E1293" s="1804">
        <v>0.53</v>
      </c>
      <c r="F1293" s="1804">
        <v>0.02</v>
      </c>
      <c r="G1293" s="1804">
        <v>1.64</v>
      </c>
      <c r="H1293" s="1804">
        <v>0.36</v>
      </c>
      <c r="I1293" s="1805">
        <v>65.87</v>
      </c>
      <c r="J1293" s="1805">
        <v>259.26</v>
      </c>
      <c r="K1293" s="1805">
        <v>92.96</v>
      </c>
      <c r="L1293" s="1805">
        <v>157.61000000000001</v>
      </c>
      <c r="M1293" s="1805">
        <v>19.309999999999999</v>
      </c>
      <c r="N1293" s="1131"/>
      <c r="O1293" s="1131"/>
    </row>
    <row r="1294" spans="1:15" x14ac:dyDescent="0.35">
      <c r="A1294" s="1804">
        <v>10</v>
      </c>
      <c r="B1294" s="1804"/>
      <c r="C1294" s="1804">
        <v>0.84</v>
      </c>
      <c r="D1294" s="1804">
        <v>0.09</v>
      </c>
      <c r="E1294" s="1804">
        <v>0.68</v>
      </c>
      <c r="F1294" s="1804">
        <v>0.02</v>
      </c>
      <c r="G1294" s="1804">
        <v>1.45</v>
      </c>
      <c r="H1294" s="1804">
        <v>0.24</v>
      </c>
      <c r="I1294" s="1805">
        <v>11.8</v>
      </c>
      <c r="J1294" s="1805">
        <v>13.48</v>
      </c>
      <c r="K1294" s="1805">
        <v>48.65</v>
      </c>
      <c r="L1294" s="1805">
        <v>72.989999999999995</v>
      </c>
      <c r="M1294" s="1805">
        <v>16.600000000000001</v>
      </c>
      <c r="N1294" s="1131"/>
      <c r="O1294" s="1131"/>
    </row>
    <row r="1295" spans="1:15" x14ac:dyDescent="0.35">
      <c r="A1295" s="1784">
        <v>206141</v>
      </c>
      <c r="B1295" s="1782"/>
      <c r="C1295" s="1786">
        <v>1.37</v>
      </c>
      <c r="D1295" s="1786">
        <v>0.11</v>
      </c>
      <c r="E1295" s="1786">
        <v>0.94</v>
      </c>
      <c r="F1295" s="1786">
        <v>1.9E-2</v>
      </c>
      <c r="G1295" s="1786">
        <v>1.1100000000000001</v>
      </c>
      <c r="H1295" s="1786">
        <v>0.24</v>
      </c>
      <c r="I1295" s="1786">
        <v>17.63</v>
      </c>
      <c r="J1295" s="1786">
        <v>5.16</v>
      </c>
      <c r="K1295" s="1786">
        <v>62.21</v>
      </c>
      <c r="L1295" s="1786">
        <v>69.150000000000006</v>
      </c>
      <c r="M1295" s="1786">
        <v>16.829999999999998</v>
      </c>
      <c r="N1295" s="946"/>
      <c r="O1295" s="946"/>
    </row>
    <row r="1296" spans="1:15" x14ac:dyDescent="0.35">
      <c r="A1296" s="1784">
        <v>206142</v>
      </c>
      <c r="B1296" s="1782"/>
      <c r="C1296" s="1786">
        <v>1.23</v>
      </c>
      <c r="D1296" s="1786">
        <v>0.13</v>
      </c>
      <c r="E1296" s="1786">
        <v>0.94</v>
      </c>
      <c r="F1296" s="1786">
        <v>1.6E-2</v>
      </c>
      <c r="G1296" s="1786">
        <v>0.8</v>
      </c>
      <c r="H1296" s="1786">
        <v>0.27</v>
      </c>
      <c r="I1296" s="1786">
        <v>18.13</v>
      </c>
      <c r="J1296" s="1786">
        <v>4.82</v>
      </c>
      <c r="K1296" s="1786">
        <v>72.09</v>
      </c>
      <c r="L1296" s="1786">
        <v>71.97</v>
      </c>
      <c r="M1296" s="1786">
        <v>18.8</v>
      </c>
      <c r="N1296" s="946"/>
      <c r="O1296" s="946"/>
    </row>
    <row r="1297" spans="1:15" x14ac:dyDescent="0.35">
      <c r="A1297" s="1784">
        <v>206143</v>
      </c>
      <c r="B1297" s="1782"/>
      <c r="C1297" s="1786">
        <v>0.87</v>
      </c>
      <c r="D1297" s="1786">
        <v>0.12</v>
      </c>
      <c r="E1297" s="1786">
        <v>0.92</v>
      </c>
      <c r="F1297" s="1786">
        <v>1.7000000000000001E-2</v>
      </c>
      <c r="G1297" s="1786">
        <v>1.01</v>
      </c>
      <c r="H1297" s="1786">
        <v>0.22</v>
      </c>
      <c r="I1297" s="1786">
        <v>10.91</v>
      </c>
      <c r="J1297" s="1786">
        <v>3</v>
      </c>
      <c r="K1297" s="1786">
        <v>41.66</v>
      </c>
      <c r="L1297" s="1786">
        <v>64.52</v>
      </c>
      <c r="M1297" s="1786">
        <v>18.04</v>
      </c>
      <c r="N1297" s="946"/>
      <c r="O1297" s="946"/>
    </row>
    <row r="1298" spans="1:15" x14ac:dyDescent="0.35">
      <c r="A1298" s="1784">
        <v>206144</v>
      </c>
      <c r="B1298" s="1782"/>
      <c r="C1298" s="1786">
        <v>0.73</v>
      </c>
      <c r="D1298" s="1786">
        <v>0.1</v>
      </c>
      <c r="E1298" s="1786">
        <v>0.79</v>
      </c>
      <c r="F1298" s="1786">
        <v>1.7999999999999999E-2</v>
      </c>
      <c r="G1298" s="1786">
        <v>1.29</v>
      </c>
      <c r="H1298" s="1786">
        <v>0.27</v>
      </c>
      <c r="I1298" s="1786">
        <v>12.7</v>
      </c>
      <c r="J1298" s="1786">
        <v>4.13</v>
      </c>
      <c r="K1298" s="1786">
        <v>58.55</v>
      </c>
      <c r="L1298" s="1786">
        <v>59.48</v>
      </c>
      <c r="M1298" s="1786">
        <v>20.94</v>
      </c>
      <c r="N1298" s="946"/>
      <c r="O1298" s="946"/>
    </row>
    <row r="1299" spans="1:15" x14ac:dyDescent="0.35">
      <c r="A1299" s="1784">
        <v>206145</v>
      </c>
      <c r="B1299" s="1782"/>
      <c r="C1299" s="1782">
        <v>0.9</v>
      </c>
      <c r="D1299" s="1782">
        <v>0.12</v>
      </c>
      <c r="E1299" s="1782">
        <v>0.87</v>
      </c>
      <c r="F1299" s="1782">
        <v>0.09</v>
      </c>
      <c r="G1299" s="1782">
        <v>0.71</v>
      </c>
      <c r="H1299" s="1782">
        <v>0.19</v>
      </c>
      <c r="I1299" s="1782">
        <v>18.03</v>
      </c>
      <c r="J1299" s="1782">
        <v>24.62</v>
      </c>
      <c r="K1299" s="1782">
        <v>31.79</v>
      </c>
      <c r="L1299" s="1782">
        <v>30.07</v>
      </c>
      <c r="M1299" s="1782">
        <v>12.98</v>
      </c>
      <c r="N1299" s="944"/>
      <c r="O1299" s="944"/>
    </row>
    <row r="1300" spans="1:15" x14ac:dyDescent="0.35">
      <c r="A1300" s="1784">
        <v>206146</v>
      </c>
      <c r="B1300" s="1782"/>
      <c r="C1300" s="1782">
        <v>1.26</v>
      </c>
      <c r="D1300" s="1782">
        <v>0.11</v>
      </c>
      <c r="E1300" s="1782">
        <v>0.78</v>
      </c>
      <c r="F1300" s="1782">
        <v>0.11</v>
      </c>
      <c r="G1300" s="1782">
        <v>2.57</v>
      </c>
      <c r="H1300" s="1782">
        <v>0.4</v>
      </c>
      <c r="I1300" s="1782">
        <v>11.81</v>
      </c>
      <c r="J1300" s="1782">
        <v>5.9</v>
      </c>
      <c r="K1300" s="1782">
        <v>24.24</v>
      </c>
      <c r="L1300" s="1782">
        <v>36.619999999999997</v>
      </c>
      <c r="M1300" s="1782">
        <v>32.92</v>
      </c>
      <c r="N1300" s="944"/>
      <c r="O1300" s="944"/>
    </row>
    <row r="1301" spans="1:15" x14ac:dyDescent="0.35">
      <c r="A1301" s="1784">
        <v>206147</v>
      </c>
      <c r="B1301" s="1782"/>
      <c r="C1301" s="1782">
        <v>1.32</v>
      </c>
      <c r="D1301" s="1782">
        <v>0.14000000000000001</v>
      </c>
      <c r="E1301" s="1782">
        <v>0.42</v>
      </c>
      <c r="F1301" s="1782">
        <v>0.03</v>
      </c>
      <c r="G1301" s="1782">
        <v>4.32</v>
      </c>
      <c r="H1301" s="1782">
        <v>0.35</v>
      </c>
      <c r="I1301" s="1782">
        <v>15.12</v>
      </c>
      <c r="J1301" s="1782">
        <v>7.79</v>
      </c>
      <c r="K1301" s="1782">
        <v>13.47</v>
      </c>
      <c r="L1301" s="1782">
        <v>103.11</v>
      </c>
      <c r="M1301" s="1782">
        <v>54.16</v>
      </c>
      <c r="N1301" s="944"/>
      <c r="O1301" s="944"/>
    </row>
    <row r="1302" spans="1:15" x14ac:dyDescent="0.35">
      <c r="A1302" s="1784">
        <v>206148</v>
      </c>
      <c r="B1302" s="1782"/>
      <c r="C1302" s="1782">
        <v>2.5499999999999998</v>
      </c>
      <c r="D1302" s="1782">
        <v>0.16</v>
      </c>
      <c r="E1302" s="1782">
        <v>0.9</v>
      </c>
      <c r="F1302" s="1782">
        <v>0.01</v>
      </c>
      <c r="G1302" s="1782">
        <v>0.51</v>
      </c>
      <c r="H1302" s="1782">
        <v>0.23</v>
      </c>
      <c r="I1302" s="1782">
        <v>47.82</v>
      </c>
      <c r="J1302" s="1782">
        <v>42.53</v>
      </c>
      <c r="K1302" s="1782">
        <v>49.75</v>
      </c>
      <c r="L1302" s="1782">
        <v>96.03</v>
      </c>
      <c r="M1302" s="1782">
        <v>45.86</v>
      </c>
      <c r="N1302" s="944"/>
      <c r="O1302" s="944"/>
    </row>
    <row r="1303" spans="1:15" x14ac:dyDescent="0.35">
      <c r="A1303" s="1784">
        <v>206149</v>
      </c>
      <c r="B1303" s="1782"/>
      <c r="C1303" s="1782">
        <v>2.21</v>
      </c>
      <c r="D1303" s="1782">
        <v>0.15</v>
      </c>
      <c r="E1303" s="1782">
        <v>0.89</v>
      </c>
      <c r="F1303" s="1782">
        <v>0.02</v>
      </c>
      <c r="G1303" s="1782">
        <v>0.52</v>
      </c>
      <c r="H1303" s="1782">
        <v>0.2</v>
      </c>
      <c r="I1303" s="1782">
        <v>46.32</v>
      </c>
      <c r="J1303" s="1782">
        <v>45.58</v>
      </c>
      <c r="K1303" s="1782">
        <v>43.28</v>
      </c>
      <c r="L1303" s="1782">
        <v>82.41</v>
      </c>
      <c r="M1303" s="1782">
        <v>34.020000000000003</v>
      </c>
      <c r="N1303" s="944"/>
      <c r="O1303" s="944"/>
    </row>
    <row r="1304" spans="1:15" x14ac:dyDescent="0.35">
      <c r="A1304" s="1784">
        <v>206150</v>
      </c>
      <c r="B1304" s="1782"/>
      <c r="C1304" s="1782">
        <v>2.4700000000000002</v>
      </c>
      <c r="D1304" s="1782">
        <v>0.18</v>
      </c>
      <c r="E1304" s="1782">
        <v>0.79</v>
      </c>
      <c r="F1304" s="1782">
        <v>0.02</v>
      </c>
      <c r="G1304" s="1782">
        <v>0.54</v>
      </c>
      <c r="H1304" s="1782">
        <v>0.24</v>
      </c>
      <c r="I1304" s="1782">
        <v>42.82</v>
      </c>
      <c r="J1304" s="1782">
        <v>40.130000000000003</v>
      </c>
      <c r="K1304" s="1782">
        <v>40.39</v>
      </c>
      <c r="L1304" s="1782">
        <v>86.35</v>
      </c>
      <c r="M1304" s="1782">
        <v>27.82</v>
      </c>
      <c r="N1304" s="944"/>
      <c r="O1304" s="944"/>
    </row>
    <row r="1305" spans="1:15" x14ac:dyDescent="0.35">
      <c r="A1305" s="1784">
        <v>206151</v>
      </c>
      <c r="B1305" s="1782"/>
      <c r="C1305" s="1782">
        <v>1.88</v>
      </c>
      <c r="D1305" s="1782">
        <v>0.14000000000000001</v>
      </c>
      <c r="E1305" s="1782">
        <v>0.92</v>
      </c>
      <c r="F1305" s="1782">
        <v>0.01</v>
      </c>
      <c r="G1305" s="1782">
        <v>0.42</v>
      </c>
      <c r="H1305" s="1782">
        <v>0.21</v>
      </c>
      <c r="I1305" s="1782">
        <v>48</v>
      </c>
      <c r="J1305" s="1782">
        <v>42.47</v>
      </c>
      <c r="K1305" s="1782">
        <v>41.76</v>
      </c>
      <c r="L1305" s="1782">
        <v>97.87</v>
      </c>
      <c r="M1305" s="1782">
        <v>20.010000000000002</v>
      </c>
      <c r="N1305" s="944"/>
      <c r="O1305" s="944"/>
    </row>
    <row r="1306" spans="1:15" x14ac:dyDescent="0.35">
      <c r="A1306" s="1784">
        <v>206152</v>
      </c>
      <c r="B1306" s="1782"/>
      <c r="C1306" s="1782">
        <v>2.2999999999999998</v>
      </c>
      <c r="D1306" s="1782">
        <v>0.15</v>
      </c>
      <c r="E1306" s="1782">
        <v>0.94</v>
      </c>
      <c r="F1306" s="1782">
        <v>0.01</v>
      </c>
      <c r="G1306" s="1782">
        <v>0.45</v>
      </c>
      <c r="H1306" s="1782">
        <v>0.2</v>
      </c>
      <c r="I1306" s="1782">
        <v>43.81</v>
      </c>
      <c r="J1306" s="1782">
        <v>34.22</v>
      </c>
      <c r="K1306" s="1782">
        <v>55.19</v>
      </c>
      <c r="L1306" s="1782">
        <v>73.19</v>
      </c>
      <c r="M1306" s="1782">
        <v>18.34</v>
      </c>
      <c r="N1306" s="944"/>
      <c r="O1306" s="944"/>
    </row>
    <row r="1307" spans="1:15" x14ac:dyDescent="0.35">
      <c r="A1307" s="1784">
        <v>206153</v>
      </c>
      <c r="B1307" s="1782"/>
      <c r="C1307" s="1782">
        <v>2.44</v>
      </c>
      <c r="D1307" s="1782">
        <v>0.15</v>
      </c>
      <c r="E1307" s="1782">
        <v>1.03</v>
      </c>
      <c r="F1307" s="1782">
        <v>0.01</v>
      </c>
      <c r="G1307" s="1782">
        <v>0.42</v>
      </c>
      <c r="H1307" s="1782">
        <v>0.19</v>
      </c>
      <c r="I1307" s="1782">
        <v>45.12</v>
      </c>
      <c r="J1307" s="1782">
        <v>47.28</v>
      </c>
      <c r="K1307" s="1782">
        <v>42.4</v>
      </c>
      <c r="L1307" s="1782">
        <v>86.64</v>
      </c>
      <c r="M1307" s="1782">
        <v>16.649999999999999</v>
      </c>
      <c r="N1307" s="944"/>
      <c r="O1307" s="944"/>
    </row>
    <row r="1308" spans="1:15" x14ac:dyDescent="0.35">
      <c r="A1308" s="1784">
        <v>206154</v>
      </c>
      <c r="B1308" s="1782"/>
      <c r="C1308" s="1782">
        <v>1.93</v>
      </c>
      <c r="D1308" s="1782">
        <v>0.14000000000000001</v>
      </c>
      <c r="E1308" s="1782">
        <v>1.48</v>
      </c>
      <c r="F1308" s="1782">
        <v>0.02</v>
      </c>
      <c r="G1308" s="1782">
        <v>0.24</v>
      </c>
      <c r="H1308" s="1782">
        <v>0.15</v>
      </c>
      <c r="I1308" s="1782">
        <v>38.11</v>
      </c>
      <c r="J1308" s="1782">
        <v>11.88</v>
      </c>
      <c r="K1308" s="1782">
        <v>24.96</v>
      </c>
      <c r="L1308" s="1782">
        <v>80.87</v>
      </c>
      <c r="M1308" s="1782">
        <v>16.7</v>
      </c>
      <c r="N1308" s="944"/>
      <c r="O1308" s="944"/>
    </row>
    <row r="1309" spans="1:15" x14ac:dyDescent="0.35">
      <c r="A1309" s="1784">
        <v>206155</v>
      </c>
      <c r="B1309" s="1782"/>
      <c r="C1309" s="1782">
        <v>2.1</v>
      </c>
      <c r="D1309" s="1782">
        <v>0.15</v>
      </c>
      <c r="E1309" s="1782">
        <v>0.79</v>
      </c>
      <c r="F1309" s="1782">
        <v>0.01</v>
      </c>
      <c r="G1309" s="1782">
        <v>0.62</v>
      </c>
      <c r="H1309" s="1782">
        <v>0.35</v>
      </c>
      <c r="I1309" s="1782">
        <v>42.14</v>
      </c>
      <c r="J1309" s="1782">
        <v>20.16</v>
      </c>
      <c r="K1309" s="1782">
        <v>43.15</v>
      </c>
      <c r="L1309" s="1782">
        <v>81.93</v>
      </c>
      <c r="M1309" s="1782">
        <v>30.66</v>
      </c>
      <c r="N1309" s="944"/>
      <c r="O1309" s="944"/>
    </row>
    <row r="1310" spans="1:15" x14ac:dyDescent="0.35">
      <c r="A1310" s="1784">
        <v>206156</v>
      </c>
      <c r="B1310" s="1782"/>
      <c r="C1310" s="1782">
        <v>2.16</v>
      </c>
      <c r="D1310" s="1782">
        <v>0.14000000000000001</v>
      </c>
      <c r="E1310" s="1782">
        <v>1.34</v>
      </c>
      <c r="F1310" s="1782">
        <v>0.02</v>
      </c>
      <c r="G1310" s="1782">
        <v>0.43</v>
      </c>
      <c r="H1310" s="1782">
        <v>0.24</v>
      </c>
      <c r="I1310" s="1782">
        <v>27.83</v>
      </c>
      <c r="J1310" s="1782">
        <v>7.6</v>
      </c>
      <c r="K1310" s="1782">
        <v>33.82</v>
      </c>
      <c r="L1310" s="1782">
        <v>67.31</v>
      </c>
      <c r="M1310" s="1782">
        <v>20.38</v>
      </c>
      <c r="N1310" s="944"/>
      <c r="O1310" s="944"/>
    </row>
    <row r="1311" spans="1:15" ht="23.1" customHeight="1" x14ac:dyDescent="0.35">
      <c r="A1311" s="1784">
        <v>206157</v>
      </c>
      <c r="B1311" s="1782"/>
      <c r="C1311" s="1782">
        <v>1.91</v>
      </c>
      <c r="D1311" s="1782">
        <v>0.15</v>
      </c>
      <c r="E1311" s="1782">
        <v>0.91</v>
      </c>
      <c r="F1311" s="1782">
        <v>0.01</v>
      </c>
      <c r="G1311" s="1782">
        <v>0.46</v>
      </c>
      <c r="H1311" s="1782">
        <v>0.26</v>
      </c>
      <c r="I1311" s="1782">
        <v>35.39</v>
      </c>
      <c r="J1311" s="1782">
        <v>21.68</v>
      </c>
      <c r="K1311" s="1782">
        <v>35.85</v>
      </c>
      <c r="L1311" s="1782">
        <v>81.040000000000006</v>
      </c>
      <c r="M1311" s="1782">
        <v>37.64</v>
      </c>
      <c r="N1311" s="944"/>
      <c r="O1311" s="944"/>
    </row>
    <row r="1312" spans="1:15" ht="23.1" customHeight="1" x14ac:dyDescent="0.35">
      <c r="A1312" s="1784">
        <v>206158</v>
      </c>
      <c r="B1312" s="1782"/>
      <c r="C1312" s="1782">
        <v>3.67</v>
      </c>
      <c r="D1312" s="1782">
        <v>0.18</v>
      </c>
      <c r="E1312" s="1782">
        <v>1.0900000000000001</v>
      </c>
      <c r="F1312" s="1782">
        <v>9.9000000000000005E-2</v>
      </c>
      <c r="G1312" s="1782">
        <v>3.46</v>
      </c>
      <c r="H1312" s="1782">
        <v>0.15</v>
      </c>
      <c r="I1312" s="1782">
        <v>13.45</v>
      </c>
      <c r="J1312" s="1782">
        <v>186.63</v>
      </c>
      <c r="K1312" s="1782">
        <v>52.55</v>
      </c>
      <c r="L1312" s="1782">
        <v>144.97</v>
      </c>
      <c r="M1312" s="1782">
        <v>44.5</v>
      </c>
      <c r="N1312" s="944"/>
      <c r="O1312" s="944"/>
    </row>
    <row r="1313" spans="1:15" ht="23.1" customHeight="1" x14ac:dyDescent="0.35">
      <c r="A1313" s="1784">
        <v>206159</v>
      </c>
      <c r="B1313" s="1782"/>
      <c r="C1313" s="1782">
        <v>3.75</v>
      </c>
      <c r="D1313" s="1782">
        <v>0.22</v>
      </c>
      <c r="E1313" s="1782">
        <v>0.97</v>
      </c>
      <c r="F1313" s="1782">
        <v>8.5999999999999993E-2</v>
      </c>
      <c r="G1313" s="1782">
        <v>3.31</v>
      </c>
      <c r="H1313" s="1782">
        <v>0.14000000000000001</v>
      </c>
      <c r="I1313" s="1782">
        <v>12.7</v>
      </c>
      <c r="J1313" s="1782">
        <v>174.82</v>
      </c>
      <c r="K1313" s="1782">
        <v>48.52</v>
      </c>
      <c r="L1313" s="1782">
        <v>134.46</v>
      </c>
      <c r="M1313" s="1782">
        <v>42.48</v>
      </c>
      <c r="N1313" s="944"/>
      <c r="O1313" s="944"/>
    </row>
    <row r="1314" spans="1:15" ht="23.1" customHeight="1" x14ac:dyDescent="0.35">
      <c r="A1314" s="1784">
        <v>206160</v>
      </c>
      <c r="B1314" s="1782"/>
      <c r="C1314" s="1782">
        <v>2.0499999999999998</v>
      </c>
      <c r="D1314" s="1782">
        <v>0.12</v>
      </c>
      <c r="E1314" s="1782">
        <v>0.47</v>
      </c>
      <c r="F1314" s="1782">
        <v>7.9000000000000001E-2</v>
      </c>
      <c r="G1314" s="1782">
        <v>5.65</v>
      </c>
      <c r="H1314" s="1782">
        <v>0.26</v>
      </c>
      <c r="I1314" s="1782">
        <v>9.9499999999999993</v>
      </c>
      <c r="J1314" s="1782">
        <v>5.53</v>
      </c>
      <c r="K1314" s="1782">
        <v>20.65</v>
      </c>
      <c r="L1314" s="1782">
        <v>107.22</v>
      </c>
      <c r="M1314" s="1782">
        <v>88.47</v>
      </c>
      <c r="N1314" s="944"/>
      <c r="O1314" s="944"/>
    </row>
    <row r="1315" spans="1:15" x14ac:dyDescent="0.35">
      <c r="A1315" s="1784">
        <v>206161</v>
      </c>
      <c r="B1315" s="1782"/>
      <c r="C1315" s="1782">
        <v>1.37</v>
      </c>
      <c r="D1315" s="1786">
        <v>0.08</v>
      </c>
      <c r="E1315" s="1786">
        <v>0.52</v>
      </c>
      <c r="F1315" s="1786">
        <v>0.01</v>
      </c>
      <c r="G1315" s="1786">
        <v>2.39</v>
      </c>
      <c r="H1315" s="1786">
        <v>0.25</v>
      </c>
      <c r="I1315" s="1786">
        <v>10.49</v>
      </c>
      <c r="J1315" s="1786">
        <v>15.97</v>
      </c>
      <c r="K1315" s="1786">
        <v>43.66</v>
      </c>
      <c r="L1315" s="1786">
        <v>104.49</v>
      </c>
      <c r="M1315" s="1786">
        <v>12.87</v>
      </c>
      <c r="N1315" s="1076"/>
      <c r="O1315" s="1076"/>
    </row>
    <row r="1316" spans="1:15" x14ac:dyDescent="0.35">
      <c r="A1316" s="1784">
        <v>206162</v>
      </c>
      <c r="B1316" s="1782"/>
      <c r="C1316" s="1782">
        <v>1.88</v>
      </c>
      <c r="D1316" s="1786">
        <v>0.11</v>
      </c>
      <c r="E1316" s="1786">
        <v>0.57999999999999996</v>
      </c>
      <c r="F1316" s="1786">
        <v>0.01</v>
      </c>
      <c r="G1316" s="1786">
        <v>0.36</v>
      </c>
      <c r="H1316" s="1786">
        <v>0.22</v>
      </c>
      <c r="I1316" s="1786">
        <v>7.95</v>
      </c>
      <c r="J1316" s="1786">
        <v>2.88</v>
      </c>
      <c r="K1316" s="1786">
        <v>40.4</v>
      </c>
      <c r="L1316" s="1786">
        <v>79.69</v>
      </c>
      <c r="M1316" s="1786">
        <v>10.98</v>
      </c>
      <c r="N1316" s="1076"/>
      <c r="O1316" s="1076"/>
    </row>
    <row r="1317" spans="1:15" x14ac:dyDescent="0.35">
      <c r="A1317" s="1784">
        <v>206163</v>
      </c>
      <c r="B1317" s="1782"/>
      <c r="C1317" s="1782">
        <v>3.59</v>
      </c>
      <c r="D1317" s="1782">
        <v>0.73</v>
      </c>
      <c r="E1317" s="1782">
        <v>1.28</v>
      </c>
      <c r="F1317" s="1782">
        <v>0.46</v>
      </c>
      <c r="G1317" s="1782">
        <v>6.4</v>
      </c>
      <c r="H1317" s="1782">
        <v>1.42</v>
      </c>
      <c r="I1317" s="1783">
        <v>83.26</v>
      </c>
      <c r="J1317" s="1783">
        <v>7.96</v>
      </c>
      <c r="K1317" s="1783">
        <v>189.96</v>
      </c>
      <c r="L1317" s="1783">
        <v>271.35000000000002</v>
      </c>
      <c r="M1317" s="1783">
        <v>91.05</v>
      </c>
      <c r="N1317" s="1076"/>
      <c r="O1317" s="1076"/>
    </row>
    <row r="1318" spans="1:15" x14ac:dyDescent="0.35">
      <c r="A1318" s="1784">
        <v>206164</v>
      </c>
      <c r="B1318" s="1782"/>
      <c r="C1318" s="1782">
        <v>1.26</v>
      </c>
      <c r="D1318" s="1782">
        <v>0.25</v>
      </c>
      <c r="E1318" s="1782">
        <v>0.68</v>
      </c>
      <c r="F1318" s="1782">
        <v>0.02</v>
      </c>
      <c r="G1318" s="1782">
        <v>2.35</v>
      </c>
      <c r="H1318" s="1782">
        <v>0.22</v>
      </c>
      <c r="I1318" s="1783">
        <v>29.7</v>
      </c>
      <c r="J1318" s="1783">
        <v>37.99</v>
      </c>
      <c r="K1318" s="1783">
        <v>58.55</v>
      </c>
      <c r="L1318" s="1783">
        <v>190.47</v>
      </c>
      <c r="M1318" s="1783">
        <v>22.39</v>
      </c>
      <c r="N1318" s="1076"/>
      <c r="O1318" s="1076"/>
    </row>
    <row r="1319" spans="1:15" x14ac:dyDescent="0.35">
      <c r="A1319" s="1784">
        <v>206165</v>
      </c>
      <c r="B1319" s="1782"/>
      <c r="C1319" s="1782">
        <v>4.62</v>
      </c>
      <c r="D1319" s="1782">
        <v>0.28000000000000003</v>
      </c>
      <c r="E1319" s="1782">
        <v>6.32</v>
      </c>
      <c r="F1319" s="1782">
        <v>0.03</v>
      </c>
      <c r="G1319" s="1782">
        <v>3.61</v>
      </c>
      <c r="H1319" s="1782">
        <v>1.2</v>
      </c>
      <c r="I1319" s="1783">
        <v>15.75</v>
      </c>
      <c r="J1319" s="1783">
        <v>2.75</v>
      </c>
      <c r="K1319" s="1783">
        <v>19.12</v>
      </c>
      <c r="L1319" s="1783">
        <v>96.22</v>
      </c>
      <c r="M1319" s="1783">
        <v>35.75</v>
      </c>
      <c r="N1319" s="1076"/>
      <c r="O1319" s="1076"/>
    </row>
    <row r="1320" spans="1:15" x14ac:dyDescent="0.35">
      <c r="A1320" s="1784">
        <v>206166</v>
      </c>
      <c r="B1320" s="1782"/>
      <c r="C1320" s="1782">
        <v>5.04</v>
      </c>
      <c r="D1320" s="1782">
        <v>0.31</v>
      </c>
      <c r="E1320" s="1782">
        <v>6.09</v>
      </c>
      <c r="F1320" s="1782">
        <v>0.02</v>
      </c>
      <c r="G1320" s="1782">
        <v>2.92</v>
      </c>
      <c r="H1320" s="1782">
        <v>1.19</v>
      </c>
      <c r="I1320" s="1783">
        <v>59.02</v>
      </c>
      <c r="J1320" s="1783">
        <v>7.12</v>
      </c>
      <c r="K1320" s="1783">
        <v>25.4</v>
      </c>
      <c r="L1320" s="1783">
        <v>57.87</v>
      </c>
      <c r="M1320" s="1783">
        <v>32.86</v>
      </c>
      <c r="N1320" s="1076"/>
      <c r="O1320" s="1076"/>
    </row>
    <row r="1321" spans="1:15" x14ac:dyDescent="0.35">
      <c r="A1321" s="1784">
        <v>206167</v>
      </c>
      <c r="B1321" s="1782"/>
      <c r="C1321" s="1782">
        <v>2.83</v>
      </c>
      <c r="D1321" s="1782">
        <v>0.21</v>
      </c>
      <c r="E1321" s="1782">
        <v>6.17</v>
      </c>
      <c r="F1321" s="1782">
        <v>0.03</v>
      </c>
      <c r="G1321" s="1782">
        <v>4.49</v>
      </c>
      <c r="H1321" s="1782">
        <v>1.64</v>
      </c>
      <c r="I1321" s="1783">
        <v>12.61</v>
      </c>
      <c r="J1321" s="1783">
        <v>1.47</v>
      </c>
      <c r="K1321" s="1783">
        <v>16.91</v>
      </c>
      <c r="L1321" s="1783">
        <v>69.55</v>
      </c>
      <c r="M1321" s="1783">
        <v>41.95</v>
      </c>
      <c r="N1321" s="1076"/>
      <c r="O1321" s="1076"/>
    </row>
    <row r="1322" spans="1:15" x14ac:dyDescent="0.35">
      <c r="A1322" s="1784">
        <v>206168</v>
      </c>
      <c r="B1322" s="1806"/>
      <c r="C1322" s="1806">
        <v>2.91</v>
      </c>
      <c r="D1322" s="1806">
        <v>0.21</v>
      </c>
      <c r="E1322" s="1782">
        <v>5.15</v>
      </c>
      <c r="F1322" s="1782">
        <v>0.02</v>
      </c>
      <c r="G1322" s="1782">
        <v>4.05</v>
      </c>
      <c r="H1322" s="1782">
        <v>1.61</v>
      </c>
      <c r="I1322" s="1783">
        <v>20.190000000000001</v>
      </c>
      <c r="J1322" s="1783">
        <v>1.82</v>
      </c>
      <c r="K1322" s="1783">
        <v>21.08</v>
      </c>
      <c r="L1322" s="1783">
        <v>67.989999999999995</v>
      </c>
      <c r="M1322" s="1783">
        <v>39.65</v>
      </c>
      <c r="N1322" s="1076"/>
      <c r="O1322" s="1076"/>
    </row>
    <row r="1323" spans="1:15" x14ac:dyDescent="0.35">
      <c r="A1323" s="1784">
        <v>206169</v>
      </c>
      <c r="B1323" s="1806"/>
      <c r="C1323" s="1806">
        <v>4.03</v>
      </c>
      <c r="D1323" s="1806">
        <v>0.18</v>
      </c>
      <c r="E1323" s="1782">
        <v>7.21</v>
      </c>
      <c r="F1323" s="1782">
        <v>0.04</v>
      </c>
      <c r="G1323" s="1782">
        <v>4.1500000000000004</v>
      </c>
      <c r="H1323" s="1782">
        <v>1.3</v>
      </c>
      <c r="I1323" s="1783">
        <v>53.66</v>
      </c>
      <c r="J1323" s="1783">
        <v>2.73</v>
      </c>
      <c r="K1323" s="1783">
        <v>87.52</v>
      </c>
      <c r="L1323" s="1783">
        <v>66.8</v>
      </c>
      <c r="M1323" s="1783">
        <v>38.03</v>
      </c>
      <c r="N1323" s="1076"/>
      <c r="O1323" s="1076"/>
    </row>
    <row r="1324" spans="1:15" x14ac:dyDescent="0.35">
      <c r="A1324" s="1784">
        <v>206170</v>
      </c>
      <c r="B1324" s="1806"/>
      <c r="C1324" s="1806">
        <v>3.39</v>
      </c>
      <c r="D1324" s="1806">
        <v>0.26</v>
      </c>
      <c r="E1324" s="1782">
        <v>4.49</v>
      </c>
      <c r="F1324" s="1782">
        <v>0.06</v>
      </c>
      <c r="G1324" s="1782">
        <v>4.24</v>
      </c>
      <c r="H1324" s="1782">
        <v>2.2400000000000002</v>
      </c>
      <c r="I1324" s="1783">
        <v>33.89</v>
      </c>
      <c r="J1324" s="1783">
        <v>7.81</v>
      </c>
      <c r="K1324" s="1783">
        <v>27.59</v>
      </c>
      <c r="L1324" s="1783">
        <v>74.290000000000006</v>
      </c>
      <c r="M1324" s="1783">
        <v>64.58</v>
      </c>
      <c r="N1324" s="1076"/>
      <c r="O1324" s="1076"/>
    </row>
    <row r="1325" spans="1:15" x14ac:dyDescent="0.35">
      <c r="A1325" s="1784">
        <v>206171</v>
      </c>
      <c r="B1325" s="1806"/>
      <c r="C1325" s="1806">
        <v>3.36</v>
      </c>
      <c r="D1325" s="1806">
        <v>0.34</v>
      </c>
      <c r="E1325" s="1782">
        <v>6.54</v>
      </c>
      <c r="F1325" s="1782">
        <v>0.05</v>
      </c>
      <c r="G1325" s="1782">
        <v>4.59</v>
      </c>
      <c r="H1325" s="1782">
        <v>1.65</v>
      </c>
      <c r="I1325" s="1783">
        <v>48.02</v>
      </c>
      <c r="J1325" s="1783">
        <v>6.03</v>
      </c>
      <c r="K1325" s="1783">
        <v>79.95</v>
      </c>
      <c r="L1325" s="1783">
        <v>75.84</v>
      </c>
      <c r="M1325" s="1783">
        <v>108.12</v>
      </c>
      <c r="N1325" s="1076"/>
      <c r="O1325" s="1076"/>
    </row>
    <row r="1326" spans="1:15" x14ac:dyDescent="0.35">
      <c r="A1326" s="1784">
        <v>206172</v>
      </c>
      <c r="B1326" s="1806"/>
      <c r="C1326" s="1806">
        <v>3.64</v>
      </c>
      <c r="D1326" s="1806">
        <v>0.18</v>
      </c>
      <c r="E1326" s="1782">
        <v>6.08</v>
      </c>
      <c r="F1326" s="1782">
        <v>0.02</v>
      </c>
      <c r="G1326" s="1782">
        <v>4.0199999999999996</v>
      </c>
      <c r="H1326" s="1782">
        <v>1.26</v>
      </c>
      <c r="I1326" s="1783">
        <v>23.86</v>
      </c>
      <c r="J1326" s="1783">
        <v>3.41</v>
      </c>
      <c r="K1326" s="1783">
        <v>23.25</v>
      </c>
      <c r="L1326" s="1783">
        <v>77.680000000000007</v>
      </c>
      <c r="M1326" s="1783">
        <v>43.23</v>
      </c>
      <c r="N1326" s="1076"/>
      <c r="O1326" s="1076"/>
    </row>
    <row r="1327" spans="1:15" x14ac:dyDescent="0.35">
      <c r="A1327" s="1784">
        <v>206173</v>
      </c>
      <c r="B1327" s="1806"/>
      <c r="C1327" s="1806">
        <v>3.25</v>
      </c>
      <c r="D1327" s="1806">
        <v>0.17</v>
      </c>
      <c r="E1327" s="1782">
        <v>2.65</v>
      </c>
      <c r="F1327" s="1782">
        <v>0.02</v>
      </c>
      <c r="G1327" s="1782">
        <v>2.46</v>
      </c>
      <c r="H1327" s="1782">
        <v>1.02</v>
      </c>
      <c r="I1327" s="1783">
        <v>18.510000000000002</v>
      </c>
      <c r="J1327" s="1783">
        <v>3.82</v>
      </c>
      <c r="K1327" s="1783">
        <v>11.73</v>
      </c>
      <c r="L1327" s="1783">
        <v>50.04</v>
      </c>
      <c r="M1327" s="1783">
        <v>29.01</v>
      </c>
      <c r="N1327" s="1076"/>
      <c r="O1327" s="1076"/>
    </row>
    <row r="1328" spans="1:15" x14ac:dyDescent="0.35">
      <c r="A1328" s="1784">
        <v>206174</v>
      </c>
      <c r="B1328" s="1782"/>
      <c r="C1328" s="1782">
        <v>2.11</v>
      </c>
      <c r="D1328" s="1782">
        <v>0.32</v>
      </c>
      <c r="E1328" s="1782">
        <v>0.87</v>
      </c>
      <c r="F1328" s="1782">
        <v>2.9000000000000001E-2</v>
      </c>
      <c r="G1328" s="1782">
        <v>5.65</v>
      </c>
      <c r="H1328" s="1782">
        <v>0.46</v>
      </c>
      <c r="I1328" s="1783">
        <v>9.9499999999999993</v>
      </c>
      <c r="J1328" s="1783">
        <v>5.53</v>
      </c>
      <c r="K1328" s="1783">
        <v>20.65</v>
      </c>
      <c r="L1328" s="1783">
        <v>107.22</v>
      </c>
      <c r="M1328" s="1783">
        <v>88.47</v>
      </c>
      <c r="N1328" s="1410"/>
      <c r="O1328" s="1410"/>
    </row>
    <row r="1329" spans="1:15" x14ac:dyDescent="0.35">
      <c r="A1329" s="1784">
        <v>206175</v>
      </c>
      <c r="B1329" s="1782"/>
      <c r="C1329" s="1782">
        <v>1.71</v>
      </c>
      <c r="D1329" s="1782">
        <v>0.14000000000000001</v>
      </c>
      <c r="E1329" s="1782">
        <v>0.82</v>
      </c>
      <c r="F1329" s="1782">
        <v>0.04</v>
      </c>
      <c r="G1329" s="1782">
        <v>0.47</v>
      </c>
      <c r="H1329" s="1782">
        <v>0.32</v>
      </c>
      <c r="I1329" s="1783">
        <v>4.83</v>
      </c>
      <c r="J1329" s="1783">
        <v>6.09</v>
      </c>
      <c r="K1329" s="1783">
        <v>80.849999999999994</v>
      </c>
      <c r="L1329" s="1783">
        <v>184.9</v>
      </c>
      <c r="M1329" s="1783">
        <v>61.95</v>
      </c>
      <c r="N1329" s="1160"/>
      <c r="O1329" s="1160"/>
    </row>
    <row r="1330" spans="1:15" x14ac:dyDescent="0.35">
      <c r="A1330" s="1784">
        <v>206176</v>
      </c>
      <c r="B1330" s="1782"/>
      <c r="C1330" s="1782">
        <v>1.88</v>
      </c>
      <c r="D1330" s="1782">
        <v>0.22</v>
      </c>
      <c r="E1330" s="1782">
        <v>0.68</v>
      </c>
      <c r="F1330" s="1782">
        <v>0.06</v>
      </c>
      <c r="G1330" s="1782">
        <v>0.69</v>
      </c>
      <c r="H1330" s="1782">
        <v>0.61</v>
      </c>
      <c r="I1330" s="1783">
        <v>12.61</v>
      </c>
      <c r="J1330" s="1783">
        <v>6.01</v>
      </c>
      <c r="K1330" s="1783">
        <v>51.48</v>
      </c>
      <c r="L1330" s="1783">
        <v>232.73</v>
      </c>
      <c r="M1330" s="1783">
        <v>10.67</v>
      </c>
      <c r="N1330" s="1160"/>
      <c r="O1330" s="1160"/>
    </row>
    <row r="1331" spans="1:15" x14ac:dyDescent="0.35">
      <c r="A1331" s="1784">
        <v>206177</v>
      </c>
      <c r="B1331" s="1782"/>
      <c r="C1331" s="1782">
        <v>2.44</v>
      </c>
      <c r="D1331" s="1782">
        <v>0.3</v>
      </c>
      <c r="E1331" s="1782">
        <v>1.1299999999999999</v>
      </c>
      <c r="F1331" s="1782">
        <v>0.04</v>
      </c>
      <c r="G1331" s="1782">
        <v>0.93</v>
      </c>
      <c r="H1331" s="1782">
        <v>0.76</v>
      </c>
      <c r="I1331" s="1783">
        <v>28.65</v>
      </c>
      <c r="J1331" s="1783">
        <v>191.27</v>
      </c>
      <c r="K1331" s="1783">
        <v>137.91999999999999</v>
      </c>
      <c r="L1331" s="1783">
        <v>213.05</v>
      </c>
      <c r="M1331" s="1783">
        <v>32.42</v>
      </c>
      <c r="N1331" s="1160"/>
      <c r="O1331" s="1160"/>
    </row>
    <row r="1332" spans="1:15" s="199" customFormat="1" x14ac:dyDescent="0.35">
      <c r="A1332" s="1784">
        <v>206178</v>
      </c>
      <c r="B1332" s="1782"/>
      <c r="C1332" s="1782">
        <v>1.65</v>
      </c>
      <c r="D1332" s="1782">
        <v>0.08</v>
      </c>
      <c r="E1332" s="1782">
        <v>1.1399999999999999</v>
      </c>
      <c r="F1332" s="1782">
        <v>0.1</v>
      </c>
      <c r="G1332" s="1782">
        <v>4.67</v>
      </c>
      <c r="H1332" s="1782">
        <v>0.27</v>
      </c>
      <c r="I1332" s="1783">
        <v>16.96</v>
      </c>
      <c r="J1332" s="1783">
        <v>3.8</v>
      </c>
      <c r="K1332" s="1783">
        <v>32.229999999999997</v>
      </c>
      <c r="L1332" s="1783">
        <v>85.1</v>
      </c>
      <c r="M1332" s="1783">
        <v>98.56</v>
      </c>
    </row>
    <row r="1333" spans="1:15" s="199" customFormat="1" x14ac:dyDescent="0.35">
      <c r="A1333" s="1784">
        <v>206179</v>
      </c>
      <c r="B1333" s="1782"/>
      <c r="C1333" s="1782">
        <v>1.85</v>
      </c>
      <c r="D1333" s="1782">
        <v>0.09</v>
      </c>
      <c r="E1333" s="1782">
        <v>1.06</v>
      </c>
      <c r="F1333" s="1782">
        <v>0.08</v>
      </c>
      <c r="G1333" s="1782">
        <v>4.68</v>
      </c>
      <c r="H1333" s="1782">
        <v>0.28000000000000003</v>
      </c>
      <c r="I1333" s="1783">
        <v>26.48</v>
      </c>
      <c r="J1333" s="1783">
        <v>4.0199999999999996</v>
      </c>
      <c r="K1333" s="1783">
        <v>45.29</v>
      </c>
      <c r="L1333" s="1783">
        <v>107.53</v>
      </c>
      <c r="M1333" s="1783">
        <v>200.49</v>
      </c>
    </row>
    <row r="1334" spans="1:15" s="199" customFormat="1" x14ac:dyDescent="0.35">
      <c r="A1334" s="1784">
        <v>206180</v>
      </c>
      <c r="B1334" s="1782"/>
      <c r="C1334" s="1782">
        <v>1.2</v>
      </c>
      <c r="D1334" s="1782">
        <v>0.15</v>
      </c>
      <c r="E1334" s="1782">
        <v>1.01</v>
      </c>
      <c r="F1334" s="1782">
        <v>0.01</v>
      </c>
      <c r="G1334" s="1782">
        <v>1.35</v>
      </c>
      <c r="H1334" s="1782">
        <v>0.16</v>
      </c>
      <c r="I1334" s="1783">
        <v>17.41</v>
      </c>
      <c r="J1334" s="1783">
        <v>10.97</v>
      </c>
      <c r="K1334" s="1783">
        <v>34.25</v>
      </c>
      <c r="L1334" s="1783">
        <v>110.73</v>
      </c>
      <c r="M1334" s="1783">
        <v>20.66</v>
      </c>
    </row>
    <row r="1335" spans="1:15" s="199" customFormat="1" x14ac:dyDescent="0.35">
      <c r="A1335" s="1784">
        <v>206181</v>
      </c>
      <c r="B1335" s="1782"/>
      <c r="C1335" s="1782">
        <v>3.08</v>
      </c>
      <c r="D1335" s="1782">
        <v>0.32</v>
      </c>
      <c r="E1335" s="1782">
        <v>7.8</v>
      </c>
      <c r="F1335" s="1782">
        <v>0.04</v>
      </c>
      <c r="G1335" s="1782">
        <v>2.42</v>
      </c>
      <c r="H1335" s="1782">
        <v>0.42</v>
      </c>
      <c r="I1335" s="1782">
        <v>19.66</v>
      </c>
      <c r="J1335" s="1782">
        <v>10.58</v>
      </c>
      <c r="K1335" s="1782">
        <v>710.88</v>
      </c>
      <c r="L1335" s="1782">
        <v>178.55</v>
      </c>
      <c r="M1335" s="1782">
        <v>37.840000000000003</v>
      </c>
    </row>
    <row r="1336" spans="1:15" s="199" customFormat="1" x14ac:dyDescent="0.35">
      <c r="A1336" s="1784">
        <v>206182</v>
      </c>
      <c r="B1336" s="1782"/>
      <c r="C1336" s="1785">
        <v>1.401</v>
      </c>
      <c r="D1336" s="1782">
        <v>0.13</v>
      </c>
      <c r="E1336" s="1782">
        <v>0.9</v>
      </c>
      <c r="F1336" s="1782">
        <v>0.03</v>
      </c>
      <c r="G1336" s="1782">
        <v>5.25</v>
      </c>
      <c r="H1336" s="1782">
        <v>0.35</v>
      </c>
      <c r="I1336" s="1782">
        <v>30.21</v>
      </c>
      <c r="J1336" s="1782">
        <v>3.49</v>
      </c>
      <c r="K1336" s="1782">
        <v>46.47</v>
      </c>
      <c r="L1336" s="1782">
        <v>110.38</v>
      </c>
      <c r="M1336" s="1782">
        <v>84.22</v>
      </c>
    </row>
    <row r="1337" spans="1:15" s="199" customFormat="1" x14ac:dyDescent="0.35">
      <c r="A1337" s="1784">
        <v>206183</v>
      </c>
      <c r="B1337" s="1782"/>
      <c r="C1337" s="1785">
        <v>2.4097199999999996</v>
      </c>
      <c r="D1337" s="1782">
        <v>0.2</v>
      </c>
      <c r="E1337" s="1782">
        <v>0.91</v>
      </c>
      <c r="F1337" s="1782">
        <v>0.05</v>
      </c>
      <c r="G1337" s="1782">
        <v>7.04</v>
      </c>
      <c r="H1337" s="1782">
        <v>0.69</v>
      </c>
      <c r="I1337" s="1782">
        <v>25.86</v>
      </c>
      <c r="J1337" s="1782">
        <v>5.93</v>
      </c>
      <c r="K1337" s="1782">
        <v>48.36</v>
      </c>
      <c r="L1337" s="1782">
        <v>142.02000000000001</v>
      </c>
      <c r="M1337" s="1782">
        <v>79.48</v>
      </c>
    </row>
    <row r="1338" spans="1:15" s="199" customFormat="1" x14ac:dyDescent="0.35">
      <c r="A1338" s="1784">
        <v>206184</v>
      </c>
      <c r="B1338" s="1782"/>
      <c r="C1338" s="1785">
        <v>0.95268000000000008</v>
      </c>
      <c r="D1338" s="1782">
        <v>0.08</v>
      </c>
      <c r="E1338" s="1782">
        <v>0.33</v>
      </c>
      <c r="F1338" s="1782">
        <v>0.02</v>
      </c>
      <c r="G1338" s="1782">
        <v>2.15</v>
      </c>
      <c r="H1338" s="1782">
        <v>0.32</v>
      </c>
      <c r="I1338" s="1782">
        <v>19.440000000000001</v>
      </c>
      <c r="J1338" s="1782">
        <v>3.65</v>
      </c>
      <c r="K1338" s="1782">
        <v>57.89</v>
      </c>
      <c r="L1338" s="1782">
        <v>89.98</v>
      </c>
      <c r="M1338" s="1782">
        <v>16.260000000000002</v>
      </c>
    </row>
    <row r="1339" spans="1:15" s="199" customFormat="1" x14ac:dyDescent="0.35">
      <c r="A1339" s="1784">
        <v>206185</v>
      </c>
      <c r="B1339" s="1782"/>
      <c r="C1339" s="1785">
        <v>1.59714</v>
      </c>
      <c r="D1339" s="1782">
        <v>0.24</v>
      </c>
      <c r="E1339" s="1782">
        <v>1.27</v>
      </c>
      <c r="F1339" s="1782">
        <v>0.02</v>
      </c>
      <c r="G1339" s="1782">
        <v>1.29</v>
      </c>
      <c r="H1339" s="1782">
        <v>0.25</v>
      </c>
      <c r="I1339" s="1782">
        <v>30.11</v>
      </c>
      <c r="J1339" s="1782">
        <v>165.53</v>
      </c>
      <c r="K1339" s="1782">
        <v>31.64</v>
      </c>
      <c r="L1339" s="1782">
        <v>131.36000000000001</v>
      </c>
      <c r="M1339" s="1782">
        <v>25.13</v>
      </c>
    </row>
    <row r="1340" spans="1:15" s="199" customFormat="1" x14ac:dyDescent="0.35">
      <c r="A1340" s="1784">
        <v>206186</v>
      </c>
      <c r="B1340" s="1782"/>
      <c r="C1340" s="1785">
        <v>1.79328</v>
      </c>
      <c r="D1340" s="1782">
        <v>0.27</v>
      </c>
      <c r="E1340" s="1782">
        <v>1.4</v>
      </c>
      <c r="F1340" s="1782">
        <v>0.03</v>
      </c>
      <c r="G1340" s="1782">
        <v>1.65</v>
      </c>
      <c r="H1340" s="1782">
        <v>0.21</v>
      </c>
      <c r="I1340" s="1782">
        <v>30.04</v>
      </c>
      <c r="J1340" s="1782">
        <v>97.25</v>
      </c>
      <c r="K1340" s="1782">
        <v>24.47</v>
      </c>
      <c r="L1340" s="1782">
        <v>89.91</v>
      </c>
      <c r="M1340" s="1782">
        <v>32.39</v>
      </c>
    </row>
    <row r="1341" spans="1:15" s="199" customFormat="1" x14ac:dyDescent="0.35">
      <c r="A1341" s="1784">
        <v>206187</v>
      </c>
      <c r="B1341" s="1782"/>
      <c r="C1341" s="1785">
        <v>2.3256600000000001</v>
      </c>
      <c r="D1341" s="1782">
        <v>0.19</v>
      </c>
      <c r="E1341" s="1782">
        <v>0.8</v>
      </c>
      <c r="F1341" s="1782">
        <v>0.03</v>
      </c>
      <c r="G1341" s="1782">
        <v>0.42</v>
      </c>
      <c r="H1341" s="1782">
        <v>0.15</v>
      </c>
      <c r="I1341" s="1782">
        <v>12.94</v>
      </c>
      <c r="J1341" s="1782">
        <v>23.41</v>
      </c>
      <c r="K1341" s="1782">
        <v>27.3</v>
      </c>
      <c r="L1341" s="1782">
        <v>139.21</v>
      </c>
      <c r="M1341" s="1782">
        <v>46.12</v>
      </c>
    </row>
    <row r="1342" spans="1:15" s="199" customFormat="1" x14ac:dyDescent="0.35">
      <c r="A1342" s="1784">
        <v>206188</v>
      </c>
      <c r="B1342" s="1782"/>
      <c r="C1342" s="1785">
        <v>1.5130800000000002</v>
      </c>
      <c r="D1342" s="1782">
        <v>0.12</v>
      </c>
      <c r="E1342" s="1782">
        <v>0.91</v>
      </c>
      <c r="F1342" s="1782">
        <v>0.01</v>
      </c>
      <c r="G1342" s="1782">
        <v>0.41</v>
      </c>
      <c r="H1342" s="1782">
        <v>0.22</v>
      </c>
      <c r="I1342" s="1782">
        <v>8.6300000000000008</v>
      </c>
      <c r="J1342" s="1782">
        <v>3.2</v>
      </c>
      <c r="K1342" s="1782">
        <v>34.270000000000003</v>
      </c>
      <c r="L1342" s="1782">
        <v>110.09</v>
      </c>
      <c r="M1342" s="1782">
        <v>10.25</v>
      </c>
    </row>
    <row r="1343" spans="1:15" s="199" customFormat="1" x14ac:dyDescent="0.35">
      <c r="A1343" s="1784">
        <v>206189</v>
      </c>
      <c r="B1343" s="1782"/>
      <c r="C1343" s="1785">
        <v>1.79328</v>
      </c>
      <c r="D1343" s="1782">
        <v>0.14000000000000001</v>
      </c>
      <c r="E1343" s="1782">
        <v>0.93</v>
      </c>
      <c r="F1343" s="1782">
        <v>0.02</v>
      </c>
      <c r="G1343" s="1782">
        <v>0.44</v>
      </c>
      <c r="H1343" s="1782">
        <v>0.28000000000000003</v>
      </c>
      <c r="I1343" s="1782">
        <v>13.69</v>
      </c>
      <c r="J1343" s="1782">
        <v>4.57</v>
      </c>
      <c r="K1343" s="1782">
        <v>33.51</v>
      </c>
      <c r="L1343" s="1782">
        <v>91.12</v>
      </c>
      <c r="M1343" s="1782">
        <v>46.25</v>
      </c>
    </row>
    <row r="1344" spans="1:15" s="199" customFormat="1" x14ac:dyDescent="0.35">
      <c r="A1344" s="1784">
        <v>206190</v>
      </c>
      <c r="B1344" s="1782"/>
      <c r="C1344" s="1785">
        <v>1.59714</v>
      </c>
      <c r="D1344" s="1782">
        <v>0.1</v>
      </c>
      <c r="E1344" s="1782">
        <v>0.78</v>
      </c>
      <c r="F1344" s="1782">
        <v>0.02</v>
      </c>
      <c r="G1344" s="1782">
        <v>0.5</v>
      </c>
      <c r="H1344" s="1782">
        <v>0.24</v>
      </c>
      <c r="I1344" s="1782">
        <v>15.99</v>
      </c>
      <c r="J1344" s="1782">
        <v>15.71</v>
      </c>
      <c r="K1344" s="1782">
        <v>40.54</v>
      </c>
      <c r="L1344" s="1782">
        <v>158.04</v>
      </c>
      <c r="M1344" s="1782">
        <v>34.97</v>
      </c>
    </row>
    <row r="1345" spans="1:13" s="199" customFormat="1" x14ac:dyDescent="0.35">
      <c r="A1345" s="1784">
        <v>206191</v>
      </c>
      <c r="B1345" s="1782"/>
      <c r="C1345" s="1782">
        <v>4.8499999999999996</v>
      </c>
      <c r="D1345" s="1786">
        <v>0.68</v>
      </c>
      <c r="E1345" s="1786">
        <v>2.16</v>
      </c>
      <c r="F1345" s="1786">
        <v>0.04</v>
      </c>
      <c r="G1345" s="1786">
        <v>1.1499999999999999</v>
      </c>
      <c r="H1345" s="1782">
        <v>0.24</v>
      </c>
      <c r="I1345" s="1786">
        <v>69.48</v>
      </c>
      <c r="J1345" s="1786">
        <v>22.41</v>
      </c>
      <c r="K1345" s="1786">
        <v>104.91</v>
      </c>
      <c r="L1345" s="1786">
        <v>89.56</v>
      </c>
      <c r="M1345" s="1786">
        <v>40.380000000000003</v>
      </c>
    </row>
    <row r="1346" spans="1:13" s="199" customFormat="1" x14ac:dyDescent="0.35">
      <c r="A1346" s="1784">
        <v>206192</v>
      </c>
      <c r="B1346" s="1782"/>
      <c r="C1346" s="1782">
        <v>1.1200000000000001</v>
      </c>
      <c r="D1346" s="1786">
        <v>7.0000000000000007E-2</v>
      </c>
      <c r="E1346" s="1786">
        <v>0.38</v>
      </c>
      <c r="F1346" s="1786">
        <v>0.11</v>
      </c>
      <c r="G1346" s="1786">
        <v>1.86</v>
      </c>
      <c r="H1346" s="1782">
        <v>0.28999999999999998</v>
      </c>
      <c r="I1346" s="1786">
        <v>15.42</v>
      </c>
      <c r="J1346" s="1786">
        <v>410.67</v>
      </c>
      <c r="K1346" s="1786">
        <v>34.92</v>
      </c>
      <c r="L1346" s="1786">
        <v>133.16999999999999</v>
      </c>
      <c r="M1346" s="1786">
        <v>17.41</v>
      </c>
    </row>
    <row r="1347" spans="1:13" s="199" customFormat="1" x14ac:dyDescent="0.35">
      <c r="A1347" s="1784">
        <v>206193</v>
      </c>
      <c r="B1347" s="1782"/>
      <c r="C1347" s="1782">
        <v>0.92</v>
      </c>
      <c r="D1347" s="1786">
        <v>0.08</v>
      </c>
      <c r="E1347" s="1786">
        <v>0.3</v>
      </c>
      <c r="F1347" s="1786">
        <v>0.39</v>
      </c>
      <c r="G1347" s="1786">
        <v>1.46</v>
      </c>
      <c r="H1347" s="1782">
        <v>0.25</v>
      </c>
      <c r="I1347" s="1786">
        <v>14.14</v>
      </c>
      <c r="J1347" s="1786">
        <v>333.86</v>
      </c>
      <c r="K1347" s="1786">
        <v>28.18</v>
      </c>
      <c r="L1347" s="1786">
        <v>161.61000000000001</v>
      </c>
      <c r="M1347" s="1786">
        <v>17.86</v>
      </c>
    </row>
    <row r="1348" spans="1:13" s="199" customFormat="1" x14ac:dyDescent="0.35">
      <c r="A1348" s="1784"/>
      <c r="B1348" s="1782"/>
      <c r="C1348" s="1782"/>
      <c r="D1348" s="1782"/>
      <c r="E1348" s="1782"/>
      <c r="F1348" s="1782"/>
      <c r="G1348" s="1782"/>
      <c r="H1348" s="1782"/>
      <c r="I1348" s="1783"/>
      <c r="J1348" s="1783"/>
      <c r="K1348" s="1783"/>
      <c r="L1348" s="1783"/>
      <c r="M1348" s="1783"/>
    </row>
    <row r="1349" spans="1:13" x14ac:dyDescent="0.35">
      <c r="A1349" s="1784" t="s">
        <v>521</v>
      </c>
      <c r="B1349" s="1782"/>
      <c r="C1349" s="1782">
        <v>4.7</v>
      </c>
      <c r="D1349" s="1782">
        <v>0.16</v>
      </c>
      <c r="E1349" s="1782">
        <v>0.85</v>
      </c>
      <c r="F1349" s="1782">
        <v>0.02</v>
      </c>
      <c r="G1349" s="1782">
        <v>2.97</v>
      </c>
      <c r="H1349" s="1782">
        <v>0.2</v>
      </c>
      <c r="I1349" s="1783">
        <v>20.93</v>
      </c>
      <c r="J1349" s="1783">
        <v>13.44</v>
      </c>
      <c r="K1349" s="1783">
        <v>43.95</v>
      </c>
      <c r="L1349" s="1783">
        <v>193.14</v>
      </c>
      <c r="M1349" s="1783">
        <v>16.82</v>
      </c>
    </row>
    <row r="1350" spans="1:13" x14ac:dyDescent="0.35">
      <c r="A1350" s="1784" t="s">
        <v>522</v>
      </c>
      <c r="B1350" s="1782"/>
      <c r="C1350" s="1782">
        <v>4.0999999999999996</v>
      </c>
      <c r="D1350" s="1782">
        <v>0.16</v>
      </c>
      <c r="E1350" s="1782">
        <v>1.1000000000000001</v>
      </c>
      <c r="F1350" s="1782">
        <v>0.06</v>
      </c>
      <c r="G1350" s="1782">
        <v>3.67</v>
      </c>
      <c r="H1350" s="1782">
        <v>0.27</v>
      </c>
      <c r="I1350" s="1783">
        <v>23.24</v>
      </c>
      <c r="J1350" s="1783">
        <v>41.8</v>
      </c>
      <c r="K1350" s="1783">
        <v>61.15</v>
      </c>
      <c r="L1350" s="1783">
        <v>328.3</v>
      </c>
      <c r="M1350" s="1783">
        <v>23.08</v>
      </c>
    </row>
    <row r="1351" spans="1:13" x14ac:dyDescent="0.35">
      <c r="A1351" s="1784" t="s">
        <v>523</v>
      </c>
      <c r="B1351" s="1782"/>
      <c r="C1351" s="1782">
        <v>4.0999999999999996</v>
      </c>
      <c r="D1351" s="1782">
        <v>0.16</v>
      </c>
      <c r="E1351" s="1782">
        <v>1.24</v>
      </c>
      <c r="F1351" s="1782">
        <v>0.02</v>
      </c>
      <c r="G1351" s="1782">
        <v>3.18</v>
      </c>
      <c r="H1351" s="1782">
        <v>0.3</v>
      </c>
      <c r="I1351" s="1783">
        <v>19.739999999999998</v>
      </c>
      <c r="J1351" s="1783">
        <v>41.05</v>
      </c>
      <c r="K1351" s="1783">
        <v>61.53</v>
      </c>
      <c r="L1351" s="1783">
        <v>294.07</v>
      </c>
      <c r="M1351" s="1783">
        <v>26.8</v>
      </c>
    </row>
    <row r="1352" spans="1:13" x14ac:dyDescent="0.35">
      <c r="A1352" s="1784" t="s">
        <v>524</v>
      </c>
      <c r="B1352" s="1782"/>
      <c r="C1352" s="1782"/>
      <c r="D1352" s="1782">
        <v>0.18</v>
      </c>
      <c r="E1352" s="1782">
        <v>1.27</v>
      </c>
      <c r="F1352" s="1782">
        <v>0.04</v>
      </c>
      <c r="G1352" s="1782">
        <v>2.97</v>
      </c>
      <c r="H1352" s="1782">
        <v>0.2</v>
      </c>
      <c r="I1352" s="1783">
        <v>20.3</v>
      </c>
      <c r="J1352" s="1783">
        <v>33.65</v>
      </c>
      <c r="K1352" s="1783">
        <v>60.53</v>
      </c>
      <c r="L1352" s="1783">
        <v>316.32</v>
      </c>
      <c r="M1352" s="1783">
        <v>25</v>
      </c>
    </row>
    <row r="1353" spans="1:13" x14ac:dyDescent="0.35">
      <c r="A1353" s="1784" t="s">
        <v>525</v>
      </c>
      <c r="B1353" s="1782"/>
      <c r="C1353" s="1782"/>
      <c r="D1353" s="1782">
        <v>0.19</v>
      </c>
      <c r="E1353" s="1782">
        <v>1.18</v>
      </c>
      <c r="F1353" s="1782">
        <v>0.03</v>
      </c>
      <c r="G1353" s="1782">
        <v>2.77</v>
      </c>
      <c r="H1353" s="1782">
        <v>0.25</v>
      </c>
      <c r="I1353" s="1783">
        <v>18.579999999999998</v>
      </c>
      <c r="J1353" s="1783">
        <v>14.36</v>
      </c>
      <c r="K1353" s="1783">
        <v>51.44</v>
      </c>
      <c r="L1353" s="1783">
        <v>253.07</v>
      </c>
      <c r="M1353" s="1783">
        <v>20.88</v>
      </c>
    </row>
    <row r="1354" spans="1:13" x14ac:dyDescent="0.35">
      <c r="A1354" s="1784" t="s">
        <v>526</v>
      </c>
      <c r="B1354" s="1782"/>
      <c r="C1354" s="1782">
        <v>3.2</v>
      </c>
      <c r="D1354" s="1782">
        <v>0.16</v>
      </c>
      <c r="E1354" s="1782">
        <v>1.1599999999999999</v>
      </c>
      <c r="F1354" s="1782">
        <v>0.03</v>
      </c>
      <c r="G1354" s="1782">
        <v>2.2999999999999998</v>
      </c>
      <c r="H1354" s="1782">
        <v>0.3</v>
      </c>
      <c r="I1354" s="1783">
        <v>17.09</v>
      </c>
      <c r="J1354" s="1783">
        <v>23.33</v>
      </c>
      <c r="K1354" s="1783">
        <v>65.150000000000006</v>
      </c>
      <c r="L1354" s="1783">
        <v>296.33</v>
      </c>
      <c r="M1354" s="1783">
        <v>25.11</v>
      </c>
    </row>
    <row r="1355" spans="1:13" x14ac:dyDescent="0.35">
      <c r="A1355" s="1784" t="s">
        <v>548</v>
      </c>
      <c r="B1355" s="1782"/>
      <c r="C1355" s="1782"/>
      <c r="D1355" s="1782">
        <v>0.13</v>
      </c>
      <c r="E1355" s="1782">
        <v>1.06</v>
      </c>
      <c r="F1355" s="1782">
        <v>0.02</v>
      </c>
      <c r="G1355" s="1782">
        <v>2.72</v>
      </c>
      <c r="H1355" s="1782">
        <v>0.31</v>
      </c>
      <c r="I1355" s="1783">
        <v>17.21</v>
      </c>
      <c r="J1355" s="1783">
        <v>29.59</v>
      </c>
      <c r="K1355" s="1783">
        <v>60.7</v>
      </c>
      <c r="L1355" s="1783">
        <v>229.81</v>
      </c>
      <c r="M1355" s="1783">
        <v>21.8</v>
      </c>
    </row>
    <row r="1356" spans="1:13" x14ac:dyDescent="0.35">
      <c r="A1356" s="1784" t="s">
        <v>549</v>
      </c>
      <c r="B1356" s="1782"/>
      <c r="C1356" s="1782"/>
      <c r="D1356" s="1782">
        <v>0.12</v>
      </c>
      <c r="E1356" s="1782">
        <v>0.94</v>
      </c>
      <c r="F1356" s="1782">
        <v>0.02</v>
      </c>
      <c r="G1356" s="1782">
        <v>2.75</v>
      </c>
      <c r="H1356" s="1782">
        <v>0.27</v>
      </c>
      <c r="I1356" s="1783">
        <v>13</v>
      </c>
      <c r="J1356" s="1783">
        <v>23.53</v>
      </c>
      <c r="K1356" s="1783">
        <v>55.63</v>
      </c>
      <c r="L1356" s="1783">
        <v>204.82</v>
      </c>
      <c r="M1356" s="1783">
        <v>19.27</v>
      </c>
    </row>
    <row r="1357" spans="1:13" x14ac:dyDescent="0.35">
      <c r="A1357" s="1784" t="s">
        <v>550</v>
      </c>
      <c r="B1357" s="1782"/>
      <c r="C1357" s="1782"/>
      <c r="D1357" s="1782">
        <v>0.13</v>
      </c>
      <c r="E1357" s="1782">
        <v>1.04</v>
      </c>
      <c r="F1357" s="1782">
        <v>0.03</v>
      </c>
      <c r="G1357" s="1782">
        <v>2.5499999999999998</v>
      </c>
      <c r="H1357" s="1782">
        <v>0.25</v>
      </c>
      <c r="I1357" s="1783">
        <v>14.07</v>
      </c>
      <c r="J1357" s="1783">
        <v>23.31</v>
      </c>
      <c r="K1357" s="1783">
        <v>50.59</v>
      </c>
      <c r="L1357" s="1783">
        <v>224.07</v>
      </c>
      <c r="M1357" s="1783">
        <v>25.37</v>
      </c>
    </row>
    <row r="1358" spans="1:13" x14ac:dyDescent="0.35">
      <c r="A1358" s="1784" t="s">
        <v>551</v>
      </c>
      <c r="B1358" s="1782"/>
      <c r="C1358" s="1782"/>
      <c r="D1358" s="1782">
        <v>0.15</v>
      </c>
      <c r="E1358" s="1782">
        <v>1</v>
      </c>
      <c r="F1358" s="1782">
        <v>0.03</v>
      </c>
      <c r="G1358" s="1782">
        <v>2.4300000000000002</v>
      </c>
      <c r="H1358" s="1782">
        <v>0.26</v>
      </c>
      <c r="I1358" s="1783">
        <v>18.010000000000002</v>
      </c>
      <c r="J1358" s="1783">
        <v>27.04</v>
      </c>
      <c r="K1358" s="1783">
        <v>66.400000000000006</v>
      </c>
      <c r="L1358" s="1783">
        <v>401.01</v>
      </c>
      <c r="M1358" s="1783">
        <v>21.48</v>
      </c>
    </row>
    <row r="1359" spans="1:13" x14ac:dyDescent="0.35">
      <c r="A1359" s="1784" t="s">
        <v>552</v>
      </c>
      <c r="B1359" s="1782"/>
      <c r="C1359" s="1782"/>
      <c r="D1359" s="1782">
        <v>0.16</v>
      </c>
      <c r="E1359" s="1782">
        <v>1</v>
      </c>
      <c r="F1359" s="1782">
        <v>0.03</v>
      </c>
      <c r="G1359" s="1782">
        <v>3.89</v>
      </c>
      <c r="H1359" s="1782">
        <v>0.31</v>
      </c>
      <c r="I1359" s="1783">
        <v>50.52</v>
      </c>
      <c r="J1359" s="1783">
        <v>30.51</v>
      </c>
      <c r="K1359" s="1783">
        <v>62.58</v>
      </c>
      <c r="L1359" s="1783">
        <v>221.51</v>
      </c>
      <c r="M1359" s="1783">
        <v>18.940000000000001</v>
      </c>
    </row>
    <row r="1360" spans="1:13" x14ac:dyDescent="0.35">
      <c r="A1360" s="1784" t="s">
        <v>553</v>
      </c>
      <c r="B1360" s="1782"/>
      <c r="C1360" s="1782"/>
      <c r="D1360" s="1782">
        <v>0.16</v>
      </c>
      <c r="E1360" s="1782">
        <v>0.98</v>
      </c>
      <c r="F1360" s="1782">
        <v>0.03</v>
      </c>
      <c r="G1360" s="1782">
        <v>2.96</v>
      </c>
      <c r="H1360" s="1782">
        <v>0.25</v>
      </c>
      <c r="I1360" s="1783">
        <v>14.07</v>
      </c>
      <c r="J1360" s="1783">
        <v>41.8</v>
      </c>
      <c r="K1360" s="1783">
        <v>61.15</v>
      </c>
      <c r="L1360" s="1783">
        <v>328.3</v>
      </c>
      <c r="M1360" s="1783">
        <v>23.08</v>
      </c>
    </row>
    <row r="1361" spans="1:13" x14ac:dyDescent="0.35">
      <c r="A1361" s="1784" t="s">
        <v>554</v>
      </c>
      <c r="B1361" s="1782"/>
      <c r="C1361" s="1782"/>
      <c r="D1361" s="1782">
        <v>0.13</v>
      </c>
      <c r="E1361" s="1782">
        <v>1.06</v>
      </c>
      <c r="F1361" s="1782">
        <v>0.02</v>
      </c>
      <c r="G1361" s="1782">
        <v>3.15</v>
      </c>
      <c r="H1361" s="1782">
        <v>0.3</v>
      </c>
      <c r="I1361" s="1783">
        <v>17.09</v>
      </c>
      <c r="J1361" s="1783">
        <v>29.59</v>
      </c>
      <c r="K1361" s="1783">
        <v>60.7</v>
      </c>
      <c r="L1361" s="1783">
        <v>229.81</v>
      </c>
      <c r="M1361" s="1783">
        <v>21.8</v>
      </c>
    </row>
    <row r="1362" spans="1:13" x14ac:dyDescent="0.35">
      <c r="A1362" s="1784">
        <v>206194</v>
      </c>
      <c r="B1362" s="1782"/>
      <c r="C1362" s="1785">
        <v>1.6811999999999998</v>
      </c>
      <c r="D1362" s="1785">
        <v>0.09</v>
      </c>
      <c r="E1362" s="1785">
        <v>0.59</v>
      </c>
      <c r="F1362" s="1785">
        <v>0.03</v>
      </c>
      <c r="G1362" s="1785">
        <v>4.03</v>
      </c>
      <c r="H1362" s="1785">
        <v>0.17</v>
      </c>
      <c r="I1362" s="1785">
        <v>7.21</v>
      </c>
      <c r="J1362" s="1785">
        <v>1.8</v>
      </c>
      <c r="K1362" s="1785">
        <v>11.89</v>
      </c>
      <c r="L1362" s="1785">
        <v>89.26</v>
      </c>
      <c r="M1362" s="1785">
        <v>56.08</v>
      </c>
    </row>
    <row r="1363" spans="1:13" x14ac:dyDescent="0.35">
      <c r="A1363" s="1784">
        <v>206195</v>
      </c>
      <c r="B1363" s="1782"/>
      <c r="C1363" s="1785">
        <v>1.59714</v>
      </c>
      <c r="D1363" s="1785">
        <v>0.09</v>
      </c>
      <c r="E1363" s="1785">
        <v>0.4</v>
      </c>
      <c r="F1363" s="1785">
        <v>0.05</v>
      </c>
      <c r="G1363" s="1785">
        <v>4.9000000000000004</v>
      </c>
      <c r="H1363" s="1785">
        <v>0.41</v>
      </c>
      <c r="I1363" s="1785">
        <v>8.2899999999999991</v>
      </c>
      <c r="J1363" s="1785">
        <v>2.0499999999999998</v>
      </c>
      <c r="K1363" s="1785">
        <v>13.45</v>
      </c>
      <c r="L1363" s="1785">
        <v>101.21</v>
      </c>
      <c r="M1363" s="1785">
        <v>60.65</v>
      </c>
    </row>
    <row r="1364" spans="1:13" x14ac:dyDescent="0.35">
      <c r="A1364" s="1784">
        <v>206196</v>
      </c>
      <c r="B1364" s="1782"/>
      <c r="C1364" s="1785">
        <v>1.7652600000000003</v>
      </c>
      <c r="D1364" s="1785">
        <v>0.19</v>
      </c>
      <c r="E1364" s="1785">
        <v>0.93</v>
      </c>
      <c r="F1364" s="1785">
        <v>0.04</v>
      </c>
      <c r="G1364" s="1785">
        <v>4.88</v>
      </c>
      <c r="H1364" s="1785">
        <v>0.23</v>
      </c>
      <c r="I1364" s="1785">
        <v>12.7</v>
      </c>
      <c r="J1364" s="1785">
        <v>3.63</v>
      </c>
      <c r="K1364" s="1785">
        <v>14.24</v>
      </c>
      <c r="L1364" s="1785">
        <v>101.08</v>
      </c>
      <c r="M1364" s="1785">
        <v>87.17</v>
      </c>
    </row>
    <row r="1365" spans="1:13" x14ac:dyDescent="0.35">
      <c r="A1365" s="1784">
        <v>206197</v>
      </c>
      <c r="B1365" s="1782"/>
      <c r="C1365" s="1785">
        <v>2.4377400000000002</v>
      </c>
      <c r="D1365" s="1786">
        <v>0.33</v>
      </c>
      <c r="E1365" s="1786">
        <v>1.48</v>
      </c>
      <c r="F1365" s="1786">
        <v>0.01</v>
      </c>
      <c r="G1365" s="1786">
        <v>1.04</v>
      </c>
      <c r="H1365" s="1786">
        <v>0.3</v>
      </c>
      <c r="I1365" s="1786">
        <v>29.07</v>
      </c>
      <c r="J1365" s="1786">
        <v>65.87</v>
      </c>
      <c r="K1365" s="1786">
        <v>75.39</v>
      </c>
      <c r="L1365" s="1786">
        <v>143.47</v>
      </c>
      <c r="M1365" s="1786">
        <v>58.32</v>
      </c>
    </row>
    <row r="1366" spans="1:13" x14ac:dyDescent="0.35">
      <c r="A1366" s="1784">
        <v>206198</v>
      </c>
      <c r="B1366" s="1782"/>
      <c r="C1366" s="1785">
        <v>2.3816999999999999</v>
      </c>
      <c r="D1366" s="1786">
        <v>0.28999999999999998</v>
      </c>
      <c r="E1366" s="1786">
        <v>1.1599999999999999</v>
      </c>
      <c r="F1366" s="1786">
        <v>0.02</v>
      </c>
      <c r="G1366" s="1786">
        <v>1.1299999999999999</v>
      </c>
      <c r="H1366" s="1786">
        <v>0.31</v>
      </c>
      <c r="I1366" s="1786">
        <v>24.56</v>
      </c>
      <c r="J1366" s="1786">
        <v>63.31</v>
      </c>
      <c r="K1366" s="1786">
        <v>91.78</v>
      </c>
      <c r="L1366" s="1786">
        <v>130.82</v>
      </c>
      <c r="M1366" s="1786">
        <v>64.52</v>
      </c>
    </row>
    <row r="1367" spans="1:13" x14ac:dyDescent="0.35">
      <c r="A1367" s="1784">
        <v>206199</v>
      </c>
      <c r="B1367" s="1782"/>
      <c r="C1367" s="1785">
        <v>2.4657600000000004</v>
      </c>
      <c r="D1367" s="1786">
        <v>0.33</v>
      </c>
      <c r="E1367" s="1786">
        <v>1.23</v>
      </c>
      <c r="F1367" s="1786">
        <v>0.01</v>
      </c>
      <c r="G1367" s="1786">
        <v>1.26</v>
      </c>
      <c r="H1367" s="1786">
        <v>0.33</v>
      </c>
      <c r="I1367" s="1786">
        <v>34.36</v>
      </c>
      <c r="J1367" s="1786">
        <v>37.93</v>
      </c>
      <c r="K1367" s="1786">
        <v>67.319999999999993</v>
      </c>
      <c r="L1367" s="1786">
        <v>145.37</v>
      </c>
      <c r="M1367" s="1786">
        <v>46.34</v>
      </c>
    </row>
    <row r="1368" spans="1:13" x14ac:dyDescent="0.35">
      <c r="A1368" s="1784">
        <v>206200</v>
      </c>
      <c r="B1368" s="1782"/>
      <c r="C1368" s="1785">
        <v>2.2976400000000003</v>
      </c>
      <c r="D1368" s="1786">
        <v>0.38</v>
      </c>
      <c r="E1368" s="1786">
        <v>1.41</v>
      </c>
      <c r="F1368" s="1786">
        <v>0.01</v>
      </c>
      <c r="G1368" s="1786">
        <v>1.25</v>
      </c>
      <c r="H1368" s="1786">
        <v>0.31</v>
      </c>
      <c r="I1368" s="1786">
        <v>24.83</v>
      </c>
      <c r="J1368" s="1786">
        <v>53.98</v>
      </c>
      <c r="K1368" s="1786">
        <v>58.89</v>
      </c>
      <c r="L1368" s="1786">
        <v>159.46</v>
      </c>
      <c r="M1368" s="1786">
        <v>58.61</v>
      </c>
    </row>
    <row r="1369" spans="1:13" x14ac:dyDescent="0.35">
      <c r="A1369" s="1784">
        <v>206201</v>
      </c>
      <c r="B1369" s="1782"/>
      <c r="C1369" s="1785">
        <v>2.2135799999999999</v>
      </c>
      <c r="D1369" s="1786">
        <v>0.26</v>
      </c>
      <c r="E1369" s="1786">
        <v>1.46</v>
      </c>
      <c r="F1369" s="1786">
        <v>0.02</v>
      </c>
      <c r="G1369" s="1786">
        <v>1.02</v>
      </c>
      <c r="H1369" s="1786">
        <v>0.23</v>
      </c>
      <c r="I1369" s="1786">
        <v>20.68</v>
      </c>
      <c r="J1369" s="1786">
        <v>41.89</v>
      </c>
      <c r="K1369" s="1786">
        <v>50.4</v>
      </c>
      <c r="L1369" s="1786">
        <v>137.77000000000001</v>
      </c>
      <c r="M1369" s="1786">
        <v>27.09</v>
      </c>
    </row>
    <row r="1370" spans="1:13" x14ac:dyDescent="0.35">
      <c r="A1370" s="1784">
        <v>206202</v>
      </c>
      <c r="B1370" s="1782"/>
      <c r="C1370" s="1785">
        <v>2.4937800000000001</v>
      </c>
      <c r="D1370" s="1786">
        <v>0.39</v>
      </c>
      <c r="E1370" s="1786">
        <v>1.39</v>
      </c>
      <c r="F1370" s="1786">
        <v>0.01</v>
      </c>
      <c r="G1370" s="1786">
        <v>1.1499999999999999</v>
      </c>
      <c r="H1370" s="1786">
        <v>0.28000000000000003</v>
      </c>
      <c r="I1370" s="1786">
        <v>22.74</v>
      </c>
      <c r="J1370" s="1786">
        <v>37.840000000000003</v>
      </c>
      <c r="K1370" s="1786">
        <v>61</v>
      </c>
      <c r="L1370" s="1786">
        <v>126.01</v>
      </c>
      <c r="M1370" s="1786">
        <v>36.340000000000003</v>
      </c>
    </row>
    <row r="1371" spans="1:13" x14ac:dyDescent="0.35">
      <c r="A1371" s="1784">
        <v>206203</v>
      </c>
      <c r="B1371" s="1782"/>
      <c r="C1371" s="1785">
        <v>2.3256600000000001</v>
      </c>
      <c r="D1371" s="1786">
        <v>0.2</v>
      </c>
      <c r="E1371" s="1786">
        <v>2.1</v>
      </c>
      <c r="F1371" s="1786">
        <v>0.03</v>
      </c>
      <c r="G1371" s="1786">
        <v>2.52</v>
      </c>
      <c r="H1371" s="1786">
        <v>0.46</v>
      </c>
      <c r="I1371" s="1786">
        <v>22.13</v>
      </c>
      <c r="J1371" s="1786">
        <v>12.19</v>
      </c>
      <c r="K1371" s="1786">
        <v>21.78</v>
      </c>
      <c r="L1371" s="1786">
        <v>80.55</v>
      </c>
      <c r="M1371" s="1786">
        <v>21.82</v>
      </c>
    </row>
    <row r="1372" spans="1:13" x14ac:dyDescent="0.35">
      <c r="A1372" s="1784">
        <v>206204</v>
      </c>
      <c r="B1372" s="1782"/>
      <c r="C1372" s="1785">
        <v>2.5778400000000001</v>
      </c>
      <c r="D1372" s="1786">
        <v>0.27</v>
      </c>
      <c r="E1372" s="1786">
        <v>2.42</v>
      </c>
      <c r="F1372" s="1786">
        <v>0.03</v>
      </c>
      <c r="G1372" s="1786">
        <v>2.59</v>
      </c>
      <c r="H1372" s="1786">
        <v>0.33</v>
      </c>
      <c r="I1372" s="1786">
        <v>69.36</v>
      </c>
      <c r="J1372" s="1786">
        <v>9.7100000000000009</v>
      </c>
      <c r="K1372" s="1786">
        <v>98.14</v>
      </c>
      <c r="L1372" s="1786">
        <v>64.08</v>
      </c>
      <c r="M1372" s="1786">
        <v>37.200000000000003</v>
      </c>
    </row>
    <row r="1373" spans="1:13" x14ac:dyDescent="0.35">
      <c r="A1373" s="1784">
        <v>206205</v>
      </c>
      <c r="B1373" s="1782"/>
      <c r="C1373" s="1785">
        <v>1.8213000000000001</v>
      </c>
      <c r="D1373" s="1786">
        <v>0.11</v>
      </c>
      <c r="E1373" s="1786">
        <v>1.53</v>
      </c>
      <c r="F1373" s="1786">
        <v>0.09</v>
      </c>
      <c r="G1373" s="1786">
        <v>4.88</v>
      </c>
      <c r="H1373" s="1786">
        <v>0.7</v>
      </c>
      <c r="I1373" s="1786">
        <v>42.87</v>
      </c>
      <c r="J1373" s="1786">
        <v>8</v>
      </c>
      <c r="K1373" s="1786">
        <v>104.84</v>
      </c>
      <c r="L1373" s="1786">
        <v>124.97</v>
      </c>
      <c r="M1373" s="1786">
        <v>89.82</v>
      </c>
    </row>
    <row r="1374" spans="1:13" x14ac:dyDescent="0.35">
      <c r="A1374" s="1784">
        <v>206206</v>
      </c>
      <c r="B1374" s="1782"/>
      <c r="C1374" s="1785">
        <v>1.9894200000000002</v>
      </c>
      <c r="D1374" s="1786">
        <v>0.14000000000000001</v>
      </c>
      <c r="E1374" s="1786">
        <v>1.27</v>
      </c>
      <c r="F1374" s="1786">
        <v>0.11</v>
      </c>
      <c r="G1374" s="1786">
        <v>5.63</v>
      </c>
      <c r="H1374" s="1786">
        <v>0.49</v>
      </c>
      <c r="I1374" s="1786">
        <v>48.73</v>
      </c>
      <c r="J1374" s="1786">
        <v>14.69</v>
      </c>
      <c r="K1374" s="1786">
        <v>154.66999999999999</v>
      </c>
      <c r="L1374" s="1786">
        <v>118.8</v>
      </c>
      <c r="M1374" s="1786">
        <v>69.010000000000005</v>
      </c>
    </row>
    <row r="1375" spans="1:13" x14ac:dyDescent="0.35">
      <c r="A1375" s="1784">
        <v>206207</v>
      </c>
      <c r="B1375" s="1782"/>
      <c r="C1375" s="1785">
        <v>1.6531800000000001</v>
      </c>
      <c r="D1375" s="1786">
        <v>0.09</v>
      </c>
      <c r="E1375" s="1786">
        <v>0.4</v>
      </c>
      <c r="F1375" s="1786">
        <v>0.17</v>
      </c>
      <c r="G1375" s="1786">
        <v>7.18</v>
      </c>
      <c r="H1375" s="1786">
        <v>1.08</v>
      </c>
      <c r="I1375" s="1786">
        <v>48.08</v>
      </c>
      <c r="J1375" s="1786">
        <v>9.59</v>
      </c>
      <c r="K1375" s="1786">
        <v>130.1</v>
      </c>
      <c r="L1375" s="1786">
        <v>108.57</v>
      </c>
      <c r="M1375" s="1786">
        <v>68.38</v>
      </c>
    </row>
    <row r="1376" spans="1:13" x14ac:dyDescent="0.35">
      <c r="A1376" s="1784">
        <v>206208</v>
      </c>
      <c r="B1376" s="1782"/>
      <c r="C1376" s="1785">
        <v>1.3729800000000001</v>
      </c>
      <c r="D1376" s="1782">
        <v>0.08</v>
      </c>
      <c r="E1376" s="1782">
        <v>0.49</v>
      </c>
      <c r="F1376" s="1782">
        <v>0.01</v>
      </c>
      <c r="G1376" s="1782">
        <v>1.93</v>
      </c>
      <c r="H1376" s="1786">
        <v>0.24</v>
      </c>
      <c r="I1376" s="1783">
        <v>12.45</v>
      </c>
      <c r="J1376" s="1783">
        <v>52.4</v>
      </c>
      <c r="K1376" s="1783">
        <v>40.340000000000003</v>
      </c>
      <c r="L1376" s="1783">
        <v>120.38</v>
      </c>
      <c r="M1376" s="1783">
        <v>22.08</v>
      </c>
    </row>
    <row r="1377" spans="1:13" x14ac:dyDescent="0.35">
      <c r="A1377" s="1784">
        <v>206209</v>
      </c>
      <c r="B1377" s="1782"/>
      <c r="C1377" s="1785">
        <v>1.2608999999999999</v>
      </c>
      <c r="D1377" s="1782">
        <v>0.11</v>
      </c>
      <c r="E1377" s="1782">
        <v>0.71</v>
      </c>
      <c r="F1377" s="1782">
        <v>0.01</v>
      </c>
      <c r="G1377" s="1782">
        <v>1.82</v>
      </c>
      <c r="H1377" s="1782">
        <v>0.21</v>
      </c>
      <c r="I1377" s="1783">
        <v>13.84</v>
      </c>
      <c r="J1377" s="1783">
        <v>36.36</v>
      </c>
      <c r="K1377" s="1783">
        <v>37.9</v>
      </c>
      <c r="L1377" s="1783">
        <v>119.42</v>
      </c>
      <c r="M1377" s="1783">
        <v>22.4</v>
      </c>
    </row>
    <row r="1378" spans="1:13" x14ac:dyDescent="0.35">
      <c r="A1378" s="1784">
        <v>206210</v>
      </c>
      <c r="B1378" s="1782"/>
      <c r="C1378" s="1785">
        <v>1.7092200000000002</v>
      </c>
      <c r="D1378" s="1782">
        <v>0.1</v>
      </c>
      <c r="E1378" s="1782">
        <v>0.76</v>
      </c>
      <c r="F1378" s="1782">
        <v>0.01</v>
      </c>
      <c r="G1378" s="1782">
        <v>0.47</v>
      </c>
      <c r="H1378" s="1782">
        <v>0.16</v>
      </c>
      <c r="I1378" s="1783">
        <v>6.69</v>
      </c>
      <c r="J1378" s="1783">
        <v>7.71</v>
      </c>
      <c r="K1378" s="1783">
        <v>28.47</v>
      </c>
      <c r="L1378" s="1783">
        <v>104.75</v>
      </c>
      <c r="M1378" s="1783">
        <v>58.14</v>
      </c>
    </row>
    <row r="1379" spans="1:13" x14ac:dyDescent="0.35">
      <c r="A1379" s="1784">
        <v>206211</v>
      </c>
      <c r="B1379" s="1782"/>
      <c r="C1379" s="1785">
        <v>1.8493200000000001</v>
      </c>
      <c r="D1379" s="1782">
        <v>0.12</v>
      </c>
      <c r="E1379" s="1782">
        <v>0.72</v>
      </c>
      <c r="F1379" s="1782">
        <v>1E-3</v>
      </c>
      <c r="G1379" s="1782">
        <v>0.45</v>
      </c>
      <c r="H1379" s="1782">
        <v>0.21</v>
      </c>
      <c r="I1379" s="1783">
        <v>8.24</v>
      </c>
      <c r="J1379" s="1783">
        <v>14.03</v>
      </c>
      <c r="K1379" s="1783">
        <v>28.33</v>
      </c>
      <c r="L1379" s="1783">
        <v>72.42</v>
      </c>
      <c r="M1379" s="1783">
        <v>42.66</v>
      </c>
    </row>
    <row r="1380" spans="1:13" x14ac:dyDescent="0.35">
      <c r="A1380" s="1784">
        <v>206212</v>
      </c>
      <c r="B1380" s="1782"/>
      <c r="C1380" s="1785">
        <v>2.0734800000000004</v>
      </c>
      <c r="D1380" s="1782">
        <v>0.15</v>
      </c>
      <c r="E1380" s="1782">
        <v>0.79</v>
      </c>
      <c r="F1380" s="1782">
        <v>0.01</v>
      </c>
      <c r="G1380" s="1782">
        <v>0.53</v>
      </c>
      <c r="H1380" s="1782">
        <v>0.2</v>
      </c>
      <c r="I1380" s="1783">
        <v>7.81</v>
      </c>
      <c r="J1380" s="1783">
        <v>10.8</v>
      </c>
      <c r="K1380" s="1783">
        <v>33.979999999999997</v>
      </c>
      <c r="L1380" s="1783">
        <v>83.87</v>
      </c>
      <c r="M1380" s="1783">
        <v>48.68</v>
      </c>
    </row>
    <row r="1381" spans="1:13" x14ac:dyDescent="0.35">
      <c r="A1381" s="1784">
        <v>206213</v>
      </c>
      <c r="B1381" s="1782"/>
      <c r="C1381" s="1785">
        <v>1.79328</v>
      </c>
      <c r="D1381" s="1782">
        <v>0.12</v>
      </c>
      <c r="E1381" s="1782">
        <v>0.64</v>
      </c>
      <c r="F1381" s="1782">
        <v>0.01</v>
      </c>
      <c r="G1381" s="1782">
        <v>0.63</v>
      </c>
      <c r="H1381" s="1782">
        <v>0.3</v>
      </c>
      <c r="I1381" s="1783">
        <v>13.3</v>
      </c>
      <c r="J1381" s="1783">
        <v>7.23</v>
      </c>
      <c r="K1381" s="1783">
        <v>11.35</v>
      </c>
      <c r="L1381" s="1783">
        <v>89.81</v>
      </c>
      <c r="M1381" s="1783">
        <v>103.31</v>
      </c>
    </row>
    <row r="1382" spans="1:13" x14ac:dyDescent="0.35">
      <c r="A1382" s="1784">
        <v>206214</v>
      </c>
      <c r="B1382" s="1782"/>
      <c r="C1382" s="1785">
        <v>1.7652600000000003</v>
      </c>
      <c r="D1382" s="1782">
        <v>0.12</v>
      </c>
      <c r="E1382" s="1782">
        <v>1.02</v>
      </c>
      <c r="F1382" s="1782">
        <v>0.01</v>
      </c>
      <c r="G1382" s="1782">
        <v>0.42</v>
      </c>
      <c r="H1382" s="1782">
        <v>0.19</v>
      </c>
      <c r="I1382" s="1783">
        <v>14.84</v>
      </c>
      <c r="J1382" s="1783">
        <v>20.37</v>
      </c>
      <c r="K1382" s="1783">
        <v>27.23</v>
      </c>
      <c r="L1382" s="1783">
        <v>77</v>
      </c>
      <c r="M1382" s="1783">
        <v>64.709999999999994</v>
      </c>
    </row>
    <row r="1383" spans="1:13" x14ac:dyDescent="0.35">
      <c r="A1383" s="1784">
        <v>206215</v>
      </c>
      <c r="B1383" s="1782"/>
      <c r="C1383" s="1785">
        <v>1.7092200000000002</v>
      </c>
      <c r="D1383" s="1782">
        <v>0.12</v>
      </c>
      <c r="E1383" s="1782">
        <v>0.83</v>
      </c>
      <c r="F1383" s="1782">
        <v>0.01</v>
      </c>
      <c r="G1383" s="1782">
        <v>0.49</v>
      </c>
      <c r="H1383" s="1782">
        <v>0.26</v>
      </c>
      <c r="I1383" s="1783">
        <v>13.58</v>
      </c>
      <c r="J1383" s="1783">
        <v>21.09</v>
      </c>
      <c r="K1383" s="1783">
        <v>28.91</v>
      </c>
      <c r="L1383" s="1783">
        <v>91.16</v>
      </c>
      <c r="M1383" s="1783">
        <v>84.03</v>
      </c>
    </row>
    <row r="1384" spans="1:13" x14ac:dyDescent="0.35">
      <c r="A1384" s="1784">
        <v>206216</v>
      </c>
      <c r="B1384" s="1782"/>
      <c r="C1384" s="1785">
        <v>1.9053600000000002</v>
      </c>
      <c r="D1384" s="1782">
        <v>0.12</v>
      </c>
      <c r="E1384" s="1782">
        <v>0.64</v>
      </c>
      <c r="F1384" s="1782">
        <v>1E-3</v>
      </c>
      <c r="G1384" s="1782">
        <v>0.67</v>
      </c>
      <c r="H1384" s="1782">
        <v>0.31</v>
      </c>
      <c r="I1384" s="1783">
        <v>12.78</v>
      </c>
      <c r="J1384" s="1783">
        <v>29.38</v>
      </c>
      <c r="K1384" s="1783">
        <v>35.880000000000003</v>
      </c>
      <c r="L1384" s="1783">
        <v>93.1</v>
      </c>
      <c r="M1384" s="1783">
        <v>87.8</v>
      </c>
    </row>
    <row r="1385" spans="1:13" x14ac:dyDescent="0.35">
      <c r="A1385" s="1784">
        <v>206217</v>
      </c>
      <c r="B1385" s="1782"/>
      <c r="C1385" s="1785">
        <v>1.6811999999999998</v>
      </c>
      <c r="D1385" s="1782">
        <v>0.12</v>
      </c>
      <c r="E1385" s="1782">
        <v>1.03</v>
      </c>
      <c r="F1385" s="1782">
        <v>0.01</v>
      </c>
      <c r="G1385" s="1782">
        <v>0.53</v>
      </c>
      <c r="H1385" s="1782">
        <v>0.23</v>
      </c>
      <c r="I1385" s="1783">
        <v>11.97</v>
      </c>
      <c r="J1385" s="1783">
        <v>22.69</v>
      </c>
      <c r="K1385" s="1783">
        <v>29.38</v>
      </c>
      <c r="L1385" s="1783">
        <v>80.72</v>
      </c>
      <c r="M1385" s="1783">
        <v>60.62</v>
      </c>
    </row>
    <row r="1386" spans="1:13" x14ac:dyDescent="0.35">
      <c r="A1386" s="1784">
        <v>206218</v>
      </c>
      <c r="B1386" s="1782"/>
      <c r="C1386" s="1785">
        <v>1.6531800000000001</v>
      </c>
      <c r="D1386" s="1782">
        <v>0.12</v>
      </c>
      <c r="E1386" s="1782">
        <v>1.42</v>
      </c>
      <c r="F1386" s="1782">
        <v>0.01</v>
      </c>
      <c r="G1386" s="1782">
        <v>0.34</v>
      </c>
      <c r="H1386" s="1782">
        <v>0.08</v>
      </c>
      <c r="I1386" s="1783">
        <v>15.47</v>
      </c>
      <c r="J1386" s="1783">
        <v>79.61</v>
      </c>
      <c r="K1386" s="1783">
        <v>34.5</v>
      </c>
      <c r="L1386" s="1783">
        <v>96.02</v>
      </c>
      <c r="M1386" s="1783">
        <v>47.86</v>
      </c>
    </row>
    <row r="1387" spans="1:13" x14ac:dyDescent="0.35">
      <c r="A1387" s="1784">
        <v>206219</v>
      </c>
      <c r="B1387" s="1782"/>
      <c r="C1387" s="1785">
        <v>1.87734</v>
      </c>
      <c r="D1387" s="1782">
        <v>0.15</v>
      </c>
      <c r="E1387" s="1782">
        <v>1.29</v>
      </c>
      <c r="F1387" s="1782">
        <v>0.01</v>
      </c>
      <c r="G1387" s="1782">
        <v>0.36</v>
      </c>
      <c r="H1387" s="1782">
        <v>0.05</v>
      </c>
      <c r="I1387" s="1783">
        <v>17.73</v>
      </c>
      <c r="J1387" s="1783">
        <v>23.48</v>
      </c>
      <c r="K1387" s="1783">
        <v>16.64</v>
      </c>
      <c r="L1387" s="1783">
        <v>81.72</v>
      </c>
      <c r="M1387" s="1783">
        <v>56.78</v>
      </c>
    </row>
    <row r="1388" spans="1:13" x14ac:dyDescent="0.35">
      <c r="A1388" s="1784">
        <v>206220</v>
      </c>
      <c r="B1388" s="1782"/>
      <c r="C1388" s="1785">
        <v>1.87734</v>
      </c>
      <c r="D1388" s="1782">
        <v>0.7</v>
      </c>
      <c r="E1388" s="1782">
        <v>0.4</v>
      </c>
      <c r="F1388" s="1782">
        <v>7.0000000000000007E-2</v>
      </c>
      <c r="G1388" s="1782">
        <v>7.26</v>
      </c>
      <c r="H1388" s="1782">
        <v>0.28999999999999998</v>
      </c>
      <c r="I1388" s="1783">
        <v>31.64</v>
      </c>
      <c r="J1388" s="1783">
        <v>8.9499999999999993</v>
      </c>
      <c r="K1388" s="1783">
        <v>21.51</v>
      </c>
      <c r="L1388" s="1783">
        <v>93.88</v>
      </c>
      <c r="M1388" s="1783">
        <v>89.16</v>
      </c>
    </row>
    <row r="1389" spans="1:13" x14ac:dyDescent="0.35">
      <c r="A1389" s="1784">
        <v>206221</v>
      </c>
      <c r="B1389" s="1782"/>
      <c r="C1389" s="1785">
        <v>1.4570400000000001</v>
      </c>
      <c r="D1389" s="1782">
        <v>7.0000000000000007E-2</v>
      </c>
      <c r="E1389" s="1782">
        <v>0.28999999999999998</v>
      </c>
      <c r="F1389" s="1782">
        <v>7.0000000000000007E-2</v>
      </c>
      <c r="G1389" s="1782">
        <v>9.59</v>
      </c>
      <c r="H1389" s="1782">
        <v>0.35</v>
      </c>
      <c r="I1389" s="1783">
        <v>31.96</v>
      </c>
      <c r="J1389" s="1783">
        <v>8.6</v>
      </c>
      <c r="K1389" s="1783">
        <v>21.59</v>
      </c>
      <c r="L1389" s="1783">
        <v>91.18</v>
      </c>
      <c r="M1389" s="1783">
        <v>117.76</v>
      </c>
    </row>
    <row r="1390" spans="1:13" x14ac:dyDescent="0.35">
      <c r="A1390" s="1784">
        <v>206222</v>
      </c>
      <c r="B1390" s="1782"/>
      <c r="C1390" s="1785">
        <v>2.6058600000000003</v>
      </c>
      <c r="D1390" s="1782">
        <v>0.15</v>
      </c>
      <c r="E1390" s="1782">
        <v>0.57999999999999996</v>
      </c>
      <c r="F1390" s="1782">
        <v>0.19</v>
      </c>
      <c r="G1390" s="1782">
        <v>4.57</v>
      </c>
      <c r="H1390" s="1782">
        <v>0.3</v>
      </c>
      <c r="I1390" s="1783">
        <v>62.42</v>
      </c>
      <c r="J1390" s="1783">
        <v>3.56</v>
      </c>
      <c r="K1390" s="1783">
        <v>61.44</v>
      </c>
      <c r="L1390" s="1783">
        <v>91.48</v>
      </c>
      <c r="M1390" s="1783">
        <v>78.459999999999994</v>
      </c>
    </row>
    <row r="1391" spans="1:13" x14ac:dyDescent="0.35">
      <c r="A1391" s="1784">
        <v>206223</v>
      </c>
      <c r="B1391" s="1782"/>
      <c r="C1391" s="1785">
        <v>2.4097199999999996</v>
      </c>
      <c r="D1391" s="1782">
        <v>0.14000000000000001</v>
      </c>
      <c r="E1391" s="1782">
        <v>0.66</v>
      </c>
      <c r="F1391" s="1782">
        <v>0.17</v>
      </c>
      <c r="G1391" s="1782">
        <v>5.07</v>
      </c>
      <c r="H1391" s="1782">
        <v>0.24</v>
      </c>
      <c r="I1391" s="1783">
        <v>45.45</v>
      </c>
      <c r="J1391" s="1783">
        <v>2.78</v>
      </c>
      <c r="K1391" s="1783">
        <v>57.62</v>
      </c>
      <c r="L1391" s="1783">
        <v>77.150000000000006</v>
      </c>
      <c r="M1391" s="1783">
        <v>83.25</v>
      </c>
    </row>
    <row r="1392" spans="1:13" x14ac:dyDescent="0.35">
      <c r="A1392" s="1784">
        <v>206224</v>
      </c>
      <c r="B1392" s="1782"/>
      <c r="C1392" s="1785">
        <v>2.3536800000000002</v>
      </c>
      <c r="D1392" s="1782">
        <v>0.15</v>
      </c>
      <c r="E1392" s="1782">
        <v>0.5</v>
      </c>
      <c r="F1392" s="1782">
        <v>0.17</v>
      </c>
      <c r="G1392" s="1782">
        <v>4.7699999999999996</v>
      </c>
      <c r="H1392" s="1782">
        <v>0.31</v>
      </c>
      <c r="I1392" s="1783">
        <v>148.16</v>
      </c>
      <c r="J1392" s="1783">
        <v>1.96</v>
      </c>
      <c r="K1392" s="1783">
        <v>65.959999999999994</v>
      </c>
      <c r="L1392" s="1783">
        <v>106.59</v>
      </c>
      <c r="M1392" s="1783">
        <v>66.73</v>
      </c>
    </row>
    <row r="1393" spans="1:13" x14ac:dyDescent="0.35">
      <c r="A1393" s="1784">
        <v>206225</v>
      </c>
      <c r="B1393" s="1782"/>
      <c r="C1393" s="1785">
        <v>2.2416</v>
      </c>
      <c r="D1393" s="1782">
        <v>0.12</v>
      </c>
      <c r="E1393" s="1782">
        <v>0.56999999999999995</v>
      </c>
      <c r="F1393" s="1782">
        <v>0.22</v>
      </c>
      <c r="G1393" s="1782">
        <v>6.11</v>
      </c>
      <c r="H1393" s="1782">
        <v>0.25</v>
      </c>
      <c r="I1393" s="1783">
        <v>83.96</v>
      </c>
      <c r="J1393" s="1783">
        <v>2.68</v>
      </c>
      <c r="K1393" s="1783">
        <v>75.72</v>
      </c>
      <c r="L1393" s="1783">
        <v>99.36</v>
      </c>
      <c r="M1393" s="1783">
        <v>72.84</v>
      </c>
    </row>
    <row r="1394" spans="1:13" x14ac:dyDescent="0.35">
      <c r="A1394" s="1784">
        <v>206226</v>
      </c>
      <c r="B1394" s="1782"/>
      <c r="C1394" s="1783">
        <v>3.3063600000000002</v>
      </c>
      <c r="D1394" s="1782">
        <v>0.2</v>
      </c>
      <c r="E1394" s="1782">
        <v>1.36</v>
      </c>
      <c r="F1394" s="1782">
        <v>0.02</v>
      </c>
      <c r="G1394" s="1782">
        <v>1.05</v>
      </c>
      <c r="H1394" s="1782">
        <v>0.2</v>
      </c>
      <c r="I1394" s="1783">
        <v>77</v>
      </c>
      <c r="J1394" s="1783">
        <v>1E-4</v>
      </c>
      <c r="K1394" s="1783">
        <v>477.48</v>
      </c>
      <c r="L1394" s="1783">
        <v>1.4</v>
      </c>
      <c r="M1394" s="1783">
        <v>35.19</v>
      </c>
    </row>
    <row r="1395" spans="1:13" x14ac:dyDescent="0.35">
      <c r="A1395" s="1784">
        <v>206227</v>
      </c>
      <c r="B1395" s="1782"/>
      <c r="C1395" s="1783">
        <v>3.19428</v>
      </c>
      <c r="D1395" s="1782">
        <v>0.2</v>
      </c>
      <c r="E1395" s="1782">
        <v>1.17</v>
      </c>
      <c r="F1395" s="1782">
        <v>0.03</v>
      </c>
      <c r="G1395" s="1782">
        <v>1.03</v>
      </c>
      <c r="H1395" s="1782">
        <v>0.21</v>
      </c>
      <c r="I1395" s="1783">
        <v>35.090000000000003</v>
      </c>
      <c r="J1395" s="1783">
        <v>1E-3</v>
      </c>
      <c r="K1395" s="1783">
        <v>308.72000000000003</v>
      </c>
      <c r="L1395" s="1783">
        <v>1.56</v>
      </c>
      <c r="M1395" s="1783">
        <v>34.9</v>
      </c>
    </row>
    <row r="1396" spans="1:13" x14ac:dyDescent="0.35">
      <c r="A1396" s="1784">
        <v>206228</v>
      </c>
      <c r="B1396" s="1782"/>
      <c r="C1396" s="1783">
        <v>3.2783399999999996</v>
      </c>
      <c r="D1396" s="1782">
        <v>0.22</v>
      </c>
      <c r="E1396" s="1782">
        <v>1.72</v>
      </c>
      <c r="F1396" s="1782">
        <v>0.01</v>
      </c>
      <c r="G1396" s="1782">
        <v>0.88</v>
      </c>
      <c r="H1396" s="1782">
        <v>0.17</v>
      </c>
      <c r="I1396" s="1783">
        <v>59.98</v>
      </c>
      <c r="J1396" s="1783">
        <v>1E-3</v>
      </c>
      <c r="K1396" s="1783">
        <v>217.97</v>
      </c>
      <c r="L1396" s="1783">
        <v>1.87</v>
      </c>
      <c r="M1396" s="1783">
        <v>32.69</v>
      </c>
    </row>
    <row r="1397" spans="1:13" x14ac:dyDescent="0.35">
      <c r="A1397" s="1784">
        <v>206229</v>
      </c>
      <c r="B1397" s="1782"/>
      <c r="C1397" s="1783">
        <v>2.15754</v>
      </c>
      <c r="D1397" s="1782">
        <v>0.13</v>
      </c>
      <c r="E1397" s="1782">
        <v>1.37</v>
      </c>
      <c r="F1397" s="1782">
        <v>0.02</v>
      </c>
      <c r="G1397" s="1782">
        <v>0.36</v>
      </c>
      <c r="H1397" s="1782">
        <v>0.11</v>
      </c>
      <c r="I1397" s="1783">
        <v>8.36</v>
      </c>
      <c r="J1397" s="1783">
        <v>1E-3</v>
      </c>
      <c r="K1397" s="1783">
        <v>9.4</v>
      </c>
      <c r="L1397" s="1783">
        <v>1.19</v>
      </c>
      <c r="M1397" s="1783">
        <v>10.14</v>
      </c>
    </row>
    <row r="1398" spans="1:13" x14ac:dyDescent="0.35">
      <c r="A1398" s="1784">
        <v>206230</v>
      </c>
      <c r="B1398" s="1782"/>
      <c r="C1398" s="1783">
        <v>2.3256600000000001</v>
      </c>
      <c r="D1398" s="1782">
        <v>0.13</v>
      </c>
      <c r="E1398" s="1782">
        <v>1.34</v>
      </c>
      <c r="F1398" s="1782">
        <v>0.02</v>
      </c>
      <c r="G1398" s="1782">
        <v>0.49</v>
      </c>
      <c r="H1398" s="1782">
        <v>0.12</v>
      </c>
      <c r="I1398" s="1783">
        <v>7.78</v>
      </c>
      <c r="J1398" s="1783">
        <v>0.16</v>
      </c>
      <c r="K1398" s="1783">
        <v>11.77</v>
      </c>
      <c r="L1398" s="1783">
        <v>0.9</v>
      </c>
      <c r="M1398" s="1783">
        <v>8.35</v>
      </c>
    </row>
    <row r="1399" spans="1:13" x14ac:dyDescent="0.35">
      <c r="A1399" s="1784">
        <v>206231</v>
      </c>
      <c r="B1399" s="1782"/>
      <c r="C1399" s="1783">
        <v>2.2416</v>
      </c>
      <c r="D1399" s="1782">
        <v>0.13</v>
      </c>
      <c r="E1399" s="1782">
        <v>1.6</v>
      </c>
      <c r="F1399" s="1782">
        <v>0.02</v>
      </c>
      <c r="G1399" s="1782">
        <v>0.5</v>
      </c>
      <c r="H1399" s="1782">
        <v>0.11</v>
      </c>
      <c r="I1399" s="1783">
        <v>8.31</v>
      </c>
      <c r="J1399" s="1783">
        <v>1.1399999999999999</v>
      </c>
      <c r="K1399" s="1783">
        <v>11.37</v>
      </c>
      <c r="L1399" s="1783">
        <v>0.62</v>
      </c>
      <c r="M1399" s="1783">
        <v>11.2</v>
      </c>
    </row>
    <row r="1400" spans="1:13" x14ac:dyDescent="0.35">
      <c r="A1400" s="1784">
        <v>206232</v>
      </c>
      <c r="B1400" s="1782"/>
      <c r="C1400" s="1785">
        <v>1.4290200000000002</v>
      </c>
      <c r="D1400" s="1786">
        <v>0.1</v>
      </c>
      <c r="E1400" s="1786">
        <v>0.77</v>
      </c>
      <c r="F1400" s="1786">
        <v>5.0000000000000001E-3</v>
      </c>
      <c r="G1400" s="1786">
        <v>0.78</v>
      </c>
      <c r="H1400" s="1786">
        <v>0.24</v>
      </c>
      <c r="I1400" s="1786">
        <v>1.18</v>
      </c>
      <c r="J1400" s="1786">
        <v>31.57</v>
      </c>
      <c r="K1400" s="1786">
        <v>11.42</v>
      </c>
      <c r="L1400" s="1786">
        <v>27.78</v>
      </c>
      <c r="M1400" s="1786">
        <v>33.18</v>
      </c>
    </row>
    <row r="1401" spans="1:13" x14ac:dyDescent="0.35">
      <c r="A1401" s="1784">
        <v>206233</v>
      </c>
      <c r="B1401" s="1782"/>
      <c r="C1401" s="1785">
        <v>1.6531800000000001</v>
      </c>
      <c r="D1401" s="1786">
        <v>0.1</v>
      </c>
      <c r="E1401" s="1786">
        <v>0.9</v>
      </c>
      <c r="F1401" s="1786">
        <v>7.0000000000000001E-3</v>
      </c>
      <c r="G1401" s="1786">
        <v>0.88</v>
      </c>
      <c r="H1401" s="1786">
        <v>0.2</v>
      </c>
      <c r="I1401" s="1786">
        <v>1.42</v>
      </c>
      <c r="J1401" s="1786">
        <v>28.85</v>
      </c>
      <c r="K1401" s="1786">
        <v>18.989999999999998</v>
      </c>
      <c r="L1401" s="1786">
        <v>41.23</v>
      </c>
      <c r="M1401" s="1786">
        <v>24.04</v>
      </c>
    </row>
    <row r="1402" spans="1:13" x14ac:dyDescent="0.35">
      <c r="A1402" s="1784">
        <v>206234</v>
      </c>
      <c r="B1402" s="1782"/>
      <c r="C1402" s="1785">
        <v>1.59714</v>
      </c>
      <c r="D1402" s="1786">
        <v>0.1</v>
      </c>
      <c r="E1402" s="1786">
        <v>0.85</v>
      </c>
      <c r="F1402" s="1786">
        <v>5.0000000000000001E-3</v>
      </c>
      <c r="G1402" s="1786">
        <v>0.95</v>
      </c>
      <c r="H1402" s="1786">
        <v>0.28000000000000003</v>
      </c>
      <c r="I1402" s="1786">
        <v>1.94</v>
      </c>
      <c r="J1402" s="1786">
        <v>41.78</v>
      </c>
      <c r="K1402" s="1786">
        <v>27.02</v>
      </c>
      <c r="L1402" s="1786">
        <v>36.869999999999997</v>
      </c>
      <c r="M1402" s="1786">
        <v>37.299999999999997</v>
      </c>
    </row>
    <row r="1403" spans="1:13" x14ac:dyDescent="0.35">
      <c r="A1403" s="1784">
        <v>206235</v>
      </c>
      <c r="B1403" s="1782"/>
      <c r="C1403" s="1785">
        <v>1.79328</v>
      </c>
      <c r="D1403" s="1786">
        <v>0.13</v>
      </c>
      <c r="E1403" s="1786">
        <v>0.79</v>
      </c>
      <c r="F1403" s="1786">
        <v>5.0000000000000001E-3</v>
      </c>
      <c r="G1403" s="1786">
        <v>1.1200000000000001</v>
      </c>
      <c r="H1403" s="1786">
        <v>0.23</v>
      </c>
      <c r="I1403" s="1786">
        <v>2.74</v>
      </c>
      <c r="J1403" s="1786">
        <v>34.04</v>
      </c>
      <c r="K1403" s="1786">
        <v>25.52</v>
      </c>
      <c r="L1403" s="1786">
        <v>51.39</v>
      </c>
      <c r="M1403" s="1786">
        <v>37.159999999999997</v>
      </c>
    </row>
    <row r="1404" spans="1:13" x14ac:dyDescent="0.35">
      <c r="A1404" s="1784">
        <v>206236</v>
      </c>
      <c r="B1404" s="1782"/>
      <c r="C1404" s="1785">
        <v>1.5130800000000002</v>
      </c>
      <c r="D1404" s="1786">
        <v>0.18</v>
      </c>
      <c r="E1404" s="1786">
        <v>0.88</v>
      </c>
      <c r="F1404" s="1786">
        <v>7.0000000000000001E-3</v>
      </c>
      <c r="G1404" s="1786">
        <v>1.01</v>
      </c>
      <c r="H1404" s="1786">
        <v>0.26</v>
      </c>
      <c r="I1404" s="1786">
        <v>6.93</v>
      </c>
      <c r="J1404" s="1786">
        <v>35.200000000000003</v>
      </c>
      <c r="K1404" s="1786">
        <v>20.65</v>
      </c>
      <c r="L1404" s="1786">
        <v>105.85</v>
      </c>
      <c r="M1404" s="1786">
        <v>37.07</v>
      </c>
    </row>
    <row r="1405" spans="1:13" x14ac:dyDescent="0.35">
      <c r="A1405" s="1784">
        <v>206237</v>
      </c>
      <c r="B1405" s="1782"/>
      <c r="C1405" s="1785">
        <v>1.7652600000000003</v>
      </c>
      <c r="D1405" s="1786">
        <v>0.13</v>
      </c>
      <c r="E1405" s="1786">
        <v>0.62</v>
      </c>
      <c r="F1405" s="1786">
        <v>6.0000000000000001E-3</v>
      </c>
      <c r="G1405" s="1786">
        <v>1.46</v>
      </c>
      <c r="H1405" s="1786">
        <v>0.4</v>
      </c>
      <c r="I1405" s="1786">
        <v>7.59</v>
      </c>
      <c r="J1405" s="1786">
        <v>66.59</v>
      </c>
      <c r="K1405" s="1786">
        <v>46.89</v>
      </c>
      <c r="L1405" s="1786">
        <v>155.77000000000001</v>
      </c>
      <c r="M1405" s="1786">
        <v>44.66</v>
      </c>
    </row>
    <row r="1406" spans="1:13" x14ac:dyDescent="0.35">
      <c r="A1406" s="1784">
        <v>206238</v>
      </c>
      <c r="B1406" s="1782"/>
      <c r="C1406" s="1785">
        <v>1.79328</v>
      </c>
      <c r="D1406" s="1786">
        <v>0.1</v>
      </c>
      <c r="E1406" s="1786">
        <v>0.82</v>
      </c>
      <c r="F1406" s="1786">
        <v>6.0000000000000001E-3</v>
      </c>
      <c r="G1406" s="1786">
        <v>1.07</v>
      </c>
      <c r="H1406" s="1786">
        <v>0.32</v>
      </c>
      <c r="I1406" s="1786">
        <v>12.16</v>
      </c>
      <c r="J1406" s="1786">
        <v>53.36</v>
      </c>
      <c r="K1406" s="1786">
        <v>80.72</v>
      </c>
      <c r="L1406" s="1786">
        <v>90.7</v>
      </c>
      <c r="M1406" s="1786">
        <v>40.9</v>
      </c>
    </row>
    <row r="1407" spans="1:13" x14ac:dyDescent="0.35">
      <c r="A1407" s="1784">
        <v>206239</v>
      </c>
      <c r="B1407" s="1782"/>
      <c r="C1407" s="1785">
        <v>1.3449600000000002</v>
      </c>
      <c r="D1407" s="1786">
        <v>0.09</v>
      </c>
      <c r="E1407" s="1786">
        <v>0.54</v>
      </c>
      <c r="F1407" s="1786">
        <v>3.0000000000000001E-3</v>
      </c>
      <c r="G1407" s="1786">
        <v>1.73</v>
      </c>
      <c r="H1407" s="1786">
        <v>0.3</v>
      </c>
      <c r="I1407" s="1786">
        <v>8.48</v>
      </c>
      <c r="J1407" s="1786">
        <v>68.34</v>
      </c>
      <c r="K1407" s="1786">
        <v>77.75</v>
      </c>
      <c r="L1407" s="1786">
        <v>170.25</v>
      </c>
      <c r="M1407" s="1786">
        <v>15.65</v>
      </c>
    </row>
    <row r="1408" spans="1:13" x14ac:dyDescent="0.35">
      <c r="A1408" s="1784">
        <v>206240</v>
      </c>
      <c r="B1408" s="1782"/>
      <c r="C1408" s="1785">
        <v>1.2328800000000002</v>
      </c>
      <c r="D1408" s="1786">
        <v>0.1</v>
      </c>
      <c r="E1408" s="1786">
        <v>0.77</v>
      </c>
      <c r="F1408" s="1786">
        <v>8.9999999999999993E-3</v>
      </c>
      <c r="G1408" s="1786">
        <v>2.2599999999999998</v>
      </c>
      <c r="H1408" s="1786">
        <v>0.25</v>
      </c>
      <c r="I1408" s="1786">
        <v>15.14</v>
      </c>
      <c r="J1408" s="1786">
        <v>51.59</v>
      </c>
      <c r="K1408" s="1786">
        <v>60.47</v>
      </c>
      <c r="L1408" s="1786">
        <v>175.6</v>
      </c>
      <c r="M1408" s="1786">
        <v>24.25</v>
      </c>
    </row>
    <row r="1409" spans="1:13" x14ac:dyDescent="0.35">
      <c r="A1409" s="1784">
        <v>206241</v>
      </c>
      <c r="B1409" s="1782"/>
      <c r="C1409" s="1785">
        <v>1.7092200000000002</v>
      </c>
      <c r="D1409" s="1786">
        <v>0.15</v>
      </c>
      <c r="E1409" s="1786">
        <v>0.91</v>
      </c>
      <c r="F1409" s="1786">
        <v>5.0000000000000001E-3</v>
      </c>
      <c r="G1409" s="1786">
        <v>0.54</v>
      </c>
      <c r="H1409" s="1786">
        <v>0.21</v>
      </c>
      <c r="I1409" s="1786">
        <v>10.63</v>
      </c>
      <c r="J1409" s="1786">
        <v>52.79</v>
      </c>
      <c r="K1409" s="1786">
        <v>43.49</v>
      </c>
      <c r="L1409" s="1786">
        <v>110.23</v>
      </c>
      <c r="M1409" s="1786">
        <v>50.43</v>
      </c>
    </row>
    <row r="1410" spans="1:13" x14ac:dyDescent="0.35">
      <c r="A1410" s="1784">
        <v>206242</v>
      </c>
      <c r="B1410" s="1782"/>
      <c r="C1410" s="1785">
        <v>1.59714</v>
      </c>
      <c r="D1410" s="1786">
        <v>0.14000000000000001</v>
      </c>
      <c r="E1410" s="1786">
        <v>0.95</v>
      </c>
      <c r="F1410" s="1786">
        <v>5.0000000000000001E-3</v>
      </c>
      <c r="G1410" s="1786">
        <v>0.63</v>
      </c>
      <c r="H1410" s="1786">
        <v>0.22</v>
      </c>
      <c r="I1410" s="1786">
        <v>9.35</v>
      </c>
      <c r="J1410" s="1786">
        <v>35.33</v>
      </c>
      <c r="K1410" s="1786">
        <v>52.82</v>
      </c>
      <c r="L1410" s="1786">
        <v>106.27</v>
      </c>
      <c r="M1410" s="1786">
        <v>52.51</v>
      </c>
    </row>
    <row r="1411" spans="1:13" x14ac:dyDescent="0.35">
      <c r="A1411" s="1784">
        <v>206243</v>
      </c>
      <c r="B1411" s="1782"/>
      <c r="C1411" s="1785">
        <v>1.4570400000000001</v>
      </c>
      <c r="D1411" s="1786">
        <v>0.12</v>
      </c>
      <c r="E1411" s="1786">
        <v>1</v>
      </c>
      <c r="F1411" s="1786">
        <v>1.0999999999999999E-2</v>
      </c>
      <c r="G1411" s="1786">
        <v>2.15</v>
      </c>
      <c r="H1411" s="1786">
        <v>0.19</v>
      </c>
      <c r="I1411" s="1786">
        <v>19.45</v>
      </c>
      <c r="J1411" s="1786">
        <v>19.04</v>
      </c>
      <c r="K1411" s="1786">
        <v>51.71</v>
      </c>
      <c r="L1411" s="1786">
        <v>160.94999999999999</v>
      </c>
      <c r="M1411" s="1786">
        <v>33.979999999999997</v>
      </c>
    </row>
    <row r="1412" spans="1:13" x14ac:dyDescent="0.35">
      <c r="A1412" s="1784">
        <v>206244</v>
      </c>
      <c r="B1412" s="1782"/>
      <c r="C1412" s="1785">
        <v>2.0174400000000001</v>
      </c>
      <c r="D1412" s="1786">
        <v>0.22</v>
      </c>
      <c r="E1412" s="1786">
        <v>0.76</v>
      </c>
      <c r="F1412" s="1786">
        <v>8.9999999999999993E-3</v>
      </c>
      <c r="G1412" s="1786">
        <v>1.03</v>
      </c>
      <c r="H1412" s="1786">
        <v>0.37</v>
      </c>
      <c r="I1412" s="1786">
        <v>15.31</v>
      </c>
      <c r="J1412" s="1786">
        <v>46.87</v>
      </c>
      <c r="K1412" s="1786">
        <v>41.55</v>
      </c>
      <c r="L1412" s="1786">
        <v>99.3</v>
      </c>
      <c r="M1412" s="1786">
        <v>36.72</v>
      </c>
    </row>
    <row r="1413" spans="1:13" x14ac:dyDescent="0.35">
      <c r="A1413" s="1784">
        <v>206245</v>
      </c>
      <c r="B1413" s="1782"/>
      <c r="C1413" s="1785">
        <v>1.7372400000000001</v>
      </c>
      <c r="D1413" s="1786">
        <v>0.12</v>
      </c>
      <c r="E1413" s="1786">
        <v>1.1100000000000001</v>
      </c>
      <c r="F1413" s="1786">
        <v>6.0000000000000001E-3</v>
      </c>
      <c r="G1413" s="1786">
        <v>0.49</v>
      </c>
      <c r="H1413" s="1786">
        <v>0.2</v>
      </c>
      <c r="I1413" s="1786">
        <v>78.069999999999993</v>
      </c>
      <c r="J1413" s="1786">
        <v>4.4800000000000004</v>
      </c>
      <c r="K1413" s="1786">
        <v>58.12</v>
      </c>
      <c r="L1413" s="1786">
        <v>103.05</v>
      </c>
      <c r="M1413" s="1786">
        <v>34.69</v>
      </c>
    </row>
    <row r="1414" spans="1:13" x14ac:dyDescent="0.35">
      <c r="A1414" s="1784">
        <v>206246</v>
      </c>
      <c r="B1414" s="1782"/>
      <c r="C1414" s="1785">
        <v>1.6811999999999998</v>
      </c>
      <c r="D1414" s="1786">
        <v>0.16</v>
      </c>
      <c r="E1414" s="1786">
        <v>0.51</v>
      </c>
      <c r="F1414" s="1786">
        <v>5.0000000000000001E-3</v>
      </c>
      <c r="G1414" s="1786">
        <v>0.99</v>
      </c>
      <c r="H1414" s="1786">
        <v>0.42</v>
      </c>
      <c r="I1414" s="1786">
        <v>20.7</v>
      </c>
      <c r="J1414" s="1786">
        <v>4.53</v>
      </c>
      <c r="K1414" s="1786">
        <v>32.51</v>
      </c>
      <c r="L1414" s="1786">
        <v>99.13</v>
      </c>
      <c r="M1414" s="1786">
        <v>76.8</v>
      </c>
    </row>
    <row r="1415" spans="1:13" x14ac:dyDescent="0.35">
      <c r="A1415" s="1784">
        <v>206247</v>
      </c>
      <c r="B1415" s="1782"/>
      <c r="C1415" s="1785">
        <v>1.7652600000000003</v>
      </c>
      <c r="D1415" s="1786">
        <v>0.12</v>
      </c>
      <c r="E1415" s="1786">
        <v>0.91</v>
      </c>
      <c r="F1415" s="1786">
        <v>5.0000000000000001E-3</v>
      </c>
      <c r="G1415" s="1786">
        <v>0.6</v>
      </c>
      <c r="H1415" s="1786">
        <v>0.17</v>
      </c>
      <c r="I1415" s="1786">
        <v>11.24</v>
      </c>
      <c r="J1415" s="1786">
        <v>3.87</v>
      </c>
      <c r="K1415" s="1786">
        <v>13.7</v>
      </c>
      <c r="L1415" s="1786">
        <v>127.64</v>
      </c>
      <c r="M1415" s="1786">
        <v>66.819999999999993</v>
      </c>
    </row>
    <row r="1416" spans="1:13" x14ac:dyDescent="0.35">
      <c r="A1416" s="1784">
        <v>206248</v>
      </c>
      <c r="B1416" s="1782"/>
      <c r="C1416" s="1785">
        <v>1.5130800000000002</v>
      </c>
      <c r="D1416" s="1786">
        <v>0.13</v>
      </c>
      <c r="E1416" s="1786">
        <v>0.63</v>
      </c>
      <c r="F1416" s="1786">
        <v>5.0000000000000001E-3</v>
      </c>
      <c r="G1416" s="1786">
        <v>0.74</v>
      </c>
      <c r="H1416" s="1786">
        <v>0.28999999999999998</v>
      </c>
      <c r="I1416" s="1786">
        <v>11.94</v>
      </c>
      <c r="J1416" s="1786">
        <v>5.49</v>
      </c>
      <c r="K1416" s="1786">
        <v>52.17</v>
      </c>
      <c r="L1416" s="1786">
        <v>108.35</v>
      </c>
      <c r="M1416" s="1786">
        <v>77.540000000000006</v>
      </c>
    </row>
    <row r="1417" spans="1:13" x14ac:dyDescent="0.35">
      <c r="A1417" s="1784">
        <v>206249</v>
      </c>
      <c r="B1417" s="1782"/>
      <c r="C1417" s="1785">
        <v>2.0734800000000004</v>
      </c>
      <c r="D1417" s="1786">
        <v>0.19</v>
      </c>
      <c r="E1417" s="1786">
        <v>1.59</v>
      </c>
      <c r="F1417" s="1786">
        <v>1.0999999999999999E-2</v>
      </c>
      <c r="G1417" s="1786">
        <v>2.2000000000000002</v>
      </c>
      <c r="H1417" s="1786">
        <v>0.3</v>
      </c>
      <c r="I1417" s="1786">
        <v>51.16</v>
      </c>
      <c r="J1417" s="1786">
        <v>22.17</v>
      </c>
      <c r="K1417" s="1786">
        <v>145.85</v>
      </c>
      <c r="L1417" s="1786">
        <v>113.19</v>
      </c>
      <c r="M1417" s="1786">
        <v>23.94</v>
      </c>
    </row>
    <row r="1418" spans="1:13" x14ac:dyDescent="0.35">
      <c r="A1418" s="1784">
        <v>206250</v>
      </c>
      <c r="B1418" s="1782"/>
      <c r="C1418" s="1785">
        <v>1.5410999999999999</v>
      </c>
      <c r="D1418" s="1786">
        <v>0.12</v>
      </c>
      <c r="E1418" s="1786">
        <v>0.81</v>
      </c>
      <c r="F1418" s="1786">
        <v>1.6E-2</v>
      </c>
      <c r="G1418" s="1786">
        <v>1.99</v>
      </c>
      <c r="H1418" s="1786">
        <v>0.25</v>
      </c>
      <c r="I1418" s="1786">
        <v>15.62</v>
      </c>
      <c r="J1418" s="1786">
        <v>595.78</v>
      </c>
      <c r="K1418" s="1786">
        <v>42.63</v>
      </c>
      <c r="L1418" s="1786">
        <v>193.12</v>
      </c>
      <c r="M1418" s="1786">
        <v>18.760000000000002</v>
      </c>
    </row>
    <row r="1419" spans="1:13" x14ac:dyDescent="0.35">
      <c r="A1419" s="1784">
        <v>206251</v>
      </c>
      <c r="B1419" s="1782"/>
      <c r="C1419" s="1785">
        <v>1.4290200000000002</v>
      </c>
      <c r="D1419" s="1786">
        <v>0.11</v>
      </c>
      <c r="E1419" s="1786">
        <v>0.42</v>
      </c>
      <c r="F1419" s="1786">
        <v>3.3000000000000002E-2</v>
      </c>
      <c r="G1419" s="1786">
        <v>2.2200000000000002</v>
      </c>
      <c r="H1419" s="1786">
        <v>0.31</v>
      </c>
      <c r="I1419" s="1786">
        <v>17.28</v>
      </c>
      <c r="J1419" s="1786">
        <v>912.86</v>
      </c>
      <c r="K1419" s="1786">
        <v>41.12</v>
      </c>
      <c r="L1419" s="1786">
        <v>158.12</v>
      </c>
      <c r="M1419" s="1786">
        <v>16.7</v>
      </c>
    </row>
    <row r="1420" spans="1:13" x14ac:dyDescent="0.35">
      <c r="A1420" s="1784">
        <v>206252</v>
      </c>
      <c r="B1420" s="1782"/>
      <c r="C1420" s="1785">
        <v>5.2957799999999997</v>
      </c>
      <c r="D1420" s="1786">
        <v>0.39</v>
      </c>
      <c r="E1420" s="1786">
        <v>5.48</v>
      </c>
      <c r="F1420" s="1786">
        <v>2.7E-2</v>
      </c>
      <c r="G1420" s="1786">
        <v>3.7</v>
      </c>
      <c r="H1420" s="1786">
        <v>0.95</v>
      </c>
      <c r="I1420" s="1786">
        <v>29.04</v>
      </c>
      <c r="J1420" s="1786">
        <v>7.59</v>
      </c>
      <c r="K1420" s="1786">
        <v>21.3</v>
      </c>
      <c r="L1420" s="1786">
        <v>126.92</v>
      </c>
      <c r="M1420" s="1786">
        <v>32.479999999999997</v>
      </c>
    </row>
    <row r="1421" spans="1:13" x14ac:dyDescent="0.35">
      <c r="A1421" s="1784">
        <v>206253</v>
      </c>
      <c r="B1421" s="1782"/>
      <c r="C1421" s="1785">
        <v>4.2029999999999994</v>
      </c>
      <c r="D1421" s="1786">
        <v>0.38</v>
      </c>
      <c r="E1421" s="1786">
        <v>5.18</v>
      </c>
      <c r="F1421" s="1786">
        <v>2.5000000000000001E-2</v>
      </c>
      <c r="G1421" s="1786">
        <v>3.96</v>
      </c>
      <c r="H1421" s="1786">
        <v>1.1599999999999999</v>
      </c>
      <c r="I1421" s="1786">
        <v>34.46</v>
      </c>
      <c r="J1421" s="1786">
        <v>7.55</v>
      </c>
      <c r="K1421" s="1786">
        <v>29.49</v>
      </c>
      <c r="L1421" s="1786">
        <v>125.34</v>
      </c>
      <c r="M1421" s="1786">
        <v>37.229999999999997</v>
      </c>
    </row>
    <row r="1422" spans="1:13" x14ac:dyDescent="0.35">
      <c r="A1422" s="1784">
        <v>206254</v>
      </c>
      <c r="B1422" s="1782"/>
      <c r="C1422" s="1785">
        <v>5.5759799999999995</v>
      </c>
      <c r="D1422" s="1786">
        <v>0.44</v>
      </c>
      <c r="E1422" s="1786">
        <v>5.51</v>
      </c>
      <c r="F1422" s="1786">
        <v>1.7000000000000001E-2</v>
      </c>
      <c r="G1422" s="1786">
        <v>3.45</v>
      </c>
      <c r="H1422" s="1786">
        <v>1.03</v>
      </c>
      <c r="I1422" s="1786">
        <v>41.42</v>
      </c>
      <c r="J1422" s="1786">
        <v>9.33</v>
      </c>
      <c r="K1422" s="1786">
        <v>22.95</v>
      </c>
      <c r="L1422" s="1786">
        <v>117.86</v>
      </c>
      <c r="M1422" s="1786">
        <v>31.42</v>
      </c>
    </row>
    <row r="1423" spans="1:13" x14ac:dyDescent="0.35">
      <c r="A1423" s="1784">
        <v>206255</v>
      </c>
      <c r="B1423" s="1782"/>
      <c r="C1423" s="1785">
        <v>4.9315199999999999</v>
      </c>
      <c r="D1423" s="1786">
        <v>0.26</v>
      </c>
      <c r="E1423" s="1786">
        <v>5.86</v>
      </c>
      <c r="F1423" s="1786">
        <v>2.7E-2</v>
      </c>
      <c r="G1423" s="1786">
        <v>4.82</v>
      </c>
      <c r="H1423" s="1786">
        <v>1.64</v>
      </c>
      <c r="I1423" s="1786">
        <v>64.41</v>
      </c>
      <c r="J1423" s="1786">
        <v>11.35</v>
      </c>
      <c r="K1423" s="1786">
        <v>30.05</v>
      </c>
      <c r="L1423" s="1786">
        <v>112.06</v>
      </c>
      <c r="M1423" s="1786">
        <v>32.74</v>
      </c>
    </row>
    <row r="1424" spans="1:13" x14ac:dyDescent="0.35">
      <c r="A1424" s="1784">
        <v>206256</v>
      </c>
      <c r="B1424" s="1782"/>
      <c r="C1424" s="1785">
        <v>3.83874</v>
      </c>
      <c r="D1424" s="1786">
        <v>0.16</v>
      </c>
      <c r="E1424" s="1786">
        <v>6.24</v>
      </c>
      <c r="F1424" s="1786">
        <v>2.8000000000000001E-2</v>
      </c>
      <c r="G1424" s="1786">
        <v>6.43</v>
      </c>
      <c r="H1424" s="1786">
        <v>1.89</v>
      </c>
      <c r="I1424" s="1786">
        <v>67.459999999999994</v>
      </c>
      <c r="J1424" s="1786">
        <v>7.81</v>
      </c>
      <c r="K1424" s="1786">
        <v>60.26</v>
      </c>
      <c r="L1424" s="1786">
        <v>116.34</v>
      </c>
      <c r="M1424" s="1786">
        <v>44.75</v>
      </c>
    </row>
    <row r="1425" spans="1:13" x14ac:dyDescent="0.35">
      <c r="A1425" s="1784">
        <v>206257</v>
      </c>
      <c r="B1425" s="1782"/>
      <c r="C1425" s="1785">
        <v>3.3904199999999998</v>
      </c>
      <c r="D1425" s="1786">
        <v>0.33</v>
      </c>
      <c r="E1425" s="1786">
        <v>5.97</v>
      </c>
      <c r="F1425" s="1786">
        <v>1.7000000000000001E-2</v>
      </c>
      <c r="G1425" s="1786">
        <v>6.39</v>
      </c>
      <c r="H1425" s="1786">
        <v>1.5</v>
      </c>
      <c r="I1425" s="1786">
        <v>31.72</v>
      </c>
      <c r="J1425" s="1786">
        <v>10.97</v>
      </c>
      <c r="K1425" s="1786">
        <v>64.44</v>
      </c>
      <c r="L1425" s="1786">
        <v>183.65</v>
      </c>
      <c r="M1425" s="1786">
        <v>101.28</v>
      </c>
    </row>
    <row r="1426" spans="1:13" x14ac:dyDescent="0.35">
      <c r="A1426" s="1784">
        <v>206258</v>
      </c>
      <c r="B1426" s="1782"/>
      <c r="C1426" s="1785">
        <v>4.4271599999999998</v>
      </c>
      <c r="D1426" s="1786">
        <v>0.43</v>
      </c>
      <c r="E1426" s="1786">
        <v>5.83</v>
      </c>
      <c r="F1426" s="1786">
        <v>2.5000000000000001E-2</v>
      </c>
      <c r="G1426" s="1786">
        <v>6.71</v>
      </c>
      <c r="H1426" s="1786">
        <v>1.92</v>
      </c>
      <c r="I1426" s="1786">
        <v>40.85</v>
      </c>
      <c r="J1426" s="1786">
        <v>19.07</v>
      </c>
      <c r="K1426" s="1786">
        <v>23.86</v>
      </c>
      <c r="L1426" s="1786">
        <v>152.6</v>
      </c>
      <c r="M1426" s="1786">
        <v>80.709999999999994</v>
      </c>
    </row>
    <row r="1427" spans="1:13" x14ac:dyDescent="0.35">
      <c r="A1427" s="1784">
        <v>206259</v>
      </c>
      <c r="B1427" s="1782"/>
      <c r="C1427" s="1785">
        <v>3.5024999999999999</v>
      </c>
      <c r="D1427" s="1786">
        <v>0.24</v>
      </c>
      <c r="E1427" s="1786">
        <v>7.23</v>
      </c>
      <c r="F1427" s="1786">
        <v>1.9E-2</v>
      </c>
      <c r="G1427" s="1786">
        <v>6.69</v>
      </c>
      <c r="H1427" s="1786">
        <v>1.46</v>
      </c>
      <c r="I1427" s="1786">
        <v>33.26</v>
      </c>
      <c r="J1427" s="1786">
        <v>3.73</v>
      </c>
      <c r="K1427" s="1786">
        <v>35.53</v>
      </c>
      <c r="L1427" s="1786">
        <v>104.3</v>
      </c>
      <c r="M1427" s="1786">
        <v>57.52</v>
      </c>
    </row>
    <row r="1428" spans="1:13" x14ac:dyDescent="0.35">
      <c r="A1428" s="1784">
        <v>206260</v>
      </c>
      <c r="B1428" s="1782"/>
      <c r="C1428" s="1785">
        <v>4.0909199999999997</v>
      </c>
      <c r="D1428" s="1786">
        <v>0.31</v>
      </c>
      <c r="E1428" s="1786">
        <v>4.72</v>
      </c>
      <c r="F1428" s="1786">
        <v>2.5000000000000001E-2</v>
      </c>
      <c r="G1428" s="1786">
        <v>5.52</v>
      </c>
      <c r="H1428" s="1786">
        <v>1.83</v>
      </c>
      <c r="I1428" s="1786">
        <v>36.81</v>
      </c>
      <c r="J1428" s="1786">
        <v>7.04</v>
      </c>
      <c r="K1428" s="1786">
        <v>38.65</v>
      </c>
      <c r="L1428" s="1786">
        <v>104.58</v>
      </c>
      <c r="M1428" s="1786">
        <v>53.41</v>
      </c>
    </row>
    <row r="1429" spans="1:13" x14ac:dyDescent="0.35">
      <c r="A1429" s="1784">
        <v>206261</v>
      </c>
      <c r="B1429" s="1782"/>
      <c r="C1429" s="1785">
        <v>1.06</v>
      </c>
      <c r="D1429" s="1785">
        <v>0.15</v>
      </c>
      <c r="E1429" s="1785">
        <v>1.02</v>
      </c>
      <c r="F1429" s="1785">
        <v>8.0000000000000002E-3</v>
      </c>
      <c r="G1429" s="1785">
        <v>2.8</v>
      </c>
      <c r="H1429" s="1785">
        <v>0.17</v>
      </c>
      <c r="I1429" s="1785">
        <v>21.51</v>
      </c>
      <c r="J1429" s="1785">
        <v>232.5</v>
      </c>
      <c r="K1429" s="1785">
        <v>38.590000000000003</v>
      </c>
      <c r="L1429" s="1785">
        <v>233.62</v>
      </c>
      <c r="M1429" s="1785">
        <v>24.76</v>
      </c>
    </row>
    <row r="1430" spans="1:13" x14ac:dyDescent="0.35">
      <c r="A1430" s="1784">
        <v>206262</v>
      </c>
      <c r="B1430" s="1782"/>
      <c r="C1430" s="1785">
        <v>1.2</v>
      </c>
      <c r="D1430" s="1785">
        <v>0.14000000000000001</v>
      </c>
      <c r="E1430" s="1785">
        <v>0.88</v>
      </c>
      <c r="F1430" s="1785">
        <v>1.2E-2</v>
      </c>
      <c r="G1430" s="1785">
        <v>3.36</v>
      </c>
      <c r="H1430" s="1785">
        <v>0.25</v>
      </c>
      <c r="I1430" s="1785">
        <v>19.940000000000001</v>
      </c>
      <c r="J1430" s="1785">
        <v>266.3</v>
      </c>
      <c r="K1430" s="1785">
        <v>39.299999999999997</v>
      </c>
      <c r="L1430" s="1785">
        <v>154.63999999999999</v>
      </c>
      <c r="M1430" s="1785">
        <v>19.61</v>
      </c>
    </row>
    <row r="1431" spans="1:13" x14ac:dyDescent="0.35">
      <c r="A1431" s="1784">
        <v>206263</v>
      </c>
      <c r="B1431" s="1782"/>
      <c r="C1431" s="1785">
        <v>1.7652600000000003</v>
      </c>
      <c r="D1431" s="1785">
        <v>0.11700000000000001</v>
      </c>
      <c r="E1431" s="1785">
        <v>0.55000000000000004</v>
      </c>
      <c r="F1431" s="1785">
        <v>4.2000000000000003E-2</v>
      </c>
      <c r="G1431" s="1785">
        <v>4.806</v>
      </c>
      <c r="H1431" s="1785">
        <v>0.38800000000000001</v>
      </c>
      <c r="I1431" s="1785">
        <v>35.5</v>
      </c>
      <c r="J1431" s="1785">
        <v>3.2879999999999998</v>
      </c>
      <c r="K1431" s="1785">
        <v>36.909999999999997</v>
      </c>
      <c r="L1431" s="1785">
        <v>134</v>
      </c>
      <c r="M1431" s="1785">
        <v>61.42</v>
      </c>
    </row>
    <row r="1432" spans="1:13" x14ac:dyDescent="0.35">
      <c r="A1432" s="1784">
        <v>206264</v>
      </c>
      <c r="B1432" s="1782"/>
      <c r="C1432" s="1785">
        <v>3.1382400000000006</v>
      </c>
      <c r="D1432" s="1785">
        <v>0.17499999999999999</v>
      </c>
      <c r="E1432" s="1785">
        <v>0.75</v>
      </c>
      <c r="F1432" s="1785">
        <v>4.4999999999999998E-2</v>
      </c>
      <c r="G1432" s="1785">
        <v>3.2909999999999999</v>
      </c>
      <c r="H1432" s="1785">
        <v>0.27900000000000003</v>
      </c>
      <c r="I1432" s="1785">
        <v>40.380000000000003</v>
      </c>
      <c r="J1432" s="1785">
        <v>3.0259999999999998</v>
      </c>
      <c r="K1432" s="1785">
        <v>44.61</v>
      </c>
      <c r="L1432" s="1785">
        <v>56.83</v>
      </c>
      <c r="M1432" s="1785">
        <v>45.8</v>
      </c>
    </row>
    <row r="1433" spans="1:13" x14ac:dyDescent="0.35">
      <c r="A1433" s="1784">
        <v>206265</v>
      </c>
      <c r="B1433" s="1782"/>
      <c r="C1433" s="1785">
        <v>2.3256600000000001</v>
      </c>
      <c r="D1433" s="1785">
        <v>0.14499999999999999</v>
      </c>
      <c r="E1433" s="1785">
        <v>1.1000000000000001</v>
      </c>
      <c r="F1433" s="1785">
        <v>4.3999999999999997E-2</v>
      </c>
      <c r="G1433" s="1785">
        <v>4.1550000000000002</v>
      </c>
      <c r="H1433" s="1785">
        <v>0.29599999999999999</v>
      </c>
      <c r="I1433" s="1785">
        <v>38.619999999999997</v>
      </c>
      <c r="J1433" s="1785">
        <v>2.6760000000000002</v>
      </c>
      <c r="K1433" s="1785">
        <v>31.36</v>
      </c>
      <c r="L1433" s="1785">
        <v>63.46</v>
      </c>
      <c r="M1433" s="1785">
        <v>51.19</v>
      </c>
    </row>
    <row r="1434" spans="1:13" x14ac:dyDescent="0.35">
      <c r="A1434" s="1784">
        <v>206266</v>
      </c>
      <c r="B1434" s="1782"/>
      <c r="C1434" s="1785">
        <v>2.3256600000000001</v>
      </c>
      <c r="D1434" s="1785">
        <v>0.107</v>
      </c>
      <c r="E1434" s="1785">
        <v>0.65</v>
      </c>
      <c r="F1434" s="1785">
        <v>5.1999999999999998E-2</v>
      </c>
      <c r="G1434" s="1785">
        <v>4.0220000000000002</v>
      </c>
      <c r="H1434" s="1785">
        <v>0.311</v>
      </c>
      <c r="I1434" s="1785">
        <v>134.49</v>
      </c>
      <c r="J1434" s="1785">
        <v>0.85699999999999998</v>
      </c>
      <c r="K1434" s="1785">
        <v>142.18</v>
      </c>
      <c r="L1434" s="1785">
        <v>72.81</v>
      </c>
      <c r="M1434" s="1785">
        <v>71.349999999999994</v>
      </c>
    </row>
    <row r="1435" spans="1:13" x14ac:dyDescent="0.35">
      <c r="A1435" s="1784">
        <v>206267</v>
      </c>
      <c r="B1435" s="1782"/>
      <c r="C1435" s="1785">
        <v>2.0174400000000001</v>
      </c>
      <c r="D1435" s="1785">
        <v>0.14599999999999999</v>
      </c>
      <c r="E1435" s="1785">
        <v>0.93</v>
      </c>
      <c r="F1435" s="1785">
        <v>3.9E-2</v>
      </c>
      <c r="G1435" s="1785">
        <v>4.2080000000000002</v>
      </c>
      <c r="H1435" s="1785">
        <v>0.316</v>
      </c>
      <c r="I1435" s="1785">
        <v>52.33</v>
      </c>
      <c r="J1435" s="1785">
        <v>2.16</v>
      </c>
      <c r="K1435" s="1785">
        <v>67.650000000000006</v>
      </c>
      <c r="L1435" s="1785">
        <v>68.900000000000006</v>
      </c>
      <c r="M1435" s="1785">
        <v>62.83</v>
      </c>
    </row>
    <row r="1436" spans="1:13" x14ac:dyDescent="0.35">
      <c r="A1436" s="1784">
        <v>206268</v>
      </c>
      <c r="B1436" s="1782"/>
      <c r="C1436" s="1785">
        <v>2.15754</v>
      </c>
      <c r="D1436" s="1785">
        <v>9.9000000000000005E-2</v>
      </c>
      <c r="E1436" s="1785">
        <v>0.85</v>
      </c>
      <c r="F1436" s="1785">
        <v>0.05</v>
      </c>
      <c r="G1436" s="1785">
        <v>3.93</v>
      </c>
      <c r="H1436" s="1785">
        <v>0.28599999999999998</v>
      </c>
      <c r="I1436" s="1785">
        <v>132.66</v>
      </c>
      <c r="J1436" s="1785">
        <v>68.641000000000005</v>
      </c>
      <c r="K1436" s="1785">
        <v>144.93</v>
      </c>
      <c r="L1436" s="1785">
        <v>74.349999999999994</v>
      </c>
      <c r="M1436" s="1785">
        <v>58.9</v>
      </c>
    </row>
    <row r="1437" spans="1:13" x14ac:dyDescent="0.35">
      <c r="A1437" s="1784">
        <v>206269</v>
      </c>
      <c r="B1437" s="1782"/>
      <c r="C1437" s="1785">
        <v>1.7652600000000003</v>
      </c>
      <c r="D1437" s="1785">
        <v>0.108</v>
      </c>
      <c r="E1437" s="1785">
        <v>0.64</v>
      </c>
      <c r="F1437" s="1785">
        <v>4.1000000000000002E-2</v>
      </c>
      <c r="G1437" s="1785">
        <v>4.7389999999999999</v>
      </c>
      <c r="H1437" s="1785">
        <v>0.42199999999999999</v>
      </c>
      <c r="I1437" s="1785">
        <v>48.33</v>
      </c>
      <c r="J1437" s="1785">
        <v>2.4319999999999999</v>
      </c>
      <c r="K1437" s="1785">
        <v>39.130000000000003</v>
      </c>
      <c r="L1437" s="1785">
        <v>58.68</v>
      </c>
      <c r="M1437" s="1785">
        <v>57.69</v>
      </c>
    </row>
    <row r="1438" spans="1:13" x14ac:dyDescent="0.35">
      <c r="A1438" s="1807">
        <v>206270</v>
      </c>
      <c r="B1438" s="1807"/>
      <c r="C1438" s="1808">
        <v>1.82</v>
      </c>
      <c r="D1438" s="1808">
        <v>0.13300000000000001</v>
      </c>
      <c r="E1438" s="1808">
        <v>1.34</v>
      </c>
      <c r="F1438" s="1808">
        <v>0.04</v>
      </c>
      <c r="G1438" s="1808">
        <v>3.04</v>
      </c>
      <c r="H1438" s="1808">
        <v>0.34</v>
      </c>
      <c r="I1438" s="1808">
        <v>16.09</v>
      </c>
      <c r="J1438" s="1808">
        <v>4.9000000000000004</v>
      </c>
      <c r="K1438" s="1808">
        <v>15.25</v>
      </c>
      <c r="L1438" s="1808">
        <v>130.80000000000001</v>
      </c>
      <c r="M1438" s="1808">
        <v>169.05</v>
      </c>
    </row>
    <row r="1439" spans="1:13" x14ac:dyDescent="0.35">
      <c r="A1439" s="1807">
        <v>206271</v>
      </c>
      <c r="B1439" s="1807"/>
      <c r="C1439" s="1808">
        <v>2.58</v>
      </c>
      <c r="D1439" s="1808">
        <v>0.35899999999999999</v>
      </c>
      <c r="E1439" s="1808">
        <v>1.55</v>
      </c>
      <c r="F1439" s="1808">
        <v>0.08</v>
      </c>
      <c r="G1439" s="1808">
        <v>2.56</v>
      </c>
      <c r="H1439" s="1808">
        <v>0.27</v>
      </c>
      <c r="I1439" s="1808">
        <v>25.93</v>
      </c>
      <c r="J1439" s="1808">
        <v>7.26</v>
      </c>
      <c r="K1439" s="1808">
        <v>338.55</v>
      </c>
      <c r="L1439" s="1808">
        <v>131.63999999999999</v>
      </c>
      <c r="M1439" s="1808">
        <v>54.72</v>
      </c>
    </row>
    <row r="1440" spans="1:13" x14ac:dyDescent="0.35">
      <c r="A1440" s="1786">
        <v>206272</v>
      </c>
      <c r="B1440" s="1782"/>
      <c r="C1440" s="1785">
        <v>1.7372400000000001</v>
      </c>
      <c r="D1440" s="1786">
        <v>0.13200000000000001</v>
      </c>
      <c r="E1440" s="1786">
        <v>1.22</v>
      </c>
      <c r="F1440" s="1786">
        <v>2.7E-2</v>
      </c>
      <c r="G1440" s="1786">
        <v>1.88</v>
      </c>
      <c r="H1440" s="1786">
        <v>0.2</v>
      </c>
      <c r="I1440" s="1786">
        <v>20.05</v>
      </c>
      <c r="J1440" s="1786">
        <v>2.3199999999999998</v>
      </c>
      <c r="K1440" s="1786">
        <v>19.149999999999999</v>
      </c>
      <c r="L1440" s="1786">
        <v>42.59</v>
      </c>
      <c r="M1440" s="1786">
        <v>25.77</v>
      </c>
    </row>
    <row r="1441" spans="1:13" x14ac:dyDescent="0.35">
      <c r="A1441" s="1786">
        <v>206273</v>
      </c>
      <c r="B1441" s="1782"/>
      <c r="C1441" s="1785">
        <v>1.7652600000000003</v>
      </c>
      <c r="D1441" s="1786">
        <v>0.13200000000000001</v>
      </c>
      <c r="E1441" s="1786">
        <v>1.08</v>
      </c>
      <c r="F1441" s="1786">
        <v>3.5999999999999997E-2</v>
      </c>
      <c r="G1441" s="1786">
        <v>2.57</v>
      </c>
      <c r="H1441" s="1786">
        <v>0.31</v>
      </c>
      <c r="I1441" s="1786">
        <v>26.67</v>
      </c>
      <c r="J1441" s="1786">
        <v>2.88</v>
      </c>
      <c r="K1441" s="1786">
        <v>37.29</v>
      </c>
      <c r="L1441" s="1786">
        <v>66.930000000000007</v>
      </c>
      <c r="M1441" s="1786">
        <v>33.619999999999997</v>
      </c>
    </row>
    <row r="1442" spans="1:13" x14ac:dyDescent="0.35">
      <c r="A1442" s="1786">
        <v>206274</v>
      </c>
      <c r="B1442" s="1782"/>
      <c r="C1442" s="1785">
        <v>2.1014999999999997</v>
      </c>
      <c r="D1442" s="1786">
        <v>0.14499999999999999</v>
      </c>
      <c r="E1442" s="1786">
        <v>1.08</v>
      </c>
      <c r="F1442" s="1786">
        <v>3.5000000000000003E-2</v>
      </c>
      <c r="G1442" s="1786">
        <v>3.19</v>
      </c>
      <c r="H1442" s="1786">
        <v>0.31</v>
      </c>
      <c r="I1442" s="1786">
        <v>8.2899999999999991</v>
      </c>
      <c r="J1442" s="1786">
        <v>3.16</v>
      </c>
      <c r="K1442" s="1786">
        <v>13.82</v>
      </c>
      <c r="L1442" s="1786">
        <v>75.540000000000006</v>
      </c>
      <c r="M1442" s="1786">
        <v>42.72</v>
      </c>
    </row>
    <row r="1443" spans="1:13" x14ac:dyDescent="0.35">
      <c r="A1443" s="1786">
        <v>206275</v>
      </c>
      <c r="B1443" s="1782"/>
      <c r="C1443" s="1785">
        <v>2.1295200000000003</v>
      </c>
      <c r="D1443" s="1786">
        <v>0.16200000000000001</v>
      </c>
      <c r="E1443" s="1786">
        <v>1.36</v>
      </c>
      <c r="F1443" s="1786">
        <v>0.05</v>
      </c>
      <c r="G1443" s="1786">
        <v>2.0499999999999998</v>
      </c>
      <c r="H1443" s="1786">
        <v>0.22</v>
      </c>
      <c r="I1443" s="1786">
        <v>23.83</v>
      </c>
      <c r="J1443" s="1786">
        <v>4.09</v>
      </c>
      <c r="K1443" s="1786">
        <v>22.66</v>
      </c>
      <c r="L1443" s="1786">
        <v>65.77</v>
      </c>
      <c r="M1443" s="1786">
        <v>37.58</v>
      </c>
    </row>
    <row r="1444" spans="1:13" x14ac:dyDescent="0.35">
      <c r="A1444" s="1786">
        <v>206276</v>
      </c>
      <c r="B1444" s="1782"/>
      <c r="C1444" s="1785">
        <v>2.1295200000000003</v>
      </c>
      <c r="D1444" s="1786">
        <v>0.14399999999999999</v>
      </c>
      <c r="E1444" s="1786">
        <v>1.34</v>
      </c>
      <c r="F1444" s="1786">
        <v>4.1000000000000002E-2</v>
      </c>
      <c r="G1444" s="1786">
        <v>1.74</v>
      </c>
      <c r="H1444" s="1786">
        <v>0.21</v>
      </c>
      <c r="I1444" s="1786">
        <v>19.940000000000001</v>
      </c>
      <c r="J1444" s="1786">
        <v>2.39</v>
      </c>
      <c r="K1444" s="1786">
        <v>21.01</v>
      </c>
      <c r="L1444" s="1786">
        <v>42.67</v>
      </c>
      <c r="M1444" s="1786">
        <v>33.380000000000003</v>
      </c>
    </row>
    <row r="1445" spans="1:13" x14ac:dyDescent="0.35">
      <c r="A1445" s="1784">
        <v>206277</v>
      </c>
      <c r="B1445" s="1782"/>
      <c r="C1445" s="1787">
        <v>2.3256600000000001</v>
      </c>
      <c r="D1445" s="1786">
        <v>0.14000000000000001</v>
      </c>
      <c r="E1445" s="1787">
        <v>1.2658</v>
      </c>
      <c r="F1445" s="1787">
        <v>1.95E-2</v>
      </c>
      <c r="G1445" s="1787">
        <v>2.2764000000000002</v>
      </c>
      <c r="H1445" s="1787">
        <v>0.13769999999999999</v>
      </c>
      <c r="I1445" s="1786">
        <v>67.64</v>
      </c>
      <c r="J1445" s="1786">
        <v>4.5999999999999996</v>
      </c>
      <c r="K1445" s="1786">
        <v>59.79</v>
      </c>
      <c r="L1445" s="1786">
        <v>56.11</v>
      </c>
      <c r="M1445" s="1786">
        <v>40.96</v>
      </c>
    </row>
    <row r="1446" spans="1:13" x14ac:dyDescent="0.35">
      <c r="A1446" s="1784">
        <v>206278</v>
      </c>
      <c r="B1446" s="1782"/>
      <c r="C1446" s="1787">
        <v>2.3256600000000001</v>
      </c>
      <c r="D1446" s="1786">
        <v>0.11</v>
      </c>
      <c r="E1446" s="1787">
        <v>1.3249</v>
      </c>
      <c r="F1446" s="1787">
        <v>3.5200000000000002E-2</v>
      </c>
      <c r="G1446" s="1787">
        <v>2.0194999999999999</v>
      </c>
      <c r="H1446" s="1787">
        <v>0.1338</v>
      </c>
      <c r="I1446" s="1786">
        <v>42.75</v>
      </c>
      <c r="J1446" s="1786">
        <v>11.61</v>
      </c>
      <c r="K1446" s="1786">
        <v>31.12</v>
      </c>
      <c r="L1446" s="1786">
        <v>46.174999999999997</v>
      </c>
      <c r="M1446" s="1786">
        <v>43.52</v>
      </c>
    </row>
    <row r="1447" spans="1:13" x14ac:dyDescent="0.35">
      <c r="A1447" s="1784">
        <v>206279</v>
      </c>
      <c r="B1447" s="1782"/>
      <c r="C1447" s="1787">
        <v>1.9053600000000002</v>
      </c>
      <c r="D1447" s="1786">
        <v>0.11</v>
      </c>
      <c r="E1447" s="1787">
        <v>1.2865</v>
      </c>
      <c r="F1447" s="1787">
        <v>3.2000000000000001E-2</v>
      </c>
      <c r="G1447" s="1787">
        <v>1.6737</v>
      </c>
      <c r="H1447" s="1787">
        <v>0.1502</v>
      </c>
      <c r="I1447" s="1786">
        <v>67.05</v>
      </c>
      <c r="J1447" s="1786">
        <v>6.62</v>
      </c>
      <c r="K1447" s="1786">
        <v>41.97</v>
      </c>
      <c r="L1447" s="1786">
        <v>39.033999999999999</v>
      </c>
      <c r="M1447" s="1786">
        <v>31.96</v>
      </c>
    </row>
    <row r="1448" spans="1:13" x14ac:dyDescent="0.35">
      <c r="A1448" s="1784">
        <v>206280</v>
      </c>
      <c r="B1448" s="1782"/>
      <c r="C1448" s="1787">
        <v>2.2696200000000002</v>
      </c>
      <c r="D1448" s="1786">
        <v>0.13</v>
      </c>
      <c r="E1448" s="1787">
        <v>1.6735</v>
      </c>
      <c r="F1448" s="1787">
        <v>4.3299999999999998E-2</v>
      </c>
      <c r="G1448" s="1787">
        <v>2.2212999999999998</v>
      </c>
      <c r="H1448" s="1787">
        <v>0.1305</v>
      </c>
      <c r="I1448" s="1786">
        <v>40.54</v>
      </c>
      <c r="J1448" s="1786">
        <v>5.41</v>
      </c>
      <c r="K1448" s="1786">
        <v>43.26</v>
      </c>
      <c r="L1448" s="1786">
        <v>46.817999999999998</v>
      </c>
      <c r="M1448" s="1786">
        <v>48.32</v>
      </c>
    </row>
    <row r="1449" spans="1:13" x14ac:dyDescent="0.35">
      <c r="A1449" s="1784">
        <v>206281</v>
      </c>
      <c r="B1449" s="1782"/>
      <c r="C1449" s="1787">
        <v>2.1014999999999997</v>
      </c>
      <c r="D1449" s="1786">
        <v>0.12</v>
      </c>
      <c r="E1449" s="1787">
        <v>1.1204000000000001</v>
      </c>
      <c r="F1449" s="1787">
        <v>5.3499999999999999E-2</v>
      </c>
      <c r="G1449" s="1787">
        <v>2.5230999999999999</v>
      </c>
      <c r="H1449" s="1787">
        <v>0.1406</v>
      </c>
      <c r="I1449" s="1786">
        <v>40.25</v>
      </c>
      <c r="J1449" s="1786">
        <v>14.03</v>
      </c>
      <c r="K1449" s="1786">
        <v>38.86</v>
      </c>
      <c r="L1449" s="1786">
        <v>39.939</v>
      </c>
      <c r="M1449" s="1786">
        <v>52.68</v>
      </c>
    </row>
    <row r="1450" spans="1:13" x14ac:dyDescent="0.35">
      <c r="A1450" s="1784">
        <v>206282</v>
      </c>
      <c r="B1450" s="1782"/>
      <c r="C1450" s="1787">
        <v>2.4377399999999998</v>
      </c>
      <c r="D1450" s="1786">
        <v>0.13</v>
      </c>
      <c r="E1450" s="1787">
        <v>1.1897</v>
      </c>
      <c r="F1450" s="1787">
        <v>4.3400000000000001E-2</v>
      </c>
      <c r="G1450" s="1787">
        <v>3.8814000000000002</v>
      </c>
      <c r="H1450" s="1787">
        <v>0.23910000000000001</v>
      </c>
      <c r="I1450" s="1786">
        <v>37.700000000000003</v>
      </c>
      <c r="J1450" s="1786">
        <v>21.85</v>
      </c>
      <c r="K1450" s="1786">
        <v>38.47</v>
      </c>
      <c r="L1450" s="1786">
        <v>48.475000000000001</v>
      </c>
      <c r="M1450" s="1786">
        <v>59.7</v>
      </c>
    </row>
    <row r="1451" spans="1:13" x14ac:dyDescent="0.35">
      <c r="A1451" s="1784">
        <v>206283</v>
      </c>
      <c r="B1451" s="1782"/>
      <c r="C1451" s="1787">
        <v>1.9053600000000002</v>
      </c>
      <c r="D1451" s="1786">
        <v>0.11</v>
      </c>
      <c r="E1451" s="1787">
        <v>0.59830000000000005</v>
      </c>
      <c r="F1451" s="1787">
        <v>5.3800000000000001E-2</v>
      </c>
      <c r="G1451" s="1787">
        <v>5.5461999999999998</v>
      </c>
      <c r="H1451" s="1787">
        <v>0.28129999999999999</v>
      </c>
      <c r="I1451" s="1786">
        <v>47.3</v>
      </c>
      <c r="J1451" s="1786">
        <v>3.96</v>
      </c>
      <c r="K1451" s="1786">
        <v>50.08</v>
      </c>
      <c r="L1451" s="1786">
        <v>80.489999999999995</v>
      </c>
      <c r="M1451" s="1786">
        <v>75.13</v>
      </c>
    </row>
    <row r="1452" spans="1:13" x14ac:dyDescent="0.35">
      <c r="A1452" s="1784">
        <v>206284</v>
      </c>
      <c r="B1452" s="1782"/>
      <c r="C1452" s="1787">
        <v>1.7652600000000001</v>
      </c>
      <c r="D1452" s="1786">
        <v>0.12</v>
      </c>
      <c r="E1452" s="1787">
        <v>0.70909999999999995</v>
      </c>
      <c r="F1452" s="1787">
        <v>3.8300000000000001E-2</v>
      </c>
      <c r="G1452" s="1787">
        <v>3.7113</v>
      </c>
      <c r="H1452" s="1787">
        <v>0.2361</v>
      </c>
      <c r="I1452" s="1786">
        <v>27.48</v>
      </c>
      <c r="J1452" s="1786">
        <v>9.35</v>
      </c>
      <c r="K1452" s="1786">
        <v>37.159999999999997</v>
      </c>
      <c r="L1452" s="1786">
        <v>52.395000000000003</v>
      </c>
      <c r="M1452" s="1786">
        <v>57.7</v>
      </c>
    </row>
    <row r="1453" spans="1:13" x14ac:dyDescent="0.35">
      <c r="A1453" s="1784">
        <v>206285</v>
      </c>
      <c r="B1453" s="1782"/>
      <c r="C1453" s="1787">
        <v>2.5778400000000001</v>
      </c>
      <c r="D1453" s="1786">
        <v>0.12</v>
      </c>
      <c r="E1453" s="1787">
        <v>1.5634999999999999</v>
      </c>
      <c r="F1453" s="1787">
        <v>0.04</v>
      </c>
      <c r="G1453" s="1787">
        <v>2.3643999999999998</v>
      </c>
      <c r="H1453" s="1787">
        <v>0.13689999999999999</v>
      </c>
      <c r="I1453" s="1786">
        <v>90.67</v>
      </c>
      <c r="J1453" s="1786">
        <v>23.5</v>
      </c>
      <c r="K1453" s="1786">
        <v>94.37</v>
      </c>
      <c r="L1453" s="1786">
        <v>55.713999999999999</v>
      </c>
      <c r="M1453" s="1786">
        <v>55.17</v>
      </c>
    </row>
    <row r="1454" spans="1:13" x14ac:dyDescent="0.35">
      <c r="A1454" s="1784">
        <v>206286</v>
      </c>
      <c r="B1454" s="1782"/>
      <c r="C1454" s="1787">
        <v>2.35</v>
      </c>
      <c r="D1454" s="1786">
        <v>0.12</v>
      </c>
      <c r="E1454" s="1787">
        <v>1.3343</v>
      </c>
      <c r="F1454" s="1787">
        <v>4.07E-2</v>
      </c>
      <c r="G1454" s="1787">
        <v>2.3075000000000001</v>
      </c>
      <c r="H1454" s="1787">
        <v>0.14660000000000001</v>
      </c>
      <c r="I1454" s="1786">
        <v>36.61</v>
      </c>
      <c r="J1454" s="1786">
        <v>9.32</v>
      </c>
      <c r="K1454" s="1786">
        <v>37.96</v>
      </c>
      <c r="L1454" s="1786">
        <v>59.246000000000002</v>
      </c>
      <c r="M1454" s="1786">
        <v>48.16</v>
      </c>
    </row>
    <row r="1455" spans="1:13" x14ac:dyDescent="0.35">
      <c r="A1455" s="1784">
        <v>206287</v>
      </c>
      <c r="B1455" s="1782"/>
      <c r="C1455" s="1782">
        <v>1.1200000000000001</v>
      </c>
      <c r="D1455" s="1786">
        <v>0.1</v>
      </c>
      <c r="E1455" s="1786">
        <v>0.91</v>
      </c>
      <c r="F1455" s="1786">
        <v>0.05</v>
      </c>
      <c r="G1455" s="1786">
        <v>1.51</v>
      </c>
      <c r="H1455" s="1786">
        <v>0.22</v>
      </c>
      <c r="I1455" s="1786">
        <v>10.91</v>
      </c>
      <c r="J1455" s="1786">
        <v>3.45</v>
      </c>
      <c r="K1455" s="1786">
        <v>37.69</v>
      </c>
      <c r="L1455" s="1786">
        <v>68.75</v>
      </c>
      <c r="M1455" s="1786">
        <v>17.920000000000002</v>
      </c>
    </row>
    <row r="1456" spans="1:13" x14ac:dyDescent="0.35">
      <c r="A1456" s="1784">
        <v>206288</v>
      </c>
      <c r="B1456" s="1782"/>
      <c r="C1456" s="1782">
        <v>1.06</v>
      </c>
      <c r="D1456" s="1786">
        <v>0.12</v>
      </c>
      <c r="E1456" s="1786">
        <v>1.04</v>
      </c>
      <c r="F1456" s="1786">
        <v>0.04</v>
      </c>
      <c r="G1456" s="1786">
        <v>1.23</v>
      </c>
      <c r="H1456" s="1786">
        <v>0.13</v>
      </c>
      <c r="I1456" s="1786">
        <v>12.55</v>
      </c>
      <c r="J1456" s="1786">
        <v>12.56</v>
      </c>
      <c r="K1456" s="1786">
        <v>30.97</v>
      </c>
      <c r="L1456" s="1786">
        <v>67.489999999999995</v>
      </c>
      <c r="M1456" s="1786">
        <v>21.77</v>
      </c>
    </row>
    <row r="1457" spans="1:13" x14ac:dyDescent="0.35">
      <c r="A1457" s="1784">
        <v>206289</v>
      </c>
      <c r="B1457" s="1782"/>
      <c r="C1457" s="1782">
        <v>1.32</v>
      </c>
      <c r="D1457" s="1786">
        <v>0.15</v>
      </c>
      <c r="E1457" s="1786">
        <v>1.19</v>
      </c>
      <c r="F1457" s="1786">
        <v>0.02</v>
      </c>
      <c r="G1457" s="1786">
        <v>1.1399999999999999</v>
      </c>
      <c r="H1457" s="1786">
        <v>0.16</v>
      </c>
      <c r="I1457" s="1786">
        <v>24.17</v>
      </c>
      <c r="J1457" s="1786">
        <v>28.52</v>
      </c>
      <c r="K1457" s="1786">
        <v>43.8</v>
      </c>
      <c r="L1457" s="1786">
        <v>60.2</v>
      </c>
      <c r="M1457" s="1786">
        <v>23.33</v>
      </c>
    </row>
    <row r="1458" spans="1:13" x14ac:dyDescent="0.35">
      <c r="A1458" s="1784">
        <v>206290</v>
      </c>
      <c r="B1458" s="1782"/>
      <c r="C1458" s="1782">
        <v>1.29</v>
      </c>
      <c r="D1458" s="1786">
        <v>0.16</v>
      </c>
      <c r="E1458" s="1786">
        <v>1.1100000000000001</v>
      </c>
      <c r="F1458" s="1786">
        <v>0.02</v>
      </c>
      <c r="G1458" s="1786">
        <v>1.55</v>
      </c>
      <c r="H1458" s="1786">
        <v>0.18</v>
      </c>
      <c r="I1458" s="1786">
        <v>18.489999999999998</v>
      </c>
      <c r="J1458" s="1786">
        <v>28.17</v>
      </c>
      <c r="K1458" s="1786">
        <v>29.86</v>
      </c>
      <c r="L1458" s="1786">
        <v>60.16</v>
      </c>
      <c r="M1458" s="1786">
        <v>19.21</v>
      </c>
    </row>
    <row r="1459" spans="1:13" x14ac:dyDescent="0.35">
      <c r="A1459" s="1784">
        <v>206291</v>
      </c>
      <c r="B1459" s="1782"/>
      <c r="C1459" s="1782">
        <v>1.1499999999999999</v>
      </c>
      <c r="D1459" s="1786">
        <v>0.14000000000000001</v>
      </c>
      <c r="E1459" s="1786">
        <v>1.1399999999999999</v>
      </c>
      <c r="F1459" s="1786">
        <v>0.02</v>
      </c>
      <c r="G1459" s="1786">
        <v>1.38</v>
      </c>
      <c r="H1459" s="1786">
        <v>0.19</v>
      </c>
      <c r="I1459" s="1786">
        <v>17.89</v>
      </c>
      <c r="J1459" s="1786">
        <v>46.9</v>
      </c>
      <c r="K1459" s="1786">
        <v>40.340000000000003</v>
      </c>
      <c r="L1459" s="1786">
        <v>70.97</v>
      </c>
      <c r="M1459" s="1786">
        <v>23.46</v>
      </c>
    </row>
    <row r="1460" spans="1:13" x14ac:dyDescent="0.35">
      <c r="A1460" s="1784">
        <v>206292</v>
      </c>
      <c r="B1460" s="1782"/>
      <c r="C1460" s="1785">
        <v>1.87734</v>
      </c>
      <c r="D1460" s="1786">
        <v>0.17</v>
      </c>
      <c r="E1460" s="1786">
        <v>1.6</v>
      </c>
      <c r="F1460" s="1786">
        <v>7.0000000000000007E-2</v>
      </c>
      <c r="G1460" s="1786">
        <v>3.7</v>
      </c>
      <c r="H1460" s="1786">
        <v>0.21</v>
      </c>
      <c r="I1460" s="1786">
        <v>21.48</v>
      </c>
      <c r="J1460" s="1786">
        <v>3.43</v>
      </c>
      <c r="K1460" s="1786">
        <v>28.88</v>
      </c>
      <c r="L1460" s="1786">
        <v>96.86</v>
      </c>
      <c r="M1460" s="1786">
        <v>60.94</v>
      </c>
    </row>
    <row r="1461" spans="1:13" x14ac:dyDescent="0.35">
      <c r="A1461" s="1784">
        <v>206293</v>
      </c>
      <c r="B1461" s="1782"/>
      <c r="C1461" s="1785">
        <v>1.9333800000000001</v>
      </c>
      <c r="D1461" s="1786">
        <v>0.15</v>
      </c>
      <c r="E1461" s="1786">
        <v>1.97</v>
      </c>
      <c r="F1461" s="1786">
        <v>0.04</v>
      </c>
      <c r="G1461" s="1786">
        <v>2.0499999999999998</v>
      </c>
      <c r="H1461" s="1786">
        <v>0.24</v>
      </c>
      <c r="I1461" s="1786">
        <v>31.22</v>
      </c>
      <c r="J1461" s="1786">
        <v>4.13</v>
      </c>
      <c r="K1461" s="1786">
        <v>65.5</v>
      </c>
      <c r="L1461" s="1786">
        <v>61.57</v>
      </c>
      <c r="M1461" s="1786">
        <v>44.45</v>
      </c>
    </row>
    <row r="1462" spans="1:13" x14ac:dyDescent="0.35">
      <c r="A1462" s="1784">
        <v>206294</v>
      </c>
      <c r="B1462" s="1782"/>
      <c r="C1462" s="1785">
        <v>1.9333800000000001</v>
      </c>
      <c r="D1462" s="1786">
        <v>0.18</v>
      </c>
      <c r="E1462" s="1786">
        <v>1.79</v>
      </c>
      <c r="F1462" s="1786">
        <v>0.05</v>
      </c>
      <c r="G1462" s="1786">
        <v>3.23</v>
      </c>
      <c r="H1462" s="1786">
        <v>0.28000000000000003</v>
      </c>
      <c r="I1462" s="1786">
        <v>19.739999999999998</v>
      </c>
      <c r="J1462" s="1786">
        <v>4.99</v>
      </c>
      <c r="K1462" s="1786">
        <v>59.32</v>
      </c>
      <c r="L1462" s="1786">
        <v>56.02</v>
      </c>
      <c r="M1462" s="1786">
        <v>45.96</v>
      </c>
    </row>
    <row r="1463" spans="1:13" x14ac:dyDescent="0.35">
      <c r="A1463" s="1784">
        <v>206295</v>
      </c>
      <c r="B1463" s="1782"/>
      <c r="C1463" s="1785">
        <v>2.4937800000000001</v>
      </c>
      <c r="D1463" s="1785">
        <v>0.22</v>
      </c>
      <c r="E1463" s="1785">
        <v>7.15</v>
      </c>
      <c r="F1463" s="1785">
        <v>0.02</v>
      </c>
      <c r="G1463" s="1785">
        <v>1.32</v>
      </c>
      <c r="H1463" s="1785">
        <v>0.4</v>
      </c>
      <c r="I1463" s="1785">
        <v>12.79</v>
      </c>
      <c r="J1463" s="1785">
        <v>6.37</v>
      </c>
      <c r="K1463" s="1785">
        <v>138.53</v>
      </c>
      <c r="L1463" s="1785">
        <v>85.18</v>
      </c>
      <c r="M1463" s="1785">
        <v>15.87</v>
      </c>
    </row>
    <row r="1464" spans="1:13" x14ac:dyDescent="0.35">
      <c r="A1464" s="1784">
        <v>206296</v>
      </c>
      <c r="B1464" s="1782"/>
      <c r="C1464" s="1785">
        <v>2.7179399999999996</v>
      </c>
      <c r="D1464" s="1785">
        <v>0.19</v>
      </c>
      <c r="E1464" s="1785">
        <v>4.6399999999999997</v>
      </c>
      <c r="F1464" s="1785">
        <v>2.1000000000000001E-2</v>
      </c>
      <c r="G1464" s="1785">
        <v>1.25</v>
      </c>
      <c r="H1464" s="1785">
        <v>0.47</v>
      </c>
      <c r="I1464" s="1785">
        <v>14.53</v>
      </c>
      <c r="J1464" s="1785">
        <v>7.55</v>
      </c>
      <c r="K1464" s="1785">
        <v>245.64</v>
      </c>
      <c r="L1464" s="1785">
        <v>107.45</v>
      </c>
      <c r="M1464" s="1785">
        <v>17.61</v>
      </c>
    </row>
    <row r="1465" spans="1:13" x14ac:dyDescent="0.35">
      <c r="A1465" s="1784">
        <v>206297</v>
      </c>
      <c r="B1465" s="1782"/>
      <c r="C1465" s="1785">
        <v>2.6899199999999999</v>
      </c>
      <c r="D1465" s="1785">
        <v>0.24</v>
      </c>
      <c r="E1465" s="1785">
        <v>6.8</v>
      </c>
      <c r="F1465" s="1785">
        <v>2.1000000000000001E-2</v>
      </c>
      <c r="G1465" s="1785">
        <v>1.76</v>
      </c>
      <c r="H1465" s="1785">
        <v>0.36</v>
      </c>
      <c r="I1465" s="1785">
        <v>11.54</v>
      </c>
      <c r="J1465" s="1785">
        <v>6.02</v>
      </c>
      <c r="K1465" s="1785">
        <v>180.85</v>
      </c>
      <c r="L1465" s="1785">
        <v>118.89</v>
      </c>
      <c r="M1465" s="1785">
        <v>19.23</v>
      </c>
    </row>
    <row r="1466" spans="1:13" x14ac:dyDescent="0.35">
      <c r="A1466" s="1784">
        <v>206298</v>
      </c>
      <c r="B1466" s="1782"/>
      <c r="C1466" s="1785">
        <v>2.5778400000000001</v>
      </c>
      <c r="D1466" s="1785">
        <v>0.25</v>
      </c>
      <c r="E1466" s="1785">
        <v>6.76</v>
      </c>
      <c r="F1466" s="1785">
        <v>2.3E-2</v>
      </c>
      <c r="G1466" s="1785">
        <v>1.36</v>
      </c>
      <c r="H1466" s="1785">
        <v>0.41</v>
      </c>
      <c r="I1466" s="1785">
        <v>13.62</v>
      </c>
      <c r="J1466" s="1785">
        <v>7.24</v>
      </c>
      <c r="K1466" s="1785">
        <v>231.73</v>
      </c>
      <c r="L1466" s="1785">
        <v>134.69</v>
      </c>
      <c r="M1466" s="1785">
        <v>32.17</v>
      </c>
    </row>
    <row r="1467" spans="1:13" x14ac:dyDescent="0.35">
      <c r="A1467" s="1784">
        <v>206299</v>
      </c>
      <c r="B1467" s="1782"/>
      <c r="C1467" s="1785">
        <v>3.0821999999999998</v>
      </c>
      <c r="D1467" s="1785">
        <v>0.27</v>
      </c>
      <c r="E1467" s="1785">
        <v>6.22</v>
      </c>
      <c r="F1467" s="1785">
        <v>2.7E-2</v>
      </c>
      <c r="G1467" s="1785">
        <v>1.18</v>
      </c>
      <c r="H1467" s="1785">
        <v>0.52</v>
      </c>
      <c r="I1467" s="1785">
        <v>16.37</v>
      </c>
      <c r="J1467" s="1785">
        <v>9.49</v>
      </c>
      <c r="K1467" s="1785">
        <v>275.17</v>
      </c>
      <c r="L1467" s="1785">
        <v>125.8</v>
      </c>
      <c r="M1467" s="1785">
        <v>26.06</v>
      </c>
    </row>
    <row r="1468" spans="1:13" x14ac:dyDescent="0.35">
      <c r="A1468" s="1784">
        <v>206300</v>
      </c>
      <c r="B1468" s="1782"/>
      <c r="C1468" s="1785">
        <v>2.1014999999999997</v>
      </c>
      <c r="D1468" s="1785">
        <v>0.28000000000000003</v>
      </c>
      <c r="E1468" s="1785">
        <v>0.83</v>
      </c>
      <c r="F1468" s="1785">
        <v>8.0000000000000002E-3</v>
      </c>
      <c r="G1468" s="1785">
        <v>1.52</v>
      </c>
      <c r="H1468" s="1785">
        <v>0.38</v>
      </c>
      <c r="I1468" s="1785">
        <v>23.3</v>
      </c>
      <c r="J1468" s="1785">
        <v>34.49</v>
      </c>
      <c r="K1468" s="1785">
        <v>74.31</v>
      </c>
      <c r="L1468" s="1785">
        <v>82.08</v>
      </c>
      <c r="M1468" s="1785">
        <v>71.56</v>
      </c>
    </row>
    <row r="1469" spans="1:13" x14ac:dyDescent="0.35">
      <c r="A1469" s="1784">
        <v>206301</v>
      </c>
      <c r="B1469" s="1782"/>
      <c r="C1469" s="1785">
        <v>2.0174400000000001</v>
      </c>
      <c r="D1469" s="1785">
        <v>0.16</v>
      </c>
      <c r="E1469" s="1785">
        <v>0.97</v>
      </c>
      <c r="F1469" s="1785">
        <v>8.0000000000000002E-3</v>
      </c>
      <c r="G1469" s="1785">
        <v>0.92</v>
      </c>
      <c r="H1469" s="1785">
        <v>0.26</v>
      </c>
      <c r="I1469" s="1785">
        <v>18.77</v>
      </c>
      <c r="J1469" s="1785">
        <v>23.75</v>
      </c>
      <c r="K1469" s="1785">
        <v>46.92</v>
      </c>
      <c r="L1469" s="1785">
        <v>99.66</v>
      </c>
      <c r="M1469" s="1785">
        <v>83.5</v>
      </c>
    </row>
    <row r="1470" spans="1:13" x14ac:dyDescent="0.35">
      <c r="A1470" s="1784">
        <v>206302</v>
      </c>
      <c r="B1470" s="1782"/>
      <c r="C1470" s="1785">
        <v>1.9614000000000003</v>
      </c>
      <c r="D1470" s="1785">
        <v>0.2</v>
      </c>
      <c r="E1470" s="1785">
        <v>1.05</v>
      </c>
      <c r="F1470" s="1785">
        <v>0.01</v>
      </c>
      <c r="G1470" s="1785">
        <v>0.94</v>
      </c>
      <c r="H1470" s="1785">
        <v>0.23</v>
      </c>
      <c r="I1470" s="1785">
        <v>14.25</v>
      </c>
      <c r="J1470" s="1785">
        <v>7.13</v>
      </c>
      <c r="K1470" s="1785">
        <v>34.409999999999997</v>
      </c>
      <c r="L1470" s="1785">
        <v>101.07</v>
      </c>
      <c r="M1470" s="1785">
        <v>56.38</v>
      </c>
    </row>
    <row r="1471" spans="1:13" s="1293" customFormat="1" x14ac:dyDescent="0.35">
      <c r="A1471" s="1784">
        <v>206303</v>
      </c>
      <c r="B1471" s="1782"/>
      <c r="C1471" s="1785">
        <v>2.0454599999999998</v>
      </c>
      <c r="D1471" s="1785">
        <v>0.16</v>
      </c>
      <c r="E1471" s="1785">
        <v>1.06</v>
      </c>
      <c r="F1471" s="1785">
        <v>6.0000000000000001E-3</v>
      </c>
      <c r="G1471" s="1785">
        <v>0.71</v>
      </c>
      <c r="H1471" s="1785">
        <v>0.2</v>
      </c>
      <c r="I1471" s="1785">
        <v>7.59</v>
      </c>
      <c r="J1471" s="1785">
        <v>5.85</v>
      </c>
      <c r="K1471" s="1785">
        <v>24.23</v>
      </c>
      <c r="L1471" s="1785">
        <v>78.349999999999994</v>
      </c>
      <c r="M1471" s="1785">
        <v>53.77</v>
      </c>
    </row>
    <row r="1472" spans="1:13" s="1293" customFormat="1" x14ac:dyDescent="0.35">
      <c r="A1472" s="1784">
        <v>206304</v>
      </c>
      <c r="B1472" s="1782"/>
      <c r="C1472" s="1785">
        <v>2.0454599999999998</v>
      </c>
      <c r="D1472" s="1785">
        <v>0.23</v>
      </c>
      <c r="E1472" s="1785">
        <v>1.0900000000000001</v>
      </c>
      <c r="F1472" s="1785">
        <v>1.0999999999999999E-2</v>
      </c>
      <c r="G1472" s="1785">
        <v>0.74</v>
      </c>
      <c r="H1472" s="1785">
        <v>0.18</v>
      </c>
      <c r="I1472" s="1785">
        <v>7.35</v>
      </c>
      <c r="J1472" s="1785">
        <v>8.1999999999999993</v>
      </c>
      <c r="K1472" s="1785">
        <v>23.15</v>
      </c>
      <c r="L1472" s="1785">
        <v>90.97</v>
      </c>
      <c r="M1472" s="1785">
        <v>56.06</v>
      </c>
    </row>
    <row r="1473" spans="1:13" s="1293" customFormat="1" x14ac:dyDescent="0.35">
      <c r="A1473" s="1784">
        <v>206305</v>
      </c>
      <c r="B1473" s="1782"/>
      <c r="C1473" s="1785">
        <v>2.0174400000000001</v>
      </c>
      <c r="D1473" s="1785">
        <v>0.2</v>
      </c>
      <c r="E1473" s="1785">
        <v>1.37</v>
      </c>
      <c r="F1473" s="1785">
        <v>1.0999999999999999E-2</v>
      </c>
      <c r="G1473" s="1785">
        <v>0.81</v>
      </c>
      <c r="H1473" s="1785">
        <v>0.24</v>
      </c>
      <c r="I1473" s="1785">
        <v>12.44</v>
      </c>
      <c r="J1473" s="1785">
        <v>13.43</v>
      </c>
      <c r="K1473" s="1785">
        <v>22.97</v>
      </c>
      <c r="L1473" s="1785">
        <v>80.52</v>
      </c>
      <c r="M1473" s="1785">
        <v>53.35</v>
      </c>
    </row>
    <row r="1474" spans="1:13" s="1293" customFormat="1" x14ac:dyDescent="0.35">
      <c r="A1474" s="1784">
        <v>206306</v>
      </c>
      <c r="B1474" s="1782"/>
      <c r="C1474" s="1785">
        <v>2.38</v>
      </c>
      <c r="D1474" s="1786">
        <v>0.112</v>
      </c>
      <c r="E1474" s="1786">
        <v>0.74</v>
      </c>
      <c r="F1474" s="1786">
        <v>0.05</v>
      </c>
      <c r="G1474" s="1786">
        <v>5.47</v>
      </c>
      <c r="H1474" s="1786">
        <v>0.35</v>
      </c>
      <c r="I1474" s="1786">
        <v>73.14</v>
      </c>
      <c r="J1474" s="1786">
        <v>2.27</v>
      </c>
      <c r="K1474" s="1786">
        <v>53.27</v>
      </c>
      <c r="L1474" s="1786">
        <v>138.13999999999999</v>
      </c>
      <c r="M1474" s="1786">
        <v>68.5</v>
      </c>
    </row>
    <row r="1475" spans="1:13" s="1293" customFormat="1" x14ac:dyDescent="0.35">
      <c r="A1475" s="1784">
        <v>206307</v>
      </c>
      <c r="B1475" s="1782"/>
      <c r="C1475" s="1785">
        <v>2.19</v>
      </c>
      <c r="D1475" s="1786">
        <v>0.10199999999999999</v>
      </c>
      <c r="E1475" s="1786">
        <v>0.78</v>
      </c>
      <c r="F1475" s="1786">
        <v>0.04</v>
      </c>
      <c r="G1475" s="1786">
        <v>4.7699999999999996</v>
      </c>
      <c r="H1475" s="1786">
        <v>0.27</v>
      </c>
      <c r="I1475" s="1786">
        <v>39.97</v>
      </c>
      <c r="J1475" s="1786">
        <v>2.0299999999999998</v>
      </c>
      <c r="K1475" s="1786">
        <v>44.51</v>
      </c>
      <c r="L1475" s="1786">
        <v>125.46</v>
      </c>
      <c r="M1475" s="1786">
        <v>55.64</v>
      </c>
    </row>
    <row r="1476" spans="1:13" s="1293" customFormat="1" x14ac:dyDescent="0.35">
      <c r="A1476" s="1784">
        <v>206308</v>
      </c>
      <c r="B1476" s="1782"/>
      <c r="C1476" s="1785">
        <v>3</v>
      </c>
      <c r="D1476" s="1786">
        <v>0.14099999999999999</v>
      </c>
      <c r="E1476" s="1786">
        <v>1.38</v>
      </c>
      <c r="F1476" s="1786">
        <v>0.04</v>
      </c>
      <c r="G1476" s="1786">
        <v>3.62</v>
      </c>
      <c r="H1476" s="1786">
        <v>0.26</v>
      </c>
      <c r="I1476" s="1786">
        <v>45.89</v>
      </c>
      <c r="J1476" s="1786">
        <v>2.4900000000000002</v>
      </c>
      <c r="K1476" s="1786">
        <v>28.42</v>
      </c>
      <c r="L1476" s="1786">
        <v>90.93</v>
      </c>
      <c r="M1476" s="1786">
        <v>35.909999999999997</v>
      </c>
    </row>
    <row r="1477" spans="1:13" s="1293" customFormat="1" x14ac:dyDescent="0.35">
      <c r="A1477" s="1784">
        <v>206309</v>
      </c>
      <c r="B1477" s="1782"/>
      <c r="C1477" s="1785">
        <v>2.77</v>
      </c>
      <c r="D1477" s="1786">
        <v>0.151</v>
      </c>
      <c r="E1477" s="1786">
        <v>1.25</v>
      </c>
      <c r="F1477" s="1786">
        <v>0.04</v>
      </c>
      <c r="G1477" s="1786">
        <v>3</v>
      </c>
      <c r="H1477" s="1786">
        <v>0.22</v>
      </c>
      <c r="I1477" s="1786">
        <v>45.68</v>
      </c>
      <c r="J1477" s="1786">
        <v>2.59</v>
      </c>
      <c r="K1477" s="1786">
        <v>46.86</v>
      </c>
      <c r="L1477" s="1786">
        <v>101.3</v>
      </c>
      <c r="M1477" s="1786">
        <v>40.630000000000003</v>
      </c>
    </row>
    <row r="1478" spans="1:13" s="1293" customFormat="1" x14ac:dyDescent="0.35">
      <c r="A1478" s="1784">
        <v>206310</v>
      </c>
      <c r="B1478" s="1782"/>
      <c r="C1478" s="1785">
        <v>1.49</v>
      </c>
      <c r="D1478" s="1786">
        <v>0.14499999999999999</v>
      </c>
      <c r="E1478" s="1786">
        <v>0.78</v>
      </c>
      <c r="F1478" s="1786">
        <v>0.03</v>
      </c>
      <c r="G1478" s="1786">
        <v>1.83</v>
      </c>
      <c r="H1478" s="1786">
        <v>0.18</v>
      </c>
      <c r="I1478" s="1786">
        <v>21.64</v>
      </c>
      <c r="J1478" s="1786">
        <v>4.72</v>
      </c>
      <c r="K1478" s="1786">
        <v>47.32</v>
      </c>
      <c r="L1478" s="1786">
        <v>141.21</v>
      </c>
      <c r="M1478" s="1786">
        <v>22.08</v>
      </c>
    </row>
    <row r="1479" spans="1:13" s="1293" customFormat="1" x14ac:dyDescent="0.35">
      <c r="A1479" s="1784">
        <v>206311</v>
      </c>
      <c r="B1479" s="1782"/>
      <c r="C1479" s="1785">
        <v>2.0734800000000004</v>
      </c>
      <c r="D1479" s="1782"/>
      <c r="E1479" s="1782"/>
      <c r="F1479" s="1782"/>
      <c r="G1479" s="1786"/>
      <c r="H1479" s="1782"/>
      <c r="I1479" s="1783"/>
      <c r="J1479" s="1783"/>
      <c r="K1479" s="1783"/>
      <c r="L1479" s="1783"/>
      <c r="M1479" s="1783"/>
    </row>
    <row r="1480" spans="1:13" s="1293" customFormat="1" x14ac:dyDescent="0.35">
      <c r="A1480" s="1784">
        <v>206312</v>
      </c>
      <c r="B1480" s="1782"/>
      <c r="C1480" s="1785">
        <v>2.2135799999999999</v>
      </c>
      <c r="D1480" s="1782"/>
      <c r="E1480" s="1782"/>
      <c r="F1480" s="1782"/>
      <c r="G1480" s="1786"/>
      <c r="H1480" s="1782"/>
      <c r="I1480" s="1783"/>
      <c r="J1480" s="1783"/>
      <c r="K1480" s="1783"/>
      <c r="L1480" s="1783"/>
      <c r="M1480" s="1783"/>
    </row>
    <row r="1481" spans="1:13" s="1293" customFormat="1" x14ac:dyDescent="0.35">
      <c r="A1481" s="1784">
        <v>206313</v>
      </c>
      <c r="B1481" s="1782"/>
      <c r="C1481" s="1785">
        <v>2.5217999999999998</v>
      </c>
      <c r="D1481" s="1786">
        <v>0.15</v>
      </c>
      <c r="E1481" s="1786">
        <v>1.1399999999999999</v>
      </c>
      <c r="F1481" s="1786">
        <v>0.08</v>
      </c>
      <c r="G1481" s="1786">
        <v>3.16</v>
      </c>
      <c r="H1481" s="1786">
        <v>0.26</v>
      </c>
      <c r="I1481" s="1786">
        <v>89.1</v>
      </c>
      <c r="J1481" s="1786">
        <v>36.19</v>
      </c>
      <c r="K1481" s="1786">
        <v>26.8</v>
      </c>
      <c r="L1481" s="1786">
        <v>109.24</v>
      </c>
      <c r="M1481" s="1786">
        <v>59.04</v>
      </c>
    </row>
    <row r="1482" spans="1:13" s="1293" customFormat="1" x14ac:dyDescent="0.35">
      <c r="A1482" s="1784">
        <v>206314</v>
      </c>
      <c r="B1482" s="1782"/>
      <c r="C1482" s="1785">
        <v>2.2416</v>
      </c>
      <c r="D1482" s="1786">
        <v>0.18</v>
      </c>
      <c r="E1482" s="1786">
        <v>1.35</v>
      </c>
      <c r="F1482" s="1786">
        <v>0.09</v>
      </c>
      <c r="G1482" s="1786">
        <v>2.74</v>
      </c>
      <c r="H1482" s="1786">
        <v>0.26</v>
      </c>
      <c r="I1482" s="1786">
        <v>90.21</v>
      </c>
      <c r="J1482" s="1786">
        <v>34.909999999999997</v>
      </c>
      <c r="K1482" s="1786">
        <v>21.37</v>
      </c>
      <c r="L1482" s="1786">
        <v>97.35</v>
      </c>
      <c r="M1482" s="1786">
        <v>62.17</v>
      </c>
    </row>
    <row r="1483" spans="1:13" s="1293" customFormat="1" x14ac:dyDescent="0.35">
      <c r="A1483" s="1784">
        <v>206315</v>
      </c>
      <c r="B1483" s="1782"/>
      <c r="C1483" s="1785">
        <v>2.3816999999999999</v>
      </c>
      <c r="D1483" s="1786">
        <v>0.19</v>
      </c>
      <c r="E1483" s="1786">
        <v>1.46</v>
      </c>
      <c r="F1483" s="1786">
        <v>7.0000000000000007E-2</v>
      </c>
      <c r="G1483" s="1786">
        <v>2.89</v>
      </c>
      <c r="H1483" s="1786">
        <v>0.27</v>
      </c>
      <c r="I1483" s="1786">
        <v>44.45</v>
      </c>
      <c r="J1483" s="1786">
        <v>7.72</v>
      </c>
      <c r="K1483" s="1786">
        <v>18.670000000000002</v>
      </c>
      <c r="L1483" s="1786">
        <v>84.36</v>
      </c>
      <c r="M1483" s="1786">
        <v>61.3</v>
      </c>
    </row>
    <row r="1484" spans="1:13" s="1293" customFormat="1" x14ac:dyDescent="0.35">
      <c r="A1484" s="1784">
        <v>206316</v>
      </c>
      <c r="B1484" s="1782"/>
      <c r="C1484" s="1785">
        <v>1.9894200000000002</v>
      </c>
      <c r="D1484" s="1786">
        <v>0.11</v>
      </c>
      <c r="E1484" s="1786">
        <v>0.87</v>
      </c>
      <c r="F1484" s="1786">
        <v>0.1</v>
      </c>
      <c r="G1484" s="1786">
        <v>4.26</v>
      </c>
      <c r="H1484" s="1786">
        <v>0.27</v>
      </c>
      <c r="I1484" s="1786">
        <v>35.03</v>
      </c>
      <c r="J1484" s="1786">
        <v>6.46</v>
      </c>
      <c r="K1484" s="1786">
        <v>36.549999999999997</v>
      </c>
      <c r="L1484" s="1786">
        <v>237.63</v>
      </c>
      <c r="M1484" s="1786">
        <v>104.37</v>
      </c>
    </row>
    <row r="1485" spans="1:13" s="1293" customFormat="1" x14ac:dyDescent="0.35">
      <c r="A1485" s="1784">
        <v>206317</v>
      </c>
      <c r="B1485" s="1782"/>
      <c r="C1485" s="1785">
        <v>2.0454600000000003</v>
      </c>
      <c r="D1485" s="1786">
        <v>0.13</v>
      </c>
      <c r="E1485" s="1786">
        <v>0.97</v>
      </c>
      <c r="F1485" s="1786">
        <v>0.09</v>
      </c>
      <c r="G1485" s="1786">
        <v>2.88</v>
      </c>
      <c r="H1485" s="1786">
        <v>0.26</v>
      </c>
      <c r="I1485" s="1786">
        <v>35.299999999999997</v>
      </c>
      <c r="J1485" s="1786">
        <v>4.49</v>
      </c>
      <c r="K1485" s="1786">
        <v>35.770000000000003</v>
      </c>
      <c r="L1485" s="1786">
        <v>192.67</v>
      </c>
      <c r="M1485" s="1786">
        <v>81.17</v>
      </c>
    </row>
    <row r="1486" spans="1:13" s="1293" customFormat="1" x14ac:dyDescent="0.35">
      <c r="A1486" s="1784">
        <v>206318</v>
      </c>
      <c r="B1486" s="1782"/>
      <c r="C1486" s="1785">
        <v>1.9894200000000002</v>
      </c>
      <c r="D1486" s="1786">
        <v>0.13</v>
      </c>
      <c r="E1486" s="1786">
        <v>0.8</v>
      </c>
      <c r="F1486" s="1786">
        <v>0.09</v>
      </c>
      <c r="G1486" s="1786">
        <v>2.35</v>
      </c>
      <c r="H1486" s="1786">
        <v>0.23</v>
      </c>
      <c r="I1486" s="1786">
        <v>47.69</v>
      </c>
      <c r="J1486" s="1786">
        <v>4.71</v>
      </c>
      <c r="K1486" s="1786">
        <v>53.07</v>
      </c>
      <c r="L1486" s="1786">
        <v>225.35</v>
      </c>
      <c r="M1486" s="1786">
        <v>80.53</v>
      </c>
    </row>
    <row r="1487" spans="1:13" s="1293" customFormat="1" x14ac:dyDescent="0.35">
      <c r="A1487" s="1784">
        <v>206319</v>
      </c>
      <c r="B1487" s="1782"/>
      <c r="C1487" s="1785">
        <v>4.23102</v>
      </c>
      <c r="D1487" s="1786">
        <v>0.10879999999999999</v>
      </c>
      <c r="E1487" s="1786">
        <v>4.62</v>
      </c>
      <c r="F1487" s="1786">
        <v>0.02</v>
      </c>
      <c r="G1487" s="1786">
        <v>0.74</v>
      </c>
      <c r="H1487" s="1786">
        <v>1.31</v>
      </c>
      <c r="I1487" s="1786">
        <v>61.64</v>
      </c>
      <c r="J1487" s="1786">
        <v>5.6814</v>
      </c>
      <c r="K1487" s="1786">
        <v>30.171399999999998</v>
      </c>
      <c r="L1487" s="1786">
        <v>155.5771</v>
      </c>
      <c r="M1487" s="1786">
        <v>41.78</v>
      </c>
    </row>
    <row r="1488" spans="1:13" s="1293" customFormat="1" x14ac:dyDescent="0.35">
      <c r="A1488" s="1784">
        <v>206320</v>
      </c>
      <c r="B1488" s="1782"/>
      <c r="C1488" s="1785">
        <v>4.5952799999999989</v>
      </c>
      <c r="D1488" s="1786">
        <v>0.1452</v>
      </c>
      <c r="E1488" s="1786">
        <v>4.45</v>
      </c>
      <c r="F1488" s="1786">
        <v>0.02</v>
      </c>
      <c r="G1488" s="1786">
        <v>0.5</v>
      </c>
      <c r="H1488" s="1786">
        <v>1.1399999999999999</v>
      </c>
      <c r="I1488" s="1786">
        <v>63.352600000000002</v>
      </c>
      <c r="J1488" s="1786">
        <v>6.4593999999999996</v>
      </c>
      <c r="K1488" s="1786">
        <v>29.254999999999999</v>
      </c>
      <c r="L1488" s="1786">
        <v>102.9391</v>
      </c>
      <c r="M1488" s="1786">
        <v>33.6</v>
      </c>
    </row>
    <row r="1489" spans="1:13" s="1293" customFormat="1" x14ac:dyDescent="0.35">
      <c r="A1489" s="1784">
        <v>206321</v>
      </c>
      <c r="B1489" s="1782"/>
      <c r="C1489" s="1785">
        <v>4.5392400000000004</v>
      </c>
      <c r="D1489" s="1786">
        <v>0.17749999999999999</v>
      </c>
      <c r="E1489" s="1786">
        <v>4.62</v>
      </c>
      <c r="F1489" s="1786">
        <v>0.02</v>
      </c>
      <c r="G1489" s="1786">
        <v>0.48</v>
      </c>
      <c r="H1489" s="1786">
        <v>1.03</v>
      </c>
      <c r="I1489" s="1786">
        <v>67.840599999999995</v>
      </c>
      <c r="J1489" s="1786">
        <v>8.5503999999999998</v>
      </c>
      <c r="K1489" s="1786">
        <v>24.4239</v>
      </c>
      <c r="L1489" s="1786">
        <v>103.58759999999999</v>
      </c>
      <c r="M1489" s="1786">
        <v>31.09</v>
      </c>
    </row>
    <row r="1490" spans="1:13" s="1293" customFormat="1" x14ac:dyDescent="0.35">
      <c r="A1490" s="1784">
        <v>206322</v>
      </c>
      <c r="B1490" s="1782"/>
      <c r="C1490" s="1785">
        <v>2.9140800000000002</v>
      </c>
      <c r="D1490" s="1786">
        <v>0.2135</v>
      </c>
      <c r="E1490" s="1786">
        <v>2.92</v>
      </c>
      <c r="F1490" s="1786">
        <v>0.11</v>
      </c>
      <c r="G1490" s="1786">
        <v>2.94</v>
      </c>
      <c r="H1490" s="1786">
        <v>1.0900000000000001</v>
      </c>
      <c r="I1490" s="1786">
        <v>185.02180000000001</v>
      </c>
      <c r="J1490" s="1786">
        <v>17.7669</v>
      </c>
      <c r="K1490" s="1786">
        <v>197.96809999999999</v>
      </c>
      <c r="L1490" s="1786">
        <v>70.187899999999999</v>
      </c>
      <c r="M1490" s="1786">
        <v>151.16999999999999</v>
      </c>
    </row>
    <row r="1491" spans="1:13" s="1293" customFormat="1" x14ac:dyDescent="0.35">
      <c r="A1491" s="1784">
        <v>206323</v>
      </c>
      <c r="B1491" s="1782"/>
      <c r="C1491" s="1785">
        <v>1.3449600000000002</v>
      </c>
      <c r="D1491" s="1785">
        <v>7.6300000000000007E-2</v>
      </c>
      <c r="E1491" s="1785">
        <v>0.3</v>
      </c>
      <c r="F1491" s="1785">
        <v>0.11</v>
      </c>
      <c r="G1491" s="1785">
        <v>1.27</v>
      </c>
      <c r="H1491" s="1785">
        <v>0.15</v>
      </c>
      <c r="I1491" s="1785">
        <v>19.0458</v>
      </c>
      <c r="J1491" s="1785">
        <v>5.7088999999999999</v>
      </c>
      <c r="K1491" s="1785">
        <v>35.244100000000003</v>
      </c>
      <c r="L1491" s="1785">
        <v>149.8143</v>
      </c>
      <c r="M1491" s="1785">
        <v>12.53</v>
      </c>
    </row>
    <row r="1492" spans="1:13" s="1293" customFormat="1" x14ac:dyDescent="0.35">
      <c r="A1492" s="1784">
        <v>206324</v>
      </c>
      <c r="B1492" s="1782"/>
      <c r="C1492" s="1782">
        <v>2.61</v>
      </c>
      <c r="D1492" s="1782">
        <v>0.17</v>
      </c>
      <c r="E1492" s="1782">
        <v>0.96</v>
      </c>
      <c r="F1492" s="1782">
        <v>2.3E-2</v>
      </c>
      <c r="G1492" s="1782">
        <v>2.44</v>
      </c>
      <c r="H1492" s="1782">
        <v>0.9</v>
      </c>
      <c r="I1492" s="1782">
        <v>25.53</v>
      </c>
      <c r="J1492" s="1782">
        <v>5.7</v>
      </c>
      <c r="K1492" s="1782">
        <v>44.9</v>
      </c>
      <c r="L1492" s="1782">
        <v>65.55</v>
      </c>
      <c r="M1492" s="1782">
        <v>25.52</v>
      </c>
    </row>
    <row r="1493" spans="1:13" s="1293" customFormat="1" x14ac:dyDescent="0.35">
      <c r="A1493" s="1784">
        <v>206325</v>
      </c>
      <c r="B1493" s="1782"/>
      <c r="C1493" s="1782">
        <v>2.2400000000000002</v>
      </c>
      <c r="D1493" s="1782">
        <v>0.14000000000000001</v>
      </c>
      <c r="E1493" s="1782">
        <v>1.32</v>
      </c>
      <c r="F1493" s="1782">
        <v>2.5999999999999999E-2</v>
      </c>
      <c r="G1493" s="1782">
        <v>3.37</v>
      </c>
      <c r="H1493" s="1782">
        <v>0.5</v>
      </c>
      <c r="I1493" s="1782">
        <v>32.380000000000003</v>
      </c>
      <c r="J1493" s="1782">
        <v>4.9400000000000004</v>
      </c>
      <c r="K1493" s="1782">
        <v>71.430000000000007</v>
      </c>
      <c r="L1493" s="1782">
        <v>97.29</v>
      </c>
      <c r="M1493" s="1782">
        <v>27.66</v>
      </c>
    </row>
    <row r="1494" spans="1:13" s="1293" customFormat="1" x14ac:dyDescent="0.35">
      <c r="A1494" s="1784">
        <v>206326</v>
      </c>
      <c r="B1494" s="1782"/>
      <c r="C1494" s="1782">
        <v>2.89</v>
      </c>
      <c r="D1494" s="1782">
        <v>0.21</v>
      </c>
      <c r="E1494" s="1782">
        <v>3.36</v>
      </c>
      <c r="F1494" s="1782">
        <v>0.219</v>
      </c>
      <c r="G1494" s="1782">
        <v>3.21</v>
      </c>
      <c r="H1494" s="1782">
        <v>1.39</v>
      </c>
      <c r="I1494" s="1782">
        <v>186.63</v>
      </c>
      <c r="J1494" s="1782">
        <v>13.85</v>
      </c>
      <c r="K1494" s="1782">
        <v>246.06</v>
      </c>
      <c r="L1494" s="1782">
        <v>102.56</v>
      </c>
      <c r="M1494" s="1782">
        <v>152.29</v>
      </c>
    </row>
    <row r="1495" spans="1:13" s="1293" customFormat="1" x14ac:dyDescent="0.35">
      <c r="A1495" s="1784">
        <v>206327</v>
      </c>
      <c r="B1495" s="1782"/>
      <c r="C1495" s="1782">
        <v>2.58</v>
      </c>
      <c r="D1495" s="1782">
        <v>0.19</v>
      </c>
      <c r="E1495" s="1782">
        <v>4.04</v>
      </c>
      <c r="F1495" s="1782">
        <v>0.16</v>
      </c>
      <c r="G1495" s="1782">
        <v>2.9</v>
      </c>
      <c r="H1495" s="1782">
        <v>1.1599999999999999</v>
      </c>
      <c r="I1495" s="1782">
        <v>152.83000000000001</v>
      </c>
      <c r="J1495" s="1782">
        <v>16.8</v>
      </c>
      <c r="K1495" s="1782">
        <v>154.52000000000001</v>
      </c>
      <c r="L1495" s="1782">
        <v>87.6</v>
      </c>
      <c r="M1495" s="1782">
        <v>139.38</v>
      </c>
    </row>
    <row r="1496" spans="1:13" s="1293" customFormat="1" x14ac:dyDescent="0.35">
      <c r="A1496" s="1784">
        <v>206328</v>
      </c>
      <c r="B1496" s="1782"/>
      <c r="C1496" s="1782">
        <v>3.64</v>
      </c>
      <c r="D1496" s="1782">
        <v>0.23</v>
      </c>
      <c r="E1496" s="1782">
        <v>2.63</v>
      </c>
      <c r="F1496" s="1782">
        <v>0.15</v>
      </c>
      <c r="G1496" s="1782">
        <v>3.44</v>
      </c>
      <c r="H1496" s="1782">
        <v>1.1599999999999999</v>
      </c>
      <c r="I1496" s="1782">
        <v>147.63999999999999</v>
      </c>
      <c r="J1496" s="1782">
        <v>18.89</v>
      </c>
      <c r="K1496" s="1782">
        <v>188.05</v>
      </c>
      <c r="L1496" s="1782">
        <v>89.71</v>
      </c>
      <c r="M1496" s="1782">
        <v>158.05000000000001</v>
      </c>
    </row>
    <row r="1497" spans="1:13" s="1293" customFormat="1" x14ac:dyDescent="0.35">
      <c r="A1497" s="1784">
        <v>206329</v>
      </c>
      <c r="B1497" s="1782"/>
      <c r="C1497" s="1782">
        <v>2.77</v>
      </c>
      <c r="D1497" s="1786">
        <v>0.23</v>
      </c>
      <c r="E1497" s="1786">
        <v>1.58</v>
      </c>
      <c r="F1497" s="1786">
        <v>0.03</v>
      </c>
      <c r="G1497" s="1786">
        <v>1.06</v>
      </c>
      <c r="H1497" s="1786">
        <v>0.32</v>
      </c>
      <c r="I1497" s="1786">
        <v>12.92</v>
      </c>
      <c r="J1497" s="1786">
        <v>5.79</v>
      </c>
      <c r="K1497" s="1786">
        <v>54.57</v>
      </c>
      <c r="L1497" s="1786">
        <v>119.38</v>
      </c>
      <c r="M1497" s="1786">
        <v>29.48</v>
      </c>
    </row>
    <row r="1498" spans="1:13" s="1293" customFormat="1" x14ac:dyDescent="0.35">
      <c r="A1498" s="1784">
        <v>206330</v>
      </c>
      <c r="B1498" s="1782"/>
      <c r="C1498" s="1782">
        <v>2.66</v>
      </c>
      <c r="D1498" s="1786">
        <v>0.18</v>
      </c>
      <c r="E1498" s="1786">
        <v>1.08</v>
      </c>
      <c r="F1498" s="1786">
        <v>0.02</v>
      </c>
      <c r="G1498" s="1786">
        <v>1.72</v>
      </c>
      <c r="H1498" s="1786">
        <v>0.43</v>
      </c>
      <c r="I1498" s="1786">
        <v>13.93</v>
      </c>
      <c r="J1498" s="1786">
        <v>13.65</v>
      </c>
      <c r="K1498" s="1786">
        <v>67.069999999999993</v>
      </c>
      <c r="L1498" s="1786">
        <v>112.97</v>
      </c>
      <c r="M1498" s="1786">
        <v>25.49</v>
      </c>
    </row>
    <row r="1499" spans="1:13" s="1293" customFormat="1" x14ac:dyDescent="0.35">
      <c r="A1499" s="1784">
        <v>206331</v>
      </c>
      <c r="B1499" s="1782"/>
      <c r="C1499" s="1782">
        <v>2.61</v>
      </c>
      <c r="D1499" s="1786">
        <v>0.19</v>
      </c>
      <c r="E1499" s="1786">
        <v>1.46</v>
      </c>
      <c r="F1499" s="1786">
        <v>0.03</v>
      </c>
      <c r="G1499" s="1786">
        <v>2.3199999999999998</v>
      </c>
      <c r="H1499" s="1786">
        <v>0.7</v>
      </c>
      <c r="I1499" s="1786">
        <v>45.49</v>
      </c>
      <c r="J1499" s="1786">
        <v>8.69</v>
      </c>
      <c r="K1499" s="1786">
        <v>70.900000000000006</v>
      </c>
      <c r="L1499" s="1786">
        <v>111.09</v>
      </c>
      <c r="M1499" s="1786">
        <v>20.11</v>
      </c>
    </row>
    <row r="1500" spans="1:13" s="1293" customFormat="1" x14ac:dyDescent="0.35">
      <c r="A1500" s="1784">
        <v>206332</v>
      </c>
      <c r="B1500" s="1782"/>
      <c r="C1500" s="1782">
        <v>2.63</v>
      </c>
      <c r="D1500" s="1786">
        <v>0.17</v>
      </c>
      <c r="E1500" s="1786">
        <v>1.37</v>
      </c>
      <c r="F1500" s="1786">
        <v>0.02</v>
      </c>
      <c r="G1500" s="1786">
        <v>2.34</v>
      </c>
      <c r="H1500" s="1786">
        <v>0.48</v>
      </c>
      <c r="I1500" s="1786">
        <v>55.04</v>
      </c>
      <c r="J1500" s="1786">
        <v>7.28</v>
      </c>
      <c r="K1500" s="1786">
        <v>90.25</v>
      </c>
      <c r="L1500" s="1786">
        <v>90.99</v>
      </c>
      <c r="M1500" s="1786">
        <v>20.64</v>
      </c>
    </row>
    <row r="1501" spans="1:13" s="1293" customFormat="1" x14ac:dyDescent="0.35">
      <c r="A1501" s="1784">
        <v>206333</v>
      </c>
      <c r="B1501" s="1782"/>
      <c r="C1501" s="1782">
        <v>2.41</v>
      </c>
      <c r="D1501" s="1786">
        <v>0.24</v>
      </c>
      <c r="E1501" s="1786">
        <v>1.62</v>
      </c>
      <c r="F1501" s="1786">
        <v>0.02</v>
      </c>
      <c r="G1501" s="1786">
        <v>2.29</v>
      </c>
      <c r="H1501" s="1786">
        <v>0.52</v>
      </c>
      <c r="I1501" s="1786">
        <v>41.97</v>
      </c>
      <c r="J1501" s="1786">
        <v>7.43</v>
      </c>
      <c r="K1501" s="1786">
        <v>78.53</v>
      </c>
      <c r="L1501" s="1786">
        <v>83.15</v>
      </c>
      <c r="M1501" s="1786">
        <v>21.51</v>
      </c>
    </row>
    <row r="1502" spans="1:13" s="1293" customFormat="1" x14ac:dyDescent="0.35">
      <c r="A1502" s="1784">
        <v>206334</v>
      </c>
      <c r="B1502" s="1782"/>
      <c r="C1502" s="1782">
        <v>2.58</v>
      </c>
      <c r="D1502" s="1786">
        <v>0.19</v>
      </c>
      <c r="E1502" s="1786">
        <v>1.62</v>
      </c>
      <c r="F1502" s="1786">
        <v>0.02</v>
      </c>
      <c r="G1502" s="1786">
        <v>2.65</v>
      </c>
      <c r="H1502" s="1786">
        <v>0.53</v>
      </c>
      <c r="I1502" s="1786">
        <v>43.14</v>
      </c>
      <c r="J1502" s="1786">
        <v>7.68</v>
      </c>
      <c r="K1502" s="1786">
        <v>82.96</v>
      </c>
      <c r="L1502" s="1786">
        <v>97.95</v>
      </c>
      <c r="M1502" s="1786">
        <v>20.21</v>
      </c>
    </row>
    <row r="1503" spans="1:13" s="1293" customFormat="1" x14ac:dyDescent="0.35">
      <c r="A1503" s="1784">
        <v>206335</v>
      </c>
      <c r="B1503" s="1782"/>
      <c r="C1503" s="1782">
        <v>2.91</v>
      </c>
      <c r="D1503" s="1786">
        <v>0.26</v>
      </c>
      <c r="E1503" s="1786">
        <v>1.85</v>
      </c>
      <c r="F1503" s="1786">
        <v>0.03</v>
      </c>
      <c r="G1503" s="1786">
        <v>1.71</v>
      </c>
      <c r="H1503" s="1786">
        <v>0.43</v>
      </c>
      <c r="I1503" s="1786">
        <v>52.53</v>
      </c>
      <c r="J1503" s="1786">
        <v>8.77</v>
      </c>
      <c r="K1503" s="1786">
        <v>78</v>
      </c>
      <c r="L1503" s="1786">
        <v>135.49</v>
      </c>
      <c r="M1503" s="1786">
        <v>24.11</v>
      </c>
    </row>
    <row r="1504" spans="1:13" s="1293" customFormat="1" x14ac:dyDescent="0.35">
      <c r="A1504" s="1784">
        <v>206336</v>
      </c>
      <c r="B1504" s="1782"/>
      <c r="C1504" s="1782">
        <v>2.86</v>
      </c>
      <c r="D1504" s="1786">
        <v>0.22</v>
      </c>
      <c r="E1504" s="1786">
        <v>1.23</v>
      </c>
      <c r="F1504" s="1786">
        <v>0.02</v>
      </c>
      <c r="G1504" s="1786">
        <v>1.61</v>
      </c>
      <c r="H1504" s="1786">
        <v>0.43</v>
      </c>
      <c r="I1504" s="1786">
        <v>15.17</v>
      </c>
      <c r="J1504" s="1786">
        <v>6.41</v>
      </c>
      <c r="K1504" s="1786">
        <v>75.27</v>
      </c>
      <c r="L1504" s="1786">
        <v>97.76</v>
      </c>
      <c r="M1504" s="1786">
        <v>23.39</v>
      </c>
    </row>
    <row r="1505" spans="1:13" s="1293" customFormat="1" x14ac:dyDescent="0.35">
      <c r="A1505" s="1784">
        <v>206337</v>
      </c>
      <c r="B1505" s="1782"/>
      <c r="C1505" s="1782">
        <v>2.5499999999999998</v>
      </c>
      <c r="D1505" s="1786">
        <v>0.21</v>
      </c>
      <c r="E1505" s="1786">
        <v>1.21</v>
      </c>
      <c r="F1505" s="1786">
        <v>0.03</v>
      </c>
      <c r="G1505" s="1786">
        <v>1.4</v>
      </c>
      <c r="H1505" s="1786">
        <v>0.42</v>
      </c>
      <c r="I1505" s="1786">
        <v>13.3</v>
      </c>
      <c r="J1505" s="1786">
        <v>4.78</v>
      </c>
      <c r="K1505" s="1786">
        <v>51.29</v>
      </c>
      <c r="L1505" s="1786">
        <v>102.41</v>
      </c>
      <c r="M1505" s="1786">
        <v>26.02</v>
      </c>
    </row>
    <row r="1506" spans="1:13" s="1293" customFormat="1" x14ac:dyDescent="0.35">
      <c r="A1506" s="1784">
        <v>206338</v>
      </c>
      <c r="B1506" s="1782"/>
      <c r="C1506" s="1782">
        <v>2.66</v>
      </c>
      <c r="D1506" s="1782">
        <v>0.16</v>
      </c>
      <c r="E1506" s="1782">
        <v>1.07</v>
      </c>
      <c r="F1506" s="1782">
        <v>0.45</v>
      </c>
      <c r="G1506" s="1782">
        <v>1.1200000000000001</v>
      </c>
      <c r="H1506" s="1782">
        <v>0.44</v>
      </c>
      <c r="I1506" s="1782">
        <v>428.8</v>
      </c>
      <c r="J1506" s="1782">
        <v>9.27</v>
      </c>
      <c r="K1506" s="1782">
        <v>154.9</v>
      </c>
      <c r="L1506" s="1782">
        <v>140.21</v>
      </c>
      <c r="M1506" s="1782">
        <v>34.950000000000003</v>
      </c>
    </row>
    <row r="1507" spans="1:13" s="1293" customFormat="1" x14ac:dyDescent="0.35">
      <c r="A1507" s="1784">
        <v>206339</v>
      </c>
      <c r="B1507" s="1782"/>
      <c r="C1507" s="1782">
        <v>1.32</v>
      </c>
      <c r="D1507" s="1782">
        <v>0.09</v>
      </c>
      <c r="E1507" s="1782">
        <v>0.73</v>
      </c>
      <c r="F1507" s="1782">
        <v>0.02</v>
      </c>
      <c r="G1507" s="1782">
        <v>2.2000000000000002</v>
      </c>
      <c r="H1507" s="1782">
        <v>0.2</v>
      </c>
      <c r="I1507" s="1782">
        <v>19.96</v>
      </c>
      <c r="J1507" s="1782">
        <v>65.12</v>
      </c>
      <c r="K1507" s="1782">
        <v>70.760000000000005</v>
      </c>
      <c r="L1507" s="1782">
        <v>129.94999999999999</v>
      </c>
      <c r="M1507" s="1782">
        <v>20.67</v>
      </c>
    </row>
    <row r="1508" spans="1:13" s="1293" customFormat="1" x14ac:dyDescent="0.35">
      <c r="A1508" s="1784">
        <v>206340</v>
      </c>
      <c r="B1508" s="1782"/>
      <c r="C1508" s="1782">
        <v>2.2999999999999998</v>
      </c>
      <c r="D1508" s="1782">
        <v>0.2</v>
      </c>
      <c r="E1508" s="1782">
        <v>1.63</v>
      </c>
      <c r="F1508" s="1782">
        <v>0.03</v>
      </c>
      <c r="G1508" s="1782">
        <v>2.85</v>
      </c>
      <c r="H1508" s="1782">
        <v>0.35</v>
      </c>
      <c r="I1508" s="1782">
        <v>13.89</v>
      </c>
      <c r="J1508" s="1782">
        <v>8.67</v>
      </c>
      <c r="K1508" s="1782">
        <v>17.91</v>
      </c>
      <c r="L1508" s="1782">
        <v>75.099999999999994</v>
      </c>
      <c r="M1508" s="1782">
        <v>68.69</v>
      </c>
    </row>
    <row r="1509" spans="1:13" s="1293" customFormat="1" x14ac:dyDescent="0.35">
      <c r="A1509" s="1784">
        <v>206341</v>
      </c>
      <c r="B1509" s="1782"/>
      <c r="C1509" s="1782">
        <v>1.65</v>
      </c>
      <c r="D1509" s="1782">
        <v>0.11</v>
      </c>
      <c r="E1509" s="1782">
        <v>1.43</v>
      </c>
      <c r="F1509" s="1782">
        <v>0.05</v>
      </c>
      <c r="G1509" s="1782">
        <v>3.57</v>
      </c>
      <c r="H1509" s="1782">
        <v>0.18</v>
      </c>
      <c r="I1509" s="1783">
        <v>38.520000000000003</v>
      </c>
      <c r="J1509" s="1783">
        <v>176.46</v>
      </c>
      <c r="K1509" s="1783">
        <v>67.290000000000006</v>
      </c>
      <c r="L1509" s="1783">
        <v>88.56</v>
      </c>
      <c r="M1509" s="1783">
        <v>61.42</v>
      </c>
    </row>
    <row r="1510" spans="1:13" s="1293" customFormat="1" x14ac:dyDescent="0.35">
      <c r="A1510" s="1784">
        <v>206342</v>
      </c>
      <c r="B1510" s="1782"/>
      <c r="C1510" s="1782">
        <v>1.68</v>
      </c>
      <c r="D1510" s="1782">
        <v>0.11</v>
      </c>
      <c r="E1510" s="1782">
        <v>1.41</v>
      </c>
      <c r="F1510" s="1782">
        <v>0.04</v>
      </c>
      <c r="G1510" s="1782">
        <v>1.91</v>
      </c>
      <c r="H1510" s="1782">
        <v>0.19</v>
      </c>
      <c r="I1510" s="1783">
        <v>32.619999999999997</v>
      </c>
      <c r="J1510" s="1783">
        <v>252.11</v>
      </c>
      <c r="K1510" s="1783">
        <v>48.87</v>
      </c>
      <c r="L1510" s="1783">
        <v>110.35</v>
      </c>
      <c r="M1510" s="1783">
        <v>39.85</v>
      </c>
    </row>
    <row r="1511" spans="1:13" s="1293" customFormat="1" x14ac:dyDescent="0.35">
      <c r="A1511" s="1784">
        <v>206343</v>
      </c>
      <c r="B1511" s="1782"/>
      <c r="C1511" s="1782">
        <v>3.14</v>
      </c>
      <c r="D1511" s="1782">
        <v>0.18</v>
      </c>
      <c r="E1511" s="1782">
        <v>2.09</v>
      </c>
      <c r="F1511" s="1782">
        <v>0.03</v>
      </c>
      <c r="G1511" s="1782">
        <v>1.4</v>
      </c>
      <c r="H1511" s="1782">
        <v>0.39</v>
      </c>
      <c r="I1511" s="1783">
        <v>17.399999999999999</v>
      </c>
      <c r="J1511" s="1783">
        <v>7.08</v>
      </c>
      <c r="K1511" s="1783">
        <v>43.9</v>
      </c>
      <c r="L1511" s="1783">
        <v>105.69</v>
      </c>
      <c r="M1511" s="1783">
        <v>26.09</v>
      </c>
    </row>
    <row r="1512" spans="1:13" s="1293" customFormat="1" x14ac:dyDescent="0.35">
      <c r="A1512" s="1784">
        <v>206344</v>
      </c>
      <c r="B1512" s="1782"/>
      <c r="C1512" s="1782">
        <v>1.99</v>
      </c>
      <c r="D1512" s="1782">
        <v>0.11</v>
      </c>
      <c r="E1512" s="1782">
        <v>1.46</v>
      </c>
      <c r="F1512" s="1782">
        <v>0.03</v>
      </c>
      <c r="G1512" s="1782">
        <v>1.67</v>
      </c>
      <c r="H1512" s="1782">
        <v>0.87</v>
      </c>
      <c r="I1512" s="1783">
        <v>18.7</v>
      </c>
      <c r="J1512" s="1783">
        <v>3.19</v>
      </c>
      <c r="K1512" s="1783">
        <v>554.23</v>
      </c>
      <c r="L1512" s="1783">
        <v>100.92</v>
      </c>
      <c r="M1512" s="1783">
        <v>39.92</v>
      </c>
    </row>
    <row r="1513" spans="1:13" s="1293" customFormat="1" x14ac:dyDescent="0.35">
      <c r="A1513" s="1784">
        <v>206345</v>
      </c>
      <c r="B1513" s="1782"/>
      <c r="C1513" s="1782">
        <v>1.93</v>
      </c>
      <c r="D1513" s="1782">
        <v>0.12</v>
      </c>
      <c r="E1513" s="1782">
        <v>1.59</v>
      </c>
      <c r="F1513" s="1782">
        <v>0.04</v>
      </c>
      <c r="G1513" s="1782">
        <v>1.96</v>
      </c>
      <c r="H1513" s="1782">
        <v>0.82</v>
      </c>
      <c r="I1513" s="1783">
        <v>18.649999999999999</v>
      </c>
      <c r="J1513" s="1783">
        <v>3.26</v>
      </c>
      <c r="K1513" s="1783">
        <v>696.64</v>
      </c>
      <c r="L1513" s="1783">
        <v>73.36</v>
      </c>
      <c r="M1513" s="1783">
        <v>44.06</v>
      </c>
    </row>
    <row r="1514" spans="1:13" s="1293" customFormat="1" x14ac:dyDescent="0.35">
      <c r="A1514" s="1784">
        <v>206346</v>
      </c>
      <c r="B1514" s="1782"/>
      <c r="C1514" s="1782">
        <v>1.96</v>
      </c>
      <c r="D1514" s="1782">
        <v>0.11</v>
      </c>
      <c r="E1514" s="1782">
        <v>1.51</v>
      </c>
      <c r="F1514" s="1782">
        <v>0.03</v>
      </c>
      <c r="G1514" s="1782">
        <v>1.89</v>
      </c>
      <c r="H1514" s="1782">
        <v>0.72</v>
      </c>
      <c r="I1514" s="1783">
        <v>20.02</v>
      </c>
      <c r="J1514" s="1783">
        <v>2.1800000000000002</v>
      </c>
      <c r="K1514" s="1783">
        <v>515.73</v>
      </c>
      <c r="L1514" s="1783">
        <v>81.55</v>
      </c>
      <c r="M1514" s="1783">
        <v>46.81</v>
      </c>
    </row>
    <row r="1515" spans="1:13" s="1293" customFormat="1" x14ac:dyDescent="0.35">
      <c r="A1515" s="1784">
        <v>206347</v>
      </c>
      <c r="B1515" s="1782"/>
      <c r="C1515" s="1785">
        <v>2.2696200000000002</v>
      </c>
      <c r="D1515" s="1782">
        <v>0.15</v>
      </c>
      <c r="E1515" s="1782">
        <v>1.53</v>
      </c>
      <c r="F1515" s="1782">
        <v>1.7000000000000001E-2</v>
      </c>
      <c r="G1515" s="1782">
        <v>1.61</v>
      </c>
      <c r="H1515" s="1782">
        <v>0.5</v>
      </c>
      <c r="I1515" s="1783">
        <v>8.68</v>
      </c>
      <c r="J1515" s="1783">
        <v>5.34</v>
      </c>
      <c r="K1515" s="1783">
        <v>21.14</v>
      </c>
      <c r="L1515" s="1783">
        <v>85.43</v>
      </c>
      <c r="M1515" s="1783">
        <v>29.49</v>
      </c>
    </row>
    <row r="1516" spans="1:13" s="1293" customFormat="1" x14ac:dyDescent="0.35">
      <c r="A1516" s="1784">
        <v>206348</v>
      </c>
      <c r="B1516" s="1782"/>
      <c r="C1516" s="1785">
        <v>2.4377400000000002</v>
      </c>
      <c r="D1516" s="1782">
        <v>0.16</v>
      </c>
      <c r="E1516" s="1782">
        <v>1.34</v>
      </c>
      <c r="F1516" s="1782">
        <v>1.9E-2</v>
      </c>
      <c r="G1516" s="1782">
        <v>1.48</v>
      </c>
      <c r="H1516" s="1782">
        <v>0.5</v>
      </c>
      <c r="I1516" s="1783">
        <v>21.13</v>
      </c>
      <c r="J1516" s="1783">
        <v>5.45</v>
      </c>
      <c r="K1516" s="1783">
        <v>19.059999999999999</v>
      </c>
      <c r="L1516" s="1783">
        <v>158.81</v>
      </c>
      <c r="M1516" s="1783">
        <v>35.799999999999997</v>
      </c>
    </row>
    <row r="1517" spans="1:13" s="1293" customFormat="1" x14ac:dyDescent="0.35">
      <c r="A1517" s="1784">
        <v>206349</v>
      </c>
      <c r="B1517" s="1782"/>
      <c r="C1517" s="1785">
        <v>2.2976400000000003</v>
      </c>
      <c r="D1517" s="1782">
        <v>0.15</v>
      </c>
      <c r="E1517" s="1782">
        <v>1.61</v>
      </c>
      <c r="F1517" s="1782">
        <v>2.4E-2</v>
      </c>
      <c r="G1517" s="1782">
        <v>1.31</v>
      </c>
      <c r="H1517" s="1782">
        <v>0.41</v>
      </c>
      <c r="I1517" s="1783">
        <v>8.8699999999999992</v>
      </c>
      <c r="J1517" s="1783">
        <v>4.92</v>
      </c>
      <c r="K1517" s="1783">
        <v>25.72</v>
      </c>
      <c r="L1517" s="1783">
        <v>105.43</v>
      </c>
      <c r="M1517" s="1783">
        <v>30.33</v>
      </c>
    </row>
    <row r="1518" spans="1:13" s="1293" customFormat="1" x14ac:dyDescent="0.35">
      <c r="A1518" s="1784">
        <v>206350</v>
      </c>
      <c r="B1518" s="1782"/>
      <c r="C1518" s="1785">
        <v>2.1295200000000003</v>
      </c>
      <c r="D1518" s="1782">
        <v>0.12</v>
      </c>
      <c r="E1518" s="1782">
        <v>1.62</v>
      </c>
      <c r="F1518" s="1782">
        <v>2.1000000000000001E-2</v>
      </c>
      <c r="G1518" s="1782">
        <v>1.33</v>
      </c>
      <c r="H1518" s="1782">
        <v>0.44</v>
      </c>
      <c r="I1518" s="1783">
        <v>8.39</v>
      </c>
      <c r="J1518" s="1783">
        <v>4.83</v>
      </c>
      <c r="K1518" s="1783">
        <v>23.43</v>
      </c>
      <c r="L1518" s="1783">
        <v>180.23</v>
      </c>
      <c r="M1518" s="1783">
        <v>29.27</v>
      </c>
    </row>
    <row r="1519" spans="1:13" s="1293" customFormat="1" x14ac:dyDescent="0.35">
      <c r="A1519" s="1784">
        <v>206351</v>
      </c>
      <c r="B1519" s="1782"/>
      <c r="C1519" s="1785">
        <v>1.9333800000000001</v>
      </c>
      <c r="D1519" s="1782">
        <v>0.15</v>
      </c>
      <c r="E1519" s="1782">
        <v>1.63</v>
      </c>
      <c r="F1519" s="1782">
        <v>0.02</v>
      </c>
      <c r="G1519" s="1782">
        <v>1.26</v>
      </c>
      <c r="H1519" s="1782">
        <v>0.48</v>
      </c>
      <c r="I1519" s="1783">
        <v>7.52</v>
      </c>
      <c r="J1519" s="1783">
        <v>3.75</v>
      </c>
      <c r="K1519" s="1783">
        <v>20.420000000000002</v>
      </c>
      <c r="L1519" s="1783">
        <v>166.46</v>
      </c>
      <c r="M1519" s="1783">
        <v>29.76</v>
      </c>
    </row>
    <row r="1520" spans="1:13" s="1293" customFormat="1" x14ac:dyDescent="0.35">
      <c r="A1520" s="1784">
        <v>206352</v>
      </c>
      <c r="B1520" s="1782"/>
      <c r="C1520" s="1785">
        <v>1.85</v>
      </c>
      <c r="D1520" s="1782">
        <v>0.05</v>
      </c>
      <c r="E1520" s="1782">
        <v>1.1100000000000001</v>
      </c>
      <c r="F1520" s="1782">
        <v>0.08</v>
      </c>
      <c r="G1520" s="1782">
        <v>4.1100000000000003</v>
      </c>
      <c r="H1520" s="1782">
        <v>0.06</v>
      </c>
      <c r="I1520" s="1783">
        <v>101.18</v>
      </c>
      <c r="J1520" s="1783">
        <v>2.73</v>
      </c>
      <c r="K1520" s="1783">
        <v>66.709999999999994</v>
      </c>
      <c r="L1520" s="1783">
        <v>233.74</v>
      </c>
      <c r="M1520" s="1783">
        <v>38.75</v>
      </c>
    </row>
    <row r="1521" spans="1:13" s="1293" customFormat="1" x14ac:dyDescent="0.35">
      <c r="A1521" s="1784">
        <v>206353</v>
      </c>
      <c r="B1521" s="1782"/>
      <c r="C1521" s="1785">
        <v>1.91</v>
      </c>
      <c r="D1521" s="1782">
        <v>7.0000000000000007E-2</v>
      </c>
      <c r="E1521" s="1782">
        <v>1.58</v>
      </c>
      <c r="F1521" s="1782">
        <v>9.0999999999999998E-2</v>
      </c>
      <c r="G1521" s="1782">
        <v>4.07</v>
      </c>
      <c r="H1521" s="1782">
        <v>0.16</v>
      </c>
      <c r="I1521" s="1783">
        <v>262.89</v>
      </c>
      <c r="J1521" s="1783">
        <v>3.67</v>
      </c>
      <c r="K1521" s="1783">
        <v>65.3</v>
      </c>
      <c r="L1521" s="1783">
        <v>196.78</v>
      </c>
      <c r="M1521" s="1783">
        <v>33.1</v>
      </c>
    </row>
    <row r="1522" spans="1:13" s="1293" customFormat="1" x14ac:dyDescent="0.35">
      <c r="A1522" s="1784">
        <v>206354</v>
      </c>
      <c r="B1522" s="1782"/>
      <c r="C1522" s="1785">
        <v>1.57</v>
      </c>
      <c r="D1522" s="1782">
        <v>0.13</v>
      </c>
      <c r="E1522" s="1782">
        <v>1.56</v>
      </c>
      <c r="F1522" s="1782">
        <v>8.5999999999999993E-2</v>
      </c>
      <c r="G1522" s="1782">
        <v>2.71</v>
      </c>
      <c r="H1522" s="1782">
        <v>0.21</v>
      </c>
      <c r="I1522" s="1783">
        <v>181.44</v>
      </c>
      <c r="J1522" s="1783">
        <v>3.3</v>
      </c>
      <c r="K1522" s="1783">
        <v>53.25</v>
      </c>
      <c r="L1522" s="1783">
        <v>172.68</v>
      </c>
      <c r="M1522" s="1783">
        <v>54.88</v>
      </c>
    </row>
    <row r="1523" spans="1:13" s="1293" customFormat="1" x14ac:dyDescent="0.35">
      <c r="A1523" s="1784">
        <v>206355</v>
      </c>
      <c r="B1523" s="1782"/>
      <c r="C1523" s="1785">
        <v>2.0699999999999998</v>
      </c>
      <c r="D1523" s="1782">
        <v>0.1</v>
      </c>
      <c r="E1523" s="1782">
        <v>0.98</v>
      </c>
      <c r="F1523" s="1782">
        <v>1.0999999999999999E-2</v>
      </c>
      <c r="G1523" s="1782">
        <v>0.73</v>
      </c>
      <c r="H1523" s="1782">
        <v>0.41</v>
      </c>
      <c r="I1523" s="1783">
        <v>23.88</v>
      </c>
      <c r="J1523" s="1783">
        <v>6.62</v>
      </c>
      <c r="K1523" s="1783">
        <v>56.04</v>
      </c>
      <c r="L1523" s="1783">
        <v>53.33</v>
      </c>
      <c r="M1523" s="1783">
        <v>35.18</v>
      </c>
    </row>
    <row r="1524" spans="1:13" s="1293" customFormat="1" x14ac:dyDescent="0.35">
      <c r="A1524" s="1784">
        <v>206356</v>
      </c>
      <c r="B1524" s="1782"/>
      <c r="C1524" s="1785">
        <v>1.85</v>
      </c>
      <c r="D1524" s="1782">
        <v>0.17</v>
      </c>
      <c r="E1524" s="1782">
        <v>1.36</v>
      </c>
      <c r="F1524" s="1782">
        <v>1.4E-2</v>
      </c>
      <c r="G1524" s="1782">
        <v>0.52</v>
      </c>
      <c r="H1524" s="1782">
        <v>0.31</v>
      </c>
      <c r="I1524" s="1783">
        <v>42.89</v>
      </c>
      <c r="J1524" s="1783">
        <v>11</v>
      </c>
      <c r="K1524" s="1783">
        <v>133.08000000000001</v>
      </c>
      <c r="L1524" s="1783">
        <v>100.95</v>
      </c>
      <c r="M1524" s="1783">
        <v>42.57</v>
      </c>
    </row>
    <row r="1525" spans="1:13" s="1293" customFormat="1" x14ac:dyDescent="0.35">
      <c r="A1525" s="1784">
        <v>206357</v>
      </c>
      <c r="B1525" s="1782"/>
      <c r="C1525" s="1785">
        <v>2.19</v>
      </c>
      <c r="D1525" s="1782">
        <v>0.25</v>
      </c>
      <c r="E1525" s="1782">
        <v>1.4</v>
      </c>
      <c r="F1525" s="1782">
        <v>1.4999999999999999E-2</v>
      </c>
      <c r="G1525" s="1782">
        <v>0.42</v>
      </c>
      <c r="H1525" s="1782">
        <v>0.28999999999999998</v>
      </c>
      <c r="I1525" s="1783">
        <v>38.19</v>
      </c>
      <c r="J1525" s="1783">
        <v>11.24</v>
      </c>
      <c r="K1525" s="1783">
        <v>41.34</v>
      </c>
      <c r="L1525" s="1783">
        <v>67.38</v>
      </c>
      <c r="M1525" s="1783">
        <v>36.119999999999997</v>
      </c>
    </row>
    <row r="1526" spans="1:13" s="1293" customFormat="1" x14ac:dyDescent="0.35">
      <c r="A1526" s="1784">
        <v>206358</v>
      </c>
      <c r="B1526" s="1782"/>
      <c r="C1526" s="1785">
        <v>1.49</v>
      </c>
      <c r="D1526" s="1782">
        <v>0.15</v>
      </c>
      <c r="E1526" s="1782">
        <v>1.32</v>
      </c>
      <c r="F1526" s="1782">
        <v>1.6E-2</v>
      </c>
      <c r="G1526" s="1782">
        <v>1.19</v>
      </c>
      <c r="H1526" s="1782">
        <v>0.52</v>
      </c>
      <c r="I1526" s="1783">
        <v>19.97</v>
      </c>
      <c r="J1526" s="1783">
        <v>5.26</v>
      </c>
      <c r="K1526" s="1783">
        <v>230.78</v>
      </c>
      <c r="L1526" s="1783">
        <v>92.45</v>
      </c>
      <c r="M1526" s="1783">
        <v>54.3</v>
      </c>
    </row>
    <row r="1527" spans="1:13" s="1293" customFormat="1" x14ac:dyDescent="0.35">
      <c r="A1527" s="1784">
        <v>206359</v>
      </c>
      <c r="B1527" s="1782"/>
      <c r="C1527" s="1785">
        <v>1.71</v>
      </c>
      <c r="D1527" s="1782">
        <v>0.19</v>
      </c>
      <c r="E1527" s="1782">
        <v>1.42</v>
      </c>
      <c r="F1527" s="1782">
        <v>1.7000000000000001E-2</v>
      </c>
      <c r="G1527" s="1782">
        <v>0.42</v>
      </c>
      <c r="H1527" s="1782">
        <v>0.25</v>
      </c>
      <c r="I1527" s="1783">
        <v>30.57</v>
      </c>
      <c r="J1527" s="1783">
        <v>9.57</v>
      </c>
      <c r="K1527" s="1783">
        <v>95.29</v>
      </c>
      <c r="L1527" s="1783">
        <v>67.16</v>
      </c>
      <c r="M1527" s="1783">
        <v>35.24</v>
      </c>
    </row>
    <row r="1528" spans="1:13" s="1293" customFormat="1" x14ac:dyDescent="0.35">
      <c r="A1528" s="1784">
        <v>206360</v>
      </c>
      <c r="B1528" s="1782"/>
      <c r="C1528" s="1785">
        <v>1.0087200000000001</v>
      </c>
      <c r="D1528" s="1782">
        <v>7.0000000000000007E-2</v>
      </c>
      <c r="E1528" s="1782">
        <v>0.75</v>
      </c>
      <c r="F1528" s="1782">
        <v>8.0000000000000002E-3</v>
      </c>
      <c r="G1528" s="1782">
        <v>0.64</v>
      </c>
      <c r="H1528" s="1782">
        <v>0.1</v>
      </c>
      <c r="I1528" s="1783">
        <v>9.42</v>
      </c>
      <c r="J1528" s="1783">
        <v>32.979999999999997</v>
      </c>
      <c r="K1528" s="1783">
        <v>12.96</v>
      </c>
      <c r="L1528" s="1783">
        <v>107.49</v>
      </c>
      <c r="M1528" s="1783">
        <v>18.559999999999999</v>
      </c>
    </row>
    <row r="1529" spans="1:13" s="1293" customFormat="1" x14ac:dyDescent="0.35">
      <c r="A1529" s="1784">
        <v>206361</v>
      </c>
      <c r="B1529" s="1782"/>
      <c r="C1529" s="1785">
        <v>0.98070000000000013</v>
      </c>
      <c r="D1529" s="1782">
        <v>0.1</v>
      </c>
      <c r="E1529" s="1782">
        <v>0.94</v>
      </c>
      <c r="F1529" s="1782">
        <v>6.6000000000000003E-2</v>
      </c>
      <c r="G1529" s="1782">
        <v>0.86</v>
      </c>
      <c r="H1529" s="1782">
        <v>0.14000000000000001</v>
      </c>
      <c r="I1529" s="1783">
        <v>10.26</v>
      </c>
      <c r="J1529" s="1783">
        <v>4.3099999999999996</v>
      </c>
      <c r="K1529" s="1783">
        <v>36.35</v>
      </c>
      <c r="L1529" s="1783">
        <v>111.17</v>
      </c>
      <c r="M1529" s="1783">
        <v>27.78</v>
      </c>
    </row>
    <row r="1530" spans="1:13" s="1293" customFormat="1" x14ac:dyDescent="0.35">
      <c r="A1530" s="1784">
        <v>206362</v>
      </c>
      <c r="B1530" s="1782"/>
      <c r="C1530" s="1785">
        <v>1.1488200000000002</v>
      </c>
      <c r="D1530" s="1782">
        <v>0.18</v>
      </c>
      <c r="E1530" s="1782">
        <v>4.1500000000000004</v>
      </c>
      <c r="F1530" s="1782">
        <v>2.7E-2</v>
      </c>
      <c r="G1530" s="1782">
        <v>1.65</v>
      </c>
      <c r="H1530" s="1782">
        <v>0.47</v>
      </c>
      <c r="I1530" s="1783">
        <v>6.05</v>
      </c>
      <c r="J1530" s="1783">
        <v>2.41</v>
      </c>
      <c r="K1530" s="1783">
        <v>47</v>
      </c>
      <c r="L1530" s="1783">
        <v>109.03</v>
      </c>
      <c r="M1530" s="1783">
        <v>41.9</v>
      </c>
    </row>
    <row r="1531" spans="1:13" s="1293" customFormat="1" x14ac:dyDescent="0.35">
      <c r="A1531" s="1784">
        <v>206363</v>
      </c>
      <c r="B1531" s="1782"/>
      <c r="C1531" s="1782">
        <v>2.58</v>
      </c>
      <c r="D1531" s="1782">
        <v>7.0000000000000007E-2</v>
      </c>
      <c r="E1531" s="1782">
        <v>1.46</v>
      </c>
      <c r="F1531" s="1782">
        <v>0.47799999999999998</v>
      </c>
      <c r="G1531" s="1782">
        <v>2.97</v>
      </c>
      <c r="H1531" s="1782">
        <v>0.34</v>
      </c>
      <c r="I1531" s="1783">
        <v>3.06</v>
      </c>
      <c r="J1531" s="1783">
        <v>2.95</v>
      </c>
      <c r="K1531" s="1783">
        <v>5.57</v>
      </c>
      <c r="L1531" s="1783">
        <v>28.44</v>
      </c>
      <c r="M1531" s="1783">
        <v>38.49</v>
      </c>
    </row>
    <row r="1532" spans="1:13" s="1293" customFormat="1" x14ac:dyDescent="0.35">
      <c r="A1532" s="1784">
        <v>206364</v>
      </c>
      <c r="B1532" s="1782"/>
      <c r="C1532" s="1782">
        <v>1.82</v>
      </c>
      <c r="D1532" s="1782">
        <v>0.1</v>
      </c>
      <c r="E1532" s="1782">
        <v>1.41</v>
      </c>
      <c r="F1532" s="1782">
        <v>0.11</v>
      </c>
      <c r="G1532" s="1782">
        <v>3.54</v>
      </c>
      <c r="H1532" s="1782">
        <v>0.51</v>
      </c>
      <c r="I1532" s="1783">
        <v>18.5</v>
      </c>
      <c r="J1532" s="1783">
        <v>7.07</v>
      </c>
      <c r="K1532" s="1783">
        <v>101.14</v>
      </c>
      <c r="L1532" s="1783">
        <v>77.44</v>
      </c>
      <c r="M1532" s="1783">
        <v>24.4</v>
      </c>
    </row>
    <row r="1533" spans="1:13" s="1293" customFormat="1" x14ac:dyDescent="0.35">
      <c r="A1533" s="1784">
        <v>206365</v>
      </c>
      <c r="B1533" s="1782"/>
      <c r="C1533" s="1782">
        <v>2.02</v>
      </c>
      <c r="D1533" s="1782">
        <v>0.1</v>
      </c>
      <c r="E1533" s="1782">
        <v>1.61</v>
      </c>
      <c r="F1533" s="1782">
        <v>0.08</v>
      </c>
      <c r="G1533" s="1782">
        <v>3.65</v>
      </c>
      <c r="H1533" s="1782">
        <v>0.54</v>
      </c>
      <c r="I1533" s="1783">
        <v>15.41</v>
      </c>
      <c r="J1533" s="1783">
        <v>3.19</v>
      </c>
      <c r="K1533" s="1783">
        <v>94</v>
      </c>
      <c r="L1533" s="1783">
        <v>104.19</v>
      </c>
      <c r="M1533" s="1783">
        <v>25.09</v>
      </c>
    </row>
    <row r="1534" spans="1:13" s="1293" customFormat="1" x14ac:dyDescent="0.35">
      <c r="A1534" s="1784">
        <v>206366</v>
      </c>
      <c r="B1534" s="1782"/>
      <c r="C1534" s="1782">
        <v>1.85</v>
      </c>
      <c r="D1534" s="1782">
        <v>0.09</v>
      </c>
      <c r="E1534" s="1782">
        <v>1.92</v>
      </c>
      <c r="F1534" s="1782">
        <v>0.05</v>
      </c>
      <c r="G1534" s="1782">
        <v>3.11</v>
      </c>
      <c r="H1534" s="1782">
        <v>0.72</v>
      </c>
      <c r="I1534" s="1783">
        <v>21.43</v>
      </c>
      <c r="J1534" s="1783">
        <v>3.55</v>
      </c>
      <c r="K1534" s="1783">
        <v>105.04</v>
      </c>
      <c r="L1534" s="1783">
        <v>111.08</v>
      </c>
      <c r="M1534" s="1783">
        <v>30.33</v>
      </c>
    </row>
    <row r="1535" spans="1:13" s="1293" customFormat="1" x14ac:dyDescent="0.35">
      <c r="A1535" s="1784">
        <v>206367</v>
      </c>
      <c r="B1535" s="1782"/>
      <c r="C1535" s="1782">
        <v>2.0699999999999998</v>
      </c>
      <c r="D1535" s="1782">
        <v>0.1</v>
      </c>
      <c r="E1535" s="1782">
        <v>2.09</v>
      </c>
      <c r="F1535" s="1782">
        <v>0.06</v>
      </c>
      <c r="G1535" s="1782">
        <v>3.48</v>
      </c>
      <c r="H1535" s="1782">
        <v>0.53</v>
      </c>
      <c r="I1535" s="1783">
        <v>18.8</v>
      </c>
      <c r="J1535" s="1783">
        <v>4.2300000000000004</v>
      </c>
      <c r="K1535" s="1783">
        <v>155.13999999999999</v>
      </c>
      <c r="L1535" s="1783">
        <v>125.41</v>
      </c>
      <c r="M1535" s="1783">
        <v>26.09</v>
      </c>
    </row>
    <row r="1536" spans="1:13" s="1293" customFormat="1" x14ac:dyDescent="0.35">
      <c r="A1536" s="1784">
        <v>206368</v>
      </c>
      <c r="B1536" s="1782"/>
      <c r="C1536" s="1782">
        <v>1.91</v>
      </c>
      <c r="D1536" s="1782">
        <v>0.1</v>
      </c>
      <c r="E1536" s="1782">
        <v>1.34</v>
      </c>
      <c r="F1536" s="1782">
        <v>0.16</v>
      </c>
      <c r="G1536" s="1782">
        <v>3.83</v>
      </c>
      <c r="H1536" s="1782">
        <v>0.78</v>
      </c>
      <c r="I1536" s="1783">
        <v>18.53</v>
      </c>
      <c r="J1536" s="1783">
        <v>3.5</v>
      </c>
      <c r="K1536" s="1783">
        <v>153.91</v>
      </c>
      <c r="L1536" s="1783">
        <v>84.42</v>
      </c>
      <c r="M1536" s="1783">
        <v>27.71</v>
      </c>
    </row>
    <row r="1537" spans="1:13" s="1293" customFormat="1" x14ac:dyDescent="0.35">
      <c r="A1537" s="1784">
        <v>206369</v>
      </c>
      <c r="B1537" s="1782"/>
      <c r="C1537" s="1782">
        <v>1.88</v>
      </c>
      <c r="D1537" s="1782">
        <v>7.0000000000000007E-2</v>
      </c>
      <c r="E1537" s="1782">
        <v>1.61</v>
      </c>
      <c r="F1537" s="1782">
        <v>0.04</v>
      </c>
      <c r="G1537" s="1782">
        <v>1.31</v>
      </c>
      <c r="H1537" s="1782">
        <v>0.28999999999999998</v>
      </c>
      <c r="I1537" s="1783">
        <v>11.02</v>
      </c>
      <c r="J1537" s="1783">
        <v>2.4700000000000002</v>
      </c>
      <c r="K1537" s="1783">
        <v>86.59</v>
      </c>
      <c r="L1537" s="1783">
        <v>81.739999999999995</v>
      </c>
      <c r="M1537" s="1783">
        <v>26.24</v>
      </c>
    </row>
    <row r="1538" spans="1:13" s="1293" customFormat="1" x14ac:dyDescent="0.35">
      <c r="A1538" s="1784">
        <v>206370</v>
      </c>
      <c r="B1538" s="1782"/>
      <c r="C1538" s="1782">
        <v>2.0499999999999998</v>
      </c>
      <c r="D1538" s="1782">
        <v>0.1</v>
      </c>
      <c r="E1538" s="1782">
        <v>2.16</v>
      </c>
      <c r="F1538" s="1782">
        <v>0.05</v>
      </c>
      <c r="G1538" s="1782">
        <v>2.08</v>
      </c>
      <c r="H1538" s="1782">
        <v>0.38</v>
      </c>
      <c r="I1538" s="1783">
        <v>28.44</v>
      </c>
      <c r="J1538" s="1783">
        <v>3.29</v>
      </c>
      <c r="K1538" s="1783">
        <v>93.46</v>
      </c>
      <c r="L1538" s="1783">
        <v>113.68</v>
      </c>
      <c r="M1538" s="1783">
        <v>29.2</v>
      </c>
    </row>
    <row r="1539" spans="1:13" s="1293" customFormat="1" x14ac:dyDescent="0.35">
      <c r="A1539" s="1784">
        <v>206371</v>
      </c>
      <c r="B1539" s="1782"/>
      <c r="C1539" s="1782">
        <v>1.91</v>
      </c>
      <c r="D1539" s="1782">
        <v>0.09</v>
      </c>
      <c r="E1539" s="1782">
        <v>2.1800000000000002</v>
      </c>
      <c r="F1539" s="1782">
        <v>0.05</v>
      </c>
      <c r="G1539" s="1782">
        <v>2.78</v>
      </c>
      <c r="H1539" s="1782">
        <v>0.46</v>
      </c>
      <c r="I1539" s="1783">
        <v>15.75</v>
      </c>
      <c r="J1539" s="1783">
        <v>3.43</v>
      </c>
      <c r="K1539" s="1783">
        <v>87.46</v>
      </c>
      <c r="L1539" s="1783">
        <v>97.05</v>
      </c>
      <c r="M1539" s="1783">
        <v>30.1</v>
      </c>
    </row>
    <row r="1540" spans="1:13" s="1293" customFormat="1" x14ac:dyDescent="0.35">
      <c r="A1540" s="1784">
        <v>206372</v>
      </c>
      <c r="B1540" s="1782"/>
      <c r="C1540" s="1782">
        <v>1.79</v>
      </c>
      <c r="D1540" s="1782">
        <v>0.09</v>
      </c>
      <c r="E1540" s="1782">
        <v>1.64</v>
      </c>
      <c r="F1540" s="1782">
        <v>0.08</v>
      </c>
      <c r="G1540" s="1782">
        <v>4.38</v>
      </c>
      <c r="H1540" s="1782">
        <v>0.92</v>
      </c>
      <c r="I1540" s="1783">
        <v>12.2</v>
      </c>
      <c r="J1540" s="1783">
        <v>3.66</v>
      </c>
      <c r="K1540" s="1783">
        <v>141.71</v>
      </c>
      <c r="L1540" s="1783">
        <v>124.29</v>
      </c>
      <c r="M1540" s="1783">
        <v>28.84</v>
      </c>
    </row>
    <row r="1541" spans="1:13" s="1293" customFormat="1" x14ac:dyDescent="0.35">
      <c r="A1541" s="1784">
        <v>206373</v>
      </c>
      <c r="B1541" s="1782"/>
      <c r="C1541" s="1782">
        <v>2.2400000000000002</v>
      </c>
      <c r="D1541" s="1782">
        <v>0.15</v>
      </c>
      <c r="E1541" s="1782">
        <v>1.97</v>
      </c>
      <c r="F1541" s="1782">
        <v>0.06</v>
      </c>
      <c r="G1541" s="1782">
        <v>1.68</v>
      </c>
      <c r="H1541" s="1782">
        <v>0.42</v>
      </c>
      <c r="I1541" s="1783">
        <v>11.08</v>
      </c>
      <c r="J1541" s="1783">
        <v>4.82</v>
      </c>
      <c r="K1541" s="1783">
        <v>71.290000000000006</v>
      </c>
      <c r="L1541" s="1783">
        <v>112.01</v>
      </c>
      <c r="M1541" s="1783">
        <v>46.83</v>
      </c>
    </row>
    <row r="1542" spans="1:13" s="1293" customFormat="1" x14ac:dyDescent="0.35">
      <c r="A1542" s="1784">
        <v>206374</v>
      </c>
      <c r="B1542" s="1782"/>
      <c r="C1542" s="1782">
        <v>1.96</v>
      </c>
      <c r="D1542" s="1782">
        <v>0.12</v>
      </c>
      <c r="E1542" s="1782">
        <v>1.96</v>
      </c>
      <c r="F1542" s="1782">
        <v>0.06</v>
      </c>
      <c r="G1542" s="1782">
        <v>2.6</v>
      </c>
      <c r="H1542" s="1782">
        <v>0.45</v>
      </c>
      <c r="I1542" s="1783">
        <v>17.399999999999999</v>
      </c>
      <c r="J1542" s="1783">
        <v>4.1900000000000004</v>
      </c>
      <c r="K1542" s="1783">
        <v>74.78</v>
      </c>
      <c r="L1542" s="1783">
        <v>107.05</v>
      </c>
      <c r="M1542" s="1783">
        <v>30.32</v>
      </c>
    </row>
    <row r="1543" spans="1:13" s="1293" customFormat="1" x14ac:dyDescent="0.35">
      <c r="A1543" s="1784">
        <v>206375</v>
      </c>
      <c r="B1543" s="1782"/>
      <c r="C1543" s="1782">
        <v>2.02</v>
      </c>
      <c r="D1543" s="1782">
        <v>0.1</v>
      </c>
      <c r="E1543" s="1782">
        <v>1.72</v>
      </c>
      <c r="F1543" s="1782">
        <v>0.08</v>
      </c>
      <c r="G1543" s="1782">
        <v>3.19</v>
      </c>
      <c r="H1543" s="1782">
        <v>0.74</v>
      </c>
      <c r="I1543" s="1783">
        <v>21.34</v>
      </c>
      <c r="J1543" s="1783">
        <v>3.85</v>
      </c>
      <c r="K1543" s="1783">
        <v>127.72</v>
      </c>
      <c r="L1543" s="1783">
        <v>85.03</v>
      </c>
      <c r="M1543" s="1783">
        <v>31.7</v>
      </c>
    </row>
    <row r="1544" spans="1:13" s="1293" customFormat="1" x14ac:dyDescent="0.35">
      <c r="A1544" s="1784">
        <v>206376</v>
      </c>
      <c r="B1544" s="1782"/>
      <c r="C1544" s="1782">
        <v>2.16</v>
      </c>
      <c r="D1544" s="1782">
        <v>0.1</v>
      </c>
      <c r="E1544" s="1782">
        <v>2.0299999999999998</v>
      </c>
      <c r="F1544" s="1782">
        <v>0.05</v>
      </c>
      <c r="G1544" s="1782">
        <v>2.64</v>
      </c>
      <c r="H1544" s="1782">
        <v>0.47</v>
      </c>
      <c r="I1544" s="1783">
        <v>17</v>
      </c>
      <c r="J1544" s="1783">
        <v>3.61</v>
      </c>
      <c r="K1544" s="1783">
        <v>97.87</v>
      </c>
      <c r="L1544" s="1783">
        <v>86.88</v>
      </c>
      <c r="M1544" s="1783">
        <v>30.92</v>
      </c>
    </row>
    <row r="1545" spans="1:13" s="1293" customFormat="1" x14ac:dyDescent="0.35">
      <c r="A1545" s="1784">
        <v>206377</v>
      </c>
      <c r="B1545" s="1782"/>
      <c r="C1545" s="1782">
        <v>1.99</v>
      </c>
      <c r="D1545" s="1782">
        <v>0.1</v>
      </c>
      <c r="E1545" s="1782">
        <v>1.82</v>
      </c>
      <c r="F1545" s="1782">
        <v>0.08</v>
      </c>
      <c r="G1545" s="1782">
        <v>3.64</v>
      </c>
      <c r="H1545" s="1782">
        <v>0.73</v>
      </c>
      <c r="I1545" s="1783">
        <v>22.96</v>
      </c>
      <c r="J1545" s="1783">
        <v>3.42</v>
      </c>
      <c r="K1545" s="1783">
        <v>157.31</v>
      </c>
      <c r="L1545" s="1783">
        <v>93.67</v>
      </c>
      <c r="M1545" s="1783">
        <v>31.14</v>
      </c>
    </row>
    <row r="1546" spans="1:13" s="1293" customFormat="1" x14ac:dyDescent="0.35">
      <c r="A1546" s="1784">
        <v>206378</v>
      </c>
      <c r="B1546" s="1782"/>
      <c r="C1546" s="1782">
        <v>1.91</v>
      </c>
      <c r="D1546" s="1782">
        <v>0.1</v>
      </c>
      <c r="E1546" s="1782">
        <v>1.61</v>
      </c>
      <c r="F1546" s="1782">
        <v>0.09</v>
      </c>
      <c r="G1546" s="1782">
        <v>3.26</v>
      </c>
      <c r="H1546" s="1782">
        <v>0.75</v>
      </c>
      <c r="I1546" s="1783">
        <v>19.510000000000002</v>
      </c>
      <c r="J1546" s="1783">
        <v>2.75</v>
      </c>
      <c r="K1546" s="1783">
        <v>126.63</v>
      </c>
      <c r="L1546" s="1783">
        <v>84.09</v>
      </c>
      <c r="M1546" s="1783">
        <v>33.06</v>
      </c>
    </row>
    <row r="1547" spans="1:13" s="1293" customFormat="1" x14ac:dyDescent="0.35">
      <c r="A1547" s="1784">
        <v>206379</v>
      </c>
      <c r="B1547" s="1782"/>
      <c r="C1547" s="1782">
        <v>1.93</v>
      </c>
      <c r="D1547" s="1782">
        <v>0.1</v>
      </c>
      <c r="E1547" s="1782">
        <v>1.62</v>
      </c>
      <c r="F1547" s="1782">
        <v>7.0000000000000007E-2</v>
      </c>
      <c r="G1547" s="1782">
        <v>3.31</v>
      </c>
      <c r="H1547" s="1782">
        <v>0.76</v>
      </c>
      <c r="I1547" s="1783">
        <v>14.13</v>
      </c>
      <c r="J1547" s="1783">
        <v>3.43</v>
      </c>
      <c r="K1547" s="1783">
        <v>139.16</v>
      </c>
      <c r="L1547" s="1783">
        <v>76.209999999999994</v>
      </c>
      <c r="M1547" s="1783">
        <v>33.19</v>
      </c>
    </row>
    <row r="1548" spans="1:13" s="1293" customFormat="1" x14ac:dyDescent="0.35">
      <c r="A1548" s="1784">
        <v>206380</v>
      </c>
      <c r="B1548" s="1782"/>
      <c r="C1548" s="1782">
        <v>2.2400000000000002</v>
      </c>
      <c r="D1548" s="1782">
        <v>0.11</v>
      </c>
      <c r="E1548" s="1782">
        <v>2.08</v>
      </c>
      <c r="F1548" s="1782">
        <v>0.06</v>
      </c>
      <c r="G1548" s="1782">
        <v>2.85</v>
      </c>
      <c r="H1548" s="1782">
        <v>0.77</v>
      </c>
      <c r="I1548" s="1783">
        <v>18.02</v>
      </c>
      <c r="J1548" s="1783">
        <v>3.33</v>
      </c>
      <c r="K1548" s="1783">
        <v>155.69999999999999</v>
      </c>
      <c r="L1548" s="1783">
        <v>105.26</v>
      </c>
      <c r="M1548" s="1783">
        <v>37.380000000000003</v>
      </c>
    </row>
    <row r="1549" spans="1:13" s="1293" customFormat="1" x14ac:dyDescent="0.35">
      <c r="A1549" s="1784">
        <v>206381</v>
      </c>
      <c r="B1549" s="1782"/>
      <c r="C1549" s="1782">
        <v>2.16</v>
      </c>
      <c r="D1549" s="1782">
        <v>0.1</v>
      </c>
      <c r="E1549" s="1782">
        <v>2.02</v>
      </c>
      <c r="F1549" s="1782">
        <v>0.05</v>
      </c>
      <c r="G1549" s="1782">
        <v>2.73</v>
      </c>
      <c r="H1549" s="1782">
        <v>0.52</v>
      </c>
      <c r="I1549" s="1783">
        <v>12.44</v>
      </c>
      <c r="J1549" s="1783">
        <v>3.25</v>
      </c>
      <c r="K1549" s="1783">
        <v>163.92</v>
      </c>
      <c r="L1549" s="1783">
        <v>84.92</v>
      </c>
      <c r="M1549" s="1783">
        <v>35.21</v>
      </c>
    </row>
    <row r="1550" spans="1:13" s="1293" customFormat="1" x14ac:dyDescent="0.35">
      <c r="A1550" s="1784">
        <v>206382</v>
      </c>
      <c r="B1550" s="1782"/>
      <c r="C1550" s="1782">
        <v>2.33</v>
      </c>
      <c r="D1550" s="1782">
        <v>0.13</v>
      </c>
      <c r="E1550" s="1782">
        <v>2.2200000000000002</v>
      </c>
      <c r="F1550" s="1782">
        <v>0.16</v>
      </c>
      <c r="G1550" s="1782">
        <v>2.67</v>
      </c>
      <c r="H1550" s="1782">
        <v>0.48</v>
      </c>
      <c r="I1550" s="1783">
        <v>17.84</v>
      </c>
      <c r="J1550" s="1783">
        <v>3.8</v>
      </c>
      <c r="K1550" s="1783">
        <v>206.17</v>
      </c>
      <c r="L1550" s="1783">
        <v>119.97</v>
      </c>
      <c r="M1550" s="1783">
        <v>47.8</v>
      </c>
    </row>
    <row r="1551" spans="1:13" s="1293" customFormat="1" x14ac:dyDescent="0.35">
      <c r="A1551" s="1784">
        <v>206383</v>
      </c>
      <c r="B1551" s="1782"/>
      <c r="C1551" s="1782">
        <v>2.58</v>
      </c>
      <c r="D1551" s="1782">
        <v>0.13</v>
      </c>
      <c r="E1551" s="1782">
        <v>1.68</v>
      </c>
      <c r="F1551" s="1782">
        <v>0.06</v>
      </c>
      <c r="G1551" s="1782">
        <v>2.3199999999999998</v>
      </c>
      <c r="H1551" s="1782">
        <v>0.52</v>
      </c>
      <c r="I1551" s="1783">
        <v>21.16</v>
      </c>
      <c r="J1551" s="1783">
        <v>4.33</v>
      </c>
      <c r="K1551" s="1783">
        <v>126.3</v>
      </c>
      <c r="L1551" s="1783">
        <v>139.88</v>
      </c>
      <c r="M1551" s="1783">
        <v>38</v>
      </c>
    </row>
    <row r="1552" spans="1:13" s="1293" customFormat="1" x14ac:dyDescent="0.35">
      <c r="A1552" s="1784">
        <v>206384</v>
      </c>
      <c r="B1552" s="1782"/>
      <c r="C1552" s="1782">
        <v>1.71</v>
      </c>
      <c r="D1552" s="1782">
        <v>0.09</v>
      </c>
      <c r="E1552" s="1782">
        <v>1.51</v>
      </c>
      <c r="F1552" s="1782">
        <v>0.09</v>
      </c>
      <c r="G1552" s="1782">
        <v>4.0199999999999996</v>
      </c>
      <c r="H1552" s="1782">
        <v>0.91</v>
      </c>
      <c r="I1552" s="1783">
        <v>15.47</v>
      </c>
      <c r="J1552" s="1783">
        <v>2.54</v>
      </c>
      <c r="K1552" s="1783">
        <v>142.38999999999999</v>
      </c>
      <c r="L1552" s="1783">
        <v>80.03</v>
      </c>
      <c r="M1552" s="1783">
        <v>31.93</v>
      </c>
    </row>
    <row r="1553" spans="1:13" s="1293" customFormat="1" x14ac:dyDescent="0.35">
      <c r="A1553" s="1784">
        <v>206385</v>
      </c>
      <c r="B1553" s="1782"/>
      <c r="C1553" s="1782">
        <v>2.58</v>
      </c>
      <c r="D1553" s="1782">
        <v>0.15</v>
      </c>
      <c r="E1553" s="1782">
        <v>1.56</v>
      </c>
      <c r="F1553" s="1782">
        <v>7.0000000000000007E-2</v>
      </c>
      <c r="G1553" s="1782">
        <v>2.2799999999999998</v>
      </c>
      <c r="H1553" s="1782">
        <v>0.52</v>
      </c>
      <c r="I1553" s="1783">
        <v>20.58</v>
      </c>
      <c r="J1553" s="1783">
        <v>5.24</v>
      </c>
      <c r="K1553" s="1783">
        <v>137.82</v>
      </c>
      <c r="L1553" s="1783">
        <v>98.59</v>
      </c>
      <c r="M1553" s="1783">
        <v>54.86</v>
      </c>
    </row>
    <row r="1554" spans="1:13" s="1293" customFormat="1" x14ac:dyDescent="0.35">
      <c r="A1554" s="1784">
        <v>206386</v>
      </c>
      <c r="B1554" s="1782"/>
      <c r="C1554" s="1782">
        <v>1.91</v>
      </c>
      <c r="D1554" s="1782">
        <v>0.1</v>
      </c>
      <c r="E1554" s="1782">
        <v>1.68</v>
      </c>
      <c r="F1554" s="1782">
        <v>0.11</v>
      </c>
      <c r="G1554" s="1782">
        <v>4.38</v>
      </c>
      <c r="H1554" s="1782">
        <v>0.76</v>
      </c>
      <c r="I1554" s="1783">
        <v>11.59</v>
      </c>
      <c r="J1554" s="1783">
        <v>3.67</v>
      </c>
      <c r="K1554" s="1783">
        <v>152.51</v>
      </c>
      <c r="L1554" s="1783">
        <v>83.37</v>
      </c>
      <c r="M1554" s="1783">
        <v>31.32</v>
      </c>
    </row>
    <row r="1555" spans="1:13" s="1293" customFormat="1" x14ac:dyDescent="0.35">
      <c r="A1555" s="1784">
        <v>206387</v>
      </c>
      <c r="B1555" s="1782"/>
      <c r="C1555" s="1782">
        <v>1.99</v>
      </c>
      <c r="D1555" s="1782">
        <v>0.1</v>
      </c>
      <c r="E1555" s="1782">
        <v>1.81</v>
      </c>
      <c r="F1555" s="1782">
        <v>0.11</v>
      </c>
      <c r="G1555" s="1782">
        <v>3.26</v>
      </c>
      <c r="H1555" s="1782">
        <v>0.73</v>
      </c>
      <c r="I1555" s="1783">
        <v>14.66</v>
      </c>
      <c r="J1555" s="1783">
        <v>3.51</v>
      </c>
      <c r="K1555" s="1783">
        <v>130.69</v>
      </c>
      <c r="L1555" s="1783">
        <v>73.06</v>
      </c>
      <c r="M1555" s="1783">
        <v>29.43</v>
      </c>
    </row>
    <row r="1556" spans="1:13" s="1293" customFormat="1" x14ac:dyDescent="0.35">
      <c r="A1556" s="1784">
        <v>206388</v>
      </c>
      <c r="B1556" s="1782"/>
      <c r="C1556" s="1782">
        <v>1.65</v>
      </c>
      <c r="D1556" s="1782">
        <v>0.09</v>
      </c>
      <c r="E1556" s="1782">
        <v>1.96</v>
      </c>
      <c r="F1556" s="1782">
        <v>0.1</v>
      </c>
      <c r="G1556" s="1782">
        <v>3.86</v>
      </c>
      <c r="H1556" s="1782">
        <v>0.7</v>
      </c>
      <c r="I1556" s="1783">
        <v>15.8</v>
      </c>
      <c r="J1556" s="1783">
        <v>3.37</v>
      </c>
      <c r="K1556" s="1783">
        <v>126.81</v>
      </c>
      <c r="L1556" s="1783">
        <v>89.81</v>
      </c>
      <c r="M1556" s="1783">
        <v>29.43</v>
      </c>
    </row>
    <row r="1557" spans="1:13" s="1293" customFormat="1" x14ac:dyDescent="0.35">
      <c r="A1557" s="1784">
        <v>206389</v>
      </c>
      <c r="B1557" s="1782"/>
      <c r="C1557" s="1782">
        <v>1.96</v>
      </c>
      <c r="D1557" s="1782">
        <v>0.16</v>
      </c>
      <c r="E1557" s="1782">
        <v>2.5299999999999998</v>
      </c>
      <c r="F1557" s="1782">
        <v>0.14000000000000001</v>
      </c>
      <c r="G1557" s="1782">
        <v>6.86</v>
      </c>
      <c r="H1557" s="1782">
        <v>1.1399999999999999</v>
      </c>
      <c r="I1557" s="1783">
        <v>23.77</v>
      </c>
      <c r="J1557" s="1783">
        <v>5.6</v>
      </c>
      <c r="K1557" s="1783">
        <v>239.43</v>
      </c>
      <c r="L1557" s="1783">
        <v>122.03</v>
      </c>
      <c r="M1557" s="1783">
        <v>46.95</v>
      </c>
    </row>
    <row r="1558" spans="1:13" s="1293" customFormat="1" x14ac:dyDescent="0.35">
      <c r="A1558" s="1784">
        <v>206390</v>
      </c>
      <c r="B1558" s="1782"/>
      <c r="C1558" s="1782">
        <v>1.77</v>
      </c>
      <c r="D1558" s="1782">
        <v>0.09</v>
      </c>
      <c r="E1558" s="1782">
        <v>2.14</v>
      </c>
      <c r="F1558" s="1782">
        <v>0.1</v>
      </c>
      <c r="G1558" s="1782">
        <v>3.74</v>
      </c>
      <c r="H1558" s="1782">
        <v>0.74</v>
      </c>
      <c r="I1558" s="1783">
        <v>9.93</v>
      </c>
      <c r="J1558" s="1783">
        <v>2.65</v>
      </c>
      <c r="K1558" s="1783">
        <v>151.80000000000001</v>
      </c>
      <c r="L1558" s="1783">
        <v>73.52</v>
      </c>
      <c r="M1558" s="1783">
        <v>30.74</v>
      </c>
    </row>
    <row r="1559" spans="1:13" s="1293" customFormat="1" x14ac:dyDescent="0.35">
      <c r="A1559" s="1784">
        <v>206391</v>
      </c>
      <c r="B1559" s="1782"/>
      <c r="C1559" s="1782">
        <v>1.74</v>
      </c>
      <c r="D1559" s="1782">
        <v>0.03</v>
      </c>
      <c r="E1559" s="1782">
        <v>0.6</v>
      </c>
      <c r="F1559" s="1782">
        <v>0.04</v>
      </c>
      <c r="G1559" s="1782">
        <v>1.29</v>
      </c>
      <c r="H1559" s="1782">
        <v>0.25</v>
      </c>
      <c r="I1559" s="1783">
        <v>5.22</v>
      </c>
      <c r="J1559" s="1783">
        <v>1.73</v>
      </c>
      <c r="K1559" s="1783">
        <v>52.68</v>
      </c>
      <c r="L1559" s="1783">
        <v>36.6</v>
      </c>
      <c r="M1559" s="1783">
        <v>12.01</v>
      </c>
    </row>
    <row r="1560" spans="1:13" s="1293" customFormat="1" x14ac:dyDescent="0.35">
      <c r="A1560" s="1784">
        <v>206392</v>
      </c>
      <c r="B1560" s="1782"/>
      <c r="C1560" s="1782">
        <v>1.77</v>
      </c>
      <c r="D1560" s="1782">
        <v>0.1</v>
      </c>
      <c r="E1560" s="1782">
        <v>2.35</v>
      </c>
      <c r="F1560" s="1782">
        <v>0.08</v>
      </c>
      <c r="G1560" s="1782">
        <v>3.58</v>
      </c>
      <c r="H1560" s="1782">
        <v>0.67</v>
      </c>
      <c r="I1560" s="1783">
        <v>7.68</v>
      </c>
      <c r="J1560" s="1783">
        <v>3.11</v>
      </c>
      <c r="K1560" s="1783">
        <v>164.38</v>
      </c>
      <c r="L1560" s="1783">
        <v>103.32</v>
      </c>
      <c r="M1560" s="1783">
        <v>36.86</v>
      </c>
    </row>
    <row r="1561" spans="1:13" s="1293" customFormat="1" x14ac:dyDescent="0.35">
      <c r="A1561" s="1784">
        <v>206393</v>
      </c>
      <c r="B1561" s="1782"/>
      <c r="C1561" s="1782">
        <v>1.71</v>
      </c>
      <c r="D1561" s="1782">
        <v>0.1</v>
      </c>
      <c r="E1561" s="1782">
        <v>2.36</v>
      </c>
      <c r="F1561" s="1782">
        <v>7.0000000000000007E-2</v>
      </c>
      <c r="G1561" s="1782">
        <v>3.14</v>
      </c>
      <c r="H1561" s="1782">
        <v>0.63</v>
      </c>
      <c r="I1561" s="1783">
        <v>10</v>
      </c>
      <c r="J1561" s="1783">
        <v>3.35</v>
      </c>
      <c r="K1561" s="1783">
        <v>203.31</v>
      </c>
      <c r="L1561" s="1783">
        <v>91.83</v>
      </c>
      <c r="M1561" s="1783">
        <v>41.76</v>
      </c>
    </row>
    <row r="1562" spans="1:13" s="1293" customFormat="1" x14ac:dyDescent="0.35">
      <c r="A1562" s="1784">
        <v>206394</v>
      </c>
      <c r="B1562" s="1782"/>
      <c r="C1562" s="1782">
        <v>2.0499999999999998</v>
      </c>
      <c r="D1562" s="1782">
        <v>0.11</v>
      </c>
      <c r="E1562" s="1782">
        <v>1.92</v>
      </c>
      <c r="F1562" s="1782">
        <v>7.0000000000000007E-2</v>
      </c>
      <c r="G1562" s="1782">
        <v>3.73</v>
      </c>
      <c r="H1562" s="1782">
        <v>0.68</v>
      </c>
      <c r="I1562" s="1783">
        <v>12.37</v>
      </c>
      <c r="J1562" s="1783">
        <v>3.51</v>
      </c>
      <c r="K1562" s="1783">
        <v>122.09</v>
      </c>
      <c r="L1562" s="1783">
        <v>103.53</v>
      </c>
      <c r="M1562" s="1783">
        <v>35.71</v>
      </c>
    </row>
    <row r="1563" spans="1:13" s="1293" customFormat="1" x14ac:dyDescent="0.35">
      <c r="A1563" s="1784">
        <v>206395</v>
      </c>
      <c r="B1563" s="1782"/>
      <c r="C1563" s="1782">
        <v>1.93</v>
      </c>
      <c r="D1563" s="1782">
        <v>0.13</v>
      </c>
      <c r="E1563" s="1782">
        <v>2.4500000000000002</v>
      </c>
      <c r="F1563" s="1782">
        <v>0.1</v>
      </c>
      <c r="G1563" s="1782">
        <v>3.67</v>
      </c>
      <c r="H1563" s="1782">
        <v>0.65</v>
      </c>
      <c r="I1563" s="1783">
        <v>11.47</v>
      </c>
      <c r="J1563" s="1783">
        <v>4.59</v>
      </c>
      <c r="K1563" s="1783">
        <v>104.65</v>
      </c>
      <c r="L1563" s="1783">
        <v>166.62</v>
      </c>
      <c r="M1563" s="1783">
        <v>51.23</v>
      </c>
    </row>
    <row r="1564" spans="1:13" s="1293" customFormat="1" x14ac:dyDescent="0.35">
      <c r="A1564" s="1784">
        <v>206396</v>
      </c>
      <c r="B1564" s="1782"/>
      <c r="C1564" s="1782">
        <v>2.02</v>
      </c>
      <c r="D1564" s="1782">
        <v>0.1</v>
      </c>
      <c r="E1564" s="1782">
        <v>1.43</v>
      </c>
      <c r="F1564" s="1782">
        <v>0.11</v>
      </c>
      <c r="G1564" s="1782">
        <v>4.66</v>
      </c>
      <c r="H1564" s="1782">
        <v>0.93</v>
      </c>
      <c r="I1564" s="1783">
        <v>17.239999999999998</v>
      </c>
      <c r="J1564" s="1783">
        <v>3.32</v>
      </c>
      <c r="K1564" s="1783">
        <v>152.19</v>
      </c>
      <c r="L1564" s="1783">
        <v>108.46</v>
      </c>
      <c r="M1564" s="1783">
        <v>33.950000000000003</v>
      </c>
    </row>
    <row r="1565" spans="1:13" s="1293" customFormat="1" x14ac:dyDescent="0.35">
      <c r="A1565" s="1784">
        <v>206397</v>
      </c>
      <c r="B1565" s="1782"/>
      <c r="C1565" s="1782">
        <v>2.38</v>
      </c>
      <c r="D1565" s="1782">
        <v>0.13</v>
      </c>
      <c r="E1565" s="1782">
        <v>2.36</v>
      </c>
      <c r="F1565" s="1782">
        <v>0.05</v>
      </c>
      <c r="G1565" s="1782">
        <v>2.76</v>
      </c>
      <c r="H1565" s="1782">
        <v>0.51</v>
      </c>
      <c r="I1565" s="1783">
        <v>13.93</v>
      </c>
      <c r="J1565" s="1783">
        <v>4.22</v>
      </c>
      <c r="K1565" s="1783">
        <v>100.96</v>
      </c>
      <c r="L1565" s="1783">
        <v>97.64</v>
      </c>
      <c r="M1565" s="1783">
        <v>40.590000000000003</v>
      </c>
    </row>
    <row r="1566" spans="1:13" s="1293" customFormat="1" x14ac:dyDescent="0.35">
      <c r="A1566" s="1784">
        <v>206398</v>
      </c>
      <c r="B1566" s="1782"/>
      <c r="C1566" s="1782">
        <v>1.99</v>
      </c>
      <c r="D1566" s="1782">
        <v>0.14000000000000001</v>
      </c>
      <c r="E1566" s="1782">
        <v>2.5099999999999998</v>
      </c>
      <c r="F1566" s="1782">
        <v>7.0000000000000007E-2</v>
      </c>
      <c r="G1566" s="1782">
        <v>3.21</v>
      </c>
      <c r="H1566" s="1782">
        <v>0.47</v>
      </c>
      <c r="I1566" s="1783">
        <v>10.85</v>
      </c>
      <c r="J1566" s="1783">
        <v>4.93</v>
      </c>
      <c r="K1566" s="1783">
        <v>84.1</v>
      </c>
      <c r="L1566" s="1783">
        <v>104.89</v>
      </c>
      <c r="M1566" s="1783">
        <v>58.83</v>
      </c>
    </row>
    <row r="1567" spans="1:13" s="1293" customFormat="1" x14ac:dyDescent="0.35">
      <c r="A1567" s="1784">
        <v>206399</v>
      </c>
      <c r="B1567" s="1782"/>
      <c r="C1567" s="1782">
        <v>2.0699999999999998</v>
      </c>
      <c r="D1567" s="1782">
        <v>0.13</v>
      </c>
      <c r="E1567" s="1782">
        <v>0.74</v>
      </c>
      <c r="F1567" s="1782">
        <v>0.05</v>
      </c>
      <c r="G1567" s="1782">
        <v>5.28</v>
      </c>
      <c r="H1567" s="1782">
        <v>0.48</v>
      </c>
      <c r="I1567" s="1783">
        <v>20.399999999999999</v>
      </c>
      <c r="J1567" s="1783">
        <v>1.87</v>
      </c>
      <c r="K1567" s="1783">
        <v>39.36</v>
      </c>
      <c r="L1567" s="1783">
        <v>117.44</v>
      </c>
      <c r="M1567" s="1783">
        <v>80.08</v>
      </c>
    </row>
    <row r="1568" spans="1:13" s="1293" customFormat="1" x14ac:dyDescent="0.35">
      <c r="A1568" s="1784">
        <v>206400</v>
      </c>
      <c r="B1568" s="1782"/>
      <c r="C1568" s="1782">
        <v>2.58</v>
      </c>
      <c r="D1568" s="1782">
        <v>0.15</v>
      </c>
      <c r="E1568" s="1782">
        <v>1.1299999999999999</v>
      </c>
      <c r="F1568" s="1782">
        <v>7.0000000000000007E-2</v>
      </c>
      <c r="G1568" s="1782">
        <v>4.24</v>
      </c>
      <c r="H1568" s="1782">
        <v>0.23</v>
      </c>
      <c r="I1568" s="1783">
        <v>21.93</v>
      </c>
      <c r="J1568" s="1783">
        <v>1.8</v>
      </c>
      <c r="K1568" s="1783">
        <v>38.43</v>
      </c>
      <c r="L1568" s="1783">
        <v>125.56</v>
      </c>
      <c r="M1568" s="1783">
        <v>85.2</v>
      </c>
    </row>
    <row r="1569" spans="1:13" s="1293" customFormat="1" x14ac:dyDescent="0.35">
      <c r="A1569" s="1784">
        <v>206401</v>
      </c>
      <c r="B1569" s="1782"/>
      <c r="C1569" s="1782">
        <v>2.35</v>
      </c>
      <c r="D1569" s="1782">
        <v>0.15</v>
      </c>
      <c r="E1569" s="1782">
        <v>1.37</v>
      </c>
      <c r="F1569" s="1782">
        <v>0.06</v>
      </c>
      <c r="G1569" s="1782">
        <v>3.45</v>
      </c>
      <c r="H1569" s="1782">
        <v>0.26</v>
      </c>
      <c r="I1569" s="1783">
        <v>34.659999999999997</v>
      </c>
      <c r="J1569" s="1783">
        <v>1.1499999999999999</v>
      </c>
      <c r="K1569" s="1783">
        <v>48.87</v>
      </c>
      <c r="L1569" s="1783">
        <v>141.44999999999999</v>
      </c>
      <c r="M1569" s="1783">
        <v>63.06</v>
      </c>
    </row>
    <row r="1570" spans="1:13" s="1293" customFormat="1" x14ac:dyDescent="0.35">
      <c r="A1570" s="1784">
        <v>206402</v>
      </c>
      <c r="B1570" s="1782"/>
      <c r="C1570" s="1782">
        <v>2.91</v>
      </c>
      <c r="D1570" s="1782">
        <v>0.12</v>
      </c>
      <c r="E1570" s="1782">
        <v>1.03</v>
      </c>
      <c r="F1570" s="1782">
        <v>0.08</v>
      </c>
      <c r="G1570" s="1782">
        <v>4.5599999999999996</v>
      </c>
      <c r="H1570" s="1782">
        <v>0.28999999999999998</v>
      </c>
      <c r="I1570" s="1783">
        <v>23.39</v>
      </c>
      <c r="J1570" s="1783">
        <v>2.7</v>
      </c>
      <c r="K1570" s="1783">
        <v>24.81</v>
      </c>
      <c r="L1570" s="1783">
        <v>133.13</v>
      </c>
      <c r="M1570" s="1783">
        <v>78.81</v>
      </c>
    </row>
    <row r="1571" spans="1:13" s="1293" customFormat="1" x14ac:dyDescent="0.35">
      <c r="A1571" s="1784">
        <v>206403</v>
      </c>
      <c r="B1571" s="1782"/>
      <c r="C1571" s="1782">
        <v>2.33</v>
      </c>
      <c r="D1571" s="1782">
        <v>0.2</v>
      </c>
      <c r="E1571" s="1782">
        <v>1.31</v>
      </c>
      <c r="F1571" s="1782">
        <v>0.01</v>
      </c>
      <c r="G1571" s="1782">
        <v>1.44</v>
      </c>
      <c r="H1571" s="1782">
        <v>0.38</v>
      </c>
      <c r="I1571" s="1783">
        <v>16.05</v>
      </c>
      <c r="J1571" s="1783">
        <v>6.79</v>
      </c>
      <c r="K1571" s="1783">
        <v>50.93</v>
      </c>
      <c r="L1571" s="1783">
        <v>73</v>
      </c>
      <c r="M1571" s="1783">
        <v>47.5</v>
      </c>
    </row>
    <row r="1572" spans="1:13" s="1293" customFormat="1" x14ac:dyDescent="0.35">
      <c r="A1572" s="1784">
        <v>206404</v>
      </c>
      <c r="B1572" s="1782"/>
      <c r="C1572" s="1782">
        <v>3.28</v>
      </c>
      <c r="D1572" s="1782">
        <v>0.34</v>
      </c>
      <c r="E1572" s="1782">
        <v>2.2599999999999998</v>
      </c>
      <c r="F1572" s="1782">
        <v>0.02</v>
      </c>
      <c r="G1572" s="1782">
        <v>1.99</v>
      </c>
      <c r="H1572" s="1782">
        <v>0.74</v>
      </c>
      <c r="I1572" s="1783">
        <v>30.47</v>
      </c>
      <c r="J1572" s="1783">
        <v>5.79</v>
      </c>
      <c r="K1572" s="1783">
        <v>378.25</v>
      </c>
      <c r="L1572" s="1783">
        <v>102</v>
      </c>
      <c r="M1572" s="1783">
        <v>73.16</v>
      </c>
    </row>
    <row r="1573" spans="1:13" s="1293" customFormat="1" x14ac:dyDescent="0.35">
      <c r="A1573" s="1784">
        <v>206405</v>
      </c>
      <c r="B1573" s="1782"/>
      <c r="C1573" s="1785">
        <v>2.4377400000000002</v>
      </c>
      <c r="D1573" s="1782">
        <v>0.11</v>
      </c>
      <c r="E1573" s="1782">
        <v>0.95</v>
      </c>
      <c r="F1573" s="1782">
        <v>0.03</v>
      </c>
      <c r="G1573" s="1782">
        <v>2.5299999999999998</v>
      </c>
      <c r="H1573" s="1782">
        <v>0.98</v>
      </c>
      <c r="I1573" s="1783">
        <v>14.17</v>
      </c>
      <c r="J1573" s="1783">
        <v>5.37</v>
      </c>
      <c r="K1573" s="1783">
        <v>61.88</v>
      </c>
      <c r="L1573" s="1783">
        <v>85.82</v>
      </c>
      <c r="M1573" s="1783">
        <v>36.67</v>
      </c>
    </row>
    <row r="1574" spans="1:13" s="1293" customFormat="1" x14ac:dyDescent="0.35">
      <c r="A1574" s="1784">
        <v>206406</v>
      </c>
      <c r="B1574" s="1782"/>
      <c r="C1574" s="1785">
        <v>1.8493200000000001</v>
      </c>
      <c r="D1574" s="1782">
        <v>0.12</v>
      </c>
      <c r="E1574" s="1782">
        <v>1.82</v>
      </c>
      <c r="F1574" s="1782">
        <v>0.03</v>
      </c>
      <c r="G1574" s="1782">
        <v>1.1299999999999999</v>
      </c>
      <c r="H1574" s="1782">
        <v>0.35</v>
      </c>
      <c r="I1574" s="1783">
        <v>11.67</v>
      </c>
      <c r="J1574" s="1783">
        <v>6.68</v>
      </c>
      <c r="K1574" s="1783">
        <v>52.87</v>
      </c>
      <c r="L1574" s="1783">
        <v>134.72999999999999</v>
      </c>
      <c r="M1574" s="1783">
        <v>68.180000000000007</v>
      </c>
    </row>
    <row r="1575" spans="1:13" s="1293" customFormat="1" x14ac:dyDescent="0.35">
      <c r="A1575" s="1784">
        <v>206407</v>
      </c>
      <c r="B1575" s="1782"/>
      <c r="C1575" s="1785">
        <v>2.5217999999999998</v>
      </c>
      <c r="D1575" s="1782">
        <v>0.21</v>
      </c>
      <c r="E1575" s="1782">
        <v>1.1399999999999999</v>
      </c>
      <c r="F1575" s="1782">
        <v>0.02</v>
      </c>
      <c r="G1575" s="1782">
        <v>1.91</v>
      </c>
      <c r="H1575" s="1782">
        <v>0.2</v>
      </c>
      <c r="I1575" s="1783">
        <v>12.41</v>
      </c>
      <c r="J1575" s="1783">
        <v>9.0500000000000007</v>
      </c>
      <c r="K1575" s="1783">
        <v>96.4</v>
      </c>
      <c r="L1575" s="1783">
        <v>108.32</v>
      </c>
      <c r="M1575" s="1783">
        <v>82.75</v>
      </c>
    </row>
    <row r="1576" spans="1:13" s="1293" customFormat="1" x14ac:dyDescent="0.35">
      <c r="A1576" s="1784">
        <v>206408</v>
      </c>
      <c r="B1576" s="1782"/>
      <c r="C1576" s="1785">
        <v>1.6531800000000001</v>
      </c>
      <c r="D1576" s="1782">
        <v>0.18</v>
      </c>
      <c r="E1576" s="1782">
        <v>1.18</v>
      </c>
      <c r="F1576" s="1782">
        <v>0.01</v>
      </c>
      <c r="G1576" s="1782">
        <v>1.79</v>
      </c>
      <c r="H1576" s="1782">
        <v>0.13</v>
      </c>
      <c r="I1576" s="1783">
        <v>19.93</v>
      </c>
      <c r="J1576" s="1783">
        <v>30.65</v>
      </c>
      <c r="K1576" s="1783">
        <v>28.21</v>
      </c>
      <c r="L1576" s="1783">
        <v>74.23</v>
      </c>
      <c r="M1576" s="1783">
        <v>33.659999999999997</v>
      </c>
    </row>
    <row r="1577" spans="1:13" s="1293" customFormat="1" x14ac:dyDescent="0.35">
      <c r="A1577" s="1784">
        <v>206409</v>
      </c>
      <c r="B1577" s="1782"/>
      <c r="C1577" s="1785">
        <v>2.6619000000000002</v>
      </c>
      <c r="D1577" s="1782">
        <v>0.19</v>
      </c>
      <c r="E1577" s="1782">
        <v>2.2200000000000002</v>
      </c>
      <c r="F1577" s="1782">
        <v>0.02</v>
      </c>
      <c r="G1577" s="1782">
        <v>2.78</v>
      </c>
      <c r="H1577" s="1782">
        <v>0.47</v>
      </c>
      <c r="I1577" s="1783">
        <v>12.09</v>
      </c>
      <c r="J1577" s="1783">
        <v>8.76</v>
      </c>
      <c r="K1577" s="1783">
        <v>45.99</v>
      </c>
      <c r="L1577" s="1783">
        <v>103.87</v>
      </c>
      <c r="M1577" s="1783">
        <v>36.64</v>
      </c>
    </row>
    <row r="1578" spans="1:13" s="1293" customFormat="1" x14ac:dyDescent="0.35">
      <c r="A1578" s="1784">
        <v>206410</v>
      </c>
      <c r="B1578" s="1782"/>
      <c r="C1578" s="1785">
        <v>1.31694</v>
      </c>
      <c r="D1578" s="1782">
        <v>0.13</v>
      </c>
      <c r="E1578" s="1782">
        <v>0.64</v>
      </c>
      <c r="F1578" s="1782">
        <v>0.01</v>
      </c>
      <c r="G1578" s="1782">
        <v>2</v>
      </c>
      <c r="H1578" s="1782">
        <v>0.22</v>
      </c>
      <c r="I1578" s="1783">
        <v>19.100000000000001</v>
      </c>
      <c r="J1578" s="1783">
        <v>131.08000000000001</v>
      </c>
      <c r="K1578" s="1783">
        <v>24.14</v>
      </c>
      <c r="L1578" s="1783">
        <v>89.58</v>
      </c>
      <c r="M1578" s="1783">
        <v>24.14</v>
      </c>
    </row>
    <row r="1579" spans="1:13" s="1293" customFormat="1" x14ac:dyDescent="0.35">
      <c r="A1579" s="1784">
        <v>206411</v>
      </c>
      <c r="B1579" s="1782"/>
      <c r="C1579" s="1785">
        <v>1.87734</v>
      </c>
      <c r="D1579" s="1782">
        <v>0.11</v>
      </c>
      <c r="E1579" s="1782">
        <v>1.1599999999999999</v>
      </c>
      <c r="F1579" s="1782">
        <v>7.0000000000000007E-2</v>
      </c>
      <c r="G1579" s="1782">
        <v>5.96</v>
      </c>
      <c r="H1579" s="1782">
        <v>0.9</v>
      </c>
      <c r="I1579" s="1783">
        <v>21.09</v>
      </c>
      <c r="J1579" s="1783">
        <v>5.33</v>
      </c>
      <c r="K1579" s="1783">
        <v>72.67</v>
      </c>
      <c r="L1579" s="1783">
        <v>48.09</v>
      </c>
      <c r="M1579" s="1783">
        <v>35.15</v>
      </c>
    </row>
    <row r="1580" spans="1:13" s="1293" customFormat="1" x14ac:dyDescent="0.35">
      <c r="A1580" s="1784">
        <v>206412</v>
      </c>
      <c r="B1580" s="1782"/>
      <c r="C1580" s="1785">
        <v>1.26</v>
      </c>
      <c r="D1580" s="1782">
        <v>0.18</v>
      </c>
      <c r="E1580" s="1782">
        <v>1.07</v>
      </c>
      <c r="F1580" s="1782">
        <v>0.01</v>
      </c>
      <c r="G1580" s="1782">
        <v>2.11</v>
      </c>
      <c r="H1580" s="1782">
        <v>0.15</v>
      </c>
      <c r="I1580" s="1783">
        <v>19.48</v>
      </c>
      <c r="J1580" s="1783">
        <v>25.43</v>
      </c>
      <c r="K1580" s="1783">
        <v>32.82</v>
      </c>
      <c r="L1580" s="1783">
        <v>66.069999999999993</v>
      </c>
      <c r="M1580" s="1783">
        <v>34.82</v>
      </c>
    </row>
    <row r="1581" spans="1:13" s="1293" customFormat="1" x14ac:dyDescent="0.35">
      <c r="A1581" s="1784">
        <v>206413</v>
      </c>
      <c r="B1581" s="1782"/>
      <c r="C1581" s="1785">
        <v>1.48506</v>
      </c>
      <c r="D1581" s="1782">
        <v>0.18</v>
      </c>
      <c r="E1581" s="1782">
        <v>1.1000000000000001</v>
      </c>
      <c r="F1581" s="1782">
        <v>0.01</v>
      </c>
      <c r="G1581" s="1782">
        <v>1.56</v>
      </c>
      <c r="H1581" s="1782">
        <v>0.17</v>
      </c>
      <c r="I1581" s="1783">
        <v>19.84</v>
      </c>
      <c r="J1581" s="1783">
        <v>15.4</v>
      </c>
      <c r="K1581" s="1783">
        <v>27.32</v>
      </c>
      <c r="L1581" s="1783">
        <v>64.13</v>
      </c>
      <c r="M1581" s="1783">
        <v>30.86</v>
      </c>
    </row>
    <row r="1582" spans="1:13" s="1293" customFormat="1" x14ac:dyDescent="0.35">
      <c r="A1582" s="1784">
        <v>206414</v>
      </c>
      <c r="B1582" s="1782"/>
      <c r="C1582" s="1785">
        <v>2.8860600000000001</v>
      </c>
      <c r="D1582" s="1782">
        <v>0.33</v>
      </c>
      <c r="E1582" s="1782">
        <v>2.61</v>
      </c>
      <c r="F1582" s="1782">
        <v>0.01</v>
      </c>
      <c r="G1582" s="1782">
        <v>1.41</v>
      </c>
      <c r="H1582" s="1782">
        <v>0.37</v>
      </c>
      <c r="I1582" s="1783">
        <v>20.11</v>
      </c>
      <c r="J1582" s="1783">
        <v>9.2799999999999994</v>
      </c>
      <c r="K1582" s="1783">
        <v>58.81</v>
      </c>
      <c r="L1582" s="1783">
        <v>76.540000000000006</v>
      </c>
      <c r="M1582" s="1783">
        <v>40.49</v>
      </c>
    </row>
    <row r="1583" spans="1:13" s="1293" customFormat="1" x14ac:dyDescent="0.35">
      <c r="A1583" s="1784">
        <v>206415</v>
      </c>
      <c r="B1583" s="1782"/>
      <c r="C1583" s="1785">
        <v>3.0821999999999998</v>
      </c>
      <c r="D1583" s="1782">
        <v>0.23</v>
      </c>
      <c r="E1583" s="1782">
        <v>2.38</v>
      </c>
      <c r="F1583" s="1782">
        <v>0.01</v>
      </c>
      <c r="G1583" s="1782">
        <v>1.8</v>
      </c>
      <c r="H1583" s="1782">
        <v>0.51</v>
      </c>
      <c r="I1583" s="1783">
        <v>14.03</v>
      </c>
      <c r="J1583" s="1783">
        <v>9.92</v>
      </c>
      <c r="K1583" s="1783">
        <v>37.450000000000003</v>
      </c>
      <c r="L1583" s="1783">
        <v>103.14</v>
      </c>
      <c r="M1583" s="1783">
        <v>38.840000000000003</v>
      </c>
    </row>
    <row r="1584" spans="1:13" s="1293" customFormat="1" x14ac:dyDescent="0.35">
      <c r="A1584" s="1784">
        <v>206416</v>
      </c>
      <c r="B1584" s="1782"/>
      <c r="C1584" s="1785">
        <v>2.2696200000000002</v>
      </c>
      <c r="D1584" s="1782">
        <v>0.15</v>
      </c>
      <c r="E1584" s="1782">
        <v>1.74</v>
      </c>
      <c r="F1584" s="1782">
        <v>0.02</v>
      </c>
      <c r="G1584" s="1782">
        <v>3.29</v>
      </c>
      <c r="H1584" s="1782">
        <v>0.86</v>
      </c>
      <c r="I1584" s="1783">
        <v>12.88</v>
      </c>
      <c r="J1584" s="1783">
        <v>7.08</v>
      </c>
      <c r="K1584" s="1783">
        <v>47.16</v>
      </c>
      <c r="L1584" s="1783">
        <v>72.55</v>
      </c>
      <c r="M1584" s="1783">
        <v>35.380000000000003</v>
      </c>
    </row>
    <row r="1585" spans="1:13" s="1293" customFormat="1" x14ac:dyDescent="0.35">
      <c r="A1585" s="1784">
        <v>206417</v>
      </c>
      <c r="B1585" s="1782"/>
      <c r="C1585" s="1785">
        <v>3.19428</v>
      </c>
      <c r="D1585" s="1782">
        <v>0.17</v>
      </c>
      <c r="E1585" s="1782">
        <v>1.8</v>
      </c>
      <c r="F1585" s="1782">
        <v>0.01</v>
      </c>
      <c r="G1585" s="1782">
        <v>1.54</v>
      </c>
      <c r="H1585" s="1782">
        <v>0.45</v>
      </c>
      <c r="I1585" s="1783">
        <v>14.82</v>
      </c>
      <c r="J1585" s="1783">
        <v>8.4600000000000009</v>
      </c>
      <c r="K1585" s="1783">
        <v>22.16</v>
      </c>
      <c r="L1585" s="1783">
        <v>68.45</v>
      </c>
      <c r="M1585" s="1783">
        <v>37.409999999999997</v>
      </c>
    </row>
    <row r="1586" spans="1:13" s="1293" customFormat="1" x14ac:dyDescent="0.35">
      <c r="A1586" s="1784">
        <v>206418</v>
      </c>
      <c r="B1586" s="1782"/>
      <c r="C1586" s="1785">
        <v>1.4290200000000002</v>
      </c>
      <c r="D1586" s="1782">
        <v>0.26</v>
      </c>
      <c r="E1586" s="1782">
        <v>1.39</v>
      </c>
      <c r="F1586" s="1782">
        <v>0.02</v>
      </c>
      <c r="G1586" s="1782">
        <v>1.0900000000000001</v>
      </c>
      <c r="H1586" s="1782">
        <v>0.12</v>
      </c>
      <c r="I1586" s="1783">
        <v>21.78</v>
      </c>
      <c r="J1586" s="1783">
        <v>36.56</v>
      </c>
      <c r="K1586" s="1783">
        <v>16.89</v>
      </c>
      <c r="L1586" s="1783">
        <v>53.41</v>
      </c>
      <c r="M1586" s="1783">
        <v>44.86</v>
      </c>
    </row>
    <row r="1587" spans="1:13" s="1293" customFormat="1" x14ac:dyDescent="0.35">
      <c r="A1587" s="1784">
        <v>206419</v>
      </c>
      <c r="B1587" s="1782"/>
      <c r="C1587" s="1782">
        <v>4.4800000000000004</v>
      </c>
      <c r="D1587" s="1782">
        <v>0.28999999999999998</v>
      </c>
      <c r="E1587" s="1782">
        <v>2.02</v>
      </c>
      <c r="F1587" s="1782">
        <v>0.02</v>
      </c>
      <c r="G1587" s="1782">
        <v>2.2400000000000002</v>
      </c>
      <c r="H1587" s="1782">
        <v>0.72</v>
      </c>
      <c r="I1587" s="1783">
        <v>15.43</v>
      </c>
      <c r="J1587" s="1783">
        <v>10.82</v>
      </c>
      <c r="K1587" s="1783">
        <v>45.27</v>
      </c>
      <c r="L1587" s="1783">
        <v>96.47</v>
      </c>
      <c r="M1587" s="1783">
        <v>50.51</v>
      </c>
    </row>
    <row r="1588" spans="1:13" s="1293" customFormat="1" x14ac:dyDescent="0.35">
      <c r="A1588" s="1784">
        <v>206420</v>
      </c>
      <c r="B1588" s="1782"/>
      <c r="C1588" s="1785">
        <v>1.3729800000000001</v>
      </c>
      <c r="D1588" s="1782">
        <v>7.0000000000000007E-2</v>
      </c>
      <c r="E1588" s="1782">
        <v>0.53</v>
      </c>
      <c r="F1588" s="1782">
        <v>0.02</v>
      </c>
      <c r="G1588" s="1782">
        <v>3.26</v>
      </c>
      <c r="H1588" s="1782">
        <v>0.31</v>
      </c>
      <c r="I1588" s="1783">
        <v>9.33</v>
      </c>
      <c r="J1588" s="1783">
        <v>125.35</v>
      </c>
      <c r="K1588" s="1783">
        <v>59.6</v>
      </c>
      <c r="L1588" s="1783">
        <v>34.119999999999997</v>
      </c>
      <c r="M1588" s="1783">
        <v>14.23</v>
      </c>
    </row>
    <row r="1589" spans="1:13" s="1293" customFormat="1" x14ac:dyDescent="0.35">
      <c r="A1589" s="1784">
        <v>206421</v>
      </c>
      <c r="B1589" s="1782"/>
      <c r="C1589" s="1785">
        <v>1.4290200000000002</v>
      </c>
      <c r="D1589" s="1782">
        <v>0.09</v>
      </c>
      <c r="E1589" s="1782">
        <v>0.52</v>
      </c>
      <c r="F1589" s="1782">
        <v>0.01</v>
      </c>
      <c r="G1589" s="1782">
        <v>3.11</v>
      </c>
      <c r="H1589" s="1782">
        <v>0.34</v>
      </c>
      <c r="I1589" s="1783">
        <v>11.99</v>
      </c>
      <c r="J1589" s="1783">
        <v>121.55</v>
      </c>
      <c r="K1589" s="1783">
        <v>77.11</v>
      </c>
      <c r="L1589" s="1783">
        <v>70.88</v>
      </c>
      <c r="M1589" s="1783">
        <v>16.87</v>
      </c>
    </row>
    <row r="1590" spans="1:13" s="1293" customFormat="1" x14ac:dyDescent="0.35">
      <c r="A1590" s="1784">
        <v>206422</v>
      </c>
      <c r="B1590" s="1782"/>
      <c r="C1590" s="1785">
        <v>1.59714</v>
      </c>
      <c r="D1590" s="1782">
        <v>0.09</v>
      </c>
      <c r="E1590" s="1782">
        <v>0.56000000000000005</v>
      </c>
      <c r="F1590" s="1782">
        <v>0.01</v>
      </c>
      <c r="G1590" s="1782">
        <v>3.09</v>
      </c>
      <c r="H1590" s="1782">
        <v>0.32</v>
      </c>
      <c r="I1590" s="1783">
        <v>13.08</v>
      </c>
      <c r="J1590" s="1783">
        <v>117.53</v>
      </c>
      <c r="K1590" s="1783">
        <v>65.77</v>
      </c>
      <c r="L1590" s="1783">
        <v>59.01</v>
      </c>
      <c r="M1590" s="1783">
        <v>17</v>
      </c>
    </row>
    <row r="1591" spans="1:13" s="1293" customFormat="1" x14ac:dyDescent="0.35">
      <c r="A1591" s="1784">
        <v>206423</v>
      </c>
      <c r="B1591" s="1782"/>
      <c r="C1591" s="1785">
        <v>1.4570400000000001</v>
      </c>
      <c r="D1591" s="1782">
        <v>0.09</v>
      </c>
      <c r="E1591" s="1782">
        <v>0.7</v>
      </c>
      <c r="F1591" s="1782">
        <v>0.02</v>
      </c>
      <c r="G1591" s="1782">
        <v>2.61</v>
      </c>
      <c r="H1591" s="1782">
        <v>0.28999999999999998</v>
      </c>
      <c r="I1591" s="1783">
        <v>13.03</v>
      </c>
      <c r="J1591" s="1783">
        <v>148.46</v>
      </c>
      <c r="K1591" s="1783">
        <v>48.98</v>
      </c>
      <c r="L1591" s="1783">
        <v>62.86</v>
      </c>
      <c r="M1591" s="1783">
        <v>17.850000000000001</v>
      </c>
    </row>
    <row r="1592" spans="1:13" s="1293" customFormat="1" x14ac:dyDescent="0.35">
      <c r="A1592" s="1784">
        <v>206424</v>
      </c>
      <c r="B1592" s="1782"/>
      <c r="C1592" s="1785">
        <v>1.3729800000000001</v>
      </c>
      <c r="D1592" s="1782">
        <v>0.09</v>
      </c>
      <c r="E1592" s="1782">
        <v>0.66</v>
      </c>
      <c r="F1592" s="1782">
        <v>0.01</v>
      </c>
      <c r="G1592" s="1782">
        <v>2.39</v>
      </c>
      <c r="H1592" s="1782">
        <v>0.34</v>
      </c>
      <c r="I1592" s="1783">
        <v>13.04</v>
      </c>
      <c r="J1592" s="1783">
        <v>153.87</v>
      </c>
      <c r="K1592" s="1783">
        <v>38.020000000000003</v>
      </c>
      <c r="L1592" s="1783">
        <v>60.28</v>
      </c>
      <c r="M1592" s="1783">
        <v>16.87</v>
      </c>
    </row>
    <row r="1593" spans="1:13" s="1293" customFormat="1" x14ac:dyDescent="0.35">
      <c r="A1593" s="1784">
        <v>206425</v>
      </c>
      <c r="B1593" s="1782"/>
      <c r="C1593" s="1785">
        <v>0.2802</v>
      </c>
      <c r="D1593" s="1782">
        <v>0.1</v>
      </c>
      <c r="E1593" s="1782">
        <v>4.13</v>
      </c>
      <c r="F1593" s="1782">
        <v>0.01</v>
      </c>
      <c r="G1593" s="1782">
        <v>0.09</v>
      </c>
      <c r="H1593" s="1782">
        <v>0.06</v>
      </c>
      <c r="I1593" s="1783">
        <v>2.54</v>
      </c>
      <c r="J1593" s="1783">
        <v>3.59</v>
      </c>
      <c r="K1593" s="1783">
        <v>3.79</v>
      </c>
      <c r="L1593" s="1783">
        <v>53.95</v>
      </c>
      <c r="M1593" s="1783">
        <v>46.27</v>
      </c>
    </row>
    <row r="1594" spans="1:13" s="1293" customFormat="1" x14ac:dyDescent="0.35">
      <c r="A1594" s="1784">
        <v>206426</v>
      </c>
      <c r="B1594" s="1782"/>
      <c r="C1594" s="1785">
        <v>1.9333800000000001</v>
      </c>
      <c r="D1594" s="1782">
        <v>0.12</v>
      </c>
      <c r="E1594" s="1782">
        <v>1.69</v>
      </c>
      <c r="F1594" s="1782">
        <v>0.04</v>
      </c>
      <c r="G1594" s="1782">
        <v>3.56</v>
      </c>
      <c r="H1594" s="1782">
        <v>0.5</v>
      </c>
      <c r="I1594" s="1783">
        <v>27.33</v>
      </c>
      <c r="J1594" s="1783">
        <v>2.9</v>
      </c>
      <c r="K1594" s="1783">
        <v>69.400000000000006</v>
      </c>
      <c r="L1594" s="1783">
        <v>137.56</v>
      </c>
      <c r="M1594" s="1783">
        <v>41.33</v>
      </c>
    </row>
    <row r="1595" spans="1:13" s="1293" customFormat="1" x14ac:dyDescent="0.35">
      <c r="A1595" s="1784">
        <v>206427</v>
      </c>
      <c r="B1595" s="1782"/>
      <c r="C1595" s="1785">
        <v>1.6531800000000001</v>
      </c>
      <c r="D1595" s="1782">
        <v>0.12</v>
      </c>
      <c r="E1595" s="1782">
        <v>1.69</v>
      </c>
      <c r="F1595" s="1782">
        <v>0.04</v>
      </c>
      <c r="G1595" s="1782">
        <v>3.9</v>
      </c>
      <c r="H1595" s="1782">
        <v>0.53</v>
      </c>
      <c r="I1595" s="1783">
        <v>29.84</v>
      </c>
      <c r="J1595" s="1783">
        <v>3.79</v>
      </c>
      <c r="K1595" s="1783">
        <v>92.08</v>
      </c>
      <c r="L1595" s="1783">
        <v>135.27000000000001</v>
      </c>
      <c r="M1595" s="1783">
        <v>43.94</v>
      </c>
    </row>
    <row r="1596" spans="1:13" s="1293" customFormat="1" x14ac:dyDescent="0.35">
      <c r="A1596" s="1784">
        <v>206428</v>
      </c>
      <c r="B1596" s="1782"/>
      <c r="C1596" s="1785">
        <v>1.7092200000000002</v>
      </c>
      <c r="D1596" s="1782">
        <v>0.12</v>
      </c>
      <c r="E1596" s="1782">
        <v>1.58</v>
      </c>
      <c r="F1596" s="1782">
        <v>0.1</v>
      </c>
      <c r="G1596" s="1782">
        <v>4.16</v>
      </c>
      <c r="H1596" s="1782">
        <v>0.68</v>
      </c>
      <c r="I1596" s="1783">
        <v>24.7</v>
      </c>
      <c r="J1596" s="1783">
        <v>3.95</v>
      </c>
      <c r="K1596" s="1783">
        <v>73.42</v>
      </c>
      <c r="L1596" s="1783">
        <v>139.41999999999999</v>
      </c>
      <c r="M1596" s="1783">
        <v>41.5</v>
      </c>
    </row>
    <row r="1597" spans="1:13" s="1293" customFormat="1" x14ac:dyDescent="0.35">
      <c r="A1597" s="1784">
        <v>206429</v>
      </c>
      <c r="B1597" s="1782"/>
      <c r="C1597" s="1785">
        <v>1.6531800000000001</v>
      </c>
      <c r="D1597" s="1782">
        <v>0.12</v>
      </c>
      <c r="E1597" s="1782">
        <v>1.31</v>
      </c>
      <c r="F1597" s="1782">
        <v>0.1</v>
      </c>
      <c r="G1597" s="1782">
        <v>4.57</v>
      </c>
      <c r="H1597" s="1782">
        <v>0.77</v>
      </c>
      <c r="I1597" s="1783">
        <v>21.48</v>
      </c>
      <c r="J1597" s="1783">
        <v>3.45</v>
      </c>
      <c r="K1597" s="1783">
        <v>95.29</v>
      </c>
      <c r="L1597" s="1783">
        <v>179.69</v>
      </c>
      <c r="M1597" s="1783">
        <v>42.44</v>
      </c>
    </row>
    <row r="1598" spans="1:13" s="1293" customFormat="1" x14ac:dyDescent="0.35">
      <c r="A1598" s="1784">
        <v>206430</v>
      </c>
      <c r="B1598" s="1782"/>
      <c r="C1598" s="1785">
        <v>1.6531800000000001</v>
      </c>
      <c r="D1598" s="1782">
        <v>0.12</v>
      </c>
      <c r="E1598" s="1782">
        <v>1.28</v>
      </c>
      <c r="F1598" s="1782">
        <v>0.08</v>
      </c>
      <c r="G1598" s="1782">
        <v>4.82</v>
      </c>
      <c r="H1598" s="1782">
        <v>0.76</v>
      </c>
      <c r="I1598" s="1783">
        <v>22.08</v>
      </c>
      <c r="J1598" s="1783">
        <v>3.06</v>
      </c>
      <c r="K1598" s="1783">
        <v>74.930000000000007</v>
      </c>
      <c r="L1598" s="1783">
        <v>159.46</v>
      </c>
      <c r="M1598" s="1783">
        <v>42.38</v>
      </c>
    </row>
    <row r="1599" spans="1:13" s="1293" customFormat="1" x14ac:dyDescent="0.35">
      <c r="A1599" s="1784">
        <v>206431</v>
      </c>
      <c r="B1599" s="1782"/>
      <c r="C1599" s="1785">
        <v>1.5691200000000003</v>
      </c>
      <c r="D1599" s="1782">
        <v>0.06</v>
      </c>
      <c r="E1599" s="1782">
        <v>0.74</v>
      </c>
      <c r="F1599" s="1782">
        <v>0.02</v>
      </c>
      <c r="G1599" s="1782">
        <v>2.0499999999999998</v>
      </c>
      <c r="H1599" s="1782">
        <v>0.32</v>
      </c>
      <c r="I1599" s="1783">
        <v>11.68</v>
      </c>
      <c r="J1599" s="1783">
        <v>1.72</v>
      </c>
      <c r="K1599" s="1783">
        <v>38.020000000000003</v>
      </c>
      <c r="L1599" s="1783">
        <v>72.05</v>
      </c>
      <c r="M1599" s="1783">
        <v>16.8</v>
      </c>
    </row>
    <row r="1600" spans="1:13" s="1293" customFormat="1" x14ac:dyDescent="0.35">
      <c r="A1600" s="1784">
        <v>206432</v>
      </c>
      <c r="B1600" s="1782"/>
      <c r="C1600" s="1785">
        <v>1.5410999999999999</v>
      </c>
      <c r="D1600" s="1782">
        <v>0.11</v>
      </c>
      <c r="E1600" s="1782">
        <v>1.62</v>
      </c>
      <c r="F1600" s="1782">
        <v>0.05</v>
      </c>
      <c r="G1600" s="1782">
        <v>4.29</v>
      </c>
      <c r="H1600" s="1782">
        <v>0.72</v>
      </c>
      <c r="I1600" s="1783">
        <v>17.440000000000001</v>
      </c>
      <c r="J1600" s="1783">
        <v>3.02</v>
      </c>
      <c r="K1600" s="1783">
        <v>81.180000000000007</v>
      </c>
      <c r="L1600" s="1783">
        <v>126.23</v>
      </c>
      <c r="M1600" s="1783">
        <v>36.81</v>
      </c>
    </row>
    <row r="1601" spans="1:13" s="1293" customFormat="1" x14ac:dyDescent="0.35">
      <c r="A1601" s="1784">
        <v>206433</v>
      </c>
      <c r="B1601" s="1782"/>
      <c r="C1601" s="1785">
        <v>1.5410999999999999</v>
      </c>
      <c r="D1601" s="1782">
        <v>0.12</v>
      </c>
      <c r="E1601" s="1782">
        <v>1.38</v>
      </c>
      <c r="F1601" s="1782">
        <v>0.1</v>
      </c>
      <c r="G1601" s="1782">
        <v>4.58</v>
      </c>
      <c r="H1601" s="1782">
        <v>0.74</v>
      </c>
      <c r="I1601" s="1783">
        <v>17.96</v>
      </c>
      <c r="J1601" s="1783">
        <v>3.13</v>
      </c>
      <c r="K1601" s="1783">
        <v>78.510000000000005</v>
      </c>
      <c r="L1601" s="1783">
        <v>127.61</v>
      </c>
      <c r="M1601" s="1783">
        <v>33.880000000000003</v>
      </c>
    </row>
    <row r="1602" spans="1:13" s="1293" customFormat="1" x14ac:dyDescent="0.35">
      <c r="A1602" s="1784">
        <v>206434</v>
      </c>
      <c r="B1602" s="1782"/>
      <c r="C1602" s="1785">
        <v>1.4570400000000001</v>
      </c>
      <c r="D1602" s="1782">
        <v>0.12</v>
      </c>
      <c r="E1602" s="1782">
        <v>1.4</v>
      </c>
      <c r="F1602" s="1782">
        <v>0.1</v>
      </c>
      <c r="G1602" s="1782">
        <v>4.5</v>
      </c>
      <c r="H1602" s="1782">
        <v>0.73</v>
      </c>
      <c r="I1602" s="1783">
        <v>17.079999999999998</v>
      </c>
      <c r="J1602" s="1783">
        <v>3.27</v>
      </c>
      <c r="K1602" s="1783">
        <v>88.05</v>
      </c>
      <c r="L1602" s="1783">
        <v>191.83</v>
      </c>
      <c r="M1602" s="1783">
        <v>35.94</v>
      </c>
    </row>
    <row r="1603" spans="1:13" s="1293" customFormat="1" x14ac:dyDescent="0.35">
      <c r="A1603" s="1784">
        <v>206435</v>
      </c>
      <c r="B1603" s="1782"/>
      <c r="C1603" s="1785">
        <v>1.31694</v>
      </c>
      <c r="D1603" s="1782">
        <v>0.1</v>
      </c>
      <c r="E1603" s="1782">
        <v>1.3</v>
      </c>
      <c r="F1603" s="1782">
        <v>0.14000000000000001</v>
      </c>
      <c r="G1603" s="1782">
        <v>5.23</v>
      </c>
      <c r="H1603" s="1782">
        <v>0.73</v>
      </c>
      <c r="I1603" s="1783">
        <v>15.1</v>
      </c>
      <c r="J1603" s="1783">
        <v>2.92</v>
      </c>
      <c r="K1603" s="1783">
        <v>74.7</v>
      </c>
      <c r="L1603" s="1783">
        <v>148.65</v>
      </c>
      <c r="M1603" s="1783">
        <v>37.200000000000003</v>
      </c>
    </row>
    <row r="1604" spans="1:13" s="1293" customFormat="1" x14ac:dyDescent="0.35">
      <c r="A1604" s="1784">
        <v>206436</v>
      </c>
      <c r="B1604" s="1782"/>
      <c r="C1604" s="1785">
        <v>1.79328</v>
      </c>
      <c r="D1604" s="1782">
        <v>0.12</v>
      </c>
      <c r="E1604" s="1782">
        <v>1.52</v>
      </c>
      <c r="F1604" s="1782">
        <v>0.04</v>
      </c>
      <c r="G1604" s="1782">
        <v>3.6</v>
      </c>
      <c r="H1604" s="1782">
        <v>0.51</v>
      </c>
      <c r="I1604" s="1783">
        <v>19.2</v>
      </c>
      <c r="J1604" s="1783">
        <v>3.55</v>
      </c>
      <c r="K1604" s="1783">
        <v>61.35</v>
      </c>
      <c r="L1604" s="1783">
        <v>124.28</v>
      </c>
      <c r="M1604" s="1783">
        <v>30.97</v>
      </c>
    </row>
    <row r="1605" spans="1:13" s="1293" customFormat="1" x14ac:dyDescent="0.35">
      <c r="A1605" s="1784">
        <v>206437</v>
      </c>
      <c r="B1605" s="1782"/>
      <c r="C1605" s="1785">
        <v>1.5691200000000003</v>
      </c>
      <c r="D1605" s="1782">
        <v>0.12</v>
      </c>
      <c r="E1605" s="1782">
        <v>1.67</v>
      </c>
      <c r="F1605" s="1782">
        <v>0.03</v>
      </c>
      <c r="G1605" s="1782">
        <v>3.27</v>
      </c>
      <c r="H1605" s="1782">
        <v>0.47</v>
      </c>
      <c r="I1605" s="1783">
        <v>21.01</v>
      </c>
      <c r="J1605" s="1783">
        <v>3.14</v>
      </c>
      <c r="K1605" s="1783">
        <v>58.43</v>
      </c>
      <c r="L1605" s="1783">
        <v>111.37</v>
      </c>
      <c r="M1605" s="1783">
        <v>33.840000000000003</v>
      </c>
    </row>
    <row r="1606" spans="1:13" s="1293" customFormat="1" x14ac:dyDescent="0.35">
      <c r="A1606" s="1784">
        <v>206438</v>
      </c>
      <c r="B1606" s="1782"/>
      <c r="C1606" s="1785">
        <v>1.6811999999999998</v>
      </c>
      <c r="D1606" s="1782">
        <v>0.12</v>
      </c>
      <c r="E1606" s="1782">
        <v>1.2</v>
      </c>
      <c r="F1606" s="1782">
        <v>0.09</v>
      </c>
      <c r="G1606" s="1782">
        <v>4.28</v>
      </c>
      <c r="H1606" s="1782">
        <v>0.52</v>
      </c>
      <c r="I1606" s="1783">
        <v>12.18</v>
      </c>
      <c r="J1606" s="1783">
        <v>3.42</v>
      </c>
      <c r="K1606" s="1783">
        <v>57.33</v>
      </c>
      <c r="L1606" s="1783">
        <v>140.44999999999999</v>
      </c>
      <c r="M1606" s="1783">
        <v>33.520000000000003</v>
      </c>
    </row>
    <row r="1607" spans="1:13" s="1293" customFormat="1" x14ac:dyDescent="0.35">
      <c r="A1607" s="1784">
        <v>206439</v>
      </c>
      <c r="B1607" s="1782"/>
      <c r="C1607" s="1785">
        <v>1.5410999999999999</v>
      </c>
      <c r="D1607" s="1782">
        <v>0.13</v>
      </c>
      <c r="E1607" s="1782">
        <v>0.87</v>
      </c>
      <c r="F1607" s="1782">
        <v>0.1</v>
      </c>
      <c r="G1607" s="1782">
        <v>4.26</v>
      </c>
      <c r="H1607" s="1782">
        <v>0.74</v>
      </c>
      <c r="I1607" s="1783">
        <v>29.87</v>
      </c>
      <c r="J1607" s="1783">
        <v>4.3099999999999996</v>
      </c>
      <c r="K1607" s="1783">
        <v>81.97</v>
      </c>
      <c r="L1607" s="1783">
        <v>218.5</v>
      </c>
      <c r="M1607" s="1783">
        <v>32.590000000000003</v>
      </c>
    </row>
    <row r="1608" spans="1:13" s="1293" customFormat="1" x14ac:dyDescent="0.35">
      <c r="A1608" s="1784">
        <v>206440</v>
      </c>
      <c r="B1608" s="1782"/>
      <c r="C1608" s="1785">
        <v>1.6251600000000002</v>
      </c>
      <c r="D1608" s="1782">
        <v>0.12</v>
      </c>
      <c r="E1608" s="1782">
        <v>1.5</v>
      </c>
      <c r="F1608" s="1782">
        <v>7.0000000000000007E-2</v>
      </c>
      <c r="G1608" s="1782">
        <v>4</v>
      </c>
      <c r="H1608" s="1782">
        <v>0.51</v>
      </c>
      <c r="I1608" s="1783">
        <v>22.16</v>
      </c>
      <c r="J1608" s="1783">
        <v>4.43</v>
      </c>
      <c r="K1608" s="1783">
        <v>64.150000000000006</v>
      </c>
      <c r="L1608" s="1783">
        <v>143.9</v>
      </c>
      <c r="M1608" s="1783">
        <v>36.21</v>
      </c>
    </row>
    <row r="1609" spans="1:13" s="1293" customFormat="1" x14ac:dyDescent="0.35">
      <c r="A1609" s="1784">
        <v>206441</v>
      </c>
      <c r="B1609" s="1782"/>
      <c r="C1609" s="1782">
        <v>2.4700000000000002</v>
      </c>
      <c r="D1609" s="1782">
        <v>0.26</v>
      </c>
      <c r="E1609" s="1782">
        <v>1.28</v>
      </c>
      <c r="F1609" s="1782">
        <v>0.02</v>
      </c>
      <c r="G1609" s="1782">
        <v>1.28</v>
      </c>
      <c r="H1609" s="1782">
        <v>0.44</v>
      </c>
      <c r="I1609" s="1783">
        <v>62.81</v>
      </c>
      <c r="J1609" s="1783">
        <v>15.94</v>
      </c>
      <c r="K1609" s="1783">
        <v>132.55000000000001</v>
      </c>
      <c r="L1609" s="1783">
        <v>167.56</v>
      </c>
      <c r="M1609" s="1783">
        <v>68.05</v>
      </c>
    </row>
    <row r="1610" spans="1:13" s="1293" customFormat="1" x14ac:dyDescent="0.35">
      <c r="A1610" s="1784">
        <v>206442</v>
      </c>
      <c r="B1610" s="1782"/>
      <c r="C1610" s="1782">
        <v>3.14</v>
      </c>
      <c r="D1610" s="1782">
        <v>0.11</v>
      </c>
      <c r="E1610" s="1782">
        <v>0.69</v>
      </c>
      <c r="F1610" s="1782">
        <v>7.0000000000000007E-2</v>
      </c>
      <c r="G1610" s="1782">
        <v>7.23</v>
      </c>
      <c r="H1610" s="1782">
        <v>0.26</v>
      </c>
      <c r="I1610" s="1783">
        <v>14.04</v>
      </c>
      <c r="J1610" s="1783">
        <v>7.27</v>
      </c>
      <c r="K1610" s="1783">
        <v>17.38</v>
      </c>
      <c r="L1610" s="1783">
        <v>78.13</v>
      </c>
      <c r="M1610" s="1783">
        <v>174.25</v>
      </c>
    </row>
    <row r="1611" spans="1:13" s="1293" customFormat="1" x14ac:dyDescent="0.35">
      <c r="A1611" s="1784">
        <v>206443</v>
      </c>
      <c r="B1611" s="1782"/>
      <c r="C1611" s="1782">
        <v>2.91</v>
      </c>
      <c r="D1611" s="1782">
        <v>0.16</v>
      </c>
      <c r="E1611" s="1782">
        <v>1.29</v>
      </c>
      <c r="F1611" s="1782">
        <v>0.05</v>
      </c>
      <c r="G1611" s="1782">
        <v>5.76</v>
      </c>
      <c r="H1611" s="1782">
        <v>0.26</v>
      </c>
      <c r="I1611" s="1783">
        <v>16.57</v>
      </c>
      <c r="J1611" s="1783">
        <v>7.98</v>
      </c>
      <c r="K1611" s="1783">
        <v>14.93</v>
      </c>
      <c r="L1611" s="1783">
        <v>48.97</v>
      </c>
      <c r="M1611" s="1783">
        <v>146.08000000000001</v>
      </c>
    </row>
    <row r="1612" spans="1:13" s="1293" customFormat="1" x14ac:dyDescent="0.35">
      <c r="A1612" s="1784">
        <v>206444</v>
      </c>
      <c r="B1612" s="1782"/>
      <c r="C1612" s="1782">
        <v>0.87</v>
      </c>
      <c r="D1612" s="1782">
        <v>0.08</v>
      </c>
      <c r="E1612" s="1782">
        <v>0.43</v>
      </c>
      <c r="F1612" s="1782">
        <v>0.02</v>
      </c>
      <c r="G1612" s="1782">
        <v>1.86</v>
      </c>
      <c r="H1612" s="1782">
        <v>0.24</v>
      </c>
      <c r="I1612" s="1783">
        <v>9.39</v>
      </c>
      <c r="J1612" s="1783">
        <v>6.12</v>
      </c>
      <c r="K1612" s="1783">
        <v>48.63</v>
      </c>
      <c r="L1612" s="1783">
        <v>67.45</v>
      </c>
      <c r="M1612" s="1783">
        <v>37.119999999999997</v>
      </c>
    </row>
    <row r="1613" spans="1:13" s="1293" customFormat="1" x14ac:dyDescent="0.35">
      <c r="A1613" s="1784">
        <v>206445</v>
      </c>
      <c r="B1613" s="1782"/>
      <c r="C1613" s="1782">
        <v>2.27</v>
      </c>
      <c r="D1613" s="1782">
        <v>0.26</v>
      </c>
      <c r="E1613" s="1782">
        <v>1.05</v>
      </c>
      <c r="F1613" s="1782">
        <v>0.04</v>
      </c>
      <c r="G1613" s="1782">
        <v>2.1</v>
      </c>
      <c r="H1613" s="1782">
        <v>0.41</v>
      </c>
      <c r="I1613" s="1783">
        <v>13.46</v>
      </c>
      <c r="J1613" s="1783">
        <v>8.85</v>
      </c>
      <c r="K1613" s="1783">
        <v>172.43</v>
      </c>
      <c r="L1613" s="1783">
        <v>101.54</v>
      </c>
      <c r="M1613" s="1783">
        <v>93.67</v>
      </c>
    </row>
    <row r="1614" spans="1:13" s="1293" customFormat="1" x14ac:dyDescent="0.35">
      <c r="A1614" s="1784">
        <v>206446</v>
      </c>
      <c r="B1614" s="1782"/>
      <c r="C1614" s="1782">
        <v>1.79</v>
      </c>
      <c r="D1614" s="1782">
        <v>0.26</v>
      </c>
      <c r="E1614" s="1782">
        <v>0.98</v>
      </c>
      <c r="F1614" s="1782">
        <v>0.19</v>
      </c>
      <c r="G1614" s="1782">
        <v>1.77</v>
      </c>
      <c r="H1614" s="1782">
        <v>0.12</v>
      </c>
      <c r="I1614" s="1783">
        <v>20.47</v>
      </c>
      <c r="J1614" s="1783">
        <v>47.38</v>
      </c>
      <c r="K1614" s="1783">
        <v>40.61</v>
      </c>
      <c r="L1614" s="1783">
        <v>157.22</v>
      </c>
      <c r="M1614" s="1783">
        <v>35.729999999999997</v>
      </c>
    </row>
    <row r="1615" spans="1:13" s="1293" customFormat="1" x14ac:dyDescent="0.35">
      <c r="A1615" s="1784">
        <v>206447</v>
      </c>
      <c r="B1615" s="1782"/>
      <c r="C1615" s="1785">
        <v>0.81257999999999997</v>
      </c>
      <c r="D1615" s="1782">
        <v>0.21</v>
      </c>
      <c r="E1615" s="1782">
        <v>0.82</v>
      </c>
      <c r="F1615" s="1782">
        <v>0.12</v>
      </c>
      <c r="G1615" s="1782">
        <v>0.87</v>
      </c>
      <c r="H1615" s="1782">
        <v>0.11</v>
      </c>
      <c r="I1615" s="1783">
        <v>7.82</v>
      </c>
      <c r="J1615" s="1783">
        <v>4.29</v>
      </c>
      <c r="K1615" s="1783">
        <v>8.82</v>
      </c>
      <c r="L1615" s="1783">
        <v>77.86</v>
      </c>
      <c r="M1615" s="1783">
        <v>21.51</v>
      </c>
    </row>
    <row r="1616" spans="1:13" s="1293" customFormat="1" x14ac:dyDescent="0.35">
      <c r="A1616" s="1784">
        <v>206448</v>
      </c>
      <c r="B1616" s="1782"/>
      <c r="C1616" s="1785">
        <v>0.70050000000000001</v>
      </c>
      <c r="D1616" s="1782">
        <v>0.21</v>
      </c>
      <c r="E1616" s="1782">
        <v>0.93</v>
      </c>
      <c r="F1616" s="1782">
        <v>0.05</v>
      </c>
      <c r="G1616" s="1782">
        <v>0.69</v>
      </c>
      <c r="H1616" s="1782">
        <v>0.09</v>
      </c>
      <c r="I1616" s="1783">
        <v>6.71</v>
      </c>
      <c r="J1616" s="1783">
        <v>3.83</v>
      </c>
      <c r="K1616" s="1783">
        <v>7.07</v>
      </c>
      <c r="L1616" s="1783">
        <v>50.39</v>
      </c>
      <c r="M1616" s="1783">
        <v>18.690000000000001</v>
      </c>
    </row>
    <row r="1617" spans="1:13" s="1293" customFormat="1" x14ac:dyDescent="0.35">
      <c r="A1617" s="1784">
        <v>206449</v>
      </c>
      <c r="B1617" s="1782"/>
      <c r="C1617" s="1785">
        <v>2.3816999999999999</v>
      </c>
      <c r="D1617" s="1782">
        <v>0.09</v>
      </c>
      <c r="E1617" s="1782">
        <v>1.03</v>
      </c>
      <c r="F1617" s="1782">
        <v>7.0000000000000007E-2</v>
      </c>
      <c r="G1617" s="1782">
        <v>4.58</v>
      </c>
      <c r="H1617" s="1782">
        <v>0.28999999999999998</v>
      </c>
      <c r="I1617" s="1783">
        <v>39.61</v>
      </c>
      <c r="J1617" s="1783">
        <v>32.409999999999997</v>
      </c>
      <c r="K1617" s="1783">
        <v>56.06</v>
      </c>
      <c r="L1617" s="1783">
        <v>106.77</v>
      </c>
      <c r="M1617" s="1783">
        <v>58.16</v>
      </c>
    </row>
    <row r="1618" spans="1:13" s="1293" customFormat="1" x14ac:dyDescent="0.35">
      <c r="A1618" s="1784">
        <v>206450</v>
      </c>
      <c r="B1618" s="1782"/>
      <c r="C1618" s="1785">
        <v>2.4937800000000001</v>
      </c>
      <c r="D1618" s="1782">
        <v>0.11</v>
      </c>
      <c r="E1618" s="1782">
        <v>2.1</v>
      </c>
      <c r="F1618" s="1782">
        <v>0.09</v>
      </c>
      <c r="G1618" s="1782">
        <v>3.75</v>
      </c>
      <c r="H1618" s="1782">
        <v>0.16</v>
      </c>
      <c r="I1618" s="1783">
        <v>48.61</v>
      </c>
      <c r="J1618" s="1783">
        <v>3.45</v>
      </c>
      <c r="K1618" s="1783">
        <v>65.87</v>
      </c>
      <c r="L1618" s="1783">
        <v>141.80000000000001</v>
      </c>
      <c r="M1618" s="1783">
        <v>57.55</v>
      </c>
    </row>
    <row r="1619" spans="1:13" s="1293" customFormat="1" x14ac:dyDescent="0.35">
      <c r="A1619" s="1784">
        <v>206451</v>
      </c>
      <c r="B1619" s="1782"/>
      <c r="C1619" s="1785">
        <v>2.5778400000000001</v>
      </c>
      <c r="D1619" s="1782">
        <v>0.12</v>
      </c>
      <c r="E1619" s="1782">
        <v>0.81</v>
      </c>
      <c r="F1619" s="1782">
        <v>0.05</v>
      </c>
      <c r="G1619" s="1782">
        <v>5.09</v>
      </c>
      <c r="H1619" s="1782">
        <v>0.42</v>
      </c>
      <c r="I1619" s="1783">
        <v>17.850000000000001</v>
      </c>
      <c r="J1619" s="1783">
        <v>5.49</v>
      </c>
      <c r="K1619" s="1783">
        <v>50.83</v>
      </c>
      <c r="L1619" s="1783">
        <v>201.42</v>
      </c>
      <c r="M1619" s="1783">
        <v>56.17</v>
      </c>
    </row>
    <row r="1620" spans="1:13" s="1293" customFormat="1" x14ac:dyDescent="0.35">
      <c r="A1620" s="1784">
        <v>206452</v>
      </c>
      <c r="B1620" s="1782"/>
      <c r="C1620" s="1785">
        <v>2.15754</v>
      </c>
      <c r="D1620" s="1782">
        <v>0.09</v>
      </c>
      <c r="E1620" s="1782">
        <v>1.32</v>
      </c>
      <c r="F1620" s="1782">
        <v>0.09</v>
      </c>
      <c r="G1620" s="1782">
        <v>3.89</v>
      </c>
      <c r="H1620" s="1782">
        <v>0.16</v>
      </c>
      <c r="I1620" s="1783">
        <v>38.24</v>
      </c>
      <c r="J1620" s="1783">
        <v>45.81</v>
      </c>
      <c r="K1620" s="1783">
        <v>46.28</v>
      </c>
      <c r="L1620" s="1783">
        <v>134.29</v>
      </c>
      <c r="M1620" s="1783">
        <v>77.62</v>
      </c>
    </row>
    <row r="1621" spans="1:13" s="1293" customFormat="1" x14ac:dyDescent="0.35">
      <c r="A1621" s="1784">
        <v>206453</v>
      </c>
      <c r="B1621" s="1782"/>
      <c r="C1621" s="1785">
        <v>2.0454600000000003</v>
      </c>
      <c r="D1621" s="1782">
        <v>0.13</v>
      </c>
      <c r="E1621" s="1782">
        <v>1.08</v>
      </c>
      <c r="F1621" s="1782">
        <v>0.05</v>
      </c>
      <c r="G1621" s="1782">
        <v>3.97</v>
      </c>
      <c r="H1621" s="1782">
        <v>0.31</v>
      </c>
      <c r="I1621" s="1783">
        <v>26.43</v>
      </c>
      <c r="J1621" s="1783">
        <v>7.46</v>
      </c>
      <c r="K1621" s="1783">
        <v>50.13</v>
      </c>
      <c r="L1621" s="1783">
        <v>151.65</v>
      </c>
      <c r="M1621" s="1783">
        <v>62.12</v>
      </c>
    </row>
    <row r="1622" spans="1:13" s="1293" customFormat="1" x14ac:dyDescent="0.35">
      <c r="A1622" s="1784">
        <v>206454</v>
      </c>
      <c r="B1622" s="1782"/>
      <c r="C1622" s="1782">
        <v>1.93</v>
      </c>
      <c r="D1622" s="1782">
        <v>0.13</v>
      </c>
      <c r="E1622" s="1782">
        <v>1.83</v>
      </c>
      <c r="F1622" s="1782">
        <v>7.0000000000000007E-2</v>
      </c>
      <c r="G1622" s="1782">
        <v>5.22</v>
      </c>
      <c r="H1622" s="1782">
        <v>0.19</v>
      </c>
      <c r="I1622" s="1783">
        <v>54.6</v>
      </c>
      <c r="J1622" s="1783">
        <v>20</v>
      </c>
      <c r="K1622" s="1783">
        <v>63.64</v>
      </c>
      <c r="L1622" s="1783">
        <v>263.47000000000003</v>
      </c>
      <c r="M1622" s="1783">
        <v>82.39</v>
      </c>
    </row>
    <row r="1623" spans="1:13" s="1293" customFormat="1" x14ac:dyDescent="0.35">
      <c r="A1623" s="1784">
        <v>206455</v>
      </c>
      <c r="B1623" s="1782"/>
      <c r="C1623" s="1782">
        <v>1.46</v>
      </c>
      <c r="D1623" s="1782">
        <v>0.19</v>
      </c>
      <c r="E1623" s="1782">
        <v>1.2</v>
      </c>
      <c r="F1623" s="1782">
        <v>7.0000000000000007E-2</v>
      </c>
      <c r="G1623" s="1782">
        <v>1.01</v>
      </c>
      <c r="H1623" s="1782">
        <v>0.15</v>
      </c>
      <c r="I1623" s="1783">
        <v>30.45</v>
      </c>
      <c r="J1623" s="1783">
        <v>6.43</v>
      </c>
      <c r="K1623" s="1783">
        <v>37.71</v>
      </c>
      <c r="L1623" s="1783">
        <v>111.49</v>
      </c>
      <c r="M1623" s="1783">
        <v>28.14</v>
      </c>
    </row>
    <row r="1624" spans="1:13" s="1293" customFormat="1" x14ac:dyDescent="0.35">
      <c r="A1624" s="1784">
        <v>206456</v>
      </c>
      <c r="B1624" s="1782"/>
      <c r="C1624" s="1782">
        <v>1.74</v>
      </c>
      <c r="D1624" s="1782">
        <v>0.23</v>
      </c>
      <c r="E1624" s="1782">
        <v>1.95</v>
      </c>
      <c r="F1624" s="1782">
        <v>0.06</v>
      </c>
      <c r="G1624" s="1782">
        <v>0.44</v>
      </c>
      <c r="H1624" s="1782">
        <v>0.28000000000000003</v>
      </c>
      <c r="I1624" s="1783">
        <v>22.64</v>
      </c>
      <c r="J1624" s="1783">
        <v>4.92</v>
      </c>
      <c r="K1624" s="1783">
        <v>33.15</v>
      </c>
      <c r="L1624" s="1783">
        <v>180.12</v>
      </c>
      <c r="M1624" s="1783">
        <v>24.22</v>
      </c>
    </row>
    <row r="1625" spans="1:13" s="1293" customFormat="1" x14ac:dyDescent="0.35">
      <c r="A1625" s="1784">
        <v>206457</v>
      </c>
      <c r="B1625" s="1782"/>
      <c r="C1625" s="1785">
        <v>1.70922</v>
      </c>
      <c r="D1625" s="1782">
        <v>0.11</v>
      </c>
      <c r="E1625" s="1782">
        <v>1.74</v>
      </c>
      <c r="F1625" s="1782">
        <v>0.05</v>
      </c>
      <c r="G1625" s="1782">
        <v>2.69</v>
      </c>
      <c r="H1625" s="1782">
        <v>0.7</v>
      </c>
      <c r="I1625" s="1783">
        <v>42.4</v>
      </c>
      <c r="J1625" s="1783">
        <v>4.79</v>
      </c>
      <c r="K1625" s="1783">
        <v>354.46</v>
      </c>
      <c r="L1625" s="1783">
        <v>111.79</v>
      </c>
      <c r="M1625" s="1783">
        <v>75.12</v>
      </c>
    </row>
    <row r="1626" spans="1:13" s="1293" customFormat="1" x14ac:dyDescent="0.35">
      <c r="A1626" s="1784">
        <v>206458</v>
      </c>
      <c r="B1626" s="1782"/>
      <c r="C1626" s="1785">
        <v>1.6251599999999999</v>
      </c>
      <c r="D1626" s="1782">
        <v>0.12</v>
      </c>
      <c r="E1626" s="1782">
        <v>1.54</v>
      </c>
      <c r="F1626" s="1782">
        <v>0.06</v>
      </c>
      <c r="G1626" s="1782">
        <v>2.12</v>
      </c>
      <c r="H1626" s="1782">
        <v>0.45</v>
      </c>
      <c r="I1626" s="1783">
        <v>35.770000000000003</v>
      </c>
      <c r="J1626" s="1783">
        <v>1.76</v>
      </c>
      <c r="K1626" s="1783">
        <v>206.66</v>
      </c>
      <c r="L1626" s="1783">
        <v>98.89</v>
      </c>
      <c r="M1626" s="1783">
        <v>59.21</v>
      </c>
    </row>
    <row r="1627" spans="1:13" s="1293" customFormat="1" x14ac:dyDescent="0.35">
      <c r="A1627" s="1784">
        <v>206459</v>
      </c>
      <c r="B1627" s="1782"/>
      <c r="C1627" s="1785">
        <v>1.6531800000000001</v>
      </c>
      <c r="D1627" s="1782">
        <v>0.11</v>
      </c>
      <c r="E1627" s="1782">
        <v>1.33</v>
      </c>
      <c r="F1627" s="1782">
        <v>0.05</v>
      </c>
      <c r="G1627" s="1782">
        <v>2.11</v>
      </c>
      <c r="H1627" s="1782">
        <v>0.53</v>
      </c>
      <c r="I1627" s="1783">
        <v>39.04</v>
      </c>
      <c r="J1627" s="1783">
        <v>3.02</v>
      </c>
      <c r="K1627" s="1783">
        <v>131.34</v>
      </c>
      <c r="L1627" s="1783">
        <v>98.63</v>
      </c>
      <c r="M1627" s="1783">
        <v>60.26</v>
      </c>
    </row>
    <row r="1628" spans="1:13" s="1293" customFormat="1" x14ac:dyDescent="0.35">
      <c r="A1628" s="1784">
        <v>206460</v>
      </c>
      <c r="B1628" s="1782"/>
      <c r="C1628" s="1785">
        <v>1.0927800000000001</v>
      </c>
      <c r="D1628" s="1782">
        <v>0.09</v>
      </c>
      <c r="E1628" s="1782">
        <v>0.72</v>
      </c>
      <c r="F1628" s="1782">
        <v>0.02</v>
      </c>
      <c r="G1628" s="1782">
        <v>1.61</v>
      </c>
      <c r="H1628" s="1782">
        <v>0.21</v>
      </c>
      <c r="I1628" s="1783">
        <v>18.350000000000001</v>
      </c>
      <c r="J1628" s="1783">
        <v>28.17</v>
      </c>
      <c r="K1628" s="1783">
        <v>59.14</v>
      </c>
      <c r="L1628" s="1783">
        <v>286.27</v>
      </c>
      <c r="M1628" s="1783">
        <v>26.14</v>
      </c>
    </row>
    <row r="1629" spans="1:13" s="1293" customFormat="1" x14ac:dyDescent="0.35">
      <c r="A1629" s="1784">
        <v>206461</v>
      </c>
      <c r="B1629" s="1782"/>
      <c r="C1629" s="1785">
        <v>1.2048600000000003</v>
      </c>
      <c r="D1629" s="1782">
        <v>0.08</v>
      </c>
      <c r="E1629" s="1782">
        <v>0.86</v>
      </c>
      <c r="F1629" s="1782">
        <v>0.03</v>
      </c>
      <c r="G1629" s="1782">
        <v>1.45</v>
      </c>
      <c r="H1629" s="1782">
        <v>0.21</v>
      </c>
      <c r="I1629" s="1783">
        <v>18.649999999999999</v>
      </c>
      <c r="J1629" s="1783">
        <v>4.93</v>
      </c>
      <c r="K1629" s="1783">
        <v>46.21</v>
      </c>
      <c r="L1629" s="1783">
        <v>186.18</v>
      </c>
      <c r="M1629" s="1783">
        <v>28.68</v>
      </c>
    </row>
    <row r="1630" spans="1:13" s="1293" customFormat="1" x14ac:dyDescent="0.35">
      <c r="A1630" s="1784">
        <v>206462</v>
      </c>
      <c r="B1630" s="1782"/>
      <c r="C1630" s="1785">
        <v>2.6058600000000003</v>
      </c>
      <c r="D1630" s="1782">
        <v>0.15</v>
      </c>
      <c r="E1630" s="1782">
        <v>1.58</v>
      </c>
      <c r="F1630" s="1782">
        <v>0.09</v>
      </c>
      <c r="G1630" s="1782">
        <v>2.84</v>
      </c>
      <c r="H1630" s="1782">
        <v>0.34</v>
      </c>
      <c r="I1630" s="1783">
        <v>76.7</v>
      </c>
      <c r="J1630" s="1783">
        <v>14.97</v>
      </c>
      <c r="K1630" s="1783">
        <v>91.02</v>
      </c>
      <c r="L1630" s="1783">
        <v>110.15</v>
      </c>
      <c r="M1630" s="1783">
        <v>84.87</v>
      </c>
    </row>
    <row r="1631" spans="1:13" s="1293" customFormat="1" x14ac:dyDescent="0.35">
      <c r="A1631" s="1784">
        <v>206463</v>
      </c>
      <c r="B1631" s="1782"/>
      <c r="C1631" s="1785">
        <v>2.4377400000000002</v>
      </c>
      <c r="D1631" s="1782">
        <v>0.11</v>
      </c>
      <c r="E1631" s="1782">
        <v>1.28</v>
      </c>
      <c r="F1631" s="1782">
        <v>7.0000000000000007E-2</v>
      </c>
      <c r="G1631" s="1782">
        <v>3.97</v>
      </c>
      <c r="H1631" s="1782">
        <v>0.31</v>
      </c>
      <c r="I1631" s="1783">
        <v>62.51</v>
      </c>
      <c r="J1631" s="1783">
        <v>9.4600000000000009</v>
      </c>
      <c r="K1631" s="1783">
        <v>76.78</v>
      </c>
      <c r="L1631" s="1783">
        <v>190.11</v>
      </c>
      <c r="M1631" s="1783">
        <v>66.09</v>
      </c>
    </row>
    <row r="1632" spans="1:13" s="1293" customFormat="1" x14ac:dyDescent="0.35">
      <c r="A1632" s="1784">
        <v>206464</v>
      </c>
      <c r="B1632" s="1782"/>
      <c r="C1632" s="1785">
        <v>2.6619000000000002</v>
      </c>
      <c r="D1632" s="1782">
        <v>0.13</v>
      </c>
      <c r="E1632" s="1782">
        <v>1.19</v>
      </c>
      <c r="F1632" s="1782">
        <v>7.0000000000000007E-2</v>
      </c>
      <c r="G1632" s="1782">
        <v>3.85</v>
      </c>
      <c r="H1632" s="1782">
        <v>0.35</v>
      </c>
      <c r="I1632" s="1783">
        <v>76.91</v>
      </c>
      <c r="J1632" s="1783">
        <v>17.54</v>
      </c>
      <c r="K1632" s="1783">
        <v>103.92</v>
      </c>
      <c r="L1632" s="1783">
        <v>116.45</v>
      </c>
      <c r="M1632" s="1783">
        <v>75.849999999999994</v>
      </c>
    </row>
    <row r="1633" spans="1:13" s="1293" customFormat="1" x14ac:dyDescent="0.35">
      <c r="A1633" s="1784">
        <v>206465</v>
      </c>
      <c r="B1633" s="1782"/>
      <c r="C1633" s="1785">
        <v>2.3536800000000002</v>
      </c>
      <c r="D1633" s="1782">
        <v>0.12</v>
      </c>
      <c r="E1633" s="1782">
        <v>1.96</v>
      </c>
      <c r="F1633" s="1782">
        <v>0.06</v>
      </c>
      <c r="G1633" s="1782">
        <v>3.13</v>
      </c>
      <c r="H1633" s="1782">
        <v>0.25</v>
      </c>
      <c r="I1633" s="1783">
        <v>94.35</v>
      </c>
      <c r="J1633" s="1783">
        <v>11.73</v>
      </c>
      <c r="K1633" s="1783">
        <v>125.34</v>
      </c>
      <c r="L1633" s="1783">
        <v>130.09</v>
      </c>
      <c r="M1633" s="1783">
        <v>89.34</v>
      </c>
    </row>
    <row r="1634" spans="1:13" s="1293" customFormat="1" x14ac:dyDescent="0.35">
      <c r="A1634" s="1784">
        <v>206466</v>
      </c>
      <c r="B1634" s="1782"/>
      <c r="C1634" s="1785">
        <v>2.54982</v>
      </c>
      <c r="D1634" s="1782">
        <v>0.11</v>
      </c>
      <c r="E1634" s="1782">
        <v>1.1299999999999999</v>
      </c>
      <c r="F1634" s="1782">
        <v>0.06</v>
      </c>
      <c r="G1634" s="1782">
        <v>4.3600000000000003</v>
      </c>
      <c r="H1634" s="1782">
        <v>0.34</v>
      </c>
      <c r="I1634" s="1783">
        <v>93.58</v>
      </c>
      <c r="J1634" s="1783">
        <v>14.02</v>
      </c>
      <c r="K1634" s="1783">
        <v>139.55000000000001</v>
      </c>
      <c r="L1634" s="1783">
        <v>140.11000000000001</v>
      </c>
      <c r="M1634" s="1783">
        <v>88.2</v>
      </c>
    </row>
    <row r="1635" spans="1:13" s="1293" customFormat="1" x14ac:dyDescent="0.35">
      <c r="A1635" s="1784">
        <v>206467</v>
      </c>
      <c r="B1635" s="1782"/>
      <c r="C1635" s="1785">
        <v>2.7739799999999999</v>
      </c>
      <c r="D1635" s="1782">
        <v>0.14000000000000001</v>
      </c>
      <c r="E1635" s="1782">
        <v>1.64</v>
      </c>
      <c r="F1635" s="1782">
        <v>0.06</v>
      </c>
      <c r="G1635" s="1782">
        <v>4.05</v>
      </c>
      <c r="H1635" s="1782">
        <v>0.28999999999999998</v>
      </c>
      <c r="I1635" s="1783">
        <v>150.57</v>
      </c>
      <c r="J1635" s="1783">
        <v>17.57</v>
      </c>
      <c r="K1635" s="1783">
        <v>274.64999999999998</v>
      </c>
      <c r="L1635" s="1783">
        <v>119.06</v>
      </c>
      <c r="M1635" s="1783">
        <v>96.05</v>
      </c>
    </row>
    <row r="1636" spans="1:13" s="1293" customFormat="1" x14ac:dyDescent="0.35">
      <c r="A1636" s="1784">
        <v>206468</v>
      </c>
      <c r="B1636" s="1782"/>
      <c r="C1636" s="1782">
        <v>1.4</v>
      </c>
      <c r="D1636" s="1782">
        <v>0.12</v>
      </c>
      <c r="E1636" s="1782">
        <v>0.98</v>
      </c>
      <c r="F1636" s="1782">
        <v>0.12</v>
      </c>
      <c r="G1636" s="1782">
        <v>0.91</v>
      </c>
      <c r="H1636" s="1782">
        <v>0.13</v>
      </c>
      <c r="I1636" s="1783">
        <v>27.51</v>
      </c>
      <c r="J1636" s="1783">
        <v>4.59</v>
      </c>
      <c r="K1636" s="1783">
        <v>25.09</v>
      </c>
      <c r="L1636" s="1783">
        <v>231.98</v>
      </c>
      <c r="M1636" s="1783">
        <v>25.41</v>
      </c>
    </row>
    <row r="1637" spans="1:13" s="1293" customFormat="1" x14ac:dyDescent="0.35">
      <c r="A1637" s="1784">
        <v>206469</v>
      </c>
      <c r="B1637" s="1782"/>
      <c r="C1637" s="1782">
        <v>2.2400000000000002</v>
      </c>
      <c r="D1637" s="1782">
        <v>0.2</v>
      </c>
      <c r="E1637" s="1782">
        <v>1.25</v>
      </c>
      <c r="F1637" s="1782">
        <v>0.01</v>
      </c>
      <c r="G1637" s="1782">
        <v>0.44</v>
      </c>
      <c r="H1637" s="1782">
        <v>0.17</v>
      </c>
      <c r="I1637" s="1783">
        <v>9.34</v>
      </c>
      <c r="J1637" s="1783">
        <v>2.97</v>
      </c>
      <c r="K1637" s="1783">
        <v>22.08</v>
      </c>
      <c r="L1637" s="1783">
        <v>179.16</v>
      </c>
      <c r="M1637" s="1783">
        <v>85.86</v>
      </c>
    </row>
    <row r="1638" spans="1:13" s="1293" customFormat="1" x14ac:dyDescent="0.35">
      <c r="A1638" s="1784">
        <v>206470</v>
      </c>
      <c r="B1638" s="1782"/>
      <c r="C1638" s="1782">
        <v>2.2999999999999998</v>
      </c>
      <c r="D1638" s="1782">
        <v>0.24</v>
      </c>
      <c r="E1638" s="1782">
        <v>1.49</v>
      </c>
      <c r="F1638" s="1782">
        <v>0.01</v>
      </c>
      <c r="G1638" s="1782">
        <v>0.42</v>
      </c>
      <c r="H1638" s="1782">
        <v>0.15</v>
      </c>
      <c r="I1638" s="1783">
        <v>14.15</v>
      </c>
      <c r="J1638" s="1783">
        <v>3.2</v>
      </c>
      <c r="K1638" s="1783">
        <v>19.329999999999998</v>
      </c>
      <c r="L1638" s="1783">
        <v>139.21</v>
      </c>
      <c r="M1638" s="1783">
        <v>45.31</v>
      </c>
    </row>
    <row r="1639" spans="1:13" s="1293" customFormat="1" x14ac:dyDescent="0.35">
      <c r="A1639" s="1784">
        <v>206471</v>
      </c>
      <c r="B1639" s="1782"/>
      <c r="C1639" s="1782">
        <v>1.88</v>
      </c>
      <c r="D1639" s="1786">
        <v>0.13</v>
      </c>
      <c r="E1639" s="1786">
        <v>1.92</v>
      </c>
      <c r="F1639" s="1786">
        <v>0.01</v>
      </c>
      <c r="G1639" s="1786">
        <v>0.26</v>
      </c>
      <c r="H1639" s="1786">
        <v>0.2</v>
      </c>
      <c r="I1639" s="1786">
        <v>15.32</v>
      </c>
      <c r="J1639" s="1786">
        <v>7.72</v>
      </c>
      <c r="K1639" s="1786">
        <v>20.76</v>
      </c>
      <c r="L1639" s="1786">
        <v>184.61</v>
      </c>
      <c r="M1639" s="1786">
        <v>38.159999999999997</v>
      </c>
    </row>
    <row r="1640" spans="1:13" s="1293" customFormat="1" x14ac:dyDescent="0.35">
      <c r="A1640" s="1784">
        <v>206472</v>
      </c>
      <c r="B1640" s="1782"/>
      <c r="C1640" s="1782">
        <v>1.82</v>
      </c>
      <c r="D1640" s="1786">
        <v>0.16</v>
      </c>
      <c r="E1640" s="1786">
        <v>1.7</v>
      </c>
      <c r="F1640" s="1786">
        <v>0.03</v>
      </c>
      <c r="G1640" s="1786">
        <v>0.33</v>
      </c>
      <c r="H1640" s="1786">
        <v>0.17</v>
      </c>
      <c r="I1640" s="1786">
        <v>13.21</v>
      </c>
      <c r="J1640" s="1786">
        <v>4.8</v>
      </c>
      <c r="K1640" s="1786">
        <v>29.21</v>
      </c>
      <c r="L1640" s="1786">
        <v>233.8</v>
      </c>
      <c r="M1640" s="1786">
        <v>31.43</v>
      </c>
    </row>
    <row r="1641" spans="1:13" s="1293" customFormat="1" x14ac:dyDescent="0.35">
      <c r="A1641" s="1784">
        <v>206473</v>
      </c>
      <c r="B1641" s="1782"/>
      <c r="C1641" s="1782">
        <v>3.45</v>
      </c>
      <c r="D1641" s="1786">
        <v>0.38</v>
      </c>
      <c r="E1641" s="1786">
        <v>2.42</v>
      </c>
      <c r="F1641" s="1786">
        <v>0.03</v>
      </c>
      <c r="G1641" s="1786">
        <v>0.53</v>
      </c>
      <c r="H1641" s="1786">
        <v>0.31</v>
      </c>
      <c r="I1641" s="1786">
        <v>32.03</v>
      </c>
      <c r="J1641" s="1786">
        <v>15.04</v>
      </c>
      <c r="K1641" s="1786">
        <v>52.08</v>
      </c>
      <c r="L1641" s="1786">
        <v>201.85</v>
      </c>
      <c r="M1641" s="1786">
        <v>73.14</v>
      </c>
    </row>
    <row r="1642" spans="1:13" s="1293" customFormat="1" x14ac:dyDescent="0.35">
      <c r="A1642" s="1784">
        <v>206474</v>
      </c>
      <c r="B1642" s="1782"/>
      <c r="C1642" s="1782">
        <v>1.34</v>
      </c>
      <c r="D1642" s="1786">
        <v>0.14000000000000001</v>
      </c>
      <c r="E1642" s="1786">
        <v>0.88</v>
      </c>
      <c r="F1642" s="1786">
        <v>0.02</v>
      </c>
      <c r="G1642" s="1786">
        <v>1.44</v>
      </c>
      <c r="H1642" s="1786">
        <v>0.17</v>
      </c>
      <c r="I1642" s="1786">
        <v>14.09</v>
      </c>
      <c r="J1642" s="1786">
        <v>3.63</v>
      </c>
      <c r="K1642" s="1786">
        <v>73.540000000000006</v>
      </c>
      <c r="L1642" s="1786">
        <v>104.54</v>
      </c>
      <c r="M1642" s="1786">
        <v>25.07</v>
      </c>
    </row>
    <row r="1643" spans="1:13" s="1293" customFormat="1" x14ac:dyDescent="0.35">
      <c r="A1643" s="1784">
        <v>206475</v>
      </c>
      <c r="B1643" s="1782"/>
      <c r="C1643" s="1782">
        <v>0.9</v>
      </c>
      <c r="D1643" s="1786">
        <v>0.08</v>
      </c>
      <c r="E1643" s="1786">
        <v>0.7</v>
      </c>
      <c r="F1643" s="1786">
        <v>0.02</v>
      </c>
      <c r="G1643" s="1786">
        <v>1.57</v>
      </c>
      <c r="H1643" s="1786">
        <v>0.25</v>
      </c>
      <c r="I1643" s="1786">
        <v>10</v>
      </c>
      <c r="J1643" s="1786">
        <v>34.93</v>
      </c>
      <c r="K1643" s="1786">
        <v>69.47</v>
      </c>
      <c r="L1643" s="1786">
        <v>107.62</v>
      </c>
      <c r="M1643" s="1786">
        <v>30.7</v>
      </c>
    </row>
    <row r="1644" spans="1:13" s="1293" customFormat="1" x14ac:dyDescent="0.35">
      <c r="A1644" s="1784">
        <v>206476</v>
      </c>
      <c r="B1644" s="1782"/>
      <c r="C1644" s="1782">
        <v>1.79</v>
      </c>
      <c r="D1644" s="1786">
        <v>0.17</v>
      </c>
      <c r="E1644" s="1786">
        <v>1.18</v>
      </c>
      <c r="F1644" s="1786">
        <v>0.02</v>
      </c>
      <c r="G1644" s="1786">
        <v>0.76</v>
      </c>
      <c r="H1644" s="1786">
        <v>0.15</v>
      </c>
      <c r="I1644" s="1786">
        <v>24.25</v>
      </c>
      <c r="J1644" s="1786">
        <v>8.4600000000000009</v>
      </c>
      <c r="K1644" s="1786">
        <v>42.43</v>
      </c>
      <c r="L1644" s="1786">
        <v>89.83</v>
      </c>
      <c r="M1644" s="1786">
        <v>33.22</v>
      </c>
    </row>
    <row r="1645" spans="1:13" s="1293" customFormat="1" x14ac:dyDescent="0.35">
      <c r="A1645" s="1784">
        <v>206477</v>
      </c>
      <c r="B1645" s="1782"/>
      <c r="C1645" s="1782">
        <v>1.77</v>
      </c>
      <c r="D1645" s="1786">
        <v>0.17</v>
      </c>
      <c r="E1645" s="1786">
        <v>1.25</v>
      </c>
      <c r="F1645" s="1786">
        <v>0.03</v>
      </c>
      <c r="G1645" s="1786">
        <v>0.87</v>
      </c>
      <c r="H1645" s="1786">
        <v>0.17</v>
      </c>
      <c r="I1645" s="1786">
        <v>25.84</v>
      </c>
      <c r="J1645" s="1786">
        <v>7.68</v>
      </c>
      <c r="K1645" s="1786">
        <v>43.27</v>
      </c>
      <c r="L1645" s="1786">
        <v>120.1</v>
      </c>
      <c r="M1645" s="1786">
        <v>35.04</v>
      </c>
    </row>
    <row r="1646" spans="1:13" s="1293" customFormat="1" x14ac:dyDescent="0.35">
      <c r="A1646" s="1784">
        <v>206478</v>
      </c>
      <c r="B1646" s="1782"/>
      <c r="C1646" s="1782">
        <v>1.1499999999999999</v>
      </c>
      <c r="D1646" s="1786">
        <v>0.13</v>
      </c>
      <c r="E1646" s="1786">
        <v>0.67</v>
      </c>
      <c r="F1646" s="1786">
        <v>0.03</v>
      </c>
      <c r="G1646" s="1786">
        <v>1.6</v>
      </c>
      <c r="H1646" s="1786">
        <v>0.21</v>
      </c>
      <c r="I1646" s="1786">
        <v>13.24</v>
      </c>
      <c r="J1646" s="1786">
        <v>71.73</v>
      </c>
      <c r="K1646" s="1786">
        <v>65.650000000000006</v>
      </c>
      <c r="L1646" s="1786">
        <v>103.55</v>
      </c>
      <c r="M1646" s="1786">
        <v>24.29</v>
      </c>
    </row>
    <row r="1647" spans="1:13" s="1293" customFormat="1" x14ac:dyDescent="0.35">
      <c r="A1647" s="1784">
        <v>206479</v>
      </c>
      <c r="B1647" s="1782"/>
      <c r="C1647" s="1782">
        <v>1.1200000000000001</v>
      </c>
      <c r="D1647" s="1786">
        <v>0.11</v>
      </c>
      <c r="E1647" s="1786">
        <v>0.61</v>
      </c>
      <c r="F1647" s="1786">
        <v>0.03</v>
      </c>
      <c r="G1647" s="1786">
        <v>1.44</v>
      </c>
      <c r="H1647" s="1786">
        <v>0.22</v>
      </c>
      <c r="I1647" s="1786">
        <v>11.76</v>
      </c>
      <c r="J1647" s="1786">
        <v>29.26</v>
      </c>
      <c r="K1647" s="1786">
        <v>63.55</v>
      </c>
      <c r="L1647" s="1786">
        <v>127.47</v>
      </c>
      <c r="M1647" s="1786">
        <v>22.6</v>
      </c>
    </row>
    <row r="1648" spans="1:13" s="1293" customFormat="1" x14ac:dyDescent="0.35">
      <c r="A1648" s="1784">
        <v>206480</v>
      </c>
      <c r="B1648" s="1782"/>
      <c r="C1648" s="1787">
        <v>1.401</v>
      </c>
      <c r="D1648" s="1786">
        <v>0.19</v>
      </c>
      <c r="E1648" s="1786">
        <v>0.9</v>
      </c>
      <c r="F1648" s="1787">
        <v>0.1</v>
      </c>
      <c r="G1648" s="1786">
        <v>2.87</v>
      </c>
      <c r="H1648" s="1786">
        <v>0.34</v>
      </c>
      <c r="I1648" s="1786">
        <v>52.64</v>
      </c>
      <c r="J1648" s="1786">
        <v>4.04</v>
      </c>
      <c r="K1648" s="1786">
        <v>464.26</v>
      </c>
      <c r="L1648" s="1786">
        <v>241.96</v>
      </c>
      <c r="M1648" s="1786">
        <v>65.069999999999993</v>
      </c>
    </row>
    <row r="1649" spans="1:13" s="1293" customFormat="1" x14ac:dyDescent="0.35">
      <c r="A1649" s="1784">
        <v>206481</v>
      </c>
      <c r="B1649" s="1782"/>
      <c r="C1649" s="1787">
        <v>1.8493200000000001</v>
      </c>
      <c r="D1649" s="1786">
        <v>0.12</v>
      </c>
      <c r="E1649" s="1786">
        <v>1.6</v>
      </c>
      <c r="F1649" s="1787">
        <v>0.01</v>
      </c>
      <c r="G1649" s="1786">
        <v>0.39</v>
      </c>
      <c r="H1649" s="1786">
        <v>0.19</v>
      </c>
      <c r="I1649" s="1786">
        <v>11.59</v>
      </c>
      <c r="J1649" s="1786">
        <v>5.49</v>
      </c>
      <c r="K1649" s="1786">
        <v>26.5</v>
      </c>
      <c r="L1649" s="1786">
        <v>98.94</v>
      </c>
      <c r="M1649" s="1786">
        <v>85.77</v>
      </c>
    </row>
    <row r="1650" spans="1:13" s="1293" customFormat="1" x14ac:dyDescent="0.35">
      <c r="A1650" s="1784">
        <v>206482</v>
      </c>
      <c r="B1650" s="1782"/>
      <c r="C1650" s="1787">
        <v>1.8493200000000001</v>
      </c>
      <c r="D1650" s="1786">
        <v>0.11</v>
      </c>
      <c r="E1650" s="1786">
        <v>1.1200000000000001</v>
      </c>
      <c r="F1650" s="1787">
        <v>0.01</v>
      </c>
      <c r="G1650" s="1786">
        <v>0.44</v>
      </c>
      <c r="H1650" s="1786">
        <v>0.2</v>
      </c>
      <c r="I1650" s="1786">
        <v>12.17</v>
      </c>
      <c r="J1650" s="1786">
        <v>6.49</v>
      </c>
      <c r="K1650" s="1786">
        <v>19.3</v>
      </c>
      <c r="L1650" s="1786">
        <v>100.06</v>
      </c>
      <c r="M1650" s="1786">
        <v>135.52000000000001</v>
      </c>
    </row>
    <row r="1651" spans="1:13" s="1293" customFormat="1" x14ac:dyDescent="0.35">
      <c r="A1651" s="1784">
        <v>206483</v>
      </c>
      <c r="B1651" s="1782"/>
      <c r="C1651" s="1787">
        <v>1.79328</v>
      </c>
      <c r="D1651" s="1786">
        <v>0.12</v>
      </c>
      <c r="E1651" s="1786">
        <v>1.21</v>
      </c>
      <c r="F1651" s="1787">
        <v>0.01</v>
      </c>
      <c r="G1651" s="1786">
        <v>0.4</v>
      </c>
      <c r="H1651" s="1786">
        <v>0.17</v>
      </c>
      <c r="I1651" s="1786">
        <v>9.86</v>
      </c>
      <c r="J1651" s="1786">
        <v>3.04</v>
      </c>
      <c r="K1651" s="1786">
        <v>21.5</v>
      </c>
      <c r="L1651" s="1786">
        <v>113.09</v>
      </c>
      <c r="M1651" s="1786">
        <v>190.01</v>
      </c>
    </row>
    <row r="1652" spans="1:13" s="1293" customFormat="1" x14ac:dyDescent="0.35">
      <c r="A1652" s="1784">
        <v>206484</v>
      </c>
      <c r="B1652" s="1782"/>
      <c r="C1652" s="1787">
        <v>1.59714</v>
      </c>
      <c r="D1652" s="1786">
        <v>0.1</v>
      </c>
      <c r="E1652" s="1786">
        <v>1.53</v>
      </c>
      <c r="F1652" s="1787">
        <v>0.01</v>
      </c>
      <c r="G1652" s="1786">
        <v>0.38</v>
      </c>
      <c r="H1652" s="1786">
        <v>0.24</v>
      </c>
      <c r="I1652" s="1786">
        <v>12.01</v>
      </c>
      <c r="J1652" s="1786">
        <v>4.4400000000000004</v>
      </c>
      <c r="K1652" s="1786">
        <v>15.5</v>
      </c>
      <c r="L1652" s="1786">
        <v>126.74</v>
      </c>
      <c r="M1652" s="1786">
        <v>203.13</v>
      </c>
    </row>
    <row r="1653" spans="1:13" s="1293" customFormat="1" x14ac:dyDescent="0.35">
      <c r="A1653" s="1784">
        <v>206485</v>
      </c>
      <c r="B1653" s="1782"/>
      <c r="C1653" s="1787">
        <v>1.9053600000000002</v>
      </c>
      <c r="D1653" s="1786">
        <v>0.15</v>
      </c>
      <c r="E1653" s="1786">
        <v>1.49</v>
      </c>
      <c r="F1653" s="1787">
        <v>0.01</v>
      </c>
      <c r="G1653" s="1786">
        <v>0.32</v>
      </c>
      <c r="H1653" s="1786">
        <v>0.19</v>
      </c>
      <c r="I1653" s="1786">
        <v>16.57</v>
      </c>
      <c r="J1653" s="1786">
        <v>7.46</v>
      </c>
      <c r="K1653" s="1786">
        <v>21.76</v>
      </c>
      <c r="L1653" s="1786">
        <v>123.47</v>
      </c>
      <c r="M1653" s="1786">
        <v>51.54</v>
      </c>
    </row>
    <row r="1654" spans="1:13" s="1293" customFormat="1" x14ac:dyDescent="0.35">
      <c r="A1654" s="1784">
        <v>206486</v>
      </c>
      <c r="B1654" s="1782"/>
      <c r="C1654" s="1787">
        <v>1.48506</v>
      </c>
      <c r="D1654" s="1786">
        <v>0.09</v>
      </c>
      <c r="E1654" s="1786">
        <v>1.33</v>
      </c>
      <c r="F1654" s="1787">
        <v>0.01</v>
      </c>
      <c r="G1654" s="1786">
        <v>0.38</v>
      </c>
      <c r="H1654" s="1786">
        <v>0.19</v>
      </c>
      <c r="I1654" s="1786">
        <v>11.86</v>
      </c>
      <c r="J1654" s="1786">
        <v>2.78</v>
      </c>
      <c r="K1654" s="1786">
        <v>23.88</v>
      </c>
      <c r="L1654" s="1786">
        <v>144.83000000000001</v>
      </c>
      <c r="M1654" s="1786">
        <v>271.38</v>
      </c>
    </row>
    <row r="1655" spans="1:13" s="1293" customFormat="1" x14ac:dyDescent="0.35">
      <c r="A1655" s="1784">
        <v>206487</v>
      </c>
      <c r="B1655" s="1782"/>
      <c r="C1655" s="1787">
        <v>2.0734800000000004</v>
      </c>
      <c r="D1655" s="1786">
        <v>0.11</v>
      </c>
      <c r="E1655" s="1786">
        <v>1.49</v>
      </c>
      <c r="F1655" s="1787">
        <v>0.01</v>
      </c>
      <c r="G1655" s="1786">
        <v>0.36</v>
      </c>
      <c r="H1655" s="1786">
        <v>0.16</v>
      </c>
      <c r="I1655" s="1786">
        <v>13.31</v>
      </c>
      <c r="J1655" s="1786">
        <v>30.52</v>
      </c>
      <c r="K1655" s="1786">
        <v>28.6</v>
      </c>
      <c r="L1655" s="1786">
        <v>120.59</v>
      </c>
      <c r="M1655" s="1786">
        <v>71.17</v>
      </c>
    </row>
    <row r="1656" spans="1:13" s="1293" customFormat="1" x14ac:dyDescent="0.35">
      <c r="A1656" s="1784">
        <v>206488</v>
      </c>
      <c r="B1656" s="1782"/>
      <c r="C1656" s="1787">
        <v>1.87734</v>
      </c>
      <c r="D1656" s="1786">
        <v>0.12</v>
      </c>
      <c r="E1656" s="1786">
        <v>1.56</v>
      </c>
      <c r="F1656" s="1787">
        <v>0.01</v>
      </c>
      <c r="G1656" s="1786">
        <v>0.4</v>
      </c>
      <c r="H1656" s="1786">
        <v>0.19</v>
      </c>
      <c r="I1656" s="1786">
        <v>12.6</v>
      </c>
      <c r="J1656" s="1786">
        <v>25.64</v>
      </c>
      <c r="K1656" s="1786">
        <v>33.119999999999997</v>
      </c>
      <c r="L1656" s="1786">
        <v>99.29</v>
      </c>
      <c r="M1656" s="1786">
        <v>85.8</v>
      </c>
    </row>
    <row r="1657" spans="1:13" s="1293" customFormat="1" x14ac:dyDescent="0.35">
      <c r="A1657" s="1784">
        <v>206489</v>
      </c>
      <c r="B1657" s="1782"/>
      <c r="C1657" s="1787">
        <v>1.7372400000000001</v>
      </c>
      <c r="D1657" s="1786">
        <v>0.12</v>
      </c>
      <c r="E1657" s="1786">
        <v>1.48</v>
      </c>
      <c r="F1657" s="1787">
        <v>0.01</v>
      </c>
      <c r="G1657" s="1786">
        <v>0.38</v>
      </c>
      <c r="H1657" s="1786">
        <v>0.13</v>
      </c>
      <c r="I1657" s="1786">
        <v>7.75</v>
      </c>
      <c r="J1657" s="1786">
        <v>3.17</v>
      </c>
      <c r="K1657" s="1786">
        <v>18.97</v>
      </c>
      <c r="L1657" s="1786">
        <v>161.74</v>
      </c>
      <c r="M1657" s="1786">
        <v>57.62</v>
      </c>
    </row>
    <row r="1658" spans="1:13" s="1293" customFormat="1" x14ac:dyDescent="0.35">
      <c r="A1658" s="1784">
        <v>206490</v>
      </c>
      <c r="B1658" s="1782"/>
      <c r="C1658" s="1786">
        <v>2.2999999999999998</v>
      </c>
      <c r="D1658" s="1786">
        <v>0.15</v>
      </c>
      <c r="E1658" s="1786">
        <v>1.45</v>
      </c>
      <c r="F1658" s="1787">
        <v>0.01</v>
      </c>
      <c r="G1658" s="1786">
        <v>0.31</v>
      </c>
      <c r="H1658" s="1786">
        <v>0.13</v>
      </c>
      <c r="I1658" s="1786">
        <v>8.26</v>
      </c>
      <c r="J1658" s="1786">
        <v>2.86</v>
      </c>
      <c r="K1658" s="1786">
        <v>18.8</v>
      </c>
      <c r="L1658" s="1786">
        <v>82.53</v>
      </c>
      <c r="M1658" s="1786">
        <v>57.09</v>
      </c>
    </row>
    <row r="1659" spans="1:13" s="1293" customFormat="1" x14ac:dyDescent="0.35">
      <c r="A1659" s="1784">
        <v>206491</v>
      </c>
      <c r="B1659" s="1782"/>
      <c r="C1659" s="1785">
        <v>5.0716199999999994</v>
      </c>
      <c r="D1659" s="1786">
        <v>0.16</v>
      </c>
      <c r="E1659" s="1786">
        <v>2.9</v>
      </c>
      <c r="F1659" s="1786">
        <v>0.03</v>
      </c>
      <c r="G1659" s="1786">
        <v>1.65</v>
      </c>
      <c r="H1659" s="1786">
        <v>1.08</v>
      </c>
      <c r="I1659" s="1786">
        <v>63.56</v>
      </c>
      <c r="J1659" s="1786">
        <v>0.35</v>
      </c>
      <c r="K1659" s="1786">
        <v>60.61</v>
      </c>
      <c r="L1659" s="1786">
        <v>90.7</v>
      </c>
      <c r="M1659" s="1786">
        <v>105.8</v>
      </c>
    </row>
    <row r="1660" spans="1:13" s="1293" customFormat="1" x14ac:dyDescent="0.35">
      <c r="A1660" s="1784">
        <v>206492</v>
      </c>
      <c r="B1660" s="1782"/>
      <c r="C1660" s="1785">
        <v>4.3430999999999997</v>
      </c>
      <c r="D1660" s="1786">
        <v>0.16</v>
      </c>
      <c r="E1660" s="1788">
        <v>5.57</v>
      </c>
      <c r="F1660" s="1786">
        <v>0.03</v>
      </c>
      <c r="G1660" s="1786">
        <v>2.4500000000000002</v>
      </c>
      <c r="H1660" s="1786">
        <v>1.45</v>
      </c>
      <c r="I1660" s="1786">
        <v>79.45</v>
      </c>
      <c r="J1660" s="1786">
        <v>0.33</v>
      </c>
      <c r="K1660" s="1786">
        <v>92.32</v>
      </c>
      <c r="L1660" s="1786">
        <v>101.57</v>
      </c>
      <c r="M1660" s="1786">
        <v>54.93</v>
      </c>
    </row>
    <row r="1661" spans="1:13" s="1293" customFormat="1" x14ac:dyDescent="0.35">
      <c r="A1661" s="1784">
        <v>206493</v>
      </c>
      <c r="B1661" s="1782"/>
      <c r="C1661" s="1785">
        <v>4.9595399999999996</v>
      </c>
      <c r="D1661" s="1786">
        <v>0.19</v>
      </c>
      <c r="E1661" s="1786">
        <v>4.04</v>
      </c>
      <c r="F1661" s="1786">
        <v>0.02</v>
      </c>
      <c r="G1661" s="1786">
        <v>1.89</v>
      </c>
      <c r="H1661" s="1786">
        <v>1.42</v>
      </c>
      <c r="I1661" s="1786">
        <v>70.11</v>
      </c>
      <c r="J1661" s="1786">
        <v>0.48</v>
      </c>
      <c r="K1661" s="1786">
        <v>49.73</v>
      </c>
      <c r="L1661" s="1786">
        <v>97.63</v>
      </c>
      <c r="M1661" s="1786">
        <v>24.22</v>
      </c>
    </row>
    <row r="1662" spans="1:13" s="1293" customFormat="1" x14ac:dyDescent="0.35">
      <c r="A1662" s="1784">
        <v>206494</v>
      </c>
      <c r="B1662" s="1782"/>
      <c r="C1662" s="1785">
        <v>4.2029999999999994</v>
      </c>
      <c r="D1662" s="1786">
        <v>0.22</v>
      </c>
      <c r="E1662" s="1788">
        <v>6.34</v>
      </c>
      <c r="F1662" s="1786">
        <v>0.04</v>
      </c>
      <c r="G1662" s="1786">
        <v>3.05</v>
      </c>
      <c r="H1662" s="1786">
        <v>1.23</v>
      </c>
      <c r="I1662" s="1786">
        <v>28.01</v>
      </c>
      <c r="J1662" s="1786">
        <v>0.14000000000000001</v>
      </c>
      <c r="K1662" s="1786">
        <v>28.65</v>
      </c>
      <c r="L1662" s="1786">
        <v>109.76</v>
      </c>
      <c r="M1662" s="1786">
        <v>64.61</v>
      </c>
    </row>
    <row r="1663" spans="1:13" s="1293" customFormat="1" x14ac:dyDescent="0.35">
      <c r="A1663" s="1784">
        <v>206495</v>
      </c>
      <c r="B1663" s="1782"/>
      <c r="C1663" s="1785">
        <v>3.3623999999999996</v>
      </c>
      <c r="D1663" s="1786">
        <v>0.17</v>
      </c>
      <c r="E1663" s="1788">
        <v>8.1199999999999992</v>
      </c>
      <c r="F1663" s="1786">
        <v>0.04</v>
      </c>
      <c r="G1663" s="1788">
        <v>3.49</v>
      </c>
      <c r="H1663" s="1788">
        <v>1.48</v>
      </c>
      <c r="I1663" s="1786">
        <v>42.84</v>
      </c>
      <c r="J1663" s="1786">
        <v>0.67</v>
      </c>
      <c r="K1663" s="1786">
        <v>64.23</v>
      </c>
      <c r="L1663" s="1786">
        <v>190.09</v>
      </c>
      <c r="M1663" s="1786">
        <v>61.66</v>
      </c>
    </row>
    <row r="1664" spans="1:13" s="1293" customFormat="1" x14ac:dyDescent="0.35">
      <c r="A1664" s="1784">
        <v>206496</v>
      </c>
      <c r="B1664" s="1782"/>
      <c r="C1664" s="1785">
        <v>5.1556800000000003</v>
      </c>
      <c r="D1664" s="1786">
        <v>0.48</v>
      </c>
      <c r="E1664" s="1788">
        <v>3.85</v>
      </c>
      <c r="F1664" s="1786">
        <v>7.0000000000000007E-2</v>
      </c>
      <c r="G1664" s="1788">
        <v>2.88</v>
      </c>
      <c r="H1664" s="1786">
        <v>0.54</v>
      </c>
      <c r="I1664" s="1786">
        <v>22.75</v>
      </c>
      <c r="J1664" s="1786">
        <v>10.58</v>
      </c>
      <c r="K1664" s="1786">
        <v>62.01</v>
      </c>
      <c r="L1664" s="1786">
        <v>107.72</v>
      </c>
      <c r="M1664" s="1786">
        <v>42.85</v>
      </c>
    </row>
    <row r="1665" spans="1:13" s="1293" customFormat="1" x14ac:dyDescent="0.35">
      <c r="A1665" s="1784">
        <v>206497</v>
      </c>
      <c r="B1665" s="1782"/>
      <c r="C1665" s="1785">
        <v>3.3623999999999996</v>
      </c>
      <c r="D1665" s="1786">
        <v>0.24</v>
      </c>
      <c r="E1665" s="1786">
        <v>2.17</v>
      </c>
      <c r="F1665" s="1786">
        <v>0.24</v>
      </c>
      <c r="G1665" s="1786">
        <v>4.8</v>
      </c>
      <c r="H1665" s="1786">
        <v>0.78</v>
      </c>
      <c r="I1665" s="1786">
        <v>9.43</v>
      </c>
      <c r="J1665" s="1786">
        <v>68.33</v>
      </c>
      <c r="K1665" s="1786">
        <v>159.38</v>
      </c>
      <c r="L1665" s="1786">
        <v>93.09</v>
      </c>
      <c r="M1665" s="1786">
        <v>45.61</v>
      </c>
    </row>
    <row r="1666" spans="1:13" s="1293" customFormat="1" x14ac:dyDescent="0.35">
      <c r="A1666" s="1784">
        <v>206498</v>
      </c>
      <c r="B1666" s="1782"/>
      <c r="C1666" s="1785">
        <v>3.0261600000000004</v>
      </c>
      <c r="D1666" s="1786">
        <v>0.17</v>
      </c>
      <c r="E1666" s="1786">
        <v>2.2599999999999998</v>
      </c>
      <c r="F1666" s="1786">
        <v>0.13</v>
      </c>
      <c r="G1666" s="1786">
        <v>4.8099999999999996</v>
      </c>
      <c r="H1666" s="1786">
        <v>0.77</v>
      </c>
      <c r="I1666" s="1786">
        <v>10.82</v>
      </c>
      <c r="J1666" s="1786">
        <v>56.21</v>
      </c>
      <c r="K1666" s="1786">
        <v>166.04</v>
      </c>
      <c r="L1666" s="1786">
        <v>128.18</v>
      </c>
      <c r="M1666" s="1786">
        <v>48.31</v>
      </c>
    </row>
    <row r="1667" spans="1:13" s="1293" customFormat="1" x14ac:dyDescent="0.35">
      <c r="A1667" s="1784">
        <v>206499</v>
      </c>
      <c r="B1667" s="1782"/>
      <c r="C1667" s="1785">
        <v>4.4832000000000001</v>
      </c>
      <c r="D1667" s="1786">
        <v>0.47</v>
      </c>
      <c r="E1667" s="1786">
        <v>3.94</v>
      </c>
      <c r="F1667" s="1786">
        <v>0.04</v>
      </c>
      <c r="G1667" s="1786">
        <v>1.19</v>
      </c>
      <c r="H1667" s="1786">
        <v>0.49</v>
      </c>
      <c r="I1667" s="1786">
        <v>132</v>
      </c>
      <c r="J1667" s="1786">
        <v>11.27</v>
      </c>
      <c r="K1667" s="1786">
        <v>121.82</v>
      </c>
      <c r="L1667" s="1786">
        <v>179.35</v>
      </c>
      <c r="M1667" s="1786">
        <v>36.26</v>
      </c>
    </row>
    <row r="1668" spans="1:13" s="1293" customFormat="1" x14ac:dyDescent="0.35">
      <c r="A1668" s="1784">
        <v>206500</v>
      </c>
      <c r="B1668" s="1782"/>
      <c r="C1668" s="1782">
        <v>4.34</v>
      </c>
      <c r="D1668" s="1782">
        <v>0.5</v>
      </c>
      <c r="E1668" s="1782">
        <v>4.17</v>
      </c>
      <c r="F1668" s="1782">
        <v>0.05</v>
      </c>
      <c r="G1668" s="1782">
        <v>2.48</v>
      </c>
      <c r="H1668" s="1782">
        <v>0.99</v>
      </c>
      <c r="I1668" s="1783">
        <v>42.91</v>
      </c>
      <c r="J1668" s="1783">
        <v>18.84</v>
      </c>
      <c r="K1668" s="1783">
        <v>165.14</v>
      </c>
      <c r="L1668" s="1783">
        <v>66.19</v>
      </c>
      <c r="M1668" s="1783">
        <v>34.35</v>
      </c>
    </row>
    <row r="1669" spans="1:13" s="1293" customFormat="1" x14ac:dyDescent="0.35">
      <c r="A1669" s="1784">
        <v>206501</v>
      </c>
      <c r="B1669" s="1782"/>
      <c r="C1669" s="1785">
        <v>4.1749799999999997</v>
      </c>
      <c r="D1669" s="1785">
        <v>0.35</v>
      </c>
      <c r="E1669" s="1785">
        <v>3.54</v>
      </c>
      <c r="F1669" s="1785">
        <v>0.17</v>
      </c>
      <c r="G1669" s="1785">
        <v>4.4000000000000004</v>
      </c>
      <c r="H1669" s="1785">
        <v>0.83</v>
      </c>
      <c r="I1669" s="1785">
        <v>26.16</v>
      </c>
      <c r="J1669" s="1785">
        <v>10.98</v>
      </c>
      <c r="K1669" s="1785">
        <v>55.18</v>
      </c>
      <c r="L1669" s="1785">
        <v>103.03</v>
      </c>
      <c r="M1669" s="1785">
        <v>46.37</v>
      </c>
    </row>
    <row r="1670" spans="1:13" s="1293" customFormat="1" x14ac:dyDescent="0.35">
      <c r="A1670" s="1784">
        <v>206502</v>
      </c>
      <c r="B1670" s="1782"/>
      <c r="C1670" s="1785">
        <v>4.2029999999999994</v>
      </c>
      <c r="D1670" s="1785">
        <v>0.43</v>
      </c>
      <c r="E1670" s="1785">
        <v>4.37</v>
      </c>
      <c r="F1670" s="1785">
        <v>0.16</v>
      </c>
      <c r="G1670" s="1785">
        <v>3.59</v>
      </c>
      <c r="H1670" s="1785">
        <v>0.85</v>
      </c>
      <c r="I1670" s="1785">
        <v>47.13</v>
      </c>
      <c r="J1670" s="1785">
        <v>14.33</v>
      </c>
      <c r="K1670" s="1785">
        <v>104.79</v>
      </c>
      <c r="L1670" s="1785">
        <v>95.1</v>
      </c>
      <c r="M1670" s="1785">
        <v>50.09</v>
      </c>
    </row>
    <row r="1671" spans="1:13" s="1293" customFormat="1" x14ac:dyDescent="0.35">
      <c r="A1671" s="1784">
        <v>206503</v>
      </c>
      <c r="B1671" s="1782"/>
      <c r="C1671" s="1785">
        <v>4.5112199999999989</v>
      </c>
      <c r="D1671" s="1785">
        <v>0.54</v>
      </c>
      <c r="E1671" s="1785">
        <v>4.2300000000000004</v>
      </c>
      <c r="F1671" s="1785">
        <v>0.11</v>
      </c>
      <c r="G1671" s="1785">
        <v>3.28</v>
      </c>
      <c r="H1671" s="1785">
        <v>0.92</v>
      </c>
      <c r="I1671" s="1785">
        <v>52.64</v>
      </c>
      <c r="J1671" s="1785">
        <v>24.26</v>
      </c>
      <c r="K1671" s="1785">
        <v>201.23</v>
      </c>
      <c r="L1671" s="1785">
        <v>93.83</v>
      </c>
      <c r="M1671" s="1785">
        <v>36.76</v>
      </c>
    </row>
    <row r="1672" spans="1:13" s="1293" customFormat="1" x14ac:dyDescent="0.35">
      <c r="A1672" s="1784">
        <v>206504</v>
      </c>
      <c r="B1672" s="1782"/>
      <c r="C1672" s="1785">
        <v>3.7266600000000003</v>
      </c>
      <c r="D1672" s="1785">
        <v>0.31</v>
      </c>
      <c r="E1672" s="1785">
        <v>3.52</v>
      </c>
      <c r="F1672" s="1785">
        <v>0.47</v>
      </c>
      <c r="G1672" s="1785">
        <v>4.97</v>
      </c>
      <c r="H1672" s="1785">
        <v>1.44</v>
      </c>
      <c r="I1672" s="1785">
        <v>18.78</v>
      </c>
      <c r="J1672" s="1785">
        <v>10.59</v>
      </c>
      <c r="K1672" s="1785">
        <v>136.30000000000001</v>
      </c>
      <c r="L1672" s="1785">
        <v>119.44</v>
      </c>
      <c r="M1672" s="1785">
        <v>81.77</v>
      </c>
    </row>
    <row r="1673" spans="1:13" s="1293" customFormat="1" x14ac:dyDescent="0.35">
      <c r="A1673" s="1784">
        <v>206505</v>
      </c>
      <c r="B1673" s="1782"/>
      <c r="C1673" s="1785">
        <v>4.1749799999999997</v>
      </c>
      <c r="D1673" s="1785">
        <v>0.41</v>
      </c>
      <c r="E1673" s="1785">
        <v>3.37</v>
      </c>
      <c r="F1673" s="1785">
        <v>0.42</v>
      </c>
      <c r="G1673" s="1785">
        <v>4.0999999999999996</v>
      </c>
      <c r="H1673" s="1785">
        <v>1</v>
      </c>
      <c r="I1673" s="1785">
        <v>17.239999999999998</v>
      </c>
      <c r="J1673" s="1785">
        <v>16.09</v>
      </c>
      <c r="K1673" s="1785">
        <v>74.48</v>
      </c>
      <c r="L1673" s="1785">
        <v>103.83</v>
      </c>
      <c r="M1673" s="1785">
        <v>70.540000000000006</v>
      </c>
    </row>
    <row r="1674" spans="1:13" s="1293" customFormat="1" x14ac:dyDescent="0.35">
      <c r="A1674" s="1784">
        <v>206506</v>
      </c>
      <c r="B1674" s="1782"/>
      <c r="C1674" s="1785">
        <v>1.8213000000000001</v>
      </c>
      <c r="D1674" s="1785">
        <v>0.17</v>
      </c>
      <c r="E1674" s="1785">
        <v>0.47</v>
      </c>
      <c r="F1674" s="1785">
        <v>0.04</v>
      </c>
      <c r="G1674" s="1785">
        <v>0.61</v>
      </c>
      <c r="H1674" s="1785">
        <v>0.19</v>
      </c>
      <c r="I1674" s="1785">
        <v>42.41</v>
      </c>
      <c r="J1674" s="1785">
        <v>5.09</v>
      </c>
      <c r="K1674" s="1785">
        <v>217.21</v>
      </c>
      <c r="L1674" s="1785">
        <v>103.16</v>
      </c>
      <c r="M1674" s="1785">
        <v>47.54</v>
      </c>
    </row>
    <row r="1675" spans="1:13" s="1293" customFormat="1" x14ac:dyDescent="0.35">
      <c r="A1675" s="1784">
        <v>206507</v>
      </c>
      <c r="B1675" s="1782"/>
      <c r="C1675" s="1785">
        <v>2.1855600000000002</v>
      </c>
      <c r="D1675" s="1785">
        <v>0.19</v>
      </c>
      <c r="E1675" s="1785">
        <v>0.76</v>
      </c>
      <c r="F1675" s="1785">
        <v>0.02</v>
      </c>
      <c r="G1675" s="1785">
        <v>0.8</v>
      </c>
      <c r="H1675" s="1785">
        <v>0.24</v>
      </c>
      <c r="I1675" s="1785">
        <v>14.16</v>
      </c>
      <c r="J1675" s="1785">
        <v>6.88</v>
      </c>
      <c r="K1675" s="1785">
        <v>40.14</v>
      </c>
      <c r="L1675" s="1785">
        <v>247.61</v>
      </c>
      <c r="M1675" s="1785">
        <v>34.229999999999997</v>
      </c>
    </row>
    <row r="1676" spans="1:13" s="1293" customFormat="1" x14ac:dyDescent="0.35">
      <c r="A1676" s="1784">
        <v>206508</v>
      </c>
      <c r="B1676" s="1782"/>
      <c r="C1676" s="1785">
        <v>4.5952799999999989</v>
      </c>
      <c r="D1676" s="1785">
        <v>0.62</v>
      </c>
      <c r="E1676" s="1785">
        <v>4.13</v>
      </c>
      <c r="F1676" s="1785">
        <v>0.06</v>
      </c>
      <c r="G1676" s="1785">
        <v>2.98</v>
      </c>
      <c r="H1676" s="1785">
        <v>0.89</v>
      </c>
      <c r="I1676" s="1785">
        <v>38.869999999999997</v>
      </c>
      <c r="J1676" s="1785">
        <v>24.17</v>
      </c>
      <c r="K1676" s="1785">
        <v>80.42</v>
      </c>
      <c r="L1676" s="1785">
        <v>80.77</v>
      </c>
      <c r="M1676" s="1785">
        <v>45.63</v>
      </c>
    </row>
    <row r="1677" spans="1:13" s="1293" customFormat="1" x14ac:dyDescent="0.35">
      <c r="A1677" s="1784">
        <v>206509</v>
      </c>
      <c r="B1677" s="1782"/>
      <c r="C1677" s="1785">
        <v>5.4078599999999994</v>
      </c>
      <c r="D1677" s="1785">
        <v>0.51</v>
      </c>
      <c r="E1677" s="1785">
        <v>3.33</v>
      </c>
      <c r="F1677" s="1785">
        <v>0.05</v>
      </c>
      <c r="G1677" s="1785">
        <v>1.84</v>
      </c>
      <c r="H1677" s="1785">
        <v>0.53</v>
      </c>
      <c r="I1677" s="1785">
        <v>34.36</v>
      </c>
      <c r="J1677" s="1785">
        <v>15.99</v>
      </c>
      <c r="K1677" s="1785">
        <v>42.1</v>
      </c>
      <c r="L1677" s="1785">
        <v>119.21</v>
      </c>
      <c r="M1677" s="1785">
        <v>40.9</v>
      </c>
    </row>
    <row r="1678" spans="1:13" s="1293" customFormat="1" x14ac:dyDescent="0.35">
      <c r="A1678" s="1784">
        <v>206510</v>
      </c>
      <c r="B1678" s="1782"/>
      <c r="C1678" s="1785">
        <v>4.7914199999999996</v>
      </c>
      <c r="D1678" s="1785">
        <v>0.27</v>
      </c>
      <c r="E1678" s="1785">
        <v>4.37</v>
      </c>
      <c r="F1678" s="1785">
        <v>0.03</v>
      </c>
      <c r="G1678" s="1785">
        <v>2.13</v>
      </c>
      <c r="H1678" s="1785">
        <v>0.95</v>
      </c>
      <c r="I1678" s="1785">
        <v>28.86</v>
      </c>
      <c r="J1678" s="1785">
        <v>4.1500000000000004</v>
      </c>
      <c r="K1678" s="1785">
        <v>120.55</v>
      </c>
      <c r="L1678" s="1785">
        <v>103.87</v>
      </c>
      <c r="M1678" s="1785">
        <v>38.26</v>
      </c>
    </row>
    <row r="1679" spans="1:13" s="1293" customFormat="1" x14ac:dyDescent="0.35">
      <c r="A1679" s="1784">
        <v>206511</v>
      </c>
      <c r="B1679" s="1782"/>
      <c r="C1679" s="1785">
        <v>4.4551800000000004</v>
      </c>
      <c r="D1679" s="1785">
        <v>0.28000000000000003</v>
      </c>
      <c r="E1679" s="1785">
        <v>3.29</v>
      </c>
      <c r="F1679" s="1785">
        <v>0.08</v>
      </c>
      <c r="G1679" s="1785">
        <v>2.5299999999999998</v>
      </c>
      <c r="H1679" s="1785">
        <v>0.55000000000000004</v>
      </c>
      <c r="I1679" s="1785">
        <v>46.54</v>
      </c>
      <c r="J1679" s="1785">
        <v>40.29</v>
      </c>
      <c r="K1679" s="1785">
        <v>258.42</v>
      </c>
      <c r="L1679" s="1785">
        <v>81.03</v>
      </c>
      <c r="M1679" s="1785">
        <v>29.76</v>
      </c>
    </row>
    <row r="1680" spans="1:13" s="1293" customFormat="1" x14ac:dyDescent="0.35">
      <c r="A1680" s="1784">
        <v>206512</v>
      </c>
      <c r="B1680" s="1782"/>
      <c r="C1680" s="1785">
        <v>5.0435999999999996</v>
      </c>
      <c r="D1680" s="1785">
        <v>0.24</v>
      </c>
      <c r="E1680" s="1785">
        <v>4.84</v>
      </c>
      <c r="F1680" s="1785">
        <v>0.03</v>
      </c>
      <c r="G1680" s="1785">
        <v>1.64</v>
      </c>
      <c r="H1680" s="1785">
        <v>0.79</v>
      </c>
      <c r="I1680" s="1785">
        <v>57.38</v>
      </c>
      <c r="J1680" s="1785">
        <v>6.92</v>
      </c>
      <c r="K1680" s="1785">
        <v>97.4</v>
      </c>
      <c r="L1680" s="1785">
        <v>115.31</v>
      </c>
      <c r="M1680" s="1785">
        <v>70.42</v>
      </c>
    </row>
    <row r="1681" spans="1:13" s="1293" customFormat="1" x14ac:dyDescent="0.35">
      <c r="A1681" s="1784">
        <v>206513</v>
      </c>
      <c r="B1681" s="1782"/>
      <c r="C1681" s="1785">
        <v>4.4551800000000004</v>
      </c>
      <c r="D1681" s="1785">
        <v>0.21</v>
      </c>
      <c r="E1681" s="1785">
        <v>4.49</v>
      </c>
      <c r="F1681" s="1785">
        <v>0.02</v>
      </c>
      <c r="G1681" s="1785">
        <v>1.34</v>
      </c>
      <c r="H1681" s="1785">
        <v>0.75</v>
      </c>
      <c r="I1681" s="1785">
        <v>55.61</v>
      </c>
      <c r="J1681" s="1785">
        <v>12.52</v>
      </c>
      <c r="K1681" s="1785">
        <v>106.48</v>
      </c>
      <c r="L1681" s="1785">
        <v>131.15</v>
      </c>
      <c r="M1681" s="1785">
        <v>75.13</v>
      </c>
    </row>
    <row r="1682" spans="1:13" s="1293" customFormat="1" x14ac:dyDescent="0.35">
      <c r="A1682" s="1784">
        <v>206514</v>
      </c>
      <c r="B1682" s="1782"/>
      <c r="C1682" s="1785">
        <v>5.1837</v>
      </c>
      <c r="D1682" s="1785">
        <v>0.33</v>
      </c>
      <c r="E1682" s="1785">
        <v>5.52</v>
      </c>
      <c r="F1682" s="1785">
        <v>0.03</v>
      </c>
      <c r="G1682" s="1785">
        <v>1.52</v>
      </c>
      <c r="H1682" s="1785">
        <v>0.84</v>
      </c>
      <c r="I1682" s="1785">
        <v>233.56</v>
      </c>
      <c r="J1682" s="1785">
        <v>14.55</v>
      </c>
      <c r="K1682" s="1785">
        <v>205.23</v>
      </c>
      <c r="L1682" s="1785">
        <v>185.23</v>
      </c>
      <c r="M1682" s="1785">
        <v>124.2</v>
      </c>
    </row>
    <row r="1683" spans="1:13" s="1293" customFormat="1" x14ac:dyDescent="0.35">
      <c r="A1683" s="1784">
        <v>206515</v>
      </c>
      <c r="B1683" s="1782"/>
      <c r="C1683" s="1785">
        <v>5.3238000000000003</v>
      </c>
      <c r="D1683" s="1785">
        <v>0.45</v>
      </c>
      <c r="E1683" s="1785">
        <v>5.65</v>
      </c>
      <c r="F1683" s="1785">
        <v>0.02</v>
      </c>
      <c r="G1683" s="1785">
        <v>1.6</v>
      </c>
      <c r="H1683" s="1785">
        <v>0.94</v>
      </c>
      <c r="I1683" s="1785">
        <v>147.94</v>
      </c>
      <c r="J1683" s="1785">
        <v>20.27</v>
      </c>
      <c r="K1683" s="1785">
        <v>179.68</v>
      </c>
      <c r="L1683" s="1785">
        <v>110.1</v>
      </c>
      <c r="M1683" s="1785">
        <v>39.68</v>
      </c>
    </row>
    <row r="1684" spans="1:13" s="1293" customFormat="1" x14ac:dyDescent="0.35">
      <c r="A1684" s="1784">
        <v>206516</v>
      </c>
      <c r="B1684" s="1782"/>
      <c r="C1684" s="1785">
        <v>3.0261600000000004</v>
      </c>
      <c r="D1684" s="1785">
        <v>0.13</v>
      </c>
      <c r="E1684" s="1785">
        <v>0.96</v>
      </c>
      <c r="F1684" s="1785">
        <v>7.0000000000000007E-2</v>
      </c>
      <c r="G1684" s="1785">
        <v>3.48</v>
      </c>
      <c r="H1684" s="1785">
        <v>0.21</v>
      </c>
      <c r="I1684" s="1785">
        <v>13.8</v>
      </c>
      <c r="J1684" s="1785">
        <v>1.8</v>
      </c>
      <c r="K1684" s="1785">
        <v>17.55</v>
      </c>
      <c r="L1684" s="1785">
        <v>130.88999999999999</v>
      </c>
      <c r="M1684" s="1785">
        <v>55.89</v>
      </c>
    </row>
    <row r="1685" spans="1:13" s="1293" customFormat="1" x14ac:dyDescent="0.35">
      <c r="A1685" s="1784">
        <v>206517</v>
      </c>
      <c r="B1685" s="1782"/>
      <c r="C1685" s="1785">
        <v>3.3063600000000002</v>
      </c>
      <c r="D1685" s="1785">
        <v>0.16</v>
      </c>
      <c r="E1685" s="1785">
        <v>0.75</v>
      </c>
      <c r="F1685" s="1785">
        <v>0.05</v>
      </c>
      <c r="G1685" s="1785">
        <v>3.2</v>
      </c>
      <c r="H1685" s="1785">
        <v>0.26</v>
      </c>
      <c r="I1685" s="1785">
        <v>8.06</v>
      </c>
      <c r="J1685" s="1785">
        <v>1.26</v>
      </c>
      <c r="K1685" s="1785">
        <v>16.95</v>
      </c>
      <c r="L1685" s="1785">
        <v>100.27</v>
      </c>
      <c r="M1685" s="1785">
        <v>44.83</v>
      </c>
    </row>
    <row r="1686" spans="1:13" s="1293" customFormat="1" x14ac:dyDescent="0.35">
      <c r="A1686" s="1784">
        <v>206518</v>
      </c>
      <c r="B1686" s="1782"/>
      <c r="C1686" s="1785">
        <v>2.9140800000000002</v>
      </c>
      <c r="D1686" s="1785">
        <v>0.15</v>
      </c>
      <c r="E1686" s="1785">
        <v>0.57999999999999996</v>
      </c>
      <c r="F1686" s="1785">
        <v>0.04</v>
      </c>
      <c r="G1686" s="1785">
        <v>3.55</v>
      </c>
      <c r="H1686" s="1785">
        <v>0.39</v>
      </c>
      <c r="I1686" s="1785">
        <v>9.6300000000000008</v>
      </c>
      <c r="J1686" s="1785">
        <v>1.28</v>
      </c>
      <c r="K1686" s="1785">
        <v>14.76</v>
      </c>
      <c r="L1686" s="1785">
        <v>104.8</v>
      </c>
      <c r="M1686" s="1785">
        <v>43.48</v>
      </c>
    </row>
    <row r="1687" spans="1:13" s="1293" customFormat="1" x14ac:dyDescent="0.35">
      <c r="A1687" s="1784">
        <v>206519</v>
      </c>
      <c r="B1687" s="1782"/>
      <c r="C1687" s="1785">
        <v>2.8300199999999998</v>
      </c>
      <c r="D1687" s="1785">
        <v>0.14000000000000001</v>
      </c>
      <c r="E1687" s="1785">
        <v>0.89</v>
      </c>
      <c r="F1687" s="1785">
        <v>0.05</v>
      </c>
      <c r="G1687" s="1785">
        <v>3.2</v>
      </c>
      <c r="H1687" s="1785">
        <v>0.24</v>
      </c>
      <c r="I1687" s="1785">
        <v>10.66</v>
      </c>
      <c r="J1687" s="1785">
        <v>1.34</v>
      </c>
      <c r="K1687" s="1785">
        <v>16.649999999999999</v>
      </c>
      <c r="L1687" s="1785">
        <v>115.62</v>
      </c>
      <c r="M1687" s="1785">
        <v>46.7</v>
      </c>
    </row>
    <row r="1688" spans="1:13" s="1293" customFormat="1" x14ac:dyDescent="0.35">
      <c r="A1688" s="1784">
        <v>206520</v>
      </c>
      <c r="B1688" s="1782"/>
      <c r="C1688" s="1785">
        <v>2.7739799999999999</v>
      </c>
      <c r="D1688" s="1785">
        <v>0.14000000000000001</v>
      </c>
      <c r="E1688" s="1785">
        <v>0.62</v>
      </c>
      <c r="F1688" s="1785">
        <v>0.04</v>
      </c>
      <c r="G1688" s="1785">
        <v>3.99</v>
      </c>
      <c r="H1688" s="1785">
        <v>0.36</v>
      </c>
      <c r="I1688" s="1785">
        <v>11.96</v>
      </c>
      <c r="J1688" s="1785">
        <v>1.82</v>
      </c>
      <c r="K1688" s="1785">
        <v>24.98</v>
      </c>
      <c r="L1688" s="1785">
        <v>100.3</v>
      </c>
      <c r="M1688" s="1785">
        <v>57.72</v>
      </c>
    </row>
    <row r="1689" spans="1:13" s="1293" customFormat="1" x14ac:dyDescent="0.35">
      <c r="A1689" s="1784">
        <v>206521</v>
      </c>
      <c r="B1689" s="1782"/>
      <c r="C1689" s="1785">
        <v>3.19428</v>
      </c>
      <c r="D1689" s="1785">
        <v>0.19</v>
      </c>
      <c r="E1689" s="1785">
        <v>0.84</v>
      </c>
      <c r="F1689" s="1785">
        <v>0.05</v>
      </c>
      <c r="G1689" s="1785">
        <v>3.24</v>
      </c>
      <c r="H1689" s="1785">
        <v>0.27</v>
      </c>
      <c r="I1689" s="1785">
        <v>8.75</v>
      </c>
      <c r="J1689" s="1785">
        <v>1.27</v>
      </c>
      <c r="K1689" s="1785">
        <v>11.66</v>
      </c>
      <c r="L1689" s="1785">
        <v>105.15</v>
      </c>
      <c r="M1689" s="1785">
        <v>58.4</v>
      </c>
    </row>
    <row r="1690" spans="1:13" s="1293" customFormat="1" x14ac:dyDescent="0.35">
      <c r="A1690" s="1784">
        <v>206522</v>
      </c>
      <c r="C1690" s="1785">
        <v>2.8300199999999998</v>
      </c>
      <c r="D1690" s="1782">
        <v>0.14000000000000001</v>
      </c>
      <c r="E1690" s="1782">
        <v>1.65</v>
      </c>
      <c r="F1690" s="1782">
        <v>0.05</v>
      </c>
      <c r="G1690" s="1782">
        <v>4.22</v>
      </c>
      <c r="H1690" s="1782">
        <v>0.25</v>
      </c>
      <c r="I1690" s="1783">
        <v>14.35</v>
      </c>
      <c r="J1690" s="1783">
        <v>138.04</v>
      </c>
      <c r="K1690" s="1783">
        <v>28.67</v>
      </c>
      <c r="L1690" s="1783">
        <v>48.67</v>
      </c>
      <c r="M1690" s="1783">
        <v>53.64</v>
      </c>
    </row>
    <row r="1691" spans="1:13" s="1293" customFormat="1" x14ac:dyDescent="0.35">
      <c r="A1691" s="1784">
        <v>206523</v>
      </c>
      <c r="C1691" s="1785">
        <v>3.6145800000000001</v>
      </c>
      <c r="D1691" s="1782">
        <v>0.21</v>
      </c>
      <c r="E1691" s="1782">
        <v>1.45</v>
      </c>
      <c r="F1691" s="1782">
        <v>0.05</v>
      </c>
      <c r="G1691" s="1782">
        <v>2.6</v>
      </c>
      <c r="H1691" s="1782">
        <v>0.24</v>
      </c>
      <c r="I1691" s="1783">
        <v>8.8000000000000007</v>
      </c>
      <c r="J1691" s="1783">
        <v>3.35</v>
      </c>
      <c r="K1691" s="1783">
        <v>20.56</v>
      </c>
      <c r="L1691" s="1783">
        <v>151.24</v>
      </c>
      <c r="M1691" s="1783">
        <v>54.62</v>
      </c>
    </row>
    <row r="1692" spans="1:13" s="1293" customFormat="1" x14ac:dyDescent="0.35">
      <c r="A1692" s="1784">
        <v>206524</v>
      </c>
      <c r="C1692" s="1785">
        <v>3.6426000000000003</v>
      </c>
      <c r="D1692" s="1782">
        <v>0.17</v>
      </c>
      <c r="E1692" s="1782">
        <v>1.69</v>
      </c>
      <c r="F1692" s="1782">
        <v>0.08</v>
      </c>
      <c r="G1692" s="1782">
        <v>3.13</v>
      </c>
      <c r="H1692" s="1782">
        <v>0.27</v>
      </c>
      <c r="I1692" s="1783">
        <v>9.23</v>
      </c>
      <c r="J1692" s="1783">
        <v>1.56</v>
      </c>
      <c r="K1692" s="1783">
        <v>17.48</v>
      </c>
      <c r="L1692" s="1783">
        <v>120.13</v>
      </c>
      <c r="M1692" s="1783">
        <v>47.47</v>
      </c>
    </row>
    <row r="1693" spans="1:13" s="1293" customFormat="1" x14ac:dyDescent="0.35">
      <c r="A1693" s="1784">
        <v>206525</v>
      </c>
      <c r="C1693" s="1785">
        <v>2.63388</v>
      </c>
      <c r="D1693" s="1782">
        <v>0.14000000000000001</v>
      </c>
      <c r="E1693" s="1782">
        <v>1.17</v>
      </c>
      <c r="F1693" s="1782">
        <v>0.04</v>
      </c>
      <c r="G1693" s="1782">
        <v>4.0599999999999996</v>
      </c>
      <c r="H1693" s="1782">
        <v>0.41</v>
      </c>
      <c r="I1693" s="1783">
        <v>14.63</v>
      </c>
      <c r="J1693" s="1783">
        <v>3.5</v>
      </c>
      <c r="K1693" s="1783">
        <v>23.57</v>
      </c>
      <c r="L1693" s="1783">
        <v>113.51</v>
      </c>
      <c r="M1693" s="1783">
        <v>42.73</v>
      </c>
    </row>
    <row r="1694" spans="1:13" s="1293" customFormat="1" x14ac:dyDescent="0.35">
      <c r="A1694" s="1784">
        <v>206526</v>
      </c>
      <c r="C1694" s="1785">
        <v>2.5217999999999998</v>
      </c>
      <c r="D1694" s="1786">
        <v>0.25</v>
      </c>
      <c r="E1694" s="1786">
        <v>1.72</v>
      </c>
      <c r="F1694" s="1786">
        <v>0.03</v>
      </c>
      <c r="G1694" s="1786" t="s">
        <v>593</v>
      </c>
      <c r="H1694" s="1786">
        <v>0.45</v>
      </c>
      <c r="I1694" s="1786">
        <v>6.66</v>
      </c>
      <c r="J1694" s="1786">
        <v>5.0999999999999996</v>
      </c>
      <c r="K1694" s="1786">
        <v>34.86</v>
      </c>
      <c r="L1694" s="1786">
        <v>177.26</v>
      </c>
      <c r="M1694" s="1786">
        <v>25.77</v>
      </c>
    </row>
    <row r="1695" spans="1:13" s="1293" customFormat="1" x14ac:dyDescent="0.35">
      <c r="A1695" s="1784">
        <v>206527</v>
      </c>
      <c r="C1695" s="1785">
        <v>2.6899199999999999</v>
      </c>
      <c r="D1695" s="1786">
        <v>0.14000000000000001</v>
      </c>
      <c r="E1695" s="1786">
        <v>0.85</v>
      </c>
      <c r="F1695" s="1786">
        <v>0.02</v>
      </c>
      <c r="G1695" s="1786">
        <v>1.08</v>
      </c>
      <c r="H1695" s="1786">
        <v>0.78</v>
      </c>
      <c r="I1695" s="1786">
        <v>23.55</v>
      </c>
      <c r="J1695" s="1786">
        <v>7.57</v>
      </c>
      <c r="K1695" s="1786">
        <v>39.94</v>
      </c>
      <c r="L1695" s="1786">
        <v>111.27</v>
      </c>
      <c r="M1695" s="1786">
        <v>72.11</v>
      </c>
    </row>
    <row r="1696" spans="1:13" s="1293" customFormat="1" x14ac:dyDescent="0.35">
      <c r="A1696" s="1784">
        <v>206528</v>
      </c>
      <c r="C1696" s="1785">
        <v>3.4184400000000004</v>
      </c>
      <c r="D1696" s="1786">
        <v>0.28999999999999998</v>
      </c>
      <c r="E1696" s="1786">
        <v>2.09</v>
      </c>
      <c r="F1696" s="1786">
        <v>0.03</v>
      </c>
      <c r="G1696" s="1786">
        <v>1.69</v>
      </c>
      <c r="H1696" s="1786">
        <v>0.73</v>
      </c>
      <c r="I1696" s="1786">
        <v>102.33</v>
      </c>
      <c r="J1696" s="1786">
        <v>3.52</v>
      </c>
      <c r="K1696" s="1786">
        <v>28.8</v>
      </c>
      <c r="L1696" s="1786">
        <v>110.58</v>
      </c>
      <c r="M1696" s="1786">
        <v>56.72</v>
      </c>
    </row>
    <row r="1697" spans="1:13" s="1293" customFormat="1" x14ac:dyDescent="0.35">
      <c r="A1697" s="1784">
        <v>206529</v>
      </c>
      <c r="C1697" s="1785">
        <v>3.27834</v>
      </c>
      <c r="D1697" s="1786">
        <v>0.23</v>
      </c>
      <c r="E1697" s="1786">
        <v>5.7</v>
      </c>
      <c r="F1697" s="1786">
        <v>0.03</v>
      </c>
      <c r="G1697" s="1786" t="s">
        <v>594</v>
      </c>
      <c r="H1697" s="1786">
        <v>0.41</v>
      </c>
      <c r="I1697" s="1786">
        <v>17.190000000000001</v>
      </c>
      <c r="J1697" s="1786">
        <v>7.06</v>
      </c>
      <c r="K1697" s="1786">
        <v>383.34</v>
      </c>
      <c r="L1697" s="1786">
        <v>117.48</v>
      </c>
      <c r="M1697" s="1786">
        <v>18.59</v>
      </c>
    </row>
    <row r="1698" spans="1:13" s="1293" customFormat="1" x14ac:dyDescent="0.35">
      <c r="A1698" s="1784">
        <v>206530</v>
      </c>
      <c r="C1698" s="1785">
        <v>4.31508</v>
      </c>
      <c r="D1698" s="906">
        <v>0.27</v>
      </c>
      <c r="E1698" s="1102">
        <v>4.79</v>
      </c>
      <c r="F1698" s="906">
        <v>0.06</v>
      </c>
      <c r="G1698" s="1102">
        <v>3.26</v>
      </c>
      <c r="H1698" s="1102">
        <v>1.99</v>
      </c>
      <c r="I1698" s="906">
        <v>27.38</v>
      </c>
      <c r="J1698" s="906">
        <v>2.93</v>
      </c>
      <c r="K1698" s="1102">
        <v>128.07</v>
      </c>
      <c r="L1698" s="906">
        <v>76.38</v>
      </c>
      <c r="M1698" s="906">
        <v>71.150000000000006</v>
      </c>
    </row>
    <row r="1699" spans="1:13" s="1293" customFormat="1" x14ac:dyDescent="0.35">
      <c r="A1699" s="1784">
        <v>206531</v>
      </c>
      <c r="C1699" s="1785">
        <v>3.3343800000000003</v>
      </c>
      <c r="D1699" s="906">
        <v>0.37</v>
      </c>
      <c r="E1699" s="1102">
        <v>3.57</v>
      </c>
      <c r="F1699" s="906">
        <v>0.14000000000000001</v>
      </c>
      <c r="G1699" s="1102">
        <v>5.03</v>
      </c>
      <c r="H1699" s="1102">
        <v>1.06</v>
      </c>
      <c r="I1699" s="906">
        <v>49.06</v>
      </c>
      <c r="J1699" s="906">
        <v>107.37</v>
      </c>
      <c r="K1699" s="1102">
        <v>363.63</v>
      </c>
      <c r="L1699" s="906">
        <v>57.68</v>
      </c>
      <c r="M1699" s="906">
        <v>44.38</v>
      </c>
    </row>
    <row r="1700" spans="1:13" s="1293" customFormat="1" x14ac:dyDescent="0.35">
      <c r="A1700" s="1784">
        <v>206532</v>
      </c>
      <c r="C1700" s="1785">
        <v>4.5112199999999989</v>
      </c>
      <c r="D1700" s="906">
        <v>0.28000000000000003</v>
      </c>
      <c r="E1700" s="1102">
        <v>7.58</v>
      </c>
      <c r="F1700" s="906">
        <v>0.03</v>
      </c>
      <c r="G1700" s="1102">
        <v>2.82</v>
      </c>
      <c r="H1700" s="1102">
        <v>1.55</v>
      </c>
      <c r="I1700" s="906">
        <v>64.5</v>
      </c>
      <c r="J1700" s="906">
        <v>10.08</v>
      </c>
      <c r="K1700" s="906">
        <v>65.23</v>
      </c>
      <c r="L1700" s="906">
        <v>67.239999999999995</v>
      </c>
      <c r="M1700" s="906">
        <v>48.94</v>
      </c>
    </row>
    <row r="1701" spans="1:13" s="1293" customFormat="1" x14ac:dyDescent="0.35">
      <c r="A1701" s="1784">
        <v>206533</v>
      </c>
      <c r="C1701" s="1785">
        <v>3.83874</v>
      </c>
      <c r="D1701" s="906">
        <v>0.26</v>
      </c>
      <c r="E1701" s="1102">
        <v>7.89</v>
      </c>
      <c r="F1701" s="906">
        <v>0.04</v>
      </c>
      <c r="G1701" s="1102">
        <v>2.79</v>
      </c>
      <c r="H1701" s="1102">
        <v>1.27</v>
      </c>
      <c r="I1701" s="1102">
        <v>196.78</v>
      </c>
      <c r="J1701" s="906">
        <v>10.41</v>
      </c>
      <c r="K1701" s="1102">
        <v>163.63999999999999</v>
      </c>
      <c r="L1701" s="906">
        <v>85.34</v>
      </c>
      <c r="M1701" s="906">
        <v>92.6</v>
      </c>
    </row>
    <row r="1702" spans="1:13" s="1293" customFormat="1" x14ac:dyDescent="0.35">
      <c r="A1702" s="1784">
        <v>206534</v>
      </c>
      <c r="C1702" s="1785">
        <v>4.3991400000000001</v>
      </c>
      <c r="D1702" s="1102">
        <v>0.28999999999999998</v>
      </c>
      <c r="E1702" s="1102">
        <v>6.22</v>
      </c>
      <c r="F1702" s="1102">
        <v>0.03</v>
      </c>
      <c r="G1702" s="1102">
        <v>2.86</v>
      </c>
      <c r="H1702" s="1102">
        <v>1.3</v>
      </c>
      <c r="I1702" s="1102">
        <v>72.510000000000005</v>
      </c>
      <c r="J1702" s="1102">
        <v>14.28</v>
      </c>
      <c r="K1702" s="1102">
        <v>173.52</v>
      </c>
      <c r="L1702" s="1102">
        <v>85.44</v>
      </c>
      <c r="M1702" s="1102">
        <v>96.21</v>
      </c>
    </row>
    <row r="1703" spans="1:13" s="1293" customFormat="1" x14ac:dyDescent="0.35">
      <c r="A1703" s="1784">
        <v>206535</v>
      </c>
      <c r="C1703" s="1785">
        <v>4.6793399999999998</v>
      </c>
      <c r="D1703" s="1102">
        <v>0.31</v>
      </c>
      <c r="E1703" s="1102">
        <v>7.48</v>
      </c>
      <c r="F1703" s="1102">
        <v>0.03</v>
      </c>
      <c r="G1703" s="1102">
        <v>2.73</v>
      </c>
      <c r="H1703" s="1102">
        <v>1.57</v>
      </c>
      <c r="I1703" s="1102">
        <v>585.08000000000004</v>
      </c>
      <c r="J1703" s="1102">
        <v>12.71</v>
      </c>
      <c r="K1703" s="1102">
        <v>397.15</v>
      </c>
      <c r="L1703" s="1102">
        <v>107.12</v>
      </c>
      <c r="M1703" s="1102">
        <v>187.53</v>
      </c>
    </row>
    <row r="1704" spans="1:13" s="1293" customFormat="1" x14ac:dyDescent="0.35">
      <c r="A1704" s="1784">
        <v>206536</v>
      </c>
      <c r="C1704" s="1782">
        <v>4.54</v>
      </c>
      <c r="D1704" s="1834">
        <v>0.27</v>
      </c>
      <c r="E1704" s="1825">
        <v>4.16</v>
      </c>
      <c r="F1704" s="1834">
        <v>0.05</v>
      </c>
      <c r="G1704" s="1825">
        <v>3.56</v>
      </c>
      <c r="H1704" s="1825">
        <v>0.54</v>
      </c>
      <c r="I1704" s="1834">
        <v>34.5</v>
      </c>
      <c r="J1704" s="1825">
        <v>13.72</v>
      </c>
      <c r="K1704" s="1834">
        <v>177.87</v>
      </c>
      <c r="L1704" s="1825">
        <v>64.45</v>
      </c>
      <c r="M1704" s="1825">
        <v>32.85</v>
      </c>
    </row>
    <row r="1705" spans="1:13" s="1293" customFormat="1" x14ac:dyDescent="0.35">
      <c r="A1705" s="1784">
        <v>206537</v>
      </c>
      <c r="C1705" s="1782">
        <v>6.5</v>
      </c>
      <c r="D1705" s="1834">
        <v>0.82</v>
      </c>
      <c r="E1705" s="1825">
        <v>6.03</v>
      </c>
      <c r="F1705" s="1834">
        <v>0.03</v>
      </c>
      <c r="G1705" s="1825">
        <v>1.46</v>
      </c>
      <c r="H1705" s="1825">
        <v>0.76</v>
      </c>
      <c r="I1705" s="1834">
        <v>51.14</v>
      </c>
      <c r="J1705" s="1825">
        <v>11.68</v>
      </c>
      <c r="K1705" s="1834">
        <v>26.95</v>
      </c>
      <c r="L1705" s="1825">
        <v>82.09</v>
      </c>
      <c r="M1705" s="1825">
        <v>26.58</v>
      </c>
    </row>
    <row r="1706" spans="1:13" s="1293" customFormat="1" x14ac:dyDescent="0.35">
      <c r="A1706" s="1784">
        <v>206538</v>
      </c>
      <c r="C1706" s="1782">
        <v>5.94</v>
      </c>
      <c r="D1706" s="1834">
        <v>0.4</v>
      </c>
      <c r="E1706" s="1825">
        <v>3.47</v>
      </c>
      <c r="F1706" s="1834">
        <v>0.03</v>
      </c>
      <c r="G1706" s="1825">
        <v>1.91</v>
      </c>
      <c r="H1706" s="1825">
        <v>0.43</v>
      </c>
      <c r="I1706" s="1834">
        <v>32.51</v>
      </c>
      <c r="J1706" s="1825">
        <v>7.63</v>
      </c>
      <c r="K1706" s="1834">
        <v>39.28</v>
      </c>
      <c r="L1706" s="1825">
        <v>79.2</v>
      </c>
      <c r="M1706" s="1825">
        <v>25.79</v>
      </c>
    </row>
    <row r="1707" spans="1:13" s="1293" customFormat="1" x14ac:dyDescent="0.35">
      <c r="A1707" s="1784">
        <v>206539</v>
      </c>
      <c r="C1707" s="1782">
        <v>5.24</v>
      </c>
      <c r="D1707" s="1834">
        <v>0.33</v>
      </c>
      <c r="E1707" s="1825">
        <v>3.77</v>
      </c>
      <c r="F1707" s="1834">
        <v>0.03</v>
      </c>
      <c r="G1707" s="1825">
        <v>3</v>
      </c>
      <c r="H1707" s="1825">
        <v>0.7</v>
      </c>
      <c r="I1707" s="1834">
        <v>16.760000000000002</v>
      </c>
      <c r="J1707" s="1825">
        <v>7.8</v>
      </c>
      <c r="K1707" s="1834">
        <v>57.75</v>
      </c>
      <c r="L1707" s="1825">
        <v>70.28</v>
      </c>
      <c r="M1707" s="1825">
        <v>43.8</v>
      </c>
    </row>
    <row r="1708" spans="1:13" s="1293" customFormat="1" x14ac:dyDescent="0.35">
      <c r="A1708" s="1784">
        <v>206540</v>
      </c>
      <c r="C1708" s="1782">
        <v>5.04</v>
      </c>
      <c r="D1708" s="1834">
        <v>0.33</v>
      </c>
      <c r="E1708" s="1825">
        <v>3.37</v>
      </c>
      <c r="F1708" s="1834">
        <v>0.17</v>
      </c>
      <c r="G1708" s="1825">
        <v>3.77</v>
      </c>
      <c r="H1708" s="1825">
        <v>0.53</v>
      </c>
      <c r="I1708" s="1834">
        <v>21.27</v>
      </c>
      <c r="J1708" s="1825">
        <v>13.41</v>
      </c>
      <c r="K1708" s="1834">
        <v>48.78</v>
      </c>
      <c r="L1708" s="1825">
        <v>65.48</v>
      </c>
      <c r="M1708" s="1825">
        <v>36.880000000000003</v>
      </c>
    </row>
    <row r="1709" spans="1:13" s="1293" customFormat="1" x14ac:dyDescent="0.35">
      <c r="A1709" s="1784">
        <v>206541</v>
      </c>
      <c r="C1709" s="1782">
        <v>3.42</v>
      </c>
      <c r="D1709" s="1834">
        <v>0.46</v>
      </c>
      <c r="E1709" s="1825">
        <v>3.99</v>
      </c>
      <c r="F1709" s="1834">
        <v>0.12</v>
      </c>
      <c r="G1709" s="1825">
        <v>3.12</v>
      </c>
      <c r="H1709" s="1825">
        <v>0.52</v>
      </c>
      <c r="I1709" s="1834">
        <v>34.14</v>
      </c>
      <c r="J1709" s="1825">
        <v>25.12</v>
      </c>
      <c r="K1709" s="1834">
        <v>82.85</v>
      </c>
      <c r="L1709" s="1825">
        <v>150.29</v>
      </c>
      <c r="M1709" s="1825">
        <v>37.450000000000003</v>
      </c>
    </row>
    <row r="1710" spans="1:13" s="1293" customFormat="1" x14ac:dyDescent="0.35">
      <c r="A1710" s="1784">
        <v>206542</v>
      </c>
      <c r="C1710" s="1782">
        <v>2.27</v>
      </c>
      <c r="D1710" s="1834">
        <v>0.17</v>
      </c>
      <c r="E1710" s="1825">
        <v>2.16</v>
      </c>
      <c r="F1710" s="1834">
        <v>0.02</v>
      </c>
      <c r="G1710" s="1825">
        <v>0.11</v>
      </c>
      <c r="H1710" s="1825">
        <v>0.12</v>
      </c>
      <c r="I1710" s="1834">
        <v>15.14</v>
      </c>
      <c r="J1710" s="1825">
        <v>0.92</v>
      </c>
      <c r="K1710" s="1834">
        <v>7.25</v>
      </c>
      <c r="L1710" s="1825">
        <v>29.19</v>
      </c>
      <c r="M1710" s="1825">
        <v>7.94</v>
      </c>
    </row>
    <row r="1711" spans="1:13" s="1293" customFormat="1" x14ac:dyDescent="0.35">
      <c r="A1711" s="1784">
        <v>206543</v>
      </c>
      <c r="C1711" s="1782">
        <v>5.41</v>
      </c>
      <c r="D1711" s="1834">
        <v>0.91</v>
      </c>
      <c r="E1711" s="1825">
        <v>6.83</v>
      </c>
      <c r="F1711" s="1834">
        <v>0.02</v>
      </c>
      <c r="G1711" s="1825">
        <v>0.66</v>
      </c>
      <c r="H1711" s="1825">
        <v>0.35</v>
      </c>
      <c r="I1711" s="1834">
        <v>50.37</v>
      </c>
      <c r="J1711" s="1825">
        <v>10.99</v>
      </c>
      <c r="K1711" s="1834">
        <v>16.23</v>
      </c>
      <c r="L1711" s="1825">
        <v>75.459999999999994</v>
      </c>
      <c r="M1711" s="1825">
        <v>35.92</v>
      </c>
    </row>
    <row r="1712" spans="1:13" s="1293" customFormat="1" x14ac:dyDescent="0.35">
      <c r="A1712" s="1835">
        <v>206544</v>
      </c>
      <c r="C1712" s="1785">
        <v>3.8667600000000002</v>
      </c>
      <c r="D1712" s="1785">
        <v>8.3000000000000004E-2</v>
      </c>
      <c r="E1712" s="1836">
        <v>7.09</v>
      </c>
      <c r="F1712" s="1785">
        <v>0.04</v>
      </c>
      <c r="G1712" s="1785">
        <v>2.88</v>
      </c>
      <c r="H1712" s="1785">
        <v>0.91</v>
      </c>
      <c r="I1712" s="1785">
        <v>27.22</v>
      </c>
      <c r="J1712" s="1785">
        <v>3.32</v>
      </c>
      <c r="K1712" s="1785">
        <v>1.92</v>
      </c>
      <c r="L1712" s="1785">
        <v>1.35</v>
      </c>
      <c r="M1712" s="1785">
        <v>45.2</v>
      </c>
    </row>
    <row r="1713" spans="1:13" s="1293" customFormat="1" x14ac:dyDescent="0.35">
      <c r="A1713" s="1835">
        <v>206545</v>
      </c>
      <c r="C1713" s="1785">
        <v>6.6687599999999998</v>
      </c>
      <c r="D1713" s="1785">
        <v>0.26100000000000001</v>
      </c>
      <c r="E1713" s="1836">
        <v>5.91</v>
      </c>
      <c r="F1713" s="1785">
        <v>0.05</v>
      </c>
      <c r="G1713" s="1785">
        <v>2.92</v>
      </c>
      <c r="H1713" s="1785">
        <v>0.43</v>
      </c>
      <c r="I1713" s="1785">
        <v>28.38</v>
      </c>
      <c r="J1713" s="1785">
        <v>11.02</v>
      </c>
      <c r="K1713" s="1785">
        <v>0.87</v>
      </c>
      <c r="L1713" s="1785">
        <v>6.99</v>
      </c>
      <c r="M1713" s="1785">
        <v>40.98</v>
      </c>
    </row>
    <row r="1714" spans="1:13" s="1293" customFormat="1" x14ac:dyDescent="0.35">
      <c r="A1714" s="1835">
        <v>206546</v>
      </c>
      <c r="C1714" s="1785">
        <v>3.9508199999999998</v>
      </c>
      <c r="D1714" s="1785">
        <v>9.2999999999999999E-2</v>
      </c>
      <c r="E1714" s="1836">
        <v>6.81</v>
      </c>
      <c r="F1714" s="1785">
        <v>0.06</v>
      </c>
      <c r="G1714" s="1785">
        <v>4.1900000000000004</v>
      </c>
      <c r="H1714" s="1785">
        <v>1.1000000000000001</v>
      </c>
      <c r="I1714" s="1785">
        <v>25.39</v>
      </c>
      <c r="J1714" s="1785">
        <v>3.89</v>
      </c>
      <c r="K1714" s="1785">
        <v>0.83</v>
      </c>
      <c r="L1714" s="1785">
        <v>8.4499999999999993</v>
      </c>
      <c r="M1714" s="1785">
        <v>30.69</v>
      </c>
    </row>
    <row r="1715" spans="1:13" s="1293" customFormat="1" x14ac:dyDescent="0.35">
      <c r="A1715" s="1835">
        <v>206547</v>
      </c>
      <c r="C1715" s="1785">
        <v>3.5305200000000001</v>
      </c>
      <c r="D1715" s="1785">
        <v>6.6000000000000003E-2</v>
      </c>
      <c r="E1715" s="1836">
        <v>4.3600000000000003</v>
      </c>
      <c r="F1715" s="1785">
        <v>0.03</v>
      </c>
      <c r="G1715" s="1785">
        <v>2.2000000000000002</v>
      </c>
      <c r="H1715" s="1785">
        <v>1.1499999999999999</v>
      </c>
      <c r="I1715" s="1785">
        <v>49.69</v>
      </c>
      <c r="J1715" s="1785">
        <v>1.49</v>
      </c>
      <c r="K1715" s="1785">
        <v>3.24</v>
      </c>
      <c r="L1715" s="1785">
        <v>10.64</v>
      </c>
      <c r="M1715" s="1785">
        <v>36.090000000000003</v>
      </c>
    </row>
    <row r="1716" spans="1:13" s="1293" customFormat="1" x14ac:dyDescent="0.35">
      <c r="A1716" s="1835">
        <v>206548</v>
      </c>
      <c r="C1716" s="1785">
        <v>5.3798399999999997</v>
      </c>
      <c r="D1716" s="1785">
        <v>8.8999999999999996E-2</v>
      </c>
      <c r="E1716" s="1836">
        <v>4.83</v>
      </c>
      <c r="F1716" s="1785">
        <v>0.04</v>
      </c>
      <c r="G1716" s="1785">
        <v>2.29</v>
      </c>
      <c r="H1716" s="1785">
        <v>1.33</v>
      </c>
      <c r="I1716" s="1785">
        <v>49.54</v>
      </c>
      <c r="J1716" s="1785">
        <v>37.799999999999997</v>
      </c>
      <c r="K1716" s="1785">
        <v>5.42</v>
      </c>
      <c r="L1716" s="1785">
        <v>23.42</v>
      </c>
      <c r="M1716" s="1785">
        <v>29.76</v>
      </c>
    </row>
    <row r="1717" spans="1:13" s="1293" customFormat="1" x14ac:dyDescent="0.35">
      <c r="A1717" s="1835">
        <v>206549</v>
      </c>
      <c r="C1717" s="1785">
        <v>5.1837</v>
      </c>
      <c r="D1717" s="1785">
        <v>0.11700000000000001</v>
      </c>
      <c r="E1717" s="1836">
        <v>4.84</v>
      </c>
      <c r="F1717" s="1785">
        <v>0.04</v>
      </c>
      <c r="G1717" s="1785">
        <v>3.02</v>
      </c>
      <c r="H1717" s="1785">
        <v>1.03</v>
      </c>
      <c r="I1717" s="1785">
        <v>52.09</v>
      </c>
      <c r="J1717" s="1785">
        <v>3.85</v>
      </c>
      <c r="K1717" s="1785">
        <v>6.51</v>
      </c>
      <c r="L1717" s="1785">
        <v>56.42</v>
      </c>
      <c r="M1717" s="1785">
        <v>31.28</v>
      </c>
    </row>
    <row r="1718" spans="1:13" s="1293" customFormat="1" x14ac:dyDescent="0.35">
      <c r="A1718" s="1835">
        <v>206550</v>
      </c>
      <c r="C1718" s="1785">
        <v>5.1556800000000003</v>
      </c>
      <c r="D1718" s="1785">
        <v>0.14499999999999999</v>
      </c>
      <c r="E1718" s="1836">
        <v>7.06</v>
      </c>
      <c r="F1718" s="1785">
        <v>0.04</v>
      </c>
      <c r="G1718" s="1785">
        <v>2.3199999999999998</v>
      </c>
      <c r="H1718" s="1785">
        <v>0.85</v>
      </c>
      <c r="I1718" s="1785">
        <v>57.92</v>
      </c>
      <c r="J1718" s="1785">
        <v>4.12</v>
      </c>
      <c r="K1718" s="1785">
        <v>6.79</v>
      </c>
      <c r="L1718" s="1785">
        <v>113.79</v>
      </c>
      <c r="M1718" s="1785">
        <v>70.73</v>
      </c>
    </row>
    <row r="1719" spans="1:13" s="1293" customFormat="1" x14ac:dyDescent="0.35">
      <c r="A1719" s="1835">
        <v>206551</v>
      </c>
      <c r="C1719" s="1785">
        <v>4.6793399999999998</v>
      </c>
      <c r="D1719" s="1785">
        <v>0.20699999999999999</v>
      </c>
      <c r="E1719" s="1836">
        <v>8.66</v>
      </c>
      <c r="F1719" s="1785">
        <v>0.03</v>
      </c>
      <c r="G1719" s="1785">
        <v>3.11</v>
      </c>
      <c r="H1719" s="1785">
        <v>0.96</v>
      </c>
      <c r="I1719" s="1785">
        <v>40.72</v>
      </c>
      <c r="J1719" s="1785">
        <v>5.48</v>
      </c>
      <c r="K1719" s="1785">
        <v>25.36</v>
      </c>
      <c r="L1719" s="1785">
        <v>111.55</v>
      </c>
      <c r="M1719" s="1785">
        <v>47.34</v>
      </c>
    </row>
    <row r="1720" spans="1:13" s="1293" customFormat="1" x14ac:dyDescent="0.35">
      <c r="A1720" s="1835">
        <v>206552</v>
      </c>
      <c r="C1720" s="1785">
        <v>4.2590400000000006</v>
      </c>
      <c r="D1720" s="1785">
        <v>0.23400000000000001</v>
      </c>
      <c r="E1720" s="1836">
        <v>10.8</v>
      </c>
      <c r="F1720" s="1785">
        <v>0.03</v>
      </c>
      <c r="G1720" s="1785">
        <v>2.56</v>
      </c>
      <c r="H1720" s="1785">
        <v>1.36</v>
      </c>
      <c r="I1720" s="1785">
        <v>94.41</v>
      </c>
      <c r="J1720" s="1785">
        <v>7.84</v>
      </c>
      <c r="K1720" s="1785">
        <v>67.39</v>
      </c>
      <c r="L1720" s="1785">
        <v>97.84</v>
      </c>
      <c r="M1720" s="1785">
        <v>34.46</v>
      </c>
    </row>
    <row r="1721" spans="1:13" s="1293" customFormat="1" x14ac:dyDescent="0.35">
      <c r="A1721" s="1835">
        <v>206553</v>
      </c>
      <c r="C1721" s="1785">
        <v>4.31508</v>
      </c>
      <c r="D1721" s="1785">
        <v>0.22600000000000001</v>
      </c>
      <c r="E1721" s="1836">
        <v>5.14</v>
      </c>
      <c r="F1721" s="1785">
        <v>0.04</v>
      </c>
      <c r="G1721" s="1785">
        <v>3.65</v>
      </c>
      <c r="H1721" s="1785">
        <v>1.7</v>
      </c>
      <c r="I1721" s="1785">
        <v>35.880000000000003</v>
      </c>
      <c r="J1721" s="1785">
        <v>4.5999999999999996</v>
      </c>
      <c r="K1721" s="1785">
        <v>38.33</v>
      </c>
      <c r="L1721" s="1785">
        <v>84.52</v>
      </c>
      <c r="M1721" s="1785">
        <v>96.82</v>
      </c>
    </row>
    <row r="1722" spans="1:13" x14ac:dyDescent="0.35">
      <c r="A1722" s="1822">
        <v>206554</v>
      </c>
      <c r="B1722" s="1823"/>
      <c r="C1722" s="1824">
        <v>2.1295200000000003</v>
      </c>
      <c r="D1722" s="1847">
        <v>0.17</v>
      </c>
      <c r="E1722" s="1847">
        <v>1.47</v>
      </c>
      <c r="F1722" s="1847">
        <v>0.12</v>
      </c>
      <c r="G1722" s="1847">
        <v>4.13</v>
      </c>
      <c r="H1722" s="1847">
        <v>0.36</v>
      </c>
      <c r="I1722" s="1847">
        <v>20.170000000000002</v>
      </c>
      <c r="J1722" s="1847">
        <v>9.36</v>
      </c>
      <c r="K1722" s="1847">
        <v>1.9</v>
      </c>
      <c r="L1722" s="1847">
        <v>25.2</v>
      </c>
      <c r="M1722" s="1847">
        <v>222.6</v>
      </c>
    </row>
    <row r="1723" spans="1:13" x14ac:dyDescent="0.35">
      <c r="A1723" s="1822">
        <v>206555</v>
      </c>
      <c r="B1723" s="1823"/>
      <c r="C1723" s="1824">
        <v>2.1014999999999997</v>
      </c>
      <c r="D1723" s="1847">
        <v>0.19</v>
      </c>
      <c r="E1723" s="1847">
        <v>1.69</v>
      </c>
      <c r="F1723" s="1847">
        <v>0.12</v>
      </c>
      <c r="G1723" s="1847">
        <v>3.84</v>
      </c>
      <c r="H1723" s="1847">
        <v>0.39</v>
      </c>
      <c r="I1723" s="1847">
        <v>13.8</v>
      </c>
      <c r="J1723" s="1847">
        <v>8.1300000000000008</v>
      </c>
      <c r="K1723" s="1847">
        <v>1.94</v>
      </c>
      <c r="L1723" s="1847">
        <v>65.86</v>
      </c>
      <c r="M1723" s="1847">
        <v>264.31</v>
      </c>
    </row>
    <row r="1724" spans="1:13" x14ac:dyDescent="0.35">
      <c r="A1724" s="1822">
        <v>206556</v>
      </c>
      <c r="B1724" s="1823"/>
      <c r="C1724" s="1824">
        <v>1.9614000000000003</v>
      </c>
      <c r="D1724" s="1847">
        <v>0.13</v>
      </c>
      <c r="E1724" s="1847">
        <v>1.51</v>
      </c>
      <c r="F1724" s="1847">
        <v>0.1</v>
      </c>
      <c r="G1724" s="1847">
        <v>4.41</v>
      </c>
      <c r="H1724" s="1847">
        <v>0.26</v>
      </c>
      <c r="I1724" s="1847">
        <v>21.66</v>
      </c>
      <c r="J1724" s="1847">
        <v>12.42</v>
      </c>
      <c r="K1724" s="1847">
        <v>3.91</v>
      </c>
      <c r="L1724" s="1847">
        <v>146.54</v>
      </c>
      <c r="M1724" s="1847">
        <v>171.53</v>
      </c>
    </row>
    <row r="1725" spans="1:13" x14ac:dyDescent="0.35">
      <c r="A1725" s="1822">
        <v>206557</v>
      </c>
      <c r="B1725" s="1823"/>
      <c r="C1725" s="1824">
        <v>2.1295200000000003</v>
      </c>
      <c r="D1725" s="1847">
        <v>0.12</v>
      </c>
      <c r="E1725" s="1847">
        <v>1.1299999999999999</v>
      </c>
      <c r="F1725" s="1847">
        <v>0.11</v>
      </c>
      <c r="G1725" s="1847">
        <v>4.7</v>
      </c>
      <c r="H1725" s="1847">
        <v>0.33</v>
      </c>
      <c r="I1725" s="1847">
        <v>17.7</v>
      </c>
      <c r="J1725" s="1847">
        <v>7.51</v>
      </c>
      <c r="K1725" s="1847">
        <v>2.79</v>
      </c>
      <c r="L1725" s="1847">
        <v>81.72</v>
      </c>
      <c r="M1725" s="1847">
        <v>235.41</v>
      </c>
    </row>
    <row r="1726" spans="1:13" x14ac:dyDescent="0.35">
      <c r="A1726" s="1822">
        <v>206558</v>
      </c>
      <c r="B1726" s="1823"/>
      <c r="C1726" s="1824">
        <v>2.2135799999999999</v>
      </c>
      <c r="D1726" s="1847">
        <v>0.12</v>
      </c>
      <c r="E1726" s="1847">
        <v>0.67</v>
      </c>
      <c r="F1726" s="1847">
        <v>0.15</v>
      </c>
      <c r="G1726" s="1847">
        <v>4.99</v>
      </c>
      <c r="H1726" s="1847">
        <v>0.39</v>
      </c>
      <c r="I1726" s="1847">
        <v>22.64</v>
      </c>
      <c r="J1726" s="1847">
        <v>6.84</v>
      </c>
      <c r="K1726" s="1847">
        <v>19.309999999999999</v>
      </c>
      <c r="L1726" s="1847">
        <v>124.41</v>
      </c>
      <c r="M1726" s="1847">
        <v>211.14</v>
      </c>
    </row>
    <row r="1727" spans="1:13" x14ac:dyDescent="0.35">
      <c r="A1727" s="1822">
        <v>206559</v>
      </c>
      <c r="B1727" s="1823"/>
      <c r="C1727" s="1824">
        <v>2.0734800000000004</v>
      </c>
      <c r="D1727" s="1847">
        <v>0.21</v>
      </c>
      <c r="E1727" s="1847">
        <v>1.64</v>
      </c>
      <c r="F1727" s="1847">
        <v>0.23</v>
      </c>
      <c r="G1727" s="1847">
        <v>3.91</v>
      </c>
      <c r="H1727" s="1847">
        <v>0.26</v>
      </c>
      <c r="I1727" s="1847">
        <v>24.11</v>
      </c>
      <c r="J1727" s="1847">
        <v>9.84</v>
      </c>
      <c r="K1727" s="1847">
        <v>31.98</v>
      </c>
      <c r="L1727" s="1847">
        <v>220.7</v>
      </c>
      <c r="M1727" s="1847">
        <v>499.97</v>
      </c>
    </row>
    <row r="1728" spans="1:13" x14ac:dyDescent="0.35">
      <c r="A1728" s="1822">
        <v>206560</v>
      </c>
      <c r="B1728" s="1823"/>
      <c r="C1728" s="1824">
        <v>2.5217999999999998</v>
      </c>
      <c r="D1728" s="1847">
        <v>0.17</v>
      </c>
      <c r="E1728" s="1847">
        <v>1.41</v>
      </c>
      <c r="F1728" s="1847">
        <v>0.09</v>
      </c>
      <c r="G1728" s="1847">
        <v>4.82</v>
      </c>
      <c r="H1728" s="1847">
        <v>0.22</v>
      </c>
      <c r="I1728" s="1847">
        <v>12.65</v>
      </c>
      <c r="J1728" s="1847">
        <v>3.71</v>
      </c>
      <c r="K1728" s="1847">
        <v>54.76</v>
      </c>
      <c r="L1728" s="1847">
        <v>166.69</v>
      </c>
      <c r="M1728" s="1847">
        <v>88.79</v>
      </c>
    </row>
    <row r="1729" spans="1:13" x14ac:dyDescent="0.35">
      <c r="A1729" s="1822">
        <v>206561</v>
      </c>
      <c r="B1729" s="1823"/>
      <c r="C1729" s="1824">
        <v>2.2696200000000002</v>
      </c>
      <c r="D1729" s="1847">
        <v>0.13</v>
      </c>
      <c r="E1729" s="1847">
        <v>1.1000000000000001</v>
      </c>
      <c r="F1729" s="1847">
        <v>0.15</v>
      </c>
      <c r="G1729" s="1847">
        <v>4.59</v>
      </c>
      <c r="H1729" s="1847">
        <v>0.34</v>
      </c>
      <c r="I1729" s="1847">
        <v>20.81</v>
      </c>
      <c r="J1729" s="1847">
        <v>7.01</v>
      </c>
      <c r="K1729" s="1847">
        <v>24.14</v>
      </c>
      <c r="L1729" s="1847">
        <v>199.73</v>
      </c>
      <c r="M1729" s="1847">
        <v>202.88</v>
      </c>
    </row>
    <row r="1730" spans="1:13" x14ac:dyDescent="0.35">
      <c r="A1730" s="1822">
        <v>206562</v>
      </c>
      <c r="B1730" s="1823"/>
      <c r="C1730" s="1824">
        <v>2.3536800000000002</v>
      </c>
      <c r="D1730" s="1847">
        <v>0.16</v>
      </c>
      <c r="E1730" s="1847">
        <v>1.31</v>
      </c>
      <c r="F1730" s="1847">
        <v>0.12</v>
      </c>
      <c r="G1730" s="1847">
        <v>3.76</v>
      </c>
      <c r="H1730" s="1847">
        <v>0.4</v>
      </c>
      <c r="I1730" s="1847">
        <v>16.170000000000002</v>
      </c>
      <c r="J1730" s="1847">
        <v>5.17</v>
      </c>
      <c r="K1730" s="1847">
        <v>27.12</v>
      </c>
      <c r="L1730" s="1847">
        <v>166.35</v>
      </c>
      <c r="M1730" s="1847">
        <v>217.7</v>
      </c>
    </row>
    <row r="1731" spans="1:13" x14ac:dyDescent="0.35">
      <c r="A1731" s="1822">
        <v>206563</v>
      </c>
      <c r="B1731" s="1823"/>
      <c r="C1731" s="1824">
        <v>1.7372400000000001</v>
      </c>
      <c r="D1731" s="1847">
        <v>0.21</v>
      </c>
      <c r="E1731" s="1847">
        <v>2.1</v>
      </c>
      <c r="F1731" s="1847">
        <v>0.11</v>
      </c>
      <c r="G1731" s="1847">
        <v>4.13</v>
      </c>
      <c r="H1731" s="1847">
        <v>0.26</v>
      </c>
      <c r="I1731" s="1847">
        <v>25.78</v>
      </c>
      <c r="J1731" s="1847">
        <v>4.13</v>
      </c>
      <c r="K1731" s="1847">
        <v>36.26</v>
      </c>
      <c r="L1731" s="1847">
        <v>170.36</v>
      </c>
      <c r="M1731" s="1847">
        <v>185.97</v>
      </c>
    </row>
    <row r="1732" spans="1:13" x14ac:dyDescent="0.35">
      <c r="A1732" s="1822">
        <v>206564</v>
      </c>
      <c r="B1732" s="1823"/>
      <c r="C1732" s="1824">
        <v>1.8213000000000001</v>
      </c>
      <c r="D1732" s="1847">
        <v>0.12</v>
      </c>
      <c r="E1732" s="1847">
        <v>0.68</v>
      </c>
      <c r="F1732" s="1847">
        <v>0.17</v>
      </c>
      <c r="G1732" s="1847">
        <v>6.23</v>
      </c>
      <c r="H1732" s="1847">
        <v>0.35</v>
      </c>
      <c r="I1732" s="1847">
        <v>10.61</v>
      </c>
      <c r="J1732" s="1847">
        <v>9.36</v>
      </c>
      <c r="K1732" s="1847">
        <v>17.71</v>
      </c>
      <c r="L1732" s="1847">
        <v>172</v>
      </c>
      <c r="M1732" s="1847">
        <v>323.89</v>
      </c>
    </row>
    <row r="1733" spans="1:13" x14ac:dyDescent="0.35">
      <c r="A1733" s="1822">
        <v>206565</v>
      </c>
      <c r="B1733" s="1823"/>
      <c r="C1733" s="1824">
        <v>2.15754</v>
      </c>
      <c r="D1733" s="1847">
        <v>0.13</v>
      </c>
      <c r="E1733" s="1847">
        <v>0.85</v>
      </c>
      <c r="F1733" s="1847">
        <v>0.1</v>
      </c>
      <c r="G1733" s="1847">
        <v>5.05</v>
      </c>
      <c r="H1733" s="1847">
        <v>0.33</v>
      </c>
      <c r="I1733" s="1847">
        <v>26.72</v>
      </c>
      <c r="J1733" s="1847">
        <v>3.64</v>
      </c>
      <c r="K1733" s="1847">
        <v>35.71</v>
      </c>
      <c r="L1733" s="1847">
        <v>205.34</v>
      </c>
      <c r="M1733" s="1847">
        <v>159.69</v>
      </c>
    </row>
    <row r="1734" spans="1:13" x14ac:dyDescent="0.35">
      <c r="A1734" s="1822">
        <v>206566</v>
      </c>
      <c r="B1734" s="1823"/>
      <c r="C1734" s="1824">
        <v>1.4290200000000002</v>
      </c>
      <c r="D1734" s="1847">
        <v>0.12</v>
      </c>
      <c r="E1734" s="1847">
        <v>0.85</v>
      </c>
      <c r="F1734" s="1847">
        <v>0.09</v>
      </c>
      <c r="G1734" s="1847">
        <v>1.79</v>
      </c>
      <c r="H1734" s="1847">
        <v>0.15</v>
      </c>
      <c r="I1734" s="1847">
        <v>19.399999999999999</v>
      </c>
      <c r="J1734" s="1847">
        <v>184.52</v>
      </c>
      <c r="K1734" s="1847">
        <v>54.92</v>
      </c>
      <c r="L1734" s="1847">
        <v>168.15</v>
      </c>
      <c r="M1734" s="1847">
        <v>23.14</v>
      </c>
    </row>
    <row r="1735" spans="1:13" x14ac:dyDescent="0.35">
      <c r="A1735" s="1822">
        <v>206567</v>
      </c>
      <c r="B1735" s="1823"/>
      <c r="C1735" s="1824">
        <v>1.3449600000000002</v>
      </c>
      <c r="D1735" s="1847">
        <v>0.12</v>
      </c>
      <c r="E1735" s="1847">
        <v>0.82</v>
      </c>
      <c r="F1735" s="1847">
        <v>0.05</v>
      </c>
      <c r="G1735" s="1847">
        <v>1.98</v>
      </c>
      <c r="H1735" s="1847">
        <v>0.45</v>
      </c>
      <c r="I1735" s="1847">
        <v>16.36</v>
      </c>
      <c r="J1735" s="1847">
        <v>180.77</v>
      </c>
      <c r="K1735" s="1847">
        <v>62.02</v>
      </c>
      <c r="L1735" s="1847">
        <v>249.89</v>
      </c>
      <c r="M1735" s="1847">
        <v>22.17</v>
      </c>
    </row>
    <row r="1736" spans="1:13" x14ac:dyDescent="0.35">
      <c r="A1736" s="1822">
        <v>206568</v>
      </c>
      <c r="B1736" s="1823"/>
      <c r="C1736" s="1824">
        <v>1.2889200000000001</v>
      </c>
      <c r="D1736" s="1847">
        <v>0.08</v>
      </c>
      <c r="E1736" s="1847">
        <v>0.76</v>
      </c>
      <c r="F1736" s="1847">
        <v>0.03</v>
      </c>
      <c r="G1736" s="1847">
        <v>1.81</v>
      </c>
      <c r="H1736" s="1847">
        <v>0.19</v>
      </c>
      <c r="I1736" s="1847">
        <v>18.350000000000001</v>
      </c>
      <c r="J1736" s="1847">
        <v>36.14</v>
      </c>
      <c r="K1736" s="1847">
        <v>68.17</v>
      </c>
      <c r="L1736" s="1847">
        <v>247.41</v>
      </c>
      <c r="M1736" s="1847">
        <v>19.62</v>
      </c>
    </row>
    <row r="1737" spans="1:13" x14ac:dyDescent="0.35">
      <c r="A1737" s="1835">
        <v>206569</v>
      </c>
      <c r="C1737" s="1848">
        <v>2.9140800000000002</v>
      </c>
      <c r="D1737" s="1838">
        <v>0.2</v>
      </c>
      <c r="E1737" s="1842">
        <v>4.2699999999999996</v>
      </c>
      <c r="F1737" s="1839">
        <v>0.02</v>
      </c>
      <c r="G1737" s="1845">
        <v>1.23</v>
      </c>
      <c r="H1737" s="1841">
        <v>0.4</v>
      </c>
      <c r="I1737" s="1837">
        <v>15.75</v>
      </c>
      <c r="J1737" s="1844">
        <v>9.67</v>
      </c>
      <c r="K1737" s="1840">
        <v>585.27</v>
      </c>
      <c r="L1737" s="1843">
        <v>103.73</v>
      </c>
      <c r="M1737" s="1846">
        <v>136.77000000000001</v>
      </c>
    </row>
    <row r="1738" spans="1:13" x14ac:dyDescent="0.35">
      <c r="A1738" s="1835">
        <v>206570</v>
      </c>
      <c r="C1738" s="1848">
        <v>1.1768400000000001</v>
      </c>
      <c r="D1738" s="1838">
        <v>0.08</v>
      </c>
      <c r="E1738" s="1842">
        <v>0.82</v>
      </c>
      <c r="F1738" s="1839">
        <v>0.01</v>
      </c>
      <c r="G1738" s="1845">
        <v>1.92</v>
      </c>
      <c r="H1738" s="1841">
        <v>0.24</v>
      </c>
      <c r="I1738" s="1837">
        <v>7.69</v>
      </c>
      <c r="J1738" s="1844">
        <v>3.33</v>
      </c>
      <c r="K1738" s="1840">
        <v>40.270000000000003</v>
      </c>
      <c r="L1738" s="1843">
        <v>145.57</v>
      </c>
      <c r="M1738" s="1846">
        <v>24.26</v>
      </c>
    </row>
    <row r="1739" spans="1:13" x14ac:dyDescent="0.35">
      <c r="A1739" s="1835">
        <v>206571</v>
      </c>
      <c r="C1739" s="1848">
        <v>5.4358799999999992</v>
      </c>
      <c r="D1739" s="1838">
        <v>0.7</v>
      </c>
      <c r="E1739" s="1842">
        <v>4.5</v>
      </c>
      <c r="F1739" s="1839">
        <v>0.12</v>
      </c>
      <c r="G1739" s="1845">
        <v>2.3199999999999998</v>
      </c>
      <c r="H1739" s="1841">
        <v>1.1499999999999999</v>
      </c>
      <c r="I1739" s="1837">
        <v>30.16</v>
      </c>
      <c r="J1739" s="1844">
        <v>21.64</v>
      </c>
      <c r="K1739" s="1840">
        <v>144.97999999999999</v>
      </c>
      <c r="L1739" s="1843">
        <v>85.7</v>
      </c>
      <c r="M1739" s="1846">
        <v>45.06</v>
      </c>
    </row>
    <row r="1740" spans="1:13" x14ac:dyDescent="0.35">
      <c r="A1740" s="1835">
        <v>206572</v>
      </c>
      <c r="C1740" s="1848">
        <v>4.8474599999999999</v>
      </c>
      <c r="D1740" s="1838">
        <v>0.99</v>
      </c>
      <c r="E1740" s="1842">
        <v>5.63</v>
      </c>
      <c r="F1740" s="1839">
        <v>0.21</v>
      </c>
      <c r="G1740" s="1845">
        <v>1.52</v>
      </c>
      <c r="H1740" s="1841">
        <v>1.1399999999999999</v>
      </c>
      <c r="I1740" s="1837">
        <v>32.950000000000003</v>
      </c>
      <c r="J1740" s="1844">
        <v>16.77</v>
      </c>
      <c r="K1740" s="1840">
        <v>105.25</v>
      </c>
      <c r="L1740" s="1843">
        <v>95.55</v>
      </c>
      <c r="M1740" s="1846">
        <v>68.349999999999994</v>
      </c>
    </row>
    <row r="1741" spans="1:13" x14ac:dyDescent="0.35">
      <c r="A1741" s="1835">
        <v>206573</v>
      </c>
      <c r="C1741" s="1848">
        <v>5.0155799999999999</v>
      </c>
      <c r="D1741" s="1838">
        <v>0.62</v>
      </c>
      <c r="E1741" s="1842">
        <v>5.8</v>
      </c>
      <c r="F1741" s="1839">
        <v>0.06</v>
      </c>
      <c r="G1741" s="1845">
        <v>2.92</v>
      </c>
      <c r="H1741" s="1841">
        <v>0.53</v>
      </c>
      <c r="I1741" s="1837">
        <v>24.15</v>
      </c>
      <c r="J1741" s="1844">
        <v>16.010000000000002</v>
      </c>
      <c r="K1741" s="1840">
        <v>45.52</v>
      </c>
      <c r="L1741" s="1843">
        <v>86.08</v>
      </c>
      <c r="M1741" s="1846">
        <v>47.89</v>
      </c>
    </row>
    <row r="1742" spans="1:13" x14ac:dyDescent="0.35">
      <c r="A1742" s="1835">
        <v>206574</v>
      </c>
      <c r="C1742" s="1848">
        <v>4.3711200000000003</v>
      </c>
      <c r="D1742" s="1838">
        <v>0.47</v>
      </c>
      <c r="E1742" s="1842">
        <v>5.0599999999999996</v>
      </c>
      <c r="F1742" s="1839">
        <v>0.05</v>
      </c>
      <c r="G1742" s="1845">
        <v>2.4300000000000002</v>
      </c>
      <c r="H1742" s="1841">
        <v>0.51</v>
      </c>
      <c r="I1742" s="1837">
        <v>23.47</v>
      </c>
      <c r="J1742" s="1844">
        <v>15.21</v>
      </c>
      <c r="K1742" s="1840">
        <v>45.15</v>
      </c>
      <c r="L1742" s="1843">
        <v>93.01</v>
      </c>
      <c r="M1742" s="1846">
        <v>55.95</v>
      </c>
    </row>
    <row r="1743" spans="1:13" x14ac:dyDescent="0.35">
      <c r="A1743" s="1835">
        <v>206575</v>
      </c>
      <c r="C1743" s="1848">
        <v>3.75</v>
      </c>
      <c r="D1743" s="1848">
        <v>0.3</v>
      </c>
      <c r="E1743" s="1848">
        <v>3.93</v>
      </c>
      <c r="F1743" s="1848">
        <v>7.0000000000000007E-2</v>
      </c>
      <c r="G1743" s="1848">
        <v>2.87</v>
      </c>
      <c r="H1743" s="1848">
        <v>1.1200000000000001</v>
      </c>
      <c r="I1743" s="1848">
        <v>31.25</v>
      </c>
      <c r="J1743" s="1848">
        <v>7.44</v>
      </c>
      <c r="K1743" s="1848">
        <v>26.16</v>
      </c>
      <c r="L1743" s="1848">
        <v>103.34</v>
      </c>
      <c r="M1743" s="1848">
        <v>108.16</v>
      </c>
    </row>
    <row r="1744" spans="1:13" x14ac:dyDescent="0.35">
      <c r="A1744" s="1835">
        <v>206576</v>
      </c>
      <c r="B1744" s="1293"/>
      <c r="C1744" s="1785">
        <v>2.7739799999999999</v>
      </c>
      <c r="D1744" s="906">
        <v>0.15</v>
      </c>
      <c r="E1744" s="906">
        <v>2.14</v>
      </c>
      <c r="F1744" s="906">
        <v>0.02</v>
      </c>
      <c r="G1744" s="906">
        <v>1.3</v>
      </c>
      <c r="H1744" s="906">
        <v>0.43</v>
      </c>
      <c r="I1744" s="906">
        <v>10.25</v>
      </c>
      <c r="J1744" s="906">
        <v>4.1900000000000004</v>
      </c>
      <c r="K1744" s="906">
        <v>2028.18</v>
      </c>
      <c r="L1744" s="906">
        <v>95.77</v>
      </c>
      <c r="M1744" s="906">
        <v>161.55000000000001</v>
      </c>
    </row>
    <row r="1745" spans="1:13" x14ac:dyDescent="0.35">
      <c r="A1745" s="1835">
        <v>206577</v>
      </c>
      <c r="B1745" s="1293"/>
      <c r="C1745" s="1785">
        <v>3.19428</v>
      </c>
      <c r="D1745" s="906">
        <v>0.19</v>
      </c>
      <c r="E1745" s="906">
        <v>3.82</v>
      </c>
      <c r="F1745" s="906">
        <v>0.03</v>
      </c>
      <c r="G1745" s="906">
        <v>0.72</v>
      </c>
      <c r="H1745" s="906">
        <v>0.36</v>
      </c>
      <c r="I1745" s="906">
        <v>18.920000000000002</v>
      </c>
      <c r="J1745" s="906">
        <v>10.7</v>
      </c>
      <c r="K1745" s="906">
        <v>710.78</v>
      </c>
      <c r="L1745" s="906">
        <v>131.47999999999999</v>
      </c>
      <c r="M1745" s="906">
        <v>150.82</v>
      </c>
    </row>
    <row r="1746" spans="1:13" x14ac:dyDescent="0.35">
      <c r="A1746" s="1835">
        <v>206578</v>
      </c>
      <c r="B1746" s="1293"/>
      <c r="C1746" s="1785">
        <v>1.87734</v>
      </c>
      <c r="D1746" s="906">
        <v>0.08</v>
      </c>
      <c r="E1746" s="906">
        <v>0.82</v>
      </c>
      <c r="F1746" s="906">
        <v>0.15</v>
      </c>
      <c r="G1746" s="906">
        <v>4.7300000000000004</v>
      </c>
      <c r="H1746" s="906">
        <v>0.43</v>
      </c>
      <c r="I1746" s="906">
        <v>10.11</v>
      </c>
      <c r="J1746" s="906">
        <v>7.33</v>
      </c>
      <c r="K1746" s="906">
        <v>19.010000000000002</v>
      </c>
      <c r="L1746" s="906">
        <v>107.13</v>
      </c>
      <c r="M1746" s="906">
        <v>68.16</v>
      </c>
    </row>
    <row r="1747" spans="1:13" x14ac:dyDescent="0.35">
      <c r="A1747" s="1835">
        <v>206579</v>
      </c>
      <c r="B1747" s="1293"/>
      <c r="C1747" s="1785">
        <v>2.2416</v>
      </c>
      <c r="D1747" s="906">
        <v>0.11</v>
      </c>
      <c r="E1747" s="906">
        <v>0.65</v>
      </c>
      <c r="F1747" s="906">
        <v>0.1</v>
      </c>
      <c r="G1747" s="906">
        <v>4.97</v>
      </c>
      <c r="H1747" s="906">
        <v>0.31</v>
      </c>
      <c r="I1747" s="906">
        <v>12.45</v>
      </c>
      <c r="J1747" s="906">
        <v>7.78</v>
      </c>
      <c r="K1747" s="906">
        <v>18.170000000000002</v>
      </c>
      <c r="L1747" s="906">
        <v>89.88</v>
      </c>
      <c r="M1747" s="906">
        <v>61.65</v>
      </c>
    </row>
    <row r="1748" spans="1:13" x14ac:dyDescent="0.35">
      <c r="A1748" s="1835">
        <v>206580</v>
      </c>
      <c r="B1748" s="1293"/>
      <c r="C1748" s="1785">
        <v>1.6811999999999998</v>
      </c>
      <c r="D1748" s="1863">
        <v>0.1</v>
      </c>
      <c r="E1748" s="1863">
        <v>0.88</v>
      </c>
      <c r="F1748" s="1863">
        <v>0.02</v>
      </c>
      <c r="G1748" s="1863">
        <v>1.6</v>
      </c>
      <c r="H1748" s="1863">
        <v>0.31</v>
      </c>
      <c r="I1748" s="1863">
        <v>9.74</v>
      </c>
      <c r="J1748" s="1863">
        <v>7.52</v>
      </c>
      <c r="K1748" s="1863">
        <v>81.91</v>
      </c>
      <c r="L1748" s="1863">
        <v>114.36</v>
      </c>
      <c r="M1748" s="1863">
        <v>20.190000000000001</v>
      </c>
    </row>
    <row r="1749" spans="1:13" x14ac:dyDescent="0.35">
      <c r="A1749" s="1835">
        <v>206581</v>
      </c>
      <c r="B1749" s="1293"/>
      <c r="C1749" s="1785">
        <v>2.1014999999999997</v>
      </c>
      <c r="D1749" s="1863">
        <v>0.14000000000000001</v>
      </c>
      <c r="E1749" s="1863">
        <v>1.05</v>
      </c>
      <c r="F1749" s="1863">
        <v>0.01</v>
      </c>
      <c r="G1749" s="1863">
        <v>1.75</v>
      </c>
      <c r="H1749" s="1863">
        <v>0.48</v>
      </c>
      <c r="I1749" s="1863">
        <v>16.27</v>
      </c>
      <c r="J1749" s="1863">
        <v>5.48</v>
      </c>
      <c r="K1749" s="1863">
        <v>178.27</v>
      </c>
      <c r="L1749" s="1863">
        <v>100.25</v>
      </c>
      <c r="M1749" s="1863">
        <v>34.630000000000003</v>
      </c>
    </row>
    <row r="1750" spans="1:13" x14ac:dyDescent="0.35">
      <c r="A1750" s="1835">
        <v>206582</v>
      </c>
      <c r="B1750" s="1293"/>
      <c r="C1750" s="1785">
        <v>3.6986400000000001</v>
      </c>
      <c r="D1750" s="1863">
        <v>0.3</v>
      </c>
      <c r="E1750" s="1863">
        <v>3.26</v>
      </c>
      <c r="F1750" s="1863">
        <v>0.06</v>
      </c>
      <c r="G1750" s="1863">
        <v>4.0199999999999996</v>
      </c>
      <c r="H1750" s="1863">
        <v>1.79</v>
      </c>
      <c r="I1750" s="1863">
        <v>22.58</v>
      </c>
      <c r="J1750" s="1863">
        <v>10.54</v>
      </c>
      <c r="K1750" s="1863">
        <v>396.19</v>
      </c>
      <c r="L1750" s="1863">
        <v>236.15</v>
      </c>
      <c r="M1750" s="1863">
        <v>73.11</v>
      </c>
    </row>
    <row r="1751" spans="1:13" x14ac:dyDescent="0.35">
      <c r="A1751" s="1835">
        <v>206583</v>
      </c>
      <c r="B1751" s="1293"/>
      <c r="C1751" s="1785">
        <v>2.5217999999999998</v>
      </c>
      <c r="D1751" s="1863">
        <v>0.14000000000000001</v>
      </c>
      <c r="E1751" s="1863">
        <v>0.57999999999999996</v>
      </c>
      <c r="F1751" s="1863">
        <v>0.05</v>
      </c>
      <c r="G1751" s="1863">
        <v>4.6500000000000004</v>
      </c>
      <c r="H1751" s="1863">
        <v>0.3</v>
      </c>
      <c r="I1751" s="1863">
        <v>51.26</v>
      </c>
      <c r="J1751" s="1863">
        <v>3.83</v>
      </c>
      <c r="K1751" s="1863">
        <v>53.85</v>
      </c>
      <c r="L1751" s="1863">
        <v>190.54</v>
      </c>
      <c r="M1751" s="1863">
        <v>74.53</v>
      </c>
    </row>
    <row r="1752" spans="1:13" x14ac:dyDescent="0.35">
      <c r="A1752" s="1864">
        <v>206584</v>
      </c>
      <c r="B1752" s="1161"/>
      <c r="C1752" s="1865">
        <v>4.1189400000000003</v>
      </c>
      <c r="D1752" s="1061">
        <v>0.59</v>
      </c>
      <c r="E1752" s="1061">
        <v>6.11</v>
      </c>
      <c r="F1752" s="1061">
        <v>0.08</v>
      </c>
      <c r="G1752" s="1061">
        <v>2.34</v>
      </c>
      <c r="H1752" s="1061">
        <v>0.56000000000000005</v>
      </c>
      <c r="I1752" s="1061">
        <v>38.619999999999997</v>
      </c>
      <c r="J1752" s="1061">
        <v>8.6199999999999992</v>
      </c>
      <c r="K1752" s="1061">
        <v>174.49</v>
      </c>
      <c r="L1752" s="1061">
        <v>100.14</v>
      </c>
      <c r="M1752" s="1061">
        <v>29.96</v>
      </c>
    </row>
    <row r="1753" spans="1:13" x14ac:dyDescent="0.35">
      <c r="A1753" s="1864">
        <v>206585</v>
      </c>
      <c r="B1753" s="1161"/>
      <c r="C1753" s="1865">
        <v>4.0909199999999997</v>
      </c>
      <c r="D1753" s="1061">
        <v>0.55000000000000004</v>
      </c>
      <c r="E1753" s="1061">
        <v>5.91</v>
      </c>
      <c r="F1753" s="1061">
        <v>0.1</v>
      </c>
      <c r="G1753" s="1061">
        <v>3.77</v>
      </c>
      <c r="H1753" s="1061">
        <v>0.71</v>
      </c>
      <c r="I1753" s="1061">
        <v>41.6</v>
      </c>
      <c r="J1753" s="1061">
        <v>5.32</v>
      </c>
      <c r="K1753" s="1061">
        <v>257.14</v>
      </c>
      <c r="L1753" s="1061">
        <v>83.5</v>
      </c>
      <c r="M1753" s="1061">
        <v>32.770000000000003</v>
      </c>
    </row>
    <row r="1754" spans="1:13" x14ac:dyDescent="0.35">
      <c r="A1754" s="209">
        <v>206586</v>
      </c>
      <c r="C1754" s="1863">
        <v>3</v>
      </c>
      <c r="D1754" s="1863">
        <v>0.18</v>
      </c>
      <c r="E1754" s="1863">
        <v>3.74</v>
      </c>
      <c r="F1754" s="1863">
        <v>6.0999999999999999E-2</v>
      </c>
      <c r="G1754" s="1863">
        <v>3.75</v>
      </c>
      <c r="H1754" s="1863">
        <v>0.69</v>
      </c>
      <c r="I1754" s="1863">
        <v>26.97</v>
      </c>
      <c r="J1754" s="1863">
        <v>9.67</v>
      </c>
      <c r="K1754" s="1863">
        <v>100.46</v>
      </c>
      <c r="L1754" s="1863">
        <v>50.64</v>
      </c>
      <c r="M1754" s="1863">
        <v>30.82</v>
      </c>
    </row>
    <row r="1755" spans="1:13" x14ac:dyDescent="0.35">
      <c r="A1755" s="209">
        <v>206587</v>
      </c>
      <c r="C1755" s="1863">
        <v>4.1500000000000004</v>
      </c>
      <c r="D1755" s="1863">
        <v>0.31</v>
      </c>
      <c r="E1755" s="1863">
        <v>3.51</v>
      </c>
      <c r="F1755" s="1863">
        <v>3.5999999999999997E-2</v>
      </c>
      <c r="G1755" s="1863">
        <v>2.23</v>
      </c>
      <c r="H1755" s="1863">
        <v>0.49</v>
      </c>
      <c r="I1755" s="1863">
        <v>17.91</v>
      </c>
      <c r="J1755" s="1863">
        <v>6.25</v>
      </c>
      <c r="K1755" s="1863">
        <v>49.54</v>
      </c>
      <c r="L1755" s="1863">
        <v>101.9</v>
      </c>
      <c r="M1755" s="1863">
        <v>22.38</v>
      </c>
    </row>
    <row r="1756" spans="1:13" x14ac:dyDescent="0.35">
      <c r="A1756" s="209">
        <v>206588</v>
      </c>
      <c r="C1756" s="1863">
        <v>3.81</v>
      </c>
      <c r="D1756" s="1863">
        <v>0.34</v>
      </c>
      <c r="E1756" s="1863">
        <v>6.52</v>
      </c>
      <c r="F1756" s="1863">
        <v>5.1999999999999998E-2</v>
      </c>
      <c r="G1756" s="1863">
        <v>4.5</v>
      </c>
      <c r="H1756" s="1863">
        <v>1.53</v>
      </c>
      <c r="I1756" s="1863">
        <v>49.15</v>
      </c>
      <c r="J1756" s="1863">
        <v>16.12</v>
      </c>
      <c r="K1756" s="1863">
        <v>56.74</v>
      </c>
      <c r="L1756" s="1863">
        <v>85.98</v>
      </c>
      <c r="M1756" s="1863">
        <v>44.84</v>
      </c>
    </row>
    <row r="1757" spans="1:13" x14ac:dyDescent="0.35">
      <c r="A1757" s="209">
        <v>206589</v>
      </c>
      <c r="C1757" s="1863">
        <v>3.98</v>
      </c>
      <c r="D1757" s="1863">
        <v>0.25</v>
      </c>
      <c r="E1757" s="1863">
        <v>4.4400000000000004</v>
      </c>
      <c r="F1757" s="1863">
        <v>2.3E-2</v>
      </c>
      <c r="G1757" s="1863">
        <v>2.72</v>
      </c>
      <c r="H1757" s="1863">
        <v>0.75</v>
      </c>
      <c r="I1757" s="1863">
        <v>25.55</v>
      </c>
      <c r="J1757" s="1863">
        <v>10.97</v>
      </c>
      <c r="K1757" s="1863">
        <v>66.28</v>
      </c>
      <c r="L1757" s="1863">
        <v>75.599999999999994</v>
      </c>
      <c r="M1757" s="1863">
        <v>32.47</v>
      </c>
    </row>
    <row r="1758" spans="1:13" x14ac:dyDescent="0.35">
      <c r="A1758" s="209">
        <v>206590</v>
      </c>
      <c r="C1758" s="1863">
        <v>1.79</v>
      </c>
      <c r="D1758" s="1863">
        <v>0.14000000000000001</v>
      </c>
      <c r="E1758" s="1863">
        <v>1.08</v>
      </c>
      <c r="F1758" s="1863">
        <v>4.5999999999999999E-2</v>
      </c>
      <c r="G1758" s="1863">
        <v>0.62</v>
      </c>
      <c r="H1758" s="1863">
        <v>0.17</v>
      </c>
      <c r="I1758" s="1863">
        <v>25.84</v>
      </c>
      <c r="J1758" s="1863">
        <v>6.34</v>
      </c>
      <c r="K1758" s="1863">
        <v>35.53</v>
      </c>
      <c r="L1758" s="1863">
        <v>57.88</v>
      </c>
      <c r="M1758" s="1863">
        <v>23.33</v>
      </c>
    </row>
    <row r="1759" spans="1:13" x14ac:dyDescent="0.35">
      <c r="A1759" s="209">
        <v>206591</v>
      </c>
      <c r="C1759" s="1863">
        <v>2.38</v>
      </c>
      <c r="D1759" s="1863">
        <v>0.33</v>
      </c>
      <c r="E1759" s="1863">
        <v>2.58</v>
      </c>
      <c r="F1759" s="1863">
        <v>0.152</v>
      </c>
      <c r="G1759" s="1863">
        <v>6.03</v>
      </c>
      <c r="H1759" s="1863">
        <v>1.69</v>
      </c>
      <c r="I1759" s="1863">
        <v>63.09</v>
      </c>
      <c r="J1759" s="1863">
        <v>64.92</v>
      </c>
      <c r="K1759" s="1863">
        <v>387.36</v>
      </c>
      <c r="L1759" s="1863">
        <v>65.41</v>
      </c>
      <c r="M1759" s="1863">
        <v>57.05</v>
      </c>
    </row>
    <row r="1760" spans="1:13" x14ac:dyDescent="0.35">
      <c r="A1760" s="209">
        <v>206592</v>
      </c>
      <c r="C1760" s="1863">
        <v>4.29</v>
      </c>
      <c r="D1760" s="1863">
        <v>0.28999999999999998</v>
      </c>
      <c r="E1760" s="1863">
        <v>6.66</v>
      </c>
      <c r="F1760" s="1863">
        <v>3.3000000000000002E-2</v>
      </c>
      <c r="G1760" s="1863">
        <v>3.15</v>
      </c>
      <c r="H1760" s="1863">
        <v>1.27</v>
      </c>
      <c r="I1760" s="1863">
        <v>65.55</v>
      </c>
      <c r="J1760" s="1863">
        <v>11.07</v>
      </c>
      <c r="K1760" s="1863">
        <v>128.75</v>
      </c>
      <c r="L1760" s="1863">
        <v>81.52</v>
      </c>
      <c r="M1760" s="1863">
        <v>91.05</v>
      </c>
    </row>
    <row r="1761" spans="1:13" x14ac:dyDescent="0.35">
      <c r="A1761" s="209">
        <v>206593</v>
      </c>
      <c r="C1761" s="1863">
        <v>3.56</v>
      </c>
      <c r="D1761" s="1863">
        <v>0.22</v>
      </c>
      <c r="E1761" s="1863">
        <v>6.19</v>
      </c>
      <c r="F1761" s="1863">
        <v>1.4999999999999999E-2</v>
      </c>
      <c r="G1761" s="1863">
        <v>2.91</v>
      </c>
      <c r="H1761" s="1863">
        <v>1.32</v>
      </c>
      <c r="I1761" s="1863">
        <v>438.74</v>
      </c>
      <c r="J1761" s="1863">
        <v>6.57</v>
      </c>
      <c r="K1761" s="1863">
        <v>255.92</v>
      </c>
      <c r="L1761" s="1863">
        <v>108.51</v>
      </c>
      <c r="M1761" s="1863">
        <v>82.6</v>
      </c>
    </row>
    <row r="1762" spans="1:13" x14ac:dyDescent="0.35">
      <c r="A1762" s="209">
        <v>206594</v>
      </c>
      <c r="C1762" s="1863">
        <v>3.89</v>
      </c>
      <c r="D1762" s="1863">
        <v>0.33</v>
      </c>
      <c r="E1762" s="1863">
        <v>4.74</v>
      </c>
      <c r="F1762" s="1863">
        <v>7.3999999999999996E-2</v>
      </c>
      <c r="G1762" s="1863">
        <v>3.82</v>
      </c>
      <c r="H1762" s="1863">
        <v>2.12</v>
      </c>
      <c r="I1762" s="1863">
        <v>23.94</v>
      </c>
      <c r="J1762" s="1863">
        <v>2.87</v>
      </c>
      <c r="K1762" s="1863">
        <v>81.94</v>
      </c>
      <c r="L1762" s="1863">
        <v>115.2</v>
      </c>
      <c r="M1762" s="1863">
        <v>58.67</v>
      </c>
    </row>
    <row r="1763" spans="1:13" x14ac:dyDescent="0.35">
      <c r="A1763" s="209">
        <v>206595</v>
      </c>
      <c r="C1763" s="1863">
        <v>3.92</v>
      </c>
      <c r="D1763" s="1863">
        <v>0.32</v>
      </c>
      <c r="E1763" s="1863">
        <v>4.7</v>
      </c>
      <c r="F1763" s="1863">
        <v>2.5999999999999999E-2</v>
      </c>
      <c r="G1763" s="1863">
        <v>3.57</v>
      </c>
      <c r="H1763" s="1863">
        <v>1.54</v>
      </c>
      <c r="I1763" s="1863">
        <v>40.630000000000003</v>
      </c>
      <c r="J1763" s="1863">
        <v>6.72</v>
      </c>
      <c r="K1763" s="1863">
        <v>136.4</v>
      </c>
      <c r="L1763" s="1863">
        <v>90.7</v>
      </c>
      <c r="M1763" s="1863">
        <v>125.56</v>
      </c>
    </row>
    <row r="1764" spans="1:13" x14ac:dyDescent="0.35">
      <c r="A1764" s="209">
        <v>206596</v>
      </c>
      <c r="C1764" s="1863">
        <v>3.84</v>
      </c>
      <c r="D1764" s="1863">
        <v>0.28000000000000003</v>
      </c>
      <c r="E1764" s="1863">
        <v>6.58</v>
      </c>
      <c r="F1764" s="1863">
        <v>2.3E-2</v>
      </c>
      <c r="G1764" s="1863">
        <v>3.33</v>
      </c>
      <c r="H1764" s="1863">
        <v>1.25</v>
      </c>
      <c r="I1764" s="1863">
        <v>639.4</v>
      </c>
      <c r="J1764" s="1863">
        <v>13.4</v>
      </c>
      <c r="K1764" s="1863">
        <v>421.03</v>
      </c>
      <c r="L1764" s="1863">
        <v>111.94</v>
      </c>
      <c r="M1764" s="1863">
        <v>138.82</v>
      </c>
    </row>
    <row r="1765" spans="1:13" x14ac:dyDescent="0.35">
      <c r="A1765" s="1835">
        <v>206597</v>
      </c>
      <c r="B1765" s="1293"/>
      <c r="C1765" s="1888">
        <v>1.5130800000000002</v>
      </c>
      <c r="D1765" s="1863">
        <v>0.11</v>
      </c>
      <c r="E1765" s="1863">
        <v>0.84</v>
      </c>
      <c r="F1765" s="1863">
        <v>0.03</v>
      </c>
      <c r="G1765" s="1863">
        <v>1.68</v>
      </c>
      <c r="H1765" s="1863">
        <v>0.18</v>
      </c>
      <c r="I1765" s="1863">
        <v>17</v>
      </c>
      <c r="J1765" s="1863">
        <v>5.97</v>
      </c>
      <c r="K1765" s="1863">
        <v>49.52</v>
      </c>
      <c r="L1765" s="1863">
        <v>118.81</v>
      </c>
      <c r="M1765" s="1863">
        <v>21.11</v>
      </c>
    </row>
    <row r="1766" spans="1:13" x14ac:dyDescent="0.35">
      <c r="A1766" s="1835">
        <v>206598</v>
      </c>
      <c r="B1766" s="1293"/>
      <c r="C1766" s="1888">
        <v>1.5410999999999999</v>
      </c>
      <c r="D1766" s="1863">
        <v>0.09</v>
      </c>
      <c r="E1766" s="1863">
        <v>0.71</v>
      </c>
      <c r="F1766" s="1863">
        <v>0.04</v>
      </c>
      <c r="G1766" s="1863">
        <v>1.0900000000000001</v>
      </c>
      <c r="H1766" s="1863">
        <v>0.35</v>
      </c>
      <c r="I1766" s="1863">
        <v>18.09</v>
      </c>
      <c r="J1766" s="1863">
        <v>64.510000000000005</v>
      </c>
      <c r="K1766" s="1863">
        <v>17.329999999999998</v>
      </c>
      <c r="L1766" s="1863">
        <v>77.97</v>
      </c>
      <c r="M1766" s="1863">
        <v>20.93</v>
      </c>
    </row>
    <row r="1767" spans="1:13" x14ac:dyDescent="0.35">
      <c r="A1767" s="1835">
        <v>206599</v>
      </c>
      <c r="B1767" s="1293"/>
      <c r="C1767" s="1888">
        <v>1.4570400000000001</v>
      </c>
      <c r="D1767" s="1863">
        <v>0.11</v>
      </c>
      <c r="E1767" s="1863">
        <v>0.85</v>
      </c>
      <c r="F1767" s="1863">
        <v>0.04</v>
      </c>
      <c r="G1767" s="1863">
        <v>1.06</v>
      </c>
      <c r="H1767" s="1863">
        <v>0.28000000000000003</v>
      </c>
      <c r="I1767" s="1863">
        <v>9.2799999999999994</v>
      </c>
      <c r="J1767" s="1863">
        <v>3.48</v>
      </c>
      <c r="K1767" s="1863">
        <v>35.979999999999997</v>
      </c>
      <c r="L1767" s="1863">
        <v>64.19</v>
      </c>
      <c r="M1767" s="1863">
        <v>19.02</v>
      </c>
    </row>
    <row r="1768" spans="1:13" x14ac:dyDescent="0.35">
      <c r="A1768" s="1835">
        <v>206600</v>
      </c>
      <c r="B1768" s="1293"/>
      <c r="C1768" s="1888">
        <v>1.2048600000000003</v>
      </c>
      <c r="D1768" s="1863">
        <v>0.09</v>
      </c>
      <c r="E1768" s="1863">
        <v>0.64</v>
      </c>
      <c r="F1768" s="1863">
        <v>0.04</v>
      </c>
      <c r="G1768" s="1863">
        <v>1.39</v>
      </c>
      <c r="H1768" s="1863">
        <v>0.23</v>
      </c>
      <c r="I1768" s="1863">
        <v>15.42</v>
      </c>
      <c r="J1768" s="1863">
        <v>64.42</v>
      </c>
      <c r="K1768" s="1863">
        <v>29.42</v>
      </c>
      <c r="L1768" s="1863">
        <v>98.89</v>
      </c>
      <c r="M1768" s="1863">
        <v>18.760000000000002</v>
      </c>
    </row>
    <row r="1769" spans="1:13" x14ac:dyDescent="0.35">
      <c r="A1769" s="1835">
        <v>206601</v>
      </c>
      <c r="B1769" s="1293"/>
      <c r="C1769" s="1888">
        <v>1.7092200000000002</v>
      </c>
      <c r="D1769" s="1863">
        <v>0.1</v>
      </c>
      <c r="E1769" s="1863">
        <v>0.8</v>
      </c>
      <c r="F1769" s="1863">
        <v>0.03</v>
      </c>
      <c r="G1769" s="1863">
        <v>0.98</v>
      </c>
      <c r="H1769" s="1863">
        <v>0.21</v>
      </c>
      <c r="I1769" s="1863">
        <v>15.2</v>
      </c>
      <c r="J1769" s="1863">
        <v>4.91</v>
      </c>
      <c r="K1769" s="1863">
        <v>35.159999999999997</v>
      </c>
      <c r="L1769" s="1863">
        <v>96.45</v>
      </c>
      <c r="M1769" s="1863">
        <v>18.809999999999999</v>
      </c>
    </row>
    <row r="1770" spans="1:13" s="1293" customFormat="1" x14ac:dyDescent="0.35">
      <c r="A1770" s="1835">
        <v>206602</v>
      </c>
      <c r="C1770" s="1888">
        <v>2.6058600000000003</v>
      </c>
      <c r="D1770" s="1863">
        <v>0.13</v>
      </c>
      <c r="E1770" s="1863">
        <v>1.32</v>
      </c>
      <c r="F1770" s="1863">
        <v>0.01</v>
      </c>
      <c r="G1770" s="1863">
        <v>2.63</v>
      </c>
      <c r="H1770" s="1863">
        <v>1.05</v>
      </c>
      <c r="I1770" s="1863">
        <v>8.1300000000000008</v>
      </c>
      <c r="J1770" s="1863">
        <v>4.2699999999999996</v>
      </c>
      <c r="K1770" s="1863">
        <v>785.48</v>
      </c>
      <c r="L1770" s="1863">
        <v>68.27</v>
      </c>
      <c r="M1770" s="1863">
        <v>94.14</v>
      </c>
    </row>
    <row r="1771" spans="1:13" s="1293" customFormat="1" x14ac:dyDescent="0.35">
      <c r="A1771" s="1835">
        <v>206603</v>
      </c>
      <c r="C1771" s="1888">
        <v>2.4377400000000002</v>
      </c>
      <c r="D1771" s="1863">
        <v>0.12</v>
      </c>
      <c r="E1771" s="1863">
        <v>1.02</v>
      </c>
      <c r="F1771" s="1863">
        <v>0.08</v>
      </c>
      <c r="G1771" s="1863">
        <v>3.94</v>
      </c>
      <c r="H1771" s="1863">
        <v>0.78</v>
      </c>
      <c r="I1771" s="1863">
        <v>12.85</v>
      </c>
      <c r="J1771" s="1863">
        <v>9.6</v>
      </c>
      <c r="K1771" s="1863">
        <v>19.03</v>
      </c>
      <c r="L1771" s="1863">
        <v>136.91</v>
      </c>
      <c r="M1771" s="1863">
        <v>84.6</v>
      </c>
    </row>
    <row r="1772" spans="1:13" x14ac:dyDescent="0.35">
      <c r="A1772" s="1889">
        <v>206604</v>
      </c>
      <c r="B1772" s="1890"/>
      <c r="C1772" s="1891">
        <v>1.4290200000000002</v>
      </c>
      <c r="D1772" s="1892">
        <v>0.11</v>
      </c>
      <c r="E1772" s="1892">
        <v>0.37</v>
      </c>
      <c r="F1772" s="1892">
        <v>7.0000000000000007E-2</v>
      </c>
      <c r="G1772" s="1892">
        <v>1.61</v>
      </c>
      <c r="H1772" s="1892">
        <v>0.26</v>
      </c>
      <c r="I1772" s="1892">
        <v>19.55</v>
      </c>
      <c r="J1772" s="1892">
        <v>242.16</v>
      </c>
      <c r="K1772" s="1892">
        <v>24.62</v>
      </c>
      <c r="L1772" s="1892">
        <v>161.82</v>
      </c>
      <c r="M1772" s="1892">
        <v>21.77</v>
      </c>
    </row>
    <row r="1773" spans="1:13" x14ac:dyDescent="0.35">
      <c r="A1773" s="1889">
        <v>206605</v>
      </c>
      <c r="B1773" s="1890"/>
      <c r="C1773" s="1891">
        <v>1.2608999999999999</v>
      </c>
      <c r="D1773" s="1892">
        <v>0.12</v>
      </c>
      <c r="E1773" s="1892">
        <v>0.94</v>
      </c>
      <c r="F1773" s="1892">
        <v>0.03</v>
      </c>
      <c r="G1773" s="1892">
        <v>1.57</v>
      </c>
      <c r="H1773" s="1892">
        <v>0.09</v>
      </c>
      <c r="I1773" s="1892">
        <v>15.05</v>
      </c>
      <c r="J1773" s="1892">
        <v>8.75</v>
      </c>
      <c r="K1773" s="1892">
        <v>68.05</v>
      </c>
      <c r="L1773" s="1892">
        <v>107.78</v>
      </c>
      <c r="M1773" s="1892">
        <v>20.11</v>
      </c>
    </row>
    <row r="1774" spans="1:13" x14ac:dyDescent="0.35">
      <c r="A1774" s="1889">
        <v>206606</v>
      </c>
      <c r="B1774" s="1890"/>
      <c r="C1774" s="1891">
        <v>1.2889200000000001</v>
      </c>
      <c r="D1774" s="1892">
        <v>0.12</v>
      </c>
      <c r="E1774" s="1892">
        <v>0.91</v>
      </c>
      <c r="F1774" s="1892">
        <v>0.04</v>
      </c>
      <c r="G1774" s="1892">
        <v>0.95</v>
      </c>
      <c r="H1774" s="1892">
        <v>0.16</v>
      </c>
      <c r="I1774" s="1892">
        <v>20.13</v>
      </c>
      <c r="J1774" s="1892">
        <v>9.18</v>
      </c>
      <c r="K1774" s="1892">
        <v>26.31</v>
      </c>
      <c r="L1774" s="1892">
        <v>115.84</v>
      </c>
      <c r="M1774" s="1892">
        <v>19.98</v>
      </c>
    </row>
    <row r="1775" spans="1:13" x14ac:dyDescent="0.35">
      <c r="A1775" s="1889">
        <v>206607</v>
      </c>
      <c r="B1775" s="1890"/>
      <c r="C1775" s="1891">
        <v>1.6251600000000002</v>
      </c>
      <c r="D1775" s="1892">
        <v>0.15</v>
      </c>
      <c r="E1775" s="1892">
        <v>1.05</v>
      </c>
      <c r="F1775" s="1892">
        <v>0.03</v>
      </c>
      <c r="G1775" s="1892">
        <v>0.89</v>
      </c>
      <c r="H1775" s="1892">
        <v>0.14000000000000001</v>
      </c>
      <c r="I1775" s="1892">
        <v>23.23</v>
      </c>
      <c r="J1775" s="1892">
        <v>7.2</v>
      </c>
      <c r="K1775" s="1892">
        <v>24.97</v>
      </c>
      <c r="L1775" s="1892">
        <v>142.11000000000001</v>
      </c>
      <c r="M1775" s="1892">
        <v>19.489999999999998</v>
      </c>
    </row>
    <row r="1776" spans="1:13" x14ac:dyDescent="0.35">
      <c r="A1776" s="1889">
        <v>206608</v>
      </c>
      <c r="B1776" s="1890"/>
      <c r="C1776" s="1893">
        <v>3.8947800000000004</v>
      </c>
      <c r="D1776" s="890">
        <v>0.52</v>
      </c>
      <c r="E1776" s="890">
        <v>4.2300000000000004</v>
      </c>
      <c r="F1776" s="890">
        <v>0.05</v>
      </c>
      <c r="G1776" s="890">
        <v>3.55</v>
      </c>
      <c r="H1776" s="890">
        <v>0.53</v>
      </c>
      <c r="I1776" s="890">
        <v>22.38</v>
      </c>
      <c r="J1776" s="890">
        <v>12.44</v>
      </c>
      <c r="K1776" s="890">
        <v>67.88</v>
      </c>
      <c r="L1776" s="890">
        <v>68.19</v>
      </c>
      <c r="M1776" s="890">
        <v>45.92</v>
      </c>
    </row>
    <row r="1777" spans="1:13" x14ac:dyDescent="0.35">
      <c r="A1777" s="1889">
        <v>206609</v>
      </c>
      <c r="B1777" s="1890"/>
      <c r="C1777" s="1893">
        <v>4.4271599999999998</v>
      </c>
      <c r="D1777" s="890">
        <v>0.38</v>
      </c>
      <c r="E1777" s="890">
        <v>4.42</v>
      </c>
      <c r="F1777" s="890">
        <v>0.04</v>
      </c>
      <c r="G1777" s="890">
        <v>2.65</v>
      </c>
      <c r="H1777" s="890">
        <v>0.52</v>
      </c>
      <c r="I1777" s="890">
        <v>20.53</v>
      </c>
      <c r="J1777" s="890">
        <v>12.97</v>
      </c>
      <c r="K1777" s="890">
        <v>27.72</v>
      </c>
      <c r="L1777" s="890">
        <v>77.319999999999993</v>
      </c>
      <c r="M1777" s="890">
        <v>46.09</v>
      </c>
    </row>
    <row r="1778" spans="1:13" x14ac:dyDescent="0.35">
      <c r="A1778" s="1889">
        <v>206610</v>
      </c>
      <c r="B1778" s="1890"/>
      <c r="C1778" s="1893">
        <v>3.58656</v>
      </c>
      <c r="D1778" s="890">
        <v>0.32</v>
      </c>
      <c r="E1778" s="890">
        <v>3.23</v>
      </c>
      <c r="F1778" s="890">
        <v>0.03</v>
      </c>
      <c r="G1778" s="890">
        <v>3.78</v>
      </c>
      <c r="H1778" s="890">
        <v>1.25</v>
      </c>
      <c r="I1778" s="890">
        <v>33.81</v>
      </c>
      <c r="J1778" s="890">
        <v>8.0299999999999994</v>
      </c>
      <c r="K1778" s="890">
        <v>50.25</v>
      </c>
      <c r="L1778" s="890">
        <v>104.83</v>
      </c>
      <c r="M1778" s="890">
        <v>168.85</v>
      </c>
    </row>
    <row r="1779" spans="1:13" x14ac:dyDescent="0.35">
      <c r="A1779" s="1889">
        <v>206611</v>
      </c>
      <c r="B1779" s="1890"/>
      <c r="C1779" s="1893">
        <v>3.8947800000000004</v>
      </c>
      <c r="D1779" s="890">
        <v>0.25</v>
      </c>
      <c r="E1779" s="890">
        <v>4.82</v>
      </c>
      <c r="F1779" s="890">
        <v>0.03</v>
      </c>
      <c r="G1779" s="890">
        <v>2.86</v>
      </c>
      <c r="H1779" s="890">
        <v>1.06</v>
      </c>
      <c r="I1779" s="890">
        <v>37.479999999999997</v>
      </c>
      <c r="J1779" s="890">
        <v>4.8899999999999997</v>
      </c>
      <c r="K1779" s="890">
        <v>41.14</v>
      </c>
      <c r="L1779" s="890">
        <v>90.11</v>
      </c>
      <c r="M1779" s="890">
        <v>61.8</v>
      </c>
    </row>
    <row r="1780" spans="1:13" x14ac:dyDescent="0.35">
      <c r="A1780" s="209">
        <v>106000</v>
      </c>
      <c r="C1780" s="1250">
        <v>3.8107200000000003</v>
      </c>
      <c r="D1780" s="795">
        <v>0.35</v>
      </c>
      <c r="E1780" s="795">
        <v>3.66</v>
      </c>
      <c r="F1780" s="795">
        <v>0.06</v>
      </c>
      <c r="G1780" s="795">
        <v>3.52</v>
      </c>
      <c r="H1780" s="795">
        <v>1.78</v>
      </c>
      <c r="I1780" s="795">
        <v>22.24</v>
      </c>
      <c r="J1780" s="795">
        <v>2.41</v>
      </c>
      <c r="K1780" s="795">
        <v>48.32</v>
      </c>
      <c r="L1780" s="795">
        <v>93.09</v>
      </c>
      <c r="M1780" s="795">
        <v>65.150000000000006</v>
      </c>
    </row>
    <row r="1781" spans="1:13" x14ac:dyDescent="0.35">
      <c r="A1781" s="209">
        <v>106001</v>
      </c>
      <c r="C1781" s="1250">
        <v>3.3063600000000002</v>
      </c>
      <c r="D1781" s="795">
        <v>0.3</v>
      </c>
      <c r="E1781" s="795">
        <v>2.16</v>
      </c>
      <c r="F1781" s="795">
        <v>0.11</v>
      </c>
      <c r="G1781" s="795">
        <v>5.34</v>
      </c>
      <c r="H1781" s="795">
        <v>1.34</v>
      </c>
      <c r="I1781" s="795">
        <v>68.59</v>
      </c>
      <c r="J1781" s="795">
        <v>8.34</v>
      </c>
      <c r="K1781" s="795">
        <v>507.11</v>
      </c>
      <c r="L1781" s="795">
        <v>62.13</v>
      </c>
      <c r="M1781" s="795">
        <v>66.87</v>
      </c>
    </row>
    <row r="1782" spans="1:13" x14ac:dyDescent="0.35">
      <c r="A1782" s="209">
        <v>106002</v>
      </c>
      <c r="C1782" s="1250">
        <v>4.6513199999999992</v>
      </c>
      <c r="D1782" s="795">
        <v>0.28000000000000003</v>
      </c>
      <c r="E1782" s="795">
        <v>5.0599999999999996</v>
      </c>
      <c r="F1782" s="795">
        <v>0.01</v>
      </c>
      <c r="G1782" s="795">
        <v>3.71</v>
      </c>
      <c r="H1782" s="795">
        <v>1.37</v>
      </c>
      <c r="I1782" s="795">
        <v>88.02</v>
      </c>
      <c r="J1782" s="795">
        <v>11.12</v>
      </c>
      <c r="K1782" s="795">
        <v>148.55000000000001</v>
      </c>
      <c r="L1782" s="795">
        <v>78.16</v>
      </c>
      <c r="M1782" s="795">
        <v>95.39</v>
      </c>
    </row>
    <row r="1783" spans="1:13" x14ac:dyDescent="0.35">
      <c r="A1783" s="209">
        <v>106003</v>
      </c>
      <c r="C1783" s="1250">
        <v>3.6145800000000001</v>
      </c>
      <c r="D1783" s="795">
        <v>0.24</v>
      </c>
      <c r="E1783" s="795">
        <v>4.0199999999999996</v>
      </c>
      <c r="F1783" s="795">
        <v>0.02</v>
      </c>
      <c r="G1783" s="795">
        <v>3.23</v>
      </c>
      <c r="H1783" s="795">
        <v>1.54</v>
      </c>
      <c r="I1783" s="795">
        <v>40.46</v>
      </c>
      <c r="J1783" s="795">
        <v>3.36</v>
      </c>
      <c r="K1783" s="795">
        <v>96.37</v>
      </c>
      <c r="L1783" s="795">
        <v>113.11</v>
      </c>
      <c r="M1783" s="795">
        <v>90.66</v>
      </c>
    </row>
    <row r="1784" spans="1:13" x14ac:dyDescent="0.35">
      <c r="A1784" s="209">
        <v>106004</v>
      </c>
      <c r="C1784" s="1250">
        <v>3.6426000000000003</v>
      </c>
      <c r="D1784" s="795">
        <v>0.28000000000000003</v>
      </c>
      <c r="E1784" s="795">
        <v>3.56</v>
      </c>
      <c r="F1784" s="795">
        <v>0.02</v>
      </c>
      <c r="G1784" s="795">
        <v>3.67</v>
      </c>
      <c r="H1784" s="795">
        <v>1.32</v>
      </c>
      <c r="I1784" s="795">
        <v>42.04</v>
      </c>
      <c r="J1784" s="795">
        <v>4.75</v>
      </c>
      <c r="K1784" s="795">
        <v>97.4</v>
      </c>
      <c r="L1784" s="795">
        <v>85.59</v>
      </c>
      <c r="M1784" s="795">
        <v>139.56</v>
      </c>
    </row>
    <row r="1785" spans="1:13" x14ac:dyDescent="0.35">
      <c r="A1785" s="209">
        <v>106005</v>
      </c>
      <c r="C1785" s="1250">
        <v>3.8947800000000004</v>
      </c>
      <c r="D1785" s="795">
        <v>0.28000000000000003</v>
      </c>
      <c r="E1785" s="795">
        <v>4.95</v>
      </c>
      <c r="F1785" s="795">
        <v>0.01</v>
      </c>
      <c r="G1785" s="795">
        <v>3.64</v>
      </c>
      <c r="H1785" s="795">
        <v>1.43</v>
      </c>
      <c r="I1785" s="795">
        <v>224.22</v>
      </c>
      <c r="J1785" s="795">
        <v>9.41</v>
      </c>
      <c r="K1785" s="795">
        <v>207.33</v>
      </c>
      <c r="L1785" s="795">
        <v>84.08</v>
      </c>
      <c r="M1785" s="795">
        <v>133.02000000000001</v>
      </c>
    </row>
    <row r="1786" spans="1:13" x14ac:dyDescent="0.35">
      <c r="A1786" s="209">
        <v>106006</v>
      </c>
      <c r="C1786" s="1250">
        <v>3.2503199999999999</v>
      </c>
      <c r="D1786" s="795">
        <v>0.33</v>
      </c>
      <c r="E1786" s="795">
        <v>2.88</v>
      </c>
      <c r="F1786" s="795">
        <v>0.09</v>
      </c>
      <c r="G1786" s="795">
        <v>5.25</v>
      </c>
      <c r="H1786" s="795">
        <v>0.86</v>
      </c>
      <c r="I1786" s="795">
        <v>30.11</v>
      </c>
      <c r="J1786" s="795">
        <v>11.1</v>
      </c>
      <c r="K1786" s="795">
        <v>128.28</v>
      </c>
      <c r="L1786" s="795">
        <v>62.25</v>
      </c>
      <c r="M1786" s="795">
        <v>44.28</v>
      </c>
    </row>
    <row r="1787" spans="1:13" x14ac:dyDescent="0.35">
      <c r="A1787" s="209">
        <v>106007</v>
      </c>
      <c r="C1787" s="1250">
        <v>3.4184400000000004</v>
      </c>
      <c r="D1787" s="795">
        <v>0.27</v>
      </c>
      <c r="E1787" s="795">
        <v>2.2200000000000002</v>
      </c>
      <c r="F1787" s="795">
        <v>0.02</v>
      </c>
      <c r="G1787" s="795">
        <v>1.95</v>
      </c>
      <c r="H1787" s="795">
        <v>0.53</v>
      </c>
      <c r="I1787" s="795">
        <v>18.690000000000001</v>
      </c>
      <c r="J1787" s="795">
        <v>6.62</v>
      </c>
      <c r="K1787" s="795">
        <v>48.28</v>
      </c>
      <c r="L1787" s="795">
        <v>60.14</v>
      </c>
      <c r="M1787" s="795">
        <v>22.8</v>
      </c>
    </row>
    <row r="1788" spans="1:13" x14ac:dyDescent="0.35">
      <c r="A1788" s="209">
        <v>106008</v>
      </c>
      <c r="C1788" s="1250">
        <v>3.5305200000000001</v>
      </c>
      <c r="D1788" s="795">
        <v>0.27</v>
      </c>
      <c r="E1788" s="795">
        <v>1.96</v>
      </c>
      <c r="F1788" s="795">
        <v>0.02</v>
      </c>
      <c r="G1788" s="795">
        <v>2.31</v>
      </c>
      <c r="H1788" s="795">
        <v>0.79</v>
      </c>
      <c r="I1788" s="795">
        <v>13.35</v>
      </c>
      <c r="J1788" s="795">
        <v>5.51</v>
      </c>
      <c r="K1788" s="795">
        <v>58.6</v>
      </c>
      <c r="L1788" s="795">
        <v>81.790000000000006</v>
      </c>
      <c r="M1788" s="795">
        <v>16.75</v>
      </c>
    </row>
    <row r="1789" spans="1:13" x14ac:dyDescent="0.35">
      <c r="A1789" s="209">
        <v>106009</v>
      </c>
      <c r="C1789" s="1250">
        <v>4.2029999999999994</v>
      </c>
      <c r="D1789" s="795">
        <v>0.44</v>
      </c>
      <c r="E1789" s="795">
        <v>6.78</v>
      </c>
      <c r="F1789" s="795">
        <v>7.0000000000000007E-2</v>
      </c>
      <c r="G1789" s="795">
        <v>4.2699999999999996</v>
      </c>
      <c r="H1789" s="795">
        <v>1.1299999999999999</v>
      </c>
      <c r="I1789" s="795">
        <v>44.28</v>
      </c>
      <c r="J1789" s="795">
        <v>7.67</v>
      </c>
      <c r="K1789" s="795">
        <v>23.57</v>
      </c>
      <c r="L1789" s="795">
        <v>160.32</v>
      </c>
      <c r="M1789" s="795">
        <v>36.24</v>
      </c>
    </row>
    <row r="1790" spans="1:13" x14ac:dyDescent="0.35">
      <c r="A1790" s="209">
        <v>106010</v>
      </c>
      <c r="C1790" s="1250">
        <v>5.2117199999999988</v>
      </c>
      <c r="D1790" s="795">
        <v>0.3</v>
      </c>
      <c r="E1790" s="795">
        <v>3.27</v>
      </c>
      <c r="F1790" s="795">
        <v>0.03</v>
      </c>
      <c r="G1790" s="795">
        <v>2.2400000000000002</v>
      </c>
      <c r="H1790" s="795">
        <v>0.5</v>
      </c>
      <c r="I1790" s="795">
        <v>22.94</v>
      </c>
      <c r="J1790" s="795">
        <v>7.26</v>
      </c>
      <c r="K1790" s="795">
        <v>59.34</v>
      </c>
      <c r="L1790" s="795">
        <v>82.47</v>
      </c>
      <c r="M1790" s="795">
        <v>18.899999999999999</v>
      </c>
    </row>
    <row r="1791" spans="1:13" x14ac:dyDescent="0.35">
      <c r="A1791" s="209">
        <v>106011</v>
      </c>
      <c r="C1791" s="1250">
        <v>1.9333800000000001</v>
      </c>
      <c r="D1791" s="795">
        <v>0.13</v>
      </c>
      <c r="E1791" s="795">
        <v>0.51</v>
      </c>
      <c r="F1791" s="795">
        <v>0.04</v>
      </c>
      <c r="G1791" s="795">
        <v>1.71</v>
      </c>
      <c r="H1791" s="795">
        <v>0.2</v>
      </c>
      <c r="I1791" s="795">
        <v>13.82</v>
      </c>
      <c r="J1791" s="795">
        <v>19.850000000000001</v>
      </c>
      <c r="K1791" s="795">
        <v>56.36</v>
      </c>
      <c r="L1791" s="795">
        <v>98.82</v>
      </c>
      <c r="M1791" s="795">
        <v>12.51</v>
      </c>
    </row>
    <row r="1792" spans="1:13" x14ac:dyDescent="0.35">
      <c r="A1792" s="209">
        <v>106012</v>
      </c>
      <c r="C1792" s="1250">
        <v>2.6899199999999999</v>
      </c>
      <c r="D1792" s="795">
        <v>0.15</v>
      </c>
      <c r="E1792" s="795">
        <v>0.99</v>
      </c>
      <c r="F1792" s="795">
        <v>0.06</v>
      </c>
      <c r="G1792" s="795">
        <v>3.38</v>
      </c>
      <c r="H1792" s="795">
        <v>0.3</v>
      </c>
      <c r="I1792" s="795">
        <v>16.47</v>
      </c>
      <c r="J1792" s="795">
        <v>9.86</v>
      </c>
      <c r="K1792" s="795">
        <v>21.84</v>
      </c>
      <c r="L1792" s="795">
        <v>129.25</v>
      </c>
      <c r="M1792" s="795">
        <v>67.69</v>
      </c>
    </row>
    <row r="1793" spans="1:13" x14ac:dyDescent="0.35">
      <c r="A1793" s="209">
        <v>106013</v>
      </c>
      <c r="C1793" s="1250">
        <v>2.9701199999999996</v>
      </c>
      <c r="D1793" s="795">
        <v>0.17</v>
      </c>
      <c r="E1793" s="795">
        <v>0.59</v>
      </c>
      <c r="F1793" s="795">
        <v>7.0000000000000007E-2</v>
      </c>
      <c r="G1793" s="795">
        <v>4.08</v>
      </c>
      <c r="H1793" s="795">
        <v>0.34</v>
      </c>
      <c r="I1793" s="795">
        <v>16.21</v>
      </c>
      <c r="J1793" s="795">
        <v>686.92</v>
      </c>
      <c r="K1793" s="795">
        <v>20.13</v>
      </c>
      <c r="L1793" s="795">
        <v>115.42</v>
      </c>
      <c r="M1793" s="795">
        <v>84.3</v>
      </c>
    </row>
    <row r="1794" spans="1:13" x14ac:dyDescent="0.35">
      <c r="A1794" s="1934">
        <v>106014</v>
      </c>
      <c r="B1794" s="1933"/>
      <c r="C1794" s="1933">
        <v>0.9</v>
      </c>
      <c r="D1794" s="1935">
        <v>0.13</v>
      </c>
      <c r="E1794" s="1935">
        <v>0.69</v>
      </c>
      <c r="F1794" s="1935">
        <v>0.01</v>
      </c>
      <c r="G1794" s="1935">
        <v>2.31</v>
      </c>
      <c r="H1794" s="1935">
        <v>0.32</v>
      </c>
      <c r="I1794" s="1935">
        <v>11.95</v>
      </c>
      <c r="J1794" s="1935">
        <v>459.89</v>
      </c>
      <c r="K1794" s="1935">
        <v>55.07</v>
      </c>
      <c r="L1794" s="1935">
        <v>296.81</v>
      </c>
      <c r="M1794" s="1935">
        <v>26.96</v>
      </c>
    </row>
    <row r="1795" spans="1:13" x14ac:dyDescent="0.35">
      <c r="A1795" s="1934">
        <v>106015</v>
      </c>
      <c r="B1795" s="1933"/>
      <c r="C1795" s="1933">
        <v>4.34</v>
      </c>
      <c r="D1795" s="1935">
        <v>0.72</v>
      </c>
      <c r="E1795" s="1935">
        <v>2.0499999999999998</v>
      </c>
      <c r="F1795" s="1935">
        <v>0.15</v>
      </c>
      <c r="G1795" s="1935">
        <v>5.12</v>
      </c>
      <c r="H1795" s="1935">
        <v>1.1000000000000001</v>
      </c>
      <c r="I1795" s="1935">
        <v>38.25</v>
      </c>
      <c r="J1795" s="1935">
        <v>6.52</v>
      </c>
      <c r="K1795" s="1935">
        <v>240.66</v>
      </c>
      <c r="L1795" s="1935">
        <v>101.03</v>
      </c>
      <c r="M1795" s="1935">
        <v>57.55</v>
      </c>
    </row>
    <row r="1796" spans="1:13" x14ac:dyDescent="0.35">
      <c r="A1796" s="1934">
        <v>106016</v>
      </c>
      <c r="B1796" s="1933"/>
      <c r="C1796" s="1933">
        <v>3.98</v>
      </c>
      <c r="D1796" s="1935">
        <v>0.31</v>
      </c>
      <c r="E1796" s="1935">
        <v>1.77</v>
      </c>
      <c r="F1796" s="1935">
        <v>0.17</v>
      </c>
      <c r="G1796" s="1935">
        <v>4.01</v>
      </c>
      <c r="H1796" s="1935">
        <v>0.99</v>
      </c>
      <c r="I1796" s="1935">
        <v>20.68</v>
      </c>
      <c r="J1796" s="1935">
        <v>7.17</v>
      </c>
      <c r="K1796" s="1935">
        <v>101.08</v>
      </c>
      <c r="L1796" s="1935">
        <v>101.81</v>
      </c>
      <c r="M1796" s="1935">
        <v>57.82</v>
      </c>
    </row>
    <row r="1797" spans="1:13" x14ac:dyDescent="0.35">
      <c r="A1797" s="1934">
        <v>106017</v>
      </c>
      <c r="B1797" s="1933"/>
      <c r="C1797" s="1933">
        <v>4.2300000000000004</v>
      </c>
      <c r="D1797" s="1935">
        <v>0.34</v>
      </c>
      <c r="E1797" s="1935">
        <v>1.96</v>
      </c>
      <c r="F1797" s="1935">
        <v>0.19</v>
      </c>
      <c r="G1797" s="1935">
        <v>4.22</v>
      </c>
      <c r="H1797" s="1935">
        <v>0.99</v>
      </c>
      <c r="I1797" s="1935">
        <v>45.94</v>
      </c>
      <c r="J1797" s="1935">
        <v>8.08</v>
      </c>
      <c r="K1797" s="1935">
        <v>344.51</v>
      </c>
      <c r="L1797" s="1935">
        <v>88.31</v>
      </c>
      <c r="M1797" s="1935">
        <v>69.12</v>
      </c>
    </row>
    <row r="1798" spans="1:13" x14ac:dyDescent="0.35">
      <c r="A1798" s="1934">
        <v>106018</v>
      </c>
      <c r="B1798" s="1933"/>
      <c r="C1798" s="1933">
        <v>4.17</v>
      </c>
      <c r="D1798" s="1935">
        <v>0.48</v>
      </c>
      <c r="E1798" s="1935">
        <v>1.9</v>
      </c>
      <c r="F1798" s="1935">
        <v>0.09</v>
      </c>
      <c r="G1798" s="1935">
        <v>4.72</v>
      </c>
      <c r="H1798" s="1935">
        <v>0.88</v>
      </c>
      <c r="I1798" s="1935">
        <v>21.55</v>
      </c>
      <c r="J1798" s="1935">
        <v>6.6</v>
      </c>
      <c r="K1798" s="1935">
        <v>141.05000000000001</v>
      </c>
      <c r="L1798" s="1935">
        <v>125.63</v>
      </c>
      <c r="M1798" s="1935">
        <v>65.25</v>
      </c>
    </row>
    <row r="1799" spans="1:13" x14ac:dyDescent="0.35">
      <c r="A1799" s="1934">
        <v>106019</v>
      </c>
      <c r="B1799" s="1933"/>
      <c r="C1799" s="1933">
        <v>0.98</v>
      </c>
      <c r="D1799" s="1935">
        <v>0.1</v>
      </c>
      <c r="E1799" s="1935">
        <v>0.76</v>
      </c>
      <c r="F1799" s="1935">
        <v>0.28000000000000003</v>
      </c>
      <c r="G1799" s="1935">
        <v>1.76</v>
      </c>
      <c r="H1799" s="1935">
        <v>0.28999999999999998</v>
      </c>
      <c r="I1799" s="1935">
        <v>14.99</v>
      </c>
      <c r="J1799" s="1935">
        <v>6.43</v>
      </c>
      <c r="K1799" s="1935">
        <v>60.62</v>
      </c>
      <c r="L1799" s="1935">
        <v>67.45</v>
      </c>
      <c r="M1799" s="1935">
        <v>20.05</v>
      </c>
    </row>
    <row r="1800" spans="1:13" x14ac:dyDescent="0.35">
      <c r="A1800" s="1945">
        <v>106020</v>
      </c>
      <c r="B1800" s="1946"/>
      <c r="C1800" s="1948">
        <v>4.0348800000000002</v>
      </c>
      <c r="D1800" s="1946">
        <v>0.28000000000000003</v>
      </c>
      <c r="E1800" s="1946">
        <v>3.51</v>
      </c>
      <c r="F1800" s="1946">
        <v>0.33</v>
      </c>
      <c r="G1800" s="1946">
        <v>4.01</v>
      </c>
      <c r="H1800" s="1946">
        <v>1.26</v>
      </c>
      <c r="I1800" s="1947">
        <v>24.84</v>
      </c>
      <c r="J1800" s="1947">
        <v>13.24</v>
      </c>
      <c r="K1800" s="1947">
        <v>218.07</v>
      </c>
      <c r="L1800" s="1947">
        <v>79.739999999999995</v>
      </c>
      <c r="M1800" s="1947">
        <v>122.69</v>
      </c>
    </row>
    <row r="1801" spans="1:13" s="1290" customFormat="1" x14ac:dyDescent="0.35">
      <c r="A1801" s="1968">
        <v>106021</v>
      </c>
      <c r="B1801" s="1969"/>
      <c r="C1801" s="1970">
        <v>5.4358799999999992</v>
      </c>
      <c r="D1801" s="1969">
        <v>0.53</v>
      </c>
      <c r="E1801" s="1969">
        <v>4.37</v>
      </c>
      <c r="F1801" s="1969">
        <v>0.04</v>
      </c>
      <c r="G1801" s="1969">
        <v>3.04</v>
      </c>
      <c r="H1801" s="1969">
        <v>0.34</v>
      </c>
      <c r="I1801" s="1971">
        <v>25.57</v>
      </c>
      <c r="J1801" s="1971">
        <v>4.2300000000000004</v>
      </c>
      <c r="K1801" s="1971">
        <v>134.99</v>
      </c>
      <c r="L1801" s="1971">
        <v>89.29</v>
      </c>
      <c r="M1801" s="1971">
        <v>42.79</v>
      </c>
    </row>
    <row r="1802" spans="1:13" s="1290" customFormat="1" x14ac:dyDescent="0.35">
      <c r="A1802" s="1968">
        <v>106022</v>
      </c>
      <c r="B1802" s="1969"/>
      <c r="C1802" s="1969">
        <v>4.03</v>
      </c>
      <c r="D1802" s="1969">
        <v>0.26</v>
      </c>
      <c r="E1802" s="1969">
        <v>2.87</v>
      </c>
      <c r="F1802" s="1969">
        <v>0.06</v>
      </c>
      <c r="G1802" s="1969">
        <v>6.18</v>
      </c>
      <c r="H1802" s="1969">
        <v>0.74</v>
      </c>
      <c r="I1802" s="1971">
        <v>23.29</v>
      </c>
      <c r="J1802" s="1971">
        <v>11.66</v>
      </c>
      <c r="K1802" s="1971">
        <v>126.68</v>
      </c>
      <c r="L1802" s="1971">
        <v>54.31</v>
      </c>
      <c r="M1802" s="1971">
        <v>37.549999999999997</v>
      </c>
    </row>
    <row r="1803" spans="1:13" x14ac:dyDescent="0.35">
      <c r="A1803" s="1964">
        <v>106023</v>
      </c>
      <c r="B1803" s="1965"/>
      <c r="C1803" s="1966">
        <v>1.4570400000000001</v>
      </c>
      <c r="D1803" s="1967">
        <v>0.18</v>
      </c>
      <c r="E1803" s="1967">
        <v>0.52</v>
      </c>
      <c r="F1803" s="1967">
        <v>0.02</v>
      </c>
      <c r="G1803" s="1967">
        <v>1.77</v>
      </c>
      <c r="H1803" s="1967">
        <v>0.27</v>
      </c>
      <c r="I1803" s="1967">
        <v>40.5</v>
      </c>
      <c r="J1803" s="1967">
        <v>30.43</v>
      </c>
      <c r="K1803" s="1967">
        <v>17.079999999999998</v>
      </c>
      <c r="L1803" s="1967">
        <v>48.49</v>
      </c>
      <c r="M1803" s="1967">
        <v>19.940000000000001</v>
      </c>
    </row>
    <row r="1804" spans="1:13" x14ac:dyDescent="0.35">
      <c r="A1804" s="1964">
        <v>106024</v>
      </c>
      <c r="B1804" s="1965"/>
      <c r="C1804" s="1966">
        <v>1.4290200000000002</v>
      </c>
      <c r="D1804" s="1967">
        <v>0.19</v>
      </c>
      <c r="E1804" s="1967">
        <v>0.7</v>
      </c>
      <c r="F1804" s="1967">
        <v>0.01</v>
      </c>
      <c r="G1804" s="1967">
        <v>1.81</v>
      </c>
      <c r="H1804" s="1967">
        <v>0.23</v>
      </c>
      <c r="I1804" s="1967">
        <v>38.46</v>
      </c>
      <c r="J1804" s="1967">
        <v>84.4</v>
      </c>
      <c r="K1804" s="1967">
        <v>19.420000000000002</v>
      </c>
      <c r="L1804" s="1967">
        <v>46.51</v>
      </c>
      <c r="M1804" s="1967">
        <v>20.47</v>
      </c>
    </row>
    <row r="1805" spans="1:13" x14ac:dyDescent="0.35">
      <c r="A1805" s="1964">
        <v>106025</v>
      </c>
      <c r="B1805" s="1965"/>
      <c r="C1805" s="1966">
        <v>1.2608999999999999</v>
      </c>
      <c r="D1805" s="1967">
        <v>0.21</v>
      </c>
      <c r="E1805" s="1967">
        <v>0.66</v>
      </c>
      <c r="F1805" s="1967">
        <v>0.01</v>
      </c>
      <c r="G1805" s="1967">
        <v>1.82</v>
      </c>
      <c r="H1805" s="1967">
        <v>0.21</v>
      </c>
      <c r="I1805" s="1967">
        <v>32.25</v>
      </c>
      <c r="J1805" s="1967">
        <v>52.68</v>
      </c>
      <c r="K1805" s="1967">
        <v>19.7</v>
      </c>
      <c r="L1805" s="1967">
        <v>39.72</v>
      </c>
      <c r="M1805" s="1967">
        <v>25.74</v>
      </c>
    </row>
    <row r="1806" spans="1:13" x14ac:dyDescent="0.35">
      <c r="A1806" s="1964">
        <v>106026</v>
      </c>
      <c r="B1806" s="1965"/>
      <c r="C1806" s="1966">
        <v>1.4290200000000002</v>
      </c>
      <c r="D1806" s="1967">
        <v>0.18</v>
      </c>
      <c r="E1806" s="1967">
        <v>0.6</v>
      </c>
      <c r="F1806" s="1967">
        <v>0.02</v>
      </c>
      <c r="G1806" s="1967">
        <v>2.09</v>
      </c>
      <c r="H1806" s="1967">
        <v>0.32</v>
      </c>
      <c r="I1806" s="1967">
        <v>38.130000000000003</v>
      </c>
      <c r="J1806" s="1967">
        <v>44.16</v>
      </c>
      <c r="K1806" s="1967">
        <v>17.84</v>
      </c>
      <c r="L1806" s="1967">
        <v>55.86</v>
      </c>
      <c r="M1806" s="1967">
        <v>21.41</v>
      </c>
    </row>
    <row r="1807" spans="1:13" x14ac:dyDescent="0.35">
      <c r="A1807" s="1964">
        <v>106027</v>
      </c>
      <c r="B1807" s="1965"/>
      <c r="C1807" s="1966">
        <v>3.2223000000000002</v>
      </c>
      <c r="D1807" s="1967">
        <v>0.27</v>
      </c>
      <c r="E1807" s="1967">
        <v>3.68</v>
      </c>
      <c r="F1807" s="1967">
        <v>0.02</v>
      </c>
      <c r="G1807" s="1967">
        <v>3.72</v>
      </c>
      <c r="H1807" s="1967">
        <v>1.41</v>
      </c>
      <c r="I1807" s="1967">
        <v>30.69</v>
      </c>
      <c r="J1807" s="1967">
        <v>5.42</v>
      </c>
      <c r="K1807" s="1967">
        <v>79.81</v>
      </c>
      <c r="L1807" s="1967">
        <v>65.89</v>
      </c>
      <c r="M1807" s="1967">
        <v>121.83</v>
      </c>
    </row>
    <row r="1808" spans="1:13" x14ac:dyDescent="0.35">
      <c r="A1808" s="1964">
        <v>106028</v>
      </c>
      <c r="B1808" s="1965"/>
      <c r="C1808" s="1966">
        <v>3.7827000000000002</v>
      </c>
      <c r="D1808" s="1967">
        <v>0.34</v>
      </c>
      <c r="E1808" s="1967">
        <v>4.6500000000000004</v>
      </c>
      <c r="F1808" s="1967">
        <v>0.02</v>
      </c>
      <c r="G1808" s="1967">
        <v>3.47</v>
      </c>
      <c r="H1808" s="1967">
        <v>1.33</v>
      </c>
      <c r="I1808" s="1967">
        <v>202.68</v>
      </c>
      <c r="J1808" s="1967">
        <v>16.86</v>
      </c>
      <c r="K1808" s="1967">
        <v>195.56</v>
      </c>
      <c r="L1808" s="1967">
        <v>72.209999999999994</v>
      </c>
      <c r="M1808" s="1967">
        <v>217.06</v>
      </c>
    </row>
    <row r="1809" spans="1:13" x14ac:dyDescent="0.35">
      <c r="A1809" s="1964">
        <v>106029</v>
      </c>
      <c r="B1809" s="1965"/>
      <c r="C1809" s="1966">
        <v>3.19428</v>
      </c>
      <c r="D1809" s="1967">
        <v>0.41</v>
      </c>
      <c r="E1809" s="1967">
        <v>2.52</v>
      </c>
      <c r="F1809" s="1967">
        <v>0.13</v>
      </c>
      <c r="G1809" s="1967">
        <v>6.5</v>
      </c>
      <c r="H1809" s="1967">
        <v>1.81</v>
      </c>
      <c r="I1809" s="1967">
        <v>44.6</v>
      </c>
      <c r="J1809" s="1967">
        <v>3.44</v>
      </c>
      <c r="K1809" s="1967">
        <v>399.58</v>
      </c>
      <c r="L1809" s="1967">
        <v>72.95</v>
      </c>
      <c r="M1809" s="1967">
        <v>105.46</v>
      </c>
    </row>
    <row r="1810" spans="1:13" x14ac:dyDescent="0.35">
      <c r="A1810" s="1964">
        <v>106030</v>
      </c>
      <c r="B1810" s="1965"/>
      <c r="C1810" s="1966">
        <v>4.4832000000000001</v>
      </c>
      <c r="D1810" s="1967">
        <v>0.32</v>
      </c>
      <c r="E1810" s="1967">
        <v>5.77</v>
      </c>
      <c r="F1810" s="1967">
        <v>0.02</v>
      </c>
      <c r="G1810" s="1967">
        <v>4.1100000000000003</v>
      </c>
      <c r="H1810" s="1967">
        <v>1.89</v>
      </c>
      <c r="I1810" s="1967">
        <v>64.03</v>
      </c>
      <c r="J1810" s="1967">
        <v>18.2</v>
      </c>
      <c r="K1810" s="1967">
        <v>195.03</v>
      </c>
      <c r="L1810" s="1967">
        <v>77.73</v>
      </c>
      <c r="M1810" s="1967">
        <v>132.38999999999999</v>
      </c>
    </row>
    <row r="1811" spans="1:13" x14ac:dyDescent="0.35">
      <c r="A1811" s="1964">
        <v>106031</v>
      </c>
      <c r="B1811" s="1965"/>
      <c r="C1811" s="1966">
        <v>3.83874</v>
      </c>
      <c r="D1811" s="1967">
        <v>0.38</v>
      </c>
      <c r="E1811" s="1967">
        <v>5.42</v>
      </c>
      <c r="F1811" s="1967">
        <v>0.03</v>
      </c>
      <c r="G1811" s="1967">
        <v>4.04</v>
      </c>
      <c r="H1811" s="1967">
        <v>1.91</v>
      </c>
      <c r="I1811" s="1967">
        <v>55.01</v>
      </c>
      <c r="J1811" s="1967">
        <v>4.9000000000000004</v>
      </c>
      <c r="K1811" s="1967">
        <v>122.44</v>
      </c>
      <c r="L1811" s="1967">
        <v>115.12</v>
      </c>
      <c r="M1811" s="1967">
        <v>151.09</v>
      </c>
    </row>
    <row r="1812" spans="1:13" x14ac:dyDescent="0.35">
      <c r="A1812" s="1964">
        <v>106032</v>
      </c>
      <c r="B1812" s="1965"/>
      <c r="C1812" s="1966">
        <v>3.75468</v>
      </c>
      <c r="D1812" s="1967">
        <v>0.23</v>
      </c>
      <c r="E1812" s="1967">
        <v>3.73</v>
      </c>
      <c r="F1812" s="1967">
        <v>0.03</v>
      </c>
      <c r="G1812" s="1967">
        <v>4.08</v>
      </c>
      <c r="H1812" s="1967">
        <v>2.06</v>
      </c>
      <c r="I1812" s="1967">
        <v>33</v>
      </c>
      <c r="J1812" s="1967">
        <v>6.16</v>
      </c>
      <c r="K1812" s="1967">
        <v>57.39</v>
      </c>
      <c r="L1812" s="1967">
        <v>56.74</v>
      </c>
      <c r="M1812" s="1967">
        <v>41.62</v>
      </c>
    </row>
    <row r="1813" spans="1:13" s="946" customFormat="1" x14ac:dyDescent="0.35">
      <c r="A1813" s="1964">
        <v>106033</v>
      </c>
      <c r="B1813" s="1965"/>
      <c r="C1813" s="1966">
        <v>2.3256600000000001</v>
      </c>
      <c r="D1813" s="1967">
        <v>0.13</v>
      </c>
      <c r="E1813" s="1967">
        <v>0.73</v>
      </c>
      <c r="F1813" s="1967">
        <v>0.09</v>
      </c>
      <c r="G1813" s="1967">
        <v>3.6</v>
      </c>
      <c r="H1813" s="1967">
        <v>0.48</v>
      </c>
      <c r="I1813" s="1967">
        <v>14.21</v>
      </c>
      <c r="J1813" s="1967">
        <v>9.11</v>
      </c>
      <c r="K1813" s="1967">
        <v>32.14</v>
      </c>
      <c r="L1813" s="1967">
        <v>120.54</v>
      </c>
      <c r="M1813" s="1967">
        <v>84.11</v>
      </c>
    </row>
    <row r="1814" spans="1:13" x14ac:dyDescent="0.35">
      <c r="A1814" s="118">
        <v>106034</v>
      </c>
      <c r="C1814" s="1250">
        <v>6.3325199999999997</v>
      </c>
      <c r="D1814" s="795">
        <v>0.41</v>
      </c>
      <c r="E1814" s="795">
        <v>1.1599999999999999</v>
      </c>
      <c r="F1814" s="795">
        <v>7.0000000000000007E-2</v>
      </c>
      <c r="G1814" s="795">
        <v>0.49</v>
      </c>
      <c r="H1814" s="795">
        <v>0.85</v>
      </c>
      <c r="I1814" s="795">
        <v>27.17</v>
      </c>
      <c r="J1814" s="795">
        <v>6.35</v>
      </c>
      <c r="K1814" s="795">
        <v>88.15</v>
      </c>
      <c r="L1814" s="795">
        <v>130.62</v>
      </c>
      <c r="M1814" s="795">
        <v>9.1300000000000008</v>
      </c>
    </row>
    <row r="1815" spans="1:13" s="904" customFormat="1" x14ac:dyDescent="0.35">
      <c r="A1815" s="716">
        <v>106035</v>
      </c>
      <c r="C1815" s="904">
        <v>1.1200000000000001</v>
      </c>
      <c r="D1815" s="904">
        <v>0.08</v>
      </c>
      <c r="E1815" s="904">
        <v>0.53</v>
      </c>
      <c r="F1815" s="904">
        <v>0.01</v>
      </c>
      <c r="G1815" s="904">
        <v>1.92</v>
      </c>
      <c r="H1815" s="904">
        <v>0.25</v>
      </c>
      <c r="I1815" s="1974">
        <v>10.82</v>
      </c>
      <c r="J1815" s="1974">
        <v>3.33</v>
      </c>
      <c r="K1815" s="1974">
        <v>61.6</v>
      </c>
      <c r="L1815" s="1974">
        <v>135.13999999999999</v>
      </c>
      <c r="M1815" s="1974">
        <v>14.65</v>
      </c>
    </row>
    <row r="1816" spans="1:13" x14ac:dyDescent="0.35">
      <c r="A1816" s="716">
        <v>106036</v>
      </c>
      <c r="C1816" s="1250">
        <v>3.8947800000000004</v>
      </c>
      <c r="D1816" s="202">
        <v>0.54</v>
      </c>
      <c r="E1816" s="202">
        <v>2.74</v>
      </c>
      <c r="F1816" s="202">
        <v>7.0000000000000007E-2</v>
      </c>
      <c r="G1816" s="202">
        <v>6.66</v>
      </c>
      <c r="H1816" s="202">
        <v>1.04</v>
      </c>
      <c r="I1816" s="212">
        <v>41.16</v>
      </c>
      <c r="J1816" s="212">
        <v>11.59</v>
      </c>
      <c r="K1816" s="212">
        <v>226.09</v>
      </c>
      <c r="L1816" s="212">
        <v>93.44</v>
      </c>
      <c r="M1816" s="212">
        <v>66.150000000000006</v>
      </c>
    </row>
    <row r="1817" spans="1:13" x14ac:dyDescent="0.35">
      <c r="A1817" s="716">
        <v>106037</v>
      </c>
      <c r="C1817" s="1250">
        <v>3.8107200000000003</v>
      </c>
      <c r="D1817" s="202">
        <v>0.46</v>
      </c>
      <c r="E1817" s="202">
        <v>2.59</v>
      </c>
      <c r="F1817" s="202">
        <v>7.0000000000000007E-2</v>
      </c>
      <c r="G1817" s="202">
        <v>6.02</v>
      </c>
      <c r="H1817" s="202">
        <v>1.04</v>
      </c>
      <c r="I1817" s="212">
        <v>25.16</v>
      </c>
      <c r="J1817" s="212">
        <v>12.56</v>
      </c>
      <c r="K1817" s="212">
        <v>83.39</v>
      </c>
      <c r="L1817" s="212">
        <v>87.9</v>
      </c>
      <c r="M1817" s="212">
        <v>67.69</v>
      </c>
    </row>
    <row r="1818" spans="1:13" x14ac:dyDescent="0.35">
      <c r="A1818" s="716">
        <v>106038</v>
      </c>
      <c r="C1818" s="1250">
        <v>3.7266600000000003</v>
      </c>
      <c r="D1818" s="202">
        <v>0.35</v>
      </c>
      <c r="E1818" s="202">
        <v>1.7</v>
      </c>
      <c r="F1818" s="202">
        <v>0.02</v>
      </c>
      <c r="G1818" s="202">
        <v>3.28</v>
      </c>
      <c r="H1818" s="202">
        <v>0.88</v>
      </c>
      <c r="I1818" s="212">
        <v>18.98</v>
      </c>
      <c r="J1818" s="212">
        <v>5.39</v>
      </c>
      <c r="K1818" s="212">
        <v>80.06</v>
      </c>
      <c r="L1818" s="212">
        <v>102.46</v>
      </c>
      <c r="M1818" s="212">
        <v>30.26</v>
      </c>
    </row>
    <row r="1819" spans="1:13" x14ac:dyDescent="0.35">
      <c r="A1819" s="716">
        <v>106039</v>
      </c>
      <c r="C1819" s="1250">
        <v>4.8194399999999993</v>
      </c>
      <c r="D1819" s="202">
        <v>0.41</v>
      </c>
      <c r="E1819" s="202">
        <v>2.41</v>
      </c>
      <c r="F1819" s="202">
        <v>0.03</v>
      </c>
      <c r="G1819" s="202">
        <v>3.84</v>
      </c>
      <c r="H1819" s="202">
        <v>1.06</v>
      </c>
      <c r="I1819" s="212">
        <v>29.51</v>
      </c>
      <c r="J1819" s="212">
        <v>9.0500000000000007</v>
      </c>
      <c r="K1819" s="212">
        <v>225.35</v>
      </c>
      <c r="L1819" s="212">
        <v>125.26</v>
      </c>
      <c r="M1819" s="212">
        <v>47.62</v>
      </c>
    </row>
    <row r="1820" spans="1:13" x14ac:dyDescent="0.35">
      <c r="A1820" s="815">
        <v>106040</v>
      </c>
      <c r="B1820" s="1160"/>
      <c r="C1820" s="1160">
        <v>3.61</v>
      </c>
      <c r="D1820" s="1160">
        <v>0.31</v>
      </c>
      <c r="E1820" s="1160">
        <v>4.0599999999999996</v>
      </c>
      <c r="F1820" s="1160">
        <v>0.49</v>
      </c>
      <c r="G1820" s="1160">
        <v>3.12</v>
      </c>
      <c r="H1820" s="1160">
        <v>1.0900000000000001</v>
      </c>
      <c r="I1820" s="2008">
        <v>20.329999999999998</v>
      </c>
      <c r="J1820" s="2008">
        <v>7.42</v>
      </c>
      <c r="K1820" s="2008">
        <v>70.88</v>
      </c>
      <c r="L1820" s="2008">
        <v>83.32</v>
      </c>
      <c r="M1820" s="2008">
        <v>39.53</v>
      </c>
    </row>
    <row r="1821" spans="1:13" x14ac:dyDescent="0.35">
      <c r="A1821" s="815">
        <v>106041</v>
      </c>
      <c r="B1821" s="1160"/>
      <c r="C1821" s="1160">
        <v>4.6500000000000004</v>
      </c>
      <c r="D1821" s="1160">
        <v>0.51</v>
      </c>
      <c r="E1821" s="1160">
        <v>3.45</v>
      </c>
      <c r="F1821" s="1160">
        <v>0.26</v>
      </c>
      <c r="G1821" s="1160">
        <v>3.35</v>
      </c>
      <c r="H1821" s="1160">
        <v>1</v>
      </c>
      <c r="I1821" s="2008">
        <v>16.32</v>
      </c>
      <c r="J1821" s="2008">
        <v>13.07</v>
      </c>
      <c r="K1821" s="2008">
        <v>75.06</v>
      </c>
      <c r="L1821" s="2008">
        <v>126.7</v>
      </c>
      <c r="M1821" s="2008">
        <v>52.4</v>
      </c>
    </row>
    <row r="1822" spans="1:13" x14ac:dyDescent="0.35">
      <c r="A1822" s="698">
        <v>106042</v>
      </c>
      <c r="B1822" s="1083"/>
      <c r="C1822" s="2024">
        <v>2.9701199999999996</v>
      </c>
      <c r="D1822" s="1083">
        <v>0.26</v>
      </c>
      <c r="E1822" s="1083">
        <v>3.34</v>
      </c>
      <c r="F1822" s="1083">
        <v>0.06</v>
      </c>
      <c r="G1822" s="1083">
        <v>4.4000000000000004</v>
      </c>
      <c r="H1822" s="1083">
        <v>2.13</v>
      </c>
      <c r="I1822" s="2020">
        <v>84.63</v>
      </c>
      <c r="J1822" s="2020">
        <v>2.2999999999999998</v>
      </c>
      <c r="K1822" s="2020">
        <v>149.58000000000001</v>
      </c>
      <c r="L1822" s="2020">
        <v>69.64</v>
      </c>
      <c r="M1822" s="2020">
        <v>58.56</v>
      </c>
    </row>
    <row r="1823" spans="1:13" x14ac:dyDescent="0.35">
      <c r="A1823" s="698">
        <v>106043</v>
      </c>
      <c r="B1823" s="1083"/>
      <c r="C1823" s="2024">
        <v>3.4744800000000002</v>
      </c>
      <c r="D1823" s="1083">
        <v>0.27</v>
      </c>
      <c r="E1823" s="1083">
        <v>4.7</v>
      </c>
      <c r="F1823" s="1083">
        <v>0.03</v>
      </c>
      <c r="G1823" s="1083">
        <v>4.1500000000000004</v>
      </c>
      <c r="H1823" s="1083">
        <v>1.44</v>
      </c>
      <c r="I1823" s="2020">
        <v>214.67</v>
      </c>
      <c r="J1823" s="2020">
        <v>8.1199999999999992</v>
      </c>
      <c r="K1823" s="2020">
        <v>162.97</v>
      </c>
      <c r="L1823" s="2020">
        <v>79.91</v>
      </c>
      <c r="M1823" s="2020">
        <v>163.1</v>
      </c>
    </row>
    <row r="1824" spans="1:13" x14ac:dyDescent="0.35">
      <c r="A1824" s="698">
        <v>106044</v>
      </c>
      <c r="B1824" s="1083"/>
      <c r="C1824" s="2024">
        <v>3.3063600000000002</v>
      </c>
      <c r="D1824" s="1083">
        <v>0.44</v>
      </c>
      <c r="E1824" s="1083">
        <v>2.72</v>
      </c>
      <c r="F1824" s="1083">
        <v>0.12</v>
      </c>
      <c r="G1824" s="1083">
        <v>5.28</v>
      </c>
      <c r="H1824" s="1083">
        <v>1.33</v>
      </c>
      <c r="I1824" s="2020">
        <v>44.59</v>
      </c>
      <c r="J1824" s="2020">
        <v>4.5</v>
      </c>
      <c r="K1824" s="2020">
        <v>379.33</v>
      </c>
      <c r="L1824" s="2020">
        <v>63.6</v>
      </c>
      <c r="M1824" s="2020">
        <v>104.98</v>
      </c>
    </row>
    <row r="1825" spans="1:13" x14ac:dyDescent="0.35">
      <c r="A1825" s="698">
        <v>106045</v>
      </c>
      <c r="B1825" s="1083"/>
      <c r="C1825" s="2024">
        <v>3.8107200000000003</v>
      </c>
      <c r="D1825" s="1083">
        <v>0.22</v>
      </c>
      <c r="E1825" s="1083">
        <v>5.46</v>
      </c>
      <c r="F1825" s="1083">
        <v>0.02</v>
      </c>
      <c r="G1825" s="1083">
        <v>3.9</v>
      </c>
      <c r="H1825" s="1083">
        <v>1.17</v>
      </c>
      <c r="I1825" s="2020">
        <v>24.09</v>
      </c>
      <c r="J1825" s="2020">
        <v>3.72</v>
      </c>
      <c r="K1825" s="2020">
        <v>57.43</v>
      </c>
      <c r="L1825" s="2020">
        <v>89.11</v>
      </c>
      <c r="M1825" s="2020">
        <v>114.75</v>
      </c>
    </row>
    <row r="1826" spans="1:13" x14ac:dyDescent="0.35">
      <c r="A1826" s="698">
        <v>106046</v>
      </c>
      <c r="B1826" s="1083"/>
      <c r="C1826" s="2024">
        <v>3.4464600000000001</v>
      </c>
      <c r="D1826" s="1083">
        <v>0.28000000000000003</v>
      </c>
      <c r="E1826" s="1083">
        <v>3.99</v>
      </c>
      <c r="F1826" s="1083">
        <v>0.02</v>
      </c>
      <c r="G1826" s="1083">
        <v>4.2699999999999996</v>
      </c>
      <c r="H1826" s="1083">
        <v>1.68</v>
      </c>
      <c r="I1826" s="2020">
        <v>247.06</v>
      </c>
      <c r="J1826" s="2020">
        <v>4.9000000000000004</v>
      </c>
      <c r="K1826" s="2020">
        <v>162.91</v>
      </c>
      <c r="L1826" s="2020">
        <v>87.52</v>
      </c>
      <c r="M1826" s="2020">
        <v>121.75</v>
      </c>
    </row>
    <row r="1827" spans="1:13" x14ac:dyDescent="0.35">
      <c r="A1827" s="698">
        <v>106047</v>
      </c>
      <c r="B1827" s="1083"/>
      <c r="C1827" s="2024">
        <v>2.802</v>
      </c>
      <c r="D1827" s="1083">
        <v>0.23</v>
      </c>
      <c r="E1827" s="1083">
        <v>3.29</v>
      </c>
      <c r="F1827" s="1083">
        <v>0.03</v>
      </c>
      <c r="G1827" s="1083">
        <v>4.03</v>
      </c>
      <c r="H1827" s="1083">
        <v>1.4</v>
      </c>
      <c r="I1827" s="2020">
        <v>24.55</v>
      </c>
      <c r="J1827" s="2020">
        <v>3.14</v>
      </c>
      <c r="K1827" s="2020">
        <v>51.05</v>
      </c>
      <c r="L1827" s="2020">
        <v>70.39</v>
      </c>
      <c r="M1827" s="2020">
        <v>120.2</v>
      </c>
    </row>
    <row r="1828" spans="1:13" x14ac:dyDescent="0.35">
      <c r="A1828" s="698">
        <v>106048</v>
      </c>
      <c r="B1828" s="1083"/>
      <c r="C1828" s="2024">
        <v>3.5305200000000001</v>
      </c>
      <c r="D1828" s="1083">
        <v>0.22</v>
      </c>
      <c r="E1828" s="1083">
        <v>3.83</v>
      </c>
      <c r="F1828" s="1083">
        <v>7.0000000000000007E-2</v>
      </c>
      <c r="G1828" s="1083">
        <v>4.68</v>
      </c>
      <c r="H1828" s="1083">
        <v>1.04</v>
      </c>
      <c r="I1828" s="2020">
        <v>14.14</v>
      </c>
      <c r="J1828" s="2020">
        <v>4.0599999999999996</v>
      </c>
      <c r="K1828" s="2020">
        <v>31.86</v>
      </c>
      <c r="L1828" s="2020">
        <v>67.63</v>
      </c>
      <c r="M1828" s="2020">
        <v>34.67</v>
      </c>
    </row>
    <row r="1829" spans="1:13" x14ac:dyDescent="0.35">
      <c r="A1829" s="698">
        <v>106049</v>
      </c>
      <c r="B1829" s="1083"/>
      <c r="C1829" s="2024">
        <v>4.1749799999999997</v>
      </c>
      <c r="D1829" s="1083">
        <v>0.26</v>
      </c>
      <c r="E1829" s="1083">
        <v>4.1399999999999997</v>
      </c>
      <c r="F1829" s="1083">
        <v>7.0000000000000007E-2</v>
      </c>
      <c r="G1829" s="1083">
        <v>5.62</v>
      </c>
      <c r="H1829" s="1083">
        <v>1.51</v>
      </c>
      <c r="I1829" s="2020">
        <v>17.84</v>
      </c>
      <c r="J1829" s="2020">
        <v>6.59</v>
      </c>
      <c r="K1829" s="2020">
        <v>32.92</v>
      </c>
      <c r="L1829" s="2020">
        <v>74.930000000000007</v>
      </c>
      <c r="M1829" s="2020">
        <v>28.02</v>
      </c>
    </row>
    <row r="1830" spans="1:13" x14ac:dyDescent="0.35">
      <c r="A1830" s="698">
        <v>106050</v>
      </c>
      <c r="B1830" s="1083"/>
      <c r="C1830" s="2024">
        <v>4.7914199999999996</v>
      </c>
      <c r="D1830" s="1083">
        <v>0.45</v>
      </c>
      <c r="E1830" s="1083">
        <v>3.55</v>
      </c>
      <c r="F1830" s="1083">
        <v>0.09</v>
      </c>
      <c r="G1830" s="1083">
        <v>6.05</v>
      </c>
      <c r="H1830" s="1083">
        <v>1.76</v>
      </c>
      <c r="I1830" s="2020">
        <v>40.36</v>
      </c>
      <c r="J1830" s="2020">
        <v>8.5500000000000007</v>
      </c>
      <c r="K1830" s="2020">
        <v>40.299999999999997</v>
      </c>
      <c r="L1830" s="2020">
        <v>88.13</v>
      </c>
      <c r="M1830" s="2020">
        <v>37.92</v>
      </c>
    </row>
    <row r="1831" spans="1:13" x14ac:dyDescent="0.35">
      <c r="A1831" s="2046">
        <v>106051</v>
      </c>
      <c r="B1831" s="2047"/>
      <c r="C1831" s="2047">
        <v>1.04</v>
      </c>
      <c r="D1831" s="2047">
        <v>0.13</v>
      </c>
      <c r="E1831" s="2047">
        <v>0.77</v>
      </c>
      <c r="F1831" s="2047">
        <v>0.08</v>
      </c>
      <c r="G1831" s="2047">
        <v>2.2799999999999998</v>
      </c>
      <c r="H1831" s="2047">
        <v>0.13</v>
      </c>
      <c r="I1831" s="2050">
        <v>39.56</v>
      </c>
      <c r="J1831" s="2050">
        <v>455.69</v>
      </c>
      <c r="K1831" s="2050">
        <v>73.05</v>
      </c>
      <c r="L1831" s="2050">
        <v>176.95</v>
      </c>
      <c r="M1831" s="2050">
        <v>21.43</v>
      </c>
    </row>
    <row r="1832" spans="1:13" x14ac:dyDescent="0.35">
      <c r="A1832" s="2046">
        <v>106052</v>
      </c>
      <c r="B1832" s="2047"/>
      <c r="C1832" s="2047">
        <v>2.1</v>
      </c>
      <c r="D1832" s="2047">
        <v>0.14000000000000001</v>
      </c>
      <c r="E1832" s="2047">
        <v>0.91</v>
      </c>
      <c r="F1832" s="2047">
        <v>0.08</v>
      </c>
      <c r="G1832" s="2047">
        <v>1.5</v>
      </c>
      <c r="H1832" s="2047">
        <v>0.1</v>
      </c>
      <c r="I1832" s="2050">
        <v>22.47</v>
      </c>
      <c r="J1832" s="2050">
        <v>135.25</v>
      </c>
      <c r="K1832" s="2050">
        <v>44.5</v>
      </c>
      <c r="L1832" s="2050">
        <v>171.97</v>
      </c>
      <c r="M1832" s="2050">
        <v>21.82</v>
      </c>
    </row>
    <row r="1833" spans="1:13" x14ac:dyDescent="0.35">
      <c r="A1833" s="2046">
        <v>106053</v>
      </c>
      <c r="B1833" s="2047"/>
      <c r="C1833" s="2047">
        <v>1.93</v>
      </c>
      <c r="D1833" s="2047">
        <v>0.13</v>
      </c>
      <c r="E1833" s="2047">
        <v>0.94</v>
      </c>
      <c r="F1833" s="2047">
        <v>0.06</v>
      </c>
      <c r="G1833" s="2047">
        <v>1.49</v>
      </c>
      <c r="H1833" s="2047">
        <v>0.1</v>
      </c>
      <c r="I1833" s="2050">
        <v>20.29</v>
      </c>
      <c r="J1833" s="2050">
        <v>140.76</v>
      </c>
      <c r="K1833" s="2050">
        <v>62.81</v>
      </c>
      <c r="L1833" s="2050">
        <v>156.02000000000001</v>
      </c>
      <c r="M1833" s="2050">
        <v>20.02</v>
      </c>
    </row>
    <row r="1834" spans="1:13" x14ac:dyDescent="0.35">
      <c r="A1834" s="2046">
        <v>106054</v>
      </c>
      <c r="B1834" s="2047"/>
      <c r="C1834" s="2047">
        <v>1.88</v>
      </c>
      <c r="D1834" s="2047">
        <v>0.12</v>
      </c>
      <c r="E1834" s="2047">
        <v>0.87</v>
      </c>
      <c r="F1834" s="2047">
        <v>0.08</v>
      </c>
      <c r="G1834" s="2047">
        <v>1.32</v>
      </c>
      <c r="H1834" s="2047">
        <v>0.14000000000000001</v>
      </c>
      <c r="I1834" s="2050">
        <v>16.62</v>
      </c>
      <c r="J1834" s="2050">
        <v>145.55000000000001</v>
      </c>
      <c r="K1834" s="2050">
        <v>42.54</v>
      </c>
      <c r="L1834" s="2050">
        <v>164.21</v>
      </c>
      <c r="M1834" s="2050">
        <v>22.81</v>
      </c>
    </row>
    <row r="1835" spans="1:13" x14ac:dyDescent="0.35">
      <c r="A1835" s="1889">
        <v>106055</v>
      </c>
      <c r="B1835" s="1890"/>
      <c r="C1835" s="1893">
        <v>1.59714</v>
      </c>
      <c r="D1835" s="1890">
        <v>0.11</v>
      </c>
      <c r="E1835" s="1890">
        <v>1.95</v>
      </c>
      <c r="F1835" s="1890">
        <v>0.06</v>
      </c>
      <c r="G1835" s="1890">
        <v>3.74</v>
      </c>
      <c r="H1835" s="1890">
        <v>0.16</v>
      </c>
      <c r="I1835" s="1890">
        <v>14.77</v>
      </c>
      <c r="J1835" s="2056">
        <v>5.91</v>
      </c>
      <c r="K1835" s="2056">
        <v>22.62</v>
      </c>
      <c r="L1835" s="2056">
        <v>118</v>
      </c>
      <c r="M1835" s="2056">
        <v>68.09</v>
      </c>
    </row>
    <row r="1836" spans="1:13" x14ac:dyDescent="0.35">
      <c r="A1836" s="1889">
        <v>106056</v>
      </c>
      <c r="B1836" s="1890"/>
      <c r="C1836" s="1893">
        <v>1.79328</v>
      </c>
      <c r="D1836" s="1890">
        <v>0.19</v>
      </c>
      <c r="E1836" s="1890">
        <v>2.06</v>
      </c>
      <c r="F1836" s="1890">
        <v>0.04</v>
      </c>
      <c r="G1836" s="1890">
        <v>3.6</v>
      </c>
      <c r="H1836" s="1890">
        <v>0.14000000000000001</v>
      </c>
      <c r="I1836" s="1890">
        <v>11.71</v>
      </c>
      <c r="J1836" s="2056">
        <v>6.06</v>
      </c>
      <c r="K1836" s="2056">
        <v>29.95</v>
      </c>
      <c r="L1836" s="2056">
        <v>94.06</v>
      </c>
      <c r="M1836" s="2056">
        <v>118.48</v>
      </c>
    </row>
    <row r="1837" spans="1:13" x14ac:dyDescent="0.35">
      <c r="A1837" s="1889">
        <v>106057</v>
      </c>
      <c r="B1837" s="1890"/>
      <c r="C1837" s="1893">
        <v>2.1014999999999997</v>
      </c>
      <c r="D1837" s="1890">
        <v>0.11</v>
      </c>
      <c r="E1837" s="1890">
        <v>0.82</v>
      </c>
      <c r="F1837" s="1890">
        <v>0.05</v>
      </c>
      <c r="G1837" s="1890">
        <v>5.35</v>
      </c>
      <c r="H1837" s="1890">
        <v>0.23</v>
      </c>
      <c r="I1837" s="1890">
        <v>13.91</v>
      </c>
      <c r="J1837" s="2056">
        <v>4.96</v>
      </c>
      <c r="K1837" s="2056">
        <v>28.11</v>
      </c>
      <c r="L1837" s="2056">
        <v>119.97</v>
      </c>
      <c r="M1837" s="2056">
        <v>86.09</v>
      </c>
    </row>
    <row r="1838" spans="1:13" x14ac:dyDescent="0.35">
      <c r="A1838" s="1889">
        <v>106058</v>
      </c>
      <c r="B1838" s="1890"/>
      <c r="C1838" s="1893">
        <v>1.8493200000000001</v>
      </c>
      <c r="D1838" s="1890">
        <v>0.1</v>
      </c>
      <c r="E1838" s="1890">
        <v>1.02</v>
      </c>
      <c r="F1838" s="1890">
        <v>0.06</v>
      </c>
      <c r="G1838" s="1890">
        <v>4.79</v>
      </c>
      <c r="H1838" s="1890">
        <v>0.15</v>
      </c>
      <c r="I1838" s="1890">
        <v>12.58</v>
      </c>
      <c r="J1838" s="2056">
        <v>3.9</v>
      </c>
      <c r="K1838" s="2056">
        <v>35.08</v>
      </c>
      <c r="L1838" s="2056">
        <v>92.85</v>
      </c>
      <c r="M1838" s="2056">
        <v>86.11</v>
      </c>
    </row>
    <row r="1839" spans="1:13" x14ac:dyDescent="0.35">
      <c r="A1839" s="1889">
        <v>106059</v>
      </c>
      <c r="B1839" s="1890"/>
      <c r="C1839" s="1893">
        <v>1.6811999999999998</v>
      </c>
      <c r="D1839" s="1890">
        <v>0.1</v>
      </c>
      <c r="E1839" s="1890">
        <v>1.04</v>
      </c>
      <c r="F1839" s="1890">
        <v>7.0000000000000007E-2</v>
      </c>
      <c r="G1839" s="1890">
        <v>4.91</v>
      </c>
      <c r="H1839" s="1890">
        <v>0.2</v>
      </c>
      <c r="I1839" s="1890">
        <v>23.92</v>
      </c>
      <c r="J1839" s="2056">
        <v>6.86</v>
      </c>
      <c r="K1839" s="2056">
        <v>31.88</v>
      </c>
      <c r="L1839" s="2056">
        <v>114.56</v>
      </c>
      <c r="M1839" s="2056">
        <v>139.68</v>
      </c>
    </row>
    <row r="1840" spans="1:13" x14ac:dyDescent="0.35">
      <c r="A1840" s="1889">
        <v>106060</v>
      </c>
      <c r="B1840" s="1890"/>
      <c r="C1840" s="1893">
        <v>1.7372400000000001</v>
      </c>
      <c r="D1840" s="1890">
        <v>0.1</v>
      </c>
      <c r="E1840" s="1890">
        <v>0.95</v>
      </c>
      <c r="F1840" s="1890">
        <v>0.05</v>
      </c>
      <c r="G1840" s="1890">
        <v>5.21</v>
      </c>
      <c r="H1840" s="1890">
        <v>0.21</v>
      </c>
      <c r="I1840" s="1890">
        <v>18.579999999999998</v>
      </c>
      <c r="J1840" s="2056">
        <v>3</v>
      </c>
      <c r="K1840" s="2056">
        <v>29.81</v>
      </c>
      <c r="L1840" s="2056">
        <v>107.46</v>
      </c>
      <c r="M1840" s="2056">
        <v>95.96</v>
      </c>
    </row>
    <row r="1841" spans="1:13" x14ac:dyDescent="0.35">
      <c r="A1841" s="1889">
        <v>106061</v>
      </c>
      <c r="B1841" s="1890"/>
      <c r="C1841" s="1893">
        <v>2.0734800000000004</v>
      </c>
      <c r="D1841" s="1890">
        <v>0.13</v>
      </c>
      <c r="E1841" s="1890">
        <v>1.07</v>
      </c>
      <c r="F1841" s="1890">
        <v>0.04</v>
      </c>
      <c r="G1841" s="1890">
        <v>4.2</v>
      </c>
      <c r="H1841" s="1890">
        <v>0.2</v>
      </c>
      <c r="I1841" s="1890">
        <v>21.22</v>
      </c>
      <c r="J1841" s="2056">
        <v>3.69</v>
      </c>
      <c r="K1841" s="2056">
        <v>26.98</v>
      </c>
      <c r="L1841" s="2056">
        <v>100.74</v>
      </c>
      <c r="M1841" s="2056">
        <v>101.47</v>
      </c>
    </row>
    <row r="1842" spans="1:13" x14ac:dyDescent="0.35">
      <c r="A1842" s="1889">
        <v>106062</v>
      </c>
      <c r="B1842" s="1890"/>
      <c r="C1842" s="1893">
        <v>1.9053600000000002</v>
      </c>
      <c r="D1842" s="1890">
        <v>0.13</v>
      </c>
      <c r="E1842" s="1890">
        <v>1.1399999999999999</v>
      </c>
      <c r="F1842" s="1890">
        <v>0.05</v>
      </c>
      <c r="G1842" s="1890">
        <v>4.46</v>
      </c>
      <c r="H1842" s="1890">
        <v>0.37</v>
      </c>
      <c r="I1842" s="1890">
        <v>12.99</v>
      </c>
      <c r="J1842" s="2056">
        <v>5.45</v>
      </c>
      <c r="K1842" s="2056">
        <v>18.100000000000001</v>
      </c>
      <c r="L1842" s="2056">
        <v>77.08</v>
      </c>
      <c r="M1842" s="2056">
        <v>125.58</v>
      </c>
    </row>
    <row r="1843" spans="1:13" x14ac:dyDescent="0.35">
      <c r="A1843" s="1864">
        <v>106063</v>
      </c>
      <c r="B1843" s="1161"/>
      <c r="C1843" s="2060">
        <v>3.75468</v>
      </c>
      <c r="D1843" s="1161">
        <v>0.32</v>
      </c>
      <c r="E1843" s="1161">
        <v>1.1100000000000001</v>
      </c>
      <c r="F1843" s="1161">
        <v>0.03</v>
      </c>
      <c r="G1843" s="1161">
        <v>0.67</v>
      </c>
      <c r="H1843" s="1161">
        <v>0.3</v>
      </c>
      <c r="I1843" s="1161">
        <v>77.13</v>
      </c>
      <c r="J1843" s="2061">
        <v>15.82</v>
      </c>
      <c r="K1843" s="2061">
        <v>53.51</v>
      </c>
      <c r="L1843" s="2061">
        <v>117.17</v>
      </c>
      <c r="M1843" s="2061">
        <v>42.64</v>
      </c>
    </row>
    <row r="1844" spans="1:13" x14ac:dyDescent="0.35">
      <c r="A1844" s="1864">
        <v>106064</v>
      </c>
      <c r="B1844" s="1161"/>
      <c r="C1844" s="2060">
        <v>4.5672599999999992</v>
      </c>
      <c r="D1844" s="1161">
        <v>0.36</v>
      </c>
      <c r="E1844" s="1161">
        <v>1.86</v>
      </c>
      <c r="F1844" s="1161">
        <v>0.02</v>
      </c>
      <c r="G1844" s="1161">
        <v>1.35</v>
      </c>
      <c r="H1844" s="1161">
        <v>0.39</v>
      </c>
      <c r="I1844" s="1161">
        <v>38.31</v>
      </c>
      <c r="J1844" s="2061">
        <v>8.74</v>
      </c>
      <c r="K1844" s="2061">
        <v>23.89</v>
      </c>
      <c r="L1844" s="2061">
        <v>63.62</v>
      </c>
      <c r="M1844" s="2061">
        <v>33.380000000000003</v>
      </c>
    </row>
    <row r="1845" spans="1:13" x14ac:dyDescent="0.35">
      <c r="A1845" s="1864">
        <v>106065</v>
      </c>
      <c r="B1845" s="1161"/>
      <c r="C1845" s="1161">
        <v>3.73</v>
      </c>
      <c r="D1845" s="1161">
        <v>0.37</v>
      </c>
      <c r="E1845" s="1161">
        <v>2.08</v>
      </c>
      <c r="F1845" s="1161">
        <v>0.02</v>
      </c>
      <c r="G1845" s="1161">
        <v>1.8</v>
      </c>
      <c r="H1845" s="1161">
        <v>0.45</v>
      </c>
      <c r="I1845" s="2061">
        <v>66.459999999999994</v>
      </c>
      <c r="J1845" s="2061">
        <v>9.07</v>
      </c>
      <c r="K1845" s="2061">
        <v>49.57</v>
      </c>
      <c r="L1845" s="2061">
        <v>85.51</v>
      </c>
      <c r="M1845" s="2061">
        <v>44.77</v>
      </c>
    </row>
    <row r="1846" spans="1:13" x14ac:dyDescent="0.35">
      <c r="A1846" s="2067">
        <v>106066</v>
      </c>
      <c r="B1846" s="1290"/>
      <c r="C1846" s="2068">
        <v>4.5392400000000004</v>
      </c>
      <c r="D1846" s="1290">
        <v>0.38</v>
      </c>
      <c r="E1846" s="1290">
        <v>1.83</v>
      </c>
      <c r="F1846" s="1290">
        <v>0.02</v>
      </c>
      <c r="G1846" s="1290">
        <v>1.1599999999999999</v>
      </c>
      <c r="H1846" s="1290">
        <v>0.28000000000000003</v>
      </c>
      <c r="I1846" s="2069">
        <v>75.27</v>
      </c>
      <c r="J1846" s="2069">
        <v>15.43</v>
      </c>
      <c r="K1846" s="2069">
        <v>53.71</v>
      </c>
      <c r="L1846" s="2069">
        <v>110.27</v>
      </c>
      <c r="M1846" s="2069">
        <v>29.49</v>
      </c>
    </row>
    <row r="1847" spans="1:13" x14ac:dyDescent="0.35">
      <c r="A1847" s="2067">
        <v>106067</v>
      </c>
      <c r="B1847" s="1290"/>
      <c r="C1847" s="2068">
        <v>4.5112199999999989</v>
      </c>
      <c r="D1847" s="1290">
        <v>0.36</v>
      </c>
      <c r="E1847" s="1290">
        <v>1.66</v>
      </c>
      <c r="F1847" s="1290">
        <v>0.01</v>
      </c>
      <c r="G1847" s="1290">
        <v>1.1399999999999999</v>
      </c>
      <c r="H1847" s="1290">
        <v>0.28000000000000003</v>
      </c>
      <c r="I1847" s="2069">
        <v>64.069999999999993</v>
      </c>
      <c r="J1847" s="2069">
        <v>13.89</v>
      </c>
      <c r="K1847" s="2069">
        <v>56.5</v>
      </c>
      <c r="L1847" s="2069">
        <v>94.88</v>
      </c>
      <c r="M1847" s="2069">
        <v>37.200000000000003</v>
      </c>
    </row>
    <row r="1848" spans="1:13" x14ac:dyDescent="0.35">
      <c r="A1848" s="2067">
        <v>106068</v>
      </c>
      <c r="B1848" s="1290"/>
      <c r="C1848" s="2068">
        <v>4.4832000000000001</v>
      </c>
      <c r="D1848" s="1290">
        <v>0.55000000000000004</v>
      </c>
      <c r="E1848" s="1290">
        <v>0.87</v>
      </c>
      <c r="F1848" s="1290">
        <v>0.02</v>
      </c>
      <c r="G1848" s="1290">
        <v>1.44</v>
      </c>
      <c r="H1848" s="1290">
        <v>0.26</v>
      </c>
      <c r="I1848" s="2069">
        <v>61.52</v>
      </c>
      <c r="J1848" s="2069">
        <v>17.88</v>
      </c>
      <c r="K1848" s="2069">
        <v>194.73</v>
      </c>
      <c r="L1848" s="2069">
        <v>120.77</v>
      </c>
      <c r="M1848" s="2069">
        <v>51.3</v>
      </c>
    </row>
    <row r="1849" spans="1:13" x14ac:dyDescent="0.35">
      <c r="A1849" s="2067">
        <v>106069</v>
      </c>
      <c r="B1849" s="1290"/>
      <c r="C1849" s="2068">
        <v>3.4744800000000002</v>
      </c>
      <c r="D1849" s="1290">
        <v>0.45</v>
      </c>
      <c r="E1849" s="1290">
        <v>1.1499999999999999</v>
      </c>
      <c r="F1849" s="1290">
        <v>0.02</v>
      </c>
      <c r="G1849" s="1290">
        <v>1.38</v>
      </c>
      <c r="H1849" s="1290">
        <v>0.28000000000000003</v>
      </c>
      <c r="I1849" s="2069">
        <v>123.7</v>
      </c>
      <c r="J1849" s="2069">
        <v>10.83</v>
      </c>
      <c r="K1849" s="2069">
        <v>228.65</v>
      </c>
      <c r="L1849" s="2069">
        <v>60.76</v>
      </c>
      <c r="M1849" s="2069">
        <v>53.68</v>
      </c>
    </row>
    <row r="1850" spans="1:13" x14ac:dyDescent="0.35">
      <c r="A1850" s="2077">
        <v>106070</v>
      </c>
      <c r="B1850" s="1083"/>
      <c r="C1850" s="1083">
        <v>3.05</v>
      </c>
      <c r="D1850" s="1083">
        <v>0.39</v>
      </c>
      <c r="E1850" s="1083">
        <v>4.46</v>
      </c>
      <c r="F1850" s="1083">
        <v>0.03</v>
      </c>
      <c r="G1850" s="1083">
        <v>3.28</v>
      </c>
      <c r="H1850" s="1083">
        <v>1.28</v>
      </c>
      <c r="I1850" s="2020">
        <v>61.87</v>
      </c>
      <c r="J1850" s="2020">
        <v>4.74</v>
      </c>
      <c r="K1850" s="2020">
        <v>35.840000000000003</v>
      </c>
      <c r="L1850" s="2020">
        <v>120.86</v>
      </c>
      <c r="M1850" s="2020">
        <v>58.2</v>
      </c>
    </row>
    <row r="1851" spans="1:13" x14ac:dyDescent="0.35">
      <c r="A1851" s="2077">
        <v>106071</v>
      </c>
      <c r="B1851" s="1083"/>
      <c r="C1851" s="1083">
        <v>2.44</v>
      </c>
      <c r="D1851" s="1083">
        <v>0.3</v>
      </c>
      <c r="E1851" s="1083">
        <v>3.64</v>
      </c>
      <c r="F1851" s="1083">
        <v>0.04</v>
      </c>
      <c r="G1851" s="1083">
        <v>4.59</v>
      </c>
      <c r="H1851" s="1083">
        <v>1.59</v>
      </c>
      <c r="I1851" s="2020">
        <v>66.97</v>
      </c>
      <c r="J1851" s="2020">
        <v>2.84</v>
      </c>
      <c r="K1851" s="2020">
        <v>55.69</v>
      </c>
      <c r="L1851" s="2020">
        <v>101.38</v>
      </c>
      <c r="M1851" s="2020">
        <v>67.38</v>
      </c>
    </row>
    <row r="1852" spans="1:13" x14ac:dyDescent="0.35">
      <c r="A1852" s="2077">
        <v>106072</v>
      </c>
      <c r="B1852" s="1083"/>
      <c r="C1852" s="1083">
        <v>4.2300000000000004</v>
      </c>
      <c r="D1852" s="1083">
        <v>0.41</v>
      </c>
      <c r="E1852" s="1083">
        <v>8.84</v>
      </c>
      <c r="F1852" s="1083">
        <v>0.04</v>
      </c>
      <c r="G1852" s="1083">
        <v>2.91</v>
      </c>
      <c r="H1852" s="1083">
        <v>1.53</v>
      </c>
      <c r="I1852" s="2020">
        <v>84.45</v>
      </c>
      <c r="J1852" s="2020">
        <v>9.73</v>
      </c>
      <c r="K1852" s="2020">
        <v>144.22</v>
      </c>
      <c r="L1852" s="2020">
        <v>126.81</v>
      </c>
      <c r="M1852" s="2020">
        <v>43.68</v>
      </c>
    </row>
    <row r="1853" spans="1:13" x14ac:dyDescent="0.35">
      <c r="A1853" s="2077">
        <v>106073</v>
      </c>
      <c r="B1853" s="1083"/>
      <c r="C1853" s="1083">
        <v>4.99</v>
      </c>
      <c r="D1853" s="1083">
        <v>0.46</v>
      </c>
      <c r="E1853" s="1083">
        <v>6.95</v>
      </c>
      <c r="F1853" s="1083">
        <v>0.04</v>
      </c>
      <c r="G1853" s="1083">
        <v>4.72</v>
      </c>
      <c r="H1853" s="1083">
        <v>1.45</v>
      </c>
      <c r="I1853" s="2020">
        <v>35.82</v>
      </c>
      <c r="J1853" s="2020">
        <v>5.27</v>
      </c>
      <c r="K1853" s="2020">
        <v>38.82</v>
      </c>
      <c r="L1853" s="2020">
        <v>124.08</v>
      </c>
      <c r="M1853" s="2020">
        <v>100.56</v>
      </c>
    </row>
    <row r="1854" spans="1:13" x14ac:dyDescent="0.35">
      <c r="A1854" s="2077">
        <v>106074</v>
      </c>
      <c r="B1854" s="1083"/>
      <c r="C1854" s="1083">
        <v>4.03</v>
      </c>
      <c r="D1854" s="1083">
        <v>0.28000000000000003</v>
      </c>
      <c r="E1854" s="1083">
        <v>4.62</v>
      </c>
      <c r="F1854" s="1083">
        <v>0.08</v>
      </c>
      <c r="G1854" s="1083">
        <v>6.46</v>
      </c>
      <c r="H1854" s="1083">
        <v>3.02</v>
      </c>
      <c r="I1854" s="2020">
        <v>62.91</v>
      </c>
      <c r="J1854" s="2020">
        <v>4.92</v>
      </c>
      <c r="K1854" s="2020">
        <v>54.5</v>
      </c>
      <c r="L1854" s="2020">
        <v>211.29</v>
      </c>
      <c r="M1854" s="2020">
        <v>115.31</v>
      </c>
    </row>
    <row r="1855" spans="1:13" x14ac:dyDescent="0.35">
      <c r="A1855" s="2077">
        <v>106075</v>
      </c>
      <c r="B1855" s="1083"/>
      <c r="C1855" s="1083">
        <v>4.76</v>
      </c>
      <c r="D1855" s="1083">
        <v>0.23</v>
      </c>
      <c r="E1855" s="1083">
        <v>3.47</v>
      </c>
      <c r="F1855" s="1083">
        <v>0.03</v>
      </c>
      <c r="G1855" s="1083">
        <v>4.9000000000000004</v>
      </c>
      <c r="H1855" s="1083">
        <v>1.39</v>
      </c>
      <c r="I1855" s="2020">
        <v>39.11</v>
      </c>
      <c r="J1855" s="2020">
        <v>9.73</v>
      </c>
      <c r="K1855" s="2020">
        <v>41.11</v>
      </c>
      <c r="L1855" s="2020">
        <v>142.26</v>
      </c>
      <c r="M1855" s="2020">
        <v>126.75</v>
      </c>
    </row>
    <row r="1856" spans="1:13" x14ac:dyDescent="0.35">
      <c r="A1856" s="2077">
        <v>106076</v>
      </c>
      <c r="B1856" s="1083"/>
      <c r="C1856" s="1083">
        <v>2.27</v>
      </c>
      <c r="D1856" s="1083">
        <v>0.28000000000000003</v>
      </c>
      <c r="E1856" s="1083">
        <v>6.55</v>
      </c>
      <c r="F1856" s="1083">
        <v>0.05</v>
      </c>
      <c r="G1856" s="1083">
        <v>5.33</v>
      </c>
      <c r="H1856" s="1083">
        <v>1.99</v>
      </c>
      <c r="I1856" s="2020">
        <v>67.510000000000005</v>
      </c>
      <c r="J1856" s="2020">
        <v>5.7</v>
      </c>
      <c r="K1856" s="2020">
        <v>43.65</v>
      </c>
      <c r="L1856" s="2020">
        <v>223.28</v>
      </c>
      <c r="M1856" s="2020">
        <v>101.89</v>
      </c>
    </row>
    <row r="1857" spans="1:13" x14ac:dyDescent="0.35">
      <c r="A1857" s="2077">
        <v>106077</v>
      </c>
      <c r="B1857" s="1083"/>
      <c r="C1857" s="1083">
        <v>0.06</v>
      </c>
      <c r="D1857" s="1083">
        <v>7.0000000000000007E-2</v>
      </c>
      <c r="E1857" s="1083">
        <v>0.68</v>
      </c>
      <c r="F1857" s="1083">
        <v>0.02</v>
      </c>
      <c r="G1857" s="1083">
        <v>2.14</v>
      </c>
      <c r="H1857" s="1083">
        <v>0.25</v>
      </c>
      <c r="I1857" s="2020">
        <v>22.95</v>
      </c>
      <c r="J1857" s="2020">
        <v>8.86</v>
      </c>
      <c r="K1857" s="2020">
        <v>70.459999999999994</v>
      </c>
      <c r="L1857" s="2020">
        <v>199.42</v>
      </c>
      <c r="M1857" s="2020">
        <v>24.84</v>
      </c>
    </row>
    <row r="1858" spans="1:13" x14ac:dyDescent="0.35">
      <c r="A1858" s="2093">
        <v>106078</v>
      </c>
      <c r="B1858" s="1160"/>
      <c r="C1858" s="1160">
        <v>4.12</v>
      </c>
      <c r="D1858" s="1160">
        <v>0.65</v>
      </c>
      <c r="E1858" s="1160">
        <v>3.48</v>
      </c>
      <c r="F1858" s="1160">
        <v>7.0000000000000007E-2</v>
      </c>
      <c r="G1858" s="1160">
        <v>1.85</v>
      </c>
      <c r="H1858" s="1160">
        <v>0.53</v>
      </c>
      <c r="I1858" s="2008">
        <v>23.6</v>
      </c>
      <c r="J1858" s="2008">
        <v>24.8</v>
      </c>
      <c r="K1858" s="2008">
        <v>40.96</v>
      </c>
      <c r="L1858" s="2008">
        <v>98.88</v>
      </c>
      <c r="M1858" s="2008">
        <v>66.819999999999993</v>
      </c>
    </row>
    <row r="1859" spans="1:13" x14ac:dyDescent="0.35">
      <c r="A1859" s="2093">
        <v>106079</v>
      </c>
      <c r="B1859" s="1160"/>
      <c r="C1859" s="1160">
        <v>4.54</v>
      </c>
      <c r="D1859" s="1160">
        <v>0.97</v>
      </c>
      <c r="E1859" s="1160">
        <v>4.25</v>
      </c>
      <c r="F1859" s="1160">
        <v>0.1</v>
      </c>
      <c r="G1859" s="1160">
        <v>2.33</v>
      </c>
      <c r="H1859" s="1160">
        <v>0.83</v>
      </c>
      <c r="I1859" s="2008">
        <v>34.979999999999997</v>
      </c>
      <c r="J1859" s="2008">
        <v>27.41</v>
      </c>
      <c r="K1859" s="2008">
        <v>44.05</v>
      </c>
      <c r="L1859" s="2008">
        <v>156.03</v>
      </c>
      <c r="M1859" s="2008">
        <v>72.12</v>
      </c>
    </row>
    <row r="1860" spans="1:13" x14ac:dyDescent="0.35">
      <c r="A1860" s="2046">
        <v>106080</v>
      </c>
      <c r="B1860" s="2047"/>
      <c r="C1860" s="2121">
        <v>2.4377400000000002</v>
      </c>
      <c r="D1860" s="2047">
        <v>0.17</v>
      </c>
      <c r="E1860" s="2047">
        <v>0.9</v>
      </c>
      <c r="F1860" s="2047">
        <v>0.01</v>
      </c>
      <c r="G1860" s="2047">
        <v>1.54</v>
      </c>
      <c r="H1860" s="2047">
        <v>0.24</v>
      </c>
      <c r="I1860" s="2050">
        <v>24.84</v>
      </c>
      <c r="J1860" s="2050">
        <v>623.6</v>
      </c>
      <c r="K1860" s="2050">
        <v>412.82</v>
      </c>
      <c r="L1860" s="2050">
        <v>93.24</v>
      </c>
      <c r="M1860" s="2050">
        <v>40.57</v>
      </c>
    </row>
    <row r="1861" spans="1:13" x14ac:dyDescent="0.35">
      <c r="A1861" s="2046">
        <v>106081</v>
      </c>
      <c r="B1861" s="2047"/>
      <c r="C1861" s="2121">
        <v>2.2976400000000003</v>
      </c>
      <c r="D1861" s="2047">
        <v>0.19</v>
      </c>
      <c r="E1861" s="2047">
        <v>0.92</v>
      </c>
      <c r="F1861" s="2047">
        <v>0.01</v>
      </c>
      <c r="G1861" s="2047">
        <v>1.9</v>
      </c>
      <c r="H1861" s="2047">
        <v>0.16</v>
      </c>
      <c r="I1861" s="2050">
        <v>28.02</v>
      </c>
      <c r="J1861" s="2050">
        <v>738.85</v>
      </c>
      <c r="K1861" s="2050">
        <v>28.43</v>
      </c>
      <c r="L1861" s="2050">
        <v>70.98</v>
      </c>
      <c r="M1861" s="2050">
        <v>27.6</v>
      </c>
    </row>
    <row r="1862" spans="1:13" x14ac:dyDescent="0.35">
      <c r="A1862" s="2046">
        <v>106082</v>
      </c>
      <c r="B1862" s="2047"/>
      <c r="C1862" s="2121">
        <v>3.1382400000000006</v>
      </c>
      <c r="D1862" s="2047">
        <v>0.3</v>
      </c>
      <c r="E1862" s="2047">
        <v>1.54</v>
      </c>
      <c r="F1862" s="2047">
        <v>0.08</v>
      </c>
      <c r="G1862" s="2047">
        <v>1.65</v>
      </c>
      <c r="H1862" s="2047">
        <v>0.32</v>
      </c>
      <c r="I1862" s="2050">
        <v>38.840000000000003</v>
      </c>
      <c r="J1862" s="2050">
        <v>162.82</v>
      </c>
      <c r="K1862" s="2050">
        <v>46.65</v>
      </c>
      <c r="L1862" s="2050">
        <v>94.19</v>
      </c>
      <c r="M1862" s="2050">
        <v>135.69</v>
      </c>
    </row>
    <row r="1863" spans="1:13" x14ac:dyDescent="0.35">
      <c r="A1863" s="2134">
        <v>106083</v>
      </c>
      <c r="B1863" s="1272"/>
      <c r="C1863" s="1272">
        <v>2.52</v>
      </c>
      <c r="D1863" s="1272">
        <v>0.28999999999999998</v>
      </c>
      <c r="E1863" s="1272">
        <v>1.56</v>
      </c>
      <c r="F1863" s="1272">
        <v>0.11</v>
      </c>
      <c r="G1863" s="1272">
        <v>1.1200000000000001</v>
      </c>
      <c r="H1863" s="1272">
        <v>0.25</v>
      </c>
      <c r="I1863" s="2133">
        <v>45.42</v>
      </c>
      <c r="J1863" s="2133">
        <v>8.77</v>
      </c>
      <c r="K1863" s="2133">
        <v>310.27</v>
      </c>
      <c r="L1863" s="2133">
        <v>154.80000000000001</v>
      </c>
      <c r="M1863" s="2133">
        <v>41.33</v>
      </c>
    </row>
    <row r="1864" spans="1:13" x14ac:dyDescent="0.35">
      <c r="A1864" s="2134">
        <v>106084</v>
      </c>
      <c r="B1864" s="1272"/>
      <c r="C1864" s="1272">
        <v>3.56</v>
      </c>
      <c r="D1864" s="1272">
        <v>0.33</v>
      </c>
      <c r="E1864" s="1272">
        <v>1.73</v>
      </c>
      <c r="F1864" s="1272">
        <v>0.14000000000000001</v>
      </c>
      <c r="G1864" s="1272">
        <v>1.57</v>
      </c>
      <c r="H1864" s="1272">
        <v>0.28999999999999998</v>
      </c>
      <c r="I1864" s="2133">
        <v>75.209999999999994</v>
      </c>
      <c r="J1864" s="2133">
        <v>16.97</v>
      </c>
      <c r="K1864" s="2133">
        <v>522.91999999999996</v>
      </c>
      <c r="L1864" s="2133">
        <v>187.67</v>
      </c>
      <c r="M1864" s="2133">
        <v>55.43</v>
      </c>
    </row>
  </sheetData>
  <sheetProtection selectLockedCells="1" selectUnlockedCells="1"/>
  <mergeCells count="2">
    <mergeCell ref="A3:A4"/>
    <mergeCell ref="N879:N886"/>
  </mergeCells>
  <phoneticPr fontId="95" type="noConversion"/>
  <conditionalFormatting sqref="D793:D804 D811:M848 M1722:M1741 G1722:G1741 J1722:J1741">
    <cfRule type="containsText" dxfId="547" priority="449" operator="containsText" text="o">
      <formula>NOT(ISERROR(SEARCH("o",D793)))</formula>
    </cfRule>
  </conditionalFormatting>
  <conditionalFormatting sqref="D792">
    <cfRule type="containsText" dxfId="546" priority="448" operator="containsText" text="o">
      <formula>NOT(ISERROR(SEARCH("o",D792)))</formula>
    </cfRule>
  </conditionalFormatting>
  <conditionalFormatting sqref="F793:F804">
    <cfRule type="containsText" dxfId="545" priority="447" operator="containsText" text="o">
      <formula>NOT(ISERROR(SEARCH("o",F793)))</formula>
    </cfRule>
  </conditionalFormatting>
  <conditionalFormatting sqref="F792">
    <cfRule type="containsText" dxfId="544" priority="446" operator="containsText" text="o">
      <formula>NOT(ISERROR(SEARCH("o",F792)))</formula>
    </cfRule>
  </conditionalFormatting>
  <conditionalFormatting sqref="E793:E804">
    <cfRule type="containsText" dxfId="543" priority="445" operator="containsText" text="o">
      <formula>NOT(ISERROR(SEARCH("o",E793)))</formula>
    </cfRule>
  </conditionalFormatting>
  <conditionalFormatting sqref="E792">
    <cfRule type="containsText" dxfId="542" priority="444" operator="containsText" text="o">
      <formula>NOT(ISERROR(SEARCH("o",E792)))</formula>
    </cfRule>
  </conditionalFormatting>
  <conditionalFormatting sqref="G793:G804">
    <cfRule type="containsText" dxfId="541" priority="443" operator="containsText" text="o">
      <formula>NOT(ISERROR(SEARCH("o",G793)))</formula>
    </cfRule>
  </conditionalFormatting>
  <conditionalFormatting sqref="G792">
    <cfRule type="containsText" dxfId="540" priority="442" operator="containsText" text="o">
      <formula>NOT(ISERROR(SEARCH("o",G792)))</formula>
    </cfRule>
  </conditionalFormatting>
  <conditionalFormatting sqref="H793:H804">
    <cfRule type="containsText" dxfId="539" priority="441" operator="containsText" text="o">
      <formula>NOT(ISERROR(SEARCH("o",H793)))</formula>
    </cfRule>
  </conditionalFormatting>
  <conditionalFormatting sqref="H792">
    <cfRule type="containsText" dxfId="538" priority="440" operator="containsText" text="o">
      <formula>NOT(ISERROR(SEARCH("o",H792)))</formula>
    </cfRule>
  </conditionalFormatting>
  <conditionalFormatting sqref="I793:I804">
    <cfRule type="containsText" dxfId="537" priority="439" operator="containsText" text="o">
      <formula>NOT(ISERROR(SEARCH("o",I793)))</formula>
    </cfRule>
  </conditionalFormatting>
  <conditionalFormatting sqref="I792">
    <cfRule type="containsText" dxfId="536" priority="438" operator="containsText" text="o">
      <formula>NOT(ISERROR(SEARCH("o",I792)))</formula>
    </cfRule>
  </conditionalFormatting>
  <conditionalFormatting sqref="J793:J804">
    <cfRule type="containsText" dxfId="535" priority="437" operator="containsText" text="o">
      <formula>NOT(ISERROR(SEARCH("o",J793)))</formula>
    </cfRule>
  </conditionalFormatting>
  <conditionalFormatting sqref="J792">
    <cfRule type="containsText" dxfId="534" priority="436" operator="containsText" text="o">
      <formula>NOT(ISERROR(SEARCH("o",J792)))</formula>
    </cfRule>
  </conditionalFormatting>
  <conditionalFormatting sqref="K793:K804">
    <cfRule type="containsText" dxfId="533" priority="435" operator="containsText" text="o">
      <formula>NOT(ISERROR(SEARCH("o",K793)))</formula>
    </cfRule>
  </conditionalFormatting>
  <conditionalFormatting sqref="K792">
    <cfRule type="containsText" dxfId="532" priority="434" operator="containsText" text="o">
      <formula>NOT(ISERROR(SEARCH("o",K792)))</formula>
    </cfRule>
  </conditionalFormatting>
  <conditionalFormatting sqref="L793:L804">
    <cfRule type="containsText" dxfId="531" priority="433" operator="containsText" text="o">
      <formula>NOT(ISERROR(SEARCH("o",L793)))</formula>
    </cfRule>
  </conditionalFormatting>
  <conditionalFormatting sqref="L792">
    <cfRule type="containsText" dxfId="530" priority="432" operator="containsText" text="o">
      <formula>NOT(ISERROR(SEARCH("o",L792)))</formula>
    </cfRule>
  </conditionalFormatting>
  <conditionalFormatting sqref="M793:M804">
    <cfRule type="containsText" dxfId="529" priority="431" operator="containsText" text="o">
      <formula>NOT(ISERROR(SEARCH("o",M793)))</formula>
    </cfRule>
  </conditionalFormatting>
  <conditionalFormatting sqref="M792">
    <cfRule type="containsText" dxfId="528" priority="430" operator="containsText" text="o">
      <formula>NOT(ISERROR(SEARCH("o",M792)))</formula>
    </cfRule>
  </conditionalFormatting>
  <conditionalFormatting sqref="I805:M810">
    <cfRule type="containsText" dxfId="527" priority="429" operator="containsText" text="o">
      <formula>NOT(ISERROR(SEARCH("o",I805)))</formula>
    </cfRule>
  </conditionalFormatting>
  <conditionalFormatting sqref="E805:H810">
    <cfRule type="containsText" dxfId="526" priority="428" operator="containsText" text="o">
      <formula>NOT(ISERROR(SEARCH("o",E805)))</formula>
    </cfRule>
  </conditionalFormatting>
  <conditionalFormatting sqref="D805:D810">
    <cfRule type="containsText" dxfId="525" priority="427" operator="containsText" text="o">
      <formula>NOT(ISERROR(SEARCH("o",D805)))</formula>
    </cfRule>
  </conditionalFormatting>
  <conditionalFormatting sqref="C805:C810">
    <cfRule type="containsText" dxfId="524" priority="426" operator="containsText" text="o">
      <formula>NOT(ISERROR(SEARCH("o",C805)))</formula>
    </cfRule>
  </conditionalFormatting>
  <conditionalFormatting sqref="I859:I863">
    <cfRule type="containsText" dxfId="523" priority="415" operator="containsText" text="o">
      <formula>NOT(ISERROR(SEARCH("o",I859)))</formula>
    </cfRule>
  </conditionalFormatting>
  <conditionalFormatting sqref="D859:D863">
    <cfRule type="containsText" dxfId="522" priority="414" operator="containsText" text="o">
      <formula>NOT(ISERROR(SEARCH("o",D859)))</formula>
    </cfRule>
  </conditionalFormatting>
  <conditionalFormatting sqref="F859:F863">
    <cfRule type="containsText" dxfId="521" priority="413" operator="containsText" text="o">
      <formula>NOT(ISERROR(SEARCH("o",F859)))</formula>
    </cfRule>
  </conditionalFormatting>
  <conditionalFormatting sqref="K859:K863">
    <cfRule type="containsText" dxfId="520" priority="412" operator="containsText" text="o">
      <formula>NOT(ISERROR(SEARCH("o",K859)))</formula>
    </cfRule>
  </conditionalFormatting>
  <conditionalFormatting sqref="H859:H863">
    <cfRule type="containsText" dxfId="519" priority="411" operator="containsText" text="o">
      <formula>NOT(ISERROR(SEARCH("o",H859)))</formula>
    </cfRule>
  </conditionalFormatting>
  <conditionalFormatting sqref="E859:E863">
    <cfRule type="containsText" dxfId="518" priority="410" operator="containsText" text="o">
      <formula>NOT(ISERROR(SEARCH("o",E859)))</formula>
    </cfRule>
  </conditionalFormatting>
  <conditionalFormatting sqref="L859:L863">
    <cfRule type="containsText" dxfId="517" priority="409" operator="containsText" text="o">
      <formula>NOT(ISERROR(SEARCH("o",L859)))</formula>
    </cfRule>
  </conditionalFormatting>
  <conditionalFormatting sqref="J859:J863">
    <cfRule type="containsText" dxfId="516" priority="408" operator="containsText" text="o">
      <formula>NOT(ISERROR(SEARCH("o",J859)))</formula>
    </cfRule>
  </conditionalFormatting>
  <conditionalFormatting sqref="G859:G863">
    <cfRule type="containsText" dxfId="515" priority="407" operator="containsText" text="o">
      <formula>NOT(ISERROR(SEARCH("o",G859)))</formula>
    </cfRule>
  </conditionalFormatting>
  <conditionalFormatting sqref="M859:M863">
    <cfRule type="containsText" dxfId="514" priority="406" operator="containsText" text="o">
      <formula>NOT(ISERROR(SEARCH("o",M859)))</formula>
    </cfRule>
  </conditionalFormatting>
  <conditionalFormatting sqref="M879:M886">
    <cfRule type="containsText" dxfId="513" priority="405" operator="containsText" text="o">
      <formula>NOT(ISERROR(SEARCH("o",M879)))</formula>
    </cfRule>
  </conditionalFormatting>
  <conditionalFormatting sqref="G879:G886">
    <cfRule type="containsText" dxfId="512" priority="404" operator="containsText" text="o">
      <formula>NOT(ISERROR(SEARCH("o",G879)))</formula>
    </cfRule>
  </conditionalFormatting>
  <conditionalFormatting sqref="J879:J886">
    <cfRule type="containsText" dxfId="511" priority="403" operator="containsText" text="o">
      <formula>NOT(ISERROR(SEARCH("o",J879)))</formula>
    </cfRule>
  </conditionalFormatting>
  <conditionalFormatting sqref="L879:L886">
    <cfRule type="containsText" dxfId="510" priority="402" operator="containsText" text="o">
      <formula>NOT(ISERROR(SEARCH("o",L879)))</formula>
    </cfRule>
  </conditionalFormatting>
  <conditionalFormatting sqref="E879:E886">
    <cfRule type="containsText" dxfId="509" priority="401" operator="containsText" text="o">
      <formula>NOT(ISERROR(SEARCH("o",E879)))</formula>
    </cfRule>
  </conditionalFormatting>
  <conditionalFormatting sqref="H879:H886">
    <cfRule type="containsText" dxfId="508" priority="400" operator="containsText" text="o">
      <formula>NOT(ISERROR(SEARCH("o",H879)))</formula>
    </cfRule>
  </conditionalFormatting>
  <conditionalFormatting sqref="K879:K886">
    <cfRule type="containsText" dxfId="507" priority="399" operator="containsText" text="o">
      <formula>NOT(ISERROR(SEARCH("o",K879)))</formula>
    </cfRule>
  </conditionalFormatting>
  <conditionalFormatting sqref="F879:F886">
    <cfRule type="containsText" dxfId="506" priority="398" operator="containsText" text="o">
      <formula>NOT(ISERROR(SEARCH("o",F879)))</formula>
    </cfRule>
  </conditionalFormatting>
  <conditionalFormatting sqref="D879:D886">
    <cfRule type="containsText" dxfId="505" priority="397" operator="containsText" text="o">
      <formula>NOT(ISERROR(SEARCH("o",D879)))</formula>
    </cfRule>
  </conditionalFormatting>
  <conditionalFormatting sqref="I879:I886">
    <cfRule type="containsText" dxfId="504" priority="396" operator="containsText" text="o">
      <formula>NOT(ISERROR(SEARCH("o",I879)))</formula>
    </cfRule>
  </conditionalFormatting>
  <conditionalFormatting sqref="M874:M878">
    <cfRule type="containsText" dxfId="503" priority="395" operator="containsText" text="o">
      <formula>NOT(ISERROR(SEARCH("o",M874)))</formula>
    </cfRule>
  </conditionalFormatting>
  <conditionalFormatting sqref="D874:L878">
    <cfRule type="containsText" dxfId="502" priority="385" operator="containsText" text="o">
      <formula>NOT(ISERROR(SEARCH("o",D874)))</formula>
    </cfRule>
  </conditionalFormatting>
  <conditionalFormatting sqref="M889:M893">
    <cfRule type="containsText" dxfId="501" priority="384" operator="containsText" text="o">
      <formula>NOT(ISERROR(SEARCH("o",M889)))</formula>
    </cfRule>
  </conditionalFormatting>
  <conditionalFormatting sqref="G889:G893">
    <cfRule type="containsText" dxfId="500" priority="383" operator="containsText" text="o">
      <formula>NOT(ISERROR(SEARCH("o",G889)))</formula>
    </cfRule>
  </conditionalFormatting>
  <conditionalFormatting sqref="J889:J893">
    <cfRule type="containsText" dxfId="499" priority="382" operator="containsText" text="o">
      <formula>NOT(ISERROR(SEARCH("o",J889)))</formula>
    </cfRule>
  </conditionalFormatting>
  <conditionalFormatting sqref="L889:L893">
    <cfRule type="containsText" dxfId="498" priority="381" operator="containsText" text="o">
      <formula>NOT(ISERROR(SEARCH("o",L889)))</formula>
    </cfRule>
  </conditionalFormatting>
  <conditionalFormatting sqref="E889:E893">
    <cfRule type="containsText" dxfId="497" priority="380" operator="containsText" text="o">
      <formula>NOT(ISERROR(SEARCH("o",E889)))</formula>
    </cfRule>
  </conditionalFormatting>
  <conditionalFormatting sqref="H889:H893">
    <cfRule type="containsText" dxfId="496" priority="379" operator="containsText" text="o">
      <formula>NOT(ISERROR(SEARCH("o",H889)))</formula>
    </cfRule>
  </conditionalFormatting>
  <conditionalFormatting sqref="K889:K893">
    <cfRule type="containsText" dxfId="495" priority="378" operator="containsText" text="o">
      <formula>NOT(ISERROR(SEARCH("o",K889)))</formula>
    </cfRule>
  </conditionalFormatting>
  <conditionalFormatting sqref="F889:F893">
    <cfRule type="containsText" dxfId="494" priority="377" operator="containsText" text="o">
      <formula>NOT(ISERROR(SEARCH("o",F889)))</formula>
    </cfRule>
  </conditionalFormatting>
  <conditionalFormatting sqref="D889:D893">
    <cfRule type="containsText" dxfId="493" priority="376" operator="containsText" text="o">
      <formula>NOT(ISERROR(SEARCH("o",D889)))</formula>
    </cfRule>
  </conditionalFormatting>
  <conditionalFormatting sqref="I889:I893">
    <cfRule type="containsText" dxfId="492" priority="375" operator="containsText" text="o">
      <formula>NOT(ISERROR(SEARCH("o",I889)))</formula>
    </cfRule>
  </conditionalFormatting>
  <conditionalFormatting sqref="A873:M878">
    <cfRule type="containsText" dxfId="491" priority="354" operator="containsText" text="o">
      <formula>NOT(ISERROR(SEARCH("o",A873)))</formula>
    </cfRule>
  </conditionalFormatting>
  <conditionalFormatting sqref="D887:D888">
    <cfRule type="containsText" dxfId="490" priority="353" operator="containsText" text="o">
      <formula>NOT(ISERROR(SEARCH("o",D887)))</formula>
    </cfRule>
  </conditionalFormatting>
  <conditionalFormatting sqref="F887:F888">
    <cfRule type="containsText" dxfId="489" priority="351" operator="containsText" text="o">
      <formula>NOT(ISERROR(SEARCH("o",F887)))</formula>
    </cfRule>
  </conditionalFormatting>
  <conditionalFormatting sqref="K887:K888">
    <cfRule type="containsText" dxfId="488" priority="348" operator="containsText" text="o">
      <formula>NOT(ISERROR(SEARCH("o",K887)))</formula>
    </cfRule>
  </conditionalFormatting>
  <conditionalFormatting sqref="H887:H888">
    <cfRule type="containsText" dxfId="487" priority="346" operator="containsText" text="o">
      <formula>NOT(ISERROR(SEARCH("o",H887)))</formula>
    </cfRule>
  </conditionalFormatting>
  <conditionalFormatting sqref="G887:G888">
    <cfRule type="containsText" dxfId="486" priority="344" operator="containsText" text="o">
      <formula>NOT(ISERROR(SEARCH("o",G887)))</formula>
    </cfRule>
  </conditionalFormatting>
  <conditionalFormatting sqref="E887:E888">
    <cfRule type="containsText" dxfId="485" priority="342" operator="containsText" text="o">
      <formula>NOT(ISERROR(SEARCH("o",E887)))</formula>
    </cfRule>
  </conditionalFormatting>
  <conditionalFormatting sqref="I887:I888">
    <cfRule type="containsText" dxfId="484" priority="340" operator="containsText" text="o">
      <formula>NOT(ISERROR(SEARCH("o",I887)))</formula>
    </cfRule>
  </conditionalFormatting>
  <conditionalFormatting sqref="J887:J888">
    <cfRule type="containsText" dxfId="483" priority="338" operator="containsText" text="o">
      <formula>NOT(ISERROR(SEARCH("o",J887)))</formula>
    </cfRule>
  </conditionalFormatting>
  <conditionalFormatting sqref="M887:M888">
    <cfRule type="containsText" dxfId="482" priority="335" operator="containsText" text="o">
      <formula>NOT(ISERROR(SEARCH("o",M887)))</formula>
    </cfRule>
  </conditionalFormatting>
  <conditionalFormatting sqref="A869:M873">
    <cfRule type="containsText" dxfId="481" priority="332" operator="containsText" text="o">
      <formula>NOT(ISERROR(SEARCH("o",A869)))</formula>
    </cfRule>
  </conditionalFormatting>
  <conditionalFormatting sqref="L887:L888">
    <cfRule type="containsText" dxfId="480" priority="333" operator="containsText" text="o">
      <formula>NOT(ISERROR(SEARCH("o",L887)))</formula>
    </cfRule>
  </conditionalFormatting>
  <conditionalFormatting sqref="A869:M873">
    <cfRule type="containsText" dxfId="479" priority="331" operator="containsText" text="o">
      <formula>NOT(ISERROR(SEARCH("o",A869)))</formula>
    </cfRule>
  </conditionalFormatting>
  <conditionalFormatting sqref="M901:M910">
    <cfRule type="containsText" dxfId="478" priority="330" operator="containsText" text="o">
      <formula>NOT(ISERROR(SEARCH("o",M901)))</formula>
    </cfRule>
  </conditionalFormatting>
  <conditionalFormatting sqref="G901:G910">
    <cfRule type="containsText" dxfId="477" priority="329" operator="containsText" text="o">
      <formula>NOT(ISERROR(SEARCH("o",G901)))</formula>
    </cfRule>
  </conditionalFormatting>
  <conditionalFormatting sqref="J901:J910">
    <cfRule type="containsText" dxfId="476" priority="328" operator="containsText" text="o">
      <formula>NOT(ISERROR(SEARCH("o",J901)))</formula>
    </cfRule>
  </conditionalFormatting>
  <conditionalFormatting sqref="L901:L910">
    <cfRule type="containsText" dxfId="475" priority="327" operator="containsText" text="o">
      <formula>NOT(ISERROR(SEARCH("o",L901)))</formula>
    </cfRule>
  </conditionalFormatting>
  <conditionalFormatting sqref="E901:E910">
    <cfRule type="containsText" dxfId="474" priority="326" operator="containsText" text="o">
      <formula>NOT(ISERROR(SEARCH("o",E901)))</formula>
    </cfRule>
  </conditionalFormatting>
  <conditionalFormatting sqref="H901:H910">
    <cfRule type="containsText" dxfId="473" priority="325" operator="containsText" text="o">
      <formula>NOT(ISERROR(SEARCH("o",H901)))</formula>
    </cfRule>
  </conditionalFormatting>
  <conditionalFormatting sqref="K901:K910">
    <cfRule type="containsText" dxfId="472" priority="324" operator="containsText" text="o">
      <formula>NOT(ISERROR(SEARCH("o",K901)))</formula>
    </cfRule>
  </conditionalFormatting>
  <conditionalFormatting sqref="F901:F910">
    <cfRule type="containsText" dxfId="471" priority="323" operator="containsText" text="o">
      <formula>NOT(ISERROR(SEARCH("o",F901)))</formula>
    </cfRule>
  </conditionalFormatting>
  <conditionalFormatting sqref="D901:D910">
    <cfRule type="containsText" dxfId="470" priority="322" operator="containsText" text="o">
      <formula>NOT(ISERROR(SEARCH("o",D901)))</formula>
    </cfRule>
  </conditionalFormatting>
  <conditionalFormatting sqref="I901:I910">
    <cfRule type="containsText" dxfId="469" priority="321" operator="containsText" text="o">
      <formula>NOT(ISERROR(SEARCH("o",I901)))</formula>
    </cfRule>
  </conditionalFormatting>
  <conditionalFormatting sqref="C901:C910">
    <cfRule type="containsText" dxfId="468" priority="320" operator="containsText" text="o">
      <formula>NOT(ISERROR(SEARCH("o",C901)))</formula>
    </cfRule>
  </conditionalFormatting>
  <conditionalFormatting sqref="M919:M925">
    <cfRule type="containsText" dxfId="467" priority="319" operator="containsText" text="o">
      <formula>NOT(ISERROR(SEARCH("o",M919)))</formula>
    </cfRule>
  </conditionalFormatting>
  <conditionalFormatting sqref="G919:G925">
    <cfRule type="containsText" dxfId="466" priority="318" operator="containsText" text="o">
      <formula>NOT(ISERROR(SEARCH("o",G919)))</formula>
    </cfRule>
  </conditionalFormatting>
  <conditionalFormatting sqref="J919:J925">
    <cfRule type="containsText" dxfId="465" priority="317" operator="containsText" text="o">
      <formula>NOT(ISERROR(SEARCH("o",J919)))</formula>
    </cfRule>
  </conditionalFormatting>
  <conditionalFormatting sqref="L919:L925">
    <cfRule type="containsText" dxfId="464" priority="316" operator="containsText" text="o">
      <formula>NOT(ISERROR(SEARCH("o",L919)))</formula>
    </cfRule>
  </conditionalFormatting>
  <conditionalFormatting sqref="E919:E925">
    <cfRule type="containsText" dxfId="463" priority="315" operator="containsText" text="o">
      <formula>NOT(ISERROR(SEARCH("o",E919)))</formula>
    </cfRule>
  </conditionalFormatting>
  <conditionalFormatting sqref="H919:H925">
    <cfRule type="containsText" dxfId="462" priority="314" operator="containsText" text="o">
      <formula>NOT(ISERROR(SEARCH("o",H919)))</formula>
    </cfRule>
  </conditionalFormatting>
  <conditionalFormatting sqref="K919:K925">
    <cfRule type="containsText" dxfId="461" priority="313" operator="containsText" text="o">
      <formula>NOT(ISERROR(SEARCH("o",K919)))</formula>
    </cfRule>
  </conditionalFormatting>
  <conditionalFormatting sqref="F919:F925">
    <cfRule type="containsText" dxfId="460" priority="312" operator="containsText" text="o">
      <formula>NOT(ISERROR(SEARCH("o",F919)))</formula>
    </cfRule>
  </conditionalFormatting>
  <conditionalFormatting sqref="D919:D925">
    <cfRule type="containsText" dxfId="459" priority="311" operator="containsText" text="o">
      <formula>NOT(ISERROR(SEARCH("o",D919)))</formula>
    </cfRule>
  </conditionalFormatting>
  <conditionalFormatting sqref="I919:I925">
    <cfRule type="containsText" dxfId="458" priority="310" operator="containsText" text="o">
      <formula>NOT(ISERROR(SEARCH("o",I919)))</formula>
    </cfRule>
  </conditionalFormatting>
  <conditionalFormatting sqref="M959:M969">
    <cfRule type="containsText" dxfId="457" priority="309" operator="containsText" text="o">
      <formula>NOT(ISERROR(SEARCH("o",M959)))</formula>
    </cfRule>
  </conditionalFormatting>
  <conditionalFormatting sqref="G959:G969">
    <cfRule type="containsText" dxfId="456" priority="308" operator="containsText" text="o">
      <formula>NOT(ISERROR(SEARCH("o",G959)))</formula>
    </cfRule>
  </conditionalFormatting>
  <conditionalFormatting sqref="J959:J969">
    <cfRule type="containsText" dxfId="455" priority="307" operator="containsText" text="o">
      <formula>NOT(ISERROR(SEARCH("o",J959)))</formula>
    </cfRule>
  </conditionalFormatting>
  <conditionalFormatting sqref="L959:L969">
    <cfRule type="containsText" dxfId="454" priority="306" operator="containsText" text="o">
      <formula>NOT(ISERROR(SEARCH("o",L959)))</formula>
    </cfRule>
  </conditionalFormatting>
  <conditionalFormatting sqref="E959:E969">
    <cfRule type="containsText" dxfId="453" priority="305" operator="containsText" text="o">
      <formula>NOT(ISERROR(SEARCH("o",E959)))</formula>
    </cfRule>
  </conditionalFormatting>
  <conditionalFormatting sqref="H959:H969">
    <cfRule type="containsText" dxfId="452" priority="304" operator="containsText" text="o">
      <formula>NOT(ISERROR(SEARCH("o",H959)))</formula>
    </cfRule>
  </conditionalFormatting>
  <conditionalFormatting sqref="K959:K969">
    <cfRule type="containsText" dxfId="451" priority="303" operator="containsText" text="o">
      <formula>NOT(ISERROR(SEARCH("o",K959)))</formula>
    </cfRule>
  </conditionalFormatting>
  <conditionalFormatting sqref="F959:F969">
    <cfRule type="containsText" dxfId="450" priority="302" operator="containsText" text="o">
      <formula>NOT(ISERROR(SEARCH("o",F959)))</formula>
    </cfRule>
  </conditionalFormatting>
  <conditionalFormatting sqref="D959:D969">
    <cfRule type="containsText" dxfId="449" priority="301" operator="containsText" text="o">
      <formula>NOT(ISERROR(SEARCH("o",D959)))</formula>
    </cfRule>
  </conditionalFormatting>
  <conditionalFormatting sqref="I959:I969">
    <cfRule type="containsText" dxfId="448" priority="300" operator="containsText" text="o">
      <formula>NOT(ISERROR(SEARCH("o",I959)))</formula>
    </cfRule>
  </conditionalFormatting>
  <conditionalFormatting sqref="C970:C981">
    <cfRule type="containsText" dxfId="447" priority="289" operator="containsText" text="o">
      <formula>NOT(ISERROR(SEARCH("o",C970)))</formula>
    </cfRule>
  </conditionalFormatting>
  <conditionalFormatting sqref="L971:L981">
    <cfRule type="containsText" dxfId="446" priority="287" operator="containsText" text="o">
      <formula>NOT(ISERROR(SEARCH("o",L971)))</formula>
    </cfRule>
    <cfRule type="containsText" dxfId="445" priority="288" operator="containsText" text=" o">
      <formula>NOT(ISERROR(SEARCH(" o",L971)))</formula>
    </cfRule>
  </conditionalFormatting>
  <conditionalFormatting sqref="E971:E981">
    <cfRule type="containsText" dxfId="444" priority="285" operator="containsText" text="o">
      <formula>NOT(ISERROR(SEARCH("o",E971)))</formula>
    </cfRule>
    <cfRule type="containsText" dxfId="443" priority="286" operator="containsText" text=" o">
      <formula>NOT(ISERROR(SEARCH(" o",E971)))</formula>
    </cfRule>
  </conditionalFormatting>
  <conditionalFormatting sqref="J971:J981">
    <cfRule type="containsText" dxfId="442" priority="283" operator="containsText" text="o">
      <formula>NOT(ISERROR(SEARCH("o",J971)))</formula>
    </cfRule>
    <cfRule type="containsText" dxfId="441" priority="284" operator="containsText" text=" o">
      <formula>NOT(ISERROR(SEARCH(" o",J971)))</formula>
    </cfRule>
  </conditionalFormatting>
  <conditionalFormatting sqref="G971:G981">
    <cfRule type="containsText" dxfId="440" priority="281" operator="containsText" text="o">
      <formula>NOT(ISERROR(SEARCH("o",G971)))</formula>
    </cfRule>
    <cfRule type="containsText" dxfId="439" priority="282" operator="containsText" text=" o">
      <formula>NOT(ISERROR(SEARCH(" o",G971)))</formula>
    </cfRule>
  </conditionalFormatting>
  <conditionalFormatting sqref="F971:F981">
    <cfRule type="containsText" dxfId="438" priority="279" operator="containsText" text="o">
      <formula>NOT(ISERROR(SEARCH("o",F971)))</formula>
    </cfRule>
    <cfRule type="containsText" dxfId="437" priority="280" operator="containsText" text=" o">
      <formula>NOT(ISERROR(SEARCH(" o",F971)))</formula>
    </cfRule>
  </conditionalFormatting>
  <conditionalFormatting sqref="D971:D981">
    <cfRule type="containsText" dxfId="436" priority="277" operator="containsText" text="o">
      <formula>NOT(ISERROR(SEARCH("o",D971)))</formula>
    </cfRule>
    <cfRule type="containsText" dxfId="435" priority="278" operator="containsText" text=" o">
      <formula>NOT(ISERROR(SEARCH(" o",D971)))</formula>
    </cfRule>
  </conditionalFormatting>
  <conditionalFormatting sqref="I971:I981">
    <cfRule type="containsText" dxfId="434" priority="275" operator="containsText" text="o">
      <formula>NOT(ISERROR(SEARCH("o",I971)))</formula>
    </cfRule>
    <cfRule type="containsText" dxfId="433" priority="276" operator="containsText" text=" o">
      <formula>NOT(ISERROR(SEARCH(" o",I971)))</formula>
    </cfRule>
  </conditionalFormatting>
  <conditionalFormatting sqref="H971:H981">
    <cfRule type="containsText" dxfId="432" priority="273" operator="containsText" text="o">
      <formula>NOT(ISERROR(SEARCH("o",H971)))</formula>
    </cfRule>
    <cfRule type="containsText" dxfId="431" priority="274" operator="containsText" text=" o">
      <formula>NOT(ISERROR(SEARCH(" o",H971)))</formula>
    </cfRule>
  </conditionalFormatting>
  <conditionalFormatting sqref="K971:K981">
    <cfRule type="containsText" dxfId="430" priority="271" operator="containsText" text="o">
      <formula>NOT(ISERROR(SEARCH("o",K971)))</formula>
    </cfRule>
    <cfRule type="containsText" dxfId="429" priority="272" operator="containsText" text=" o">
      <formula>NOT(ISERROR(SEARCH(" o",K971)))</formula>
    </cfRule>
  </conditionalFormatting>
  <conditionalFormatting sqref="M971:M981">
    <cfRule type="containsText" dxfId="428" priority="269" operator="containsText" text="o">
      <formula>NOT(ISERROR(SEARCH("o",M971)))</formula>
    </cfRule>
    <cfRule type="containsText" dxfId="427" priority="270" operator="containsText" text=" o">
      <formula>NOT(ISERROR(SEARCH(" o",M971)))</formula>
    </cfRule>
  </conditionalFormatting>
  <conditionalFormatting sqref="A985:A1032">
    <cfRule type="duplicateValues" dxfId="426" priority="266"/>
  </conditionalFormatting>
  <conditionalFormatting sqref="A985:A1032">
    <cfRule type="duplicateValues" dxfId="425" priority="267"/>
  </conditionalFormatting>
  <conditionalFormatting sqref="A985:A1032">
    <cfRule type="duplicateValues" dxfId="424" priority="268"/>
  </conditionalFormatting>
  <conditionalFormatting sqref="A1033:A1039">
    <cfRule type="containsText" dxfId="423" priority="265" operator="containsText" text="o">
      <formula>NOT(ISERROR(SEARCH("o",A1033)))</formula>
    </cfRule>
  </conditionalFormatting>
  <conditionalFormatting sqref="M1062:M1073">
    <cfRule type="containsText" dxfId="422" priority="242" operator="containsText" text="o">
      <formula>NOT(ISERROR(SEARCH("o",M1062)))</formula>
    </cfRule>
  </conditionalFormatting>
  <conditionalFormatting sqref="G1062:G1073">
    <cfRule type="containsText" dxfId="421" priority="241" operator="containsText" text="o">
      <formula>NOT(ISERROR(SEARCH("o",G1062)))</formula>
    </cfRule>
  </conditionalFormatting>
  <conditionalFormatting sqref="J1062:J1073">
    <cfRule type="containsText" dxfId="420" priority="240" operator="containsText" text="o">
      <formula>NOT(ISERROR(SEARCH("o",J1062)))</formula>
    </cfRule>
  </conditionalFormatting>
  <conditionalFormatting sqref="L1062:L1073">
    <cfRule type="containsText" dxfId="419" priority="239" operator="containsText" text="o">
      <formula>NOT(ISERROR(SEARCH("o",L1062)))</formula>
    </cfRule>
  </conditionalFormatting>
  <conditionalFormatting sqref="E1062:E1073">
    <cfRule type="containsText" dxfId="418" priority="238" operator="containsText" text="o">
      <formula>NOT(ISERROR(SEARCH("o",E1062)))</formula>
    </cfRule>
  </conditionalFormatting>
  <conditionalFormatting sqref="H1062:H1073">
    <cfRule type="containsText" dxfId="417" priority="237" operator="containsText" text="o">
      <formula>NOT(ISERROR(SEARCH("o",H1062)))</formula>
    </cfRule>
  </conditionalFormatting>
  <conditionalFormatting sqref="K1062:K1073">
    <cfRule type="containsText" dxfId="416" priority="236" operator="containsText" text="o">
      <formula>NOT(ISERROR(SEARCH("o",K1062)))</formula>
    </cfRule>
  </conditionalFormatting>
  <conditionalFormatting sqref="F1062:F1073">
    <cfRule type="containsText" dxfId="415" priority="235" operator="containsText" text="o">
      <formula>NOT(ISERROR(SEARCH("o",F1062)))</formula>
    </cfRule>
  </conditionalFormatting>
  <conditionalFormatting sqref="D1062:D1073">
    <cfRule type="containsText" dxfId="414" priority="234" operator="containsText" text="o">
      <formula>NOT(ISERROR(SEARCH("o",D1062)))</formula>
    </cfRule>
  </conditionalFormatting>
  <conditionalFormatting sqref="I1062:I1073">
    <cfRule type="containsText" dxfId="413" priority="233" operator="containsText" text="o">
      <formula>NOT(ISERROR(SEARCH("o",I1062)))</formula>
    </cfRule>
  </conditionalFormatting>
  <conditionalFormatting sqref="D1076:D1081">
    <cfRule type="containsText" dxfId="412" priority="232" operator="containsText" text="o">
      <formula>NOT(ISERROR(SEARCH("o",D1076)))</formula>
    </cfRule>
  </conditionalFormatting>
  <conditionalFormatting sqref="E1076:E1081">
    <cfRule type="containsText" dxfId="411" priority="231" operator="containsText" text="o">
      <formula>NOT(ISERROR(SEARCH("o",E1076)))</formula>
    </cfRule>
  </conditionalFormatting>
  <conditionalFormatting sqref="H1076:H1081">
    <cfRule type="containsText" dxfId="410" priority="230" operator="containsText" text="o">
      <formula>NOT(ISERROR(SEARCH("o",H1076)))</formula>
    </cfRule>
  </conditionalFormatting>
  <conditionalFormatting sqref="K1076:K1081">
    <cfRule type="containsText" dxfId="409" priority="229" operator="containsText" text="o">
      <formula>NOT(ISERROR(SEARCH("o",K1076)))</formula>
    </cfRule>
  </conditionalFormatting>
  <conditionalFormatting sqref="F1076:F1081">
    <cfRule type="containsText" dxfId="408" priority="228" operator="containsText" text="o">
      <formula>NOT(ISERROR(SEARCH("o",F1076)))</formula>
    </cfRule>
  </conditionalFormatting>
  <conditionalFormatting sqref="L1076:L1081">
    <cfRule type="containsText" dxfId="407" priority="227" operator="containsText" text="o">
      <formula>NOT(ISERROR(SEARCH("o",L1076)))</formula>
    </cfRule>
  </conditionalFormatting>
  <conditionalFormatting sqref="I1076:I1081">
    <cfRule type="containsText" dxfId="406" priority="226" operator="containsText" text="o">
      <formula>NOT(ISERROR(SEARCH("o",I1076)))</formula>
    </cfRule>
  </conditionalFormatting>
  <conditionalFormatting sqref="M1076:M1081">
    <cfRule type="containsText" dxfId="405" priority="225" operator="containsText" text="o">
      <formula>NOT(ISERROR(SEARCH("o",M1076)))</formula>
    </cfRule>
  </conditionalFormatting>
  <conditionalFormatting sqref="G1076:G1081">
    <cfRule type="containsText" dxfId="404" priority="224" operator="containsText" text="o">
      <formula>NOT(ISERROR(SEARCH("o",G1076)))</formula>
    </cfRule>
  </conditionalFormatting>
  <conditionalFormatting sqref="J1076:J1081">
    <cfRule type="containsText" dxfId="403" priority="223" operator="containsText" text="o">
      <formula>NOT(ISERROR(SEARCH("o",J1076)))</formula>
    </cfRule>
  </conditionalFormatting>
  <conditionalFormatting sqref="G1082:G1088">
    <cfRule type="containsText" dxfId="402" priority="222" operator="containsText" text="o">
      <formula>NOT(ISERROR(SEARCH("o",G1082)))</formula>
    </cfRule>
  </conditionalFormatting>
  <conditionalFormatting sqref="J1082:J1088">
    <cfRule type="containsText" dxfId="401" priority="221" operator="containsText" text="o">
      <formula>NOT(ISERROR(SEARCH("o",J1082)))</formula>
    </cfRule>
  </conditionalFormatting>
  <conditionalFormatting sqref="L1082:L1088">
    <cfRule type="containsText" dxfId="400" priority="220" operator="containsText" text="o">
      <formula>NOT(ISERROR(SEARCH("o",L1082)))</formula>
    </cfRule>
  </conditionalFormatting>
  <conditionalFormatting sqref="E1082:E1088">
    <cfRule type="containsText" dxfId="399" priority="219" operator="containsText" text="o">
      <formula>NOT(ISERROR(SEARCH("o",E1082)))</formula>
    </cfRule>
  </conditionalFormatting>
  <conditionalFormatting sqref="H1082:H1088">
    <cfRule type="containsText" dxfId="398" priority="218" operator="containsText" text="o">
      <formula>NOT(ISERROR(SEARCH("o",H1082)))</formula>
    </cfRule>
  </conditionalFormatting>
  <conditionalFormatting sqref="K1082:K1088">
    <cfRule type="containsText" dxfId="397" priority="217" operator="containsText" text="o">
      <formula>NOT(ISERROR(SEARCH("o",K1082)))</formula>
    </cfRule>
  </conditionalFormatting>
  <conditionalFormatting sqref="F1082:F1088">
    <cfRule type="containsText" dxfId="396" priority="216" operator="containsText" text="o">
      <formula>NOT(ISERROR(SEARCH("o",F1082)))</formula>
    </cfRule>
  </conditionalFormatting>
  <conditionalFormatting sqref="D1082:D1088">
    <cfRule type="containsText" dxfId="395" priority="215" operator="containsText" text="o">
      <formula>NOT(ISERROR(SEARCH("o",D1082)))</formula>
    </cfRule>
  </conditionalFormatting>
  <conditionalFormatting sqref="I1082:I1088">
    <cfRule type="containsText" dxfId="394" priority="214" operator="containsText" text="o">
      <formula>NOT(ISERROR(SEARCH("o",I1082)))</formula>
    </cfRule>
  </conditionalFormatting>
  <conditionalFormatting sqref="M1142:M1143">
    <cfRule type="containsText" dxfId="393" priority="202" operator="containsText" text="o">
      <formula>NOT(ISERROR(SEARCH("o",M1142)))</formula>
    </cfRule>
  </conditionalFormatting>
  <conditionalFormatting sqref="G1142:G1143">
    <cfRule type="containsText" dxfId="392" priority="201" operator="containsText" text="o">
      <formula>NOT(ISERROR(SEARCH("o",G1142)))</formula>
    </cfRule>
  </conditionalFormatting>
  <conditionalFormatting sqref="J1142:J1143">
    <cfRule type="containsText" dxfId="391" priority="200" operator="containsText" text="o">
      <formula>NOT(ISERROR(SEARCH("o",J1142)))</formula>
    </cfRule>
  </conditionalFormatting>
  <conditionalFormatting sqref="K1142:K1143">
    <cfRule type="containsText" dxfId="390" priority="199" operator="containsText" text="o">
      <formula>NOT(ISERROR(SEARCH("o",K1142)))</formula>
    </cfRule>
  </conditionalFormatting>
  <conditionalFormatting sqref="L1142:L1143">
    <cfRule type="containsText" dxfId="389" priority="198" operator="containsText" text="o">
      <formula>NOT(ISERROR(SEARCH("o",L1142)))</formula>
    </cfRule>
  </conditionalFormatting>
  <conditionalFormatting sqref="E1142:E1143">
    <cfRule type="containsText" dxfId="388" priority="197" operator="containsText" text="o">
      <formula>NOT(ISERROR(SEARCH("o",E1142)))</formula>
    </cfRule>
  </conditionalFormatting>
  <conditionalFormatting sqref="H1142:H1143">
    <cfRule type="containsText" dxfId="387" priority="196" operator="containsText" text="o">
      <formula>NOT(ISERROR(SEARCH("o",H1142)))</formula>
    </cfRule>
  </conditionalFormatting>
  <conditionalFormatting sqref="F1142:F1143">
    <cfRule type="containsText" dxfId="386" priority="195" operator="containsText" text="o">
      <formula>NOT(ISERROR(SEARCH("o",F1142)))</formula>
    </cfRule>
  </conditionalFormatting>
  <conditionalFormatting sqref="D1142:D1143">
    <cfRule type="containsText" dxfId="385" priority="194" operator="containsText" text="o">
      <formula>NOT(ISERROR(SEARCH("o",D1142)))</formula>
    </cfRule>
  </conditionalFormatting>
  <conditionalFormatting sqref="I1142:I1143">
    <cfRule type="containsText" dxfId="384" priority="193" operator="containsText" text="o">
      <formula>NOT(ISERROR(SEARCH("o",I1142)))</formula>
    </cfRule>
  </conditionalFormatting>
  <conditionalFormatting sqref="M1144">
    <cfRule type="containsText" dxfId="383" priority="191" operator="containsText" text="o">
      <formula>NOT(ISERROR(SEARCH("o",M1144)))</formula>
    </cfRule>
  </conditionalFormatting>
  <conditionalFormatting sqref="G1144">
    <cfRule type="containsText" dxfId="382" priority="190" operator="containsText" text="o">
      <formula>NOT(ISERROR(SEARCH("o",G1144)))</formula>
    </cfRule>
  </conditionalFormatting>
  <conditionalFormatting sqref="J1144">
    <cfRule type="containsText" dxfId="381" priority="189" operator="containsText" text="o">
      <formula>NOT(ISERROR(SEARCH("o",J1144)))</formula>
    </cfRule>
  </conditionalFormatting>
  <conditionalFormatting sqref="L1144">
    <cfRule type="containsText" dxfId="380" priority="188" operator="containsText" text="o">
      <formula>NOT(ISERROR(SEARCH("o",L1144)))</formula>
    </cfRule>
  </conditionalFormatting>
  <conditionalFormatting sqref="E1144">
    <cfRule type="containsText" dxfId="379" priority="187" operator="containsText" text="o">
      <formula>NOT(ISERROR(SEARCH("o",E1144)))</formula>
    </cfRule>
  </conditionalFormatting>
  <conditionalFormatting sqref="H1144">
    <cfRule type="containsText" dxfId="378" priority="186" operator="containsText" text="o">
      <formula>NOT(ISERROR(SEARCH("o",H1144)))</formula>
    </cfRule>
  </conditionalFormatting>
  <conditionalFormatting sqref="K1144">
    <cfRule type="containsText" dxfId="377" priority="185" operator="containsText" text="o">
      <formula>NOT(ISERROR(SEARCH("o",K1144)))</formula>
    </cfRule>
  </conditionalFormatting>
  <conditionalFormatting sqref="F1144">
    <cfRule type="containsText" dxfId="376" priority="184" operator="containsText" text="o">
      <formula>NOT(ISERROR(SEARCH("o",F1144)))</formula>
    </cfRule>
  </conditionalFormatting>
  <conditionalFormatting sqref="D1144">
    <cfRule type="containsText" dxfId="375" priority="183" operator="containsText" text="o">
      <formula>NOT(ISERROR(SEARCH("o",D1144)))</formula>
    </cfRule>
  </conditionalFormatting>
  <conditionalFormatting sqref="I1144">
    <cfRule type="containsText" dxfId="374" priority="182" operator="containsText" text="o">
      <formula>NOT(ISERROR(SEARCH("o",I1144)))</formula>
    </cfRule>
  </conditionalFormatting>
  <conditionalFormatting sqref="M1156:M1157">
    <cfRule type="containsText" dxfId="373" priority="181" operator="containsText" text="o">
      <formula>NOT(ISERROR(SEARCH("o",M1156)))</formula>
    </cfRule>
  </conditionalFormatting>
  <conditionalFormatting sqref="G1156:G1157">
    <cfRule type="containsText" dxfId="372" priority="180" operator="containsText" text="o">
      <formula>NOT(ISERROR(SEARCH("o",G1156)))</formula>
    </cfRule>
  </conditionalFormatting>
  <conditionalFormatting sqref="J1156:J1157">
    <cfRule type="containsText" dxfId="371" priority="179" operator="containsText" text="o">
      <formula>NOT(ISERROR(SEARCH("o",J1156)))</formula>
    </cfRule>
  </conditionalFormatting>
  <conditionalFormatting sqref="L1156:L1157">
    <cfRule type="containsText" dxfId="370" priority="178" operator="containsText" text="o">
      <formula>NOT(ISERROR(SEARCH("o",L1156)))</formula>
    </cfRule>
  </conditionalFormatting>
  <conditionalFormatting sqref="E1156:E1157">
    <cfRule type="containsText" dxfId="369" priority="177" operator="containsText" text="o">
      <formula>NOT(ISERROR(SEARCH("o",E1156)))</formula>
    </cfRule>
  </conditionalFormatting>
  <conditionalFormatting sqref="H1156:H1157">
    <cfRule type="containsText" dxfId="368" priority="176" operator="containsText" text="o">
      <formula>NOT(ISERROR(SEARCH("o",H1156)))</formula>
    </cfRule>
  </conditionalFormatting>
  <conditionalFormatting sqref="K1156:K1157">
    <cfRule type="containsText" dxfId="367" priority="175" operator="containsText" text="o">
      <formula>NOT(ISERROR(SEARCH("o",K1156)))</formula>
    </cfRule>
  </conditionalFormatting>
  <conditionalFormatting sqref="F1156:F1157">
    <cfRule type="containsText" dxfId="366" priority="174" operator="containsText" text="o">
      <formula>NOT(ISERROR(SEARCH("o",F1156)))</formula>
    </cfRule>
  </conditionalFormatting>
  <conditionalFormatting sqref="D1156:D1157">
    <cfRule type="containsText" dxfId="365" priority="173" operator="containsText" text="o">
      <formula>NOT(ISERROR(SEARCH("o",D1156)))</formula>
    </cfRule>
  </conditionalFormatting>
  <conditionalFormatting sqref="I1156:I1157">
    <cfRule type="containsText" dxfId="364" priority="172" operator="containsText" text="o">
      <formula>NOT(ISERROR(SEARCH("o",I1156)))</formula>
    </cfRule>
  </conditionalFormatting>
  <conditionalFormatting sqref="C1295:M1298">
    <cfRule type="containsText" dxfId="363" priority="151" operator="containsText" text="o">
      <formula>NOT(ISERROR(SEARCH("o",C1295)))</formula>
    </cfRule>
  </conditionalFormatting>
  <conditionalFormatting sqref="G1295:G1298">
    <cfRule type="containsText" dxfId="362" priority="150" operator="containsText" text="o">
      <formula>NOT(ISERROR(SEARCH("o",G1295)))</formula>
    </cfRule>
  </conditionalFormatting>
  <conditionalFormatting sqref="J1295:J1298">
    <cfRule type="containsText" dxfId="361" priority="149" operator="containsText" text="o">
      <formula>NOT(ISERROR(SEARCH("o",J1295)))</formula>
    </cfRule>
  </conditionalFormatting>
  <conditionalFormatting sqref="L1295:L1298">
    <cfRule type="containsText" dxfId="360" priority="148" operator="containsText" text="o">
      <formula>NOT(ISERROR(SEARCH("o",L1295)))</formula>
    </cfRule>
  </conditionalFormatting>
  <conditionalFormatting sqref="E1295:E1298">
    <cfRule type="containsText" dxfId="359" priority="147" operator="containsText" text="o">
      <formula>NOT(ISERROR(SEARCH("o",E1295)))</formula>
    </cfRule>
  </conditionalFormatting>
  <conditionalFormatting sqref="H1295:H1298">
    <cfRule type="containsText" dxfId="358" priority="146" operator="containsText" text="o">
      <formula>NOT(ISERROR(SEARCH("o",H1295)))</formula>
    </cfRule>
  </conditionalFormatting>
  <conditionalFormatting sqref="K1295:K1298">
    <cfRule type="containsText" dxfId="357" priority="145" operator="containsText" text="o">
      <formula>NOT(ISERROR(SEARCH("o",K1295)))</formula>
    </cfRule>
  </conditionalFormatting>
  <conditionalFormatting sqref="F1295:F1298">
    <cfRule type="containsText" dxfId="356" priority="144" operator="containsText" text="o">
      <formula>NOT(ISERROR(SEARCH("o",F1295)))</formula>
    </cfRule>
  </conditionalFormatting>
  <conditionalFormatting sqref="D1295:D1298">
    <cfRule type="containsText" dxfId="355" priority="143" operator="containsText" text="o">
      <formula>NOT(ISERROR(SEARCH("o",D1295)))</formula>
    </cfRule>
  </conditionalFormatting>
  <conditionalFormatting sqref="I1295:I1298">
    <cfRule type="containsText" dxfId="354" priority="142" operator="containsText" text="o">
      <formula>NOT(ISERROR(SEARCH("o",I1295)))</formula>
    </cfRule>
  </conditionalFormatting>
  <conditionalFormatting sqref="M1315:M1316">
    <cfRule type="containsText" dxfId="353" priority="141" operator="containsText" text="o">
      <formula>NOT(ISERROR(SEARCH("o",M1315)))</formula>
    </cfRule>
  </conditionalFormatting>
  <conditionalFormatting sqref="G1315:G1316">
    <cfRule type="containsText" dxfId="352" priority="140" operator="containsText" text="o">
      <formula>NOT(ISERROR(SEARCH("o",G1315)))</formula>
    </cfRule>
  </conditionalFormatting>
  <conditionalFormatting sqref="J1315:J1316">
    <cfRule type="containsText" dxfId="351" priority="139" operator="containsText" text="o">
      <formula>NOT(ISERROR(SEARCH("o",J1315)))</formula>
    </cfRule>
  </conditionalFormatting>
  <conditionalFormatting sqref="L1315:L1316">
    <cfRule type="containsText" dxfId="350" priority="138" operator="containsText" text="o">
      <formula>NOT(ISERROR(SEARCH("o",L1315)))</formula>
    </cfRule>
  </conditionalFormatting>
  <conditionalFormatting sqref="E1315:E1316">
    <cfRule type="containsText" dxfId="349" priority="137" operator="containsText" text="o">
      <formula>NOT(ISERROR(SEARCH("o",E1315)))</formula>
    </cfRule>
  </conditionalFormatting>
  <conditionalFormatting sqref="H1315:H1316">
    <cfRule type="containsText" dxfId="348" priority="136" operator="containsText" text="o">
      <formula>NOT(ISERROR(SEARCH("o",H1315)))</formula>
    </cfRule>
  </conditionalFormatting>
  <conditionalFormatting sqref="K1315:K1316">
    <cfRule type="containsText" dxfId="347" priority="135" operator="containsText" text="o">
      <formula>NOT(ISERROR(SEARCH("o",K1315)))</formula>
    </cfRule>
  </conditionalFormatting>
  <conditionalFormatting sqref="F1315:F1316">
    <cfRule type="containsText" dxfId="346" priority="134" operator="containsText" text="o">
      <formula>NOT(ISERROR(SEARCH("o",F1315)))</formula>
    </cfRule>
  </conditionalFormatting>
  <conditionalFormatting sqref="D1315:D1316">
    <cfRule type="containsText" dxfId="345" priority="133" operator="containsText" text="o">
      <formula>NOT(ISERROR(SEARCH("o",D1315)))</formula>
    </cfRule>
  </conditionalFormatting>
  <conditionalFormatting sqref="I1315:I1316">
    <cfRule type="containsText" dxfId="344" priority="132" operator="containsText" text="o">
      <formula>NOT(ISERROR(SEARCH("o",I1315)))</formula>
    </cfRule>
  </conditionalFormatting>
  <conditionalFormatting sqref="G1345:G1347">
    <cfRule type="containsText" dxfId="343" priority="121" operator="containsText" text="o">
      <formula>NOT(ISERROR(SEARCH("o",G1345)))</formula>
    </cfRule>
  </conditionalFormatting>
  <conditionalFormatting sqref="M1345:M1347">
    <cfRule type="containsText" dxfId="342" priority="120" operator="containsText" text="o">
      <formula>NOT(ISERROR(SEARCH("o",M1345)))</formula>
    </cfRule>
  </conditionalFormatting>
  <conditionalFormatting sqref="J1345:J1347">
    <cfRule type="containsText" dxfId="341" priority="119" operator="containsText" text="o">
      <formula>NOT(ISERROR(SEARCH("o",J1345)))</formula>
    </cfRule>
  </conditionalFormatting>
  <conditionalFormatting sqref="L1345:L1347">
    <cfRule type="containsText" dxfId="340" priority="118" operator="containsText" text="o">
      <formula>NOT(ISERROR(SEARCH("o",L1345)))</formula>
    </cfRule>
  </conditionalFormatting>
  <conditionalFormatting sqref="E1345:E1347">
    <cfRule type="containsText" dxfId="339" priority="117" operator="containsText" text="o">
      <formula>NOT(ISERROR(SEARCH("o",E1345)))</formula>
    </cfRule>
  </conditionalFormatting>
  <conditionalFormatting sqref="K1345:K1347">
    <cfRule type="containsText" dxfId="338" priority="116" operator="containsText" text="o">
      <formula>NOT(ISERROR(SEARCH("o",K1345)))</formula>
    </cfRule>
  </conditionalFormatting>
  <conditionalFormatting sqref="F1345:F1347">
    <cfRule type="containsText" dxfId="337" priority="115" operator="containsText" text="o">
      <formula>NOT(ISERROR(SEARCH("o",F1345)))</formula>
    </cfRule>
  </conditionalFormatting>
  <conditionalFormatting sqref="D1345:D1347">
    <cfRule type="containsText" dxfId="336" priority="114" operator="containsText" text="o">
      <formula>NOT(ISERROR(SEARCH("o",D1345)))</formula>
    </cfRule>
  </conditionalFormatting>
  <conditionalFormatting sqref="I1345:I1347">
    <cfRule type="containsText" dxfId="335" priority="113" operator="containsText" text="o">
      <formula>NOT(ISERROR(SEARCH("o",I1345)))</formula>
    </cfRule>
  </conditionalFormatting>
  <conditionalFormatting sqref="M1365:M1375">
    <cfRule type="containsText" dxfId="334" priority="112" operator="containsText" text="o">
      <formula>NOT(ISERROR(SEARCH("o",M1365)))</formula>
    </cfRule>
  </conditionalFormatting>
  <conditionalFormatting sqref="G1365:G1375">
    <cfRule type="containsText" dxfId="333" priority="111" operator="containsText" text="o">
      <formula>NOT(ISERROR(SEARCH("o",G1365)))</formula>
    </cfRule>
  </conditionalFormatting>
  <conditionalFormatting sqref="J1365:J1375">
    <cfRule type="containsText" dxfId="332" priority="110" operator="containsText" text="o">
      <formula>NOT(ISERROR(SEARCH("o",J1365)))</formula>
    </cfRule>
  </conditionalFormatting>
  <conditionalFormatting sqref="L1365:L1375">
    <cfRule type="containsText" dxfId="331" priority="109" operator="containsText" text="o">
      <formula>NOT(ISERROR(SEARCH("o",L1365)))</formula>
    </cfRule>
  </conditionalFormatting>
  <conditionalFormatting sqref="E1365:E1375">
    <cfRule type="containsText" dxfId="330" priority="108" operator="containsText" text="o">
      <formula>NOT(ISERROR(SEARCH("o",E1365)))</formula>
    </cfRule>
  </conditionalFormatting>
  <conditionalFormatting sqref="H1365:H1376">
    <cfRule type="containsText" dxfId="329" priority="107" operator="containsText" text="o">
      <formula>NOT(ISERROR(SEARCH("o",H1365)))</formula>
    </cfRule>
  </conditionalFormatting>
  <conditionalFormatting sqref="K1365:K1375">
    <cfRule type="containsText" dxfId="328" priority="106" operator="containsText" text="o">
      <formula>NOT(ISERROR(SEARCH("o",K1365)))</formula>
    </cfRule>
  </conditionalFormatting>
  <conditionalFormatting sqref="F1365:F1375">
    <cfRule type="containsText" dxfId="327" priority="105" operator="containsText" text="o">
      <formula>NOT(ISERROR(SEARCH("o",F1365)))</formula>
    </cfRule>
  </conditionalFormatting>
  <conditionalFormatting sqref="D1365:D1375">
    <cfRule type="containsText" dxfId="326" priority="104" operator="containsText" text="o">
      <formula>NOT(ISERROR(SEARCH("o",D1365)))</formula>
    </cfRule>
  </conditionalFormatting>
  <conditionalFormatting sqref="I1365:I1375">
    <cfRule type="containsText" dxfId="325" priority="103" operator="containsText" text="o">
      <formula>NOT(ISERROR(SEARCH("o",I1365)))</formula>
    </cfRule>
  </conditionalFormatting>
  <conditionalFormatting sqref="M1400:M1428">
    <cfRule type="containsText" dxfId="324" priority="102" operator="containsText" text="o">
      <formula>NOT(ISERROR(SEARCH("o",M1400)))</formula>
    </cfRule>
  </conditionalFormatting>
  <conditionalFormatting sqref="G1400:G1428">
    <cfRule type="containsText" dxfId="323" priority="101" operator="containsText" text="o">
      <formula>NOT(ISERROR(SEARCH("o",G1400)))</formula>
    </cfRule>
  </conditionalFormatting>
  <conditionalFormatting sqref="J1400:J1428">
    <cfRule type="containsText" dxfId="322" priority="100" operator="containsText" text="o">
      <formula>NOT(ISERROR(SEARCH("o",J1400)))</formula>
    </cfRule>
  </conditionalFormatting>
  <conditionalFormatting sqref="L1400:L1428">
    <cfRule type="containsText" dxfId="321" priority="99" operator="containsText" text="o">
      <formula>NOT(ISERROR(SEARCH("o",L1400)))</formula>
    </cfRule>
  </conditionalFormatting>
  <conditionalFormatting sqref="E1400:E1428">
    <cfRule type="containsText" dxfId="320" priority="98" operator="containsText" text="o">
      <formula>NOT(ISERROR(SEARCH("o",E1400)))</formula>
    </cfRule>
  </conditionalFormatting>
  <conditionalFormatting sqref="H1400:H1428">
    <cfRule type="containsText" dxfId="319" priority="97" operator="containsText" text="o">
      <formula>NOT(ISERROR(SEARCH("o",H1400)))</formula>
    </cfRule>
  </conditionalFormatting>
  <conditionalFormatting sqref="K1400:K1428">
    <cfRule type="containsText" dxfId="318" priority="96" operator="containsText" text="o">
      <formula>NOT(ISERROR(SEARCH("o",K1400)))</formula>
    </cfRule>
  </conditionalFormatting>
  <conditionalFormatting sqref="F1400:F1428">
    <cfRule type="containsText" dxfId="317" priority="95" operator="containsText" text="o">
      <formula>NOT(ISERROR(SEARCH("o",F1400)))</formula>
    </cfRule>
  </conditionalFormatting>
  <conditionalFormatting sqref="D1400:D1428">
    <cfRule type="containsText" dxfId="316" priority="94" operator="containsText" text="o">
      <formula>NOT(ISERROR(SEARCH("o",D1400)))</formula>
    </cfRule>
  </conditionalFormatting>
  <conditionalFormatting sqref="I1400:I1428">
    <cfRule type="containsText" dxfId="315" priority="93" operator="containsText" text="o">
      <formula>NOT(ISERROR(SEARCH("o",I1400)))</formula>
    </cfRule>
  </conditionalFormatting>
  <conditionalFormatting sqref="I1639:I1647">
    <cfRule type="containsText" dxfId="314" priority="82" operator="containsText" text="o">
      <formula>NOT(ISERROR(SEARCH("o",I1639)))</formula>
    </cfRule>
  </conditionalFormatting>
  <conditionalFormatting sqref="D1639:D1647">
    <cfRule type="containsText" dxfId="313" priority="81" operator="containsText" text="o">
      <formula>NOT(ISERROR(SEARCH("o",D1639)))</formula>
    </cfRule>
  </conditionalFormatting>
  <conditionalFormatting sqref="F1639:F1647">
    <cfRule type="containsText" dxfId="312" priority="80" operator="containsText" text="o">
      <formula>NOT(ISERROR(SEARCH("o",F1639)))</formula>
    </cfRule>
  </conditionalFormatting>
  <conditionalFormatting sqref="K1639:K1647">
    <cfRule type="containsText" dxfId="311" priority="79" operator="containsText" text="o">
      <formula>NOT(ISERROR(SEARCH("o",K1639)))</formula>
    </cfRule>
  </conditionalFormatting>
  <conditionalFormatting sqref="H1639:H1647">
    <cfRule type="containsText" dxfId="310" priority="78" operator="containsText" text="o">
      <formula>NOT(ISERROR(SEARCH("o",H1639)))</formula>
    </cfRule>
  </conditionalFormatting>
  <conditionalFormatting sqref="E1639:E1647">
    <cfRule type="containsText" dxfId="309" priority="77" operator="containsText" text="o">
      <formula>NOT(ISERROR(SEARCH("o",E1639)))</formula>
    </cfRule>
  </conditionalFormatting>
  <conditionalFormatting sqref="L1639:L1647">
    <cfRule type="containsText" dxfId="308" priority="76" operator="containsText" text="o">
      <formula>NOT(ISERROR(SEARCH("o",L1639)))</formula>
    </cfRule>
  </conditionalFormatting>
  <conditionalFormatting sqref="J1639:J1647">
    <cfRule type="containsText" dxfId="307" priority="75" operator="containsText" text="o">
      <formula>NOT(ISERROR(SEARCH("o",J1639)))</formula>
    </cfRule>
  </conditionalFormatting>
  <conditionalFormatting sqref="G1639:G1647">
    <cfRule type="containsText" dxfId="306" priority="74" operator="containsText" text="o">
      <formula>NOT(ISERROR(SEARCH("o",G1639)))</formula>
    </cfRule>
  </conditionalFormatting>
  <conditionalFormatting sqref="M1639:M1647">
    <cfRule type="containsText" dxfId="305" priority="73" operator="containsText" text="o">
      <formula>NOT(ISERROR(SEARCH("o",M1639)))</formula>
    </cfRule>
  </conditionalFormatting>
  <conditionalFormatting sqref="I1648:I1658">
    <cfRule type="containsText" dxfId="304" priority="72" operator="containsText" text="o">
      <formula>NOT(ISERROR(SEARCH("o",I1648)))</formula>
    </cfRule>
  </conditionalFormatting>
  <conditionalFormatting sqref="D1648:D1658">
    <cfRule type="containsText" dxfId="303" priority="71" operator="containsText" text="o">
      <formula>NOT(ISERROR(SEARCH("o",D1648)))</formula>
    </cfRule>
  </conditionalFormatting>
  <conditionalFormatting sqref="K1648:K1658">
    <cfRule type="containsText" dxfId="302" priority="70" operator="containsText" text="o">
      <formula>NOT(ISERROR(SEARCH("o",K1648)))</formula>
    </cfRule>
  </conditionalFormatting>
  <conditionalFormatting sqref="H1648:H1658">
    <cfRule type="containsText" dxfId="301" priority="69" operator="containsText" text="o">
      <formula>NOT(ISERROR(SEARCH("o",H1648)))</formula>
    </cfRule>
  </conditionalFormatting>
  <conditionalFormatting sqref="E1648:E1658">
    <cfRule type="containsText" dxfId="300" priority="68" operator="containsText" text="o">
      <formula>NOT(ISERROR(SEARCH("o",E1648)))</formula>
    </cfRule>
  </conditionalFormatting>
  <conditionalFormatting sqref="L1648:L1658">
    <cfRule type="containsText" dxfId="299" priority="67" operator="containsText" text="o">
      <formula>NOT(ISERROR(SEARCH("o",L1648)))</formula>
    </cfRule>
  </conditionalFormatting>
  <conditionalFormatting sqref="J1648:J1658">
    <cfRule type="containsText" dxfId="298" priority="66" operator="containsText" text="o">
      <formula>NOT(ISERROR(SEARCH("o",J1648)))</formula>
    </cfRule>
  </conditionalFormatting>
  <conditionalFormatting sqref="G1648:G1658">
    <cfRule type="containsText" dxfId="297" priority="65" operator="containsText" text="o">
      <formula>NOT(ISERROR(SEARCH("o",G1648)))</formula>
    </cfRule>
  </conditionalFormatting>
  <conditionalFormatting sqref="C1648:C1658">
    <cfRule type="containsText" dxfId="296" priority="64" operator="containsText" text="o">
      <formula>NOT(ISERROR(SEARCH("o",C1648)))</formula>
    </cfRule>
  </conditionalFormatting>
  <conditionalFormatting sqref="M1648:M1658">
    <cfRule type="containsText" dxfId="295" priority="63" operator="containsText" text="o">
      <formula>NOT(ISERROR(SEARCH("o",M1648)))</formula>
    </cfRule>
  </conditionalFormatting>
  <conditionalFormatting sqref="M1659:M1664">
    <cfRule type="containsText" dxfId="294" priority="62" operator="containsText" text="o">
      <formula>NOT(ISERROR(SEARCH("o",M1659)))</formula>
    </cfRule>
  </conditionalFormatting>
  <conditionalFormatting sqref="L1659:L1664">
    <cfRule type="containsText" dxfId="293" priority="61" operator="containsText" text="o">
      <formula>NOT(ISERROR(SEARCH("o",L1659)))</formula>
    </cfRule>
  </conditionalFormatting>
  <conditionalFormatting sqref="K1659:K1664">
    <cfRule type="containsText" dxfId="292" priority="60" operator="containsText" text="o">
      <formula>NOT(ISERROR(SEARCH("o",K1659)))</formula>
    </cfRule>
  </conditionalFormatting>
  <conditionalFormatting sqref="J1659:J1664">
    <cfRule type="containsText" dxfId="291" priority="59" operator="containsText" text="o">
      <formula>NOT(ISERROR(SEARCH("o",J1659)))</formula>
    </cfRule>
  </conditionalFormatting>
  <conditionalFormatting sqref="G1659:G1662">
    <cfRule type="containsText" dxfId="290" priority="58" operator="containsText" text="o">
      <formula>NOT(ISERROR(SEARCH("o",G1659)))</formula>
    </cfRule>
  </conditionalFormatting>
  <conditionalFormatting sqref="I1659:I1664">
    <cfRule type="containsText" dxfId="289" priority="57" operator="containsText" text="o">
      <formula>NOT(ISERROR(SEARCH("o",I1659)))</formula>
    </cfRule>
  </conditionalFormatting>
  <conditionalFormatting sqref="H1664 H1659:H1662">
    <cfRule type="containsText" dxfId="288" priority="56" operator="containsText" text="o">
      <formula>NOT(ISERROR(SEARCH("o",H1659)))</formula>
    </cfRule>
  </conditionalFormatting>
  <conditionalFormatting sqref="E1659:E1664">
    <cfRule type="containsText" dxfId="287" priority="55" operator="containsText" text="o">
      <formula>NOT(ISERROR(SEARCH("o",E1659)))</formula>
    </cfRule>
  </conditionalFormatting>
  <conditionalFormatting sqref="D1659:D1664">
    <cfRule type="containsText" dxfId="286" priority="54" operator="containsText" text="o">
      <formula>NOT(ISERROR(SEARCH("o",D1659)))</formula>
    </cfRule>
  </conditionalFormatting>
  <conditionalFormatting sqref="M1694:M1697">
    <cfRule type="containsText" dxfId="285" priority="43" operator="containsText" text="o">
      <formula>NOT(ISERROR(SEARCH("o",M1694)))</formula>
    </cfRule>
  </conditionalFormatting>
  <conditionalFormatting sqref="L1694:L1697">
    <cfRule type="containsText" dxfId="284" priority="42" operator="containsText" text="o">
      <formula>NOT(ISERROR(SEARCH("o",L1694)))</formula>
    </cfRule>
  </conditionalFormatting>
  <conditionalFormatting sqref="K1694:K1697">
    <cfRule type="containsText" dxfId="283" priority="41" operator="containsText" text="o">
      <formula>NOT(ISERROR(SEARCH("o",K1694)))</formula>
    </cfRule>
  </conditionalFormatting>
  <conditionalFormatting sqref="J1694:J1697">
    <cfRule type="containsText" dxfId="282" priority="40" operator="containsText" text="o">
      <formula>NOT(ISERROR(SEARCH("o",J1694)))</formula>
    </cfRule>
  </conditionalFormatting>
  <conditionalFormatting sqref="I1694:I1697">
    <cfRule type="containsText" dxfId="281" priority="39" operator="containsText" text="o">
      <formula>NOT(ISERROR(SEARCH("o",I1694)))</formula>
    </cfRule>
  </conditionalFormatting>
  <conditionalFormatting sqref="H1694:H1697">
    <cfRule type="containsText" dxfId="280" priority="38" operator="containsText" text="o">
      <formula>NOT(ISERROR(SEARCH("o",H1694)))</formula>
    </cfRule>
  </conditionalFormatting>
  <conditionalFormatting sqref="G1694:G1697">
    <cfRule type="containsText" dxfId="279" priority="37" operator="containsText" text="o">
      <formula>NOT(ISERROR(SEARCH("o",G1694)))</formula>
    </cfRule>
  </conditionalFormatting>
  <conditionalFormatting sqref="F1694:F1697">
    <cfRule type="containsText" dxfId="278" priority="36" operator="containsText" text="o">
      <formula>NOT(ISERROR(SEARCH("o",F1694)))</formula>
    </cfRule>
  </conditionalFormatting>
  <conditionalFormatting sqref="E1694:E1697">
    <cfRule type="containsText" dxfId="277" priority="35" operator="containsText" text="o">
      <formula>NOT(ISERROR(SEARCH("o",E1694)))</formula>
    </cfRule>
  </conditionalFormatting>
  <conditionalFormatting sqref="D1694:D1697">
    <cfRule type="containsText" dxfId="276" priority="34" operator="containsText" text="o">
      <formula>NOT(ISERROR(SEARCH("o",D1694)))</formula>
    </cfRule>
  </conditionalFormatting>
  <conditionalFormatting sqref="M1698:M1701">
    <cfRule type="containsText" dxfId="275" priority="33" operator="containsText" text="o">
      <formula>NOT(ISERROR(SEARCH("o",M1698)))</formula>
    </cfRule>
  </conditionalFormatting>
  <conditionalFormatting sqref="G1698:G1701">
    <cfRule type="containsText" dxfId="274" priority="32" operator="containsText" text="o">
      <formula>NOT(ISERROR(SEARCH("o",G1698)))</formula>
    </cfRule>
  </conditionalFormatting>
  <conditionalFormatting sqref="J1698:J1701">
    <cfRule type="containsText" dxfId="273" priority="31" operator="containsText" text="o">
      <formula>NOT(ISERROR(SEARCH("o",J1698)))</formula>
    </cfRule>
  </conditionalFormatting>
  <conditionalFormatting sqref="L1698:L1701">
    <cfRule type="containsText" dxfId="272" priority="30" operator="containsText" text="o">
      <formula>NOT(ISERROR(SEARCH("o",L1698)))</formula>
    </cfRule>
  </conditionalFormatting>
  <conditionalFormatting sqref="E1698:E1701">
    <cfRule type="containsText" dxfId="271" priority="29" operator="containsText" text="o">
      <formula>NOT(ISERROR(SEARCH("o",E1698)))</formula>
    </cfRule>
  </conditionalFormatting>
  <conditionalFormatting sqref="H1698:H1701">
    <cfRule type="containsText" dxfId="270" priority="28" operator="containsText" text="o">
      <formula>NOT(ISERROR(SEARCH("o",H1698)))</formula>
    </cfRule>
  </conditionalFormatting>
  <conditionalFormatting sqref="K1698:K1701">
    <cfRule type="containsText" dxfId="269" priority="27" operator="containsText" text="o">
      <formula>NOT(ISERROR(SEARCH("o",K1698)))</formula>
    </cfRule>
  </conditionalFormatting>
  <conditionalFormatting sqref="F1698:F1701">
    <cfRule type="containsText" dxfId="268" priority="26" operator="containsText" text="o">
      <formula>NOT(ISERROR(SEARCH("o",F1698)))</formula>
    </cfRule>
  </conditionalFormatting>
  <conditionalFormatting sqref="D1698:D1701">
    <cfRule type="containsText" dxfId="267" priority="25" operator="containsText" text="o">
      <formula>NOT(ISERROR(SEARCH("o",D1698)))</formula>
    </cfRule>
  </conditionalFormatting>
  <conditionalFormatting sqref="I1698:I1701">
    <cfRule type="containsText" dxfId="266" priority="24" operator="containsText" text="o">
      <formula>NOT(ISERROR(SEARCH("o",I1698)))</formula>
    </cfRule>
  </conditionalFormatting>
  <conditionalFormatting sqref="I1780:I1785">
    <cfRule type="containsText" dxfId="265" priority="20" operator="containsText" text="o">
      <formula>NOT(ISERROR(SEARCH("o",I1780)))</formula>
    </cfRule>
  </conditionalFormatting>
  <conditionalFormatting sqref="D1780:D1785">
    <cfRule type="containsText" dxfId="264" priority="19" operator="containsText" text="o">
      <formula>NOT(ISERROR(SEARCH("o",D1780)))</formula>
    </cfRule>
  </conditionalFormatting>
  <conditionalFormatting sqref="F1780:F1785">
    <cfRule type="containsText" dxfId="263" priority="18" operator="containsText" text="o">
      <formula>NOT(ISERROR(SEARCH("o",F1780)))</formula>
    </cfRule>
  </conditionalFormatting>
  <conditionalFormatting sqref="K1780:K1785">
    <cfRule type="containsText" dxfId="262" priority="17" operator="containsText" text="o">
      <formula>NOT(ISERROR(SEARCH("o",K1780)))</formula>
    </cfRule>
  </conditionalFormatting>
  <conditionalFormatting sqref="H1780:H1785">
    <cfRule type="containsText" dxfId="261" priority="16" operator="containsText" text="o">
      <formula>NOT(ISERROR(SEARCH("o",H1780)))</formula>
    </cfRule>
  </conditionalFormatting>
  <conditionalFormatting sqref="E1780:E1785">
    <cfRule type="containsText" dxfId="260" priority="15" operator="containsText" text="o">
      <formula>NOT(ISERROR(SEARCH("o",E1780)))</formula>
    </cfRule>
  </conditionalFormatting>
  <conditionalFormatting sqref="L1780:L1785">
    <cfRule type="containsText" dxfId="259" priority="14" operator="containsText" text="o">
      <formula>NOT(ISERROR(SEARCH("o",L1780)))</formula>
    </cfRule>
  </conditionalFormatting>
  <conditionalFormatting sqref="J1780:J1785">
    <cfRule type="containsText" dxfId="258" priority="13" operator="containsText" text="o">
      <formula>NOT(ISERROR(SEARCH("o",J1780)))</formula>
    </cfRule>
  </conditionalFormatting>
  <conditionalFormatting sqref="G1780:G1785">
    <cfRule type="containsText" dxfId="257" priority="12" operator="containsText" text="o">
      <formula>NOT(ISERROR(SEARCH("o",G1780)))</formula>
    </cfRule>
  </conditionalFormatting>
  <conditionalFormatting sqref="M1780:M1785">
    <cfRule type="containsText" dxfId="256" priority="11" operator="containsText" text="o">
      <formula>NOT(ISERROR(SEARCH("o",M1780)))</formula>
    </cfRule>
  </conditionalFormatting>
  <conditionalFormatting sqref="M1803:M1814">
    <cfRule type="containsText" dxfId="255" priority="10" operator="containsText" text="o">
      <formula>NOT(ISERROR(SEARCH("o",M1803)))</formula>
    </cfRule>
  </conditionalFormatting>
  <conditionalFormatting sqref="G1803:G1814">
    <cfRule type="containsText" dxfId="254" priority="9" operator="containsText" text="o">
      <formula>NOT(ISERROR(SEARCH("o",G1803)))</formula>
    </cfRule>
  </conditionalFormatting>
  <conditionalFormatting sqref="J1803:J1814">
    <cfRule type="containsText" dxfId="253" priority="8" operator="containsText" text="o">
      <formula>NOT(ISERROR(SEARCH("o",J1803)))</formula>
    </cfRule>
  </conditionalFormatting>
  <conditionalFormatting sqref="L1803:L1814">
    <cfRule type="containsText" dxfId="252" priority="7" operator="containsText" text="o">
      <formula>NOT(ISERROR(SEARCH("o",L1803)))</formula>
    </cfRule>
  </conditionalFormatting>
  <conditionalFormatting sqref="E1803:E1814">
    <cfRule type="containsText" dxfId="251" priority="6" operator="containsText" text="o">
      <formula>NOT(ISERROR(SEARCH("o",E1803)))</formula>
    </cfRule>
  </conditionalFormatting>
  <conditionalFormatting sqref="H1803:H1814">
    <cfRule type="containsText" dxfId="250" priority="5" operator="containsText" text="o">
      <formula>NOT(ISERROR(SEARCH("o",H1803)))</formula>
    </cfRule>
  </conditionalFormatting>
  <conditionalFormatting sqref="K1803:K1814">
    <cfRule type="containsText" dxfId="249" priority="4" operator="containsText" text="o">
      <formula>NOT(ISERROR(SEARCH("o",K1803)))</formula>
    </cfRule>
  </conditionalFormatting>
  <conditionalFormatting sqref="F1803:F1814">
    <cfRule type="containsText" dxfId="248" priority="3" operator="containsText" text="o">
      <formula>NOT(ISERROR(SEARCH("o",F1803)))</formula>
    </cfRule>
  </conditionalFormatting>
  <conditionalFormatting sqref="D1803:D1814">
    <cfRule type="containsText" dxfId="247" priority="2" operator="containsText" text="o">
      <formula>NOT(ISERROR(SEARCH("o",D1803)))</formula>
    </cfRule>
  </conditionalFormatting>
  <conditionalFormatting sqref="I1803:I1814">
    <cfRule type="containsText" dxfId="246" priority="1" operator="containsText" text="o">
      <formula>NOT(ISERROR(SEARCH("o",I1803)))</formula>
    </cfRule>
  </conditionalFormatting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theme="5" tint="0.59999389629810485"/>
  </sheetPr>
  <dimension ref="A1:PO4622"/>
  <sheetViews>
    <sheetView showGridLines="0" zoomScale="70" zoomScaleNormal="70" workbookViewId="0">
      <pane xSplit="1" ySplit="5" topLeftCell="F4617" activePane="bottomRight" state="frozen"/>
      <selection pane="topRight" activeCell="B1" sqref="B1"/>
      <selection pane="bottomLeft" activeCell="A4" sqref="A4"/>
      <selection pane="bottomRight" activeCell="AG1" sqref="AG1:AG11"/>
    </sheetView>
  </sheetViews>
  <sheetFormatPr baseColWidth="10" defaultColWidth="10.875" defaultRowHeight="18.75" x14ac:dyDescent="0.3"/>
  <cols>
    <col min="1" max="1" width="16.375" style="140" customWidth="1"/>
    <col min="2" max="2" width="15" style="138" customWidth="1"/>
    <col min="3" max="3" width="10.875" style="138" customWidth="1"/>
    <col min="4" max="4" width="10.875" style="152" customWidth="1"/>
    <col min="5" max="5" width="12.5" style="752" customWidth="1"/>
    <col min="6" max="6" width="10.875" style="142" customWidth="1"/>
    <col min="7" max="7" width="11.375" style="140" hidden="1" customWidth="1"/>
    <col min="8" max="8" width="11.375" style="142" customWidth="1"/>
    <col min="9" max="9" width="10.875" style="142" customWidth="1"/>
    <col min="10" max="10" width="10.875" style="141" customWidth="1"/>
    <col min="11" max="11" width="10.875" style="138" customWidth="1"/>
    <col min="12" max="14" width="10.875" style="140" customWidth="1"/>
    <col min="15" max="15" width="14.125" style="140" customWidth="1"/>
    <col min="16" max="16" width="11.25" style="140" customWidth="1"/>
    <col min="17" max="17" width="10.875" style="140" hidden="1" customWidth="1"/>
    <col min="18" max="18" width="10.875" style="139" customWidth="1"/>
    <col min="19" max="19" width="11.25" style="138" customWidth="1"/>
    <col min="20" max="20" width="12.375" style="140" hidden="1" customWidth="1"/>
    <col min="21" max="21" width="12.5" style="140" hidden="1" customWidth="1"/>
    <col min="22" max="22" width="13.375" style="140" hidden="1" customWidth="1"/>
    <col min="23" max="24" width="10.875" style="140" hidden="1" customWidth="1"/>
    <col min="25" max="25" width="11.375" style="138" customWidth="1"/>
    <col min="26" max="26" width="10.875" style="140" customWidth="1"/>
    <col min="27" max="28" width="10.875" style="139" customWidth="1"/>
    <col min="29" max="29" width="10.875" style="140" customWidth="1"/>
    <col min="30" max="32" width="10.875" style="70" customWidth="1"/>
    <col min="33" max="33" width="10.875" style="142"/>
    <col min="34" max="16384" width="10.875" style="140"/>
  </cols>
  <sheetData>
    <row r="1" spans="1:34" s="143" customFormat="1" ht="23.25" x14ac:dyDescent="0.35">
      <c r="A1" s="2114" t="s">
        <v>134</v>
      </c>
      <c r="B1" s="2114"/>
      <c r="C1" s="2114"/>
      <c r="D1" s="163"/>
      <c r="E1" s="1521"/>
      <c r="F1" s="66"/>
      <c r="H1" s="66"/>
      <c r="I1" s="66"/>
      <c r="J1" s="144"/>
      <c r="K1" s="67"/>
      <c r="R1" s="145"/>
      <c r="S1" s="67"/>
      <c r="Y1" s="67">
        <f ca="1">RANDBETWEEN(5,7)*AD1/100</f>
        <v>0</v>
      </c>
      <c r="AA1" s="68">
        <f ca="1">RANDBETWEEN(345,500)/100</f>
        <v>4.84</v>
      </c>
      <c r="AB1" s="68">
        <f ca="1">RANDBETWEEN(245,900)/1000</f>
        <v>0.86699999999999999</v>
      </c>
      <c r="AC1" s="69">
        <f ca="1">RANDBETWEEN(60,120)/10</f>
        <v>7.6</v>
      </c>
      <c r="AD1" s="70"/>
      <c r="AE1" s="70"/>
      <c r="AF1" s="70"/>
      <c r="AG1" s="66" t="e">
        <f ca="1">+K1*3.54*100/Y1</f>
        <v>#DIV/0!</v>
      </c>
      <c r="AH1" s="143">
        <f>+SUM(AD1:AF1)</f>
        <v>0</v>
      </c>
    </row>
    <row r="2" spans="1:34" s="143" customFormat="1" ht="23.25" x14ac:dyDescent="0.35">
      <c r="A2" s="2115" t="s">
        <v>135</v>
      </c>
      <c r="B2" s="2115"/>
      <c r="C2" s="2115"/>
      <c r="D2" s="163"/>
      <c r="E2" s="1521"/>
      <c r="F2" s="145">
        <f ca="1">E2*1000*(RANDBETWEEN(113,119)/100)</f>
        <v>0</v>
      </c>
      <c r="H2" s="66"/>
      <c r="I2" s="66"/>
      <c r="J2" s="144"/>
      <c r="K2" s="67"/>
      <c r="R2" s="145"/>
      <c r="S2" s="67"/>
      <c r="Y2" s="67"/>
      <c r="AA2" s="145"/>
      <c r="AB2" s="145"/>
      <c r="AD2" s="70"/>
      <c r="AE2" s="70"/>
      <c r="AF2" s="70"/>
      <c r="AG2" s="66" t="e">
        <f t="shared" ref="AG2:AG65" si="0">+K2*3.54*100/Y2</f>
        <v>#DIV/0!</v>
      </c>
      <c r="AH2" s="143">
        <f t="shared" ref="AH2:AH65" si="1">+SUM(AD2:AF2)</f>
        <v>0</v>
      </c>
    </row>
    <row r="3" spans="1:34" s="90" customFormat="1" ht="30.95" customHeight="1" x14ac:dyDescent="0.3">
      <c r="A3" s="71"/>
      <c r="B3" s="74"/>
      <c r="C3" s="74"/>
      <c r="D3" s="164"/>
      <c r="E3" s="1522"/>
      <c r="F3" s="72"/>
      <c r="G3" s="71"/>
      <c r="H3" s="72"/>
      <c r="I3" s="72"/>
      <c r="J3" s="73"/>
      <c r="K3" s="74"/>
      <c r="L3" s="71"/>
      <c r="M3" s="71"/>
      <c r="N3" s="71"/>
      <c r="O3" s="71"/>
      <c r="P3" s="71"/>
      <c r="Q3" s="71"/>
      <c r="R3" s="75"/>
      <c r="S3" s="74"/>
      <c r="T3" s="2113" t="s">
        <v>74</v>
      </c>
      <c r="U3" s="2113"/>
      <c r="V3" s="2113"/>
      <c r="W3" s="2113"/>
      <c r="X3" s="2113"/>
      <c r="Y3" s="74"/>
      <c r="Z3" s="1619"/>
      <c r="AA3" s="75"/>
      <c r="AB3" s="75"/>
      <c r="AC3" s="1619"/>
      <c r="AD3" s="2113" t="s">
        <v>75</v>
      </c>
      <c r="AE3" s="2113"/>
      <c r="AF3" s="2113"/>
      <c r="AG3" s="66" t="e">
        <f t="shared" si="0"/>
        <v>#DIV/0!</v>
      </c>
      <c r="AH3" s="143"/>
    </row>
    <row r="4" spans="1:34" s="146" customFormat="1" x14ac:dyDescent="0.3">
      <c r="A4" s="2112" t="s">
        <v>0</v>
      </c>
      <c r="B4" s="79" t="s">
        <v>49</v>
      </c>
      <c r="C4" s="79" t="s">
        <v>50</v>
      </c>
      <c r="D4" s="165" t="s">
        <v>3</v>
      </c>
      <c r="E4" s="1523" t="s">
        <v>4</v>
      </c>
      <c r="F4" s="77" t="s">
        <v>8</v>
      </c>
      <c r="G4" s="76" t="s">
        <v>9</v>
      </c>
      <c r="H4" s="77" t="s">
        <v>51</v>
      </c>
      <c r="I4" s="77" t="s">
        <v>52</v>
      </c>
      <c r="J4" s="78" t="s">
        <v>53</v>
      </c>
      <c r="K4" s="79" t="s">
        <v>54</v>
      </c>
      <c r="L4" s="76" t="s">
        <v>55</v>
      </c>
      <c r="M4" s="76" t="s">
        <v>56</v>
      </c>
      <c r="N4" s="76" t="s">
        <v>57</v>
      </c>
      <c r="O4" s="76" t="s">
        <v>58</v>
      </c>
      <c r="P4" s="76" t="s">
        <v>59</v>
      </c>
      <c r="Q4" s="76" t="s">
        <v>17</v>
      </c>
      <c r="R4" s="80" t="s">
        <v>60</v>
      </c>
      <c r="S4" s="79" t="s">
        <v>61</v>
      </c>
      <c r="T4" s="76" t="s">
        <v>62</v>
      </c>
      <c r="U4" s="76" t="s">
        <v>63</v>
      </c>
      <c r="V4" s="76" t="s">
        <v>64</v>
      </c>
      <c r="W4" s="76" t="s">
        <v>65</v>
      </c>
      <c r="X4" s="76" t="s">
        <v>66</v>
      </c>
      <c r="Y4" s="79" t="s">
        <v>67</v>
      </c>
      <c r="Z4" s="76" t="s">
        <v>68</v>
      </c>
      <c r="AA4" s="80" t="s">
        <v>69</v>
      </c>
      <c r="AB4" s="80" t="s">
        <v>70</v>
      </c>
      <c r="AC4" s="76" t="s">
        <v>48</v>
      </c>
      <c r="AD4" s="76" t="s">
        <v>62</v>
      </c>
      <c r="AE4" s="76" t="s">
        <v>76</v>
      </c>
      <c r="AF4" s="76" t="s">
        <v>77</v>
      </c>
      <c r="AG4" s="66" t="e">
        <f t="shared" si="0"/>
        <v>#VALUE!</v>
      </c>
      <c r="AH4" s="143"/>
    </row>
    <row r="5" spans="1:34" s="147" customFormat="1" x14ac:dyDescent="0.3">
      <c r="A5" s="2112"/>
      <c r="B5" s="79" t="s">
        <v>46</v>
      </c>
      <c r="C5" s="79" t="s">
        <v>46</v>
      </c>
      <c r="D5" s="165" t="s">
        <v>34</v>
      </c>
      <c r="E5" s="1523" t="s">
        <v>35</v>
      </c>
      <c r="F5" s="77" t="s">
        <v>47</v>
      </c>
      <c r="G5" s="76" t="s">
        <v>47</v>
      </c>
      <c r="H5" s="77" t="s">
        <v>47</v>
      </c>
      <c r="I5" s="77" t="s">
        <v>47</v>
      </c>
      <c r="J5" s="78" t="s">
        <v>72</v>
      </c>
      <c r="K5" s="79" t="s">
        <v>72</v>
      </c>
      <c r="L5" s="76" t="s">
        <v>47</v>
      </c>
      <c r="M5" s="76" t="s">
        <v>47</v>
      </c>
      <c r="N5" s="76" t="s">
        <v>47</v>
      </c>
      <c r="O5" s="76" t="s">
        <v>47</v>
      </c>
      <c r="P5" s="76" t="s">
        <v>47</v>
      </c>
      <c r="Q5" s="76" t="s">
        <v>47</v>
      </c>
      <c r="R5" s="80" t="s">
        <v>71</v>
      </c>
      <c r="S5" s="79" t="s">
        <v>72</v>
      </c>
      <c r="T5" s="76" t="s">
        <v>71</v>
      </c>
      <c r="U5" s="76" t="s">
        <v>71</v>
      </c>
      <c r="V5" s="76" t="s">
        <v>71</v>
      </c>
      <c r="W5" s="76" t="s">
        <v>71</v>
      </c>
      <c r="X5" s="76" t="s">
        <v>71</v>
      </c>
      <c r="Y5" s="79" t="s">
        <v>73</v>
      </c>
      <c r="Z5" s="76" t="s">
        <v>34</v>
      </c>
      <c r="AA5" s="80" t="s">
        <v>47</v>
      </c>
      <c r="AB5" s="80" t="s">
        <v>47</v>
      </c>
      <c r="AC5" s="76" t="s">
        <v>46</v>
      </c>
      <c r="AD5" s="76" t="s">
        <v>71</v>
      </c>
      <c r="AE5" s="76" t="s">
        <v>71</v>
      </c>
      <c r="AF5" s="76" t="s">
        <v>71</v>
      </c>
      <c r="AG5" s="66" t="e">
        <f t="shared" si="0"/>
        <v>#VALUE!</v>
      </c>
      <c r="AH5" s="143"/>
    </row>
    <row r="6" spans="1:34" s="90" customFormat="1" x14ac:dyDescent="0.3">
      <c r="A6" s="81">
        <v>802500</v>
      </c>
      <c r="B6" s="94">
        <v>0.26666666666666666</v>
      </c>
      <c r="C6" s="87"/>
      <c r="D6" s="86">
        <v>7.3</v>
      </c>
      <c r="E6" s="99">
        <v>0.16</v>
      </c>
      <c r="F6" s="84">
        <v>38.5</v>
      </c>
      <c r="G6" s="83">
        <v>87.300000000000011</v>
      </c>
      <c r="H6" s="84">
        <v>159.19999999999999</v>
      </c>
      <c r="I6" s="84">
        <v>129</v>
      </c>
      <c r="J6" s="85">
        <v>6.0999999999999999E-2</v>
      </c>
      <c r="K6" s="87">
        <v>0.81499999999999995</v>
      </c>
      <c r="L6" s="84">
        <v>170</v>
      </c>
      <c r="M6" s="86">
        <v>2.93</v>
      </c>
      <c r="N6" s="83">
        <v>1.01</v>
      </c>
      <c r="O6" s="83">
        <v>16.38</v>
      </c>
      <c r="P6" s="83">
        <v>35.25</v>
      </c>
      <c r="Q6" s="83"/>
      <c r="R6" s="86">
        <v>0.57731837518908036</v>
      </c>
      <c r="S6" s="87">
        <v>4</v>
      </c>
      <c r="T6" s="83"/>
      <c r="U6" s="83"/>
      <c r="V6" s="84"/>
      <c r="W6" s="83"/>
      <c r="X6" s="83"/>
      <c r="Y6" s="87">
        <v>2.1</v>
      </c>
      <c r="Z6" s="83"/>
      <c r="AA6" s="82">
        <v>35.65</v>
      </c>
      <c r="AB6" s="82">
        <v>0.15</v>
      </c>
      <c r="AC6" s="83">
        <v>10</v>
      </c>
      <c r="AD6" s="88">
        <v>100</v>
      </c>
      <c r="AE6" s="89">
        <v>10</v>
      </c>
      <c r="AF6" s="88">
        <v>890</v>
      </c>
      <c r="AG6" s="66">
        <f t="shared" si="0"/>
        <v>137.38571428571427</v>
      </c>
      <c r="AH6" s="143">
        <f t="shared" si="1"/>
        <v>1000</v>
      </c>
    </row>
    <row r="7" spans="1:34" s="90" customFormat="1" x14ac:dyDescent="0.3">
      <c r="A7" s="81">
        <v>802501</v>
      </c>
      <c r="B7" s="94">
        <v>13.666666666666663</v>
      </c>
      <c r="C7" s="87">
        <v>7.8</v>
      </c>
      <c r="D7" s="86">
        <v>8.66</v>
      </c>
      <c r="E7" s="99">
        <v>0.15</v>
      </c>
      <c r="F7" s="84">
        <v>31.45</v>
      </c>
      <c r="G7" s="83">
        <v>36.700000000000003</v>
      </c>
      <c r="H7" s="84">
        <v>138.80000000000001</v>
      </c>
      <c r="I7" s="84">
        <v>222</v>
      </c>
      <c r="J7" s="85">
        <v>0.153</v>
      </c>
      <c r="K7" s="87">
        <v>16.545000000000002</v>
      </c>
      <c r="L7" s="84">
        <v>2646</v>
      </c>
      <c r="M7" s="86">
        <v>2.2000000000000002</v>
      </c>
      <c r="N7" s="83">
        <v>1.62</v>
      </c>
      <c r="O7" s="83">
        <v>2.95</v>
      </c>
      <c r="P7" s="83">
        <v>15.58</v>
      </c>
      <c r="Q7" s="83"/>
      <c r="R7" s="86">
        <v>2.2769230769230768</v>
      </c>
      <c r="S7" s="87">
        <v>14.8</v>
      </c>
      <c r="T7" s="83"/>
      <c r="U7" s="83"/>
      <c r="V7" s="84"/>
      <c r="W7" s="83"/>
      <c r="X7" s="83"/>
      <c r="Y7" s="87">
        <v>31.7</v>
      </c>
      <c r="Z7" s="83"/>
      <c r="AA7" s="82">
        <v>21.200000000000003</v>
      </c>
      <c r="AB7" s="82">
        <v>0.1</v>
      </c>
      <c r="AC7" s="83">
        <v>10</v>
      </c>
      <c r="AD7" s="88"/>
      <c r="AE7" s="88"/>
      <c r="AF7" s="88"/>
      <c r="AG7" s="66">
        <f t="shared" si="0"/>
        <v>184.76119873817035</v>
      </c>
      <c r="AH7" s="143">
        <f t="shared" si="1"/>
        <v>0</v>
      </c>
    </row>
    <row r="8" spans="1:34" s="90" customFormat="1" x14ac:dyDescent="0.3">
      <c r="A8" s="81">
        <v>802502</v>
      </c>
      <c r="B8" s="94">
        <v>7.083333333333333</v>
      </c>
      <c r="C8" s="87"/>
      <c r="D8" s="86">
        <v>8.74</v>
      </c>
      <c r="E8" s="99">
        <v>0.14000000000000001</v>
      </c>
      <c r="F8" s="84">
        <v>125.19999999999999</v>
      </c>
      <c r="G8" s="83">
        <v>29.35</v>
      </c>
      <c r="H8" s="84">
        <v>119.23</v>
      </c>
      <c r="I8" s="84">
        <v>252</v>
      </c>
      <c r="J8" s="85">
        <v>0.122</v>
      </c>
      <c r="K8" s="87">
        <v>16.212</v>
      </c>
      <c r="L8" s="84">
        <v>2646</v>
      </c>
      <c r="M8" s="86">
        <v>1.62</v>
      </c>
      <c r="N8" s="83">
        <v>5.25</v>
      </c>
      <c r="O8" s="83">
        <v>3.98</v>
      </c>
      <c r="P8" s="83">
        <v>12.47</v>
      </c>
      <c r="Q8" s="83"/>
      <c r="R8" s="86">
        <v>2.2307692307692308</v>
      </c>
      <c r="S8" s="87">
        <v>14.5</v>
      </c>
      <c r="T8" s="83"/>
      <c r="U8" s="83"/>
      <c r="V8" s="84"/>
      <c r="W8" s="83"/>
      <c r="X8" s="83"/>
      <c r="Y8" s="87">
        <v>32.6</v>
      </c>
      <c r="Z8" s="83"/>
      <c r="AA8" s="82">
        <v>8.75</v>
      </c>
      <c r="AB8" s="82">
        <v>0.1</v>
      </c>
      <c r="AC8" s="83">
        <v>10</v>
      </c>
      <c r="AD8" s="88"/>
      <c r="AE8" s="88"/>
      <c r="AF8" s="88"/>
      <c r="AG8" s="66">
        <f t="shared" si="0"/>
        <v>176.04441717791408</v>
      </c>
      <c r="AH8" s="143">
        <f t="shared" si="1"/>
        <v>0</v>
      </c>
    </row>
    <row r="9" spans="1:34" s="90" customFormat="1" x14ac:dyDescent="0.3">
      <c r="A9" s="81">
        <v>802518</v>
      </c>
      <c r="B9" s="94">
        <v>1.6666666666666667</v>
      </c>
      <c r="C9" s="87"/>
      <c r="D9" s="86">
        <v>7.37</v>
      </c>
      <c r="E9" s="99">
        <v>0.13</v>
      </c>
      <c r="F9" s="84">
        <v>74.800000000000011</v>
      </c>
      <c r="G9" s="87">
        <v>65.45</v>
      </c>
      <c r="H9" s="84">
        <v>113.51</v>
      </c>
      <c r="I9" s="84">
        <v>380</v>
      </c>
      <c r="J9" s="85">
        <v>7.1999999999999995E-2</v>
      </c>
      <c r="K9" s="87">
        <v>6.2569999999999997</v>
      </c>
      <c r="L9" s="84">
        <v>1223</v>
      </c>
      <c r="M9" s="86">
        <v>2.2200000000000002</v>
      </c>
      <c r="N9" s="83">
        <v>3.12</v>
      </c>
      <c r="O9" s="83">
        <v>37.700000000000003</v>
      </c>
      <c r="P9" s="83">
        <v>1.43</v>
      </c>
      <c r="Q9" s="83"/>
      <c r="R9" s="86">
        <v>2.8923076923076918</v>
      </c>
      <c r="S9" s="87">
        <v>18.799999999999997</v>
      </c>
      <c r="T9" s="83"/>
      <c r="U9" s="83"/>
      <c r="V9" s="84"/>
      <c r="W9" s="83"/>
      <c r="X9" s="83"/>
      <c r="Y9" s="87">
        <v>24.7</v>
      </c>
      <c r="Z9" s="83"/>
      <c r="AA9" s="82">
        <v>33.549999999999997</v>
      </c>
      <c r="AB9" s="82">
        <v>0.1</v>
      </c>
      <c r="AC9" s="83">
        <v>10</v>
      </c>
      <c r="AD9" s="88"/>
      <c r="AE9" s="88"/>
      <c r="AF9" s="88"/>
      <c r="AG9" s="66">
        <f t="shared" si="0"/>
        <v>89.675222672064777</v>
      </c>
      <c r="AH9" s="143">
        <f t="shared" si="1"/>
        <v>0</v>
      </c>
    </row>
    <row r="10" spans="1:34" s="90" customFormat="1" x14ac:dyDescent="0.3">
      <c r="A10" s="81">
        <v>802519</v>
      </c>
      <c r="B10" s="94">
        <v>1.5833333333333335</v>
      </c>
      <c r="C10" s="87"/>
      <c r="D10" s="86">
        <v>7.72</v>
      </c>
      <c r="E10" s="99">
        <v>0.14000000000000001</v>
      </c>
      <c r="F10" s="84">
        <v>68.25</v>
      </c>
      <c r="G10" s="87">
        <v>58.949999999999996</v>
      </c>
      <c r="H10" s="84">
        <v>47.24</v>
      </c>
      <c r="I10" s="84">
        <v>105</v>
      </c>
      <c r="J10" s="85">
        <v>0.122</v>
      </c>
      <c r="K10" s="87">
        <v>7.5119999999999996</v>
      </c>
      <c r="L10" s="84">
        <v>1656</v>
      </c>
      <c r="M10" s="86">
        <v>0.94</v>
      </c>
      <c r="N10" s="83">
        <v>1.23</v>
      </c>
      <c r="O10" s="83">
        <v>10.23</v>
      </c>
      <c r="P10" s="83">
        <v>41.04</v>
      </c>
      <c r="Q10" s="83"/>
      <c r="R10" s="86">
        <v>2.8461538461538463</v>
      </c>
      <c r="S10" s="87">
        <v>18.5</v>
      </c>
      <c r="T10" s="83"/>
      <c r="U10" s="83"/>
      <c r="V10" s="83"/>
      <c r="W10" s="83"/>
      <c r="X10" s="83"/>
      <c r="Y10" s="87">
        <v>29.8</v>
      </c>
      <c r="Z10" s="83"/>
      <c r="AA10" s="82">
        <v>7.25</v>
      </c>
      <c r="AB10" s="82">
        <v>0.15</v>
      </c>
      <c r="AC10" s="83">
        <v>10</v>
      </c>
      <c r="AD10" s="88"/>
      <c r="AE10" s="88"/>
      <c r="AF10" s="88"/>
      <c r="AG10" s="66">
        <f t="shared" si="0"/>
        <v>89.236510067114097</v>
      </c>
      <c r="AH10" s="143">
        <f t="shared" si="1"/>
        <v>0</v>
      </c>
    </row>
    <row r="11" spans="1:34" s="90" customFormat="1" x14ac:dyDescent="0.3">
      <c r="A11" s="81">
        <v>802520</v>
      </c>
      <c r="B11" s="94">
        <v>0.16666666666666666</v>
      </c>
      <c r="C11" s="87"/>
      <c r="D11" s="86">
        <v>7.28</v>
      </c>
      <c r="E11" s="99">
        <v>7.0000000000000007E-2</v>
      </c>
      <c r="F11" s="84">
        <v>62.45</v>
      </c>
      <c r="G11" s="87">
        <v>53</v>
      </c>
      <c r="H11" s="84">
        <v>35.130000000000003</v>
      </c>
      <c r="I11" s="84">
        <v>115</v>
      </c>
      <c r="J11" s="85">
        <v>0.13900000000000001</v>
      </c>
      <c r="K11" s="87">
        <v>6.0540000000000003</v>
      </c>
      <c r="L11" s="84">
        <v>1257</v>
      </c>
      <c r="M11" s="86">
        <v>0.56999999999999995</v>
      </c>
      <c r="N11" s="83">
        <v>1.39</v>
      </c>
      <c r="O11" s="83">
        <v>40.159999999999997</v>
      </c>
      <c r="P11" s="83">
        <v>14.38</v>
      </c>
      <c r="Q11" s="83"/>
      <c r="R11" s="86">
        <v>1.6153846153846154</v>
      </c>
      <c r="S11" s="87">
        <v>10.5</v>
      </c>
      <c r="T11" s="83"/>
      <c r="U11" s="83"/>
      <c r="V11" s="83"/>
      <c r="W11" s="83"/>
      <c r="X11" s="83"/>
      <c r="Y11" s="87">
        <v>25.5</v>
      </c>
      <c r="Z11" s="83"/>
      <c r="AA11" s="82">
        <v>8.85</v>
      </c>
      <c r="AB11" s="82">
        <v>0.25</v>
      </c>
      <c r="AC11" s="83">
        <v>10</v>
      </c>
      <c r="AD11" s="88"/>
      <c r="AE11" s="88"/>
      <c r="AF11" s="88"/>
      <c r="AG11" s="66">
        <f t="shared" si="0"/>
        <v>84.043764705882353</v>
      </c>
      <c r="AH11" s="143">
        <f t="shared" si="1"/>
        <v>0</v>
      </c>
    </row>
    <row r="12" spans="1:34" s="90" customFormat="1" x14ac:dyDescent="0.3">
      <c r="A12" s="81">
        <v>802521</v>
      </c>
      <c r="B12" s="94">
        <v>0.18333333333333335</v>
      </c>
      <c r="C12" s="87"/>
      <c r="D12" s="86">
        <v>7.8</v>
      </c>
      <c r="E12" s="99">
        <v>0.06</v>
      </c>
      <c r="F12" s="84">
        <v>72.400000000000006</v>
      </c>
      <c r="G12" s="87">
        <v>48.25</v>
      </c>
      <c r="H12" s="84">
        <v>43.62</v>
      </c>
      <c r="I12" s="84">
        <v>130</v>
      </c>
      <c r="J12" s="85">
        <v>0.61899999999999999</v>
      </c>
      <c r="K12" s="87">
        <v>6.6950000000000003</v>
      </c>
      <c r="L12" s="84">
        <v>1455</v>
      </c>
      <c r="M12" s="86">
        <v>1.21</v>
      </c>
      <c r="N12" s="83">
        <v>1.9</v>
      </c>
      <c r="O12" s="83">
        <v>65.099999999999994</v>
      </c>
      <c r="P12" s="83">
        <v>25.23</v>
      </c>
      <c r="Q12" s="83"/>
      <c r="R12" s="86">
        <v>1.7846153846153845</v>
      </c>
      <c r="S12" s="87">
        <v>11.6</v>
      </c>
      <c r="T12" s="83"/>
      <c r="U12" s="83"/>
      <c r="V12" s="83"/>
      <c r="W12" s="83"/>
      <c r="X12" s="83"/>
      <c r="Y12" s="87">
        <v>26.7</v>
      </c>
      <c r="Z12" s="83"/>
      <c r="AA12" s="82">
        <v>4.0999999999999996</v>
      </c>
      <c r="AB12" s="82">
        <v>0.1</v>
      </c>
      <c r="AC12" s="83">
        <v>10</v>
      </c>
      <c r="AD12" s="88"/>
      <c r="AE12" s="88"/>
      <c r="AF12" s="88"/>
      <c r="AG12" s="66">
        <f t="shared" si="0"/>
        <v>88.765168539325856</v>
      </c>
      <c r="AH12" s="143">
        <f t="shared" si="1"/>
        <v>0</v>
      </c>
    </row>
    <row r="13" spans="1:34" s="90" customFormat="1" x14ac:dyDescent="0.3">
      <c r="A13" s="81">
        <v>802507</v>
      </c>
      <c r="B13" s="94">
        <v>6.5</v>
      </c>
      <c r="C13" s="87"/>
      <c r="D13" s="86">
        <v>9.08</v>
      </c>
      <c r="E13" s="99">
        <v>0.32</v>
      </c>
      <c r="F13" s="84">
        <v>154.5</v>
      </c>
      <c r="G13" s="87">
        <v>139.30000000000001</v>
      </c>
      <c r="H13" s="84">
        <v>374.68</v>
      </c>
      <c r="I13" s="84">
        <v>253</v>
      </c>
      <c r="J13" s="85">
        <v>0.249</v>
      </c>
      <c r="K13" s="87">
        <v>4.9720000000000004</v>
      </c>
      <c r="L13" s="83">
        <v>1034</v>
      </c>
      <c r="M13" s="83">
        <v>5.42</v>
      </c>
      <c r="N13" s="83">
        <v>2.15</v>
      </c>
      <c r="O13" s="83">
        <v>6.47</v>
      </c>
      <c r="P13" s="83">
        <v>5.43</v>
      </c>
      <c r="Q13" s="83"/>
      <c r="R13" s="86">
        <v>1.0641628038985858</v>
      </c>
      <c r="S13" s="87">
        <v>7.4</v>
      </c>
      <c r="T13" s="83"/>
      <c r="U13" s="83"/>
      <c r="V13" s="84"/>
      <c r="W13" s="83"/>
      <c r="X13" s="83"/>
      <c r="Y13" s="87">
        <v>12</v>
      </c>
      <c r="Z13" s="83"/>
      <c r="AA13" s="86">
        <v>3.2</v>
      </c>
      <c r="AB13" s="86">
        <v>0.3</v>
      </c>
      <c r="AC13" s="83">
        <v>5</v>
      </c>
      <c r="AD13" s="88">
        <v>120</v>
      </c>
      <c r="AE13" s="88">
        <v>80</v>
      </c>
      <c r="AF13" s="88">
        <v>800</v>
      </c>
      <c r="AG13" s="66">
        <f t="shared" si="0"/>
        <v>146.67400000000001</v>
      </c>
      <c r="AH13" s="143">
        <f t="shared" si="1"/>
        <v>1000</v>
      </c>
    </row>
    <row r="14" spans="1:34" s="90" customFormat="1" x14ac:dyDescent="0.3">
      <c r="A14" s="81">
        <v>802508</v>
      </c>
      <c r="B14" s="94">
        <v>7.3</v>
      </c>
      <c r="C14" s="87"/>
      <c r="D14" s="86">
        <v>9.16</v>
      </c>
      <c r="E14" s="99">
        <v>0.33</v>
      </c>
      <c r="F14" s="84">
        <v>153.65</v>
      </c>
      <c r="G14" s="87">
        <v>143.4</v>
      </c>
      <c r="H14" s="84">
        <v>435.52</v>
      </c>
      <c r="I14" s="84">
        <v>298</v>
      </c>
      <c r="J14" s="85">
        <v>0.247</v>
      </c>
      <c r="K14" s="87">
        <v>4.9580000000000002</v>
      </c>
      <c r="L14" s="83">
        <v>976</v>
      </c>
      <c r="M14" s="83">
        <v>4.13</v>
      </c>
      <c r="N14" s="83">
        <v>1.64</v>
      </c>
      <c r="O14" s="83">
        <v>4.28</v>
      </c>
      <c r="P14" s="83">
        <v>4.45</v>
      </c>
      <c r="Q14" s="83"/>
      <c r="R14" s="86">
        <v>1.4593536586685589</v>
      </c>
      <c r="S14" s="87">
        <v>9.6999999999999993</v>
      </c>
      <c r="T14" s="83"/>
      <c r="U14" s="83"/>
      <c r="V14" s="84"/>
      <c r="W14" s="84"/>
      <c r="X14" s="83"/>
      <c r="Y14" s="87">
        <v>14</v>
      </c>
      <c r="Z14" s="83"/>
      <c r="AA14" s="86">
        <v>2.4</v>
      </c>
      <c r="AB14" s="86">
        <v>0.2</v>
      </c>
      <c r="AC14" s="83">
        <v>5</v>
      </c>
      <c r="AD14" s="88">
        <v>140</v>
      </c>
      <c r="AE14" s="88">
        <v>60</v>
      </c>
      <c r="AF14" s="88">
        <v>800</v>
      </c>
      <c r="AG14" s="66">
        <f t="shared" si="0"/>
        <v>125.36657142857143</v>
      </c>
      <c r="AH14" s="143">
        <f t="shared" si="1"/>
        <v>1000</v>
      </c>
    </row>
    <row r="15" spans="1:34" s="90" customFormat="1" x14ac:dyDescent="0.3">
      <c r="A15" s="81">
        <v>802509</v>
      </c>
      <c r="B15" s="94">
        <v>7.2499999999999991</v>
      </c>
      <c r="C15" s="87"/>
      <c r="D15" s="86">
        <v>8.81</v>
      </c>
      <c r="E15" s="99">
        <v>0.15</v>
      </c>
      <c r="F15" s="84">
        <v>77.150000000000006</v>
      </c>
      <c r="G15" s="87">
        <v>61.75</v>
      </c>
      <c r="H15" s="84">
        <v>26.62</v>
      </c>
      <c r="I15" s="84">
        <v>208</v>
      </c>
      <c r="J15" s="85">
        <v>0.112</v>
      </c>
      <c r="K15" s="87">
        <v>8.1259999999999994</v>
      </c>
      <c r="L15" s="83">
        <v>1390</v>
      </c>
      <c r="M15" s="83">
        <v>2.65</v>
      </c>
      <c r="N15" s="83">
        <v>2.3199999999999998</v>
      </c>
      <c r="O15" s="83">
        <v>8.59</v>
      </c>
      <c r="P15" s="83">
        <v>10.4</v>
      </c>
      <c r="Q15" s="83"/>
      <c r="R15" s="86">
        <v>1.3616928961780346</v>
      </c>
      <c r="S15" s="87">
        <v>9.1999999999999993</v>
      </c>
      <c r="T15" s="83"/>
      <c r="U15" s="83"/>
      <c r="V15" s="84"/>
      <c r="W15" s="83"/>
      <c r="X15" s="83"/>
      <c r="Y15" s="87">
        <v>32.799999999999997</v>
      </c>
      <c r="Z15" s="83"/>
      <c r="AA15" s="86">
        <v>7.2249999999999996</v>
      </c>
      <c r="AB15" s="86">
        <v>0.05</v>
      </c>
      <c r="AC15" s="83">
        <v>5</v>
      </c>
      <c r="AD15" s="88">
        <v>550</v>
      </c>
      <c r="AE15" s="88">
        <v>440</v>
      </c>
      <c r="AF15" s="88">
        <v>60</v>
      </c>
      <c r="AG15" s="66">
        <f t="shared" si="0"/>
        <v>87.701341463414636</v>
      </c>
      <c r="AH15" s="143">
        <f t="shared" si="1"/>
        <v>1050</v>
      </c>
    </row>
    <row r="16" spans="1:34" s="90" customFormat="1" x14ac:dyDescent="0.3">
      <c r="A16" s="81">
        <v>802510</v>
      </c>
      <c r="B16" s="94">
        <v>6.7499999999999991</v>
      </c>
      <c r="C16" s="87"/>
      <c r="D16" s="86">
        <v>8.85</v>
      </c>
      <c r="E16" s="99">
        <v>0.14000000000000001</v>
      </c>
      <c r="F16" s="84">
        <v>58</v>
      </c>
      <c r="G16" s="87">
        <v>64.900000000000006</v>
      </c>
      <c r="H16" s="84">
        <v>32.39</v>
      </c>
      <c r="I16" s="84">
        <v>192</v>
      </c>
      <c r="J16" s="85">
        <v>0.11600000000000001</v>
      </c>
      <c r="K16" s="87">
        <v>8.4079999999999995</v>
      </c>
      <c r="L16" s="83">
        <v>1347</v>
      </c>
      <c r="M16" s="83">
        <v>0.54</v>
      </c>
      <c r="N16" s="83">
        <v>2.23</v>
      </c>
      <c r="O16" s="83">
        <v>12.48</v>
      </c>
      <c r="P16" s="83">
        <v>12.54</v>
      </c>
      <c r="Q16" s="83"/>
      <c r="R16" s="86">
        <v>1.052635845166735</v>
      </c>
      <c r="S16" s="87">
        <v>7.2</v>
      </c>
      <c r="T16" s="83"/>
      <c r="U16" s="83"/>
      <c r="V16" s="84"/>
      <c r="W16" s="83"/>
      <c r="X16" s="83"/>
      <c r="Y16" s="87">
        <v>29.7</v>
      </c>
      <c r="Z16" s="83"/>
      <c r="AA16" s="86">
        <v>1.2</v>
      </c>
      <c r="AB16" s="86">
        <v>0.05</v>
      </c>
      <c r="AC16" s="83">
        <v>5</v>
      </c>
      <c r="AD16" s="88">
        <v>420</v>
      </c>
      <c r="AE16" s="88">
        <v>520</v>
      </c>
      <c r="AF16" s="88">
        <v>60</v>
      </c>
      <c r="AG16" s="66">
        <f t="shared" si="0"/>
        <v>100.21656565656565</v>
      </c>
      <c r="AH16" s="143">
        <f t="shared" si="1"/>
        <v>1000</v>
      </c>
    </row>
    <row r="17" spans="1:34" s="90" customFormat="1" x14ac:dyDescent="0.3">
      <c r="A17" s="81">
        <v>802511</v>
      </c>
      <c r="B17" s="94">
        <v>0.58333333333333337</v>
      </c>
      <c r="C17" s="87"/>
      <c r="D17" s="86">
        <v>8.94</v>
      </c>
      <c r="E17" s="99">
        <v>0.13</v>
      </c>
      <c r="F17" s="84">
        <v>61.75</v>
      </c>
      <c r="G17" s="87">
        <v>81.75</v>
      </c>
      <c r="H17" s="84">
        <v>62.88</v>
      </c>
      <c r="I17" s="84">
        <v>136</v>
      </c>
      <c r="J17" s="85">
        <v>5.6000000000000001E-2</v>
      </c>
      <c r="K17" s="87">
        <v>1.93</v>
      </c>
      <c r="L17" s="83">
        <v>246</v>
      </c>
      <c r="M17" s="83">
        <v>0.74</v>
      </c>
      <c r="N17" s="83">
        <v>0.36</v>
      </c>
      <c r="O17" s="83">
        <v>4.05</v>
      </c>
      <c r="P17" s="83">
        <v>3.12</v>
      </c>
      <c r="Q17" s="83"/>
      <c r="R17" s="86">
        <v>0.64525122377362931</v>
      </c>
      <c r="S17" s="87">
        <v>4.7</v>
      </c>
      <c r="T17" s="83"/>
      <c r="U17" s="83"/>
      <c r="V17" s="84"/>
      <c r="W17" s="83"/>
      <c r="X17" s="83"/>
      <c r="Y17" s="87">
        <v>2</v>
      </c>
      <c r="Z17" s="83"/>
      <c r="AA17" s="86">
        <v>4.25</v>
      </c>
      <c r="AB17" s="86">
        <v>0.15</v>
      </c>
      <c r="AC17" s="83">
        <v>5</v>
      </c>
      <c r="AD17" s="88">
        <v>30</v>
      </c>
      <c r="AE17" s="88">
        <v>30</v>
      </c>
      <c r="AF17" s="88">
        <v>940</v>
      </c>
      <c r="AG17" s="66">
        <f t="shared" si="0"/>
        <v>341.61</v>
      </c>
      <c r="AH17" s="143">
        <f t="shared" si="1"/>
        <v>1000</v>
      </c>
    </row>
    <row r="18" spans="1:34" s="90" customFormat="1" x14ac:dyDescent="0.3">
      <c r="A18" s="81">
        <v>802512</v>
      </c>
      <c r="B18" s="94">
        <v>0.3</v>
      </c>
      <c r="C18" s="87"/>
      <c r="D18" s="86">
        <v>8.66</v>
      </c>
      <c r="E18" s="99">
        <v>0.14000000000000001</v>
      </c>
      <c r="F18" s="84">
        <v>79.800000000000011</v>
      </c>
      <c r="G18" s="87">
        <v>115.15</v>
      </c>
      <c r="H18" s="84">
        <v>81.14</v>
      </c>
      <c r="I18" s="84">
        <v>122</v>
      </c>
      <c r="J18" s="85">
        <v>0.09</v>
      </c>
      <c r="K18" s="87">
        <v>1.7609999999999999</v>
      </c>
      <c r="L18" s="83">
        <v>312</v>
      </c>
      <c r="M18" s="83">
        <v>0.64</v>
      </c>
      <c r="N18" s="83">
        <v>0.37</v>
      </c>
      <c r="O18" s="83">
        <v>4.3499999999999996</v>
      </c>
      <c r="P18" s="83">
        <v>3.89</v>
      </c>
      <c r="Q18" s="83"/>
      <c r="R18" s="86">
        <v>0.78976536593739355</v>
      </c>
      <c r="S18" s="87">
        <v>5.4</v>
      </c>
      <c r="T18" s="83"/>
      <c r="U18" s="83"/>
      <c r="V18" s="84"/>
      <c r="W18" s="83"/>
      <c r="X18" s="83"/>
      <c r="Y18" s="87">
        <v>1.4</v>
      </c>
      <c r="Z18" s="83"/>
      <c r="AA18" s="86">
        <v>5.875</v>
      </c>
      <c r="AB18" s="86">
        <v>0.1</v>
      </c>
      <c r="AC18" s="83">
        <v>5</v>
      </c>
      <c r="AD18" s="88">
        <v>40</v>
      </c>
      <c r="AE18" s="88">
        <v>20</v>
      </c>
      <c r="AF18" s="88">
        <v>940</v>
      </c>
      <c r="AG18" s="66">
        <f t="shared" si="0"/>
        <v>445.28142857142859</v>
      </c>
      <c r="AH18" s="143">
        <f t="shared" si="1"/>
        <v>1000</v>
      </c>
    </row>
    <row r="19" spans="1:34" s="90" customFormat="1" x14ac:dyDescent="0.3">
      <c r="A19" s="81">
        <v>802513</v>
      </c>
      <c r="B19" s="94">
        <v>10.999999999999998</v>
      </c>
      <c r="C19" s="87">
        <v>5</v>
      </c>
      <c r="D19" s="86">
        <v>8.74</v>
      </c>
      <c r="E19" s="99">
        <v>0.21</v>
      </c>
      <c r="F19" s="84">
        <v>67.25</v>
      </c>
      <c r="G19" s="87">
        <v>259.20000000000005</v>
      </c>
      <c r="H19" s="84">
        <v>65.680000000000007</v>
      </c>
      <c r="I19" s="84">
        <v>205</v>
      </c>
      <c r="J19" s="85">
        <v>8.5000000000000006E-2</v>
      </c>
      <c r="K19" s="87">
        <v>12.089</v>
      </c>
      <c r="L19" s="83">
        <v>1633</v>
      </c>
      <c r="M19" s="83">
        <v>2.89</v>
      </c>
      <c r="N19" s="83">
        <v>2.14</v>
      </c>
      <c r="O19" s="83">
        <v>14.99</v>
      </c>
      <c r="P19" s="83">
        <v>8.06</v>
      </c>
      <c r="Q19" s="83"/>
      <c r="R19" s="86">
        <v>1.2990898443889338</v>
      </c>
      <c r="S19" s="87">
        <v>8.6</v>
      </c>
      <c r="T19" s="83"/>
      <c r="U19" s="83"/>
      <c r="V19" s="84"/>
      <c r="W19" s="83"/>
      <c r="X19" s="83"/>
      <c r="Y19" s="87">
        <v>26.9</v>
      </c>
      <c r="Z19" s="83"/>
      <c r="AA19" s="86">
        <v>1.9</v>
      </c>
      <c r="AB19" s="86">
        <v>0.1</v>
      </c>
      <c r="AC19" s="83">
        <v>5</v>
      </c>
      <c r="AD19" s="88">
        <v>420</v>
      </c>
      <c r="AE19" s="88">
        <v>480</v>
      </c>
      <c r="AF19" s="88">
        <v>100</v>
      </c>
      <c r="AG19" s="66">
        <f t="shared" si="0"/>
        <v>159.08944237918217</v>
      </c>
      <c r="AH19" s="143">
        <f t="shared" si="1"/>
        <v>1000</v>
      </c>
    </row>
    <row r="20" spans="1:34" s="90" customFormat="1" x14ac:dyDescent="0.3">
      <c r="A20" s="81">
        <v>802514</v>
      </c>
      <c r="B20" s="94">
        <v>11.166666666666666</v>
      </c>
      <c r="C20" s="87">
        <v>4.4000000000000004</v>
      </c>
      <c r="D20" s="86">
        <v>8.67</v>
      </c>
      <c r="E20" s="99">
        <v>0.35</v>
      </c>
      <c r="F20" s="84">
        <v>85.1</v>
      </c>
      <c r="G20" s="87">
        <v>464.65000000000003</v>
      </c>
      <c r="H20" s="84">
        <v>59.77</v>
      </c>
      <c r="I20" s="84">
        <v>257</v>
      </c>
      <c r="J20" s="85">
        <v>0.13300000000000001</v>
      </c>
      <c r="K20" s="87">
        <v>9.0030000000000001</v>
      </c>
      <c r="L20" s="83">
        <v>1432</v>
      </c>
      <c r="M20" s="83">
        <v>2.34</v>
      </c>
      <c r="N20" s="83">
        <v>2.4700000000000002</v>
      </c>
      <c r="O20" s="83">
        <v>12.53</v>
      </c>
      <c r="P20" s="83">
        <v>8.74</v>
      </c>
      <c r="Q20" s="83"/>
      <c r="R20" s="86">
        <v>1.4820960957751783</v>
      </c>
      <c r="S20" s="87">
        <v>10.1</v>
      </c>
      <c r="T20" s="83"/>
      <c r="U20" s="83"/>
      <c r="V20" s="84"/>
      <c r="W20" s="83"/>
      <c r="X20" s="83"/>
      <c r="Y20" s="87">
        <v>27.2</v>
      </c>
      <c r="Z20" s="83"/>
      <c r="AA20" s="86">
        <v>4.3499999999999996</v>
      </c>
      <c r="AB20" s="86">
        <v>0.25</v>
      </c>
      <c r="AC20" s="83">
        <v>5</v>
      </c>
      <c r="AD20" s="88">
        <v>420</v>
      </c>
      <c r="AE20" s="88">
        <v>500</v>
      </c>
      <c r="AF20" s="88">
        <v>80</v>
      </c>
      <c r="AG20" s="66">
        <f t="shared" si="0"/>
        <v>117.17139705882354</v>
      </c>
      <c r="AH20" s="143">
        <f t="shared" si="1"/>
        <v>1000</v>
      </c>
    </row>
    <row r="21" spans="1:34" s="90" customFormat="1" x14ac:dyDescent="0.3">
      <c r="A21" s="81">
        <v>802515</v>
      </c>
      <c r="B21" s="94">
        <v>16.666666666666664</v>
      </c>
      <c r="C21" s="87">
        <v>7.5</v>
      </c>
      <c r="D21" s="86">
        <v>9.1</v>
      </c>
      <c r="E21" s="99">
        <v>0.24</v>
      </c>
      <c r="F21" s="84">
        <v>104.05</v>
      </c>
      <c r="G21" s="87">
        <v>127.89999999999999</v>
      </c>
      <c r="H21" s="84">
        <v>35.06</v>
      </c>
      <c r="I21" s="84">
        <v>145</v>
      </c>
      <c r="J21" s="85">
        <v>0.13400000000000001</v>
      </c>
      <c r="K21" s="87">
        <v>8.343</v>
      </c>
      <c r="L21" s="83">
        <v>899</v>
      </c>
      <c r="M21" s="83">
        <v>0.78</v>
      </c>
      <c r="N21" s="83">
        <v>1.42</v>
      </c>
      <c r="O21" s="83">
        <v>7.92</v>
      </c>
      <c r="P21" s="83">
        <v>3.67</v>
      </c>
      <c r="Q21" s="83"/>
      <c r="R21" s="86">
        <v>0.86439997285507442</v>
      </c>
      <c r="S21" s="87">
        <v>6.4</v>
      </c>
      <c r="T21" s="83"/>
      <c r="U21" s="83"/>
      <c r="V21" s="84"/>
      <c r="W21" s="83"/>
      <c r="X21" s="83"/>
      <c r="Y21" s="87">
        <v>24.9</v>
      </c>
      <c r="Z21" s="83"/>
      <c r="AA21" s="86">
        <v>5.55</v>
      </c>
      <c r="AB21" s="86">
        <v>0.1</v>
      </c>
      <c r="AC21" s="83">
        <v>5</v>
      </c>
      <c r="AD21" s="88">
        <v>320</v>
      </c>
      <c r="AE21" s="88">
        <v>480</v>
      </c>
      <c r="AF21" s="88">
        <v>200</v>
      </c>
      <c r="AG21" s="66">
        <f t="shared" si="0"/>
        <v>118.61132530120483</v>
      </c>
      <c r="AH21" s="143">
        <f t="shared" si="1"/>
        <v>1000</v>
      </c>
    </row>
    <row r="22" spans="1:34" s="90" customFormat="1" x14ac:dyDescent="0.3">
      <c r="A22" s="81">
        <v>802516</v>
      </c>
      <c r="B22" s="94">
        <v>20.5</v>
      </c>
      <c r="C22" s="87">
        <v>10</v>
      </c>
      <c r="D22" s="86">
        <v>9.1199999999999992</v>
      </c>
      <c r="E22" s="99">
        <v>0.19</v>
      </c>
      <c r="F22" s="84">
        <v>78.75</v>
      </c>
      <c r="G22" s="87">
        <v>121</v>
      </c>
      <c r="H22" s="84">
        <v>31</v>
      </c>
      <c r="I22" s="84">
        <v>175</v>
      </c>
      <c r="J22" s="85">
        <v>0.13400000000000001</v>
      </c>
      <c r="K22" s="87">
        <v>10.250999999999999</v>
      </c>
      <c r="L22" s="83">
        <v>1103</v>
      </c>
      <c r="M22" s="83">
        <v>0.66</v>
      </c>
      <c r="N22" s="83">
        <v>1.78</v>
      </c>
      <c r="O22" s="83">
        <v>7.57</v>
      </c>
      <c r="P22" s="83">
        <v>4.37</v>
      </c>
      <c r="Q22" s="83"/>
      <c r="R22" s="86">
        <v>0.88858112720139382</v>
      </c>
      <c r="S22" s="87">
        <v>6.4</v>
      </c>
      <c r="T22" s="83"/>
      <c r="U22" s="83"/>
      <c r="V22" s="84"/>
      <c r="W22" s="83"/>
      <c r="X22" s="83"/>
      <c r="Y22" s="87">
        <v>25.8</v>
      </c>
      <c r="Z22" s="83"/>
      <c r="AA22" s="86">
        <v>3.75</v>
      </c>
      <c r="AB22" s="86">
        <v>1</v>
      </c>
      <c r="AC22" s="83">
        <v>5</v>
      </c>
      <c r="AD22" s="88">
        <v>380</v>
      </c>
      <c r="AE22" s="88">
        <v>460</v>
      </c>
      <c r="AF22" s="88">
        <v>160</v>
      </c>
      <c r="AG22" s="66">
        <f t="shared" si="0"/>
        <v>140.65325581395348</v>
      </c>
      <c r="AH22" s="143">
        <f t="shared" si="1"/>
        <v>1000</v>
      </c>
    </row>
    <row r="23" spans="1:34" s="90" customFormat="1" x14ac:dyDescent="0.3">
      <c r="A23" s="81">
        <v>802522</v>
      </c>
      <c r="B23" s="94">
        <v>0.69444444444444442</v>
      </c>
      <c r="C23" s="87"/>
      <c r="D23" s="86">
        <v>8.01</v>
      </c>
      <c r="E23" s="99">
        <v>0.11</v>
      </c>
      <c r="F23" s="84">
        <v>87.5</v>
      </c>
      <c r="G23" s="87">
        <v>83.6</v>
      </c>
      <c r="H23" s="84">
        <v>138.41999999999999</v>
      </c>
      <c r="I23" s="84">
        <v>303</v>
      </c>
      <c r="J23" s="85">
        <v>7.6999999999999999E-2</v>
      </c>
      <c r="K23" s="87">
        <v>4.9279999999999999</v>
      </c>
      <c r="L23" s="83">
        <v>708</v>
      </c>
      <c r="M23" s="83">
        <v>1.1399999999999999</v>
      </c>
      <c r="N23" s="83">
        <v>1.52</v>
      </c>
      <c r="O23" s="83">
        <v>25.44</v>
      </c>
      <c r="P23" s="83">
        <v>13.16</v>
      </c>
      <c r="Q23" s="83"/>
      <c r="R23" s="86">
        <v>1.2341042883547748</v>
      </c>
      <c r="S23" s="87">
        <v>8.3000000000000007</v>
      </c>
      <c r="T23" s="83"/>
      <c r="U23" s="83"/>
      <c r="V23" s="84"/>
      <c r="W23" s="83"/>
      <c r="X23" s="83"/>
      <c r="Y23" s="87">
        <v>16.899999999999999</v>
      </c>
      <c r="Z23" s="83"/>
      <c r="AA23" s="86">
        <v>6.35</v>
      </c>
      <c r="AB23" s="86">
        <v>0.90160000000000007</v>
      </c>
      <c r="AC23" s="83">
        <v>5</v>
      </c>
      <c r="AD23" s="89"/>
      <c r="AE23" s="89"/>
      <c r="AF23" s="89"/>
      <c r="AG23" s="66">
        <f t="shared" si="0"/>
        <v>103.22556213017752</v>
      </c>
      <c r="AH23" s="143">
        <f t="shared" si="1"/>
        <v>0</v>
      </c>
    </row>
    <row r="24" spans="1:34" s="90" customFormat="1" x14ac:dyDescent="0.3">
      <c r="A24" s="81">
        <v>802523</v>
      </c>
      <c r="B24" s="94">
        <v>3.1166666666666663</v>
      </c>
      <c r="C24" s="87"/>
      <c r="D24" s="86">
        <v>8.43</v>
      </c>
      <c r="E24" s="99">
        <v>0.2</v>
      </c>
      <c r="F24" s="84">
        <v>121.1</v>
      </c>
      <c r="G24" s="87">
        <v>116.44999999999999</v>
      </c>
      <c r="H24" s="84">
        <v>7.54</v>
      </c>
      <c r="I24" s="84">
        <v>328</v>
      </c>
      <c r="J24" s="85">
        <v>0.13200000000000001</v>
      </c>
      <c r="K24" s="87">
        <v>7.6550000000000002</v>
      </c>
      <c r="L24" s="83">
        <v>1540</v>
      </c>
      <c r="M24" s="83">
        <v>0.32</v>
      </c>
      <c r="N24" s="83">
        <v>1.49</v>
      </c>
      <c r="O24" s="83">
        <v>12.03</v>
      </c>
      <c r="P24" s="83">
        <v>4.3899999999999997</v>
      </c>
      <c r="Q24" s="83"/>
      <c r="R24" s="86">
        <v>1.610012</v>
      </c>
      <c r="S24" s="87">
        <v>11.2</v>
      </c>
      <c r="T24" s="83"/>
      <c r="U24" s="83"/>
      <c r="V24" s="84"/>
      <c r="W24" s="83"/>
      <c r="X24" s="83"/>
      <c r="Y24" s="87">
        <v>19.95</v>
      </c>
      <c r="Z24" s="83"/>
      <c r="AA24" s="86">
        <v>7.5749999999999993</v>
      </c>
      <c r="AB24" s="86">
        <v>0.90160000000000007</v>
      </c>
      <c r="AC24" s="83">
        <v>5</v>
      </c>
      <c r="AD24" s="89">
        <v>285</v>
      </c>
      <c r="AE24" s="89">
        <v>595.83399999999995</v>
      </c>
      <c r="AF24" s="89">
        <v>143.822</v>
      </c>
      <c r="AG24" s="66">
        <f t="shared" si="0"/>
        <v>135.83308270676693</v>
      </c>
      <c r="AH24" s="143">
        <f t="shared" si="1"/>
        <v>1024.6559999999999</v>
      </c>
    </row>
    <row r="25" spans="1:34" s="90" customFormat="1" x14ac:dyDescent="0.3">
      <c r="A25" s="81">
        <v>802524</v>
      </c>
      <c r="B25" s="94">
        <v>0.70000000000000007</v>
      </c>
      <c r="C25" s="87"/>
      <c r="D25" s="86">
        <v>8.5</v>
      </c>
      <c r="E25" s="99">
        <v>0.11</v>
      </c>
      <c r="F25" s="84">
        <v>80.050000000000011</v>
      </c>
      <c r="G25" s="87">
        <v>90.35</v>
      </c>
      <c r="H25" s="84">
        <v>15.3</v>
      </c>
      <c r="I25" s="84">
        <v>209</v>
      </c>
      <c r="J25" s="85">
        <v>0.10100000000000001</v>
      </c>
      <c r="K25" s="87">
        <v>3.2890000000000001</v>
      </c>
      <c r="L25" s="83">
        <v>856</v>
      </c>
      <c r="M25" s="83">
        <v>0.26</v>
      </c>
      <c r="N25" s="83">
        <v>1.24</v>
      </c>
      <c r="O25" s="83">
        <v>9.09</v>
      </c>
      <c r="P25" s="83">
        <v>4.21</v>
      </c>
      <c r="Q25" s="83"/>
      <c r="R25" s="86">
        <v>1.2017530048824625</v>
      </c>
      <c r="S25" s="87">
        <v>8.1999999999999993</v>
      </c>
      <c r="T25" s="83"/>
      <c r="U25" s="83"/>
      <c r="V25" s="84"/>
      <c r="W25" s="83"/>
      <c r="X25" s="83"/>
      <c r="Y25" s="87">
        <v>20.737100000000002</v>
      </c>
      <c r="Z25" s="83"/>
      <c r="AA25" s="86">
        <v>3.4499999999999997</v>
      </c>
      <c r="AB25" s="86">
        <v>0.90160000000000007</v>
      </c>
      <c r="AC25" s="83">
        <v>5</v>
      </c>
      <c r="AD25" s="89">
        <v>308.19</v>
      </c>
      <c r="AE25" s="89">
        <v>575.28800000000001</v>
      </c>
      <c r="AF25" s="89">
        <v>143.822</v>
      </c>
      <c r="AG25" s="66">
        <f t="shared" si="0"/>
        <v>56.146037777702759</v>
      </c>
      <c r="AH25" s="143">
        <f t="shared" si="1"/>
        <v>1027.3000000000002</v>
      </c>
    </row>
    <row r="26" spans="1:34" s="90" customFormat="1" x14ac:dyDescent="0.3">
      <c r="A26" s="81">
        <v>802525</v>
      </c>
      <c r="B26" s="94">
        <v>0.48333333333333328</v>
      </c>
      <c r="C26" s="87"/>
      <c r="D26" s="86">
        <v>8.2200000000000006</v>
      </c>
      <c r="E26" s="99">
        <v>0.1</v>
      </c>
      <c r="F26" s="84">
        <v>88.9</v>
      </c>
      <c r="G26" s="87">
        <v>60.650000000000006</v>
      </c>
      <c r="H26" s="84">
        <v>7.43</v>
      </c>
      <c r="I26" s="84">
        <v>213</v>
      </c>
      <c r="J26" s="85">
        <v>5.3999999999999999E-2</v>
      </c>
      <c r="K26" s="87">
        <v>4.7569999999999997</v>
      </c>
      <c r="L26" s="83">
        <v>753</v>
      </c>
      <c r="M26" s="83">
        <v>0.28999999999999998</v>
      </c>
      <c r="N26" s="83">
        <v>1.39</v>
      </c>
      <c r="O26" s="83">
        <v>14.03</v>
      </c>
      <c r="P26" s="83">
        <v>5.05</v>
      </c>
      <c r="Q26" s="83"/>
      <c r="R26" s="86">
        <v>1.0270404317406385</v>
      </c>
      <c r="S26" s="87">
        <v>6.7</v>
      </c>
      <c r="T26" s="83"/>
      <c r="U26" s="83"/>
      <c r="V26" s="84"/>
      <c r="W26" s="83"/>
      <c r="X26" s="83"/>
      <c r="Y26" s="87">
        <v>18.080480000000001</v>
      </c>
      <c r="Z26" s="83"/>
      <c r="AA26" s="86">
        <v>2.875</v>
      </c>
      <c r="AB26" s="86">
        <v>1.4812000000000001</v>
      </c>
      <c r="AC26" s="83">
        <v>5</v>
      </c>
      <c r="AD26" s="89">
        <v>226.006</v>
      </c>
      <c r="AE26" s="89">
        <v>554.74199999999996</v>
      </c>
      <c r="AF26" s="89">
        <v>246.55199999999999</v>
      </c>
      <c r="AG26" s="66">
        <f t="shared" si="0"/>
        <v>93.137903418493295</v>
      </c>
      <c r="AH26" s="143">
        <f t="shared" si="1"/>
        <v>1027.3</v>
      </c>
    </row>
    <row r="27" spans="1:34" s="90" customFormat="1" x14ac:dyDescent="0.3">
      <c r="A27" s="81">
        <v>802526</v>
      </c>
      <c r="B27" s="94">
        <v>1.7333333333333336</v>
      </c>
      <c r="C27" s="87"/>
      <c r="D27" s="86">
        <v>8.4</v>
      </c>
      <c r="E27" s="99">
        <v>0.13</v>
      </c>
      <c r="F27" s="84">
        <v>87.25</v>
      </c>
      <c r="G27" s="87">
        <v>64.2</v>
      </c>
      <c r="H27" s="84">
        <v>18.079999999999998</v>
      </c>
      <c r="I27" s="84">
        <v>267</v>
      </c>
      <c r="J27" s="85">
        <v>8.5999999999999993E-2</v>
      </c>
      <c r="K27" s="87">
        <v>5.0389999999999997</v>
      </c>
      <c r="L27" s="83">
        <v>741</v>
      </c>
      <c r="M27" s="83">
        <v>0.3</v>
      </c>
      <c r="N27" s="83">
        <v>1.39</v>
      </c>
      <c r="O27" s="83">
        <v>13.46</v>
      </c>
      <c r="P27" s="83">
        <v>4.62</v>
      </c>
      <c r="Q27" s="83"/>
      <c r="R27" s="86">
        <v>1.193344401393895</v>
      </c>
      <c r="S27" s="87">
        <v>7.9</v>
      </c>
      <c r="T27" s="83"/>
      <c r="U27" s="83"/>
      <c r="V27" s="84"/>
      <c r="W27" s="83"/>
      <c r="X27" s="83"/>
      <c r="Y27" s="87">
        <v>17.25864</v>
      </c>
      <c r="Z27" s="83"/>
      <c r="AA27" s="86">
        <v>5.5750000000000002</v>
      </c>
      <c r="AB27" s="86">
        <v>1.0948</v>
      </c>
      <c r="AC27" s="83">
        <v>5</v>
      </c>
      <c r="AD27" s="89">
        <v>246.55199999999999</v>
      </c>
      <c r="AE27" s="89">
        <v>575.28800000000001</v>
      </c>
      <c r="AF27" s="89">
        <v>205.45999999999998</v>
      </c>
      <c r="AG27" s="66">
        <f t="shared" si="0"/>
        <v>103.35727496488714</v>
      </c>
      <c r="AH27" s="143">
        <f t="shared" si="1"/>
        <v>1027.3</v>
      </c>
    </row>
    <row r="28" spans="1:34" s="90" customFormat="1" x14ac:dyDescent="0.3">
      <c r="A28" s="81">
        <v>802527</v>
      </c>
      <c r="B28" s="94">
        <v>0.83333333333333337</v>
      </c>
      <c r="C28" s="87"/>
      <c r="D28" s="86">
        <v>8.6</v>
      </c>
      <c r="E28" s="99">
        <v>0.1</v>
      </c>
      <c r="F28" s="84">
        <v>85.850000000000009</v>
      </c>
      <c r="G28" s="87">
        <v>62.25</v>
      </c>
      <c r="H28" s="84">
        <v>28.7</v>
      </c>
      <c r="I28" s="84">
        <v>291</v>
      </c>
      <c r="J28" s="85">
        <v>0.14799999999999999</v>
      </c>
      <c r="K28" s="87">
        <v>4.45</v>
      </c>
      <c r="L28" s="83">
        <v>846</v>
      </c>
      <c r="M28" s="83">
        <v>0.28000000000000003</v>
      </c>
      <c r="N28" s="83">
        <v>1.6</v>
      </c>
      <c r="O28" s="83">
        <v>12.78</v>
      </c>
      <c r="P28" s="83">
        <v>3.68</v>
      </c>
      <c r="Q28" s="83"/>
      <c r="R28" s="86">
        <v>0.81855882393914869</v>
      </c>
      <c r="S28" s="87">
        <v>6</v>
      </c>
      <c r="T28" s="83"/>
      <c r="U28" s="83"/>
      <c r="V28" s="84"/>
      <c r="W28" s="83"/>
      <c r="X28" s="83"/>
      <c r="Y28" s="87">
        <v>17.8</v>
      </c>
      <c r="Z28" s="83"/>
      <c r="AA28" s="86">
        <v>2.7</v>
      </c>
      <c r="AB28" s="86">
        <v>1.0304</v>
      </c>
      <c r="AC28" s="83">
        <v>5</v>
      </c>
      <c r="AD28" s="89">
        <v>256.82499999999999</v>
      </c>
      <c r="AE28" s="89">
        <v>575.28800000000001</v>
      </c>
      <c r="AF28" s="89">
        <v>195.18699999999998</v>
      </c>
      <c r="AG28" s="66">
        <f t="shared" si="0"/>
        <v>88.5</v>
      </c>
      <c r="AH28" s="143">
        <f t="shared" si="1"/>
        <v>1027.3</v>
      </c>
    </row>
    <row r="29" spans="1:34" s="90" customFormat="1" x14ac:dyDescent="0.3">
      <c r="A29" s="81">
        <v>802528</v>
      </c>
      <c r="B29" s="94">
        <v>0.26666666666666666</v>
      </c>
      <c r="C29" s="87"/>
      <c r="D29" s="86">
        <v>8.41</v>
      </c>
      <c r="E29" s="99">
        <v>0.09</v>
      </c>
      <c r="F29" s="84">
        <v>86.1</v>
      </c>
      <c r="G29" s="87">
        <v>77.350000000000009</v>
      </c>
      <c r="H29" s="84">
        <v>30.18</v>
      </c>
      <c r="I29" s="84">
        <v>214</v>
      </c>
      <c r="J29" s="85">
        <v>9.6000000000000002E-2</v>
      </c>
      <c r="K29" s="87">
        <v>4.2919999999999998</v>
      </c>
      <c r="L29" s="83">
        <v>639</v>
      </c>
      <c r="M29" s="83">
        <v>0.16</v>
      </c>
      <c r="N29" s="83">
        <v>0.85</v>
      </c>
      <c r="O29" s="83">
        <v>6.66</v>
      </c>
      <c r="P29" s="83">
        <v>2.6</v>
      </c>
      <c r="Q29" s="83"/>
      <c r="R29" s="86">
        <v>0.88725780944485788</v>
      </c>
      <c r="S29" s="87">
        <v>5.8</v>
      </c>
      <c r="T29" s="83"/>
      <c r="U29" s="83"/>
      <c r="V29" s="84"/>
      <c r="W29" s="83"/>
      <c r="X29" s="83"/>
      <c r="Y29" s="87">
        <v>16.899999999999999</v>
      </c>
      <c r="Z29" s="83"/>
      <c r="AA29" s="86">
        <v>3.7250000000000001</v>
      </c>
      <c r="AB29" s="86">
        <v>1.4168000000000001</v>
      </c>
      <c r="AC29" s="83">
        <v>5</v>
      </c>
      <c r="AD29" s="89">
        <v>277.37099999999998</v>
      </c>
      <c r="AE29" s="89">
        <v>565.01499999999999</v>
      </c>
      <c r="AF29" s="89">
        <v>184.91399999999999</v>
      </c>
      <c r="AG29" s="66">
        <f t="shared" si="0"/>
        <v>89.903431952662729</v>
      </c>
      <c r="AH29" s="143">
        <f t="shared" si="1"/>
        <v>1027.3</v>
      </c>
    </row>
    <row r="30" spans="1:34" s="90" customFormat="1" x14ac:dyDescent="0.3">
      <c r="A30" s="81">
        <v>802529</v>
      </c>
      <c r="B30" s="94">
        <v>0.4333333333333334</v>
      </c>
      <c r="C30" s="87"/>
      <c r="D30" s="86">
        <v>8.43</v>
      </c>
      <c r="E30" s="99">
        <v>0.23</v>
      </c>
      <c r="F30" s="84">
        <v>141.05000000000001</v>
      </c>
      <c r="G30" s="87">
        <v>114.80000000000001</v>
      </c>
      <c r="H30" s="84">
        <v>26.06</v>
      </c>
      <c r="I30" s="84">
        <v>277</v>
      </c>
      <c r="J30" s="85">
        <v>0.25900000000000001</v>
      </c>
      <c r="K30" s="87">
        <v>4.399</v>
      </c>
      <c r="L30" s="83">
        <v>651</v>
      </c>
      <c r="M30" s="83">
        <v>0.27</v>
      </c>
      <c r="N30" s="83">
        <v>1.49</v>
      </c>
      <c r="O30" s="83">
        <v>17.55</v>
      </c>
      <c r="P30" s="83">
        <v>4.18</v>
      </c>
      <c r="Q30" s="83"/>
      <c r="R30" s="86">
        <v>0.76253989110799603</v>
      </c>
      <c r="S30" s="87">
        <v>5.7</v>
      </c>
      <c r="T30" s="83"/>
      <c r="U30" s="83"/>
      <c r="V30" s="84"/>
      <c r="W30" s="83"/>
      <c r="X30" s="83"/>
      <c r="Y30" s="87">
        <v>17.600000000000001</v>
      </c>
      <c r="Z30" s="83"/>
      <c r="AA30" s="86">
        <v>11.375</v>
      </c>
      <c r="AB30" s="86">
        <v>10.497199999999999</v>
      </c>
      <c r="AC30" s="83">
        <v>5</v>
      </c>
      <c r="AD30" s="89">
        <v>308.19</v>
      </c>
      <c r="AE30" s="89">
        <v>513.65</v>
      </c>
      <c r="AF30" s="89">
        <v>205.45999999999998</v>
      </c>
      <c r="AG30" s="66">
        <f t="shared" si="0"/>
        <v>88.479886363636354</v>
      </c>
      <c r="AH30" s="143">
        <f t="shared" si="1"/>
        <v>1027.3</v>
      </c>
    </row>
    <row r="31" spans="1:34" s="90" customFormat="1" x14ac:dyDescent="0.3">
      <c r="A31" s="81">
        <v>802530</v>
      </c>
      <c r="B31" s="94">
        <v>0.3666666666666667</v>
      </c>
      <c r="C31" s="87"/>
      <c r="D31" s="86">
        <v>8.3699999999999992</v>
      </c>
      <c r="E31" s="99">
        <v>0.15</v>
      </c>
      <c r="F31" s="84">
        <v>109.85</v>
      </c>
      <c r="G31" s="87">
        <v>89.1</v>
      </c>
      <c r="H31" s="84">
        <v>32.22</v>
      </c>
      <c r="I31" s="84">
        <v>175</v>
      </c>
      <c r="J31" s="85">
        <v>0.27600000000000002</v>
      </c>
      <c r="K31" s="87">
        <v>4.2889999999999997</v>
      </c>
      <c r="L31" s="83">
        <v>1379</v>
      </c>
      <c r="M31" s="83">
        <v>0.2</v>
      </c>
      <c r="N31" s="83">
        <v>1.72</v>
      </c>
      <c r="O31" s="83">
        <v>15.64</v>
      </c>
      <c r="P31" s="83">
        <v>7.08</v>
      </c>
      <c r="Q31" s="83"/>
      <c r="R31" s="86">
        <v>1.0232510675190878</v>
      </c>
      <c r="S31" s="87">
        <v>7.1</v>
      </c>
      <c r="T31" s="83"/>
      <c r="U31" s="83"/>
      <c r="V31" s="84"/>
      <c r="W31" s="83"/>
      <c r="X31" s="83"/>
      <c r="Y31" s="87">
        <v>15.9</v>
      </c>
      <c r="Z31" s="83"/>
      <c r="AA31" s="86">
        <v>3.0249999999999999</v>
      </c>
      <c r="AB31" s="86">
        <v>0.96600000000000008</v>
      </c>
      <c r="AC31" s="83">
        <v>5</v>
      </c>
      <c r="AD31" s="89">
        <v>311</v>
      </c>
      <c r="AE31" s="89">
        <v>523.923</v>
      </c>
      <c r="AF31" s="89">
        <v>195.18699999999998</v>
      </c>
      <c r="AG31" s="66">
        <f t="shared" si="0"/>
        <v>95.490943396226413</v>
      </c>
      <c r="AH31" s="143">
        <f t="shared" si="1"/>
        <v>1030.1099999999999</v>
      </c>
    </row>
    <row r="32" spans="1:34" s="90" customFormat="1" x14ac:dyDescent="0.3">
      <c r="A32" s="81">
        <v>802531</v>
      </c>
      <c r="B32" s="94">
        <v>7.9166666666666661</v>
      </c>
      <c r="C32" s="87"/>
      <c r="D32" s="86">
        <v>8.42</v>
      </c>
      <c r="E32" s="99">
        <v>0.16</v>
      </c>
      <c r="F32" s="84">
        <v>87.25</v>
      </c>
      <c r="G32" s="87">
        <v>99.05</v>
      </c>
      <c r="H32" s="84">
        <v>9.2100000000000009</v>
      </c>
      <c r="I32" s="84">
        <v>183</v>
      </c>
      <c r="J32" s="85">
        <v>0.108</v>
      </c>
      <c r="K32" s="87">
        <v>6.89</v>
      </c>
      <c r="L32" s="83">
        <v>1156</v>
      </c>
      <c r="M32" s="83">
        <v>0.28999999999999998</v>
      </c>
      <c r="N32" s="83">
        <v>1.45</v>
      </c>
      <c r="O32" s="83">
        <v>18.13</v>
      </c>
      <c r="P32" s="83">
        <v>6.12</v>
      </c>
      <c r="Q32" s="83"/>
      <c r="R32" s="86">
        <v>1.2734980851084912</v>
      </c>
      <c r="S32" s="87">
        <v>8.6</v>
      </c>
      <c r="T32" s="83"/>
      <c r="U32" s="83"/>
      <c r="V32" s="84"/>
      <c r="W32" s="83"/>
      <c r="X32" s="83"/>
      <c r="Y32" s="87">
        <v>21.367840000000001</v>
      </c>
      <c r="Z32" s="83"/>
      <c r="AA32" s="86">
        <v>0.875</v>
      </c>
      <c r="AB32" s="86">
        <v>0.90160000000000007</v>
      </c>
      <c r="AC32" s="83">
        <v>5</v>
      </c>
      <c r="AD32" s="89">
        <v>267.09800000000001</v>
      </c>
      <c r="AE32" s="89">
        <v>534.19600000000003</v>
      </c>
      <c r="AF32" s="89">
        <v>226.006</v>
      </c>
      <c r="AG32" s="66">
        <f t="shared" si="0"/>
        <v>114.14630585028715</v>
      </c>
      <c r="AH32" s="143">
        <f t="shared" si="1"/>
        <v>1027.3000000000002</v>
      </c>
    </row>
    <row r="33" spans="1:34" s="90" customFormat="1" x14ac:dyDescent="0.3">
      <c r="A33" s="81">
        <v>802532</v>
      </c>
      <c r="B33" s="94">
        <v>19.916666666666664</v>
      </c>
      <c r="C33" s="87">
        <v>4.8</v>
      </c>
      <c r="D33" s="86">
        <v>8.65</v>
      </c>
      <c r="E33" s="99">
        <v>0.86</v>
      </c>
      <c r="F33" s="84">
        <v>406.75</v>
      </c>
      <c r="G33" s="87">
        <v>686.1</v>
      </c>
      <c r="H33" s="84">
        <v>63.84</v>
      </c>
      <c r="I33" s="84">
        <v>266</v>
      </c>
      <c r="J33" s="85">
        <v>0.60099999999999998</v>
      </c>
      <c r="K33" s="87">
        <v>8.5359999999999996</v>
      </c>
      <c r="L33" s="83">
        <v>664</v>
      </c>
      <c r="M33" s="83">
        <v>0.64</v>
      </c>
      <c r="N33" s="83">
        <v>0.4</v>
      </c>
      <c r="O33" s="83">
        <v>2.48</v>
      </c>
      <c r="P33" s="83">
        <v>5.44</v>
      </c>
      <c r="Q33" s="83"/>
      <c r="R33" s="86">
        <v>0.23045815823119151</v>
      </c>
      <c r="S33" s="87">
        <v>1.6</v>
      </c>
      <c r="T33" s="83"/>
      <c r="U33" s="83"/>
      <c r="V33" s="84"/>
      <c r="W33" s="83"/>
      <c r="X33" s="83"/>
      <c r="Y33" s="87">
        <v>25.168850000000003</v>
      </c>
      <c r="Z33" s="83"/>
      <c r="AA33" s="86">
        <v>4.95</v>
      </c>
      <c r="AB33" s="86">
        <v>2.8980000000000001</v>
      </c>
      <c r="AC33" s="83">
        <v>5</v>
      </c>
      <c r="AD33" s="89"/>
      <c r="AE33" s="89"/>
      <c r="AF33" s="89"/>
      <c r="AG33" s="66">
        <f t="shared" si="0"/>
        <v>120.05888230888579</v>
      </c>
      <c r="AH33" s="143">
        <f t="shared" si="1"/>
        <v>0</v>
      </c>
    </row>
    <row r="34" spans="1:34" s="90" customFormat="1" x14ac:dyDescent="0.3">
      <c r="A34" s="81">
        <v>802533</v>
      </c>
      <c r="B34" s="94">
        <v>19.5</v>
      </c>
      <c r="C34" s="87">
        <v>3.8</v>
      </c>
      <c r="D34" s="86">
        <v>8.5</v>
      </c>
      <c r="E34" s="99">
        <v>0.19</v>
      </c>
      <c r="F34" s="84">
        <v>78.2</v>
      </c>
      <c r="G34" s="87">
        <v>154.70000000000002</v>
      </c>
      <c r="H34" s="84">
        <v>4.76</v>
      </c>
      <c r="I34" s="84">
        <v>145</v>
      </c>
      <c r="J34" s="85">
        <v>0.04</v>
      </c>
      <c r="K34" s="87">
        <v>7.6369999999999996</v>
      </c>
      <c r="L34" s="83">
        <v>551</v>
      </c>
      <c r="M34" s="83">
        <v>0.17</v>
      </c>
      <c r="N34" s="83">
        <v>0.6</v>
      </c>
      <c r="O34" s="83">
        <v>4.9400000000000004</v>
      </c>
      <c r="P34" s="83">
        <v>2.34</v>
      </c>
      <c r="Q34" s="83"/>
      <c r="R34" s="86">
        <v>0.25436401986898871</v>
      </c>
      <c r="S34" s="87">
        <v>1.9</v>
      </c>
      <c r="T34" s="83"/>
      <c r="U34" s="83"/>
      <c r="V34" s="84"/>
      <c r="W34" s="83"/>
      <c r="X34" s="83"/>
      <c r="Y34" s="87">
        <v>22.189679999999999</v>
      </c>
      <c r="Z34" s="83"/>
      <c r="AA34" s="86">
        <v>11.975</v>
      </c>
      <c r="AB34" s="86">
        <v>0.96600000000000008</v>
      </c>
      <c r="AC34" s="83">
        <v>5</v>
      </c>
      <c r="AD34" s="89"/>
      <c r="AE34" s="89"/>
      <c r="AF34" s="89"/>
      <c r="AG34" s="66">
        <f t="shared" si="0"/>
        <v>121.83582638415695</v>
      </c>
      <c r="AH34" s="143">
        <f t="shared" si="1"/>
        <v>0</v>
      </c>
    </row>
    <row r="35" spans="1:34" s="96" customFormat="1" x14ac:dyDescent="0.3">
      <c r="A35" s="91">
        <v>802503</v>
      </c>
      <c r="B35" s="94">
        <v>7.083333333333333</v>
      </c>
      <c r="C35" s="94"/>
      <c r="D35" s="82">
        <v>8.2799999999999994</v>
      </c>
      <c r="E35" s="104">
        <v>0.42</v>
      </c>
      <c r="F35" s="92">
        <v>40.450000000000003</v>
      </c>
      <c r="G35" s="91">
        <v>362.5</v>
      </c>
      <c r="H35" s="92">
        <v>124.6</v>
      </c>
      <c r="I35" s="92">
        <v>182</v>
      </c>
      <c r="J35" s="93">
        <v>0.45800000000000002</v>
      </c>
      <c r="K35" s="94">
        <v>5.7469999999999999</v>
      </c>
      <c r="L35" s="91">
        <v>693</v>
      </c>
      <c r="M35" s="91">
        <v>3.34</v>
      </c>
      <c r="N35" s="91">
        <v>1.41</v>
      </c>
      <c r="O35" s="91">
        <v>4.1500000000000004</v>
      </c>
      <c r="P35" s="91">
        <v>2.74</v>
      </c>
      <c r="Q35" s="91"/>
      <c r="R35" s="82">
        <v>0.57633716844658733</v>
      </c>
      <c r="S35" s="94">
        <v>4.2</v>
      </c>
      <c r="T35" s="91"/>
      <c r="U35" s="91"/>
      <c r="V35" s="91"/>
      <c r="W35" s="91"/>
      <c r="X35" s="91"/>
      <c r="Y35" s="94">
        <v>8.6</v>
      </c>
      <c r="Z35" s="91"/>
      <c r="AA35" s="82">
        <v>10.45</v>
      </c>
      <c r="AB35" s="82">
        <v>0.11</v>
      </c>
      <c r="AC35" s="83">
        <v>5</v>
      </c>
      <c r="AD35" s="95"/>
      <c r="AE35" s="95"/>
      <c r="AF35" s="95"/>
      <c r="AG35" s="66">
        <f t="shared" si="0"/>
        <v>236.5625581395349</v>
      </c>
      <c r="AH35" s="143">
        <f t="shared" si="1"/>
        <v>0</v>
      </c>
    </row>
    <row r="36" spans="1:34" s="96" customFormat="1" x14ac:dyDescent="0.3">
      <c r="A36" s="91">
        <v>802504</v>
      </c>
      <c r="B36" s="94">
        <v>5.9166666666666661</v>
      </c>
      <c r="C36" s="94"/>
      <c r="D36" s="82">
        <v>8.19</v>
      </c>
      <c r="E36" s="104">
        <v>0.45</v>
      </c>
      <c r="F36" s="92">
        <v>21.05</v>
      </c>
      <c r="G36" s="91">
        <v>406.55</v>
      </c>
      <c r="H36" s="92">
        <v>216.45</v>
      </c>
      <c r="I36" s="92">
        <v>169</v>
      </c>
      <c r="J36" s="93">
        <v>0.61899999999999999</v>
      </c>
      <c r="K36" s="94">
        <v>5.8490000000000002</v>
      </c>
      <c r="L36" s="91">
        <v>864</v>
      </c>
      <c r="M36" s="91">
        <v>3.28</v>
      </c>
      <c r="N36" s="91">
        <v>1.34</v>
      </c>
      <c r="O36" s="91">
        <v>4.43</v>
      </c>
      <c r="P36" s="91">
        <v>3.68</v>
      </c>
      <c r="Q36" s="91"/>
      <c r="R36" s="82">
        <v>0.96923076923076923</v>
      </c>
      <c r="S36" s="94">
        <v>6.3</v>
      </c>
      <c r="T36" s="91"/>
      <c r="U36" s="91"/>
      <c r="V36" s="91"/>
      <c r="W36" s="91"/>
      <c r="X36" s="91"/>
      <c r="Y36" s="94">
        <v>3</v>
      </c>
      <c r="Z36" s="91"/>
      <c r="AA36" s="82">
        <v>12.775</v>
      </c>
      <c r="AB36" s="82">
        <v>0.15</v>
      </c>
      <c r="AC36" s="83">
        <v>5</v>
      </c>
      <c r="AD36" s="95"/>
      <c r="AE36" s="95"/>
      <c r="AF36" s="95"/>
      <c r="AG36" s="66">
        <f t="shared" si="0"/>
        <v>690.18200000000013</v>
      </c>
      <c r="AH36" s="143">
        <f t="shared" si="1"/>
        <v>0</v>
      </c>
    </row>
    <row r="37" spans="1:34" s="97" customFormat="1" x14ac:dyDescent="0.3">
      <c r="A37" s="91">
        <v>802505</v>
      </c>
      <c r="B37" s="94">
        <v>2.8833333333333333</v>
      </c>
      <c r="C37" s="94"/>
      <c r="D37" s="82">
        <v>8.27</v>
      </c>
      <c r="E37" s="104">
        <v>0.35</v>
      </c>
      <c r="F37" s="92">
        <v>155.75</v>
      </c>
      <c r="G37" s="91">
        <v>239.65</v>
      </c>
      <c r="H37" s="92">
        <v>165.99</v>
      </c>
      <c r="I37" s="92">
        <v>203</v>
      </c>
      <c r="J37" s="93">
        <v>0.41499999999999998</v>
      </c>
      <c r="K37" s="94">
        <v>5.0910000000000002</v>
      </c>
      <c r="L37" s="91">
        <v>1002.9999999999999</v>
      </c>
      <c r="M37" s="91">
        <v>17.75</v>
      </c>
      <c r="N37" s="91">
        <v>4.3499999999999996</v>
      </c>
      <c r="O37" s="91">
        <v>7.38</v>
      </c>
      <c r="P37" s="91">
        <v>4.4800000000000004</v>
      </c>
      <c r="Q37" s="91"/>
      <c r="R37" s="82">
        <v>1.0923076923076922</v>
      </c>
      <c r="S37" s="94">
        <v>7.1</v>
      </c>
      <c r="T37" s="91"/>
      <c r="U37" s="91"/>
      <c r="V37" s="91"/>
      <c r="W37" s="91"/>
      <c r="X37" s="91"/>
      <c r="Y37" s="94">
        <v>7</v>
      </c>
      <c r="Z37" s="91"/>
      <c r="AA37" s="82">
        <v>7.4750000000000005</v>
      </c>
      <c r="AB37" s="82">
        <v>0.2</v>
      </c>
      <c r="AC37" s="83">
        <v>5</v>
      </c>
      <c r="AD37" s="95"/>
      <c r="AE37" s="95"/>
      <c r="AF37" s="95"/>
      <c r="AG37" s="66">
        <f t="shared" si="0"/>
        <v>257.45914285714287</v>
      </c>
      <c r="AH37" s="143">
        <f t="shared" si="1"/>
        <v>0</v>
      </c>
    </row>
    <row r="38" spans="1:34" s="97" customFormat="1" x14ac:dyDescent="0.3">
      <c r="A38" s="91">
        <v>802506</v>
      </c>
      <c r="B38" s="94">
        <v>3</v>
      </c>
      <c r="C38" s="94"/>
      <c r="D38" s="82">
        <v>8.33</v>
      </c>
      <c r="E38" s="104">
        <v>0.42</v>
      </c>
      <c r="F38" s="92">
        <v>191.6</v>
      </c>
      <c r="G38" s="91">
        <v>194.65</v>
      </c>
      <c r="H38" s="92">
        <v>278.85000000000002</v>
      </c>
      <c r="I38" s="92">
        <v>203</v>
      </c>
      <c r="J38" s="93">
        <v>4.6760000000000002</v>
      </c>
      <c r="K38" s="94">
        <v>0.59499999999999997</v>
      </c>
      <c r="L38" s="91">
        <v>1050</v>
      </c>
      <c r="M38" s="91">
        <v>7.44</v>
      </c>
      <c r="N38" s="91">
        <v>2.83</v>
      </c>
      <c r="O38" s="91">
        <v>6.75</v>
      </c>
      <c r="P38" s="91">
        <v>4.71</v>
      </c>
      <c r="Q38" s="91"/>
      <c r="R38" s="82">
        <v>1.9076923076923078</v>
      </c>
      <c r="S38" s="94">
        <v>12.4</v>
      </c>
      <c r="T38" s="91"/>
      <c r="U38" s="91"/>
      <c r="V38" s="91"/>
      <c r="W38" s="91"/>
      <c r="X38" s="91"/>
      <c r="Y38" s="94">
        <v>1.3</v>
      </c>
      <c r="Z38" s="91"/>
      <c r="AA38" s="82">
        <v>7.2750000000000004</v>
      </c>
      <c r="AB38" s="82">
        <v>0.35000000000000003</v>
      </c>
      <c r="AC38" s="83">
        <v>5</v>
      </c>
      <c r="AD38" s="95"/>
      <c r="AE38" s="95"/>
      <c r="AF38" s="95"/>
      <c r="AG38" s="66">
        <f t="shared" si="0"/>
        <v>162.0230769230769</v>
      </c>
      <c r="AH38" s="143">
        <f t="shared" si="1"/>
        <v>0</v>
      </c>
    </row>
    <row r="39" spans="1:34" s="100" customFormat="1" x14ac:dyDescent="0.3">
      <c r="A39" s="81">
        <v>802534</v>
      </c>
      <c r="B39" s="98">
        <v>8.5833333333333339</v>
      </c>
      <c r="C39" s="87">
        <v>1</v>
      </c>
      <c r="D39" s="86">
        <v>8.35</v>
      </c>
      <c r="E39" s="99">
        <v>0.15</v>
      </c>
      <c r="F39" s="84">
        <v>68.2</v>
      </c>
      <c r="G39" s="99">
        <v>71.650000000000006</v>
      </c>
      <c r="H39" s="84">
        <v>13.06</v>
      </c>
      <c r="I39" s="84">
        <v>86</v>
      </c>
      <c r="J39" s="85">
        <v>9.7000000000000003E-2</v>
      </c>
      <c r="K39" s="87">
        <v>5.4210000000000003</v>
      </c>
      <c r="L39" s="99">
        <v>341</v>
      </c>
      <c r="M39" s="99">
        <v>0.35</v>
      </c>
      <c r="N39" s="99">
        <v>0.16</v>
      </c>
      <c r="O39" s="99">
        <v>0.99</v>
      </c>
      <c r="P39" s="99">
        <v>1.62</v>
      </c>
      <c r="Q39" s="99"/>
      <c r="R39" s="82">
        <v>0.34208130916415647</v>
      </c>
      <c r="S39" s="87">
        <v>2.4</v>
      </c>
      <c r="T39" s="83"/>
      <c r="U39" s="83"/>
      <c r="V39" s="81"/>
      <c r="W39" s="83"/>
      <c r="X39" s="83"/>
      <c r="Y39" s="87">
        <v>2</v>
      </c>
      <c r="Z39" s="83"/>
      <c r="AA39" s="83">
        <v>9.15</v>
      </c>
      <c r="AB39" s="86">
        <v>1.8032000000000001</v>
      </c>
      <c r="AC39" s="83">
        <v>5</v>
      </c>
      <c r="AD39" s="88"/>
      <c r="AE39" s="88"/>
      <c r="AF39" s="88"/>
      <c r="AG39" s="66">
        <f t="shared" si="0"/>
        <v>959.51700000000017</v>
      </c>
      <c r="AH39" s="143">
        <f t="shared" si="1"/>
        <v>0</v>
      </c>
    </row>
    <row r="40" spans="1:34" s="100" customFormat="1" x14ac:dyDescent="0.3">
      <c r="A40" s="84">
        <v>802535</v>
      </c>
      <c r="B40" s="98">
        <v>10.333333333333334</v>
      </c>
      <c r="C40" s="87">
        <v>1.3</v>
      </c>
      <c r="D40" s="86">
        <v>8.2899999999999991</v>
      </c>
      <c r="E40" s="99">
        <v>0.16</v>
      </c>
      <c r="F40" s="84">
        <v>80.7</v>
      </c>
      <c r="G40" s="99">
        <v>55.9</v>
      </c>
      <c r="H40" s="84">
        <v>36.950000000000003</v>
      </c>
      <c r="I40" s="84">
        <v>85</v>
      </c>
      <c r="J40" s="85">
        <v>7.4999999999999997E-2</v>
      </c>
      <c r="K40" s="87">
        <v>6.1740000000000004</v>
      </c>
      <c r="L40" s="99">
        <v>183</v>
      </c>
      <c r="M40" s="99">
        <v>0.35</v>
      </c>
      <c r="N40" s="99">
        <v>0.16</v>
      </c>
      <c r="O40" s="99">
        <v>0.65</v>
      </c>
      <c r="P40" s="99">
        <v>1.25</v>
      </c>
      <c r="Q40" s="99"/>
      <c r="R40" s="82">
        <v>0.46307692307692305</v>
      </c>
      <c r="S40" s="87">
        <v>3.01</v>
      </c>
      <c r="T40" s="83"/>
      <c r="U40" s="83"/>
      <c r="V40" s="81"/>
      <c r="W40" s="83"/>
      <c r="X40" s="83"/>
      <c r="Y40" s="87">
        <v>3</v>
      </c>
      <c r="Z40" s="83"/>
      <c r="AA40" s="83">
        <v>9.85</v>
      </c>
      <c r="AB40" s="86">
        <v>1.5456000000000001</v>
      </c>
      <c r="AC40" s="83">
        <v>5</v>
      </c>
      <c r="AD40" s="88"/>
      <c r="AE40" s="88"/>
      <c r="AF40" s="88"/>
      <c r="AG40" s="66">
        <f t="shared" si="0"/>
        <v>728.53200000000015</v>
      </c>
      <c r="AH40" s="143">
        <f t="shared" si="1"/>
        <v>0</v>
      </c>
    </row>
    <row r="41" spans="1:34" s="100" customFormat="1" x14ac:dyDescent="0.3">
      <c r="A41" s="84">
        <v>802536</v>
      </c>
      <c r="B41" s="98">
        <v>8.9166666666666661</v>
      </c>
      <c r="C41" s="87">
        <v>2.5</v>
      </c>
      <c r="D41" s="86">
        <v>8.31</v>
      </c>
      <c r="E41" s="99">
        <v>0.81</v>
      </c>
      <c r="F41" s="84">
        <v>172.54999999999998</v>
      </c>
      <c r="G41" s="99">
        <v>742.35</v>
      </c>
      <c r="H41" s="84">
        <v>7.57</v>
      </c>
      <c r="I41" s="84">
        <v>167</v>
      </c>
      <c r="J41" s="85">
        <v>0.222</v>
      </c>
      <c r="K41" s="87">
        <v>7.9379999999999997</v>
      </c>
      <c r="L41" s="99">
        <v>1070</v>
      </c>
      <c r="M41" s="99">
        <v>0.49</v>
      </c>
      <c r="N41" s="99">
        <v>0.46</v>
      </c>
      <c r="O41" s="99">
        <v>1.74</v>
      </c>
      <c r="P41" s="99">
        <v>1.03</v>
      </c>
      <c r="Q41" s="99"/>
      <c r="R41" s="82">
        <v>0.38615384615384613</v>
      </c>
      <c r="S41" s="87">
        <v>2.5099999999999998</v>
      </c>
      <c r="T41" s="83"/>
      <c r="U41" s="83"/>
      <c r="V41" s="81"/>
      <c r="W41" s="83"/>
      <c r="X41" s="83"/>
      <c r="Y41" s="94">
        <v>22</v>
      </c>
      <c r="Z41" s="83"/>
      <c r="AA41" s="83">
        <v>10.8</v>
      </c>
      <c r="AB41" s="86">
        <v>3.4776000000000002</v>
      </c>
      <c r="AC41" s="83">
        <v>5</v>
      </c>
      <c r="AD41" s="88"/>
      <c r="AE41" s="88"/>
      <c r="AF41" s="88"/>
      <c r="AG41" s="66">
        <f t="shared" si="0"/>
        <v>127.72963636363637</v>
      </c>
      <c r="AH41" s="143">
        <f t="shared" si="1"/>
        <v>0</v>
      </c>
    </row>
    <row r="42" spans="1:34" s="90" customFormat="1" x14ac:dyDescent="0.3">
      <c r="A42" s="84">
        <v>802537</v>
      </c>
      <c r="B42" s="98">
        <v>22.666666666666664</v>
      </c>
      <c r="C42" s="87">
        <v>12</v>
      </c>
      <c r="D42" s="86">
        <v>8.41</v>
      </c>
      <c r="E42" s="99">
        <v>0.26</v>
      </c>
      <c r="F42" s="84">
        <v>135</v>
      </c>
      <c r="G42" s="99">
        <v>189.5</v>
      </c>
      <c r="H42" s="84">
        <v>41.14</v>
      </c>
      <c r="I42" s="84">
        <v>289</v>
      </c>
      <c r="J42" s="85">
        <v>0.19700000000000001</v>
      </c>
      <c r="K42" s="87">
        <v>10.641999999999999</v>
      </c>
      <c r="L42" s="99">
        <v>2822</v>
      </c>
      <c r="M42" s="99">
        <v>0.15</v>
      </c>
      <c r="N42" s="99">
        <v>1.67</v>
      </c>
      <c r="O42" s="99">
        <v>9.35</v>
      </c>
      <c r="P42" s="99">
        <v>1.85</v>
      </c>
      <c r="Q42" s="99"/>
      <c r="R42" s="82">
        <v>1.0676923076923077</v>
      </c>
      <c r="S42" s="87">
        <v>6.94</v>
      </c>
      <c r="T42" s="83"/>
      <c r="U42" s="83"/>
      <c r="V42" s="81"/>
      <c r="W42" s="83"/>
      <c r="X42" s="83"/>
      <c r="Y42" s="94">
        <v>23.8</v>
      </c>
      <c r="Z42" s="83"/>
      <c r="AA42" s="83">
        <v>1.2</v>
      </c>
      <c r="AB42" s="86">
        <v>0.90160000000000007</v>
      </c>
      <c r="AC42" s="83">
        <v>5</v>
      </c>
      <c r="AD42" s="88">
        <v>542</v>
      </c>
      <c r="AE42" s="88">
        <v>360</v>
      </c>
      <c r="AF42" s="88">
        <v>98</v>
      </c>
      <c r="AG42" s="66">
        <f t="shared" si="0"/>
        <v>158.28857142857143</v>
      </c>
      <c r="AH42" s="143">
        <f t="shared" si="1"/>
        <v>1000</v>
      </c>
    </row>
    <row r="43" spans="1:34" s="90" customFormat="1" x14ac:dyDescent="0.3">
      <c r="A43" s="84">
        <v>802538</v>
      </c>
      <c r="B43" s="98">
        <v>27.999999999999996</v>
      </c>
      <c r="C43" s="87">
        <v>12.5</v>
      </c>
      <c r="D43" s="86">
        <v>8.75</v>
      </c>
      <c r="E43" s="99">
        <v>0.16</v>
      </c>
      <c r="F43" s="84">
        <v>76.050000000000011</v>
      </c>
      <c r="G43" s="99">
        <v>83.45</v>
      </c>
      <c r="H43" s="84">
        <v>5.97</v>
      </c>
      <c r="I43" s="84">
        <v>328</v>
      </c>
      <c r="J43" s="85">
        <v>9.5000000000000001E-2</v>
      </c>
      <c r="K43" s="87">
        <v>11.762</v>
      </c>
      <c r="L43" s="99">
        <v>1573</v>
      </c>
      <c r="M43" s="99">
        <v>0.11</v>
      </c>
      <c r="N43" s="99">
        <v>0.64</v>
      </c>
      <c r="O43" s="99">
        <v>1.04</v>
      </c>
      <c r="P43" s="99">
        <v>1.1000000000000001</v>
      </c>
      <c r="Q43" s="99"/>
      <c r="R43" s="82">
        <v>0.70461538461538464</v>
      </c>
      <c r="S43" s="87">
        <v>4.58</v>
      </c>
      <c r="T43" s="83"/>
      <c r="U43" s="83"/>
      <c r="V43" s="81"/>
      <c r="W43" s="83"/>
      <c r="X43" s="83"/>
      <c r="Y43" s="94">
        <v>24.1</v>
      </c>
      <c r="Z43" s="83"/>
      <c r="AA43" s="83">
        <v>10.049999999999999</v>
      </c>
      <c r="AB43" s="86">
        <v>0.83720000000000006</v>
      </c>
      <c r="AC43" s="83">
        <v>5</v>
      </c>
      <c r="AD43" s="88">
        <v>548</v>
      </c>
      <c r="AE43" s="88">
        <v>350</v>
      </c>
      <c r="AF43" s="88">
        <v>102</v>
      </c>
      <c r="AG43" s="66">
        <f t="shared" si="0"/>
        <v>172.76962655601662</v>
      </c>
      <c r="AH43" s="143">
        <f t="shared" si="1"/>
        <v>1000</v>
      </c>
    </row>
    <row r="44" spans="1:34" s="90" customFormat="1" x14ac:dyDescent="0.3">
      <c r="A44" s="84">
        <v>802539</v>
      </c>
      <c r="B44" s="98">
        <v>39.666666666666664</v>
      </c>
      <c r="C44" s="87">
        <v>12</v>
      </c>
      <c r="D44" s="86">
        <v>8.42</v>
      </c>
      <c r="E44" s="99">
        <v>0.22</v>
      </c>
      <c r="F44" s="84">
        <v>67.400000000000006</v>
      </c>
      <c r="G44" s="99">
        <v>126.1</v>
      </c>
      <c r="H44" s="84">
        <v>10.38</v>
      </c>
      <c r="I44" s="84">
        <v>449</v>
      </c>
      <c r="J44" s="85">
        <v>0.107</v>
      </c>
      <c r="K44" s="87">
        <v>12.252000000000001</v>
      </c>
      <c r="L44" s="99">
        <v>1380</v>
      </c>
      <c r="M44" s="99">
        <v>0.11</v>
      </c>
      <c r="N44" s="99">
        <v>0.53</v>
      </c>
      <c r="O44" s="99">
        <v>1</v>
      </c>
      <c r="P44" s="99">
        <v>1.59</v>
      </c>
      <c r="Q44" s="99"/>
      <c r="R44" s="82">
        <v>0.99846153846153851</v>
      </c>
      <c r="S44" s="87">
        <v>6.49</v>
      </c>
      <c r="T44" s="83"/>
      <c r="U44" s="83"/>
      <c r="V44" s="81"/>
      <c r="W44" s="83"/>
      <c r="X44" s="83"/>
      <c r="Y44" s="94">
        <v>26.8</v>
      </c>
      <c r="Z44" s="83"/>
      <c r="AA44" s="83">
        <v>26.400000000000002</v>
      </c>
      <c r="AB44" s="86">
        <v>3.3488000000000002</v>
      </c>
      <c r="AC44" s="83">
        <v>5</v>
      </c>
      <c r="AD44" s="88">
        <v>561</v>
      </c>
      <c r="AE44" s="88">
        <v>360</v>
      </c>
      <c r="AF44" s="88">
        <v>79</v>
      </c>
      <c r="AG44" s="66">
        <f t="shared" si="0"/>
        <v>161.83611940298508</v>
      </c>
      <c r="AH44" s="143">
        <f t="shared" si="1"/>
        <v>1000</v>
      </c>
    </row>
    <row r="45" spans="1:34" s="90" customFormat="1" x14ac:dyDescent="0.3">
      <c r="A45" s="84">
        <v>802540</v>
      </c>
      <c r="B45" s="98">
        <v>35.666666666666664</v>
      </c>
      <c r="C45" s="87">
        <v>10.1</v>
      </c>
      <c r="D45" s="86">
        <v>8.2899999999999991</v>
      </c>
      <c r="E45" s="99">
        <v>0.18</v>
      </c>
      <c r="F45" s="84">
        <v>72.5</v>
      </c>
      <c r="G45" s="99">
        <v>57.599999999999994</v>
      </c>
      <c r="H45" s="84">
        <v>6.49</v>
      </c>
      <c r="I45" s="84">
        <v>532</v>
      </c>
      <c r="J45" s="85">
        <v>0.16400000000000001</v>
      </c>
      <c r="K45" s="87">
        <v>10.138</v>
      </c>
      <c r="L45" s="99">
        <v>932</v>
      </c>
      <c r="M45" s="99">
        <v>0.15</v>
      </c>
      <c r="N45" s="99">
        <v>0.61</v>
      </c>
      <c r="O45" s="99">
        <v>2.7</v>
      </c>
      <c r="P45" s="99">
        <v>1.35</v>
      </c>
      <c r="Q45" s="99"/>
      <c r="R45" s="82">
        <v>0.98307692307692307</v>
      </c>
      <c r="S45" s="87">
        <v>6.39</v>
      </c>
      <c r="T45" s="83"/>
      <c r="U45" s="83"/>
      <c r="V45" s="81"/>
      <c r="W45" s="83"/>
      <c r="X45" s="83"/>
      <c r="Y45" s="94">
        <v>28.7</v>
      </c>
      <c r="Z45" s="83"/>
      <c r="AA45" s="83">
        <v>4.6000000000000005</v>
      </c>
      <c r="AB45" s="86">
        <v>2.1896</v>
      </c>
      <c r="AC45" s="83">
        <v>5</v>
      </c>
      <c r="AD45" s="88">
        <v>403</v>
      </c>
      <c r="AE45" s="88">
        <v>360</v>
      </c>
      <c r="AF45" s="88">
        <v>237</v>
      </c>
      <c r="AG45" s="66">
        <f t="shared" si="0"/>
        <v>125.04710801393728</v>
      </c>
      <c r="AH45" s="143">
        <f t="shared" si="1"/>
        <v>1000</v>
      </c>
    </row>
    <row r="46" spans="1:34" s="90" customFormat="1" x14ac:dyDescent="0.3">
      <c r="A46" s="84">
        <v>802541</v>
      </c>
      <c r="B46" s="87">
        <v>35</v>
      </c>
      <c r="C46" s="98">
        <v>9.8749999999999982</v>
      </c>
      <c r="D46" s="86">
        <v>7.99</v>
      </c>
      <c r="E46" s="99">
        <v>0.64</v>
      </c>
      <c r="F46" s="84">
        <v>300.79999999999995</v>
      </c>
      <c r="G46" s="99">
        <v>571.1</v>
      </c>
      <c r="H46" s="84">
        <v>21.43</v>
      </c>
      <c r="I46" s="84">
        <v>140</v>
      </c>
      <c r="J46" s="85">
        <v>0.1</v>
      </c>
      <c r="K46" s="87">
        <v>14.83</v>
      </c>
      <c r="L46" s="99">
        <v>680</v>
      </c>
      <c r="M46" s="99">
        <v>0.21</v>
      </c>
      <c r="N46" s="99">
        <v>0.5</v>
      </c>
      <c r="O46" s="99">
        <v>1.86</v>
      </c>
      <c r="P46" s="99">
        <v>1.5</v>
      </c>
      <c r="Q46" s="99"/>
      <c r="R46" s="82">
        <v>0.50568005663043181</v>
      </c>
      <c r="S46" s="87">
        <v>3.4</v>
      </c>
      <c r="T46" s="83"/>
      <c r="U46" s="83"/>
      <c r="V46" s="81"/>
      <c r="W46" s="83"/>
      <c r="X46" s="83"/>
      <c r="Y46" s="94">
        <v>28</v>
      </c>
      <c r="Z46" s="83"/>
      <c r="AA46" s="83"/>
      <c r="AB46" s="86"/>
      <c r="AC46" s="83"/>
      <c r="AD46" s="88">
        <v>400</v>
      </c>
      <c r="AE46" s="88">
        <v>560</v>
      </c>
      <c r="AF46" s="88">
        <v>40</v>
      </c>
      <c r="AG46" s="66">
        <f t="shared" si="0"/>
        <v>187.49357142857144</v>
      </c>
      <c r="AH46" s="143">
        <f t="shared" si="1"/>
        <v>1000</v>
      </c>
    </row>
    <row r="47" spans="1:34" s="90" customFormat="1" x14ac:dyDescent="0.3">
      <c r="A47" s="84">
        <v>802542</v>
      </c>
      <c r="B47" s="87">
        <v>33.666666666666664</v>
      </c>
      <c r="C47" s="98">
        <v>6.7499999999999982</v>
      </c>
      <c r="D47" s="86">
        <v>7.96</v>
      </c>
      <c r="E47" s="99">
        <v>1.94</v>
      </c>
      <c r="F47" s="84">
        <v>189.89999999999998</v>
      </c>
      <c r="G47" s="99">
        <v>286.84999999999997</v>
      </c>
      <c r="H47" s="84">
        <v>19.54</v>
      </c>
      <c r="I47" s="84">
        <v>140</v>
      </c>
      <c r="J47" s="85">
        <v>0.14000000000000001</v>
      </c>
      <c r="K47" s="87">
        <v>13.91</v>
      </c>
      <c r="L47" s="99">
        <v>820</v>
      </c>
      <c r="M47" s="99">
        <v>0.24</v>
      </c>
      <c r="N47" s="99">
        <v>0.46</v>
      </c>
      <c r="O47" s="99">
        <v>1.65</v>
      </c>
      <c r="P47" s="99">
        <v>1.26</v>
      </c>
      <c r="Q47" s="99"/>
      <c r="R47" s="82">
        <v>0.44914846972674838</v>
      </c>
      <c r="S47" s="87">
        <v>3.2</v>
      </c>
      <c r="T47" s="83"/>
      <c r="U47" s="83"/>
      <c r="V47" s="81"/>
      <c r="W47" s="83"/>
      <c r="X47" s="83"/>
      <c r="Y47" s="94">
        <v>27</v>
      </c>
      <c r="Z47" s="83"/>
      <c r="AA47" s="83"/>
      <c r="AB47" s="86"/>
      <c r="AC47" s="83"/>
      <c r="AD47" s="88">
        <v>440</v>
      </c>
      <c r="AE47" s="88">
        <v>520</v>
      </c>
      <c r="AF47" s="88">
        <v>40</v>
      </c>
      <c r="AG47" s="66">
        <f t="shared" si="0"/>
        <v>182.37555555555554</v>
      </c>
      <c r="AH47" s="143">
        <f t="shared" si="1"/>
        <v>1000</v>
      </c>
    </row>
    <row r="48" spans="1:34" s="90" customFormat="1" x14ac:dyDescent="0.3">
      <c r="A48" s="84">
        <v>802543</v>
      </c>
      <c r="B48" s="87">
        <v>12.833333333333332</v>
      </c>
      <c r="C48" s="98">
        <v>2.7499999999999991</v>
      </c>
      <c r="D48" s="86">
        <v>8.7200000000000006</v>
      </c>
      <c r="E48" s="99">
        <v>0.37</v>
      </c>
      <c r="F48" s="84">
        <v>1154.4499999999998</v>
      </c>
      <c r="G48" s="99">
        <v>156.85</v>
      </c>
      <c r="H48" s="84">
        <v>37.130000000000003</v>
      </c>
      <c r="I48" s="84">
        <v>190</v>
      </c>
      <c r="J48" s="85">
        <v>0.27</v>
      </c>
      <c r="K48" s="87">
        <v>6.95</v>
      </c>
      <c r="L48" s="99">
        <v>960</v>
      </c>
      <c r="M48" s="99">
        <v>0.65</v>
      </c>
      <c r="N48" s="99">
        <v>0.2</v>
      </c>
      <c r="O48" s="99">
        <v>2.74</v>
      </c>
      <c r="P48" s="99">
        <v>2.06</v>
      </c>
      <c r="Q48" s="99"/>
      <c r="R48" s="82">
        <v>0.74205564233642807</v>
      </c>
      <c r="S48" s="87">
        <v>5.2</v>
      </c>
      <c r="T48" s="83"/>
      <c r="U48" s="83"/>
      <c r="V48" s="81"/>
      <c r="W48" s="83"/>
      <c r="X48" s="83"/>
      <c r="Y48" s="94">
        <v>3.4</v>
      </c>
      <c r="Z48" s="83"/>
      <c r="AA48" s="83"/>
      <c r="AB48" s="86"/>
      <c r="AC48" s="83"/>
      <c r="AD48" s="88">
        <v>60</v>
      </c>
      <c r="AE48" s="88">
        <v>60</v>
      </c>
      <c r="AF48" s="88">
        <v>880</v>
      </c>
      <c r="AG48" s="66">
        <f t="shared" si="0"/>
        <v>723.61764705882365</v>
      </c>
      <c r="AH48" s="143">
        <f t="shared" si="1"/>
        <v>1000</v>
      </c>
    </row>
    <row r="49" spans="1:34" s="90" customFormat="1" x14ac:dyDescent="0.3">
      <c r="A49" s="84">
        <v>802544</v>
      </c>
      <c r="B49" s="87">
        <v>0.93333333333333324</v>
      </c>
      <c r="C49" s="87"/>
      <c r="D49" s="86">
        <v>8.3699999999999992</v>
      </c>
      <c r="E49" s="99">
        <v>0.2</v>
      </c>
      <c r="F49" s="84">
        <v>67.8</v>
      </c>
      <c r="G49" s="99">
        <v>150.65</v>
      </c>
      <c r="H49" s="84">
        <v>274.75</v>
      </c>
      <c r="I49" s="84">
        <v>300</v>
      </c>
      <c r="J49" s="85">
        <v>0.30399999999999999</v>
      </c>
      <c r="K49" s="87">
        <v>2.09</v>
      </c>
      <c r="L49" s="99">
        <v>350</v>
      </c>
      <c r="M49" s="99">
        <v>3.77</v>
      </c>
      <c r="N49" s="99">
        <v>1.2</v>
      </c>
      <c r="O49" s="99">
        <v>8.8800000000000008</v>
      </c>
      <c r="P49" s="99">
        <v>9.2899999999999991</v>
      </c>
      <c r="Q49" s="99"/>
      <c r="R49" s="82">
        <v>1.5066188509787768</v>
      </c>
      <c r="S49" s="87">
        <v>10</v>
      </c>
      <c r="T49" s="83"/>
      <c r="U49" s="83"/>
      <c r="V49" s="81"/>
      <c r="W49" s="83"/>
      <c r="X49" s="83"/>
      <c r="Y49" s="94">
        <v>3.4</v>
      </c>
      <c r="Z49" s="83"/>
      <c r="AA49" s="83"/>
      <c r="AB49" s="86"/>
      <c r="AC49" s="83"/>
      <c r="AD49" s="88"/>
      <c r="AE49" s="88"/>
      <c r="AF49" s="88"/>
      <c r="AG49" s="66">
        <f t="shared" si="0"/>
        <v>217.60588235294117</v>
      </c>
      <c r="AH49" s="143">
        <f t="shared" si="1"/>
        <v>0</v>
      </c>
    </row>
    <row r="50" spans="1:34" s="90" customFormat="1" x14ac:dyDescent="0.3">
      <c r="A50" s="84">
        <v>802545</v>
      </c>
      <c r="B50" s="87">
        <v>2.8999999999999995</v>
      </c>
      <c r="C50" s="87"/>
      <c r="D50" s="86">
        <v>7.89</v>
      </c>
      <c r="E50" s="99">
        <v>0.52</v>
      </c>
      <c r="F50" s="84">
        <v>135.5</v>
      </c>
      <c r="G50" s="99">
        <v>88.6</v>
      </c>
      <c r="H50" s="84">
        <v>113</v>
      </c>
      <c r="I50" s="84">
        <v>230</v>
      </c>
      <c r="J50" s="85">
        <v>0.182</v>
      </c>
      <c r="K50" s="87">
        <v>4.3</v>
      </c>
      <c r="L50" s="99">
        <v>278</v>
      </c>
      <c r="M50" s="99">
        <v>1.61</v>
      </c>
      <c r="N50" s="99">
        <v>0.37</v>
      </c>
      <c r="O50" s="99">
        <v>6.83</v>
      </c>
      <c r="P50" s="99">
        <v>16.79</v>
      </c>
      <c r="Q50" s="99"/>
      <c r="R50" s="82">
        <v>1.2618668750877251</v>
      </c>
      <c r="S50" s="87">
        <v>9.2000000000000011</v>
      </c>
      <c r="T50" s="83"/>
      <c r="U50" s="83"/>
      <c r="V50" s="81"/>
      <c r="W50" s="83"/>
      <c r="X50" s="83"/>
      <c r="Y50" s="94">
        <v>5.7</v>
      </c>
      <c r="Z50" s="83"/>
      <c r="AA50" s="83"/>
      <c r="AB50" s="86"/>
      <c r="AC50" s="83"/>
      <c r="AD50" s="88"/>
      <c r="AE50" s="88"/>
      <c r="AF50" s="88"/>
      <c r="AG50" s="66">
        <f t="shared" si="0"/>
        <v>267.05263157894734</v>
      </c>
      <c r="AH50" s="143">
        <f t="shared" si="1"/>
        <v>0</v>
      </c>
    </row>
    <row r="51" spans="1:34" s="90" customFormat="1" x14ac:dyDescent="0.3">
      <c r="A51" s="84">
        <v>802546</v>
      </c>
      <c r="B51" s="87">
        <v>3.2166666666666663</v>
      </c>
      <c r="C51" s="87"/>
      <c r="D51" s="86">
        <v>8.26</v>
      </c>
      <c r="E51" s="99">
        <v>0.39</v>
      </c>
      <c r="F51" s="84">
        <v>112.35</v>
      </c>
      <c r="G51" s="99">
        <v>298.85000000000002</v>
      </c>
      <c r="H51" s="84">
        <v>284.47000000000003</v>
      </c>
      <c r="I51" s="84">
        <v>680</v>
      </c>
      <c r="J51" s="85">
        <v>0.46</v>
      </c>
      <c r="K51" s="87">
        <v>5.21</v>
      </c>
      <c r="L51" s="99">
        <v>592</v>
      </c>
      <c r="M51" s="99">
        <v>2.87</v>
      </c>
      <c r="N51" s="99">
        <v>0.76</v>
      </c>
      <c r="O51" s="99">
        <v>5.54</v>
      </c>
      <c r="P51" s="99">
        <v>14.32</v>
      </c>
      <c r="Q51" s="99"/>
      <c r="R51" s="82">
        <v>2.0992280000000001</v>
      </c>
      <c r="S51" s="87">
        <v>30.4</v>
      </c>
      <c r="T51" s="83"/>
      <c r="U51" s="83"/>
      <c r="V51" s="81"/>
      <c r="W51" s="83"/>
      <c r="X51" s="83"/>
      <c r="Y51" s="94">
        <v>9.4</v>
      </c>
      <c r="Z51" s="83"/>
      <c r="AA51" s="83"/>
      <c r="AB51" s="86"/>
      <c r="AC51" s="83"/>
      <c r="AD51" s="88"/>
      <c r="AE51" s="88"/>
      <c r="AF51" s="88"/>
      <c r="AG51" s="66">
        <f t="shared" si="0"/>
        <v>196.20638297872341</v>
      </c>
      <c r="AH51" s="143">
        <f t="shared" si="1"/>
        <v>0</v>
      </c>
    </row>
    <row r="52" spans="1:34" s="90" customFormat="1" x14ac:dyDescent="0.3">
      <c r="A52" s="84">
        <v>802547</v>
      </c>
      <c r="B52" s="87">
        <v>0.58333333333333337</v>
      </c>
      <c r="C52" s="87"/>
      <c r="D52" s="86">
        <v>8.42</v>
      </c>
      <c r="E52" s="99">
        <v>0.11</v>
      </c>
      <c r="F52" s="84">
        <v>48.5</v>
      </c>
      <c r="G52" s="99">
        <v>103.25</v>
      </c>
      <c r="H52" s="84">
        <v>72.88</v>
      </c>
      <c r="I52" s="84">
        <v>270</v>
      </c>
      <c r="J52" s="85">
        <v>7.0999999999999994E-2</v>
      </c>
      <c r="K52" s="87">
        <v>1.46</v>
      </c>
      <c r="L52" s="99">
        <v>96</v>
      </c>
      <c r="M52" s="99">
        <v>1.3</v>
      </c>
      <c r="N52" s="99">
        <v>0.37</v>
      </c>
      <c r="O52" s="99">
        <v>5.94</v>
      </c>
      <c r="P52" s="99">
        <v>6.89</v>
      </c>
      <c r="Q52" s="99"/>
      <c r="R52" s="82">
        <v>0.8004129145402441</v>
      </c>
      <c r="S52" s="87">
        <v>6</v>
      </c>
      <c r="T52" s="83"/>
      <c r="U52" s="83"/>
      <c r="V52" s="81"/>
      <c r="W52" s="83"/>
      <c r="X52" s="83"/>
      <c r="Y52" s="94">
        <v>3</v>
      </c>
      <c r="Z52" s="83"/>
      <c r="AA52" s="83"/>
      <c r="AB52" s="86"/>
      <c r="AC52" s="83"/>
      <c r="AD52" s="88"/>
      <c r="AE52" s="88"/>
      <c r="AF52" s="88"/>
      <c r="AG52" s="66">
        <f t="shared" si="0"/>
        <v>172.28</v>
      </c>
      <c r="AH52" s="143">
        <f t="shared" si="1"/>
        <v>0</v>
      </c>
    </row>
    <row r="53" spans="1:34" s="90" customFormat="1" x14ac:dyDescent="0.3">
      <c r="A53" s="84">
        <v>802548</v>
      </c>
      <c r="B53" s="87">
        <v>1.0499999999999998</v>
      </c>
      <c r="C53" s="87"/>
      <c r="D53" s="86">
        <v>7.66</v>
      </c>
      <c r="E53" s="99">
        <v>0.61</v>
      </c>
      <c r="F53" s="84">
        <v>344.79999999999995</v>
      </c>
      <c r="G53" s="99">
        <v>176.75</v>
      </c>
      <c r="H53" s="84">
        <v>473.54</v>
      </c>
      <c r="I53" s="84">
        <v>480</v>
      </c>
      <c r="J53" s="85">
        <v>0.2</v>
      </c>
      <c r="K53" s="87">
        <v>2.81</v>
      </c>
      <c r="L53" s="99">
        <v>548</v>
      </c>
      <c r="M53" s="99">
        <v>7.1</v>
      </c>
      <c r="N53" s="99">
        <v>0.6</v>
      </c>
      <c r="O53" s="99">
        <v>7.75</v>
      </c>
      <c r="P53" s="99">
        <v>18.91</v>
      </c>
      <c r="Q53" s="99"/>
      <c r="R53" s="82">
        <v>1.941497</v>
      </c>
      <c r="S53" s="87">
        <v>21.7</v>
      </c>
      <c r="T53" s="83"/>
      <c r="U53" s="83"/>
      <c r="V53" s="81"/>
      <c r="W53" s="83"/>
      <c r="X53" s="83"/>
      <c r="Y53" s="94">
        <v>3</v>
      </c>
      <c r="Z53" s="83"/>
      <c r="AA53" s="83"/>
      <c r="AB53" s="86"/>
      <c r="AC53" s="83"/>
      <c r="AD53" s="88"/>
      <c r="AE53" s="88"/>
      <c r="AF53" s="88"/>
      <c r="AG53" s="66">
        <f t="shared" si="0"/>
        <v>331.58</v>
      </c>
      <c r="AH53" s="143">
        <f t="shared" si="1"/>
        <v>0</v>
      </c>
    </row>
    <row r="54" spans="1:34" s="90" customFormat="1" x14ac:dyDescent="0.3">
      <c r="A54" s="84">
        <v>802549</v>
      </c>
      <c r="B54" s="87">
        <v>5.375</v>
      </c>
      <c r="C54" s="87"/>
      <c r="D54" s="86">
        <v>8.17</v>
      </c>
      <c r="E54" s="99">
        <v>0.25</v>
      </c>
      <c r="F54" s="84">
        <v>107.2</v>
      </c>
      <c r="G54" s="99">
        <v>82.25</v>
      </c>
      <c r="H54" s="84">
        <v>122</v>
      </c>
      <c r="I54" s="84">
        <v>420</v>
      </c>
      <c r="J54" s="85">
        <v>0.313</v>
      </c>
      <c r="K54" s="87">
        <v>8.36</v>
      </c>
      <c r="L54" s="99">
        <v>1320</v>
      </c>
      <c r="M54" s="99">
        <v>1.39</v>
      </c>
      <c r="N54" s="99">
        <v>1.46</v>
      </c>
      <c r="O54" s="99">
        <v>2.96</v>
      </c>
      <c r="P54" s="99">
        <v>22.13</v>
      </c>
      <c r="Q54" s="99"/>
      <c r="R54" s="82">
        <v>2.0485129999999998</v>
      </c>
      <c r="S54" s="87">
        <v>26.9</v>
      </c>
      <c r="T54" s="83"/>
      <c r="U54" s="83"/>
      <c r="V54" s="81"/>
      <c r="W54" s="83"/>
      <c r="X54" s="83"/>
      <c r="Y54" s="94">
        <v>35</v>
      </c>
      <c r="Z54" s="83"/>
      <c r="AA54" s="83"/>
      <c r="AB54" s="86"/>
      <c r="AC54" s="83"/>
      <c r="AD54" s="88">
        <v>680</v>
      </c>
      <c r="AE54" s="88">
        <v>140</v>
      </c>
      <c r="AF54" s="88">
        <v>180</v>
      </c>
      <c r="AG54" s="66">
        <f t="shared" si="0"/>
        <v>84.555428571428564</v>
      </c>
      <c r="AH54" s="143">
        <f t="shared" si="1"/>
        <v>1000</v>
      </c>
    </row>
    <row r="55" spans="1:34" s="90" customFormat="1" x14ac:dyDescent="0.3">
      <c r="A55" s="84">
        <v>802550</v>
      </c>
      <c r="B55" s="87">
        <v>0.58333333333333337</v>
      </c>
      <c r="C55" s="87"/>
      <c r="D55" s="86">
        <v>8.31</v>
      </c>
      <c r="E55" s="99">
        <v>0.18</v>
      </c>
      <c r="F55" s="84">
        <v>54.3</v>
      </c>
      <c r="G55" s="99">
        <v>71.050000000000011</v>
      </c>
      <c r="H55" s="84">
        <v>358.05</v>
      </c>
      <c r="I55" s="84">
        <v>210</v>
      </c>
      <c r="J55" s="85">
        <v>0.127</v>
      </c>
      <c r="K55" s="87">
        <v>2.41</v>
      </c>
      <c r="L55" s="99">
        <v>401</v>
      </c>
      <c r="M55" s="99">
        <v>3.12</v>
      </c>
      <c r="N55" s="99">
        <v>0.63</v>
      </c>
      <c r="O55" s="99">
        <v>6.4</v>
      </c>
      <c r="P55" s="99">
        <v>10.3</v>
      </c>
      <c r="Q55" s="99"/>
      <c r="R55" s="82">
        <v>1.6138970000000001</v>
      </c>
      <c r="S55" s="87">
        <v>11.3</v>
      </c>
      <c r="T55" s="83"/>
      <c r="U55" s="83"/>
      <c r="V55" s="81"/>
      <c r="W55" s="83"/>
      <c r="X55" s="83"/>
      <c r="Y55" s="94">
        <v>2.8</v>
      </c>
      <c r="Z55" s="83"/>
      <c r="AA55" s="83"/>
      <c r="AB55" s="86"/>
      <c r="AC55" s="83"/>
      <c r="AD55" s="88"/>
      <c r="AE55" s="88"/>
      <c r="AF55" s="88"/>
      <c r="AG55" s="66">
        <f t="shared" si="0"/>
        <v>304.69285714285718</v>
      </c>
      <c r="AH55" s="143">
        <f t="shared" si="1"/>
        <v>0</v>
      </c>
    </row>
    <row r="56" spans="1:34" s="90" customFormat="1" x14ac:dyDescent="0.3">
      <c r="A56" s="84">
        <v>802551</v>
      </c>
      <c r="B56" s="87">
        <v>2.6666666666666665</v>
      </c>
      <c r="C56" s="87"/>
      <c r="D56" s="86">
        <v>7.95</v>
      </c>
      <c r="E56" s="99">
        <v>0.46</v>
      </c>
      <c r="F56" s="84">
        <v>232.45000000000002</v>
      </c>
      <c r="G56" s="99">
        <v>212.3</v>
      </c>
      <c r="H56" s="84">
        <v>612.4</v>
      </c>
      <c r="I56" s="84">
        <v>350</v>
      </c>
      <c r="J56" s="85">
        <v>0.45</v>
      </c>
      <c r="K56" s="87">
        <v>5.17</v>
      </c>
      <c r="L56" s="99">
        <v>889</v>
      </c>
      <c r="M56" s="99">
        <v>11.18</v>
      </c>
      <c r="N56" s="99">
        <v>1.1100000000000001</v>
      </c>
      <c r="O56" s="99">
        <v>9.4700000000000006</v>
      </c>
      <c r="P56" s="99">
        <v>26.16</v>
      </c>
      <c r="Q56" s="99"/>
      <c r="R56" s="82">
        <v>2.027177</v>
      </c>
      <c r="S56" s="87">
        <v>25.7</v>
      </c>
      <c r="T56" s="83"/>
      <c r="U56" s="83"/>
      <c r="V56" s="81"/>
      <c r="W56" s="83"/>
      <c r="X56" s="83"/>
      <c r="Y56" s="94">
        <v>13.9</v>
      </c>
      <c r="Z56" s="83"/>
      <c r="AA56" s="83"/>
      <c r="AB56" s="86"/>
      <c r="AC56" s="83"/>
      <c r="AD56" s="88"/>
      <c r="AE56" s="88"/>
      <c r="AF56" s="88"/>
      <c r="AG56" s="66">
        <f t="shared" si="0"/>
        <v>131.66762589928058</v>
      </c>
      <c r="AH56" s="143">
        <f t="shared" si="1"/>
        <v>0</v>
      </c>
    </row>
    <row r="57" spans="1:34" s="90" customFormat="1" x14ac:dyDescent="0.3">
      <c r="A57" s="84">
        <v>802552</v>
      </c>
      <c r="B57" s="87">
        <v>1.0666666666666667</v>
      </c>
      <c r="C57" s="87"/>
      <c r="D57" s="86">
        <v>7.85</v>
      </c>
      <c r="E57" s="99">
        <v>0.39</v>
      </c>
      <c r="F57" s="84">
        <v>190.10000000000002</v>
      </c>
      <c r="G57" s="99">
        <v>206.4</v>
      </c>
      <c r="H57" s="84">
        <v>522.46</v>
      </c>
      <c r="I57" s="84">
        <v>300</v>
      </c>
      <c r="J57" s="85">
        <v>0.25900000000000001</v>
      </c>
      <c r="K57" s="87">
        <v>3.68</v>
      </c>
      <c r="L57" s="99">
        <v>497</v>
      </c>
      <c r="M57" s="99">
        <v>4.79</v>
      </c>
      <c r="N57" s="99">
        <v>0.48</v>
      </c>
      <c r="O57" s="99">
        <v>8.7200000000000006</v>
      </c>
      <c r="P57" s="99">
        <v>18.37</v>
      </c>
      <c r="Q57" s="99"/>
      <c r="R57" s="82">
        <v>1.7544919999999999</v>
      </c>
      <c r="S57" s="87">
        <v>15.2</v>
      </c>
      <c r="T57" s="83"/>
      <c r="U57" s="83"/>
      <c r="V57" s="81"/>
      <c r="W57" s="83"/>
      <c r="X57" s="83"/>
      <c r="Y57" s="94">
        <v>11.9</v>
      </c>
      <c r="Z57" s="83"/>
      <c r="AA57" s="83"/>
      <c r="AB57" s="86"/>
      <c r="AC57" s="83"/>
      <c r="AD57" s="88"/>
      <c r="AE57" s="88"/>
      <c r="AF57" s="88"/>
      <c r="AG57" s="66">
        <f t="shared" si="0"/>
        <v>109.47226890756302</v>
      </c>
      <c r="AH57" s="143">
        <f t="shared" si="1"/>
        <v>0</v>
      </c>
    </row>
    <row r="58" spans="1:34" s="90" customFormat="1" x14ac:dyDescent="0.3">
      <c r="A58" s="84">
        <v>802553</v>
      </c>
      <c r="B58" s="87">
        <v>1.4666666666666668</v>
      </c>
      <c r="C58" s="87"/>
      <c r="D58" s="86">
        <v>7.95</v>
      </c>
      <c r="E58" s="99">
        <v>0.75</v>
      </c>
      <c r="F58" s="84">
        <v>654.20000000000005</v>
      </c>
      <c r="G58" s="99">
        <v>432.25</v>
      </c>
      <c r="H58" s="84">
        <v>438.01</v>
      </c>
      <c r="I58" s="84">
        <v>1070</v>
      </c>
      <c r="J58" s="85">
        <v>0.64</v>
      </c>
      <c r="K58" s="87">
        <v>4.33</v>
      </c>
      <c r="L58" s="99">
        <v>888</v>
      </c>
      <c r="M58" s="99">
        <v>2.46</v>
      </c>
      <c r="N58" s="99">
        <v>1.02</v>
      </c>
      <c r="O58" s="99">
        <v>6.86</v>
      </c>
      <c r="P58" s="99">
        <v>59.89</v>
      </c>
      <c r="Q58" s="99"/>
      <c r="R58" s="82">
        <v>1.9762520000000001</v>
      </c>
      <c r="S58" s="87">
        <v>23.2</v>
      </c>
      <c r="T58" s="83"/>
      <c r="U58" s="83"/>
      <c r="V58" s="81"/>
      <c r="W58" s="83"/>
      <c r="X58" s="83"/>
      <c r="Y58" s="94">
        <v>19.2</v>
      </c>
      <c r="Z58" s="83"/>
      <c r="AA58" s="83"/>
      <c r="AB58" s="86"/>
      <c r="AC58" s="83"/>
      <c r="AD58" s="88">
        <v>240</v>
      </c>
      <c r="AE58" s="88">
        <v>200</v>
      </c>
      <c r="AF58" s="88">
        <v>560</v>
      </c>
      <c r="AG58" s="66">
        <f t="shared" si="0"/>
        <v>79.834375000000009</v>
      </c>
      <c r="AH58" s="143">
        <f t="shared" si="1"/>
        <v>1000</v>
      </c>
    </row>
    <row r="59" spans="1:34" s="90" customFormat="1" x14ac:dyDescent="0.3">
      <c r="A59" s="84">
        <v>802554</v>
      </c>
      <c r="B59" s="87">
        <v>3.166666666666667</v>
      </c>
      <c r="C59" s="87"/>
      <c r="D59" s="86">
        <v>8.51</v>
      </c>
      <c r="E59" s="99">
        <v>0.16</v>
      </c>
      <c r="F59" s="84">
        <v>59.800000000000004</v>
      </c>
      <c r="G59" s="99">
        <v>103.6</v>
      </c>
      <c r="H59" s="84">
        <v>106.36</v>
      </c>
      <c r="I59" s="84">
        <v>60</v>
      </c>
      <c r="J59" s="85">
        <v>0.11</v>
      </c>
      <c r="K59" s="87">
        <v>4.0999999999999996</v>
      </c>
      <c r="L59" s="99">
        <v>156</v>
      </c>
      <c r="M59" s="99">
        <v>0.57999999999999996</v>
      </c>
      <c r="N59" s="99">
        <v>0.27</v>
      </c>
      <c r="O59" s="99">
        <v>6.76</v>
      </c>
      <c r="P59" s="99">
        <v>4.83</v>
      </c>
      <c r="Q59" s="99"/>
      <c r="R59" s="82">
        <v>0.44037615965498039</v>
      </c>
      <c r="S59" s="87">
        <v>3.2</v>
      </c>
      <c r="T59" s="83"/>
      <c r="U59" s="83"/>
      <c r="V59" s="81"/>
      <c r="W59" s="83"/>
      <c r="X59" s="83"/>
      <c r="Y59" s="94">
        <v>3.6</v>
      </c>
      <c r="Z59" s="83"/>
      <c r="AA59" s="83"/>
      <c r="AB59" s="86"/>
      <c r="AC59" s="83"/>
      <c r="AD59" s="88"/>
      <c r="AE59" s="88"/>
      <c r="AF59" s="88"/>
      <c r="AG59" s="66">
        <f t="shared" si="0"/>
        <v>403.16666666666663</v>
      </c>
      <c r="AH59" s="143">
        <f t="shared" si="1"/>
        <v>0</v>
      </c>
    </row>
    <row r="60" spans="1:34" s="90" customFormat="1" x14ac:dyDescent="0.3">
      <c r="A60" s="84">
        <v>802555</v>
      </c>
      <c r="B60" s="87">
        <v>6.7499999999999991</v>
      </c>
      <c r="C60" s="98">
        <v>3.125</v>
      </c>
      <c r="D60" s="86">
        <v>8.69</v>
      </c>
      <c r="E60" s="99">
        <v>0.15</v>
      </c>
      <c r="F60" s="84">
        <v>45.45</v>
      </c>
      <c r="G60" s="99">
        <v>73.7</v>
      </c>
      <c r="H60" s="84">
        <v>95.01</v>
      </c>
      <c r="I60" s="84">
        <v>50</v>
      </c>
      <c r="J60" s="85">
        <v>0.113</v>
      </c>
      <c r="K60" s="87">
        <v>4.38</v>
      </c>
      <c r="L60" s="99">
        <v>116</v>
      </c>
      <c r="M60" s="99">
        <v>0.36</v>
      </c>
      <c r="N60" s="99">
        <v>0.22</v>
      </c>
      <c r="O60" s="99">
        <v>5.15</v>
      </c>
      <c r="P60" s="99">
        <v>4.2699999999999996</v>
      </c>
      <c r="Q60" s="99"/>
      <c r="R60" s="82">
        <v>0.38677223361479307</v>
      </c>
      <c r="S60" s="87">
        <v>2.7</v>
      </c>
      <c r="T60" s="83"/>
      <c r="U60" s="83"/>
      <c r="V60" s="81"/>
      <c r="W60" s="83"/>
      <c r="X60" s="83"/>
      <c r="Y60" s="94">
        <v>4.2</v>
      </c>
      <c r="Z60" s="83"/>
      <c r="AA60" s="83"/>
      <c r="AB60" s="86"/>
      <c r="AC60" s="83"/>
      <c r="AD60" s="88">
        <v>70</v>
      </c>
      <c r="AE60" s="88">
        <v>50</v>
      </c>
      <c r="AF60" s="88">
        <v>880</v>
      </c>
      <c r="AG60" s="66">
        <f t="shared" si="0"/>
        <v>369.17142857142858</v>
      </c>
      <c r="AH60" s="143">
        <f t="shared" si="1"/>
        <v>1000</v>
      </c>
    </row>
    <row r="61" spans="1:34" s="90" customFormat="1" x14ac:dyDescent="0.3">
      <c r="A61" s="84">
        <v>802556</v>
      </c>
      <c r="B61" s="87">
        <v>11.333333333333332</v>
      </c>
      <c r="C61" s="98">
        <v>10.375</v>
      </c>
      <c r="D61" s="86">
        <v>8.75</v>
      </c>
      <c r="E61" s="99">
        <v>0.39</v>
      </c>
      <c r="F61" s="84">
        <v>248.2</v>
      </c>
      <c r="G61" s="99">
        <v>191.75</v>
      </c>
      <c r="H61" s="84">
        <v>23.44</v>
      </c>
      <c r="I61" s="84">
        <v>240</v>
      </c>
      <c r="J61" s="85">
        <v>0.93</v>
      </c>
      <c r="K61" s="87">
        <v>11.83</v>
      </c>
      <c r="L61" s="99">
        <v>1691</v>
      </c>
      <c r="M61" s="99">
        <v>0.32</v>
      </c>
      <c r="N61" s="99">
        <v>1.51</v>
      </c>
      <c r="O61" s="99">
        <v>2.73</v>
      </c>
      <c r="P61" s="99">
        <v>14.82</v>
      </c>
      <c r="Q61" s="99"/>
      <c r="R61" s="82">
        <v>1.7839130000000001</v>
      </c>
      <c r="S61" s="87">
        <v>16.100000000000001</v>
      </c>
      <c r="T61" s="83"/>
      <c r="U61" s="83"/>
      <c r="V61" s="81"/>
      <c r="W61" s="83"/>
      <c r="X61" s="83"/>
      <c r="Y61" s="94">
        <v>34.9</v>
      </c>
      <c r="Z61" s="83"/>
      <c r="AA61" s="83"/>
      <c r="AB61" s="86"/>
      <c r="AC61" s="83"/>
      <c r="AD61" s="88">
        <v>660</v>
      </c>
      <c r="AE61" s="88">
        <v>220</v>
      </c>
      <c r="AF61" s="88">
        <v>100</v>
      </c>
      <c r="AG61" s="66">
        <f t="shared" si="0"/>
        <v>119.99484240687678</v>
      </c>
      <c r="AH61" s="143">
        <f t="shared" si="1"/>
        <v>980</v>
      </c>
    </row>
    <row r="62" spans="1:34" s="96" customFormat="1" x14ac:dyDescent="0.3">
      <c r="A62" s="84">
        <v>802557</v>
      </c>
      <c r="B62" s="94">
        <v>13.249999999999998</v>
      </c>
      <c r="C62" s="94">
        <v>3.3749999999999991</v>
      </c>
      <c r="D62" s="82">
        <v>7.56</v>
      </c>
      <c r="E62" s="104">
        <v>0.39</v>
      </c>
      <c r="F62" s="92">
        <v>114.45</v>
      </c>
      <c r="G62" s="91">
        <v>140.95000000000002</v>
      </c>
      <c r="H62" s="92">
        <v>408</v>
      </c>
      <c r="I62" s="92">
        <v>144</v>
      </c>
      <c r="J62" s="93">
        <v>0.20499999999999999</v>
      </c>
      <c r="K62" s="94">
        <v>6.13</v>
      </c>
      <c r="L62" s="91">
        <v>1020</v>
      </c>
      <c r="M62" s="91">
        <v>3.79</v>
      </c>
      <c r="N62" s="91">
        <v>0.67</v>
      </c>
      <c r="O62" s="91">
        <v>6.27</v>
      </c>
      <c r="P62" s="91">
        <v>7.01</v>
      </c>
      <c r="Q62" s="91"/>
      <c r="R62" s="82">
        <v>1.5066188509787768</v>
      </c>
      <c r="S62" s="94">
        <v>13.26</v>
      </c>
      <c r="T62" s="91"/>
      <c r="U62" s="91"/>
      <c r="V62" s="91"/>
      <c r="W62" s="91"/>
      <c r="X62" s="91"/>
      <c r="Y62" s="94">
        <v>25.8</v>
      </c>
      <c r="Z62" s="91"/>
      <c r="AA62" s="82"/>
      <c r="AB62" s="82"/>
      <c r="AC62" s="91"/>
      <c r="AD62" s="95"/>
      <c r="AE62" s="95"/>
      <c r="AF62" s="95"/>
      <c r="AG62" s="66">
        <f t="shared" si="0"/>
        <v>84.109302325581396</v>
      </c>
      <c r="AH62" s="143">
        <f t="shared" si="1"/>
        <v>0</v>
      </c>
    </row>
    <row r="63" spans="1:34" s="96" customFormat="1" x14ac:dyDescent="0.3">
      <c r="A63" s="84">
        <v>802558</v>
      </c>
      <c r="B63" s="94">
        <v>12.666666666666664</v>
      </c>
      <c r="C63" s="94">
        <v>3.2500000000000018</v>
      </c>
      <c r="D63" s="82">
        <v>8.43</v>
      </c>
      <c r="E63" s="104">
        <v>0.17</v>
      </c>
      <c r="F63" s="92">
        <v>130.85000000000002</v>
      </c>
      <c r="G63" s="91">
        <v>100.55</v>
      </c>
      <c r="H63" s="92">
        <v>357.47</v>
      </c>
      <c r="I63" s="92">
        <v>154</v>
      </c>
      <c r="J63" s="93">
        <v>0.19</v>
      </c>
      <c r="K63" s="94">
        <v>6.66</v>
      </c>
      <c r="L63" s="91">
        <v>1060</v>
      </c>
      <c r="M63" s="91">
        <v>2.2999999999999998</v>
      </c>
      <c r="N63" s="91">
        <v>0.47</v>
      </c>
      <c r="O63" s="91">
        <v>3.57</v>
      </c>
      <c r="P63" s="91">
        <v>2.95</v>
      </c>
      <c r="Q63" s="91"/>
      <c r="R63" s="82">
        <v>0.74205564233642807</v>
      </c>
      <c r="S63" s="94">
        <v>8.3699999999999992</v>
      </c>
      <c r="T63" s="91"/>
      <c r="U63" s="91"/>
      <c r="V63" s="91"/>
      <c r="W63" s="91"/>
      <c r="X63" s="91"/>
      <c r="Y63" s="94">
        <v>24.9</v>
      </c>
      <c r="Z63" s="91"/>
      <c r="AA63" s="82"/>
      <c r="AB63" s="82"/>
      <c r="AC63" s="91"/>
      <c r="AD63" s="95"/>
      <c r="AE63" s="95"/>
      <c r="AF63" s="95"/>
      <c r="AG63" s="66">
        <f t="shared" si="0"/>
        <v>94.684337349397595</v>
      </c>
      <c r="AH63" s="143">
        <f t="shared" si="1"/>
        <v>0</v>
      </c>
    </row>
    <row r="64" spans="1:34" s="96" customFormat="1" x14ac:dyDescent="0.3">
      <c r="A64" s="84">
        <v>802559</v>
      </c>
      <c r="B64" s="94">
        <v>39.499999999999993</v>
      </c>
      <c r="C64" s="94">
        <v>15</v>
      </c>
      <c r="D64" s="82">
        <v>8.02</v>
      </c>
      <c r="E64" s="104">
        <v>2.59</v>
      </c>
      <c r="F64" s="92">
        <v>742.55</v>
      </c>
      <c r="G64" s="91">
        <v>957.5</v>
      </c>
      <c r="H64" s="92">
        <v>34.880000000000003</v>
      </c>
      <c r="I64" s="92">
        <v>634</v>
      </c>
      <c r="J64" s="93">
        <v>0.73299999999999998</v>
      </c>
      <c r="K64" s="94">
        <v>23.780999999999999</v>
      </c>
      <c r="L64" s="91">
        <v>1915</v>
      </c>
      <c r="M64" s="91">
        <v>1.1299999999999999</v>
      </c>
      <c r="N64" s="91">
        <v>2.69</v>
      </c>
      <c r="O64" s="91">
        <v>2.5</v>
      </c>
      <c r="P64" s="91">
        <v>62.42</v>
      </c>
      <c r="Q64" s="91"/>
      <c r="R64" s="82">
        <v>2.1214250000000003</v>
      </c>
      <c r="S64" s="94">
        <v>32.5</v>
      </c>
      <c r="T64" s="91"/>
      <c r="U64" s="91"/>
      <c r="V64" s="91"/>
      <c r="W64" s="91"/>
      <c r="X64" s="91"/>
      <c r="Y64" s="94">
        <v>39.200000000000003</v>
      </c>
      <c r="Z64" s="91"/>
      <c r="AA64" s="82"/>
      <c r="AB64" s="82"/>
      <c r="AC64" s="91"/>
      <c r="AD64" s="95">
        <v>560</v>
      </c>
      <c r="AE64" s="95">
        <v>280</v>
      </c>
      <c r="AF64" s="95">
        <v>160</v>
      </c>
      <c r="AG64" s="66">
        <f t="shared" si="0"/>
        <v>214.75698979591832</v>
      </c>
      <c r="AH64" s="143">
        <f t="shared" si="1"/>
        <v>1000</v>
      </c>
    </row>
    <row r="65" spans="1:34" s="96" customFormat="1" x14ac:dyDescent="0.3">
      <c r="A65" s="84">
        <v>802560</v>
      </c>
      <c r="B65" s="94">
        <v>13.333333333333334</v>
      </c>
      <c r="C65" s="94">
        <v>9.75</v>
      </c>
      <c r="D65" s="82">
        <v>8.14</v>
      </c>
      <c r="E65" s="104">
        <v>0.84</v>
      </c>
      <c r="F65" s="92">
        <v>414.25</v>
      </c>
      <c r="G65" s="91">
        <v>852.90000000000009</v>
      </c>
      <c r="H65" s="92">
        <v>272.19</v>
      </c>
      <c r="I65" s="92">
        <v>589</v>
      </c>
      <c r="J65" s="93">
        <v>1.5920000000000001</v>
      </c>
      <c r="K65" s="94">
        <v>15.478999999999999</v>
      </c>
      <c r="L65" s="91">
        <v>1809</v>
      </c>
      <c r="M65" s="91">
        <v>0.73</v>
      </c>
      <c r="N65" s="91">
        <v>1.65</v>
      </c>
      <c r="O65" s="91">
        <v>4.74</v>
      </c>
      <c r="P65" s="91">
        <v>16.84</v>
      </c>
      <c r="Q65" s="91"/>
      <c r="R65" s="82">
        <v>1.7997680000000003</v>
      </c>
      <c r="S65" s="94">
        <v>16.600000000000001</v>
      </c>
      <c r="T65" s="91"/>
      <c r="U65" s="91"/>
      <c r="V65" s="91"/>
      <c r="W65" s="91"/>
      <c r="X65" s="91"/>
      <c r="Y65" s="94">
        <v>37.800000000000004</v>
      </c>
      <c r="Z65" s="91"/>
      <c r="AA65" s="82"/>
      <c r="AB65" s="82"/>
      <c r="AC65" s="91"/>
      <c r="AD65" s="95">
        <v>540</v>
      </c>
      <c r="AE65" s="95">
        <v>260</v>
      </c>
      <c r="AF65" s="95">
        <v>200</v>
      </c>
      <c r="AG65" s="66">
        <f t="shared" si="0"/>
        <v>144.96206349206346</v>
      </c>
      <c r="AH65" s="143">
        <f t="shared" si="1"/>
        <v>1000</v>
      </c>
    </row>
    <row r="66" spans="1:34" s="96" customFormat="1" x14ac:dyDescent="0.3">
      <c r="A66" s="84">
        <v>802561</v>
      </c>
      <c r="B66" s="94">
        <v>0.53333333333333333</v>
      </c>
      <c r="C66" s="94"/>
      <c r="D66" s="82">
        <v>8.0299999999999994</v>
      </c>
      <c r="E66" s="104">
        <v>0.11</v>
      </c>
      <c r="F66" s="92">
        <v>73.550000000000011</v>
      </c>
      <c r="G66" s="91">
        <v>59.5</v>
      </c>
      <c r="H66" s="92">
        <v>153.04</v>
      </c>
      <c r="I66" s="92">
        <v>66</v>
      </c>
      <c r="J66" s="93">
        <v>3.9E-2</v>
      </c>
      <c r="K66" s="94">
        <v>2.2730000000000001</v>
      </c>
      <c r="L66" s="91">
        <v>221</v>
      </c>
      <c r="M66" s="91">
        <v>2.61</v>
      </c>
      <c r="N66" s="91">
        <v>1.51</v>
      </c>
      <c r="O66" s="91">
        <v>6.05</v>
      </c>
      <c r="P66" s="91">
        <v>16.399999999999999</v>
      </c>
      <c r="Q66" s="91"/>
      <c r="R66" s="82">
        <v>1.6022000000000001</v>
      </c>
      <c r="S66" s="94">
        <v>11</v>
      </c>
      <c r="T66" s="91"/>
      <c r="U66" s="91"/>
      <c r="V66" s="91"/>
      <c r="W66" s="91"/>
      <c r="X66" s="91"/>
      <c r="Y66" s="94">
        <v>4.2</v>
      </c>
      <c r="Z66" s="91"/>
      <c r="AA66" s="82"/>
      <c r="AB66" s="82"/>
      <c r="AC66" s="91"/>
      <c r="AD66" s="95">
        <v>60</v>
      </c>
      <c r="AE66" s="95">
        <v>60</v>
      </c>
      <c r="AF66" s="95">
        <v>880</v>
      </c>
      <c r="AG66" s="66">
        <f t="shared" ref="AG66:AG129" si="2">+K66*3.54*100/Y66</f>
        <v>191.5814285714286</v>
      </c>
      <c r="AH66" s="143">
        <f t="shared" ref="AH66:AH129" si="3">+SUM(AD66:AF66)</f>
        <v>1000</v>
      </c>
    </row>
    <row r="67" spans="1:34" s="96" customFormat="1" x14ac:dyDescent="0.3">
      <c r="A67" s="84">
        <v>802562</v>
      </c>
      <c r="B67" s="94">
        <v>0.38333333333333325</v>
      </c>
      <c r="C67" s="94"/>
      <c r="D67" s="82">
        <v>8.08</v>
      </c>
      <c r="E67" s="104">
        <v>0.11</v>
      </c>
      <c r="F67" s="92">
        <v>77.099999999999994</v>
      </c>
      <c r="G67" s="91">
        <v>144</v>
      </c>
      <c r="H67" s="92">
        <v>92.76</v>
      </c>
      <c r="I67" s="92">
        <v>60</v>
      </c>
      <c r="J67" s="93">
        <v>6.5000000000000002E-2</v>
      </c>
      <c r="K67" s="94">
        <v>2.649</v>
      </c>
      <c r="L67" s="91">
        <v>338</v>
      </c>
      <c r="M67" s="91">
        <v>0.56000000000000005</v>
      </c>
      <c r="N67" s="91">
        <v>0.39</v>
      </c>
      <c r="O67" s="91">
        <v>3.35</v>
      </c>
      <c r="P67" s="91">
        <v>14.1</v>
      </c>
      <c r="Q67" s="91"/>
      <c r="R67" s="82">
        <v>1.361520448412324</v>
      </c>
      <c r="S67" s="94">
        <v>9.8000000000000007</v>
      </c>
      <c r="T67" s="91"/>
      <c r="U67" s="91"/>
      <c r="V67" s="91"/>
      <c r="W67" s="91"/>
      <c r="X67" s="91"/>
      <c r="Y67" s="94">
        <v>2.8000000000000003</v>
      </c>
      <c r="Z67" s="91"/>
      <c r="AA67" s="82"/>
      <c r="AB67" s="82"/>
      <c r="AC67" s="91"/>
      <c r="AD67" s="95">
        <v>40</v>
      </c>
      <c r="AE67" s="95">
        <v>60</v>
      </c>
      <c r="AF67" s="95">
        <v>900</v>
      </c>
      <c r="AG67" s="66">
        <f t="shared" si="2"/>
        <v>334.90928571428572</v>
      </c>
      <c r="AH67" s="143">
        <f t="shared" si="3"/>
        <v>1000</v>
      </c>
    </row>
    <row r="68" spans="1:34" s="96" customFormat="1" x14ac:dyDescent="0.3">
      <c r="A68" s="84">
        <v>802563</v>
      </c>
      <c r="B68" s="94">
        <v>7.1250000000000009</v>
      </c>
      <c r="C68" s="94"/>
      <c r="D68" s="82">
        <v>8.14</v>
      </c>
      <c r="E68" s="104">
        <v>0.27</v>
      </c>
      <c r="F68" s="92">
        <v>87.95</v>
      </c>
      <c r="G68" s="91">
        <v>345.85</v>
      </c>
      <c r="H68" s="92">
        <v>5.05</v>
      </c>
      <c r="I68" s="92">
        <v>85</v>
      </c>
      <c r="J68" s="93">
        <v>0.08</v>
      </c>
      <c r="K68" s="94">
        <v>8.3490000000000002</v>
      </c>
      <c r="L68" s="91">
        <v>923</v>
      </c>
      <c r="M68" s="91">
        <v>0.11</v>
      </c>
      <c r="N68" s="91">
        <v>0.4</v>
      </c>
      <c r="O68" s="91">
        <v>2.4</v>
      </c>
      <c r="P68" s="91">
        <v>2.48</v>
      </c>
      <c r="Q68" s="91"/>
      <c r="R68" s="82">
        <v>0.24949440364409783</v>
      </c>
      <c r="S68" s="94">
        <v>1.8</v>
      </c>
      <c r="T68" s="91"/>
      <c r="U68" s="91"/>
      <c r="V68" s="91"/>
      <c r="W68" s="91"/>
      <c r="X68" s="91"/>
      <c r="Y68" s="94">
        <v>17.5</v>
      </c>
      <c r="Z68" s="91"/>
      <c r="AA68" s="82"/>
      <c r="AB68" s="82"/>
      <c r="AC68" s="91"/>
      <c r="AD68" s="95">
        <v>250</v>
      </c>
      <c r="AE68" s="95">
        <v>350</v>
      </c>
      <c r="AF68" s="95">
        <v>400</v>
      </c>
      <c r="AG68" s="66">
        <f t="shared" si="2"/>
        <v>168.88834285714285</v>
      </c>
      <c r="AH68" s="143">
        <f t="shared" si="3"/>
        <v>1000</v>
      </c>
    </row>
    <row r="69" spans="1:34" s="96" customFormat="1" x14ac:dyDescent="0.3">
      <c r="A69" s="84">
        <v>802564</v>
      </c>
      <c r="B69" s="94">
        <v>9.7083333333333339</v>
      </c>
      <c r="C69" s="94">
        <v>5.2499999999999991</v>
      </c>
      <c r="D69" s="82">
        <v>8.4499999999999993</v>
      </c>
      <c r="E69" s="104">
        <v>0.23</v>
      </c>
      <c r="F69" s="92">
        <v>80.150000000000006</v>
      </c>
      <c r="G69" s="91">
        <v>280.14999999999998</v>
      </c>
      <c r="H69" s="92">
        <v>6.22</v>
      </c>
      <c r="I69" s="92">
        <v>81</v>
      </c>
      <c r="J69" s="93">
        <v>8.8999999999999996E-2</v>
      </c>
      <c r="K69" s="94">
        <v>8.2159999999999993</v>
      </c>
      <c r="L69" s="91">
        <v>1026</v>
      </c>
      <c r="M69" s="91">
        <v>0.06</v>
      </c>
      <c r="N69" s="91">
        <v>0.26</v>
      </c>
      <c r="O69" s="91">
        <v>1.99</v>
      </c>
      <c r="P69" s="91">
        <v>2.1800000000000002</v>
      </c>
      <c r="Q69" s="91"/>
      <c r="R69" s="82">
        <v>0.28546271118129724</v>
      </c>
      <c r="S69" s="94">
        <v>2.1</v>
      </c>
      <c r="T69" s="91"/>
      <c r="U69" s="91"/>
      <c r="V69" s="91"/>
      <c r="W69" s="91"/>
      <c r="X69" s="91"/>
      <c r="Y69" s="94">
        <v>18.900000000000002</v>
      </c>
      <c r="Z69" s="91"/>
      <c r="AA69" s="82"/>
      <c r="AB69" s="82"/>
      <c r="AC69" s="91"/>
      <c r="AD69" s="95">
        <v>270</v>
      </c>
      <c r="AE69" s="95">
        <v>370</v>
      </c>
      <c r="AF69" s="95">
        <v>360</v>
      </c>
      <c r="AG69" s="66">
        <f t="shared" si="2"/>
        <v>153.88698412698409</v>
      </c>
      <c r="AH69" s="143">
        <f t="shared" si="3"/>
        <v>1000</v>
      </c>
    </row>
    <row r="70" spans="1:34" s="96" customFormat="1" x14ac:dyDescent="0.3">
      <c r="A70" s="84">
        <v>802565</v>
      </c>
      <c r="B70" s="94">
        <v>8.9583333333333339</v>
      </c>
      <c r="C70" s="94">
        <v>4.7500000000000009</v>
      </c>
      <c r="D70" s="82">
        <v>8.27</v>
      </c>
      <c r="E70" s="104">
        <v>0.54</v>
      </c>
      <c r="F70" s="92">
        <v>180</v>
      </c>
      <c r="G70" s="91">
        <v>763.25</v>
      </c>
      <c r="H70" s="92">
        <v>7.82</v>
      </c>
      <c r="I70" s="92">
        <v>89</v>
      </c>
      <c r="J70" s="93">
        <v>0.151</v>
      </c>
      <c r="K70" s="94">
        <v>8.6440000000000001</v>
      </c>
      <c r="L70" s="91">
        <v>1208</v>
      </c>
      <c r="M70" s="91">
        <v>0.16</v>
      </c>
      <c r="N70" s="91">
        <v>0.36</v>
      </c>
      <c r="O70" s="91">
        <v>2.66</v>
      </c>
      <c r="P70" s="91">
        <v>2.58</v>
      </c>
      <c r="Q70" s="91"/>
      <c r="R70" s="82">
        <v>0.3513852472690156</v>
      </c>
      <c r="S70" s="94">
        <v>2.5</v>
      </c>
      <c r="T70" s="91"/>
      <c r="U70" s="91"/>
      <c r="V70" s="91"/>
      <c r="W70" s="91"/>
      <c r="X70" s="91"/>
      <c r="Y70" s="94">
        <v>16.8</v>
      </c>
      <c r="Z70" s="91"/>
      <c r="AA70" s="82"/>
      <c r="AB70" s="82"/>
      <c r="AC70" s="91"/>
      <c r="AD70" s="95">
        <v>240</v>
      </c>
      <c r="AE70" s="95">
        <v>400</v>
      </c>
      <c r="AF70" s="95">
        <v>360</v>
      </c>
      <c r="AG70" s="66">
        <f t="shared" si="2"/>
        <v>182.14142857142858</v>
      </c>
      <c r="AH70" s="143">
        <f t="shared" si="3"/>
        <v>1000</v>
      </c>
    </row>
    <row r="71" spans="1:34" s="96" customFormat="1" x14ac:dyDescent="0.3">
      <c r="A71" s="84">
        <v>802566</v>
      </c>
      <c r="B71" s="94">
        <v>7.8333333333333339</v>
      </c>
      <c r="C71" s="94"/>
      <c r="D71" s="82">
        <v>8.07</v>
      </c>
      <c r="E71" s="104">
        <v>0.2</v>
      </c>
      <c r="F71" s="92">
        <v>83.4</v>
      </c>
      <c r="G71" s="91">
        <v>214</v>
      </c>
      <c r="H71" s="92">
        <v>5.71</v>
      </c>
      <c r="I71" s="92">
        <v>106</v>
      </c>
      <c r="J71" s="93">
        <v>0.129</v>
      </c>
      <c r="K71" s="94">
        <v>7.3710000000000004</v>
      </c>
      <c r="L71" s="91">
        <v>911</v>
      </c>
      <c r="M71" s="91">
        <v>0.09</v>
      </c>
      <c r="N71" s="91">
        <v>0.28999999999999998</v>
      </c>
      <c r="O71" s="91">
        <v>2.06</v>
      </c>
      <c r="P71" s="91">
        <v>1.91</v>
      </c>
      <c r="Q71" s="91"/>
      <c r="R71" s="82">
        <v>0.27699515431783456</v>
      </c>
      <c r="S71" s="94">
        <v>2</v>
      </c>
      <c r="T71" s="91"/>
      <c r="U71" s="91"/>
      <c r="V71" s="91"/>
      <c r="W71" s="91"/>
      <c r="X71" s="91"/>
      <c r="Y71" s="94">
        <v>7.0000000000000009</v>
      </c>
      <c r="Z71" s="91"/>
      <c r="AA71" s="82"/>
      <c r="AB71" s="82"/>
      <c r="AC71" s="91"/>
      <c r="AD71" s="95">
        <v>100</v>
      </c>
      <c r="AE71" s="95">
        <v>200</v>
      </c>
      <c r="AF71" s="95">
        <v>700</v>
      </c>
      <c r="AG71" s="66">
        <f t="shared" si="2"/>
        <v>372.762</v>
      </c>
      <c r="AH71" s="143">
        <f t="shared" si="3"/>
        <v>1000</v>
      </c>
    </row>
    <row r="72" spans="1:34" s="96" customFormat="1" x14ac:dyDescent="0.3">
      <c r="A72" s="84">
        <v>802567</v>
      </c>
      <c r="B72" s="94">
        <v>8.0833333333333321</v>
      </c>
      <c r="C72" s="94">
        <v>3.8750000000000018</v>
      </c>
      <c r="D72" s="82">
        <v>8.06</v>
      </c>
      <c r="E72" s="104">
        <v>0.3</v>
      </c>
      <c r="F72" s="92">
        <v>114.55</v>
      </c>
      <c r="G72" s="91">
        <v>370.5</v>
      </c>
      <c r="H72" s="92">
        <v>6.29</v>
      </c>
      <c r="I72" s="92">
        <v>96</v>
      </c>
      <c r="J72" s="93">
        <v>0.107</v>
      </c>
      <c r="K72" s="94">
        <v>7.7949999999999999</v>
      </c>
      <c r="L72" s="91">
        <v>897</v>
      </c>
      <c r="M72" s="91">
        <v>0.26</v>
      </c>
      <c r="N72" s="91">
        <v>0.35</v>
      </c>
      <c r="O72" s="91">
        <v>2.2799999999999998</v>
      </c>
      <c r="P72" s="91">
        <v>1.95</v>
      </c>
      <c r="Q72" s="91"/>
      <c r="R72" s="82">
        <v>0.33489603572207377</v>
      </c>
      <c r="S72" s="94">
        <v>2.2000000000000002</v>
      </c>
      <c r="T72" s="91"/>
      <c r="U72" s="91"/>
      <c r="V72" s="91"/>
      <c r="W72" s="91"/>
      <c r="X72" s="91"/>
      <c r="Y72" s="94">
        <v>9.8000000000000007</v>
      </c>
      <c r="Z72" s="91"/>
      <c r="AA72" s="82"/>
      <c r="AB72" s="82"/>
      <c r="AC72" s="91"/>
      <c r="AD72" s="95">
        <v>140</v>
      </c>
      <c r="AE72" s="95">
        <v>200</v>
      </c>
      <c r="AF72" s="95">
        <v>660</v>
      </c>
      <c r="AG72" s="66">
        <f t="shared" si="2"/>
        <v>281.57448979591834</v>
      </c>
      <c r="AH72" s="143">
        <f t="shared" si="3"/>
        <v>1000</v>
      </c>
    </row>
    <row r="73" spans="1:34" s="96" customFormat="1" x14ac:dyDescent="0.3">
      <c r="A73" s="84">
        <v>802568</v>
      </c>
      <c r="B73" s="94">
        <v>7.4583333333333321</v>
      </c>
      <c r="C73" s="94"/>
      <c r="D73" s="82">
        <v>8.48</v>
      </c>
      <c r="E73" s="104">
        <v>0.27</v>
      </c>
      <c r="F73" s="92">
        <v>122.75</v>
      </c>
      <c r="G73" s="91">
        <v>292.89999999999998</v>
      </c>
      <c r="H73" s="92">
        <v>5.52</v>
      </c>
      <c r="I73" s="92">
        <v>99</v>
      </c>
      <c r="J73" s="93">
        <v>0.312</v>
      </c>
      <c r="K73" s="94">
        <v>7.58</v>
      </c>
      <c r="L73" s="91">
        <v>947</v>
      </c>
      <c r="M73" s="91">
        <v>0.15</v>
      </c>
      <c r="N73" s="91">
        <v>0.34</v>
      </c>
      <c r="O73" s="91">
        <v>2.2599999999999998</v>
      </c>
      <c r="P73" s="91">
        <v>1.7</v>
      </c>
      <c r="Q73" s="91"/>
      <c r="R73" s="82">
        <v>0.33038259234781853</v>
      </c>
      <c r="S73" s="94">
        <v>2.2000000000000002</v>
      </c>
      <c r="T73" s="91"/>
      <c r="U73" s="91"/>
      <c r="V73" s="91"/>
      <c r="W73" s="91"/>
      <c r="X73" s="91"/>
      <c r="Y73" s="94">
        <v>9.8000000000000007</v>
      </c>
      <c r="Z73" s="91"/>
      <c r="AA73" s="82"/>
      <c r="AB73" s="82"/>
      <c r="AC73" s="91"/>
      <c r="AD73" s="95">
        <v>140</v>
      </c>
      <c r="AE73" s="95">
        <v>180</v>
      </c>
      <c r="AF73" s="95">
        <v>680</v>
      </c>
      <c r="AG73" s="66">
        <f t="shared" si="2"/>
        <v>273.80816326530612</v>
      </c>
      <c r="AH73" s="143">
        <f t="shared" si="3"/>
        <v>1000</v>
      </c>
    </row>
    <row r="74" spans="1:34" s="96" customFormat="1" x14ac:dyDescent="0.3">
      <c r="A74" s="84">
        <v>802569</v>
      </c>
      <c r="B74" s="94">
        <v>9.7083333333333339</v>
      </c>
      <c r="C74" s="94">
        <v>3.2500000000000018</v>
      </c>
      <c r="D74" s="82">
        <v>8.7899999999999991</v>
      </c>
      <c r="E74" s="104">
        <v>0.33</v>
      </c>
      <c r="F74" s="92">
        <v>87.100000000000009</v>
      </c>
      <c r="G74" s="91">
        <v>492.75</v>
      </c>
      <c r="H74" s="92">
        <v>8.8699999999999992</v>
      </c>
      <c r="I74" s="92">
        <v>120</v>
      </c>
      <c r="J74" s="93">
        <v>0.13200000000000001</v>
      </c>
      <c r="K74" s="94">
        <v>7.4429999999999996</v>
      </c>
      <c r="L74" s="91">
        <v>767</v>
      </c>
      <c r="M74" s="91">
        <v>0.06</v>
      </c>
      <c r="N74" s="91">
        <v>0.28000000000000003</v>
      </c>
      <c r="O74" s="91">
        <v>1.68</v>
      </c>
      <c r="P74" s="91">
        <v>1.65</v>
      </c>
      <c r="Q74" s="91"/>
      <c r="R74" s="82">
        <v>0.33388206224369044</v>
      </c>
      <c r="S74" s="94">
        <v>2.4</v>
      </c>
      <c r="T74" s="91"/>
      <c r="U74" s="91"/>
      <c r="V74" s="91"/>
      <c r="W74" s="91"/>
      <c r="X74" s="91"/>
      <c r="Y74" s="94">
        <v>7.0000000000000009</v>
      </c>
      <c r="Z74" s="91"/>
      <c r="AA74" s="82"/>
      <c r="AB74" s="82"/>
      <c r="AC74" s="91"/>
      <c r="AD74" s="95">
        <v>100</v>
      </c>
      <c r="AE74" s="95">
        <v>100</v>
      </c>
      <c r="AF74" s="95">
        <v>800</v>
      </c>
      <c r="AG74" s="66">
        <f t="shared" si="2"/>
        <v>376.40314285714277</v>
      </c>
      <c r="AH74" s="143">
        <f t="shared" si="3"/>
        <v>1000</v>
      </c>
    </row>
    <row r="75" spans="1:34" s="96" customFormat="1" x14ac:dyDescent="0.3">
      <c r="A75" s="84">
        <v>802570</v>
      </c>
      <c r="B75" s="94">
        <v>34.666666666666671</v>
      </c>
      <c r="C75" s="94">
        <v>11</v>
      </c>
      <c r="D75" s="82">
        <v>8.48</v>
      </c>
      <c r="E75" s="104">
        <v>0.21</v>
      </c>
      <c r="F75" s="92">
        <v>96.6</v>
      </c>
      <c r="G75" s="91">
        <v>115.35</v>
      </c>
      <c r="H75" s="92">
        <v>81.75</v>
      </c>
      <c r="I75" s="92">
        <v>228</v>
      </c>
      <c r="J75" s="93">
        <v>0.17799999999999999</v>
      </c>
      <c r="K75" s="94">
        <v>9.3740000000000006</v>
      </c>
      <c r="L75" s="91">
        <v>812</v>
      </c>
      <c r="M75" s="91">
        <v>0.24</v>
      </c>
      <c r="N75" s="91">
        <v>0.7</v>
      </c>
      <c r="O75" s="91">
        <v>3.99</v>
      </c>
      <c r="P75" s="91">
        <v>3.65</v>
      </c>
      <c r="Q75" s="91"/>
      <c r="R75" s="82">
        <v>0.44881639251390376</v>
      </c>
      <c r="S75" s="94">
        <v>3</v>
      </c>
      <c r="T75" s="91"/>
      <c r="U75" s="91"/>
      <c r="V75" s="91"/>
      <c r="W75" s="91"/>
      <c r="X75" s="91"/>
      <c r="Y75" s="94">
        <v>28.000000000000004</v>
      </c>
      <c r="Z75" s="91"/>
      <c r="AA75" s="82"/>
      <c r="AB75" s="82"/>
      <c r="AC75" s="91"/>
      <c r="AD75" s="95">
        <v>400</v>
      </c>
      <c r="AE75" s="95">
        <v>520</v>
      </c>
      <c r="AF75" s="95">
        <v>80</v>
      </c>
      <c r="AG75" s="66">
        <f t="shared" si="2"/>
        <v>118.51414285714283</v>
      </c>
      <c r="AH75" s="143">
        <f t="shared" si="3"/>
        <v>1000</v>
      </c>
    </row>
    <row r="76" spans="1:34" s="96" customFormat="1" x14ac:dyDescent="0.3">
      <c r="A76" s="84">
        <v>802571</v>
      </c>
      <c r="B76" s="94">
        <v>31.333333333333336</v>
      </c>
      <c r="C76" s="94">
        <v>5.625</v>
      </c>
      <c r="D76" s="82">
        <v>8.2799999999999994</v>
      </c>
      <c r="E76" s="104">
        <v>0.37</v>
      </c>
      <c r="F76" s="92">
        <v>222</v>
      </c>
      <c r="G76" s="91">
        <v>232.75</v>
      </c>
      <c r="H76" s="92">
        <v>26.78</v>
      </c>
      <c r="I76" s="92">
        <v>325</v>
      </c>
      <c r="J76" s="93">
        <v>0.248</v>
      </c>
      <c r="K76" s="94">
        <v>9.5990000000000002</v>
      </c>
      <c r="L76" s="91">
        <v>887</v>
      </c>
      <c r="M76" s="91">
        <v>0.38</v>
      </c>
      <c r="N76" s="91">
        <v>0.81</v>
      </c>
      <c r="O76" s="91">
        <v>6.92</v>
      </c>
      <c r="P76" s="91">
        <v>3.94</v>
      </c>
      <c r="Q76" s="91"/>
      <c r="R76" s="82">
        <v>0.64218092281457617</v>
      </c>
      <c r="S76" s="94">
        <v>4.4000000000000004</v>
      </c>
      <c r="T76" s="91"/>
      <c r="U76" s="91"/>
      <c r="V76" s="91"/>
      <c r="W76" s="91"/>
      <c r="X76" s="91"/>
      <c r="Y76" s="94">
        <v>23.8</v>
      </c>
      <c r="Z76" s="91"/>
      <c r="AA76" s="82"/>
      <c r="AB76" s="82"/>
      <c r="AC76" s="91"/>
      <c r="AD76" s="95">
        <v>340</v>
      </c>
      <c r="AE76" s="95">
        <v>560</v>
      </c>
      <c r="AF76" s="95">
        <v>100</v>
      </c>
      <c r="AG76" s="66">
        <f t="shared" si="2"/>
        <v>142.77504201680674</v>
      </c>
      <c r="AH76" s="143">
        <f t="shared" si="3"/>
        <v>1000</v>
      </c>
    </row>
    <row r="77" spans="1:34" s="90" customFormat="1" x14ac:dyDescent="0.3">
      <c r="A77" s="84">
        <v>802572</v>
      </c>
      <c r="B77" s="94">
        <v>20.75</v>
      </c>
      <c r="C77" s="94">
        <v>6.6250000000000009</v>
      </c>
      <c r="D77" s="86">
        <v>7.16</v>
      </c>
      <c r="E77" s="99">
        <v>8.92</v>
      </c>
      <c r="F77" s="84">
        <v>9612.5</v>
      </c>
      <c r="G77" s="84">
        <v>2505.6</v>
      </c>
      <c r="H77" s="84">
        <v>4.0609999999999999</v>
      </c>
      <c r="I77" s="84">
        <v>583</v>
      </c>
      <c r="J77" s="85">
        <v>4.3540000000000001</v>
      </c>
      <c r="K77" s="87">
        <v>29.611999999999998</v>
      </c>
      <c r="L77" s="83">
        <v>2900</v>
      </c>
      <c r="M77" s="86">
        <v>0.11</v>
      </c>
      <c r="N77" s="82">
        <v>0.27</v>
      </c>
      <c r="O77" s="82">
        <v>0.15</v>
      </c>
      <c r="P77" s="82">
        <v>1.37</v>
      </c>
      <c r="Q77" s="83"/>
      <c r="R77" s="86">
        <v>0.43269036548215206</v>
      </c>
      <c r="S77" s="87">
        <v>3</v>
      </c>
      <c r="T77" s="83"/>
      <c r="U77" s="83"/>
      <c r="V77" s="83"/>
      <c r="W77" s="83"/>
      <c r="X77" s="83"/>
      <c r="Y77" s="94">
        <v>19.600000000000001</v>
      </c>
      <c r="Z77" s="83"/>
      <c r="AA77" s="86"/>
      <c r="AB77" s="86"/>
      <c r="AC77" s="83">
        <v>5</v>
      </c>
      <c r="AD77" s="88">
        <v>280</v>
      </c>
      <c r="AE77" s="88">
        <v>400</v>
      </c>
      <c r="AF77" s="88">
        <v>320</v>
      </c>
      <c r="AG77" s="66">
        <f t="shared" si="2"/>
        <v>534.82897959183663</v>
      </c>
      <c r="AH77" s="143">
        <f t="shared" si="3"/>
        <v>1000</v>
      </c>
    </row>
    <row r="78" spans="1:34" s="90" customFormat="1" x14ac:dyDescent="0.3">
      <c r="A78" s="84">
        <v>802573</v>
      </c>
      <c r="B78" s="94">
        <v>21.999999999999996</v>
      </c>
      <c r="C78" s="94">
        <v>7.1249999999999991</v>
      </c>
      <c r="D78" s="86">
        <v>7.82</v>
      </c>
      <c r="E78" s="99">
        <v>11.59</v>
      </c>
      <c r="F78" s="84">
        <v>12656</v>
      </c>
      <c r="G78" s="84">
        <v>2684.15</v>
      </c>
      <c r="H78" s="92">
        <v>15.936</v>
      </c>
      <c r="I78" s="84">
        <v>355</v>
      </c>
      <c r="J78" s="85">
        <v>14.2</v>
      </c>
      <c r="K78" s="87">
        <v>22.379000000000001</v>
      </c>
      <c r="L78" s="83">
        <v>2157</v>
      </c>
      <c r="M78" s="86">
        <v>0.1</v>
      </c>
      <c r="N78" s="82">
        <v>0.41</v>
      </c>
      <c r="O78" s="82">
        <v>0.95</v>
      </c>
      <c r="P78" s="82">
        <v>1.79</v>
      </c>
      <c r="Q78" s="83"/>
      <c r="R78" s="86">
        <v>0.63719158981733381</v>
      </c>
      <c r="S78" s="87">
        <v>4.7</v>
      </c>
      <c r="T78" s="83"/>
      <c r="U78" s="83"/>
      <c r="V78" s="83"/>
      <c r="W78" s="83"/>
      <c r="X78" s="83"/>
      <c r="Y78" s="94">
        <v>22.400000000000002</v>
      </c>
      <c r="Z78" s="83"/>
      <c r="AA78" s="86"/>
      <c r="AB78" s="86"/>
      <c r="AC78" s="83">
        <v>5</v>
      </c>
      <c r="AD78" s="88">
        <v>320</v>
      </c>
      <c r="AE78" s="88">
        <v>280</v>
      </c>
      <c r="AF78" s="88">
        <v>400</v>
      </c>
      <c r="AG78" s="66">
        <f t="shared" si="2"/>
        <v>353.66812499999997</v>
      </c>
      <c r="AH78" s="143">
        <f t="shared" si="3"/>
        <v>1000</v>
      </c>
    </row>
    <row r="79" spans="1:34" s="90" customFormat="1" x14ac:dyDescent="0.3">
      <c r="A79" s="84">
        <v>802574</v>
      </c>
      <c r="B79" s="94">
        <v>26.499999999999996</v>
      </c>
      <c r="C79" s="94">
        <v>11.25</v>
      </c>
      <c r="D79" s="86">
        <v>7.93</v>
      </c>
      <c r="E79" s="99">
        <v>6.58</v>
      </c>
      <c r="F79" s="84">
        <v>19484</v>
      </c>
      <c r="G79" s="84">
        <v>2057.2999999999997</v>
      </c>
      <c r="H79" s="84">
        <v>1E-3</v>
      </c>
      <c r="I79" s="84">
        <v>233</v>
      </c>
      <c r="J79" s="85">
        <v>6.1120000000000001</v>
      </c>
      <c r="K79" s="87">
        <v>14.244999999999999</v>
      </c>
      <c r="L79" s="83">
        <v>2714</v>
      </c>
      <c r="M79" s="86">
        <v>0.14000000000000001</v>
      </c>
      <c r="N79" s="82">
        <v>0.27</v>
      </c>
      <c r="O79" s="82">
        <v>0.38</v>
      </c>
      <c r="P79" s="82">
        <v>1.17</v>
      </c>
      <c r="Q79" s="83"/>
      <c r="R79" s="86">
        <v>0.38099573953979099</v>
      </c>
      <c r="S79" s="87">
        <v>2.8</v>
      </c>
      <c r="T79" s="83"/>
      <c r="U79" s="83"/>
      <c r="V79" s="83"/>
      <c r="W79" s="83"/>
      <c r="X79" s="83"/>
      <c r="Y79" s="94">
        <v>28.000000000000004</v>
      </c>
      <c r="Z79" s="83"/>
      <c r="AA79" s="86"/>
      <c r="AB79" s="86"/>
      <c r="AC79" s="83">
        <v>5</v>
      </c>
      <c r="AD79" s="88">
        <v>400</v>
      </c>
      <c r="AE79" s="88">
        <v>420</v>
      </c>
      <c r="AF79" s="88">
        <v>180</v>
      </c>
      <c r="AG79" s="66">
        <f t="shared" si="2"/>
        <v>180.09749999999997</v>
      </c>
      <c r="AH79" s="143">
        <f t="shared" si="3"/>
        <v>1000</v>
      </c>
    </row>
    <row r="80" spans="1:34" s="90" customFormat="1" x14ac:dyDescent="0.3">
      <c r="A80" s="84">
        <v>802575</v>
      </c>
      <c r="B80" s="94">
        <v>27.166666666666668</v>
      </c>
      <c r="C80" s="94">
        <v>7.8750000000000009</v>
      </c>
      <c r="D80" s="86">
        <v>7.98</v>
      </c>
      <c r="E80" s="99">
        <v>6.14</v>
      </c>
      <c r="F80" s="84">
        <v>5448</v>
      </c>
      <c r="G80" s="84">
        <v>2510.6</v>
      </c>
      <c r="H80" s="92">
        <v>6.66</v>
      </c>
      <c r="I80" s="84">
        <v>292</v>
      </c>
      <c r="J80" s="85">
        <v>4.2919999999999998</v>
      </c>
      <c r="K80" s="87">
        <v>18.25</v>
      </c>
      <c r="L80" s="83">
        <v>2536</v>
      </c>
      <c r="M80" s="86">
        <v>0.11</v>
      </c>
      <c r="N80" s="82">
        <v>0.39</v>
      </c>
      <c r="O80" s="82">
        <v>5.4</v>
      </c>
      <c r="P80" s="82">
        <v>1.93</v>
      </c>
      <c r="Q80" s="83"/>
      <c r="R80" s="86">
        <v>0.56660679656625978</v>
      </c>
      <c r="S80" s="87">
        <v>4.2</v>
      </c>
      <c r="T80" s="83"/>
      <c r="U80" s="83"/>
      <c r="V80" s="83"/>
      <c r="W80" s="83"/>
      <c r="X80" s="83"/>
      <c r="Y80" s="94">
        <v>26.6</v>
      </c>
      <c r="Z80" s="83"/>
      <c r="AA80" s="86"/>
      <c r="AB80" s="86"/>
      <c r="AC80" s="83">
        <v>5</v>
      </c>
      <c r="AD80" s="88">
        <v>380</v>
      </c>
      <c r="AE80" s="88">
        <v>480</v>
      </c>
      <c r="AF80" s="88">
        <v>140</v>
      </c>
      <c r="AG80" s="66">
        <f t="shared" si="2"/>
        <v>242.87593984962405</v>
      </c>
      <c r="AH80" s="143">
        <f t="shared" si="3"/>
        <v>1000</v>
      </c>
    </row>
    <row r="81" spans="1:34" s="90" customFormat="1" x14ac:dyDescent="0.3">
      <c r="A81" s="84">
        <v>802576</v>
      </c>
      <c r="B81" s="94">
        <v>20.333333333333332</v>
      </c>
      <c r="C81" s="94">
        <v>8.125</v>
      </c>
      <c r="D81" s="86">
        <v>7.95</v>
      </c>
      <c r="E81" s="99">
        <v>7.47</v>
      </c>
      <c r="F81" s="84">
        <v>8804</v>
      </c>
      <c r="G81" s="84">
        <v>2472</v>
      </c>
      <c r="H81" s="84">
        <v>7.0170000000000003</v>
      </c>
      <c r="I81" s="84">
        <v>287</v>
      </c>
      <c r="J81" s="85">
        <v>4.5220000000000002</v>
      </c>
      <c r="K81" s="87">
        <v>14.693</v>
      </c>
      <c r="L81" s="83">
        <v>2909</v>
      </c>
      <c r="M81" s="86">
        <v>0.18</v>
      </c>
      <c r="N81" s="82">
        <v>0.5</v>
      </c>
      <c r="O81" s="82">
        <v>0.17</v>
      </c>
      <c r="P81" s="82">
        <v>1.59</v>
      </c>
      <c r="Q81" s="83"/>
      <c r="R81" s="86">
        <v>0.35191307905581487</v>
      </c>
      <c r="S81" s="87">
        <v>2.4</v>
      </c>
      <c r="T81" s="83"/>
      <c r="U81" s="83"/>
      <c r="V81" s="83"/>
      <c r="W81" s="83"/>
      <c r="X81" s="83"/>
      <c r="Y81" s="94">
        <v>36.400000000000006</v>
      </c>
      <c r="Z81" s="83"/>
      <c r="AA81" s="86"/>
      <c r="AB81" s="86"/>
      <c r="AC81" s="83">
        <v>5</v>
      </c>
      <c r="AD81" s="88">
        <v>520</v>
      </c>
      <c r="AE81" s="88">
        <v>340</v>
      </c>
      <c r="AF81" s="88">
        <v>140</v>
      </c>
      <c r="AG81" s="66">
        <f t="shared" si="2"/>
        <v>142.89346153846151</v>
      </c>
      <c r="AH81" s="143">
        <f t="shared" si="3"/>
        <v>1000</v>
      </c>
    </row>
    <row r="82" spans="1:34" s="90" customFormat="1" x14ac:dyDescent="0.3">
      <c r="A82" s="84">
        <v>802577</v>
      </c>
      <c r="B82" s="94">
        <v>23.333333333333332</v>
      </c>
      <c r="C82" s="94">
        <v>12.875</v>
      </c>
      <c r="D82" s="86">
        <v>7.96</v>
      </c>
      <c r="E82" s="99">
        <v>8.86</v>
      </c>
      <c r="F82" s="84">
        <v>13057</v>
      </c>
      <c r="G82" s="84">
        <v>1702.7</v>
      </c>
      <c r="H82" s="92">
        <v>6.915</v>
      </c>
      <c r="I82" s="84">
        <v>483</v>
      </c>
      <c r="J82" s="85">
        <v>8.3309999999999995</v>
      </c>
      <c r="K82" s="87">
        <v>15.021000000000001</v>
      </c>
      <c r="L82" s="83">
        <v>3417</v>
      </c>
      <c r="M82" s="86">
        <v>0.2</v>
      </c>
      <c r="N82" s="82">
        <v>0.57999999999999996</v>
      </c>
      <c r="O82" s="82">
        <v>1.1200000000000001</v>
      </c>
      <c r="P82" s="82">
        <v>2.11</v>
      </c>
      <c r="Q82" s="83"/>
      <c r="R82" s="86">
        <v>0.50595484907799559</v>
      </c>
      <c r="S82" s="87">
        <v>3.4</v>
      </c>
      <c r="T82" s="83"/>
      <c r="U82" s="83"/>
      <c r="V82" s="83"/>
      <c r="W82" s="83"/>
      <c r="X82" s="83"/>
      <c r="Y82" s="94">
        <v>36.400000000000006</v>
      </c>
      <c r="Z82" s="83"/>
      <c r="AA82" s="86"/>
      <c r="AB82" s="86"/>
      <c r="AC82" s="83">
        <v>5</v>
      </c>
      <c r="AD82" s="88">
        <v>520</v>
      </c>
      <c r="AE82" s="88">
        <v>360</v>
      </c>
      <c r="AF82" s="88">
        <v>120</v>
      </c>
      <c r="AG82" s="66">
        <f t="shared" si="2"/>
        <v>146.08335164835162</v>
      </c>
      <c r="AH82" s="143">
        <f t="shared" si="3"/>
        <v>1000</v>
      </c>
    </row>
    <row r="83" spans="1:34" s="90" customFormat="1" x14ac:dyDescent="0.3">
      <c r="A83" s="84">
        <v>802578</v>
      </c>
      <c r="B83" s="94">
        <v>10.999999999999998</v>
      </c>
      <c r="C83" s="94">
        <v>3.75</v>
      </c>
      <c r="D83" s="86">
        <v>8.3699999999999992</v>
      </c>
      <c r="E83" s="99">
        <v>1.29</v>
      </c>
      <c r="F83" s="84">
        <v>1433</v>
      </c>
      <c r="G83" s="84">
        <v>182.75</v>
      </c>
      <c r="H83" s="84">
        <v>5.7169999999999996</v>
      </c>
      <c r="I83" s="84">
        <v>600</v>
      </c>
      <c r="J83" s="85">
        <v>0.75</v>
      </c>
      <c r="K83" s="87">
        <v>7.6420000000000003</v>
      </c>
      <c r="L83" s="83">
        <v>1362</v>
      </c>
      <c r="M83" s="86">
        <v>0.09</v>
      </c>
      <c r="N83" s="82">
        <v>0.55000000000000004</v>
      </c>
      <c r="O83" s="82">
        <v>0.48</v>
      </c>
      <c r="P83" s="82">
        <v>1.1499999999999999</v>
      </c>
      <c r="Q83" s="83"/>
      <c r="R83" s="86">
        <v>0.37827041554070495</v>
      </c>
      <c r="S83" s="87">
        <v>2.6</v>
      </c>
      <c r="T83" s="83"/>
      <c r="U83" s="83"/>
      <c r="V83" s="83"/>
      <c r="W83" s="83"/>
      <c r="X83" s="83"/>
      <c r="Y83" s="94">
        <v>16.100000000000001</v>
      </c>
      <c r="Z83" s="83"/>
      <c r="AA83" s="86"/>
      <c r="AB83" s="86"/>
      <c r="AC83" s="83">
        <v>5</v>
      </c>
      <c r="AD83" s="88">
        <v>230</v>
      </c>
      <c r="AE83" s="88">
        <v>250</v>
      </c>
      <c r="AF83" s="88">
        <v>520</v>
      </c>
      <c r="AG83" s="66">
        <f t="shared" si="2"/>
        <v>168.02906832298135</v>
      </c>
      <c r="AH83" s="143">
        <f t="shared" si="3"/>
        <v>1000</v>
      </c>
    </row>
    <row r="84" spans="1:34" s="90" customFormat="1" x14ac:dyDescent="0.3">
      <c r="A84" s="84">
        <v>802579</v>
      </c>
      <c r="B84" s="94">
        <v>16</v>
      </c>
      <c r="C84" s="94">
        <v>2.5</v>
      </c>
      <c r="D84" s="86">
        <v>8.26</v>
      </c>
      <c r="E84" s="99">
        <v>0.37</v>
      </c>
      <c r="F84" s="84">
        <v>354.35</v>
      </c>
      <c r="G84" s="84">
        <v>76.900000000000006</v>
      </c>
      <c r="H84" s="92">
        <v>3.7549999999999999</v>
      </c>
      <c r="I84" s="84">
        <v>274</v>
      </c>
      <c r="J84" s="85">
        <v>0.14599999999999999</v>
      </c>
      <c r="K84" s="87">
        <v>6.774</v>
      </c>
      <c r="L84" s="83">
        <v>635</v>
      </c>
      <c r="M84" s="86">
        <v>0.09</v>
      </c>
      <c r="N84" s="82">
        <v>0.28999999999999998</v>
      </c>
      <c r="O84" s="82">
        <v>0.91</v>
      </c>
      <c r="P84" s="82">
        <v>1.08</v>
      </c>
      <c r="Q84" s="83"/>
      <c r="R84" s="86">
        <v>0.34535398766421899</v>
      </c>
      <c r="S84" s="87">
        <v>2.5</v>
      </c>
      <c r="T84" s="83"/>
      <c r="U84" s="83"/>
      <c r="V84" s="83"/>
      <c r="W84" s="83"/>
      <c r="X84" s="83"/>
      <c r="Y84" s="94">
        <v>12.600000000000001</v>
      </c>
      <c r="Z84" s="83"/>
      <c r="AA84" s="86"/>
      <c r="AB84" s="86"/>
      <c r="AC84" s="83">
        <v>5</v>
      </c>
      <c r="AD84" s="88">
        <v>180</v>
      </c>
      <c r="AE84" s="88">
        <v>240</v>
      </c>
      <c r="AF84" s="88">
        <v>620</v>
      </c>
      <c r="AG84" s="66">
        <f t="shared" si="2"/>
        <v>190.31714285714284</v>
      </c>
      <c r="AH84" s="143">
        <f t="shared" si="3"/>
        <v>1040</v>
      </c>
    </row>
    <row r="85" spans="1:34" s="90" customFormat="1" x14ac:dyDescent="0.3">
      <c r="A85" s="84">
        <v>802580</v>
      </c>
      <c r="B85" s="94">
        <v>12.5</v>
      </c>
      <c r="C85" s="94">
        <v>3.125</v>
      </c>
      <c r="D85" s="86">
        <v>8.09</v>
      </c>
      <c r="E85" s="99">
        <v>0.6</v>
      </c>
      <c r="F85" s="84">
        <v>661.44999999999993</v>
      </c>
      <c r="G85" s="84">
        <v>115.05000000000001</v>
      </c>
      <c r="H85" s="84">
        <v>84.686999999999998</v>
      </c>
      <c r="I85" s="84">
        <v>459</v>
      </c>
      <c r="J85" s="85">
        <v>0.247</v>
      </c>
      <c r="K85" s="87">
        <v>7.7759999999999998</v>
      </c>
      <c r="L85" s="83">
        <v>1044</v>
      </c>
      <c r="M85" s="86">
        <v>0.09</v>
      </c>
      <c r="N85" s="82">
        <v>0.37</v>
      </c>
      <c r="O85" s="82">
        <v>0.67</v>
      </c>
      <c r="P85" s="82">
        <v>1.1599999999999999</v>
      </c>
      <c r="Q85" s="83"/>
      <c r="R85" s="86">
        <v>0.26365624641861762</v>
      </c>
      <c r="S85" s="87">
        <v>1.8</v>
      </c>
      <c r="T85" s="83"/>
      <c r="U85" s="83"/>
      <c r="V85" s="83"/>
      <c r="W85" s="83"/>
      <c r="X85" s="83"/>
      <c r="Y85" s="94">
        <v>16.8</v>
      </c>
      <c r="Z85" s="83"/>
      <c r="AA85" s="86"/>
      <c r="AB85" s="86"/>
      <c r="AC85" s="83">
        <v>5</v>
      </c>
      <c r="AD85" s="88">
        <v>240</v>
      </c>
      <c r="AE85" s="88">
        <v>160</v>
      </c>
      <c r="AF85" s="88">
        <v>600</v>
      </c>
      <c r="AG85" s="66">
        <f t="shared" si="2"/>
        <v>163.85142857142856</v>
      </c>
      <c r="AH85" s="143">
        <f t="shared" si="3"/>
        <v>1000</v>
      </c>
    </row>
    <row r="86" spans="1:34" s="90" customFormat="1" x14ac:dyDescent="0.3">
      <c r="A86" s="84">
        <v>802581</v>
      </c>
      <c r="B86" s="94">
        <v>13.083333333333332</v>
      </c>
      <c r="C86" s="94">
        <v>2.5</v>
      </c>
      <c r="D86" s="86">
        <v>8.8800000000000008</v>
      </c>
      <c r="E86" s="99">
        <v>1.02</v>
      </c>
      <c r="F86" s="84">
        <v>1089.4000000000001</v>
      </c>
      <c r="G86" s="84">
        <v>270.65000000000003</v>
      </c>
      <c r="H86" s="92">
        <v>7.1950000000000003</v>
      </c>
      <c r="I86" s="84">
        <v>550</v>
      </c>
      <c r="J86" s="85">
        <v>4.1000000000000002E-2</v>
      </c>
      <c r="K86" s="87">
        <v>8.2970000000000006</v>
      </c>
      <c r="L86" s="83">
        <v>739</v>
      </c>
      <c r="M86" s="86">
        <v>7.0000000000000007E-2</v>
      </c>
      <c r="N86" s="82">
        <v>0.45</v>
      </c>
      <c r="O86" s="82">
        <v>1.1599999999999999</v>
      </c>
      <c r="P86" s="82">
        <v>1.1000000000000001</v>
      </c>
      <c r="Q86" s="83"/>
      <c r="R86" s="86">
        <v>0.29875637757080159</v>
      </c>
      <c r="S86" s="87">
        <v>2.1</v>
      </c>
      <c r="T86" s="83"/>
      <c r="U86" s="83"/>
      <c r="V86" s="83"/>
      <c r="W86" s="83"/>
      <c r="X86" s="83"/>
      <c r="Y86" s="94">
        <v>11.200000000000001</v>
      </c>
      <c r="Z86" s="83"/>
      <c r="AA86" s="86"/>
      <c r="AB86" s="86"/>
      <c r="AC86" s="83">
        <v>5</v>
      </c>
      <c r="AD86" s="88">
        <v>160</v>
      </c>
      <c r="AE86" s="88">
        <v>200</v>
      </c>
      <c r="AF86" s="88">
        <v>640</v>
      </c>
      <c r="AG86" s="66">
        <f t="shared" si="2"/>
        <v>262.24446428571429</v>
      </c>
      <c r="AH86" s="143">
        <f t="shared" si="3"/>
        <v>1000</v>
      </c>
    </row>
    <row r="87" spans="1:34" s="90" customFormat="1" x14ac:dyDescent="0.3">
      <c r="A87" s="84">
        <v>802582</v>
      </c>
      <c r="B87" s="94">
        <v>14.250000000000002</v>
      </c>
      <c r="C87" s="94">
        <v>3.8750000000000018</v>
      </c>
      <c r="D87" s="86">
        <v>8.34</v>
      </c>
      <c r="E87" s="99">
        <v>0.99</v>
      </c>
      <c r="F87" s="84">
        <v>57.55</v>
      </c>
      <c r="G87" s="84">
        <v>331.3</v>
      </c>
      <c r="H87" s="84">
        <v>5.6150000000000002</v>
      </c>
      <c r="I87" s="84">
        <v>1493</v>
      </c>
      <c r="J87" s="85">
        <v>0.44500000000000001</v>
      </c>
      <c r="K87" s="87">
        <v>8.702</v>
      </c>
      <c r="L87" s="83">
        <v>919</v>
      </c>
      <c r="M87" s="86">
        <v>0.09</v>
      </c>
      <c r="N87" s="82">
        <v>0.36</v>
      </c>
      <c r="O87" s="82">
        <v>0.8</v>
      </c>
      <c r="P87" s="82">
        <v>1.28</v>
      </c>
      <c r="Q87" s="83"/>
      <c r="R87" s="86">
        <v>0.38805413384674886</v>
      </c>
      <c r="S87" s="87">
        <v>2.9</v>
      </c>
      <c r="T87" s="83"/>
      <c r="U87" s="83"/>
      <c r="V87" s="83"/>
      <c r="W87" s="83"/>
      <c r="X87" s="83"/>
      <c r="Y87" s="94">
        <v>21.000000000000004</v>
      </c>
      <c r="Z87" s="83"/>
      <c r="AA87" s="86"/>
      <c r="AB87" s="86"/>
      <c r="AC87" s="83">
        <v>5</v>
      </c>
      <c r="AD87" s="88">
        <v>300</v>
      </c>
      <c r="AE87" s="88">
        <v>400</v>
      </c>
      <c r="AF87" s="88">
        <v>300</v>
      </c>
      <c r="AG87" s="66">
        <f t="shared" si="2"/>
        <v>146.69085714285711</v>
      </c>
      <c r="AH87" s="143">
        <f t="shared" si="3"/>
        <v>1000</v>
      </c>
    </row>
    <row r="88" spans="1:34" s="90" customFormat="1" x14ac:dyDescent="0.3">
      <c r="A88" s="84">
        <v>802583</v>
      </c>
      <c r="B88" s="94">
        <v>10.666666666666668</v>
      </c>
      <c r="C88" s="94">
        <v>2.6250000000000018</v>
      </c>
      <c r="D88" s="86">
        <v>8.42</v>
      </c>
      <c r="E88" s="99">
        <v>0.65</v>
      </c>
      <c r="F88" s="84">
        <v>1032.95</v>
      </c>
      <c r="G88" s="84">
        <v>211.1</v>
      </c>
      <c r="H88" s="92">
        <v>12.673999999999999</v>
      </c>
      <c r="I88" s="84">
        <v>327</v>
      </c>
      <c r="J88" s="85">
        <v>0.39600000000000002</v>
      </c>
      <c r="K88" s="87">
        <v>7.4850000000000003</v>
      </c>
      <c r="L88" s="83">
        <v>698</v>
      </c>
      <c r="M88" s="86">
        <v>0.12</v>
      </c>
      <c r="N88" s="82">
        <v>0.35</v>
      </c>
      <c r="O88" s="82">
        <v>1.47</v>
      </c>
      <c r="P88" s="82">
        <v>1.39</v>
      </c>
      <c r="Q88" s="83"/>
      <c r="R88" s="86">
        <v>0.34969417259378671</v>
      </c>
      <c r="S88" s="87">
        <v>2.6</v>
      </c>
      <c r="T88" s="83"/>
      <c r="U88" s="83"/>
      <c r="V88" s="83"/>
      <c r="W88" s="83"/>
      <c r="X88" s="83"/>
      <c r="Y88" s="94">
        <v>9.8000000000000007</v>
      </c>
      <c r="Z88" s="83"/>
      <c r="AA88" s="86"/>
      <c r="AB88" s="86"/>
      <c r="AC88" s="83">
        <v>5</v>
      </c>
      <c r="AD88" s="88">
        <v>140</v>
      </c>
      <c r="AE88" s="88">
        <v>300</v>
      </c>
      <c r="AF88" s="88">
        <v>560</v>
      </c>
      <c r="AG88" s="66">
        <f t="shared" si="2"/>
        <v>270.37653061224489</v>
      </c>
      <c r="AH88" s="143">
        <f t="shared" si="3"/>
        <v>1000</v>
      </c>
    </row>
    <row r="89" spans="1:34" s="90" customFormat="1" x14ac:dyDescent="0.3">
      <c r="A89" s="84">
        <v>802584</v>
      </c>
      <c r="B89" s="94">
        <v>11.833333333333332</v>
      </c>
      <c r="C89" s="94">
        <v>3.3749999999999991</v>
      </c>
      <c r="D89" s="86">
        <v>8.33</v>
      </c>
      <c r="E89" s="99">
        <v>2.95</v>
      </c>
      <c r="F89" s="84">
        <v>613.80000000000007</v>
      </c>
      <c r="G89" s="84">
        <v>701.65000000000009</v>
      </c>
      <c r="H89" s="84">
        <v>8.8770000000000007</v>
      </c>
      <c r="I89" s="84">
        <v>494</v>
      </c>
      <c r="J89" s="85">
        <v>3.22</v>
      </c>
      <c r="K89" s="87">
        <v>8.5990000000000002</v>
      </c>
      <c r="L89" s="83">
        <v>1620</v>
      </c>
      <c r="M89" s="86">
        <v>0.14000000000000001</v>
      </c>
      <c r="N89" s="82">
        <v>0.52</v>
      </c>
      <c r="O89" s="82">
        <v>5.71</v>
      </c>
      <c r="P89" s="82">
        <v>1.92</v>
      </c>
      <c r="Q89" s="83"/>
      <c r="R89" s="86">
        <v>0.29642554631059853</v>
      </c>
      <c r="S89" s="87">
        <v>2</v>
      </c>
      <c r="T89" s="83"/>
      <c r="U89" s="83"/>
      <c r="V89" s="83"/>
      <c r="W89" s="83"/>
      <c r="X89" s="83"/>
      <c r="Y89" s="94">
        <v>14.000000000000002</v>
      </c>
      <c r="Z89" s="83"/>
      <c r="AA89" s="86"/>
      <c r="AB89" s="86"/>
      <c r="AC89" s="83">
        <v>5</v>
      </c>
      <c r="AD89" s="88">
        <v>200</v>
      </c>
      <c r="AE89" s="88">
        <v>300</v>
      </c>
      <c r="AF89" s="88">
        <v>500</v>
      </c>
      <c r="AG89" s="66">
        <f t="shared" si="2"/>
        <v>217.43185714285713</v>
      </c>
      <c r="AH89" s="143">
        <f t="shared" si="3"/>
        <v>1000</v>
      </c>
    </row>
    <row r="90" spans="1:34" s="90" customFormat="1" x14ac:dyDescent="0.3">
      <c r="A90" s="84">
        <v>802585</v>
      </c>
      <c r="B90" s="94">
        <v>12.166666666666666</v>
      </c>
      <c r="C90" s="94">
        <v>5</v>
      </c>
      <c r="D90" s="86">
        <v>8.59</v>
      </c>
      <c r="E90" s="99">
        <v>1.04</v>
      </c>
      <c r="F90" s="84">
        <v>1257.8</v>
      </c>
      <c r="G90" s="84">
        <v>327.04999999999995</v>
      </c>
      <c r="H90" s="92">
        <v>6.431</v>
      </c>
      <c r="I90" s="84">
        <v>476</v>
      </c>
      <c r="J90" s="85">
        <v>1.0249999999999999</v>
      </c>
      <c r="K90" s="87">
        <v>8.327</v>
      </c>
      <c r="L90" s="83">
        <v>1390</v>
      </c>
      <c r="M90" s="86">
        <v>0.14000000000000001</v>
      </c>
      <c r="N90" s="82">
        <v>0.47</v>
      </c>
      <c r="O90" s="82">
        <v>0.81</v>
      </c>
      <c r="P90" s="82">
        <v>1.95</v>
      </c>
      <c r="Q90" s="83"/>
      <c r="R90" s="86">
        <v>0.5771623005412988</v>
      </c>
      <c r="S90" s="87">
        <v>3.9</v>
      </c>
      <c r="T90" s="83"/>
      <c r="U90" s="83"/>
      <c r="V90" s="83"/>
      <c r="W90" s="83"/>
      <c r="X90" s="83"/>
      <c r="Y90" s="94">
        <v>23.8</v>
      </c>
      <c r="Z90" s="83"/>
      <c r="AA90" s="86"/>
      <c r="AB90" s="86"/>
      <c r="AC90" s="83">
        <v>5</v>
      </c>
      <c r="AD90" s="88">
        <v>340</v>
      </c>
      <c r="AE90" s="88">
        <v>560</v>
      </c>
      <c r="AF90" s="88">
        <v>200</v>
      </c>
      <c r="AG90" s="66">
        <f t="shared" si="2"/>
        <v>123.8553781512605</v>
      </c>
      <c r="AH90" s="143">
        <f t="shared" si="3"/>
        <v>1100</v>
      </c>
    </row>
    <row r="91" spans="1:34" s="90" customFormat="1" x14ac:dyDescent="0.3">
      <c r="A91" s="84">
        <v>802586</v>
      </c>
      <c r="B91" s="94">
        <v>17</v>
      </c>
      <c r="C91" s="94">
        <v>5.625</v>
      </c>
      <c r="D91" s="86">
        <v>8.43</v>
      </c>
      <c r="E91" s="99">
        <v>1.31</v>
      </c>
      <c r="F91" s="84">
        <v>1075.5</v>
      </c>
      <c r="G91" s="84">
        <v>150.39999999999998</v>
      </c>
      <c r="H91" s="84">
        <v>3.883</v>
      </c>
      <c r="I91" s="84">
        <v>553</v>
      </c>
      <c r="J91" s="85">
        <v>0.98</v>
      </c>
      <c r="K91" s="87">
        <v>8.1080000000000005</v>
      </c>
      <c r="L91" s="83">
        <v>1002.9999999999999</v>
      </c>
      <c r="M91" s="86">
        <v>0.09</v>
      </c>
      <c r="N91" s="82">
        <v>0.47</v>
      </c>
      <c r="O91" s="82">
        <v>0.55000000000000004</v>
      </c>
      <c r="P91" s="82">
        <v>1.3</v>
      </c>
      <c r="Q91" s="83"/>
      <c r="R91" s="86">
        <v>0.35996040043620087</v>
      </c>
      <c r="S91" s="87">
        <v>2.5</v>
      </c>
      <c r="T91" s="83"/>
      <c r="U91" s="83"/>
      <c r="V91" s="83"/>
      <c r="W91" s="83"/>
      <c r="X91" s="83"/>
      <c r="Y91" s="94">
        <v>21.000000000000004</v>
      </c>
      <c r="Z91" s="83"/>
      <c r="AA91" s="86"/>
      <c r="AB91" s="86"/>
      <c r="AC91" s="83">
        <v>5</v>
      </c>
      <c r="AD91" s="88">
        <v>300</v>
      </c>
      <c r="AE91" s="88">
        <v>560</v>
      </c>
      <c r="AF91" s="88">
        <v>240</v>
      </c>
      <c r="AG91" s="66">
        <f t="shared" si="2"/>
        <v>136.67771428571427</v>
      </c>
      <c r="AH91" s="143">
        <f t="shared" si="3"/>
        <v>1100</v>
      </c>
    </row>
    <row r="92" spans="1:34" s="90" customFormat="1" x14ac:dyDescent="0.3">
      <c r="A92" s="84">
        <v>802587</v>
      </c>
      <c r="B92" s="94">
        <v>15.666666666666668</v>
      </c>
      <c r="C92" s="94">
        <v>5</v>
      </c>
      <c r="D92" s="86">
        <v>8.15</v>
      </c>
      <c r="E92" s="99">
        <v>4.58</v>
      </c>
      <c r="F92" s="84">
        <v>1548</v>
      </c>
      <c r="G92" s="84">
        <v>2480.8000000000002</v>
      </c>
      <c r="H92" s="92">
        <v>4.3159999999999998</v>
      </c>
      <c r="I92" s="84">
        <v>562</v>
      </c>
      <c r="J92" s="85">
        <v>2.0979999999999999</v>
      </c>
      <c r="K92" s="87">
        <v>14.829000000000001</v>
      </c>
      <c r="L92" s="83">
        <v>1264</v>
      </c>
      <c r="M92" s="86">
        <v>0.12</v>
      </c>
      <c r="N92" s="82">
        <v>0.41</v>
      </c>
      <c r="O92" s="82">
        <v>0.8</v>
      </c>
      <c r="P92" s="82">
        <v>1.35</v>
      </c>
      <c r="Q92" s="83"/>
      <c r="R92" s="86">
        <v>0.36804922165949916</v>
      </c>
      <c r="S92" s="87">
        <v>2.7</v>
      </c>
      <c r="T92" s="83"/>
      <c r="U92" s="83"/>
      <c r="V92" s="83"/>
      <c r="W92" s="83"/>
      <c r="X92" s="83"/>
      <c r="Y92" s="94">
        <v>19.600000000000001</v>
      </c>
      <c r="Z92" s="83"/>
      <c r="AA92" s="86"/>
      <c r="AB92" s="86"/>
      <c r="AC92" s="83">
        <v>5</v>
      </c>
      <c r="AD92" s="88">
        <v>280</v>
      </c>
      <c r="AE92" s="88">
        <v>560</v>
      </c>
      <c r="AF92" s="88">
        <v>260</v>
      </c>
      <c r="AG92" s="66">
        <f t="shared" si="2"/>
        <v>267.82989795918365</v>
      </c>
      <c r="AH92" s="143">
        <f t="shared" si="3"/>
        <v>1100</v>
      </c>
    </row>
    <row r="93" spans="1:34" s="90" customFormat="1" x14ac:dyDescent="0.3">
      <c r="A93" s="84">
        <v>802588</v>
      </c>
      <c r="B93" s="94">
        <v>16.416666666666664</v>
      </c>
      <c r="C93" s="94">
        <v>5.1250000000000018</v>
      </c>
      <c r="D93" s="86">
        <v>8.08</v>
      </c>
      <c r="E93" s="99">
        <v>7.2</v>
      </c>
      <c r="F93" s="84">
        <v>3316</v>
      </c>
      <c r="G93" s="84">
        <v>1518.0500000000002</v>
      </c>
      <c r="H93" s="84">
        <v>8.8520000000000003</v>
      </c>
      <c r="I93" s="84">
        <v>750</v>
      </c>
      <c r="J93" s="85">
        <v>5.5039999999999996</v>
      </c>
      <c r="K93" s="87">
        <v>12.637</v>
      </c>
      <c r="L93" s="83">
        <v>2688</v>
      </c>
      <c r="M93" s="86">
        <v>0.14000000000000001</v>
      </c>
      <c r="N93" s="82">
        <v>0.44</v>
      </c>
      <c r="O93" s="82">
        <v>4.78</v>
      </c>
      <c r="P93" s="82">
        <v>1.24</v>
      </c>
      <c r="Q93" s="83"/>
      <c r="R93" s="86">
        <v>0.55532815849525363</v>
      </c>
      <c r="S93" s="87">
        <v>3.7</v>
      </c>
      <c r="T93" s="83"/>
      <c r="U93" s="83"/>
      <c r="V93" s="83"/>
      <c r="W93" s="83"/>
      <c r="X93" s="83"/>
      <c r="Y93" s="94">
        <v>16.8</v>
      </c>
      <c r="Z93" s="83"/>
      <c r="AA93" s="86"/>
      <c r="AB93" s="86"/>
      <c r="AC93" s="83">
        <v>5</v>
      </c>
      <c r="AD93" s="88">
        <v>240</v>
      </c>
      <c r="AE93" s="88">
        <v>520</v>
      </c>
      <c r="AF93" s="88">
        <v>240</v>
      </c>
      <c r="AG93" s="66">
        <f t="shared" si="2"/>
        <v>266.27964285714285</v>
      </c>
      <c r="AH93" s="143">
        <f t="shared" si="3"/>
        <v>1000</v>
      </c>
    </row>
    <row r="94" spans="1:34" s="90" customFormat="1" x14ac:dyDescent="0.3">
      <c r="A94" s="84">
        <v>802589</v>
      </c>
      <c r="B94" s="94">
        <v>32.333333333333329</v>
      </c>
      <c r="C94" s="94">
        <v>5.2499999999999991</v>
      </c>
      <c r="D94" s="86">
        <v>8.2899999999999991</v>
      </c>
      <c r="E94" s="99">
        <v>3.45</v>
      </c>
      <c r="F94" s="84">
        <v>7427</v>
      </c>
      <c r="G94" s="84">
        <v>1071.45</v>
      </c>
      <c r="H94" s="92">
        <v>7.45</v>
      </c>
      <c r="I94" s="84">
        <v>421</v>
      </c>
      <c r="J94" s="85">
        <v>2.508</v>
      </c>
      <c r="K94" s="87">
        <v>11.379</v>
      </c>
      <c r="L94" s="83">
        <v>1759</v>
      </c>
      <c r="M94" s="86">
        <v>0.09</v>
      </c>
      <c r="N94" s="82">
        <v>0.35</v>
      </c>
      <c r="O94" s="82">
        <v>5.15</v>
      </c>
      <c r="P94" s="82">
        <v>1.1399999999999999</v>
      </c>
      <c r="Q94" s="83"/>
      <c r="R94" s="86">
        <v>0.34770509117697596</v>
      </c>
      <c r="S94" s="87">
        <v>2.2999999999999998</v>
      </c>
      <c r="T94" s="83"/>
      <c r="U94" s="83"/>
      <c r="V94" s="83"/>
      <c r="W94" s="83"/>
      <c r="X94" s="83"/>
      <c r="Y94" s="94">
        <v>15.400000000000002</v>
      </c>
      <c r="Z94" s="83"/>
      <c r="AA94" s="86"/>
      <c r="AB94" s="86"/>
      <c r="AC94" s="83">
        <v>5</v>
      </c>
      <c r="AD94" s="88">
        <v>220</v>
      </c>
      <c r="AE94" s="88">
        <v>380</v>
      </c>
      <c r="AF94" s="88">
        <v>400</v>
      </c>
      <c r="AG94" s="66">
        <f t="shared" si="2"/>
        <v>261.56922077922076</v>
      </c>
      <c r="AH94" s="143">
        <f t="shared" si="3"/>
        <v>1000</v>
      </c>
    </row>
    <row r="95" spans="1:34" s="90" customFormat="1" x14ac:dyDescent="0.3">
      <c r="A95" s="84">
        <v>802590</v>
      </c>
      <c r="B95" s="94">
        <v>21.333333333333336</v>
      </c>
      <c r="C95" s="94">
        <v>5.625</v>
      </c>
      <c r="D95" s="86">
        <v>8.25</v>
      </c>
      <c r="E95" s="99">
        <v>5.0599999999999996</v>
      </c>
      <c r="F95" s="84">
        <v>4059.5</v>
      </c>
      <c r="G95" s="84">
        <v>2465.25</v>
      </c>
      <c r="H95" s="84">
        <v>4.0860000000000003</v>
      </c>
      <c r="I95" s="84">
        <v>285</v>
      </c>
      <c r="J95" s="85">
        <v>2.4020000000000001</v>
      </c>
      <c r="K95" s="87">
        <v>11.333</v>
      </c>
      <c r="L95" s="83">
        <v>1754</v>
      </c>
      <c r="M95" s="86">
        <v>0.1</v>
      </c>
      <c r="N95" s="82">
        <v>0.28999999999999998</v>
      </c>
      <c r="O95" s="82">
        <v>0.67</v>
      </c>
      <c r="P95" s="82">
        <v>1.65</v>
      </c>
      <c r="Q95" s="83"/>
      <c r="R95" s="86">
        <v>0.38297967547190298</v>
      </c>
      <c r="S95" s="87">
        <v>2.5</v>
      </c>
      <c r="T95" s="83"/>
      <c r="U95" s="83"/>
      <c r="V95" s="83"/>
      <c r="W95" s="83"/>
      <c r="X95" s="83"/>
      <c r="Y95" s="94">
        <v>15.400000000000002</v>
      </c>
      <c r="Z95" s="83"/>
      <c r="AA95" s="86"/>
      <c r="AB95" s="86"/>
      <c r="AC95" s="83">
        <v>5</v>
      </c>
      <c r="AD95" s="88">
        <v>220</v>
      </c>
      <c r="AE95" s="88">
        <v>360</v>
      </c>
      <c r="AF95" s="88">
        <v>420</v>
      </c>
      <c r="AG95" s="66">
        <f t="shared" si="2"/>
        <v>260.51181818181817</v>
      </c>
      <c r="AH95" s="143">
        <f t="shared" si="3"/>
        <v>1000</v>
      </c>
    </row>
    <row r="96" spans="1:34" s="90" customFormat="1" x14ac:dyDescent="0.3">
      <c r="A96" s="84">
        <v>802591</v>
      </c>
      <c r="B96" s="94">
        <v>16.833333333333332</v>
      </c>
      <c r="C96" s="94">
        <v>5.3750000000000009</v>
      </c>
      <c r="D96" s="86">
        <v>8.43</v>
      </c>
      <c r="E96" s="99">
        <v>3.59</v>
      </c>
      <c r="F96" s="84">
        <v>3374.5</v>
      </c>
      <c r="G96" s="84">
        <v>2277.2999999999997</v>
      </c>
      <c r="H96" s="92">
        <v>4.9530000000000003</v>
      </c>
      <c r="I96" s="84">
        <v>204</v>
      </c>
      <c r="J96" s="85">
        <v>3.202</v>
      </c>
      <c r="K96" s="87">
        <v>25.149000000000001</v>
      </c>
      <c r="L96" s="83">
        <v>1376</v>
      </c>
      <c r="M96" s="86">
        <v>0.09</v>
      </c>
      <c r="N96" s="82">
        <v>0.3</v>
      </c>
      <c r="O96" s="82">
        <v>0.84</v>
      </c>
      <c r="P96" s="82">
        <v>1.65</v>
      </c>
      <c r="Q96" s="83"/>
      <c r="R96" s="86">
        <v>0.17837362341435911</v>
      </c>
      <c r="S96" s="87">
        <v>1.2</v>
      </c>
      <c r="T96" s="83"/>
      <c r="U96" s="83"/>
      <c r="V96" s="83"/>
      <c r="W96" s="83"/>
      <c r="X96" s="83"/>
      <c r="Y96" s="94">
        <v>12.600000000000001</v>
      </c>
      <c r="Z96" s="83"/>
      <c r="AA96" s="86"/>
      <c r="AB96" s="86"/>
      <c r="AC96" s="83">
        <v>5</v>
      </c>
      <c r="AD96" s="88">
        <v>180</v>
      </c>
      <c r="AE96" s="88">
        <v>360</v>
      </c>
      <c r="AF96" s="88">
        <v>460</v>
      </c>
      <c r="AG96" s="66">
        <f t="shared" si="2"/>
        <v>706.56714285714281</v>
      </c>
      <c r="AH96" s="143">
        <f t="shared" si="3"/>
        <v>1000</v>
      </c>
    </row>
    <row r="97" spans="1:34" s="90" customFormat="1" x14ac:dyDescent="0.3">
      <c r="A97" s="84">
        <v>802592</v>
      </c>
      <c r="B97" s="94">
        <v>12</v>
      </c>
      <c r="C97" s="94">
        <v>1.4999999999999991</v>
      </c>
      <c r="D97" s="86">
        <v>7.87</v>
      </c>
      <c r="E97" s="99">
        <v>0.41</v>
      </c>
      <c r="F97" s="84">
        <v>302.39999999999998</v>
      </c>
      <c r="G97" s="84">
        <v>189.1</v>
      </c>
      <c r="H97" s="84">
        <v>10.584</v>
      </c>
      <c r="I97" s="84">
        <v>210</v>
      </c>
      <c r="J97" s="85">
        <v>0.186</v>
      </c>
      <c r="K97" s="87">
        <v>8.234</v>
      </c>
      <c r="L97" s="83">
        <v>1320</v>
      </c>
      <c r="M97" s="86">
        <v>0.12</v>
      </c>
      <c r="N97" s="82">
        <v>0.47</v>
      </c>
      <c r="O97" s="82">
        <v>1.08</v>
      </c>
      <c r="P97" s="82">
        <v>1.22</v>
      </c>
      <c r="Q97" s="83"/>
      <c r="R97" s="86">
        <v>0.35074583172312335</v>
      </c>
      <c r="S97" s="87">
        <v>2.6</v>
      </c>
      <c r="T97" s="83"/>
      <c r="U97" s="83"/>
      <c r="V97" s="83"/>
      <c r="W97" s="83"/>
      <c r="X97" s="83"/>
      <c r="Y97" s="94">
        <v>12.600000000000001</v>
      </c>
      <c r="Z97" s="83"/>
      <c r="AA97" s="86"/>
      <c r="AB97" s="86"/>
      <c r="AC97" s="83">
        <v>5</v>
      </c>
      <c r="AD97" s="88">
        <v>180</v>
      </c>
      <c r="AE97" s="88">
        <v>460</v>
      </c>
      <c r="AF97" s="88">
        <v>360</v>
      </c>
      <c r="AG97" s="66">
        <f t="shared" si="2"/>
        <v>231.33619047619047</v>
      </c>
      <c r="AH97" s="143">
        <f t="shared" si="3"/>
        <v>1000</v>
      </c>
    </row>
    <row r="98" spans="1:34" s="90" customFormat="1" x14ac:dyDescent="0.3">
      <c r="A98" s="84">
        <v>802593</v>
      </c>
      <c r="B98" s="94">
        <v>11.916666666666668</v>
      </c>
      <c r="C98" s="94">
        <v>4.375</v>
      </c>
      <c r="D98" s="86">
        <v>8</v>
      </c>
      <c r="E98" s="99">
        <v>1.34</v>
      </c>
      <c r="F98" s="84">
        <v>1284.4000000000001</v>
      </c>
      <c r="G98" s="84">
        <v>289.14999999999998</v>
      </c>
      <c r="H98" s="92">
        <v>13.005000000000001</v>
      </c>
      <c r="I98" s="84">
        <v>420</v>
      </c>
      <c r="J98" s="85">
        <v>0.36</v>
      </c>
      <c r="K98" s="87">
        <v>10.276</v>
      </c>
      <c r="L98" s="83">
        <v>877</v>
      </c>
      <c r="M98" s="86">
        <v>0.13</v>
      </c>
      <c r="N98" s="82">
        <v>0.49</v>
      </c>
      <c r="O98" s="82">
        <v>0.91</v>
      </c>
      <c r="P98" s="82">
        <v>1.1100000000000001</v>
      </c>
      <c r="Q98" s="83"/>
      <c r="R98" s="86">
        <v>0.29734666599760501</v>
      </c>
      <c r="S98" s="87">
        <v>2.2000000000000002</v>
      </c>
      <c r="T98" s="83"/>
      <c r="U98" s="83"/>
      <c r="V98" s="83"/>
      <c r="W98" s="83"/>
      <c r="X98" s="83"/>
      <c r="Y98" s="94">
        <v>14.000000000000002</v>
      </c>
      <c r="Z98" s="83"/>
      <c r="AA98" s="86"/>
      <c r="AB98" s="86"/>
      <c r="AC98" s="83">
        <v>5</v>
      </c>
      <c r="AD98" s="88">
        <v>200</v>
      </c>
      <c r="AE98" s="88">
        <v>320</v>
      </c>
      <c r="AF98" s="88">
        <v>480</v>
      </c>
      <c r="AG98" s="66">
        <f t="shared" si="2"/>
        <v>259.83599999999996</v>
      </c>
      <c r="AH98" s="143">
        <f t="shared" si="3"/>
        <v>1000</v>
      </c>
    </row>
    <row r="99" spans="1:34" s="90" customFormat="1" x14ac:dyDescent="0.3">
      <c r="A99" s="84">
        <v>802594</v>
      </c>
      <c r="B99" s="94">
        <v>16.5</v>
      </c>
      <c r="C99" s="94">
        <v>5</v>
      </c>
      <c r="D99" s="86">
        <v>8.26</v>
      </c>
      <c r="E99" s="99">
        <v>4.57</v>
      </c>
      <c r="F99" s="84">
        <v>6466</v>
      </c>
      <c r="G99" s="84">
        <v>903.19999999999993</v>
      </c>
      <c r="H99" s="84">
        <v>10.865</v>
      </c>
      <c r="I99" s="84">
        <v>598</v>
      </c>
      <c r="J99" s="85">
        <v>0.53</v>
      </c>
      <c r="K99" s="87">
        <v>11.925000000000001</v>
      </c>
      <c r="L99" s="83">
        <v>841</v>
      </c>
      <c r="M99" s="86">
        <v>0.14000000000000001</v>
      </c>
      <c r="N99" s="82">
        <v>0.47</v>
      </c>
      <c r="O99" s="82">
        <v>4.8600000000000003</v>
      </c>
      <c r="P99" s="82">
        <v>1.61</v>
      </c>
      <c r="Q99" s="83"/>
      <c r="R99" s="86">
        <v>0.86314588144510984</v>
      </c>
      <c r="S99" s="87">
        <v>5.9</v>
      </c>
      <c r="T99" s="83"/>
      <c r="U99" s="83"/>
      <c r="V99" s="83"/>
      <c r="W99" s="83"/>
      <c r="X99" s="83"/>
      <c r="Y99" s="94">
        <v>7.0000000000000009</v>
      </c>
      <c r="Z99" s="83"/>
      <c r="AA99" s="86"/>
      <c r="AB99" s="86"/>
      <c r="AC99" s="83">
        <v>5</v>
      </c>
      <c r="AD99" s="88">
        <v>100</v>
      </c>
      <c r="AE99" s="88">
        <v>400</v>
      </c>
      <c r="AF99" s="88">
        <v>500</v>
      </c>
      <c r="AG99" s="66">
        <f t="shared" si="2"/>
        <v>603.06428571428557</v>
      </c>
      <c r="AH99" s="143">
        <f t="shared" si="3"/>
        <v>1000</v>
      </c>
    </row>
    <row r="100" spans="1:34" s="90" customFormat="1" x14ac:dyDescent="0.3">
      <c r="A100" s="84">
        <v>802595</v>
      </c>
      <c r="B100" s="94">
        <v>16.249999999999996</v>
      </c>
      <c r="C100" s="94">
        <v>5.8749999999999991</v>
      </c>
      <c r="D100" s="86">
        <v>8.9600000000000009</v>
      </c>
      <c r="E100" s="99">
        <v>0.26</v>
      </c>
      <c r="F100" s="84">
        <v>136</v>
      </c>
      <c r="G100" s="84">
        <v>177.04999999999998</v>
      </c>
      <c r="H100" s="92">
        <v>19.834</v>
      </c>
      <c r="I100" s="84">
        <v>590</v>
      </c>
      <c r="J100" s="85">
        <v>0.31</v>
      </c>
      <c r="K100" s="87">
        <v>8.2520000000000007</v>
      </c>
      <c r="L100" s="83">
        <v>2122</v>
      </c>
      <c r="M100" s="86">
        <v>0.32</v>
      </c>
      <c r="N100" s="82">
        <v>0.72</v>
      </c>
      <c r="O100" s="82">
        <v>4.07</v>
      </c>
      <c r="P100" s="82">
        <v>2.37</v>
      </c>
      <c r="Q100" s="83"/>
      <c r="R100" s="86">
        <v>0.38099449626027787</v>
      </c>
      <c r="S100" s="87">
        <v>2.5</v>
      </c>
      <c r="T100" s="83"/>
      <c r="U100" s="83"/>
      <c r="V100" s="83"/>
      <c r="W100" s="83"/>
      <c r="X100" s="83"/>
      <c r="Y100" s="94">
        <v>33.6</v>
      </c>
      <c r="Z100" s="83"/>
      <c r="AA100" s="86"/>
      <c r="AB100" s="86"/>
      <c r="AC100" s="83">
        <v>5</v>
      </c>
      <c r="AD100" s="88">
        <v>480</v>
      </c>
      <c r="AE100" s="88">
        <v>520</v>
      </c>
      <c r="AF100" s="88">
        <v>100</v>
      </c>
      <c r="AG100" s="66">
        <f t="shared" si="2"/>
        <v>86.940714285714293</v>
      </c>
      <c r="AH100" s="143">
        <f t="shared" si="3"/>
        <v>1100</v>
      </c>
    </row>
    <row r="101" spans="1:34" s="90" customFormat="1" x14ac:dyDescent="0.3">
      <c r="A101" s="84">
        <v>802596</v>
      </c>
      <c r="B101" s="94">
        <v>9.5833333333333321</v>
      </c>
      <c r="C101" s="94">
        <v>4.375</v>
      </c>
      <c r="D101" s="86">
        <v>8.51</v>
      </c>
      <c r="E101" s="99">
        <v>0.83</v>
      </c>
      <c r="F101" s="84">
        <v>506</v>
      </c>
      <c r="G101" s="84">
        <v>972.35</v>
      </c>
      <c r="H101" s="84">
        <v>25.084</v>
      </c>
      <c r="I101" s="84">
        <v>422</v>
      </c>
      <c r="J101" s="85">
        <v>0.42199999999999999</v>
      </c>
      <c r="K101" s="87">
        <v>10.398999999999999</v>
      </c>
      <c r="L101" s="83">
        <v>1263</v>
      </c>
      <c r="M101" s="86">
        <v>0.44</v>
      </c>
      <c r="N101" s="82">
        <v>0.71</v>
      </c>
      <c r="O101" s="82">
        <v>3.55</v>
      </c>
      <c r="P101" s="82">
        <v>1.52</v>
      </c>
      <c r="Q101" s="83"/>
      <c r="R101" s="86">
        <v>1.1287686376551236</v>
      </c>
      <c r="S101" s="87">
        <v>7.7</v>
      </c>
      <c r="T101" s="83"/>
      <c r="U101" s="83"/>
      <c r="V101" s="83"/>
      <c r="W101" s="83"/>
      <c r="X101" s="83"/>
      <c r="Y101" s="94">
        <v>21.000000000000004</v>
      </c>
      <c r="Z101" s="83"/>
      <c r="AA101" s="86"/>
      <c r="AB101" s="86"/>
      <c r="AC101" s="83">
        <v>5</v>
      </c>
      <c r="AD101" s="88">
        <v>300</v>
      </c>
      <c r="AE101" s="88">
        <v>560</v>
      </c>
      <c r="AF101" s="88">
        <v>140</v>
      </c>
      <c r="AG101" s="66">
        <f t="shared" si="2"/>
        <v>175.29742857142853</v>
      </c>
      <c r="AH101" s="143">
        <f t="shared" si="3"/>
        <v>1000</v>
      </c>
    </row>
    <row r="102" spans="1:34" s="90" customFormat="1" x14ac:dyDescent="0.3">
      <c r="A102" s="84">
        <v>802597</v>
      </c>
      <c r="B102" s="94">
        <v>9.3333333333333339</v>
      </c>
      <c r="C102" s="94">
        <v>4.1250000000000009</v>
      </c>
      <c r="D102" s="86">
        <v>8.6199999999999992</v>
      </c>
      <c r="E102" s="99">
        <v>0.56999999999999995</v>
      </c>
      <c r="F102" s="84">
        <v>384.5</v>
      </c>
      <c r="G102" s="84">
        <v>586.30000000000007</v>
      </c>
      <c r="H102" s="92">
        <v>165.006</v>
      </c>
      <c r="I102" s="84">
        <v>408</v>
      </c>
      <c r="J102" s="85">
        <v>0.27900000000000003</v>
      </c>
      <c r="K102" s="87">
        <v>11.846</v>
      </c>
      <c r="L102" s="83">
        <v>1464</v>
      </c>
      <c r="M102" s="86">
        <v>0.41</v>
      </c>
      <c r="N102" s="82">
        <v>0.84</v>
      </c>
      <c r="O102" s="94">
        <v>16.309999999999999</v>
      </c>
      <c r="P102" s="82">
        <v>1.72</v>
      </c>
      <c r="Q102" s="83"/>
      <c r="R102" s="86">
        <v>0.92033295272252635</v>
      </c>
      <c r="S102" s="87">
        <v>6.7</v>
      </c>
      <c r="T102" s="83"/>
      <c r="U102" s="83"/>
      <c r="V102" s="83"/>
      <c r="W102" s="83"/>
      <c r="X102" s="83"/>
      <c r="Y102" s="94">
        <v>22.400000000000002</v>
      </c>
      <c r="Z102" s="83"/>
      <c r="AA102" s="86"/>
      <c r="AB102" s="86"/>
      <c r="AC102" s="83">
        <v>5</v>
      </c>
      <c r="AD102" s="88">
        <v>320</v>
      </c>
      <c r="AE102" s="88">
        <v>540</v>
      </c>
      <c r="AF102" s="88">
        <v>140</v>
      </c>
      <c r="AG102" s="66">
        <f t="shared" si="2"/>
        <v>187.20910714285714</v>
      </c>
      <c r="AH102" s="143">
        <f t="shared" si="3"/>
        <v>1000</v>
      </c>
    </row>
    <row r="103" spans="1:34" s="90" customFormat="1" x14ac:dyDescent="0.3">
      <c r="A103" s="84">
        <v>802598</v>
      </c>
      <c r="B103" s="94">
        <v>16.583333333333332</v>
      </c>
      <c r="C103" s="94">
        <v>5.625</v>
      </c>
      <c r="D103" s="86">
        <v>8.36</v>
      </c>
      <c r="E103" s="99">
        <v>0.67</v>
      </c>
      <c r="F103" s="84">
        <v>279</v>
      </c>
      <c r="G103" s="84">
        <v>589.79999999999995</v>
      </c>
      <c r="H103" s="84">
        <v>30.155000000000001</v>
      </c>
      <c r="I103" s="84">
        <v>680</v>
      </c>
      <c r="J103" s="85">
        <v>0.248</v>
      </c>
      <c r="K103" s="87">
        <v>13.294</v>
      </c>
      <c r="L103" s="83">
        <v>1537</v>
      </c>
      <c r="M103" s="86">
        <v>0.25</v>
      </c>
      <c r="N103" s="82">
        <v>0.59</v>
      </c>
      <c r="O103" s="82">
        <v>2.2599999999999998</v>
      </c>
      <c r="P103" s="82">
        <v>1.87</v>
      </c>
      <c r="Q103" s="83"/>
      <c r="R103" s="86">
        <v>0.90942709054694837</v>
      </c>
      <c r="S103" s="87">
        <v>6.2</v>
      </c>
      <c r="T103" s="83"/>
      <c r="U103" s="83"/>
      <c r="V103" s="83"/>
      <c r="W103" s="83"/>
      <c r="X103" s="83"/>
      <c r="Y103" s="94">
        <v>21.000000000000004</v>
      </c>
      <c r="Z103" s="83"/>
      <c r="AA103" s="86"/>
      <c r="AB103" s="86"/>
      <c r="AC103" s="83">
        <v>5</v>
      </c>
      <c r="AD103" s="88">
        <v>300</v>
      </c>
      <c r="AE103" s="88">
        <v>560</v>
      </c>
      <c r="AF103" s="88">
        <v>140</v>
      </c>
      <c r="AG103" s="66">
        <f t="shared" si="2"/>
        <v>224.0988571428571</v>
      </c>
      <c r="AH103" s="143">
        <f t="shared" si="3"/>
        <v>1000</v>
      </c>
    </row>
    <row r="104" spans="1:34" s="90" customFormat="1" x14ac:dyDescent="0.3">
      <c r="A104" s="84">
        <v>802599</v>
      </c>
      <c r="B104" s="94">
        <v>19.833333333333332</v>
      </c>
      <c r="C104" s="94">
        <v>8.75</v>
      </c>
      <c r="D104" s="86">
        <v>8.81</v>
      </c>
      <c r="E104" s="99">
        <v>0.35</v>
      </c>
      <c r="F104" s="84">
        <v>75.849999999999994</v>
      </c>
      <c r="G104" s="84">
        <v>464.54999999999995</v>
      </c>
      <c r="H104" s="92">
        <v>26.052</v>
      </c>
      <c r="I104" s="84">
        <v>450</v>
      </c>
      <c r="J104" s="85">
        <v>0.104</v>
      </c>
      <c r="K104" s="87">
        <v>12.342000000000001</v>
      </c>
      <c r="L104" s="83">
        <v>1302</v>
      </c>
      <c r="M104" s="86">
        <v>0.31</v>
      </c>
      <c r="N104" s="82">
        <v>0.56999999999999995</v>
      </c>
      <c r="O104" s="82">
        <v>2.2999999999999998</v>
      </c>
      <c r="P104" s="82">
        <v>2.12</v>
      </c>
      <c r="Q104" s="83"/>
      <c r="R104" s="86">
        <v>0.91428012808280812</v>
      </c>
      <c r="S104" s="87">
        <v>6.3</v>
      </c>
      <c r="T104" s="83"/>
      <c r="U104" s="83"/>
      <c r="V104" s="83"/>
      <c r="W104" s="83"/>
      <c r="X104" s="83"/>
      <c r="Y104" s="94">
        <v>21.000000000000004</v>
      </c>
      <c r="Z104" s="83"/>
      <c r="AA104" s="86"/>
      <c r="AB104" s="86"/>
      <c r="AC104" s="83">
        <v>5</v>
      </c>
      <c r="AD104" s="88">
        <v>300</v>
      </c>
      <c r="AE104" s="88">
        <v>580</v>
      </c>
      <c r="AF104" s="88">
        <v>120</v>
      </c>
      <c r="AG104" s="66">
        <f t="shared" si="2"/>
        <v>208.05085714285713</v>
      </c>
      <c r="AH104" s="143">
        <f t="shared" si="3"/>
        <v>1000</v>
      </c>
    </row>
    <row r="105" spans="1:34" s="90" customFormat="1" x14ac:dyDescent="0.3">
      <c r="A105" s="84">
        <v>802600</v>
      </c>
      <c r="B105" s="94">
        <v>13.249999999999998</v>
      </c>
      <c r="C105" s="94">
        <v>4.2499999999999982</v>
      </c>
      <c r="D105" s="86">
        <v>8.36</v>
      </c>
      <c r="E105" s="99">
        <v>1.39</v>
      </c>
      <c r="F105" s="84">
        <v>1186.9499999999998</v>
      </c>
      <c r="G105" s="84">
        <v>405.95</v>
      </c>
      <c r="H105" s="84">
        <v>16.597999999999999</v>
      </c>
      <c r="I105" s="84">
        <v>410</v>
      </c>
      <c r="J105" s="85">
        <v>0.40699999999999997</v>
      </c>
      <c r="K105" s="87">
        <v>11.965</v>
      </c>
      <c r="L105" s="83">
        <v>1486</v>
      </c>
      <c r="M105" s="86">
        <v>0.25</v>
      </c>
      <c r="N105" s="82">
        <v>0.48</v>
      </c>
      <c r="O105" s="82">
        <v>2.25</v>
      </c>
      <c r="P105" s="82">
        <v>1.65</v>
      </c>
      <c r="Q105" s="83"/>
      <c r="R105" s="86">
        <v>0.45403231981395442</v>
      </c>
      <c r="S105" s="87">
        <v>3.4</v>
      </c>
      <c r="T105" s="83"/>
      <c r="U105" s="83"/>
      <c r="V105" s="83"/>
      <c r="W105" s="83"/>
      <c r="X105" s="83"/>
      <c r="Y105" s="94">
        <v>22.400000000000002</v>
      </c>
      <c r="Z105" s="83"/>
      <c r="AA105" s="86"/>
      <c r="AB105" s="86"/>
      <c r="AC105" s="83">
        <v>5</v>
      </c>
      <c r="AD105" s="88">
        <v>320</v>
      </c>
      <c r="AE105" s="88">
        <v>500</v>
      </c>
      <c r="AF105" s="88">
        <v>180</v>
      </c>
      <c r="AG105" s="66">
        <f t="shared" si="2"/>
        <v>189.08973214285712</v>
      </c>
      <c r="AH105" s="143">
        <f t="shared" si="3"/>
        <v>1000</v>
      </c>
    </row>
    <row r="106" spans="1:34" s="90" customFormat="1" x14ac:dyDescent="0.3">
      <c r="A106" s="84">
        <v>802601</v>
      </c>
      <c r="B106" s="94">
        <v>13.666666666666663</v>
      </c>
      <c r="C106" s="94">
        <v>2.5</v>
      </c>
      <c r="D106" s="86">
        <v>8.77</v>
      </c>
      <c r="E106" s="99">
        <v>0.39</v>
      </c>
      <c r="F106" s="84">
        <v>307.35000000000002</v>
      </c>
      <c r="G106" s="84">
        <v>190.39999999999998</v>
      </c>
      <c r="H106" s="92">
        <v>351.81599999999997</v>
      </c>
      <c r="I106" s="84">
        <v>70</v>
      </c>
      <c r="J106" s="85">
        <v>0.309</v>
      </c>
      <c r="K106" s="87">
        <v>6.8319999999999999</v>
      </c>
      <c r="L106" s="83">
        <v>1137</v>
      </c>
      <c r="M106" s="86">
        <v>2.64</v>
      </c>
      <c r="N106" s="82">
        <v>0.45</v>
      </c>
      <c r="O106" s="82">
        <v>3.54</v>
      </c>
      <c r="P106" s="82">
        <v>4.08</v>
      </c>
      <c r="Q106" s="83"/>
      <c r="R106" s="86">
        <v>1.0352102409845259</v>
      </c>
      <c r="S106" s="87">
        <v>7.5</v>
      </c>
      <c r="T106" s="83"/>
      <c r="U106" s="83"/>
      <c r="V106" s="83"/>
      <c r="W106" s="83"/>
      <c r="X106" s="83"/>
      <c r="Y106" s="94">
        <v>4.2</v>
      </c>
      <c r="Z106" s="83"/>
      <c r="AA106" s="86"/>
      <c r="AB106" s="86"/>
      <c r="AC106" s="83">
        <v>5</v>
      </c>
      <c r="AD106" s="88">
        <v>60</v>
      </c>
      <c r="AE106" s="88">
        <v>60</v>
      </c>
      <c r="AF106" s="88">
        <v>880</v>
      </c>
      <c r="AG106" s="66">
        <f t="shared" si="2"/>
        <v>575.83999999999992</v>
      </c>
      <c r="AH106" s="143">
        <f t="shared" si="3"/>
        <v>1000</v>
      </c>
    </row>
    <row r="107" spans="1:34" s="90" customFormat="1" x14ac:dyDescent="0.3">
      <c r="A107" s="84">
        <v>802602</v>
      </c>
      <c r="B107" s="94">
        <v>9.8749999999999982</v>
      </c>
      <c r="C107" s="94">
        <v>6.25</v>
      </c>
      <c r="D107" s="86">
        <v>8.56</v>
      </c>
      <c r="E107" s="99">
        <v>0.33</v>
      </c>
      <c r="F107" s="84">
        <v>173.25</v>
      </c>
      <c r="G107" s="84">
        <v>322.59999999999997</v>
      </c>
      <c r="H107" s="84">
        <v>26.817</v>
      </c>
      <c r="I107" s="84">
        <v>497</v>
      </c>
      <c r="J107" s="85">
        <v>0.32600000000000001</v>
      </c>
      <c r="K107" s="87">
        <v>12.807</v>
      </c>
      <c r="L107" s="83">
        <v>1571</v>
      </c>
      <c r="M107" s="86">
        <v>1.04</v>
      </c>
      <c r="N107" s="82">
        <v>1.35</v>
      </c>
      <c r="O107" s="82">
        <v>9.7899999999999991</v>
      </c>
      <c r="P107" s="82">
        <v>3.09</v>
      </c>
      <c r="Q107" s="83"/>
      <c r="R107" s="86">
        <v>1.9439120000000001</v>
      </c>
      <c r="S107" s="87">
        <v>21.8</v>
      </c>
      <c r="T107" s="83"/>
      <c r="U107" s="83"/>
      <c r="V107" s="83"/>
      <c r="W107" s="83"/>
      <c r="X107" s="83"/>
      <c r="Y107" s="94">
        <v>14.000000000000002</v>
      </c>
      <c r="Z107" s="83"/>
      <c r="AA107" s="86"/>
      <c r="AB107" s="86"/>
      <c r="AC107" s="83">
        <v>5</v>
      </c>
      <c r="AD107" s="88">
        <v>200</v>
      </c>
      <c r="AE107" s="88">
        <v>580</v>
      </c>
      <c r="AF107" s="88">
        <v>220</v>
      </c>
      <c r="AG107" s="66">
        <f t="shared" si="2"/>
        <v>323.83414285714287</v>
      </c>
      <c r="AH107" s="143">
        <f t="shared" si="3"/>
        <v>1000</v>
      </c>
    </row>
    <row r="108" spans="1:34" s="90" customFormat="1" x14ac:dyDescent="0.3">
      <c r="A108" s="84">
        <v>802603</v>
      </c>
      <c r="B108" s="94">
        <v>0.28333333333333333</v>
      </c>
      <c r="C108" s="94">
        <v>1.7499999999999982</v>
      </c>
      <c r="D108" s="86">
        <v>8.36</v>
      </c>
      <c r="E108" s="99">
        <v>0.17</v>
      </c>
      <c r="F108" s="84">
        <v>76.75</v>
      </c>
      <c r="G108" s="84">
        <v>84.45</v>
      </c>
      <c r="H108" s="92">
        <v>131.19200000000001</v>
      </c>
      <c r="I108" s="84">
        <v>240</v>
      </c>
      <c r="J108" s="85">
        <v>0.30199999999999999</v>
      </c>
      <c r="K108" s="87">
        <v>7.5350000000000001</v>
      </c>
      <c r="L108" s="83">
        <v>1216</v>
      </c>
      <c r="M108" s="86">
        <v>0.77</v>
      </c>
      <c r="N108" s="82">
        <v>1.46</v>
      </c>
      <c r="O108" s="94">
        <v>50.91</v>
      </c>
      <c r="P108" s="82">
        <v>43.99</v>
      </c>
      <c r="Q108" s="83"/>
      <c r="R108" s="86">
        <v>1.7444330000000001</v>
      </c>
      <c r="S108" s="87">
        <v>14.9</v>
      </c>
      <c r="T108" s="83"/>
      <c r="U108" s="83"/>
      <c r="V108" s="83"/>
      <c r="W108" s="83"/>
      <c r="X108" s="83"/>
      <c r="Y108" s="94">
        <v>28.9</v>
      </c>
      <c r="Z108" s="83"/>
      <c r="AA108" s="86"/>
      <c r="AB108" s="86"/>
      <c r="AC108" s="83">
        <v>5</v>
      </c>
      <c r="AD108" s="88">
        <v>560</v>
      </c>
      <c r="AE108" s="88">
        <v>340</v>
      </c>
      <c r="AF108" s="88">
        <v>10</v>
      </c>
      <c r="AG108" s="66">
        <f t="shared" si="2"/>
        <v>92.297231833910033</v>
      </c>
      <c r="AH108" s="143">
        <f t="shared" si="3"/>
        <v>910</v>
      </c>
    </row>
    <row r="109" spans="1:34" s="90" customFormat="1" x14ac:dyDescent="0.3">
      <c r="A109" s="84">
        <v>802604</v>
      </c>
      <c r="B109" s="94">
        <v>0.23333333333333331</v>
      </c>
      <c r="C109" s="94"/>
      <c r="D109" s="86">
        <v>7.97</v>
      </c>
      <c r="E109" s="99">
        <v>0.21</v>
      </c>
      <c r="F109" s="84">
        <v>66.545000000000002</v>
      </c>
      <c r="G109" s="84">
        <v>95.3</v>
      </c>
      <c r="H109" s="84">
        <v>78.138000000000005</v>
      </c>
      <c r="I109" s="84">
        <v>340</v>
      </c>
      <c r="J109" s="85">
        <v>0.114</v>
      </c>
      <c r="K109" s="87">
        <v>7.9909999999999997</v>
      </c>
      <c r="L109" s="83">
        <v>1400</v>
      </c>
      <c r="M109" s="86">
        <v>0.81</v>
      </c>
      <c r="N109" s="82">
        <v>1.05</v>
      </c>
      <c r="O109" s="92">
        <v>111.73</v>
      </c>
      <c r="P109" s="82">
        <v>18.07</v>
      </c>
      <c r="Q109" s="83"/>
      <c r="R109" s="86">
        <v>1.6850520000000002</v>
      </c>
      <c r="S109" s="87">
        <v>13.2</v>
      </c>
      <c r="T109" s="83"/>
      <c r="U109" s="83"/>
      <c r="V109" s="83"/>
      <c r="W109" s="83"/>
      <c r="X109" s="83"/>
      <c r="Y109" s="94">
        <v>28.7</v>
      </c>
      <c r="Z109" s="83"/>
      <c r="AA109" s="86"/>
      <c r="AB109" s="86"/>
      <c r="AC109" s="83">
        <v>5</v>
      </c>
      <c r="AD109" s="88">
        <v>560</v>
      </c>
      <c r="AE109" s="88">
        <v>400</v>
      </c>
      <c r="AF109" s="88">
        <v>40</v>
      </c>
      <c r="AG109" s="66">
        <f t="shared" si="2"/>
        <v>98.564947735191637</v>
      </c>
      <c r="AH109" s="143">
        <f t="shared" si="3"/>
        <v>1000</v>
      </c>
    </row>
    <row r="110" spans="1:34" s="90" customFormat="1" x14ac:dyDescent="0.3">
      <c r="A110" s="84">
        <v>802605</v>
      </c>
      <c r="B110" s="94">
        <v>29.333333333333332</v>
      </c>
      <c r="C110" s="94">
        <v>24.125</v>
      </c>
      <c r="D110" s="86">
        <v>8.74</v>
      </c>
      <c r="E110" s="99">
        <v>0.53</v>
      </c>
      <c r="F110" s="84">
        <v>188.79999999999998</v>
      </c>
      <c r="G110" s="84">
        <v>713.5</v>
      </c>
      <c r="H110" s="92">
        <v>318.38400000000001</v>
      </c>
      <c r="I110" s="84">
        <v>709</v>
      </c>
      <c r="J110" s="85">
        <v>0.45700000000000002</v>
      </c>
      <c r="K110" s="87">
        <v>12.141999999999999</v>
      </c>
      <c r="L110" s="83">
        <v>1254</v>
      </c>
      <c r="M110" s="86">
        <v>1.99</v>
      </c>
      <c r="N110" s="82">
        <v>0.56000000000000005</v>
      </c>
      <c r="O110" s="82">
        <v>2.85</v>
      </c>
      <c r="P110" s="82">
        <v>1.17</v>
      </c>
      <c r="Q110" s="83"/>
      <c r="R110" s="86">
        <v>0.92537922318464527</v>
      </c>
      <c r="S110" s="87">
        <v>6.3</v>
      </c>
      <c r="T110" s="83"/>
      <c r="U110" s="83"/>
      <c r="V110" s="83"/>
      <c r="W110" s="83"/>
      <c r="X110" s="83"/>
      <c r="Y110" s="94">
        <v>28.000000000000004</v>
      </c>
      <c r="Z110" s="83"/>
      <c r="AA110" s="86"/>
      <c r="AB110" s="86"/>
      <c r="AC110" s="83">
        <v>5</v>
      </c>
      <c r="AD110" s="88">
        <v>400</v>
      </c>
      <c r="AE110" s="88">
        <v>260</v>
      </c>
      <c r="AF110" s="88">
        <v>340</v>
      </c>
      <c r="AG110" s="66">
        <f t="shared" si="2"/>
        <v>153.50957142857141</v>
      </c>
      <c r="AH110" s="143">
        <f t="shared" si="3"/>
        <v>1000</v>
      </c>
    </row>
    <row r="111" spans="1:34" s="90" customFormat="1" x14ac:dyDescent="0.3">
      <c r="A111" s="84">
        <v>802606</v>
      </c>
      <c r="B111" s="94">
        <v>0.11666666666666665</v>
      </c>
      <c r="C111" s="94"/>
      <c r="D111" s="86">
        <v>8.2200000000000006</v>
      </c>
      <c r="E111" s="99">
        <v>0.05</v>
      </c>
      <c r="F111" s="84">
        <v>25.55</v>
      </c>
      <c r="G111" s="84">
        <v>90.3</v>
      </c>
      <c r="H111" s="84">
        <v>2.456</v>
      </c>
      <c r="I111" s="84">
        <v>127</v>
      </c>
      <c r="J111" s="85">
        <v>4.9000000000000002E-2</v>
      </c>
      <c r="K111" s="87">
        <v>3.556</v>
      </c>
      <c r="L111" s="83">
        <v>177</v>
      </c>
      <c r="M111" s="86">
        <v>0.28999999999999998</v>
      </c>
      <c r="N111" s="82">
        <v>0.16</v>
      </c>
      <c r="O111" s="82">
        <v>9.82</v>
      </c>
      <c r="P111" s="82">
        <v>5.37</v>
      </c>
      <c r="Q111" s="83"/>
      <c r="R111" s="86">
        <v>0.46928181310040135</v>
      </c>
      <c r="S111" s="87">
        <v>3.2</v>
      </c>
      <c r="T111" s="83"/>
      <c r="U111" s="83"/>
      <c r="V111" s="83"/>
      <c r="W111" s="83"/>
      <c r="X111" s="83"/>
      <c r="Y111" s="94">
        <v>11.200000000000001</v>
      </c>
      <c r="Z111" s="83"/>
      <c r="AA111" s="86"/>
      <c r="AB111" s="86"/>
      <c r="AC111" s="83">
        <v>5</v>
      </c>
      <c r="AD111" s="88">
        <v>160</v>
      </c>
      <c r="AE111" s="88">
        <v>440</v>
      </c>
      <c r="AF111" s="88">
        <v>400</v>
      </c>
      <c r="AG111" s="66">
        <f t="shared" si="2"/>
        <v>112.395</v>
      </c>
      <c r="AH111" s="143">
        <f t="shared" si="3"/>
        <v>1000</v>
      </c>
    </row>
    <row r="112" spans="1:34" s="90" customFormat="1" x14ac:dyDescent="0.3">
      <c r="A112" s="84">
        <v>802607</v>
      </c>
      <c r="B112" s="94">
        <v>1E-4</v>
      </c>
      <c r="C112" s="94"/>
      <c r="D112" s="86">
        <v>8.3699999999999992</v>
      </c>
      <c r="E112" s="99">
        <v>0.04</v>
      </c>
      <c r="F112" s="84">
        <v>26.25</v>
      </c>
      <c r="G112" s="84">
        <v>162.15</v>
      </c>
      <c r="H112" s="92">
        <v>5.4880000000000004</v>
      </c>
      <c r="I112" s="84">
        <v>64</v>
      </c>
      <c r="J112" s="85">
        <v>3.7999999999999999E-2</v>
      </c>
      <c r="K112" s="87">
        <v>8.7880000000000003</v>
      </c>
      <c r="L112" s="83">
        <v>246</v>
      </c>
      <c r="M112" s="86">
        <v>0.83</v>
      </c>
      <c r="N112" s="82">
        <v>0.25</v>
      </c>
      <c r="O112" s="82">
        <v>5.38</v>
      </c>
      <c r="P112" s="82">
        <v>4.9000000000000004</v>
      </c>
      <c r="Q112" s="83"/>
      <c r="R112" s="86">
        <v>0.32966500687584938</v>
      </c>
      <c r="S112" s="87">
        <v>2.2999999999999998</v>
      </c>
      <c r="T112" s="83"/>
      <c r="U112" s="83"/>
      <c r="V112" s="83"/>
      <c r="W112" s="83"/>
      <c r="X112" s="83"/>
      <c r="Y112" s="94">
        <v>25.200000000000003</v>
      </c>
      <c r="Z112" s="83"/>
      <c r="AA112" s="86"/>
      <c r="AB112" s="86"/>
      <c r="AC112" s="83">
        <v>5</v>
      </c>
      <c r="AD112" s="88">
        <v>360</v>
      </c>
      <c r="AE112" s="88">
        <v>540</v>
      </c>
      <c r="AF112" s="88">
        <v>100</v>
      </c>
      <c r="AG112" s="66">
        <f t="shared" si="2"/>
        <v>123.45047619047617</v>
      </c>
      <c r="AH112" s="143">
        <f t="shared" si="3"/>
        <v>1000</v>
      </c>
    </row>
    <row r="113" spans="1:34" s="90" customFormat="1" x14ac:dyDescent="0.3">
      <c r="A113" s="84">
        <v>802608</v>
      </c>
      <c r="B113" s="94">
        <v>1.6666666666666666E-2</v>
      </c>
      <c r="C113" s="94"/>
      <c r="D113" s="86">
        <v>8.08</v>
      </c>
      <c r="E113" s="99">
        <v>0.03</v>
      </c>
      <c r="F113" s="84">
        <v>24.049999999999997</v>
      </c>
      <c r="G113" s="84">
        <v>69</v>
      </c>
      <c r="H113" s="84">
        <v>11.425000000000001</v>
      </c>
      <c r="I113" s="84">
        <v>54</v>
      </c>
      <c r="J113" s="85">
        <v>3.9E-2</v>
      </c>
      <c r="K113" s="87">
        <v>3.1659999999999999</v>
      </c>
      <c r="L113" s="83">
        <v>76</v>
      </c>
      <c r="M113" s="86">
        <v>0.09</v>
      </c>
      <c r="N113" s="82">
        <v>0.11</v>
      </c>
      <c r="O113" s="82">
        <v>7.8</v>
      </c>
      <c r="P113" s="82">
        <v>2.95</v>
      </c>
      <c r="Q113" s="83"/>
      <c r="R113" s="86">
        <v>0.31557179982667777</v>
      </c>
      <c r="S113" s="87">
        <v>2.2999999999999998</v>
      </c>
      <c r="T113" s="83"/>
      <c r="U113" s="83"/>
      <c r="V113" s="83"/>
      <c r="W113" s="83"/>
      <c r="X113" s="83"/>
      <c r="Y113" s="94">
        <v>2.1</v>
      </c>
      <c r="Z113" s="83"/>
      <c r="AA113" s="86"/>
      <c r="AB113" s="86"/>
      <c r="AC113" s="83">
        <v>5</v>
      </c>
      <c r="AD113" s="88">
        <v>60</v>
      </c>
      <c r="AE113" s="88">
        <v>60</v>
      </c>
      <c r="AF113" s="88">
        <v>880</v>
      </c>
      <c r="AG113" s="66">
        <f t="shared" si="2"/>
        <v>533.69714285714281</v>
      </c>
      <c r="AH113" s="143">
        <f t="shared" si="3"/>
        <v>1000</v>
      </c>
    </row>
    <row r="114" spans="1:34" s="90" customFormat="1" x14ac:dyDescent="0.3">
      <c r="A114" s="84">
        <v>802609</v>
      </c>
      <c r="B114" s="94">
        <v>1.6666666666666666E-2</v>
      </c>
      <c r="C114" s="94"/>
      <c r="D114" s="86">
        <v>7.43</v>
      </c>
      <c r="E114" s="99">
        <v>0.05</v>
      </c>
      <c r="F114" s="84">
        <v>30.2</v>
      </c>
      <c r="G114" s="84">
        <v>117.35</v>
      </c>
      <c r="H114" s="92">
        <v>10.558999999999999</v>
      </c>
      <c r="I114" s="84">
        <v>65</v>
      </c>
      <c r="J114" s="85">
        <v>2.4E-2</v>
      </c>
      <c r="K114" s="87">
        <v>6.8810000000000002</v>
      </c>
      <c r="L114" s="83">
        <v>270</v>
      </c>
      <c r="M114" s="86">
        <v>0.4</v>
      </c>
      <c r="N114" s="82">
        <v>0.36</v>
      </c>
      <c r="O114" s="82">
        <v>8.52</v>
      </c>
      <c r="P114" s="82">
        <v>14.16</v>
      </c>
      <c r="Q114" s="83"/>
      <c r="R114" s="86">
        <v>0.51117499449675696</v>
      </c>
      <c r="S114" s="87">
        <v>3.8</v>
      </c>
      <c r="T114" s="83"/>
      <c r="U114" s="83"/>
      <c r="V114" s="83"/>
      <c r="W114" s="83"/>
      <c r="X114" s="83"/>
      <c r="Y114" s="94">
        <v>25.200000000000003</v>
      </c>
      <c r="Z114" s="83"/>
      <c r="AA114" s="86"/>
      <c r="AB114" s="86"/>
      <c r="AC114" s="83">
        <v>5</v>
      </c>
      <c r="AD114" s="88">
        <v>360</v>
      </c>
      <c r="AE114" s="88">
        <v>480</v>
      </c>
      <c r="AF114" s="88">
        <v>160</v>
      </c>
      <c r="AG114" s="66">
        <f t="shared" si="2"/>
        <v>96.661666666666662</v>
      </c>
      <c r="AH114" s="143">
        <f t="shared" si="3"/>
        <v>1000</v>
      </c>
    </row>
    <row r="115" spans="1:34" s="90" customFormat="1" x14ac:dyDescent="0.3">
      <c r="A115" s="84">
        <v>802610</v>
      </c>
      <c r="B115" s="87">
        <v>2.7666666666666666</v>
      </c>
      <c r="C115" s="87"/>
      <c r="D115" s="86">
        <v>8.24</v>
      </c>
      <c r="E115" s="99">
        <v>0.24</v>
      </c>
      <c r="F115" s="84">
        <v>22.85</v>
      </c>
      <c r="G115" s="83">
        <v>46.95</v>
      </c>
      <c r="H115" s="84">
        <v>18.64</v>
      </c>
      <c r="I115" s="84">
        <v>130</v>
      </c>
      <c r="J115" s="85">
        <v>0.129</v>
      </c>
      <c r="K115" s="87">
        <v>10.95</v>
      </c>
      <c r="L115" s="83">
        <v>5511</v>
      </c>
      <c r="M115" s="83"/>
      <c r="N115" s="83"/>
      <c r="O115" s="83"/>
      <c r="P115" s="83"/>
      <c r="Q115" s="83"/>
      <c r="R115" s="86">
        <v>1.6631279999999999</v>
      </c>
      <c r="S115" s="94">
        <v>12.6</v>
      </c>
      <c r="T115" s="83"/>
      <c r="U115" s="83"/>
      <c r="V115" s="83"/>
      <c r="W115" s="83"/>
      <c r="X115" s="83"/>
      <c r="Y115" s="87">
        <v>37.799999999999997</v>
      </c>
      <c r="Z115" s="83"/>
      <c r="AA115" s="86"/>
      <c r="AB115" s="86"/>
      <c r="AC115" s="83"/>
      <c r="AD115" s="88">
        <v>630</v>
      </c>
      <c r="AE115" s="88">
        <v>200</v>
      </c>
      <c r="AF115" s="88">
        <v>170</v>
      </c>
      <c r="AG115" s="66">
        <f t="shared" si="2"/>
        <v>102.54761904761905</v>
      </c>
      <c r="AH115" s="143">
        <f t="shared" si="3"/>
        <v>1000</v>
      </c>
    </row>
    <row r="116" spans="1:34" s="90" customFormat="1" x14ac:dyDescent="0.3">
      <c r="A116" s="84">
        <v>802611</v>
      </c>
      <c r="B116" s="87">
        <v>0.33333333333333331</v>
      </c>
      <c r="C116" s="87"/>
      <c r="D116" s="86">
        <v>8</v>
      </c>
      <c r="E116" s="99">
        <v>0.08</v>
      </c>
      <c r="F116" s="84">
        <v>7.75</v>
      </c>
      <c r="G116" s="83">
        <v>64.150000000000006</v>
      </c>
      <c r="H116" s="92">
        <v>30.02</v>
      </c>
      <c r="I116" s="84">
        <v>100</v>
      </c>
      <c r="J116" s="85">
        <v>0.1426</v>
      </c>
      <c r="K116" s="87">
        <v>10.119999999999999</v>
      </c>
      <c r="L116" s="83">
        <v>7461</v>
      </c>
      <c r="M116" s="83"/>
      <c r="N116" s="83"/>
      <c r="O116" s="83"/>
      <c r="P116" s="83"/>
      <c r="Q116" s="83"/>
      <c r="R116" s="86">
        <v>1.3421196808345333</v>
      </c>
      <c r="S116" s="94">
        <v>8.8000000000000007</v>
      </c>
      <c r="T116" s="83"/>
      <c r="U116" s="83"/>
      <c r="V116" s="83"/>
      <c r="W116" s="83"/>
      <c r="X116" s="83"/>
      <c r="Y116" s="87">
        <v>39</v>
      </c>
      <c r="Z116" s="83"/>
      <c r="AA116" s="86"/>
      <c r="AB116" s="86"/>
      <c r="AC116" s="83"/>
      <c r="AD116" s="88">
        <v>650</v>
      </c>
      <c r="AE116" s="88">
        <v>310</v>
      </c>
      <c r="AF116" s="88">
        <v>40</v>
      </c>
      <c r="AG116" s="66">
        <f t="shared" si="2"/>
        <v>91.858461538461526</v>
      </c>
      <c r="AH116" s="143">
        <f t="shared" si="3"/>
        <v>1000</v>
      </c>
    </row>
    <row r="117" spans="1:34" s="90" customFormat="1" x14ac:dyDescent="0.3">
      <c r="A117" s="84">
        <v>802612</v>
      </c>
      <c r="B117" s="87">
        <v>0.33333333333333331</v>
      </c>
      <c r="C117" s="87"/>
      <c r="D117" s="86">
        <v>7.55</v>
      </c>
      <c r="E117" s="99">
        <v>7.0000000000000007E-2</v>
      </c>
      <c r="F117" s="84">
        <v>4.6000000000000005</v>
      </c>
      <c r="G117" s="83">
        <v>43.6</v>
      </c>
      <c r="H117" s="84">
        <v>35.590000000000003</v>
      </c>
      <c r="I117" s="84">
        <v>110</v>
      </c>
      <c r="J117" s="85">
        <v>0.1389</v>
      </c>
      <c r="K117" s="87">
        <v>10.55</v>
      </c>
      <c r="L117" s="83">
        <v>8309</v>
      </c>
      <c r="M117" s="83"/>
      <c r="N117" s="83"/>
      <c r="O117" s="83"/>
      <c r="P117" s="83"/>
      <c r="Q117" s="83"/>
      <c r="R117" s="86">
        <v>1.3089158478850311</v>
      </c>
      <c r="S117" s="94">
        <v>9.6</v>
      </c>
      <c r="T117" s="83"/>
      <c r="U117" s="83"/>
      <c r="V117" s="83"/>
      <c r="W117" s="83"/>
      <c r="X117" s="83"/>
      <c r="Y117" s="87">
        <v>40</v>
      </c>
      <c r="Z117" s="83"/>
      <c r="AA117" s="86"/>
      <c r="AB117" s="86"/>
      <c r="AC117" s="83"/>
      <c r="AD117" s="88">
        <v>860</v>
      </c>
      <c r="AE117" s="88">
        <v>100</v>
      </c>
      <c r="AF117" s="88">
        <v>40</v>
      </c>
      <c r="AG117" s="66">
        <f t="shared" si="2"/>
        <v>93.367500000000007</v>
      </c>
      <c r="AH117" s="143">
        <f t="shared" si="3"/>
        <v>1000</v>
      </c>
    </row>
    <row r="118" spans="1:34" s="90" customFormat="1" x14ac:dyDescent="0.3">
      <c r="A118" s="84">
        <v>802613</v>
      </c>
      <c r="B118" s="87">
        <v>5.4999999999999991</v>
      </c>
      <c r="C118" s="87"/>
      <c r="D118" s="86">
        <v>7.32</v>
      </c>
      <c r="E118" s="99">
        <v>0.19</v>
      </c>
      <c r="F118" s="84">
        <v>15.75</v>
      </c>
      <c r="G118" s="83">
        <v>40.15</v>
      </c>
      <c r="H118" s="92">
        <v>15.42</v>
      </c>
      <c r="I118" s="84">
        <v>160</v>
      </c>
      <c r="J118" s="85">
        <v>9.5000000000000001E-2</v>
      </c>
      <c r="K118" s="87">
        <v>13.23</v>
      </c>
      <c r="L118" s="83">
        <v>3496</v>
      </c>
      <c r="M118" s="83"/>
      <c r="N118" s="83"/>
      <c r="O118" s="83"/>
      <c r="P118" s="83"/>
      <c r="Q118" s="83"/>
      <c r="R118" s="86">
        <v>1.7410520000000003</v>
      </c>
      <c r="S118" s="94">
        <v>14.8</v>
      </c>
      <c r="T118" s="83"/>
      <c r="U118" s="83"/>
      <c r="V118" s="83"/>
      <c r="W118" s="83"/>
      <c r="X118" s="83"/>
      <c r="Y118" s="87">
        <v>37.199999999999996</v>
      </c>
      <c r="Z118" s="83"/>
      <c r="AA118" s="86"/>
      <c r="AB118" s="86"/>
      <c r="AC118" s="83"/>
      <c r="AD118" s="88">
        <v>620</v>
      </c>
      <c r="AE118" s="88">
        <v>310</v>
      </c>
      <c r="AF118" s="88">
        <v>70</v>
      </c>
      <c r="AG118" s="66">
        <f t="shared" si="2"/>
        <v>125.89838709677421</v>
      </c>
      <c r="AH118" s="143">
        <f t="shared" si="3"/>
        <v>1000</v>
      </c>
    </row>
    <row r="119" spans="1:34" s="90" customFormat="1" x14ac:dyDescent="0.3">
      <c r="A119" s="84">
        <v>802614</v>
      </c>
      <c r="B119" s="87">
        <v>1.5500000000000003</v>
      </c>
      <c r="C119" s="87"/>
      <c r="D119" s="86">
        <v>7.38</v>
      </c>
      <c r="E119" s="99">
        <v>0.16</v>
      </c>
      <c r="F119" s="84">
        <v>7.45</v>
      </c>
      <c r="G119" s="83">
        <v>72.45</v>
      </c>
      <c r="H119" s="84">
        <v>25.75</v>
      </c>
      <c r="I119" s="84">
        <v>240</v>
      </c>
      <c r="J119" s="85">
        <v>0.1431</v>
      </c>
      <c r="K119" s="87">
        <v>8.4700000000000006</v>
      </c>
      <c r="L119" s="83">
        <v>367</v>
      </c>
      <c r="M119" s="83"/>
      <c r="N119" s="83"/>
      <c r="O119" s="83"/>
      <c r="P119" s="83"/>
      <c r="Q119" s="83"/>
      <c r="R119" s="86">
        <v>1.9390680000000002</v>
      </c>
      <c r="S119" s="94">
        <v>21.6</v>
      </c>
      <c r="T119" s="83"/>
      <c r="U119" s="83"/>
      <c r="V119" s="83"/>
      <c r="W119" s="83"/>
      <c r="X119" s="83"/>
      <c r="Y119" s="87">
        <v>32.4</v>
      </c>
      <c r="Z119" s="83"/>
      <c r="AA119" s="86"/>
      <c r="AB119" s="86"/>
      <c r="AC119" s="83"/>
      <c r="AD119" s="88">
        <v>540</v>
      </c>
      <c r="AE119" s="88">
        <v>440</v>
      </c>
      <c r="AF119" s="88">
        <v>20</v>
      </c>
      <c r="AG119" s="66">
        <f t="shared" si="2"/>
        <v>92.542592592592598</v>
      </c>
      <c r="AH119" s="143">
        <f t="shared" si="3"/>
        <v>1000</v>
      </c>
    </row>
    <row r="120" spans="1:34" s="90" customFormat="1" x14ac:dyDescent="0.3">
      <c r="A120" s="84">
        <v>802615</v>
      </c>
      <c r="B120" s="87">
        <v>16.166666666666664</v>
      </c>
      <c r="C120" s="87">
        <v>3.5000000000000009</v>
      </c>
      <c r="D120" s="86">
        <v>7.45</v>
      </c>
      <c r="E120" s="99">
        <v>0.13</v>
      </c>
      <c r="F120" s="84">
        <v>1.45</v>
      </c>
      <c r="G120" s="83">
        <v>26.200000000000003</v>
      </c>
      <c r="H120" s="92">
        <v>18.88</v>
      </c>
      <c r="I120" s="84">
        <v>380</v>
      </c>
      <c r="J120" s="85">
        <v>4.9700000000000001E-2</v>
      </c>
      <c r="K120" s="87">
        <v>11.03</v>
      </c>
      <c r="L120" s="83">
        <v>418</v>
      </c>
      <c r="M120" s="83"/>
      <c r="N120" s="83"/>
      <c r="O120" s="83"/>
      <c r="P120" s="83"/>
      <c r="Q120" s="83"/>
      <c r="R120" s="86">
        <v>1.8902570000000001</v>
      </c>
      <c r="S120" s="94">
        <v>19.7</v>
      </c>
      <c r="T120" s="83"/>
      <c r="U120" s="83"/>
      <c r="V120" s="83"/>
      <c r="W120" s="83"/>
      <c r="X120" s="83"/>
      <c r="Y120" s="87">
        <v>36</v>
      </c>
      <c r="Z120" s="83"/>
      <c r="AA120" s="86"/>
      <c r="AB120" s="86"/>
      <c r="AC120" s="83"/>
      <c r="AD120" s="88">
        <v>600</v>
      </c>
      <c r="AE120" s="88">
        <v>270</v>
      </c>
      <c r="AF120" s="88">
        <v>130</v>
      </c>
      <c r="AG120" s="66">
        <f t="shared" si="2"/>
        <v>108.46166666666666</v>
      </c>
      <c r="AH120" s="143">
        <f t="shared" si="3"/>
        <v>1000</v>
      </c>
    </row>
    <row r="121" spans="1:34" s="90" customFormat="1" x14ac:dyDescent="0.3">
      <c r="A121" s="84">
        <v>802616</v>
      </c>
      <c r="B121" s="87">
        <v>3</v>
      </c>
      <c r="C121" s="87"/>
      <c r="D121" s="86">
        <v>7.58</v>
      </c>
      <c r="E121" s="99">
        <v>0.18</v>
      </c>
      <c r="F121" s="84">
        <v>23.2</v>
      </c>
      <c r="G121" s="83">
        <v>43.4</v>
      </c>
      <c r="H121" s="84">
        <v>31.102</v>
      </c>
      <c r="I121" s="84">
        <v>200</v>
      </c>
      <c r="J121" s="85">
        <v>6.4100000000000004E-2</v>
      </c>
      <c r="K121" s="87">
        <v>10.8</v>
      </c>
      <c r="L121" s="83">
        <v>424</v>
      </c>
      <c r="M121" s="83"/>
      <c r="N121" s="83"/>
      <c r="O121" s="83"/>
      <c r="P121" s="83"/>
      <c r="Q121" s="83"/>
      <c r="R121" s="86">
        <v>2.1274519999999999</v>
      </c>
      <c r="S121" s="94">
        <v>44.800000000000004</v>
      </c>
      <c r="T121" s="83"/>
      <c r="U121" s="83"/>
      <c r="V121" s="83"/>
      <c r="W121" s="83"/>
      <c r="X121" s="83"/>
      <c r="Y121" s="87">
        <v>37.799999999999997</v>
      </c>
      <c r="Z121" s="83"/>
      <c r="AA121" s="86"/>
      <c r="AB121" s="86"/>
      <c r="AC121" s="83"/>
      <c r="AD121" s="88">
        <v>630</v>
      </c>
      <c r="AE121" s="88">
        <v>260</v>
      </c>
      <c r="AF121" s="88">
        <v>110</v>
      </c>
      <c r="AG121" s="66">
        <f t="shared" si="2"/>
        <v>101.14285714285717</v>
      </c>
      <c r="AH121" s="143">
        <f t="shared" si="3"/>
        <v>1000</v>
      </c>
    </row>
    <row r="122" spans="1:34" s="90" customFormat="1" x14ac:dyDescent="0.3">
      <c r="A122" s="84">
        <v>802617</v>
      </c>
      <c r="B122" s="87">
        <v>3.1000000000000005</v>
      </c>
      <c r="C122" s="87"/>
      <c r="D122" s="86">
        <v>7.74</v>
      </c>
      <c r="E122" s="99">
        <v>0.14000000000000001</v>
      </c>
      <c r="F122" s="84">
        <v>14.299999999999999</v>
      </c>
      <c r="G122" s="83">
        <v>33.450000000000003</v>
      </c>
      <c r="H122" s="92">
        <v>15.099</v>
      </c>
      <c r="I122" s="84">
        <v>410</v>
      </c>
      <c r="J122" s="85">
        <v>8.2000000000000003E-2</v>
      </c>
      <c r="K122" s="87">
        <v>10.6</v>
      </c>
      <c r="L122" s="83">
        <v>414</v>
      </c>
      <c r="M122" s="83"/>
      <c r="N122" s="83"/>
      <c r="O122" s="83"/>
      <c r="P122" s="83"/>
      <c r="Q122" s="83"/>
      <c r="R122" s="86">
        <v>2.0433680000000001</v>
      </c>
      <c r="S122" s="94">
        <v>26.6</v>
      </c>
      <c r="T122" s="83"/>
      <c r="U122" s="83"/>
      <c r="V122" s="83"/>
      <c r="W122" s="83"/>
      <c r="X122" s="83"/>
      <c r="Y122" s="87">
        <v>34.799999999999997</v>
      </c>
      <c r="Z122" s="83"/>
      <c r="AA122" s="86"/>
      <c r="AB122" s="86"/>
      <c r="AC122" s="83"/>
      <c r="AD122" s="88">
        <v>580</v>
      </c>
      <c r="AE122" s="88">
        <v>300</v>
      </c>
      <c r="AF122" s="88">
        <v>120</v>
      </c>
      <c r="AG122" s="66">
        <f t="shared" si="2"/>
        <v>107.82758620689657</v>
      </c>
      <c r="AH122" s="143">
        <f t="shared" si="3"/>
        <v>1000</v>
      </c>
    </row>
    <row r="123" spans="1:34" s="90" customFormat="1" x14ac:dyDescent="0.3">
      <c r="A123" s="84">
        <v>802618</v>
      </c>
      <c r="B123" s="87">
        <v>0.23333333333333331</v>
      </c>
      <c r="C123" s="87"/>
      <c r="D123" s="86">
        <v>7.28</v>
      </c>
      <c r="E123" s="99">
        <v>0.12</v>
      </c>
      <c r="F123" s="84">
        <v>36.1</v>
      </c>
      <c r="G123" s="83">
        <v>44</v>
      </c>
      <c r="H123" s="84">
        <v>56.676000000000002</v>
      </c>
      <c r="I123" s="84">
        <v>230</v>
      </c>
      <c r="J123" s="85">
        <v>5.4699999999999999E-2</v>
      </c>
      <c r="K123" s="87">
        <v>6.48</v>
      </c>
      <c r="L123" s="83">
        <v>654</v>
      </c>
      <c r="M123" s="83"/>
      <c r="N123" s="83"/>
      <c r="O123" s="83"/>
      <c r="P123" s="83"/>
      <c r="Q123" s="83"/>
      <c r="R123" s="86">
        <v>1.8452330000000001</v>
      </c>
      <c r="S123" s="94">
        <v>18.100000000000001</v>
      </c>
      <c r="T123" s="83"/>
      <c r="U123" s="83"/>
      <c r="V123" s="83"/>
      <c r="W123" s="83"/>
      <c r="X123" s="83"/>
      <c r="Y123" s="87">
        <v>21.700000000000003</v>
      </c>
      <c r="Z123" s="83"/>
      <c r="AA123" s="86"/>
      <c r="AB123" s="86"/>
      <c r="AC123" s="83"/>
      <c r="AD123" s="88">
        <v>310</v>
      </c>
      <c r="AE123" s="88">
        <v>620</v>
      </c>
      <c r="AF123" s="88">
        <v>70</v>
      </c>
      <c r="AG123" s="66">
        <f t="shared" si="2"/>
        <v>105.71059907834102</v>
      </c>
      <c r="AH123" s="143">
        <f t="shared" si="3"/>
        <v>1000</v>
      </c>
    </row>
    <row r="124" spans="1:34" s="90" customFormat="1" x14ac:dyDescent="0.3">
      <c r="A124" s="84">
        <v>802619</v>
      </c>
      <c r="B124" s="87">
        <v>0.41666666666666669</v>
      </c>
      <c r="C124" s="87"/>
      <c r="D124" s="86">
        <v>7.63</v>
      </c>
      <c r="E124" s="99">
        <v>0.11</v>
      </c>
      <c r="F124" s="84">
        <v>8.75</v>
      </c>
      <c r="G124" s="83">
        <v>40.35</v>
      </c>
      <c r="H124" s="92">
        <v>22.46</v>
      </c>
      <c r="I124" s="84">
        <v>160</v>
      </c>
      <c r="J124" s="85">
        <v>6.6699999999999995E-2</v>
      </c>
      <c r="K124" s="87">
        <v>5.58</v>
      </c>
      <c r="L124" s="83">
        <v>758</v>
      </c>
      <c r="M124" s="83"/>
      <c r="N124" s="83"/>
      <c r="O124" s="83"/>
      <c r="P124" s="83"/>
      <c r="Q124" s="83"/>
      <c r="R124" s="86">
        <v>1.6993880000000001</v>
      </c>
      <c r="S124" s="94">
        <v>13.600000000000001</v>
      </c>
      <c r="T124" s="83"/>
      <c r="U124" s="83"/>
      <c r="V124" s="83"/>
      <c r="W124" s="83"/>
      <c r="X124" s="83"/>
      <c r="Y124" s="87">
        <v>22</v>
      </c>
      <c r="Z124" s="83"/>
      <c r="AA124" s="86"/>
      <c r="AB124" s="86"/>
      <c r="AC124" s="83"/>
      <c r="AD124" s="88">
        <v>340</v>
      </c>
      <c r="AE124" s="88">
        <v>600</v>
      </c>
      <c r="AF124" s="88">
        <v>60</v>
      </c>
      <c r="AG124" s="66">
        <f t="shared" si="2"/>
        <v>89.787272727272722</v>
      </c>
      <c r="AH124" s="143">
        <f t="shared" si="3"/>
        <v>1000</v>
      </c>
    </row>
    <row r="125" spans="1:34" s="90" customFormat="1" x14ac:dyDescent="0.3">
      <c r="A125" s="84">
        <v>802620</v>
      </c>
      <c r="B125" s="87">
        <v>73.666666666666671</v>
      </c>
      <c r="C125" s="87">
        <v>13.875</v>
      </c>
      <c r="D125" s="86">
        <v>7.84</v>
      </c>
      <c r="E125" s="99">
        <v>0.31</v>
      </c>
      <c r="F125" s="84">
        <v>156.19999999999999</v>
      </c>
      <c r="G125" s="83">
        <v>57.1</v>
      </c>
      <c r="H125" s="84">
        <v>202.41</v>
      </c>
      <c r="I125" s="84">
        <v>360</v>
      </c>
      <c r="J125" s="85">
        <v>0.31950000000000001</v>
      </c>
      <c r="K125" s="87">
        <v>9.69</v>
      </c>
      <c r="L125" s="83">
        <v>1298</v>
      </c>
      <c r="M125" s="83"/>
      <c r="N125" s="83"/>
      <c r="O125" s="83"/>
      <c r="P125" s="83"/>
      <c r="Q125" s="83">
        <v>5.6</v>
      </c>
      <c r="R125" s="86">
        <v>1.6958250000000001</v>
      </c>
      <c r="S125" s="94">
        <v>13.5</v>
      </c>
      <c r="T125" s="83"/>
      <c r="U125" s="83"/>
      <c r="V125" s="83"/>
      <c r="W125" s="83"/>
      <c r="X125" s="83"/>
      <c r="Y125" s="87">
        <v>39.200000000000003</v>
      </c>
      <c r="Z125" s="83"/>
      <c r="AA125" s="86"/>
      <c r="AB125" s="86"/>
      <c r="AC125" s="83"/>
      <c r="AD125" s="88">
        <v>560</v>
      </c>
      <c r="AE125" s="88">
        <v>290</v>
      </c>
      <c r="AF125" s="88">
        <v>150</v>
      </c>
      <c r="AG125" s="66">
        <f t="shared" si="2"/>
        <v>87.506632653061217</v>
      </c>
      <c r="AH125" s="143">
        <f t="shared" si="3"/>
        <v>1000</v>
      </c>
    </row>
    <row r="126" spans="1:34" s="90" customFormat="1" x14ac:dyDescent="0.3">
      <c r="A126" s="84">
        <v>802621</v>
      </c>
      <c r="B126" s="87">
        <v>15.25</v>
      </c>
      <c r="C126" s="87">
        <v>15.375</v>
      </c>
      <c r="D126" s="86">
        <v>8.0399999999999991</v>
      </c>
      <c r="E126" s="99">
        <v>0.37</v>
      </c>
      <c r="F126" s="84">
        <v>248.85000000000002</v>
      </c>
      <c r="G126" s="83">
        <v>76.2</v>
      </c>
      <c r="H126" s="92">
        <v>170.53</v>
      </c>
      <c r="I126" s="84">
        <v>190</v>
      </c>
      <c r="J126" s="85">
        <v>0.36099999999999999</v>
      </c>
      <c r="K126" s="87">
        <v>10.71</v>
      </c>
      <c r="L126" s="83">
        <v>1062</v>
      </c>
      <c r="M126" s="83"/>
      <c r="N126" s="83"/>
      <c r="O126" s="83"/>
      <c r="P126" s="83"/>
      <c r="Q126" s="83">
        <v>2.4</v>
      </c>
      <c r="R126" s="86">
        <v>1.7099930000000001</v>
      </c>
      <c r="S126" s="94">
        <v>13.899999999999999</v>
      </c>
      <c r="T126" s="83"/>
      <c r="U126" s="83"/>
      <c r="V126" s="83"/>
      <c r="W126" s="83"/>
      <c r="X126" s="83"/>
      <c r="Y126" s="87">
        <v>35</v>
      </c>
      <c r="Z126" s="83"/>
      <c r="AA126" s="86"/>
      <c r="AB126" s="86"/>
      <c r="AC126" s="83"/>
      <c r="AD126" s="88">
        <v>500</v>
      </c>
      <c r="AE126" s="88">
        <v>400</v>
      </c>
      <c r="AF126" s="88">
        <v>100</v>
      </c>
      <c r="AG126" s="66">
        <f t="shared" si="2"/>
        <v>108.324</v>
      </c>
      <c r="AH126" s="143">
        <f t="shared" si="3"/>
        <v>1000</v>
      </c>
    </row>
    <row r="127" spans="1:34" s="90" customFormat="1" x14ac:dyDescent="0.3">
      <c r="A127" s="84">
        <v>802622</v>
      </c>
      <c r="B127" s="87">
        <v>68.333333333333329</v>
      </c>
      <c r="C127" s="87">
        <v>15</v>
      </c>
      <c r="D127" s="86">
        <v>8.25</v>
      </c>
      <c r="E127" s="99">
        <v>0.3</v>
      </c>
      <c r="F127" s="84">
        <v>123.5</v>
      </c>
      <c r="G127" s="83">
        <v>67.05</v>
      </c>
      <c r="H127" s="84">
        <v>121.441</v>
      </c>
      <c r="I127" s="84">
        <v>100</v>
      </c>
      <c r="J127" s="85">
        <v>0.19</v>
      </c>
      <c r="K127" s="87">
        <v>7.82</v>
      </c>
      <c r="L127" s="83">
        <v>1063</v>
      </c>
      <c r="M127" s="83"/>
      <c r="N127" s="83"/>
      <c r="O127" s="83"/>
      <c r="P127" s="83"/>
      <c r="Q127" s="83">
        <v>3.4</v>
      </c>
      <c r="R127" s="86">
        <v>1.674153</v>
      </c>
      <c r="S127" s="94">
        <v>12.9</v>
      </c>
      <c r="T127" s="83"/>
      <c r="U127" s="83"/>
      <c r="V127" s="83"/>
      <c r="W127" s="83"/>
      <c r="X127" s="83"/>
      <c r="Y127" s="87">
        <v>38.9</v>
      </c>
      <c r="Z127" s="83"/>
      <c r="AA127" s="86"/>
      <c r="AB127" s="86"/>
      <c r="AC127" s="83"/>
      <c r="AD127" s="88">
        <v>740</v>
      </c>
      <c r="AE127" s="88">
        <v>110</v>
      </c>
      <c r="AF127" s="88">
        <v>150</v>
      </c>
      <c r="AG127" s="66">
        <f t="shared" si="2"/>
        <v>71.16401028277636</v>
      </c>
      <c r="AH127" s="143">
        <f t="shared" si="3"/>
        <v>1000</v>
      </c>
    </row>
    <row r="128" spans="1:34" s="90" customFormat="1" x14ac:dyDescent="0.3">
      <c r="A128" s="84">
        <v>802623</v>
      </c>
      <c r="B128" s="87">
        <v>70</v>
      </c>
      <c r="C128" s="87">
        <v>14</v>
      </c>
      <c r="D128" s="86">
        <v>8.3699999999999992</v>
      </c>
      <c r="E128" s="99">
        <v>0.32</v>
      </c>
      <c r="F128" s="84">
        <v>150.25</v>
      </c>
      <c r="G128" s="83">
        <v>45.25</v>
      </c>
      <c r="H128" s="92">
        <v>94.837000000000003</v>
      </c>
      <c r="I128" s="84">
        <v>70</v>
      </c>
      <c r="J128" s="85">
        <v>0.21679999999999999</v>
      </c>
      <c r="K128" s="87">
        <v>8.07</v>
      </c>
      <c r="L128" s="83">
        <v>1024</v>
      </c>
      <c r="M128" s="83"/>
      <c r="N128" s="83"/>
      <c r="O128" s="83"/>
      <c r="P128" s="83"/>
      <c r="Q128" s="83">
        <v>1.6</v>
      </c>
      <c r="R128" s="86">
        <v>1.2442298073606044</v>
      </c>
      <c r="S128" s="94">
        <v>8.6</v>
      </c>
      <c r="T128" s="83"/>
      <c r="U128" s="83"/>
      <c r="V128" s="83"/>
      <c r="W128" s="83"/>
      <c r="X128" s="83"/>
      <c r="Y128" s="87">
        <v>37</v>
      </c>
      <c r="Z128" s="83"/>
      <c r="AA128" s="86"/>
      <c r="AB128" s="86"/>
      <c r="AC128" s="83"/>
      <c r="AD128" s="88">
        <v>710</v>
      </c>
      <c r="AE128" s="88">
        <v>90</v>
      </c>
      <c r="AF128" s="88">
        <v>200</v>
      </c>
      <c r="AG128" s="66">
        <f t="shared" si="2"/>
        <v>77.210270270270271</v>
      </c>
      <c r="AH128" s="143">
        <f t="shared" si="3"/>
        <v>1000</v>
      </c>
    </row>
    <row r="129" spans="1:34" s="90" customFormat="1" x14ac:dyDescent="0.3">
      <c r="A129" s="84">
        <v>802624</v>
      </c>
      <c r="B129" s="87">
        <v>1.0166666666666666</v>
      </c>
      <c r="C129" s="87"/>
      <c r="D129" s="86">
        <v>8.49</v>
      </c>
      <c r="E129" s="99">
        <v>0.19</v>
      </c>
      <c r="F129" s="84">
        <v>0.5</v>
      </c>
      <c r="G129" s="83">
        <v>51.449999999999996</v>
      </c>
      <c r="H129" s="84">
        <v>99.031999999999996</v>
      </c>
      <c r="I129" s="84">
        <v>690</v>
      </c>
      <c r="J129" s="85">
        <v>0.16700000000000001</v>
      </c>
      <c r="K129" s="87">
        <v>7.96</v>
      </c>
      <c r="L129" s="83">
        <v>2620</v>
      </c>
      <c r="M129" s="83"/>
      <c r="N129" s="83"/>
      <c r="O129" s="83"/>
      <c r="P129" s="83"/>
      <c r="Q129" s="83">
        <v>4.2</v>
      </c>
      <c r="R129" s="86">
        <v>1.7644250000000001</v>
      </c>
      <c r="S129" s="94">
        <v>15.5</v>
      </c>
      <c r="T129" s="83"/>
      <c r="U129" s="83"/>
      <c r="V129" s="83"/>
      <c r="W129" s="83"/>
      <c r="X129" s="83"/>
      <c r="Y129" s="87">
        <v>32.4</v>
      </c>
      <c r="Z129" s="83"/>
      <c r="AA129" s="86"/>
      <c r="AB129" s="86"/>
      <c r="AC129" s="83"/>
      <c r="AD129" s="88">
        <v>540</v>
      </c>
      <c r="AE129" s="88">
        <v>360</v>
      </c>
      <c r="AF129" s="88">
        <v>100</v>
      </c>
      <c r="AG129" s="66">
        <f t="shared" si="2"/>
        <v>86.970370370370375</v>
      </c>
      <c r="AH129" s="143">
        <f t="shared" si="3"/>
        <v>1000</v>
      </c>
    </row>
    <row r="130" spans="1:34" s="90" customFormat="1" x14ac:dyDescent="0.3">
      <c r="A130" s="84">
        <v>802625</v>
      </c>
      <c r="B130" s="87">
        <v>1.1499999999999999</v>
      </c>
      <c r="C130" s="87"/>
      <c r="D130" s="86">
        <v>8.3000000000000007</v>
      </c>
      <c r="E130" s="99">
        <v>0.22</v>
      </c>
      <c r="F130" s="84">
        <v>19.650000000000002</v>
      </c>
      <c r="G130" s="83">
        <v>62.699999999999996</v>
      </c>
      <c r="H130" s="92">
        <v>127.596</v>
      </c>
      <c r="I130" s="84">
        <v>750</v>
      </c>
      <c r="J130" s="85">
        <v>0.16669999999999999</v>
      </c>
      <c r="K130" s="87">
        <v>8.43</v>
      </c>
      <c r="L130" s="83">
        <v>2423</v>
      </c>
      <c r="M130" s="83"/>
      <c r="N130" s="83"/>
      <c r="O130" s="83"/>
      <c r="P130" s="83"/>
      <c r="Q130" s="83"/>
      <c r="R130" s="86">
        <v>1.790297</v>
      </c>
      <c r="S130" s="94">
        <v>16.299999999999997</v>
      </c>
      <c r="T130" s="83"/>
      <c r="U130" s="83"/>
      <c r="V130" s="83"/>
      <c r="W130" s="83"/>
      <c r="X130" s="83"/>
      <c r="Y130" s="87">
        <v>37.199999999999996</v>
      </c>
      <c r="Z130" s="83"/>
      <c r="AA130" s="86"/>
      <c r="AB130" s="86"/>
      <c r="AC130" s="83"/>
      <c r="AD130" s="88">
        <v>620</v>
      </c>
      <c r="AE130" s="88">
        <v>380</v>
      </c>
      <c r="AF130" s="88">
        <v>100</v>
      </c>
      <c r="AG130" s="66">
        <f t="shared" ref="AG130:AG193" si="4">+K130*3.54*100/Y130</f>
        <v>80.220967741935482</v>
      </c>
      <c r="AH130" s="143">
        <f t="shared" ref="AH130:AH193" si="5">+SUM(AD130:AF130)</f>
        <v>1100</v>
      </c>
    </row>
    <row r="131" spans="1:34" s="90" customFormat="1" x14ac:dyDescent="0.3">
      <c r="A131" s="84">
        <v>802626</v>
      </c>
      <c r="B131" s="87">
        <v>6.041666666666667</v>
      </c>
      <c r="C131" s="87"/>
      <c r="D131" s="86">
        <v>8.5299999999999994</v>
      </c>
      <c r="E131" s="99">
        <v>0.13</v>
      </c>
      <c r="F131" s="84">
        <v>34.25</v>
      </c>
      <c r="G131" s="83">
        <v>37.450000000000003</v>
      </c>
      <c r="H131" s="84">
        <v>32.709000000000003</v>
      </c>
      <c r="I131" s="84">
        <v>100</v>
      </c>
      <c r="J131" s="85">
        <v>8.5599999999999996E-2</v>
      </c>
      <c r="K131" s="87">
        <v>4.7300000000000004</v>
      </c>
      <c r="L131" s="83">
        <v>517</v>
      </c>
      <c r="M131" s="83">
        <v>0.97</v>
      </c>
      <c r="N131" s="83">
        <v>0.55000000000000004</v>
      </c>
      <c r="O131" s="83">
        <v>1</v>
      </c>
      <c r="P131" s="83">
        <v>1.63</v>
      </c>
      <c r="Q131" s="83"/>
      <c r="R131" s="86">
        <v>0.44862668661211808</v>
      </c>
      <c r="S131" s="94">
        <v>3.3000000000000003</v>
      </c>
      <c r="T131" s="83"/>
      <c r="U131" s="83"/>
      <c r="V131" s="83"/>
      <c r="W131" s="83"/>
      <c r="X131" s="83"/>
      <c r="Y131" s="87">
        <v>2.1</v>
      </c>
      <c r="Z131" s="83"/>
      <c r="AA131" s="86"/>
      <c r="AB131" s="86"/>
      <c r="AC131" s="83"/>
      <c r="AD131" s="88">
        <v>30</v>
      </c>
      <c r="AE131" s="88">
        <v>160</v>
      </c>
      <c r="AF131" s="88">
        <v>810</v>
      </c>
      <c r="AG131" s="66">
        <f t="shared" si="4"/>
        <v>797.34285714285727</v>
      </c>
      <c r="AH131" s="143">
        <f t="shared" si="5"/>
        <v>1000</v>
      </c>
    </row>
    <row r="132" spans="1:34" s="90" customFormat="1" x14ac:dyDescent="0.3">
      <c r="A132" s="84">
        <v>802627</v>
      </c>
      <c r="B132" s="87">
        <v>20.166666666666664</v>
      </c>
      <c r="C132" s="87">
        <v>10.125</v>
      </c>
      <c r="D132" s="86">
        <v>8.3000000000000007</v>
      </c>
      <c r="E132" s="99">
        <v>0.18</v>
      </c>
      <c r="F132" s="84">
        <v>0.5</v>
      </c>
      <c r="G132" s="83">
        <v>51.050000000000004</v>
      </c>
      <c r="H132" s="92">
        <v>166.93700000000001</v>
      </c>
      <c r="I132" s="84">
        <v>484</v>
      </c>
      <c r="J132" s="85">
        <v>2.18E-2</v>
      </c>
      <c r="K132" s="87">
        <v>9.8000000000000007</v>
      </c>
      <c r="L132" s="83">
        <v>484</v>
      </c>
      <c r="M132" s="83">
        <v>2.09</v>
      </c>
      <c r="N132" s="83">
        <v>6.89</v>
      </c>
      <c r="O132" s="83">
        <v>8.25</v>
      </c>
      <c r="P132" s="83">
        <v>5.45</v>
      </c>
      <c r="Q132" s="83"/>
      <c r="R132" s="86">
        <v>2.0693519999999999</v>
      </c>
      <c r="S132" s="94">
        <v>28.2</v>
      </c>
      <c r="T132" s="83"/>
      <c r="U132" s="83"/>
      <c r="V132" s="83"/>
      <c r="W132" s="83"/>
      <c r="X132" s="83"/>
      <c r="Y132" s="87">
        <v>39.299999999999997</v>
      </c>
      <c r="Z132" s="83"/>
      <c r="AA132" s="86"/>
      <c r="AB132" s="86"/>
      <c r="AC132" s="83"/>
      <c r="AD132" s="88">
        <v>790</v>
      </c>
      <c r="AE132" s="88">
        <v>150</v>
      </c>
      <c r="AF132" s="88">
        <v>60</v>
      </c>
      <c r="AG132" s="66">
        <f t="shared" si="4"/>
        <v>88.274809160305338</v>
      </c>
      <c r="AH132" s="143">
        <f t="shared" si="5"/>
        <v>1000</v>
      </c>
    </row>
    <row r="133" spans="1:34" s="90" customFormat="1" x14ac:dyDescent="0.3">
      <c r="A133" s="84">
        <v>802628</v>
      </c>
      <c r="B133" s="87">
        <v>14.166666666666666</v>
      </c>
      <c r="C133" s="87">
        <v>4.375</v>
      </c>
      <c r="D133" s="86">
        <v>8.5299999999999994</v>
      </c>
      <c r="E133" s="99">
        <v>0.19</v>
      </c>
      <c r="F133" s="84">
        <v>34.5</v>
      </c>
      <c r="G133" s="83">
        <v>47.199999999999996</v>
      </c>
      <c r="H133" s="84">
        <v>102.14700000000001</v>
      </c>
      <c r="I133" s="84">
        <v>180</v>
      </c>
      <c r="J133" s="85">
        <v>0.10639999999999999</v>
      </c>
      <c r="K133" s="87">
        <v>6.08</v>
      </c>
      <c r="L133" s="83">
        <v>398</v>
      </c>
      <c r="M133" s="83">
        <v>0.98</v>
      </c>
      <c r="N133" s="83">
        <v>0.27</v>
      </c>
      <c r="O133" s="83">
        <v>1.91</v>
      </c>
      <c r="P133" s="83">
        <v>2.65</v>
      </c>
      <c r="Q133" s="83"/>
      <c r="R133" s="86">
        <v>1.131928018219857</v>
      </c>
      <c r="S133" s="94">
        <v>7.5</v>
      </c>
      <c r="T133" s="83"/>
      <c r="U133" s="83"/>
      <c r="V133" s="83"/>
      <c r="W133" s="83"/>
      <c r="X133" s="83"/>
      <c r="Y133" s="87">
        <v>2.8000000000000003</v>
      </c>
      <c r="Z133" s="83"/>
      <c r="AA133" s="86"/>
      <c r="AB133" s="86"/>
      <c r="AC133" s="83"/>
      <c r="AD133" s="88">
        <v>40</v>
      </c>
      <c r="AE133" s="88">
        <v>100</v>
      </c>
      <c r="AF133" s="88">
        <v>860</v>
      </c>
      <c r="AG133" s="66">
        <f t="shared" si="4"/>
        <v>768.68571428571408</v>
      </c>
      <c r="AH133" s="143">
        <f t="shared" si="5"/>
        <v>1000</v>
      </c>
    </row>
    <row r="134" spans="1:34" s="90" customFormat="1" x14ac:dyDescent="0.3">
      <c r="A134" s="84">
        <v>802629</v>
      </c>
      <c r="B134" s="87">
        <v>14.833333333333334</v>
      </c>
      <c r="C134" s="87">
        <v>3.6249999999999982</v>
      </c>
      <c r="D134" s="86">
        <v>8.8699999999999992</v>
      </c>
      <c r="E134" s="99">
        <v>0.17</v>
      </c>
      <c r="F134" s="84">
        <v>27.15</v>
      </c>
      <c r="G134" s="83">
        <v>41</v>
      </c>
      <c r="H134" s="92">
        <v>80.591999999999999</v>
      </c>
      <c r="I134" s="84">
        <v>220</v>
      </c>
      <c r="J134" s="85">
        <v>9.7699999999999995E-2</v>
      </c>
      <c r="K134" s="87">
        <v>6.84</v>
      </c>
      <c r="L134" s="83">
        <v>426</v>
      </c>
      <c r="M134" s="83">
        <v>0.72</v>
      </c>
      <c r="N134" s="83">
        <v>0.12</v>
      </c>
      <c r="O134" s="83">
        <v>3.18</v>
      </c>
      <c r="P134" s="83">
        <v>2.59</v>
      </c>
      <c r="Q134" s="83"/>
      <c r="R134" s="86">
        <v>0.68449770691432987</v>
      </c>
      <c r="S134" s="94">
        <v>5.0999999999999996</v>
      </c>
      <c r="T134" s="83"/>
      <c r="U134" s="83"/>
      <c r="V134" s="83"/>
      <c r="W134" s="83"/>
      <c r="X134" s="83"/>
      <c r="Y134" s="87">
        <v>2.1</v>
      </c>
      <c r="Z134" s="83"/>
      <c r="AA134" s="86"/>
      <c r="AB134" s="86"/>
      <c r="AC134" s="83"/>
      <c r="AD134" s="88">
        <v>30</v>
      </c>
      <c r="AE134" s="88">
        <v>120</v>
      </c>
      <c r="AF134" s="88">
        <v>850</v>
      </c>
      <c r="AG134" s="66">
        <f t="shared" si="4"/>
        <v>1153.0285714285715</v>
      </c>
      <c r="AH134" s="143">
        <f t="shared" si="5"/>
        <v>1000</v>
      </c>
    </row>
    <row r="135" spans="1:34" s="90" customFormat="1" x14ac:dyDescent="0.3">
      <c r="A135" s="84">
        <v>802630</v>
      </c>
      <c r="B135" s="87">
        <v>13.749999999999998</v>
      </c>
      <c r="C135" s="87">
        <v>3.125</v>
      </c>
      <c r="D135" s="86">
        <v>8.94</v>
      </c>
      <c r="E135" s="99">
        <v>0.24</v>
      </c>
      <c r="F135" s="84">
        <v>15.85</v>
      </c>
      <c r="G135" s="83">
        <v>66.150000000000006</v>
      </c>
      <c r="H135" s="84">
        <v>161.511</v>
      </c>
      <c r="I135" s="84">
        <v>240</v>
      </c>
      <c r="J135" s="85">
        <v>0.2339</v>
      </c>
      <c r="K135" s="87">
        <v>5.51</v>
      </c>
      <c r="L135" s="83">
        <v>662</v>
      </c>
      <c r="M135" s="83">
        <v>2.0299999999999998</v>
      </c>
      <c r="N135" s="83">
        <v>0.36</v>
      </c>
      <c r="O135" s="83">
        <v>1.88</v>
      </c>
      <c r="P135" s="83">
        <v>3.45</v>
      </c>
      <c r="Q135" s="83"/>
      <c r="R135" s="86">
        <v>0.81732383432897227</v>
      </c>
      <c r="S135" s="94">
        <v>5.6999999999999993</v>
      </c>
      <c r="T135" s="83"/>
      <c r="U135" s="83"/>
      <c r="V135" s="83"/>
      <c r="W135" s="83"/>
      <c r="X135" s="83"/>
      <c r="Y135" s="87">
        <v>4.2</v>
      </c>
      <c r="Z135" s="83"/>
      <c r="AA135" s="86"/>
      <c r="AB135" s="86"/>
      <c r="AC135" s="83"/>
      <c r="AD135" s="88">
        <v>60</v>
      </c>
      <c r="AE135" s="88">
        <v>100</v>
      </c>
      <c r="AF135" s="88">
        <v>840</v>
      </c>
      <c r="AG135" s="66">
        <f t="shared" si="4"/>
        <v>464.41428571428565</v>
      </c>
      <c r="AH135" s="143">
        <f t="shared" si="5"/>
        <v>1000</v>
      </c>
    </row>
    <row r="136" spans="1:34" s="90" customFormat="1" x14ac:dyDescent="0.3">
      <c r="A136" s="84">
        <v>802631</v>
      </c>
      <c r="B136" s="87">
        <v>32.666666666666671</v>
      </c>
      <c r="C136" s="87">
        <v>16.875</v>
      </c>
      <c r="D136" s="86">
        <v>8.52</v>
      </c>
      <c r="E136" s="99">
        <v>0.18</v>
      </c>
      <c r="F136" s="84">
        <v>41.5</v>
      </c>
      <c r="G136" s="83">
        <v>56.3</v>
      </c>
      <c r="H136" s="92">
        <v>28.664999999999999</v>
      </c>
      <c r="I136" s="84">
        <v>250</v>
      </c>
      <c r="J136" s="85">
        <v>0.11600000000000001</v>
      </c>
      <c r="K136" s="87">
        <v>12.96</v>
      </c>
      <c r="L136" s="83">
        <v>940</v>
      </c>
      <c r="M136" s="83">
        <v>0.71</v>
      </c>
      <c r="N136" s="83">
        <v>0.72</v>
      </c>
      <c r="O136" s="83">
        <v>4.3499999999999996</v>
      </c>
      <c r="P136" s="83">
        <v>4.08</v>
      </c>
      <c r="Q136" s="83"/>
      <c r="R136" s="86">
        <v>1.8274250000000001</v>
      </c>
      <c r="S136" s="94">
        <v>17.5</v>
      </c>
      <c r="T136" s="83"/>
      <c r="U136" s="83"/>
      <c r="V136" s="83"/>
      <c r="W136" s="83"/>
      <c r="X136" s="83"/>
      <c r="Y136" s="87">
        <v>28.000000000000004</v>
      </c>
      <c r="Z136" s="83"/>
      <c r="AA136" s="86"/>
      <c r="AB136" s="86"/>
      <c r="AC136" s="83"/>
      <c r="AD136" s="88">
        <v>400</v>
      </c>
      <c r="AE136" s="88">
        <v>500</v>
      </c>
      <c r="AF136" s="88">
        <v>100</v>
      </c>
      <c r="AG136" s="66">
        <f t="shared" si="4"/>
        <v>163.85142857142858</v>
      </c>
      <c r="AH136" s="143">
        <f t="shared" si="5"/>
        <v>1000</v>
      </c>
    </row>
    <row r="137" spans="1:34" s="90" customFormat="1" x14ac:dyDescent="0.3">
      <c r="A137" s="84">
        <v>802632</v>
      </c>
      <c r="B137" s="87">
        <v>57.999999999999993</v>
      </c>
      <c r="C137" s="87">
        <v>16.625</v>
      </c>
      <c r="D137" s="86">
        <v>8.44</v>
      </c>
      <c r="E137" s="99">
        <v>0.19</v>
      </c>
      <c r="F137" s="84">
        <v>15.3</v>
      </c>
      <c r="G137" s="83">
        <v>51.7</v>
      </c>
      <c r="H137" s="84">
        <v>66.623999999999995</v>
      </c>
      <c r="I137" s="84">
        <v>160</v>
      </c>
      <c r="J137" s="85">
        <v>8.2000000000000003E-2</v>
      </c>
      <c r="K137" s="87">
        <v>11.56</v>
      </c>
      <c r="L137" s="83">
        <v>928</v>
      </c>
      <c r="M137" s="83">
        <v>0.57999999999999996</v>
      </c>
      <c r="N137" s="83">
        <v>0.71</v>
      </c>
      <c r="O137" s="83">
        <v>8.0399999999999991</v>
      </c>
      <c r="P137" s="83">
        <v>3.2</v>
      </c>
      <c r="Q137" s="83"/>
      <c r="R137" s="86">
        <v>1.706472</v>
      </c>
      <c r="S137" s="94">
        <v>13.799999999999999</v>
      </c>
      <c r="T137" s="83"/>
      <c r="U137" s="83"/>
      <c r="V137" s="83"/>
      <c r="W137" s="83"/>
      <c r="X137" s="83"/>
      <c r="Y137" s="87">
        <v>21.000000000000004</v>
      </c>
      <c r="Z137" s="83"/>
      <c r="AA137" s="86"/>
      <c r="AB137" s="86"/>
      <c r="AC137" s="83"/>
      <c r="AD137" s="88">
        <v>300</v>
      </c>
      <c r="AE137" s="88">
        <v>560</v>
      </c>
      <c r="AF137" s="88">
        <v>140</v>
      </c>
      <c r="AG137" s="66">
        <f t="shared" si="4"/>
        <v>194.86857142857141</v>
      </c>
      <c r="AH137" s="143">
        <f t="shared" si="5"/>
        <v>1000</v>
      </c>
    </row>
    <row r="138" spans="1:34" s="90" customFormat="1" x14ac:dyDescent="0.3">
      <c r="A138" s="84">
        <v>802633</v>
      </c>
      <c r="B138" s="87">
        <v>81</v>
      </c>
      <c r="C138" s="87">
        <v>19</v>
      </c>
      <c r="D138" s="86">
        <v>8.52</v>
      </c>
      <c r="E138" s="99">
        <v>0.17</v>
      </c>
      <c r="F138" s="84">
        <v>16.850000000000001</v>
      </c>
      <c r="G138" s="83">
        <v>47.95</v>
      </c>
      <c r="H138" s="92">
        <v>19.998000000000001</v>
      </c>
      <c r="I138" s="84">
        <v>150</v>
      </c>
      <c r="J138" s="85">
        <v>5.5500000000000001E-2</v>
      </c>
      <c r="K138" s="87">
        <v>11.13</v>
      </c>
      <c r="L138" s="83">
        <v>692</v>
      </c>
      <c r="M138" s="83">
        <v>0.66</v>
      </c>
      <c r="N138" s="83">
        <v>0.52</v>
      </c>
      <c r="O138" s="83">
        <v>2.61</v>
      </c>
      <c r="P138" s="83">
        <v>2.78</v>
      </c>
      <c r="Q138" s="83"/>
      <c r="R138" s="86">
        <v>1.1688404666117984</v>
      </c>
      <c r="S138" s="94">
        <v>7.8000000000000007</v>
      </c>
      <c r="T138" s="83"/>
      <c r="U138" s="83"/>
      <c r="V138" s="83"/>
      <c r="W138" s="83"/>
      <c r="X138" s="83"/>
      <c r="Y138" s="87">
        <v>23.8</v>
      </c>
      <c r="Z138" s="83"/>
      <c r="AA138" s="86"/>
      <c r="AB138" s="86"/>
      <c r="AC138" s="83"/>
      <c r="AD138" s="88">
        <v>340</v>
      </c>
      <c r="AE138" s="88">
        <v>560</v>
      </c>
      <c r="AF138" s="88">
        <v>100</v>
      </c>
      <c r="AG138" s="66">
        <f t="shared" si="4"/>
        <v>165.54705882352943</v>
      </c>
      <c r="AH138" s="143">
        <f t="shared" si="5"/>
        <v>1000</v>
      </c>
    </row>
    <row r="139" spans="1:34" s="90" customFormat="1" x14ac:dyDescent="0.3">
      <c r="A139" s="84">
        <v>802634</v>
      </c>
      <c r="B139" s="87">
        <v>3.0499999999999994</v>
      </c>
      <c r="C139" s="87"/>
      <c r="D139" s="86">
        <v>8.15</v>
      </c>
      <c r="E139" s="99">
        <v>0.3</v>
      </c>
      <c r="F139" s="84">
        <v>10.049999999999999</v>
      </c>
      <c r="G139" s="83">
        <v>30.8</v>
      </c>
      <c r="H139" s="84">
        <v>59.866</v>
      </c>
      <c r="I139" s="84">
        <v>240</v>
      </c>
      <c r="J139" s="85">
        <v>0.1807</v>
      </c>
      <c r="K139" s="87">
        <v>7.23</v>
      </c>
      <c r="L139" s="83">
        <v>1372</v>
      </c>
      <c r="M139" s="83"/>
      <c r="N139" s="83"/>
      <c r="O139" s="83"/>
      <c r="P139" s="83"/>
      <c r="Q139" s="83"/>
      <c r="R139" s="86">
        <v>1.7677080000000001</v>
      </c>
      <c r="S139" s="94">
        <v>15.600000000000001</v>
      </c>
      <c r="T139" s="83"/>
      <c r="U139" s="83"/>
      <c r="V139" s="83"/>
      <c r="W139" s="83"/>
      <c r="X139" s="83"/>
      <c r="Y139" s="87">
        <v>22.400000000000002</v>
      </c>
      <c r="Z139" s="83"/>
      <c r="AA139" s="86"/>
      <c r="AB139" s="86"/>
      <c r="AC139" s="83"/>
      <c r="AD139" s="88">
        <v>320</v>
      </c>
      <c r="AE139" s="88">
        <v>550</v>
      </c>
      <c r="AF139" s="88">
        <v>130</v>
      </c>
      <c r="AG139" s="66">
        <f t="shared" si="4"/>
        <v>114.25982142857143</v>
      </c>
      <c r="AH139" s="143">
        <f t="shared" si="5"/>
        <v>1000</v>
      </c>
    </row>
    <row r="140" spans="1:34" s="90" customFormat="1" x14ac:dyDescent="0.3">
      <c r="A140" s="84">
        <v>802635</v>
      </c>
      <c r="B140" s="87">
        <v>0.11666666666666665</v>
      </c>
      <c r="C140" s="87"/>
      <c r="D140" s="86">
        <v>7.78</v>
      </c>
      <c r="E140" s="99">
        <v>0.03</v>
      </c>
      <c r="F140" s="84">
        <v>10.149999999999999</v>
      </c>
      <c r="G140" s="83">
        <v>27</v>
      </c>
      <c r="H140" s="92">
        <v>3.3919999999999999</v>
      </c>
      <c r="I140" s="84">
        <v>70</v>
      </c>
      <c r="J140" s="85">
        <v>2.4199999999999999E-2</v>
      </c>
      <c r="K140" s="87">
        <v>2.4900000000000002</v>
      </c>
      <c r="L140" s="83">
        <v>190</v>
      </c>
      <c r="M140" s="83">
        <v>0.12</v>
      </c>
      <c r="N140" s="83">
        <v>0.24</v>
      </c>
      <c r="O140" s="83">
        <v>5.33</v>
      </c>
      <c r="P140" s="83">
        <v>19.28</v>
      </c>
      <c r="Q140" s="83"/>
      <c r="R140" s="86">
        <v>0.99379478993015546</v>
      </c>
      <c r="S140" s="94">
        <v>7</v>
      </c>
      <c r="T140" s="83"/>
      <c r="U140" s="83"/>
      <c r="V140" s="83"/>
      <c r="W140" s="83"/>
      <c r="X140" s="83"/>
      <c r="Y140" s="87">
        <v>28.000000000000004</v>
      </c>
      <c r="Z140" s="83"/>
      <c r="AA140" s="86"/>
      <c r="AB140" s="86"/>
      <c r="AC140" s="83"/>
      <c r="AD140" s="88">
        <v>560</v>
      </c>
      <c r="AE140" s="88">
        <v>340</v>
      </c>
      <c r="AF140" s="88">
        <v>100</v>
      </c>
      <c r="AG140" s="66">
        <f t="shared" si="4"/>
        <v>31.480714285714281</v>
      </c>
      <c r="AH140" s="143">
        <f t="shared" si="5"/>
        <v>1000</v>
      </c>
    </row>
    <row r="141" spans="1:34" s="90" customFormat="1" x14ac:dyDescent="0.3">
      <c r="A141" s="84">
        <v>802636</v>
      </c>
      <c r="B141" s="87">
        <v>0.13333333333333333</v>
      </c>
      <c r="C141" s="87"/>
      <c r="D141" s="86">
        <v>7.47</v>
      </c>
      <c r="E141" s="99">
        <v>0.01</v>
      </c>
      <c r="F141" s="84">
        <v>0.5</v>
      </c>
      <c r="G141" s="83">
        <v>50.15</v>
      </c>
      <c r="H141" s="84">
        <v>10.778</v>
      </c>
      <c r="I141" s="84">
        <v>30</v>
      </c>
      <c r="J141" s="85">
        <v>3.2899999999999999E-2</v>
      </c>
      <c r="K141" s="87">
        <v>3.22</v>
      </c>
      <c r="L141" s="83">
        <v>59</v>
      </c>
      <c r="M141" s="83">
        <v>0.1</v>
      </c>
      <c r="N141" s="83">
        <v>0.14000000000000001</v>
      </c>
      <c r="O141" s="83">
        <v>1.42</v>
      </c>
      <c r="P141" s="83">
        <v>7.76</v>
      </c>
      <c r="Q141" s="83"/>
      <c r="R141" s="86">
        <v>1.6557080000000002</v>
      </c>
      <c r="S141" s="94">
        <v>12.4</v>
      </c>
      <c r="T141" s="83"/>
      <c r="U141" s="83"/>
      <c r="V141" s="83"/>
      <c r="W141" s="83"/>
      <c r="X141" s="83"/>
      <c r="Y141" s="87">
        <v>26.428571428571431</v>
      </c>
      <c r="Z141" s="83"/>
      <c r="AA141" s="86"/>
      <c r="AB141" s="86"/>
      <c r="AC141" s="83"/>
      <c r="AD141" s="88">
        <v>810</v>
      </c>
      <c r="AE141" s="88">
        <v>110</v>
      </c>
      <c r="AF141" s="88">
        <v>80</v>
      </c>
      <c r="AG141" s="66">
        <f t="shared" si="4"/>
        <v>43.130594594594598</v>
      </c>
      <c r="AH141" s="143">
        <f t="shared" si="5"/>
        <v>1000</v>
      </c>
    </row>
    <row r="142" spans="1:34" s="90" customFormat="1" x14ac:dyDescent="0.3">
      <c r="A142" s="84">
        <v>802637</v>
      </c>
      <c r="B142" s="87">
        <v>0.13333333333333333</v>
      </c>
      <c r="C142" s="87"/>
      <c r="D142" s="86">
        <v>6.85</v>
      </c>
      <c r="E142" s="99">
        <v>0.04</v>
      </c>
      <c r="F142" s="84">
        <v>0.5</v>
      </c>
      <c r="G142" s="83">
        <v>34.549999999999997</v>
      </c>
      <c r="H142" s="92">
        <v>0.628</v>
      </c>
      <c r="I142" s="84">
        <v>50</v>
      </c>
      <c r="J142" s="85">
        <v>4.0800000000000003E-2</v>
      </c>
      <c r="K142" s="87">
        <v>2.99</v>
      </c>
      <c r="L142" s="83">
        <v>251</v>
      </c>
      <c r="M142" s="83">
        <v>0.16</v>
      </c>
      <c r="N142" s="83">
        <v>0.56999999999999995</v>
      </c>
      <c r="O142" s="83">
        <v>7.76</v>
      </c>
      <c r="P142" s="83">
        <v>46.29</v>
      </c>
      <c r="Q142" s="83"/>
      <c r="R142" s="86">
        <v>1.6022000000000001</v>
      </c>
      <c r="S142" s="94">
        <v>11</v>
      </c>
      <c r="T142" s="83"/>
      <c r="U142" s="83"/>
      <c r="V142" s="83"/>
      <c r="W142" s="83"/>
      <c r="X142" s="83"/>
      <c r="Y142" s="87">
        <v>27.142857142857146</v>
      </c>
      <c r="Z142" s="83"/>
      <c r="AA142" s="86"/>
      <c r="AB142" s="86"/>
      <c r="AC142" s="83"/>
      <c r="AD142" s="88">
        <v>760</v>
      </c>
      <c r="AE142" s="88">
        <v>140</v>
      </c>
      <c r="AF142" s="88">
        <v>100</v>
      </c>
      <c r="AG142" s="66">
        <f t="shared" si="4"/>
        <v>38.995894736842104</v>
      </c>
      <c r="AH142" s="143">
        <f t="shared" si="5"/>
        <v>1000</v>
      </c>
    </row>
    <row r="143" spans="1:34" s="90" customFormat="1" x14ac:dyDescent="0.3">
      <c r="A143" s="84">
        <v>802638</v>
      </c>
      <c r="B143" s="87">
        <v>0.16666666666666666</v>
      </c>
      <c r="C143" s="87"/>
      <c r="D143" s="86">
        <v>6.56</v>
      </c>
      <c r="E143" s="99">
        <v>0.02</v>
      </c>
      <c r="F143" s="84">
        <v>0.5</v>
      </c>
      <c r="G143" s="83">
        <v>40.25</v>
      </c>
      <c r="H143" s="84">
        <v>1.8839999999999999</v>
      </c>
      <c r="I143" s="84">
        <v>50</v>
      </c>
      <c r="J143" s="85">
        <v>2.9399999999999999E-2</v>
      </c>
      <c r="K143" s="87">
        <v>2.92</v>
      </c>
      <c r="L143" s="83">
        <v>158</v>
      </c>
      <c r="M143" s="83">
        <v>0.15</v>
      </c>
      <c r="N143" s="83">
        <v>0.61</v>
      </c>
      <c r="O143" s="83">
        <v>7.47</v>
      </c>
      <c r="P143" s="83">
        <v>40.479999999999997</v>
      </c>
      <c r="Q143" s="83"/>
      <c r="R143" s="86">
        <v>1.3338607017985806</v>
      </c>
      <c r="S143" s="94">
        <v>9.1</v>
      </c>
      <c r="T143" s="83"/>
      <c r="U143" s="83"/>
      <c r="V143" s="83"/>
      <c r="W143" s="83"/>
      <c r="X143" s="83"/>
      <c r="Y143" s="87">
        <v>24.285714285714288</v>
      </c>
      <c r="Z143" s="83"/>
      <c r="AA143" s="86"/>
      <c r="AB143" s="86"/>
      <c r="AC143" s="83"/>
      <c r="AD143" s="88">
        <v>780</v>
      </c>
      <c r="AE143" s="88">
        <v>100</v>
      </c>
      <c r="AF143" s="88">
        <v>120</v>
      </c>
      <c r="AG143" s="66">
        <f t="shared" si="4"/>
        <v>42.563294117647054</v>
      </c>
      <c r="AH143" s="143">
        <f t="shared" si="5"/>
        <v>1000</v>
      </c>
    </row>
    <row r="144" spans="1:34" s="90" customFormat="1" x14ac:dyDescent="0.3">
      <c r="A144" s="84">
        <v>802639</v>
      </c>
      <c r="B144" s="87">
        <v>0.2</v>
      </c>
      <c r="C144" s="87"/>
      <c r="D144" s="86">
        <v>6.59</v>
      </c>
      <c r="E144" s="99">
        <v>0.05</v>
      </c>
      <c r="F144" s="84">
        <v>16.200000000000003</v>
      </c>
      <c r="G144" s="83">
        <v>42.05</v>
      </c>
      <c r="H144" s="92">
        <v>11.657</v>
      </c>
      <c r="I144" s="84">
        <v>110</v>
      </c>
      <c r="J144" s="85">
        <v>1.54E-2</v>
      </c>
      <c r="K144" s="87">
        <v>2.61</v>
      </c>
      <c r="L144" s="83">
        <v>282</v>
      </c>
      <c r="M144" s="83">
        <v>0.43</v>
      </c>
      <c r="N144" s="83">
        <v>0.18</v>
      </c>
      <c r="O144" s="83">
        <v>7.52</v>
      </c>
      <c r="P144" s="83">
        <v>23.63</v>
      </c>
      <c r="Q144" s="83"/>
      <c r="R144" s="86">
        <v>1.5824250000000002</v>
      </c>
      <c r="S144" s="94">
        <v>10.5</v>
      </c>
      <c r="T144" s="83"/>
      <c r="U144" s="83"/>
      <c r="V144" s="83"/>
      <c r="W144" s="83"/>
      <c r="X144" s="83"/>
      <c r="Y144" s="87">
        <v>25.571428571428569</v>
      </c>
      <c r="Z144" s="83"/>
      <c r="AA144" s="86"/>
      <c r="AB144" s="86"/>
      <c r="AC144" s="83"/>
      <c r="AD144" s="88">
        <v>720</v>
      </c>
      <c r="AE144" s="88">
        <v>110</v>
      </c>
      <c r="AF144" s="88">
        <v>170</v>
      </c>
      <c r="AG144" s="66">
        <f t="shared" si="4"/>
        <v>36.131731843575416</v>
      </c>
      <c r="AH144" s="143">
        <f t="shared" si="5"/>
        <v>1000</v>
      </c>
    </row>
    <row r="145" spans="1:34" s="90" customFormat="1" x14ac:dyDescent="0.3">
      <c r="A145" s="84">
        <v>802640</v>
      </c>
      <c r="B145" s="87">
        <v>0.18333333333333335</v>
      </c>
      <c r="C145" s="87"/>
      <c r="D145" s="86">
        <v>6.13</v>
      </c>
      <c r="E145" s="99">
        <v>7.0000000000000007E-2</v>
      </c>
      <c r="F145" s="84">
        <v>3.75</v>
      </c>
      <c r="G145" s="83">
        <v>38.700000000000003</v>
      </c>
      <c r="H145" s="84">
        <v>1.3320000000000001</v>
      </c>
      <c r="I145" s="84">
        <v>40</v>
      </c>
      <c r="J145" s="85">
        <v>1.6E-2</v>
      </c>
      <c r="K145" s="87">
        <v>2.42</v>
      </c>
      <c r="L145" s="83">
        <v>201</v>
      </c>
      <c r="M145" s="83">
        <v>0.13</v>
      </c>
      <c r="N145" s="83">
        <v>0.12</v>
      </c>
      <c r="O145" s="83">
        <v>5.34</v>
      </c>
      <c r="P145" s="83">
        <v>17.14</v>
      </c>
      <c r="Q145" s="83"/>
      <c r="R145" s="86">
        <v>1.1101382296917042</v>
      </c>
      <c r="S145" s="94">
        <v>7.3</v>
      </c>
      <c r="T145" s="83"/>
      <c r="U145" s="83"/>
      <c r="V145" s="83"/>
      <c r="W145" s="83"/>
      <c r="X145" s="83"/>
      <c r="Y145" s="87">
        <v>25.571428571428569</v>
      </c>
      <c r="Z145" s="83"/>
      <c r="AA145" s="86"/>
      <c r="AB145" s="86"/>
      <c r="AC145" s="83"/>
      <c r="AD145" s="88">
        <v>700</v>
      </c>
      <c r="AE145" s="88">
        <v>100</v>
      </c>
      <c r="AF145" s="88">
        <v>200</v>
      </c>
      <c r="AG145" s="66">
        <f t="shared" si="4"/>
        <v>33.501452513966484</v>
      </c>
      <c r="AH145" s="143">
        <f t="shared" si="5"/>
        <v>1000</v>
      </c>
    </row>
    <row r="146" spans="1:34" s="90" customFormat="1" x14ac:dyDescent="0.3">
      <c r="A146" s="84">
        <v>802641</v>
      </c>
      <c r="B146" s="87">
        <v>0.2</v>
      </c>
      <c r="C146" s="87"/>
      <c r="D146" s="86">
        <v>6.24</v>
      </c>
      <c r="E146" s="99">
        <v>0.04</v>
      </c>
      <c r="F146" s="84">
        <v>3.5</v>
      </c>
      <c r="G146" s="83">
        <v>52.75</v>
      </c>
      <c r="H146" s="92">
        <v>0.27700000000000002</v>
      </c>
      <c r="I146" s="84">
        <v>60</v>
      </c>
      <c r="J146" s="85">
        <v>3.1399999999999997E-2</v>
      </c>
      <c r="K146" s="87">
        <v>2.2999999999999998</v>
      </c>
      <c r="L146" s="83">
        <v>140</v>
      </c>
      <c r="M146" s="83">
        <v>0.27</v>
      </c>
      <c r="N146" s="83">
        <v>0.16</v>
      </c>
      <c r="O146" s="83">
        <v>3.77</v>
      </c>
      <c r="P146" s="83">
        <v>18.899999999999999</v>
      </c>
      <c r="Q146" s="83"/>
      <c r="R146" s="86">
        <v>1.3817476244299745</v>
      </c>
      <c r="S146" s="94">
        <v>9.1</v>
      </c>
      <c r="T146" s="83"/>
      <c r="U146" s="83"/>
      <c r="V146" s="83"/>
      <c r="W146" s="83"/>
      <c r="X146" s="83"/>
      <c r="Y146" s="87">
        <v>25.642857142857142</v>
      </c>
      <c r="Z146" s="83"/>
      <c r="AA146" s="86"/>
      <c r="AB146" s="86"/>
      <c r="AC146" s="83"/>
      <c r="AD146" s="88">
        <v>400</v>
      </c>
      <c r="AE146" s="88">
        <v>40</v>
      </c>
      <c r="AF146" s="88">
        <v>560</v>
      </c>
      <c r="AG146" s="66">
        <f t="shared" si="4"/>
        <v>31.75153203342618</v>
      </c>
      <c r="AH146" s="143">
        <f t="shared" si="5"/>
        <v>1000</v>
      </c>
    </row>
    <row r="147" spans="1:34" s="90" customFormat="1" x14ac:dyDescent="0.3">
      <c r="A147" s="84">
        <v>802642</v>
      </c>
      <c r="B147" s="87">
        <v>0.13333333333333333</v>
      </c>
      <c r="C147" s="87"/>
      <c r="D147" s="86">
        <v>6.18</v>
      </c>
      <c r="E147" s="99">
        <v>0.06</v>
      </c>
      <c r="F147" s="84">
        <v>0.5</v>
      </c>
      <c r="G147" s="83">
        <v>52.599999999999994</v>
      </c>
      <c r="H147" s="84">
        <v>9.0440000000000005</v>
      </c>
      <c r="I147" s="84">
        <v>40</v>
      </c>
      <c r="J147" s="85">
        <v>1.7399999999999999E-2</v>
      </c>
      <c r="K147" s="87">
        <v>2.29</v>
      </c>
      <c r="L147" s="83">
        <v>158</v>
      </c>
      <c r="M147" s="83">
        <v>0.1</v>
      </c>
      <c r="N147" s="83">
        <v>0.13</v>
      </c>
      <c r="O147" s="83">
        <v>2.73</v>
      </c>
      <c r="P147" s="83">
        <v>11.84</v>
      </c>
      <c r="Q147" s="83"/>
      <c r="R147" s="86">
        <v>0.89675987801022883</v>
      </c>
      <c r="S147" s="94">
        <v>6.2</v>
      </c>
      <c r="T147" s="83"/>
      <c r="U147" s="83"/>
      <c r="V147" s="83"/>
      <c r="W147" s="83"/>
      <c r="X147" s="83"/>
      <c r="Y147" s="87">
        <v>20.000000000000004</v>
      </c>
      <c r="Z147" s="83"/>
      <c r="AA147" s="86"/>
      <c r="AB147" s="86"/>
      <c r="AC147" s="83"/>
      <c r="AD147" s="88">
        <v>400</v>
      </c>
      <c r="AE147" s="88">
        <v>340</v>
      </c>
      <c r="AF147" s="88">
        <v>260</v>
      </c>
      <c r="AG147" s="66">
        <f t="shared" si="4"/>
        <v>40.532999999999994</v>
      </c>
      <c r="AH147" s="143">
        <f t="shared" si="5"/>
        <v>1000</v>
      </c>
    </row>
    <row r="148" spans="1:34" s="90" customFormat="1" x14ac:dyDescent="0.3">
      <c r="A148" s="84">
        <v>802643</v>
      </c>
      <c r="B148" s="87">
        <v>0.11666666666666665</v>
      </c>
      <c r="C148" s="87"/>
      <c r="D148" s="86">
        <v>6.25</v>
      </c>
      <c r="E148" s="99">
        <v>0.04</v>
      </c>
      <c r="F148" s="84">
        <v>1.55</v>
      </c>
      <c r="G148" s="83">
        <v>45.35</v>
      </c>
      <c r="H148" s="92">
        <v>11.029</v>
      </c>
      <c r="I148" s="84">
        <v>70</v>
      </c>
      <c r="J148" s="85">
        <v>2.7699999999999999E-2</v>
      </c>
      <c r="K148" s="87">
        <v>3.6399999999999997</v>
      </c>
      <c r="L148" s="83">
        <v>961</v>
      </c>
      <c r="M148" s="83">
        <v>0.18</v>
      </c>
      <c r="N148" s="83">
        <v>1.07</v>
      </c>
      <c r="O148" s="83">
        <v>15.57</v>
      </c>
      <c r="P148" s="83">
        <v>13.46</v>
      </c>
      <c r="Q148" s="83"/>
      <c r="R148" s="86">
        <v>0.69867964825694939</v>
      </c>
      <c r="S148" s="94">
        <v>4.8</v>
      </c>
      <c r="T148" s="83"/>
      <c r="U148" s="83"/>
      <c r="V148" s="83"/>
      <c r="W148" s="83"/>
      <c r="X148" s="83"/>
      <c r="Y148" s="87">
        <v>16.000000000000004</v>
      </c>
      <c r="Z148" s="83"/>
      <c r="AA148" s="86"/>
      <c r="AB148" s="86"/>
      <c r="AC148" s="83"/>
      <c r="AD148" s="88">
        <v>320</v>
      </c>
      <c r="AE148" s="88">
        <v>580</v>
      </c>
      <c r="AF148" s="88">
        <v>100</v>
      </c>
      <c r="AG148" s="66">
        <f t="shared" si="4"/>
        <v>80.534999999999982</v>
      </c>
      <c r="AH148" s="143">
        <f t="shared" si="5"/>
        <v>1000</v>
      </c>
    </row>
    <row r="149" spans="1:34" s="90" customFormat="1" x14ac:dyDescent="0.3">
      <c r="A149" s="84">
        <v>802644</v>
      </c>
      <c r="B149" s="87">
        <v>0.16666666666666666</v>
      </c>
      <c r="C149" s="87"/>
      <c r="D149" s="86">
        <v>6.37</v>
      </c>
      <c r="E149" s="99">
        <v>0.06</v>
      </c>
      <c r="F149" s="84">
        <v>5</v>
      </c>
      <c r="G149" s="83">
        <v>46.849999999999994</v>
      </c>
      <c r="H149" s="84">
        <v>9.27</v>
      </c>
      <c r="I149" s="84">
        <v>60</v>
      </c>
      <c r="J149" s="85">
        <v>3.15E-2</v>
      </c>
      <c r="K149" s="87">
        <v>2.64</v>
      </c>
      <c r="L149" s="83">
        <v>342</v>
      </c>
      <c r="M149" s="83">
        <v>0.24</v>
      </c>
      <c r="N149" s="83">
        <v>0.36</v>
      </c>
      <c r="O149" s="83">
        <v>7.97</v>
      </c>
      <c r="P149" s="83">
        <v>16.25</v>
      </c>
      <c r="Q149" s="83"/>
      <c r="R149" s="86">
        <v>0.96119347047443759</v>
      </c>
      <c r="S149" s="94">
        <v>7.1</v>
      </c>
      <c r="T149" s="83"/>
      <c r="U149" s="83"/>
      <c r="V149" s="83"/>
      <c r="W149" s="83"/>
      <c r="X149" s="83"/>
      <c r="Y149" s="87">
        <v>20.000000000000004</v>
      </c>
      <c r="Z149" s="83"/>
      <c r="AA149" s="86"/>
      <c r="AB149" s="86"/>
      <c r="AC149" s="83"/>
      <c r="AD149" s="88">
        <v>400</v>
      </c>
      <c r="AE149" s="88">
        <v>40</v>
      </c>
      <c r="AF149" s="88">
        <v>560</v>
      </c>
      <c r="AG149" s="66">
        <f t="shared" si="4"/>
        <v>46.727999999999994</v>
      </c>
      <c r="AH149" s="143">
        <f t="shared" si="5"/>
        <v>1000</v>
      </c>
    </row>
    <row r="150" spans="1:34" s="90" customFormat="1" x14ac:dyDescent="0.3">
      <c r="A150" s="84">
        <v>802645</v>
      </c>
      <c r="B150" s="87">
        <v>13.583333333333334</v>
      </c>
      <c r="C150" s="87">
        <v>8.1</v>
      </c>
      <c r="D150" s="86">
        <v>6.87</v>
      </c>
      <c r="E150" s="99">
        <v>0.16</v>
      </c>
      <c r="F150" s="92">
        <v>21.549999999999997</v>
      </c>
      <c r="G150" s="83">
        <v>66.25</v>
      </c>
      <c r="H150" s="92">
        <v>14.598000000000001</v>
      </c>
      <c r="I150" s="84">
        <v>209</v>
      </c>
      <c r="J150" s="85">
        <v>0.374</v>
      </c>
      <c r="K150" s="87">
        <v>12.808</v>
      </c>
      <c r="L150" s="83">
        <v>2040</v>
      </c>
      <c r="M150" s="83">
        <v>2.74</v>
      </c>
      <c r="N150" s="83">
        <v>0.67</v>
      </c>
      <c r="O150" s="83">
        <v>5.64</v>
      </c>
      <c r="P150" s="83">
        <v>17.84</v>
      </c>
      <c r="Q150" s="83"/>
      <c r="R150" s="86">
        <v>1.6594250000000001</v>
      </c>
      <c r="S150" s="94">
        <v>12.5</v>
      </c>
      <c r="T150" s="83"/>
      <c r="U150" s="83"/>
      <c r="V150" s="83"/>
      <c r="W150" s="83"/>
      <c r="X150" s="83"/>
      <c r="Y150" s="87">
        <v>39.799999999999997</v>
      </c>
      <c r="Z150" s="83"/>
      <c r="AA150" s="86">
        <v>2.6306451612903228</v>
      </c>
      <c r="AB150" s="86">
        <v>0.83720000000000006</v>
      </c>
      <c r="AC150" s="83"/>
      <c r="AD150" s="88">
        <v>760</v>
      </c>
      <c r="AE150" s="88">
        <v>160</v>
      </c>
      <c r="AF150" s="88">
        <v>80</v>
      </c>
      <c r="AG150" s="66">
        <f t="shared" si="4"/>
        <v>113.92040201005027</v>
      </c>
      <c r="AH150" s="143">
        <f t="shared" si="5"/>
        <v>1000</v>
      </c>
    </row>
    <row r="151" spans="1:34" s="90" customFormat="1" x14ac:dyDescent="0.3">
      <c r="A151" s="84">
        <v>802646</v>
      </c>
      <c r="B151" s="87">
        <v>12.291666666666666</v>
      </c>
      <c r="C151" s="87">
        <v>7.9</v>
      </c>
      <c r="D151" s="86">
        <v>7.25</v>
      </c>
      <c r="E151" s="99">
        <v>0.17</v>
      </c>
      <c r="F151" s="92">
        <v>42.05</v>
      </c>
      <c r="G151" s="83">
        <v>66.050000000000011</v>
      </c>
      <c r="H151" s="84">
        <v>12.42</v>
      </c>
      <c r="I151" s="84">
        <v>257</v>
      </c>
      <c r="J151" s="85">
        <v>0.26800000000000002</v>
      </c>
      <c r="K151" s="87">
        <v>13.526</v>
      </c>
      <c r="L151" s="83">
        <v>2040</v>
      </c>
      <c r="M151" s="83"/>
      <c r="N151" s="83"/>
      <c r="O151" s="83"/>
      <c r="P151" s="83"/>
      <c r="Q151" s="83"/>
      <c r="R151" s="86">
        <v>1.6850520000000002</v>
      </c>
      <c r="S151" s="94">
        <v>13.2</v>
      </c>
      <c r="T151" s="83"/>
      <c r="U151" s="83"/>
      <c r="V151" s="83"/>
      <c r="W151" s="83"/>
      <c r="X151" s="83"/>
      <c r="Y151" s="87">
        <v>39.700000000000003</v>
      </c>
      <c r="Z151" s="83"/>
      <c r="AA151" s="86">
        <v>2.3822580645161286</v>
      </c>
      <c r="AB151" s="86">
        <v>1.0948</v>
      </c>
      <c r="AC151" s="83"/>
      <c r="AD151" s="88">
        <v>780</v>
      </c>
      <c r="AE151" s="88">
        <v>140</v>
      </c>
      <c r="AF151" s="88">
        <v>80</v>
      </c>
      <c r="AG151" s="66">
        <f t="shared" si="4"/>
        <v>120.6096725440806</v>
      </c>
      <c r="AH151" s="143">
        <f t="shared" si="5"/>
        <v>1000</v>
      </c>
    </row>
    <row r="152" spans="1:34" s="90" customFormat="1" x14ac:dyDescent="0.3">
      <c r="A152" s="84">
        <v>802647</v>
      </c>
      <c r="B152" s="87">
        <v>1.5500000000000003</v>
      </c>
      <c r="C152" s="87"/>
      <c r="D152" s="86">
        <v>7.19</v>
      </c>
      <c r="E152" s="99">
        <v>0.31</v>
      </c>
      <c r="F152" s="92">
        <v>35.85</v>
      </c>
      <c r="G152" s="83">
        <v>175.95</v>
      </c>
      <c r="H152" s="92">
        <v>250.535</v>
      </c>
      <c r="I152" s="84">
        <v>293</v>
      </c>
      <c r="J152" s="85">
        <v>0.25900000000000001</v>
      </c>
      <c r="K152" s="87">
        <v>3.0870000000000002</v>
      </c>
      <c r="L152" s="83">
        <v>490</v>
      </c>
      <c r="M152" s="83"/>
      <c r="N152" s="83"/>
      <c r="O152" s="83"/>
      <c r="P152" s="83"/>
      <c r="Q152" s="83"/>
      <c r="R152" s="86">
        <v>1.770977</v>
      </c>
      <c r="S152" s="94">
        <v>15.7</v>
      </c>
      <c r="T152" s="83"/>
      <c r="U152" s="83"/>
      <c r="V152" s="83"/>
      <c r="W152" s="83"/>
      <c r="X152" s="83"/>
      <c r="Y152" s="87">
        <v>7.0000000000000009</v>
      </c>
      <c r="Z152" s="83"/>
      <c r="AA152" s="86">
        <v>22.332258064516129</v>
      </c>
      <c r="AB152" s="86">
        <v>3.7995999999999999</v>
      </c>
      <c r="AC152" s="83"/>
      <c r="AD152" s="88">
        <v>100</v>
      </c>
      <c r="AE152" s="88">
        <v>100</v>
      </c>
      <c r="AF152" s="88">
        <v>800</v>
      </c>
      <c r="AG152" s="66">
        <f t="shared" si="4"/>
        <v>156.114</v>
      </c>
      <c r="AH152" s="143">
        <f t="shared" si="5"/>
        <v>1000</v>
      </c>
    </row>
    <row r="153" spans="1:34" s="90" customFormat="1" x14ac:dyDescent="0.3">
      <c r="A153" s="84">
        <v>802648</v>
      </c>
      <c r="B153" s="87">
        <v>1.4333333333333331</v>
      </c>
      <c r="C153" s="87"/>
      <c r="D153" s="86">
        <v>7.38</v>
      </c>
      <c r="E153" s="99">
        <v>0.34</v>
      </c>
      <c r="F153" s="92">
        <v>50.199999999999996</v>
      </c>
      <c r="G153" s="83">
        <v>167.85</v>
      </c>
      <c r="H153" s="84">
        <v>271.58699999999999</v>
      </c>
      <c r="I153" s="84">
        <v>299</v>
      </c>
      <c r="J153" s="85">
        <v>0.20599999999999999</v>
      </c>
      <c r="K153" s="87">
        <v>3.673</v>
      </c>
      <c r="L153" s="83">
        <v>490</v>
      </c>
      <c r="M153" s="83"/>
      <c r="N153" s="83"/>
      <c r="O153" s="83"/>
      <c r="P153" s="83"/>
      <c r="Q153" s="83"/>
      <c r="R153" s="86">
        <v>1.761128</v>
      </c>
      <c r="S153" s="94">
        <v>15.4</v>
      </c>
      <c r="T153" s="83"/>
      <c r="U153" s="83"/>
      <c r="V153" s="83"/>
      <c r="W153" s="83"/>
      <c r="X153" s="83"/>
      <c r="Y153" s="87">
        <v>7.7000000000000011</v>
      </c>
      <c r="Z153" s="83"/>
      <c r="AA153" s="86">
        <v>20.966129032258063</v>
      </c>
      <c r="AB153" s="86">
        <v>3.9928000000000003</v>
      </c>
      <c r="AC153" s="83"/>
      <c r="AD153" s="88">
        <v>110</v>
      </c>
      <c r="AE153" s="88">
        <v>110</v>
      </c>
      <c r="AF153" s="88">
        <v>780</v>
      </c>
      <c r="AG153" s="66">
        <f t="shared" si="4"/>
        <v>168.8625974025974</v>
      </c>
      <c r="AH153" s="143">
        <f t="shared" si="5"/>
        <v>1000</v>
      </c>
    </row>
    <row r="154" spans="1:34" s="90" customFormat="1" x14ac:dyDescent="0.3">
      <c r="A154" s="84">
        <v>802649</v>
      </c>
      <c r="B154" s="87">
        <v>0.49999999999999994</v>
      </c>
      <c r="C154" s="87"/>
      <c r="D154" s="86">
        <v>7.26</v>
      </c>
      <c r="E154" s="99">
        <v>0.3</v>
      </c>
      <c r="F154" s="92">
        <v>115.7</v>
      </c>
      <c r="G154" s="83">
        <v>98.800000000000011</v>
      </c>
      <c r="H154" s="92">
        <v>126.032</v>
      </c>
      <c r="I154" s="84">
        <v>166</v>
      </c>
      <c r="J154" s="85">
        <v>5.8000000000000003E-2</v>
      </c>
      <c r="K154" s="87">
        <v>1.853</v>
      </c>
      <c r="L154" s="83">
        <v>230</v>
      </c>
      <c r="M154" s="83"/>
      <c r="N154" s="83"/>
      <c r="O154" s="83"/>
      <c r="P154" s="83"/>
      <c r="Q154" s="83"/>
      <c r="R154" s="86">
        <v>0.75785802173141648</v>
      </c>
      <c r="S154" s="94">
        <v>5.2</v>
      </c>
      <c r="T154" s="83"/>
      <c r="U154" s="83"/>
      <c r="V154" s="83"/>
      <c r="W154" s="83"/>
      <c r="X154" s="83"/>
      <c r="Y154" s="87">
        <v>5.6000000000000005</v>
      </c>
      <c r="Z154" s="83"/>
      <c r="AA154" s="86">
        <v>36.829032258064515</v>
      </c>
      <c r="AB154" s="86">
        <v>3.7995999999999999</v>
      </c>
      <c r="AC154" s="83"/>
      <c r="AD154" s="88">
        <v>80</v>
      </c>
      <c r="AE154" s="88">
        <v>100</v>
      </c>
      <c r="AF154" s="88">
        <v>820</v>
      </c>
      <c r="AG154" s="66">
        <f t="shared" si="4"/>
        <v>117.13607142857141</v>
      </c>
      <c r="AH154" s="143">
        <f t="shared" si="5"/>
        <v>1000</v>
      </c>
    </row>
    <row r="155" spans="1:34" s="90" customFormat="1" x14ac:dyDescent="0.3">
      <c r="A155" s="84">
        <v>802650</v>
      </c>
      <c r="B155" s="87">
        <v>1.1499999999999999</v>
      </c>
      <c r="C155" s="87"/>
      <c r="D155" s="86">
        <v>7.28</v>
      </c>
      <c r="E155" s="99">
        <v>0.88</v>
      </c>
      <c r="F155" s="92">
        <v>316.90000000000003</v>
      </c>
      <c r="G155" s="83">
        <v>423.7</v>
      </c>
      <c r="H155" s="84">
        <v>256.34199999999998</v>
      </c>
      <c r="I155" s="84">
        <v>1252</v>
      </c>
      <c r="J155" s="85">
        <v>0.307</v>
      </c>
      <c r="K155" s="87">
        <v>3.5649999999999999</v>
      </c>
      <c r="L155" s="83">
        <v>510</v>
      </c>
      <c r="M155" s="83">
        <v>2.74</v>
      </c>
      <c r="N155" s="83">
        <v>0.67</v>
      </c>
      <c r="O155" s="83">
        <v>5.64</v>
      </c>
      <c r="P155" s="83">
        <v>17.84</v>
      </c>
      <c r="Q155" s="83"/>
      <c r="R155" s="86">
        <v>1.374927863982347</v>
      </c>
      <c r="S155" s="94">
        <v>10.1</v>
      </c>
      <c r="T155" s="83"/>
      <c r="U155" s="83"/>
      <c r="V155" s="83"/>
      <c r="W155" s="83"/>
      <c r="X155" s="83"/>
      <c r="Y155" s="87">
        <v>7.0000000000000009</v>
      </c>
      <c r="Z155" s="83"/>
      <c r="AA155" s="86">
        <v>42.925806451612907</v>
      </c>
      <c r="AB155" s="86">
        <v>3.5420000000000003</v>
      </c>
      <c r="AC155" s="83"/>
      <c r="AD155" s="88">
        <v>100</v>
      </c>
      <c r="AE155" s="88">
        <v>100</v>
      </c>
      <c r="AF155" s="88">
        <v>800</v>
      </c>
      <c r="AG155" s="66">
        <f t="shared" si="4"/>
        <v>180.28714285714284</v>
      </c>
      <c r="AH155" s="143">
        <f t="shared" si="5"/>
        <v>1000</v>
      </c>
    </row>
    <row r="156" spans="1:34" s="90" customFormat="1" x14ac:dyDescent="0.3">
      <c r="A156" s="84">
        <v>802651</v>
      </c>
      <c r="B156" s="87">
        <v>15.166666666666664</v>
      </c>
      <c r="C156" s="87">
        <v>7.5</v>
      </c>
      <c r="D156" s="86">
        <v>8.0500000000000007</v>
      </c>
      <c r="E156" s="99">
        <v>0.18</v>
      </c>
      <c r="F156" s="92">
        <v>49.900000000000006</v>
      </c>
      <c r="G156" s="83">
        <v>70.199999999999989</v>
      </c>
      <c r="H156" s="92">
        <v>42.183999999999997</v>
      </c>
      <c r="I156" s="84">
        <v>702</v>
      </c>
      <c r="J156" s="85">
        <v>8.8999999999999996E-2</v>
      </c>
      <c r="K156" s="87">
        <v>10.474</v>
      </c>
      <c r="L156" s="83">
        <v>1170</v>
      </c>
      <c r="M156" s="83"/>
      <c r="N156" s="83"/>
      <c r="O156" s="83"/>
      <c r="P156" s="83"/>
      <c r="Q156" s="83"/>
      <c r="R156" s="86">
        <v>1.3455095889847395</v>
      </c>
      <c r="S156" s="94">
        <v>9.5</v>
      </c>
      <c r="T156" s="83"/>
      <c r="U156" s="83"/>
      <c r="V156" s="83"/>
      <c r="W156" s="83"/>
      <c r="X156" s="83"/>
      <c r="Y156" s="87">
        <v>26.6</v>
      </c>
      <c r="Z156" s="83"/>
      <c r="AA156" s="86">
        <v>13.119354838709675</v>
      </c>
      <c r="AB156" s="86">
        <v>1.8675999999999999</v>
      </c>
      <c r="AC156" s="83"/>
      <c r="AD156" s="88">
        <v>380</v>
      </c>
      <c r="AE156" s="88">
        <v>560</v>
      </c>
      <c r="AF156" s="88">
        <v>60</v>
      </c>
      <c r="AG156" s="66">
        <f t="shared" si="4"/>
        <v>139.39082706766916</v>
      </c>
      <c r="AH156" s="143">
        <f t="shared" si="5"/>
        <v>1000</v>
      </c>
    </row>
    <row r="157" spans="1:34" s="90" customFormat="1" x14ac:dyDescent="0.3">
      <c r="A157" s="84">
        <v>802652</v>
      </c>
      <c r="B157" s="87">
        <v>19.749999999999996</v>
      </c>
      <c r="C157" s="87">
        <v>9.6</v>
      </c>
      <c r="D157" s="86">
        <v>8.0399999999999991</v>
      </c>
      <c r="E157" s="99">
        <v>0.2</v>
      </c>
      <c r="F157" s="92">
        <v>86.899999999999991</v>
      </c>
      <c r="G157" s="83">
        <v>97</v>
      </c>
      <c r="H157" s="84">
        <v>33.835999999999999</v>
      </c>
      <c r="I157" s="84">
        <v>336</v>
      </c>
      <c r="J157" s="85">
        <v>0.16700000000000001</v>
      </c>
      <c r="K157" s="87">
        <v>10.52</v>
      </c>
      <c r="L157" s="83">
        <v>760</v>
      </c>
      <c r="M157" s="83"/>
      <c r="N157" s="83"/>
      <c r="O157" s="83"/>
      <c r="P157" s="83"/>
      <c r="Q157" s="83"/>
      <c r="R157" s="86">
        <v>0.8942341332568432</v>
      </c>
      <c r="S157" s="94">
        <v>6.1</v>
      </c>
      <c r="T157" s="83"/>
      <c r="U157" s="83"/>
      <c r="V157" s="83"/>
      <c r="W157" s="83"/>
      <c r="X157" s="83"/>
      <c r="Y157" s="87">
        <v>25.200000000000003</v>
      </c>
      <c r="Z157" s="83"/>
      <c r="AA157" s="86">
        <v>8.0499999999999989</v>
      </c>
      <c r="AB157" s="86">
        <v>1.4812000000000001</v>
      </c>
      <c r="AC157" s="83"/>
      <c r="AD157" s="88">
        <v>360</v>
      </c>
      <c r="AE157" s="88">
        <v>580</v>
      </c>
      <c r="AF157" s="88">
        <v>60</v>
      </c>
      <c r="AG157" s="66">
        <f t="shared" si="4"/>
        <v>147.78095238095236</v>
      </c>
      <c r="AH157" s="143">
        <f t="shared" si="5"/>
        <v>1000</v>
      </c>
    </row>
    <row r="158" spans="1:34" s="90" customFormat="1" x14ac:dyDescent="0.3">
      <c r="A158" s="84">
        <v>802653</v>
      </c>
      <c r="B158" s="87">
        <v>34.666666666666671</v>
      </c>
      <c r="C158" s="87">
        <v>14.1</v>
      </c>
      <c r="D158" s="86">
        <v>8.1999999999999993</v>
      </c>
      <c r="E158" s="99">
        <v>0.33</v>
      </c>
      <c r="F158" s="92">
        <v>197.95000000000002</v>
      </c>
      <c r="G158" s="83">
        <v>169.89999999999998</v>
      </c>
      <c r="H158" s="92">
        <v>29.117000000000001</v>
      </c>
      <c r="I158" s="84">
        <v>340</v>
      </c>
      <c r="J158" s="85">
        <v>0.20899999999999999</v>
      </c>
      <c r="K158" s="87">
        <v>10.548999999999999</v>
      </c>
      <c r="L158" s="83">
        <v>2130</v>
      </c>
      <c r="M158" s="83"/>
      <c r="N158" s="83"/>
      <c r="O158" s="83"/>
      <c r="P158" s="83"/>
      <c r="Q158" s="83"/>
      <c r="R158" s="86">
        <v>1.2364878261968686</v>
      </c>
      <c r="S158" s="94">
        <v>8.9</v>
      </c>
      <c r="T158" s="83"/>
      <c r="U158" s="83"/>
      <c r="V158" s="83"/>
      <c r="W158" s="83"/>
      <c r="X158" s="83"/>
      <c r="Y158" s="87">
        <v>25.200000000000003</v>
      </c>
      <c r="Z158" s="83"/>
      <c r="AA158" s="86">
        <v>4.6516129032258062</v>
      </c>
      <c r="AB158" s="86">
        <v>2.1896</v>
      </c>
      <c r="AC158" s="83"/>
      <c r="AD158" s="88">
        <v>360</v>
      </c>
      <c r="AE158" s="88">
        <v>600</v>
      </c>
      <c r="AF158" s="88">
        <v>40</v>
      </c>
      <c r="AG158" s="66">
        <f t="shared" si="4"/>
        <v>148.1883333333333</v>
      </c>
      <c r="AH158" s="143">
        <f t="shared" si="5"/>
        <v>1000</v>
      </c>
    </row>
    <row r="159" spans="1:34" s="90" customFormat="1" x14ac:dyDescent="0.3">
      <c r="A159" s="84">
        <v>802654</v>
      </c>
      <c r="B159" s="87">
        <v>32.499999999999993</v>
      </c>
      <c r="C159" s="87">
        <v>14.4</v>
      </c>
      <c r="D159" s="86">
        <v>8.0299999999999994</v>
      </c>
      <c r="E159" s="99">
        <v>0.23</v>
      </c>
      <c r="F159" s="92">
        <v>75</v>
      </c>
      <c r="G159" s="83">
        <v>118.2</v>
      </c>
      <c r="H159" s="84">
        <v>362.69499999999999</v>
      </c>
      <c r="I159" s="84">
        <v>263</v>
      </c>
      <c r="J159" s="85">
        <v>0.16</v>
      </c>
      <c r="K159" s="87">
        <v>9.92</v>
      </c>
      <c r="L159" s="83">
        <v>1890</v>
      </c>
      <c r="M159" s="83"/>
      <c r="N159" s="83"/>
      <c r="O159" s="83"/>
      <c r="P159" s="83"/>
      <c r="Q159" s="83"/>
      <c r="R159" s="86">
        <v>1.6138970000000001</v>
      </c>
      <c r="S159" s="94">
        <v>11.3</v>
      </c>
      <c r="T159" s="83"/>
      <c r="U159" s="83"/>
      <c r="V159" s="83"/>
      <c r="W159" s="83"/>
      <c r="X159" s="83"/>
      <c r="Y159" s="87">
        <v>28.000000000000004</v>
      </c>
      <c r="Z159" s="83"/>
      <c r="AA159" s="86">
        <v>6.4129032258064509</v>
      </c>
      <c r="AB159" s="86">
        <v>1.5456000000000001</v>
      </c>
      <c r="AC159" s="83"/>
      <c r="AD159" s="88">
        <v>400</v>
      </c>
      <c r="AE159" s="88">
        <v>560</v>
      </c>
      <c r="AF159" s="88">
        <v>40</v>
      </c>
      <c r="AG159" s="66">
        <f t="shared" si="4"/>
        <v>125.41714285714284</v>
      </c>
      <c r="AH159" s="143">
        <f t="shared" si="5"/>
        <v>1000</v>
      </c>
    </row>
    <row r="160" spans="1:34" s="90" customFormat="1" x14ac:dyDescent="0.3">
      <c r="A160" s="84">
        <v>802655</v>
      </c>
      <c r="B160" s="87">
        <v>45.499999999999993</v>
      </c>
      <c r="C160" s="87">
        <v>13.1</v>
      </c>
      <c r="D160" s="86">
        <v>7.59</v>
      </c>
      <c r="E160" s="99">
        <v>1.65</v>
      </c>
      <c r="F160" s="92">
        <v>1466.1000000000001</v>
      </c>
      <c r="G160" s="83">
        <v>745.3</v>
      </c>
      <c r="H160" s="92">
        <v>54.161999999999999</v>
      </c>
      <c r="I160" s="84">
        <v>534</v>
      </c>
      <c r="J160" s="85">
        <v>0.871</v>
      </c>
      <c r="K160" s="87">
        <v>10.006</v>
      </c>
      <c r="L160" s="83">
        <v>1700</v>
      </c>
      <c r="M160" s="83">
        <v>0.42</v>
      </c>
      <c r="N160" s="83">
        <v>0.33</v>
      </c>
      <c r="O160" s="83">
        <v>2.86</v>
      </c>
      <c r="P160" s="83">
        <v>1.62</v>
      </c>
      <c r="Q160" s="83"/>
      <c r="R160" s="86">
        <v>0.97469537247914662</v>
      </c>
      <c r="S160" s="94">
        <v>6.5</v>
      </c>
      <c r="T160" s="83"/>
      <c r="U160" s="83"/>
      <c r="V160" s="83"/>
      <c r="W160" s="83"/>
      <c r="X160" s="83"/>
      <c r="Y160" s="87">
        <v>33.6</v>
      </c>
      <c r="Z160" s="83"/>
      <c r="AA160" s="86">
        <v>17.646774193548389</v>
      </c>
      <c r="AB160" s="86">
        <v>3.7351999999999999</v>
      </c>
      <c r="AC160" s="83"/>
      <c r="AD160" s="88">
        <v>480</v>
      </c>
      <c r="AE160" s="88">
        <v>500</v>
      </c>
      <c r="AF160" s="88">
        <v>20</v>
      </c>
      <c r="AG160" s="66">
        <f t="shared" si="4"/>
        <v>105.42035714285714</v>
      </c>
      <c r="AH160" s="143">
        <f t="shared" si="5"/>
        <v>1000</v>
      </c>
    </row>
    <row r="161" spans="1:34" s="90" customFormat="1" x14ac:dyDescent="0.3">
      <c r="A161" s="84">
        <v>802656</v>
      </c>
      <c r="B161" s="87">
        <v>33.333333333333329</v>
      </c>
      <c r="C161" s="87">
        <v>11.9</v>
      </c>
      <c r="D161" s="86">
        <v>7.85</v>
      </c>
      <c r="E161" s="99">
        <v>1.93</v>
      </c>
      <c r="F161" s="92">
        <v>403.9</v>
      </c>
      <c r="G161" s="83">
        <v>816.44999999999993</v>
      </c>
      <c r="H161" s="84">
        <v>31.113</v>
      </c>
      <c r="I161" s="84">
        <v>535</v>
      </c>
      <c r="J161" s="85">
        <v>0.26700000000000002</v>
      </c>
      <c r="K161" s="87">
        <v>10.388</v>
      </c>
      <c r="L161" s="83">
        <v>1160</v>
      </c>
      <c r="M161" s="83">
        <v>0.19</v>
      </c>
      <c r="N161" s="83">
        <v>0.26</v>
      </c>
      <c r="O161" s="83">
        <v>3.75</v>
      </c>
      <c r="P161" s="83">
        <v>1.79</v>
      </c>
      <c r="Q161" s="83"/>
      <c r="R161" s="86">
        <v>0.60447032718659055</v>
      </c>
      <c r="S161" s="94">
        <v>4.3</v>
      </c>
      <c r="T161" s="83"/>
      <c r="U161" s="83"/>
      <c r="V161" s="83"/>
      <c r="W161" s="83"/>
      <c r="X161" s="83"/>
      <c r="Y161" s="87">
        <v>36.400000000000006</v>
      </c>
      <c r="Z161" s="83"/>
      <c r="AA161" s="86">
        <v>13.514516129032257</v>
      </c>
      <c r="AB161" s="86">
        <v>3.8640000000000003</v>
      </c>
      <c r="AC161" s="83"/>
      <c r="AD161" s="88">
        <v>520</v>
      </c>
      <c r="AE161" s="88">
        <v>420</v>
      </c>
      <c r="AF161" s="88">
        <v>80</v>
      </c>
      <c r="AG161" s="66">
        <f t="shared" si="4"/>
        <v>101.02615384615383</v>
      </c>
      <c r="AH161" s="143">
        <f t="shared" si="5"/>
        <v>1020</v>
      </c>
    </row>
    <row r="162" spans="1:34" s="90" customFormat="1" x14ac:dyDescent="0.3">
      <c r="A162" s="84">
        <v>802657</v>
      </c>
      <c r="B162" s="87">
        <v>34.833333333333329</v>
      </c>
      <c r="C162" s="87">
        <v>17.3</v>
      </c>
      <c r="D162" s="86">
        <v>7.74</v>
      </c>
      <c r="E162" s="99">
        <v>3.18</v>
      </c>
      <c r="F162" s="92">
        <v>747.55</v>
      </c>
      <c r="G162" s="83">
        <v>847.65</v>
      </c>
      <c r="H162" s="92">
        <v>72.492999999999995</v>
      </c>
      <c r="I162" s="84">
        <v>165</v>
      </c>
      <c r="J162" s="85">
        <v>0.22800000000000001</v>
      </c>
      <c r="K162" s="87">
        <v>4.5529999999999999</v>
      </c>
      <c r="L162" s="83">
        <v>1160</v>
      </c>
      <c r="M162" s="83"/>
      <c r="N162" s="83"/>
      <c r="O162" s="83"/>
      <c r="P162" s="83"/>
      <c r="Q162" s="83"/>
      <c r="R162" s="86">
        <v>0.88035724417353522</v>
      </c>
      <c r="S162" s="94">
        <v>6.5</v>
      </c>
      <c r="T162" s="83"/>
      <c r="U162" s="83"/>
      <c r="V162" s="83"/>
      <c r="W162" s="83"/>
      <c r="X162" s="83"/>
      <c r="Y162" s="87">
        <v>22.6</v>
      </c>
      <c r="Z162" s="83"/>
      <c r="AA162" s="86">
        <v>3.7935483870967741</v>
      </c>
      <c r="AB162" s="86">
        <v>2.9624000000000001</v>
      </c>
      <c r="AC162" s="83"/>
      <c r="AD162" s="88">
        <v>180</v>
      </c>
      <c r="AE162" s="88">
        <v>790</v>
      </c>
      <c r="AF162" s="88">
        <v>30</v>
      </c>
      <c r="AG162" s="66">
        <f t="shared" si="4"/>
        <v>71.316902654867249</v>
      </c>
      <c r="AH162" s="143">
        <f t="shared" si="5"/>
        <v>1000</v>
      </c>
    </row>
    <row r="163" spans="1:34" s="90" customFormat="1" x14ac:dyDescent="0.3">
      <c r="A163" s="84">
        <v>802658</v>
      </c>
      <c r="B163" s="87">
        <v>55.666666666666664</v>
      </c>
      <c r="C163" s="87">
        <v>17.899999999999999</v>
      </c>
      <c r="D163" s="86">
        <v>7.77</v>
      </c>
      <c r="E163" s="99">
        <v>3.87</v>
      </c>
      <c r="F163" s="92">
        <v>1627.8</v>
      </c>
      <c r="G163" s="83">
        <v>864.09999999999991</v>
      </c>
      <c r="H163" s="84">
        <v>173.76400000000001</v>
      </c>
      <c r="I163" s="84">
        <v>169</v>
      </c>
      <c r="J163" s="85">
        <v>9.2999999999999999E-2</v>
      </c>
      <c r="K163" s="87">
        <v>15.849</v>
      </c>
      <c r="L163" s="83">
        <v>680</v>
      </c>
      <c r="M163" s="83"/>
      <c r="N163" s="83"/>
      <c r="O163" s="83"/>
      <c r="P163" s="83"/>
      <c r="Q163" s="83"/>
      <c r="R163" s="86">
        <v>1.4578034690455068</v>
      </c>
      <c r="S163" s="94">
        <v>9.5</v>
      </c>
      <c r="T163" s="83"/>
      <c r="U163" s="83"/>
      <c r="V163" s="83"/>
      <c r="W163" s="83"/>
      <c r="X163" s="83"/>
      <c r="Y163" s="87">
        <v>10.500000000000002</v>
      </c>
      <c r="Z163" s="83"/>
      <c r="AA163" s="86">
        <v>11.730645161290322</v>
      </c>
      <c r="AB163" s="86">
        <v>2.8980000000000001</v>
      </c>
      <c r="AC163" s="83"/>
      <c r="AD163" s="88">
        <v>150</v>
      </c>
      <c r="AE163" s="88">
        <v>750</v>
      </c>
      <c r="AF163" s="88">
        <v>100</v>
      </c>
      <c r="AG163" s="66">
        <f t="shared" si="4"/>
        <v>534.33771428571424</v>
      </c>
      <c r="AH163" s="143">
        <f t="shared" si="5"/>
        <v>1000</v>
      </c>
    </row>
    <row r="164" spans="1:34" s="90" customFormat="1" x14ac:dyDescent="0.3">
      <c r="A164" s="84">
        <v>802659</v>
      </c>
      <c r="B164" s="87">
        <v>50</v>
      </c>
      <c r="C164" s="87">
        <v>11.5</v>
      </c>
      <c r="D164" s="86">
        <v>8</v>
      </c>
      <c r="E164" s="99">
        <v>1.77</v>
      </c>
      <c r="F164" s="92">
        <v>68.75</v>
      </c>
      <c r="G164" s="83">
        <v>844.65000000000009</v>
      </c>
      <c r="H164" s="92">
        <v>30.75</v>
      </c>
      <c r="I164" s="84">
        <v>300</v>
      </c>
      <c r="J164" s="85">
        <v>0.115</v>
      </c>
      <c r="K164" s="87">
        <v>12.984999999999999</v>
      </c>
      <c r="L164" s="83">
        <v>1420</v>
      </c>
      <c r="M164" s="83">
        <v>0.17</v>
      </c>
      <c r="N164" s="83">
        <v>0.26</v>
      </c>
      <c r="O164" s="83">
        <v>2.54</v>
      </c>
      <c r="P164" s="83">
        <v>2.17</v>
      </c>
      <c r="Q164" s="83"/>
      <c r="R164" s="86">
        <v>0.966729238482404</v>
      </c>
      <c r="S164" s="94">
        <v>6.5</v>
      </c>
      <c r="T164" s="83"/>
      <c r="U164" s="83"/>
      <c r="V164" s="83"/>
      <c r="W164" s="83"/>
      <c r="X164" s="83"/>
      <c r="Y164" s="87">
        <v>20.3</v>
      </c>
      <c r="Z164" s="83"/>
      <c r="AA164" s="86">
        <v>5.0016129032258059</v>
      </c>
      <c r="AB164" s="86">
        <v>3.0912000000000002</v>
      </c>
      <c r="AC164" s="83"/>
      <c r="AD164" s="88">
        <v>290</v>
      </c>
      <c r="AE164" s="88">
        <v>330</v>
      </c>
      <c r="AF164" s="88">
        <v>380</v>
      </c>
      <c r="AG164" s="66">
        <f t="shared" si="4"/>
        <v>226.43793103448274</v>
      </c>
      <c r="AH164" s="143">
        <f t="shared" si="5"/>
        <v>1000</v>
      </c>
    </row>
    <row r="165" spans="1:34" s="90" customFormat="1" x14ac:dyDescent="0.3">
      <c r="A165" s="84">
        <v>802660</v>
      </c>
      <c r="B165" s="87">
        <v>49.166666666666664</v>
      </c>
      <c r="C165" s="87">
        <v>13.5</v>
      </c>
      <c r="D165" s="86">
        <v>8.49</v>
      </c>
      <c r="E165" s="99">
        <v>1.25</v>
      </c>
      <c r="F165" s="92">
        <v>1058.0500000000002</v>
      </c>
      <c r="G165" s="83">
        <v>730.19999999999993</v>
      </c>
      <c r="H165" s="84">
        <v>40.914000000000001</v>
      </c>
      <c r="I165" s="84">
        <v>298</v>
      </c>
      <c r="J165" s="85">
        <v>0.128</v>
      </c>
      <c r="K165" s="87">
        <v>12.807</v>
      </c>
      <c r="L165" s="83">
        <v>1410</v>
      </c>
      <c r="M165" s="83">
        <v>0.16</v>
      </c>
      <c r="N165" s="83">
        <v>0.23</v>
      </c>
      <c r="O165" s="83">
        <v>1.76</v>
      </c>
      <c r="P165" s="83">
        <v>2.12</v>
      </c>
      <c r="Q165" s="83"/>
      <c r="R165" s="86">
        <v>1.3672621308155049</v>
      </c>
      <c r="S165" s="94">
        <v>9.8000000000000007</v>
      </c>
      <c r="T165" s="83"/>
      <c r="U165" s="83"/>
      <c r="V165" s="83"/>
      <c r="W165" s="83"/>
      <c r="X165" s="83"/>
      <c r="Y165" s="87">
        <v>21.700000000000003</v>
      </c>
      <c r="Z165" s="83"/>
      <c r="AA165" s="86">
        <v>25.482258064516127</v>
      </c>
      <c r="AB165" s="86">
        <v>3.7351999999999999</v>
      </c>
      <c r="AC165" s="83"/>
      <c r="AD165" s="88">
        <v>310</v>
      </c>
      <c r="AE165" s="88">
        <v>400</v>
      </c>
      <c r="AF165" s="88">
        <v>290</v>
      </c>
      <c r="AG165" s="66">
        <f t="shared" si="4"/>
        <v>208.92525345622121</v>
      </c>
      <c r="AH165" s="143">
        <f t="shared" si="5"/>
        <v>1000</v>
      </c>
    </row>
    <row r="166" spans="1:34" s="90" customFormat="1" x14ac:dyDescent="0.3">
      <c r="A166" s="84">
        <v>802661</v>
      </c>
      <c r="B166" s="87">
        <v>28.333333333333332</v>
      </c>
      <c r="C166" s="87">
        <v>5.3</v>
      </c>
      <c r="D166" s="86">
        <v>8.76</v>
      </c>
      <c r="E166" s="99">
        <v>0.13</v>
      </c>
      <c r="F166" s="92">
        <v>9.25</v>
      </c>
      <c r="G166" s="83">
        <v>112.89999999999999</v>
      </c>
      <c r="H166" s="92">
        <v>18.771999999999998</v>
      </c>
      <c r="I166" s="84">
        <v>209</v>
      </c>
      <c r="J166" s="85">
        <v>0.04</v>
      </c>
      <c r="K166" s="87">
        <v>10.349</v>
      </c>
      <c r="L166" s="83">
        <v>380</v>
      </c>
      <c r="M166" s="83">
        <v>0.06</v>
      </c>
      <c r="N166" s="83">
        <v>0.21</v>
      </c>
      <c r="O166" s="83">
        <v>1.44</v>
      </c>
      <c r="P166" s="83">
        <v>2.94</v>
      </c>
      <c r="Q166" s="83"/>
      <c r="R166" s="86">
        <v>0.2266044750999453</v>
      </c>
      <c r="S166" s="94">
        <v>1.5</v>
      </c>
      <c r="T166" s="83"/>
      <c r="U166" s="83"/>
      <c r="V166" s="83"/>
      <c r="W166" s="83"/>
      <c r="X166" s="83"/>
      <c r="Y166" s="87">
        <v>13.3</v>
      </c>
      <c r="Z166" s="83"/>
      <c r="AA166" s="86">
        <v>2.82258064516129</v>
      </c>
      <c r="AB166" s="86">
        <v>2.0608</v>
      </c>
      <c r="AC166" s="83"/>
      <c r="AD166" s="88">
        <v>190</v>
      </c>
      <c r="AE166" s="88">
        <v>450</v>
      </c>
      <c r="AF166" s="88">
        <v>360</v>
      </c>
      <c r="AG166" s="66">
        <f t="shared" si="4"/>
        <v>275.45458646616544</v>
      </c>
      <c r="AH166" s="143">
        <f t="shared" si="5"/>
        <v>1000</v>
      </c>
    </row>
    <row r="167" spans="1:34" s="90" customFormat="1" x14ac:dyDescent="0.3">
      <c r="A167" s="84">
        <v>802662</v>
      </c>
      <c r="B167" s="87">
        <v>12</v>
      </c>
      <c r="C167" s="87">
        <v>2.4</v>
      </c>
      <c r="D167" s="86">
        <v>8.2899999999999991</v>
      </c>
      <c r="E167" s="99">
        <v>0.43</v>
      </c>
      <c r="F167" s="92">
        <v>416.04999999999995</v>
      </c>
      <c r="G167" s="83">
        <v>157.6</v>
      </c>
      <c r="H167" s="84">
        <v>19.315999999999999</v>
      </c>
      <c r="I167" s="84">
        <v>117</v>
      </c>
      <c r="J167" s="85">
        <v>0.25</v>
      </c>
      <c r="K167" s="87">
        <v>10.065</v>
      </c>
      <c r="L167" s="83">
        <v>420</v>
      </c>
      <c r="M167" s="83">
        <v>0.14000000000000001</v>
      </c>
      <c r="N167" s="83">
        <v>0.38</v>
      </c>
      <c r="O167" s="83">
        <v>2.91</v>
      </c>
      <c r="P167" s="83">
        <v>3.41</v>
      </c>
      <c r="Q167" s="83"/>
      <c r="R167" s="86">
        <v>0.33793948960758136</v>
      </c>
      <c r="S167" s="94">
        <v>2.4</v>
      </c>
      <c r="T167" s="83"/>
      <c r="U167" s="83"/>
      <c r="V167" s="83"/>
      <c r="W167" s="83"/>
      <c r="X167" s="83"/>
      <c r="Y167" s="87">
        <v>18.200000000000003</v>
      </c>
      <c r="Z167" s="83"/>
      <c r="AA167" s="86">
        <v>5.9725806451612904</v>
      </c>
      <c r="AB167" s="86">
        <v>2.3828</v>
      </c>
      <c r="AC167" s="83"/>
      <c r="AD167" s="88">
        <v>260</v>
      </c>
      <c r="AE167" s="88">
        <v>380</v>
      </c>
      <c r="AF167" s="88">
        <v>360</v>
      </c>
      <c r="AG167" s="66">
        <f t="shared" si="4"/>
        <v>195.76978021978019</v>
      </c>
      <c r="AH167" s="143">
        <f t="shared" si="5"/>
        <v>1000</v>
      </c>
    </row>
    <row r="168" spans="1:34" s="90" customFormat="1" x14ac:dyDescent="0.3">
      <c r="A168" s="84">
        <v>802663</v>
      </c>
      <c r="B168" s="87">
        <v>10</v>
      </c>
      <c r="C168" s="87">
        <v>2.5</v>
      </c>
      <c r="D168" s="86">
        <v>8.6199999999999992</v>
      </c>
      <c r="E168" s="99">
        <v>0.25</v>
      </c>
      <c r="F168" s="92">
        <v>142.69999999999999</v>
      </c>
      <c r="G168" s="83">
        <v>171.14999999999998</v>
      </c>
      <c r="H168" s="92">
        <v>23.128</v>
      </c>
      <c r="I168" s="84">
        <v>189</v>
      </c>
      <c r="J168" s="85">
        <v>0.11</v>
      </c>
      <c r="K168" s="87">
        <v>8.3119999999999994</v>
      </c>
      <c r="L168" s="83">
        <v>430</v>
      </c>
      <c r="M168" s="83">
        <v>0.11</v>
      </c>
      <c r="N168" s="83">
        <v>0.31</v>
      </c>
      <c r="O168" s="83">
        <v>2.42</v>
      </c>
      <c r="P168" s="83">
        <v>2.52</v>
      </c>
      <c r="Q168" s="83"/>
      <c r="R168" s="86">
        <v>0.43889005585362278</v>
      </c>
      <c r="S168" s="94">
        <v>2.9</v>
      </c>
      <c r="T168" s="83"/>
      <c r="U168" s="83"/>
      <c r="V168" s="83"/>
      <c r="W168" s="83"/>
      <c r="X168" s="83"/>
      <c r="Y168" s="87">
        <v>14.700000000000001</v>
      </c>
      <c r="Z168" s="83"/>
      <c r="AA168" s="86">
        <v>6.4806451612903233</v>
      </c>
      <c r="AB168" s="86">
        <v>1.8032000000000001</v>
      </c>
      <c r="AC168" s="83"/>
      <c r="AD168" s="88">
        <v>210</v>
      </c>
      <c r="AE168" s="88">
        <v>420</v>
      </c>
      <c r="AF168" s="88">
        <v>370</v>
      </c>
      <c r="AG168" s="66">
        <f t="shared" si="4"/>
        <v>200.16653061224488</v>
      </c>
      <c r="AH168" s="143">
        <f t="shared" si="5"/>
        <v>1000</v>
      </c>
    </row>
    <row r="169" spans="1:34" s="90" customFormat="1" x14ac:dyDescent="0.3">
      <c r="A169" s="84">
        <v>802664</v>
      </c>
      <c r="B169" s="87">
        <v>16.666666666666664</v>
      </c>
      <c r="C169" s="87">
        <v>3.9</v>
      </c>
      <c r="D169" s="86">
        <v>7.68</v>
      </c>
      <c r="E169" s="99">
        <v>0.23</v>
      </c>
      <c r="F169" s="92">
        <v>75.3</v>
      </c>
      <c r="G169" s="83">
        <v>127.15</v>
      </c>
      <c r="H169" s="84">
        <v>21.856999999999999</v>
      </c>
      <c r="I169" s="84">
        <v>183</v>
      </c>
      <c r="J169" s="85">
        <v>0.156</v>
      </c>
      <c r="K169" s="87">
        <v>8.8209999999999997</v>
      </c>
      <c r="L169" s="83">
        <v>520</v>
      </c>
      <c r="M169" s="83">
        <v>0.15</v>
      </c>
      <c r="N169" s="83">
        <v>0.35</v>
      </c>
      <c r="O169" s="83">
        <v>2.99</v>
      </c>
      <c r="P169" s="83">
        <v>2.67</v>
      </c>
      <c r="Q169" s="83"/>
      <c r="R169" s="86">
        <v>0.3764458226579166</v>
      </c>
      <c r="S169" s="94">
        <v>2.5</v>
      </c>
      <c r="T169" s="83"/>
      <c r="U169" s="83"/>
      <c r="V169" s="83"/>
      <c r="W169" s="83"/>
      <c r="X169" s="83"/>
      <c r="Y169" s="87">
        <v>14.000000000000002</v>
      </c>
      <c r="Z169" s="83"/>
      <c r="AA169" s="86">
        <v>11.595161290322579</v>
      </c>
      <c r="AB169" s="86">
        <v>1.8032000000000001</v>
      </c>
      <c r="AC169" s="83"/>
      <c r="AD169" s="88">
        <v>200</v>
      </c>
      <c r="AE169" s="88">
        <v>430</v>
      </c>
      <c r="AF169" s="88">
        <v>370</v>
      </c>
      <c r="AG169" s="66">
        <f t="shared" si="4"/>
        <v>223.04528571428568</v>
      </c>
      <c r="AH169" s="143">
        <f t="shared" si="5"/>
        <v>1000</v>
      </c>
    </row>
    <row r="170" spans="1:34" s="90" customFormat="1" x14ac:dyDescent="0.3">
      <c r="A170" s="84">
        <v>802665</v>
      </c>
      <c r="B170" s="87">
        <v>26.666666666666668</v>
      </c>
      <c r="C170" s="87">
        <v>11.1</v>
      </c>
      <c r="D170" s="86">
        <v>8.35</v>
      </c>
      <c r="E170" s="99">
        <v>0.14000000000000001</v>
      </c>
      <c r="F170" s="92">
        <v>11.6</v>
      </c>
      <c r="G170" s="83">
        <v>73.899999999999991</v>
      </c>
      <c r="H170" s="92">
        <v>29.843</v>
      </c>
      <c r="I170" s="84">
        <v>327</v>
      </c>
      <c r="J170" s="85">
        <v>0.124</v>
      </c>
      <c r="K170" s="87">
        <v>12.311999999999999</v>
      </c>
      <c r="L170" s="83">
        <v>327</v>
      </c>
      <c r="M170" s="83">
        <v>0.14000000000000001</v>
      </c>
      <c r="N170" s="83">
        <v>0.9</v>
      </c>
      <c r="O170" s="83">
        <v>3.34</v>
      </c>
      <c r="P170" s="83">
        <v>4.34</v>
      </c>
      <c r="Q170" s="83"/>
      <c r="R170" s="86">
        <v>1.0560100330666928</v>
      </c>
      <c r="S170" s="94">
        <v>7.8</v>
      </c>
      <c r="T170" s="83"/>
      <c r="U170" s="83"/>
      <c r="V170" s="83"/>
      <c r="W170" s="83"/>
      <c r="X170" s="83"/>
      <c r="Y170" s="87">
        <v>14.000000000000002</v>
      </c>
      <c r="Z170" s="83"/>
      <c r="AA170" s="86">
        <v>5.6225806451612907</v>
      </c>
      <c r="AB170" s="86">
        <v>1.1592</v>
      </c>
      <c r="AC170" s="83"/>
      <c r="AD170" s="88">
        <v>200</v>
      </c>
      <c r="AE170" s="88">
        <v>700</v>
      </c>
      <c r="AF170" s="88">
        <v>100</v>
      </c>
      <c r="AG170" s="66">
        <f t="shared" si="4"/>
        <v>311.31771428571426</v>
      </c>
      <c r="AH170" s="143">
        <f t="shared" si="5"/>
        <v>1000</v>
      </c>
    </row>
    <row r="171" spans="1:34" s="90" customFormat="1" x14ac:dyDescent="0.3">
      <c r="A171" s="84">
        <v>802666</v>
      </c>
      <c r="B171" s="87">
        <v>26.833333333333332</v>
      </c>
      <c r="C171" s="87">
        <v>12.4</v>
      </c>
      <c r="D171" s="86">
        <v>8.3699999999999992</v>
      </c>
      <c r="E171" s="99">
        <v>0.15</v>
      </c>
      <c r="F171" s="92">
        <v>10.45</v>
      </c>
      <c r="G171" s="83">
        <v>72.900000000000006</v>
      </c>
      <c r="H171" s="84">
        <v>38.372999999999998</v>
      </c>
      <c r="I171" s="84">
        <v>210</v>
      </c>
      <c r="J171" s="85">
        <v>4.3999999999999997E-2</v>
      </c>
      <c r="K171" s="87">
        <v>12.763999999999999</v>
      </c>
      <c r="L171" s="83">
        <v>210</v>
      </c>
      <c r="M171" s="83">
        <v>0.16</v>
      </c>
      <c r="N171" s="83">
        <v>1.22</v>
      </c>
      <c r="O171" s="83">
        <v>3.3</v>
      </c>
      <c r="P171" s="83">
        <v>4.79</v>
      </c>
      <c r="Q171" s="83"/>
      <c r="R171" s="86">
        <v>1.4081891443366956</v>
      </c>
      <c r="S171" s="94">
        <v>9.1999999999999993</v>
      </c>
      <c r="T171" s="83"/>
      <c r="U171" s="83"/>
      <c r="V171" s="83"/>
      <c r="W171" s="83"/>
      <c r="X171" s="83"/>
      <c r="Y171" s="87">
        <v>18.200000000000003</v>
      </c>
      <c r="Z171" s="83"/>
      <c r="AA171" s="86">
        <v>6.7290322580645157</v>
      </c>
      <c r="AB171" s="86">
        <v>1.2236</v>
      </c>
      <c r="AC171" s="83"/>
      <c r="AD171" s="88">
        <v>260</v>
      </c>
      <c r="AE171" s="88">
        <v>650</v>
      </c>
      <c r="AF171" s="88">
        <v>90</v>
      </c>
      <c r="AG171" s="66">
        <f t="shared" si="4"/>
        <v>248.26681318681315</v>
      </c>
      <c r="AH171" s="143">
        <f t="shared" si="5"/>
        <v>1000</v>
      </c>
    </row>
    <row r="172" spans="1:34" s="90" customFormat="1" x14ac:dyDescent="0.3">
      <c r="A172" s="84">
        <v>802667</v>
      </c>
      <c r="B172" s="87">
        <v>23.333333333333332</v>
      </c>
      <c r="C172" s="87">
        <v>7.6</v>
      </c>
      <c r="D172" s="86">
        <v>8.43</v>
      </c>
      <c r="E172" s="99">
        <v>0.13</v>
      </c>
      <c r="F172" s="92">
        <v>19.7</v>
      </c>
      <c r="G172" s="83">
        <v>92.35</v>
      </c>
      <c r="H172" s="92">
        <v>63.237000000000002</v>
      </c>
      <c r="I172" s="84">
        <v>328</v>
      </c>
      <c r="J172" s="85">
        <v>5.5E-2</v>
      </c>
      <c r="K172" s="87">
        <v>11.968</v>
      </c>
      <c r="L172" s="83">
        <v>720</v>
      </c>
      <c r="M172" s="83">
        <v>0.24</v>
      </c>
      <c r="N172" s="83">
        <v>1.19</v>
      </c>
      <c r="O172" s="83">
        <v>3.74</v>
      </c>
      <c r="P172" s="83">
        <v>5.04</v>
      </c>
      <c r="Q172" s="83"/>
      <c r="R172" s="86">
        <v>1.2102703613276968</v>
      </c>
      <c r="S172" s="94">
        <v>8.1</v>
      </c>
      <c r="T172" s="83"/>
      <c r="U172" s="83"/>
      <c r="V172" s="83"/>
      <c r="W172" s="83"/>
      <c r="X172" s="83"/>
      <c r="Y172" s="87">
        <v>16.8</v>
      </c>
      <c r="Z172" s="83"/>
      <c r="AA172" s="86">
        <v>10.003225806451612</v>
      </c>
      <c r="AB172" s="86">
        <v>1.4812000000000001</v>
      </c>
      <c r="AC172" s="83"/>
      <c r="AD172" s="88">
        <v>240</v>
      </c>
      <c r="AE172" s="88">
        <v>620</v>
      </c>
      <c r="AF172" s="88">
        <v>140</v>
      </c>
      <c r="AG172" s="66">
        <f t="shared" si="4"/>
        <v>252.18285714285716</v>
      </c>
      <c r="AH172" s="143">
        <f t="shared" si="5"/>
        <v>1000</v>
      </c>
    </row>
    <row r="173" spans="1:34" s="90" customFormat="1" x14ac:dyDescent="0.3">
      <c r="A173" s="84">
        <v>802668</v>
      </c>
      <c r="B173" s="87">
        <v>25.5</v>
      </c>
      <c r="C173" s="87">
        <v>8.1</v>
      </c>
      <c r="D173" s="86">
        <v>8.1</v>
      </c>
      <c r="E173" s="99">
        <v>0.17</v>
      </c>
      <c r="F173" s="92" t="s">
        <v>119</v>
      </c>
      <c r="G173" s="83">
        <v>87.699999999999989</v>
      </c>
      <c r="H173" s="84">
        <v>23.853999999999999</v>
      </c>
      <c r="I173" s="84">
        <v>290</v>
      </c>
      <c r="J173" s="85">
        <v>6.4000000000000001E-2</v>
      </c>
      <c r="K173" s="87">
        <v>10.375999999999999</v>
      </c>
      <c r="L173" s="83">
        <v>670</v>
      </c>
      <c r="M173" s="83">
        <v>0.24</v>
      </c>
      <c r="N173" s="83">
        <v>0.74</v>
      </c>
      <c r="O173" s="83">
        <v>4.25</v>
      </c>
      <c r="P173" s="83">
        <v>4.08</v>
      </c>
      <c r="Q173" s="83"/>
      <c r="R173" s="86">
        <v>1.1929955608746259</v>
      </c>
      <c r="S173" s="94">
        <v>8.1999999999999993</v>
      </c>
      <c r="T173" s="83"/>
      <c r="U173" s="83"/>
      <c r="V173" s="83"/>
      <c r="W173" s="83"/>
      <c r="X173" s="83"/>
      <c r="Y173" s="87">
        <v>19.600000000000001</v>
      </c>
      <c r="Z173" s="83"/>
      <c r="AA173" s="86">
        <v>12.261290322580644</v>
      </c>
      <c r="AB173" s="86">
        <v>1.6744000000000001</v>
      </c>
      <c r="AC173" s="83"/>
      <c r="AD173" s="88">
        <v>280</v>
      </c>
      <c r="AE173" s="88">
        <v>600</v>
      </c>
      <c r="AF173" s="88">
        <v>120</v>
      </c>
      <c r="AG173" s="66">
        <f t="shared" si="4"/>
        <v>187.40326530612242</v>
      </c>
      <c r="AH173" s="143">
        <f t="shared" si="5"/>
        <v>1000</v>
      </c>
    </row>
    <row r="174" spans="1:34" s="90" customFormat="1" x14ac:dyDescent="0.3">
      <c r="A174" s="84">
        <v>802669</v>
      </c>
      <c r="B174" s="87">
        <v>40.166666666666664</v>
      </c>
      <c r="C174" s="87">
        <v>14.9</v>
      </c>
      <c r="D174" s="86">
        <v>8.33</v>
      </c>
      <c r="E174" s="99">
        <v>0.28999999999999998</v>
      </c>
      <c r="F174" s="92">
        <v>19.350000000000001</v>
      </c>
      <c r="G174" s="83">
        <v>127.35</v>
      </c>
      <c r="H174" s="92">
        <v>35.832000000000001</v>
      </c>
      <c r="I174" s="84">
        <v>271</v>
      </c>
      <c r="J174" s="85">
        <v>0.122</v>
      </c>
      <c r="K174" s="87">
        <v>11.72</v>
      </c>
      <c r="L174" s="83">
        <v>680</v>
      </c>
      <c r="M174" s="83">
        <v>0.16</v>
      </c>
      <c r="N174" s="83">
        <v>0.56000000000000005</v>
      </c>
      <c r="O174" s="83">
        <v>3.95</v>
      </c>
      <c r="P174" s="83">
        <v>3.49</v>
      </c>
      <c r="Q174" s="83"/>
      <c r="R174" s="86">
        <v>1.6369130000000003</v>
      </c>
      <c r="S174" s="94">
        <v>11.9</v>
      </c>
      <c r="T174" s="83"/>
      <c r="U174" s="83"/>
      <c r="V174" s="83"/>
      <c r="W174" s="83"/>
      <c r="X174" s="83"/>
      <c r="Y174" s="87">
        <v>18.200000000000003</v>
      </c>
      <c r="Z174" s="83"/>
      <c r="AA174" s="86">
        <v>30.777419354838713</v>
      </c>
      <c r="AB174" s="86">
        <v>1.8032000000000001</v>
      </c>
      <c r="AC174" s="83"/>
      <c r="AD174" s="88">
        <v>260</v>
      </c>
      <c r="AE174" s="88">
        <v>600</v>
      </c>
      <c r="AF174" s="88">
        <v>140</v>
      </c>
      <c r="AG174" s="66">
        <f t="shared" si="4"/>
        <v>227.96043956043954</v>
      </c>
      <c r="AH174" s="143">
        <f t="shared" si="5"/>
        <v>1000</v>
      </c>
    </row>
    <row r="175" spans="1:34" s="90" customFormat="1" x14ac:dyDescent="0.3">
      <c r="A175" s="84">
        <v>802670</v>
      </c>
      <c r="B175" s="87">
        <v>34.833333333333329</v>
      </c>
      <c r="C175" s="87">
        <v>8.6</v>
      </c>
      <c r="D175" s="86">
        <v>8.3800000000000008</v>
      </c>
      <c r="E175" s="99">
        <v>0.3</v>
      </c>
      <c r="F175" s="92">
        <v>9.0500000000000007</v>
      </c>
      <c r="G175" s="83">
        <v>138.4</v>
      </c>
      <c r="H175" s="84">
        <v>59.97</v>
      </c>
      <c r="I175" s="84">
        <v>306</v>
      </c>
      <c r="J175" s="85">
        <v>0.16400000000000001</v>
      </c>
      <c r="K175" s="87">
        <v>10.268000000000001</v>
      </c>
      <c r="L175" s="83">
        <v>1260</v>
      </c>
      <c r="M175" s="83">
        <v>0.62</v>
      </c>
      <c r="N175" s="83">
        <v>0.77</v>
      </c>
      <c r="O175" s="83">
        <v>3.71</v>
      </c>
      <c r="P175" s="83">
        <v>4.76</v>
      </c>
      <c r="Q175" s="83"/>
      <c r="R175" s="86">
        <v>0.80261223753080424</v>
      </c>
      <c r="S175" s="94">
        <v>5.4</v>
      </c>
      <c r="T175" s="83"/>
      <c r="U175" s="83"/>
      <c r="V175" s="83"/>
      <c r="W175" s="83"/>
      <c r="X175" s="83"/>
      <c r="Y175" s="87">
        <v>16.8</v>
      </c>
      <c r="Z175" s="83"/>
      <c r="AA175" s="86">
        <v>38.533870967741933</v>
      </c>
      <c r="AB175" s="86">
        <v>1.8675999999999999</v>
      </c>
      <c r="AC175" s="83"/>
      <c r="AD175" s="88">
        <v>240</v>
      </c>
      <c r="AE175" s="88">
        <v>620</v>
      </c>
      <c r="AF175" s="88">
        <v>140</v>
      </c>
      <c r="AG175" s="66">
        <f t="shared" si="4"/>
        <v>216.36142857142855</v>
      </c>
      <c r="AH175" s="143">
        <f t="shared" si="5"/>
        <v>1000</v>
      </c>
    </row>
    <row r="176" spans="1:34" s="90" customFormat="1" x14ac:dyDescent="0.3">
      <c r="A176" s="84">
        <v>802671</v>
      </c>
      <c r="B176" s="87">
        <v>12.58</v>
      </c>
      <c r="C176" s="87">
        <v>5.125</v>
      </c>
      <c r="D176" s="86">
        <v>8.68</v>
      </c>
      <c r="E176" s="99">
        <v>0.37</v>
      </c>
      <c r="F176" s="84">
        <v>50.65</v>
      </c>
      <c r="G176" s="83">
        <v>59.9</v>
      </c>
      <c r="H176" s="92">
        <v>18.350000000000001</v>
      </c>
      <c r="I176" s="84">
        <v>256</v>
      </c>
      <c r="J176" s="85">
        <v>0.23499999999999999</v>
      </c>
      <c r="K176" s="87">
        <v>19.059999999999999</v>
      </c>
      <c r="L176" s="83">
        <v>1990</v>
      </c>
      <c r="M176" s="83">
        <v>0.23</v>
      </c>
      <c r="N176" s="83">
        <v>0.6</v>
      </c>
      <c r="O176" s="83">
        <v>1.84</v>
      </c>
      <c r="P176" s="83">
        <v>5.07</v>
      </c>
      <c r="Q176" s="83"/>
      <c r="R176" s="86">
        <v>1.74</v>
      </c>
      <c r="S176" s="94">
        <v>14.7</v>
      </c>
      <c r="T176" s="83"/>
      <c r="U176" s="83"/>
      <c r="V176" s="83"/>
      <c r="W176" s="83"/>
      <c r="X176" s="83"/>
      <c r="Y176" s="87">
        <v>31.5</v>
      </c>
      <c r="Z176" s="83"/>
      <c r="AA176" s="86"/>
      <c r="AB176" s="86"/>
      <c r="AC176" s="83"/>
      <c r="AD176" s="95">
        <v>450</v>
      </c>
      <c r="AE176" s="95">
        <v>360</v>
      </c>
      <c r="AF176" s="95">
        <v>190</v>
      </c>
      <c r="AG176" s="66">
        <f t="shared" si="4"/>
        <v>214.19809523809522</v>
      </c>
      <c r="AH176" s="143">
        <f t="shared" si="5"/>
        <v>1000</v>
      </c>
    </row>
    <row r="177" spans="1:34" s="90" customFormat="1" x14ac:dyDescent="0.3">
      <c r="A177" s="84">
        <v>802672</v>
      </c>
      <c r="B177" s="87">
        <v>7.63</v>
      </c>
      <c r="C177" s="87"/>
      <c r="D177" s="86">
        <v>8.5</v>
      </c>
      <c r="E177" s="99">
        <v>0.18</v>
      </c>
      <c r="F177" s="84">
        <v>106</v>
      </c>
      <c r="G177" s="83">
        <v>378.9</v>
      </c>
      <c r="H177" s="84">
        <v>108.19</v>
      </c>
      <c r="I177" s="84">
        <v>137</v>
      </c>
      <c r="J177" s="85">
        <v>0.11</v>
      </c>
      <c r="K177" s="87">
        <v>4.92</v>
      </c>
      <c r="L177" s="83">
        <v>330</v>
      </c>
      <c r="M177" s="83">
        <v>2.73</v>
      </c>
      <c r="N177" s="83">
        <v>1.0900000000000001</v>
      </c>
      <c r="O177" s="83">
        <v>1.6</v>
      </c>
      <c r="P177" s="83">
        <v>2.27</v>
      </c>
      <c r="Q177" s="83"/>
      <c r="R177" s="86">
        <v>0.37</v>
      </c>
      <c r="S177" s="94">
        <v>2.5</v>
      </c>
      <c r="T177" s="83"/>
      <c r="U177" s="83"/>
      <c r="V177" s="83"/>
      <c r="W177" s="83"/>
      <c r="X177" s="83"/>
      <c r="Y177" s="87">
        <v>4.9000000000000004</v>
      </c>
      <c r="Z177" s="83"/>
      <c r="AA177" s="86"/>
      <c r="AB177" s="86"/>
      <c r="AC177" s="83"/>
      <c r="AD177" s="95">
        <v>70</v>
      </c>
      <c r="AE177" s="95">
        <v>120</v>
      </c>
      <c r="AF177" s="95">
        <v>810</v>
      </c>
      <c r="AG177" s="66">
        <f t="shared" si="4"/>
        <v>355.44489795918361</v>
      </c>
      <c r="AH177" s="143">
        <f t="shared" si="5"/>
        <v>1000</v>
      </c>
    </row>
    <row r="178" spans="1:34" s="90" customFormat="1" x14ac:dyDescent="0.3">
      <c r="A178" s="84">
        <v>802673</v>
      </c>
      <c r="B178" s="87">
        <v>7.63</v>
      </c>
      <c r="C178" s="87"/>
      <c r="D178" s="86">
        <v>8.73</v>
      </c>
      <c r="E178" s="99">
        <v>0.19</v>
      </c>
      <c r="F178" s="84">
        <v>54.25</v>
      </c>
      <c r="G178" s="83">
        <v>99.05</v>
      </c>
      <c r="H178" s="92">
        <v>185.93</v>
      </c>
      <c r="I178" s="84">
        <v>75</v>
      </c>
      <c r="J178" s="85">
        <v>8.2000000000000003E-2</v>
      </c>
      <c r="K178" s="87">
        <v>5.89</v>
      </c>
      <c r="L178" s="83">
        <v>610</v>
      </c>
      <c r="M178" s="83">
        <v>3.29</v>
      </c>
      <c r="N178" s="83">
        <v>1.82</v>
      </c>
      <c r="O178" s="83">
        <v>2.44</v>
      </c>
      <c r="P178" s="83">
        <v>6.06</v>
      </c>
      <c r="Q178" s="83"/>
      <c r="R178" s="86">
        <v>0.99</v>
      </c>
      <c r="S178" s="94">
        <v>6.5</v>
      </c>
      <c r="T178" s="83"/>
      <c r="U178" s="83"/>
      <c r="V178" s="83"/>
      <c r="W178" s="83"/>
      <c r="X178" s="83"/>
      <c r="Y178" s="87">
        <v>3.5</v>
      </c>
      <c r="Z178" s="83"/>
      <c r="AA178" s="86"/>
      <c r="AB178" s="86"/>
      <c r="AC178" s="83"/>
      <c r="AD178" s="95">
        <v>50</v>
      </c>
      <c r="AE178" s="95">
        <v>200</v>
      </c>
      <c r="AF178" s="95">
        <v>750</v>
      </c>
      <c r="AG178" s="66">
        <f t="shared" si="4"/>
        <v>595.73142857142852</v>
      </c>
      <c r="AH178" s="143">
        <f t="shared" si="5"/>
        <v>1000</v>
      </c>
    </row>
    <row r="179" spans="1:34" s="90" customFormat="1" x14ac:dyDescent="0.3">
      <c r="A179" s="84">
        <v>802674</v>
      </c>
      <c r="B179" s="87">
        <v>7.83</v>
      </c>
      <c r="C179" s="87"/>
      <c r="D179" s="86">
        <v>8.77</v>
      </c>
      <c r="E179" s="99">
        <v>0.19</v>
      </c>
      <c r="F179" s="84">
        <v>64.5</v>
      </c>
      <c r="G179" s="83">
        <v>107.55</v>
      </c>
      <c r="H179" s="84">
        <v>205.49</v>
      </c>
      <c r="I179" s="84">
        <v>149</v>
      </c>
      <c r="J179" s="85">
        <v>8.7999999999999995E-2</v>
      </c>
      <c r="K179" s="87">
        <v>5.97</v>
      </c>
      <c r="L179" s="83">
        <v>360</v>
      </c>
      <c r="M179" s="83">
        <v>3.78</v>
      </c>
      <c r="N179" s="83">
        <v>1.97</v>
      </c>
      <c r="O179" s="83">
        <v>1.7</v>
      </c>
      <c r="P179" s="83">
        <v>2.78</v>
      </c>
      <c r="Q179" s="83"/>
      <c r="R179" s="86">
        <v>0.46</v>
      </c>
      <c r="S179" s="94">
        <v>3.4</v>
      </c>
      <c r="T179" s="83"/>
      <c r="U179" s="83"/>
      <c r="V179" s="83"/>
      <c r="W179" s="83"/>
      <c r="X179" s="83"/>
      <c r="Y179" s="87">
        <v>2.8</v>
      </c>
      <c r="Z179" s="83"/>
      <c r="AA179" s="86"/>
      <c r="AB179" s="86"/>
      <c r="AC179" s="83"/>
      <c r="AD179" s="95">
        <v>40</v>
      </c>
      <c r="AE179" s="95">
        <v>100</v>
      </c>
      <c r="AF179" s="95">
        <v>860</v>
      </c>
      <c r="AG179" s="66">
        <f t="shared" si="4"/>
        <v>754.77857142857147</v>
      </c>
      <c r="AH179" s="143">
        <f t="shared" si="5"/>
        <v>1000</v>
      </c>
    </row>
    <row r="180" spans="1:34" s="90" customFormat="1" x14ac:dyDescent="0.3">
      <c r="A180" s="84">
        <v>802675</v>
      </c>
      <c r="B180" s="87">
        <v>7.38</v>
      </c>
      <c r="C180" s="87"/>
      <c r="D180" s="86">
        <v>8.6300000000000008</v>
      </c>
      <c r="E180" s="99">
        <v>0.24</v>
      </c>
      <c r="F180" s="84">
        <v>71.45</v>
      </c>
      <c r="G180" s="83">
        <v>235.35</v>
      </c>
      <c r="H180" s="92">
        <v>177.98</v>
      </c>
      <c r="I180" s="84">
        <v>109</v>
      </c>
      <c r="J180" s="85">
        <v>0.10199999999999999</v>
      </c>
      <c r="K180" s="87">
        <v>5.51</v>
      </c>
      <c r="L180" s="83">
        <v>340</v>
      </c>
      <c r="M180" s="83">
        <v>3.21</v>
      </c>
      <c r="N180" s="83">
        <v>2.33</v>
      </c>
      <c r="O180" s="83">
        <v>1.76</v>
      </c>
      <c r="P180" s="83">
        <v>2.72</v>
      </c>
      <c r="Q180" s="83"/>
      <c r="R180" s="86">
        <v>0.48</v>
      </c>
      <c r="S180" s="87">
        <v>3.4</v>
      </c>
      <c r="T180" s="83"/>
      <c r="U180" s="83"/>
      <c r="V180" s="83"/>
      <c r="W180" s="83"/>
      <c r="X180" s="83"/>
      <c r="Y180" s="87">
        <v>3.5</v>
      </c>
      <c r="Z180" s="83"/>
      <c r="AA180" s="86"/>
      <c r="AB180" s="86"/>
      <c r="AC180" s="83"/>
      <c r="AD180" s="95">
        <v>50</v>
      </c>
      <c r="AE180" s="95">
        <v>130</v>
      </c>
      <c r="AF180" s="95">
        <v>820</v>
      </c>
      <c r="AG180" s="66">
        <f t="shared" si="4"/>
        <v>557.29714285714283</v>
      </c>
      <c r="AH180" s="143">
        <f t="shared" si="5"/>
        <v>1000</v>
      </c>
    </row>
    <row r="181" spans="1:34" s="90" customFormat="1" x14ac:dyDescent="0.3">
      <c r="A181" s="84">
        <v>802676</v>
      </c>
      <c r="B181" s="87">
        <v>9.5</v>
      </c>
      <c r="C181" s="87">
        <v>2.5</v>
      </c>
      <c r="D181" s="86">
        <v>8.91</v>
      </c>
      <c r="E181" s="99">
        <v>0.15</v>
      </c>
      <c r="F181" s="84">
        <v>51.05</v>
      </c>
      <c r="G181" s="83">
        <v>91.6</v>
      </c>
      <c r="H181" s="84">
        <v>50.7</v>
      </c>
      <c r="I181" s="84">
        <v>190</v>
      </c>
      <c r="J181" s="85">
        <v>6.7000000000000004E-2</v>
      </c>
      <c r="K181" s="87">
        <v>5.79</v>
      </c>
      <c r="L181" s="83">
        <v>300</v>
      </c>
      <c r="M181" s="83">
        <v>0.64</v>
      </c>
      <c r="N181" s="83">
        <v>0.34</v>
      </c>
      <c r="O181" s="83">
        <v>2.37</v>
      </c>
      <c r="P181" s="83">
        <v>2.21</v>
      </c>
      <c r="Q181" s="83"/>
      <c r="R181" s="86">
        <v>0.3</v>
      </c>
      <c r="S181" s="94">
        <v>2.1</v>
      </c>
      <c r="T181" s="83"/>
      <c r="U181" s="83"/>
      <c r="V181" s="83"/>
      <c r="W181" s="83"/>
      <c r="X181" s="83"/>
      <c r="Y181" s="87">
        <v>2.8</v>
      </c>
      <c r="Z181" s="83"/>
      <c r="AA181" s="86"/>
      <c r="AB181" s="86"/>
      <c r="AC181" s="83"/>
      <c r="AD181" s="95">
        <v>40</v>
      </c>
      <c r="AE181" s="95">
        <v>120</v>
      </c>
      <c r="AF181" s="95">
        <v>840</v>
      </c>
      <c r="AG181" s="66">
        <f t="shared" si="4"/>
        <v>732.0214285714286</v>
      </c>
      <c r="AH181" s="143">
        <f t="shared" si="5"/>
        <v>1000</v>
      </c>
    </row>
    <row r="182" spans="1:34" s="90" customFormat="1" x14ac:dyDescent="0.3">
      <c r="A182" s="84">
        <v>802677</v>
      </c>
      <c r="B182" s="87">
        <v>0.77</v>
      </c>
      <c r="C182" s="87"/>
      <c r="D182" s="86">
        <v>8.64</v>
      </c>
      <c r="E182" s="99">
        <v>0.17</v>
      </c>
      <c r="F182" s="84">
        <v>53.4</v>
      </c>
      <c r="G182" s="83">
        <v>77.7</v>
      </c>
      <c r="H182" s="92">
        <v>102.55</v>
      </c>
      <c r="I182" s="84">
        <v>437</v>
      </c>
      <c r="J182" s="85">
        <v>5.3999999999999999E-2</v>
      </c>
      <c r="K182" s="87">
        <v>3.35</v>
      </c>
      <c r="L182" s="83">
        <v>800</v>
      </c>
      <c r="M182" s="83">
        <v>2.3199999999999998</v>
      </c>
      <c r="N182" s="83">
        <v>1.1599999999999999</v>
      </c>
      <c r="O182" s="83">
        <v>6.52</v>
      </c>
      <c r="P182" s="83">
        <v>5.0199999999999996</v>
      </c>
      <c r="Q182" s="83"/>
      <c r="R182" s="86">
        <v>1.37</v>
      </c>
      <c r="S182" s="94">
        <v>9.1999999999999993</v>
      </c>
      <c r="T182" s="83"/>
      <c r="U182" s="83"/>
      <c r="V182" s="83"/>
      <c r="W182" s="83"/>
      <c r="X182" s="83"/>
      <c r="Y182" s="87">
        <v>3.5</v>
      </c>
      <c r="Z182" s="83"/>
      <c r="AA182" s="86"/>
      <c r="AB182" s="86"/>
      <c r="AC182" s="83"/>
      <c r="AD182" s="95">
        <v>50</v>
      </c>
      <c r="AE182" s="95">
        <v>340</v>
      </c>
      <c r="AF182" s="95">
        <v>610</v>
      </c>
      <c r="AG182" s="66">
        <f t="shared" si="4"/>
        <v>338.82857142857148</v>
      </c>
      <c r="AH182" s="143">
        <f t="shared" si="5"/>
        <v>1000</v>
      </c>
    </row>
    <row r="183" spans="1:34" s="90" customFormat="1" x14ac:dyDescent="0.3">
      <c r="A183" s="84">
        <v>802678</v>
      </c>
      <c r="B183" s="87">
        <v>31.17</v>
      </c>
      <c r="C183" s="87">
        <v>4</v>
      </c>
      <c r="D183" s="86">
        <v>8.69</v>
      </c>
      <c r="E183" s="99">
        <v>0.85</v>
      </c>
      <c r="F183" s="84">
        <v>689.2</v>
      </c>
      <c r="G183" s="83">
        <v>499.9</v>
      </c>
      <c r="H183" s="84">
        <v>18.52</v>
      </c>
      <c r="I183" s="84">
        <v>920</v>
      </c>
      <c r="J183" s="85">
        <v>0.55700000000000005</v>
      </c>
      <c r="K183" s="87">
        <v>8.2799999999999994</v>
      </c>
      <c r="L183" s="83">
        <v>670</v>
      </c>
      <c r="M183" s="83">
        <v>0.83</v>
      </c>
      <c r="N183" s="83">
        <v>0.45</v>
      </c>
      <c r="O183" s="83">
        <v>7.07</v>
      </c>
      <c r="P183" s="83">
        <v>3.17</v>
      </c>
      <c r="Q183" s="83"/>
      <c r="R183" s="86">
        <v>0.44</v>
      </c>
      <c r="S183" s="94">
        <v>3.1</v>
      </c>
      <c r="T183" s="83"/>
      <c r="U183" s="83"/>
      <c r="V183" s="83"/>
      <c r="W183" s="83"/>
      <c r="X183" s="83"/>
      <c r="Y183" s="87">
        <v>9.1</v>
      </c>
      <c r="Z183" s="83"/>
      <c r="AA183" s="86"/>
      <c r="AB183" s="86"/>
      <c r="AC183" s="83"/>
      <c r="AD183" s="95">
        <v>130</v>
      </c>
      <c r="AE183" s="95">
        <v>100</v>
      </c>
      <c r="AF183" s="95">
        <v>770</v>
      </c>
      <c r="AG183" s="66">
        <f t="shared" si="4"/>
        <v>322.10109890109891</v>
      </c>
      <c r="AH183" s="143">
        <f t="shared" si="5"/>
        <v>1000</v>
      </c>
    </row>
    <row r="184" spans="1:34" s="90" customFormat="1" x14ac:dyDescent="0.3">
      <c r="A184" s="84">
        <v>802679</v>
      </c>
      <c r="B184" s="87">
        <v>3.64</v>
      </c>
      <c r="C184" s="87"/>
      <c r="D184" s="86">
        <v>8.8000000000000007</v>
      </c>
      <c r="E184" s="99">
        <v>0.28999999999999998</v>
      </c>
      <c r="F184" s="84">
        <v>135.05000000000001</v>
      </c>
      <c r="G184" s="83">
        <v>187.95</v>
      </c>
      <c r="H184" s="92">
        <v>178.82</v>
      </c>
      <c r="I184" s="84">
        <v>171</v>
      </c>
      <c r="J184" s="85">
        <v>9.2999999999999999E-2</v>
      </c>
      <c r="K184" s="87">
        <v>4.66</v>
      </c>
      <c r="L184" s="83">
        <v>820</v>
      </c>
      <c r="M184" s="83">
        <v>2.4900000000000002</v>
      </c>
      <c r="N184" s="83">
        <v>2.16</v>
      </c>
      <c r="O184" s="83">
        <v>1.32</v>
      </c>
      <c r="P184" s="83">
        <v>2.37</v>
      </c>
      <c r="Q184" s="83"/>
      <c r="R184" s="86">
        <v>0.5</v>
      </c>
      <c r="S184" s="94">
        <v>3.6</v>
      </c>
      <c r="T184" s="83"/>
      <c r="U184" s="83"/>
      <c r="V184" s="83"/>
      <c r="W184" s="83"/>
      <c r="X184" s="83"/>
      <c r="Y184" s="87">
        <v>4.9000000000000004</v>
      </c>
      <c r="Z184" s="83"/>
      <c r="AA184" s="86"/>
      <c r="AB184" s="86"/>
      <c r="AC184" s="83"/>
      <c r="AD184" s="95">
        <v>70</v>
      </c>
      <c r="AE184" s="95">
        <v>100</v>
      </c>
      <c r="AF184" s="95">
        <v>830</v>
      </c>
      <c r="AG184" s="66">
        <f t="shared" si="4"/>
        <v>336.66122448979593</v>
      </c>
      <c r="AH184" s="143">
        <f t="shared" si="5"/>
        <v>1000</v>
      </c>
    </row>
    <row r="185" spans="1:34" s="90" customFormat="1" x14ac:dyDescent="0.3">
      <c r="A185" s="84">
        <v>802680</v>
      </c>
      <c r="B185" s="87">
        <v>4.58</v>
      </c>
      <c r="C185" s="87"/>
      <c r="D185" s="86">
        <v>8.6199999999999992</v>
      </c>
      <c r="E185" s="99">
        <v>0.27</v>
      </c>
      <c r="F185" s="84">
        <v>276.95</v>
      </c>
      <c r="G185" s="83">
        <v>403.3</v>
      </c>
      <c r="H185" s="84">
        <v>233.04</v>
      </c>
      <c r="I185" s="84">
        <v>620</v>
      </c>
      <c r="J185" s="85">
        <v>0.16</v>
      </c>
      <c r="K185" s="87">
        <v>6.46</v>
      </c>
      <c r="L185" s="83">
        <v>930</v>
      </c>
      <c r="M185" s="83">
        <v>4.6500000000000004</v>
      </c>
      <c r="N185" s="83">
        <v>2.96</v>
      </c>
      <c r="O185" s="83">
        <v>2.02</v>
      </c>
      <c r="P185" s="83">
        <v>3.3</v>
      </c>
      <c r="Q185" s="83"/>
      <c r="R185" s="86">
        <v>0.89</v>
      </c>
      <c r="S185" s="94">
        <v>5.9</v>
      </c>
      <c r="T185" s="83"/>
      <c r="U185" s="83"/>
      <c r="V185" s="83"/>
      <c r="W185" s="83"/>
      <c r="X185" s="83"/>
      <c r="Y185" s="87">
        <v>7.7</v>
      </c>
      <c r="Z185" s="83"/>
      <c r="AA185" s="86"/>
      <c r="AB185" s="86"/>
      <c r="AC185" s="83"/>
      <c r="AD185" s="95">
        <v>110</v>
      </c>
      <c r="AE185" s="95">
        <v>130</v>
      </c>
      <c r="AF185" s="95">
        <v>760</v>
      </c>
      <c r="AG185" s="66">
        <f t="shared" si="4"/>
        <v>296.99220779220781</v>
      </c>
      <c r="AH185" s="143">
        <f t="shared" si="5"/>
        <v>1000</v>
      </c>
    </row>
    <row r="186" spans="1:34" s="90" customFormat="1" x14ac:dyDescent="0.3">
      <c r="A186" s="84">
        <v>802681</v>
      </c>
      <c r="B186" s="94">
        <v>18.5</v>
      </c>
      <c r="C186" s="94">
        <v>6.25</v>
      </c>
      <c r="D186" s="82">
        <v>7.31</v>
      </c>
      <c r="E186" s="99">
        <v>0.22</v>
      </c>
      <c r="F186" s="92">
        <v>126.15</v>
      </c>
      <c r="G186" s="102">
        <v>89.55</v>
      </c>
      <c r="H186" s="92">
        <v>15.677</v>
      </c>
      <c r="I186" s="92">
        <v>266</v>
      </c>
      <c r="J186" s="85">
        <v>1.2E-2</v>
      </c>
      <c r="K186" s="87">
        <v>7.8710000000000004</v>
      </c>
      <c r="L186" s="99">
        <v>480</v>
      </c>
      <c r="M186" s="99">
        <v>0.5</v>
      </c>
      <c r="N186" s="99">
        <v>0.47</v>
      </c>
      <c r="O186" s="99">
        <v>4.95</v>
      </c>
      <c r="P186" s="99">
        <v>7.95</v>
      </c>
      <c r="Q186" s="99"/>
      <c r="R186" s="82">
        <v>0.41106885089675338</v>
      </c>
      <c r="S186" s="87">
        <v>3</v>
      </c>
      <c r="T186" s="83"/>
      <c r="U186" s="83"/>
      <c r="V186" s="83"/>
      <c r="W186" s="83"/>
      <c r="X186" s="83"/>
      <c r="Y186" s="87">
        <v>3.5000000000000004</v>
      </c>
      <c r="Z186" s="83"/>
      <c r="AA186" s="86"/>
      <c r="AB186" s="86"/>
      <c r="AC186" s="83"/>
      <c r="AD186" s="88">
        <v>50</v>
      </c>
      <c r="AE186" s="88">
        <v>70</v>
      </c>
      <c r="AF186" s="88">
        <v>880</v>
      </c>
      <c r="AG186" s="66">
        <f t="shared" si="4"/>
        <v>796.09542857142856</v>
      </c>
      <c r="AH186" s="143">
        <f t="shared" si="5"/>
        <v>1000</v>
      </c>
    </row>
    <row r="187" spans="1:34" s="90" customFormat="1" x14ac:dyDescent="0.3">
      <c r="A187" s="84">
        <v>802682</v>
      </c>
      <c r="B187" s="94">
        <v>14.166666666666666</v>
      </c>
      <c r="C187" s="94">
        <v>6.875</v>
      </c>
      <c r="D187" s="82">
        <v>8</v>
      </c>
      <c r="E187" s="99">
        <v>0.21</v>
      </c>
      <c r="F187" s="92">
        <v>91.25</v>
      </c>
      <c r="G187" s="102">
        <v>90.8</v>
      </c>
      <c r="H187" s="92">
        <v>312.74</v>
      </c>
      <c r="I187" s="92">
        <v>112</v>
      </c>
      <c r="J187" s="85">
        <v>0.13500000000000001</v>
      </c>
      <c r="K187" s="87">
        <v>6.8140000000000001</v>
      </c>
      <c r="L187" s="99">
        <v>370</v>
      </c>
      <c r="M187" s="99">
        <v>5.07</v>
      </c>
      <c r="N187" s="99">
        <v>1.44</v>
      </c>
      <c r="O187" s="99">
        <v>5.99</v>
      </c>
      <c r="P187" s="99">
        <v>5.91</v>
      </c>
      <c r="Q187" s="99"/>
      <c r="R187" s="82">
        <v>1.2120961085605895</v>
      </c>
      <c r="S187" s="87">
        <v>8.1999999999999993</v>
      </c>
      <c r="T187" s="83"/>
      <c r="U187" s="83"/>
      <c r="V187" s="83"/>
      <c r="W187" s="83"/>
      <c r="X187" s="83"/>
      <c r="Y187" s="87">
        <v>3.5000000000000004</v>
      </c>
      <c r="Z187" s="83"/>
      <c r="AA187" s="86"/>
      <c r="AB187" s="86"/>
      <c r="AC187" s="83"/>
      <c r="AD187" s="88">
        <v>50</v>
      </c>
      <c r="AE187" s="88">
        <v>200</v>
      </c>
      <c r="AF187" s="88">
        <v>750</v>
      </c>
      <c r="AG187" s="66">
        <f t="shared" si="4"/>
        <v>689.18742857142843</v>
      </c>
      <c r="AH187" s="143">
        <f t="shared" si="5"/>
        <v>1000</v>
      </c>
    </row>
    <row r="188" spans="1:34" s="90" customFormat="1" x14ac:dyDescent="0.3">
      <c r="A188" s="84">
        <v>802683</v>
      </c>
      <c r="B188" s="94">
        <v>17.166666666666668</v>
      </c>
      <c r="C188" s="94">
        <v>5.8749999999999991</v>
      </c>
      <c r="D188" s="82">
        <v>8.1</v>
      </c>
      <c r="E188" s="99">
        <v>0.45</v>
      </c>
      <c r="F188" s="92">
        <v>100.19999999999999</v>
      </c>
      <c r="G188" s="102">
        <v>164.4</v>
      </c>
      <c r="H188" s="92">
        <v>163.85</v>
      </c>
      <c r="I188" s="92">
        <v>93</v>
      </c>
      <c r="J188" s="85">
        <v>0.13</v>
      </c>
      <c r="K188" s="87">
        <v>6.7249999999999996</v>
      </c>
      <c r="L188" s="99">
        <v>590</v>
      </c>
      <c r="M188" s="99">
        <v>3.45</v>
      </c>
      <c r="N188" s="99">
        <v>1.1200000000000001</v>
      </c>
      <c r="O188" s="99">
        <v>3.27</v>
      </c>
      <c r="P188" s="99">
        <v>3.54</v>
      </c>
      <c r="Q188" s="99"/>
      <c r="R188" s="82">
        <v>0.6193086866301194</v>
      </c>
      <c r="S188" s="94">
        <v>4.4000000000000004</v>
      </c>
      <c r="T188" s="83"/>
      <c r="U188" s="83"/>
      <c r="V188" s="83"/>
      <c r="W188" s="83"/>
      <c r="X188" s="83"/>
      <c r="Y188" s="87">
        <v>1.4000000000000001</v>
      </c>
      <c r="Z188" s="83"/>
      <c r="AA188" s="86"/>
      <c r="AB188" s="86"/>
      <c r="AC188" s="83"/>
      <c r="AD188" s="88">
        <v>20</v>
      </c>
      <c r="AE188" s="88">
        <v>220</v>
      </c>
      <c r="AF188" s="88">
        <v>760</v>
      </c>
      <c r="AG188" s="66">
        <f t="shared" si="4"/>
        <v>1700.4642857142856</v>
      </c>
      <c r="AH188" s="143">
        <f t="shared" si="5"/>
        <v>1000</v>
      </c>
    </row>
    <row r="189" spans="1:34" s="90" customFormat="1" x14ac:dyDescent="0.3">
      <c r="A189" s="84">
        <v>802684</v>
      </c>
      <c r="B189" s="94">
        <v>15.58333333333333</v>
      </c>
      <c r="C189" s="94">
        <v>5</v>
      </c>
      <c r="D189" s="82">
        <v>7.94</v>
      </c>
      <c r="E189" s="99">
        <v>0.31</v>
      </c>
      <c r="F189" s="92">
        <v>106.95</v>
      </c>
      <c r="G189" s="102">
        <v>441.5</v>
      </c>
      <c r="H189" s="92">
        <v>128.92699999999999</v>
      </c>
      <c r="I189" s="92">
        <v>199</v>
      </c>
      <c r="J189" s="85">
        <v>0.16200000000000001</v>
      </c>
      <c r="K189" s="87">
        <v>6.6529999999999996</v>
      </c>
      <c r="L189" s="99">
        <v>440</v>
      </c>
      <c r="M189" s="99">
        <v>1.99</v>
      </c>
      <c r="N189" s="99">
        <v>1.41</v>
      </c>
      <c r="O189" s="99">
        <v>3.46</v>
      </c>
      <c r="P189" s="99">
        <v>3.32</v>
      </c>
      <c r="Q189" s="99"/>
      <c r="R189" s="82">
        <v>0.81662869467018417</v>
      </c>
      <c r="S189" s="94">
        <v>5.6</v>
      </c>
      <c r="T189" s="83"/>
      <c r="U189" s="83"/>
      <c r="V189" s="83"/>
      <c r="W189" s="83"/>
      <c r="X189" s="83"/>
      <c r="Y189" s="87">
        <v>5.6000000000000005</v>
      </c>
      <c r="Z189" s="83"/>
      <c r="AA189" s="86"/>
      <c r="AB189" s="86"/>
      <c r="AC189" s="83"/>
      <c r="AD189" s="88">
        <v>80</v>
      </c>
      <c r="AE189" s="88">
        <v>140</v>
      </c>
      <c r="AF189" s="88">
        <v>800</v>
      </c>
      <c r="AG189" s="66">
        <f t="shared" si="4"/>
        <v>420.56464285714276</v>
      </c>
      <c r="AH189" s="143">
        <f t="shared" si="5"/>
        <v>1020</v>
      </c>
    </row>
    <row r="190" spans="1:34" s="90" customFormat="1" x14ac:dyDescent="0.3">
      <c r="A190" s="84">
        <v>802685</v>
      </c>
      <c r="B190" s="94">
        <v>11.333333333333332</v>
      </c>
      <c r="C190" s="94">
        <v>8.75</v>
      </c>
      <c r="D190" s="82">
        <v>8.2899999999999991</v>
      </c>
      <c r="E190" s="99">
        <v>0.33</v>
      </c>
      <c r="F190" s="92">
        <v>109.45</v>
      </c>
      <c r="G190" s="102">
        <v>155.75</v>
      </c>
      <c r="H190" s="92">
        <v>14.193</v>
      </c>
      <c r="I190" s="92">
        <v>916</v>
      </c>
      <c r="J190" s="85">
        <v>8.8999999999999996E-2</v>
      </c>
      <c r="K190" s="87">
        <v>7.1769999999999996</v>
      </c>
      <c r="L190" s="99">
        <v>360</v>
      </c>
      <c r="M190" s="99">
        <v>0.47</v>
      </c>
      <c r="N190" s="99">
        <v>1.25</v>
      </c>
      <c r="O190" s="99">
        <v>4.4800000000000004</v>
      </c>
      <c r="P190" s="99">
        <v>2.7</v>
      </c>
      <c r="Q190" s="99"/>
      <c r="R190" s="82">
        <v>1.0022766771548646</v>
      </c>
      <c r="S190" s="94">
        <v>7.5</v>
      </c>
      <c r="T190" s="83"/>
      <c r="U190" s="83"/>
      <c r="V190" s="83"/>
      <c r="W190" s="83"/>
      <c r="X190" s="83"/>
      <c r="Y190" s="87">
        <v>18.900000000000002</v>
      </c>
      <c r="Z190" s="83"/>
      <c r="AA190" s="86"/>
      <c r="AB190" s="86"/>
      <c r="AC190" s="83"/>
      <c r="AD190" s="88">
        <v>270</v>
      </c>
      <c r="AE190" s="88">
        <v>650</v>
      </c>
      <c r="AF190" s="88">
        <v>80</v>
      </c>
      <c r="AG190" s="66">
        <f t="shared" si="4"/>
        <v>134.42634920634919</v>
      </c>
      <c r="AH190" s="143">
        <f t="shared" si="5"/>
        <v>1000</v>
      </c>
    </row>
    <row r="191" spans="1:34" s="90" customFormat="1" x14ac:dyDescent="0.3">
      <c r="A191" s="84">
        <v>802686</v>
      </c>
      <c r="B191" s="94">
        <v>11.416666666666666</v>
      </c>
      <c r="C191" s="94">
        <v>7.8750000000000009</v>
      </c>
      <c r="D191" s="82">
        <v>8.09</v>
      </c>
      <c r="E191" s="99">
        <v>0.28000000000000003</v>
      </c>
      <c r="F191" s="92">
        <v>98.699999999999989</v>
      </c>
      <c r="G191" s="102">
        <v>133.55000000000001</v>
      </c>
      <c r="H191" s="92">
        <v>13.698</v>
      </c>
      <c r="I191" s="92">
        <v>948</v>
      </c>
      <c r="J191" s="85">
        <v>0.18099999999999999</v>
      </c>
      <c r="K191" s="87">
        <v>10.395</v>
      </c>
      <c r="L191" s="99">
        <v>1010</v>
      </c>
      <c r="M191" s="99">
        <v>0.36</v>
      </c>
      <c r="N191" s="99">
        <v>1.32</v>
      </c>
      <c r="O191" s="99">
        <v>4.99</v>
      </c>
      <c r="P191" s="99">
        <v>2.8</v>
      </c>
      <c r="Q191" s="99"/>
      <c r="R191" s="82">
        <v>0.97299304624280669</v>
      </c>
      <c r="S191" s="94">
        <v>6.4</v>
      </c>
      <c r="T191" s="83"/>
      <c r="U191" s="83"/>
      <c r="V191" s="83"/>
      <c r="W191" s="83"/>
      <c r="X191" s="83"/>
      <c r="Y191" s="87">
        <v>14.000000000000002</v>
      </c>
      <c r="Z191" s="83"/>
      <c r="AA191" s="86"/>
      <c r="AB191" s="86"/>
      <c r="AC191" s="83"/>
      <c r="AD191" s="88">
        <v>200</v>
      </c>
      <c r="AE191" s="88">
        <v>680</v>
      </c>
      <c r="AF191" s="88">
        <v>120</v>
      </c>
      <c r="AG191" s="66">
        <f t="shared" si="4"/>
        <v>262.84499999999997</v>
      </c>
      <c r="AH191" s="143">
        <f t="shared" si="5"/>
        <v>1000</v>
      </c>
    </row>
    <row r="192" spans="1:34" s="90" customFormat="1" x14ac:dyDescent="0.3">
      <c r="A192" s="84">
        <v>802687</v>
      </c>
      <c r="B192" s="94">
        <v>8.375</v>
      </c>
      <c r="C192" s="94">
        <v>5.625</v>
      </c>
      <c r="D192" s="82">
        <v>7.89</v>
      </c>
      <c r="E192" s="99">
        <v>0.87</v>
      </c>
      <c r="F192" s="92">
        <v>1093.45</v>
      </c>
      <c r="G192" s="102">
        <v>300.55</v>
      </c>
      <c r="H192" s="92">
        <v>47.112000000000002</v>
      </c>
      <c r="I192" s="92">
        <v>116</v>
      </c>
      <c r="J192" s="85">
        <v>0.19400000000000001</v>
      </c>
      <c r="K192" s="87">
        <v>8.9879999999999995</v>
      </c>
      <c r="L192" s="99">
        <v>870</v>
      </c>
      <c r="M192" s="99">
        <v>1.37</v>
      </c>
      <c r="N192" s="99">
        <v>1.39</v>
      </c>
      <c r="O192" s="99">
        <v>5.52</v>
      </c>
      <c r="P192" s="99">
        <v>7.49</v>
      </c>
      <c r="Q192" s="99"/>
      <c r="R192" s="82">
        <v>0.55064698259527267</v>
      </c>
      <c r="S192" s="94">
        <v>3.7</v>
      </c>
      <c r="T192" s="83"/>
      <c r="U192" s="83"/>
      <c r="V192" s="83"/>
      <c r="W192" s="83"/>
      <c r="X192" s="83"/>
      <c r="Y192" s="87">
        <v>35.1</v>
      </c>
      <c r="Z192" s="83"/>
      <c r="AA192" s="86"/>
      <c r="AB192" s="86"/>
      <c r="AC192" s="83"/>
      <c r="AD192" s="88">
        <v>670</v>
      </c>
      <c r="AE192" s="88">
        <v>300</v>
      </c>
      <c r="AF192" s="88">
        <v>30</v>
      </c>
      <c r="AG192" s="66">
        <f t="shared" si="4"/>
        <v>90.64820512820512</v>
      </c>
      <c r="AH192" s="143">
        <f t="shared" si="5"/>
        <v>1000</v>
      </c>
    </row>
    <row r="193" spans="1:34" s="90" customFormat="1" x14ac:dyDescent="0.3">
      <c r="A193" s="84">
        <v>802688</v>
      </c>
      <c r="B193" s="94">
        <v>17.333333333333336</v>
      </c>
      <c r="C193" s="94">
        <v>9.125</v>
      </c>
      <c r="D193" s="82">
        <v>8.44</v>
      </c>
      <c r="E193" s="99">
        <v>0.1</v>
      </c>
      <c r="F193" s="92">
        <v>35.35</v>
      </c>
      <c r="G193" s="102">
        <v>70.25</v>
      </c>
      <c r="H193" s="92">
        <v>15.38</v>
      </c>
      <c r="I193" s="92">
        <v>119</v>
      </c>
      <c r="J193" s="85">
        <v>0.54300000000000004</v>
      </c>
      <c r="K193" s="87">
        <v>8.5239999999999991</v>
      </c>
      <c r="L193" s="99">
        <v>630</v>
      </c>
      <c r="M193" s="99">
        <v>0.28999999999999998</v>
      </c>
      <c r="N193" s="99">
        <v>0.55000000000000004</v>
      </c>
      <c r="O193" s="99">
        <v>2.9</v>
      </c>
      <c r="P193" s="99">
        <v>2.99</v>
      </c>
      <c r="Q193" s="99"/>
      <c r="R193" s="82">
        <v>0.8356032592218543</v>
      </c>
      <c r="S193" s="94">
        <v>6</v>
      </c>
      <c r="T193" s="83"/>
      <c r="U193" s="83"/>
      <c r="V193" s="83"/>
      <c r="W193" s="83"/>
      <c r="X193" s="83"/>
      <c r="Y193" s="87">
        <v>32.9</v>
      </c>
      <c r="Z193" s="83"/>
      <c r="AA193" s="86"/>
      <c r="AB193" s="86"/>
      <c r="AC193" s="83"/>
      <c r="AD193" s="88">
        <v>650</v>
      </c>
      <c r="AE193" s="88">
        <v>270</v>
      </c>
      <c r="AF193" s="88">
        <v>80</v>
      </c>
      <c r="AG193" s="66">
        <f t="shared" si="4"/>
        <v>91.717203647416426</v>
      </c>
      <c r="AH193" s="143">
        <f t="shared" si="5"/>
        <v>1000</v>
      </c>
    </row>
    <row r="194" spans="1:34" s="90" customFormat="1" x14ac:dyDescent="0.3">
      <c r="A194" s="84">
        <v>802689</v>
      </c>
      <c r="B194" s="94">
        <v>20.666666666666668</v>
      </c>
      <c r="C194" s="94">
        <v>7.0000000000000018</v>
      </c>
      <c r="D194" s="82">
        <v>8.0299999999999994</v>
      </c>
      <c r="E194" s="99">
        <v>0.13</v>
      </c>
      <c r="F194" s="92">
        <v>32.549999999999997</v>
      </c>
      <c r="G194" s="102">
        <v>67.350000000000009</v>
      </c>
      <c r="H194" s="92">
        <v>12.635</v>
      </c>
      <c r="I194" s="92">
        <v>38</v>
      </c>
      <c r="J194" s="85">
        <v>0.01</v>
      </c>
      <c r="K194" s="87">
        <v>10.984</v>
      </c>
      <c r="L194" s="99">
        <v>1450</v>
      </c>
      <c r="M194" s="99">
        <v>0.39</v>
      </c>
      <c r="N194" s="99">
        <v>1.78</v>
      </c>
      <c r="O194" s="99">
        <v>11.9</v>
      </c>
      <c r="P194" s="99">
        <v>10.56</v>
      </c>
      <c r="Q194" s="99"/>
      <c r="R194" s="82">
        <v>1.7478000000000002</v>
      </c>
      <c r="S194" s="94">
        <v>15</v>
      </c>
      <c r="T194" s="83"/>
      <c r="U194" s="83"/>
      <c r="V194" s="83"/>
      <c r="W194" s="83"/>
      <c r="X194" s="83"/>
      <c r="Y194" s="87">
        <v>31.5</v>
      </c>
      <c r="Z194" s="83"/>
      <c r="AA194" s="86"/>
      <c r="AB194" s="86"/>
      <c r="AC194" s="83"/>
      <c r="AD194" s="88">
        <v>760</v>
      </c>
      <c r="AE194" s="88">
        <v>180</v>
      </c>
      <c r="AF194" s="88">
        <v>60</v>
      </c>
      <c r="AG194" s="66">
        <f t="shared" ref="AG194:AG257" si="6">+K194*3.54*100/Y194</f>
        <v>123.4392380952381</v>
      </c>
      <c r="AH194" s="143">
        <f t="shared" ref="AH194:AH257" si="7">+SUM(AD194:AF194)</f>
        <v>1000</v>
      </c>
    </row>
    <row r="195" spans="1:34" s="90" customFormat="1" x14ac:dyDescent="0.3">
      <c r="A195" s="84">
        <v>802690</v>
      </c>
      <c r="B195" s="94">
        <v>0.8</v>
      </c>
      <c r="C195" s="94"/>
      <c r="D195" s="82">
        <v>7.22</v>
      </c>
      <c r="E195" s="104">
        <v>0.28000000000000003</v>
      </c>
      <c r="F195" s="92">
        <v>35.25</v>
      </c>
      <c r="G195" s="101">
        <v>99.3</v>
      </c>
      <c r="H195" s="92">
        <v>148.226</v>
      </c>
      <c r="I195" s="92">
        <v>540</v>
      </c>
      <c r="J195" s="85">
        <v>1.3120000000000001</v>
      </c>
      <c r="K195" s="87">
        <v>3.91</v>
      </c>
      <c r="L195" s="84">
        <v>1480</v>
      </c>
      <c r="M195" s="86">
        <v>0.91</v>
      </c>
      <c r="N195" s="86">
        <v>1.21</v>
      </c>
      <c r="O195" s="86">
        <v>53.02</v>
      </c>
      <c r="P195" s="86">
        <v>8.57</v>
      </c>
      <c r="Q195" s="86"/>
      <c r="R195" s="82">
        <v>1.674153</v>
      </c>
      <c r="S195" s="87">
        <v>12.9</v>
      </c>
      <c r="T195" s="83"/>
      <c r="U195" s="83"/>
      <c r="V195" s="83"/>
      <c r="W195" s="83"/>
      <c r="X195" s="83"/>
      <c r="Y195" s="87">
        <v>15.400000000000002</v>
      </c>
      <c r="Z195" s="83"/>
      <c r="AA195" s="82"/>
      <c r="AB195" s="82"/>
      <c r="AC195" s="83"/>
      <c r="AD195" s="88">
        <v>220</v>
      </c>
      <c r="AE195" s="88">
        <v>180</v>
      </c>
      <c r="AF195" s="88">
        <v>600</v>
      </c>
      <c r="AG195" s="66">
        <f t="shared" si="6"/>
        <v>89.879220779220773</v>
      </c>
      <c r="AH195" s="143">
        <f t="shared" si="7"/>
        <v>1000</v>
      </c>
    </row>
    <row r="196" spans="1:34" s="90" customFormat="1" x14ac:dyDescent="0.3">
      <c r="A196" s="84">
        <v>802691</v>
      </c>
      <c r="B196" s="94">
        <v>31.666666666666664</v>
      </c>
      <c r="C196" s="94">
        <v>8.125</v>
      </c>
      <c r="D196" s="82">
        <v>7.78</v>
      </c>
      <c r="E196" s="104">
        <v>0.22</v>
      </c>
      <c r="F196" s="92">
        <v>68.400000000000006</v>
      </c>
      <c r="G196" s="101">
        <v>83.699999999999989</v>
      </c>
      <c r="H196" s="92">
        <v>65.626000000000005</v>
      </c>
      <c r="I196" s="92">
        <v>90</v>
      </c>
      <c r="J196" s="85">
        <v>6.7000000000000004E-2</v>
      </c>
      <c r="K196" s="87">
        <v>2.08</v>
      </c>
      <c r="L196" s="84">
        <v>118</v>
      </c>
      <c r="M196" s="83">
        <v>0.27</v>
      </c>
      <c r="N196" s="83">
        <v>0.64</v>
      </c>
      <c r="O196" s="83">
        <v>37.79</v>
      </c>
      <c r="P196" s="83">
        <v>5.86</v>
      </c>
      <c r="Q196" s="83"/>
      <c r="R196" s="82">
        <v>0.69356715308391248</v>
      </c>
      <c r="S196" s="87">
        <v>5</v>
      </c>
      <c r="T196" s="83"/>
      <c r="U196" s="83"/>
      <c r="V196" s="83"/>
      <c r="W196" s="83"/>
      <c r="X196" s="83"/>
      <c r="Y196" s="87">
        <v>7.0000000000000009</v>
      </c>
      <c r="Z196" s="83"/>
      <c r="AA196" s="82"/>
      <c r="AB196" s="82"/>
      <c r="AC196" s="83"/>
      <c r="AD196" s="88">
        <v>100</v>
      </c>
      <c r="AE196" s="88">
        <v>300</v>
      </c>
      <c r="AF196" s="88">
        <v>600</v>
      </c>
      <c r="AG196" s="66">
        <f t="shared" si="6"/>
        <v>105.18857142857142</v>
      </c>
      <c r="AH196" s="143">
        <f t="shared" si="7"/>
        <v>1000</v>
      </c>
    </row>
    <row r="197" spans="1:34" s="90" customFormat="1" x14ac:dyDescent="0.3">
      <c r="A197" s="84">
        <v>802692</v>
      </c>
      <c r="B197" s="87">
        <v>4.0333333333333323</v>
      </c>
      <c r="C197" s="94"/>
      <c r="D197" s="86">
        <v>8</v>
      </c>
      <c r="E197" s="99">
        <v>0.25</v>
      </c>
      <c r="F197" s="84">
        <v>38.1</v>
      </c>
      <c r="G197" s="83">
        <v>79</v>
      </c>
      <c r="H197" s="84">
        <v>89.545000000000002</v>
      </c>
      <c r="I197" s="92">
        <v>630</v>
      </c>
      <c r="J197" s="85">
        <v>0.19500000000000001</v>
      </c>
      <c r="K197" s="87">
        <v>8.74</v>
      </c>
      <c r="L197" s="84">
        <v>1518</v>
      </c>
      <c r="M197" s="83">
        <v>0.62</v>
      </c>
      <c r="N197" s="83">
        <v>0.89</v>
      </c>
      <c r="O197" s="83">
        <v>10.73</v>
      </c>
      <c r="P197" s="83">
        <v>4.32</v>
      </c>
      <c r="Q197" s="83"/>
      <c r="R197" s="82">
        <v>1.7997680000000003</v>
      </c>
      <c r="S197" s="87">
        <v>16.600000000000001</v>
      </c>
      <c r="T197" s="83"/>
      <c r="U197" s="83"/>
      <c r="V197" s="83"/>
      <c r="W197" s="83"/>
      <c r="X197" s="83"/>
      <c r="Y197" s="87">
        <v>11.200000000000001</v>
      </c>
      <c r="Z197" s="83"/>
      <c r="AA197" s="82"/>
      <c r="AB197" s="82"/>
      <c r="AC197" s="83"/>
      <c r="AD197" s="88">
        <v>160</v>
      </c>
      <c r="AE197" s="88">
        <v>180</v>
      </c>
      <c r="AF197" s="88">
        <v>660</v>
      </c>
      <c r="AG197" s="66">
        <f t="shared" si="6"/>
        <v>276.24642857142857</v>
      </c>
      <c r="AH197" s="143">
        <f t="shared" si="7"/>
        <v>1000</v>
      </c>
    </row>
    <row r="198" spans="1:34" s="90" customFormat="1" x14ac:dyDescent="0.3">
      <c r="A198" s="84">
        <v>802693</v>
      </c>
      <c r="B198" s="87">
        <v>79.333333333333329</v>
      </c>
      <c r="C198" s="94">
        <v>14.375</v>
      </c>
      <c r="D198" s="86">
        <v>8.2200000000000006</v>
      </c>
      <c r="E198" s="99">
        <v>0.17</v>
      </c>
      <c r="F198" s="84">
        <v>45.25</v>
      </c>
      <c r="G198" s="83">
        <v>79.150000000000006</v>
      </c>
      <c r="H198" s="84">
        <v>33.854999999999997</v>
      </c>
      <c r="I198" s="92">
        <v>70</v>
      </c>
      <c r="J198" s="85">
        <v>0.10199999999999999</v>
      </c>
      <c r="K198" s="87">
        <v>12.65</v>
      </c>
      <c r="L198" s="84">
        <v>303</v>
      </c>
      <c r="M198" s="83">
        <v>3.63</v>
      </c>
      <c r="N198" s="83">
        <v>0.42</v>
      </c>
      <c r="O198" s="83">
        <v>3.63</v>
      </c>
      <c r="P198" s="83">
        <v>2.17</v>
      </c>
      <c r="Q198" s="83"/>
      <c r="R198" s="82">
        <v>0.84323637587906897</v>
      </c>
      <c r="S198" s="87">
        <v>5.5</v>
      </c>
      <c r="T198" s="83"/>
      <c r="U198" s="83"/>
      <c r="V198" s="83"/>
      <c r="W198" s="83"/>
      <c r="X198" s="83"/>
      <c r="Y198" s="87">
        <v>32</v>
      </c>
      <c r="Z198" s="83"/>
      <c r="AA198" s="82"/>
      <c r="AB198" s="82"/>
      <c r="AC198" s="83"/>
      <c r="AD198" s="88">
        <v>700</v>
      </c>
      <c r="AE198" s="88">
        <v>150</v>
      </c>
      <c r="AF198" s="88">
        <v>150</v>
      </c>
      <c r="AG198" s="66">
        <f t="shared" si="6"/>
        <v>139.94062499999998</v>
      </c>
      <c r="AH198" s="143">
        <f t="shared" si="7"/>
        <v>1000</v>
      </c>
    </row>
    <row r="199" spans="1:34" s="90" customFormat="1" x14ac:dyDescent="0.3">
      <c r="A199" s="84">
        <v>802694</v>
      </c>
      <c r="B199" s="87">
        <v>2.6</v>
      </c>
      <c r="C199" s="87"/>
      <c r="D199" s="86">
        <v>8.36</v>
      </c>
      <c r="E199" s="99">
        <v>0.39</v>
      </c>
      <c r="F199" s="84">
        <v>79.45</v>
      </c>
      <c r="G199" s="83">
        <v>534.4</v>
      </c>
      <c r="H199" s="84">
        <v>30.838999999999999</v>
      </c>
      <c r="I199" s="92">
        <v>160</v>
      </c>
      <c r="J199" s="85">
        <v>1.1839999999999999</v>
      </c>
      <c r="K199" s="87">
        <v>7.25</v>
      </c>
      <c r="L199" s="84">
        <v>2212</v>
      </c>
      <c r="M199" s="104">
        <v>0.3</v>
      </c>
      <c r="N199" s="83">
        <v>0.6</v>
      </c>
      <c r="O199" s="83">
        <v>3.49</v>
      </c>
      <c r="P199" s="83">
        <v>3.03</v>
      </c>
      <c r="Q199" s="83"/>
      <c r="R199" s="82">
        <v>1.6631279999999999</v>
      </c>
      <c r="S199" s="87">
        <v>12.6</v>
      </c>
      <c r="T199" s="83"/>
      <c r="U199" s="83"/>
      <c r="V199" s="83"/>
      <c r="W199" s="83"/>
      <c r="X199" s="83"/>
      <c r="Y199" s="87">
        <v>5.6000000000000005</v>
      </c>
      <c r="Z199" s="83"/>
      <c r="AA199" s="82"/>
      <c r="AB199" s="82"/>
      <c r="AC199" s="83"/>
      <c r="AD199" s="88">
        <v>80</v>
      </c>
      <c r="AE199" s="88">
        <v>360</v>
      </c>
      <c r="AF199" s="88">
        <v>560</v>
      </c>
      <c r="AG199" s="66">
        <f t="shared" si="6"/>
        <v>458.30357142857139</v>
      </c>
      <c r="AH199" s="143">
        <f t="shared" si="7"/>
        <v>1000</v>
      </c>
    </row>
    <row r="200" spans="1:34" s="90" customFormat="1" x14ac:dyDescent="0.3">
      <c r="A200" s="84">
        <v>802695</v>
      </c>
      <c r="B200" s="87">
        <v>0.70000000000000007</v>
      </c>
      <c r="C200" s="87"/>
      <c r="D200" s="86">
        <v>8.32</v>
      </c>
      <c r="E200" s="99">
        <v>0.14000000000000001</v>
      </c>
      <c r="F200" s="84">
        <v>26.25</v>
      </c>
      <c r="G200" s="83">
        <v>93.45</v>
      </c>
      <c r="H200" s="84">
        <v>89.206999999999994</v>
      </c>
      <c r="I200" s="92">
        <v>280</v>
      </c>
      <c r="J200" s="85">
        <v>0.125</v>
      </c>
      <c r="K200" s="87">
        <v>3.23</v>
      </c>
      <c r="L200" s="84">
        <v>4619</v>
      </c>
      <c r="M200" s="103">
        <v>1.1499999999999999</v>
      </c>
      <c r="N200" s="83">
        <v>1.27</v>
      </c>
      <c r="O200" s="83">
        <v>9.41</v>
      </c>
      <c r="P200" s="83">
        <v>8.4600000000000009</v>
      </c>
      <c r="Q200" s="83">
        <v>0.66</v>
      </c>
      <c r="R200" s="82">
        <v>1.7029370000000001</v>
      </c>
      <c r="S200" s="87">
        <v>13.7</v>
      </c>
      <c r="T200" s="83"/>
      <c r="U200" s="83"/>
      <c r="V200" s="83"/>
      <c r="W200" s="83"/>
      <c r="X200" s="83"/>
      <c r="Y200" s="87">
        <v>7.0000000000000009</v>
      </c>
      <c r="Z200" s="83"/>
      <c r="AA200" s="82"/>
      <c r="AB200" s="82"/>
      <c r="AC200" s="83"/>
      <c r="AD200" s="88">
        <v>100</v>
      </c>
      <c r="AE200" s="88">
        <v>320</v>
      </c>
      <c r="AF200" s="88">
        <v>580</v>
      </c>
      <c r="AG200" s="66">
        <f t="shared" si="6"/>
        <v>163.34571428571428</v>
      </c>
      <c r="AH200" s="143">
        <f t="shared" si="7"/>
        <v>1000</v>
      </c>
    </row>
    <row r="201" spans="1:34" s="90" customFormat="1" x14ac:dyDescent="0.3">
      <c r="A201" s="84">
        <v>802696</v>
      </c>
      <c r="B201" s="87">
        <v>1.1666666666666667</v>
      </c>
      <c r="C201" s="87"/>
      <c r="D201" s="86">
        <v>8.2799999999999994</v>
      </c>
      <c r="E201" s="99">
        <v>0.15</v>
      </c>
      <c r="F201" s="84">
        <v>1.4000000000000001</v>
      </c>
      <c r="G201" s="83">
        <v>71.5</v>
      </c>
      <c r="H201" s="84">
        <v>137.51400000000001</v>
      </c>
      <c r="I201" s="92">
        <v>110</v>
      </c>
      <c r="J201" s="85">
        <v>0.106</v>
      </c>
      <c r="K201" s="87">
        <v>3.63</v>
      </c>
      <c r="L201" s="84">
        <v>1175</v>
      </c>
      <c r="M201" s="103">
        <v>5.32</v>
      </c>
      <c r="N201" s="83">
        <v>2.16</v>
      </c>
      <c r="O201" s="83">
        <v>5.4</v>
      </c>
      <c r="P201" s="83">
        <v>5.2</v>
      </c>
      <c r="Q201" s="83">
        <v>1.54</v>
      </c>
      <c r="R201" s="82">
        <v>1.2632451501524657</v>
      </c>
      <c r="S201" s="87">
        <v>9.1</v>
      </c>
      <c r="T201" s="83"/>
      <c r="U201" s="83"/>
      <c r="V201" s="83"/>
      <c r="W201" s="83"/>
      <c r="X201" s="83"/>
      <c r="Y201" s="87">
        <v>21.538461538461537</v>
      </c>
      <c r="Z201" s="83"/>
      <c r="AA201" s="82"/>
      <c r="AB201" s="82"/>
      <c r="AC201" s="83"/>
      <c r="AD201" s="88">
        <v>880</v>
      </c>
      <c r="AE201" s="88">
        <v>60</v>
      </c>
      <c r="AF201" s="88">
        <v>60</v>
      </c>
      <c r="AG201" s="66">
        <f t="shared" si="6"/>
        <v>59.661642857142859</v>
      </c>
      <c r="AH201" s="143">
        <f t="shared" si="7"/>
        <v>1000</v>
      </c>
    </row>
    <row r="202" spans="1:34" s="90" customFormat="1" x14ac:dyDescent="0.3">
      <c r="A202" s="84">
        <v>802697</v>
      </c>
      <c r="B202" s="87">
        <v>0.11666666666666665</v>
      </c>
      <c r="C202" s="87"/>
      <c r="D202" s="86">
        <v>8.32</v>
      </c>
      <c r="E202" s="99">
        <v>0.09</v>
      </c>
      <c r="F202" s="84">
        <v>0.2</v>
      </c>
      <c r="G202" s="83">
        <v>66.100000000000009</v>
      </c>
      <c r="H202" s="84">
        <v>58.345999999999997</v>
      </c>
      <c r="I202" s="92">
        <v>40</v>
      </c>
      <c r="J202" s="85">
        <v>6.4000000000000001E-2</v>
      </c>
      <c r="K202" s="87">
        <v>3.65</v>
      </c>
      <c r="L202" s="84">
        <v>85</v>
      </c>
      <c r="M202" s="104">
        <v>0.7</v>
      </c>
      <c r="N202" s="83">
        <v>0.38</v>
      </c>
      <c r="O202" s="83">
        <v>0.91</v>
      </c>
      <c r="P202" s="83">
        <v>13.8</v>
      </c>
      <c r="Q202" s="83"/>
      <c r="R202" s="82">
        <v>0.44301625161042529</v>
      </c>
      <c r="S202" s="87">
        <v>3.1</v>
      </c>
      <c r="T202" s="83"/>
      <c r="U202" s="83"/>
      <c r="V202" s="83"/>
      <c r="W202" s="83"/>
      <c r="X202" s="83"/>
      <c r="Y202" s="87">
        <v>22.307692307692307</v>
      </c>
      <c r="Z202" s="83"/>
      <c r="AA202" s="82"/>
      <c r="AB202" s="82"/>
      <c r="AC202" s="83"/>
      <c r="AD202" s="88">
        <v>800</v>
      </c>
      <c r="AE202" s="88">
        <v>120</v>
      </c>
      <c r="AF202" s="88">
        <v>80</v>
      </c>
      <c r="AG202" s="66">
        <f t="shared" si="6"/>
        <v>57.921724137931037</v>
      </c>
      <c r="AH202" s="143">
        <f t="shared" si="7"/>
        <v>1000</v>
      </c>
    </row>
    <row r="203" spans="1:34" s="90" customFormat="1" x14ac:dyDescent="0.3">
      <c r="A203" s="84">
        <v>802698</v>
      </c>
      <c r="B203" s="87">
        <v>0.15</v>
      </c>
      <c r="C203" s="87"/>
      <c r="D203" s="86">
        <v>7.92</v>
      </c>
      <c r="E203" s="99">
        <v>0.32</v>
      </c>
      <c r="F203" s="92">
        <v>1.6</v>
      </c>
      <c r="G203" s="83">
        <v>281.39999999999998</v>
      </c>
      <c r="H203" s="84">
        <v>51.222000000000001</v>
      </c>
      <c r="I203" s="92">
        <v>30</v>
      </c>
      <c r="J203" s="85">
        <v>6.4000000000000001E-2</v>
      </c>
      <c r="K203" s="87">
        <v>3.6</v>
      </c>
      <c r="L203" s="84">
        <v>64</v>
      </c>
      <c r="M203" s="104">
        <v>0.32</v>
      </c>
      <c r="N203" s="83">
        <v>0.19</v>
      </c>
      <c r="O203" s="83">
        <v>0.63</v>
      </c>
      <c r="P203" s="83">
        <v>17.25</v>
      </c>
      <c r="Q203" s="83"/>
      <c r="R203" s="82">
        <v>0.33292427745939263</v>
      </c>
      <c r="S203" s="87">
        <v>2.2999999999999998</v>
      </c>
      <c r="T203" s="83"/>
      <c r="U203" s="83"/>
      <c r="V203" s="83"/>
      <c r="W203" s="83"/>
      <c r="X203" s="83"/>
      <c r="Y203" s="87">
        <v>18.384615384615383</v>
      </c>
      <c r="Z203" s="83"/>
      <c r="AA203" s="82"/>
      <c r="AB203" s="82"/>
      <c r="AC203" s="83"/>
      <c r="AD203" s="88"/>
      <c r="AE203" s="88"/>
      <c r="AF203" s="88"/>
      <c r="AG203" s="66">
        <f t="shared" si="6"/>
        <v>69.318828451882851</v>
      </c>
      <c r="AH203" s="143">
        <f t="shared" si="7"/>
        <v>0</v>
      </c>
    </row>
    <row r="204" spans="1:34" s="90" customFormat="1" x14ac:dyDescent="0.3">
      <c r="A204" s="84">
        <v>802699</v>
      </c>
      <c r="B204" s="87">
        <v>0.16666666666666666</v>
      </c>
      <c r="C204" s="87"/>
      <c r="D204" s="86">
        <v>7.68</v>
      </c>
      <c r="E204" s="99">
        <v>0.62</v>
      </c>
      <c r="F204" s="92">
        <v>1.7</v>
      </c>
      <c r="G204" s="83">
        <v>66.849999999999994</v>
      </c>
      <c r="H204" s="84">
        <v>69.292000000000002</v>
      </c>
      <c r="I204" s="92">
        <v>50</v>
      </c>
      <c r="J204" s="85">
        <v>5.5E-2</v>
      </c>
      <c r="K204" s="87">
        <v>3.5</v>
      </c>
      <c r="L204" s="84">
        <v>55</v>
      </c>
      <c r="M204" s="104">
        <v>0.44</v>
      </c>
      <c r="N204" s="83">
        <v>0.15</v>
      </c>
      <c r="O204" s="83">
        <v>0.85</v>
      </c>
      <c r="P204" s="83">
        <v>12.61</v>
      </c>
      <c r="Q204" s="83"/>
      <c r="R204" s="82">
        <v>0.40371677746192186</v>
      </c>
      <c r="S204" s="87">
        <v>2.8</v>
      </c>
      <c r="T204" s="83"/>
      <c r="U204" s="83"/>
      <c r="V204" s="83"/>
      <c r="W204" s="83"/>
      <c r="X204" s="83"/>
      <c r="Y204" s="87">
        <v>22.307692307692307</v>
      </c>
      <c r="Z204" s="83"/>
      <c r="AA204" s="82"/>
      <c r="AB204" s="82"/>
      <c r="AC204" s="83"/>
      <c r="AD204" s="88">
        <v>780</v>
      </c>
      <c r="AE204" s="88">
        <v>100</v>
      </c>
      <c r="AF204" s="88">
        <v>120</v>
      </c>
      <c r="AG204" s="66">
        <f t="shared" si="6"/>
        <v>55.54137931034483</v>
      </c>
      <c r="AH204" s="143">
        <f t="shared" si="7"/>
        <v>1000</v>
      </c>
    </row>
    <row r="205" spans="1:34" s="90" customFormat="1" x14ac:dyDescent="0.3">
      <c r="A205" s="84">
        <v>802700</v>
      </c>
      <c r="B205" s="87">
        <v>0.11666666666666665</v>
      </c>
      <c r="C205" s="87"/>
      <c r="D205" s="86">
        <v>7.44</v>
      </c>
      <c r="E205" s="99">
        <v>0.1</v>
      </c>
      <c r="F205" s="92">
        <v>1.6</v>
      </c>
      <c r="G205" s="83">
        <v>67.95</v>
      </c>
      <c r="H205" s="84">
        <v>118.274</v>
      </c>
      <c r="I205" s="92">
        <v>80</v>
      </c>
      <c r="J205" s="85">
        <v>4.4999999999999998E-2</v>
      </c>
      <c r="K205" s="87">
        <v>4.29</v>
      </c>
      <c r="L205" s="84">
        <v>161</v>
      </c>
      <c r="M205" s="103">
        <v>2.74</v>
      </c>
      <c r="N205" s="83">
        <v>0.17</v>
      </c>
      <c r="O205" s="83">
        <v>2.34</v>
      </c>
      <c r="P205" s="83">
        <v>17.07</v>
      </c>
      <c r="Q205" s="83"/>
      <c r="R205" s="82">
        <v>0.85084083082323447</v>
      </c>
      <c r="S205" s="87">
        <v>6</v>
      </c>
      <c r="T205" s="83"/>
      <c r="U205" s="83"/>
      <c r="V205" s="83"/>
      <c r="W205" s="83"/>
      <c r="X205" s="83"/>
      <c r="Y205" s="87">
        <v>22.076923076923077</v>
      </c>
      <c r="Z205" s="83"/>
      <c r="AA205" s="82"/>
      <c r="AB205" s="82"/>
      <c r="AC205" s="83"/>
      <c r="AD205" s="88"/>
      <c r="AE205" s="88"/>
      <c r="AF205" s="88"/>
      <c r="AG205" s="66">
        <f t="shared" si="6"/>
        <v>68.789477351916375</v>
      </c>
      <c r="AH205" s="143">
        <f t="shared" si="7"/>
        <v>0</v>
      </c>
    </row>
    <row r="206" spans="1:34" s="90" customFormat="1" x14ac:dyDescent="0.3">
      <c r="A206" s="84">
        <v>802701</v>
      </c>
      <c r="B206" s="87">
        <v>0.16666666666666666</v>
      </c>
      <c r="C206" s="87"/>
      <c r="D206" s="86">
        <v>7.22</v>
      </c>
      <c r="E206" s="99">
        <v>0.09</v>
      </c>
      <c r="F206" s="84">
        <v>4.55</v>
      </c>
      <c r="G206" s="83">
        <v>97.6</v>
      </c>
      <c r="H206" s="84">
        <v>90.819000000000003</v>
      </c>
      <c r="I206" s="92">
        <v>170</v>
      </c>
      <c r="J206" s="85">
        <v>5.8999999999999997E-2</v>
      </c>
      <c r="K206" s="87">
        <v>3.17</v>
      </c>
      <c r="L206" s="84">
        <v>219</v>
      </c>
      <c r="M206" s="104">
        <v>0.81</v>
      </c>
      <c r="N206" s="83">
        <v>0.51</v>
      </c>
      <c r="O206" s="83">
        <v>3.91</v>
      </c>
      <c r="P206" s="83">
        <v>7.05</v>
      </c>
      <c r="Q206" s="83"/>
      <c r="R206" s="82">
        <v>0.30829192056195814</v>
      </c>
      <c r="S206" s="87">
        <v>2.2999999999999998</v>
      </c>
      <c r="T206" s="83"/>
      <c r="U206" s="83"/>
      <c r="V206" s="83"/>
      <c r="W206" s="83"/>
      <c r="X206" s="83"/>
      <c r="Y206" s="87">
        <v>24.615384615384613</v>
      </c>
      <c r="Z206" s="83"/>
      <c r="AA206" s="82"/>
      <c r="AB206" s="82"/>
      <c r="AC206" s="83"/>
      <c r="AD206" s="88"/>
      <c r="AE206" s="88"/>
      <c r="AF206" s="88"/>
      <c r="AG206" s="66">
        <f t="shared" si="6"/>
        <v>45.588562500000009</v>
      </c>
      <c r="AH206" s="143">
        <f t="shared" si="7"/>
        <v>0</v>
      </c>
    </row>
    <row r="207" spans="1:34" s="90" customFormat="1" x14ac:dyDescent="0.3">
      <c r="A207" s="84">
        <v>802702</v>
      </c>
      <c r="B207" s="87">
        <v>0.18333333333333335</v>
      </c>
      <c r="C207" s="87"/>
      <c r="D207" s="86">
        <v>7.1</v>
      </c>
      <c r="E207" s="99">
        <v>0.23</v>
      </c>
      <c r="F207" s="92">
        <v>1.7</v>
      </c>
      <c r="G207" s="83">
        <v>434.90000000000003</v>
      </c>
      <c r="H207" s="84">
        <v>149.084</v>
      </c>
      <c r="I207" s="92">
        <v>70</v>
      </c>
      <c r="J207" s="85">
        <v>4.2000000000000003E-2</v>
      </c>
      <c r="K207" s="87">
        <v>3.97</v>
      </c>
      <c r="L207" s="84">
        <v>128</v>
      </c>
      <c r="M207" s="104">
        <v>0.72</v>
      </c>
      <c r="N207" s="83">
        <v>0.39</v>
      </c>
      <c r="O207" s="83">
        <v>5.54</v>
      </c>
      <c r="P207" s="83">
        <v>5.85</v>
      </c>
      <c r="Q207" s="83"/>
      <c r="R207" s="82">
        <v>0.43400686746500999</v>
      </c>
      <c r="S207" s="87">
        <v>2.9</v>
      </c>
      <c r="T207" s="83"/>
      <c r="U207" s="83"/>
      <c r="V207" s="83"/>
      <c r="W207" s="83"/>
      <c r="X207" s="83"/>
      <c r="Y207" s="87">
        <v>23.846153846153847</v>
      </c>
      <c r="Z207" s="83"/>
      <c r="AA207" s="82"/>
      <c r="AB207" s="82"/>
      <c r="AC207" s="83"/>
      <c r="AD207" s="88">
        <v>880</v>
      </c>
      <c r="AE207" s="88">
        <v>60</v>
      </c>
      <c r="AF207" s="88">
        <v>60</v>
      </c>
      <c r="AG207" s="66">
        <f t="shared" si="6"/>
        <v>58.935290322580649</v>
      </c>
      <c r="AH207" s="143">
        <f t="shared" si="7"/>
        <v>1000</v>
      </c>
    </row>
    <row r="208" spans="1:34" s="90" customFormat="1" x14ac:dyDescent="0.3">
      <c r="A208" s="84">
        <v>802703</v>
      </c>
      <c r="B208" s="87"/>
      <c r="C208" s="87"/>
      <c r="D208" s="86"/>
      <c r="E208" s="99"/>
      <c r="F208" s="84"/>
      <c r="G208" s="83"/>
      <c r="H208" s="84"/>
      <c r="I208" s="84"/>
      <c r="J208" s="85"/>
      <c r="K208" s="87"/>
      <c r="L208" s="83"/>
      <c r="M208" s="105"/>
      <c r="N208" s="83"/>
      <c r="O208" s="83"/>
      <c r="P208" s="83"/>
      <c r="Q208" s="83"/>
      <c r="R208" s="86"/>
      <c r="S208" s="87"/>
      <c r="T208" s="83">
        <v>224</v>
      </c>
      <c r="U208" s="92">
        <v>181.5</v>
      </c>
      <c r="V208" s="106">
        <v>423.5</v>
      </c>
      <c r="W208" s="106">
        <v>88.92</v>
      </c>
      <c r="X208" s="106">
        <v>82.08</v>
      </c>
      <c r="Y208" s="87"/>
      <c r="Z208" s="83"/>
      <c r="AA208" s="86"/>
      <c r="AB208" s="86"/>
      <c r="AC208" s="83"/>
      <c r="AD208" s="88">
        <v>224</v>
      </c>
      <c r="AE208" s="88">
        <v>605</v>
      </c>
      <c r="AF208" s="88">
        <v>171</v>
      </c>
      <c r="AG208" s="66" t="e">
        <f t="shared" si="6"/>
        <v>#DIV/0!</v>
      </c>
      <c r="AH208" s="143">
        <f t="shared" si="7"/>
        <v>1000</v>
      </c>
    </row>
    <row r="209" spans="1:34" s="90" customFormat="1" x14ac:dyDescent="0.3">
      <c r="A209" s="84">
        <v>802704</v>
      </c>
      <c r="B209" s="87"/>
      <c r="C209" s="87"/>
      <c r="D209" s="86"/>
      <c r="E209" s="99"/>
      <c r="F209" s="84"/>
      <c r="G209" s="83"/>
      <c r="H209" s="84"/>
      <c r="I209" s="84"/>
      <c r="J209" s="85"/>
      <c r="K209" s="87"/>
      <c r="L209" s="83"/>
      <c r="M209" s="105"/>
      <c r="N209" s="83"/>
      <c r="O209" s="83"/>
      <c r="P209" s="83"/>
      <c r="Q209" s="83"/>
      <c r="R209" s="86"/>
      <c r="S209" s="87"/>
      <c r="T209" s="83">
        <v>387</v>
      </c>
      <c r="U209" s="92">
        <v>152.1</v>
      </c>
      <c r="V209" s="106">
        <v>354.9</v>
      </c>
      <c r="W209" s="106">
        <v>62.54</v>
      </c>
      <c r="X209" s="106">
        <v>43.46</v>
      </c>
      <c r="Y209" s="87"/>
      <c r="Z209" s="83"/>
      <c r="AA209" s="86"/>
      <c r="AB209" s="86"/>
      <c r="AC209" s="83"/>
      <c r="AD209" s="88">
        <v>387</v>
      </c>
      <c r="AE209" s="88">
        <v>507</v>
      </c>
      <c r="AF209" s="88">
        <v>106</v>
      </c>
      <c r="AG209" s="66" t="e">
        <f t="shared" si="6"/>
        <v>#DIV/0!</v>
      </c>
      <c r="AH209" s="143">
        <f t="shared" si="7"/>
        <v>1000</v>
      </c>
    </row>
    <row r="210" spans="1:34" s="90" customFormat="1" x14ac:dyDescent="0.3">
      <c r="A210" s="84">
        <v>802705</v>
      </c>
      <c r="B210" s="87"/>
      <c r="C210" s="87"/>
      <c r="D210" s="86"/>
      <c r="E210" s="99"/>
      <c r="F210" s="84"/>
      <c r="G210" s="83"/>
      <c r="H210" s="84"/>
      <c r="I210" s="84"/>
      <c r="J210" s="85"/>
      <c r="K210" s="87"/>
      <c r="L210" s="83"/>
      <c r="M210" s="83"/>
      <c r="N210" s="83"/>
      <c r="O210" s="83"/>
      <c r="P210" s="83"/>
      <c r="Q210" s="83"/>
      <c r="R210" s="86"/>
      <c r="S210" s="87"/>
      <c r="T210" s="83">
        <v>349</v>
      </c>
      <c r="U210" s="92">
        <v>200.8</v>
      </c>
      <c r="V210" s="106">
        <v>301.2</v>
      </c>
      <c r="W210" s="106">
        <v>89.399999999999991</v>
      </c>
      <c r="X210" s="106">
        <v>59.600000000000009</v>
      </c>
      <c r="Y210" s="87"/>
      <c r="Z210" s="83"/>
      <c r="AA210" s="86"/>
      <c r="AB210" s="86"/>
      <c r="AC210" s="83"/>
      <c r="AD210" s="88">
        <v>349</v>
      </c>
      <c r="AE210" s="88">
        <v>502</v>
      </c>
      <c r="AF210" s="88">
        <v>149</v>
      </c>
      <c r="AG210" s="66" t="e">
        <f t="shared" si="6"/>
        <v>#DIV/0!</v>
      </c>
      <c r="AH210" s="143">
        <f t="shared" si="7"/>
        <v>1000</v>
      </c>
    </row>
    <row r="211" spans="1:34" s="90" customFormat="1" x14ac:dyDescent="0.3">
      <c r="A211" s="84">
        <v>802706</v>
      </c>
      <c r="B211" s="87"/>
      <c r="C211" s="87"/>
      <c r="D211" s="86"/>
      <c r="E211" s="99"/>
      <c r="F211" s="84"/>
      <c r="G211" s="83"/>
      <c r="H211" s="84"/>
      <c r="I211" s="84"/>
      <c r="J211" s="85"/>
      <c r="K211" s="87"/>
      <c r="L211" s="83"/>
      <c r="M211" s="83"/>
      <c r="N211" s="83"/>
      <c r="O211" s="83"/>
      <c r="P211" s="83"/>
      <c r="Q211" s="83"/>
      <c r="R211" s="86"/>
      <c r="S211" s="87"/>
      <c r="T211" s="83">
        <v>405</v>
      </c>
      <c r="U211" s="92">
        <v>97.600000000000009</v>
      </c>
      <c r="V211" s="106">
        <v>390.4</v>
      </c>
      <c r="W211" s="106">
        <v>63.129999999999995</v>
      </c>
      <c r="X211" s="106">
        <v>43.870000000000005</v>
      </c>
      <c r="Y211" s="87"/>
      <c r="Z211" s="83"/>
      <c r="AA211" s="86"/>
      <c r="AB211" s="86"/>
      <c r="AC211" s="83"/>
      <c r="AD211" s="88">
        <v>405</v>
      </c>
      <c r="AE211" s="88">
        <v>488</v>
      </c>
      <c r="AF211" s="88">
        <v>107</v>
      </c>
      <c r="AG211" s="66" t="e">
        <f t="shared" si="6"/>
        <v>#DIV/0!</v>
      </c>
      <c r="AH211" s="143">
        <f t="shared" si="7"/>
        <v>1000</v>
      </c>
    </row>
    <row r="212" spans="1:34" s="90" customFormat="1" x14ac:dyDescent="0.3">
      <c r="A212" s="84">
        <v>802707</v>
      </c>
      <c r="B212" s="87"/>
      <c r="C212" s="87"/>
      <c r="D212" s="86"/>
      <c r="E212" s="99"/>
      <c r="F212" s="84"/>
      <c r="G212" s="83"/>
      <c r="H212" s="84"/>
      <c r="I212" s="84"/>
      <c r="J212" s="85"/>
      <c r="K212" s="87"/>
      <c r="L212" s="83"/>
      <c r="M212" s="83"/>
      <c r="N212" s="83"/>
      <c r="O212" s="83"/>
      <c r="P212" s="83"/>
      <c r="Q212" s="83"/>
      <c r="R212" s="86"/>
      <c r="S212" s="87"/>
      <c r="T212" s="83">
        <v>126</v>
      </c>
      <c r="U212" s="92">
        <v>122.4</v>
      </c>
      <c r="V212" s="106">
        <v>183.6</v>
      </c>
      <c r="W212" s="106">
        <v>227.20000000000002</v>
      </c>
      <c r="X212" s="106">
        <v>340.79999999999995</v>
      </c>
      <c r="Y212" s="87"/>
      <c r="Z212" s="83"/>
      <c r="AA212" s="86"/>
      <c r="AB212" s="86"/>
      <c r="AC212" s="83"/>
      <c r="AD212" s="88">
        <v>126</v>
      </c>
      <c r="AE212" s="88">
        <v>306</v>
      </c>
      <c r="AF212" s="88">
        <v>568</v>
      </c>
      <c r="AG212" s="66" t="e">
        <f t="shared" si="6"/>
        <v>#DIV/0!</v>
      </c>
      <c r="AH212" s="143">
        <f t="shared" si="7"/>
        <v>1000</v>
      </c>
    </row>
    <row r="213" spans="1:34" s="90" customFormat="1" x14ac:dyDescent="0.3">
      <c r="A213" s="84">
        <v>802708</v>
      </c>
      <c r="B213" s="87"/>
      <c r="C213" s="87"/>
      <c r="D213" s="86"/>
      <c r="E213" s="99"/>
      <c r="F213" s="84"/>
      <c r="G213" s="83"/>
      <c r="H213" s="84"/>
      <c r="I213" s="84"/>
      <c r="J213" s="85"/>
      <c r="K213" s="87"/>
      <c r="L213" s="83"/>
      <c r="M213" s="83"/>
      <c r="N213" s="83"/>
      <c r="O213" s="83"/>
      <c r="P213" s="83"/>
      <c r="Q213" s="83"/>
      <c r="R213" s="86"/>
      <c r="S213" s="87"/>
      <c r="T213" s="83">
        <v>201</v>
      </c>
      <c r="U213" s="92">
        <v>140.6</v>
      </c>
      <c r="V213" s="106">
        <v>562.4</v>
      </c>
      <c r="W213" s="106">
        <v>40.32</v>
      </c>
      <c r="X213" s="106">
        <v>55.68</v>
      </c>
      <c r="Y213" s="87"/>
      <c r="Z213" s="83"/>
      <c r="AA213" s="86"/>
      <c r="AB213" s="86"/>
      <c r="AC213" s="83"/>
      <c r="AD213" s="88">
        <v>201</v>
      </c>
      <c r="AE213" s="88">
        <v>703</v>
      </c>
      <c r="AF213" s="88">
        <v>96</v>
      </c>
      <c r="AG213" s="66" t="e">
        <f t="shared" si="6"/>
        <v>#DIV/0!</v>
      </c>
      <c r="AH213" s="143">
        <f t="shared" si="7"/>
        <v>1000</v>
      </c>
    </row>
    <row r="214" spans="1:34" s="90" customFormat="1" x14ac:dyDescent="0.3">
      <c r="A214" s="84">
        <v>802709</v>
      </c>
      <c r="B214" s="87"/>
      <c r="C214" s="87"/>
      <c r="D214" s="86"/>
      <c r="E214" s="99"/>
      <c r="F214" s="84"/>
      <c r="G214" s="83"/>
      <c r="H214" s="84"/>
      <c r="I214" s="84"/>
      <c r="J214" s="85"/>
      <c r="K214" s="87"/>
      <c r="L214" s="83"/>
      <c r="M214" s="83"/>
      <c r="N214" s="83"/>
      <c r="O214" s="83"/>
      <c r="P214" s="83"/>
      <c r="Q214" s="83"/>
      <c r="R214" s="86"/>
      <c r="S214" s="87"/>
      <c r="T214" s="83">
        <v>84</v>
      </c>
      <c r="U214" s="92">
        <v>27.200000000000003</v>
      </c>
      <c r="V214" s="106">
        <v>40.799999999999997</v>
      </c>
      <c r="W214" s="106">
        <v>424</v>
      </c>
      <c r="X214" s="106">
        <v>424</v>
      </c>
      <c r="Y214" s="87"/>
      <c r="Z214" s="83"/>
      <c r="AA214" s="86"/>
      <c r="AB214" s="86"/>
      <c r="AC214" s="83"/>
      <c r="AD214" s="88">
        <v>84</v>
      </c>
      <c r="AE214" s="88">
        <v>68</v>
      </c>
      <c r="AF214" s="88">
        <v>848</v>
      </c>
      <c r="AG214" s="66" t="e">
        <f t="shared" si="6"/>
        <v>#DIV/0!</v>
      </c>
      <c r="AH214" s="143">
        <f t="shared" si="7"/>
        <v>1000</v>
      </c>
    </row>
    <row r="215" spans="1:34" s="90" customFormat="1" x14ac:dyDescent="0.3">
      <c r="A215" s="84">
        <v>802710</v>
      </c>
      <c r="B215" s="87"/>
      <c r="C215" s="87"/>
      <c r="D215" s="86"/>
      <c r="E215" s="99"/>
      <c r="F215" s="84"/>
      <c r="G215" s="83"/>
      <c r="H215" s="84"/>
      <c r="I215" s="84"/>
      <c r="J215" s="85"/>
      <c r="K215" s="87"/>
      <c r="L215" s="83"/>
      <c r="M215" s="83"/>
      <c r="N215" s="83"/>
      <c r="O215" s="83"/>
      <c r="P215" s="83"/>
      <c r="Q215" s="83"/>
      <c r="R215" s="86"/>
      <c r="S215" s="87"/>
      <c r="T215" s="83">
        <v>202</v>
      </c>
      <c r="U215" s="92">
        <v>219.60000000000002</v>
      </c>
      <c r="V215" s="106">
        <v>329.4</v>
      </c>
      <c r="W215" s="106">
        <v>104.58</v>
      </c>
      <c r="X215" s="106">
        <v>144.42000000000002</v>
      </c>
      <c r="Y215" s="87"/>
      <c r="Z215" s="83"/>
      <c r="AA215" s="86"/>
      <c r="AB215" s="86"/>
      <c r="AC215" s="83"/>
      <c r="AD215" s="88">
        <v>202</v>
      </c>
      <c r="AE215" s="88">
        <v>549</v>
      </c>
      <c r="AF215" s="88">
        <v>249</v>
      </c>
      <c r="AG215" s="66" t="e">
        <f t="shared" si="6"/>
        <v>#DIV/0!</v>
      </c>
      <c r="AH215" s="143">
        <f t="shared" si="7"/>
        <v>1000</v>
      </c>
    </row>
    <row r="216" spans="1:34" s="90" customFormat="1" x14ac:dyDescent="0.3">
      <c r="A216" s="84">
        <v>802711</v>
      </c>
      <c r="B216" s="87"/>
      <c r="C216" s="87"/>
      <c r="D216" s="86"/>
      <c r="E216" s="99"/>
      <c r="F216" s="84"/>
      <c r="G216" s="83"/>
      <c r="H216" s="84"/>
      <c r="I216" s="84"/>
      <c r="J216" s="85"/>
      <c r="K216" s="87"/>
      <c r="L216" s="83"/>
      <c r="M216" s="83"/>
      <c r="N216" s="83"/>
      <c r="O216" s="83"/>
      <c r="P216" s="83"/>
      <c r="Q216" s="83"/>
      <c r="R216" s="86"/>
      <c r="S216" s="87"/>
      <c r="T216" s="83">
        <v>204</v>
      </c>
      <c r="U216" s="92">
        <v>168.29999999999998</v>
      </c>
      <c r="V216" s="106">
        <v>392.70000000000005</v>
      </c>
      <c r="W216" s="106">
        <v>136.29999999999998</v>
      </c>
      <c r="X216" s="106">
        <v>98.700000000000017</v>
      </c>
      <c r="Y216" s="87"/>
      <c r="Z216" s="83"/>
      <c r="AA216" s="86"/>
      <c r="AB216" s="86"/>
      <c r="AC216" s="83"/>
      <c r="AD216" s="88">
        <v>204</v>
      </c>
      <c r="AE216" s="88">
        <v>561</v>
      </c>
      <c r="AF216" s="88">
        <v>235</v>
      </c>
      <c r="AG216" s="66" t="e">
        <f t="shared" si="6"/>
        <v>#DIV/0!</v>
      </c>
      <c r="AH216" s="143">
        <f t="shared" si="7"/>
        <v>1000</v>
      </c>
    </row>
    <row r="217" spans="1:34" s="90" customFormat="1" x14ac:dyDescent="0.3">
      <c r="A217" s="84">
        <v>802712</v>
      </c>
      <c r="B217" s="87"/>
      <c r="C217" s="87"/>
      <c r="D217" s="86"/>
      <c r="E217" s="99"/>
      <c r="F217" s="84"/>
      <c r="G217" s="83"/>
      <c r="H217" s="84"/>
      <c r="I217" s="84"/>
      <c r="J217" s="85"/>
      <c r="K217" s="87"/>
      <c r="L217" s="83"/>
      <c r="M217" s="83"/>
      <c r="N217" s="83"/>
      <c r="O217" s="83"/>
      <c r="P217" s="83"/>
      <c r="Q217" s="83"/>
      <c r="R217" s="86"/>
      <c r="S217" s="87"/>
      <c r="T217" s="83">
        <v>221</v>
      </c>
      <c r="U217" s="92">
        <v>109</v>
      </c>
      <c r="V217" s="106">
        <v>436</v>
      </c>
      <c r="W217" s="106">
        <v>135.72</v>
      </c>
      <c r="X217" s="106">
        <v>98.28</v>
      </c>
      <c r="Y217" s="87"/>
      <c r="Z217" s="83"/>
      <c r="AA217" s="86"/>
      <c r="AB217" s="86"/>
      <c r="AC217" s="83"/>
      <c r="AD217" s="88">
        <v>221</v>
      </c>
      <c r="AE217" s="88">
        <v>545</v>
      </c>
      <c r="AF217" s="88">
        <v>234</v>
      </c>
      <c r="AG217" s="66" t="e">
        <f t="shared" si="6"/>
        <v>#DIV/0!</v>
      </c>
      <c r="AH217" s="143">
        <f t="shared" si="7"/>
        <v>1000</v>
      </c>
    </row>
    <row r="218" spans="1:34" s="90" customFormat="1" x14ac:dyDescent="0.3">
      <c r="A218" s="84">
        <v>802713</v>
      </c>
      <c r="B218" s="87"/>
      <c r="C218" s="87"/>
      <c r="D218" s="86"/>
      <c r="E218" s="99"/>
      <c r="F218" s="84"/>
      <c r="G218" s="83"/>
      <c r="H218" s="84"/>
      <c r="I218" s="84"/>
      <c r="J218" s="85"/>
      <c r="K218" s="87"/>
      <c r="L218" s="83"/>
      <c r="M218" s="83"/>
      <c r="N218" s="83"/>
      <c r="O218" s="83"/>
      <c r="P218" s="83"/>
      <c r="Q218" s="83"/>
      <c r="R218" s="86"/>
      <c r="S218" s="87"/>
      <c r="T218" s="83">
        <v>67</v>
      </c>
      <c r="U218" s="92">
        <v>30.599999999999998</v>
      </c>
      <c r="V218" s="106">
        <v>71.400000000000006</v>
      </c>
      <c r="W218" s="106">
        <v>432.12</v>
      </c>
      <c r="X218" s="106">
        <v>398.88</v>
      </c>
      <c r="Y218" s="87"/>
      <c r="Z218" s="83"/>
      <c r="AA218" s="86"/>
      <c r="AB218" s="86"/>
      <c r="AC218" s="83"/>
      <c r="AD218" s="88">
        <v>67</v>
      </c>
      <c r="AE218" s="88">
        <v>102</v>
      </c>
      <c r="AF218" s="88">
        <v>831</v>
      </c>
      <c r="AG218" s="66" t="e">
        <f t="shared" si="6"/>
        <v>#DIV/0!</v>
      </c>
      <c r="AH218" s="143">
        <f t="shared" si="7"/>
        <v>1000</v>
      </c>
    </row>
    <row r="219" spans="1:34" s="90" customFormat="1" x14ac:dyDescent="0.3">
      <c r="A219" s="84">
        <v>802714</v>
      </c>
      <c r="B219" s="87"/>
      <c r="C219" s="87"/>
      <c r="D219" s="86"/>
      <c r="E219" s="99"/>
      <c r="F219" s="84"/>
      <c r="G219" s="83"/>
      <c r="H219" s="84"/>
      <c r="I219" s="84"/>
      <c r="J219" s="85"/>
      <c r="K219" s="87"/>
      <c r="L219" s="83"/>
      <c r="M219" s="83"/>
      <c r="N219" s="83"/>
      <c r="O219" s="83"/>
      <c r="P219" s="83"/>
      <c r="Q219" s="83"/>
      <c r="R219" s="86"/>
      <c r="S219" s="87"/>
      <c r="T219" s="83">
        <v>122</v>
      </c>
      <c r="U219" s="92">
        <v>232.8</v>
      </c>
      <c r="V219" s="106">
        <v>349.2</v>
      </c>
      <c r="W219" s="106">
        <v>148</v>
      </c>
      <c r="X219" s="106">
        <v>148</v>
      </c>
      <c r="Y219" s="87"/>
      <c r="Z219" s="83"/>
      <c r="AA219" s="86"/>
      <c r="AB219" s="86"/>
      <c r="AC219" s="83"/>
      <c r="AD219" s="88">
        <v>122</v>
      </c>
      <c r="AE219" s="88">
        <v>582</v>
      </c>
      <c r="AF219" s="88">
        <v>296</v>
      </c>
      <c r="AG219" s="66" t="e">
        <f t="shared" si="6"/>
        <v>#DIV/0!</v>
      </c>
      <c r="AH219" s="143">
        <f t="shared" si="7"/>
        <v>1000</v>
      </c>
    </row>
    <row r="220" spans="1:34" s="90" customFormat="1" x14ac:dyDescent="0.3">
      <c r="A220" s="84">
        <v>802715</v>
      </c>
      <c r="B220" s="87"/>
      <c r="C220" s="87"/>
      <c r="D220" s="86"/>
      <c r="E220" s="99"/>
      <c r="F220" s="84"/>
      <c r="G220" s="83"/>
      <c r="H220" s="84"/>
      <c r="I220" s="84"/>
      <c r="J220" s="85"/>
      <c r="K220" s="87"/>
      <c r="L220" s="83"/>
      <c r="M220" s="83"/>
      <c r="N220" s="83"/>
      <c r="O220" s="83"/>
      <c r="P220" s="83"/>
      <c r="Q220" s="83"/>
      <c r="R220" s="86"/>
      <c r="S220" s="87"/>
      <c r="T220" s="83">
        <v>387</v>
      </c>
      <c r="U220" s="92">
        <v>97.600000000000009</v>
      </c>
      <c r="V220" s="106">
        <v>390.4</v>
      </c>
      <c r="W220" s="106">
        <v>55</v>
      </c>
      <c r="X220" s="106">
        <v>70</v>
      </c>
      <c r="Y220" s="87"/>
      <c r="Z220" s="83"/>
      <c r="AA220" s="86"/>
      <c r="AB220" s="86"/>
      <c r="AC220" s="83"/>
      <c r="AD220" s="88">
        <v>387</v>
      </c>
      <c r="AE220" s="88">
        <v>488</v>
      </c>
      <c r="AF220" s="88">
        <v>125</v>
      </c>
      <c r="AG220" s="66" t="e">
        <f t="shared" si="6"/>
        <v>#DIV/0!</v>
      </c>
      <c r="AH220" s="143">
        <f t="shared" si="7"/>
        <v>1000</v>
      </c>
    </row>
    <row r="221" spans="1:34" s="90" customFormat="1" x14ac:dyDescent="0.3">
      <c r="A221" s="84">
        <v>802716</v>
      </c>
      <c r="B221" s="87"/>
      <c r="C221" s="87"/>
      <c r="D221" s="86"/>
      <c r="E221" s="99"/>
      <c r="F221" s="84"/>
      <c r="G221" s="83"/>
      <c r="H221" s="84"/>
      <c r="I221" s="84"/>
      <c r="J221" s="85"/>
      <c r="K221" s="87"/>
      <c r="L221" s="83"/>
      <c r="M221" s="83"/>
      <c r="N221" s="83"/>
      <c r="O221" s="83"/>
      <c r="P221" s="83"/>
      <c r="Q221" s="83"/>
      <c r="R221" s="86"/>
      <c r="S221" s="87"/>
      <c r="T221" s="83">
        <v>185</v>
      </c>
      <c r="U221" s="92">
        <v>113.80000000000001</v>
      </c>
      <c r="V221" s="106">
        <v>455.2</v>
      </c>
      <c r="W221" s="106">
        <v>142.67999999999998</v>
      </c>
      <c r="X221" s="106">
        <v>103.32000000000002</v>
      </c>
      <c r="Y221" s="87"/>
      <c r="Z221" s="83"/>
      <c r="AA221" s="86"/>
      <c r="AB221" s="86"/>
      <c r="AC221" s="83"/>
      <c r="AD221" s="88">
        <v>185</v>
      </c>
      <c r="AE221" s="88">
        <v>569</v>
      </c>
      <c r="AF221" s="88">
        <v>246</v>
      </c>
      <c r="AG221" s="66" t="e">
        <f t="shared" si="6"/>
        <v>#DIV/0!</v>
      </c>
      <c r="AH221" s="143">
        <f t="shared" si="7"/>
        <v>1000</v>
      </c>
    </row>
    <row r="222" spans="1:34" s="90" customFormat="1" x14ac:dyDescent="0.3">
      <c r="A222" s="84">
        <v>802717</v>
      </c>
      <c r="B222" s="87"/>
      <c r="C222" s="87"/>
      <c r="D222" s="86"/>
      <c r="E222" s="99"/>
      <c r="F222" s="84"/>
      <c r="G222" s="83"/>
      <c r="H222" s="84"/>
      <c r="I222" s="84"/>
      <c r="J222" s="85"/>
      <c r="K222" s="87"/>
      <c r="L222" s="83"/>
      <c r="M222" s="83"/>
      <c r="N222" s="83"/>
      <c r="O222" s="83"/>
      <c r="P222" s="83"/>
      <c r="Q222" s="83"/>
      <c r="R222" s="86"/>
      <c r="S222" s="87"/>
      <c r="T222" s="83">
        <v>388</v>
      </c>
      <c r="U222" s="92">
        <v>169.60000000000002</v>
      </c>
      <c r="V222" s="106">
        <v>254.39999999999998</v>
      </c>
      <c r="W222" s="106">
        <v>88.36</v>
      </c>
      <c r="X222" s="106">
        <v>99.64</v>
      </c>
      <c r="Y222" s="87"/>
      <c r="Z222" s="83"/>
      <c r="AA222" s="86"/>
      <c r="AB222" s="86"/>
      <c r="AC222" s="83"/>
      <c r="AD222" s="88">
        <v>388</v>
      </c>
      <c r="AE222" s="88">
        <v>424</v>
      </c>
      <c r="AF222" s="88">
        <v>188</v>
      </c>
      <c r="AG222" s="66" t="e">
        <f t="shared" si="6"/>
        <v>#DIV/0!</v>
      </c>
      <c r="AH222" s="143">
        <f t="shared" si="7"/>
        <v>1000</v>
      </c>
    </row>
    <row r="223" spans="1:34" s="90" customFormat="1" x14ac:dyDescent="0.3">
      <c r="A223" s="84">
        <v>802718</v>
      </c>
      <c r="B223" s="87"/>
      <c r="C223" s="87"/>
      <c r="D223" s="86"/>
      <c r="E223" s="99"/>
      <c r="F223" s="84"/>
      <c r="G223" s="83"/>
      <c r="H223" s="84"/>
      <c r="I223" s="84"/>
      <c r="J223" s="85"/>
      <c r="K223" s="87"/>
      <c r="L223" s="83"/>
      <c r="M223" s="83"/>
      <c r="N223" s="83"/>
      <c r="O223" s="83"/>
      <c r="P223" s="83"/>
      <c r="Q223" s="83"/>
      <c r="R223" s="86"/>
      <c r="S223" s="87"/>
      <c r="T223" s="83">
        <v>301</v>
      </c>
      <c r="U223" s="92">
        <v>193.20000000000002</v>
      </c>
      <c r="V223" s="106">
        <v>289.79999999999995</v>
      </c>
      <c r="W223" s="106">
        <v>101.52</v>
      </c>
      <c r="X223" s="106">
        <v>114.48</v>
      </c>
      <c r="Y223" s="87"/>
      <c r="Z223" s="83"/>
      <c r="AA223" s="86"/>
      <c r="AB223" s="86"/>
      <c r="AC223" s="83"/>
      <c r="AD223" s="88">
        <v>301</v>
      </c>
      <c r="AE223" s="88">
        <v>483</v>
      </c>
      <c r="AF223" s="88">
        <v>216</v>
      </c>
      <c r="AG223" s="66" t="e">
        <f t="shared" si="6"/>
        <v>#DIV/0!</v>
      </c>
      <c r="AH223" s="143">
        <f t="shared" si="7"/>
        <v>1000</v>
      </c>
    </row>
    <row r="224" spans="1:34" s="90" customFormat="1" x14ac:dyDescent="0.3">
      <c r="A224" s="84">
        <v>802719</v>
      </c>
      <c r="B224" s="87"/>
      <c r="C224" s="87"/>
      <c r="D224" s="86"/>
      <c r="E224" s="99"/>
      <c r="F224" s="84"/>
      <c r="G224" s="83"/>
      <c r="H224" s="84"/>
      <c r="I224" s="84"/>
      <c r="J224" s="85"/>
      <c r="K224" s="87"/>
      <c r="L224" s="83"/>
      <c r="M224" s="83"/>
      <c r="N224" s="83"/>
      <c r="O224" s="83"/>
      <c r="P224" s="83"/>
      <c r="Q224" s="83"/>
      <c r="R224" s="86"/>
      <c r="S224" s="87"/>
      <c r="T224" s="83">
        <v>189</v>
      </c>
      <c r="U224" s="92">
        <v>157.79999999999998</v>
      </c>
      <c r="V224" s="106">
        <v>368.20000000000005</v>
      </c>
      <c r="W224" s="106">
        <v>116.85</v>
      </c>
      <c r="X224" s="106">
        <v>168.15</v>
      </c>
      <c r="Y224" s="87"/>
      <c r="Z224" s="83"/>
      <c r="AA224" s="86"/>
      <c r="AB224" s="86"/>
      <c r="AC224" s="83"/>
      <c r="AD224" s="88">
        <v>189</v>
      </c>
      <c r="AE224" s="88">
        <v>526</v>
      </c>
      <c r="AF224" s="88">
        <v>285</v>
      </c>
      <c r="AG224" s="66" t="e">
        <f t="shared" si="6"/>
        <v>#DIV/0!</v>
      </c>
      <c r="AH224" s="143">
        <f t="shared" si="7"/>
        <v>1000</v>
      </c>
    </row>
    <row r="225" spans="1:34" s="90" customFormat="1" x14ac:dyDescent="0.3">
      <c r="A225" s="84">
        <v>802720</v>
      </c>
      <c r="B225" s="87"/>
      <c r="C225" s="87"/>
      <c r="D225" s="86"/>
      <c r="E225" s="99"/>
      <c r="F225" s="84"/>
      <c r="G225" s="83"/>
      <c r="H225" s="84"/>
      <c r="I225" s="84"/>
      <c r="J225" s="85"/>
      <c r="K225" s="87"/>
      <c r="L225" s="83"/>
      <c r="M225" s="83"/>
      <c r="N225" s="83"/>
      <c r="O225" s="83"/>
      <c r="P225" s="83"/>
      <c r="Q225" s="83"/>
      <c r="R225" s="86"/>
      <c r="S225" s="87"/>
      <c r="T225" s="83">
        <v>181</v>
      </c>
      <c r="U225" s="92">
        <v>201.60000000000002</v>
      </c>
      <c r="V225" s="106">
        <v>302.39999999999998</v>
      </c>
      <c r="W225" s="106">
        <v>160.65</v>
      </c>
      <c r="X225" s="106">
        <v>154.35</v>
      </c>
      <c r="Y225" s="87"/>
      <c r="Z225" s="83"/>
      <c r="AA225" s="86"/>
      <c r="AB225" s="86"/>
      <c r="AC225" s="83"/>
      <c r="AD225" s="88">
        <v>181</v>
      </c>
      <c r="AE225" s="88">
        <v>504</v>
      </c>
      <c r="AF225" s="88">
        <v>315</v>
      </c>
      <c r="AG225" s="66" t="e">
        <f t="shared" si="6"/>
        <v>#DIV/0!</v>
      </c>
      <c r="AH225" s="143">
        <f t="shared" si="7"/>
        <v>1000</v>
      </c>
    </row>
    <row r="226" spans="1:34" s="90" customFormat="1" x14ac:dyDescent="0.3">
      <c r="A226" s="84">
        <v>802721</v>
      </c>
      <c r="B226" s="87"/>
      <c r="C226" s="87"/>
      <c r="D226" s="86"/>
      <c r="E226" s="99"/>
      <c r="F226" s="84"/>
      <c r="G226" s="83"/>
      <c r="H226" s="84"/>
      <c r="I226" s="84"/>
      <c r="J226" s="85"/>
      <c r="K226" s="87"/>
      <c r="L226" s="83"/>
      <c r="M226" s="83"/>
      <c r="N226" s="83"/>
      <c r="O226" s="83"/>
      <c r="P226" s="83"/>
      <c r="Q226" s="83"/>
      <c r="R226" s="86"/>
      <c r="S226" s="87"/>
      <c r="T226" s="83">
        <v>126</v>
      </c>
      <c r="U226" s="92">
        <v>217.60000000000002</v>
      </c>
      <c r="V226" s="106">
        <v>326.39999999999998</v>
      </c>
      <c r="W226" s="106">
        <v>194.7</v>
      </c>
      <c r="X226" s="106">
        <v>135.30000000000001</v>
      </c>
      <c r="Y226" s="87"/>
      <c r="Z226" s="83"/>
      <c r="AA226" s="86"/>
      <c r="AB226" s="86"/>
      <c r="AC226" s="83"/>
      <c r="AD226" s="88">
        <v>126</v>
      </c>
      <c r="AE226" s="88">
        <v>544</v>
      </c>
      <c r="AF226" s="88">
        <v>330</v>
      </c>
      <c r="AG226" s="66" t="e">
        <f t="shared" si="6"/>
        <v>#DIV/0!</v>
      </c>
      <c r="AH226" s="143">
        <f t="shared" si="7"/>
        <v>1000</v>
      </c>
    </row>
    <row r="227" spans="1:34" s="90" customFormat="1" x14ac:dyDescent="0.3">
      <c r="A227" s="84">
        <v>802722</v>
      </c>
      <c r="B227" s="87"/>
      <c r="C227" s="87"/>
      <c r="D227" s="86"/>
      <c r="E227" s="99"/>
      <c r="F227" s="84"/>
      <c r="G227" s="83"/>
      <c r="H227" s="84"/>
      <c r="I227" s="84"/>
      <c r="J227" s="85"/>
      <c r="K227" s="87"/>
      <c r="L227" s="83"/>
      <c r="M227" s="83"/>
      <c r="N227" s="83"/>
      <c r="O227" s="83"/>
      <c r="P227" s="83"/>
      <c r="Q227" s="83"/>
      <c r="R227" s="86"/>
      <c r="S227" s="87"/>
      <c r="T227" s="83">
        <v>164</v>
      </c>
      <c r="U227" s="92">
        <v>28.8</v>
      </c>
      <c r="V227" s="106">
        <v>115.2</v>
      </c>
      <c r="W227" s="106">
        <v>373.68</v>
      </c>
      <c r="X227" s="106">
        <v>318.32</v>
      </c>
      <c r="Y227" s="87"/>
      <c r="Z227" s="83"/>
      <c r="AA227" s="86"/>
      <c r="AB227" s="86"/>
      <c r="AC227" s="83"/>
      <c r="AD227" s="88">
        <v>164</v>
      </c>
      <c r="AE227" s="88">
        <v>144</v>
      </c>
      <c r="AF227" s="88">
        <v>692</v>
      </c>
      <c r="AG227" s="66" t="e">
        <f t="shared" si="6"/>
        <v>#DIV/0!</v>
      </c>
      <c r="AH227" s="143">
        <f t="shared" si="7"/>
        <v>1000</v>
      </c>
    </row>
    <row r="228" spans="1:34" s="90" customFormat="1" x14ac:dyDescent="0.3">
      <c r="A228" s="84">
        <v>802723</v>
      </c>
      <c r="B228" s="87"/>
      <c r="C228" s="87"/>
      <c r="D228" s="86"/>
      <c r="E228" s="99"/>
      <c r="F228" s="84"/>
      <c r="G228" s="83"/>
      <c r="H228" s="84"/>
      <c r="I228" s="84"/>
      <c r="J228" s="85"/>
      <c r="K228" s="87"/>
      <c r="L228" s="83"/>
      <c r="M228" s="83"/>
      <c r="N228" s="83"/>
      <c r="O228" s="83"/>
      <c r="P228" s="83"/>
      <c r="Q228" s="83"/>
      <c r="R228" s="86"/>
      <c r="S228" s="87"/>
      <c r="T228" s="83">
        <v>362</v>
      </c>
      <c r="U228" s="92">
        <v>162.4</v>
      </c>
      <c r="V228" s="106">
        <v>243.6</v>
      </c>
      <c r="W228" s="106">
        <v>129.92000000000002</v>
      </c>
      <c r="X228" s="106">
        <v>102.07999999999998</v>
      </c>
      <c r="Y228" s="87"/>
      <c r="Z228" s="83"/>
      <c r="AA228" s="86"/>
      <c r="AB228" s="86"/>
      <c r="AC228" s="83"/>
      <c r="AD228" s="88">
        <v>362</v>
      </c>
      <c r="AE228" s="88">
        <v>406</v>
      </c>
      <c r="AF228" s="88">
        <v>232</v>
      </c>
      <c r="AG228" s="66" t="e">
        <f t="shared" si="6"/>
        <v>#DIV/0!</v>
      </c>
      <c r="AH228" s="143">
        <f t="shared" si="7"/>
        <v>1000</v>
      </c>
    </row>
    <row r="229" spans="1:34" s="90" customFormat="1" x14ac:dyDescent="0.3">
      <c r="A229" s="84">
        <v>802724</v>
      </c>
      <c r="B229" s="87"/>
      <c r="C229" s="87"/>
      <c r="D229" s="86"/>
      <c r="E229" s="99"/>
      <c r="F229" s="84"/>
      <c r="G229" s="83"/>
      <c r="H229" s="84"/>
      <c r="I229" s="84"/>
      <c r="J229" s="85"/>
      <c r="K229" s="87"/>
      <c r="L229" s="83"/>
      <c r="M229" s="83"/>
      <c r="N229" s="83"/>
      <c r="O229" s="83"/>
      <c r="P229" s="83"/>
      <c r="Q229" s="83"/>
      <c r="R229" s="86"/>
      <c r="S229" s="87"/>
      <c r="T229" s="83">
        <v>287</v>
      </c>
      <c r="U229" s="92">
        <v>138.29999999999998</v>
      </c>
      <c r="V229" s="106">
        <v>322.70000000000005</v>
      </c>
      <c r="W229" s="106">
        <v>128.52000000000001</v>
      </c>
      <c r="X229" s="106">
        <v>123.47999999999999</v>
      </c>
      <c r="Y229" s="87"/>
      <c r="Z229" s="83"/>
      <c r="AA229" s="86"/>
      <c r="AB229" s="86"/>
      <c r="AC229" s="83"/>
      <c r="AD229" s="88">
        <v>287</v>
      </c>
      <c r="AE229" s="88">
        <v>461</v>
      </c>
      <c r="AF229" s="88">
        <v>252</v>
      </c>
      <c r="AG229" s="66" t="e">
        <f t="shared" si="6"/>
        <v>#DIV/0!</v>
      </c>
      <c r="AH229" s="143">
        <f t="shared" si="7"/>
        <v>1000</v>
      </c>
    </row>
    <row r="230" spans="1:34" s="90" customFormat="1" x14ac:dyDescent="0.3">
      <c r="A230" s="84">
        <v>802725</v>
      </c>
      <c r="B230" s="87"/>
      <c r="C230" s="87"/>
      <c r="D230" s="86"/>
      <c r="E230" s="99"/>
      <c r="F230" s="84"/>
      <c r="G230" s="83"/>
      <c r="H230" s="84"/>
      <c r="I230" s="84"/>
      <c r="J230" s="85"/>
      <c r="K230" s="87"/>
      <c r="L230" s="83"/>
      <c r="M230" s="83"/>
      <c r="N230" s="83"/>
      <c r="O230" s="83"/>
      <c r="P230" s="83"/>
      <c r="Q230" s="83"/>
      <c r="R230" s="86"/>
      <c r="S230" s="87"/>
      <c r="T230" s="83">
        <v>143</v>
      </c>
      <c r="U230" s="92">
        <v>187.60000000000002</v>
      </c>
      <c r="V230" s="106">
        <v>281.39999999999998</v>
      </c>
      <c r="W230" s="106">
        <v>209.52</v>
      </c>
      <c r="X230" s="106">
        <v>178.48</v>
      </c>
      <c r="Y230" s="87"/>
      <c r="Z230" s="83"/>
      <c r="AA230" s="86"/>
      <c r="AB230" s="86"/>
      <c r="AC230" s="83"/>
      <c r="AD230" s="88">
        <v>143</v>
      </c>
      <c r="AE230" s="88">
        <v>469</v>
      </c>
      <c r="AF230" s="88">
        <v>388</v>
      </c>
      <c r="AG230" s="66" t="e">
        <f t="shared" si="6"/>
        <v>#DIV/0!</v>
      </c>
      <c r="AH230" s="143">
        <f t="shared" si="7"/>
        <v>1000</v>
      </c>
    </row>
    <row r="231" spans="1:34" s="90" customFormat="1" x14ac:dyDescent="0.3">
      <c r="A231" s="84">
        <v>802726</v>
      </c>
      <c r="B231" s="87"/>
      <c r="C231" s="87"/>
      <c r="D231" s="86"/>
      <c r="E231" s="99"/>
      <c r="F231" s="84"/>
      <c r="G231" s="83"/>
      <c r="H231" s="84"/>
      <c r="I231" s="84"/>
      <c r="J231" s="85"/>
      <c r="K231" s="87"/>
      <c r="L231" s="83"/>
      <c r="M231" s="83"/>
      <c r="N231" s="83"/>
      <c r="O231" s="83"/>
      <c r="P231" s="83"/>
      <c r="Q231" s="83"/>
      <c r="R231" s="86"/>
      <c r="S231" s="87"/>
      <c r="T231" s="83">
        <v>362</v>
      </c>
      <c r="U231" s="92">
        <v>127.8</v>
      </c>
      <c r="V231" s="106">
        <v>298.2</v>
      </c>
      <c r="W231" s="106">
        <v>84.800000000000011</v>
      </c>
      <c r="X231" s="106">
        <v>127.19999999999999</v>
      </c>
      <c r="Y231" s="87"/>
      <c r="Z231" s="83"/>
      <c r="AA231" s="86"/>
      <c r="AB231" s="86"/>
      <c r="AC231" s="83"/>
      <c r="AD231" s="88">
        <v>362</v>
      </c>
      <c r="AE231" s="88">
        <v>426</v>
      </c>
      <c r="AF231" s="88">
        <v>212</v>
      </c>
      <c r="AG231" s="66" t="e">
        <f t="shared" si="6"/>
        <v>#DIV/0!</v>
      </c>
      <c r="AH231" s="143">
        <f t="shared" si="7"/>
        <v>1000</v>
      </c>
    </row>
    <row r="232" spans="1:34" s="90" customFormat="1" x14ac:dyDescent="0.3">
      <c r="A232" s="84">
        <v>802727</v>
      </c>
      <c r="B232" s="87"/>
      <c r="C232" s="87"/>
      <c r="D232" s="86"/>
      <c r="E232" s="99"/>
      <c r="F232" s="84"/>
      <c r="G232" s="83"/>
      <c r="H232" s="84"/>
      <c r="I232" s="84"/>
      <c r="J232" s="85"/>
      <c r="K232" s="87"/>
      <c r="L232" s="83"/>
      <c r="M232" s="83"/>
      <c r="N232" s="83"/>
      <c r="O232" s="83"/>
      <c r="P232" s="83"/>
      <c r="Q232" s="83"/>
      <c r="R232" s="86"/>
      <c r="S232" s="87"/>
      <c r="T232" s="83">
        <v>144</v>
      </c>
      <c r="U232" s="92">
        <v>170.7</v>
      </c>
      <c r="V232" s="106">
        <v>398.3</v>
      </c>
      <c r="W232" s="106">
        <v>126.28</v>
      </c>
      <c r="X232" s="106">
        <v>160.72</v>
      </c>
      <c r="Y232" s="87"/>
      <c r="Z232" s="83"/>
      <c r="AA232" s="86"/>
      <c r="AB232" s="86"/>
      <c r="AC232" s="83"/>
      <c r="AD232" s="88">
        <v>144</v>
      </c>
      <c r="AE232" s="88">
        <v>569</v>
      </c>
      <c r="AF232" s="88">
        <v>287</v>
      </c>
      <c r="AG232" s="66" t="e">
        <f t="shared" si="6"/>
        <v>#DIV/0!</v>
      </c>
      <c r="AH232" s="143">
        <f t="shared" si="7"/>
        <v>1000</v>
      </c>
    </row>
    <row r="233" spans="1:34" s="90" customFormat="1" x14ac:dyDescent="0.3">
      <c r="A233" s="84">
        <v>802728</v>
      </c>
      <c r="B233" s="87"/>
      <c r="C233" s="87"/>
      <c r="D233" s="86"/>
      <c r="E233" s="99"/>
      <c r="F233" s="84"/>
      <c r="G233" s="83"/>
      <c r="H233" s="84"/>
      <c r="I233" s="84"/>
      <c r="J233" s="85"/>
      <c r="K233" s="87"/>
      <c r="L233" s="83"/>
      <c r="M233" s="83"/>
      <c r="N233" s="83"/>
      <c r="O233" s="83"/>
      <c r="P233" s="83"/>
      <c r="Q233" s="83"/>
      <c r="R233" s="86"/>
      <c r="S233" s="87"/>
      <c r="T233" s="83">
        <v>242</v>
      </c>
      <c r="U233" s="92">
        <v>170.1</v>
      </c>
      <c r="V233" s="106">
        <v>396.9</v>
      </c>
      <c r="W233" s="106">
        <v>114.6</v>
      </c>
      <c r="X233" s="106">
        <v>76.400000000000006</v>
      </c>
      <c r="Y233" s="87"/>
      <c r="Z233" s="83"/>
      <c r="AA233" s="86"/>
      <c r="AB233" s="86"/>
      <c r="AC233" s="83"/>
      <c r="AD233" s="88">
        <v>242</v>
      </c>
      <c r="AE233" s="88">
        <v>567</v>
      </c>
      <c r="AF233" s="88">
        <v>191</v>
      </c>
      <c r="AG233" s="66" t="e">
        <f t="shared" si="6"/>
        <v>#DIV/0!</v>
      </c>
      <c r="AH233" s="143">
        <f t="shared" si="7"/>
        <v>1000</v>
      </c>
    </row>
    <row r="234" spans="1:34" s="90" customFormat="1" x14ac:dyDescent="0.3">
      <c r="A234" s="84">
        <v>802729</v>
      </c>
      <c r="B234" s="87"/>
      <c r="C234" s="87"/>
      <c r="D234" s="86"/>
      <c r="E234" s="99"/>
      <c r="F234" s="84"/>
      <c r="G234" s="83"/>
      <c r="H234" s="84"/>
      <c r="I234" s="84"/>
      <c r="J234" s="85"/>
      <c r="K234" s="87"/>
      <c r="L234" s="83"/>
      <c r="M234" s="83"/>
      <c r="N234" s="83"/>
      <c r="O234" s="83"/>
      <c r="P234" s="83"/>
      <c r="Q234" s="83"/>
      <c r="R234" s="86"/>
      <c r="S234" s="87"/>
      <c r="T234" s="83">
        <v>362</v>
      </c>
      <c r="U234" s="92">
        <v>178.4</v>
      </c>
      <c r="V234" s="106">
        <v>267.60000000000002</v>
      </c>
      <c r="W234" s="106">
        <v>90.24</v>
      </c>
      <c r="X234" s="106">
        <v>101.76</v>
      </c>
      <c r="Y234" s="87"/>
      <c r="Z234" s="83"/>
      <c r="AA234" s="86"/>
      <c r="AB234" s="86"/>
      <c r="AC234" s="83"/>
      <c r="AD234" s="88">
        <v>362</v>
      </c>
      <c r="AE234" s="88">
        <v>446</v>
      </c>
      <c r="AF234" s="88">
        <v>192</v>
      </c>
      <c r="AG234" s="66" t="e">
        <f t="shared" si="6"/>
        <v>#DIV/0!</v>
      </c>
      <c r="AH234" s="143">
        <f t="shared" si="7"/>
        <v>1000</v>
      </c>
    </row>
    <row r="235" spans="1:34" s="90" customFormat="1" x14ac:dyDescent="0.3">
      <c r="A235" s="84">
        <v>802730</v>
      </c>
      <c r="B235" s="87"/>
      <c r="C235" s="87"/>
      <c r="D235" s="86"/>
      <c r="E235" s="99"/>
      <c r="F235" s="84"/>
      <c r="G235" s="83"/>
      <c r="H235" s="84"/>
      <c r="I235" s="84"/>
      <c r="J235" s="85"/>
      <c r="K235" s="87"/>
      <c r="L235" s="83"/>
      <c r="M235" s="83"/>
      <c r="N235" s="83"/>
      <c r="O235" s="83"/>
      <c r="P235" s="83"/>
      <c r="Q235" s="83"/>
      <c r="R235" s="86"/>
      <c r="S235" s="87"/>
      <c r="T235" s="83">
        <v>381</v>
      </c>
      <c r="U235" s="92">
        <v>132.29999999999998</v>
      </c>
      <c r="V235" s="106">
        <v>308.70000000000005</v>
      </c>
      <c r="W235" s="106">
        <v>90.78</v>
      </c>
      <c r="X235" s="106">
        <v>87.22</v>
      </c>
      <c r="Y235" s="87"/>
      <c r="Z235" s="83"/>
      <c r="AA235" s="86"/>
      <c r="AB235" s="86"/>
      <c r="AC235" s="83"/>
      <c r="AD235" s="88">
        <v>381</v>
      </c>
      <c r="AE235" s="88">
        <v>441</v>
      </c>
      <c r="AF235" s="88">
        <v>178</v>
      </c>
      <c r="AG235" s="66" t="e">
        <f t="shared" si="6"/>
        <v>#DIV/0!</v>
      </c>
      <c r="AH235" s="143">
        <f t="shared" si="7"/>
        <v>1000</v>
      </c>
    </row>
    <row r="236" spans="1:34" s="90" customFormat="1" x14ac:dyDescent="0.3">
      <c r="A236" s="84">
        <v>802731</v>
      </c>
      <c r="B236" s="87"/>
      <c r="C236" s="87"/>
      <c r="D236" s="86"/>
      <c r="E236" s="99"/>
      <c r="F236" s="84"/>
      <c r="G236" s="83"/>
      <c r="H236" s="84"/>
      <c r="I236" s="84"/>
      <c r="J236" s="85"/>
      <c r="K236" s="87"/>
      <c r="L236" s="83"/>
      <c r="M236" s="83"/>
      <c r="N236" s="83"/>
      <c r="O236" s="83"/>
      <c r="P236" s="83"/>
      <c r="Q236" s="83"/>
      <c r="R236" s="86"/>
      <c r="S236" s="87"/>
      <c r="T236" s="83">
        <v>147</v>
      </c>
      <c r="U236" s="92">
        <v>42.800000000000004</v>
      </c>
      <c r="V236" s="106">
        <v>64.199999999999989</v>
      </c>
      <c r="W236" s="106">
        <v>380.46</v>
      </c>
      <c r="X236" s="106">
        <v>365.54</v>
      </c>
      <c r="Y236" s="87"/>
      <c r="Z236" s="83"/>
      <c r="AA236" s="86"/>
      <c r="AB236" s="86"/>
      <c r="AC236" s="83"/>
      <c r="AD236" s="88">
        <v>147</v>
      </c>
      <c r="AE236" s="88">
        <v>107</v>
      </c>
      <c r="AF236" s="88">
        <v>746</v>
      </c>
      <c r="AG236" s="66" t="e">
        <f t="shared" si="6"/>
        <v>#DIV/0!</v>
      </c>
      <c r="AH236" s="143">
        <f t="shared" si="7"/>
        <v>1000</v>
      </c>
    </row>
    <row r="237" spans="1:34" s="90" customFormat="1" x14ac:dyDescent="0.3">
      <c r="A237" s="84">
        <v>802732</v>
      </c>
      <c r="B237" s="87"/>
      <c r="C237" s="87"/>
      <c r="D237" s="86"/>
      <c r="E237" s="99"/>
      <c r="F237" s="84"/>
      <c r="G237" s="83"/>
      <c r="H237" s="84"/>
      <c r="I237" s="84"/>
      <c r="J237" s="85"/>
      <c r="K237" s="87"/>
      <c r="L237" s="83"/>
      <c r="M237" s="83"/>
      <c r="N237" s="83"/>
      <c r="O237" s="83"/>
      <c r="P237" s="83"/>
      <c r="Q237" s="83"/>
      <c r="R237" s="86"/>
      <c r="S237" s="87"/>
      <c r="T237" s="83">
        <v>363</v>
      </c>
      <c r="U237" s="92">
        <v>132.6</v>
      </c>
      <c r="V237" s="106">
        <v>309.39999999999998</v>
      </c>
      <c r="W237" s="106">
        <v>81.899999999999991</v>
      </c>
      <c r="X237" s="106">
        <v>113.10000000000001</v>
      </c>
      <c r="Y237" s="87"/>
      <c r="Z237" s="83"/>
      <c r="AA237" s="86"/>
      <c r="AB237" s="86"/>
      <c r="AC237" s="83"/>
      <c r="AD237" s="88">
        <v>363</v>
      </c>
      <c r="AE237" s="88">
        <v>442</v>
      </c>
      <c r="AF237" s="88">
        <v>195</v>
      </c>
      <c r="AG237" s="66" t="e">
        <f t="shared" si="6"/>
        <v>#DIV/0!</v>
      </c>
      <c r="AH237" s="143">
        <f t="shared" si="7"/>
        <v>1000</v>
      </c>
    </row>
    <row r="238" spans="1:34" s="90" customFormat="1" x14ac:dyDescent="0.3">
      <c r="A238" s="84">
        <v>802733</v>
      </c>
      <c r="B238" s="87"/>
      <c r="C238" s="87"/>
      <c r="D238" s="86"/>
      <c r="E238" s="99"/>
      <c r="F238" s="84"/>
      <c r="G238" s="83"/>
      <c r="H238" s="84"/>
      <c r="I238" s="84"/>
      <c r="J238" s="85"/>
      <c r="K238" s="87"/>
      <c r="L238" s="83"/>
      <c r="M238" s="83"/>
      <c r="N238" s="83"/>
      <c r="O238" s="83"/>
      <c r="P238" s="83"/>
      <c r="Q238" s="83"/>
      <c r="R238" s="86"/>
      <c r="S238" s="87"/>
      <c r="T238" s="83">
        <v>482</v>
      </c>
      <c r="U238" s="92">
        <v>104.39999999999999</v>
      </c>
      <c r="V238" s="106">
        <v>243.60000000000002</v>
      </c>
      <c r="W238" s="106">
        <v>90.100000000000009</v>
      </c>
      <c r="X238" s="106">
        <v>79.899999999999991</v>
      </c>
      <c r="Y238" s="87"/>
      <c r="Z238" s="83"/>
      <c r="AA238" s="86"/>
      <c r="AB238" s="86"/>
      <c r="AC238" s="83"/>
      <c r="AD238" s="88">
        <v>482</v>
      </c>
      <c r="AE238" s="88">
        <v>348</v>
      </c>
      <c r="AF238" s="88">
        <v>170</v>
      </c>
      <c r="AG238" s="66" t="e">
        <f t="shared" si="6"/>
        <v>#DIV/0!</v>
      </c>
      <c r="AH238" s="143">
        <f t="shared" si="7"/>
        <v>1000</v>
      </c>
    </row>
    <row r="239" spans="1:34" s="90" customFormat="1" x14ac:dyDescent="0.3">
      <c r="A239" s="84">
        <v>802734</v>
      </c>
      <c r="B239" s="87"/>
      <c r="C239" s="87"/>
      <c r="D239" s="86"/>
      <c r="E239" s="99"/>
      <c r="F239" s="84"/>
      <c r="G239" s="83"/>
      <c r="H239" s="84"/>
      <c r="I239" s="84"/>
      <c r="J239" s="85"/>
      <c r="K239" s="87"/>
      <c r="L239" s="83"/>
      <c r="M239" s="83"/>
      <c r="N239" s="83"/>
      <c r="O239" s="83"/>
      <c r="P239" s="83"/>
      <c r="Q239" s="83"/>
      <c r="R239" s="86"/>
      <c r="S239" s="87"/>
      <c r="T239" s="83">
        <v>389</v>
      </c>
      <c r="U239" s="92">
        <v>185.60000000000002</v>
      </c>
      <c r="V239" s="106">
        <v>278.39999999999998</v>
      </c>
      <c r="W239" s="106">
        <v>69.089999999999989</v>
      </c>
      <c r="X239" s="106">
        <v>77.910000000000011</v>
      </c>
      <c r="Y239" s="87"/>
      <c r="Z239" s="83"/>
      <c r="AA239" s="86"/>
      <c r="AB239" s="86"/>
      <c r="AC239" s="83"/>
      <c r="AD239" s="88">
        <v>389</v>
      </c>
      <c r="AE239" s="88">
        <v>464</v>
      </c>
      <c r="AF239" s="88">
        <v>147</v>
      </c>
      <c r="AG239" s="66" t="e">
        <f t="shared" si="6"/>
        <v>#DIV/0!</v>
      </c>
      <c r="AH239" s="143">
        <f t="shared" si="7"/>
        <v>1000</v>
      </c>
    </row>
    <row r="240" spans="1:34" s="90" customFormat="1" x14ac:dyDescent="0.3">
      <c r="A240" s="84">
        <v>802735</v>
      </c>
      <c r="B240" s="87"/>
      <c r="C240" s="87"/>
      <c r="D240" s="86"/>
      <c r="E240" s="99"/>
      <c r="F240" s="84"/>
      <c r="G240" s="83"/>
      <c r="H240" s="84"/>
      <c r="I240" s="84"/>
      <c r="J240" s="85"/>
      <c r="K240" s="87"/>
      <c r="L240" s="83"/>
      <c r="M240" s="83"/>
      <c r="N240" s="83"/>
      <c r="O240" s="83"/>
      <c r="P240" s="83"/>
      <c r="Q240" s="83"/>
      <c r="R240" s="86"/>
      <c r="S240" s="87"/>
      <c r="T240" s="83">
        <v>364</v>
      </c>
      <c r="U240" s="92">
        <v>93.2</v>
      </c>
      <c r="V240" s="106">
        <v>372.8</v>
      </c>
      <c r="W240" s="106">
        <v>85</v>
      </c>
      <c r="X240" s="106">
        <v>85</v>
      </c>
      <c r="Y240" s="87"/>
      <c r="Z240" s="83"/>
      <c r="AA240" s="86"/>
      <c r="AB240" s="86"/>
      <c r="AC240" s="83"/>
      <c r="AD240" s="88">
        <v>364</v>
      </c>
      <c r="AE240" s="88">
        <v>466</v>
      </c>
      <c r="AF240" s="88">
        <v>170</v>
      </c>
      <c r="AG240" s="66" t="e">
        <f t="shared" si="6"/>
        <v>#DIV/0!</v>
      </c>
      <c r="AH240" s="143">
        <f t="shared" si="7"/>
        <v>1000</v>
      </c>
    </row>
    <row r="241" spans="1:34" s="90" customFormat="1" x14ac:dyDescent="0.3">
      <c r="A241" s="84">
        <v>802736</v>
      </c>
      <c r="B241" s="87"/>
      <c r="C241" s="87"/>
      <c r="D241" s="86"/>
      <c r="E241" s="99"/>
      <c r="F241" s="84"/>
      <c r="G241" s="83"/>
      <c r="H241" s="84"/>
      <c r="I241" s="84"/>
      <c r="J241" s="85"/>
      <c r="K241" s="87"/>
      <c r="L241" s="83"/>
      <c r="M241" s="83"/>
      <c r="N241" s="83"/>
      <c r="O241" s="83"/>
      <c r="P241" s="83"/>
      <c r="Q241" s="83"/>
      <c r="R241" s="86"/>
      <c r="S241" s="87"/>
      <c r="T241" s="83">
        <v>265</v>
      </c>
      <c r="U241" s="92">
        <v>68.8</v>
      </c>
      <c r="V241" s="106">
        <v>275.2</v>
      </c>
      <c r="W241" s="106">
        <v>218.96</v>
      </c>
      <c r="X241" s="106">
        <v>172.04</v>
      </c>
      <c r="Y241" s="87"/>
      <c r="Z241" s="83"/>
      <c r="AA241" s="86"/>
      <c r="AB241" s="86"/>
      <c r="AC241" s="83"/>
      <c r="AD241" s="88">
        <v>265</v>
      </c>
      <c r="AE241" s="88">
        <v>344</v>
      </c>
      <c r="AF241" s="88">
        <v>391</v>
      </c>
      <c r="AG241" s="66" t="e">
        <f t="shared" si="6"/>
        <v>#DIV/0!</v>
      </c>
      <c r="AH241" s="143">
        <f t="shared" si="7"/>
        <v>1000</v>
      </c>
    </row>
    <row r="242" spans="1:34" s="90" customFormat="1" x14ac:dyDescent="0.3">
      <c r="A242" s="84">
        <v>802737</v>
      </c>
      <c r="B242" s="87"/>
      <c r="C242" s="87"/>
      <c r="D242" s="86"/>
      <c r="E242" s="99"/>
      <c r="F242" s="84"/>
      <c r="G242" s="83"/>
      <c r="H242" s="84"/>
      <c r="I242" s="84"/>
      <c r="J242" s="85"/>
      <c r="K242" s="87"/>
      <c r="L242" s="83"/>
      <c r="M242" s="83"/>
      <c r="N242" s="83"/>
      <c r="O242" s="83"/>
      <c r="P242" s="83"/>
      <c r="Q242" s="83"/>
      <c r="R242" s="86"/>
      <c r="S242" s="87"/>
      <c r="T242" s="83">
        <v>166</v>
      </c>
      <c r="U242" s="92">
        <v>42.6</v>
      </c>
      <c r="V242" s="106">
        <v>99.4</v>
      </c>
      <c r="W242" s="106">
        <v>359.84000000000003</v>
      </c>
      <c r="X242" s="106">
        <v>332.15999999999997</v>
      </c>
      <c r="Y242" s="87"/>
      <c r="Z242" s="83"/>
      <c r="AA242" s="86"/>
      <c r="AB242" s="86"/>
      <c r="AC242" s="83"/>
      <c r="AD242" s="88">
        <v>166</v>
      </c>
      <c r="AE242" s="88">
        <v>142</v>
      </c>
      <c r="AF242" s="88">
        <v>692</v>
      </c>
      <c r="AG242" s="66" t="e">
        <f t="shared" si="6"/>
        <v>#DIV/0!</v>
      </c>
      <c r="AH242" s="143">
        <f t="shared" si="7"/>
        <v>1000</v>
      </c>
    </row>
    <row r="243" spans="1:34" s="90" customFormat="1" x14ac:dyDescent="0.3">
      <c r="A243" s="84">
        <v>802738</v>
      </c>
      <c r="B243" s="87"/>
      <c r="C243" s="87"/>
      <c r="D243" s="86"/>
      <c r="E243" s="99"/>
      <c r="F243" s="84"/>
      <c r="G243" s="83"/>
      <c r="H243" s="84"/>
      <c r="I243" s="84"/>
      <c r="J243" s="85"/>
      <c r="K243" s="87"/>
      <c r="L243" s="83"/>
      <c r="M243" s="83"/>
      <c r="N243" s="83"/>
      <c r="O243" s="83"/>
      <c r="P243" s="83"/>
      <c r="Q243" s="83"/>
      <c r="R243" s="86"/>
      <c r="S243" s="87"/>
      <c r="T243" s="83">
        <v>484</v>
      </c>
      <c r="U243" s="92">
        <v>68.8</v>
      </c>
      <c r="V243" s="106">
        <v>275.2</v>
      </c>
      <c r="W243" s="106">
        <v>73.959999999999994</v>
      </c>
      <c r="X243" s="106">
        <v>98.04</v>
      </c>
      <c r="Y243" s="87"/>
      <c r="Z243" s="83"/>
      <c r="AA243" s="86"/>
      <c r="AB243" s="86"/>
      <c r="AC243" s="83"/>
      <c r="AD243" s="88">
        <v>484</v>
      </c>
      <c r="AE243" s="88">
        <v>344</v>
      </c>
      <c r="AF243" s="88">
        <v>172</v>
      </c>
      <c r="AG243" s="66" t="e">
        <f t="shared" si="6"/>
        <v>#DIV/0!</v>
      </c>
      <c r="AH243" s="143">
        <f t="shared" si="7"/>
        <v>1000</v>
      </c>
    </row>
    <row r="244" spans="1:34" s="90" customFormat="1" x14ac:dyDescent="0.3">
      <c r="A244" s="84">
        <v>802739</v>
      </c>
      <c r="B244" s="87"/>
      <c r="C244" s="87"/>
      <c r="D244" s="86"/>
      <c r="E244" s="99"/>
      <c r="F244" s="84"/>
      <c r="G244" s="83"/>
      <c r="H244" s="84"/>
      <c r="I244" s="84"/>
      <c r="J244" s="85"/>
      <c r="K244" s="87"/>
      <c r="L244" s="83"/>
      <c r="M244" s="83"/>
      <c r="N244" s="83"/>
      <c r="O244" s="83"/>
      <c r="P244" s="83"/>
      <c r="Q244" s="83"/>
      <c r="R244" s="86"/>
      <c r="S244" s="87"/>
      <c r="T244" s="83">
        <v>301</v>
      </c>
      <c r="U244" s="92">
        <v>179.20000000000002</v>
      </c>
      <c r="V244" s="106">
        <v>268.79999999999995</v>
      </c>
      <c r="W244" s="106">
        <v>100.4</v>
      </c>
      <c r="X244" s="106">
        <v>150.6</v>
      </c>
      <c r="Y244" s="87"/>
      <c r="Z244" s="83"/>
      <c r="AA244" s="86"/>
      <c r="AB244" s="86"/>
      <c r="AC244" s="83"/>
      <c r="AD244" s="88">
        <v>301</v>
      </c>
      <c r="AE244" s="88">
        <v>448</v>
      </c>
      <c r="AF244" s="88">
        <v>251</v>
      </c>
      <c r="AG244" s="66" t="e">
        <f t="shared" si="6"/>
        <v>#DIV/0!</v>
      </c>
      <c r="AH244" s="143">
        <f t="shared" si="7"/>
        <v>1000</v>
      </c>
    </row>
    <row r="245" spans="1:34" s="90" customFormat="1" x14ac:dyDescent="0.3">
      <c r="A245" s="84">
        <v>802740</v>
      </c>
      <c r="B245" s="87"/>
      <c r="C245" s="87"/>
      <c r="D245" s="86"/>
      <c r="E245" s="99"/>
      <c r="F245" s="84"/>
      <c r="G245" s="83"/>
      <c r="H245" s="84"/>
      <c r="I245" s="84"/>
      <c r="J245" s="85"/>
      <c r="K245" s="87"/>
      <c r="L245" s="83"/>
      <c r="M245" s="83"/>
      <c r="N245" s="83"/>
      <c r="O245" s="83"/>
      <c r="P245" s="83"/>
      <c r="Q245" s="83"/>
      <c r="R245" s="86"/>
      <c r="S245" s="87"/>
      <c r="T245" s="83">
        <v>384</v>
      </c>
      <c r="U245" s="92">
        <v>178.4</v>
      </c>
      <c r="V245" s="106">
        <v>267.60000000000002</v>
      </c>
      <c r="W245" s="106">
        <v>98.6</v>
      </c>
      <c r="X245" s="106">
        <v>71.400000000000006</v>
      </c>
      <c r="Y245" s="87"/>
      <c r="Z245" s="83"/>
      <c r="AA245" s="86"/>
      <c r="AB245" s="86"/>
      <c r="AC245" s="83"/>
      <c r="AD245" s="88">
        <v>384</v>
      </c>
      <c r="AE245" s="88">
        <v>446</v>
      </c>
      <c r="AF245" s="88">
        <v>170</v>
      </c>
      <c r="AG245" s="66" t="e">
        <f t="shared" si="6"/>
        <v>#DIV/0!</v>
      </c>
      <c r="AH245" s="143">
        <f t="shared" si="7"/>
        <v>1000</v>
      </c>
    </row>
    <row r="246" spans="1:34" s="90" customFormat="1" x14ac:dyDescent="0.3">
      <c r="A246" s="84">
        <v>802741</v>
      </c>
      <c r="B246" s="87"/>
      <c r="C246" s="87"/>
      <c r="D246" s="86"/>
      <c r="E246" s="99"/>
      <c r="F246" s="84"/>
      <c r="G246" s="83"/>
      <c r="H246" s="84"/>
      <c r="I246" s="84"/>
      <c r="J246" s="85"/>
      <c r="K246" s="87"/>
      <c r="L246" s="83"/>
      <c r="M246" s="83"/>
      <c r="N246" s="83"/>
      <c r="O246" s="83"/>
      <c r="P246" s="83"/>
      <c r="Q246" s="83"/>
      <c r="R246" s="86"/>
      <c r="S246" s="87"/>
      <c r="T246" s="83">
        <v>403</v>
      </c>
      <c r="U246" s="92">
        <v>122.1</v>
      </c>
      <c r="V246" s="106">
        <v>284.89999999999998</v>
      </c>
      <c r="W246" s="106">
        <v>108.3</v>
      </c>
      <c r="X246" s="106">
        <v>81.7</v>
      </c>
      <c r="Y246" s="87"/>
      <c r="Z246" s="83"/>
      <c r="AA246" s="86"/>
      <c r="AB246" s="86"/>
      <c r="AC246" s="83"/>
      <c r="AD246" s="88">
        <v>403</v>
      </c>
      <c r="AE246" s="88">
        <v>407</v>
      </c>
      <c r="AF246" s="88">
        <v>190</v>
      </c>
      <c r="AG246" s="66" t="e">
        <f t="shared" si="6"/>
        <v>#DIV/0!</v>
      </c>
      <c r="AH246" s="143">
        <f t="shared" si="7"/>
        <v>1000</v>
      </c>
    </row>
    <row r="247" spans="1:34" s="90" customFormat="1" x14ac:dyDescent="0.3">
      <c r="A247" s="84">
        <v>802742</v>
      </c>
      <c r="B247" s="87"/>
      <c r="C247" s="87"/>
      <c r="D247" s="86"/>
      <c r="E247" s="99"/>
      <c r="F247" s="84"/>
      <c r="G247" s="83"/>
      <c r="H247" s="84"/>
      <c r="I247" s="84"/>
      <c r="J247" s="85"/>
      <c r="K247" s="87"/>
      <c r="L247" s="83"/>
      <c r="M247" s="83"/>
      <c r="N247" s="83"/>
      <c r="O247" s="83"/>
      <c r="P247" s="83"/>
      <c r="Q247" s="83"/>
      <c r="R247" s="86"/>
      <c r="S247" s="87"/>
      <c r="T247" s="83">
        <v>423</v>
      </c>
      <c r="U247" s="92">
        <v>81.600000000000009</v>
      </c>
      <c r="V247" s="106">
        <v>326.39999999999998</v>
      </c>
      <c r="W247" s="106">
        <v>89.570000000000007</v>
      </c>
      <c r="X247" s="106">
        <v>79.429999999999993</v>
      </c>
      <c r="Y247" s="87"/>
      <c r="Z247" s="83"/>
      <c r="AA247" s="86"/>
      <c r="AB247" s="86"/>
      <c r="AC247" s="83"/>
      <c r="AD247" s="88">
        <v>423</v>
      </c>
      <c r="AE247" s="88">
        <v>408</v>
      </c>
      <c r="AF247" s="88">
        <v>169</v>
      </c>
      <c r="AG247" s="66" t="e">
        <f t="shared" si="6"/>
        <v>#DIV/0!</v>
      </c>
      <c r="AH247" s="143">
        <f t="shared" si="7"/>
        <v>1000</v>
      </c>
    </row>
    <row r="248" spans="1:34" s="90" customFormat="1" x14ac:dyDescent="0.3">
      <c r="A248" s="84">
        <v>802743</v>
      </c>
      <c r="B248" s="87"/>
      <c r="C248" s="87"/>
      <c r="D248" s="86"/>
      <c r="E248" s="99"/>
      <c r="F248" s="84"/>
      <c r="G248" s="83"/>
      <c r="H248" s="84"/>
      <c r="I248" s="84"/>
      <c r="J248" s="85"/>
      <c r="K248" s="87"/>
      <c r="L248" s="83"/>
      <c r="M248" s="83"/>
      <c r="N248" s="83"/>
      <c r="O248" s="83"/>
      <c r="P248" s="83"/>
      <c r="Q248" s="83"/>
      <c r="R248" s="86"/>
      <c r="S248" s="87"/>
      <c r="T248" s="83">
        <v>286</v>
      </c>
      <c r="U248" s="92">
        <v>116.1</v>
      </c>
      <c r="V248" s="106">
        <v>270.89999999999998</v>
      </c>
      <c r="W248" s="106">
        <v>130.80000000000001</v>
      </c>
      <c r="X248" s="106">
        <v>196.2</v>
      </c>
      <c r="Y248" s="87"/>
      <c r="Z248" s="83"/>
      <c r="AA248" s="86"/>
      <c r="AB248" s="86"/>
      <c r="AC248" s="83"/>
      <c r="AD248" s="88">
        <v>286</v>
      </c>
      <c r="AE248" s="88">
        <v>387</v>
      </c>
      <c r="AF248" s="88">
        <v>327</v>
      </c>
      <c r="AG248" s="66" t="e">
        <f t="shared" si="6"/>
        <v>#DIV/0!</v>
      </c>
      <c r="AH248" s="143">
        <f t="shared" si="7"/>
        <v>1000</v>
      </c>
    </row>
    <row r="249" spans="1:34" s="90" customFormat="1" x14ac:dyDescent="0.3">
      <c r="A249" s="84">
        <v>802744</v>
      </c>
      <c r="B249" s="87"/>
      <c r="C249" s="87"/>
      <c r="D249" s="86"/>
      <c r="E249" s="99"/>
      <c r="F249" s="84"/>
      <c r="G249" s="83"/>
      <c r="H249" s="84"/>
      <c r="I249" s="84"/>
      <c r="J249" s="85"/>
      <c r="K249" s="87"/>
      <c r="L249" s="83"/>
      <c r="M249" s="83"/>
      <c r="N249" s="83"/>
      <c r="O249" s="83"/>
      <c r="P249" s="83"/>
      <c r="Q249" s="83"/>
      <c r="R249" s="86"/>
      <c r="S249" s="87"/>
      <c r="T249" s="83">
        <v>342</v>
      </c>
      <c r="U249" s="92">
        <v>104.39999999999999</v>
      </c>
      <c r="V249" s="106">
        <v>243.60000000000002</v>
      </c>
      <c r="W249" s="106">
        <v>182.89999999999998</v>
      </c>
      <c r="X249" s="106">
        <v>127.10000000000002</v>
      </c>
      <c r="Y249" s="87"/>
      <c r="Z249" s="83"/>
      <c r="AA249" s="86"/>
      <c r="AB249" s="86"/>
      <c r="AC249" s="83"/>
      <c r="AD249" s="88">
        <v>342</v>
      </c>
      <c r="AE249" s="88">
        <v>348</v>
      </c>
      <c r="AF249" s="88">
        <v>310</v>
      </c>
      <c r="AG249" s="66" t="e">
        <f t="shared" si="6"/>
        <v>#DIV/0!</v>
      </c>
      <c r="AH249" s="143">
        <f t="shared" si="7"/>
        <v>1000</v>
      </c>
    </row>
    <row r="250" spans="1:34" s="90" customFormat="1" x14ac:dyDescent="0.3">
      <c r="A250" s="84">
        <v>802745</v>
      </c>
      <c r="B250" s="87"/>
      <c r="C250" s="87"/>
      <c r="D250" s="86"/>
      <c r="E250" s="99"/>
      <c r="F250" s="84"/>
      <c r="G250" s="83"/>
      <c r="H250" s="84"/>
      <c r="I250" s="84"/>
      <c r="J250" s="85"/>
      <c r="K250" s="87"/>
      <c r="L250" s="83"/>
      <c r="M250" s="83"/>
      <c r="N250" s="83"/>
      <c r="O250" s="83"/>
      <c r="P250" s="83"/>
      <c r="Q250" s="83"/>
      <c r="R250" s="86"/>
      <c r="S250" s="87"/>
      <c r="T250" s="83">
        <v>306</v>
      </c>
      <c r="U250" s="92">
        <v>69.2</v>
      </c>
      <c r="V250" s="106">
        <v>276.8</v>
      </c>
      <c r="W250" s="106">
        <v>177.48</v>
      </c>
      <c r="X250" s="106">
        <v>170.52</v>
      </c>
      <c r="Y250" s="87"/>
      <c r="Z250" s="83"/>
      <c r="AA250" s="86"/>
      <c r="AB250" s="86"/>
      <c r="AC250" s="83"/>
      <c r="AD250" s="88">
        <v>306</v>
      </c>
      <c r="AE250" s="88">
        <v>346</v>
      </c>
      <c r="AF250" s="88">
        <v>348</v>
      </c>
      <c r="AG250" s="66" t="e">
        <f t="shared" si="6"/>
        <v>#DIV/0!</v>
      </c>
      <c r="AH250" s="143">
        <f t="shared" si="7"/>
        <v>1000</v>
      </c>
    </row>
    <row r="251" spans="1:34" s="90" customFormat="1" x14ac:dyDescent="0.3">
      <c r="A251" s="84">
        <v>802746</v>
      </c>
      <c r="B251" s="87"/>
      <c r="C251" s="87"/>
      <c r="D251" s="86"/>
      <c r="E251" s="99"/>
      <c r="F251" s="84"/>
      <c r="G251" s="83"/>
      <c r="H251" s="84"/>
      <c r="I251" s="84"/>
      <c r="J251" s="85"/>
      <c r="K251" s="87"/>
      <c r="L251" s="83"/>
      <c r="M251" s="83"/>
      <c r="N251" s="83"/>
      <c r="O251" s="83"/>
      <c r="P251" s="83"/>
      <c r="Q251" s="83"/>
      <c r="R251" s="86"/>
      <c r="S251" s="87"/>
      <c r="T251" s="83">
        <v>247</v>
      </c>
      <c r="U251" s="92">
        <v>66.8</v>
      </c>
      <c r="V251" s="106">
        <v>100.2</v>
      </c>
      <c r="W251" s="106">
        <v>240.26</v>
      </c>
      <c r="X251" s="106">
        <v>345.74</v>
      </c>
      <c r="Y251" s="87"/>
      <c r="Z251" s="83"/>
      <c r="AA251" s="86"/>
      <c r="AB251" s="86"/>
      <c r="AC251" s="83"/>
      <c r="AD251" s="88">
        <v>247</v>
      </c>
      <c r="AE251" s="88">
        <v>167</v>
      </c>
      <c r="AF251" s="88">
        <v>586</v>
      </c>
      <c r="AG251" s="66" t="e">
        <f t="shared" si="6"/>
        <v>#DIV/0!</v>
      </c>
      <c r="AH251" s="143">
        <f t="shared" si="7"/>
        <v>1000</v>
      </c>
    </row>
    <row r="252" spans="1:34" s="90" customFormat="1" x14ac:dyDescent="0.3">
      <c r="A252" s="84">
        <v>802747</v>
      </c>
      <c r="B252" s="87"/>
      <c r="C252" s="87"/>
      <c r="D252" s="86"/>
      <c r="E252" s="99"/>
      <c r="F252" s="84"/>
      <c r="G252" s="83"/>
      <c r="H252" s="84"/>
      <c r="I252" s="84"/>
      <c r="J252" s="85"/>
      <c r="K252" s="87"/>
      <c r="L252" s="83"/>
      <c r="M252" s="83"/>
      <c r="N252" s="83"/>
      <c r="O252" s="83"/>
      <c r="P252" s="83"/>
      <c r="Q252" s="83"/>
      <c r="R252" s="86"/>
      <c r="S252" s="87"/>
      <c r="T252" s="83">
        <v>63</v>
      </c>
      <c r="U252" s="92">
        <v>12.4</v>
      </c>
      <c r="V252" s="106">
        <v>49.6</v>
      </c>
      <c r="W252" s="106">
        <v>367.5</v>
      </c>
      <c r="X252" s="106">
        <v>507.5</v>
      </c>
      <c r="Y252" s="87"/>
      <c r="Z252" s="83"/>
      <c r="AA252" s="86"/>
      <c r="AB252" s="86"/>
      <c r="AC252" s="83"/>
      <c r="AD252" s="88">
        <v>63</v>
      </c>
      <c r="AE252" s="88">
        <v>62</v>
      </c>
      <c r="AF252" s="88">
        <v>875</v>
      </c>
      <c r="AG252" s="66" t="e">
        <f t="shared" si="6"/>
        <v>#DIV/0!</v>
      </c>
      <c r="AH252" s="143">
        <f t="shared" si="7"/>
        <v>1000</v>
      </c>
    </row>
    <row r="253" spans="1:34" s="90" customFormat="1" x14ac:dyDescent="0.3">
      <c r="A253" s="84">
        <v>802748</v>
      </c>
      <c r="B253" s="87"/>
      <c r="C253" s="87"/>
      <c r="D253" s="86"/>
      <c r="E253" s="99"/>
      <c r="F253" s="84"/>
      <c r="G253" s="83"/>
      <c r="H253" s="84"/>
      <c r="I253" s="84"/>
      <c r="J253" s="85"/>
      <c r="K253" s="87"/>
      <c r="L253" s="83"/>
      <c r="M253" s="83"/>
      <c r="N253" s="83"/>
      <c r="O253" s="83"/>
      <c r="P253" s="83"/>
      <c r="Q253" s="83"/>
      <c r="R253" s="86"/>
      <c r="S253" s="87"/>
      <c r="T253" s="83">
        <v>41</v>
      </c>
      <c r="U253" s="92">
        <v>30.299999999999997</v>
      </c>
      <c r="V253" s="106">
        <v>70.7</v>
      </c>
      <c r="W253" s="106">
        <v>377.52</v>
      </c>
      <c r="X253" s="106">
        <v>480.48</v>
      </c>
      <c r="Y253" s="87"/>
      <c r="Z253" s="83"/>
      <c r="AA253" s="86"/>
      <c r="AB253" s="86"/>
      <c r="AC253" s="83"/>
      <c r="AD253" s="88">
        <v>41</v>
      </c>
      <c r="AE253" s="88">
        <v>101</v>
      </c>
      <c r="AF253" s="88">
        <v>858</v>
      </c>
      <c r="AG253" s="66" t="e">
        <f t="shared" si="6"/>
        <v>#DIV/0!</v>
      </c>
      <c r="AH253" s="143">
        <f t="shared" si="7"/>
        <v>1000</v>
      </c>
    </row>
    <row r="254" spans="1:34" s="90" customFormat="1" x14ac:dyDescent="0.3">
      <c r="A254" s="84">
        <v>802749</v>
      </c>
      <c r="B254" s="87"/>
      <c r="C254" s="87"/>
      <c r="D254" s="86"/>
      <c r="E254" s="99"/>
      <c r="F254" s="84"/>
      <c r="G254" s="83"/>
      <c r="H254" s="84"/>
      <c r="I254" s="84"/>
      <c r="J254" s="85"/>
      <c r="K254" s="87"/>
      <c r="L254" s="83"/>
      <c r="M254" s="83"/>
      <c r="N254" s="83"/>
      <c r="O254" s="83"/>
      <c r="P254" s="83"/>
      <c r="Q254" s="83"/>
      <c r="R254" s="86"/>
      <c r="S254" s="87"/>
      <c r="T254" s="83">
        <v>383</v>
      </c>
      <c r="U254" s="92">
        <v>147.20000000000002</v>
      </c>
      <c r="V254" s="106">
        <v>220.79999999999998</v>
      </c>
      <c r="W254" s="106">
        <v>99.600000000000009</v>
      </c>
      <c r="X254" s="106">
        <v>149.39999999999998</v>
      </c>
      <c r="Y254" s="87"/>
      <c r="Z254" s="83"/>
      <c r="AA254" s="86"/>
      <c r="AB254" s="86"/>
      <c r="AC254" s="83"/>
      <c r="AD254" s="88">
        <v>383</v>
      </c>
      <c r="AE254" s="88">
        <v>368</v>
      </c>
      <c r="AF254" s="88">
        <v>249</v>
      </c>
      <c r="AG254" s="66" t="e">
        <f t="shared" si="6"/>
        <v>#DIV/0!</v>
      </c>
      <c r="AH254" s="143">
        <f t="shared" si="7"/>
        <v>1000</v>
      </c>
    </row>
    <row r="255" spans="1:34" s="90" customFormat="1" x14ac:dyDescent="0.3">
      <c r="A255" s="84">
        <v>802750</v>
      </c>
      <c r="B255" s="87"/>
      <c r="C255" s="87"/>
      <c r="D255" s="86"/>
      <c r="E255" s="99"/>
      <c r="F255" s="84"/>
      <c r="G255" s="83"/>
      <c r="H255" s="84"/>
      <c r="I255" s="84"/>
      <c r="J255" s="85"/>
      <c r="K255" s="87"/>
      <c r="L255" s="83"/>
      <c r="M255" s="83"/>
      <c r="N255" s="83"/>
      <c r="O255" s="83"/>
      <c r="P255" s="83"/>
      <c r="Q255" s="83"/>
      <c r="R255" s="86"/>
      <c r="S255" s="87"/>
      <c r="T255" s="83">
        <v>369</v>
      </c>
      <c r="U255" s="92">
        <v>49.400000000000006</v>
      </c>
      <c r="V255" s="106">
        <v>197.6</v>
      </c>
      <c r="W255" s="106">
        <v>184.32</v>
      </c>
      <c r="X255" s="106">
        <v>199.68</v>
      </c>
      <c r="Y255" s="87"/>
      <c r="Z255" s="83"/>
      <c r="AA255" s="86"/>
      <c r="AB255" s="86"/>
      <c r="AC255" s="83"/>
      <c r="AD255" s="88">
        <v>369</v>
      </c>
      <c r="AE255" s="88">
        <v>247</v>
      </c>
      <c r="AF255" s="88">
        <v>384</v>
      </c>
      <c r="AG255" s="66" t="e">
        <f t="shared" si="6"/>
        <v>#DIV/0!</v>
      </c>
      <c r="AH255" s="143">
        <f t="shared" si="7"/>
        <v>1000</v>
      </c>
    </row>
    <row r="256" spans="1:34" s="90" customFormat="1" x14ac:dyDescent="0.3">
      <c r="A256" s="84">
        <v>802751</v>
      </c>
      <c r="B256" s="87"/>
      <c r="C256" s="87"/>
      <c r="D256" s="86"/>
      <c r="E256" s="99"/>
      <c r="F256" s="84"/>
      <c r="G256" s="83"/>
      <c r="H256" s="84"/>
      <c r="I256" s="84"/>
      <c r="J256" s="85"/>
      <c r="K256" s="87"/>
      <c r="L256" s="83"/>
      <c r="M256" s="83"/>
      <c r="N256" s="83"/>
      <c r="O256" s="83"/>
      <c r="P256" s="83"/>
      <c r="Q256" s="83"/>
      <c r="R256" s="86"/>
      <c r="S256" s="87"/>
      <c r="T256" s="83">
        <v>327</v>
      </c>
      <c r="U256" s="92">
        <v>114.3</v>
      </c>
      <c r="V256" s="106">
        <v>266.7</v>
      </c>
      <c r="W256" s="106">
        <v>157.68</v>
      </c>
      <c r="X256" s="106">
        <v>134.32</v>
      </c>
      <c r="Y256" s="87"/>
      <c r="Z256" s="83"/>
      <c r="AA256" s="86"/>
      <c r="AB256" s="86"/>
      <c r="AC256" s="83"/>
      <c r="AD256" s="88">
        <v>327</v>
      </c>
      <c r="AE256" s="88">
        <v>381</v>
      </c>
      <c r="AF256" s="88">
        <v>292</v>
      </c>
      <c r="AG256" s="66" t="e">
        <f t="shared" si="6"/>
        <v>#DIV/0!</v>
      </c>
      <c r="AH256" s="143">
        <f t="shared" si="7"/>
        <v>1000</v>
      </c>
    </row>
    <row r="257" spans="1:34" s="90" customFormat="1" x14ac:dyDescent="0.3">
      <c r="A257" s="84">
        <v>802752</v>
      </c>
      <c r="B257" s="87"/>
      <c r="C257" s="87"/>
      <c r="D257" s="86"/>
      <c r="E257" s="99"/>
      <c r="F257" s="84"/>
      <c r="G257" s="83"/>
      <c r="H257" s="84"/>
      <c r="I257" s="84"/>
      <c r="J257" s="85"/>
      <c r="K257" s="87"/>
      <c r="L257" s="83"/>
      <c r="M257" s="83"/>
      <c r="N257" s="83"/>
      <c r="O257" s="83"/>
      <c r="P257" s="83"/>
      <c r="Q257" s="83"/>
      <c r="R257" s="86"/>
      <c r="S257" s="87"/>
      <c r="T257" s="83">
        <v>405</v>
      </c>
      <c r="U257" s="92">
        <v>146.80000000000001</v>
      </c>
      <c r="V257" s="106">
        <v>220.2</v>
      </c>
      <c r="W257" s="106">
        <v>118.56</v>
      </c>
      <c r="X257" s="106">
        <v>109.44</v>
      </c>
      <c r="Y257" s="87"/>
      <c r="Z257" s="83"/>
      <c r="AA257" s="86"/>
      <c r="AB257" s="86"/>
      <c r="AC257" s="83"/>
      <c r="AD257" s="88">
        <v>405</v>
      </c>
      <c r="AE257" s="88">
        <v>367</v>
      </c>
      <c r="AF257" s="88">
        <v>228</v>
      </c>
      <c r="AG257" s="66" t="e">
        <f t="shared" si="6"/>
        <v>#DIV/0!</v>
      </c>
      <c r="AH257" s="143">
        <f t="shared" si="7"/>
        <v>1000</v>
      </c>
    </row>
    <row r="258" spans="1:34" s="90" customFormat="1" x14ac:dyDescent="0.3">
      <c r="A258" s="84">
        <v>802753</v>
      </c>
      <c r="B258" s="87"/>
      <c r="C258" s="87"/>
      <c r="D258" s="86"/>
      <c r="E258" s="99"/>
      <c r="F258" s="84"/>
      <c r="G258" s="83"/>
      <c r="H258" s="84"/>
      <c r="I258" s="84"/>
      <c r="J258" s="85"/>
      <c r="K258" s="87"/>
      <c r="L258" s="83"/>
      <c r="M258" s="83"/>
      <c r="N258" s="83"/>
      <c r="O258" s="83"/>
      <c r="P258" s="83"/>
      <c r="Q258" s="83"/>
      <c r="R258" s="86"/>
      <c r="S258" s="87"/>
      <c r="T258" s="83">
        <v>364</v>
      </c>
      <c r="U258" s="92">
        <v>80.2</v>
      </c>
      <c r="V258" s="106">
        <v>320.8</v>
      </c>
      <c r="W258" s="106">
        <v>94</v>
      </c>
      <c r="X258" s="106">
        <v>141</v>
      </c>
      <c r="Y258" s="87"/>
      <c r="Z258" s="83"/>
      <c r="AA258" s="86"/>
      <c r="AB258" s="86"/>
      <c r="AC258" s="83"/>
      <c r="AD258" s="88">
        <v>364</v>
      </c>
      <c r="AE258" s="88">
        <v>401</v>
      </c>
      <c r="AF258" s="88">
        <v>235</v>
      </c>
      <c r="AG258" s="66" t="e">
        <f t="shared" ref="AG258:AG321" si="8">+K258*3.54*100/Y258</f>
        <v>#DIV/0!</v>
      </c>
      <c r="AH258" s="143">
        <f t="shared" ref="AH258:AH321" si="9">+SUM(AD258:AF258)</f>
        <v>1000</v>
      </c>
    </row>
    <row r="259" spans="1:34" s="90" customFormat="1" x14ac:dyDescent="0.3">
      <c r="A259" s="84">
        <v>802754</v>
      </c>
      <c r="B259" s="87"/>
      <c r="C259" s="87"/>
      <c r="D259" s="86"/>
      <c r="E259" s="99"/>
      <c r="F259" s="84"/>
      <c r="G259" s="83"/>
      <c r="H259" s="84"/>
      <c r="I259" s="84"/>
      <c r="J259" s="85"/>
      <c r="K259" s="87"/>
      <c r="L259" s="83"/>
      <c r="M259" s="83"/>
      <c r="N259" s="83"/>
      <c r="O259" s="83"/>
      <c r="P259" s="83"/>
      <c r="Q259" s="83"/>
      <c r="R259" s="86"/>
      <c r="S259" s="87"/>
      <c r="T259" s="83">
        <v>264</v>
      </c>
      <c r="U259" s="92">
        <v>76.400000000000006</v>
      </c>
      <c r="V259" s="106">
        <v>305.60000000000002</v>
      </c>
      <c r="W259" s="106">
        <v>169.92</v>
      </c>
      <c r="X259" s="106">
        <v>184.08</v>
      </c>
      <c r="Y259" s="87"/>
      <c r="Z259" s="83"/>
      <c r="AA259" s="86"/>
      <c r="AB259" s="86"/>
      <c r="AC259" s="83"/>
      <c r="AD259" s="88">
        <v>264</v>
      </c>
      <c r="AE259" s="88">
        <v>382</v>
      </c>
      <c r="AF259" s="88">
        <v>354</v>
      </c>
      <c r="AG259" s="66" t="e">
        <f t="shared" si="8"/>
        <v>#DIV/0!</v>
      </c>
      <c r="AH259" s="143">
        <f t="shared" si="9"/>
        <v>1000</v>
      </c>
    </row>
    <row r="260" spans="1:34" s="90" customFormat="1" x14ac:dyDescent="0.3">
      <c r="A260" s="84">
        <v>802755</v>
      </c>
      <c r="B260" s="87"/>
      <c r="C260" s="87"/>
      <c r="D260" s="86"/>
      <c r="E260" s="99"/>
      <c r="F260" s="84"/>
      <c r="G260" s="83"/>
      <c r="H260" s="84"/>
      <c r="I260" s="84"/>
      <c r="J260" s="85"/>
      <c r="K260" s="87"/>
      <c r="L260" s="83"/>
      <c r="M260" s="83"/>
      <c r="N260" s="83"/>
      <c r="O260" s="83"/>
      <c r="P260" s="83"/>
      <c r="Q260" s="83"/>
      <c r="R260" s="86"/>
      <c r="S260" s="87"/>
      <c r="T260" s="83">
        <v>142</v>
      </c>
      <c r="U260" s="92">
        <v>91.2</v>
      </c>
      <c r="V260" s="106">
        <v>212.8</v>
      </c>
      <c r="W260" s="106">
        <v>321.32</v>
      </c>
      <c r="X260" s="106">
        <v>232.68</v>
      </c>
      <c r="Y260" s="87"/>
      <c r="Z260" s="83"/>
      <c r="AA260" s="86"/>
      <c r="AB260" s="86"/>
      <c r="AC260" s="83"/>
      <c r="AD260" s="88">
        <v>142</v>
      </c>
      <c r="AE260" s="88">
        <v>304</v>
      </c>
      <c r="AF260" s="88">
        <v>554</v>
      </c>
      <c r="AG260" s="66" t="e">
        <f t="shared" si="8"/>
        <v>#DIV/0!</v>
      </c>
      <c r="AH260" s="143">
        <f t="shared" si="9"/>
        <v>1000</v>
      </c>
    </row>
    <row r="261" spans="1:34" s="90" customFormat="1" x14ac:dyDescent="0.3">
      <c r="A261" s="84">
        <v>802756</v>
      </c>
      <c r="B261" s="87"/>
      <c r="C261" s="87"/>
      <c r="D261" s="86"/>
      <c r="E261" s="99"/>
      <c r="F261" s="84"/>
      <c r="G261" s="83"/>
      <c r="H261" s="84"/>
      <c r="I261" s="84"/>
      <c r="J261" s="85"/>
      <c r="K261" s="87"/>
      <c r="L261" s="83"/>
      <c r="M261" s="83"/>
      <c r="N261" s="83"/>
      <c r="O261" s="83"/>
      <c r="P261" s="83"/>
      <c r="Q261" s="83"/>
      <c r="R261" s="86"/>
      <c r="S261" s="87"/>
      <c r="T261" s="83">
        <v>145</v>
      </c>
      <c r="U261" s="92">
        <v>105.60000000000001</v>
      </c>
      <c r="V261" s="106">
        <v>158.39999999999998</v>
      </c>
      <c r="W261" s="106">
        <v>295.5</v>
      </c>
      <c r="X261" s="106">
        <v>295.5</v>
      </c>
      <c r="Y261" s="87"/>
      <c r="Z261" s="83"/>
      <c r="AA261" s="86"/>
      <c r="AB261" s="86"/>
      <c r="AC261" s="83"/>
      <c r="AD261" s="88">
        <v>145</v>
      </c>
      <c r="AE261" s="88">
        <v>264</v>
      </c>
      <c r="AF261" s="88">
        <v>591</v>
      </c>
      <c r="AG261" s="66" t="e">
        <f t="shared" si="8"/>
        <v>#DIV/0!</v>
      </c>
      <c r="AH261" s="143">
        <f t="shared" si="9"/>
        <v>1000</v>
      </c>
    </row>
    <row r="262" spans="1:34" s="90" customFormat="1" x14ac:dyDescent="0.3">
      <c r="A262" s="84">
        <v>802757</v>
      </c>
      <c r="B262" s="87"/>
      <c r="C262" s="87"/>
      <c r="D262" s="86"/>
      <c r="E262" s="99"/>
      <c r="F262" s="84"/>
      <c r="G262" s="83"/>
      <c r="H262" s="84"/>
      <c r="I262" s="84"/>
      <c r="J262" s="85"/>
      <c r="K262" s="87"/>
      <c r="L262" s="83"/>
      <c r="M262" s="83"/>
      <c r="N262" s="83"/>
      <c r="O262" s="83"/>
      <c r="P262" s="83"/>
      <c r="Q262" s="83"/>
      <c r="R262" s="86"/>
      <c r="S262" s="87"/>
      <c r="T262" s="83">
        <v>149</v>
      </c>
      <c r="U262" s="92">
        <v>91.5</v>
      </c>
      <c r="V262" s="106">
        <v>213.5</v>
      </c>
      <c r="W262" s="106">
        <v>234.78</v>
      </c>
      <c r="X262" s="106">
        <v>311.22000000000003</v>
      </c>
      <c r="Y262" s="87"/>
      <c r="Z262" s="83"/>
      <c r="AA262" s="86"/>
      <c r="AB262" s="86"/>
      <c r="AC262" s="83"/>
      <c r="AD262" s="88">
        <v>149</v>
      </c>
      <c r="AE262" s="88">
        <v>305</v>
      </c>
      <c r="AF262" s="88">
        <v>546</v>
      </c>
      <c r="AG262" s="66" t="e">
        <f t="shared" si="8"/>
        <v>#DIV/0!</v>
      </c>
      <c r="AH262" s="143">
        <f t="shared" si="9"/>
        <v>1000</v>
      </c>
    </row>
    <row r="263" spans="1:34" s="90" customFormat="1" x14ac:dyDescent="0.3">
      <c r="A263" s="84">
        <v>802758</v>
      </c>
      <c r="B263" s="87">
        <v>7.9166666666666661</v>
      </c>
      <c r="C263" s="87"/>
      <c r="D263" s="86">
        <v>8.08</v>
      </c>
      <c r="E263" s="99">
        <v>0.14000000000000001</v>
      </c>
      <c r="F263" s="84">
        <v>34.799999999999997</v>
      </c>
      <c r="G263" s="83">
        <v>55.9</v>
      </c>
      <c r="H263" s="84">
        <v>18.54</v>
      </c>
      <c r="I263" s="84">
        <v>300</v>
      </c>
      <c r="J263" s="85">
        <v>8.5999999999999993E-2</v>
      </c>
      <c r="K263" s="87">
        <v>12.14</v>
      </c>
      <c r="L263" s="83">
        <v>2604</v>
      </c>
      <c r="M263" s="83">
        <v>0.17</v>
      </c>
      <c r="N263" s="83">
        <v>2.62</v>
      </c>
      <c r="O263" s="83">
        <v>2.81</v>
      </c>
      <c r="P263" s="83">
        <v>7.27</v>
      </c>
      <c r="Q263" s="83"/>
      <c r="R263" s="86">
        <v>1.836392</v>
      </c>
      <c r="S263" s="87">
        <v>17.8</v>
      </c>
      <c r="T263" s="83"/>
      <c r="U263" s="92">
        <v>116.66666666666667</v>
      </c>
      <c r="V263" s="83"/>
      <c r="W263" s="83"/>
      <c r="X263" s="83"/>
      <c r="Y263" s="87">
        <v>32.9</v>
      </c>
      <c r="Z263" s="83"/>
      <c r="AA263" s="86"/>
      <c r="AB263" s="86"/>
      <c r="AC263" s="83"/>
      <c r="AD263" s="88">
        <v>570</v>
      </c>
      <c r="AE263" s="88">
        <v>350</v>
      </c>
      <c r="AF263" s="88">
        <v>80</v>
      </c>
      <c r="AG263" s="66">
        <f t="shared" si="8"/>
        <v>130.62492401215806</v>
      </c>
      <c r="AH263" s="143">
        <f t="shared" si="9"/>
        <v>1000</v>
      </c>
    </row>
    <row r="264" spans="1:34" s="90" customFormat="1" x14ac:dyDescent="0.3">
      <c r="A264" s="84">
        <v>802759</v>
      </c>
      <c r="B264" s="87">
        <v>10</v>
      </c>
      <c r="C264" s="87">
        <v>3.125</v>
      </c>
      <c r="D264" s="86">
        <v>7.96</v>
      </c>
      <c r="E264" s="99">
        <v>0.21</v>
      </c>
      <c r="F264" s="84">
        <v>27.75</v>
      </c>
      <c r="G264" s="83">
        <v>134.5</v>
      </c>
      <c r="H264" s="84">
        <v>37.51</v>
      </c>
      <c r="I264" s="84">
        <v>250</v>
      </c>
      <c r="J264" s="85">
        <v>5.1999999999999998E-2</v>
      </c>
      <c r="K264" s="87">
        <v>9.8699999999999992</v>
      </c>
      <c r="L264" s="83">
        <v>478</v>
      </c>
      <c r="M264" s="83">
        <v>0.28000000000000003</v>
      </c>
      <c r="N264" s="83">
        <v>1.37</v>
      </c>
      <c r="O264" s="83">
        <v>8.58</v>
      </c>
      <c r="P264" s="83">
        <v>3.69</v>
      </c>
      <c r="Q264" s="83"/>
      <c r="R264" s="86">
        <v>1.8334170000000001</v>
      </c>
      <c r="S264" s="87">
        <v>17.7</v>
      </c>
      <c r="T264" s="83"/>
      <c r="U264" s="92">
        <v>100</v>
      </c>
      <c r="V264" s="83"/>
      <c r="W264" s="83"/>
      <c r="X264" s="83"/>
      <c r="Y264" s="87">
        <v>31.8</v>
      </c>
      <c r="Z264" s="83"/>
      <c r="AA264" s="86"/>
      <c r="AB264" s="86"/>
      <c r="AC264" s="83"/>
      <c r="AD264" s="88">
        <v>550</v>
      </c>
      <c r="AE264" s="88">
        <v>300</v>
      </c>
      <c r="AF264" s="88">
        <v>150</v>
      </c>
      <c r="AG264" s="66">
        <f t="shared" si="8"/>
        <v>109.87358490566038</v>
      </c>
      <c r="AH264" s="143">
        <f t="shared" si="9"/>
        <v>1000</v>
      </c>
    </row>
    <row r="265" spans="1:34" s="90" customFormat="1" x14ac:dyDescent="0.3">
      <c r="A265" s="84">
        <v>802760</v>
      </c>
      <c r="B265" s="87">
        <v>7.2499999999999991</v>
      </c>
      <c r="C265" s="87"/>
      <c r="D265" s="86">
        <v>7.87</v>
      </c>
      <c r="E265" s="99">
        <v>0.14000000000000001</v>
      </c>
      <c r="F265" s="84">
        <v>56.849999999999994</v>
      </c>
      <c r="G265" s="83">
        <v>57.800000000000004</v>
      </c>
      <c r="H265" s="84">
        <v>43.56</v>
      </c>
      <c r="I265" s="84">
        <v>230</v>
      </c>
      <c r="J265" s="85">
        <v>7.5999999999999998E-2</v>
      </c>
      <c r="K265" s="87">
        <v>7.49</v>
      </c>
      <c r="L265" s="83">
        <v>303</v>
      </c>
      <c r="M265" s="83">
        <v>0.46</v>
      </c>
      <c r="N265" s="83">
        <v>1.63</v>
      </c>
      <c r="O265" s="83">
        <v>14.63</v>
      </c>
      <c r="P265" s="83">
        <v>3.12</v>
      </c>
      <c r="Q265" s="83"/>
      <c r="R265" s="86">
        <v>1.7578170000000002</v>
      </c>
      <c r="S265" s="87">
        <v>15.3</v>
      </c>
      <c r="T265" s="83"/>
      <c r="U265" s="92">
        <v>110</v>
      </c>
      <c r="V265" s="83"/>
      <c r="W265" s="83"/>
      <c r="X265" s="83"/>
      <c r="Y265" s="87">
        <v>22.9</v>
      </c>
      <c r="Z265" s="83"/>
      <c r="AA265" s="86"/>
      <c r="AB265" s="86"/>
      <c r="AC265" s="83"/>
      <c r="AD265" s="88">
        <v>530</v>
      </c>
      <c r="AE265" s="88">
        <v>330</v>
      </c>
      <c r="AF265" s="88">
        <v>140</v>
      </c>
      <c r="AG265" s="66">
        <f t="shared" si="8"/>
        <v>115.78427947598254</v>
      </c>
      <c r="AH265" s="143">
        <f t="shared" si="9"/>
        <v>1000</v>
      </c>
    </row>
    <row r="266" spans="1:34" s="90" customFormat="1" x14ac:dyDescent="0.3">
      <c r="A266" s="84">
        <v>802761</v>
      </c>
      <c r="B266" s="87">
        <v>1.0999999999999999</v>
      </c>
      <c r="C266" s="87"/>
      <c r="D266" s="86">
        <v>7.73</v>
      </c>
      <c r="E266" s="99">
        <v>0.16</v>
      </c>
      <c r="F266" s="84">
        <v>24.8</v>
      </c>
      <c r="G266" s="83">
        <v>48.3</v>
      </c>
      <c r="H266" s="84">
        <v>75.63</v>
      </c>
      <c r="I266" s="84">
        <v>270</v>
      </c>
      <c r="J266" s="85">
        <v>4.4999999999999998E-2</v>
      </c>
      <c r="K266" s="87">
        <v>7.81</v>
      </c>
      <c r="L266" s="83">
        <v>625</v>
      </c>
      <c r="M266" s="83">
        <v>0.89</v>
      </c>
      <c r="N266" s="83">
        <v>3.12</v>
      </c>
      <c r="O266" s="83">
        <v>59.1</v>
      </c>
      <c r="P266" s="83">
        <v>7.24</v>
      </c>
      <c r="Q266" s="83"/>
      <c r="R266" s="86">
        <v>1.716993</v>
      </c>
      <c r="S266" s="87">
        <v>14.1</v>
      </c>
      <c r="T266" s="83"/>
      <c r="U266" s="92">
        <v>100</v>
      </c>
      <c r="V266" s="83"/>
      <c r="W266" s="83"/>
      <c r="X266" s="83"/>
      <c r="Y266" s="87">
        <v>21</v>
      </c>
      <c r="Z266" s="83"/>
      <c r="AA266" s="86"/>
      <c r="AB266" s="86"/>
      <c r="AC266" s="83"/>
      <c r="AD266" s="88">
        <v>580</v>
      </c>
      <c r="AE266" s="88">
        <v>300</v>
      </c>
      <c r="AF266" s="88">
        <v>120</v>
      </c>
      <c r="AG266" s="66">
        <f t="shared" si="8"/>
        <v>131.65428571428569</v>
      </c>
      <c r="AH266" s="143">
        <f t="shared" si="9"/>
        <v>1000</v>
      </c>
    </row>
    <row r="267" spans="1:34" s="90" customFormat="1" x14ac:dyDescent="0.3">
      <c r="A267" s="84">
        <v>802762</v>
      </c>
      <c r="B267" s="87">
        <v>0.23333333333333331</v>
      </c>
      <c r="C267" s="87"/>
      <c r="D267" s="86">
        <v>7.81</v>
      </c>
      <c r="E267" s="99">
        <v>0.08</v>
      </c>
      <c r="F267" s="84">
        <v>27.200000000000003</v>
      </c>
      <c r="G267" s="83">
        <v>49.699999999999996</v>
      </c>
      <c r="H267" s="84">
        <v>65.12</v>
      </c>
      <c r="I267" s="84">
        <v>300</v>
      </c>
      <c r="J267" s="85">
        <v>5.5E-2</v>
      </c>
      <c r="K267" s="87">
        <v>5.65</v>
      </c>
      <c r="L267" s="83">
        <v>1102</v>
      </c>
      <c r="M267" s="83">
        <v>0.51</v>
      </c>
      <c r="N267" s="83">
        <v>2.93</v>
      </c>
      <c r="O267" s="83">
        <v>41.87</v>
      </c>
      <c r="P267" s="83">
        <v>6.37</v>
      </c>
      <c r="Q267" s="83"/>
      <c r="R267" s="86">
        <v>1.737657</v>
      </c>
      <c r="S267" s="87">
        <v>14.7</v>
      </c>
      <c r="T267" s="83"/>
      <c r="U267" s="92">
        <v>133.33333333333334</v>
      </c>
      <c r="V267" s="83"/>
      <c r="W267" s="83"/>
      <c r="X267" s="83"/>
      <c r="Y267" s="87">
        <v>20.9</v>
      </c>
      <c r="Z267" s="83"/>
      <c r="AA267" s="86"/>
      <c r="AB267" s="86"/>
      <c r="AC267" s="83"/>
      <c r="AD267" s="88">
        <v>510</v>
      </c>
      <c r="AE267" s="88">
        <v>400</v>
      </c>
      <c r="AF267" s="88">
        <v>90</v>
      </c>
      <c r="AG267" s="66">
        <f t="shared" si="8"/>
        <v>95.698564593301455</v>
      </c>
      <c r="AH267" s="143">
        <f t="shared" si="9"/>
        <v>1000</v>
      </c>
    </row>
    <row r="268" spans="1:34" s="90" customFormat="1" x14ac:dyDescent="0.3">
      <c r="A268" s="84">
        <v>802763</v>
      </c>
      <c r="B268" s="87">
        <v>56.666666666666664</v>
      </c>
      <c r="C268" s="87">
        <v>15.499999999999998</v>
      </c>
      <c r="D268" s="86">
        <v>7.84</v>
      </c>
      <c r="E268" s="99">
        <v>0.14000000000000001</v>
      </c>
      <c r="F268" s="84">
        <v>48.150000000000006</v>
      </c>
      <c r="G268" s="83">
        <v>51.550000000000004</v>
      </c>
      <c r="H268" s="84">
        <v>32.26</v>
      </c>
      <c r="I268" s="84">
        <v>130</v>
      </c>
      <c r="J268" s="85">
        <v>8.1000000000000003E-2</v>
      </c>
      <c r="K268" s="87">
        <v>12.52</v>
      </c>
      <c r="L268" s="83">
        <v>2274</v>
      </c>
      <c r="M268" s="83">
        <v>0.16</v>
      </c>
      <c r="N268" s="83">
        <v>2.16</v>
      </c>
      <c r="O268" s="83">
        <v>4.28</v>
      </c>
      <c r="P268" s="83">
        <v>6.11</v>
      </c>
      <c r="Q268" s="83"/>
      <c r="R268" s="86">
        <v>1.8274250000000001</v>
      </c>
      <c r="S268" s="87">
        <v>17.5</v>
      </c>
      <c r="T268" s="83"/>
      <c r="U268" s="92">
        <v>140</v>
      </c>
      <c r="V268" s="83"/>
      <c r="W268" s="83"/>
      <c r="X268" s="83"/>
      <c r="Y268" s="87">
        <v>21</v>
      </c>
      <c r="Z268" s="83"/>
      <c r="AA268" s="86"/>
      <c r="AB268" s="86"/>
      <c r="AC268" s="83"/>
      <c r="AD268" s="88">
        <v>520</v>
      </c>
      <c r="AE268" s="88">
        <v>420</v>
      </c>
      <c r="AF268" s="88">
        <v>60</v>
      </c>
      <c r="AG268" s="66">
        <f t="shared" si="8"/>
        <v>211.05142857142857</v>
      </c>
      <c r="AH268" s="143">
        <f t="shared" si="9"/>
        <v>1000</v>
      </c>
    </row>
    <row r="269" spans="1:34" s="90" customFormat="1" x14ac:dyDescent="0.3">
      <c r="A269" s="84">
        <v>802764</v>
      </c>
      <c r="B269" s="87">
        <v>26.999999999999996</v>
      </c>
      <c r="C269" s="87">
        <v>4.8749999999999982</v>
      </c>
      <c r="D269" s="86">
        <v>7.58</v>
      </c>
      <c r="E269" s="99">
        <v>0.05</v>
      </c>
      <c r="F269" s="84">
        <v>247.15</v>
      </c>
      <c r="G269" s="83">
        <v>332.1</v>
      </c>
      <c r="H269" s="84">
        <v>200.73</v>
      </c>
      <c r="I269" s="84">
        <v>730</v>
      </c>
      <c r="J269" s="85">
        <v>0.216</v>
      </c>
      <c r="K269" s="87">
        <v>8.09</v>
      </c>
      <c r="L269" s="83">
        <v>1455</v>
      </c>
      <c r="M269" s="83">
        <v>1.98</v>
      </c>
      <c r="N269" s="83">
        <v>1.72</v>
      </c>
      <c r="O269" s="83">
        <v>672</v>
      </c>
      <c r="P269" s="83">
        <v>3.86</v>
      </c>
      <c r="Q269" s="83"/>
      <c r="R269" s="86">
        <v>1.873793</v>
      </c>
      <c r="S269" s="87">
        <v>19.100000000000001</v>
      </c>
      <c r="T269" s="83"/>
      <c r="U269" s="92">
        <v>156.66666666666666</v>
      </c>
      <c r="V269" s="83"/>
      <c r="W269" s="83"/>
      <c r="X269" s="83"/>
      <c r="Y269" s="87">
        <v>21.700000000000003</v>
      </c>
      <c r="Z269" s="83"/>
      <c r="AA269" s="86"/>
      <c r="AB269" s="86"/>
      <c r="AC269" s="83"/>
      <c r="AD269" s="88">
        <v>310</v>
      </c>
      <c r="AE269" s="88">
        <v>470</v>
      </c>
      <c r="AF269" s="88">
        <v>220</v>
      </c>
      <c r="AG269" s="66">
        <f t="shared" si="8"/>
        <v>131.97511520737325</v>
      </c>
      <c r="AH269" s="143">
        <f t="shared" si="9"/>
        <v>1000</v>
      </c>
    </row>
    <row r="270" spans="1:34" s="90" customFormat="1" x14ac:dyDescent="0.3">
      <c r="A270" s="84">
        <v>802765</v>
      </c>
      <c r="B270" s="87">
        <v>17.25</v>
      </c>
      <c r="C270" s="87">
        <v>6.9999999999999973</v>
      </c>
      <c r="D270" s="86">
        <v>8.16</v>
      </c>
      <c r="E270" s="99">
        <v>0.28999999999999998</v>
      </c>
      <c r="F270" s="84">
        <v>96</v>
      </c>
      <c r="G270" s="83">
        <v>315.5</v>
      </c>
      <c r="H270" s="84">
        <v>113.48</v>
      </c>
      <c r="I270" s="84">
        <v>190</v>
      </c>
      <c r="J270" s="85">
        <v>0.14000000000000001</v>
      </c>
      <c r="K270" s="87">
        <v>7.48</v>
      </c>
      <c r="L270" s="83">
        <v>942</v>
      </c>
      <c r="M270" s="83">
        <v>0.85</v>
      </c>
      <c r="N270" s="83">
        <v>1.05</v>
      </c>
      <c r="O270" s="83">
        <v>3.45</v>
      </c>
      <c r="P270" s="83">
        <v>2.64</v>
      </c>
      <c r="Q270" s="83"/>
      <c r="R270" s="86">
        <v>1.2826215726539587</v>
      </c>
      <c r="S270" s="87">
        <v>8.9</v>
      </c>
      <c r="T270" s="83"/>
      <c r="U270" s="92">
        <v>166.66666666666666</v>
      </c>
      <c r="V270" s="83"/>
      <c r="W270" s="83"/>
      <c r="X270" s="83"/>
      <c r="Y270" s="87">
        <v>25.200000000000003</v>
      </c>
      <c r="Z270" s="83"/>
      <c r="AA270" s="86"/>
      <c r="AB270" s="86"/>
      <c r="AC270" s="83"/>
      <c r="AD270" s="88">
        <v>360</v>
      </c>
      <c r="AE270" s="88">
        <v>500</v>
      </c>
      <c r="AF270" s="88">
        <v>140</v>
      </c>
      <c r="AG270" s="66">
        <f t="shared" si="8"/>
        <v>105.07619047619046</v>
      </c>
      <c r="AH270" s="143">
        <f t="shared" si="9"/>
        <v>1000</v>
      </c>
    </row>
    <row r="271" spans="1:34" s="90" customFormat="1" x14ac:dyDescent="0.3">
      <c r="A271" s="84">
        <v>802766</v>
      </c>
      <c r="B271" s="87">
        <v>3.8611111111111112</v>
      </c>
      <c r="C271" s="87"/>
      <c r="D271" s="86">
        <v>8.49</v>
      </c>
      <c r="E271" s="99">
        <v>0.15</v>
      </c>
      <c r="F271" s="84">
        <v>38.650000000000006</v>
      </c>
      <c r="G271" s="83">
        <v>99.55</v>
      </c>
      <c r="H271" s="84">
        <v>123.77</v>
      </c>
      <c r="I271" s="84">
        <v>160</v>
      </c>
      <c r="J271" s="85">
        <v>0.105</v>
      </c>
      <c r="K271" s="87">
        <v>3.89</v>
      </c>
      <c r="L271" s="83">
        <v>468</v>
      </c>
      <c r="M271" s="83">
        <v>1.06</v>
      </c>
      <c r="N271" s="83">
        <v>0.34</v>
      </c>
      <c r="O271" s="83">
        <v>1.89</v>
      </c>
      <c r="P271" s="83">
        <v>2.14</v>
      </c>
      <c r="Q271" s="83"/>
      <c r="R271" s="86">
        <v>0.57438833921100274</v>
      </c>
      <c r="S271" s="87">
        <v>3.8</v>
      </c>
      <c r="T271" s="83"/>
      <c r="U271" s="92">
        <v>53.333333333333336</v>
      </c>
      <c r="V271" s="83"/>
      <c r="W271" s="83"/>
      <c r="X271" s="83"/>
      <c r="Y271" s="87">
        <v>6.3000000000000007</v>
      </c>
      <c r="Z271" s="83"/>
      <c r="AA271" s="86"/>
      <c r="AB271" s="86"/>
      <c r="AC271" s="83"/>
      <c r="AD271" s="88">
        <v>90</v>
      </c>
      <c r="AE271" s="88">
        <v>160</v>
      </c>
      <c r="AF271" s="88">
        <v>750</v>
      </c>
      <c r="AG271" s="66">
        <f t="shared" si="8"/>
        <v>218.58095238095234</v>
      </c>
      <c r="AH271" s="143">
        <f t="shared" si="9"/>
        <v>1000</v>
      </c>
    </row>
    <row r="272" spans="1:34" s="90" customFormat="1" x14ac:dyDescent="0.3">
      <c r="A272" s="84">
        <v>802767</v>
      </c>
      <c r="B272" s="87">
        <v>7.7777777777777777</v>
      </c>
      <c r="C272" s="87"/>
      <c r="D272" s="86">
        <v>8.48</v>
      </c>
      <c r="E272" s="99">
        <v>0.34</v>
      </c>
      <c r="F272" s="84">
        <v>126.7</v>
      </c>
      <c r="G272" s="83">
        <v>175.7</v>
      </c>
      <c r="H272" s="84">
        <v>609.9</v>
      </c>
      <c r="I272" s="84">
        <v>480</v>
      </c>
      <c r="J272" s="85">
        <v>0.218</v>
      </c>
      <c r="K272" s="87">
        <v>5.15</v>
      </c>
      <c r="L272" s="83">
        <v>971</v>
      </c>
      <c r="M272" s="83">
        <v>9.25</v>
      </c>
      <c r="N272" s="83">
        <v>4.7</v>
      </c>
      <c r="O272" s="83">
        <v>35.19</v>
      </c>
      <c r="P272" s="83">
        <v>30.76</v>
      </c>
      <c r="Q272" s="83"/>
      <c r="R272" s="86">
        <v>1.6958250000000001</v>
      </c>
      <c r="S272" s="87">
        <v>13.5</v>
      </c>
      <c r="T272" s="83"/>
      <c r="U272" s="92">
        <v>46.666666666666664</v>
      </c>
      <c r="V272" s="83"/>
      <c r="W272" s="83"/>
      <c r="X272" s="83"/>
      <c r="Y272" s="87">
        <v>6.3000000000000007</v>
      </c>
      <c r="Z272" s="83"/>
      <c r="AA272" s="86"/>
      <c r="AB272" s="86"/>
      <c r="AC272" s="83"/>
      <c r="AD272" s="88">
        <v>90</v>
      </c>
      <c r="AE272" s="88">
        <v>140</v>
      </c>
      <c r="AF272" s="88">
        <v>770</v>
      </c>
      <c r="AG272" s="66">
        <f t="shared" si="8"/>
        <v>289.38095238095235</v>
      </c>
      <c r="AH272" s="143">
        <f t="shared" si="9"/>
        <v>1000</v>
      </c>
    </row>
    <row r="273" spans="1:34" s="90" customFormat="1" x14ac:dyDescent="0.3">
      <c r="A273" s="84">
        <v>802768</v>
      </c>
      <c r="B273" s="87">
        <v>7.2222222222222214</v>
      </c>
      <c r="C273" s="87"/>
      <c r="D273" s="86">
        <v>8.64</v>
      </c>
      <c r="E273" s="99">
        <v>0.43</v>
      </c>
      <c r="F273" s="84">
        <v>136.44999999999999</v>
      </c>
      <c r="G273" s="83">
        <v>136.30000000000001</v>
      </c>
      <c r="H273" s="84">
        <v>431.69</v>
      </c>
      <c r="I273" s="84">
        <v>810</v>
      </c>
      <c r="J273" s="85">
        <v>0.22800000000000001</v>
      </c>
      <c r="K273" s="87">
        <v>4</v>
      </c>
      <c r="L273" s="83">
        <v>604</v>
      </c>
      <c r="M273" s="83">
        <v>2.61</v>
      </c>
      <c r="N273" s="83">
        <v>0.49</v>
      </c>
      <c r="O273" s="83">
        <v>3.84</v>
      </c>
      <c r="P273" s="83">
        <v>6.52</v>
      </c>
      <c r="Q273" s="83"/>
      <c r="R273" s="86">
        <v>0.91146419987383331</v>
      </c>
      <c r="S273" s="87">
        <v>6.5</v>
      </c>
      <c r="T273" s="83"/>
      <c r="U273" s="92">
        <v>50</v>
      </c>
      <c r="V273" s="83"/>
      <c r="W273" s="83"/>
      <c r="X273" s="83"/>
      <c r="Y273" s="87">
        <v>4.9000000000000004</v>
      </c>
      <c r="Z273" s="83"/>
      <c r="AA273" s="86"/>
      <c r="AB273" s="86"/>
      <c r="AC273" s="83"/>
      <c r="AD273" s="88">
        <v>70</v>
      </c>
      <c r="AE273" s="88">
        <v>150</v>
      </c>
      <c r="AF273" s="88">
        <v>780</v>
      </c>
      <c r="AG273" s="66">
        <f t="shared" si="8"/>
        <v>288.9795918367347</v>
      </c>
      <c r="AH273" s="143">
        <f t="shared" si="9"/>
        <v>1000</v>
      </c>
    </row>
    <row r="274" spans="1:34" s="90" customFormat="1" x14ac:dyDescent="0.3">
      <c r="A274" s="84">
        <v>802769</v>
      </c>
      <c r="B274" s="87">
        <v>13.083333333333332</v>
      </c>
      <c r="C274" s="87">
        <v>1.1249999999999982</v>
      </c>
      <c r="D274" s="86">
        <v>8.7200000000000006</v>
      </c>
      <c r="E274" s="99">
        <v>0.14000000000000001</v>
      </c>
      <c r="F274" s="84">
        <v>73.05</v>
      </c>
      <c r="G274" s="83">
        <v>61.7</v>
      </c>
      <c r="H274" s="84">
        <v>132.38999999999999</v>
      </c>
      <c r="I274" s="84">
        <v>110</v>
      </c>
      <c r="J274" s="85">
        <v>9.6000000000000002E-2</v>
      </c>
      <c r="K274" s="87">
        <v>5</v>
      </c>
      <c r="L274" s="83">
        <v>263</v>
      </c>
      <c r="M274" s="83">
        <v>1.69</v>
      </c>
      <c r="N274" s="83">
        <v>0.69</v>
      </c>
      <c r="O274" s="83">
        <v>2.37</v>
      </c>
      <c r="P274" s="83">
        <v>2.37</v>
      </c>
      <c r="Q274" s="83"/>
      <c r="R274" s="86">
        <v>0.49857711229464202</v>
      </c>
      <c r="S274" s="87">
        <v>3.6</v>
      </c>
      <c r="T274" s="83"/>
      <c r="U274" s="92">
        <v>23.333333333333332</v>
      </c>
      <c r="V274" s="83"/>
      <c r="W274" s="83"/>
      <c r="X274" s="83"/>
      <c r="Y274" s="87">
        <v>8.4</v>
      </c>
      <c r="Z274" s="83"/>
      <c r="AA274" s="86"/>
      <c r="AB274" s="86"/>
      <c r="AC274" s="83"/>
      <c r="AD274" s="88">
        <v>120</v>
      </c>
      <c r="AE274" s="88">
        <v>70</v>
      </c>
      <c r="AF274" s="88">
        <v>810</v>
      </c>
      <c r="AG274" s="66">
        <f t="shared" si="8"/>
        <v>210.71428571428569</v>
      </c>
      <c r="AH274" s="143">
        <f t="shared" si="9"/>
        <v>1000</v>
      </c>
    </row>
    <row r="275" spans="1:34" s="90" customFormat="1" x14ac:dyDescent="0.3">
      <c r="A275" s="84">
        <v>802770</v>
      </c>
      <c r="B275" s="87">
        <v>27.999999999999996</v>
      </c>
      <c r="C275" s="87">
        <v>4.6249999999999991</v>
      </c>
      <c r="D275" s="86">
        <v>8.5</v>
      </c>
      <c r="E275" s="99">
        <v>0.25</v>
      </c>
      <c r="F275" s="84">
        <v>145.1</v>
      </c>
      <c r="G275" s="83">
        <v>61.8</v>
      </c>
      <c r="H275" s="84">
        <v>48.17</v>
      </c>
      <c r="I275" s="84">
        <v>370</v>
      </c>
      <c r="J275" s="85">
        <v>0.152</v>
      </c>
      <c r="K275" s="87">
        <v>8.41</v>
      </c>
      <c r="L275" s="83">
        <v>461</v>
      </c>
      <c r="M275" s="83">
        <v>0.39</v>
      </c>
      <c r="N275" s="83">
        <v>0.48</v>
      </c>
      <c r="O275" s="83">
        <v>3.31</v>
      </c>
      <c r="P275" s="83">
        <v>2.38</v>
      </c>
      <c r="Q275" s="83"/>
      <c r="R275" s="86">
        <v>1.2060776373599944</v>
      </c>
      <c r="S275" s="87">
        <v>8.5</v>
      </c>
      <c r="T275" s="83"/>
      <c r="U275" s="92">
        <v>170</v>
      </c>
      <c r="V275" s="83"/>
      <c r="W275" s="83"/>
      <c r="X275" s="83"/>
      <c r="Y275" s="87">
        <v>5.6000000000000005</v>
      </c>
      <c r="Z275" s="83"/>
      <c r="AA275" s="86"/>
      <c r="AB275" s="86"/>
      <c r="AC275" s="83"/>
      <c r="AD275" s="88">
        <v>80</v>
      </c>
      <c r="AE275" s="88">
        <v>510</v>
      </c>
      <c r="AF275" s="88">
        <v>410</v>
      </c>
      <c r="AG275" s="66">
        <f t="shared" si="8"/>
        <v>531.63214285714275</v>
      </c>
      <c r="AH275" s="143">
        <f t="shared" si="9"/>
        <v>1000</v>
      </c>
    </row>
    <row r="276" spans="1:34" s="90" customFormat="1" x14ac:dyDescent="0.3">
      <c r="A276" s="84">
        <v>802771</v>
      </c>
      <c r="B276" s="87">
        <v>31</v>
      </c>
      <c r="C276" s="87">
        <v>10.999999999999998</v>
      </c>
      <c r="D276" s="86">
        <v>8.56</v>
      </c>
      <c r="E276" s="99">
        <v>0.18</v>
      </c>
      <c r="F276" s="84">
        <v>34.049999999999997</v>
      </c>
      <c r="G276" s="83">
        <v>70.199999999999989</v>
      </c>
      <c r="H276" s="84">
        <v>93.38</v>
      </c>
      <c r="I276" s="84">
        <v>540</v>
      </c>
      <c r="J276" s="85">
        <v>4.9000000000000002E-2</v>
      </c>
      <c r="K276" s="87">
        <v>8.6</v>
      </c>
      <c r="L276" s="83">
        <v>706</v>
      </c>
      <c r="M276" s="83">
        <v>1.93</v>
      </c>
      <c r="N276" s="83">
        <v>1.34</v>
      </c>
      <c r="O276" s="83">
        <v>4.12</v>
      </c>
      <c r="P276" s="83">
        <v>1.93</v>
      </c>
      <c r="Q276" s="83"/>
      <c r="R276" s="86">
        <v>1.4072416361170323</v>
      </c>
      <c r="S276" s="87">
        <v>10.199999999999999</v>
      </c>
      <c r="T276" s="83"/>
      <c r="U276" s="92">
        <v>183.33333333333334</v>
      </c>
      <c r="V276" s="83"/>
      <c r="W276" s="83"/>
      <c r="X276" s="83"/>
      <c r="Y276" s="87">
        <v>4.9000000000000004</v>
      </c>
      <c r="Z276" s="83"/>
      <c r="AA276" s="86"/>
      <c r="AB276" s="86"/>
      <c r="AC276" s="83"/>
      <c r="AD276" s="88">
        <v>70</v>
      </c>
      <c r="AE276" s="88">
        <v>550</v>
      </c>
      <c r="AF276" s="88">
        <v>380</v>
      </c>
      <c r="AG276" s="66">
        <f t="shared" si="8"/>
        <v>621.30612244897952</v>
      </c>
      <c r="AH276" s="143">
        <f t="shared" si="9"/>
        <v>1000</v>
      </c>
    </row>
    <row r="277" spans="1:34" s="90" customFormat="1" x14ac:dyDescent="0.3">
      <c r="A277" s="84">
        <v>802772</v>
      </c>
      <c r="B277" s="87">
        <v>36.333333333333336</v>
      </c>
      <c r="C277" s="87">
        <v>12.624999999999996</v>
      </c>
      <c r="D277" s="86">
        <v>8.65</v>
      </c>
      <c r="E277" s="99">
        <v>0.2</v>
      </c>
      <c r="F277" s="84">
        <v>52.25</v>
      </c>
      <c r="G277" s="83">
        <v>72.900000000000006</v>
      </c>
      <c r="H277" s="84">
        <v>603.35</v>
      </c>
      <c r="I277" s="84">
        <v>290</v>
      </c>
      <c r="J277" s="85">
        <v>7.4999999999999997E-2</v>
      </c>
      <c r="K277" s="87">
        <v>8.4</v>
      </c>
      <c r="L277" s="83">
        <v>975</v>
      </c>
      <c r="M277" s="83">
        <v>0.53</v>
      </c>
      <c r="N277" s="83">
        <v>8.94</v>
      </c>
      <c r="O277" s="83">
        <v>4.53</v>
      </c>
      <c r="P277" s="83">
        <v>3.14</v>
      </c>
      <c r="Q277" s="83"/>
      <c r="R277" s="86">
        <v>1.9740330000000001</v>
      </c>
      <c r="S277" s="87">
        <v>23.1</v>
      </c>
      <c r="T277" s="83"/>
      <c r="U277" s="92">
        <v>166.66666666666666</v>
      </c>
      <c r="V277" s="83"/>
      <c r="W277" s="83"/>
      <c r="X277" s="83"/>
      <c r="Y277" s="87">
        <v>9.8000000000000007</v>
      </c>
      <c r="Z277" s="83"/>
      <c r="AA277" s="86"/>
      <c r="AB277" s="86"/>
      <c r="AC277" s="83"/>
      <c r="AD277" s="88">
        <v>140</v>
      </c>
      <c r="AE277" s="88">
        <v>500</v>
      </c>
      <c r="AF277" s="88">
        <v>360</v>
      </c>
      <c r="AG277" s="66">
        <f t="shared" si="8"/>
        <v>303.42857142857139</v>
      </c>
      <c r="AH277" s="143">
        <f t="shared" si="9"/>
        <v>1000</v>
      </c>
    </row>
    <row r="278" spans="1:34" s="90" customFormat="1" x14ac:dyDescent="0.3">
      <c r="A278" s="84">
        <v>802773</v>
      </c>
      <c r="B278" s="87">
        <v>17.333333333333336</v>
      </c>
      <c r="C278" s="87">
        <v>4.9999999999999982</v>
      </c>
      <c r="D278" s="86">
        <v>8.7100000000000009</v>
      </c>
      <c r="E278" s="99">
        <v>0.17</v>
      </c>
      <c r="F278" s="84">
        <v>34.75</v>
      </c>
      <c r="G278" s="83">
        <v>60.45</v>
      </c>
      <c r="H278" s="84">
        <v>65.09</v>
      </c>
      <c r="I278" s="84">
        <v>450</v>
      </c>
      <c r="J278" s="85">
        <v>8.3000000000000004E-2</v>
      </c>
      <c r="K278" s="87">
        <v>8.4</v>
      </c>
      <c r="L278" s="83">
        <v>739</v>
      </c>
      <c r="M278" s="83">
        <v>0.61</v>
      </c>
      <c r="N278" s="83">
        <v>0.76</v>
      </c>
      <c r="O278" s="83">
        <v>4.96</v>
      </c>
      <c r="P278" s="83">
        <v>2.41</v>
      </c>
      <c r="Q278" s="83"/>
      <c r="R278" s="86">
        <v>0.84723886560550954</v>
      </c>
      <c r="S278" s="87">
        <v>6.3</v>
      </c>
      <c r="T278" s="83"/>
      <c r="U278" s="92">
        <v>156.66666666666666</v>
      </c>
      <c r="V278" s="83"/>
      <c r="W278" s="83"/>
      <c r="X278" s="83"/>
      <c r="Y278" s="87">
        <v>6.3000000000000007</v>
      </c>
      <c r="Z278" s="83"/>
      <c r="AA278" s="86"/>
      <c r="AB278" s="86"/>
      <c r="AC278" s="83"/>
      <c r="AD278" s="88">
        <v>90</v>
      </c>
      <c r="AE278" s="88">
        <v>470</v>
      </c>
      <c r="AF278" s="88">
        <v>440</v>
      </c>
      <c r="AG278" s="66">
        <f t="shared" si="8"/>
        <v>471.99999999999994</v>
      </c>
      <c r="AH278" s="143">
        <f t="shared" si="9"/>
        <v>1000</v>
      </c>
    </row>
    <row r="279" spans="1:34" s="90" customFormat="1" x14ac:dyDescent="0.3">
      <c r="A279" s="84">
        <v>802774</v>
      </c>
      <c r="B279" s="87">
        <v>12.916666666666668</v>
      </c>
      <c r="C279" s="87">
        <v>2.9999999999999982</v>
      </c>
      <c r="D279" s="86">
        <v>8.81</v>
      </c>
      <c r="E279" s="99">
        <v>0.18</v>
      </c>
      <c r="F279" s="84">
        <v>75.7</v>
      </c>
      <c r="G279" s="83">
        <v>61.5</v>
      </c>
      <c r="H279" s="84">
        <v>33.39</v>
      </c>
      <c r="I279" s="84">
        <v>310</v>
      </c>
      <c r="J279" s="85">
        <v>9.8000000000000004E-2</v>
      </c>
      <c r="K279" s="87">
        <v>7.6</v>
      </c>
      <c r="L279" s="83">
        <v>323</v>
      </c>
      <c r="M279" s="83">
        <v>0.48</v>
      </c>
      <c r="N279" s="83">
        <v>0.5</v>
      </c>
      <c r="O279" s="83">
        <v>7.98</v>
      </c>
      <c r="P279" s="83">
        <v>1.87</v>
      </c>
      <c r="Q279" s="83"/>
      <c r="R279" s="86">
        <v>1.107618532794628</v>
      </c>
      <c r="S279" s="87">
        <v>8.1999999999999993</v>
      </c>
      <c r="T279" s="83"/>
      <c r="U279" s="92">
        <v>186.66666666666666</v>
      </c>
      <c r="V279" s="83"/>
      <c r="W279" s="83"/>
      <c r="X279" s="83"/>
      <c r="Y279" s="87">
        <v>3.5000000000000004</v>
      </c>
      <c r="Z279" s="83"/>
      <c r="AA279" s="86"/>
      <c r="AB279" s="86"/>
      <c r="AC279" s="83"/>
      <c r="AD279" s="88">
        <v>50</v>
      </c>
      <c r="AE279" s="88">
        <v>560</v>
      </c>
      <c r="AF279" s="88">
        <v>390</v>
      </c>
      <c r="AG279" s="66">
        <f t="shared" si="8"/>
        <v>768.6857142857142</v>
      </c>
      <c r="AH279" s="143">
        <f t="shared" si="9"/>
        <v>1000</v>
      </c>
    </row>
    <row r="280" spans="1:34" s="90" customFormat="1" x14ac:dyDescent="0.3">
      <c r="A280" s="84">
        <v>802775</v>
      </c>
      <c r="B280" s="87">
        <v>1.6666666666666667</v>
      </c>
      <c r="C280" s="87"/>
      <c r="D280" s="86">
        <v>8.44</v>
      </c>
      <c r="E280" s="99">
        <v>0.15</v>
      </c>
      <c r="F280" s="84">
        <v>1.7</v>
      </c>
      <c r="G280" s="84"/>
      <c r="H280" s="92">
        <v>314.45999999999998</v>
      </c>
      <c r="I280" s="84">
        <v>710</v>
      </c>
      <c r="J280" s="85">
        <v>0.32900000000000001</v>
      </c>
      <c r="K280" s="87">
        <v>20.28</v>
      </c>
      <c r="L280" s="83">
        <v>1373</v>
      </c>
      <c r="M280" s="83">
        <v>2.82</v>
      </c>
      <c r="N280" s="83">
        <v>1.27</v>
      </c>
      <c r="O280" s="83">
        <v>3.61</v>
      </c>
      <c r="P280" s="83">
        <v>3.77</v>
      </c>
      <c r="Q280" s="83"/>
      <c r="R280" s="86">
        <v>0.88464287213502546</v>
      </c>
      <c r="S280" s="87">
        <v>6.27</v>
      </c>
      <c r="T280" s="83"/>
      <c r="U280" s="92">
        <v>46.666666666666664</v>
      </c>
      <c r="V280" s="83"/>
      <c r="W280" s="83"/>
      <c r="X280" s="83"/>
      <c r="Y280" s="87">
        <v>5.6000000000000005</v>
      </c>
      <c r="Z280" s="83"/>
      <c r="AA280" s="86"/>
      <c r="AB280" s="86"/>
      <c r="AC280" s="83"/>
      <c r="AD280" s="88">
        <v>80</v>
      </c>
      <c r="AE280" s="88">
        <v>140</v>
      </c>
      <c r="AF280" s="88">
        <v>780</v>
      </c>
      <c r="AG280" s="66">
        <f t="shared" si="8"/>
        <v>1281.9857142857143</v>
      </c>
      <c r="AH280" s="143">
        <f t="shared" si="9"/>
        <v>1000</v>
      </c>
    </row>
    <row r="281" spans="1:34" s="90" customFormat="1" x14ac:dyDescent="0.3">
      <c r="A281" s="84">
        <v>802776</v>
      </c>
      <c r="B281" s="87">
        <v>27.499999999999996</v>
      </c>
      <c r="C281" s="87">
        <v>6.1</v>
      </c>
      <c r="D281" s="86">
        <v>8.94</v>
      </c>
      <c r="E281" s="99">
        <v>0.28999999999999998</v>
      </c>
      <c r="F281" s="84">
        <v>2</v>
      </c>
      <c r="G281" s="84"/>
      <c r="H281" s="92">
        <v>33.24</v>
      </c>
      <c r="I281" s="84">
        <v>640</v>
      </c>
      <c r="J281" s="85">
        <v>0.39700000000000002</v>
      </c>
      <c r="K281" s="87">
        <v>8.35</v>
      </c>
      <c r="L281" s="83">
        <v>2089</v>
      </c>
      <c r="M281" s="83">
        <v>0.17</v>
      </c>
      <c r="N281" s="83">
        <v>0.31</v>
      </c>
      <c r="O281" s="83">
        <v>0.88</v>
      </c>
      <c r="P281" s="83">
        <v>1.49</v>
      </c>
      <c r="Q281" s="83"/>
      <c r="R281" s="86">
        <v>0.21386188303830306</v>
      </c>
      <c r="S281" s="87">
        <v>1.43</v>
      </c>
      <c r="T281" s="83"/>
      <c r="U281" s="92">
        <v>86.666666666666671</v>
      </c>
      <c r="V281" s="83"/>
      <c r="W281" s="83"/>
      <c r="X281" s="83"/>
      <c r="Y281" s="87">
        <v>28</v>
      </c>
      <c r="Z281" s="83"/>
      <c r="AA281" s="86"/>
      <c r="AB281" s="86"/>
      <c r="AC281" s="83"/>
      <c r="AD281" s="88">
        <v>560</v>
      </c>
      <c r="AE281" s="88">
        <v>260</v>
      </c>
      <c r="AF281" s="88">
        <v>180</v>
      </c>
      <c r="AG281" s="66">
        <f t="shared" si="8"/>
        <v>105.56785714285714</v>
      </c>
      <c r="AH281" s="143">
        <f t="shared" si="9"/>
        <v>1000</v>
      </c>
    </row>
    <row r="282" spans="1:34" s="90" customFormat="1" x14ac:dyDescent="0.3">
      <c r="A282" s="84">
        <v>802778</v>
      </c>
      <c r="B282" s="87">
        <v>1.5833333333333335</v>
      </c>
      <c r="C282" s="87"/>
      <c r="D282" s="86">
        <v>7.7</v>
      </c>
      <c r="E282" s="99">
        <v>0.22</v>
      </c>
      <c r="F282" s="84">
        <v>2.2999999999999998</v>
      </c>
      <c r="G282" s="84"/>
      <c r="H282" s="92">
        <v>168.1</v>
      </c>
      <c r="I282" s="84">
        <v>210</v>
      </c>
      <c r="J282" s="85">
        <v>0.13500000000000001</v>
      </c>
      <c r="K282" s="87">
        <v>3.63</v>
      </c>
      <c r="L282" s="83">
        <v>873</v>
      </c>
      <c r="M282" s="83"/>
      <c r="N282" s="83"/>
      <c r="O282" s="83"/>
      <c r="P282" s="83"/>
      <c r="Q282" s="83"/>
      <c r="R282" s="86">
        <v>1.79093232</v>
      </c>
      <c r="S282" s="87">
        <v>16.32</v>
      </c>
      <c r="T282" s="83"/>
      <c r="U282" s="92">
        <v>20</v>
      </c>
      <c r="V282" s="83"/>
      <c r="W282" s="83"/>
      <c r="X282" s="83"/>
      <c r="Y282" s="87">
        <v>5.6000000000000005</v>
      </c>
      <c r="Z282" s="83"/>
      <c r="AA282" s="86"/>
      <c r="AB282" s="86"/>
      <c r="AC282" s="83"/>
      <c r="AD282" s="88">
        <v>80</v>
      </c>
      <c r="AE282" s="88">
        <v>60</v>
      </c>
      <c r="AF282" s="88">
        <v>860</v>
      </c>
      <c r="AG282" s="66">
        <f t="shared" si="8"/>
        <v>229.46785714285713</v>
      </c>
      <c r="AH282" s="143">
        <f t="shared" si="9"/>
        <v>1000</v>
      </c>
    </row>
    <row r="283" spans="1:34" s="90" customFormat="1" x14ac:dyDescent="0.3">
      <c r="A283" s="84">
        <v>802779</v>
      </c>
      <c r="B283" s="87">
        <v>1.7500000000000002</v>
      </c>
      <c r="C283" s="87"/>
      <c r="D283" s="86">
        <v>7.74</v>
      </c>
      <c r="E283" s="99">
        <v>0.23</v>
      </c>
      <c r="F283" s="84">
        <v>1.3</v>
      </c>
      <c r="G283" s="84"/>
      <c r="H283" s="92">
        <v>102.51</v>
      </c>
      <c r="I283" s="84">
        <v>80</v>
      </c>
      <c r="J283" s="85">
        <v>0.222</v>
      </c>
      <c r="K283" s="87">
        <v>3.9</v>
      </c>
      <c r="L283" s="83">
        <v>357</v>
      </c>
      <c r="M283" s="83"/>
      <c r="N283" s="83"/>
      <c r="O283" s="83"/>
      <c r="P283" s="83"/>
      <c r="Q283" s="83"/>
      <c r="R283" s="86">
        <v>1.06829877210825</v>
      </c>
      <c r="S283" s="87">
        <v>7.2</v>
      </c>
      <c r="T283" s="83"/>
      <c r="U283" s="92">
        <v>20</v>
      </c>
      <c r="V283" s="83"/>
      <c r="W283" s="83"/>
      <c r="X283" s="83"/>
      <c r="Y283" s="87">
        <v>4.2</v>
      </c>
      <c r="Z283" s="83"/>
      <c r="AA283" s="86"/>
      <c r="AB283" s="86"/>
      <c r="AC283" s="83"/>
      <c r="AD283" s="88">
        <v>60</v>
      </c>
      <c r="AE283" s="88">
        <v>60</v>
      </c>
      <c r="AF283" s="88">
        <v>880</v>
      </c>
      <c r="AG283" s="66">
        <f t="shared" si="8"/>
        <v>328.71428571428567</v>
      </c>
      <c r="AH283" s="143">
        <f t="shared" si="9"/>
        <v>1000</v>
      </c>
    </row>
    <row r="284" spans="1:34" s="90" customFormat="1" x14ac:dyDescent="0.3">
      <c r="A284" s="84">
        <v>802780</v>
      </c>
      <c r="B284" s="87">
        <v>2.7499999999999996</v>
      </c>
      <c r="C284" s="87"/>
      <c r="D284" s="86">
        <v>7.02</v>
      </c>
      <c r="E284" s="99">
        <v>0.38</v>
      </c>
      <c r="F284" s="84">
        <v>1.8</v>
      </c>
      <c r="G284" s="84"/>
      <c r="H284" s="92">
        <v>185.07</v>
      </c>
      <c r="I284" s="84">
        <v>140</v>
      </c>
      <c r="J284" s="85">
        <v>0.122</v>
      </c>
      <c r="K284" s="87">
        <v>4.5</v>
      </c>
      <c r="L284" s="83">
        <v>613</v>
      </c>
      <c r="M284" s="83"/>
      <c r="N284" s="83"/>
      <c r="O284" s="83"/>
      <c r="P284" s="83"/>
      <c r="Q284" s="83"/>
      <c r="R284" s="86">
        <v>1.1834092873391622</v>
      </c>
      <c r="S284" s="87">
        <v>8.4499999999999993</v>
      </c>
      <c r="T284" s="83"/>
      <c r="U284" s="92">
        <v>26.666666666666668</v>
      </c>
      <c r="V284" s="83"/>
      <c r="W284" s="83"/>
      <c r="X284" s="83"/>
      <c r="Y284" s="87">
        <v>4.2</v>
      </c>
      <c r="Z284" s="83"/>
      <c r="AA284" s="86"/>
      <c r="AB284" s="86"/>
      <c r="AC284" s="83"/>
      <c r="AD284" s="88">
        <v>60</v>
      </c>
      <c r="AE284" s="88">
        <v>80</v>
      </c>
      <c r="AF284" s="88">
        <v>860</v>
      </c>
      <c r="AG284" s="66">
        <f t="shared" si="8"/>
        <v>379.28571428571428</v>
      </c>
      <c r="AH284" s="143">
        <f t="shared" si="9"/>
        <v>1000</v>
      </c>
    </row>
    <row r="285" spans="1:34" s="90" customFormat="1" x14ac:dyDescent="0.3">
      <c r="A285" s="84">
        <v>802781</v>
      </c>
      <c r="B285" s="87">
        <v>0.24999999999999997</v>
      </c>
      <c r="C285" s="87"/>
      <c r="D285" s="86">
        <v>7.73</v>
      </c>
      <c r="E285" s="99">
        <v>0.15</v>
      </c>
      <c r="F285" s="84">
        <v>3</v>
      </c>
      <c r="G285" s="84"/>
      <c r="H285" s="92">
        <v>101.33</v>
      </c>
      <c r="I285" s="84">
        <v>150</v>
      </c>
      <c r="J285" s="85">
        <v>0.219</v>
      </c>
      <c r="K285" s="87">
        <v>1.07</v>
      </c>
      <c r="L285" s="83">
        <v>145</v>
      </c>
      <c r="M285" s="83"/>
      <c r="N285" s="83"/>
      <c r="O285" s="83"/>
      <c r="P285" s="83"/>
      <c r="Q285" s="83"/>
      <c r="R285" s="86">
        <v>1.6123446800000001</v>
      </c>
      <c r="S285" s="87">
        <v>11.26</v>
      </c>
      <c r="T285" s="83"/>
      <c r="U285" s="92">
        <v>23.333333333333332</v>
      </c>
      <c r="V285" s="83"/>
      <c r="W285" s="83"/>
      <c r="X285" s="83"/>
      <c r="Y285" s="87">
        <v>2.8</v>
      </c>
      <c r="Z285" s="83"/>
      <c r="AA285" s="86"/>
      <c r="AB285" s="86"/>
      <c r="AC285" s="83"/>
      <c r="AD285" s="88">
        <v>70</v>
      </c>
      <c r="AE285" s="88">
        <v>70</v>
      </c>
      <c r="AF285" s="88">
        <v>860</v>
      </c>
      <c r="AG285" s="66">
        <f t="shared" si="8"/>
        <v>135.27857142857144</v>
      </c>
      <c r="AH285" s="143">
        <f t="shared" si="9"/>
        <v>1000</v>
      </c>
    </row>
    <row r="286" spans="1:34" s="90" customFormat="1" x14ac:dyDescent="0.3">
      <c r="A286" s="84">
        <v>802782</v>
      </c>
      <c r="B286" s="87">
        <v>0.15</v>
      </c>
      <c r="C286" s="87"/>
      <c r="D286" s="86">
        <v>7.8</v>
      </c>
      <c r="E286" s="99">
        <v>7.0000000000000007E-2</v>
      </c>
      <c r="F286" s="84">
        <v>1.3</v>
      </c>
      <c r="G286" s="84"/>
      <c r="H286" s="92">
        <v>95.99</v>
      </c>
      <c r="I286" s="84">
        <v>120</v>
      </c>
      <c r="J286" s="85">
        <v>3.6999999999999998E-2</v>
      </c>
      <c r="K286" s="87">
        <v>1.1200000000000001</v>
      </c>
      <c r="L286" s="83">
        <v>155</v>
      </c>
      <c r="M286" s="83">
        <v>1.25</v>
      </c>
      <c r="N286" s="83">
        <v>0.74</v>
      </c>
      <c r="O286" s="83">
        <v>5.13</v>
      </c>
      <c r="P286" s="83">
        <v>3.69</v>
      </c>
      <c r="Q286" s="83"/>
      <c r="R286" s="86">
        <v>0.72551054003859172</v>
      </c>
      <c r="S286" s="87">
        <v>5.01</v>
      </c>
      <c r="T286" s="83"/>
      <c r="U286" s="92">
        <v>40</v>
      </c>
      <c r="V286" s="83"/>
      <c r="W286" s="83"/>
      <c r="X286" s="83"/>
      <c r="Y286" s="87">
        <v>4.2</v>
      </c>
      <c r="Z286" s="83"/>
      <c r="AA286" s="86"/>
      <c r="AB286" s="86"/>
      <c r="AC286" s="83"/>
      <c r="AD286" s="88">
        <v>60</v>
      </c>
      <c r="AE286" s="88">
        <v>120</v>
      </c>
      <c r="AF286" s="88">
        <v>820</v>
      </c>
      <c r="AG286" s="66">
        <f t="shared" si="8"/>
        <v>94.4</v>
      </c>
      <c r="AH286" s="143">
        <f t="shared" si="9"/>
        <v>1000</v>
      </c>
    </row>
    <row r="287" spans="1:34" s="90" customFormat="1" x14ac:dyDescent="0.3">
      <c r="A287" s="84">
        <v>802783</v>
      </c>
      <c r="B287" s="87">
        <v>0.20833333333333334</v>
      </c>
      <c r="C287" s="87"/>
      <c r="D287" s="86">
        <v>7.37</v>
      </c>
      <c r="E287" s="99">
        <v>7.0000000000000007E-2</v>
      </c>
      <c r="F287" s="84">
        <v>2.8</v>
      </c>
      <c r="G287" s="84"/>
      <c r="H287" s="92">
        <v>149.41999999999999</v>
      </c>
      <c r="I287" s="84">
        <v>160</v>
      </c>
      <c r="J287" s="85">
        <v>4.9000000000000002E-2</v>
      </c>
      <c r="K287" s="87">
        <v>1.24</v>
      </c>
      <c r="L287" s="83">
        <v>218</v>
      </c>
      <c r="M287" s="83">
        <v>1.03</v>
      </c>
      <c r="N287" s="83">
        <v>0.67</v>
      </c>
      <c r="O287" s="83">
        <v>5.66</v>
      </c>
      <c r="P287" s="83">
        <v>8.2799999999999994</v>
      </c>
      <c r="Q287" s="83"/>
      <c r="R287" s="86">
        <v>0.4994875864380362</v>
      </c>
      <c r="S287" s="87">
        <v>3.61</v>
      </c>
      <c r="T287" s="83"/>
      <c r="U287" s="92">
        <v>20</v>
      </c>
      <c r="V287" s="83"/>
      <c r="W287" s="83"/>
      <c r="X287" s="83"/>
      <c r="Y287" s="87">
        <v>4.8</v>
      </c>
      <c r="Z287" s="83"/>
      <c r="AA287" s="86"/>
      <c r="AB287" s="86"/>
      <c r="AC287" s="83"/>
      <c r="AD287" s="88">
        <v>140</v>
      </c>
      <c r="AE287" s="88">
        <v>60</v>
      </c>
      <c r="AF287" s="88">
        <v>800</v>
      </c>
      <c r="AG287" s="66">
        <f t="shared" si="8"/>
        <v>91.45</v>
      </c>
      <c r="AH287" s="143">
        <f t="shared" si="9"/>
        <v>1000</v>
      </c>
    </row>
    <row r="288" spans="1:34" s="90" customFormat="1" x14ac:dyDescent="0.3">
      <c r="A288" s="84">
        <v>802784</v>
      </c>
      <c r="B288" s="87">
        <v>0.24999999999999997</v>
      </c>
      <c r="C288" s="87"/>
      <c r="D288" s="86">
        <v>8.19</v>
      </c>
      <c r="E288" s="99">
        <v>0.05</v>
      </c>
      <c r="F288" s="84">
        <v>2.8</v>
      </c>
      <c r="G288" s="84"/>
      <c r="H288" s="92">
        <v>170.34</v>
      </c>
      <c r="I288" s="84">
        <v>70</v>
      </c>
      <c r="J288" s="85">
        <v>3.5000000000000003E-2</v>
      </c>
      <c r="K288" s="87">
        <v>1.23</v>
      </c>
      <c r="L288" s="83">
        <v>229</v>
      </c>
      <c r="M288" s="83">
        <v>0.86</v>
      </c>
      <c r="N288" s="83">
        <v>0.26</v>
      </c>
      <c r="O288" s="83">
        <v>5.5</v>
      </c>
      <c r="P288" s="83">
        <v>6.7</v>
      </c>
      <c r="Q288" s="83"/>
      <c r="R288" s="86">
        <v>0.64640633528278624</v>
      </c>
      <c r="S288" s="87">
        <v>4.37</v>
      </c>
      <c r="T288" s="83"/>
      <c r="U288" s="92">
        <v>26.666666666666668</v>
      </c>
      <c r="V288" s="83"/>
      <c r="W288" s="83"/>
      <c r="X288" s="83"/>
      <c r="Y288" s="87">
        <v>4.7</v>
      </c>
      <c r="Z288" s="83"/>
      <c r="AA288" s="86"/>
      <c r="AB288" s="86"/>
      <c r="AC288" s="83"/>
      <c r="AD288" s="88">
        <v>120</v>
      </c>
      <c r="AE288" s="88">
        <v>80</v>
      </c>
      <c r="AF288" s="88">
        <v>800</v>
      </c>
      <c r="AG288" s="66">
        <f t="shared" si="8"/>
        <v>92.642553191489355</v>
      </c>
      <c r="AH288" s="143">
        <f t="shared" si="9"/>
        <v>1000</v>
      </c>
    </row>
    <row r="289" spans="1:34" s="90" customFormat="1" x14ac:dyDescent="0.3">
      <c r="A289" s="84">
        <v>802785</v>
      </c>
      <c r="B289" s="87">
        <v>0.18333333333333335</v>
      </c>
      <c r="C289" s="87"/>
      <c r="D289" s="86">
        <v>7.42</v>
      </c>
      <c r="E289" s="99">
        <v>0.06</v>
      </c>
      <c r="F289" s="84">
        <v>2</v>
      </c>
      <c r="G289" s="84"/>
      <c r="H289" s="92">
        <v>91.23</v>
      </c>
      <c r="I289" s="84">
        <v>50</v>
      </c>
      <c r="J289" s="85">
        <v>6.8000000000000005E-2</v>
      </c>
      <c r="K289" s="87">
        <v>1.1499999999999999</v>
      </c>
      <c r="L289" s="83">
        <v>213</v>
      </c>
      <c r="M289" s="83">
        <v>0.78</v>
      </c>
      <c r="N289" s="83">
        <v>0.3</v>
      </c>
      <c r="O289" s="83">
        <v>5.41</v>
      </c>
      <c r="P289" s="83">
        <v>8.5299999999999994</v>
      </c>
      <c r="Q289" s="83"/>
      <c r="R289" s="86">
        <v>0.5042832846518428</v>
      </c>
      <c r="S289" s="87">
        <v>3.32</v>
      </c>
      <c r="T289" s="83"/>
      <c r="U289" s="92">
        <v>26.666666666666668</v>
      </c>
      <c r="V289" s="83"/>
      <c r="W289" s="83"/>
      <c r="X289" s="83"/>
      <c r="Y289" s="87">
        <v>3.7</v>
      </c>
      <c r="Z289" s="83"/>
      <c r="AA289" s="86"/>
      <c r="AB289" s="86"/>
      <c r="AC289" s="83"/>
      <c r="AD289" s="88">
        <v>80</v>
      </c>
      <c r="AE289" s="88">
        <v>80</v>
      </c>
      <c r="AF289" s="88">
        <v>840</v>
      </c>
      <c r="AG289" s="66">
        <f t="shared" si="8"/>
        <v>110.02702702702702</v>
      </c>
      <c r="AH289" s="143">
        <f t="shared" si="9"/>
        <v>1000</v>
      </c>
    </row>
    <row r="290" spans="1:34" s="90" customFormat="1" x14ac:dyDescent="0.3">
      <c r="A290" s="84">
        <v>802786</v>
      </c>
      <c r="B290" s="87">
        <v>0.15</v>
      </c>
      <c r="C290" s="87"/>
      <c r="D290" s="86">
        <v>7.48</v>
      </c>
      <c r="E290" s="99">
        <v>0.05</v>
      </c>
      <c r="F290" s="84">
        <v>1.3</v>
      </c>
      <c r="G290" s="84"/>
      <c r="H290" s="92">
        <v>100.36</v>
      </c>
      <c r="I290" s="84">
        <v>30</v>
      </c>
      <c r="J290" s="85">
        <v>7.9000000000000001E-2</v>
      </c>
      <c r="K290" s="87">
        <v>0.87</v>
      </c>
      <c r="L290" s="83">
        <v>158</v>
      </c>
      <c r="M290" s="83">
        <v>0.51</v>
      </c>
      <c r="N290" s="83">
        <v>0.22</v>
      </c>
      <c r="O290" s="83">
        <v>4.38</v>
      </c>
      <c r="P290" s="83">
        <v>10.19</v>
      </c>
      <c r="Q290" s="83"/>
      <c r="R290" s="86">
        <v>0.45257660012643797</v>
      </c>
      <c r="S290" s="87">
        <v>3.28</v>
      </c>
      <c r="T290" s="83"/>
      <c r="U290" s="92">
        <v>33.333333333333336</v>
      </c>
      <c r="V290" s="83"/>
      <c r="W290" s="83"/>
      <c r="X290" s="83"/>
      <c r="Y290" s="87">
        <v>3.6</v>
      </c>
      <c r="Z290" s="83"/>
      <c r="AA290" s="86"/>
      <c r="AB290" s="86"/>
      <c r="AC290" s="83"/>
      <c r="AD290" s="88">
        <v>80</v>
      </c>
      <c r="AE290" s="88">
        <v>100</v>
      </c>
      <c r="AF290" s="88">
        <v>820</v>
      </c>
      <c r="AG290" s="66">
        <f t="shared" si="8"/>
        <v>85.55</v>
      </c>
      <c r="AH290" s="143">
        <f t="shared" si="9"/>
        <v>1000</v>
      </c>
    </row>
    <row r="291" spans="1:34" s="90" customFormat="1" x14ac:dyDescent="0.3">
      <c r="A291" s="84">
        <v>802787</v>
      </c>
      <c r="B291" s="87">
        <v>0.16666666666666666</v>
      </c>
      <c r="C291" s="87"/>
      <c r="D291" s="86">
        <v>7.29</v>
      </c>
      <c r="E291" s="99">
        <v>0.05</v>
      </c>
      <c r="F291" s="84">
        <v>1.2</v>
      </c>
      <c r="G291" s="84"/>
      <c r="H291" s="92">
        <v>132.93</v>
      </c>
      <c r="I291" s="84">
        <v>50</v>
      </c>
      <c r="J291" s="85">
        <v>0.11600000000000001</v>
      </c>
      <c r="K291" s="87">
        <v>1.8</v>
      </c>
      <c r="L291" s="83">
        <v>159</v>
      </c>
      <c r="M291" s="83">
        <v>0.44</v>
      </c>
      <c r="N291" s="83">
        <v>0.27</v>
      </c>
      <c r="O291" s="83">
        <v>7.03</v>
      </c>
      <c r="P291" s="83">
        <v>11.57</v>
      </c>
      <c r="Q291" s="83"/>
      <c r="R291" s="86">
        <v>0.44837509588413954</v>
      </c>
      <c r="S291" s="87">
        <v>3.08</v>
      </c>
      <c r="T291" s="83"/>
      <c r="U291" s="92">
        <v>33.333333333333336</v>
      </c>
      <c r="V291" s="83"/>
      <c r="W291" s="83"/>
      <c r="X291" s="83"/>
      <c r="Y291" s="87">
        <v>5.9</v>
      </c>
      <c r="Z291" s="83"/>
      <c r="AA291" s="86"/>
      <c r="AB291" s="86"/>
      <c r="AC291" s="83"/>
      <c r="AD291" s="88">
        <v>100</v>
      </c>
      <c r="AE291" s="88">
        <v>100</v>
      </c>
      <c r="AF291" s="88">
        <v>800</v>
      </c>
      <c r="AG291" s="66">
        <f t="shared" si="8"/>
        <v>108</v>
      </c>
      <c r="AH291" s="143">
        <f t="shared" si="9"/>
        <v>1000</v>
      </c>
    </row>
    <row r="292" spans="1:34" s="90" customFormat="1" x14ac:dyDescent="0.3">
      <c r="A292" s="84">
        <v>802788</v>
      </c>
      <c r="B292" s="87">
        <v>0.18333333333333335</v>
      </c>
      <c r="C292" s="87"/>
      <c r="D292" s="86">
        <v>7.51</v>
      </c>
      <c r="E292" s="99">
        <v>0.06</v>
      </c>
      <c r="F292" s="84">
        <v>2.9</v>
      </c>
      <c r="G292" s="84"/>
      <c r="H292" s="92">
        <v>206.64</v>
      </c>
      <c r="I292" s="84">
        <v>60</v>
      </c>
      <c r="J292" s="85">
        <v>4.7E-2</v>
      </c>
      <c r="K292" s="87">
        <v>2.2000000000000002</v>
      </c>
      <c r="L292" s="83">
        <v>125</v>
      </c>
      <c r="M292" s="83">
        <v>0.84</v>
      </c>
      <c r="N292" s="83">
        <v>0.45</v>
      </c>
      <c r="O292" s="83">
        <v>1.25</v>
      </c>
      <c r="P292" s="83">
        <v>9.06</v>
      </c>
      <c r="Q292" s="83"/>
      <c r="R292" s="86">
        <v>0.55367216611437053</v>
      </c>
      <c r="S292" s="87">
        <v>3.95</v>
      </c>
      <c r="T292" s="83"/>
      <c r="U292" s="92">
        <v>26.666666666666668</v>
      </c>
      <c r="V292" s="83"/>
      <c r="W292" s="83"/>
      <c r="X292" s="83"/>
      <c r="Y292" s="87">
        <v>6.8</v>
      </c>
      <c r="Z292" s="83"/>
      <c r="AA292" s="86"/>
      <c r="AB292" s="86"/>
      <c r="AC292" s="83"/>
      <c r="AD292" s="88">
        <v>120</v>
      </c>
      <c r="AE292" s="88">
        <v>80</v>
      </c>
      <c r="AF292" s="88">
        <v>800</v>
      </c>
      <c r="AG292" s="66">
        <f t="shared" si="8"/>
        <v>114.5294117647059</v>
      </c>
      <c r="AH292" s="143">
        <f t="shared" si="9"/>
        <v>1000</v>
      </c>
    </row>
    <row r="293" spans="1:34" s="90" customFormat="1" x14ac:dyDescent="0.3">
      <c r="A293" s="84">
        <v>802789</v>
      </c>
      <c r="B293" s="87">
        <v>0.16666666666666666</v>
      </c>
      <c r="C293" s="87"/>
      <c r="D293" s="86">
        <v>7.64</v>
      </c>
      <c r="E293" s="99">
        <v>0.08</v>
      </c>
      <c r="F293" s="84">
        <v>2.5</v>
      </c>
      <c r="G293" s="84"/>
      <c r="H293" s="92">
        <v>150.4</v>
      </c>
      <c r="I293" s="84">
        <v>80</v>
      </c>
      <c r="J293" s="85">
        <v>2.9000000000000001E-2</v>
      </c>
      <c r="K293" s="87">
        <v>1.62</v>
      </c>
      <c r="L293" s="83">
        <v>139</v>
      </c>
      <c r="M293" s="83">
        <v>1.1100000000000001</v>
      </c>
      <c r="N293" s="83">
        <v>0.62</v>
      </c>
      <c r="O293" s="83">
        <v>1.57</v>
      </c>
      <c r="P293" s="83">
        <v>9.26</v>
      </c>
      <c r="Q293" s="83"/>
      <c r="R293" s="86">
        <v>0.91256185466380235</v>
      </c>
      <c r="S293" s="87">
        <v>6.16</v>
      </c>
      <c r="T293" s="83"/>
      <c r="U293" s="92">
        <v>26.666666666666668</v>
      </c>
      <c r="V293" s="83"/>
      <c r="W293" s="83"/>
      <c r="X293" s="83"/>
      <c r="Y293" s="87">
        <v>4.9000000000000004</v>
      </c>
      <c r="Z293" s="83"/>
      <c r="AA293" s="86"/>
      <c r="AB293" s="86"/>
      <c r="AC293" s="83"/>
      <c r="AD293" s="88">
        <v>100</v>
      </c>
      <c r="AE293" s="88">
        <v>80</v>
      </c>
      <c r="AF293" s="88">
        <v>820</v>
      </c>
      <c r="AG293" s="66">
        <f t="shared" si="8"/>
        <v>117.03673469387756</v>
      </c>
      <c r="AH293" s="143">
        <f t="shared" si="9"/>
        <v>1000</v>
      </c>
    </row>
    <row r="294" spans="1:34" s="90" customFormat="1" x14ac:dyDescent="0.3">
      <c r="A294" s="84">
        <v>802790</v>
      </c>
      <c r="B294" s="87">
        <v>0.18333333333333335</v>
      </c>
      <c r="C294" s="87"/>
      <c r="D294" s="86">
        <v>8.44</v>
      </c>
      <c r="E294" s="99">
        <v>0.12</v>
      </c>
      <c r="F294" s="84">
        <v>1.7</v>
      </c>
      <c r="G294" s="84"/>
      <c r="H294" s="92">
        <v>109.64</v>
      </c>
      <c r="I294" s="84">
        <v>90</v>
      </c>
      <c r="J294" s="85">
        <v>9.9000000000000005E-2</v>
      </c>
      <c r="K294" s="87">
        <v>2.42</v>
      </c>
      <c r="L294" s="83">
        <v>401</v>
      </c>
      <c r="M294" s="83">
        <v>0.62</v>
      </c>
      <c r="N294" s="83">
        <v>0.22</v>
      </c>
      <c r="O294" s="83">
        <v>7.88</v>
      </c>
      <c r="P294" s="83">
        <v>2.25</v>
      </c>
      <c r="Q294" s="83"/>
      <c r="R294" s="86">
        <v>0.69930892084009677</v>
      </c>
      <c r="S294" s="87">
        <v>5.0599999999999996</v>
      </c>
      <c r="T294" s="83"/>
      <c r="U294" s="92">
        <v>26.666666666666668</v>
      </c>
      <c r="V294" s="83"/>
      <c r="W294" s="83"/>
      <c r="X294" s="83"/>
      <c r="Y294" s="87">
        <v>5.6000000000000005</v>
      </c>
      <c r="Z294" s="83"/>
      <c r="AA294" s="86"/>
      <c r="AB294" s="86"/>
      <c r="AC294" s="83"/>
      <c r="AD294" s="88">
        <v>80</v>
      </c>
      <c r="AE294" s="88">
        <v>80</v>
      </c>
      <c r="AF294" s="88">
        <v>840</v>
      </c>
      <c r="AG294" s="66">
        <f t="shared" si="8"/>
        <v>152.97857142857143</v>
      </c>
      <c r="AH294" s="143">
        <f t="shared" si="9"/>
        <v>1000</v>
      </c>
    </row>
    <row r="295" spans="1:34" s="90" customFormat="1" x14ac:dyDescent="0.3">
      <c r="A295" s="84">
        <v>802791</v>
      </c>
      <c r="B295" s="87">
        <v>0.16666666666666666</v>
      </c>
      <c r="C295" s="87"/>
      <c r="D295" s="86">
        <v>7.58</v>
      </c>
      <c r="E295" s="99">
        <v>0.3</v>
      </c>
      <c r="F295" s="84">
        <v>15.5</v>
      </c>
      <c r="G295" s="84"/>
      <c r="H295" s="92">
        <v>47.03</v>
      </c>
      <c r="I295" s="84">
        <v>200</v>
      </c>
      <c r="J295" s="85">
        <v>0.152</v>
      </c>
      <c r="K295" s="87">
        <v>2.2999999999999998</v>
      </c>
      <c r="L295" s="83">
        <v>320</v>
      </c>
      <c r="M295" s="83">
        <v>1.1200000000000001</v>
      </c>
      <c r="N295" s="83">
        <v>0.4</v>
      </c>
      <c r="O295" s="83">
        <v>16.09</v>
      </c>
      <c r="P295" s="83">
        <v>2.81</v>
      </c>
      <c r="Q295" s="83"/>
      <c r="R295" s="86">
        <v>0.99541739278007357</v>
      </c>
      <c r="S295" s="87">
        <v>7.01</v>
      </c>
      <c r="T295" s="83"/>
      <c r="U295" s="92">
        <v>33.333333333333336</v>
      </c>
      <c r="V295" s="83"/>
      <c r="W295" s="83"/>
      <c r="X295" s="83"/>
      <c r="Y295" s="87">
        <v>5.6000000000000005</v>
      </c>
      <c r="Z295" s="83"/>
      <c r="AA295" s="86"/>
      <c r="AB295" s="86"/>
      <c r="AC295" s="83"/>
      <c r="AD295" s="88">
        <v>80</v>
      </c>
      <c r="AE295" s="88">
        <v>100</v>
      </c>
      <c r="AF295" s="88">
        <v>820</v>
      </c>
      <c r="AG295" s="66">
        <f t="shared" si="8"/>
        <v>145.39285714285711</v>
      </c>
      <c r="AH295" s="143">
        <f t="shared" si="9"/>
        <v>1000</v>
      </c>
    </row>
    <row r="296" spans="1:34" s="90" customFormat="1" x14ac:dyDescent="0.3">
      <c r="A296" s="84">
        <v>802792</v>
      </c>
      <c r="B296" s="87">
        <v>0.15</v>
      </c>
      <c r="C296" s="87"/>
      <c r="D296" s="86">
        <v>6.95</v>
      </c>
      <c r="E296" s="99">
        <v>0.48</v>
      </c>
      <c r="F296" s="84">
        <v>90.850000000000009</v>
      </c>
      <c r="G296" s="84"/>
      <c r="H296" s="92">
        <v>45.77</v>
      </c>
      <c r="I296" s="84">
        <v>170</v>
      </c>
      <c r="J296" s="85">
        <v>0.20699999999999999</v>
      </c>
      <c r="K296" s="87">
        <v>1.81</v>
      </c>
      <c r="L296" s="83">
        <v>386</v>
      </c>
      <c r="M296" s="83">
        <v>2.63</v>
      </c>
      <c r="N296" s="83">
        <v>0.88</v>
      </c>
      <c r="O296" s="83">
        <v>15.21</v>
      </c>
      <c r="P296" s="83">
        <v>18.420000000000002</v>
      </c>
      <c r="Q296" s="83"/>
      <c r="R296" s="86">
        <v>1.0978149957722956</v>
      </c>
      <c r="S296" s="87">
        <v>7.32</v>
      </c>
      <c r="T296" s="83"/>
      <c r="U296" s="92">
        <v>33.333333333333336</v>
      </c>
      <c r="V296" s="83"/>
      <c r="W296" s="83"/>
      <c r="X296" s="83"/>
      <c r="Y296" s="87">
        <v>4.2</v>
      </c>
      <c r="Z296" s="83"/>
      <c r="AA296" s="86"/>
      <c r="AB296" s="86"/>
      <c r="AC296" s="83"/>
      <c r="AD296" s="88">
        <v>60</v>
      </c>
      <c r="AE296" s="88">
        <v>100</v>
      </c>
      <c r="AF296" s="88">
        <v>840</v>
      </c>
      <c r="AG296" s="66">
        <f t="shared" si="8"/>
        <v>152.55714285714285</v>
      </c>
      <c r="AH296" s="143">
        <f t="shared" si="9"/>
        <v>1000</v>
      </c>
    </row>
    <row r="297" spans="1:34" s="90" customFormat="1" x14ac:dyDescent="0.3">
      <c r="A297" s="84">
        <v>802793</v>
      </c>
      <c r="B297" s="87">
        <v>18.666666666666668</v>
      </c>
      <c r="C297" s="87">
        <v>10.8</v>
      </c>
      <c r="D297" s="86">
        <v>8.7799999999999994</v>
      </c>
      <c r="E297" s="99">
        <v>0.21</v>
      </c>
      <c r="F297" s="84">
        <v>2.5</v>
      </c>
      <c r="G297" s="84"/>
      <c r="H297" s="92">
        <v>295.73</v>
      </c>
      <c r="I297" s="84">
        <v>770</v>
      </c>
      <c r="J297" s="85">
        <v>0.63500000000000001</v>
      </c>
      <c r="K297" s="87">
        <v>18.86</v>
      </c>
      <c r="L297" s="83">
        <v>810</v>
      </c>
      <c r="M297" s="83">
        <v>0.64</v>
      </c>
      <c r="N297" s="83">
        <v>2.23</v>
      </c>
      <c r="O297" s="83">
        <v>1.8</v>
      </c>
      <c r="P297" s="83">
        <v>8.57</v>
      </c>
      <c r="Q297" s="83"/>
      <c r="R297" s="86">
        <v>1.7978838800000001</v>
      </c>
      <c r="S297" s="87">
        <v>16.54</v>
      </c>
      <c r="T297" s="83"/>
      <c r="U297" s="92">
        <v>80</v>
      </c>
      <c r="V297" s="83"/>
      <c r="W297" s="83"/>
      <c r="X297" s="83"/>
      <c r="Y297" s="87">
        <v>44.800000000000004</v>
      </c>
      <c r="Z297" s="83"/>
      <c r="AA297" s="86"/>
      <c r="AB297" s="86"/>
      <c r="AC297" s="83"/>
      <c r="AD297" s="88">
        <v>640</v>
      </c>
      <c r="AE297" s="88">
        <v>240</v>
      </c>
      <c r="AF297" s="88">
        <v>120</v>
      </c>
      <c r="AG297" s="66">
        <f t="shared" si="8"/>
        <v>149.02767857142854</v>
      </c>
      <c r="AH297" s="143">
        <f t="shared" si="9"/>
        <v>1000</v>
      </c>
    </row>
    <row r="298" spans="1:34" s="90" customFormat="1" x14ac:dyDescent="0.3">
      <c r="A298" s="84">
        <v>802794</v>
      </c>
      <c r="B298" s="87">
        <v>17.5</v>
      </c>
      <c r="C298" s="87">
        <v>10.5</v>
      </c>
      <c r="D298" s="86">
        <v>8.69</v>
      </c>
      <c r="E298" s="99">
        <v>0.23</v>
      </c>
      <c r="F298" s="84">
        <v>2.6</v>
      </c>
      <c r="G298" s="84"/>
      <c r="H298" s="92">
        <v>198.62</v>
      </c>
      <c r="I298" s="84">
        <v>990</v>
      </c>
      <c r="J298" s="85">
        <v>0.54</v>
      </c>
      <c r="K298" s="87">
        <v>19.2</v>
      </c>
      <c r="L298" s="83">
        <v>990</v>
      </c>
      <c r="M298" s="83">
        <v>0.93</v>
      </c>
      <c r="N298" s="83">
        <v>3.37</v>
      </c>
      <c r="O298" s="83">
        <v>4.37</v>
      </c>
      <c r="P298" s="83">
        <v>7.31</v>
      </c>
      <c r="Q298" s="83"/>
      <c r="R298" s="86">
        <v>1.8375780800000001</v>
      </c>
      <c r="S298" s="87">
        <v>17.84</v>
      </c>
      <c r="T298" s="83"/>
      <c r="U298" s="92">
        <v>80</v>
      </c>
      <c r="V298" s="83"/>
      <c r="W298" s="83"/>
      <c r="X298" s="83"/>
      <c r="Y298" s="87">
        <v>43.400000000000006</v>
      </c>
      <c r="Z298" s="83"/>
      <c r="AA298" s="86"/>
      <c r="AB298" s="86"/>
      <c r="AC298" s="83"/>
      <c r="AD298" s="88">
        <v>620</v>
      </c>
      <c r="AE298" s="88">
        <v>240</v>
      </c>
      <c r="AF298" s="88">
        <v>140</v>
      </c>
      <c r="AG298" s="66">
        <f t="shared" si="8"/>
        <v>156.60829493087556</v>
      </c>
      <c r="AH298" s="143">
        <f t="shared" si="9"/>
        <v>1000</v>
      </c>
    </row>
    <row r="299" spans="1:34" s="90" customFormat="1" x14ac:dyDescent="0.3">
      <c r="A299" s="84">
        <v>802795</v>
      </c>
      <c r="B299" s="87">
        <v>13.416666666666666</v>
      </c>
      <c r="C299" s="87">
        <v>3.2499999999999973</v>
      </c>
      <c r="D299" s="86">
        <v>8.94</v>
      </c>
      <c r="E299" s="99">
        <v>0.19999999999999998</v>
      </c>
      <c r="F299" s="84">
        <v>120.2</v>
      </c>
      <c r="G299" s="83"/>
      <c r="H299" s="84">
        <v>24.16</v>
      </c>
      <c r="I299" s="84">
        <v>140</v>
      </c>
      <c r="J299" s="85">
        <v>0.187</v>
      </c>
      <c r="K299" s="87">
        <v>6.25</v>
      </c>
      <c r="L299" s="83">
        <v>285</v>
      </c>
      <c r="M299" s="83">
        <v>0.4</v>
      </c>
      <c r="N299" s="83">
        <v>0.09</v>
      </c>
      <c r="O299" s="83">
        <v>1.84</v>
      </c>
      <c r="P299" s="83">
        <v>2.37</v>
      </c>
      <c r="Q299" s="83"/>
      <c r="R299" s="82">
        <v>0.36148321736900152</v>
      </c>
      <c r="S299" s="87">
        <v>2.4</v>
      </c>
      <c r="T299" s="83"/>
      <c r="U299" s="92">
        <v>60</v>
      </c>
      <c r="V299" s="83"/>
      <c r="W299" s="83"/>
      <c r="X299" s="83"/>
      <c r="Y299" s="87">
        <v>4.2</v>
      </c>
      <c r="Z299" s="83"/>
      <c r="AA299" s="86"/>
      <c r="AB299" s="86"/>
      <c r="AC299" s="83"/>
      <c r="AD299" s="88">
        <v>60</v>
      </c>
      <c r="AE299" s="88">
        <v>180</v>
      </c>
      <c r="AF299" s="88">
        <v>760</v>
      </c>
      <c r="AG299" s="66">
        <f t="shared" si="8"/>
        <v>526.78571428571422</v>
      </c>
      <c r="AH299" s="143">
        <f t="shared" si="9"/>
        <v>1000</v>
      </c>
    </row>
    <row r="300" spans="1:34" s="90" customFormat="1" x14ac:dyDescent="0.3">
      <c r="A300" s="84">
        <v>802796</v>
      </c>
      <c r="B300" s="87">
        <v>27.499999999999996</v>
      </c>
      <c r="C300" s="87">
        <v>10.749999999999996</v>
      </c>
      <c r="D300" s="86">
        <v>8.48</v>
      </c>
      <c r="E300" s="99">
        <v>0.87</v>
      </c>
      <c r="F300" s="84">
        <v>569.6</v>
      </c>
      <c r="G300" s="83"/>
      <c r="H300" s="84">
        <v>40.229999999999997</v>
      </c>
      <c r="I300" s="84">
        <v>280</v>
      </c>
      <c r="J300" s="85">
        <v>0.60299999999999998</v>
      </c>
      <c r="K300" s="87">
        <v>9.41</v>
      </c>
      <c r="L300" s="83">
        <v>1209</v>
      </c>
      <c r="M300" s="83">
        <v>0.22</v>
      </c>
      <c r="N300" s="83">
        <v>0.46</v>
      </c>
      <c r="O300" s="83">
        <v>4.55</v>
      </c>
      <c r="P300" s="83">
        <v>1.73</v>
      </c>
      <c r="Q300" s="83"/>
      <c r="R300" s="82">
        <v>0.9928623171216614</v>
      </c>
      <c r="S300" s="87">
        <v>7.1</v>
      </c>
      <c r="T300" s="83"/>
      <c r="U300" s="92">
        <v>160</v>
      </c>
      <c r="V300" s="83"/>
      <c r="W300" s="83"/>
      <c r="X300" s="83"/>
      <c r="Y300" s="87">
        <v>11.200000000000001</v>
      </c>
      <c r="Z300" s="83"/>
      <c r="AA300" s="86"/>
      <c r="AB300" s="86"/>
      <c r="AC300" s="83"/>
      <c r="AD300" s="88">
        <v>160</v>
      </c>
      <c r="AE300" s="88">
        <v>480</v>
      </c>
      <c r="AF300" s="88">
        <v>360</v>
      </c>
      <c r="AG300" s="66">
        <f t="shared" si="8"/>
        <v>297.42321428571427</v>
      </c>
      <c r="AH300" s="143">
        <f t="shared" si="9"/>
        <v>1000</v>
      </c>
    </row>
    <row r="301" spans="1:34" s="90" customFormat="1" x14ac:dyDescent="0.3">
      <c r="A301" s="84">
        <v>802797</v>
      </c>
      <c r="B301" s="87">
        <v>30.166666666666664</v>
      </c>
      <c r="C301" s="87">
        <v>9.625</v>
      </c>
      <c r="D301" s="86">
        <v>8.58</v>
      </c>
      <c r="E301" s="99">
        <v>0.86</v>
      </c>
      <c r="F301" s="84">
        <v>960.05</v>
      </c>
      <c r="G301" s="83"/>
      <c r="H301" s="84">
        <v>34.94</v>
      </c>
      <c r="I301" s="84">
        <v>1270</v>
      </c>
      <c r="J301" s="85">
        <v>1.3080000000000001</v>
      </c>
      <c r="K301" s="87">
        <v>11.94</v>
      </c>
      <c r="L301" s="83">
        <v>1567</v>
      </c>
      <c r="M301" s="83">
        <v>0.26</v>
      </c>
      <c r="N301" s="83">
        <v>0.55000000000000004</v>
      </c>
      <c r="O301" s="83">
        <v>2.89</v>
      </c>
      <c r="P301" s="83">
        <v>1.96</v>
      </c>
      <c r="Q301" s="83"/>
      <c r="R301" s="82">
        <v>0.69192348417769611</v>
      </c>
      <c r="S301" s="87">
        <v>5.0999999999999996</v>
      </c>
      <c r="T301" s="83"/>
      <c r="U301" s="92">
        <v>206.66666666666666</v>
      </c>
      <c r="V301" s="83"/>
      <c r="W301" s="83"/>
      <c r="X301" s="83"/>
      <c r="Y301" s="87">
        <v>16.8</v>
      </c>
      <c r="Z301" s="83"/>
      <c r="AA301" s="86"/>
      <c r="AB301" s="86"/>
      <c r="AC301" s="83"/>
      <c r="AD301" s="88">
        <v>240</v>
      </c>
      <c r="AE301" s="88">
        <v>620</v>
      </c>
      <c r="AF301" s="88">
        <v>140</v>
      </c>
      <c r="AG301" s="66">
        <f t="shared" si="8"/>
        <v>251.59285714285716</v>
      </c>
      <c r="AH301" s="143">
        <f t="shared" si="9"/>
        <v>1000</v>
      </c>
    </row>
    <row r="302" spans="1:34" s="90" customFormat="1" x14ac:dyDescent="0.3">
      <c r="A302" s="84">
        <v>802798</v>
      </c>
      <c r="B302" s="87">
        <v>22.083333333333336</v>
      </c>
      <c r="C302" s="87">
        <v>13.124999999999998</v>
      </c>
      <c r="D302" s="86">
        <v>8.57</v>
      </c>
      <c r="E302" s="99">
        <v>1.27</v>
      </c>
      <c r="F302" s="84">
        <v>1348.8</v>
      </c>
      <c r="G302" s="83"/>
      <c r="H302" s="84">
        <v>67.209999999999994</v>
      </c>
      <c r="I302" s="84">
        <v>350</v>
      </c>
      <c r="J302" s="85">
        <v>1.3660000000000001</v>
      </c>
      <c r="K302" s="87">
        <v>10.43</v>
      </c>
      <c r="L302" s="83">
        <v>1235</v>
      </c>
      <c r="M302" s="83">
        <v>0.38</v>
      </c>
      <c r="N302" s="83">
        <v>0.92</v>
      </c>
      <c r="O302" s="83">
        <v>4.03</v>
      </c>
      <c r="P302" s="83">
        <v>2.06</v>
      </c>
      <c r="Q302" s="83"/>
      <c r="R302" s="82">
        <v>1.0626251496961994</v>
      </c>
      <c r="S302" s="87">
        <v>7.9</v>
      </c>
      <c r="T302" s="83"/>
      <c r="U302" s="92">
        <v>226.66666666666666</v>
      </c>
      <c r="V302" s="83"/>
      <c r="W302" s="83"/>
      <c r="X302" s="83"/>
      <c r="Y302" s="87">
        <v>18.900000000000002</v>
      </c>
      <c r="Z302" s="83"/>
      <c r="AA302" s="86"/>
      <c r="AB302" s="86"/>
      <c r="AC302" s="83"/>
      <c r="AD302" s="88">
        <v>270</v>
      </c>
      <c r="AE302" s="88">
        <v>680</v>
      </c>
      <c r="AF302" s="88">
        <v>50</v>
      </c>
      <c r="AG302" s="66">
        <f t="shared" si="8"/>
        <v>195.35555555555553</v>
      </c>
      <c r="AH302" s="143">
        <f t="shared" si="9"/>
        <v>1000</v>
      </c>
    </row>
    <row r="303" spans="1:34" s="90" customFormat="1" x14ac:dyDescent="0.3">
      <c r="A303" s="84">
        <v>802799</v>
      </c>
      <c r="B303" s="87">
        <v>33.333333333333329</v>
      </c>
      <c r="C303" s="87">
        <v>17.75</v>
      </c>
      <c r="D303" s="86">
        <v>8.69</v>
      </c>
      <c r="E303" s="99">
        <v>0.54</v>
      </c>
      <c r="F303" s="84">
        <v>432.70000000000005</v>
      </c>
      <c r="G303" s="83"/>
      <c r="H303" s="84">
        <v>45.35</v>
      </c>
      <c r="I303" s="84">
        <v>580</v>
      </c>
      <c r="J303" s="85">
        <v>0.86899999999999999</v>
      </c>
      <c r="K303" s="87">
        <v>11.15</v>
      </c>
      <c r="L303" s="83">
        <v>1690</v>
      </c>
      <c r="M303" s="83">
        <v>0.38</v>
      </c>
      <c r="N303" s="83">
        <v>0.6</v>
      </c>
      <c r="O303" s="83">
        <v>3.3</v>
      </c>
      <c r="P303" s="83">
        <v>2.2799999999999998</v>
      </c>
      <c r="Q303" s="83"/>
      <c r="R303" s="82">
        <v>1.1376837298869478</v>
      </c>
      <c r="S303" s="87">
        <v>8.3000000000000007</v>
      </c>
      <c r="T303" s="83"/>
      <c r="U303" s="92">
        <v>236.66666666666666</v>
      </c>
      <c r="V303" s="83"/>
      <c r="W303" s="83"/>
      <c r="X303" s="83"/>
      <c r="Y303" s="87">
        <v>14.700000000000001</v>
      </c>
      <c r="Z303" s="83"/>
      <c r="AA303" s="86"/>
      <c r="AB303" s="86"/>
      <c r="AC303" s="83"/>
      <c r="AD303" s="88">
        <v>210</v>
      </c>
      <c r="AE303" s="88">
        <v>710</v>
      </c>
      <c r="AF303" s="88">
        <v>80</v>
      </c>
      <c r="AG303" s="66">
        <f t="shared" si="8"/>
        <v>268.51020408163265</v>
      </c>
      <c r="AH303" s="143">
        <f t="shared" si="9"/>
        <v>1000</v>
      </c>
    </row>
    <row r="304" spans="1:34" s="90" customFormat="1" x14ac:dyDescent="0.3">
      <c r="A304" s="84">
        <v>802800</v>
      </c>
      <c r="B304" s="87">
        <v>18.166666666666668</v>
      </c>
      <c r="C304" s="87">
        <v>11.249999999999998</v>
      </c>
      <c r="D304" s="86">
        <v>8.65</v>
      </c>
      <c r="E304" s="99">
        <v>0.24</v>
      </c>
      <c r="F304" s="84">
        <v>140.69999999999999</v>
      </c>
      <c r="G304" s="83"/>
      <c r="H304" s="84">
        <v>18.89</v>
      </c>
      <c r="I304" s="84">
        <v>700</v>
      </c>
      <c r="J304" s="85">
        <v>0.10299999999999999</v>
      </c>
      <c r="K304" s="87">
        <v>14.97</v>
      </c>
      <c r="L304" s="83">
        <v>3001</v>
      </c>
      <c r="M304" s="83">
        <v>0.41</v>
      </c>
      <c r="N304" s="83">
        <v>0.75</v>
      </c>
      <c r="O304" s="83">
        <v>8.61</v>
      </c>
      <c r="P304" s="83">
        <v>2.5099999999999998</v>
      </c>
      <c r="Q304" s="83"/>
      <c r="R304" s="82">
        <v>1.3188605207697603</v>
      </c>
      <c r="S304" s="87">
        <v>9.4</v>
      </c>
      <c r="T304" s="83"/>
      <c r="U304" s="92">
        <v>186.66666666666666</v>
      </c>
      <c r="V304" s="83"/>
      <c r="W304" s="83"/>
      <c r="X304" s="83"/>
      <c r="Y304" s="87">
        <v>23.1</v>
      </c>
      <c r="Z304" s="83"/>
      <c r="AA304" s="86"/>
      <c r="AB304" s="86"/>
      <c r="AC304" s="83"/>
      <c r="AD304" s="88">
        <v>330</v>
      </c>
      <c r="AE304" s="88">
        <v>560</v>
      </c>
      <c r="AF304" s="88">
        <v>110</v>
      </c>
      <c r="AG304" s="66">
        <f t="shared" si="8"/>
        <v>229.41038961038961</v>
      </c>
      <c r="AH304" s="143">
        <f t="shared" si="9"/>
        <v>1000</v>
      </c>
    </row>
    <row r="305" spans="1:34" s="90" customFormat="1" x14ac:dyDescent="0.3">
      <c r="A305" s="84">
        <v>802801</v>
      </c>
      <c r="B305" s="87">
        <v>18.666666666666668</v>
      </c>
      <c r="C305" s="87">
        <v>12.374999999999998</v>
      </c>
      <c r="D305" s="86">
        <v>8.7799999999999994</v>
      </c>
      <c r="E305" s="99">
        <v>0.27</v>
      </c>
      <c r="F305" s="84">
        <v>130.1</v>
      </c>
      <c r="G305" s="83"/>
      <c r="H305" s="84">
        <v>18.5</v>
      </c>
      <c r="I305" s="84">
        <v>170</v>
      </c>
      <c r="J305" s="85">
        <v>0.27900000000000003</v>
      </c>
      <c r="K305" s="87">
        <v>12.72</v>
      </c>
      <c r="L305" s="83">
        <v>2626</v>
      </c>
      <c r="M305" s="83">
        <v>0.3</v>
      </c>
      <c r="N305" s="83">
        <v>0.61</v>
      </c>
      <c r="O305" s="83">
        <v>6.78</v>
      </c>
      <c r="P305" s="83">
        <v>3.53</v>
      </c>
      <c r="Q305" s="83"/>
      <c r="R305" s="82">
        <v>1.5133119102443457</v>
      </c>
      <c r="S305" s="87">
        <v>9.9</v>
      </c>
      <c r="T305" s="83"/>
      <c r="U305" s="92">
        <v>193.33333333333334</v>
      </c>
      <c r="V305" s="83"/>
      <c r="W305" s="83"/>
      <c r="X305" s="83"/>
      <c r="Y305" s="87">
        <v>21.000000000000004</v>
      </c>
      <c r="Z305" s="83"/>
      <c r="AA305" s="86"/>
      <c r="AB305" s="86"/>
      <c r="AC305" s="83"/>
      <c r="AD305" s="88">
        <v>300</v>
      </c>
      <c r="AE305" s="88">
        <v>580</v>
      </c>
      <c r="AF305" s="88">
        <v>120</v>
      </c>
      <c r="AG305" s="66">
        <f t="shared" si="8"/>
        <v>214.42285714285711</v>
      </c>
      <c r="AH305" s="143">
        <f t="shared" si="9"/>
        <v>1000</v>
      </c>
    </row>
    <row r="306" spans="1:34" s="90" customFormat="1" x14ac:dyDescent="0.3">
      <c r="A306" s="84">
        <v>802802</v>
      </c>
      <c r="B306" s="87">
        <v>20.333333333333332</v>
      </c>
      <c r="C306" s="87">
        <v>10.749999999999996</v>
      </c>
      <c r="D306" s="86">
        <v>8.65</v>
      </c>
      <c r="E306" s="99">
        <v>0.26</v>
      </c>
      <c r="F306" s="84">
        <v>171.70000000000002</v>
      </c>
      <c r="G306" s="83"/>
      <c r="H306" s="84">
        <v>34.78</v>
      </c>
      <c r="I306" s="84">
        <v>270</v>
      </c>
      <c r="J306" s="85">
        <v>0.16800000000000001</v>
      </c>
      <c r="K306" s="87">
        <v>10.88</v>
      </c>
      <c r="L306" s="83">
        <v>2625</v>
      </c>
      <c r="M306" s="83">
        <v>0.77</v>
      </c>
      <c r="N306" s="83">
        <v>0.66</v>
      </c>
      <c r="O306" s="83">
        <v>7.68</v>
      </c>
      <c r="P306" s="83">
        <v>3.76</v>
      </c>
      <c r="Q306" s="83"/>
      <c r="R306" s="82">
        <v>1.3836281745604493</v>
      </c>
      <c r="S306" s="87">
        <v>10.199999999999999</v>
      </c>
      <c r="T306" s="83"/>
      <c r="U306" s="92">
        <v>190</v>
      </c>
      <c r="V306" s="83"/>
      <c r="W306" s="83"/>
      <c r="X306" s="83"/>
      <c r="Y306" s="87">
        <v>23.8</v>
      </c>
      <c r="Z306" s="83"/>
      <c r="AA306" s="86"/>
      <c r="AB306" s="86"/>
      <c r="AC306" s="83"/>
      <c r="AD306" s="88">
        <v>340</v>
      </c>
      <c r="AE306" s="88">
        <v>570</v>
      </c>
      <c r="AF306" s="88">
        <v>90</v>
      </c>
      <c r="AG306" s="66">
        <f t="shared" si="8"/>
        <v>161.82857142857142</v>
      </c>
      <c r="AH306" s="143">
        <f t="shared" si="9"/>
        <v>1000</v>
      </c>
    </row>
    <row r="307" spans="1:34" s="90" customFormat="1" x14ac:dyDescent="0.3">
      <c r="A307" s="84">
        <v>802803</v>
      </c>
      <c r="B307" s="87">
        <v>18.333333333333336</v>
      </c>
      <c r="C307" s="87">
        <v>14.124999999999998</v>
      </c>
      <c r="D307" s="86">
        <v>8.5500000000000007</v>
      </c>
      <c r="E307" s="99">
        <v>0.45</v>
      </c>
      <c r="F307" s="84">
        <v>200.35</v>
      </c>
      <c r="G307" s="83"/>
      <c r="H307" s="84">
        <v>34.450000000000003</v>
      </c>
      <c r="I307" s="84">
        <v>600</v>
      </c>
      <c r="J307" s="85">
        <v>0.29199999999999998</v>
      </c>
      <c r="K307" s="87">
        <v>11.65</v>
      </c>
      <c r="L307" s="83">
        <v>2033</v>
      </c>
      <c r="M307" s="83">
        <v>1.1499999999999999</v>
      </c>
      <c r="N307" s="83">
        <v>0.65</v>
      </c>
      <c r="O307" s="83">
        <v>7.31</v>
      </c>
      <c r="P307" s="83">
        <v>3.59</v>
      </c>
      <c r="Q307" s="83"/>
      <c r="R307" s="82">
        <v>1.4909182434504225</v>
      </c>
      <c r="S307" s="87">
        <v>10</v>
      </c>
      <c r="T307" s="83"/>
      <c r="U307" s="92">
        <v>183.33333333333334</v>
      </c>
      <c r="V307" s="83"/>
      <c r="W307" s="83"/>
      <c r="X307" s="83"/>
      <c r="Y307" s="87">
        <v>25.200000000000003</v>
      </c>
      <c r="Z307" s="83"/>
      <c r="AA307" s="86"/>
      <c r="AB307" s="86"/>
      <c r="AC307" s="83"/>
      <c r="AD307" s="88">
        <v>360</v>
      </c>
      <c r="AE307" s="88">
        <v>550</v>
      </c>
      <c r="AF307" s="88">
        <v>90</v>
      </c>
      <c r="AG307" s="66">
        <f t="shared" si="8"/>
        <v>163.6547619047619</v>
      </c>
      <c r="AH307" s="143">
        <f t="shared" si="9"/>
        <v>1000</v>
      </c>
    </row>
    <row r="308" spans="1:34" s="90" customFormat="1" x14ac:dyDescent="0.3">
      <c r="A308" s="84">
        <v>802804</v>
      </c>
      <c r="B308" s="87">
        <v>24</v>
      </c>
      <c r="C308" s="87">
        <v>12.125</v>
      </c>
      <c r="D308" s="86">
        <v>8.85</v>
      </c>
      <c r="E308" s="99">
        <v>0.16</v>
      </c>
      <c r="F308" s="84">
        <v>45.599999999999994</v>
      </c>
      <c r="G308" s="83"/>
      <c r="H308" s="84">
        <v>18.190000000000001</v>
      </c>
      <c r="I308" s="84">
        <v>530</v>
      </c>
      <c r="J308" s="85">
        <v>0.11799999999999999</v>
      </c>
      <c r="K308" s="87">
        <v>10.9</v>
      </c>
      <c r="L308" s="83">
        <v>1051</v>
      </c>
      <c r="M308" s="83">
        <v>0.52</v>
      </c>
      <c r="N308" s="83">
        <v>1.0900000000000001</v>
      </c>
      <c r="O308" s="83">
        <v>7.1</v>
      </c>
      <c r="P308" s="83">
        <v>3.5</v>
      </c>
      <c r="Q308" s="83"/>
      <c r="R308" s="82">
        <v>0.98077781612164683</v>
      </c>
      <c r="S308" s="87">
        <v>6.4</v>
      </c>
      <c r="T308" s="83"/>
      <c r="U308" s="92">
        <v>200</v>
      </c>
      <c r="V308" s="83"/>
      <c r="W308" s="83"/>
      <c r="X308" s="83"/>
      <c r="Y308" s="87">
        <v>22.400000000000002</v>
      </c>
      <c r="Z308" s="83"/>
      <c r="AA308" s="86"/>
      <c r="AB308" s="86"/>
      <c r="AC308" s="83"/>
      <c r="AD308" s="88">
        <v>320</v>
      </c>
      <c r="AE308" s="88">
        <v>600</v>
      </c>
      <c r="AF308" s="88">
        <v>80</v>
      </c>
      <c r="AG308" s="66">
        <f t="shared" si="8"/>
        <v>172.25892857142856</v>
      </c>
      <c r="AH308" s="143">
        <f t="shared" si="9"/>
        <v>1000</v>
      </c>
    </row>
    <row r="309" spans="1:34" s="90" customFormat="1" x14ac:dyDescent="0.3">
      <c r="A309" s="84">
        <v>802805</v>
      </c>
      <c r="B309" s="87">
        <v>26.166666666666664</v>
      </c>
      <c r="C309" s="87">
        <v>10.749999999999996</v>
      </c>
      <c r="D309" s="86">
        <v>8.84</v>
      </c>
      <c r="E309" s="99">
        <v>0.16999999999999998</v>
      </c>
      <c r="F309" s="84">
        <v>44.45</v>
      </c>
      <c r="G309" s="83"/>
      <c r="H309" s="84">
        <v>44.68</v>
      </c>
      <c r="I309" s="84">
        <v>430</v>
      </c>
      <c r="J309" s="85">
        <v>0.20599999999999999</v>
      </c>
      <c r="K309" s="87">
        <v>10.7</v>
      </c>
      <c r="L309" s="83">
        <v>1169</v>
      </c>
      <c r="M309" s="83">
        <v>0.3</v>
      </c>
      <c r="N309" s="83">
        <v>1.04</v>
      </c>
      <c r="O309" s="83">
        <v>3.77</v>
      </c>
      <c r="P309" s="83">
        <v>2.74</v>
      </c>
      <c r="Q309" s="83"/>
      <c r="R309" s="82">
        <v>0.70630294191267562</v>
      </c>
      <c r="S309" s="87">
        <v>4.7</v>
      </c>
      <c r="T309" s="83"/>
      <c r="U309" s="92">
        <v>240</v>
      </c>
      <c r="V309" s="83"/>
      <c r="W309" s="83"/>
      <c r="X309" s="83"/>
      <c r="Y309" s="87">
        <v>16.8</v>
      </c>
      <c r="Z309" s="83"/>
      <c r="AA309" s="86"/>
      <c r="AB309" s="86"/>
      <c r="AC309" s="83"/>
      <c r="AD309" s="88">
        <v>240</v>
      </c>
      <c r="AE309" s="88">
        <v>720</v>
      </c>
      <c r="AF309" s="88">
        <v>40</v>
      </c>
      <c r="AG309" s="66">
        <f t="shared" si="8"/>
        <v>225.46428571428572</v>
      </c>
      <c r="AH309" s="143">
        <f t="shared" si="9"/>
        <v>1000</v>
      </c>
    </row>
    <row r="310" spans="1:34" s="90" customFormat="1" x14ac:dyDescent="0.3">
      <c r="A310" s="84">
        <v>802806</v>
      </c>
      <c r="B310" s="87">
        <v>61.333333333333329</v>
      </c>
      <c r="C310" s="87">
        <v>15.25</v>
      </c>
      <c r="D310" s="86">
        <v>8.52</v>
      </c>
      <c r="E310" s="99">
        <v>0.65</v>
      </c>
      <c r="F310" s="84">
        <v>80.349999999999994</v>
      </c>
      <c r="G310" s="83"/>
      <c r="H310" s="84">
        <v>78.2</v>
      </c>
      <c r="I310" s="84">
        <v>130</v>
      </c>
      <c r="J310" s="85">
        <v>0.13300000000000001</v>
      </c>
      <c r="K310" s="87">
        <v>10.96</v>
      </c>
      <c r="L310" s="83">
        <v>715</v>
      </c>
      <c r="M310" s="83">
        <v>0.09</v>
      </c>
      <c r="N310" s="83">
        <v>0.15</v>
      </c>
      <c r="O310" s="83">
        <v>0.64</v>
      </c>
      <c r="P310" s="83">
        <v>1.1499999999999999</v>
      </c>
      <c r="Q310" s="83"/>
      <c r="R310" s="82">
        <v>0.26297795595214235</v>
      </c>
      <c r="S310" s="87">
        <v>1.8</v>
      </c>
      <c r="T310" s="83"/>
      <c r="U310" s="92">
        <v>153.33333333333334</v>
      </c>
      <c r="V310" s="83"/>
      <c r="W310" s="83"/>
      <c r="X310" s="83"/>
      <c r="Y310" s="87">
        <v>11.9</v>
      </c>
      <c r="Z310" s="83"/>
      <c r="AA310" s="86"/>
      <c r="AB310" s="86"/>
      <c r="AC310" s="83"/>
      <c r="AD310" s="88">
        <v>170</v>
      </c>
      <c r="AE310" s="88">
        <v>460</v>
      </c>
      <c r="AF310" s="88">
        <v>370</v>
      </c>
      <c r="AG310" s="66">
        <f t="shared" si="8"/>
        <v>326.03697478991597</v>
      </c>
      <c r="AH310" s="143">
        <f t="shared" si="9"/>
        <v>1000</v>
      </c>
    </row>
    <row r="311" spans="1:34" s="90" customFormat="1" x14ac:dyDescent="0.3">
      <c r="A311" s="84">
        <v>802807</v>
      </c>
      <c r="B311" s="87">
        <v>17.166666666666668</v>
      </c>
      <c r="C311" s="87">
        <v>6.6249999999999964</v>
      </c>
      <c r="D311" s="86">
        <v>8.69</v>
      </c>
      <c r="E311" s="99">
        <v>0.86</v>
      </c>
      <c r="F311" s="84">
        <v>762.75</v>
      </c>
      <c r="G311" s="83"/>
      <c r="H311" s="84">
        <v>326.83999999999997</v>
      </c>
      <c r="I311" s="84">
        <v>290</v>
      </c>
      <c r="J311" s="85">
        <v>1.056</v>
      </c>
      <c r="K311" s="87">
        <v>10.77</v>
      </c>
      <c r="L311" s="83">
        <v>1274</v>
      </c>
      <c r="M311" s="83">
        <v>0.61</v>
      </c>
      <c r="N311" s="83">
        <v>0.25</v>
      </c>
      <c r="O311" s="83">
        <v>2.5</v>
      </c>
      <c r="P311" s="83">
        <v>6.43</v>
      </c>
      <c r="Q311" s="83"/>
      <c r="R311" s="82">
        <v>0.95698438014951059</v>
      </c>
      <c r="S311" s="87">
        <v>6.4</v>
      </c>
      <c r="T311" s="83"/>
      <c r="U311" s="92">
        <v>60</v>
      </c>
      <c r="V311" s="83"/>
      <c r="W311" s="83"/>
      <c r="X311" s="83"/>
      <c r="Y311" s="87">
        <v>11.200000000000001</v>
      </c>
      <c r="Z311" s="83"/>
      <c r="AA311" s="86"/>
      <c r="AB311" s="86"/>
      <c r="AC311" s="83"/>
      <c r="AD311" s="88">
        <v>160</v>
      </c>
      <c r="AE311" s="88">
        <v>180</v>
      </c>
      <c r="AF311" s="88">
        <v>660</v>
      </c>
      <c r="AG311" s="66">
        <f t="shared" si="8"/>
        <v>340.40892857142853</v>
      </c>
      <c r="AH311" s="143">
        <f t="shared" si="9"/>
        <v>1000</v>
      </c>
    </row>
    <row r="312" spans="1:34" s="90" customFormat="1" x14ac:dyDescent="0.3">
      <c r="A312" s="84">
        <v>802808</v>
      </c>
      <c r="B312" s="87">
        <v>21.666666666666664</v>
      </c>
      <c r="C312" s="87">
        <v>10.25</v>
      </c>
      <c r="D312" s="86">
        <v>8.4499999999999993</v>
      </c>
      <c r="E312" s="99">
        <v>1.63</v>
      </c>
      <c r="F312" s="84">
        <v>1252.6500000000001</v>
      </c>
      <c r="G312" s="83"/>
      <c r="H312" s="84">
        <v>342.1</v>
      </c>
      <c r="I312" s="84">
        <v>410</v>
      </c>
      <c r="J312" s="85">
        <v>1.3089999999999999</v>
      </c>
      <c r="K312" s="87">
        <v>11.6</v>
      </c>
      <c r="L312" s="83">
        <v>1648</v>
      </c>
      <c r="M312" s="83">
        <v>0.4</v>
      </c>
      <c r="N312" s="83">
        <v>0.31</v>
      </c>
      <c r="O312" s="83">
        <v>1.9</v>
      </c>
      <c r="P312" s="83">
        <v>4.1399999999999997</v>
      </c>
      <c r="Q312" s="83"/>
      <c r="R312" s="82">
        <v>0.90471432067293323</v>
      </c>
      <c r="S312" s="87">
        <v>6.2</v>
      </c>
      <c r="T312" s="83"/>
      <c r="U312" s="92">
        <v>76.666666666666671</v>
      </c>
      <c r="V312" s="83"/>
      <c r="W312" s="83"/>
      <c r="X312" s="83"/>
      <c r="Y312" s="87">
        <v>9.1000000000000014</v>
      </c>
      <c r="Z312" s="83"/>
      <c r="AA312" s="86"/>
      <c r="AB312" s="86"/>
      <c r="AC312" s="83"/>
      <c r="AD312" s="88">
        <v>130</v>
      </c>
      <c r="AE312" s="88">
        <v>230</v>
      </c>
      <c r="AF312" s="88">
        <v>640</v>
      </c>
      <c r="AG312" s="66">
        <f t="shared" si="8"/>
        <v>451.25274725274716</v>
      </c>
      <c r="AH312" s="143">
        <f t="shared" si="9"/>
        <v>1000</v>
      </c>
    </row>
    <row r="313" spans="1:34" s="90" customFormat="1" x14ac:dyDescent="0.3">
      <c r="A313" s="84">
        <v>802809</v>
      </c>
      <c r="B313" s="87">
        <v>9.0000000000000018</v>
      </c>
      <c r="C313" s="87">
        <v>9.1249999999999982</v>
      </c>
      <c r="D313" s="86">
        <v>8.94</v>
      </c>
      <c r="E313" s="99">
        <v>0.19999999999999998</v>
      </c>
      <c r="F313" s="84">
        <v>97.6</v>
      </c>
      <c r="G313" s="83"/>
      <c r="H313" s="84">
        <v>197.81</v>
      </c>
      <c r="I313" s="84">
        <v>250</v>
      </c>
      <c r="J313" s="85">
        <v>0.17799999999999999</v>
      </c>
      <c r="K313" s="87">
        <v>7.77</v>
      </c>
      <c r="L313" s="83">
        <v>1255</v>
      </c>
      <c r="M313" s="83">
        <v>3.06</v>
      </c>
      <c r="N313" s="83">
        <v>0.75</v>
      </c>
      <c r="O313" s="83">
        <v>3.55</v>
      </c>
      <c r="P313" s="83">
        <v>2.7</v>
      </c>
      <c r="Q313" s="83"/>
      <c r="R313" s="82">
        <v>0.59640605562982174</v>
      </c>
      <c r="S313" s="87">
        <v>3.9</v>
      </c>
      <c r="T313" s="83"/>
      <c r="U313" s="92">
        <v>50</v>
      </c>
      <c r="V313" s="83"/>
      <c r="W313" s="83"/>
      <c r="X313" s="83"/>
      <c r="Y313" s="87">
        <v>4.9000000000000004</v>
      </c>
      <c r="Z313" s="83"/>
      <c r="AA313" s="86"/>
      <c r="AB313" s="86"/>
      <c r="AC313" s="83"/>
      <c r="AD313" s="88">
        <v>70</v>
      </c>
      <c r="AE313" s="88">
        <v>150</v>
      </c>
      <c r="AF313" s="88">
        <v>780</v>
      </c>
      <c r="AG313" s="66">
        <f t="shared" si="8"/>
        <v>561.34285714285704</v>
      </c>
      <c r="AH313" s="143">
        <f t="shared" si="9"/>
        <v>1000</v>
      </c>
    </row>
    <row r="314" spans="1:34" s="90" customFormat="1" x14ac:dyDescent="0.3">
      <c r="A314" s="84">
        <v>802810</v>
      </c>
      <c r="B314" s="87">
        <v>12</v>
      </c>
      <c r="C314" s="87">
        <v>11.249999999999998</v>
      </c>
      <c r="D314" s="86">
        <v>8.8800000000000008</v>
      </c>
      <c r="E314" s="99">
        <v>0.36</v>
      </c>
      <c r="F314" s="84">
        <v>183.64999999999998</v>
      </c>
      <c r="G314" s="83"/>
      <c r="H314" s="84">
        <v>281.76</v>
      </c>
      <c r="I314" s="84">
        <v>260</v>
      </c>
      <c r="J314" s="85">
        <v>0.6</v>
      </c>
      <c r="K314" s="87">
        <v>8.06</v>
      </c>
      <c r="L314" s="83">
        <v>974</v>
      </c>
      <c r="M314" s="83">
        <v>3.18</v>
      </c>
      <c r="N314" s="83">
        <v>2.71</v>
      </c>
      <c r="O314" s="83">
        <v>2.0099999999999998</v>
      </c>
      <c r="P314" s="83">
        <v>2.34</v>
      </c>
      <c r="Q314" s="83"/>
      <c r="R314" s="82">
        <v>0.71767031262978587</v>
      </c>
      <c r="S314" s="87">
        <v>5.2</v>
      </c>
      <c r="T314" s="83"/>
      <c r="U314" s="92">
        <v>60</v>
      </c>
      <c r="V314" s="83"/>
      <c r="W314" s="83"/>
      <c r="X314" s="83"/>
      <c r="Y314" s="87">
        <v>5.6000000000000005</v>
      </c>
      <c r="Z314" s="83"/>
      <c r="AA314" s="86"/>
      <c r="AB314" s="86"/>
      <c r="AC314" s="83"/>
      <c r="AD314" s="88">
        <v>80</v>
      </c>
      <c r="AE314" s="88">
        <v>180</v>
      </c>
      <c r="AF314" s="88">
        <v>740</v>
      </c>
      <c r="AG314" s="66">
        <f t="shared" si="8"/>
        <v>509.50714285714287</v>
      </c>
      <c r="AH314" s="143">
        <f t="shared" si="9"/>
        <v>1000</v>
      </c>
    </row>
    <row r="315" spans="1:34" s="90" customFormat="1" x14ac:dyDescent="0.3">
      <c r="A315" s="84">
        <v>802811</v>
      </c>
      <c r="B315" s="87">
        <v>15.416666666666664</v>
      </c>
      <c r="C315" s="87">
        <v>6.1249999999999982</v>
      </c>
      <c r="D315" s="86">
        <v>8.81</v>
      </c>
      <c r="E315" s="99">
        <v>0.31</v>
      </c>
      <c r="F315" s="84">
        <v>230.7</v>
      </c>
      <c r="G315" s="83"/>
      <c r="H315" s="84">
        <v>200.05</v>
      </c>
      <c r="I315" s="84">
        <v>40</v>
      </c>
      <c r="J315" s="85">
        <v>0.29299999999999998</v>
      </c>
      <c r="K315" s="87">
        <v>5.24</v>
      </c>
      <c r="L315" s="83">
        <v>838</v>
      </c>
      <c r="M315" s="83">
        <v>3.6</v>
      </c>
      <c r="N315" s="83">
        <v>6.17</v>
      </c>
      <c r="O315" s="83">
        <v>3.44</v>
      </c>
      <c r="P315" s="83">
        <v>3.53</v>
      </c>
      <c r="Q315" s="83"/>
      <c r="R315" s="82">
        <v>0.88517731816032641</v>
      </c>
      <c r="S315" s="87">
        <v>6</v>
      </c>
      <c r="T315" s="83"/>
      <c r="U315" s="92">
        <v>43.333333333333336</v>
      </c>
      <c r="V315" s="83"/>
      <c r="W315" s="83"/>
      <c r="X315" s="83"/>
      <c r="Y315" s="87">
        <v>7.7000000000000011</v>
      </c>
      <c r="Z315" s="83"/>
      <c r="AA315" s="86"/>
      <c r="AB315" s="86"/>
      <c r="AC315" s="83"/>
      <c r="AD315" s="88">
        <v>110</v>
      </c>
      <c r="AE315" s="88">
        <v>130</v>
      </c>
      <c r="AF315" s="88">
        <v>760</v>
      </c>
      <c r="AG315" s="66">
        <f t="shared" si="8"/>
        <v>240.9038961038961</v>
      </c>
      <c r="AH315" s="143">
        <f t="shared" si="9"/>
        <v>1000</v>
      </c>
    </row>
    <row r="316" spans="1:34" s="90" customFormat="1" ht="12.95" customHeight="1" x14ac:dyDescent="0.3">
      <c r="A316" s="84">
        <v>802812</v>
      </c>
      <c r="B316" s="87">
        <v>16.083333333333332</v>
      </c>
      <c r="C316" s="87">
        <v>7.7499999999999991</v>
      </c>
      <c r="D316" s="86">
        <v>8.7799999999999994</v>
      </c>
      <c r="E316" s="99">
        <v>0.3</v>
      </c>
      <c r="F316" s="84">
        <v>204.65</v>
      </c>
      <c r="G316" s="83"/>
      <c r="H316" s="84">
        <v>282.33</v>
      </c>
      <c r="I316" s="84">
        <v>80</v>
      </c>
      <c r="J316" s="85">
        <v>0.24399999999999999</v>
      </c>
      <c r="K316" s="87">
        <v>6.47</v>
      </c>
      <c r="L316" s="83">
        <v>822</v>
      </c>
      <c r="M316" s="83">
        <v>3.47</v>
      </c>
      <c r="N316" s="83">
        <v>3.86</v>
      </c>
      <c r="O316" s="83">
        <v>3.47</v>
      </c>
      <c r="P316" s="83">
        <v>2.58</v>
      </c>
      <c r="Q316" s="83"/>
      <c r="R316" s="82">
        <v>1.0401900163983775</v>
      </c>
      <c r="S316" s="87">
        <v>7.8</v>
      </c>
      <c r="T316" s="83"/>
      <c r="U316" s="92">
        <v>66.666666666666671</v>
      </c>
      <c r="V316" s="83"/>
      <c r="W316" s="83"/>
      <c r="X316" s="83"/>
      <c r="Y316" s="87">
        <v>3.5000000000000004</v>
      </c>
      <c r="Z316" s="83"/>
      <c r="AA316" s="86"/>
      <c r="AB316" s="86"/>
      <c r="AC316" s="83"/>
      <c r="AD316" s="88">
        <v>50</v>
      </c>
      <c r="AE316" s="88">
        <v>200</v>
      </c>
      <c r="AF316" s="88">
        <v>750</v>
      </c>
      <c r="AG316" s="66">
        <f t="shared" si="8"/>
        <v>654.39428571428562</v>
      </c>
      <c r="AH316" s="143">
        <f t="shared" si="9"/>
        <v>1000</v>
      </c>
    </row>
    <row r="317" spans="1:34" s="90" customFormat="1" x14ac:dyDescent="0.3">
      <c r="A317" s="84">
        <v>802813</v>
      </c>
      <c r="B317" s="87">
        <v>10.083333333333332</v>
      </c>
      <c r="C317" s="87">
        <v>7.6249999999999973</v>
      </c>
      <c r="D317" s="86">
        <v>8.9499999999999993</v>
      </c>
      <c r="E317" s="99">
        <v>0.19</v>
      </c>
      <c r="F317" s="84">
        <v>112.44999999999999</v>
      </c>
      <c r="G317" s="83"/>
      <c r="H317" s="84">
        <v>149.72</v>
      </c>
      <c r="I317" s="84">
        <v>40</v>
      </c>
      <c r="J317" s="85">
        <v>0.217</v>
      </c>
      <c r="K317" s="87">
        <v>6.65</v>
      </c>
      <c r="L317" s="83">
        <v>843</v>
      </c>
      <c r="M317" s="83">
        <v>3.08</v>
      </c>
      <c r="N317" s="83">
        <v>3.09</v>
      </c>
      <c r="O317" s="83">
        <v>5.19</v>
      </c>
      <c r="P317" s="83">
        <v>2.65</v>
      </c>
      <c r="Q317" s="83"/>
      <c r="R317" s="82">
        <v>0.65617783109672378</v>
      </c>
      <c r="S317" s="87">
        <v>4.9000000000000004</v>
      </c>
      <c r="T317" s="83"/>
      <c r="U317" s="92">
        <v>73.333333333333329</v>
      </c>
      <c r="V317" s="83"/>
      <c r="W317" s="83"/>
      <c r="X317" s="83"/>
      <c r="Y317" s="87">
        <v>4.2</v>
      </c>
      <c r="Z317" s="83"/>
      <c r="AA317" s="86"/>
      <c r="AB317" s="86"/>
      <c r="AC317" s="83"/>
      <c r="AD317" s="88">
        <v>60</v>
      </c>
      <c r="AE317" s="88">
        <v>220</v>
      </c>
      <c r="AF317" s="88">
        <v>720</v>
      </c>
      <c r="AG317" s="66">
        <f t="shared" si="8"/>
        <v>560.5</v>
      </c>
      <c r="AH317" s="143">
        <f t="shared" si="9"/>
        <v>1000</v>
      </c>
    </row>
    <row r="318" spans="1:34" s="90" customFormat="1" x14ac:dyDescent="0.3">
      <c r="A318" s="84">
        <v>802814</v>
      </c>
      <c r="B318" s="87">
        <v>13.333333333333334</v>
      </c>
      <c r="C318" s="87">
        <v>7.7499999999999991</v>
      </c>
      <c r="D318" s="86">
        <v>8.7899999999999991</v>
      </c>
      <c r="E318" s="99">
        <v>0.41</v>
      </c>
      <c r="F318" s="84">
        <v>350.20000000000005</v>
      </c>
      <c r="G318" s="83"/>
      <c r="H318" s="84">
        <v>264.66000000000003</v>
      </c>
      <c r="I318" s="84">
        <v>110</v>
      </c>
      <c r="J318" s="85">
        <v>0.48799999999999999</v>
      </c>
      <c r="K318" s="87">
        <v>6.41</v>
      </c>
      <c r="L318" s="83">
        <v>938</v>
      </c>
      <c r="M318" s="83">
        <v>4.7699999999999996</v>
      </c>
      <c r="N318" s="83">
        <v>1.93</v>
      </c>
      <c r="O318" s="83">
        <v>2.5099999999999998</v>
      </c>
      <c r="P318" s="83">
        <v>5.03</v>
      </c>
      <c r="Q318" s="83"/>
      <c r="R318" s="82">
        <v>1.0517151366479047</v>
      </c>
      <c r="S318" s="87">
        <v>7</v>
      </c>
      <c r="T318" s="83"/>
      <c r="U318" s="92">
        <v>80</v>
      </c>
      <c r="V318" s="83"/>
      <c r="W318" s="83"/>
      <c r="X318" s="83"/>
      <c r="Y318" s="87">
        <v>7.0000000000000009</v>
      </c>
      <c r="Z318" s="83"/>
      <c r="AA318" s="86"/>
      <c r="AB318" s="86"/>
      <c r="AC318" s="83"/>
      <c r="AD318" s="88">
        <v>100</v>
      </c>
      <c r="AE318" s="88">
        <v>240</v>
      </c>
      <c r="AF318" s="88">
        <v>660</v>
      </c>
      <c r="AG318" s="66">
        <f t="shared" si="8"/>
        <v>324.16285714285715</v>
      </c>
      <c r="AH318" s="143">
        <f t="shared" si="9"/>
        <v>1000</v>
      </c>
    </row>
    <row r="319" spans="1:34" s="90" customFormat="1" x14ac:dyDescent="0.3">
      <c r="A319" s="84">
        <v>802815</v>
      </c>
      <c r="B319" s="87">
        <v>13.416666666666666</v>
      </c>
      <c r="C319" s="87">
        <v>8.7499999999999982</v>
      </c>
      <c r="D319" s="86">
        <v>8.94</v>
      </c>
      <c r="E319" s="99">
        <v>0.33</v>
      </c>
      <c r="F319" s="84">
        <v>311.55</v>
      </c>
      <c r="G319" s="83"/>
      <c r="H319" s="84">
        <v>167.31</v>
      </c>
      <c r="I319" s="84">
        <v>30</v>
      </c>
      <c r="J319" s="85">
        <v>0.77500000000000002</v>
      </c>
      <c r="K319" s="87">
        <v>7.3</v>
      </c>
      <c r="L319" s="83">
        <v>1237</v>
      </c>
      <c r="M319" s="83">
        <v>3.86</v>
      </c>
      <c r="N319" s="83">
        <v>1.62</v>
      </c>
      <c r="O319" s="83">
        <v>2.87</v>
      </c>
      <c r="P319" s="83">
        <v>3.95</v>
      </c>
      <c r="Q319" s="83"/>
      <c r="R319" s="82">
        <v>1.0715796927476773</v>
      </c>
      <c r="S319" s="87">
        <v>7.1</v>
      </c>
      <c r="T319" s="83"/>
      <c r="U319" s="92">
        <v>66.666666666666671</v>
      </c>
      <c r="V319" s="83"/>
      <c r="W319" s="83"/>
      <c r="X319" s="83"/>
      <c r="Y319" s="87">
        <v>11.200000000000001</v>
      </c>
      <c r="Z319" s="83"/>
      <c r="AA319" s="86"/>
      <c r="AB319" s="86"/>
      <c r="AC319" s="83"/>
      <c r="AD319" s="88">
        <v>160</v>
      </c>
      <c r="AE319" s="88">
        <v>200</v>
      </c>
      <c r="AF319" s="88">
        <v>640</v>
      </c>
      <c r="AG319" s="66">
        <f t="shared" si="8"/>
        <v>230.73214285714283</v>
      </c>
      <c r="AH319" s="143">
        <f t="shared" si="9"/>
        <v>1000</v>
      </c>
    </row>
    <row r="320" spans="1:34" s="90" customFormat="1" x14ac:dyDescent="0.3">
      <c r="A320" s="84">
        <v>802816</v>
      </c>
      <c r="B320" s="87">
        <v>6.833333333333333</v>
      </c>
      <c r="C320" s="87"/>
      <c r="D320" s="86">
        <v>9.02</v>
      </c>
      <c r="E320" s="99">
        <v>0.15</v>
      </c>
      <c r="F320" s="84">
        <v>69.45</v>
      </c>
      <c r="G320" s="83"/>
      <c r="H320" s="84">
        <v>337.16</v>
      </c>
      <c r="I320" s="84">
        <v>60</v>
      </c>
      <c r="J320" s="85">
        <v>0.14399999999999999</v>
      </c>
      <c r="K320" s="87">
        <v>5.21</v>
      </c>
      <c r="L320" s="83">
        <v>984</v>
      </c>
      <c r="M320" s="83">
        <v>3.77</v>
      </c>
      <c r="N320" s="83">
        <v>2.9</v>
      </c>
      <c r="O320" s="83">
        <v>2.93</v>
      </c>
      <c r="P320" s="83">
        <v>5.59</v>
      </c>
      <c r="Q320" s="83"/>
      <c r="R320" s="82">
        <v>0.74279687858760668</v>
      </c>
      <c r="S320" s="87">
        <v>5.5</v>
      </c>
      <c r="T320" s="83"/>
      <c r="U320" s="92">
        <v>56.666666666666664</v>
      </c>
      <c r="V320" s="83"/>
      <c r="W320" s="83"/>
      <c r="X320" s="83"/>
      <c r="Y320" s="87">
        <v>11.200000000000001</v>
      </c>
      <c r="Z320" s="83"/>
      <c r="AA320" s="86"/>
      <c r="AB320" s="86"/>
      <c r="AC320" s="83"/>
      <c r="AD320" s="88">
        <v>160</v>
      </c>
      <c r="AE320" s="88">
        <v>170</v>
      </c>
      <c r="AF320" s="88">
        <v>670</v>
      </c>
      <c r="AG320" s="66">
        <f t="shared" si="8"/>
        <v>164.67321428571429</v>
      </c>
      <c r="AH320" s="143">
        <f t="shared" si="9"/>
        <v>1000</v>
      </c>
    </row>
    <row r="321" spans="1:34" s="90" customFormat="1" x14ac:dyDescent="0.3">
      <c r="A321" s="84">
        <v>802817</v>
      </c>
      <c r="B321" s="87">
        <v>13.666666666666663</v>
      </c>
      <c r="C321" s="87">
        <v>10.624999999999998</v>
      </c>
      <c r="D321" s="86">
        <v>8.85</v>
      </c>
      <c r="E321" s="99">
        <v>0.19399999999999998</v>
      </c>
      <c r="F321" s="84">
        <v>70.149999999999991</v>
      </c>
      <c r="G321" s="83"/>
      <c r="H321" s="84">
        <v>159.93</v>
      </c>
      <c r="I321" s="84">
        <v>160</v>
      </c>
      <c r="J321" s="85">
        <v>0.14699999999999999</v>
      </c>
      <c r="K321" s="87">
        <v>7.05</v>
      </c>
      <c r="L321" s="83">
        <v>1246</v>
      </c>
      <c r="M321" s="83">
        <v>1.25</v>
      </c>
      <c r="N321" s="83">
        <v>0.34</v>
      </c>
      <c r="O321" s="83">
        <v>1.52</v>
      </c>
      <c r="P321" s="83">
        <v>6.62</v>
      </c>
      <c r="Q321" s="83"/>
      <c r="R321" s="82">
        <v>0.53798907857539247</v>
      </c>
      <c r="S321" s="87">
        <v>3.6</v>
      </c>
      <c r="T321" s="83"/>
      <c r="U321" s="92">
        <v>120</v>
      </c>
      <c r="V321" s="83"/>
      <c r="W321" s="83"/>
      <c r="X321" s="83"/>
      <c r="Y321" s="87">
        <v>5.6000000000000005</v>
      </c>
      <c r="Z321" s="83"/>
      <c r="AA321" s="86"/>
      <c r="AB321" s="86"/>
      <c r="AC321" s="83"/>
      <c r="AD321" s="88">
        <v>80</v>
      </c>
      <c r="AE321" s="88">
        <v>360</v>
      </c>
      <c r="AF321" s="88">
        <v>560</v>
      </c>
      <c r="AG321" s="66">
        <f t="shared" si="8"/>
        <v>445.66071428571428</v>
      </c>
      <c r="AH321" s="143">
        <f t="shared" si="9"/>
        <v>1000</v>
      </c>
    </row>
    <row r="322" spans="1:34" s="90" customFormat="1" x14ac:dyDescent="0.3">
      <c r="A322" s="84">
        <v>802818</v>
      </c>
      <c r="B322" s="87">
        <v>11.833333333333332</v>
      </c>
      <c r="C322" s="87">
        <v>11.124999999999998</v>
      </c>
      <c r="D322" s="86">
        <v>8.7200000000000006</v>
      </c>
      <c r="E322" s="99">
        <v>0.25</v>
      </c>
      <c r="F322" s="84">
        <v>102.4</v>
      </c>
      <c r="G322" s="83"/>
      <c r="H322" s="84">
        <v>120.3</v>
      </c>
      <c r="I322" s="84">
        <v>150</v>
      </c>
      <c r="J322" s="85">
        <v>0.183</v>
      </c>
      <c r="K322" s="87">
        <v>8.3000000000000007</v>
      </c>
      <c r="L322" s="83">
        <v>1248</v>
      </c>
      <c r="M322" s="83">
        <v>0.82</v>
      </c>
      <c r="N322" s="83">
        <v>0.33</v>
      </c>
      <c r="O322" s="83">
        <v>1.1399999999999999</v>
      </c>
      <c r="P322" s="83">
        <v>4.26</v>
      </c>
      <c r="Q322" s="83"/>
      <c r="R322" s="82">
        <v>0.48376165450549452</v>
      </c>
      <c r="S322" s="87">
        <v>3.5</v>
      </c>
      <c r="T322" s="83"/>
      <c r="U322" s="92">
        <v>113.33333333333333</v>
      </c>
      <c r="V322" s="83"/>
      <c r="W322" s="83"/>
      <c r="X322" s="83"/>
      <c r="Y322" s="87">
        <v>4.9000000000000004</v>
      </c>
      <c r="Z322" s="83"/>
      <c r="AA322" s="86"/>
      <c r="AB322" s="86"/>
      <c r="AC322" s="83"/>
      <c r="AD322" s="88">
        <v>70</v>
      </c>
      <c r="AE322" s="88">
        <v>340</v>
      </c>
      <c r="AF322" s="88">
        <v>590</v>
      </c>
      <c r="AG322" s="66">
        <f t="shared" ref="AG322:AG385" si="10">+K322*3.54*100/Y322</f>
        <v>599.63265306122446</v>
      </c>
      <c r="AH322" s="143">
        <f t="shared" ref="AH322:AH385" si="11">+SUM(AD322:AF322)</f>
        <v>1000</v>
      </c>
    </row>
    <row r="323" spans="1:34" s="90" customFormat="1" x14ac:dyDescent="0.3">
      <c r="A323" s="84">
        <v>802819</v>
      </c>
      <c r="B323" s="87">
        <v>10.999999999999998</v>
      </c>
      <c r="C323" s="87">
        <v>9.625</v>
      </c>
      <c r="D323" s="86">
        <v>8.5399999999999991</v>
      </c>
      <c r="E323" s="99">
        <v>0.41</v>
      </c>
      <c r="F323" s="84">
        <v>142.4</v>
      </c>
      <c r="G323" s="83"/>
      <c r="H323" s="84">
        <v>101.75</v>
      </c>
      <c r="I323" s="84">
        <v>160</v>
      </c>
      <c r="J323" s="85">
        <v>0.247</v>
      </c>
      <c r="K323" s="87">
        <v>7.18</v>
      </c>
      <c r="L323" s="83">
        <v>769</v>
      </c>
      <c r="M323" s="83">
        <v>0.56999999999999995</v>
      </c>
      <c r="N323" s="83">
        <v>0.23</v>
      </c>
      <c r="O323" s="83">
        <v>1</v>
      </c>
      <c r="P323" s="83">
        <v>4.18</v>
      </c>
      <c r="Q323" s="83"/>
      <c r="R323" s="82">
        <v>0.24781847353829867</v>
      </c>
      <c r="S323" s="87">
        <v>1.7</v>
      </c>
      <c r="T323" s="83"/>
      <c r="U323" s="92">
        <v>110</v>
      </c>
      <c r="V323" s="83"/>
      <c r="W323" s="83"/>
      <c r="X323" s="83"/>
      <c r="Y323" s="87">
        <v>4.9000000000000004</v>
      </c>
      <c r="Z323" s="83"/>
      <c r="AA323" s="86"/>
      <c r="AB323" s="86"/>
      <c r="AC323" s="83"/>
      <c r="AD323" s="88">
        <v>70</v>
      </c>
      <c r="AE323" s="88">
        <v>330</v>
      </c>
      <c r="AF323" s="88">
        <v>600</v>
      </c>
      <c r="AG323" s="66">
        <f t="shared" si="10"/>
        <v>518.71836734693875</v>
      </c>
      <c r="AH323" s="143">
        <f t="shared" si="11"/>
        <v>1000</v>
      </c>
    </row>
    <row r="324" spans="1:34" s="90" customFormat="1" x14ac:dyDescent="0.3">
      <c r="A324" s="84">
        <v>802820</v>
      </c>
      <c r="B324" s="87">
        <v>12.75</v>
      </c>
      <c r="C324" s="87">
        <v>11.249999999999998</v>
      </c>
      <c r="D324" s="86">
        <v>8.6</v>
      </c>
      <c r="E324" s="99">
        <v>0.36</v>
      </c>
      <c r="F324" s="84">
        <v>101</v>
      </c>
      <c r="G324" s="83"/>
      <c r="H324" s="84">
        <v>581.30000000000007</v>
      </c>
      <c r="I324" s="84">
        <v>260</v>
      </c>
      <c r="J324" s="85">
        <v>0.30199999999999999</v>
      </c>
      <c r="K324" s="87">
        <v>7.97</v>
      </c>
      <c r="L324" s="83">
        <v>1718</v>
      </c>
      <c r="M324" s="83">
        <v>3.64</v>
      </c>
      <c r="N324" s="83">
        <v>1.04</v>
      </c>
      <c r="O324" s="83">
        <v>1.99</v>
      </c>
      <c r="P324" s="83">
        <v>11.71</v>
      </c>
      <c r="Q324" s="83"/>
      <c r="R324" s="82">
        <v>1.405827496658866</v>
      </c>
      <c r="S324" s="87">
        <v>9.5</v>
      </c>
      <c r="T324" s="83"/>
      <c r="U324" s="92">
        <v>100</v>
      </c>
      <c r="V324" s="83"/>
      <c r="W324" s="83"/>
      <c r="X324" s="83"/>
      <c r="Y324" s="87">
        <v>8.4</v>
      </c>
      <c r="Z324" s="83"/>
      <c r="AA324" s="86"/>
      <c r="AB324" s="86"/>
      <c r="AC324" s="83"/>
      <c r="AD324" s="88">
        <v>120</v>
      </c>
      <c r="AE324" s="88">
        <v>300</v>
      </c>
      <c r="AF324" s="88">
        <v>580</v>
      </c>
      <c r="AG324" s="66">
        <f t="shared" si="10"/>
        <v>335.87857142857143</v>
      </c>
      <c r="AH324" s="143">
        <f t="shared" si="11"/>
        <v>1000</v>
      </c>
    </row>
    <row r="325" spans="1:34" s="90" customFormat="1" x14ac:dyDescent="0.3">
      <c r="A325" s="84">
        <v>802821</v>
      </c>
      <c r="B325" s="87">
        <v>13.499999999999998</v>
      </c>
      <c r="C325" s="87">
        <v>5.8749999999999991</v>
      </c>
      <c r="D325" s="86">
        <v>8.86</v>
      </c>
      <c r="E325" s="99">
        <v>0.18</v>
      </c>
      <c r="F325" s="84">
        <v>75.3</v>
      </c>
      <c r="G325" s="83"/>
      <c r="H325" s="84">
        <v>283.43</v>
      </c>
      <c r="I325" s="84">
        <v>150</v>
      </c>
      <c r="J325" s="85">
        <v>0.154</v>
      </c>
      <c r="K325" s="87">
        <v>7.02</v>
      </c>
      <c r="L325" s="83">
        <v>875</v>
      </c>
      <c r="M325" s="83">
        <v>1.29</v>
      </c>
      <c r="N325" s="83">
        <v>0.34</v>
      </c>
      <c r="O325" s="83">
        <v>1.27</v>
      </c>
      <c r="P325" s="83">
        <v>5.09</v>
      </c>
      <c r="Q325" s="83"/>
      <c r="R325" s="82">
        <v>0.41533282713837055</v>
      </c>
      <c r="S325" s="87">
        <v>2.9</v>
      </c>
      <c r="T325" s="83"/>
      <c r="U325" s="92">
        <v>90</v>
      </c>
      <c r="V325" s="83"/>
      <c r="W325" s="83"/>
      <c r="X325" s="83"/>
      <c r="Y325" s="87">
        <v>8.4</v>
      </c>
      <c r="Z325" s="83"/>
      <c r="AA325" s="86"/>
      <c r="AB325" s="86"/>
      <c r="AC325" s="83"/>
      <c r="AD325" s="88">
        <v>120</v>
      </c>
      <c r="AE325" s="88">
        <v>270</v>
      </c>
      <c r="AF325" s="88">
        <v>610</v>
      </c>
      <c r="AG325" s="66">
        <f t="shared" si="10"/>
        <v>295.8428571428571</v>
      </c>
      <c r="AH325" s="143">
        <f t="shared" si="11"/>
        <v>1000</v>
      </c>
    </row>
    <row r="326" spans="1:34" s="90" customFormat="1" x14ac:dyDescent="0.3">
      <c r="A326" s="84">
        <v>802822</v>
      </c>
      <c r="B326" s="87">
        <v>11.916666666666668</v>
      </c>
      <c r="C326" s="87">
        <v>6.1249999999999982</v>
      </c>
      <c r="D326" s="86">
        <v>8.81</v>
      </c>
      <c r="E326" s="99">
        <v>0.26</v>
      </c>
      <c r="F326" s="84">
        <v>82.8</v>
      </c>
      <c r="G326" s="83"/>
      <c r="H326" s="84">
        <v>127.91</v>
      </c>
      <c r="I326" s="84">
        <v>170</v>
      </c>
      <c r="J326" s="85">
        <v>0.20799999999999999</v>
      </c>
      <c r="K326" s="87">
        <v>8.19</v>
      </c>
      <c r="L326" s="83">
        <v>1179</v>
      </c>
      <c r="M326" s="83">
        <v>0.69</v>
      </c>
      <c r="N326" s="83">
        <v>0.37</v>
      </c>
      <c r="O326" s="83">
        <v>1.37</v>
      </c>
      <c r="P326" s="83">
        <v>6.81</v>
      </c>
      <c r="Q326" s="83"/>
      <c r="R326" s="82">
        <v>0.45909368493196251</v>
      </c>
      <c r="S326" s="87">
        <v>3.1</v>
      </c>
      <c r="T326" s="83"/>
      <c r="U326" s="92">
        <v>100</v>
      </c>
      <c r="V326" s="83"/>
      <c r="W326" s="83"/>
      <c r="X326" s="83"/>
      <c r="Y326" s="87">
        <v>9.1000000000000014</v>
      </c>
      <c r="Z326" s="83"/>
      <c r="AA326" s="86"/>
      <c r="AB326" s="86"/>
      <c r="AC326" s="83"/>
      <c r="AD326" s="88">
        <v>130</v>
      </c>
      <c r="AE326" s="88">
        <v>300</v>
      </c>
      <c r="AF326" s="88">
        <v>570</v>
      </c>
      <c r="AG326" s="66">
        <f t="shared" si="10"/>
        <v>318.59999999999991</v>
      </c>
      <c r="AH326" s="143">
        <f t="shared" si="11"/>
        <v>1000</v>
      </c>
    </row>
    <row r="327" spans="1:34" s="90" customFormat="1" x14ac:dyDescent="0.3">
      <c r="A327" s="84">
        <v>802823</v>
      </c>
      <c r="B327" s="87">
        <v>15.416666666666664</v>
      </c>
      <c r="C327" s="87">
        <v>9</v>
      </c>
      <c r="D327" s="86">
        <v>8.3699999999999992</v>
      </c>
      <c r="E327" s="99">
        <v>0.86</v>
      </c>
      <c r="F327" s="84">
        <v>337.95000000000005</v>
      </c>
      <c r="G327" s="83"/>
      <c r="H327" s="84">
        <v>230.19</v>
      </c>
      <c r="I327" s="84">
        <v>490</v>
      </c>
      <c r="J327" s="85">
        <v>0.62</v>
      </c>
      <c r="K327" s="87">
        <v>6.91</v>
      </c>
      <c r="L327" s="83">
        <v>1041</v>
      </c>
      <c r="M327" s="83">
        <v>1.35</v>
      </c>
      <c r="N327" s="83">
        <v>0.31</v>
      </c>
      <c r="O327" s="83">
        <v>1.1100000000000001</v>
      </c>
      <c r="P327" s="83">
        <v>5.35</v>
      </c>
      <c r="Q327" s="83"/>
      <c r="R327" s="82">
        <v>0.45989000853111334</v>
      </c>
      <c r="S327" s="87">
        <v>3.4</v>
      </c>
      <c r="T327" s="83"/>
      <c r="U327" s="92">
        <v>93.333333333333329</v>
      </c>
      <c r="V327" s="83"/>
      <c r="W327" s="83"/>
      <c r="X327" s="83"/>
      <c r="Y327" s="87">
        <v>9.8000000000000007</v>
      </c>
      <c r="Z327" s="83"/>
      <c r="AA327" s="86"/>
      <c r="AB327" s="86"/>
      <c r="AC327" s="83"/>
      <c r="AD327" s="88">
        <v>140</v>
      </c>
      <c r="AE327" s="88">
        <v>280</v>
      </c>
      <c r="AF327" s="88">
        <v>580</v>
      </c>
      <c r="AG327" s="66">
        <f t="shared" si="10"/>
        <v>249.60612244897962</v>
      </c>
      <c r="AH327" s="143">
        <f t="shared" si="11"/>
        <v>1000</v>
      </c>
    </row>
    <row r="328" spans="1:34" s="90" customFormat="1" x14ac:dyDescent="0.3">
      <c r="A328" s="84">
        <v>802824</v>
      </c>
      <c r="B328" s="87">
        <v>14.499999999999998</v>
      </c>
      <c r="C328" s="87">
        <v>6.4999999999999991</v>
      </c>
      <c r="D328" s="86">
        <v>8.77</v>
      </c>
      <c r="E328" s="99">
        <v>0.19</v>
      </c>
      <c r="F328" s="84">
        <v>77.2</v>
      </c>
      <c r="G328" s="83"/>
      <c r="H328" s="84">
        <v>72.41</v>
      </c>
      <c r="I328" s="84">
        <v>150</v>
      </c>
      <c r="J328" s="85">
        <v>0.126</v>
      </c>
      <c r="K328" s="87">
        <v>7.19</v>
      </c>
      <c r="L328" s="83">
        <v>886</v>
      </c>
      <c r="M328" s="83">
        <v>0.42</v>
      </c>
      <c r="N328" s="83">
        <v>0.2</v>
      </c>
      <c r="O328" s="83">
        <v>1.21</v>
      </c>
      <c r="P328" s="83">
        <v>5.19</v>
      </c>
      <c r="Q328" s="83"/>
      <c r="R328" s="82">
        <v>0.28048494680345448</v>
      </c>
      <c r="S328" s="87">
        <v>2.1</v>
      </c>
      <c r="T328" s="83"/>
      <c r="U328" s="92">
        <v>106.66666666666667</v>
      </c>
      <c r="V328" s="83"/>
      <c r="W328" s="83"/>
      <c r="X328" s="83"/>
      <c r="Y328" s="87">
        <v>6.3000000000000007</v>
      </c>
      <c r="Z328" s="83"/>
      <c r="AA328" s="86"/>
      <c r="AB328" s="86"/>
      <c r="AC328" s="83"/>
      <c r="AD328" s="88">
        <v>90</v>
      </c>
      <c r="AE328" s="88">
        <v>320</v>
      </c>
      <c r="AF328" s="88">
        <v>590</v>
      </c>
      <c r="AG328" s="66">
        <f t="shared" si="10"/>
        <v>404.00952380952378</v>
      </c>
      <c r="AH328" s="143">
        <f t="shared" si="11"/>
        <v>1000</v>
      </c>
    </row>
    <row r="329" spans="1:34" s="90" customFormat="1" x14ac:dyDescent="0.3">
      <c r="A329" s="84">
        <v>802825</v>
      </c>
      <c r="B329" s="87">
        <v>13.3</v>
      </c>
      <c r="C329" s="87">
        <v>7</v>
      </c>
      <c r="D329" s="86">
        <v>7.88</v>
      </c>
      <c r="E329" s="99">
        <v>0.19</v>
      </c>
      <c r="F329" s="84">
        <v>77.95</v>
      </c>
      <c r="G329" s="83"/>
      <c r="H329" s="84">
        <v>45</v>
      </c>
      <c r="I329" s="84">
        <v>155</v>
      </c>
      <c r="J329" s="85">
        <v>0.105</v>
      </c>
      <c r="K329" s="87">
        <v>6.07</v>
      </c>
      <c r="L329" s="83">
        <v>380</v>
      </c>
      <c r="M329" s="83">
        <v>0.89</v>
      </c>
      <c r="N329" s="83">
        <v>0.31</v>
      </c>
      <c r="O329" s="83">
        <v>1.44</v>
      </c>
      <c r="P329" s="83">
        <v>5.27</v>
      </c>
      <c r="Q329" s="83"/>
      <c r="R329" s="86">
        <v>0.5</v>
      </c>
      <c r="S329" s="87">
        <v>3.6</v>
      </c>
      <c r="T329" s="83"/>
      <c r="U329" s="83"/>
      <c r="V329" s="83"/>
      <c r="W329" s="83"/>
      <c r="X329" s="83"/>
      <c r="Y329" s="87">
        <v>6.1</v>
      </c>
      <c r="Z329" s="83"/>
      <c r="AA329" s="86"/>
      <c r="AB329" s="86"/>
      <c r="AC329" s="83"/>
      <c r="AD329" s="88">
        <v>90</v>
      </c>
      <c r="AE329" s="88">
        <v>260</v>
      </c>
      <c r="AF329" s="88">
        <v>650</v>
      </c>
      <c r="AG329" s="66">
        <f t="shared" si="10"/>
        <v>352.25901639344266</v>
      </c>
      <c r="AH329" s="143">
        <f t="shared" si="11"/>
        <v>1000</v>
      </c>
    </row>
    <row r="330" spans="1:34" s="90" customFormat="1" x14ac:dyDescent="0.3">
      <c r="A330" s="84">
        <v>802826</v>
      </c>
      <c r="B330" s="87">
        <v>10.7</v>
      </c>
      <c r="C330" s="87">
        <v>4.4000000000000004</v>
      </c>
      <c r="D330" s="86">
        <v>7.66</v>
      </c>
      <c r="E330" s="99">
        <v>0.54</v>
      </c>
      <c r="F330" s="84">
        <v>194.6</v>
      </c>
      <c r="G330" s="83"/>
      <c r="H330" s="84">
        <v>123</v>
      </c>
      <c r="I330" s="84">
        <v>260</v>
      </c>
      <c r="J330" s="85">
        <v>0.23899999999999999</v>
      </c>
      <c r="K330" s="87">
        <v>6.41</v>
      </c>
      <c r="L330" s="83">
        <v>710</v>
      </c>
      <c r="M330" s="83">
        <v>1.63</v>
      </c>
      <c r="N330" s="83">
        <v>0.49</v>
      </c>
      <c r="O330" s="83">
        <v>2.0099999999999998</v>
      </c>
      <c r="P330" s="83">
        <v>7.54</v>
      </c>
      <c r="Q330" s="83"/>
      <c r="R330" s="86">
        <v>0.41499999999999998</v>
      </c>
      <c r="S330" s="87">
        <v>2.9</v>
      </c>
      <c r="T330" s="83"/>
      <c r="U330" s="83"/>
      <c r="V330" s="83"/>
      <c r="W330" s="83"/>
      <c r="X330" s="83"/>
      <c r="Y330" s="87">
        <v>5.0999999999999996</v>
      </c>
      <c r="Z330" s="83"/>
      <c r="AA330" s="86"/>
      <c r="AB330" s="86"/>
      <c r="AC330" s="83"/>
      <c r="AD330" s="88">
        <v>80</v>
      </c>
      <c r="AE330" s="88">
        <v>290</v>
      </c>
      <c r="AF330" s="88">
        <v>630</v>
      </c>
      <c r="AG330" s="66">
        <f t="shared" si="10"/>
        <v>444.929411764706</v>
      </c>
      <c r="AH330" s="143">
        <f t="shared" si="11"/>
        <v>1000</v>
      </c>
    </row>
    <row r="331" spans="1:34" s="90" customFormat="1" x14ac:dyDescent="0.3">
      <c r="A331" s="84">
        <v>802827</v>
      </c>
      <c r="B331" s="87">
        <v>11</v>
      </c>
      <c r="C331" s="87">
        <v>4.9000000000000004</v>
      </c>
      <c r="D331" s="86">
        <v>8.42</v>
      </c>
      <c r="E331" s="99">
        <v>0.18</v>
      </c>
      <c r="F331" s="84">
        <v>87.8</v>
      </c>
      <c r="G331" s="83"/>
      <c r="H331" s="84">
        <v>166</v>
      </c>
      <c r="I331" s="84">
        <v>119</v>
      </c>
      <c r="J331" s="85">
        <v>0.186</v>
      </c>
      <c r="K331" s="87">
        <v>6.09</v>
      </c>
      <c r="L331" s="83">
        <v>540</v>
      </c>
      <c r="M331" s="83">
        <v>0.53</v>
      </c>
      <c r="N331" s="83">
        <v>0.24</v>
      </c>
      <c r="O331" s="83">
        <v>1.1000000000000001</v>
      </c>
      <c r="P331" s="83">
        <v>5.33</v>
      </c>
      <c r="Q331" s="83"/>
      <c r="R331" s="86">
        <v>0.29199999999999998</v>
      </c>
      <c r="S331" s="87">
        <v>1.9</v>
      </c>
      <c r="T331" s="83"/>
      <c r="U331" s="83"/>
      <c r="V331" s="83"/>
      <c r="W331" s="83"/>
      <c r="X331" s="83"/>
      <c r="Y331" s="87">
        <v>5</v>
      </c>
      <c r="Z331" s="83"/>
      <c r="AA331" s="86"/>
      <c r="AB331" s="86"/>
      <c r="AC331" s="83"/>
      <c r="AD331" s="88">
        <v>80</v>
      </c>
      <c r="AE331" s="88">
        <v>310</v>
      </c>
      <c r="AF331" s="88">
        <v>610</v>
      </c>
      <c r="AG331" s="66">
        <f t="shared" si="10"/>
        <v>431.17199999999991</v>
      </c>
      <c r="AH331" s="143">
        <f t="shared" si="11"/>
        <v>1000</v>
      </c>
    </row>
    <row r="332" spans="1:34" s="90" customFormat="1" x14ac:dyDescent="0.3">
      <c r="A332" s="84">
        <v>802828</v>
      </c>
      <c r="B332" s="87">
        <v>11.3</v>
      </c>
      <c r="C332" s="87">
        <v>5</v>
      </c>
      <c r="D332" s="86">
        <v>7.93</v>
      </c>
      <c r="E332" s="99">
        <v>0.72</v>
      </c>
      <c r="F332" s="84">
        <v>334.3</v>
      </c>
      <c r="G332" s="83"/>
      <c r="H332" s="84">
        <v>76</v>
      </c>
      <c r="I332" s="84">
        <v>326</v>
      </c>
      <c r="J332" s="85">
        <v>0.28699999999999998</v>
      </c>
      <c r="K332" s="87">
        <v>6.39</v>
      </c>
      <c r="L332" s="83">
        <v>430</v>
      </c>
      <c r="M332" s="83">
        <v>1.32</v>
      </c>
      <c r="N332" s="83">
        <v>0.32</v>
      </c>
      <c r="O332" s="83">
        <v>1.22</v>
      </c>
      <c r="P332" s="83">
        <v>5.44</v>
      </c>
      <c r="Q332" s="83"/>
      <c r="R332" s="86">
        <v>0.56499999999999995</v>
      </c>
      <c r="S332" s="87">
        <v>3.7</v>
      </c>
      <c r="T332" s="83"/>
      <c r="U332" s="83"/>
      <c r="V332" s="83"/>
      <c r="W332" s="83"/>
      <c r="X332" s="83"/>
      <c r="Y332" s="87">
        <v>4</v>
      </c>
      <c r="Z332" s="83"/>
      <c r="AA332" s="86"/>
      <c r="AB332" s="86"/>
      <c r="AC332" s="83"/>
      <c r="AD332" s="88">
        <v>60</v>
      </c>
      <c r="AE332" s="88">
        <v>300</v>
      </c>
      <c r="AF332" s="88">
        <v>640</v>
      </c>
      <c r="AG332" s="66">
        <f t="shared" si="10"/>
        <v>565.51499999999999</v>
      </c>
      <c r="AH332" s="143">
        <f t="shared" si="11"/>
        <v>1000</v>
      </c>
    </row>
    <row r="333" spans="1:34" s="90" customFormat="1" x14ac:dyDescent="0.3">
      <c r="A333" s="84">
        <v>802829</v>
      </c>
      <c r="B333" s="87">
        <v>11.2</v>
      </c>
      <c r="C333" s="87">
        <v>5</v>
      </c>
      <c r="D333" s="86">
        <v>8.4499999999999993</v>
      </c>
      <c r="E333" s="99">
        <v>0.22</v>
      </c>
      <c r="F333" s="84">
        <v>95.95</v>
      </c>
      <c r="G333" s="83"/>
      <c r="H333" s="84">
        <v>105</v>
      </c>
      <c r="I333" s="84">
        <v>141</v>
      </c>
      <c r="J333" s="85">
        <v>0.26900000000000002</v>
      </c>
      <c r="K333" s="87">
        <v>7.01</v>
      </c>
      <c r="L333" s="83">
        <v>700</v>
      </c>
      <c r="M333" s="83">
        <v>0.83</v>
      </c>
      <c r="N333" s="83">
        <v>0.36</v>
      </c>
      <c r="O333" s="83">
        <v>1.31</v>
      </c>
      <c r="P333" s="83">
        <v>6.19</v>
      </c>
      <c r="Q333" s="83"/>
      <c r="R333" s="86">
        <v>0.29599999999999999</v>
      </c>
      <c r="S333" s="87">
        <v>2</v>
      </c>
      <c r="T333" s="83"/>
      <c r="U333" s="83"/>
      <c r="V333" s="83"/>
      <c r="W333" s="83"/>
      <c r="X333" s="83"/>
      <c r="Y333" s="87">
        <v>3.1</v>
      </c>
      <c r="Z333" s="83"/>
      <c r="AA333" s="86"/>
      <c r="AB333" s="86"/>
      <c r="AC333" s="83"/>
      <c r="AD333" s="88">
        <v>50</v>
      </c>
      <c r="AE333" s="88">
        <v>280</v>
      </c>
      <c r="AF333" s="88">
        <v>670</v>
      </c>
      <c r="AG333" s="66">
        <f t="shared" si="10"/>
        <v>800.49677419354839</v>
      </c>
      <c r="AH333" s="143">
        <f t="shared" si="11"/>
        <v>1000</v>
      </c>
    </row>
    <row r="334" spans="1:34" s="90" customFormat="1" x14ac:dyDescent="0.3">
      <c r="A334" s="84">
        <v>802830</v>
      </c>
      <c r="B334" s="87">
        <v>11.6</v>
      </c>
      <c r="C334" s="87">
        <v>4.9000000000000004</v>
      </c>
      <c r="D334" s="86">
        <v>8.59</v>
      </c>
      <c r="E334" s="99">
        <v>0.26</v>
      </c>
      <c r="F334" s="84">
        <v>115.95</v>
      </c>
      <c r="G334" s="83"/>
      <c r="H334" s="84">
        <v>130</v>
      </c>
      <c r="I334" s="84">
        <v>130</v>
      </c>
      <c r="J334" s="85">
        <v>0.19800000000000001</v>
      </c>
      <c r="K334" s="87">
        <v>7.17</v>
      </c>
      <c r="L334" s="83">
        <v>680</v>
      </c>
      <c r="M334" s="83">
        <v>0.81</v>
      </c>
      <c r="N334" s="83">
        <v>0.34</v>
      </c>
      <c r="O334" s="83">
        <v>1</v>
      </c>
      <c r="P334" s="83">
        <v>5.42</v>
      </c>
      <c r="Q334" s="83"/>
      <c r="R334" s="86">
        <v>0.34</v>
      </c>
      <c r="S334" s="87">
        <v>2.5</v>
      </c>
      <c r="T334" s="83"/>
      <c r="U334" s="83"/>
      <c r="V334" s="83"/>
      <c r="W334" s="83"/>
      <c r="X334" s="83"/>
      <c r="Y334" s="87">
        <v>3.8</v>
      </c>
      <c r="Z334" s="83"/>
      <c r="AA334" s="86"/>
      <c r="AB334" s="86"/>
      <c r="AC334" s="83"/>
      <c r="AD334" s="88">
        <v>60</v>
      </c>
      <c r="AE334" s="88">
        <v>260</v>
      </c>
      <c r="AF334" s="88">
        <v>680</v>
      </c>
      <c r="AG334" s="66">
        <f t="shared" si="10"/>
        <v>667.94210526315783</v>
      </c>
      <c r="AH334" s="143">
        <f t="shared" si="11"/>
        <v>1000</v>
      </c>
    </row>
    <row r="335" spans="1:34" s="90" customFormat="1" x14ac:dyDescent="0.3">
      <c r="A335" s="84">
        <v>802831</v>
      </c>
      <c r="B335" s="87">
        <v>10.8</v>
      </c>
      <c r="C335" s="87">
        <v>5</v>
      </c>
      <c r="D335" s="86">
        <v>8.1999999999999993</v>
      </c>
      <c r="E335" s="99">
        <v>0.77</v>
      </c>
      <c r="F335" s="84">
        <v>257.60000000000002</v>
      </c>
      <c r="G335" s="83"/>
      <c r="H335" s="84">
        <v>165</v>
      </c>
      <c r="I335" s="84">
        <v>259</v>
      </c>
      <c r="J335" s="85">
        <v>0.17899999999999999</v>
      </c>
      <c r="K335" s="87">
        <v>7.23</v>
      </c>
      <c r="L335" s="83">
        <v>530</v>
      </c>
      <c r="M335" s="83">
        <v>1.07</v>
      </c>
      <c r="N335" s="83">
        <v>0.54</v>
      </c>
      <c r="O335" s="83">
        <v>1.62</v>
      </c>
      <c r="P335" s="83">
        <v>5.98</v>
      </c>
      <c r="Q335" s="83"/>
      <c r="R335" s="86">
        <v>0.76500000000000001</v>
      </c>
      <c r="S335" s="87">
        <v>5.5</v>
      </c>
      <c r="T335" s="83"/>
      <c r="U335" s="83"/>
      <c r="V335" s="83"/>
      <c r="W335" s="83"/>
      <c r="X335" s="83"/>
      <c r="Y335" s="87">
        <v>2.4</v>
      </c>
      <c r="Z335" s="83"/>
      <c r="AA335" s="86"/>
      <c r="AB335" s="86"/>
      <c r="AC335" s="83"/>
      <c r="AD335" s="88">
        <v>40</v>
      </c>
      <c r="AE335" s="88">
        <v>250</v>
      </c>
      <c r="AF335" s="88">
        <v>710</v>
      </c>
      <c r="AG335" s="66">
        <f t="shared" si="10"/>
        <v>1066.4250000000002</v>
      </c>
      <c r="AH335" s="143">
        <f t="shared" si="11"/>
        <v>1000</v>
      </c>
    </row>
    <row r="336" spans="1:34" s="90" customFormat="1" x14ac:dyDescent="0.3">
      <c r="A336" s="84">
        <v>802832</v>
      </c>
      <c r="B336" s="87">
        <v>11</v>
      </c>
      <c r="C336" s="87">
        <v>4.5999999999999996</v>
      </c>
      <c r="D336" s="86">
        <v>8.01</v>
      </c>
      <c r="E336" s="99">
        <v>0.26</v>
      </c>
      <c r="F336" s="84">
        <v>108.65</v>
      </c>
      <c r="G336" s="83"/>
      <c r="H336" s="84">
        <v>126</v>
      </c>
      <c r="I336" s="84">
        <v>168</v>
      </c>
      <c r="J336" s="85">
        <v>0.19800000000000001</v>
      </c>
      <c r="K336" s="87">
        <v>5.91</v>
      </c>
      <c r="L336" s="83">
        <v>490</v>
      </c>
      <c r="M336" s="83">
        <v>0.81</v>
      </c>
      <c r="N336" s="83">
        <v>0.34</v>
      </c>
      <c r="O336" s="83">
        <v>1.31</v>
      </c>
      <c r="P336" s="83">
        <v>5.05</v>
      </c>
      <c r="Q336" s="83"/>
      <c r="R336" s="86">
        <v>0.41299999999999998</v>
      </c>
      <c r="S336" s="87">
        <v>3</v>
      </c>
      <c r="T336" s="83"/>
      <c r="U336" s="83"/>
      <c r="V336" s="83"/>
      <c r="W336" s="83"/>
      <c r="X336" s="83"/>
      <c r="Y336" s="87">
        <v>2.5</v>
      </c>
      <c r="Z336" s="83"/>
      <c r="AA336" s="86"/>
      <c r="AB336" s="86"/>
      <c r="AC336" s="83"/>
      <c r="AD336" s="88">
        <v>40</v>
      </c>
      <c r="AE336" s="88">
        <v>260</v>
      </c>
      <c r="AF336" s="88">
        <v>700</v>
      </c>
      <c r="AG336" s="66">
        <f t="shared" si="10"/>
        <v>836.85600000000011</v>
      </c>
      <c r="AH336" s="143">
        <f t="shared" si="11"/>
        <v>1000</v>
      </c>
    </row>
    <row r="337" spans="1:34" s="90" customFormat="1" x14ac:dyDescent="0.3">
      <c r="A337" s="84">
        <v>802833</v>
      </c>
      <c r="B337" s="87">
        <v>11.6</v>
      </c>
      <c r="C337" s="87">
        <v>5.0999999999999996</v>
      </c>
      <c r="D337" s="86">
        <v>7.76</v>
      </c>
      <c r="E337" s="99">
        <v>0.57999999999999996</v>
      </c>
      <c r="F337" s="84">
        <v>210.05</v>
      </c>
      <c r="G337" s="83"/>
      <c r="H337" s="84">
        <v>75</v>
      </c>
      <c r="I337" s="84">
        <v>232</v>
      </c>
      <c r="J337" s="85">
        <v>0.25900000000000001</v>
      </c>
      <c r="K337" s="87">
        <v>7.43</v>
      </c>
      <c r="L337" s="83">
        <v>880</v>
      </c>
      <c r="M337" s="83">
        <v>0.54</v>
      </c>
      <c r="N337" s="83">
        <v>0.35</v>
      </c>
      <c r="O337" s="83">
        <v>1.73</v>
      </c>
      <c r="P337" s="83">
        <v>3.37</v>
      </c>
      <c r="Q337" s="83"/>
      <c r="R337" s="86">
        <v>0.85699999999999998</v>
      </c>
      <c r="S337" s="87">
        <v>6</v>
      </c>
      <c r="T337" s="83"/>
      <c r="U337" s="83"/>
      <c r="V337" s="83"/>
      <c r="W337" s="83"/>
      <c r="X337" s="83"/>
      <c r="Y337" s="87">
        <v>13.9</v>
      </c>
      <c r="Z337" s="83"/>
      <c r="AA337" s="86"/>
      <c r="AB337" s="86"/>
      <c r="AC337" s="83"/>
      <c r="AD337" s="88">
        <v>60</v>
      </c>
      <c r="AE337" s="88">
        <v>660</v>
      </c>
      <c r="AF337" s="88">
        <v>280</v>
      </c>
      <c r="AG337" s="66">
        <f t="shared" si="10"/>
        <v>189.22446043165465</v>
      </c>
      <c r="AH337" s="143">
        <f t="shared" si="11"/>
        <v>1000</v>
      </c>
    </row>
    <row r="338" spans="1:34" s="90" customFormat="1" x14ac:dyDescent="0.3">
      <c r="A338" s="84">
        <v>802834</v>
      </c>
      <c r="B338" s="87">
        <v>12.8</v>
      </c>
      <c r="C338" s="87">
        <v>4.9000000000000004</v>
      </c>
      <c r="D338" s="86">
        <v>7.9</v>
      </c>
      <c r="E338" s="99">
        <v>0.53</v>
      </c>
      <c r="F338" s="84">
        <v>192.4</v>
      </c>
      <c r="G338" s="83"/>
      <c r="H338" s="84">
        <v>41</v>
      </c>
      <c r="I338" s="84">
        <v>268</v>
      </c>
      <c r="J338" s="85">
        <v>0.373</v>
      </c>
      <c r="K338" s="87">
        <v>8.24</v>
      </c>
      <c r="L338" s="83">
        <v>1090</v>
      </c>
      <c r="M338" s="83">
        <v>0.32</v>
      </c>
      <c r="N338" s="83">
        <v>0.51</v>
      </c>
      <c r="O338" s="83">
        <v>1.27</v>
      </c>
      <c r="P338" s="83">
        <v>2.92</v>
      </c>
      <c r="Q338" s="83"/>
      <c r="R338" s="86">
        <v>0.504</v>
      </c>
      <c r="S338" s="87">
        <v>3.4</v>
      </c>
      <c r="T338" s="83"/>
      <c r="U338" s="83"/>
      <c r="V338" s="83"/>
      <c r="W338" s="83"/>
      <c r="X338" s="83"/>
      <c r="Y338" s="87">
        <v>13.8</v>
      </c>
      <c r="Z338" s="83"/>
      <c r="AA338" s="86"/>
      <c r="AB338" s="86"/>
      <c r="AC338" s="83"/>
      <c r="AD338" s="88">
        <v>80</v>
      </c>
      <c r="AE338" s="88">
        <v>700</v>
      </c>
      <c r="AF338" s="88">
        <v>220</v>
      </c>
      <c r="AG338" s="66">
        <f t="shared" si="10"/>
        <v>211.37391304347824</v>
      </c>
      <c r="AH338" s="143">
        <f t="shared" si="11"/>
        <v>1000</v>
      </c>
    </row>
    <row r="339" spans="1:34" s="90" customFormat="1" x14ac:dyDescent="0.3">
      <c r="A339" s="84">
        <v>802835</v>
      </c>
      <c r="B339" s="87">
        <v>16.899999999999999</v>
      </c>
      <c r="C339" s="87">
        <v>9.1</v>
      </c>
      <c r="D339" s="86">
        <v>8.25</v>
      </c>
      <c r="E339" s="99">
        <v>0.78</v>
      </c>
      <c r="F339" s="84">
        <v>653.20000000000005</v>
      </c>
      <c r="G339" s="83"/>
      <c r="H339" s="84">
        <v>50</v>
      </c>
      <c r="I339" s="84">
        <v>302</v>
      </c>
      <c r="J339" s="85">
        <v>0.68899999999999995</v>
      </c>
      <c r="K339" s="87">
        <v>10.210000000000001</v>
      </c>
      <c r="L339" s="83">
        <v>1460</v>
      </c>
      <c r="M339" s="83">
        <v>0.46</v>
      </c>
      <c r="N339" s="83">
        <v>0.71</v>
      </c>
      <c r="O339" s="83">
        <v>1.88</v>
      </c>
      <c r="P339" s="83">
        <v>3.2</v>
      </c>
      <c r="Q339" s="83"/>
      <c r="R339" s="86">
        <v>0.69599999999999995</v>
      </c>
      <c r="S339" s="87">
        <v>4.8</v>
      </c>
      <c r="T339" s="83"/>
      <c r="U339" s="83"/>
      <c r="V339" s="83"/>
      <c r="W339" s="83"/>
      <c r="X339" s="83"/>
      <c r="Y339" s="87">
        <v>25</v>
      </c>
      <c r="Z339" s="83"/>
      <c r="AA339" s="86"/>
      <c r="AB339" s="86"/>
      <c r="AC339" s="83"/>
      <c r="AD339" s="88">
        <v>120</v>
      </c>
      <c r="AE339" s="88">
        <v>660</v>
      </c>
      <c r="AF339" s="88">
        <v>220</v>
      </c>
      <c r="AG339" s="66">
        <f t="shared" si="10"/>
        <v>144.57360000000003</v>
      </c>
      <c r="AH339" s="143">
        <f t="shared" si="11"/>
        <v>1000</v>
      </c>
    </row>
    <row r="340" spans="1:34" s="90" customFormat="1" x14ac:dyDescent="0.3">
      <c r="A340" s="84">
        <v>802836</v>
      </c>
      <c r="B340" s="87">
        <v>21</v>
      </c>
      <c r="C340" s="87">
        <v>10.6</v>
      </c>
      <c r="D340" s="86">
        <v>8.49</v>
      </c>
      <c r="E340" s="99">
        <v>0.63</v>
      </c>
      <c r="F340" s="84">
        <v>476.75</v>
      </c>
      <c r="G340" s="83"/>
      <c r="H340" s="84">
        <v>39</v>
      </c>
      <c r="I340" s="84">
        <v>377</v>
      </c>
      <c r="J340" s="85">
        <v>0.63300000000000001</v>
      </c>
      <c r="K340" s="87">
        <v>10.87</v>
      </c>
      <c r="L340" s="83">
        <v>1480</v>
      </c>
      <c r="M340" s="83">
        <v>0.39</v>
      </c>
      <c r="N340" s="83">
        <v>0.79</v>
      </c>
      <c r="O340" s="83">
        <v>1.68</v>
      </c>
      <c r="P340" s="83">
        <v>3.15</v>
      </c>
      <c r="Q340" s="83"/>
      <c r="R340" s="86">
        <v>0.58499999999999996</v>
      </c>
      <c r="S340" s="87">
        <v>4.2</v>
      </c>
      <c r="T340" s="83"/>
      <c r="U340" s="83"/>
      <c r="V340" s="83"/>
      <c r="W340" s="83"/>
      <c r="X340" s="83"/>
      <c r="Y340" s="87">
        <v>22.3</v>
      </c>
      <c r="Z340" s="83"/>
      <c r="AA340" s="86"/>
      <c r="AB340" s="86"/>
      <c r="AC340" s="83"/>
      <c r="AD340" s="88">
        <v>160</v>
      </c>
      <c r="AE340" s="88">
        <v>650</v>
      </c>
      <c r="AF340" s="88">
        <v>190</v>
      </c>
      <c r="AG340" s="66">
        <f t="shared" si="10"/>
        <v>172.55515695067263</v>
      </c>
      <c r="AH340" s="143">
        <f t="shared" si="11"/>
        <v>1000</v>
      </c>
    </row>
    <row r="341" spans="1:34" s="90" customFormat="1" x14ac:dyDescent="0.3">
      <c r="A341" s="84">
        <v>802837</v>
      </c>
      <c r="B341" s="87">
        <v>18.3</v>
      </c>
      <c r="C341" s="87">
        <v>9</v>
      </c>
      <c r="D341" s="86">
        <v>7.95</v>
      </c>
      <c r="E341" s="99">
        <v>1.48</v>
      </c>
      <c r="F341" s="84">
        <v>977</v>
      </c>
      <c r="G341" s="83"/>
      <c r="H341" s="84">
        <v>391</v>
      </c>
      <c r="I341" s="84">
        <v>947</v>
      </c>
      <c r="J341" s="85">
        <v>1.0129999999999999</v>
      </c>
      <c r="K341" s="87">
        <v>9.24</v>
      </c>
      <c r="L341" s="83">
        <v>1690</v>
      </c>
      <c r="M341" s="83">
        <v>2.84</v>
      </c>
      <c r="N341" s="83">
        <v>0.9</v>
      </c>
      <c r="O341" s="83">
        <v>1.63</v>
      </c>
      <c r="P341" s="83">
        <v>6.19</v>
      </c>
      <c r="Q341" s="83"/>
      <c r="R341" s="86">
        <v>1.1659999999999999</v>
      </c>
      <c r="S341" s="87">
        <v>8.6999999999999993</v>
      </c>
      <c r="T341" s="83"/>
      <c r="U341" s="83"/>
      <c r="V341" s="83"/>
      <c r="W341" s="83"/>
      <c r="X341" s="83"/>
      <c r="Y341" s="87">
        <v>26.8</v>
      </c>
      <c r="Z341" s="83"/>
      <c r="AA341" s="86"/>
      <c r="AB341" s="86"/>
      <c r="AC341" s="83"/>
      <c r="AD341" s="88">
        <v>220</v>
      </c>
      <c r="AE341" s="88">
        <v>630</v>
      </c>
      <c r="AF341" s="88">
        <v>150</v>
      </c>
      <c r="AG341" s="66">
        <f t="shared" si="10"/>
        <v>122.05074626865671</v>
      </c>
      <c r="AH341" s="143">
        <f t="shared" si="11"/>
        <v>1000</v>
      </c>
    </row>
    <row r="342" spans="1:34" s="90" customFormat="1" x14ac:dyDescent="0.3">
      <c r="A342" s="84">
        <v>802838</v>
      </c>
      <c r="B342" s="87">
        <v>20.8</v>
      </c>
      <c r="C342" s="87">
        <v>11.8</v>
      </c>
      <c r="D342" s="86">
        <v>8.31</v>
      </c>
      <c r="E342" s="99">
        <v>0.99</v>
      </c>
      <c r="F342" s="84">
        <v>594</v>
      </c>
      <c r="G342" s="83"/>
      <c r="H342" s="84">
        <v>237</v>
      </c>
      <c r="I342" s="84">
        <v>846</v>
      </c>
      <c r="J342" s="85">
        <v>0.77100000000000002</v>
      </c>
      <c r="K342" s="87">
        <v>10.58</v>
      </c>
      <c r="L342" s="83">
        <v>1540</v>
      </c>
      <c r="M342" s="83">
        <v>1.41</v>
      </c>
      <c r="N342" s="83">
        <v>0.8</v>
      </c>
      <c r="O342" s="83">
        <v>1.39</v>
      </c>
      <c r="P342" s="83">
        <v>4.13</v>
      </c>
      <c r="Q342" s="83"/>
      <c r="R342" s="86">
        <v>0.78500000000000003</v>
      </c>
      <c r="S342" s="87">
        <v>5.4</v>
      </c>
      <c r="T342" s="83"/>
      <c r="U342" s="83"/>
      <c r="V342" s="83"/>
      <c r="W342" s="83"/>
      <c r="X342" s="83"/>
      <c r="Y342" s="87">
        <v>25.2</v>
      </c>
      <c r="Z342" s="83"/>
      <c r="AA342" s="86"/>
      <c r="AB342" s="86"/>
      <c r="AC342" s="83"/>
      <c r="AD342" s="88">
        <v>180</v>
      </c>
      <c r="AE342" s="88">
        <v>650</v>
      </c>
      <c r="AF342" s="88">
        <v>170</v>
      </c>
      <c r="AG342" s="66">
        <f t="shared" si="10"/>
        <v>148.62380952380954</v>
      </c>
      <c r="AH342" s="143">
        <f t="shared" si="11"/>
        <v>1000</v>
      </c>
    </row>
    <row r="343" spans="1:34" s="90" customFormat="1" x14ac:dyDescent="0.3">
      <c r="A343" s="84">
        <v>802839</v>
      </c>
      <c r="B343" s="87">
        <v>13.8</v>
      </c>
      <c r="C343" s="87">
        <v>6.8</v>
      </c>
      <c r="D343" s="86">
        <v>8.6199999999999992</v>
      </c>
      <c r="E343" s="99">
        <v>0.35</v>
      </c>
      <c r="F343" s="84">
        <v>178.85</v>
      </c>
      <c r="G343" s="83"/>
      <c r="H343" s="84">
        <v>31</v>
      </c>
      <c r="I343" s="84">
        <v>166</v>
      </c>
      <c r="J343" s="85">
        <v>0.36899999999999999</v>
      </c>
      <c r="K343" s="87">
        <v>8.52</v>
      </c>
      <c r="L343" s="83">
        <v>1080</v>
      </c>
      <c r="M343" s="83">
        <v>0.2</v>
      </c>
      <c r="N343" s="83">
        <v>0.57999999999999996</v>
      </c>
      <c r="O343" s="83">
        <v>0.93</v>
      </c>
      <c r="P343" s="83">
        <v>2.85</v>
      </c>
      <c r="Q343" s="83"/>
      <c r="R343" s="86">
        <v>0.4</v>
      </c>
      <c r="S343" s="87">
        <v>2.6</v>
      </c>
      <c r="T343" s="83"/>
      <c r="U343" s="83"/>
      <c r="V343" s="83"/>
      <c r="W343" s="83"/>
      <c r="X343" s="83"/>
      <c r="Y343" s="87">
        <v>25.4</v>
      </c>
      <c r="Z343" s="83"/>
      <c r="AA343" s="86"/>
      <c r="AB343" s="86"/>
      <c r="AC343" s="83"/>
      <c r="AD343" s="88">
        <v>200</v>
      </c>
      <c r="AE343" s="88">
        <v>610</v>
      </c>
      <c r="AF343" s="88">
        <v>190</v>
      </c>
      <c r="AG343" s="66">
        <f t="shared" si="10"/>
        <v>118.74330708661418</v>
      </c>
      <c r="AH343" s="143">
        <f t="shared" si="11"/>
        <v>1000</v>
      </c>
    </row>
    <row r="344" spans="1:34" s="90" customFormat="1" x14ac:dyDescent="0.3">
      <c r="A344" s="84">
        <v>802840</v>
      </c>
      <c r="B344" s="87">
        <v>10.8</v>
      </c>
      <c r="C344" s="87">
        <v>4</v>
      </c>
      <c r="D344" s="86">
        <v>8.44</v>
      </c>
      <c r="E344" s="99">
        <v>0.28000000000000003</v>
      </c>
      <c r="F344" s="84">
        <v>123.15</v>
      </c>
      <c r="G344" s="83"/>
      <c r="H344" s="84">
        <v>25</v>
      </c>
      <c r="I344" s="84">
        <v>117</v>
      </c>
      <c r="J344" s="85">
        <v>0.193</v>
      </c>
      <c r="K344" s="87">
        <v>7.09</v>
      </c>
      <c r="L344" s="83">
        <v>850</v>
      </c>
      <c r="M344" s="83">
        <v>0.17</v>
      </c>
      <c r="N344" s="83">
        <v>0.28999999999999998</v>
      </c>
      <c r="O344" s="83">
        <v>1.26</v>
      </c>
      <c r="P344" s="83">
        <v>3.17</v>
      </c>
      <c r="Q344" s="83"/>
      <c r="R344" s="86">
        <v>0.35399999999999998</v>
      </c>
      <c r="S344" s="87">
        <v>2.2999999999999998</v>
      </c>
      <c r="T344" s="83"/>
      <c r="U344" s="83"/>
      <c r="V344" s="83"/>
      <c r="W344" s="83"/>
      <c r="X344" s="83"/>
      <c r="Y344" s="87">
        <v>21.8</v>
      </c>
      <c r="Z344" s="83"/>
      <c r="AA344" s="86"/>
      <c r="AB344" s="86"/>
      <c r="AC344" s="83"/>
      <c r="AD344" s="88">
        <v>130</v>
      </c>
      <c r="AE344" s="88">
        <v>130</v>
      </c>
      <c r="AF344" s="88">
        <v>740</v>
      </c>
      <c r="AG344" s="66">
        <f t="shared" si="10"/>
        <v>115.13119266055045</v>
      </c>
      <c r="AH344" s="143">
        <f t="shared" si="11"/>
        <v>1000</v>
      </c>
    </row>
    <row r="345" spans="1:34" s="90" customFormat="1" x14ac:dyDescent="0.3">
      <c r="A345" s="84">
        <v>802841</v>
      </c>
      <c r="B345" s="87">
        <v>10.3</v>
      </c>
      <c r="C345" s="87">
        <v>5.4</v>
      </c>
      <c r="D345" s="86">
        <v>8.58</v>
      </c>
      <c r="E345" s="99">
        <v>0.39</v>
      </c>
      <c r="F345" s="84">
        <v>167.25</v>
      </c>
      <c r="G345" s="83"/>
      <c r="H345" s="84">
        <v>223</v>
      </c>
      <c r="I345" s="84">
        <v>213</v>
      </c>
      <c r="J345" s="85">
        <v>0.28799999999999998</v>
      </c>
      <c r="K345" s="87">
        <v>7.45</v>
      </c>
      <c r="L345" s="83">
        <v>1070</v>
      </c>
      <c r="M345" s="83">
        <v>1.95</v>
      </c>
      <c r="N345" s="83">
        <v>0.48</v>
      </c>
      <c r="O345" s="83">
        <v>1.57</v>
      </c>
      <c r="P345" s="83">
        <v>7.91</v>
      </c>
      <c r="Q345" s="83"/>
      <c r="R345" s="86">
        <v>0.81499999999999995</v>
      </c>
      <c r="S345" s="87">
        <v>5.3</v>
      </c>
      <c r="T345" s="83"/>
      <c r="U345" s="83"/>
      <c r="V345" s="83"/>
      <c r="W345" s="83"/>
      <c r="X345" s="83"/>
      <c r="Y345" s="87">
        <v>24</v>
      </c>
      <c r="Z345" s="83"/>
      <c r="AA345" s="86"/>
      <c r="AB345" s="86"/>
      <c r="AC345" s="83"/>
      <c r="AD345" s="88">
        <v>110</v>
      </c>
      <c r="AE345" s="88">
        <v>180</v>
      </c>
      <c r="AF345" s="88">
        <v>710</v>
      </c>
      <c r="AG345" s="66">
        <f t="shared" si="10"/>
        <v>109.8875</v>
      </c>
      <c r="AH345" s="143">
        <f t="shared" si="11"/>
        <v>1000</v>
      </c>
    </row>
    <row r="346" spans="1:34" s="90" customFormat="1" x14ac:dyDescent="0.3">
      <c r="A346" s="84">
        <v>802842</v>
      </c>
      <c r="B346" s="87">
        <v>13.3</v>
      </c>
      <c r="C346" s="87">
        <v>6.9</v>
      </c>
      <c r="D346" s="86">
        <v>8.4499999999999993</v>
      </c>
      <c r="E346" s="99">
        <v>0.88</v>
      </c>
      <c r="F346" s="84">
        <v>239.9</v>
      </c>
      <c r="G346" s="83"/>
      <c r="H346" s="84">
        <v>155</v>
      </c>
      <c r="I346" s="84">
        <v>579</v>
      </c>
      <c r="J346" s="85">
        <v>0.64</v>
      </c>
      <c r="K346" s="87">
        <v>11.05</v>
      </c>
      <c r="L346" s="83">
        <v>1510</v>
      </c>
      <c r="M346" s="83">
        <v>1.0900000000000001</v>
      </c>
      <c r="N346" s="83">
        <v>0.69</v>
      </c>
      <c r="O346" s="83">
        <v>1.24</v>
      </c>
      <c r="P346" s="83">
        <v>5.75</v>
      </c>
      <c r="Q346" s="83"/>
      <c r="R346" s="86">
        <v>0.56899999999999995</v>
      </c>
      <c r="S346" s="87">
        <v>3.7</v>
      </c>
      <c r="T346" s="83"/>
      <c r="U346" s="83"/>
      <c r="V346" s="83"/>
      <c r="W346" s="83"/>
      <c r="X346" s="83"/>
      <c r="Y346" s="87">
        <v>23.1</v>
      </c>
      <c r="Z346" s="83"/>
      <c r="AA346" s="86"/>
      <c r="AB346" s="86"/>
      <c r="AC346" s="83"/>
      <c r="AD346" s="88">
        <v>140</v>
      </c>
      <c r="AE346" s="88">
        <v>730</v>
      </c>
      <c r="AF346" s="88">
        <v>130</v>
      </c>
      <c r="AG346" s="66">
        <f t="shared" si="10"/>
        <v>169.33766233766235</v>
      </c>
      <c r="AH346" s="143">
        <f t="shared" si="11"/>
        <v>1000</v>
      </c>
    </row>
    <row r="347" spans="1:34" s="90" customFormat="1" x14ac:dyDescent="0.3">
      <c r="A347" s="84">
        <v>802843</v>
      </c>
      <c r="B347" s="87">
        <v>15.3</v>
      </c>
      <c r="C347" s="87">
        <v>7.1</v>
      </c>
      <c r="D347" s="86">
        <v>8.3000000000000007</v>
      </c>
      <c r="E347" s="99">
        <v>0.63</v>
      </c>
      <c r="F347" s="84">
        <v>308.25</v>
      </c>
      <c r="G347" s="83"/>
      <c r="H347" s="84">
        <v>244</v>
      </c>
      <c r="I347" s="84">
        <v>422</v>
      </c>
      <c r="J347" s="85">
        <v>0.52600000000000002</v>
      </c>
      <c r="K347" s="87">
        <v>8.27</v>
      </c>
      <c r="L347" s="83">
        <v>1490</v>
      </c>
      <c r="M347" s="83">
        <v>2.25</v>
      </c>
      <c r="N347" s="83">
        <v>0.78</v>
      </c>
      <c r="O347" s="83">
        <v>1.9</v>
      </c>
      <c r="P347" s="83">
        <v>8.41</v>
      </c>
      <c r="Q347" s="83"/>
      <c r="R347" s="86">
        <v>1.2310000000000001</v>
      </c>
      <c r="S347" s="87">
        <v>8</v>
      </c>
      <c r="T347" s="83"/>
      <c r="U347" s="83"/>
      <c r="V347" s="83"/>
      <c r="W347" s="83"/>
      <c r="X347" s="83"/>
      <c r="Y347" s="87">
        <v>23.3</v>
      </c>
      <c r="Z347" s="83"/>
      <c r="AA347" s="86"/>
      <c r="AB347" s="86"/>
      <c r="AC347" s="83"/>
      <c r="AD347" s="88">
        <v>140</v>
      </c>
      <c r="AE347" s="88">
        <v>700</v>
      </c>
      <c r="AF347" s="88">
        <v>160</v>
      </c>
      <c r="AG347" s="66">
        <f t="shared" si="10"/>
        <v>125.64721030042918</v>
      </c>
      <c r="AH347" s="143">
        <f t="shared" si="11"/>
        <v>1000</v>
      </c>
    </row>
    <row r="348" spans="1:34" s="90" customFormat="1" x14ac:dyDescent="0.3">
      <c r="A348" s="84">
        <v>802844</v>
      </c>
      <c r="B348" s="87">
        <v>14.3</v>
      </c>
      <c r="C348" s="87">
        <v>6.3</v>
      </c>
      <c r="D348" s="86">
        <v>8.33</v>
      </c>
      <c r="E348" s="99">
        <v>0.56999999999999995</v>
      </c>
      <c r="F348" s="84">
        <v>283.2</v>
      </c>
      <c r="G348" s="83"/>
      <c r="H348" s="84">
        <v>336</v>
      </c>
      <c r="I348" s="84">
        <v>342</v>
      </c>
      <c r="J348" s="85">
        <v>0.51</v>
      </c>
      <c r="K348" s="87">
        <v>7.84</v>
      </c>
      <c r="L348" s="83">
        <v>1580</v>
      </c>
      <c r="M348" s="83">
        <v>3.95</v>
      </c>
      <c r="N348" s="83">
        <v>0.94</v>
      </c>
      <c r="O348" s="83">
        <v>2.29</v>
      </c>
      <c r="P348" s="83">
        <v>18.91</v>
      </c>
      <c r="Q348" s="83"/>
      <c r="R348" s="86">
        <v>1.508</v>
      </c>
      <c r="S348" s="87">
        <v>9.8000000000000007</v>
      </c>
      <c r="T348" s="83"/>
      <c r="U348" s="83"/>
      <c r="V348" s="83"/>
      <c r="W348" s="83"/>
      <c r="X348" s="83"/>
      <c r="Y348" s="87">
        <v>22</v>
      </c>
      <c r="Z348" s="83"/>
      <c r="AA348" s="86"/>
      <c r="AB348" s="86"/>
      <c r="AC348" s="83"/>
      <c r="AD348" s="88">
        <v>210</v>
      </c>
      <c r="AE348" s="88">
        <v>680</v>
      </c>
      <c r="AF348" s="88">
        <v>110</v>
      </c>
      <c r="AG348" s="66">
        <f t="shared" si="10"/>
        <v>126.15272727272726</v>
      </c>
      <c r="AH348" s="143">
        <f t="shared" si="11"/>
        <v>1000</v>
      </c>
    </row>
    <row r="349" spans="1:34" s="90" customFormat="1" x14ac:dyDescent="0.3">
      <c r="A349" s="84">
        <v>802845</v>
      </c>
      <c r="B349" s="87">
        <v>10.9</v>
      </c>
      <c r="C349" s="87">
        <v>4.0999999999999996</v>
      </c>
      <c r="D349" s="86">
        <v>8.32</v>
      </c>
      <c r="E349" s="99">
        <v>0.33</v>
      </c>
      <c r="F349" s="84">
        <v>150.75</v>
      </c>
      <c r="G349" s="83"/>
      <c r="H349" s="84">
        <v>257</v>
      </c>
      <c r="I349" s="84">
        <v>190</v>
      </c>
      <c r="J349" s="85">
        <v>0.26900000000000002</v>
      </c>
      <c r="K349" s="87">
        <v>7.68</v>
      </c>
      <c r="L349" s="83">
        <v>1130</v>
      </c>
      <c r="M349" s="83">
        <v>2.48</v>
      </c>
      <c r="N349" s="83">
        <v>0.55000000000000004</v>
      </c>
      <c r="O349" s="83">
        <v>1.06</v>
      </c>
      <c r="P349" s="83">
        <v>9.83</v>
      </c>
      <c r="Q349" s="83"/>
      <c r="R349" s="86">
        <v>0.81499999999999995</v>
      </c>
      <c r="S349" s="87">
        <v>5.3</v>
      </c>
      <c r="T349" s="83"/>
      <c r="U349" s="83"/>
      <c r="V349" s="83"/>
      <c r="W349" s="83"/>
      <c r="X349" s="83"/>
      <c r="Y349" s="87">
        <v>16</v>
      </c>
      <c r="Z349" s="83"/>
      <c r="AA349" s="86"/>
      <c r="AB349" s="86"/>
      <c r="AC349" s="83"/>
      <c r="AD349" s="88">
        <v>80</v>
      </c>
      <c r="AE349" s="88">
        <v>180</v>
      </c>
      <c r="AF349" s="88">
        <v>740</v>
      </c>
      <c r="AG349" s="66">
        <f t="shared" si="10"/>
        <v>169.92000000000002</v>
      </c>
      <c r="AH349" s="143">
        <f t="shared" si="11"/>
        <v>1000</v>
      </c>
    </row>
    <row r="350" spans="1:34" s="90" customFormat="1" x14ac:dyDescent="0.3">
      <c r="A350" s="84">
        <v>802846</v>
      </c>
      <c r="B350" s="87">
        <v>13</v>
      </c>
      <c r="C350" s="87">
        <v>6.3</v>
      </c>
      <c r="D350" s="86">
        <v>7.73</v>
      </c>
      <c r="E350" s="99">
        <v>0.37</v>
      </c>
      <c r="F350" s="84">
        <v>184.55</v>
      </c>
      <c r="G350" s="83"/>
      <c r="H350" s="84">
        <v>132</v>
      </c>
      <c r="I350" s="84">
        <v>276</v>
      </c>
      <c r="J350" s="85">
        <v>0.28599999999999998</v>
      </c>
      <c r="K350" s="87">
        <v>8.3000000000000007</v>
      </c>
      <c r="L350" s="83">
        <v>1180</v>
      </c>
      <c r="M350" s="83">
        <v>1.04</v>
      </c>
      <c r="N350" s="83">
        <v>0.56000000000000005</v>
      </c>
      <c r="O350" s="83">
        <v>1.1499999999999999</v>
      </c>
      <c r="P350" s="83">
        <v>4.96</v>
      </c>
      <c r="Q350" s="83"/>
      <c r="R350" s="86">
        <v>0.6</v>
      </c>
      <c r="S350" s="87">
        <v>3.9</v>
      </c>
      <c r="T350" s="83"/>
      <c r="U350" s="83"/>
      <c r="V350" s="83"/>
      <c r="W350" s="83"/>
      <c r="X350" s="83"/>
      <c r="Y350" s="87">
        <v>15.8</v>
      </c>
      <c r="Z350" s="83"/>
      <c r="AA350" s="86"/>
      <c r="AB350" s="86"/>
      <c r="AC350" s="83"/>
      <c r="AD350" s="88">
        <v>90</v>
      </c>
      <c r="AE350" s="88">
        <v>660</v>
      </c>
      <c r="AF350" s="88">
        <v>250</v>
      </c>
      <c r="AG350" s="66">
        <f t="shared" si="10"/>
        <v>185.96202531645571</v>
      </c>
      <c r="AH350" s="143">
        <f t="shared" si="11"/>
        <v>1000</v>
      </c>
    </row>
    <row r="351" spans="1:34" s="90" customFormat="1" x14ac:dyDescent="0.3">
      <c r="A351" s="84">
        <v>802847</v>
      </c>
      <c r="B351" s="87">
        <v>12.5</v>
      </c>
      <c r="C351" s="87">
        <v>5.9</v>
      </c>
      <c r="D351" s="86">
        <v>7.91</v>
      </c>
      <c r="E351" s="99">
        <v>1.65</v>
      </c>
      <c r="F351" s="84">
        <v>601.85</v>
      </c>
      <c r="G351" s="83"/>
      <c r="H351" s="84">
        <v>481</v>
      </c>
      <c r="I351" s="84">
        <v>1720</v>
      </c>
      <c r="J351" s="85">
        <v>0.95599999999999996</v>
      </c>
      <c r="K351" s="87">
        <v>12.25</v>
      </c>
      <c r="L351" s="83">
        <v>1960</v>
      </c>
      <c r="M351" s="83">
        <v>4.34</v>
      </c>
      <c r="N351" s="83">
        <v>0.97</v>
      </c>
      <c r="O351" s="83">
        <v>2.4</v>
      </c>
      <c r="P351" s="83">
        <v>10.68</v>
      </c>
      <c r="Q351" s="83"/>
      <c r="R351" s="86">
        <v>1.492</v>
      </c>
      <c r="S351" s="87">
        <v>9.6999999999999993</v>
      </c>
      <c r="T351" s="83"/>
      <c r="U351" s="83"/>
      <c r="V351" s="83"/>
      <c r="W351" s="83"/>
      <c r="X351" s="83"/>
      <c r="Y351" s="87">
        <v>16</v>
      </c>
      <c r="Z351" s="83"/>
      <c r="AA351" s="86"/>
      <c r="AB351" s="86"/>
      <c r="AC351" s="83"/>
      <c r="AD351" s="88">
        <v>80</v>
      </c>
      <c r="AE351" s="88">
        <v>670</v>
      </c>
      <c r="AF351" s="88">
        <v>250</v>
      </c>
      <c r="AG351" s="66">
        <f t="shared" si="10"/>
        <v>271.03125</v>
      </c>
      <c r="AH351" s="143">
        <f t="shared" si="11"/>
        <v>1000</v>
      </c>
    </row>
    <row r="352" spans="1:34" s="90" customFormat="1" x14ac:dyDescent="0.3">
      <c r="A352" s="84">
        <v>802848</v>
      </c>
      <c r="B352" s="87">
        <v>14.5</v>
      </c>
      <c r="C352" s="87">
        <v>6.4</v>
      </c>
      <c r="D352" s="86">
        <v>8</v>
      </c>
      <c r="E352" s="99">
        <v>1.75</v>
      </c>
      <c r="F352" s="84">
        <v>491.35</v>
      </c>
      <c r="G352" s="83"/>
      <c r="H352" s="84">
        <v>430</v>
      </c>
      <c r="I352" s="84">
        <v>1176</v>
      </c>
      <c r="J352" s="85">
        <v>0.67700000000000005</v>
      </c>
      <c r="K352" s="87">
        <v>11.61</v>
      </c>
      <c r="L352" s="83">
        <v>1420</v>
      </c>
      <c r="M352" s="83">
        <v>2.71</v>
      </c>
      <c r="N352" s="83">
        <v>0.81</v>
      </c>
      <c r="O352" s="83">
        <v>2.21</v>
      </c>
      <c r="P352" s="83">
        <v>7.08</v>
      </c>
      <c r="Q352" s="83"/>
      <c r="R352" s="86">
        <v>1.508</v>
      </c>
      <c r="S352" s="87">
        <v>9.8000000000000007</v>
      </c>
      <c r="T352" s="83"/>
      <c r="U352" s="83"/>
      <c r="V352" s="83"/>
      <c r="W352" s="83"/>
      <c r="X352" s="83"/>
      <c r="Y352" s="87">
        <v>15.4</v>
      </c>
      <c r="Z352" s="83"/>
      <c r="AA352" s="86"/>
      <c r="AB352" s="86"/>
      <c r="AC352" s="83"/>
      <c r="AD352" s="88">
        <v>90</v>
      </c>
      <c r="AE352" s="88">
        <v>690</v>
      </c>
      <c r="AF352" s="88">
        <v>220</v>
      </c>
      <c r="AG352" s="66">
        <f t="shared" si="10"/>
        <v>266.87922077922076</v>
      </c>
      <c r="AH352" s="143">
        <f t="shared" si="11"/>
        <v>1000</v>
      </c>
    </row>
    <row r="353" spans="1:34" s="90" customFormat="1" x14ac:dyDescent="0.3">
      <c r="A353" s="84">
        <v>802849</v>
      </c>
      <c r="B353" s="87">
        <v>15.3</v>
      </c>
      <c r="C353" s="87">
        <v>7.4</v>
      </c>
      <c r="D353" s="86">
        <v>8.06</v>
      </c>
      <c r="E353" s="99">
        <v>1.58</v>
      </c>
      <c r="F353" s="84">
        <v>699.35</v>
      </c>
      <c r="G353" s="83"/>
      <c r="H353" s="84">
        <v>291</v>
      </c>
      <c r="I353" s="84">
        <v>843</v>
      </c>
      <c r="J353" s="85">
        <v>0.79600000000000004</v>
      </c>
      <c r="K353" s="87">
        <v>10.72</v>
      </c>
      <c r="L353" s="83">
        <v>1690</v>
      </c>
      <c r="M353" s="83">
        <v>1.75</v>
      </c>
      <c r="N353" s="83">
        <v>0.52</v>
      </c>
      <c r="O353" s="83">
        <v>1.65</v>
      </c>
      <c r="P353" s="83">
        <v>4.1399999999999997</v>
      </c>
      <c r="Q353" s="83"/>
      <c r="R353" s="86">
        <v>1.292</v>
      </c>
      <c r="S353" s="87">
        <v>8.4</v>
      </c>
      <c r="T353" s="83"/>
      <c r="U353" s="83"/>
      <c r="V353" s="83"/>
      <c r="W353" s="83"/>
      <c r="X353" s="83"/>
      <c r="Y353" s="87">
        <v>11.9</v>
      </c>
      <c r="Z353" s="83"/>
      <c r="AA353" s="86"/>
      <c r="AB353" s="86"/>
      <c r="AC353" s="83"/>
      <c r="AD353" s="88">
        <v>70</v>
      </c>
      <c r="AE353" s="88">
        <v>730</v>
      </c>
      <c r="AF353" s="88">
        <v>200</v>
      </c>
      <c r="AG353" s="66">
        <f t="shared" si="10"/>
        <v>318.8974789915967</v>
      </c>
      <c r="AH353" s="143">
        <f t="shared" si="11"/>
        <v>1000</v>
      </c>
    </row>
    <row r="354" spans="1:34" s="90" customFormat="1" x14ac:dyDescent="0.3">
      <c r="A354" s="84">
        <v>802850</v>
      </c>
      <c r="B354" s="87">
        <v>17.5</v>
      </c>
      <c r="C354" s="87">
        <v>9.9</v>
      </c>
      <c r="D354" s="86">
        <v>7.93</v>
      </c>
      <c r="E354" s="99">
        <v>1.1200000000000001</v>
      </c>
      <c r="F354" s="84">
        <v>508.35</v>
      </c>
      <c r="G354" s="83"/>
      <c r="H354" s="84">
        <v>200</v>
      </c>
      <c r="I354" s="84">
        <v>822</v>
      </c>
      <c r="J354" s="85">
        <v>0.68600000000000005</v>
      </c>
      <c r="K354" s="87">
        <v>11.9</v>
      </c>
      <c r="L354" s="83">
        <v>1720</v>
      </c>
      <c r="M354" s="83">
        <v>1.19</v>
      </c>
      <c r="N354" s="83">
        <v>0.59</v>
      </c>
      <c r="O354" s="83">
        <v>1.05</v>
      </c>
      <c r="P354" s="83">
        <v>3.73</v>
      </c>
      <c r="Q354" s="83"/>
      <c r="R354" s="86">
        <v>0.92300000000000004</v>
      </c>
      <c r="S354" s="87">
        <v>6</v>
      </c>
      <c r="T354" s="83"/>
      <c r="U354" s="83"/>
      <c r="V354" s="83"/>
      <c r="W354" s="83"/>
      <c r="X354" s="83"/>
      <c r="Y354" s="87">
        <v>8.5</v>
      </c>
      <c r="Z354" s="83"/>
      <c r="AA354" s="86"/>
      <c r="AB354" s="86"/>
      <c r="AC354" s="83"/>
      <c r="AD354" s="88">
        <v>50</v>
      </c>
      <c r="AE354" s="88">
        <v>740</v>
      </c>
      <c r="AF354" s="88">
        <v>210</v>
      </c>
      <c r="AG354" s="66">
        <f t="shared" si="10"/>
        <v>495.6</v>
      </c>
      <c r="AH354" s="143">
        <f t="shared" si="11"/>
        <v>1000</v>
      </c>
    </row>
    <row r="355" spans="1:34" s="90" customFormat="1" x14ac:dyDescent="0.3">
      <c r="A355" s="84">
        <v>802851</v>
      </c>
      <c r="B355" s="87">
        <v>9.6999999999999993</v>
      </c>
      <c r="C355" s="87">
        <v>3.4</v>
      </c>
      <c r="D355" s="86">
        <v>8.83</v>
      </c>
      <c r="E355" s="99">
        <v>0.25</v>
      </c>
      <c r="F355" s="84">
        <v>138</v>
      </c>
      <c r="G355" s="83"/>
      <c r="H355" s="84">
        <v>33</v>
      </c>
      <c r="I355" s="84">
        <v>104</v>
      </c>
      <c r="J355" s="85">
        <v>0.191</v>
      </c>
      <c r="K355" s="87">
        <v>6.61</v>
      </c>
      <c r="L355" s="83">
        <v>830</v>
      </c>
      <c r="M355" s="83">
        <v>0.24</v>
      </c>
      <c r="N355" s="83">
        <v>0.22</v>
      </c>
      <c r="O355" s="83">
        <v>0.95</v>
      </c>
      <c r="P355" s="83">
        <v>2.85</v>
      </c>
      <c r="Q355" s="83"/>
      <c r="R355" s="86">
        <v>0.41499999999999998</v>
      </c>
      <c r="S355" s="87">
        <v>2.7</v>
      </c>
      <c r="T355" s="83"/>
      <c r="U355" s="83"/>
      <c r="V355" s="83"/>
      <c r="W355" s="83"/>
      <c r="X355" s="83"/>
      <c r="Y355" s="87">
        <v>12.6</v>
      </c>
      <c r="Z355" s="83"/>
      <c r="AA355" s="86"/>
      <c r="AB355" s="86"/>
      <c r="AC355" s="83"/>
      <c r="AD355" s="88">
        <v>70</v>
      </c>
      <c r="AE355" s="88">
        <v>200</v>
      </c>
      <c r="AF355" s="88">
        <v>730</v>
      </c>
      <c r="AG355" s="66">
        <f t="shared" si="10"/>
        <v>185.70952380952383</v>
      </c>
      <c r="AH355" s="143">
        <f t="shared" si="11"/>
        <v>1000</v>
      </c>
    </row>
    <row r="356" spans="1:34" s="90" customFormat="1" x14ac:dyDescent="0.3">
      <c r="A356" s="84">
        <v>802852</v>
      </c>
      <c r="B356" s="87">
        <v>11.4</v>
      </c>
      <c r="C356" s="87">
        <v>6.1</v>
      </c>
      <c r="D356" s="86">
        <v>8.86</v>
      </c>
      <c r="E356" s="99">
        <v>0.49</v>
      </c>
      <c r="F356" s="84">
        <v>223.75</v>
      </c>
      <c r="G356" s="83"/>
      <c r="H356" s="84">
        <v>26</v>
      </c>
      <c r="I356" s="84">
        <v>142</v>
      </c>
      <c r="J356" s="85">
        <v>0.44600000000000001</v>
      </c>
      <c r="K356" s="87">
        <v>8.08</v>
      </c>
      <c r="L356" s="83">
        <v>1090</v>
      </c>
      <c r="M356" s="83">
        <v>0.26</v>
      </c>
      <c r="N356" s="83">
        <v>0.45</v>
      </c>
      <c r="O356" s="83">
        <v>0.85</v>
      </c>
      <c r="P356" s="83">
        <v>3.46</v>
      </c>
      <c r="Q356" s="83"/>
      <c r="R356" s="86">
        <v>0.53800000000000003</v>
      </c>
      <c r="S356" s="87">
        <v>3.5</v>
      </c>
      <c r="T356" s="83"/>
      <c r="U356" s="83"/>
      <c r="V356" s="83"/>
      <c r="W356" s="83"/>
      <c r="X356" s="83"/>
      <c r="Y356" s="87">
        <v>13.3</v>
      </c>
      <c r="Z356" s="83"/>
      <c r="AA356" s="86"/>
      <c r="AB356" s="86"/>
      <c r="AC356" s="83"/>
      <c r="AD356" s="88">
        <v>80</v>
      </c>
      <c r="AE356" s="88">
        <v>340</v>
      </c>
      <c r="AF356" s="88">
        <v>580</v>
      </c>
      <c r="AG356" s="66">
        <f t="shared" si="10"/>
        <v>215.06165413533836</v>
      </c>
      <c r="AH356" s="143">
        <f t="shared" si="11"/>
        <v>1000</v>
      </c>
    </row>
    <row r="357" spans="1:34" s="90" customFormat="1" x14ac:dyDescent="0.3">
      <c r="A357" s="84">
        <v>802853</v>
      </c>
      <c r="B357" s="87">
        <v>14.2</v>
      </c>
      <c r="C357" s="87">
        <v>8.6</v>
      </c>
      <c r="D357" s="86">
        <v>8.5299999999999994</v>
      </c>
      <c r="E357" s="99">
        <v>0.36</v>
      </c>
      <c r="F357" s="84">
        <v>184.05</v>
      </c>
      <c r="G357" s="83"/>
      <c r="H357" s="84">
        <v>37</v>
      </c>
      <c r="I357" s="84">
        <v>202</v>
      </c>
      <c r="J357" s="85">
        <v>0.25600000000000001</v>
      </c>
      <c r="K357" s="87">
        <v>7.53</v>
      </c>
      <c r="L357" s="83">
        <v>1200</v>
      </c>
      <c r="M357" s="83">
        <v>0.52</v>
      </c>
      <c r="N357" s="83">
        <v>0.39</v>
      </c>
      <c r="O357" s="83">
        <v>1.86</v>
      </c>
      <c r="P357" s="83">
        <v>4.13</v>
      </c>
      <c r="Q357" s="83"/>
      <c r="R357" s="86">
        <v>0.72299999999999998</v>
      </c>
      <c r="S357" s="87">
        <v>4.7</v>
      </c>
      <c r="T357" s="83"/>
      <c r="U357" s="83"/>
      <c r="V357" s="83"/>
      <c r="W357" s="83"/>
      <c r="X357" s="83"/>
      <c r="Y357" s="87">
        <v>6.5</v>
      </c>
      <c r="Z357" s="83"/>
      <c r="AA357" s="86"/>
      <c r="AB357" s="86"/>
      <c r="AC357" s="83"/>
      <c r="AD357" s="88">
        <v>40</v>
      </c>
      <c r="AE357" s="88">
        <v>520</v>
      </c>
      <c r="AF357" s="88">
        <v>440</v>
      </c>
      <c r="AG357" s="66">
        <f t="shared" si="10"/>
        <v>410.09538461538466</v>
      </c>
      <c r="AH357" s="143">
        <f t="shared" si="11"/>
        <v>1000</v>
      </c>
    </row>
    <row r="358" spans="1:34" s="90" customFormat="1" x14ac:dyDescent="0.3">
      <c r="A358" s="84">
        <v>802854</v>
      </c>
      <c r="B358" s="87">
        <v>16</v>
      </c>
      <c r="C358" s="87">
        <v>7.6</v>
      </c>
      <c r="D358" s="86">
        <v>8.7899999999999991</v>
      </c>
      <c r="E358" s="99">
        <v>0.33</v>
      </c>
      <c r="F358" s="84">
        <v>185.75</v>
      </c>
      <c r="G358" s="83"/>
      <c r="H358" s="84">
        <v>27</v>
      </c>
      <c r="I358" s="84">
        <v>234</v>
      </c>
      <c r="J358" s="85">
        <v>0.28299999999999997</v>
      </c>
      <c r="K358" s="87">
        <v>8.11</v>
      </c>
      <c r="L358" s="83">
        <v>1270</v>
      </c>
      <c r="M358" s="83">
        <v>0.34</v>
      </c>
      <c r="N358" s="83">
        <v>0.5</v>
      </c>
      <c r="O358" s="83">
        <v>1.47</v>
      </c>
      <c r="P358" s="83">
        <v>3.6</v>
      </c>
      <c r="Q358" s="83"/>
      <c r="R358" s="86">
        <v>0.8</v>
      </c>
      <c r="S358" s="87">
        <v>5.2</v>
      </c>
      <c r="T358" s="83"/>
      <c r="U358" s="83"/>
      <c r="V358" s="83"/>
      <c r="W358" s="83"/>
      <c r="X358" s="83"/>
      <c r="Y358" s="87">
        <v>10.3</v>
      </c>
      <c r="Z358" s="83"/>
      <c r="AA358" s="86"/>
      <c r="AB358" s="86"/>
      <c r="AC358" s="83"/>
      <c r="AD358" s="88">
        <v>60</v>
      </c>
      <c r="AE358" s="88">
        <v>660</v>
      </c>
      <c r="AF358" s="88">
        <v>280</v>
      </c>
      <c r="AG358" s="66">
        <f t="shared" si="10"/>
        <v>278.73203883495142</v>
      </c>
      <c r="AH358" s="143">
        <f t="shared" si="11"/>
        <v>1000</v>
      </c>
    </row>
    <row r="359" spans="1:34" s="90" customFormat="1" x14ac:dyDescent="0.3">
      <c r="A359" s="84">
        <v>802898</v>
      </c>
      <c r="B359" s="94">
        <v>20.75</v>
      </c>
      <c r="C359" s="94">
        <v>6.6250000000000009</v>
      </c>
      <c r="D359" s="86">
        <v>7.16</v>
      </c>
      <c r="E359" s="99">
        <v>8.92</v>
      </c>
      <c r="F359" s="84">
        <v>9612.5</v>
      </c>
      <c r="G359" s="84"/>
      <c r="H359" s="84">
        <v>4.0609999999999999</v>
      </c>
      <c r="I359" s="84">
        <v>583</v>
      </c>
      <c r="J359" s="85">
        <v>4.3540000000000001</v>
      </c>
      <c r="K359" s="87">
        <v>29.611999999999998</v>
      </c>
      <c r="L359" s="83">
        <v>2900</v>
      </c>
      <c r="M359" s="86">
        <v>0.11</v>
      </c>
      <c r="N359" s="82">
        <v>0.27</v>
      </c>
      <c r="O359" s="82">
        <v>0.15</v>
      </c>
      <c r="P359" s="82">
        <v>1.37</v>
      </c>
      <c r="Q359" s="83"/>
      <c r="R359" s="86">
        <v>0.43269036548215206</v>
      </c>
      <c r="S359" s="87">
        <v>3</v>
      </c>
      <c r="T359" s="83"/>
      <c r="U359" s="83"/>
      <c r="V359" s="83"/>
      <c r="W359" s="83"/>
      <c r="X359" s="83"/>
      <c r="Y359" s="94">
        <v>19.600000000000001</v>
      </c>
      <c r="Z359" s="83"/>
      <c r="AA359" s="86"/>
      <c r="AB359" s="86"/>
      <c r="AC359" s="83"/>
      <c r="AD359" s="88">
        <v>280</v>
      </c>
      <c r="AE359" s="88">
        <v>400</v>
      </c>
      <c r="AF359" s="88">
        <v>320</v>
      </c>
      <c r="AG359" s="66">
        <f t="shared" si="10"/>
        <v>534.82897959183663</v>
      </c>
      <c r="AH359" s="143">
        <f t="shared" si="11"/>
        <v>1000</v>
      </c>
    </row>
    <row r="360" spans="1:34" s="90" customFormat="1" x14ac:dyDescent="0.3">
      <c r="A360" s="84">
        <v>802855</v>
      </c>
      <c r="B360" s="87">
        <v>20.4166666666667</v>
      </c>
      <c r="C360" s="87">
        <v>8.5</v>
      </c>
      <c r="D360" s="86">
        <v>8.36</v>
      </c>
      <c r="E360" s="99">
        <v>0.39300000000000002</v>
      </c>
      <c r="F360" s="84">
        <v>193.55</v>
      </c>
      <c r="G360" s="84"/>
      <c r="H360" s="84">
        <v>70.45</v>
      </c>
      <c r="I360" s="84">
        <v>310</v>
      </c>
      <c r="J360" s="85">
        <v>0.308</v>
      </c>
      <c r="K360" s="87">
        <v>10.94</v>
      </c>
      <c r="L360" s="83">
        <v>910</v>
      </c>
      <c r="M360" s="83">
        <v>1.05</v>
      </c>
      <c r="N360" s="83">
        <v>0.95</v>
      </c>
      <c r="O360" s="83">
        <v>5.28</v>
      </c>
      <c r="P360" s="83">
        <v>4.04</v>
      </c>
      <c r="Q360" s="83"/>
      <c r="R360" s="86">
        <v>1.2072481844504319</v>
      </c>
      <c r="S360" s="87">
        <v>8</v>
      </c>
      <c r="T360" s="83"/>
      <c r="U360" s="83"/>
      <c r="V360" s="83"/>
      <c r="W360" s="83"/>
      <c r="X360" s="83"/>
      <c r="Y360" s="87">
        <v>21.000000000000004</v>
      </c>
      <c r="Z360" s="83"/>
      <c r="AA360" s="86"/>
      <c r="AB360" s="86"/>
      <c r="AC360" s="83"/>
      <c r="AD360" s="88">
        <v>300</v>
      </c>
      <c r="AE360" s="88">
        <v>560</v>
      </c>
      <c r="AF360" s="88">
        <v>140</v>
      </c>
      <c r="AG360" s="66">
        <f t="shared" si="10"/>
        <v>184.41714285714281</v>
      </c>
      <c r="AH360" s="143">
        <f t="shared" si="11"/>
        <v>1000</v>
      </c>
    </row>
    <row r="361" spans="1:34" s="90" customFormat="1" x14ac:dyDescent="0.3">
      <c r="A361" s="84">
        <v>802856</v>
      </c>
      <c r="B361" s="87">
        <v>24.5</v>
      </c>
      <c r="C361" s="87">
        <v>8.7500000000000018</v>
      </c>
      <c r="D361" s="86">
        <v>8.68</v>
      </c>
      <c r="E361" s="99">
        <v>0.373</v>
      </c>
      <c r="F361" s="84">
        <v>17265</v>
      </c>
      <c r="G361" s="84"/>
      <c r="H361" s="84">
        <v>57.17</v>
      </c>
      <c r="I361" s="84">
        <v>380</v>
      </c>
      <c r="J361" s="85">
        <v>0.318</v>
      </c>
      <c r="K361" s="87">
        <v>10.09</v>
      </c>
      <c r="L361" s="83">
        <v>1790</v>
      </c>
      <c r="M361" s="83">
        <v>0.93</v>
      </c>
      <c r="N361" s="83">
        <v>1.07</v>
      </c>
      <c r="O361" s="83">
        <v>5.18</v>
      </c>
      <c r="P361" s="83">
        <v>3.89</v>
      </c>
      <c r="Q361" s="83"/>
      <c r="R361" s="86">
        <v>0.70703772920522934</v>
      </c>
      <c r="S361" s="87">
        <v>5</v>
      </c>
      <c r="T361" s="83"/>
      <c r="U361" s="83"/>
      <c r="V361" s="83"/>
      <c r="W361" s="83"/>
      <c r="X361" s="83"/>
      <c r="Y361" s="87">
        <v>23.8</v>
      </c>
      <c r="Z361" s="83"/>
      <c r="AA361" s="86"/>
      <c r="AB361" s="86"/>
      <c r="AC361" s="83"/>
      <c r="AD361" s="88">
        <v>340</v>
      </c>
      <c r="AE361" s="88">
        <v>540</v>
      </c>
      <c r="AF361" s="88">
        <v>120</v>
      </c>
      <c r="AG361" s="66">
        <f t="shared" si="10"/>
        <v>150.0781512605042</v>
      </c>
      <c r="AH361" s="143">
        <f t="shared" si="11"/>
        <v>1000</v>
      </c>
    </row>
    <row r="362" spans="1:34" s="90" customFormat="1" x14ac:dyDescent="0.3">
      <c r="A362" s="84">
        <v>802857</v>
      </c>
      <c r="B362" s="87">
        <v>7.5</v>
      </c>
      <c r="C362" s="87"/>
      <c r="D362" s="86">
        <v>8.8000000000000007</v>
      </c>
      <c r="E362" s="99">
        <v>0.69399999999999995</v>
      </c>
      <c r="F362" s="84">
        <v>64.800000000000011</v>
      </c>
      <c r="G362" s="84"/>
      <c r="H362" s="84">
        <v>104.59</v>
      </c>
      <c r="I362" s="84">
        <v>650</v>
      </c>
      <c r="J362" s="85">
        <v>0.24199999999999999</v>
      </c>
      <c r="K362" s="87">
        <v>8.33</v>
      </c>
      <c r="L362" s="83">
        <v>1430</v>
      </c>
      <c r="M362" s="83">
        <v>1.42</v>
      </c>
      <c r="N362" s="83">
        <v>0.57999999999999996</v>
      </c>
      <c r="O362" s="83">
        <v>4.54</v>
      </c>
      <c r="P362" s="83">
        <v>5.14</v>
      </c>
      <c r="Q362" s="83"/>
      <c r="R362" s="86">
        <v>0.67199152015376962</v>
      </c>
      <c r="S362" s="87">
        <v>5</v>
      </c>
      <c r="T362" s="83"/>
      <c r="U362" s="83"/>
      <c r="V362" s="83"/>
      <c r="W362" s="83"/>
      <c r="X362" s="83"/>
      <c r="Y362" s="87">
        <v>8.4</v>
      </c>
      <c r="Z362" s="83"/>
      <c r="AA362" s="86"/>
      <c r="AB362" s="86"/>
      <c r="AC362" s="83"/>
      <c r="AD362" s="88">
        <v>120</v>
      </c>
      <c r="AE362" s="88">
        <v>120</v>
      </c>
      <c r="AF362" s="88">
        <v>760</v>
      </c>
      <c r="AG362" s="66">
        <f t="shared" si="10"/>
        <v>351.04999999999995</v>
      </c>
      <c r="AH362" s="143">
        <f t="shared" si="11"/>
        <v>1000</v>
      </c>
    </row>
    <row r="363" spans="1:34" s="90" customFormat="1" x14ac:dyDescent="0.3">
      <c r="A363" s="84">
        <v>802858</v>
      </c>
      <c r="B363" s="87">
        <v>7.5416666666666661</v>
      </c>
      <c r="C363" s="87"/>
      <c r="D363" s="86">
        <v>8.84</v>
      </c>
      <c r="E363" s="99">
        <v>0.27199999999999996</v>
      </c>
      <c r="F363" s="84">
        <v>79.800000000000011</v>
      </c>
      <c r="G363" s="84"/>
      <c r="H363" s="84">
        <v>194.02</v>
      </c>
      <c r="I363" s="84">
        <v>1070</v>
      </c>
      <c r="J363" s="85">
        <v>0.28199999999999997</v>
      </c>
      <c r="K363" s="87">
        <v>8.02</v>
      </c>
      <c r="L363" s="83">
        <v>1880</v>
      </c>
      <c r="M363" s="83">
        <v>1.4</v>
      </c>
      <c r="N363" s="83">
        <v>0.68</v>
      </c>
      <c r="O363" s="83">
        <v>5.62</v>
      </c>
      <c r="P363" s="83">
        <v>8.09</v>
      </c>
      <c r="Q363" s="83"/>
      <c r="R363" s="86">
        <v>1.1627738106334289</v>
      </c>
      <c r="S363" s="87">
        <v>8</v>
      </c>
      <c r="T363" s="83"/>
      <c r="U363" s="83"/>
      <c r="V363" s="83"/>
      <c r="W363" s="83"/>
      <c r="X363" s="83"/>
      <c r="Y363" s="87">
        <v>9.8000000000000007</v>
      </c>
      <c r="Z363" s="83"/>
      <c r="AA363" s="86"/>
      <c r="AB363" s="86"/>
      <c r="AC363" s="83"/>
      <c r="AD363" s="88">
        <v>140</v>
      </c>
      <c r="AE363" s="88">
        <v>120</v>
      </c>
      <c r="AF363" s="88">
        <v>740</v>
      </c>
      <c r="AG363" s="66">
        <f t="shared" si="10"/>
        <v>289.70204081632653</v>
      </c>
      <c r="AH363" s="143">
        <f t="shared" si="11"/>
        <v>1000</v>
      </c>
    </row>
    <row r="364" spans="1:34" s="90" customFormat="1" x14ac:dyDescent="0.3">
      <c r="A364" s="84">
        <v>802859</v>
      </c>
      <c r="B364" s="87">
        <v>4.666666666666667</v>
      </c>
      <c r="C364" s="87"/>
      <c r="D364" s="86">
        <v>8.8000000000000007</v>
      </c>
      <c r="E364" s="99">
        <v>0.254</v>
      </c>
      <c r="F364" s="84">
        <v>68.8</v>
      </c>
      <c r="G364" s="84"/>
      <c r="H364" s="84">
        <v>97.73</v>
      </c>
      <c r="I364" s="84">
        <v>1220</v>
      </c>
      <c r="J364" s="85">
        <v>0.309</v>
      </c>
      <c r="K364" s="87">
        <v>7.25</v>
      </c>
      <c r="L364" s="83">
        <v>2610</v>
      </c>
      <c r="M364" s="83">
        <v>0.99</v>
      </c>
      <c r="N364" s="83">
        <v>0.82</v>
      </c>
      <c r="O364" s="83">
        <v>7.09</v>
      </c>
      <c r="P364" s="83">
        <v>6.67</v>
      </c>
      <c r="Q364" s="83"/>
      <c r="R364" s="86">
        <v>0.66867946400324241</v>
      </c>
      <c r="S364" s="87">
        <v>5</v>
      </c>
      <c r="T364" s="83"/>
      <c r="U364" s="83"/>
      <c r="V364" s="83"/>
      <c r="W364" s="83"/>
      <c r="X364" s="83"/>
      <c r="Y364" s="87">
        <v>25.200000000000003</v>
      </c>
      <c r="Z364" s="83"/>
      <c r="AA364" s="86"/>
      <c r="AB364" s="86"/>
      <c r="AC364" s="83"/>
      <c r="AD364" s="88">
        <v>360</v>
      </c>
      <c r="AE364" s="88">
        <v>240</v>
      </c>
      <c r="AF364" s="88">
        <v>400</v>
      </c>
      <c r="AG364" s="66">
        <f t="shared" si="10"/>
        <v>101.84523809523809</v>
      </c>
      <c r="AH364" s="143">
        <f t="shared" si="11"/>
        <v>1000</v>
      </c>
    </row>
    <row r="365" spans="1:34" s="90" customFormat="1" x14ac:dyDescent="0.3">
      <c r="A365" s="84">
        <v>802860</v>
      </c>
      <c r="B365" s="87">
        <v>7.625</v>
      </c>
      <c r="C365" s="87"/>
      <c r="D365" s="86">
        <v>8.9700000000000006</v>
      </c>
      <c r="E365" s="99">
        <v>0.47499999999999998</v>
      </c>
      <c r="F365" s="84">
        <v>266.35000000000002</v>
      </c>
      <c r="G365" s="84"/>
      <c r="H365" s="84">
        <v>97.89</v>
      </c>
      <c r="I365" s="84">
        <v>1140</v>
      </c>
      <c r="J365" s="85">
        <v>0.40899999999999997</v>
      </c>
      <c r="K365" s="87">
        <v>7.63</v>
      </c>
      <c r="L365" s="83">
        <v>1990</v>
      </c>
      <c r="M365" s="83">
        <v>1.1499999999999999</v>
      </c>
      <c r="N365" s="83">
        <v>0.71</v>
      </c>
      <c r="O365" s="83">
        <v>4.1399999999999997</v>
      </c>
      <c r="P365" s="83">
        <v>7.32</v>
      </c>
      <c r="Q365" s="83"/>
      <c r="R365" s="86">
        <v>0.86723450466657037</v>
      </c>
      <c r="S365" s="87">
        <v>6</v>
      </c>
      <c r="T365" s="83"/>
      <c r="U365" s="83"/>
      <c r="V365" s="83"/>
      <c r="W365" s="83"/>
      <c r="X365" s="83"/>
      <c r="Y365" s="87">
        <v>25.200000000000003</v>
      </c>
      <c r="Z365" s="86"/>
      <c r="AA365" s="83"/>
      <c r="AB365" s="83"/>
      <c r="AC365" s="83"/>
      <c r="AD365" s="88">
        <v>360</v>
      </c>
      <c r="AE365" s="88">
        <v>220</v>
      </c>
      <c r="AF365" s="88">
        <v>420</v>
      </c>
      <c r="AG365" s="66">
        <f t="shared" si="10"/>
        <v>107.18333333333332</v>
      </c>
      <c r="AH365" s="143">
        <f t="shared" si="11"/>
        <v>1000</v>
      </c>
    </row>
    <row r="366" spans="1:34" s="90" customFormat="1" x14ac:dyDescent="0.3">
      <c r="A366" s="84">
        <v>802861</v>
      </c>
      <c r="B366" s="87">
        <v>7.1666666666666661</v>
      </c>
      <c r="C366" s="87"/>
      <c r="D366" s="86">
        <v>8.6999999999999993</v>
      </c>
      <c r="E366" s="99">
        <v>0.23699999999999999</v>
      </c>
      <c r="F366" s="84">
        <v>101.44999999999999</v>
      </c>
      <c r="G366" s="84"/>
      <c r="H366" s="84">
        <v>169.01</v>
      </c>
      <c r="I366" s="84">
        <v>640</v>
      </c>
      <c r="J366" s="85">
        <v>0.14299999999999999</v>
      </c>
      <c r="K366" s="87">
        <v>7.42</v>
      </c>
      <c r="L366" s="83">
        <v>1260</v>
      </c>
      <c r="M366" s="83">
        <v>2.13</v>
      </c>
      <c r="N366" s="83">
        <v>0.66</v>
      </c>
      <c r="O366" s="83">
        <v>4.6500000000000004</v>
      </c>
      <c r="P366" s="83">
        <v>4.74</v>
      </c>
      <c r="Q366" s="83"/>
      <c r="R366" s="86">
        <v>0.75170964133755935</v>
      </c>
      <c r="S366" s="87">
        <v>5</v>
      </c>
      <c r="T366" s="83"/>
      <c r="U366" s="83"/>
      <c r="V366" s="83"/>
      <c r="W366" s="83"/>
      <c r="X366" s="83"/>
      <c r="Y366" s="87">
        <v>7.0000000000000009</v>
      </c>
      <c r="Z366" s="86"/>
      <c r="AA366" s="83"/>
      <c r="AB366" s="83"/>
      <c r="AC366" s="83"/>
      <c r="AD366" s="88">
        <v>100</v>
      </c>
      <c r="AE366" s="88">
        <v>100</v>
      </c>
      <c r="AF366" s="88">
        <v>800</v>
      </c>
      <c r="AG366" s="66">
        <f t="shared" si="10"/>
        <v>375.23999999999995</v>
      </c>
      <c r="AH366" s="143">
        <f t="shared" si="11"/>
        <v>1000</v>
      </c>
    </row>
    <row r="367" spans="1:34" s="90" customFormat="1" x14ac:dyDescent="0.3">
      <c r="A367" s="84">
        <v>802862</v>
      </c>
      <c r="B367" s="87">
        <v>6.3333333333333321</v>
      </c>
      <c r="C367" s="87"/>
      <c r="D367" s="86">
        <v>8.76</v>
      </c>
      <c r="E367" s="99">
        <v>0.24199999999999999</v>
      </c>
      <c r="F367" s="84">
        <v>84.350000000000009</v>
      </c>
      <c r="G367" s="84"/>
      <c r="H367" s="84">
        <v>229.56</v>
      </c>
      <c r="I367" s="84">
        <v>860</v>
      </c>
      <c r="J367" s="85">
        <v>0.19800000000000001</v>
      </c>
      <c r="K367" s="87">
        <v>7.55</v>
      </c>
      <c r="L367" s="83">
        <v>1660</v>
      </c>
      <c r="M367" s="83">
        <v>2.27</v>
      </c>
      <c r="N367" s="83">
        <v>0.7</v>
      </c>
      <c r="O367" s="83">
        <v>5.22</v>
      </c>
      <c r="P367" s="83">
        <v>8.34</v>
      </c>
      <c r="Q367" s="83"/>
      <c r="R367" s="86">
        <v>0.94924761800560342</v>
      </c>
      <c r="S367" s="87">
        <v>7</v>
      </c>
      <c r="T367" s="83"/>
      <c r="U367" s="83"/>
      <c r="V367" s="83"/>
      <c r="W367" s="83"/>
      <c r="X367" s="83"/>
      <c r="Y367" s="87">
        <v>9.8000000000000007</v>
      </c>
      <c r="Z367" s="83"/>
      <c r="AA367" s="86"/>
      <c r="AB367" s="86"/>
      <c r="AC367" s="83"/>
      <c r="AD367" s="88">
        <v>140</v>
      </c>
      <c r="AE367" s="88">
        <v>100</v>
      </c>
      <c r="AF367" s="88">
        <v>760</v>
      </c>
      <c r="AG367" s="66">
        <f t="shared" si="10"/>
        <v>272.72448979591832</v>
      </c>
      <c r="AH367" s="143">
        <f t="shared" si="11"/>
        <v>1000</v>
      </c>
    </row>
    <row r="368" spans="1:34" s="90" customFormat="1" x14ac:dyDescent="0.3">
      <c r="A368" s="84">
        <v>802863</v>
      </c>
      <c r="B368" s="87">
        <v>6.7499999999999991</v>
      </c>
      <c r="C368" s="87"/>
      <c r="D368" s="86">
        <v>8.73</v>
      </c>
      <c r="E368" s="99">
        <v>0.24</v>
      </c>
      <c r="F368" s="84">
        <v>93.45</v>
      </c>
      <c r="G368" s="84"/>
      <c r="H368" s="84">
        <v>289.07</v>
      </c>
      <c r="I368" s="84">
        <v>1010</v>
      </c>
      <c r="J368" s="85">
        <v>0.14399999999999999</v>
      </c>
      <c r="K368" s="87">
        <v>7.51</v>
      </c>
      <c r="L368" s="83">
        <v>3030</v>
      </c>
      <c r="M368" s="83">
        <v>3.16</v>
      </c>
      <c r="N368" s="83">
        <v>0.97</v>
      </c>
      <c r="O368" s="83">
        <v>7.1</v>
      </c>
      <c r="P368" s="83">
        <v>12.34</v>
      </c>
      <c r="Q368" s="83"/>
      <c r="R368" s="86">
        <v>1.6407</v>
      </c>
      <c r="S368" s="87">
        <v>12</v>
      </c>
      <c r="T368" s="83"/>
      <c r="U368" s="83"/>
      <c r="V368" s="83"/>
      <c r="W368" s="83"/>
      <c r="X368" s="83"/>
      <c r="Y368" s="87">
        <v>28.000000000000004</v>
      </c>
      <c r="Z368" s="83"/>
      <c r="AA368" s="86"/>
      <c r="AB368" s="86"/>
      <c r="AC368" s="83"/>
      <c r="AD368" s="88">
        <v>400</v>
      </c>
      <c r="AE368" s="88">
        <v>260</v>
      </c>
      <c r="AF368" s="88">
        <v>340</v>
      </c>
      <c r="AG368" s="66">
        <f t="shared" si="10"/>
        <v>94.947857142857131</v>
      </c>
      <c r="AH368" s="143">
        <f t="shared" si="11"/>
        <v>1000</v>
      </c>
    </row>
    <row r="369" spans="1:34" s="90" customFormat="1" x14ac:dyDescent="0.3">
      <c r="A369" s="84">
        <v>802864</v>
      </c>
      <c r="B369" s="87">
        <v>6.125</v>
      </c>
      <c r="C369" s="87"/>
      <c r="D369" s="86">
        <v>8.92</v>
      </c>
      <c r="E369" s="99">
        <v>0.45400000000000001</v>
      </c>
      <c r="F369" s="84">
        <v>236.14999999999998</v>
      </c>
      <c r="G369" s="84"/>
      <c r="H369" s="84">
        <v>89.44</v>
      </c>
      <c r="I369" s="84">
        <v>810</v>
      </c>
      <c r="J369" s="85">
        <v>0.34100000000000003</v>
      </c>
      <c r="K369" s="87">
        <v>8.19</v>
      </c>
      <c r="L369" s="83">
        <v>2060</v>
      </c>
      <c r="M369" s="83">
        <v>1.24</v>
      </c>
      <c r="N369" s="83">
        <v>0.72</v>
      </c>
      <c r="O369" s="83">
        <v>3.98</v>
      </c>
      <c r="P369" s="83">
        <v>5.84</v>
      </c>
      <c r="Q369" s="83"/>
      <c r="R369" s="86">
        <v>0.61377673457187065</v>
      </c>
      <c r="S369" s="87">
        <v>4</v>
      </c>
      <c r="T369" s="83"/>
      <c r="U369" s="83"/>
      <c r="V369" s="83"/>
      <c r="W369" s="83"/>
      <c r="X369" s="83"/>
      <c r="Y369" s="87">
        <v>30.800000000000004</v>
      </c>
      <c r="Z369" s="83"/>
      <c r="AA369" s="86"/>
      <c r="AB369" s="86"/>
      <c r="AC369" s="83"/>
      <c r="AD369" s="88">
        <v>440</v>
      </c>
      <c r="AE369" s="88">
        <v>220</v>
      </c>
      <c r="AF369" s="88">
        <v>340</v>
      </c>
      <c r="AG369" s="66">
        <f t="shared" si="10"/>
        <v>94.131818181818161</v>
      </c>
      <c r="AH369" s="143">
        <f t="shared" si="11"/>
        <v>1000</v>
      </c>
    </row>
    <row r="370" spans="1:34" s="90" customFormat="1" x14ac:dyDescent="0.3">
      <c r="A370" s="84">
        <v>802865</v>
      </c>
      <c r="B370" s="87">
        <v>8.4166666666666661</v>
      </c>
      <c r="C370" s="87">
        <v>5.8750000000000036</v>
      </c>
      <c r="D370" s="86">
        <v>8.8699999999999992</v>
      </c>
      <c r="E370" s="99">
        <v>0.21099999999999999</v>
      </c>
      <c r="F370" s="84">
        <v>78.45</v>
      </c>
      <c r="G370" s="84"/>
      <c r="H370" s="84">
        <v>99.17</v>
      </c>
      <c r="I370" s="84">
        <v>590</v>
      </c>
      <c r="J370" s="85">
        <v>0.13900000000000001</v>
      </c>
      <c r="K370" s="87">
        <v>7.48</v>
      </c>
      <c r="L370" s="83">
        <v>1350</v>
      </c>
      <c r="M370" s="83">
        <v>0.87</v>
      </c>
      <c r="N370" s="83">
        <v>0.52</v>
      </c>
      <c r="O370" s="83">
        <v>4.95</v>
      </c>
      <c r="P370" s="83">
        <v>6.26</v>
      </c>
      <c r="Q370" s="83"/>
      <c r="R370" s="86">
        <v>0.76919633464363923</v>
      </c>
      <c r="S370" s="87">
        <v>5</v>
      </c>
      <c r="T370" s="83"/>
      <c r="U370" s="83"/>
      <c r="V370" s="83"/>
      <c r="W370" s="83"/>
      <c r="X370" s="83"/>
      <c r="Y370" s="87">
        <v>7.0000000000000009</v>
      </c>
      <c r="Z370" s="83"/>
      <c r="AA370" s="86"/>
      <c r="AB370" s="86"/>
      <c r="AC370" s="83"/>
      <c r="AD370" s="88">
        <v>100</v>
      </c>
      <c r="AE370" s="88">
        <v>100</v>
      </c>
      <c r="AF370" s="88">
        <v>800</v>
      </c>
      <c r="AG370" s="66">
        <f t="shared" si="10"/>
        <v>378.27428571428567</v>
      </c>
      <c r="AH370" s="143">
        <f t="shared" si="11"/>
        <v>1000</v>
      </c>
    </row>
    <row r="371" spans="1:34" s="90" customFormat="1" x14ac:dyDescent="0.3">
      <c r="A371" s="84">
        <v>802866</v>
      </c>
      <c r="B371" s="87">
        <v>6.8333333333333313</v>
      </c>
      <c r="C371" s="87"/>
      <c r="D371" s="86">
        <v>8.8000000000000007</v>
      </c>
      <c r="E371" s="99">
        <v>0.29699999999999999</v>
      </c>
      <c r="F371" s="84">
        <v>141.54999999999998</v>
      </c>
      <c r="G371" s="84"/>
      <c r="H371" s="84">
        <v>50.33</v>
      </c>
      <c r="I371" s="84">
        <v>720</v>
      </c>
      <c r="J371" s="85">
        <v>0.32900000000000001</v>
      </c>
      <c r="K371" s="87">
        <v>7.87</v>
      </c>
      <c r="L371" s="83">
        <v>1740</v>
      </c>
      <c r="M371" s="83">
        <v>0.54</v>
      </c>
      <c r="N371" s="83">
        <v>0.61</v>
      </c>
      <c r="O371" s="83">
        <v>5.3</v>
      </c>
      <c r="P371" s="83">
        <v>6.08</v>
      </c>
      <c r="Q371" s="83"/>
      <c r="R371" s="86">
        <v>0.45049936700058296</v>
      </c>
      <c r="S371" s="87">
        <v>3</v>
      </c>
      <c r="T371" s="83"/>
      <c r="U371" s="83"/>
      <c r="V371" s="83"/>
      <c r="W371" s="83"/>
      <c r="X371" s="83"/>
      <c r="Y371" s="87">
        <v>9.8000000000000007</v>
      </c>
      <c r="Z371" s="83"/>
      <c r="AA371" s="86"/>
      <c r="AB371" s="86"/>
      <c r="AC371" s="83"/>
      <c r="AD371" s="88">
        <v>140</v>
      </c>
      <c r="AE371" s="88">
        <v>100</v>
      </c>
      <c r="AF371" s="88">
        <v>760</v>
      </c>
      <c r="AG371" s="66">
        <f t="shared" si="10"/>
        <v>284.28367346938774</v>
      </c>
      <c r="AH371" s="143">
        <f t="shared" si="11"/>
        <v>1000</v>
      </c>
    </row>
    <row r="372" spans="1:34" s="90" customFormat="1" x14ac:dyDescent="0.3">
      <c r="A372" s="84">
        <v>802867</v>
      </c>
      <c r="B372" s="87">
        <v>7.1666666666666661</v>
      </c>
      <c r="C372" s="87"/>
      <c r="D372" s="86">
        <v>8.85</v>
      </c>
      <c r="E372" s="99">
        <v>0.20099999999999998</v>
      </c>
      <c r="F372" s="84">
        <v>111.15</v>
      </c>
      <c r="G372" s="84"/>
      <c r="H372" s="84">
        <v>51.58</v>
      </c>
      <c r="I372" s="84">
        <v>860</v>
      </c>
      <c r="J372" s="85">
        <v>0.16600000000000001</v>
      </c>
      <c r="K372" s="87">
        <v>8.4600000000000009</v>
      </c>
      <c r="L372" s="83">
        <v>2470</v>
      </c>
      <c r="M372" s="83">
        <v>0.79</v>
      </c>
      <c r="N372" s="83">
        <v>0.91</v>
      </c>
      <c r="O372" s="83">
        <v>7.72</v>
      </c>
      <c r="P372" s="83">
        <v>6.67</v>
      </c>
      <c r="Q372" s="83"/>
      <c r="R372" s="86">
        <v>0.75183294190574024</v>
      </c>
      <c r="S372" s="87">
        <v>5</v>
      </c>
      <c r="T372" s="83"/>
      <c r="U372" s="83"/>
      <c r="V372" s="83"/>
      <c r="W372" s="83"/>
      <c r="X372" s="83"/>
      <c r="Y372" s="87">
        <v>32.200000000000003</v>
      </c>
      <c r="Z372" s="83"/>
      <c r="AA372" s="86"/>
      <c r="AB372" s="86"/>
      <c r="AC372" s="83"/>
      <c r="AD372" s="88">
        <v>460</v>
      </c>
      <c r="AE372" s="88">
        <v>200</v>
      </c>
      <c r="AF372" s="88">
        <v>340</v>
      </c>
      <c r="AG372" s="66">
        <f t="shared" si="10"/>
        <v>93.007453416149062</v>
      </c>
      <c r="AH372" s="143">
        <f t="shared" si="11"/>
        <v>1000</v>
      </c>
    </row>
    <row r="373" spans="1:34" s="90" customFormat="1" x14ac:dyDescent="0.3">
      <c r="A373" s="84">
        <v>802868</v>
      </c>
      <c r="B373" s="87">
        <v>8.3333333333333321</v>
      </c>
      <c r="C373" s="87">
        <v>6.1250000000000027</v>
      </c>
      <c r="D373" s="86">
        <v>8.5500000000000007</v>
      </c>
      <c r="E373" s="99">
        <v>1.7</v>
      </c>
      <c r="F373" s="84">
        <v>1392.6499999999999</v>
      </c>
      <c r="G373" s="84"/>
      <c r="H373" s="84">
        <v>253.15</v>
      </c>
      <c r="I373" s="84">
        <v>940</v>
      </c>
      <c r="J373" s="85">
        <v>6.4000000000000001E-2</v>
      </c>
      <c r="K373" s="87">
        <v>7.52</v>
      </c>
      <c r="L373" s="83">
        <v>2760</v>
      </c>
      <c r="M373" s="86">
        <v>4</v>
      </c>
      <c r="N373" s="83">
        <v>0.95</v>
      </c>
      <c r="O373" s="83">
        <v>13.75</v>
      </c>
      <c r="P373" s="83">
        <v>17.11</v>
      </c>
      <c r="Q373" s="83"/>
      <c r="R373" s="86">
        <v>1.7135000000000002</v>
      </c>
      <c r="S373" s="87">
        <v>14</v>
      </c>
      <c r="T373" s="83"/>
      <c r="U373" s="83"/>
      <c r="V373" s="83"/>
      <c r="W373" s="83"/>
      <c r="X373" s="83"/>
      <c r="Y373" s="87">
        <v>9.8000000000000007</v>
      </c>
      <c r="Z373" s="83"/>
      <c r="AA373" s="86"/>
      <c r="AB373" s="86"/>
      <c r="AC373" s="83"/>
      <c r="AD373" s="88">
        <v>140</v>
      </c>
      <c r="AE373" s="88">
        <v>80</v>
      </c>
      <c r="AF373" s="88">
        <v>780</v>
      </c>
      <c r="AG373" s="66">
        <f t="shared" si="10"/>
        <v>271.64081632653057</v>
      </c>
      <c r="AH373" s="143">
        <f t="shared" si="11"/>
        <v>1000</v>
      </c>
    </row>
    <row r="374" spans="1:34" s="90" customFormat="1" x14ac:dyDescent="0.3">
      <c r="A374" s="84">
        <v>802869</v>
      </c>
      <c r="B374" s="87">
        <v>7.2499999999999991</v>
      </c>
      <c r="C374" s="87"/>
      <c r="D374" s="86">
        <v>8.3800000000000008</v>
      </c>
      <c r="E374" s="99">
        <v>0.16599999999999998</v>
      </c>
      <c r="F374" s="84">
        <v>97.6</v>
      </c>
      <c r="G374" s="84"/>
      <c r="H374" s="84">
        <v>149.91</v>
      </c>
      <c r="I374" s="84">
        <v>2220</v>
      </c>
      <c r="J374" s="85">
        <v>0.106</v>
      </c>
      <c r="K374" s="87">
        <v>7.99</v>
      </c>
      <c r="L374" s="83">
        <v>2640</v>
      </c>
      <c r="M374" s="83">
        <v>1.37</v>
      </c>
      <c r="N374" s="83">
        <v>0.56000000000000005</v>
      </c>
      <c r="O374" s="83">
        <v>4.1100000000000003</v>
      </c>
      <c r="P374" s="83">
        <v>5.7</v>
      </c>
      <c r="Q374" s="83"/>
      <c r="R374" s="86">
        <v>0.68880934433941365</v>
      </c>
      <c r="S374" s="87">
        <v>5</v>
      </c>
      <c r="T374" s="83"/>
      <c r="U374" s="83"/>
      <c r="V374" s="83"/>
      <c r="W374" s="83"/>
      <c r="X374" s="83"/>
      <c r="Y374" s="87">
        <v>7.0000000000000009</v>
      </c>
      <c r="Z374" s="83"/>
      <c r="AA374" s="86"/>
      <c r="AB374" s="86"/>
      <c r="AC374" s="83"/>
      <c r="AD374" s="88">
        <v>100</v>
      </c>
      <c r="AE374" s="88">
        <v>100</v>
      </c>
      <c r="AF374" s="88">
        <v>800</v>
      </c>
      <c r="AG374" s="66">
        <f t="shared" si="10"/>
        <v>404.06571428571425</v>
      </c>
      <c r="AH374" s="143">
        <f t="shared" si="11"/>
        <v>1000</v>
      </c>
    </row>
    <row r="375" spans="1:34" s="90" customFormat="1" x14ac:dyDescent="0.3">
      <c r="A375" s="84">
        <v>802870</v>
      </c>
      <c r="B375" s="87">
        <v>11.75</v>
      </c>
      <c r="C375" s="87">
        <v>7.0000000000000018</v>
      </c>
      <c r="D375" s="86">
        <v>8.17</v>
      </c>
      <c r="E375" s="99">
        <v>0.20099999999999998</v>
      </c>
      <c r="F375" s="84">
        <v>114.65</v>
      </c>
      <c r="G375" s="84"/>
      <c r="H375" s="84">
        <v>142.78</v>
      </c>
      <c r="I375" s="84">
        <v>710</v>
      </c>
      <c r="J375" s="85">
        <v>0.27400000000000002</v>
      </c>
      <c r="K375" s="87">
        <v>9.4</v>
      </c>
      <c r="L375" s="83">
        <v>1800</v>
      </c>
      <c r="M375" s="83">
        <v>1.26</v>
      </c>
      <c r="N375" s="83">
        <v>0.68</v>
      </c>
      <c r="O375" s="83">
        <v>5.0599999999999996</v>
      </c>
      <c r="P375" s="83">
        <v>7.63</v>
      </c>
      <c r="Q375" s="83"/>
      <c r="R375" s="86">
        <v>0.86218419449284345</v>
      </c>
      <c r="S375" s="87">
        <v>6</v>
      </c>
      <c r="T375" s="83"/>
      <c r="U375" s="83"/>
      <c r="V375" s="83"/>
      <c r="W375" s="83"/>
      <c r="X375" s="83"/>
      <c r="Y375" s="87">
        <v>15.400000000000002</v>
      </c>
      <c r="Z375" s="83"/>
      <c r="AA375" s="86"/>
      <c r="AB375" s="86"/>
      <c r="AC375" s="83"/>
      <c r="AD375" s="88">
        <v>220</v>
      </c>
      <c r="AE375" s="88">
        <v>100</v>
      </c>
      <c r="AF375" s="88">
        <v>680</v>
      </c>
      <c r="AG375" s="66">
        <f t="shared" si="10"/>
        <v>216.07792207792207</v>
      </c>
      <c r="AH375" s="143">
        <f t="shared" si="11"/>
        <v>1000</v>
      </c>
    </row>
    <row r="376" spans="1:34" s="90" customFormat="1" x14ac:dyDescent="0.3">
      <c r="A376" s="84">
        <v>802871</v>
      </c>
      <c r="B376" s="87">
        <v>10.125</v>
      </c>
      <c r="C376" s="87">
        <v>7.2500000000000009</v>
      </c>
      <c r="D376" s="86">
        <v>8.9499999999999993</v>
      </c>
      <c r="E376" s="99">
        <v>0.23099999999999998</v>
      </c>
      <c r="F376" s="84">
        <v>116.05000000000001</v>
      </c>
      <c r="G376" s="84"/>
      <c r="H376" s="84">
        <v>109.06</v>
      </c>
      <c r="I376" s="84">
        <v>1080</v>
      </c>
      <c r="J376" s="85">
        <v>3.2000000000000001E-2</v>
      </c>
      <c r="K376" s="87">
        <v>8.41</v>
      </c>
      <c r="L376" s="83">
        <v>2660</v>
      </c>
      <c r="M376" s="83">
        <v>1.66</v>
      </c>
      <c r="N376" s="83">
        <v>0.92</v>
      </c>
      <c r="O376" s="83">
        <v>7.1</v>
      </c>
      <c r="P376" s="83">
        <v>7.54</v>
      </c>
      <c r="Q376" s="83"/>
      <c r="R376" s="86">
        <v>0.73170185184478265</v>
      </c>
      <c r="S376" s="87">
        <v>5</v>
      </c>
      <c r="T376" s="83"/>
      <c r="U376" s="83"/>
      <c r="V376" s="83"/>
      <c r="W376" s="83"/>
      <c r="X376" s="83"/>
      <c r="Y376" s="87">
        <v>28.000000000000004</v>
      </c>
      <c r="Z376" s="83"/>
      <c r="AA376" s="86"/>
      <c r="AB376" s="86"/>
      <c r="AC376" s="83"/>
      <c r="AD376" s="88">
        <v>400</v>
      </c>
      <c r="AE376" s="88">
        <v>300</v>
      </c>
      <c r="AF376" s="88">
        <v>300</v>
      </c>
      <c r="AG376" s="66">
        <f t="shared" si="10"/>
        <v>106.32642857142855</v>
      </c>
      <c r="AH376" s="143">
        <f t="shared" si="11"/>
        <v>1000</v>
      </c>
    </row>
    <row r="377" spans="1:34" s="90" customFormat="1" x14ac:dyDescent="0.3">
      <c r="A377" s="84">
        <v>802872</v>
      </c>
      <c r="B377" s="87">
        <v>6.375</v>
      </c>
      <c r="C377" s="87"/>
      <c r="D377" s="86">
        <v>8.66</v>
      </c>
      <c r="E377" s="99">
        <v>0.25</v>
      </c>
      <c r="F377" s="84">
        <v>117.6</v>
      </c>
      <c r="G377" s="84"/>
      <c r="H377" s="84">
        <v>82.68</v>
      </c>
      <c r="I377" s="84">
        <v>580</v>
      </c>
      <c r="J377" s="85">
        <v>0.157</v>
      </c>
      <c r="K377" s="87">
        <v>7.77</v>
      </c>
      <c r="L377" s="83">
        <v>1280</v>
      </c>
      <c r="M377" s="83">
        <v>0.76</v>
      </c>
      <c r="N377" s="83">
        <v>0.51</v>
      </c>
      <c r="O377" s="83">
        <v>4.6500000000000004</v>
      </c>
      <c r="P377" s="83">
        <v>4.68</v>
      </c>
      <c r="Q377" s="83"/>
      <c r="R377" s="86">
        <v>0.27719615420601218</v>
      </c>
      <c r="S377" s="87">
        <v>2</v>
      </c>
      <c r="T377" s="83"/>
      <c r="U377" s="83"/>
      <c r="V377" s="83"/>
      <c r="W377" s="83"/>
      <c r="X377" s="83"/>
      <c r="Y377" s="87">
        <v>8.4</v>
      </c>
      <c r="Z377" s="83"/>
      <c r="AA377" s="86"/>
      <c r="AB377" s="86"/>
      <c r="AC377" s="83"/>
      <c r="AD377" s="88">
        <v>120</v>
      </c>
      <c r="AE377" s="88">
        <v>100</v>
      </c>
      <c r="AF377" s="88">
        <v>780</v>
      </c>
      <c r="AG377" s="66">
        <f t="shared" si="10"/>
        <v>327.45</v>
      </c>
      <c r="AH377" s="143">
        <f t="shared" si="11"/>
        <v>1000</v>
      </c>
    </row>
    <row r="378" spans="1:34" s="90" customFormat="1" x14ac:dyDescent="0.3">
      <c r="A378" s="84">
        <v>802873</v>
      </c>
      <c r="B378" s="87">
        <v>5.166666666666667</v>
      </c>
      <c r="C378" s="87"/>
      <c r="D378" s="86">
        <v>8.76</v>
      </c>
      <c r="E378" s="99">
        <v>0.33399999999999996</v>
      </c>
      <c r="F378" s="84">
        <v>137.69999999999999</v>
      </c>
      <c r="G378" s="84"/>
      <c r="H378" s="84">
        <v>38.57</v>
      </c>
      <c r="I378" s="84">
        <v>780</v>
      </c>
      <c r="J378" s="85">
        <v>0.25800000000000001</v>
      </c>
      <c r="K378" s="87">
        <v>7.22</v>
      </c>
      <c r="L378" s="83">
        <v>2730</v>
      </c>
      <c r="M378" s="83">
        <v>0.23</v>
      </c>
      <c r="N378" s="83">
        <v>0.64</v>
      </c>
      <c r="O378" s="83">
        <v>7.86</v>
      </c>
      <c r="P378" s="83">
        <v>3.92</v>
      </c>
      <c r="Q378" s="83"/>
      <c r="R378" s="86">
        <v>0.30545476106357439</v>
      </c>
      <c r="S378" s="87">
        <v>2</v>
      </c>
      <c r="T378" s="83"/>
      <c r="U378" s="83"/>
      <c r="V378" s="83"/>
      <c r="W378" s="83"/>
      <c r="X378" s="83"/>
      <c r="Y378" s="87">
        <v>21.000000000000004</v>
      </c>
      <c r="Z378" s="83"/>
      <c r="AA378" s="86"/>
      <c r="AB378" s="86"/>
      <c r="AC378" s="83"/>
      <c r="AD378" s="88">
        <v>300</v>
      </c>
      <c r="AE378" s="88">
        <v>120</v>
      </c>
      <c r="AF378" s="88">
        <v>580</v>
      </c>
      <c r="AG378" s="66">
        <f t="shared" si="10"/>
        <v>121.70857142857139</v>
      </c>
      <c r="AH378" s="143">
        <f t="shared" si="11"/>
        <v>1000</v>
      </c>
    </row>
    <row r="379" spans="1:34" s="90" customFormat="1" x14ac:dyDescent="0.3">
      <c r="A379" s="84">
        <v>802874</v>
      </c>
      <c r="B379" s="87">
        <v>5.208333333333333</v>
      </c>
      <c r="C379" s="87"/>
      <c r="D379" s="86">
        <v>8.8800000000000008</v>
      </c>
      <c r="E379" s="99">
        <v>0.39300000000000002</v>
      </c>
      <c r="F379" s="84">
        <v>229.75</v>
      </c>
      <c r="G379" s="84"/>
      <c r="H379" s="84">
        <v>17.78</v>
      </c>
      <c r="I379" s="84">
        <v>770</v>
      </c>
      <c r="J379" s="85">
        <v>0.36499999999999999</v>
      </c>
      <c r="K379" s="87">
        <v>7.08</v>
      </c>
      <c r="L379" s="83">
        <v>2970</v>
      </c>
      <c r="M379" s="83">
        <v>0.25</v>
      </c>
      <c r="N379" s="83">
        <v>0.56999999999999995</v>
      </c>
      <c r="O379" s="83">
        <v>8.58</v>
      </c>
      <c r="P379" s="83">
        <v>5.59</v>
      </c>
      <c r="Q379" s="83"/>
      <c r="R379" s="86">
        <v>1.6407</v>
      </c>
      <c r="S379" s="87">
        <v>12</v>
      </c>
      <c r="T379" s="83"/>
      <c r="U379" s="83"/>
      <c r="V379" s="83"/>
      <c r="W379" s="83"/>
      <c r="X379" s="83"/>
      <c r="Y379" s="87">
        <v>19.600000000000001</v>
      </c>
      <c r="Z379" s="83"/>
      <c r="AA379" s="86"/>
      <c r="AB379" s="86"/>
      <c r="AC379" s="83"/>
      <c r="AD379" s="88">
        <v>280</v>
      </c>
      <c r="AE379" s="88">
        <v>160</v>
      </c>
      <c r="AF379" s="88">
        <v>560</v>
      </c>
      <c r="AG379" s="66">
        <f t="shared" si="10"/>
        <v>127.87346938775511</v>
      </c>
      <c r="AH379" s="143">
        <f t="shared" si="11"/>
        <v>1000</v>
      </c>
    </row>
    <row r="380" spans="1:34" s="90" customFormat="1" x14ac:dyDescent="0.3">
      <c r="A380" s="84">
        <v>802875</v>
      </c>
      <c r="B380" s="87">
        <v>10.083333333333332</v>
      </c>
      <c r="C380" s="87">
        <v>6.7500000000000027</v>
      </c>
      <c r="D380" s="86">
        <v>8.56</v>
      </c>
      <c r="E380" s="99">
        <v>0.58599999999999997</v>
      </c>
      <c r="F380" s="84">
        <v>403.05</v>
      </c>
      <c r="G380" s="84"/>
      <c r="H380" s="84">
        <v>46.74</v>
      </c>
      <c r="I380" s="84">
        <v>920</v>
      </c>
      <c r="J380" s="85">
        <v>0.38</v>
      </c>
      <c r="K380" s="87">
        <v>7.66</v>
      </c>
      <c r="L380" s="83">
        <v>3140</v>
      </c>
      <c r="M380" s="83">
        <v>0.52</v>
      </c>
      <c r="N380" s="83">
        <v>0.54</v>
      </c>
      <c r="O380" s="83">
        <v>8.35</v>
      </c>
      <c r="P380" s="83">
        <v>5.19</v>
      </c>
      <c r="Q380" s="83"/>
      <c r="R380" s="86">
        <v>1.1146705687822687</v>
      </c>
      <c r="S380" s="87">
        <v>8</v>
      </c>
      <c r="T380" s="83"/>
      <c r="U380" s="83"/>
      <c r="V380" s="83"/>
      <c r="W380" s="83"/>
      <c r="X380" s="83"/>
      <c r="Y380" s="87">
        <v>9.8000000000000007</v>
      </c>
      <c r="Z380" s="83"/>
      <c r="AA380" s="86"/>
      <c r="AB380" s="86"/>
      <c r="AC380" s="83"/>
      <c r="AD380" s="88">
        <v>140</v>
      </c>
      <c r="AE380" s="107">
        <v>80</v>
      </c>
      <c r="AF380" s="88">
        <v>780</v>
      </c>
      <c r="AG380" s="66">
        <f t="shared" si="10"/>
        <v>276.6979591836735</v>
      </c>
      <c r="AH380" s="143">
        <f t="shared" si="11"/>
        <v>1000</v>
      </c>
    </row>
    <row r="381" spans="1:34" s="90" customFormat="1" x14ac:dyDescent="0.3">
      <c r="A381" s="84">
        <v>802876</v>
      </c>
      <c r="B381" s="87">
        <v>7.1250000000000009</v>
      </c>
      <c r="C381" s="87"/>
      <c r="D381" s="86">
        <v>7.65</v>
      </c>
      <c r="E381" s="99">
        <v>0.48399999999999999</v>
      </c>
      <c r="F381" s="84">
        <v>295.05</v>
      </c>
      <c r="G381" s="84"/>
      <c r="H381" s="84">
        <v>36.08</v>
      </c>
      <c r="I381" s="84">
        <v>790</v>
      </c>
      <c r="J381" s="85">
        <v>0.26700000000000002</v>
      </c>
      <c r="K381" s="87">
        <v>8.0399999999999991</v>
      </c>
      <c r="L381" s="83">
        <v>2800</v>
      </c>
      <c r="M381" s="83">
        <v>0.8</v>
      </c>
      <c r="N381" s="83">
        <v>0.49</v>
      </c>
      <c r="O381" s="83">
        <v>8.5500000000000007</v>
      </c>
      <c r="P381" s="83">
        <v>4.5599999999999996</v>
      </c>
      <c r="Q381" s="83"/>
      <c r="R381" s="86">
        <v>1.6022000000000001</v>
      </c>
      <c r="S381" s="87">
        <v>11</v>
      </c>
      <c r="T381" s="83"/>
      <c r="U381" s="83"/>
      <c r="V381" s="83"/>
      <c r="W381" s="83"/>
      <c r="X381" s="83"/>
      <c r="Y381" s="87">
        <v>7.0000000000000009</v>
      </c>
      <c r="Z381" s="83"/>
      <c r="AA381" s="86"/>
      <c r="AB381" s="86"/>
      <c r="AC381" s="83"/>
      <c r="AD381" s="88">
        <v>100</v>
      </c>
      <c r="AE381" s="88">
        <v>100</v>
      </c>
      <c r="AF381" s="88">
        <v>800</v>
      </c>
      <c r="AG381" s="66">
        <f t="shared" si="10"/>
        <v>406.59428571428566</v>
      </c>
      <c r="AH381" s="143">
        <f t="shared" si="11"/>
        <v>1000</v>
      </c>
    </row>
    <row r="382" spans="1:34" s="90" customFormat="1" x14ac:dyDescent="0.3">
      <c r="A382" s="84">
        <v>802877</v>
      </c>
      <c r="B382" s="87">
        <v>7.083333333333333</v>
      </c>
      <c r="C382" s="87"/>
      <c r="D382" s="86">
        <v>8.8800000000000008</v>
      </c>
      <c r="E382" s="99">
        <v>0.47599999999999998</v>
      </c>
      <c r="F382" s="84">
        <v>223.55</v>
      </c>
      <c r="G382" s="84"/>
      <c r="H382" s="84">
        <v>84.13</v>
      </c>
      <c r="I382" s="84">
        <v>1060</v>
      </c>
      <c r="J382" s="85">
        <v>0.371</v>
      </c>
      <c r="K382" s="87">
        <v>7.85</v>
      </c>
      <c r="L382" s="83">
        <v>2720</v>
      </c>
      <c r="M382" s="83">
        <v>0.5</v>
      </c>
      <c r="N382" s="83">
        <v>0.6</v>
      </c>
      <c r="O382" s="83">
        <v>5.22</v>
      </c>
      <c r="P382" s="83">
        <v>4.3899999999999997</v>
      </c>
      <c r="Q382" s="83"/>
      <c r="R382" s="86">
        <v>1.2679091796449973</v>
      </c>
      <c r="S382" s="87">
        <v>9</v>
      </c>
      <c r="T382" s="83"/>
      <c r="U382" s="83"/>
      <c r="V382" s="83"/>
      <c r="W382" s="83"/>
      <c r="X382" s="83"/>
      <c r="Y382" s="87">
        <v>9.8000000000000007</v>
      </c>
      <c r="Z382" s="83"/>
      <c r="AA382" s="86"/>
      <c r="AB382" s="86"/>
      <c r="AC382" s="83"/>
      <c r="AD382" s="88">
        <v>140</v>
      </c>
      <c r="AE382" s="88">
        <v>100</v>
      </c>
      <c r="AF382" s="88">
        <v>760</v>
      </c>
      <c r="AG382" s="66">
        <f t="shared" si="10"/>
        <v>283.56122448979585</v>
      </c>
      <c r="AH382" s="143">
        <f t="shared" si="11"/>
        <v>1000</v>
      </c>
    </row>
    <row r="383" spans="1:34" s="90" customFormat="1" x14ac:dyDescent="0.3">
      <c r="A383" s="84">
        <v>802878</v>
      </c>
      <c r="B383" s="87">
        <v>13.749999999999998</v>
      </c>
      <c r="C383" s="87">
        <v>5.8750000000000036</v>
      </c>
      <c r="D383" s="86">
        <v>8.81</v>
      </c>
      <c r="E383" s="99">
        <v>0.44500000000000001</v>
      </c>
      <c r="F383" s="84">
        <v>267.89999999999998</v>
      </c>
      <c r="G383" s="84"/>
      <c r="H383" s="84">
        <v>39.049999999999997</v>
      </c>
      <c r="I383" s="84">
        <v>860</v>
      </c>
      <c r="J383" s="85">
        <v>0.378</v>
      </c>
      <c r="K383" s="87">
        <v>8.6</v>
      </c>
      <c r="L383" s="83">
        <v>2990</v>
      </c>
      <c r="M383" s="83">
        <v>0.3</v>
      </c>
      <c r="N383" s="83">
        <v>0.48</v>
      </c>
      <c r="O383" s="83">
        <v>7.27</v>
      </c>
      <c r="P383" s="83">
        <v>2.93</v>
      </c>
      <c r="Q383" s="83"/>
      <c r="R383" s="86">
        <v>1.6022000000000001</v>
      </c>
      <c r="S383" s="87">
        <v>11</v>
      </c>
      <c r="T383" s="83"/>
      <c r="U383" s="83"/>
      <c r="V383" s="83"/>
      <c r="W383" s="83"/>
      <c r="X383" s="83"/>
      <c r="Y383" s="87">
        <v>11.200000000000001</v>
      </c>
      <c r="Z383" s="83"/>
      <c r="AA383" s="86"/>
      <c r="AB383" s="86"/>
      <c r="AC383" s="83"/>
      <c r="AD383" s="88">
        <v>160</v>
      </c>
      <c r="AE383" s="88">
        <v>80</v>
      </c>
      <c r="AF383" s="88">
        <v>760</v>
      </c>
      <c r="AG383" s="66">
        <f t="shared" si="10"/>
        <v>271.82142857142856</v>
      </c>
      <c r="AH383" s="143">
        <f t="shared" si="11"/>
        <v>1000</v>
      </c>
    </row>
    <row r="384" spans="1:34" s="90" customFormat="1" x14ac:dyDescent="0.3">
      <c r="A384" s="84">
        <v>802879</v>
      </c>
      <c r="B384" s="87">
        <v>14.833333333333334</v>
      </c>
      <c r="C384" s="87">
        <v>6.0000000000000009</v>
      </c>
      <c r="D384" s="86">
        <v>8.18</v>
      </c>
      <c r="E384" s="99">
        <v>0.55299999999999994</v>
      </c>
      <c r="F384" s="84">
        <v>244.89999999999998</v>
      </c>
      <c r="G384" s="84"/>
      <c r="H384" s="84">
        <v>455.6</v>
      </c>
      <c r="I384" s="84">
        <v>940</v>
      </c>
      <c r="J384" s="85">
        <v>0.30399999999999999</v>
      </c>
      <c r="K384" s="87">
        <v>8.2799999999999994</v>
      </c>
      <c r="L384" s="83">
        <v>1710</v>
      </c>
      <c r="M384" s="83">
        <v>4.4000000000000004</v>
      </c>
      <c r="N384" s="83">
        <v>0.87</v>
      </c>
      <c r="O384" s="83">
        <v>5.46</v>
      </c>
      <c r="P384" s="83">
        <v>13.61</v>
      </c>
      <c r="Q384" s="83"/>
      <c r="R384" s="86">
        <v>1.6022000000000001</v>
      </c>
      <c r="S384" s="87">
        <v>11</v>
      </c>
      <c r="T384" s="83"/>
      <c r="U384" s="83"/>
      <c r="V384" s="83"/>
      <c r="W384" s="83"/>
      <c r="X384" s="83"/>
      <c r="Y384" s="87">
        <v>15.400000000000002</v>
      </c>
      <c r="Z384" s="83"/>
      <c r="AA384" s="86"/>
      <c r="AB384" s="86"/>
      <c r="AC384" s="83"/>
      <c r="AD384" s="88">
        <v>220</v>
      </c>
      <c r="AE384" s="88">
        <v>220</v>
      </c>
      <c r="AF384" s="88">
        <v>560</v>
      </c>
      <c r="AG384" s="66">
        <f t="shared" si="10"/>
        <v>190.33246753246749</v>
      </c>
      <c r="AH384" s="143">
        <f t="shared" si="11"/>
        <v>1000</v>
      </c>
    </row>
    <row r="385" spans="1:34" s="90" customFormat="1" x14ac:dyDescent="0.3">
      <c r="A385" s="84">
        <v>802880</v>
      </c>
      <c r="B385" s="87">
        <v>20.666666666666668</v>
      </c>
      <c r="C385" s="87">
        <v>8.2500000000000018</v>
      </c>
      <c r="D385" s="86">
        <v>8.7899999999999991</v>
      </c>
      <c r="E385" s="99">
        <v>0.50800000000000001</v>
      </c>
      <c r="F385" s="84">
        <v>239.14999999999998</v>
      </c>
      <c r="G385" s="84"/>
      <c r="H385" s="84">
        <v>507.6</v>
      </c>
      <c r="I385" s="84">
        <v>950</v>
      </c>
      <c r="J385" s="85">
        <v>0.316</v>
      </c>
      <c r="K385" s="87">
        <v>8.32</v>
      </c>
      <c r="L385" s="83">
        <v>2080</v>
      </c>
      <c r="M385" s="83">
        <v>4.67</v>
      </c>
      <c r="N385" s="83">
        <v>0.95</v>
      </c>
      <c r="O385" s="83">
        <v>5.89</v>
      </c>
      <c r="P385" s="83">
        <v>14.71</v>
      </c>
      <c r="Q385" s="83"/>
      <c r="R385" s="86">
        <v>1.7135000000000002</v>
      </c>
      <c r="S385" s="87">
        <v>14</v>
      </c>
      <c r="T385" s="83"/>
      <c r="U385" s="83"/>
      <c r="V385" s="83"/>
      <c r="W385" s="83"/>
      <c r="X385" s="83"/>
      <c r="Y385" s="87">
        <v>18.200000000000003</v>
      </c>
      <c r="Z385" s="83"/>
      <c r="AA385" s="86"/>
      <c r="AB385" s="86"/>
      <c r="AC385" s="83"/>
      <c r="AD385" s="88">
        <v>260</v>
      </c>
      <c r="AE385" s="88">
        <v>140</v>
      </c>
      <c r="AF385" s="88">
        <v>600</v>
      </c>
      <c r="AG385" s="66">
        <f t="shared" si="10"/>
        <v>161.82857142857142</v>
      </c>
      <c r="AH385" s="143">
        <f t="shared" si="11"/>
        <v>1000</v>
      </c>
    </row>
    <row r="386" spans="1:34" s="90" customFormat="1" x14ac:dyDescent="0.3">
      <c r="A386" s="84">
        <v>802881</v>
      </c>
      <c r="B386" s="87">
        <v>9.1666666666666679</v>
      </c>
      <c r="C386" s="87">
        <v>6.5000000000000036</v>
      </c>
      <c r="D386" s="86">
        <v>8.81</v>
      </c>
      <c r="E386" s="99">
        <v>0.46799999999999997</v>
      </c>
      <c r="F386" s="84">
        <v>174.85</v>
      </c>
      <c r="G386" s="84"/>
      <c r="H386" s="84">
        <v>649.67999999999995</v>
      </c>
      <c r="I386" s="84">
        <v>1340</v>
      </c>
      <c r="J386" s="85">
        <v>0.38500000000000001</v>
      </c>
      <c r="K386" s="87">
        <v>6.9</v>
      </c>
      <c r="L386" s="83">
        <v>3170</v>
      </c>
      <c r="M386" s="83">
        <v>7.17</v>
      </c>
      <c r="N386" s="83">
        <v>1.27</v>
      </c>
      <c r="O386" s="83">
        <v>7.37</v>
      </c>
      <c r="P386" s="83">
        <v>22.7</v>
      </c>
      <c r="Q386" s="83"/>
      <c r="R386" s="86">
        <v>1.7478000000000002</v>
      </c>
      <c r="S386" s="87">
        <v>15</v>
      </c>
      <c r="T386" s="83"/>
      <c r="U386" s="83"/>
      <c r="V386" s="83"/>
      <c r="W386" s="83"/>
      <c r="X386" s="83"/>
      <c r="Y386" s="87">
        <v>5.6000000000000005</v>
      </c>
      <c r="Z386" s="83"/>
      <c r="AA386" s="86"/>
      <c r="AB386" s="86"/>
      <c r="AC386" s="83"/>
      <c r="AD386" s="88">
        <v>80</v>
      </c>
      <c r="AE386" s="88">
        <v>140</v>
      </c>
      <c r="AF386" s="88">
        <v>780</v>
      </c>
      <c r="AG386" s="66">
        <f t="shared" ref="AG386:AG449" si="12">+K386*3.54*100/Y386</f>
        <v>436.17857142857144</v>
      </c>
      <c r="AH386" s="143">
        <f t="shared" ref="AH386:AH449" si="13">+SUM(AD386:AF386)</f>
        <v>1000</v>
      </c>
    </row>
    <row r="387" spans="1:34" s="90" customFormat="1" x14ac:dyDescent="0.3">
      <c r="A387" s="84">
        <v>802882</v>
      </c>
      <c r="B387" s="87">
        <v>15.749999999999996</v>
      </c>
      <c r="C387" s="87">
        <v>8.5</v>
      </c>
      <c r="D387" s="86">
        <v>8.25</v>
      </c>
      <c r="E387" s="99">
        <v>0.26700000000000002</v>
      </c>
      <c r="F387" s="84">
        <v>95.25</v>
      </c>
      <c r="G387" s="84"/>
      <c r="H387" s="84">
        <v>310.31</v>
      </c>
      <c r="I387" s="84">
        <v>730</v>
      </c>
      <c r="J387" s="85">
        <v>0.251</v>
      </c>
      <c r="K387" s="87">
        <v>7.63</v>
      </c>
      <c r="L387" s="83">
        <v>1960</v>
      </c>
      <c r="M387" s="83">
        <v>2.54</v>
      </c>
      <c r="N387" s="83">
        <v>0.53</v>
      </c>
      <c r="O387" s="83">
        <v>5.03</v>
      </c>
      <c r="P387" s="83">
        <v>4.76</v>
      </c>
      <c r="Q387" s="83"/>
      <c r="R387" s="86">
        <v>0.59156344417311724</v>
      </c>
      <c r="S387" s="87">
        <v>4</v>
      </c>
      <c r="T387" s="83"/>
      <c r="U387" s="83"/>
      <c r="V387" s="83"/>
      <c r="W387" s="83"/>
      <c r="X387" s="83"/>
      <c r="Y387" s="87">
        <v>7.0000000000000009</v>
      </c>
      <c r="Z387" s="83"/>
      <c r="AA387" s="86"/>
      <c r="AB387" s="86"/>
      <c r="AC387" s="83"/>
      <c r="AD387" s="88">
        <v>100</v>
      </c>
      <c r="AE387" s="88">
        <v>100</v>
      </c>
      <c r="AF387" s="88">
        <v>800</v>
      </c>
      <c r="AG387" s="66">
        <f t="shared" si="12"/>
        <v>385.85999999999996</v>
      </c>
      <c r="AH387" s="143">
        <f t="shared" si="13"/>
        <v>1000</v>
      </c>
    </row>
    <row r="388" spans="1:34" s="90" customFormat="1" x14ac:dyDescent="0.3">
      <c r="A388" s="84">
        <v>802883</v>
      </c>
      <c r="B388" s="87">
        <v>13.499999999999998</v>
      </c>
      <c r="C388" s="87">
        <v>8.2500000000000018</v>
      </c>
      <c r="D388" s="86">
        <v>8.77</v>
      </c>
      <c r="E388" s="99">
        <v>0.38500000000000001</v>
      </c>
      <c r="F388" s="84">
        <v>144.1</v>
      </c>
      <c r="G388" s="84"/>
      <c r="H388" s="84">
        <v>548.41999999999996</v>
      </c>
      <c r="I388" s="84">
        <v>780</v>
      </c>
      <c r="J388" s="85">
        <v>0.28999999999999998</v>
      </c>
      <c r="K388" s="87">
        <v>8.0399999999999991</v>
      </c>
      <c r="L388" s="83">
        <v>1940</v>
      </c>
      <c r="M388" s="83">
        <v>4.04</v>
      </c>
      <c r="N388" s="83">
        <v>0.92</v>
      </c>
      <c r="O388" s="83">
        <v>5.26</v>
      </c>
      <c r="P388" s="83">
        <v>13.16</v>
      </c>
      <c r="Q388" s="83"/>
      <c r="R388" s="86">
        <v>1.6407</v>
      </c>
      <c r="S388" s="87">
        <v>12</v>
      </c>
      <c r="T388" s="83"/>
      <c r="U388" s="83"/>
      <c r="V388" s="83"/>
      <c r="W388" s="83"/>
      <c r="X388" s="83"/>
      <c r="Y388" s="87">
        <v>12.600000000000001</v>
      </c>
      <c r="Z388" s="83"/>
      <c r="AA388" s="86"/>
      <c r="AB388" s="86"/>
      <c r="AC388" s="83"/>
      <c r="AD388" s="88">
        <v>180</v>
      </c>
      <c r="AE388" s="88">
        <v>100</v>
      </c>
      <c r="AF388" s="88">
        <v>720</v>
      </c>
      <c r="AG388" s="66">
        <f t="shared" si="12"/>
        <v>225.88571428571424</v>
      </c>
      <c r="AH388" s="143">
        <f t="shared" si="13"/>
        <v>1000</v>
      </c>
    </row>
    <row r="389" spans="1:34" s="90" customFormat="1" x14ac:dyDescent="0.3">
      <c r="A389" s="84">
        <v>802884</v>
      </c>
      <c r="B389" s="87">
        <v>19.499999999999996</v>
      </c>
      <c r="C389" s="87">
        <v>10.750000000000002</v>
      </c>
      <c r="D389" s="86">
        <v>8.43</v>
      </c>
      <c r="E389" s="99">
        <v>0.27599999999999997</v>
      </c>
      <c r="F389" s="84">
        <v>103.10000000000001</v>
      </c>
      <c r="G389" s="84"/>
      <c r="H389" s="84">
        <v>458</v>
      </c>
      <c r="I389" s="84">
        <v>580</v>
      </c>
      <c r="J389" s="85">
        <v>0.219</v>
      </c>
      <c r="K389" s="87">
        <v>8.07</v>
      </c>
      <c r="L389" s="83">
        <v>1830</v>
      </c>
      <c r="M389" s="83">
        <v>3.03</v>
      </c>
      <c r="N389" s="83">
        <v>0.74</v>
      </c>
      <c r="O389" s="83">
        <v>5.36</v>
      </c>
      <c r="P389" s="83">
        <v>10.57</v>
      </c>
      <c r="Q389" s="83"/>
      <c r="R389" s="86">
        <v>1.6022000000000001</v>
      </c>
      <c r="S389" s="87">
        <v>11</v>
      </c>
      <c r="T389" s="83"/>
      <c r="U389" s="83"/>
      <c r="V389" s="83"/>
      <c r="W389" s="83"/>
      <c r="X389" s="83"/>
      <c r="Y389" s="87">
        <v>11.200000000000001</v>
      </c>
      <c r="Z389" s="83"/>
      <c r="AA389" s="86"/>
      <c r="AB389" s="86"/>
      <c r="AC389" s="83"/>
      <c r="AD389" s="88">
        <v>160</v>
      </c>
      <c r="AE389" s="88">
        <v>100</v>
      </c>
      <c r="AF389" s="88">
        <v>740</v>
      </c>
      <c r="AG389" s="66">
        <f t="shared" si="12"/>
        <v>255.06964285714284</v>
      </c>
      <c r="AH389" s="143">
        <f t="shared" si="13"/>
        <v>1000</v>
      </c>
    </row>
    <row r="390" spans="1:34" s="90" customFormat="1" x14ac:dyDescent="0.3">
      <c r="A390" s="84">
        <v>802885</v>
      </c>
      <c r="B390" s="87">
        <v>11.666666666666666</v>
      </c>
      <c r="C390" s="87">
        <v>6.3750000000000018</v>
      </c>
      <c r="D390" s="86">
        <v>7.83</v>
      </c>
      <c r="E390" s="99">
        <v>0.53900000000000003</v>
      </c>
      <c r="F390" s="84">
        <v>240.9</v>
      </c>
      <c r="G390" s="84"/>
      <c r="H390" s="84">
        <v>595.98</v>
      </c>
      <c r="I390" s="84">
        <v>800</v>
      </c>
      <c r="J390" s="85">
        <v>0.48399999999999999</v>
      </c>
      <c r="K390" s="87">
        <v>7.86</v>
      </c>
      <c r="L390" s="83">
        <v>3120</v>
      </c>
      <c r="M390" s="83">
        <v>6.67</v>
      </c>
      <c r="N390" s="83">
        <v>0.31</v>
      </c>
      <c r="O390" s="83">
        <v>6.64</v>
      </c>
      <c r="P390" s="83">
        <v>20.239999999999998</v>
      </c>
      <c r="Q390" s="83"/>
      <c r="R390" s="86">
        <v>1.6778</v>
      </c>
      <c r="S390" s="87">
        <v>13</v>
      </c>
      <c r="T390" s="83"/>
      <c r="U390" s="83"/>
      <c r="V390" s="83"/>
      <c r="W390" s="83"/>
      <c r="X390" s="83"/>
      <c r="Y390" s="87">
        <v>8.4</v>
      </c>
      <c r="Z390" s="83"/>
      <c r="AA390" s="86"/>
      <c r="AB390" s="86"/>
      <c r="AC390" s="83"/>
      <c r="AD390" s="88">
        <v>120</v>
      </c>
      <c r="AE390" s="88">
        <v>200</v>
      </c>
      <c r="AF390" s="88">
        <v>680</v>
      </c>
      <c r="AG390" s="66">
        <f t="shared" si="12"/>
        <v>331.24285714285713</v>
      </c>
      <c r="AH390" s="143">
        <f t="shared" si="13"/>
        <v>1000</v>
      </c>
    </row>
    <row r="391" spans="1:34" s="90" customFormat="1" x14ac:dyDescent="0.3">
      <c r="A391" s="84">
        <v>802886</v>
      </c>
      <c r="B391" s="87">
        <v>13.333333333333334</v>
      </c>
      <c r="C391" s="87">
        <v>7.3750000000000027</v>
      </c>
      <c r="D391" s="86">
        <v>8.7899999999999991</v>
      </c>
      <c r="E391" s="99">
        <v>0.623</v>
      </c>
      <c r="F391" s="84">
        <v>345.3</v>
      </c>
      <c r="G391" s="84"/>
      <c r="H391" s="84">
        <v>444.12</v>
      </c>
      <c r="I391" s="84">
        <v>870</v>
      </c>
      <c r="J391" s="85">
        <v>0.41799999999999998</v>
      </c>
      <c r="K391" s="87">
        <v>7.61</v>
      </c>
      <c r="L391" s="83">
        <v>2080</v>
      </c>
      <c r="M391" s="83">
        <v>3.95</v>
      </c>
      <c r="N391" s="83">
        <v>0.9</v>
      </c>
      <c r="O391" s="83">
        <v>4.74</v>
      </c>
      <c r="P391" s="83">
        <v>14.29</v>
      </c>
      <c r="Q391" s="83"/>
      <c r="R391" s="86">
        <v>1.6022000000000001</v>
      </c>
      <c r="S391" s="87">
        <v>11</v>
      </c>
      <c r="T391" s="83"/>
      <c r="U391" s="83"/>
      <c r="V391" s="83"/>
      <c r="W391" s="83"/>
      <c r="X391" s="83"/>
      <c r="Y391" s="87">
        <v>15.400000000000002</v>
      </c>
      <c r="Z391" s="83"/>
      <c r="AA391" s="86"/>
      <c r="AB391" s="86"/>
      <c r="AC391" s="83"/>
      <c r="AD391" s="88">
        <v>220</v>
      </c>
      <c r="AE391" s="88">
        <v>80</v>
      </c>
      <c r="AF391" s="88">
        <v>700</v>
      </c>
      <c r="AG391" s="66">
        <f t="shared" si="12"/>
        <v>174.9311688311688</v>
      </c>
      <c r="AH391" s="143">
        <f t="shared" si="13"/>
        <v>1000</v>
      </c>
    </row>
    <row r="392" spans="1:34" s="90" customFormat="1" x14ac:dyDescent="0.3">
      <c r="A392" s="84">
        <v>802887</v>
      </c>
      <c r="B392" s="87">
        <v>12.583333333333332</v>
      </c>
      <c r="C392" s="87">
        <v>7.7500000000000018</v>
      </c>
      <c r="D392" s="86">
        <v>8.7799999999999994</v>
      </c>
      <c r="E392" s="99">
        <v>0.42199999999999999</v>
      </c>
      <c r="F392" s="84">
        <v>147.30000000000001</v>
      </c>
      <c r="G392" s="84"/>
      <c r="H392" s="84">
        <v>528.05999999999995</v>
      </c>
      <c r="I392" s="84">
        <v>1370</v>
      </c>
      <c r="J392" s="85">
        <v>0.35199999999999998</v>
      </c>
      <c r="K392" s="87">
        <v>8.02</v>
      </c>
      <c r="L392" s="83">
        <v>2680</v>
      </c>
      <c r="M392" s="83">
        <v>4.67</v>
      </c>
      <c r="N392" s="83">
        <v>1.06</v>
      </c>
      <c r="O392" s="83">
        <v>5.48</v>
      </c>
      <c r="P392" s="83">
        <v>14.43</v>
      </c>
      <c r="Q392" s="83"/>
      <c r="R392" s="86">
        <v>1.2004454521033603</v>
      </c>
      <c r="S392" s="87">
        <v>9</v>
      </c>
      <c r="T392" s="83"/>
      <c r="U392" s="83"/>
      <c r="V392" s="83"/>
      <c r="W392" s="83"/>
      <c r="X392" s="83"/>
      <c r="Y392" s="87">
        <v>12.600000000000001</v>
      </c>
      <c r="Z392" s="83"/>
      <c r="AA392" s="86"/>
      <c r="AB392" s="86"/>
      <c r="AC392" s="83"/>
      <c r="AD392" s="88">
        <v>180</v>
      </c>
      <c r="AE392" s="88">
        <v>100</v>
      </c>
      <c r="AF392" s="88">
        <v>720</v>
      </c>
      <c r="AG392" s="66">
        <f t="shared" si="12"/>
        <v>225.3238095238095</v>
      </c>
      <c r="AH392" s="143">
        <f t="shared" si="13"/>
        <v>1000</v>
      </c>
    </row>
    <row r="393" spans="1:34" s="90" customFormat="1" x14ac:dyDescent="0.3">
      <c r="A393" s="84">
        <v>802888</v>
      </c>
      <c r="B393" s="87">
        <v>17.166666666666668</v>
      </c>
      <c r="C393" s="87">
        <v>9.0000000000000018</v>
      </c>
      <c r="D393" s="86">
        <v>8.94</v>
      </c>
      <c r="E393" s="99">
        <v>0.44</v>
      </c>
      <c r="F393" s="84">
        <v>163.1</v>
      </c>
      <c r="G393" s="84"/>
      <c r="H393" s="84">
        <v>423.74</v>
      </c>
      <c r="I393" s="84">
        <v>1290</v>
      </c>
      <c r="J393" s="85">
        <v>0.34899999999999998</v>
      </c>
      <c r="K393" s="87">
        <v>7.92</v>
      </c>
      <c r="L393" s="83">
        <v>1940</v>
      </c>
      <c r="M393" s="83">
        <v>2.83</v>
      </c>
      <c r="N393" s="83">
        <v>0.8</v>
      </c>
      <c r="O393" s="83">
        <v>4.1500000000000004</v>
      </c>
      <c r="P393" s="83">
        <v>9.57</v>
      </c>
      <c r="Q393" s="83"/>
      <c r="R393" s="86">
        <v>1.202224907972596</v>
      </c>
      <c r="S393" s="87">
        <v>8</v>
      </c>
      <c r="T393" s="83"/>
      <c r="U393" s="83"/>
      <c r="V393" s="83"/>
      <c r="W393" s="83"/>
      <c r="X393" s="83"/>
      <c r="Y393" s="87">
        <v>11.200000000000001</v>
      </c>
      <c r="Z393" s="83"/>
      <c r="AA393" s="86"/>
      <c r="AB393" s="86"/>
      <c r="AC393" s="83"/>
      <c r="AD393" s="88">
        <v>160</v>
      </c>
      <c r="AE393" s="88">
        <v>100</v>
      </c>
      <c r="AF393" s="88">
        <v>740</v>
      </c>
      <c r="AG393" s="66">
        <f t="shared" si="12"/>
        <v>250.32857142857139</v>
      </c>
      <c r="AH393" s="143">
        <f t="shared" si="13"/>
        <v>1000</v>
      </c>
    </row>
    <row r="394" spans="1:34" s="90" customFormat="1" x14ac:dyDescent="0.3">
      <c r="A394" s="84">
        <v>802889</v>
      </c>
      <c r="B394" s="87">
        <v>13.833333333333334</v>
      </c>
      <c r="C394" s="87">
        <v>5.5000000000000027</v>
      </c>
      <c r="D394" s="86">
        <v>8.89</v>
      </c>
      <c r="E394" s="99">
        <v>0.40099999999999997</v>
      </c>
      <c r="F394" s="84">
        <v>196.4</v>
      </c>
      <c r="G394" s="84"/>
      <c r="H394" s="84">
        <v>38.78</v>
      </c>
      <c r="I394" s="84">
        <v>700</v>
      </c>
      <c r="J394" s="85">
        <v>0.318</v>
      </c>
      <c r="K394" s="87">
        <v>8.23</v>
      </c>
      <c r="L394" s="83">
        <v>1930</v>
      </c>
      <c r="M394" s="83">
        <v>0.54</v>
      </c>
      <c r="N394" s="83">
        <v>0.43</v>
      </c>
      <c r="O394" s="83">
        <v>2.81</v>
      </c>
      <c r="P394" s="83">
        <v>3.27</v>
      </c>
      <c r="Q394" s="83"/>
      <c r="R394" s="86">
        <v>1.1596322804520771</v>
      </c>
      <c r="S394" s="87">
        <v>8</v>
      </c>
      <c r="T394" s="83"/>
      <c r="U394" s="83"/>
      <c r="V394" s="83"/>
      <c r="W394" s="83"/>
      <c r="X394" s="83"/>
      <c r="Y394" s="87">
        <v>21.000000000000004</v>
      </c>
      <c r="Z394" s="83"/>
      <c r="AA394" s="86"/>
      <c r="AB394" s="86"/>
      <c r="AC394" s="83"/>
      <c r="AD394" s="88">
        <v>300</v>
      </c>
      <c r="AE394" s="88">
        <v>100</v>
      </c>
      <c r="AF394" s="88">
        <v>600</v>
      </c>
      <c r="AG394" s="66">
        <f t="shared" si="12"/>
        <v>138.7342857142857</v>
      </c>
      <c r="AH394" s="143">
        <f t="shared" si="13"/>
        <v>1000</v>
      </c>
    </row>
    <row r="395" spans="1:34" s="90" customFormat="1" x14ac:dyDescent="0.3">
      <c r="A395" s="84">
        <v>802890</v>
      </c>
      <c r="B395" s="87">
        <v>14.333333333333332</v>
      </c>
      <c r="C395" s="87">
        <v>5.7500000000000018</v>
      </c>
      <c r="D395" s="86">
        <v>8.83</v>
      </c>
      <c r="E395" s="99">
        <v>0.51900000000000002</v>
      </c>
      <c r="F395" s="84">
        <v>323.2</v>
      </c>
      <c r="G395" s="84"/>
      <c r="H395" s="84">
        <v>32.159999999999997</v>
      </c>
      <c r="I395" s="84">
        <v>820</v>
      </c>
      <c r="J395" s="85">
        <v>0.41499999999999998</v>
      </c>
      <c r="K395" s="87">
        <v>8.48</v>
      </c>
      <c r="L395" s="83">
        <v>1810</v>
      </c>
      <c r="M395" s="83">
        <v>0.59</v>
      </c>
      <c r="N395" s="83">
        <v>0.44</v>
      </c>
      <c r="O395" s="83">
        <v>5.75</v>
      </c>
      <c r="P395" s="83">
        <v>2.5</v>
      </c>
      <c r="Q395" s="83"/>
      <c r="R395" s="86">
        <v>0.68455818176627703</v>
      </c>
      <c r="S395" s="87">
        <v>5</v>
      </c>
      <c r="T395" s="83"/>
      <c r="U395" s="83"/>
      <c r="V395" s="83"/>
      <c r="W395" s="83"/>
      <c r="X395" s="83"/>
      <c r="Y395" s="87">
        <v>12.600000000000001</v>
      </c>
      <c r="Z395" s="83"/>
      <c r="AA395" s="86"/>
      <c r="AB395" s="86"/>
      <c r="AC395" s="83"/>
      <c r="AD395" s="88">
        <v>180</v>
      </c>
      <c r="AE395" s="88">
        <v>120</v>
      </c>
      <c r="AF395" s="88">
        <v>700</v>
      </c>
      <c r="AG395" s="66">
        <f t="shared" si="12"/>
        <v>238.24761904761903</v>
      </c>
      <c r="AH395" s="143">
        <f t="shared" si="13"/>
        <v>1000</v>
      </c>
    </row>
    <row r="396" spans="1:34" s="90" customFormat="1" x14ac:dyDescent="0.3">
      <c r="A396" s="84">
        <v>802891</v>
      </c>
      <c r="B396" s="87">
        <v>23.583333333333332</v>
      </c>
      <c r="C396" s="87">
        <v>9.2500000000000036</v>
      </c>
      <c r="D396" s="86">
        <v>8.6999999999999993</v>
      </c>
      <c r="E396" s="99">
        <v>0.33799999999999997</v>
      </c>
      <c r="F396" s="84">
        <v>115.85000000000001</v>
      </c>
      <c r="G396" s="84"/>
      <c r="H396" s="84">
        <v>97.83</v>
      </c>
      <c r="I396" s="84">
        <v>670</v>
      </c>
      <c r="J396" s="85">
        <v>0.247</v>
      </c>
      <c r="K396" s="87">
        <v>8.6</v>
      </c>
      <c r="L396" s="83">
        <v>3300</v>
      </c>
      <c r="M396" s="83">
        <v>0.52</v>
      </c>
      <c r="N396" s="83">
        <v>1.6</v>
      </c>
      <c r="O396" s="83">
        <v>6.44</v>
      </c>
      <c r="P396" s="83">
        <v>7.52</v>
      </c>
      <c r="Q396" s="83"/>
      <c r="R396" s="86">
        <v>1.6022000000000001</v>
      </c>
      <c r="S396" s="87">
        <v>11</v>
      </c>
      <c r="T396" s="83"/>
      <c r="U396" s="83"/>
      <c r="V396" s="83"/>
      <c r="W396" s="83"/>
      <c r="X396" s="83"/>
      <c r="Y396" s="87">
        <v>40.6</v>
      </c>
      <c r="Z396" s="83"/>
      <c r="AA396" s="86"/>
      <c r="AB396" s="86"/>
      <c r="AC396" s="83"/>
      <c r="AD396" s="88">
        <v>580</v>
      </c>
      <c r="AE396" s="88">
        <v>220</v>
      </c>
      <c r="AF396" s="88">
        <v>200</v>
      </c>
      <c r="AG396" s="66">
        <f t="shared" si="12"/>
        <v>74.98522167487684</v>
      </c>
      <c r="AH396" s="143">
        <f t="shared" si="13"/>
        <v>1000</v>
      </c>
    </row>
    <row r="397" spans="1:34" s="90" customFormat="1" x14ac:dyDescent="0.3">
      <c r="A397" s="84">
        <v>802892</v>
      </c>
      <c r="B397" s="87">
        <v>3.9999999999999996</v>
      </c>
      <c r="C397" s="87"/>
      <c r="D397" s="86">
        <v>8.49</v>
      </c>
      <c r="E397" s="99">
        <v>0.21299999999999999</v>
      </c>
      <c r="F397" s="84">
        <v>106.64999999999999</v>
      </c>
      <c r="G397" s="84"/>
      <c r="H397" s="84">
        <v>71.75</v>
      </c>
      <c r="I397" s="84">
        <v>320</v>
      </c>
      <c r="J397" s="85">
        <v>0.221</v>
      </c>
      <c r="K397" s="87">
        <v>9.61</v>
      </c>
      <c r="L397" s="83">
        <v>1490</v>
      </c>
      <c r="M397" s="83">
        <v>1.73</v>
      </c>
      <c r="N397" s="83">
        <v>1.2</v>
      </c>
      <c r="O397" s="83">
        <v>7.94</v>
      </c>
      <c r="P397" s="83">
        <v>5.98</v>
      </c>
      <c r="Q397" s="83"/>
      <c r="R397" s="86">
        <v>1.8423</v>
      </c>
      <c r="S397" s="87">
        <v>18</v>
      </c>
      <c r="T397" s="83"/>
      <c r="U397" s="83"/>
      <c r="V397" s="83"/>
      <c r="W397" s="83"/>
      <c r="X397" s="83"/>
      <c r="Y397" s="87">
        <v>25.200000000000003</v>
      </c>
      <c r="Z397" s="83"/>
      <c r="AA397" s="86"/>
      <c r="AB397" s="86"/>
      <c r="AC397" s="83"/>
      <c r="AD397" s="88">
        <v>360</v>
      </c>
      <c r="AE397" s="88">
        <v>500</v>
      </c>
      <c r="AF397" s="88">
        <v>40</v>
      </c>
      <c r="AG397" s="66">
        <f t="shared" si="12"/>
        <v>134.99761904761903</v>
      </c>
      <c r="AH397" s="143">
        <f t="shared" si="13"/>
        <v>900</v>
      </c>
    </row>
    <row r="398" spans="1:34" s="90" customFormat="1" x14ac:dyDescent="0.3">
      <c r="A398" s="84">
        <v>802893</v>
      </c>
      <c r="B398" s="87">
        <v>11.249999999999998</v>
      </c>
      <c r="C398" s="87">
        <v>7.0000000000000018</v>
      </c>
      <c r="D398" s="86">
        <v>8.7899999999999991</v>
      </c>
      <c r="E398" s="99">
        <v>0.66</v>
      </c>
      <c r="F398" s="84">
        <v>440.7</v>
      </c>
      <c r="G398" s="84"/>
      <c r="H398" s="84">
        <v>48.13</v>
      </c>
      <c r="I398" s="84">
        <v>940</v>
      </c>
      <c r="J398" s="85">
        <v>0.54500000000000004</v>
      </c>
      <c r="K398" s="87">
        <v>8.11</v>
      </c>
      <c r="L398" s="83">
        <v>3410</v>
      </c>
      <c r="M398" s="83">
        <v>0.51</v>
      </c>
      <c r="N398" s="83">
        <v>0.51</v>
      </c>
      <c r="O398" s="83">
        <v>6.39</v>
      </c>
      <c r="P398" s="83">
        <v>3.56</v>
      </c>
      <c r="Q398" s="83"/>
      <c r="R398" s="86">
        <v>1.0946583919825139</v>
      </c>
      <c r="S398" s="87">
        <v>8</v>
      </c>
      <c r="T398" s="83"/>
      <c r="U398" s="83"/>
      <c r="V398" s="83"/>
      <c r="W398" s="83"/>
      <c r="X398" s="83"/>
      <c r="Y398" s="87">
        <v>14.000000000000002</v>
      </c>
      <c r="Z398" s="83"/>
      <c r="AA398" s="86"/>
      <c r="AB398" s="86"/>
      <c r="AC398" s="83"/>
      <c r="AD398" s="88">
        <v>200</v>
      </c>
      <c r="AE398" s="88">
        <v>120</v>
      </c>
      <c r="AF398" s="88">
        <v>680</v>
      </c>
      <c r="AG398" s="66">
        <f t="shared" si="12"/>
        <v>205.06714285714284</v>
      </c>
      <c r="AH398" s="143">
        <f t="shared" si="13"/>
        <v>1000</v>
      </c>
    </row>
    <row r="399" spans="1:34" s="90" customFormat="1" x14ac:dyDescent="0.3">
      <c r="A399" s="84">
        <v>802894</v>
      </c>
      <c r="B399" s="87">
        <v>14.75</v>
      </c>
      <c r="C399" s="87">
        <v>7.7500000000000018</v>
      </c>
      <c r="D399" s="86">
        <v>8.86</v>
      </c>
      <c r="E399" s="99">
        <v>0.497</v>
      </c>
      <c r="F399" s="84">
        <v>273.5</v>
      </c>
      <c r="G399" s="84"/>
      <c r="H399" s="84">
        <v>64.11</v>
      </c>
      <c r="I399" s="84">
        <v>820</v>
      </c>
      <c r="J399" s="85">
        <v>0.41</v>
      </c>
      <c r="K399" s="87">
        <v>10.08</v>
      </c>
      <c r="L399" s="83">
        <v>2990</v>
      </c>
      <c r="M399" s="83">
        <v>0.41</v>
      </c>
      <c r="N399" s="83">
        <v>0.44</v>
      </c>
      <c r="O399" s="83">
        <v>6.75</v>
      </c>
      <c r="P399" s="83">
        <v>3.88</v>
      </c>
      <c r="Q399" s="83"/>
      <c r="R399" s="86">
        <v>0.97181997031830869</v>
      </c>
      <c r="S399" s="87">
        <v>7</v>
      </c>
      <c r="T399" s="83"/>
      <c r="U399" s="83"/>
      <c r="V399" s="83"/>
      <c r="W399" s="83"/>
      <c r="X399" s="83"/>
      <c r="Y399" s="87">
        <v>12.600000000000001</v>
      </c>
      <c r="Z399" s="83"/>
      <c r="AA399" s="86"/>
      <c r="AB399" s="86"/>
      <c r="AC399" s="83"/>
      <c r="AD399" s="88">
        <v>180</v>
      </c>
      <c r="AE399" s="88">
        <v>120</v>
      </c>
      <c r="AF399" s="88">
        <v>700</v>
      </c>
      <c r="AG399" s="66">
        <f t="shared" si="12"/>
        <v>283.19999999999993</v>
      </c>
      <c r="AH399" s="143">
        <f t="shared" si="13"/>
        <v>1000</v>
      </c>
    </row>
    <row r="400" spans="1:34" s="90" customFormat="1" x14ac:dyDescent="0.3">
      <c r="A400" s="84">
        <v>802895</v>
      </c>
      <c r="B400" s="87">
        <v>67</v>
      </c>
      <c r="C400" s="87">
        <v>13.5</v>
      </c>
      <c r="D400" s="86">
        <v>8.9499999999999993</v>
      </c>
      <c r="E400" s="99">
        <v>0.10200000000000001</v>
      </c>
      <c r="F400" s="84">
        <v>59.400000000000006</v>
      </c>
      <c r="G400" s="84"/>
      <c r="H400" s="84">
        <v>25.66</v>
      </c>
      <c r="I400" s="84">
        <v>110</v>
      </c>
      <c r="J400" s="85">
        <v>4.7E-2</v>
      </c>
      <c r="K400" s="87">
        <v>10.83</v>
      </c>
      <c r="L400" s="83">
        <v>400</v>
      </c>
      <c r="M400" s="83">
        <v>0.14000000000000001</v>
      </c>
      <c r="N400" s="83">
        <v>0.4</v>
      </c>
      <c r="O400" s="83">
        <v>3.74</v>
      </c>
      <c r="P400" s="83">
        <v>2.11</v>
      </c>
      <c r="Q400" s="83"/>
      <c r="R400" s="86">
        <v>1.6778</v>
      </c>
      <c r="S400" s="87">
        <v>13</v>
      </c>
      <c r="T400" s="83"/>
      <c r="U400" s="83"/>
      <c r="V400" s="83"/>
      <c r="W400" s="83"/>
      <c r="X400" s="83"/>
      <c r="Y400" s="87">
        <v>4.2</v>
      </c>
      <c r="Z400" s="83"/>
      <c r="AA400" s="86"/>
      <c r="AB400" s="86"/>
      <c r="AC400" s="83"/>
      <c r="AD400" s="88">
        <v>60</v>
      </c>
      <c r="AE400" s="88">
        <v>60</v>
      </c>
      <c r="AF400" s="88">
        <v>880</v>
      </c>
      <c r="AG400" s="66">
        <f t="shared" si="12"/>
        <v>912.81428571428569</v>
      </c>
      <c r="AH400" s="143">
        <f t="shared" si="13"/>
        <v>1000</v>
      </c>
    </row>
    <row r="401" spans="1:34" s="90" customFormat="1" x14ac:dyDescent="0.3">
      <c r="A401" s="84">
        <v>802896</v>
      </c>
      <c r="B401" s="87">
        <v>77.666666666666671</v>
      </c>
      <c r="C401" s="87">
        <v>13.250000000000002</v>
      </c>
      <c r="D401" s="86">
        <v>8.76</v>
      </c>
      <c r="E401" s="99">
        <v>0.12400000000000001</v>
      </c>
      <c r="F401" s="84">
        <v>69</v>
      </c>
      <c r="G401" s="84"/>
      <c r="H401" s="84">
        <v>19.22</v>
      </c>
      <c r="I401" s="84">
        <v>100</v>
      </c>
      <c r="J401" s="85">
        <v>5.2999999999999999E-2</v>
      </c>
      <c r="K401" s="87">
        <v>11.85</v>
      </c>
      <c r="L401" s="83">
        <v>410</v>
      </c>
      <c r="M401" s="83">
        <v>0.14000000000000001</v>
      </c>
      <c r="N401" s="83">
        <v>0.33</v>
      </c>
      <c r="O401" s="83">
        <v>3.8</v>
      </c>
      <c r="P401" s="83">
        <v>2.19</v>
      </c>
      <c r="Q401" s="83"/>
      <c r="R401" s="86">
        <v>1.6022000000000001</v>
      </c>
      <c r="S401" s="87">
        <v>11</v>
      </c>
      <c r="T401" s="83"/>
      <c r="U401" s="83"/>
      <c r="V401" s="83"/>
      <c r="W401" s="83"/>
      <c r="X401" s="83"/>
      <c r="Y401" s="87">
        <v>4.9000000000000004</v>
      </c>
      <c r="Z401" s="83"/>
      <c r="AA401" s="86"/>
      <c r="AB401" s="86"/>
      <c r="AC401" s="83"/>
      <c r="AD401" s="88">
        <v>70</v>
      </c>
      <c r="AE401" s="88">
        <v>70</v>
      </c>
      <c r="AF401" s="88">
        <v>860</v>
      </c>
      <c r="AG401" s="66">
        <f t="shared" si="12"/>
        <v>856.10204081632639</v>
      </c>
      <c r="AH401" s="143">
        <f t="shared" si="13"/>
        <v>1000</v>
      </c>
    </row>
    <row r="402" spans="1:34" s="90" customFormat="1" x14ac:dyDescent="0.3">
      <c r="A402" s="84">
        <v>802897</v>
      </c>
      <c r="B402" s="87">
        <v>7.8333333333333339</v>
      </c>
      <c r="C402" s="87"/>
      <c r="D402" s="86">
        <v>8.4</v>
      </c>
      <c r="E402" s="99">
        <v>0.12200000000000001</v>
      </c>
      <c r="F402" s="84">
        <v>60.9</v>
      </c>
      <c r="G402" s="84"/>
      <c r="H402" s="84">
        <v>36.75</v>
      </c>
      <c r="I402" s="84">
        <v>280</v>
      </c>
      <c r="J402" s="85">
        <v>3.1E-2</v>
      </c>
      <c r="K402" s="87">
        <v>12.08</v>
      </c>
      <c r="L402" s="83">
        <v>1010</v>
      </c>
      <c r="M402" s="83">
        <v>0.44</v>
      </c>
      <c r="N402" s="83">
        <v>1.23</v>
      </c>
      <c r="O402" s="83">
        <v>8.17</v>
      </c>
      <c r="P402" s="83">
        <v>5.17</v>
      </c>
      <c r="Q402" s="83"/>
      <c r="R402" s="86">
        <v>1.8122</v>
      </c>
      <c r="S402" s="87">
        <v>17</v>
      </c>
      <c r="T402" s="83"/>
      <c r="U402" s="83"/>
      <c r="V402" s="83"/>
      <c r="W402" s="83"/>
      <c r="X402" s="83"/>
      <c r="Y402" s="87">
        <v>25.200000000000003</v>
      </c>
      <c r="Z402" s="83"/>
      <c r="AA402" s="86"/>
      <c r="AB402" s="86"/>
      <c r="AC402" s="83"/>
      <c r="AD402" s="88">
        <v>360</v>
      </c>
      <c r="AE402" s="88">
        <v>440</v>
      </c>
      <c r="AF402" s="88">
        <v>100</v>
      </c>
      <c r="AG402" s="66">
        <f t="shared" si="12"/>
        <v>169.69523809523807</v>
      </c>
      <c r="AH402" s="143">
        <f t="shared" si="13"/>
        <v>900</v>
      </c>
    </row>
    <row r="403" spans="1:34" s="90" customFormat="1" x14ac:dyDescent="0.3">
      <c r="A403" s="84">
        <v>802899</v>
      </c>
      <c r="B403" s="87">
        <v>15.333333333333332</v>
      </c>
      <c r="C403" s="87">
        <v>5.8750000000000036</v>
      </c>
      <c r="D403" s="86">
        <v>8.5</v>
      </c>
      <c r="E403" s="99">
        <v>0.182</v>
      </c>
      <c r="F403" s="84">
        <v>88.4</v>
      </c>
      <c r="G403" s="84"/>
      <c r="H403" s="84">
        <v>158.69999999999999</v>
      </c>
      <c r="I403" s="84">
        <v>150</v>
      </c>
      <c r="J403" s="85">
        <v>3.9E-2</v>
      </c>
      <c r="K403" s="87">
        <v>6.62</v>
      </c>
      <c r="L403" s="83">
        <v>300</v>
      </c>
      <c r="M403" s="83">
        <v>1.86</v>
      </c>
      <c r="N403" s="83">
        <v>0.61</v>
      </c>
      <c r="O403" s="83">
        <v>2.4300000000000002</v>
      </c>
      <c r="P403" s="83">
        <v>4.17</v>
      </c>
      <c r="Q403" s="83"/>
      <c r="R403" s="86">
        <v>0.44227800261825373</v>
      </c>
      <c r="S403" s="87">
        <v>3</v>
      </c>
      <c r="T403" s="83"/>
      <c r="U403" s="83"/>
      <c r="V403" s="83"/>
      <c r="W403" s="83"/>
      <c r="X403" s="83"/>
      <c r="Y403" s="87">
        <v>4.2</v>
      </c>
      <c r="Z403" s="83"/>
      <c r="AA403" s="86"/>
      <c r="AB403" s="86"/>
      <c r="AC403" s="83"/>
      <c r="AD403" s="88">
        <v>60</v>
      </c>
      <c r="AE403" s="88">
        <v>40</v>
      </c>
      <c r="AF403" s="88">
        <v>900</v>
      </c>
      <c r="AG403" s="66">
        <f t="shared" si="12"/>
        <v>557.97142857142853</v>
      </c>
      <c r="AH403" s="143">
        <f t="shared" si="13"/>
        <v>1000</v>
      </c>
    </row>
    <row r="404" spans="1:34" s="90" customFormat="1" x14ac:dyDescent="0.3">
      <c r="A404" s="84">
        <v>802900</v>
      </c>
      <c r="B404" s="87">
        <v>7.9166666666666661</v>
      </c>
      <c r="C404" s="87"/>
      <c r="D404" s="86">
        <v>8.14</v>
      </c>
      <c r="E404" s="99">
        <v>0.56000000000000005</v>
      </c>
      <c r="F404" s="84">
        <v>260.05</v>
      </c>
      <c r="G404" s="84"/>
      <c r="H404" s="84">
        <v>440.6</v>
      </c>
      <c r="I404" s="84">
        <v>110</v>
      </c>
      <c r="J404" s="85">
        <v>0.37</v>
      </c>
      <c r="K404" s="87">
        <v>7.15</v>
      </c>
      <c r="L404" s="83">
        <v>1279</v>
      </c>
      <c r="M404" s="83">
        <v>5.31</v>
      </c>
      <c r="N404" s="83">
        <v>0.9</v>
      </c>
      <c r="O404" s="83">
        <v>4.57</v>
      </c>
      <c r="P404" s="83">
        <v>7.2</v>
      </c>
      <c r="Q404" s="83"/>
      <c r="R404" s="86">
        <v>1.6482320000000001</v>
      </c>
      <c r="S404" s="87">
        <v>12.2</v>
      </c>
      <c r="T404" s="83"/>
      <c r="U404" s="83"/>
      <c r="V404" s="83"/>
      <c r="W404" s="83"/>
      <c r="X404" s="83"/>
      <c r="Y404" s="87">
        <v>8</v>
      </c>
      <c r="Z404" s="83"/>
      <c r="AA404" s="86"/>
      <c r="AB404" s="86"/>
      <c r="AC404" s="83"/>
      <c r="AD404" s="88"/>
      <c r="AE404" s="88"/>
      <c r="AF404" s="88"/>
      <c r="AG404" s="66">
        <f t="shared" si="12"/>
        <v>316.38749999999999</v>
      </c>
      <c r="AH404" s="143">
        <f t="shared" si="13"/>
        <v>0</v>
      </c>
    </row>
    <row r="405" spans="1:34" s="90" customFormat="1" x14ac:dyDescent="0.3">
      <c r="A405" s="84">
        <v>802901</v>
      </c>
      <c r="B405" s="87">
        <v>7.9166666666666661</v>
      </c>
      <c r="C405" s="87"/>
      <c r="D405" s="86">
        <v>8.27</v>
      </c>
      <c r="E405" s="99">
        <v>0.31</v>
      </c>
      <c r="F405" s="84">
        <v>133.65</v>
      </c>
      <c r="G405" s="84"/>
      <c r="H405" s="84">
        <v>374.76</v>
      </c>
      <c r="I405" s="84">
        <v>200</v>
      </c>
      <c r="J405" s="85">
        <v>0.14000000000000001</v>
      </c>
      <c r="K405" s="87">
        <v>5.94</v>
      </c>
      <c r="L405" s="83">
        <v>870</v>
      </c>
      <c r="M405" s="83">
        <v>5.17</v>
      </c>
      <c r="N405" s="83">
        <v>5.04</v>
      </c>
      <c r="O405" s="83">
        <v>2.93</v>
      </c>
      <c r="P405" s="83">
        <v>5.82</v>
      </c>
      <c r="Q405" s="83"/>
      <c r="R405" s="86">
        <v>1.162855348552708</v>
      </c>
      <c r="S405" s="87">
        <v>7.9</v>
      </c>
      <c r="T405" s="83"/>
      <c r="U405" s="83"/>
      <c r="V405" s="83"/>
      <c r="W405" s="83"/>
      <c r="X405" s="83"/>
      <c r="Y405" s="87">
        <v>8.4</v>
      </c>
      <c r="Z405" s="83"/>
      <c r="AA405" s="86"/>
      <c r="AB405" s="86"/>
      <c r="AC405" s="83"/>
      <c r="AD405" s="88"/>
      <c r="AE405" s="88"/>
      <c r="AF405" s="88"/>
      <c r="AG405" s="66">
        <f t="shared" si="12"/>
        <v>250.32857142857145</v>
      </c>
      <c r="AH405" s="143">
        <f t="shared" si="13"/>
        <v>0</v>
      </c>
    </row>
    <row r="406" spans="1:34" s="90" customFormat="1" x14ac:dyDescent="0.3">
      <c r="A406" s="84">
        <v>802902</v>
      </c>
      <c r="B406" s="87">
        <v>14.333333333333332</v>
      </c>
      <c r="C406" s="87">
        <v>2.0000000000000018</v>
      </c>
      <c r="D406" s="86">
        <v>8.8000000000000007</v>
      </c>
      <c r="E406" s="99">
        <v>0.16</v>
      </c>
      <c r="F406" s="84">
        <v>87.300000000000011</v>
      </c>
      <c r="G406" s="84"/>
      <c r="H406" s="84">
        <v>67.739999999999995</v>
      </c>
      <c r="I406" s="84">
        <v>140</v>
      </c>
      <c r="J406" s="85">
        <v>0.04</v>
      </c>
      <c r="K406" s="87">
        <v>4.26</v>
      </c>
      <c r="L406" s="83">
        <v>426</v>
      </c>
      <c r="M406" s="83">
        <v>2.2000000000000002</v>
      </c>
      <c r="N406" s="83">
        <v>7.58</v>
      </c>
      <c r="O406" s="83">
        <v>3.36</v>
      </c>
      <c r="P406" s="83">
        <v>3.55</v>
      </c>
      <c r="Q406" s="83"/>
      <c r="R406" s="86">
        <v>0.46874944535124607</v>
      </c>
      <c r="S406" s="87">
        <v>3.4</v>
      </c>
      <c r="T406" s="83"/>
      <c r="U406" s="83"/>
      <c r="V406" s="83"/>
      <c r="W406" s="83"/>
      <c r="X406" s="83"/>
      <c r="Y406" s="87">
        <v>8</v>
      </c>
      <c r="Z406" s="83"/>
      <c r="AA406" s="86"/>
      <c r="AB406" s="86"/>
      <c r="AC406" s="83"/>
      <c r="AD406" s="88"/>
      <c r="AE406" s="88"/>
      <c r="AF406" s="88"/>
      <c r="AG406" s="66">
        <f t="shared" si="12"/>
        <v>188.505</v>
      </c>
      <c r="AH406" s="143">
        <f t="shared" si="13"/>
        <v>0</v>
      </c>
    </row>
    <row r="407" spans="1:34" s="90" customFormat="1" x14ac:dyDescent="0.3">
      <c r="A407" s="84">
        <v>802903</v>
      </c>
      <c r="B407" s="87">
        <v>10.791666666666666</v>
      </c>
      <c r="C407" s="87">
        <v>6.0000000000000009</v>
      </c>
      <c r="D407" s="86">
        <v>8.9600000000000009</v>
      </c>
      <c r="E407" s="99">
        <v>0.16</v>
      </c>
      <c r="F407" s="84">
        <v>83</v>
      </c>
      <c r="G407" s="84"/>
      <c r="H407" s="84">
        <v>89.27</v>
      </c>
      <c r="I407" s="84">
        <v>110</v>
      </c>
      <c r="J407" s="85">
        <v>0.04</v>
      </c>
      <c r="K407" s="87">
        <v>4.92</v>
      </c>
      <c r="L407" s="83">
        <v>535</v>
      </c>
      <c r="M407" s="83">
        <v>2.02</v>
      </c>
      <c r="N407" s="83">
        <v>6.73</v>
      </c>
      <c r="O407" s="83">
        <v>3.2</v>
      </c>
      <c r="P407" s="83">
        <v>4.5</v>
      </c>
      <c r="Q407" s="83"/>
      <c r="R407" s="86">
        <v>0.73555127684391641</v>
      </c>
      <c r="S407" s="87">
        <v>5.0999999999999996</v>
      </c>
      <c r="T407" s="83"/>
      <c r="U407" s="83"/>
      <c r="V407" s="83"/>
      <c r="W407" s="83"/>
      <c r="X407" s="83"/>
      <c r="Y407" s="87">
        <v>7</v>
      </c>
      <c r="Z407" s="83"/>
      <c r="AA407" s="86"/>
      <c r="AB407" s="86"/>
      <c r="AC407" s="83"/>
      <c r="AD407" s="88"/>
      <c r="AE407" s="88"/>
      <c r="AF407" s="88"/>
      <c r="AG407" s="66">
        <f t="shared" si="12"/>
        <v>248.81142857142854</v>
      </c>
      <c r="AH407" s="143">
        <f t="shared" si="13"/>
        <v>0</v>
      </c>
    </row>
    <row r="408" spans="1:34" s="90" customFormat="1" x14ac:dyDescent="0.3">
      <c r="A408" s="84">
        <v>802904</v>
      </c>
      <c r="B408" s="87">
        <v>2.7777777777777777</v>
      </c>
      <c r="C408" s="87"/>
      <c r="D408" s="86">
        <v>7.5</v>
      </c>
      <c r="E408" s="99">
        <v>0.24</v>
      </c>
      <c r="F408" s="84">
        <v>84.2</v>
      </c>
      <c r="G408" s="84"/>
      <c r="H408" s="84">
        <v>200.49</v>
      </c>
      <c r="I408" s="84">
        <v>210</v>
      </c>
      <c r="J408" s="85">
        <v>0.09</v>
      </c>
      <c r="K408" s="87">
        <v>4.1500000000000004</v>
      </c>
      <c r="L408" s="83">
        <v>721</v>
      </c>
      <c r="M408" s="83">
        <v>3.33</v>
      </c>
      <c r="N408" s="83">
        <v>1.01</v>
      </c>
      <c r="O408" s="83">
        <v>3.95</v>
      </c>
      <c r="P408" s="83">
        <v>3.88</v>
      </c>
      <c r="Q408" s="83"/>
      <c r="R408" s="86">
        <v>0.85467697145445232</v>
      </c>
      <c r="S408" s="87">
        <v>5.7</v>
      </c>
      <c r="T408" s="83"/>
      <c r="U408" s="83"/>
      <c r="V408" s="83"/>
      <c r="W408" s="83"/>
      <c r="X408" s="83"/>
      <c r="Y408" s="87">
        <v>7</v>
      </c>
      <c r="Z408" s="83"/>
      <c r="AA408" s="86"/>
      <c r="AB408" s="86"/>
      <c r="AC408" s="83"/>
      <c r="AD408" s="88"/>
      <c r="AE408" s="88"/>
      <c r="AF408" s="88"/>
      <c r="AG408" s="66">
        <f t="shared" si="12"/>
        <v>209.87142857142859</v>
      </c>
      <c r="AH408" s="143">
        <f t="shared" si="13"/>
        <v>0</v>
      </c>
    </row>
    <row r="409" spans="1:34" s="90" customFormat="1" x14ac:dyDescent="0.3">
      <c r="A409" s="84">
        <v>802905</v>
      </c>
      <c r="B409" s="87">
        <v>1.5500000000000003</v>
      </c>
      <c r="C409" s="87"/>
      <c r="D409" s="86">
        <v>7.1</v>
      </c>
      <c r="E409" s="99">
        <v>0.18</v>
      </c>
      <c r="F409" s="84">
        <v>105.35</v>
      </c>
      <c r="G409" s="84"/>
      <c r="H409" s="84">
        <v>232.17</v>
      </c>
      <c r="I409" s="84">
        <v>130</v>
      </c>
      <c r="J409" s="85">
        <v>0.13</v>
      </c>
      <c r="K409" s="87">
        <v>4.7699999999999996</v>
      </c>
      <c r="L409" s="83">
        <v>784</v>
      </c>
      <c r="M409" s="83">
        <v>7.11</v>
      </c>
      <c r="N409" s="83">
        <v>2.0499999999999998</v>
      </c>
      <c r="O409" s="83">
        <v>6.3</v>
      </c>
      <c r="P409" s="83">
        <v>6.31</v>
      </c>
      <c r="Q409" s="83"/>
      <c r="R409" s="86">
        <v>0.7758647749006321</v>
      </c>
      <c r="S409" s="87">
        <v>5.8</v>
      </c>
      <c r="T409" s="83"/>
      <c r="U409" s="83"/>
      <c r="V409" s="83"/>
      <c r="W409" s="83"/>
      <c r="X409" s="83"/>
      <c r="Y409" s="87">
        <v>8</v>
      </c>
      <c r="Z409" s="83"/>
      <c r="AA409" s="86"/>
      <c r="AB409" s="86"/>
      <c r="AC409" s="83"/>
      <c r="AD409" s="88"/>
      <c r="AE409" s="88"/>
      <c r="AF409" s="88"/>
      <c r="AG409" s="66">
        <f t="shared" si="12"/>
        <v>211.07249999999999</v>
      </c>
      <c r="AH409" s="143">
        <f t="shared" si="13"/>
        <v>0</v>
      </c>
    </row>
    <row r="410" spans="1:34" s="90" customFormat="1" x14ac:dyDescent="0.3">
      <c r="A410" s="84">
        <v>802906</v>
      </c>
      <c r="B410" s="87">
        <v>0.53333333333333333</v>
      </c>
      <c r="C410" s="87"/>
      <c r="D410" s="86">
        <v>6.9</v>
      </c>
      <c r="E410" s="99">
        <v>0.2</v>
      </c>
      <c r="F410" s="84">
        <v>93.350000000000009</v>
      </c>
      <c r="G410" s="84"/>
      <c r="H410" s="84">
        <v>357.61</v>
      </c>
      <c r="I410" s="84">
        <v>140</v>
      </c>
      <c r="J410" s="85">
        <v>0.05</v>
      </c>
      <c r="K410" s="87">
        <v>2.76</v>
      </c>
      <c r="L410" s="83">
        <v>839</v>
      </c>
      <c r="M410" s="83">
        <v>3.7</v>
      </c>
      <c r="N410" s="83">
        <v>0.57999999999999996</v>
      </c>
      <c r="O410" s="83">
        <v>4.6399999999999997</v>
      </c>
      <c r="P410" s="83">
        <v>5.74</v>
      </c>
      <c r="Q410" s="83"/>
      <c r="R410" s="86">
        <v>0.89491184035299165</v>
      </c>
      <c r="S410" s="87">
        <v>6.2</v>
      </c>
      <c r="T410" s="83"/>
      <c r="U410" s="83"/>
      <c r="V410" s="83"/>
      <c r="W410" s="83"/>
      <c r="X410" s="83"/>
      <c r="Y410" s="87">
        <v>7</v>
      </c>
      <c r="Z410" s="83"/>
      <c r="AA410" s="86"/>
      <c r="AB410" s="86"/>
      <c r="AC410" s="83"/>
      <c r="AD410" s="88"/>
      <c r="AE410" s="88"/>
      <c r="AF410" s="88"/>
      <c r="AG410" s="66">
        <f t="shared" si="12"/>
        <v>139.57714285714283</v>
      </c>
      <c r="AH410" s="143">
        <f t="shared" si="13"/>
        <v>0</v>
      </c>
    </row>
    <row r="411" spans="1:34" s="90" customFormat="1" x14ac:dyDescent="0.3">
      <c r="A411" s="84">
        <v>802907</v>
      </c>
      <c r="B411" s="87">
        <v>0.41666666666666669</v>
      </c>
      <c r="C411" s="87"/>
      <c r="D411" s="86">
        <v>6.8</v>
      </c>
      <c r="E411" s="99">
        <v>0.28999999999999998</v>
      </c>
      <c r="F411" s="84">
        <v>189.54999999999998</v>
      </c>
      <c r="G411" s="84"/>
      <c r="H411" s="84">
        <v>45.09</v>
      </c>
      <c r="I411" s="84">
        <v>100</v>
      </c>
      <c r="J411" s="85">
        <v>0.3</v>
      </c>
      <c r="K411" s="87">
        <v>3.79</v>
      </c>
      <c r="L411" s="83">
        <v>853</v>
      </c>
      <c r="M411" s="83">
        <v>0.42</v>
      </c>
      <c r="N411" s="83">
        <v>0.68</v>
      </c>
      <c r="O411" s="83">
        <v>9.48</v>
      </c>
      <c r="P411" s="83">
        <v>20.21</v>
      </c>
      <c r="Q411" s="83"/>
      <c r="R411" s="86">
        <v>1.5824250000000002</v>
      </c>
      <c r="S411" s="87">
        <v>10.5</v>
      </c>
      <c r="T411" s="83"/>
      <c r="U411" s="83"/>
      <c r="V411" s="83"/>
      <c r="W411" s="83"/>
      <c r="X411" s="83"/>
      <c r="Y411" s="87">
        <v>23.3</v>
      </c>
      <c r="Z411" s="83"/>
      <c r="AA411" s="86"/>
      <c r="AB411" s="86"/>
      <c r="AC411" s="83"/>
      <c r="AD411" s="88">
        <v>460</v>
      </c>
      <c r="AE411" s="88">
        <v>200</v>
      </c>
      <c r="AF411" s="88">
        <v>340</v>
      </c>
      <c r="AG411" s="66">
        <f t="shared" si="12"/>
        <v>57.58197424892704</v>
      </c>
      <c r="AH411" s="143">
        <f t="shared" si="13"/>
        <v>1000</v>
      </c>
    </row>
    <row r="412" spans="1:34" s="90" customFormat="1" x14ac:dyDescent="0.3">
      <c r="A412" s="84">
        <v>802908</v>
      </c>
      <c r="B412" s="87">
        <v>0.13333333333333333</v>
      </c>
      <c r="C412" s="87"/>
      <c r="D412" s="86">
        <v>6.3</v>
      </c>
      <c r="E412" s="99">
        <v>0.23</v>
      </c>
      <c r="F412" s="84">
        <v>176.9</v>
      </c>
      <c r="G412" s="84"/>
      <c r="H412" s="84">
        <v>105.33</v>
      </c>
      <c r="I412" s="84">
        <v>80</v>
      </c>
      <c r="J412" s="85">
        <v>0.23</v>
      </c>
      <c r="K412" s="87">
        <v>2.71</v>
      </c>
      <c r="L412" s="83">
        <v>507</v>
      </c>
      <c r="M412" s="83">
        <v>0.76</v>
      </c>
      <c r="N412" s="83">
        <v>0.84</v>
      </c>
      <c r="O412" s="83">
        <v>11.57</v>
      </c>
      <c r="P412" s="83">
        <v>39.770000000000003</v>
      </c>
      <c r="Q412" s="83"/>
      <c r="R412" s="86">
        <v>1.024491041421673</v>
      </c>
      <c r="S412" s="87">
        <v>7.2</v>
      </c>
      <c r="T412" s="83"/>
      <c r="U412" s="83"/>
      <c r="V412" s="83"/>
      <c r="W412" s="83"/>
      <c r="X412" s="83"/>
      <c r="Y412" s="87">
        <v>23.8</v>
      </c>
      <c r="Z412" s="83"/>
      <c r="AA412" s="86"/>
      <c r="AB412" s="86"/>
      <c r="AC412" s="83"/>
      <c r="AD412" s="88">
        <v>450</v>
      </c>
      <c r="AE412" s="88">
        <v>210</v>
      </c>
      <c r="AF412" s="88">
        <v>340</v>
      </c>
      <c r="AG412" s="66">
        <f t="shared" si="12"/>
        <v>40.308403361344538</v>
      </c>
      <c r="AH412" s="143">
        <f t="shared" si="13"/>
        <v>1000</v>
      </c>
    </row>
    <row r="413" spans="1:34" s="90" customFormat="1" x14ac:dyDescent="0.3">
      <c r="A413" s="84">
        <v>802909</v>
      </c>
      <c r="B413" s="87">
        <v>0.2</v>
      </c>
      <c r="C413" s="87"/>
      <c r="D413" s="86">
        <v>6.1</v>
      </c>
      <c r="E413" s="99">
        <v>0.11</v>
      </c>
      <c r="F413" s="84">
        <v>121.7</v>
      </c>
      <c r="G413" s="84"/>
      <c r="H413" s="84">
        <v>78.33</v>
      </c>
      <c r="I413" s="84">
        <v>80</v>
      </c>
      <c r="J413" s="85">
        <v>0.08</v>
      </c>
      <c r="K413" s="87">
        <v>2.75</v>
      </c>
      <c r="L413" s="83">
        <v>458</v>
      </c>
      <c r="M413" s="83">
        <v>0.44</v>
      </c>
      <c r="N413" s="83">
        <v>1.1499999999999999</v>
      </c>
      <c r="O413" s="83">
        <v>16.57</v>
      </c>
      <c r="P413" s="83">
        <v>66.209999999999994</v>
      </c>
      <c r="Q413" s="83"/>
      <c r="R413" s="86">
        <v>1.2292121084254621</v>
      </c>
      <c r="S413" s="87">
        <v>8.1</v>
      </c>
      <c r="T413" s="83"/>
      <c r="U413" s="83"/>
      <c r="V413" s="83"/>
      <c r="W413" s="83"/>
      <c r="X413" s="83"/>
      <c r="Y413" s="87">
        <v>23.4</v>
      </c>
      <c r="Z413" s="83"/>
      <c r="AA413" s="86"/>
      <c r="AB413" s="86"/>
      <c r="AC413" s="83"/>
      <c r="AD413" s="88">
        <v>440</v>
      </c>
      <c r="AE413" s="88">
        <v>200</v>
      </c>
      <c r="AF413" s="88">
        <v>360</v>
      </c>
      <c r="AG413" s="66">
        <f t="shared" si="12"/>
        <v>41.602564102564102</v>
      </c>
      <c r="AH413" s="143">
        <f t="shared" si="13"/>
        <v>1000</v>
      </c>
    </row>
    <row r="414" spans="1:34" s="90" customFormat="1" x14ac:dyDescent="0.3">
      <c r="A414" s="84">
        <v>802910</v>
      </c>
      <c r="B414" s="87">
        <v>0.16666666666666666</v>
      </c>
      <c r="C414" s="87"/>
      <c r="D414" s="86">
        <v>6.2</v>
      </c>
      <c r="E414" s="99">
        <v>0.15</v>
      </c>
      <c r="F414" s="84">
        <v>132.35</v>
      </c>
      <c r="G414" s="84"/>
      <c r="H414" s="84">
        <v>74.069999999999993</v>
      </c>
      <c r="I414" s="84">
        <v>110</v>
      </c>
      <c r="J414" s="85">
        <v>0.09</v>
      </c>
      <c r="K414" s="87">
        <v>2.02</v>
      </c>
      <c r="L414" s="83">
        <v>1089</v>
      </c>
      <c r="M414" s="83">
        <v>0.67</v>
      </c>
      <c r="N414" s="83">
        <v>0.83</v>
      </c>
      <c r="O414" s="83">
        <v>3.07</v>
      </c>
      <c r="P414" s="83">
        <v>14.27</v>
      </c>
      <c r="Q414" s="83"/>
      <c r="R414" s="86">
        <v>1.7308250000000001</v>
      </c>
      <c r="S414" s="87">
        <v>14.5</v>
      </c>
      <c r="T414" s="83"/>
      <c r="U414" s="83"/>
      <c r="V414" s="83"/>
      <c r="W414" s="83"/>
      <c r="X414" s="83"/>
      <c r="Y414" s="87">
        <v>23.6</v>
      </c>
      <c r="Z414" s="83"/>
      <c r="AA414" s="86"/>
      <c r="AB414" s="86"/>
      <c r="AC414" s="83"/>
      <c r="AD414" s="88">
        <v>400</v>
      </c>
      <c r="AE414" s="88">
        <v>260</v>
      </c>
      <c r="AF414" s="88">
        <v>340</v>
      </c>
      <c r="AG414" s="66">
        <f t="shared" si="12"/>
        <v>30.3</v>
      </c>
      <c r="AH414" s="143">
        <f t="shared" si="13"/>
        <v>1000</v>
      </c>
    </row>
    <row r="415" spans="1:34" s="90" customFormat="1" x14ac:dyDescent="0.3">
      <c r="A415" s="84">
        <v>802911</v>
      </c>
      <c r="B415" s="87">
        <v>0.05</v>
      </c>
      <c r="C415" s="87"/>
      <c r="D415" s="86">
        <v>6.4</v>
      </c>
      <c r="E415" s="99">
        <v>0.09</v>
      </c>
      <c r="F415" s="84">
        <v>94.2</v>
      </c>
      <c r="G415" s="84"/>
      <c r="H415" s="84">
        <v>61.07</v>
      </c>
      <c r="I415" s="84">
        <v>100</v>
      </c>
      <c r="J415" s="85">
        <v>0.11</v>
      </c>
      <c r="K415" s="87">
        <v>2.56</v>
      </c>
      <c r="L415" s="83">
        <v>769</v>
      </c>
      <c r="M415" s="83">
        <v>0.32</v>
      </c>
      <c r="N415" s="83">
        <v>0.99</v>
      </c>
      <c r="O415" s="83">
        <v>10.25</v>
      </c>
      <c r="P415" s="83">
        <v>38.5</v>
      </c>
      <c r="Q415" s="83"/>
      <c r="R415" s="86">
        <v>1.1359407945071918</v>
      </c>
      <c r="S415" s="87">
        <v>7.8</v>
      </c>
      <c r="T415" s="83"/>
      <c r="U415" s="83"/>
      <c r="V415" s="83"/>
      <c r="W415" s="83"/>
      <c r="X415" s="83"/>
      <c r="Y415" s="87">
        <v>11</v>
      </c>
      <c r="Z415" s="83"/>
      <c r="AA415" s="86"/>
      <c r="AB415" s="86"/>
      <c r="AC415" s="83"/>
      <c r="AD415" s="88">
        <v>240</v>
      </c>
      <c r="AE415" s="88">
        <v>340</v>
      </c>
      <c r="AF415" s="88">
        <v>420</v>
      </c>
      <c r="AG415" s="66">
        <f t="shared" si="12"/>
        <v>82.38545454545455</v>
      </c>
      <c r="AH415" s="143">
        <f t="shared" si="13"/>
        <v>1000</v>
      </c>
    </row>
    <row r="416" spans="1:34" s="90" customFormat="1" x14ac:dyDescent="0.3">
      <c r="A416" s="84">
        <v>802912</v>
      </c>
      <c r="B416" s="87">
        <v>0.05</v>
      </c>
      <c r="C416" s="87"/>
      <c r="D416" s="86">
        <v>6</v>
      </c>
      <c r="E416" s="99">
        <v>0.14000000000000001</v>
      </c>
      <c r="F416" s="84">
        <v>134.04999999999998</v>
      </c>
      <c r="G416" s="84"/>
      <c r="H416" s="84">
        <v>81.61</v>
      </c>
      <c r="I416" s="84">
        <v>80</v>
      </c>
      <c r="J416" s="85">
        <v>0.1</v>
      </c>
      <c r="K416" s="87">
        <v>2.2599999999999998</v>
      </c>
      <c r="L416" s="83">
        <v>304</v>
      </c>
      <c r="M416" s="83">
        <v>0.77</v>
      </c>
      <c r="N416" s="83">
        <v>1.2</v>
      </c>
      <c r="O416" s="83">
        <v>12.07</v>
      </c>
      <c r="P416" s="83">
        <v>102.55</v>
      </c>
      <c r="Q416" s="83"/>
      <c r="R416" s="86">
        <v>1.737657</v>
      </c>
      <c r="S416" s="87">
        <v>14.7</v>
      </c>
      <c r="T416" s="83"/>
      <c r="U416" s="83"/>
      <c r="V416" s="83"/>
      <c r="W416" s="83"/>
      <c r="X416" s="83"/>
      <c r="Y416" s="87">
        <v>3</v>
      </c>
      <c r="Z416" s="83"/>
      <c r="AA416" s="86"/>
      <c r="AB416" s="86"/>
      <c r="AC416" s="83"/>
      <c r="AD416" s="88">
        <v>120</v>
      </c>
      <c r="AE416" s="88">
        <v>80</v>
      </c>
      <c r="AF416" s="88">
        <v>800</v>
      </c>
      <c r="AG416" s="66">
        <f t="shared" si="12"/>
        <v>266.68</v>
      </c>
      <c r="AH416" s="143">
        <f t="shared" si="13"/>
        <v>1000</v>
      </c>
    </row>
    <row r="417" spans="1:34" s="90" customFormat="1" x14ac:dyDescent="0.3">
      <c r="A417" s="84">
        <v>802913</v>
      </c>
      <c r="B417" s="87">
        <v>1E-4</v>
      </c>
      <c r="C417" s="87"/>
      <c r="D417" s="86">
        <v>6.2</v>
      </c>
      <c r="E417" s="99">
        <v>0.09</v>
      </c>
      <c r="F417" s="84">
        <v>63.849999999999994</v>
      </c>
      <c r="G417" s="84"/>
      <c r="H417" s="84">
        <v>52.42</v>
      </c>
      <c r="I417" s="84">
        <v>80</v>
      </c>
      <c r="J417" s="85">
        <v>0.04</v>
      </c>
      <c r="K417" s="87">
        <v>0.56000000000000005</v>
      </c>
      <c r="L417" s="83">
        <v>173</v>
      </c>
      <c r="M417" s="83">
        <v>0.61</v>
      </c>
      <c r="N417" s="83">
        <v>0.18</v>
      </c>
      <c r="O417" s="83">
        <v>8.6199999999999992</v>
      </c>
      <c r="P417" s="83">
        <v>127.37</v>
      </c>
      <c r="Q417" s="83"/>
      <c r="R417" s="86">
        <v>0.74655016702668675</v>
      </c>
      <c r="S417" s="87">
        <v>5.4</v>
      </c>
      <c r="T417" s="83"/>
      <c r="U417" s="83"/>
      <c r="V417" s="83"/>
      <c r="W417" s="83"/>
      <c r="X417" s="83"/>
      <c r="Y417" s="87">
        <v>4</v>
      </c>
      <c r="Z417" s="83"/>
      <c r="AA417" s="86"/>
      <c r="AB417" s="86"/>
      <c r="AC417" s="83"/>
      <c r="AD417" s="88">
        <v>70</v>
      </c>
      <c r="AE417" s="88">
        <v>70</v>
      </c>
      <c r="AF417" s="88">
        <v>860</v>
      </c>
      <c r="AG417" s="66">
        <f t="shared" si="12"/>
        <v>49.56</v>
      </c>
      <c r="AH417" s="143">
        <f t="shared" si="13"/>
        <v>1000</v>
      </c>
    </row>
    <row r="418" spans="1:34" s="90" customFormat="1" x14ac:dyDescent="0.3">
      <c r="A418" s="84">
        <v>802938</v>
      </c>
      <c r="B418" s="87">
        <v>41.333333333333336</v>
      </c>
      <c r="C418" s="87">
        <v>14.75</v>
      </c>
      <c r="D418" s="86">
        <v>8.26</v>
      </c>
      <c r="E418" s="99">
        <v>0.28999999999999998</v>
      </c>
      <c r="F418" s="84">
        <v>157.75</v>
      </c>
      <c r="G418" s="84"/>
      <c r="H418" s="84">
        <v>67.72</v>
      </c>
      <c r="I418" s="84">
        <v>220</v>
      </c>
      <c r="J418" s="85">
        <v>0.17</v>
      </c>
      <c r="K418" s="87">
        <v>10.63</v>
      </c>
      <c r="L418" s="83">
        <v>1437</v>
      </c>
      <c r="M418" s="83">
        <v>0.42</v>
      </c>
      <c r="N418" s="83">
        <v>0.63</v>
      </c>
      <c r="O418" s="83">
        <v>7.65</v>
      </c>
      <c r="P418" s="83">
        <v>3.04</v>
      </c>
      <c r="Q418" s="83"/>
      <c r="R418" s="86">
        <v>1.7578170000000002</v>
      </c>
      <c r="S418" s="87">
        <v>15.3</v>
      </c>
      <c r="T418" s="83"/>
      <c r="U418" s="83"/>
      <c r="V418" s="83"/>
      <c r="W418" s="83"/>
      <c r="X418" s="83"/>
      <c r="Y418" s="87">
        <v>28.8</v>
      </c>
      <c r="Z418" s="83"/>
      <c r="AA418" s="86"/>
      <c r="AB418" s="86"/>
      <c r="AC418" s="83"/>
      <c r="AD418" s="88"/>
      <c r="AE418" s="88"/>
      <c r="AF418" s="88"/>
      <c r="AG418" s="66">
        <f t="shared" si="12"/>
        <v>130.66041666666669</v>
      </c>
      <c r="AH418" s="143">
        <f t="shared" si="13"/>
        <v>0</v>
      </c>
    </row>
    <row r="419" spans="1:34" s="90" customFormat="1" x14ac:dyDescent="0.3">
      <c r="A419" s="84">
        <v>802939</v>
      </c>
      <c r="B419" s="87">
        <v>43.999999999999993</v>
      </c>
      <c r="C419" s="87">
        <v>14.500000000000002</v>
      </c>
      <c r="D419" s="86">
        <v>8.64</v>
      </c>
      <c r="E419" s="99">
        <v>0.22</v>
      </c>
      <c r="F419" s="84">
        <v>114.25</v>
      </c>
      <c r="G419" s="84"/>
      <c r="H419" s="84">
        <v>83.66</v>
      </c>
      <c r="I419" s="84">
        <v>250</v>
      </c>
      <c r="J419" s="85">
        <v>0.13</v>
      </c>
      <c r="K419" s="87">
        <v>9.92</v>
      </c>
      <c r="L419" s="83">
        <v>1289</v>
      </c>
      <c r="M419" s="83">
        <v>0.36</v>
      </c>
      <c r="N419" s="83">
        <v>0.61</v>
      </c>
      <c r="O419" s="83">
        <v>2.1800000000000002</v>
      </c>
      <c r="P419" s="83">
        <v>1.63</v>
      </c>
      <c r="Q419" s="83"/>
      <c r="R419" s="86">
        <v>1.6814330000000002</v>
      </c>
      <c r="S419" s="87">
        <v>13.1</v>
      </c>
      <c r="T419" s="83"/>
      <c r="U419" s="83"/>
      <c r="V419" s="83"/>
      <c r="W419" s="83"/>
      <c r="X419" s="83"/>
      <c r="Y419" s="87">
        <v>25.2</v>
      </c>
      <c r="Z419" s="83"/>
      <c r="AA419" s="86"/>
      <c r="AB419" s="86"/>
      <c r="AC419" s="83"/>
      <c r="AD419" s="88"/>
      <c r="AE419" s="88"/>
      <c r="AF419" s="88"/>
      <c r="AG419" s="66">
        <f t="shared" si="12"/>
        <v>139.35238095238094</v>
      </c>
      <c r="AH419" s="143">
        <f t="shared" si="13"/>
        <v>0</v>
      </c>
    </row>
    <row r="420" spans="1:34" s="90" customFormat="1" x14ac:dyDescent="0.3">
      <c r="A420" s="84">
        <v>802940</v>
      </c>
      <c r="B420" s="87">
        <v>40</v>
      </c>
      <c r="C420" s="87">
        <v>16</v>
      </c>
      <c r="D420" s="86">
        <v>8.68</v>
      </c>
      <c r="E420" s="99">
        <v>0.28000000000000003</v>
      </c>
      <c r="F420" s="84">
        <v>99.45</v>
      </c>
      <c r="G420" s="84"/>
      <c r="H420" s="84">
        <v>116.37</v>
      </c>
      <c r="I420" s="84">
        <v>280</v>
      </c>
      <c r="J420" s="85">
        <v>0.12</v>
      </c>
      <c r="K420" s="87">
        <v>8.34</v>
      </c>
      <c r="L420" s="83">
        <v>1532</v>
      </c>
      <c r="M420" s="83">
        <v>0.61</v>
      </c>
      <c r="N420" s="83">
        <v>0.53</v>
      </c>
      <c r="O420" s="83">
        <v>2.46</v>
      </c>
      <c r="P420" s="83">
        <v>3.88</v>
      </c>
      <c r="Q420" s="83"/>
      <c r="R420" s="86">
        <v>1.7544919999999999</v>
      </c>
      <c r="S420" s="87">
        <v>15.2</v>
      </c>
      <c r="T420" s="83"/>
      <c r="U420" s="83"/>
      <c r="V420" s="83"/>
      <c r="W420" s="83"/>
      <c r="X420" s="83"/>
      <c r="Y420" s="87">
        <v>25.2</v>
      </c>
      <c r="Z420" s="83"/>
      <c r="AA420" s="86"/>
      <c r="AB420" s="86"/>
      <c r="AC420" s="83"/>
      <c r="AD420" s="88"/>
      <c r="AE420" s="88"/>
      <c r="AF420" s="88"/>
      <c r="AG420" s="66">
        <f t="shared" si="12"/>
        <v>117.15714285714284</v>
      </c>
      <c r="AH420" s="143">
        <f t="shared" si="13"/>
        <v>0</v>
      </c>
    </row>
    <row r="421" spans="1:34" s="90" customFormat="1" x14ac:dyDescent="0.3">
      <c r="A421" s="84">
        <v>802941</v>
      </c>
      <c r="B421" s="87">
        <v>39.666666666666664</v>
      </c>
      <c r="C421" s="87">
        <v>16</v>
      </c>
      <c r="D421" s="86">
        <v>8.8800000000000008</v>
      </c>
      <c r="E421" s="99">
        <v>0.18</v>
      </c>
      <c r="F421" s="84">
        <v>94.1</v>
      </c>
      <c r="G421" s="84"/>
      <c r="H421" s="84">
        <v>74.489999999999995</v>
      </c>
      <c r="I421" s="84">
        <v>250</v>
      </c>
      <c r="J421" s="85">
        <v>0.1</v>
      </c>
      <c r="K421" s="87">
        <v>9.91</v>
      </c>
      <c r="L421" s="83">
        <v>1162</v>
      </c>
      <c r="M421" s="83">
        <v>0.45</v>
      </c>
      <c r="N421" s="83">
        <v>0.65</v>
      </c>
      <c r="O421" s="83">
        <v>2.59</v>
      </c>
      <c r="P421" s="83">
        <v>3.14</v>
      </c>
      <c r="Q421" s="83"/>
      <c r="R421" s="86">
        <v>1.6922480000000002</v>
      </c>
      <c r="S421" s="87">
        <v>13.4</v>
      </c>
      <c r="T421" s="83"/>
      <c r="U421" s="83"/>
      <c r="V421" s="83"/>
      <c r="W421" s="83"/>
      <c r="X421" s="83"/>
      <c r="Y421" s="87">
        <v>28.8</v>
      </c>
      <c r="Z421" s="83"/>
      <c r="AA421" s="86"/>
      <c r="AB421" s="86"/>
      <c r="AC421" s="83"/>
      <c r="AD421" s="88"/>
      <c r="AE421" s="88"/>
      <c r="AF421" s="88"/>
      <c r="AG421" s="66">
        <f t="shared" si="12"/>
        <v>121.81041666666667</v>
      </c>
      <c r="AH421" s="143">
        <f t="shared" si="13"/>
        <v>0</v>
      </c>
    </row>
    <row r="422" spans="1:34" s="90" customFormat="1" x14ac:dyDescent="0.3">
      <c r="A422" s="84">
        <v>802942</v>
      </c>
      <c r="B422" s="87">
        <v>20.333333333333332</v>
      </c>
      <c r="C422" s="87">
        <v>10.750000000000002</v>
      </c>
      <c r="D422" s="86">
        <v>8.76</v>
      </c>
      <c r="E422" s="99">
        <v>0.28999999999999998</v>
      </c>
      <c r="F422" s="84">
        <v>156.25</v>
      </c>
      <c r="G422" s="84"/>
      <c r="H422" s="84">
        <v>96.82</v>
      </c>
      <c r="I422" s="84">
        <v>500</v>
      </c>
      <c r="J422" s="85">
        <v>0.21</v>
      </c>
      <c r="K422" s="87">
        <v>8.07</v>
      </c>
      <c r="L422" s="83">
        <v>1575</v>
      </c>
      <c r="M422" s="83">
        <v>0.42</v>
      </c>
      <c r="N422" s="83">
        <v>0.59</v>
      </c>
      <c r="O422" s="83">
        <v>2.16</v>
      </c>
      <c r="P422" s="83">
        <v>1.81</v>
      </c>
      <c r="Q422" s="83"/>
      <c r="R422" s="86">
        <v>1.6331120000000001</v>
      </c>
      <c r="S422" s="87">
        <v>11.8</v>
      </c>
      <c r="T422" s="83"/>
      <c r="U422" s="83"/>
      <c r="V422" s="83"/>
      <c r="W422" s="83"/>
      <c r="X422" s="83"/>
      <c r="Y422" s="87">
        <v>29</v>
      </c>
      <c r="Z422" s="83"/>
      <c r="AA422" s="86"/>
      <c r="AB422" s="86"/>
      <c r="AC422" s="83"/>
      <c r="AD422" s="88"/>
      <c r="AE422" s="88"/>
      <c r="AF422" s="88"/>
      <c r="AG422" s="66">
        <f t="shared" si="12"/>
        <v>98.509655172413801</v>
      </c>
      <c r="AH422" s="143">
        <f t="shared" si="13"/>
        <v>0</v>
      </c>
    </row>
    <row r="423" spans="1:34" s="90" customFormat="1" x14ac:dyDescent="0.3">
      <c r="A423" s="84">
        <v>802943</v>
      </c>
      <c r="B423" s="87">
        <v>14.166666666666666</v>
      </c>
      <c r="C423" s="87">
        <v>0.75000000000000178</v>
      </c>
      <c r="D423" s="86">
        <v>8.65</v>
      </c>
      <c r="E423" s="99">
        <v>0.15</v>
      </c>
      <c r="F423" s="84">
        <v>89.5</v>
      </c>
      <c r="G423" s="84"/>
      <c r="H423" s="84">
        <v>104.76</v>
      </c>
      <c r="I423" s="84">
        <v>310</v>
      </c>
      <c r="J423" s="85">
        <v>0.15</v>
      </c>
      <c r="K423" s="87">
        <v>10.85</v>
      </c>
      <c r="L423" s="83">
        <v>1755</v>
      </c>
      <c r="M423" s="83">
        <v>0.36</v>
      </c>
      <c r="N423" s="83">
        <v>0.88</v>
      </c>
      <c r="O423" s="83">
        <v>13.65</v>
      </c>
      <c r="P423" s="83">
        <v>4.03</v>
      </c>
      <c r="Q423" s="83"/>
      <c r="R423" s="86">
        <v>1.774232</v>
      </c>
      <c r="S423" s="87">
        <v>15.8</v>
      </c>
      <c r="T423" s="83"/>
      <c r="U423" s="83"/>
      <c r="V423" s="83"/>
      <c r="W423" s="83"/>
      <c r="X423" s="83"/>
      <c r="Y423" s="87">
        <v>40.799999999999997</v>
      </c>
      <c r="Z423" s="83"/>
      <c r="AA423" s="86"/>
      <c r="AB423" s="86"/>
      <c r="AC423" s="83"/>
      <c r="AD423" s="88"/>
      <c r="AE423" s="88"/>
      <c r="AF423" s="88"/>
      <c r="AG423" s="66">
        <f t="shared" si="12"/>
        <v>94.139705882352956</v>
      </c>
      <c r="AH423" s="143">
        <f t="shared" si="13"/>
        <v>0</v>
      </c>
    </row>
    <row r="424" spans="1:34" s="90" customFormat="1" x14ac:dyDescent="0.3">
      <c r="A424" s="84">
        <v>802944</v>
      </c>
      <c r="B424" s="87">
        <v>21.999999999999996</v>
      </c>
      <c r="C424" s="87">
        <v>10.750000000000002</v>
      </c>
      <c r="D424" s="86">
        <v>8.7899999999999991</v>
      </c>
      <c r="E424" s="99">
        <v>0.17</v>
      </c>
      <c r="F424" s="84">
        <v>81.599999999999994</v>
      </c>
      <c r="G424" s="84"/>
      <c r="H424" s="84">
        <v>61.07</v>
      </c>
      <c r="I424" s="84">
        <v>280</v>
      </c>
      <c r="J424" s="85">
        <v>0.13</v>
      </c>
      <c r="K424" s="87">
        <v>10.28</v>
      </c>
      <c r="L424" s="83">
        <v>1379</v>
      </c>
      <c r="M424" s="83">
        <v>0.42</v>
      </c>
      <c r="N424" s="83">
        <v>0.8</v>
      </c>
      <c r="O424" s="83">
        <v>15.54</v>
      </c>
      <c r="P424" s="83">
        <v>4.96</v>
      </c>
      <c r="Q424" s="83"/>
      <c r="R424" s="86">
        <v>1.7410520000000003</v>
      </c>
      <c r="S424" s="87">
        <v>14.8</v>
      </c>
      <c r="T424" s="83"/>
      <c r="U424" s="83"/>
      <c r="V424" s="83"/>
      <c r="W424" s="83"/>
      <c r="X424" s="83"/>
      <c r="Y424" s="87">
        <v>35.700000000000003</v>
      </c>
      <c r="Z424" s="83"/>
      <c r="AA424" s="86"/>
      <c r="AB424" s="86"/>
      <c r="AC424" s="83"/>
      <c r="AD424" s="88"/>
      <c r="AE424" s="88"/>
      <c r="AF424" s="88"/>
      <c r="AG424" s="66">
        <f t="shared" si="12"/>
        <v>101.93613445378151</v>
      </c>
      <c r="AH424" s="143">
        <f t="shared" si="13"/>
        <v>0</v>
      </c>
    </row>
    <row r="425" spans="1:34" s="90" customFormat="1" x14ac:dyDescent="0.3">
      <c r="A425" s="84">
        <v>802945</v>
      </c>
      <c r="B425" s="87">
        <v>10.666666666666668</v>
      </c>
      <c r="C425" s="87">
        <v>6.1250000000000027</v>
      </c>
      <c r="D425" s="86">
        <v>8.85</v>
      </c>
      <c r="E425" s="99">
        <v>0.24</v>
      </c>
      <c r="F425" s="84">
        <v>129.19999999999999</v>
      </c>
      <c r="G425" s="84"/>
      <c r="H425" s="84">
        <v>248.65</v>
      </c>
      <c r="I425" s="84">
        <v>720</v>
      </c>
      <c r="J425" s="85">
        <v>0.26</v>
      </c>
      <c r="K425" s="87">
        <v>8.0500000000000007</v>
      </c>
      <c r="L425" s="83">
        <v>3596</v>
      </c>
      <c r="M425" s="83">
        <v>2.59</v>
      </c>
      <c r="N425" s="83">
        <v>1.53</v>
      </c>
      <c r="O425" s="83">
        <v>2.12</v>
      </c>
      <c r="P425" s="83">
        <v>5.22</v>
      </c>
      <c r="Q425" s="83"/>
      <c r="R425" s="86">
        <v>1.6369130000000003</v>
      </c>
      <c r="S425" s="87">
        <v>11.9</v>
      </c>
      <c r="T425" s="83"/>
      <c r="U425" s="83"/>
      <c r="V425" s="83"/>
      <c r="W425" s="83"/>
      <c r="X425" s="83"/>
      <c r="Y425" s="87">
        <v>31</v>
      </c>
      <c r="Z425" s="83"/>
      <c r="AA425" s="86"/>
      <c r="AB425" s="86"/>
      <c r="AC425" s="83"/>
      <c r="AD425" s="88"/>
      <c r="AE425" s="88"/>
      <c r="AF425" s="88"/>
      <c r="AG425" s="66">
        <f t="shared" si="12"/>
        <v>91.925806451612914</v>
      </c>
      <c r="AH425" s="143">
        <f t="shared" si="13"/>
        <v>0</v>
      </c>
    </row>
    <row r="426" spans="1:34" s="90" customFormat="1" x14ac:dyDescent="0.3">
      <c r="A426" s="84">
        <v>802946</v>
      </c>
      <c r="B426" s="87">
        <v>13.333333333333334</v>
      </c>
      <c r="C426" s="87">
        <v>2.2500000000000009</v>
      </c>
      <c r="D426" s="86">
        <v>8.6300000000000008</v>
      </c>
      <c r="E426" s="99">
        <v>0.2</v>
      </c>
      <c r="F426" s="84">
        <v>87.4</v>
      </c>
      <c r="G426" s="84"/>
      <c r="H426" s="84">
        <v>229.14</v>
      </c>
      <c r="I426" s="84">
        <v>570</v>
      </c>
      <c r="J426" s="85">
        <v>0.16</v>
      </c>
      <c r="K426" s="87">
        <v>8.0500000000000007</v>
      </c>
      <c r="L426" s="83">
        <v>2867</v>
      </c>
      <c r="M426" s="83">
        <v>1.59</v>
      </c>
      <c r="N426" s="83">
        <v>1.26</v>
      </c>
      <c r="O426" s="83">
        <v>1.55</v>
      </c>
      <c r="P426" s="83">
        <v>5.45</v>
      </c>
      <c r="Q426" s="83"/>
      <c r="R426" s="86">
        <v>1.5824250000000002</v>
      </c>
      <c r="S426" s="87">
        <v>10.5</v>
      </c>
      <c r="T426" s="83"/>
      <c r="U426" s="83"/>
      <c r="V426" s="83"/>
      <c r="W426" s="83"/>
      <c r="X426" s="83"/>
      <c r="Y426" s="87">
        <v>29</v>
      </c>
      <c r="Z426" s="83"/>
      <c r="AA426" s="86"/>
      <c r="AB426" s="86"/>
      <c r="AC426" s="83"/>
      <c r="AD426" s="88"/>
      <c r="AE426" s="88"/>
      <c r="AF426" s="88"/>
      <c r="AG426" s="66">
        <f t="shared" si="12"/>
        <v>98.265517241379314</v>
      </c>
      <c r="AH426" s="143">
        <f t="shared" si="13"/>
        <v>0</v>
      </c>
    </row>
    <row r="427" spans="1:34" s="90" customFormat="1" x14ac:dyDescent="0.3">
      <c r="A427" s="84">
        <v>802947</v>
      </c>
      <c r="B427" s="87">
        <v>26</v>
      </c>
      <c r="C427" s="87">
        <v>8.3750000000000018</v>
      </c>
      <c r="D427" s="86">
        <v>8.6999999999999993</v>
      </c>
      <c r="E427" s="99">
        <v>0.21</v>
      </c>
      <c r="F427" s="84">
        <v>84.350000000000009</v>
      </c>
      <c r="G427" s="84"/>
      <c r="H427" s="84">
        <v>217.43</v>
      </c>
      <c r="I427" s="84">
        <v>500</v>
      </c>
      <c r="J427" s="85">
        <v>0.08</v>
      </c>
      <c r="K427" s="87">
        <v>8.3800000000000008</v>
      </c>
      <c r="L427" s="83">
        <v>1622</v>
      </c>
      <c r="M427" s="83">
        <v>0.59</v>
      </c>
      <c r="N427" s="83">
        <v>0.59</v>
      </c>
      <c r="O427" s="83">
        <v>2.09</v>
      </c>
      <c r="P427" s="83">
        <v>3.55</v>
      </c>
      <c r="Q427" s="83"/>
      <c r="R427" s="86">
        <v>1.4014299384785853</v>
      </c>
      <c r="S427" s="87">
        <v>9.6999999999999993</v>
      </c>
      <c r="T427" s="83"/>
      <c r="U427" s="83"/>
      <c r="V427" s="83"/>
      <c r="W427" s="83"/>
      <c r="X427" s="83"/>
      <c r="Y427" s="87">
        <v>30</v>
      </c>
      <c r="Z427" s="83"/>
      <c r="AA427" s="86"/>
      <c r="AB427" s="86"/>
      <c r="AC427" s="83"/>
      <c r="AD427" s="88"/>
      <c r="AE427" s="88"/>
      <c r="AF427" s="88"/>
      <c r="AG427" s="66">
        <f t="shared" si="12"/>
        <v>98.884000000000015</v>
      </c>
      <c r="AH427" s="143">
        <f t="shared" si="13"/>
        <v>0</v>
      </c>
    </row>
    <row r="428" spans="1:34" s="90" customFormat="1" x14ac:dyDescent="0.3">
      <c r="A428" s="84">
        <v>802948</v>
      </c>
      <c r="B428" s="87">
        <v>5.75</v>
      </c>
      <c r="C428" s="87"/>
      <c r="D428" s="86">
        <v>8.8000000000000007</v>
      </c>
      <c r="E428" s="99">
        <v>0.43</v>
      </c>
      <c r="F428" s="84">
        <v>179.5</v>
      </c>
      <c r="G428" s="84"/>
      <c r="H428" s="84">
        <v>367.57</v>
      </c>
      <c r="I428" s="84">
        <v>320</v>
      </c>
      <c r="J428" s="85">
        <v>0.56999999999999995</v>
      </c>
      <c r="K428" s="87">
        <v>5.57</v>
      </c>
      <c r="L428" s="83">
        <v>778</v>
      </c>
      <c r="M428" s="83">
        <v>4.37</v>
      </c>
      <c r="N428" s="83">
        <v>1.6</v>
      </c>
      <c r="O428" s="83">
        <v>3.53</v>
      </c>
      <c r="P428" s="83">
        <v>5.49</v>
      </c>
      <c r="Q428" s="83"/>
      <c r="R428" s="86">
        <v>1.1926794890505217</v>
      </c>
      <c r="S428" s="87">
        <v>7.9</v>
      </c>
      <c r="T428" s="83"/>
      <c r="U428" s="83"/>
      <c r="V428" s="83"/>
      <c r="W428" s="83"/>
      <c r="X428" s="83"/>
      <c r="Y428" s="87">
        <v>4.8</v>
      </c>
      <c r="Z428" s="83"/>
      <c r="AA428" s="86"/>
      <c r="AB428" s="86"/>
      <c r="AC428" s="83"/>
      <c r="AD428" s="88"/>
      <c r="AE428" s="88"/>
      <c r="AF428" s="88"/>
      <c r="AG428" s="66">
        <f t="shared" si="12"/>
        <v>410.78750000000002</v>
      </c>
      <c r="AH428" s="143">
        <f t="shared" si="13"/>
        <v>0</v>
      </c>
    </row>
    <row r="429" spans="1:34" s="90" customFormat="1" x14ac:dyDescent="0.3">
      <c r="A429" s="84">
        <v>802949</v>
      </c>
      <c r="B429" s="87">
        <v>6.1111111111111107</v>
      </c>
      <c r="C429" s="87"/>
      <c r="D429" s="86">
        <v>8.8800000000000008</v>
      </c>
      <c r="E429" s="99">
        <v>0.51</v>
      </c>
      <c r="F429" s="84">
        <v>242.7</v>
      </c>
      <c r="G429" s="84"/>
      <c r="H429" s="84">
        <v>308.39</v>
      </c>
      <c r="I429" s="84">
        <v>360</v>
      </c>
      <c r="J429" s="85">
        <v>0.51</v>
      </c>
      <c r="K429" s="87">
        <v>6.28</v>
      </c>
      <c r="L429" s="83">
        <v>979</v>
      </c>
      <c r="M429" s="83">
        <v>3.43</v>
      </c>
      <c r="N429" s="83">
        <v>0.84</v>
      </c>
      <c r="O429" s="83">
        <v>2.23</v>
      </c>
      <c r="P429" s="83">
        <v>6.22</v>
      </c>
      <c r="Q429" s="83"/>
      <c r="R429" s="86">
        <v>1.586408</v>
      </c>
      <c r="S429" s="87">
        <v>10.6</v>
      </c>
      <c r="T429" s="83"/>
      <c r="U429" s="83"/>
      <c r="V429" s="83"/>
      <c r="W429" s="83"/>
      <c r="X429" s="83"/>
      <c r="Y429" s="87">
        <v>4.2</v>
      </c>
      <c r="Z429" s="83"/>
      <c r="AA429" s="86"/>
      <c r="AB429" s="86"/>
      <c r="AC429" s="83"/>
      <c r="AD429" s="88"/>
      <c r="AE429" s="88"/>
      <c r="AF429" s="88"/>
      <c r="AG429" s="66">
        <f t="shared" si="12"/>
        <v>529.31428571428569</v>
      </c>
      <c r="AH429" s="143">
        <f t="shared" si="13"/>
        <v>0</v>
      </c>
    </row>
    <row r="430" spans="1:34" s="90" customFormat="1" x14ac:dyDescent="0.3">
      <c r="A430" s="84">
        <v>802950</v>
      </c>
      <c r="B430" s="87">
        <v>3.2666666666666671</v>
      </c>
      <c r="C430" s="87"/>
      <c r="D430" s="86">
        <v>8.91</v>
      </c>
      <c r="E430" s="99">
        <v>0.4</v>
      </c>
      <c r="F430" s="84">
        <v>185.7</v>
      </c>
      <c r="G430" s="84"/>
      <c r="H430" s="84">
        <v>298.07</v>
      </c>
      <c r="I430" s="84">
        <v>500</v>
      </c>
      <c r="J430" s="85">
        <v>0.5</v>
      </c>
      <c r="K430" s="87">
        <v>4.6100000000000003</v>
      </c>
      <c r="L430" s="83">
        <v>1095</v>
      </c>
      <c r="M430" s="83">
        <v>4.1399999999999997</v>
      </c>
      <c r="N430" s="83">
        <v>1.32</v>
      </c>
      <c r="O430" s="83">
        <v>3.45</v>
      </c>
      <c r="P430" s="83">
        <v>6</v>
      </c>
      <c r="Q430" s="83"/>
      <c r="R430" s="86">
        <v>1.6216250000000001</v>
      </c>
      <c r="S430" s="87">
        <v>11.5</v>
      </c>
      <c r="T430" s="83"/>
      <c r="U430" s="83"/>
      <c r="V430" s="83"/>
      <c r="W430" s="83"/>
      <c r="X430" s="83"/>
      <c r="Y430" s="87">
        <v>4.8</v>
      </c>
      <c r="Z430" s="83"/>
      <c r="AA430" s="86"/>
      <c r="AB430" s="86"/>
      <c r="AC430" s="83"/>
      <c r="AD430" s="88"/>
      <c r="AE430" s="88"/>
      <c r="AF430" s="88"/>
      <c r="AG430" s="66">
        <f t="shared" si="12"/>
        <v>339.98750000000001</v>
      </c>
      <c r="AH430" s="143">
        <f t="shared" si="13"/>
        <v>0</v>
      </c>
    </row>
    <row r="431" spans="1:34" s="90" customFormat="1" x14ac:dyDescent="0.3">
      <c r="A431" s="84">
        <v>802951</v>
      </c>
      <c r="B431" s="87">
        <v>3.3999999999999995</v>
      </c>
      <c r="C431" s="87"/>
      <c r="D431" s="86">
        <v>9.11</v>
      </c>
      <c r="E431" s="99">
        <v>0.57999999999999996</v>
      </c>
      <c r="F431" s="84">
        <v>263.75</v>
      </c>
      <c r="G431" s="84"/>
      <c r="H431" s="84">
        <v>266.81</v>
      </c>
      <c r="I431" s="84">
        <v>1300</v>
      </c>
      <c r="J431" s="85">
        <v>0.46</v>
      </c>
      <c r="K431" s="87">
        <v>5.67</v>
      </c>
      <c r="L431" s="83">
        <v>1185</v>
      </c>
      <c r="M431" s="83">
        <v>3.71</v>
      </c>
      <c r="N431" s="83">
        <v>1.1399999999999999</v>
      </c>
      <c r="O431" s="83">
        <v>4.29</v>
      </c>
      <c r="P431" s="83">
        <v>6.17</v>
      </c>
      <c r="Q431" s="83"/>
      <c r="R431" s="86">
        <v>1.185971844705797</v>
      </c>
      <c r="S431" s="87">
        <v>8.5</v>
      </c>
      <c r="T431" s="83"/>
      <c r="U431" s="83"/>
      <c r="V431" s="83"/>
      <c r="W431" s="83"/>
      <c r="X431" s="83"/>
      <c r="Y431" s="87">
        <v>8</v>
      </c>
      <c r="Z431" s="83"/>
      <c r="AA431" s="86"/>
      <c r="AB431" s="86"/>
      <c r="AC431" s="83"/>
      <c r="AD431" s="88"/>
      <c r="AE431" s="88"/>
      <c r="AF431" s="88"/>
      <c r="AG431" s="66">
        <f t="shared" si="12"/>
        <v>250.89750000000001</v>
      </c>
      <c r="AH431" s="143">
        <f t="shared" si="13"/>
        <v>0</v>
      </c>
    </row>
    <row r="432" spans="1:34" s="90" customFormat="1" x14ac:dyDescent="0.3">
      <c r="A432" s="84">
        <v>802952</v>
      </c>
      <c r="B432" s="87">
        <v>3.1000000000000005</v>
      </c>
      <c r="C432" s="87"/>
      <c r="D432" s="86">
        <v>8.94</v>
      </c>
      <c r="E432" s="99">
        <v>0.68</v>
      </c>
      <c r="F432" s="84">
        <v>368.95000000000005</v>
      </c>
      <c r="G432" s="84"/>
      <c r="H432" s="84">
        <v>232.08</v>
      </c>
      <c r="I432" s="84">
        <v>1460</v>
      </c>
      <c r="J432" s="85">
        <v>0.5</v>
      </c>
      <c r="K432" s="87">
        <v>5.31</v>
      </c>
      <c r="L432" s="83">
        <v>981</v>
      </c>
      <c r="M432" s="83">
        <v>2.61</v>
      </c>
      <c r="N432" s="83">
        <v>0.89</v>
      </c>
      <c r="O432" s="83">
        <v>3.98</v>
      </c>
      <c r="P432" s="83">
        <v>4.57</v>
      </c>
      <c r="Q432" s="83"/>
      <c r="R432" s="86">
        <v>1.3257637628676435</v>
      </c>
      <c r="S432" s="87">
        <v>9.8000000000000007</v>
      </c>
      <c r="T432" s="83"/>
      <c r="U432" s="83"/>
      <c r="V432" s="83"/>
      <c r="W432" s="83"/>
      <c r="X432" s="83"/>
      <c r="Y432" s="87">
        <v>4.2</v>
      </c>
      <c r="Z432" s="83"/>
      <c r="AA432" s="86"/>
      <c r="AB432" s="86"/>
      <c r="AC432" s="83"/>
      <c r="AD432" s="88"/>
      <c r="AE432" s="88"/>
      <c r="AF432" s="88"/>
      <c r="AG432" s="66">
        <f t="shared" si="12"/>
        <v>447.55714285714282</v>
      </c>
      <c r="AH432" s="143">
        <f t="shared" si="13"/>
        <v>0</v>
      </c>
    </row>
    <row r="433" spans="1:34" s="90" customFormat="1" x14ac:dyDescent="0.3">
      <c r="A433" s="84">
        <v>802970</v>
      </c>
      <c r="B433" s="87">
        <v>13.249999999999998</v>
      </c>
      <c r="C433" s="87">
        <v>2.5</v>
      </c>
      <c r="D433" s="86">
        <v>8.85</v>
      </c>
      <c r="E433" s="99">
        <v>0.13</v>
      </c>
      <c r="F433" s="84">
        <v>71.2</v>
      </c>
      <c r="G433" s="84"/>
      <c r="H433" s="84">
        <v>200.32</v>
      </c>
      <c r="I433" s="84">
        <v>120</v>
      </c>
      <c r="J433" s="85">
        <v>0.05</v>
      </c>
      <c r="K433" s="87">
        <v>6.24</v>
      </c>
      <c r="L433" s="83">
        <v>277</v>
      </c>
      <c r="M433" s="83">
        <v>1.43</v>
      </c>
      <c r="N433" s="83">
        <v>0.42</v>
      </c>
      <c r="O433" s="83">
        <v>2.0099999999999998</v>
      </c>
      <c r="P433" s="83">
        <v>3.04</v>
      </c>
      <c r="Q433" s="83"/>
      <c r="R433" s="86">
        <v>0.32211094260813</v>
      </c>
      <c r="S433" s="87">
        <v>2.2999999999999998</v>
      </c>
      <c r="T433" s="83"/>
      <c r="U433" s="83"/>
      <c r="V433" s="83"/>
      <c r="W433" s="83"/>
      <c r="X433" s="83"/>
      <c r="Y433" s="87">
        <v>4.2</v>
      </c>
      <c r="Z433" s="83"/>
      <c r="AA433" s="86"/>
      <c r="AB433" s="86"/>
      <c r="AC433" s="83"/>
      <c r="AD433" s="88"/>
      <c r="AE433" s="88"/>
      <c r="AF433" s="88"/>
      <c r="AG433" s="66">
        <f t="shared" si="12"/>
        <v>525.94285714285718</v>
      </c>
      <c r="AH433" s="143">
        <f t="shared" si="13"/>
        <v>0</v>
      </c>
    </row>
    <row r="434" spans="1:34" s="90" customFormat="1" x14ac:dyDescent="0.3">
      <c r="A434" s="84">
        <v>802971</v>
      </c>
      <c r="B434" s="87">
        <v>14.75</v>
      </c>
      <c r="C434" s="87">
        <v>3.3750000000000036</v>
      </c>
      <c r="D434" s="86">
        <v>8.74</v>
      </c>
      <c r="E434" s="99">
        <v>0.14000000000000001</v>
      </c>
      <c r="F434" s="84">
        <v>87.4</v>
      </c>
      <c r="G434" s="84"/>
      <c r="H434" s="84">
        <v>128.59</v>
      </c>
      <c r="I434" s="84">
        <v>120</v>
      </c>
      <c r="J434" s="85">
        <v>0.04</v>
      </c>
      <c r="K434" s="87">
        <v>6.32</v>
      </c>
      <c r="L434" s="83">
        <v>326</v>
      </c>
      <c r="M434" s="83">
        <v>0.73</v>
      </c>
      <c r="N434" s="83">
        <v>0.24</v>
      </c>
      <c r="O434" s="83">
        <v>1.7</v>
      </c>
      <c r="P434" s="83">
        <v>2.4700000000000002</v>
      </c>
      <c r="Q434" s="83"/>
      <c r="R434" s="86">
        <v>0.33650237786976944</v>
      </c>
      <c r="S434" s="87">
        <v>2.5</v>
      </c>
      <c r="T434" s="83"/>
      <c r="U434" s="83"/>
      <c r="V434" s="83"/>
      <c r="W434" s="83"/>
      <c r="X434" s="83"/>
      <c r="Y434" s="87">
        <v>4.2</v>
      </c>
      <c r="Z434" s="83"/>
      <c r="AA434" s="86"/>
      <c r="AB434" s="86"/>
      <c r="AC434" s="83"/>
      <c r="AD434" s="88"/>
      <c r="AE434" s="88"/>
      <c r="AF434" s="88"/>
      <c r="AG434" s="66">
        <f t="shared" si="12"/>
        <v>532.68571428571431</v>
      </c>
      <c r="AH434" s="143">
        <f t="shared" si="13"/>
        <v>0</v>
      </c>
    </row>
    <row r="435" spans="1:34" s="90" customFormat="1" x14ac:dyDescent="0.3">
      <c r="A435" s="84">
        <v>802972</v>
      </c>
      <c r="B435" s="87">
        <v>14.666666666666666</v>
      </c>
      <c r="C435" s="87">
        <v>3.6250000000000027</v>
      </c>
      <c r="D435" s="86">
        <v>8.9600000000000009</v>
      </c>
      <c r="E435" s="99">
        <v>0.21</v>
      </c>
      <c r="F435" s="84">
        <v>85.399999999999991</v>
      </c>
      <c r="G435" s="84"/>
      <c r="H435" s="84">
        <v>155.66999999999999</v>
      </c>
      <c r="I435" s="84">
        <v>410</v>
      </c>
      <c r="J435" s="85">
        <v>0.05</v>
      </c>
      <c r="K435" s="87">
        <v>5.21</v>
      </c>
      <c r="L435" s="83">
        <v>216</v>
      </c>
      <c r="M435" s="83">
        <v>0.74</v>
      </c>
      <c r="N435" s="83">
        <v>0.28000000000000003</v>
      </c>
      <c r="O435" s="83">
        <v>1.7</v>
      </c>
      <c r="P435" s="83">
        <v>2.63</v>
      </c>
      <c r="Q435" s="83"/>
      <c r="R435" s="86">
        <v>0.37644451732739942</v>
      </c>
      <c r="S435" s="87">
        <v>2.6</v>
      </c>
      <c r="T435" s="83"/>
      <c r="U435" s="83"/>
      <c r="V435" s="83"/>
      <c r="W435" s="83"/>
      <c r="X435" s="83"/>
      <c r="Y435" s="87">
        <v>4.9000000000000004</v>
      </c>
      <c r="Z435" s="83"/>
      <c r="AA435" s="86"/>
      <c r="AB435" s="86"/>
      <c r="AC435" s="83"/>
      <c r="AD435" s="88"/>
      <c r="AE435" s="88"/>
      <c r="AF435" s="88"/>
      <c r="AG435" s="66">
        <f t="shared" si="12"/>
        <v>376.39591836734695</v>
      </c>
      <c r="AH435" s="143">
        <f t="shared" si="13"/>
        <v>0</v>
      </c>
    </row>
    <row r="436" spans="1:34" s="90" customFormat="1" x14ac:dyDescent="0.3">
      <c r="A436" s="84">
        <v>802973</v>
      </c>
      <c r="B436" s="87">
        <v>11.791666666666666</v>
      </c>
      <c r="C436" s="87">
        <v>5.7500000000000018</v>
      </c>
      <c r="D436" s="86">
        <v>8.94</v>
      </c>
      <c r="E436" s="99">
        <v>0.24</v>
      </c>
      <c r="F436" s="84">
        <v>135.65</v>
      </c>
      <c r="G436" s="84"/>
      <c r="H436" s="84">
        <v>101.24</v>
      </c>
      <c r="I436" s="84">
        <v>170</v>
      </c>
      <c r="J436" s="85">
        <v>0.24</v>
      </c>
      <c r="K436" s="87">
        <v>4.84</v>
      </c>
      <c r="L436" s="83">
        <v>442</v>
      </c>
      <c r="M436" s="83">
        <v>1.93</v>
      </c>
      <c r="N436" s="83">
        <v>3.65</v>
      </c>
      <c r="O436" s="83">
        <v>2.61</v>
      </c>
      <c r="P436" s="83">
        <v>6.38</v>
      </c>
      <c r="Q436" s="83"/>
      <c r="R436" s="86">
        <v>0.87489027623132487</v>
      </c>
      <c r="S436" s="87">
        <v>5.7</v>
      </c>
      <c r="T436" s="83"/>
      <c r="U436" s="83"/>
      <c r="V436" s="83"/>
      <c r="W436" s="83"/>
      <c r="X436" s="83"/>
      <c r="Y436" s="87">
        <v>4.8</v>
      </c>
      <c r="Z436" s="83"/>
      <c r="AA436" s="86"/>
      <c r="AB436" s="86"/>
      <c r="AC436" s="83"/>
      <c r="AD436" s="88"/>
      <c r="AE436" s="88"/>
      <c r="AF436" s="88"/>
      <c r="AG436" s="66">
        <f t="shared" si="12"/>
        <v>356.95000000000005</v>
      </c>
      <c r="AH436" s="143">
        <f t="shared" si="13"/>
        <v>0</v>
      </c>
    </row>
    <row r="437" spans="1:34" s="90" customFormat="1" x14ac:dyDescent="0.3">
      <c r="A437" s="84">
        <v>802974</v>
      </c>
      <c r="B437" s="87">
        <v>14.666666666666666</v>
      </c>
      <c r="C437" s="87">
        <v>3.5000000000000009</v>
      </c>
      <c r="D437" s="86">
        <v>8.93</v>
      </c>
      <c r="E437" s="99">
        <v>0.14000000000000001</v>
      </c>
      <c r="F437" s="84">
        <v>84.05</v>
      </c>
      <c r="G437" s="84"/>
      <c r="H437" s="84">
        <v>75.900000000000006</v>
      </c>
      <c r="I437" s="84">
        <v>100</v>
      </c>
      <c r="J437" s="85">
        <v>0.04</v>
      </c>
      <c r="K437" s="87">
        <v>5.66</v>
      </c>
      <c r="L437" s="83">
        <v>259</v>
      </c>
      <c r="M437" s="83">
        <v>0.75</v>
      </c>
      <c r="N437" s="83">
        <v>0.24</v>
      </c>
      <c r="O437" s="83">
        <v>2.14</v>
      </c>
      <c r="P437" s="83">
        <v>2.68</v>
      </c>
      <c r="Q437" s="83"/>
      <c r="R437" s="86">
        <v>0.50842940113061319</v>
      </c>
      <c r="S437" s="87">
        <v>3.7</v>
      </c>
      <c r="T437" s="83"/>
      <c r="U437" s="83"/>
      <c r="V437" s="83"/>
      <c r="W437" s="83"/>
      <c r="X437" s="83"/>
      <c r="Y437" s="87">
        <v>4.2</v>
      </c>
      <c r="Z437" s="83"/>
      <c r="AA437" s="86"/>
      <c r="AB437" s="86"/>
      <c r="AC437" s="83"/>
      <c r="AD437" s="88"/>
      <c r="AE437" s="88"/>
      <c r="AF437" s="88"/>
      <c r="AG437" s="66">
        <f t="shared" si="12"/>
        <v>477.05714285714288</v>
      </c>
      <c r="AH437" s="143">
        <f t="shared" si="13"/>
        <v>0</v>
      </c>
    </row>
    <row r="438" spans="1:34" s="90" customFormat="1" x14ac:dyDescent="0.3">
      <c r="A438" s="84">
        <v>802975</v>
      </c>
      <c r="B438" s="87">
        <v>4.45</v>
      </c>
      <c r="C438" s="87"/>
      <c r="D438" s="86">
        <v>8.34</v>
      </c>
      <c r="E438" s="99">
        <v>0.15</v>
      </c>
      <c r="F438" s="84">
        <v>70</v>
      </c>
      <c r="G438" s="84"/>
      <c r="H438" s="84">
        <v>28.1</v>
      </c>
      <c r="I438" s="84">
        <v>260</v>
      </c>
      <c r="J438" s="85">
        <v>5.1999999999999998E-2</v>
      </c>
      <c r="K438" s="87">
        <v>8.1300000000000008</v>
      </c>
      <c r="L438" s="83">
        <v>660</v>
      </c>
      <c r="M438" s="83">
        <v>0.38</v>
      </c>
      <c r="N438" s="83">
        <v>0.95</v>
      </c>
      <c r="O438" s="83">
        <v>11.82</v>
      </c>
      <c r="P438" s="83">
        <v>2.84</v>
      </c>
      <c r="Q438" s="83"/>
      <c r="R438" s="86">
        <v>1.8983000000000001</v>
      </c>
      <c r="S438" s="87">
        <v>20</v>
      </c>
      <c r="T438" s="83"/>
      <c r="U438" s="83"/>
      <c r="V438" s="83"/>
      <c r="W438" s="83"/>
      <c r="X438" s="83"/>
      <c r="Y438" s="87">
        <v>21.000000000000004</v>
      </c>
      <c r="Z438" s="83"/>
      <c r="AA438" s="86"/>
      <c r="AB438" s="86"/>
      <c r="AC438" s="83"/>
      <c r="AD438" s="88">
        <v>300</v>
      </c>
      <c r="AE438" s="88">
        <v>560</v>
      </c>
      <c r="AF438" s="88">
        <v>140</v>
      </c>
      <c r="AG438" s="66">
        <f t="shared" si="12"/>
        <v>137.04857142857142</v>
      </c>
      <c r="AH438" s="143">
        <f t="shared" si="13"/>
        <v>1000</v>
      </c>
    </row>
    <row r="439" spans="1:34" s="90" customFormat="1" x14ac:dyDescent="0.3">
      <c r="A439" s="84">
        <v>802976</v>
      </c>
      <c r="B439" s="87">
        <v>0.58333333333333337</v>
      </c>
      <c r="C439" s="87"/>
      <c r="D439" s="86">
        <v>8.17</v>
      </c>
      <c r="E439" s="99">
        <v>0.39</v>
      </c>
      <c r="F439" s="84">
        <v>81.8</v>
      </c>
      <c r="G439" s="84"/>
      <c r="H439" s="84">
        <v>50.91</v>
      </c>
      <c r="I439" s="84">
        <v>330</v>
      </c>
      <c r="J439" s="85">
        <v>0.122</v>
      </c>
      <c r="K439" s="87">
        <v>5.89</v>
      </c>
      <c r="L439" s="83">
        <v>570</v>
      </c>
      <c r="M439" s="83">
        <v>0.62</v>
      </c>
      <c r="N439" s="83">
        <v>1.07</v>
      </c>
      <c r="O439" s="83">
        <v>17.5</v>
      </c>
      <c r="P439" s="83">
        <v>4.67</v>
      </c>
      <c r="Q439" s="83"/>
      <c r="R439" s="86">
        <v>1.9762520000000001</v>
      </c>
      <c r="S439" s="87">
        <v>23.2</v>
      </c>
      <c r="T439" s="83"/>
      <c r="U439" s="83"/>
      <c r="V439" s="83"/>
      <c r="W439" s="83"/>
      <c r="X439" s="83"/>
      <c r="Y439" s="87">
        <v>23.8</v>
      </c>
      <c r="Z439" s="83"/>
      <c r="AA439" s="86"/>
      <c r="AB439" s="86"/>
      <c r="AC439" s="83"/>
      <c r="AD439" s="88">
        <v>340</v>
      </c>
      <c r="AE439" s="88">
        <v>520</v>
      </c>
      <c r="AF439" s="88">
        <v>140</v>
      </c>
      <c r="AG439" s="66">
        <f t="shared" si="12"/>
        <v>87.607563025210084</v>
      </c>
      <c r="AH439" s="143">
        <f t="shared" si="13"/>
        <v>1000</v>
      </c>
    </row>
    <row r="440" spans="1:34" s="90" customFormat="1" x14ac:dyDescent="0.3">
      <c r="A440" s="84">
        <v>802977</v>
      </c>
      <c r="B440" s="87">
        <v>30</v>
      </c>
      <c r="C440" s="87">
        <v>14.125</v>
      </c>
      <c r="D440" s="86">
        <v>8.58</v>
      </c>
      <c r="E440" s="99">
        <v>0.56999999999999995</v>
      </c>
      <c r="F440" s="84">
        <v>331.95</v>
      </c>
      <c r="G440" s="84"/>
      <c r="H440" s="84">
        <v>78.42</v>
      </c>
      <c r="I440" s="84">
        <v>590</v>
      </c>
      <c r="J440" s="85">
        <v>0.314</v>
      </c>
      <c r="K440" s="87">
        <v>8.6199999999999992</v>
      </c>
      <c r="L440" s="83">
        <v>790</v>
      </c>
      <c r="M440" s="83">
        <v>0.28000000000000003</v>
      </c>
      <c r="N440" s="83">
        <v>0.59</v>
      </c>
      <c r="O440" s="83">
        <v>2.96</v>
      </c>
      <c r="P440" s="83">
        <v>1.86</v>
      </c>
      <c r="Q440" s="83"/>
      <c r="R440" s="86">
        <v>0.78306793774226324</v>
      </c>
      <c r="S440" s="87">
        <v>5.4</v>
      </c>
      <c r="T440" s="83"/>
      <c r="U440" s="83"/>
      <c r="V440" s="83"/>
      <c r="W440" s="83"/>
      <c r="X440" s="83"/>
      <c r="Y440" s="87">
        <v>27.8</v>
      </c>
      <c r="Z440" s="83"/>
      <c r="AA440" s="86"/>
      <c r="AB440" s="86"/>
      <c r="AC440" s="83"/>
      <c r="AD440" s="88">
        <v>540</v>
      </c>
      <c r="AE440" s="88">
        <v>340</v>
      </c>
      <c r="AF440" s="88">
        <v>120</v>
      </c>
      <c r="AG440" s="66">
        <f t="shared" si="12"/>
        <v>109.76546762589926</v>
      </c>
      <c r="AH440" s="143">
        <f t="shared" si="13"/>
        <v>1000</v>
      </c>
    </row>
    <row r="441" spans="1:34" s="90" customFormat="1" x14ac:dyDescent="0.3">
      <c r="A441" s="84">
        <v>802978</v>
      </c>
      <c r="B441" s="87">
        <v>32.333333333333329</v>
      </c>
      <c r="C441" s="87">
        <v>14.625000000000002</v>
      </c>
      <c r="D441" s="86">
        <v>8.42</v>
      </c>
      <c r="E441" s="99">
        <v>0.62</v>
      </c>
      <c r="F441" s="84">
        <v>409.15</v>
      </c>
      <c r="G441" s="84"/>
      <c r="H441" s="84">
        <v>50.48</v>
      </c>
      <c r="I441" s="84">
        <v>480</v>
      </c>
      <c r="J441" s="85">
        <v>0.191</v>
      </c>
      <c r="K441" s="87">
        <v>9.7799999999999994</v>
      </c>
      <c r="L441" s="83">
        <v>880</v>
      </c>
      <c r="M441" s="83">
        <v>0.33</v>
      </c>
      <c r="N441" s="83">
        <v>0.67</v>
      </c>
      <c r="O441" s="83">
        <v>3.74</v>
      </c>
      <c r="P441" s="83">
        <v>2.1</v>
      </c>
      <c r="Q441" s="83"/>
      <c r="R441" s="86">
        <v>0.99946108375197207</v>
      </c>
      <c r="S441" s="87">
        <v>6.5</v>
      </c>
      <c r="T441" s="83"/>
      <c r="U441" s="83"/>
      <c r="V441" s="83"/>
      <c r="W441" s="83"/>
      <c r="X441" s="83"/>
      <c r="Y441" s="87">
        <v>26.4</v>
      </c>
      <c r="Z441" s="83"/>
      <c r="AA441" s="86"/>
      <c r="AB441" s="86"/>
      <c r="AC441" s="83"/>
      <c r="AD441" s="88">
        <v>520</v>
      </c>
      <c r="AE441" s="88">
        <v>360</v>
      </c>
      <c r="AF441" s="88">
        <v>120</v>
      </c>
      <c r="AG441" s="66">
        <f t="shared" si="12"/>
        <v>131.14090909090908</v>
      </c>
      <c r="AH441" s="143">
        <f t="shared" si="13"/>
        <v>1000</v>
      </c>
    </row>
    <row r="442" spans="1:34" s="90" customFormat="1" x14ac:dyDescent="0.3">
      <c r="A442" s="84">
        <v>802979</v>
      </c>
      <c r="B442" s="87">
        <v>27.999999999999996</v>
      </c>
      <c r="C442" s="87">
        <v>12.750000000000002</v>
      </c>
      <c r="D442" s="86">
        <v>8.68</v>
      </c>
      <c r="E442" s="99">
        <v>0.82</v>
      </c>
      <c r="F442" s="84">
        <v>747.8</v>
      </c>
      <c r="G442" s="84"/>
      <c r="H442" s="84">
        <v>54.41</v>
      </c>
      <c r="I442" s="84">
        <v>600</v>
      </c>
      <c r="J442" s="85">
        <v>0.67700000000000005</v>
      </c>
      <c r="K442" s="87">
        <v>8.57</v>
      </c>
      <c r="L442" s="83">
        <v>930</v>
      </c>
      <c r="M442" s="83">
        <v>0.35</v>
      </c>
      <c r="N442" s="83">
        <v>0.81</v>
      </c>
      <c r="O442" s="83">
        <v>4.01</v>
      </c>
      <c r="P442" s="83">
        <v>1.84</v>
      </c>
      <c r="Q442" s="83"/>
      <c r="R442" s="86">
        <v>0.9659928015229613</v>
      </c>
      <c r="S442" s="87">
        <v>6.7</v>
      </c>
      <c r="T442" s="83"/>
      <c r="U442" s="83"/>
      <c r="V442" s="83"/>
      <c r="W442" s="83"/>
      <c r="X442" s="83"/>
      <c r="Y442" s="87">
        <v>27.8</v>
      </c>
      <c r="Z442" s="83"/>
      <c r="AA442" s="86"/>
      <c r="AB442" s="86"/>
      <c r="AC442" s="83"/>
      <c r="AD442" s="88">
        <v>540</v>
      </c>
      <c r="AE442" s="88">
        <v>320</v>
      </c>
      <c r="AF442" s="88">
        <v>140</v>
      </c>
      <c r="AG442" s="66">
        <f t="shared" si="12"/>
        <v>109.12877697841726</v>
      </c>
      <c r="AH442" s="143">
        <f t="shared" si="13"/>
        <v>1000</v>
      </c>
    </row>
    <row r="443" spans="1:34" s="90" customFormat="1" x14ac:dyDescent="0.3">
      <c r="A443" s="84">
        <v>802980</v>
      </c>
      <c r="B443" s="87">
        <v>27.333333333333325</v>
      </c>
      <c r="C443" s="87">
        <v>12.875</v>
      </c>
      <c r="D443" s="86">
        <v>8.66</v>
      </c>
      <c r="E443" s="99">
        <v>12.94</v>
      </c>
      <c r="F443" s="84">
        <v>12763.500000000002</v>
      </c>
      <c r="G443" s="84"/>
      <c r="H443" s="84">
        <v>29.4</v>
      </c>
      <c r="I443" s="84">
        <v>1070</v>
      </c>
      <c r="J443" s="85">
        <v>12.327999999999999</v>
      </c>
      <c r="K443" s="87">
        <v>12.71</v>
      </c>
      <c r="L443" s="83">
        <v>810</v>
      </c>
      <c r="M443" s="83">
        <v>0.03</v>
      </c>
      <c r="N443" s="83">
        <v>0.16</v>
      </c>
      <c r="O443" s="83">
        <v>0.65</v>
      </c>
      <c r="P443" s="83">
        <v>0.77</v>
      </c>
      <c r="Q443" s="83"/>
      <c r="R443" s="86">
        <v>0.34005850206275212</v>
      </c>
      <c r="S443" s="87">
        <v>2.2999999999999998</v>
      </c>
      <c r="T443" s="83"/>
      <c r="U443" s="83"/>
      <c r="V443" s="83"/>
      <c r="W443" s="83"/>
      <c r="X443" s="83"/>
      <c r="Y443" s="87">
        <v>28.5</v>
      </c>
      <c r="Z443" s="83"/>
      <c r="AA443" s="86"/>
      <c r="AB443" s="86"/>
      <c r="AC443" s="83"/>
      <c r="AD443" s="88">
        <v>550</v>
      </c>
      <c r="AE443" s="88">
        <v>310</v>
      </c>
      <c r="AF443" s="88">
        <v>140</v>
      </c>
      <c r="AG443" s="66">
        <f t="shared" si="12"/>
        <v>157.87157894736842</v>
      </c>
      <c r="AH443" s="143">
        <f t="shared" si="13"/>
        <v>1000</v>
      </c>
    </row>
    <row r="444" spans="1:34" s="90" customFormat="1" x14ac:dyDescent="0.3">
      <c r="A444" s="84">
        <v>802981</v>
      </c>
      <c r="B444" s="87">
        <v>75</v>
      </c>
      <c r="C444" s="87">
        <v>19</v>
      </c>
      <c r="D444" s="86">
        <v>8.6199999999999992</v>
      </c>
      <c r="E444" s="99">
        <v>0.5</v>
      </c>
      <c r="F444" s="84">
        <v>553.65</v>
      </c>
      <c r="G444" s="84"/>
      <c r="H444" s="84">
        <v>29.77</v>
      </c>
      <c r="I444" s="84">
        <v>170</v>
      </c>
      <c r="J444" s="85">
        <v>0.16700000000000001</v>
      </c>
      <c r="K444" s="87">
        <v>10.4</v>
      </c>
      <c r="L444" s="83">
        <v>410</v>
      </c>
      <c r="M444" s="83">
        <v>0.1</v>
      </c>
      <c r="N444" s="83">
        <v>0.44</v>
      </c>
      <c r="O444" s="83">
        <v>1.46</v>
      </c>
      <c r="P444" s="83">
        <v>1.55</v>
      </c>
      <c r="Q444" s="83"/>
      <c r="R444" s="86">
        <v>1.8875480000000002</v>
      </c>
      <c r="S444" s="87">
        <v>19.600000000000001</v>
      </c>
      <c r="T444" s="83"/>
      <c r="U444" s="83"/>
      <c r="V444" s="83"/>
      <c r="W444" s="83"/>
      <c r="X444" s="83"/>
      <c r="Y444" s="87">
        <v>33.9</v>
      </c>
      <c r="Z444" s="83"/>
      <c r="AA444" s="86"/>
      <c r="AB444" s="86"/>
      <c r="AC444" s="83"/>
      <c r="AD444" s="88">
        <v>770</v>
      </c>
      <c r="AE444" s="88">
        <v>110</v>
      </c>
      <c r="AF444" s="88">
        <v>120</v>
      </c>
      <c r="AG444" s="66">
        <f t="shared" si="12"/>
        <v>108.60176991150443</v>
      </c>
      <c r="AH444" s="143">
        <f t="shared" si="13"/>
        <v>1000</v>
      </c>
    </row>
    <row r="445" spans="1:34" s="90" customFormat="1" x14ac:dyDescent="0.3">
      <c r="A445" s="84">
        <v>802982</v>
      </c>
      <c r="B445" s="87">
        <v>20.583333333333336</v>
      </c>
      <c r="C445" s="87">
        <v>12.000000000000002</v>
      </c>
      <c r="D445" s="86">
        <v>8.6</v>
      </c>
      <c r="E445" s="99">
        <v>0.17</v>
      </c>
      <c r="F445" s="84">
        <v>83.949999999999989</v>
      </c>
      <c r="G445" s="84"/>
      <c r="H445" s="84">
        <v>24.97</v>
      </c>
      <c r="I445" s="84">
        <v>140</v>
      </c>
      <c r="J445" s="85">
        <v>6.8000000000000005E-2</v>
      </c>
      <c r="K445" s="87">
        <v>10.64</v>
      </c>
      <c r="L445" s="83">
        <v>1430</v>
      </c>
      <c r="M445" s="83">
        <v>0.21</v>
      </c>
      <c r="N445" s="83">
        <v>0.53</v>
      </c>
      <c r="O445" s="83">
        <v>3.08</v>
      </c>
      <c r="P445" s="83">
        <v>1.92</v>
      </c>
      <c r="Q445" s="83"/>
      <c r="R445" s="86">
        <v>1.586408</v>
      </c>
      <c r="S445" s="87">
        <v>10.6</v>
      </c>
      <c r="T445" s="83"/>
      <c r="U445" s="83"/>
      <c r="V445" s="83"/>
      <c r="W445" s="83"/>
      <c r="X445" s="83"/>
      <c r="Y445" s="87">
        <v>29.400000000000002</v>
      </c>
      <c r="Z445" s="83"/>
      <c r="AA445" s="86"/>
      <c r="AB445" s="86"/>
      <c r="AC445" s="83"/>
      <c r="AD445" s="88">
        <v>420</v>
      </c>
      <c r="AE445" s="88">
        <v>380</v>
      </c>
      <c r="AF445" s="88">
        <v>200</v>
      </c>
      <c r="AG445" s="66">
        <f t="shared" si="12"/>
        <v>128.11428571428573</v>
      </c>
      <c r="AH445" s="143">
        <f t="shared" si="13"/>
        <v>1000</v>
      </c>
    </row>
    <row r="446" spans="1:34" s="90" customFormat="1" x14ac:dyDescent="0.3">
      <c r="A446" s="84">
        <v>802983</v>
      </c>
      <c r="B446" s="87">
        <v>21.166666666666664</v>
      </c>
      <c r="C446" s="87">
        <v>12.25</v>
      </c>
      <c r="D446" s="86">
        <v>8.3699999999999992</v>
      </c>
      <c r="E446" s="99">
        <v>0.52</v>
      </c>
      <c r="F446" s="84">
        <v>236.6</v>
      </c>
      <c r="G446" s="84"/>
      <c r="H446" s="84">
        <v>35.36</v>
      </c>
      <c r="I446" s="84">
        <v>290</v>
      </c>
      <c r="J446" s="85">
        <v>0.28100000000000003</v>
      </c>
      <c r="K446" s="87">
        <v>8.69</v>
      </c>
      <c r="L446" s="83">
        <v>700</v>
      </c>
      <c r="M446" s="83">
        <v>1.18</v>
      </c>
      <c r="N446" s="83">
        <v>1.25</v>
      </c>
      <c r="O446" s="83">
        <v>3.9</v>
      </c>
      <c r="P446" s="83">
        <v>2.68</v>
      </c>
      <c r="Q446" s="83"/>
      <c r="R446" s="86">
        <v>1.6444730000000001</v>
      </c>
      <c r="S446" s="87">
        <v>12.1</v>
      </c>
      <c r="T446" s="83"/>
      <c r="U446" s="83"/>
      <c r="V446" s="83"/>
      <c r="W446" s="83"/>
      <c r="X446" s="83"/>
      <c r="Y446" s="87">
        <v>33.6</v>
      </c>
      <c r="Z446" s="83"/>
      <c r="AA446" s="86"/>
      <c r="AB446" s="86"/>
      <c r="AC446" s="83"/>
      <c r="AD446" s="88">
        <v>480</v>
      </c>
      <c r="AE446" s="88">
        <v>280</v>
      </c>
      <c r="AF446" s="88">
        <v>240</v>
      </c>
      <c r="AG446" s="66">
        <f t="shared" si="12"/>
        <v>91.555357142857133</v>
      </c>
      <c r="AH446" s="143">
        <f t="shared" si="13"/>
        <v>1000</v>
      </c>
    </row>
    <row r="447" spans="1:34" s="90" customFormat="1" x14ac:dyDescent="0.3">
      <c r="A447" s="84">
        <v>802984</v>
      </c>
      <c r="B447" s="87">
        <v>18.916666666666664</v>
      </c>
      <c r="C447" s="87">
        <v>12.500000000000002</v>
      </c>
      <c r="D447" s="86">
        <v>8.34</v>
      </c>
      <c r="E447" s="99">
        <v>0.53</v>
      </c>
      <c r="F447" s="84">
        <v>208.45</v>
      </c>
      <c r="G447" s="84"/>
      <c r="H447" s="84">
        <v>132.30000000000001</v>
      </c>
      <c r="I447" s="84">
        <v>1090</v>
      </c>
      <c r="J447" s="85">
        <v>0.161</v>
      </c>
      <c r="K447" s="87">
        <v>9.7100000000000009</v>
      </c>
      <c r="L447" s="83">
        <v>1160</v>
      </c>
      <c r="M447" s="83">
        <v>1.44</v>
      </c>
      <c r="N447" s="83">
        <v>1.02</v>
      </c>
      <c r="O447" s="83">
        <v>6.11</v>
      </c>
      <c r="P447" s="83">
        <v>2.68</v>
      </c>
      <c r="Q447" s="83"/>
      <c r="R447" s="86">
        <v>1.7029370000000001</v>
      </c>
      <c r="S447" s="87">
        <v>13.7</v>
      </c>
      <c r="T447" s="83"/>
      <c r="U447" s="83"/>
      <c r="V447" s="83"/>
      <c r="W447" s="83"/>
      <c r="X447" s="83"/>
      <c r="Y447" s="87">
        <v>28.000000000000004</v>
      </c>
      <c r="Z447" s="83"/>
      <c r="AA447" s="86"/>
      <c r="AB447" s="86"/>
      <c r="AC447" s="83"/>
      <c r="AD447" s="88">
        <v>400</v>
      </c>
      <c r="AE447" s="88">
        <v>360</v>
      </c>
      <c r="AF447" s="88">
        <v>240</v>
      </c>
      <c r="AG447" s="66">
        <f t="shared" si="12"/>
        <v>122.76214285714285</v>
      </c>
      <c r="AH447" s="143">
        <f t="shared" si="13"/>
        <v>1000</v>
      </c>
    </row>
    <row r="448" spans="1:34" s="90" customFormat="1" x14ac:dyDescent="0.3">
      <c r="A448" s="84">
        <v>802985</v>
      </c>
      <c r="B448" s="87">
        <v>22.499999999999996</v>
      </c>
      <c r="C448" s="87">
        <v>12.750000000000002</v>
      </c>
      <c r="D448" s="86">
        <v>8.27</v>
      </c>
      <c r="E448" s="99">
        <v>0.67</v>
      </c>
      <c r="F448" s="84">
        <v>203.15</v>
      </c>
      <c r="G448" s="84"/>
      <c r="H448" s="84">
        <v>75.09</v>
      </c>
      <c r="I448" s="84">
        <v>650</v>
      </c>
      <c r="J448" s="85">
        <v>0.31</v>
      </c>
      <c r="K448" s="87">
        <v>10.26</v>
      </c>
      <c r="L448" s="83">
        <v>1210</v>
      </c>
      <c r="M448" s="83">
        <v>0.75</v>
      </c>
      <c r="N448" s="83">
        <v>1.17</v>
      </c>
      <c r="O448" s="83">
        <v>14.52</v>
      </c>
      <c r="P448" s="83">
        <v>2.65</v>
      </c>
      <c r="Q448" s="83"/>
      <c r="R448" s="86">
        <v>1.9009530000000001</v>
      </c>
      <c r="S448" s="87">
        <v>20.100000000000001</v>
      </c>
      <c r="T448" s="83"/>
      <c r="U448" s="83"/>
      <c r="V448" s="83"/>
      <c r="W448" s="83"/>
      <c r="X448" s="83"/>
      <c r="Y448" s="87">
        <v>29.400000000000002</v>
      </c>
      <c r="Z448" s="83"/>
      <c r="AA448" s="86"/>
      <c r="AB448" s="86"/>
      <c r="AC448" s="83"/>
      <c r="AD448" s="88">
        <v>420</v>
      </c>
      <c r="AE448" s="88">
        <v>340</v>
      </c>
      <c r="AF448" s="88">
        <v>240</v>
      </c>
      <c r="AG448" s="66">
        <f t="shared" si="12"/>
        <v>123.53877551020408</v>
      </c>
      <c r="AH448" s="143">
        <f t="shared" si="13"/>
        <v>1000</v>
      </c>
    </row>
    <row r="449" spans="1:34" s="90" customFormat="1" x14ac:dyDescent="0.3">
      <c r="A449" s="84">
        <v>802986</v>
      </c>
      <c r="B449" s="87">
        <v>34.292424242424197</v>
      </c>
      <c r="C449" s="87">
        <v>19.875000000000004</v>
      </c>
      <c r="D449" s="86">
        <v>8.33</v>
      </c>
      <c r="E449" s="99">
        <v>0.78</v>
      </c>
      <c r="F449" s="84">
        <v>240.25</v>
      </c>
      <c r="G449" s="84"/>
      <c r="H449" s="84">
        <v>57.44</v>
      </c>
      <c r="I449" s="84">
        <v>280</v>
      </c>
      <c r="J449" s="85">
        <v>0.26800000000000002</v>
      </c>
      <c r="K449" s="87">
        <v>10.08</v>
      </c>
      <c r="L449" s="83">
        <v>1090</v>
      </c>
      <c r="M449" s="83">
        <v>0.37</v>
      </c>
      <c r="N449" s="83">
        <v>1.42</v>
      </c>
      <c r="O449" s="83">
        <v>1.31</v>
      </c>
      <c r="P449" s="83">
        <v>1.56</v>
      </c>
      <c r="Q449" s="83"/>
      <c r="R449" s="86">
        <v>1.5824250000000002</v>
      </c>
      <c r="S449" s="87">
        <v>10.5</v>
      </c>
      <c r="T449" s="83"/>
      <c r="U449" s="83"/>
      <c r="V449" s="83"/>
      <c r="W449" s="83"/>
      <c r="X449" s="83"/>
      <c r="Y449" s="87">
        <v>39</v>
      </c>
      <c r="Z449" s="83"/>
      <c r="AA449" s="86"/>
      <c r="AB449" s="86"/>
      <c r="AC449" s="83"/>
      <c r="AD449" s="88">
        <v>700</v>
      </c>
      <c r="AE449" s="88">
        <v>220</v>
      </c>
      <c r="AF449" s="88">
        <v>80</v>
      </c>
      <c r="AG449" s="66">
        <f t="shared" si="12"/>
        <v>91.495384615384609</v>
      </c>
      <c r="AH449" s="143">
        <f t="shared" si="13"/>
        <v>1000</v>
      </c>
    </row>
    <row r="450" spans="1:34" s="90" customFormat="1" x14ac:dyDescent="0.3">
      <c r="A450" s="84">
        <v>803001</v>
      </c>
      <c r="B450" s="87">
        <v>0.1</v>
      </c>
      <c r="C450" s="87"/>
      <c r="D450" s="86">
        <v>7.2</v>
      </c>
      <c r="E450" s="99">
        <v>0.18</v>
      </c>
      <c r="F450" s="84">
        <v>63.75</v>
      </c>
      <c r="G450" s="84"/>
      <c r="H450" s="84">
        <v>243.15</v>
      </c>
      <c r="I450" s="84">
        <v>140</v>
      </c>
      <c r="J450" s="85">
        <v>5.5E-2</v>
      </c>
      <c r="K450" s="87">
        <v>1.19</v>
      </c>
      <c r="L450" s="83">
        <v>100</v>
      </c>
      <c r="M450" s="83">
        <v>2.1</v>
      </c>
      <c r="N450" s="83">
        <v>0.97</v>
      </c>
      <c r="O450" s="83">
        <v>14.63</v>
      </c>
      <c r="P450" s="83">
        <v>19.899999999999999</v>
      </c>
      <c r="Q450" s="83"/>
      <c r="R450" s="86">
        <v>0.81745275416838792</v>
      </c>
      <c r="S450" s="87">
        <v>6.1</v>
      </c>
      <c r="T450" s="83"/>
      <c r="U450" s="83"/>
      <c r="V450" s="83"/>
      <c r="W450" s="83"/>
      <c r="X450" s="83"/>
      <c r="Y450" s="87">
        <v>4.2</v>
      </c>
      <c r="Z450" s="83"/>
      <c r="AA450" s="86"/>
      <c r="AB450" s="86"/>
      <c r="AC450" s="83"/>
      <c r="AD450" s="88">
        <v>60</v>
      </c>
      <c r="AE450" s="88">
        <v>60</v>
      </c>
      <c r="AF450" s="88">
        <v>880</v>
      </c>
      <c r="AG450" s="66">
        <f t="shared" ref="AG450:AG513" si="14">+K450*3.54*100/Y450</f>
        <v>100.3</v>
      </c>
      <c r="AH450" s="143">
        <f t="shared" ref="AH450:AH513" si="15">+SUM(AD450:AF450)</f>
        <v>1000</v>
      </c>
    </row>
    <row r="451" spans="1:34" s="90" customFormat="1" x14ac:dyDescent="0.3">
      <c r="A451" s="84">
        <v>803002</v>
      </c>
      <c r="B451" s="87">
        <v>0.46666666666666662</v>
      </c>
      <c r="C451" s="87"/>
      <c r="D451" s="86">
        <v>7.4</v>
      </c>
      <c r="E451" s="99">
        <v>0.17</v>
      </c>
      <c r="F451" s="84">
        <v>88.4</v>
      </c>
      <c r="G451" s="84"/>
      <c r="H451" s="84">
        <v>170.62</v>
      </c>
      <c r="I451" s="84">
        <v>70</v>
      </c>
      <c r="J451" s="85">
        <v>5.0999999999999997E-2</v>
      </c>
      <c r="K451" s="87">
        <v>1.36</v>
      </c>
      <c r="L451" s="83">
        <v>70</v>
      </c>
      <c r="M451" s="83">
        <v>1.07</v>
      </c>
      <c r="N451" s="83">
        <v>0.76</v>
      </c>
      <c r="O451" s="83">
        <v>9.1999999999999993</v>
      </c>
      <c r="P451" s="83">
        <v>13.76</v>
      </c>
      <c r="Q451" s="83"/>
      <c r="R451" s="86">
        <v>0.72054329436026943</v>
      </c>
      <c r="S451" s="87">
        <v>5.4</v>
      </c>
      <c r="T451" s="83"/>
      <c r="U451" s="83"/>
      <c r="V451" s="83"/>
      <c r="W451" s="83"/>
      <c r="X451" s="83"/>
      <c r="Y451" s="87">
        <v>4.2</v>
      </c>
      <c r="Z451" s="83"/>
      <c r="AA451" s="86"/>
      <c r="AB451" s="86"/>
      <c r="AC451" s="83"/>
      <c r="AD451" s="88">
        <v>60</v>
      </c>
      <c r="AE451" s="88">
        <v>80</v>
      </c>
      <c r="AF451" s="88">
        <v>860</v>
      </c>
      <c r="AG451" s="66">
        <f t="shared" si="14"/>
        <v>114.62857142857142</v>
      </c>
      <c r="AH451" s="143">
        <f t="shared" si="15"/>
        <v>1000</v>
      </c>
    </row>
    <row r="452" spans="1:34" s="90" customFormat="1" x14ac:dyDescent="0.3">
      <c r="A452" s="84">
        <v>803011</v>
      </c>
      <c r="B452" s="87">
        <v>4.625</v>
      </c>
      <c r="C452" s="87"/>
      <c r="D452" s="86">
        <v>8.59</v>
      </c>
      <c r="E452" s="99">
        <v>0.13</v>
      </c>
      <c r="F452" s="84">
        <v>81.050000000000011</v>
      </c>
      <c r="G452" s="84"/>
      <c r="H452" s="84">
        <v>173.29</v>
      </c>
      <c r="I452" s="84">
        <v>110</v>
      </c>
      <c r="J452" s="85">
        <v>7.9000000000000001E-2</v>
      </c>
      <c r="K452" s="87">
        <v>4.87</v>
      </c>
      <c r="L452" s="83">
        <v>680</v>
      </c>
      <c r="M452" s="83">
        <v>4.2</v>
      </c>
      <c r="N452" s="83">
        <v>0.79</v>
      </c>
      <c r="O452" s="83">
        <v>2.02</v>
      </c>
      <c r="P452" s="83">
        <v>6.73</v>
      </c>
      <c r="Q452" s="83"/>
      <c r="R452" s="86">
        <v>0.59945611655803865</v>
      </c>
      <c r="S452" s="87">
        <v>4.3</v>
      </c>
      <c r="T452" s="83"/>
      <c r="U452" s="83"/>
      <c r="V452" s="83"/>
      <c r="W452" s="83"/>
      <c r="X452" s="83"/>
      <c r="Y452" s="87">
        <v>5.6000000000000005</v>
      </c>
      <c r="Z452" s="83"/>
      <c r="AA452" s="86"/>
      <c r="AB452" s="86"/>
      <c r="AC452" s="83"/>
      <c r="AD452" s="88">
        <v>80</v>
      </c>
      <c r="AE452" s="88">
        <v>80</v>
      </c>
      <c r="AF452" s="88">
        <v>840</v>
      </c>
      <c r="AG452" s="66">
        <f t="shared" si="14"/>
        <v>307.85357142857134</v>
      </c>
      <c r="AH452" s="143">
        <f t="shared" si="15"/>
        <v>1000</v>
      </c>
    </row>
    <row r="453" spans="1:34" s="90" customFormat="1" x14ac:dyDescent="0.3">
      <c r="A453" s="84">
        <v>803012</v>
      </c>
      <c r="B453" s="87">
        <v>2.7777777777777777</v>
      </c>
      <c r="C453" s="87"/>
      <c r="D453" s="86">
        <v>8.6300000000000008</v>
      </c>
      <c r="E453" s="99">
        <v>0.17</v>
      </c>
      <c r="F453" s="84">
        <v>81.649999999999991</v>
      </c>
      <c r="G453" s="84"/>
      <c r="H453" s="84">
        <v>182.41</v>
      </c>
      <c r="I453" s="84">
        <v>120</v>
      </c>
      <c r="J453" s="85">
        <v>5.2999999999999999E-2</v>
      </c>
      <c r="K453" s="87">
        <v>3.36</v>
      </c>
      <c r="L453" s="83">
        <v>650</v>
      </c>
      <c r="M453" s="83">
        <v>3.31</v>
      </c>
      <c r="N453" s="83">
        <v>1.57</v>
      </c>
      <c r="O453" s="83">
        <v>2.04</v>
      </c>
      <c r="P453" s="83">
        <v>4.25</v>
      </c>
      <c r="Q453" s="83"/>
      <c r="R453" s="86">
        <v>0.82123685461672058</v>
      </c>
      <c r="S453" s="87">
        <v>5.6</v>
      </c>
      <c r="T453" s="83"/>
      <c r="U453" s="83"/>
      <c r="V453" s="83"/>
      <c r="W453" s="83"/>
      <c r="X453" s="83"/>
      <c r="Y453" s="87">
        <v>7.0000000000000009</v>
      </c>
      <c r="Z453" s="83"/>
      <c r="AA453" s="86"/>
      <c r="AB453" s="86"/>
      <c r="AC453" s="83"/>
      <c r="AD453" s="88">
        <v>100</v>
      </c>
      <c r="AE453" s="88">
        <v>100</v>
      </c>
      <c r="AF453" s="88">
        <v>800</v>
      </c>
      <c r="AG453" s="66">
        <f t="shared" si="14"/>
        <v>169.91999999999996</v>
      </c>
      <c r="AH453" s="143">
        <f t="shared" si="15"/>
        <v>1000</v>
      </c>
    </row>
    <row r="454" spans="1:34" s="90" customFormat="1" x14ac:dyDescent="0.3">
      <c r="A454" s="84">
        <v>803013</v>
      </c>
      <c r="B454" s="87">
        <v>6.1111111111111107</v>
      </c>
      <c r="C454" s="87"/>
      <c r="D454" s="86">
        <v>8.76</v>
      </c>
      <c r="E454" s="99">
        <v>0.18</v>
      </c>
      <c r="F454" s="84">
        <v>115.5</v>
      </c>
      <c r="G454" s="84"/>
      <c r="H454" s="84">
        <v>68.930000000000007</v>
      </c>
      <c r="I454" s="84">
        <v>330</v>
      </c>
      <c r="J454" s="85">
        <v>0.08</v>
      </c>
      <c r="K454" s="87">
        <v>7.49</v>
      </c>
      <c r="L454" s="83">
        <v>800</v>
      </c>
      <c r="M454" s="83">
        <v>2.39</v>
      </c>
      <c r="N454" s="83">
        <v>1</v>
      </c>
      <c r="O454" s="83">
        <v>2.68</v>
      </c>
      <c r="P454" s="83">
        <v>2</v>
      </c>
      <c r="Q454" s="83"/>
      <c r="R454" s="86">
        <v>0.54381928497557686</v>
      </c>
      <c r="S454" s="87">
        <v>3.8</v>
      </c>
      <c r="T454" s="83"/>
      <c r="U454" s="83"/>
      <c r="V454" s="83"/>
      <c r="W454" s="83"/>
      <c r="X454" s="83"/>
      <c r="Y454" s="87">
        <v>7.0000000000000009</v>
      </c>
      <c r="Z454" s="83"/>
      <c r="AA454" s="86"/>
      <c r="AB454" s="86"/>
      <c r="AC454" s="83"/>
      <c r="AD454" s="88">
        <v>100</v>
      </c>
      <c r="AE454" s="88">
        <v>180</v>
      </c>
      <c r="AF454" s="88">
        <v>720</v>
      </c>
      <c r="AG454" s="66">
        <f t="shared" si="14"/>
        <v>378.78</v>
      </c>
      <c r="AH454" s="143">
        <f t="shared" si="15"/>
        <v>1000</v>
      </c>
    </row>
    <row r="455" spans="1:34" s="90" customFormat="1" x14ac:dyDescent="0.3">
      <c r="A455" s="84">
        <v>803014</v>
      </c>
      <c r="B455" s="87">
        <v>3.3055555555555554</v>
      </c>
      <c r="C455" s="87"/>
      <c r="D455" s="86">
        <v>9.0399999999999991</v>
      </c>
      <c r="E455" s="99">
        <v>0.14000000000000001</v>
      </c>
      <c r="F455" s="84">
        <v>80.75</v>
      </c>
      <c r="G455" s="84"/>
      <c r="H455" s="84">
        <v>143.55000000000001</v>
      </c>
      <c r="I455" s="84">
        <v>100</v>
      </c>
      <c r="J455" s="85">
        <v>0.04</v>
      </c>
      <c r="K455" s="87">
        <v>3.99</v>
      </c>
      <c r="L455" s="83">
        <v>560</v>
      </c>
      <c r="M455" s="83">
        <v>3.14</v>
      </c>
      <c r="N455" s="83">
        <v>0.97</v>
      </c>
      <c r="O455" s="83">
        <v>1.82</v>
      </c>
      <c r="P455" s="83">
        <v>3.67</v>
      </c>
      <c r="Q455" s="83"/>
      <c r="R455" s="86">
        <v>0.59053532982456103</v>
      </c>
      <c r="S455" s="87">
        <v>3.9</v>
      </c>
      <c r="T455" s="83"/>
      <c r="U455" s="83"/>
      <c r="V455" s="83"/>
      <c r="W455" s="83"/>
      <c r="X455" s="83"/>
      <c r="Y455" s="87">
        <v>7.0000000000000009</v>
      </c>
      <c r="Z455" s="83"/>
      <c r="AA455" s="86"/>
      <c r="AB455" s="86"/>
      <c r="AC455" s="83"/>
      <c r="AD455" s="88">
        <v>100</v>
      </c>
      <c r="AE455" s="88">
        <v>80</v>
      </c>
      <c r="AF455" s="88">
        <v>820</v>
      </c>
      <c r="AG455" s="66">
        <f t="shared" si="14"/>
        <v>201.77999999999997</v>
      </c>
      <c r="AH455" s="143">
        <f t="shared" si="15"/>
        <v>1000</v>
      </c>
    </row>
    <row r="456" spans="1:34" s="90" customFormat="1" x14ac:dyDescent="0.3">
      <c r="A456" s="84">
        <v>803015</v>
      </c>
      <c r="B456" s="87">
        <v>10.125</v>
      </c>
      <c r="C456" s="87">
        <v>6.0000000000000009</v>
      </c>
      <c r="D456" s="86">
        <v>8.86</v>
      </c>
      <c r="E456" s="99">
        <v>0.17</v>
      </c>
      <c r="F456" s="84">
        <v>86.95</v>
      </c>
      <c r="G456" s="84"/>
      <c r="H456" s="84">
        <v>183.71</v>
      </c>
      <c r="I456" s="84">
        <v>210</v>
      </c>
      <c r="J456" s="85">
        <v>8.1000000000000003E-2</v>
      </c>
      <c r="K456" s="87">
        <v>6.68</v>
      </c>
      <c r="L456" s="83">
        <v>1070</v>
      </c>
      <c r="M456" s="83">
        <v>3.67</v>
      </c>
      <c r="N456" s="83">
        <v>1.91</v>
      </c>
      <c r="O456" s="83">
        <v>3.55</v>
      </c>
      <c r="P456" s="83">
        <v>3.95</v>
      </c>
      <c r="Q456" s="83"/>
      <c r="R456" s="86">
        <v>1.291407630419082</v>
      </c>
      <c r="S456" s="87">
        <v>8.5</v>
      </c>
      <c r="T456" s="83"/>
      <c r="U456" s="83"/>
      <c r="V456" s="83"/>
      <c r="W456" s="83"/>
      <c r="X456" s="83"/>
      <c r="Y456" s="87">
        <v>16.8</v>
      </c>
      <c r="Z456" s="83"/>
      <c r="AA456" s="86"/>
      <c r="AB456" s="86"/>
      <c r="AC456" s="83"/>
      <c r="AD456" s="88">
        <v>240</v>
      </c>
      <c r="AE456" s="88">
        <v>160</v>
      </c>
      <c r="AF456" s="88">
        <v>600</v>
      </c>
      <c r="AG456" s="66">
        <f t="shared" si="14"/>
        <v>140.75714285714284</v>
      </c>
      <c r="AH456" s="143">
        <f t="shared" si="15"/>
        <v>1000</v>
      </c>
    </row>
    <row r="457" spans="1:34" s="90" customFormat="1" x14ac:dyDescent="0.3">
      <c r="A457" s="84">
        <v>803016</v>
      </c>
      <c r="B457" s="87">
        <v>10.666666666666668</v>
      </c>
      <c r="C457" s="87">
        <v>6.7500000000000027</v>
      </c>
      <c r="D457" s="86">
        <v>9.1300000000000008</v>
      </c>
      <c r="E457" s="99">
        <v>0.13</v>
      </c>
      <c r="F457" s="84">
        <v>75.149999999999991</v>
      </c>
      <c r="G457" s="84"/>
      <c r="H457" s="84">
        <v>95</v>
      </c>
      <c r="I457" s="84">
        <v>70</v>
      </c>
      <c r="J457" s="85">
        <v>4.1000000000000002E-2</v>
      </c>
      <c r="K457" s="87">
        <v>5.67</v>
      </c>
      <c r="L457" s="83">
        <v>470</v>
      </c>
      <c r="M457" s="83">
        <v>2.8</v>
      </c>
      <c r="N457" s="83">
        <v>1.58</v>
      </c>
      <c r="O457" s="83">
        <v>1.22</v>
      </c>
      <c r="P457" s="83">
        <v>2.35</v>
      </c>
      <c r="Q457" s="83"/>
      <c r="R457" s="86">
        <v>0.48827047697902171</v>
      </c>
      <c r="S457" s="87">
        <v>3.4</v>
      </c>
      <c r="T457" s="83"/>
      <c r="U457" s="83"/>
      <c r="V457" s="83"/>
      <c r="W457" s="83"/>
      <c r="X457" s="83"/>
      <c r="Y457" s="87">
        <v>4.2</v>
      </c>
      <c r="Z457" s="83"/>
      <c r="AA457" s="86"/>
      <c r="AB457" s="86"/>
      <c r="AC457" s="83"/>
      <c r="AD457" s="88">
        <v>60</v>
      </c>
      <c r="AE457" s="88">
        <v>60</v>
      </c>
      <c r="AF457" s="88">
        <v>880</v>
      </c>
      <c r="AG457" s="66">
        <f t="shared" si="14"/>
        <v>477.9</v>
      </c>
      <c r="AH457" s="143">
        <f t="shared" si="15"/>
        <v>1000</v>
      </c>
    </row>
    <row r="458" spans="1:34" s="90" customFormat="1" x14ac:dyDescent="0.3">
      <c r="A458" s="84">
        <v>803017</v>
      </c>
      <c r="B458" s="87">
        <v>7.6666666666666661</v>
      </c>
      <c r="C458" s="87"/>
      <c r="D458" s="86">
        <v>9.0399999999999991</v>
      </c>
      <c r="E458" s="99">
        <v>0.49</v>
      </c>
      <c r="F458" s="84">
        <v>439.25</v>
      </c>
      <c r="G458" s="84"/>
      <c r="H458" s="84">
        <v>60.64</v>
      </c>
      <c r="I458" s="84">
        <v>110</v>
      </c>
      <c r="J458" s="85">
        <v>3.5999999999999997E-2</v>
      </c>
      <c r="K458" s="87">
        <v>5.69</v>
      </c>
      <c r="L458" s="83">
        <v>300</v>
      </c>
      <c r="M458" s="83">
        <v>0.56000000000000005</v>
      </c>
      <c r="N458" s="83">
        <v>0.34</v>
      </c>
      <c r="O458" s="83">
        <v>1.56</v>
      </c>
      <c r="P458" s="83">
        <v>1.17</v>
      </c>
      <c r="Q458" s="83"/>
      <c r="R458" s="86">
        <v>0.3550784482031728</v>
      </c>
      <c r="S458" s="87">
        <v>2.5</v>
      </c>
      <c r="T458" s="83"/>
      <c r="U458" s="83"/>
      <c r="V458" s="83"/>
      <c r="W458" s="83"/>
      <c r="X458" s="83"/>
      <c r="Y458" s="87">
        <v>5.6000000000000005</v>
      </c>
      <c r="Z458" s="83"/>
      <c r="AA458" s="86"/>
      <c r="AB458" s="86"/>
      <c r="AC458" s="83"/>
      <c r="AD458" s="88">
        <v>80</v>
      </c>
      <c r="AE458" s="88">
        <v>80</v>
      </c>
      <c r="AF458" s="88">
        <v>840</v>
      </c>
      <c r="AG458" s="66">
        <f t="shared" si="14"/>
        <v>359.68928571428575</v>
      </c>
      <c r="AH458" s="143">
        <f t="shared" si="15"/>
        <v>1000</v>
      </c>
    </row>
    <row r="459" spans="1:34" s="90" customFormat="1" x14ac:dyDescent="0.3">
      <c r="A459" s="84">
        <v>803018</v>
      </c>
      <c r="B459" s="87">
        <v>6.8611111111111107</v>
      </c>
      <c r="C459" s="87"/>
      <c r="D459" s="86">
        <v>8.61</v>
      </c>
      <c r="E459" s="99">
        <v>0.17</v>
      </c>
      <c r="F459" s="84">
        <v>80.8</v>
      </c>
      <c r="G459" s="84"/>
      <c r="H459" s="84">
        <v>88.87</v>
      </c>
      <c r="I459" s="84">
        <v>100</v>
      </c>
      <c r="J459" s="85">
        <v>3.2000000000000001E-2</v>
      </c>
      <c r="K459" s="87">
        <v>4.92</v>
      </c>
      <c r="L459" s="83">
        <v>400</v>
      </c>
      <c r="M459" s="83">
        <v>5</v>
      </c>
      <c r="N459" s="83">
        <v>1.8</v>
      </c>
      <c r="O459" s="83">
        <v>1.74</v>
      </c>
      <c r="P459" s="83">
        <v>1.25</v>
      </c>
      <c r="Q459" s="83"/>
      <c r="R459" s="86">
        <v>0.45594722614886435</v>
      </c>
      <c r="S459" s="87">
        <v>3.1</v>
      </c>
      <c r="T459" s="83"/>
      <c r="U459" s="83"/>
      <c r="V459" s="83"/>
      <c r="W459" s="83"/>
      <c r="X459" s="83"/>
      <c r="Y459" s="87">
        <v>7.0000000000000009</v>
      </c>
      <c r="Z459" s="83"/>
      <c r="AA459" s="86"/>
      <c r="AB459" s="86"/>
      <c r="AC459" s="83"/>
      <c r="AD459" s="88">
        <v>100</v>
      </c>
      <c r="AE459" s="88">
        <v>80</v>
      </c>
      <c r="AF459" s="88">
        <v>820</v>
      </c>
      <c r="AG459" s="66">
        <f t="shared" si="14"/>
        <v>248.81142857142851</v>
      </c>
      <c r="AH459" s="143">
        <f t="shared" si="15"/>
        <v>1000</v>
      </c>
    </row>
    <row r="460" spans="1:34" s="90" customFormat="1" x14ac:dyDescent="0.3">
      <c r="A460" s="84">
        <v>803019</v>
      </c>
      <c r="B460" s="87">
        <v>2.4166666666666665</v>
      </c>
      <c r="C460" s="87"/>
      <c r="D460" s="86">
        <v>8.67</v>
      </c>
      <c r="E460" s="99">
        <v>0.41</v>
      </c>
      <c r="F460" s="84">
        <v>141.54999999999998</v>
      </c>
      <c r="G460" s="84"/>
      <c r="H460" s="84">
        <v>268.29000000000002</v>
      </c>
      <c r="I460" s="84">
        <v>480</v>
      </c>
      <c r="J460" s="85">
        <v>7.1999999999999995E-2</v>
      </c>
      <c r="K460" s="87">
        <v>3.83</v>
      </c>
      <c r="L460" s="83">
        <v>470</v>
      </c>
      <c r="M460" s="83">
        <v>6.25</v>
      </c>
      <c r="N460" s="83">
        <v>3.5</v>
      </c>
      <c r="O460" s="83">
        <v>2.77</v>
      </c>
      <c r="P460" s="83">
        <v>3.34</v>
      </c>
      <c r="Q460" s="83"/>
      <c r="R460" s="86">
        <v>0.8551892754528192</v>
      </c>
      <c r="S460" s="87">
        <v>6</v>
      </c>
      <c r="T460" s="83"/>
      <c r="U460" s="83"/>
      <c r="V460" s="83"/>
      <c r="W460" s="83"/>
      <c r="X460" s="83"/>
      <c r="Y460" s="87">
        <v>4.2</v>
      </c>
      <c r="Z460" s="83"/>
      <c r="AA460" s="86"/>
      <c r="AB460" s="86"/>
      <c r="AC460" s="83"/>
      <c r="AD460" s="88">
        <v>60</v>
      </c>
      <c r="AE460" s="88">
        <v>60</v>
      </c>
      <c r="AF460" s="88">
        <v>880</v>
      </c>
      <c r="AG460" s="66">
        <f t="shared" si="14"/>
        <v>322.81428571428575</v>
      </c>
      <c r="AH460" s="143">
        <f t="shared" si="15"/>
        <v>1000</v>
      </c>
    </row>
    <row r="461" spans="1:34" s="90" customFormat="1" x14ac:dyDescent="0.3">
      <c r="A461" s="84">
        <v>803020</v>
      </c>
      <c r="B461" s="87">
        <v>2.3666666666666667</v>
      </c>
      <c r="C461" s="87"/>
      <c r="D461" s="86">
        <v>8.76</v>
      </c>
      <c r="E461" s="99">
        <v>0.17</v>
      </c>
      <c r="F461" s="84">
        <v>72.599999999999994</v>
      </c>
      <c r="G461" s="84"/>
      <c r="H461" s="84">
        <v>212.75</v>
      </c>
      <c r="I461" s="84">
        <v>110</v>
      </c>
      <c r="J461" s="85">
        <v>5.7000000000000002E-2</v>
      </c>
      <c r="K461" s="87">
        <v>3.47</v>
      </c>
      <c r="L461" s="83">
        <v>540</v>
      </c>
      <c r="M461" s="83">
        <v>3.62</v>
      </c>
      <c r="N461" s="83">
        <v>2.67</v>
      </c>
      <c r="O461" s="83">
        <v>2.1800000000000002</v>
      </c>
      <c r="P461" s="83">
        <v>3.93</v>
      </c>
      <c r="Q461" s="83"/>
      <c r="R461" s="86">
        <v>0.68063436696891155</v>
      </c>
      <c r="S461" s="87">
        <v>5</v>
      </c>
      <c r="T461" s="83"/>
      <c r="U461" s="83"/>
      <c r="V461" s="83"/>
      <c r="W461" s="83"/>
      <c r="X461" s="83"/>
      <c r="Y461" s="87">
        <v>4.2</v>
      </c>
      <c r="Z461" s="83"/>
      <c r="AA461" s="86"/>
      <c r="AB461" s="86"/>
      <c r="AC461" s="83"/>
      <c r="AD461" s="88">
        <v>60</v>
      </c>
      <c r="AE461" s="88">
        <v>60</v>
      </c>
      <c r="AF461" s="88">
        <v>880</v>
      </c>
      <c r="AG461" s="66">
        <f t="shared" si="14"/>
        <v>292.47142857142859</v>
      </c>
      <c r="AH461" s="143">
        <f t="shared" si="15"/>
        <v>1000</v>
      </c>
    </row>
    <row r="462" spans="1:34" s="90" customFormat="1" x14ac:dyDescent="0.3">
      <c r="A462" s="84">
        <v>803021</v>
      </c>
      <c r="B462" s="87">
        <v>26.499999999999996</v>
      </c>
      <c r="C462" s="87">
        <v>12.000000000000002</v>
      </c>
      <c r="D462" s="86">
        <v>8.4499999999999993</v>
      </c>
      <c r="E462" s="99">
        <v>2.34</v>
      </c>
      <c r="F462" s="84">
        <v>2336.25</v>
      </c>
      <c r="G462" s="84"/>
      <c r="H462" s="84">
        <v>24.84</v>
      </c>
      <c r="I462" s="84">
        <v>160</v>
      </c>
      <c r="J462" s="85">
        <v>1.6890000000000001</v>
      </c>
      <c r="K462" s="87">
        <v>9.65</v>
      </c>
      <c r="L462" s="83">
        <v>930</v>
      </c>
      <c r="M462" s="83">
        <v>0.19</v>
      </c>
      <c r="N462" s="83">
        <v>0.69</v>
      </c>
      <c r="O462" s="83">
        <v>2.4</v>
      </c>
      <c r="P462" s="83">
        <v>1.93</v>
      </c>
      <c r="Q462" s="83"/>
      <c r="R462" s="86">
        <v>0.4189230571660707</v>
      </c>
      <c r="S462" s="87">
        <v>3</v>
      </c>
      <c r="T462" s="83"/>
      <c r="U462" s="83"/>
      <c r="V462" s="83"/>
      <c r="W462" s="83"/>
      <c r="X462" s="83"/>
      <c r="Y462" s="87">
        <v>39.200000000000003</v>
      </c>
      <c r="Z462" s="83"/>
      <c r="AA462" s="86"/>
      <c r="AB462" s="86"/>
      <c r="AC462" s="83"/>
      <c r="AD462" s="88">
        <v>560</v>
      </c>
      <c r="AE462" s="88">
        <v>300</v>
      </c>
      <c r="AF462" s="88">
        <v>140</v>
      </c>
      <c r="AG462" s="66">
        <f t="shared" si="14"/>
        <v>87.145408163265316</v>
      </c>
      <c r="AH462" s="143">
        <f t="shared" si="15"/>
        <v>1000</v>
      </c>
    </row>
    <row r="463" spans="1:34" s="90" customFormat="1" x14ac:dyDescent="0.3">
      <c r="A463" s="84">
        <v>803022</v>
      </c>
      <c r="B463" s="87">
        <v>19.666666666666664</v>
      </c>
      <c r="C463" s="87">
        <v>12.625000000000002</v>
      </c>
      <c r="D463" s="86">
        <v>8.8000000000000007</v>
      </c>
      <c r="E463" s="99">
        <v>0.16</v>
      </c>
      <c r="F463" s="84">
        <v>65.5</v>
      </c>
      <c r="G463" s="84"/>
      <c r="H463" s="84">
        <v>32.729999999999997</v>
      </c>
      <c r="I463" s="84">
        <v>230</v>
      </c>
      <c r="J463" s="85">
        <v>3.1E-2</v>
      </c>
      <c r="K463" s="87">
        <v>9.32</v>
      </c>
      <c r="L463" s="83">
        <v>390</v>
      </c>
      <c r="M463" s="83">
        <v>0.09</v>
      </c>
      <c r="N463" s="83">
        <v>0.34</v>
      </c>
      <c r="O463" s="83">
        <v>0.84</v>
      </c>
      <c r="P463" s="83">
        <v>1.05</v>
      </c>
      <c r="Q463" s="83"/>
      <c r="R463" s="86">
        <v>0.32656087971348396</v>
      </c>
      <c r="S463" s="87">
        <v>2.4</v>
      </c>
      <c r="T463" s="83"/>
      <c r="U463" s="83"/>
      <c r="V463" s="83"/>
      <c r="W463" s="83"/>
      <c r="X463" s="83"/>
      <c r="Y463" s="87">
        <v>29.400000000000002</v>
      </c>
      <c r="Z463" s="83"/>
      <c r="AA463" s="86"/>
      <c r="AB463" s="86"/>
      <c r="AC463" s="83"/>
      <c r="AD463" s="88">
        <v>420</v>
      </c>
      <c r="AE463" s="88">
        <v>260</v>
      </c>
      <c r="AF463" s="88">
        <v>320</v>
      </c>
      <c r="AG463" s="66">
        <f t="shared" si="14"/>
        <v>112.2204081632653</v>
      </c>
      <c r="AH463" s="143">
        <f t="shared" si="15"/>
        <v>1000</v>
      </c>
    </row>
    <row r="464" spans="1:34" s="90" customFormat="1" x14ac:dyDescent="0.3">
      <c r="A464" s="84">
        <v>803023</v>
      </c>
      <c r="B464" s="87">
        <v>17</v>
      </c>
      <c r="C464" s="87">
        <v>12.500000000000002</v>
      </c>
      <c r="D464" s="86">
        <v>8.86</v>
      </c>
      <c r="E464" s="99">
        <v>0.15</v>
      </c>
      <c r="F464" s="84">
        <v>60.5</v>
      </c>
      <c r="G464" s="84"/>
      <c r="H464" s="84">
        <v>35.229999999999997</v>
      </c>
      <c r="I464" s="84">
        <v>270</v>
      </c>
      <c r="J464" s="85">
        <v>4.3999999999999997E-2</v>
      </c>
      <c r="K464" s="87">
        <v>8.76</v>
      </c>
      <c r="L464" s="83">
        <v>360</v>
      </c>
      <c r="M464" s="83">
        <v>0.31</v>
      </c>
      <c r="N464" s="83">
        <v>0.4</v>
      </c>
      <c r="O464" s="83">
        <v>1.26</v>
      </c>
      <c r="P464" s="83">
        <v>1.19</v>
      </c>
      <c r="Q464" s="83"/>
      <c r="R464" s="86">
        <v>0.19215958743225769</v>
      </c>
      <c r="S464" s="87">
        <v>1.4</v>
      </c>
      <c r="T464" s="83"/>
      <c r="U464" s="83"/>
      <c r="V464" s="83"/>
      <c r="W464" s="83"/>
      <c r="X464" s="83"/>
      <c r="Y464" s="87">
        <v>26.6</v>
      </c>
      <c r="Z464" s="83"/>
      <c r="AA464" s="86"/>
      <c r="AB464" s="86"/>
      <c r="AC464" s="83"/>
      <c r="AD464" s="88">
        <v>380</v>
      </c>
      <c r="AE464" s="88">
        <v>280</v>
      </c>
      <c r="AF464" s="88">
        <v>340</v>
      </c>
      <c r="AG464" s="66">
        <f t="shared" si="14"/>
        <v>116.58045112781954</v>
      </c>
      <c r="AH464" s="143">
        <f t="shared" si="15"/>
        <v>1000</v>
      </c>
    </row>
    <row r="465" spans="1:34" s="90" customFormat="1" x14ac:dyDescent="0.3">
      <c r="A465" s="84">
        <v>803024</v>
      </c>
      <c r="B465" s="87">
        <v>13.666666666666663</v>
      </c>
      <c r="C465" s="87">
        <v>7.1250000000000018</v>
      </c>
      <c r="D465" s="86">
        <v>8.9</v>
      </c>
      <c r="E465" s="99">
        <v>0.12</v>
      </c>
      <c r="F465" s="84">
        <v>53.75</v>
      </c>
      <c r="G465" s="84"/>
      <c r="H465" s="84">
        <v>38.229999999999997</v>
      </c>
      <c r="I465" s="84">
        <v>250</v>
      </c>
      <c r="J465" s="85">
        <v>2.4E-2</v>
      </c>
      <c r="K465" s="87">
        <v>8.42</v>
      </c>
      <c r="L465" s="83">
        <v>290</v>
      </c>
      <c r="M465" s="83">
        <v>0.09</v>
      </c>
      <c r="N465" s="83">
        <v>0.28999999999999998</v>
      </c>
      <c r="O465" s="83">
        <v>1.1499999999999999</v>
      </c>
      <c r="P465" s="83">
        <v>0.76</v>
      </c>
      <c r="Q465" s="83"/>
      <c r="R465" s="86">
        <v>0.34346189560647045</v>
      </c>
      <c r="S465" s="87">
        <v>2.2999999999999998</v>
      </c>
      <c r="T465" s="83"/>
      <c r="U465" s="83"/>
      <c r="V465" s="83"/>
      <c r="W465" s="83"/>
      <c r="X465" s="83"/>
      <c r="Y465" s="87">
        <v>29.400000000000002</v>
      </c>
      <c r="Z465" s="83"/>
      <c r="AA465" s="86"/>
      <c r="AB465" s="86"/>
      <c r="AC465" s="83"/>
      <c r="AD465" s="88">
        <v>420</v>
      </c>
      <c r="AE465" s="88">
        <v>260</v>
      </c>
      <c r="AF465" s="88">
        <v>320</v>
      </c>
      <c r="AG465" s="66">
        <f t="shared" si="14"/>
        <v>101.38367346938774</v>
      </c>
      <c r="AH465" s="143">
        <f t="shared" si="15"/>
        <v>1000</v>
      </c>
    </row>
    <row r="466" spans="1:34" s="90" customFormat="1" x14ac:dyDescent="0.3">
      <c r="A466" s="84">
        <v>803025</v>
      </c>
      <c r="B466" s="87">
        <v>16.666666666666664</v>
      </c>
      <c r="C466" s="87">
        <v>13.250000000000002</v>
      </c>
      <c r="D466" s="86">
        <v>8.9700000000000006</v>
      </c>
      <c r="E466" s="99">
        <v>0.13</v>
      </c>
      <c r="F466" s="84">
        <v>55.4</v>
      </c>
      <c r="G466" s="84"/>
      <c r="H466" s="84">
        <v>31.23</v>
      </c>
      <c r="I466" s="84">
        <v>280</v>
      </c>
      <c r="J466" s="85">
        <v>2.1999999999999999E-2</v>
      </c>
      <c r="K466" s="87">
        <v>8.52</v>
      </c>
      <c r="L466" s="83">
        <v>310</v>
      </c>
      <c r="M466" s="83">
        <v>0.21</v>
      </c>
      <c r="N466" s="83">
        <v>0.42</v>
      </c>
      <c r="O466" s="83">
        <v>1.24</v>
      </c>
      <c r="P466" s="83">
        <v>1.2</v>
      </c>
      <c r="Q466" s="83"/>
      <c r="R466" s="86">
        <v>0.16248478687834164</v>
      </c>
      <c r="S466" s="87">
        <v>1.2</v>
      </c>
      <c r="T466" s="83"/>
      <c r="U466" s="83"/>
      <c r="V466" s="83"/>
      <c r="W466" s="83"/>
      <c r="X466" s="83"/>
      <c r="Y466" s="87">
        <v>29.400000000000002</v>
      </c>
      <c r="Z466" s="83"/>
      <c r="AA466" s="86"/>
      <c r="AB466" s="86"/>
      <c r="AC466" s="83"/>
      <c r="AD466" s="88">
        <v>420</v>
      </c>
      <c r="AE466" s="88">
        <v>280</v>
      </c>
      <c r="AF466" s="88">
        <v>300</v>
      </c>
      <c r="AG466" s="66">
        <f t="shared" si="14"/>
        <v>102.5877551020408</v>
      </c>
      <c r="AH466" s="143">
        <f t="shared" si="15"/>
        <v>1000</v>
      </c>
    </row>
    <row r="467" spans="1:34" s="90" customFormat="1" x14ac:dyDescent="0.3">
      <c r="A467" s="84">
        <v>803026</v>
      </c>
      <c r="B467" s="87">
        <v>17.333333333333336</v>
      </c>
      <c r="C467" s="87">
        <v>13.375000000000002</v>
      </c>
      <c r="D467" s="86">
        <v>8.8800000000000008</v>
      </c>
      <c r="E467" s="99">
        <v>0.14000000000000001</v>
      </c>
      <c r="F467" s="84">
        <v>59.699999999999996</v>
      </c>
      <c r="G467" s="84"/>
      <c r="H467" s="84">
        <v>42.02</v>
      </c>
      <c r="I467" s="84">
        <v>300</v>
      </c>
      <c r="J467" s="85">
        <v>2.3E-2</v>
      </c>
      <c r="K467" s="87">
        <v>8.18</v>
      </c>
      <c r="L467" s="83">
        <v>330</v>
      </c>
      <c r="M467" s="83">
        <v>0.09</v>
      </c>
      <c r="N467" s="83">
        <v>0.37</v>
      </c>
      <c r="O467" s="83">
        <v>1.24</v>
      </c>
      <c r="P467" s="83">
        <v>0.88</v>
      </c>
      <c r="Q467" s="83"/>
      <c r="R467" s="86">
        <v>0.25250817066539089</v>
      </c>
      <c r="S467" s="87">
        <v>1.8</v>
      </c>
      <c r="T467" s="83"/>
      <c r="U467" s="83"/>
      <c r="V467" s="83"/>
      <c r="W467" s="83"/>
      <c r="X467" s="83"/>
      <c r="Y467" s="87">
        <v>32</v>
      </c>
      <c r="Z467" s="83"/>
      <c r="AA467" s="86"/>
      <c r="AB467" s="86"/>
      <c r="AC467" s="83"/>
      <c r="AD467" s="88">
        <v>500</v>
      </c>
      <c r="AE467" s="88">
        <v>200</v>
      </c>
      <c r="AF467" s="88">
        <v>300</v>
      </c>
      <c r="AG467" s="66">
        <f t="shared" si="14"/>
        <v>90.491250000000008</v>
      </c>
      <c r="AH467" s="143">
        <f t="shared" si="15"/>
        <v>1000</v>
      </c>
    </row>
    <row r="468" spans="1:34" s="90" customFormat="1" x14ac:dyDescent="0.3">
      <c r="A468" s="84">
        <v>803007</v>
      </c>
      <c r="B468" s="87">
        <v>0.1</v>
      </c>
      <c r="C468" s="87"/>
      <c r="D468" s="86">
        <v>7.58</v>
      </c>
      <c r="E468" s="99">
        <v>6.7000000000000004E-2</v>
      </c>
      <c r="F468" s="84">
        <v>35.9</v>
      </c>
      <c r="G468" s="84"/>
      <c r="H468" s="84">
        <v>113.47</v>
      </c>
      <c r="I468" s="84">
        <v>84</v>
      </c>
      <c r="J468" s="85">
        <v>4.9000000000000002E-2</v>
      </c>
      <c r="K468" s="87">
        <v>1.44</v>
      </c>
      <c r="L468" s="83">
        <v>160</v>
      </c>
      <c r="M468" s="83">
        <v>1.78</v>
      </c>
      <c r="N468" s="83">
        <v>0.6</v>
      </c>
      <c r="O468" s="83">
        <v>6.5</v>
      </c>
      <c r="P468" s="83">
        <v>15.63</v>
      </c>
      <c r="Q468" s="83"/>
      <c r="R468" s="86">
        <v>1.6704920000000001</v>
      </c>
      <c r="S468" s="87">
        <v>12.8</v>
      </c>
      <c r="T468" s="83"/>
      <c r="U468" s="83"/>
      <c r="V468" s="83"/>
      <c r="W468" s="83"/>
      <c r="X468" s="83"/>
      <c r="Y468" s="87">
        <v>3</v>
      </c>
      <c r="Z468" s="83"/>
      <c r="AA468" s="86"/>
      <c r="AB468" s="86"/>
      <c r="AC468" s="83"/>
      <c r="AD468" s="88">
        <v>60</v>
      </c>
      <c r="AE468" s="88">
        <v>60</v>
      </c>
      <c r="AF468" s="88">
        <v>880</v>
      </c>
      <c r="AG468" s="66">
        <f t="shared" si="14"/>
        <v>169.92</v>
      </c>
      <c r="AH468" s="143">
        <f t="shared" si="15"/>
        <v>1000</v>
      </c>
    </row>
    <row r="469" spans="1:34" s="90" customFormat="1" x14ac:dyDescent="0.3">
      <c r="A469" s="84">
        <v>803008</v>
      </c>
      <c r="B469" s="87">
        <v>1.3166666666666667</v>
      </c>
      <c r="C469" s="87"/>
      <c r="D469" s="86">
        <v>7.6</v>
      </c>
      <c r="E469" s="99">
        <v>0.3</v>
      </c>
      <c r="F469" s="84">
        <v>193.64999999999998</v>
      </c>
      <c r="G469" s="84"/>
      <c r="H469" s="84">
        <v>96.85</v>
      </c>
      <c r="I469" s="84">
        <v>110</v>
      </c>
      <c r="J469" s="85">
        <v>0.19600000000000001</v>
      </c>
      <c r="K469" s="87">
        <v>2.82</v>
      </c>
      <c r="L469" s="83">
        <v>170</v>
      </c>
      <c r="M469" s="83">
        <v>0.4</v>
      </c>
      <c r="N469" s="83">
        <v>0.42</v>
      </c>
      <c r="O469" s="83">
        <v>6.47</v>
      </c>
      <c r="P469" s="83">
        <v>12.96</v>
      </c>
      <c r="Q469" s="83"/>
      <c r="R469" s="86">
        <v>0.37552701996421156</v>
      </c>
      <c r="S469" s="87">
        <v>2.8</v>
      </c>
      <c r="T469" s="83"/>
      <c r="U469" s="83"/>
      <c r="V469" s="83"/>
      <c r="W469" s="83"/>
      <c r="X469" s="83"/>
      <c r="Y469" s="87">
        <v>3.5999999999999996</v>
      </c>
      <c r="Z469" s="83"/>
      <c r="AA469" s="86"/>
      <c r="AB469" s="86"/>
      <c r="AC469" s="83"/>
      <c r="AD469" s="88">
        <v>60</v>
      </c>
      <c r="AE469" s="88">
        <v>60</v>
      </c>
      <c r="AF469" s="88">
        <v>880</v>
      </c>
      <c r="AG469" s="66">
        <f t="shared" si="14"/>
        <v>277.3</v>
      </c>
      <c r="AH469" s="143">
        <f t="shared" si="15"/>
        <v>1000</v>
      </c>
    </row>
    <row r="470" spans="1:34" s="90" customFormat="1" x14ac:dyDescent="0.3">
      <c r="A470" s="84">
        <v>803009</v>
      </c>
      <c r="B470" s="87">
        <v>2.4333333333333331</v>
      </c>
      <c r="C470" s="87"/>
      <c r="D470" s="86">
        <v>7.91</v>
      </c>
      <c r="E470" s="99">
        <v>0.38</v>
      </c>
      <c r="F470" s="84">
        <v>247.5</v>
      </c>
      <c r="G470" s="84"/>
      <c r="H470" s="84">
        <v>70.84</v>
      </c>
      <c r="I470" s="84">
        <v>85</v>
      </c>
      <c r="J470" s="85">
        <v>0.13100000000000001</v>
      </c>
      <c r="K470" s="87">
        <v>4.0599999999999996</v>
      </c>
      <c r="L470" s="83">
        <v>180</v>
      </c>
      <c r="M470" s="83">
        <v>0.3</v>
      </c>
      <c r="N470" s="83">
        <v>0.35</v>
      </c>
      <c r="O470" s="83">
        <v>7.08</v>
      </c>
      <c r="P470" s="83">
        <v>14.65</v>
      </c>
      <c r="Q470" s="83"/>
      <c r="R470" s="86">
        <v>0.34156581324247515</v>
      </c>
      <c r="S470" s="87">
        <v>2.2999999999999998</v>
      </c>
      <c r="T470" s="83"/>
      <c r="U470" s="83"/>
      <c r="V470" s="83"/>
      <c r="W470" s="83"/>
      <c r="X470" s="83"/>
      <c r="Y470" s="87">
        <v>3</v>
      </c>
      <c r="Z470" s="83"/>
      <c r="AA470" s="86"/>
      <c r="AB470" s="86"/>
      <c r="AC470" s="83"/>
      <c r="AD470" s="88">
        <v>60</v>
      </c>
      <c r="AE470" s="88">
        <v>80</v>
      </c>
      <c r="AF470" s="88">
        <v>860</v>
      </c>
      <c r="AG470" s="66">
        <f t="shared" si="14"/>
        <v>479.07999999999993</v>
      </c>
      <c r="AH470" s="143">
        <f t="shared" si="15"/>
        <v>1000</v>
      </c>
    </row>
    <row r="471" spans="1:34" s="90" customFormat="1" x14ac:dyDescent="0.3">
      <c r="A471" s="84">
        <v>803010</v>
      </c>
      <c r="B471" s="87">
        <v>1.3333333333333335</v>
      </c>
      <c r="C471" s="87"/>
      <c r="D471" s="86">
        <v>8.1</v>
      </c>
      <c r="E471" s="99">
        <v>0.17</v>
      </c>
      <c r="F471" s="84">
        <v>76.8</v>
      </c>
      <c r="G471" s="84"/>
      <c r="H471" s="84">
        <v>206.99</v>
      </c>
      <c r="I471" s="84">
        <v>140</v>
      </c>
      <c r="J471" s="85">
        <v>8.5999999999999993E-2</v>
      </c>
      <c r="K471" s="87">
        <v>3.58</v>
      </c>
      <c r="L471" s="83">
        <v>240</v>
      </c>
      <c r="M471" s="83">
        <v>1.96</v>
      </c>
      <c r="N471" s="83">
        <v>0.81</v>
      </c>
      <c r="O471" s="83">
        <v>6.26</v>
      </c>
      <c r="P471" s="83">
        <v>8.5399999999999991</v>
      </c>
      <c r="Q471" s="83"/>
      <c r="R471" s="86">
        <v>0.74087166926752923</v>
      </c>
      <c r="S471" s="87">
        <v>5.5</v>
      </c>
      <c r="T471" s="83"/>
      <c r="U471" s="83"/>
      <c r="V471" s="83"/>
      <c r="W471" s="83"/>
      <c r="X471" s="83"/>
      <c r="Y471" s="87">
        <v>5</v>
      </c>
      <c r="Z471" s="83"/>
      <c r="AA471" s="86"/>
      <c r="AB471" s="86"/>
      <c r="AC471" s="83"/>
      <c r="AD471" s="88">
        <v>100</v>
      </c>
      <c r="AE471" s="88">
        <v>60</v>
      </c>
      <c r="AF471" s="88">
        <v>840</v>
      </c>
      <c r="AG471" s="66">
        <f t="shared" si="14"/>
        <v>253.464</v>
      </c>
      <c r="AH471" s="143">
        <f t="shared" si="15"/>
        <v>1000</v>
      </c>
    </row>
    <row r="472" spans="1:34" s="90" customFormat="1" x14ac:dyDescent="0.3">
      <c r="A472" s="84">
        <v>803027</v>
      </c>
      <c r="B472" s="87">
        <v>15.166666666666664</v>
      </c>
      <c r="C472" s="87">
        <v>7.5000000000000018</v>
      </c>
      <c r="D472" s="86">
        <v>8.7200000000000006</v>
      </c>
      <c r="E472" s="99">
        <v>0.11</v>
      </c>
      <c r="F472" s="84">
        <v>34.35</v>
      </c>
      <c r="G472" s="84"/>
      <c r="H472" s="84">
        <v>45.91</v>
      </c>
      <c r="I472" s="84">
        <v>401</v>
      </c>
      <c r="J472" s="85">
        <v>0.02</v>
      </c>
      <c r="K472" s="87">
        <v>20.05</v>
      </c>
      <c r="L472" s="83">
        <v>420</v>
      </c>
      <c r="M472" s="83">
        <v>0.16</v>
      </c>
      <c r="N472" s="83">
        <v>0.76</v>
      </c>
      <c r="O472" s="83">
        <v>1.44</v>
      </c>
      <c r="P472" s="83">
        <v>1.87</v>
      </c>
      <c r="Q472" s="83"/>
      <c r="R472" s="86">
        <v>1.3141479770786106</v>
      </c>
      <c r="S472" s="87">
        <v>9.6</v>
      </c>
      <c r="T472" s="83"/>
      <c r="U472" s="83"/>
      <c r="V472" s="83"/>
      <c r="W472" s="83"/>
      <c r="X472" s="83"/>
      <c r="Y472" s="87">
        <v>13</v>
      </c>
      <c r="Z472" s="83"/>
      <c r="AA472" s="86"/>
      <c r="AB472" s="86"/>
      <c r="AC472" s="83"/>
      <c r="AD472" s="88">
        <v>260</v>
      </c>
      <c r="AE472" s="88">
        <v>280</v>
      </c>
      <c r="AF472" s="88">
        <v>460</v>
      </c>
      <c r="AG472" s="66">
        <f t="shared" si="14"/>
        <v>545.97692307692319</v>
      </c>
      <c r="AH472" s="143">
        <f t="shared" si="15"/>
        <v>1000</v>
      </c>
    </row>
    <row r="473" spans="1:34" s="90" customFormat="1" x14ac:dyDescent="0.3">
      <c r="A473" s="84">
        <v>803028</v>
      </c>
      <c r="B473" s="87">
        <v>10.916666666666666</v>
      </c>
      <c r="C473" s="87">
        <v>6.5000000000000036</v>
      </c>
      <c r="D473" s="86">
        <v>8.77</v>
      </c>
      <c r="E473" s="99">
        <v>0.1</v>
      </c>
      <c r="F473" s="84">
        <v>29.849999999999998</v>
      </c>
      <c r="G473" s="84"/>
      <c r="H473" s="84">
        <v>40.56</v>
      </c>
      <c r="I473" s="84">
        <v>504</v>
      </c>
      <c r="J473" s="85">
        <v>1.7999999999999999E-2</v>
      </c>
      <c r="K473" s="87">
        <v>18.920000000000002</v>
      </c>
      <c r="L473" s="83">
        <v>430</v>
      </c>
      <c r="M473" s="83">
        <v>0.26</v>
      </c>
      <c r="N473" s="83">
        <v>0.78</v>
      </c>
      <c r="O473" s="83">
        <v>1.66</v>
      </c>
      <c r="P473" s="83">
        <v>2.0099999999999998</v>
      </c>
      <c r="Q473" s="83"/>
      <c r="R473" s="86">
        <v>0.44689111768142015</v>
      </c>
      <c r="S473" s="87">
        <v>3</v>
      </c>
      <c r="T473" s="83"/>
      <c r="U473" s="83"/>
      <c r="V473" s="83"/>
      <c r="W473" s="83"/>
      <c r="X473" s="83"/>
      <c r="Y473" s="87">
        <v>18.200000000000003</v>
      </c>
      <c r="Z473" s="83"/>
      <c r="AA473" s="86"/>
      <c r="AB473" s="86"/>
      <c r="AC473" s="83"/>
      <c r="AD473" s="88">
        <v>260</v>
      </c>
      <c r="AE473" s="88">
        <v>340</v>
      </c>
      <c r="AF473" s="88">
        <v>400</v>
      </c>
      <c r="AG473" s="66">
        <f t="shared" si="14"/>
        <v>368.0043956043956</v>
      </c>
      <c r="AH473" s="143">
        <f t="shared" si="15"/>
        <v>1000</v>
      </c>
    </row>
    <row r="474" spans="1:34" s="90" customFormat="1" x14ac:dyDescent="0.3">
      <c r="A474" s="84">
        <v>803029</v>
      </c>
      <c r="B474" s="87">
        <v>11.666666666666666</v>
      </c>
      <c r="C474" s="87">
        <v>6.6250000000000009</v>
      </c>
      <c r="D474" s="86">
        <v>8.64</v>
      </c>
      <c r="E474" s="99">
        <v>0.11</v>
      </c>
      <c r="F474" s="84">
        <v>33.799999999999997</v>
      </c>
      <c r="G474" s="84"/>
      <c r="H474" s="84">
        <v>24.75</v>
      </c>
      <c r="I474" s="84">
        <v>540</v>
      </c>
      <c r="J474" s="85">
        <v>2.7E-2</v>
      </c>
      <c r="K474" s="87">
        <v>20.010000000000002</v>
      </c>
      <c r="L474" s="83">
        <v>460</v>
      </c>
      <c r="M474" s="83">
        <v>0.21</v>
      </c>
      <c r="N474" s="83">
        <v>0.79</v>
      </c>
      <c r="O474" s="83">
        <v>1.36</v>
      </c>
      <c r="P474" s="83">
        <v>2.1</v>
      </c>
      <c r="Q474" s="83"/>
      <c r="R474" s="86">
        <v>0.67583457100638511</v>
      </c>
      <c r="S474" s="87">
        <v>4.5999999999999996</v>
      </c>
      <c r="T474" s="83"/>
      <c r="U474" s="83"/>
      <c r="V474" s="83"/>
      <c r="W474" s="83"/>
      <c r="X474" s="83"/>
      <c r="Y474" s="87">
        <v>14.5</v>
      </c>
      <c r="Z474" s="83"/>
      <c r="AA474" s="86"/>
      <c r="AB474" s="86"/>
      <c r="AC474" s="83"/>
      <c r="AD474" s="88">
        <v>290</v>
      </c>
      <c r="AE474" s="88">
        <v>350</v>
      </c>
      <c r="AF474" s="88">
        <v>360</v>
      </c>
      <c r="AG474" s="66">
        <f t="shared" si="14"/>
        <v>488.52000000000004</v>
      </c>
      <c r="AH474" s="143">
        <f t="shared" si="15"/>
        <v>1000</v>
      </c>
    </row>
    <row r="475" spans="1:34" s="90" customFormat="1" x14ac:dyDescent="0.3">
      <c r="A475" s="84">
        <v>803030</v>
      </c>
      <c r="B475" s="87">
        <v>14.166666666666666</v>
      </c>
      <c r="C475" s="87">
        <v>7.2500000000000009</v>
      </c>
      <c r="D475" s="86">
        <v>8.76</v>
      </c>
      <c r="E475" s="99">
        <v>0.11</v>
      </c>
      <c r="F475" s="84">
        <v>31.549999999999997</v>
      </c>
      <c r="G475" s="84"/>
      <c r="H475" s="84">
        <v>52.54</v>
      </c>
      <c r="I475" s="84">
        <v>513</v>
      </c>
      <c r="J475" s="85">
        <v>2.3E-2</v>
      </c>
      <c r="K475" s="87">
        <v>19.7</v>
      </c>
      <c r="L475" s="83">
        <v>450</v>
      </c>
      <c r="M475" s="83">
        <v>0.2</v>
      </c>
      <c r="N475" s="83">
        <v>0.73</v>
      </c>
      <c r="O475" s="83">
        <v>1.6</v>
      </c>
      <c r="P475" s="83">
        <v>2.06</v>
      </c>
      <c r="Q475" s="83"/>
      <c r="R475" s="86">
        <v>0.28144757601002446</v>
      </c>
      <c r="S475" s="87">
        <v>2.1</v>
      </c>
      <c r="T475" s="83"/>
      <c r="U475" s="83"/>
      <c r="V475" s="83"/>
      <c r="W475" s="83"/>
      <c r="X475" s="83"/>
      <c r="Y475" s="87">
        <v>18</v>
      </c>
      <c r="Z475" s="83"/>
      <c r="AA475" s="86"/>
      <c r="AB475" s="86"/>
      <c r="AC475" s="83"/>
      <c r="AD475" s="88">
        <v>300</v>
      </c>
      <c r="AE475" s="88">
        <v>360</v>
      </c>
      <c r="AF475" s="88">
        <v>340</v>
      </c>
      <c r="AG475" s="66">
        <f t="shared" si="14"/>
        <v>387.43333333333334</v>
      </c>
      <c r="AH475" s="143">
        <f t="shared" si="15"/>
        <v>1000</v>
      </c>
    </row>
    <row r="476" spans="1:34" s="90" customFormat="1" x14ac:dyDescent="0.3">
      <c r="A476" s="84">
        <v>803031</v>
      </c>
      <c r="B476" s="87">
        <v>20</v>
      </c>
      <c r="C476" s="87">
        <v>8.2500000000000018</v>
      </c>
      <c r="D476" s="86">
        <v>8.5399999999999991</v>
      </c>
      <c r="E476" s="99">
        <v>0.09</v>
      </c>
      <c r="F476" s="84">
        <v>31.549999999999997</v>
      </c>
      <c r="G476" s="84"/>
      <c r="H476" s="84">
        <v>33.159999999999997</v>
      </c>
      <c r="I476" s="84">
        <v>245</v>
      </c>
      <c r="J476" s="85">
        <v>1.4999999999999999E-2</v>
      </c>
      <c r="K476" s="87">
        <v>19.07</v>
      </c>
      <c r="L476" s="83">
        <v>330</v>
      </c>
      <c r="M476" s="83">
        <v>0.16</v>
      </c>
      <c r="N476" s="83">
        <v>0.52</v>
      </c>
      <c r="O476" s="83">
        <v>1.41</v>
      </c>
      <c r="P476" s="83">
        <v>1.62</v>
      </c>
      <c r="Q476" s="83"/>
      <c r="R476" s="86">
        <v>0.26272184911556984</v>
      </c>
      <c r="S476" s="87">
        <v>1.9</v>
      </c>
      <c r="T476" s="83"/>
      <c r="U476" s="83"/>
      <c r="V476" s="83"/>
      <c r="W476" s="83"/>
      <c r="X476" s="83"/>
      <c r="Y476" s="87">
        <v>16.8</v>
      </c>
      <c r="Z476" s="83"/>
      <c r="AA476" s="86"/>
      <c r="AB476" s="86"/>
      <c r="AC476" s="83"/>
      <c r="AD476" s="88">
        <v>280</v>
      </c>
      <c r="AE476" s="88">
        <v>360</v>
      </c>
      <c r="AF476" s="88">
        <v>360</v>
      </c>
      <c r="AG476" s="66">
        <f t="shared" si="14"/>
        <v>401.83214285714286</v>
      </c>
      <c r="AH476" s="143">
        <f t="shared" si="15"/>
        <v>1000</v>
      </c>
    </row>
    <row r="477" spans="1:34" s="90" customFormat="1" x14ac:dyDescent="0.3">
      <c r="A477" s="84">
        <v>803032</v>
      </c>
      <c r="B477" s="87">
        <v>10.333333333333334</v>
      </c>
      <c r="C477" s="87">
        <v>6.6250000000000009</v>
      </c>
      <c r="D477" s="86">
        <v>8.64</v>
      </c>
      <c r="E477" s="99">
        <v>0.09</v>
      </c>
      <c r="F477" s="84">
        <v>29.049999999999997</v>
      </c>
      <c r="G477" s="84"/>
      <c r="H477" s="84">
        <v>53.7</v>
      </c>
      <c r="I477" s="84">
        <v>283</v>
      </c>
      <c r="J477" s="85">
        <v>1.2E-2</v>
      </c>
      <c r="K477" s="87">
        <v>18.03</v>
      </c>
      <c r="L477" s="83">
        <v>330</v>
      </c>
      <c r="M477" s="83">
        <v>0.16</v>
      </c>
      <c r="N477" s="83">
        <v>0.56999999999999995</v>
      </c>
      <c r="O477" s="83">
        <v>1.4</v>
      </c>
      <c r="P477" s="83">
        <v>1.7</v>
      </c>
      <c r="Q477" s="83"/>
      <c r="R477" s="86">
        <v>0.35013249612668346</v>
      </c>
      <c r="S477" s="87">
        <v>2.5</v>
      </c>
      <c r="T477" s="83"/>
      <c r="U477" s="83"/>
      <c r="V477" s="83"/>
      <c r="W477" s="83"/>
      <c r="X477" s="83"/>
      <c r="Y477" s="87">
        <v>19.2</v>
      </c>
      <c r="Z477" s="83"/>
      <c r="AA477" s="86"/>
      <c r="AB477" s="86"/>
      <c r="AC477" s="83"/>
      <c r="AD477" s="88">
        <v>320</v>
      </c>
      <c r="AE477" s="88">
        <v>340</v>
      </c>
      <c r="AF477" s="88">
        <v>340</v>
      </c>
      <c r="AG477" s="66">
        <f t="shared" si="14"/>
        <v>332.42812500000008</v>
      </c>
      <c r="AH477" s="143">
        <f t="shared" si="15"/>
        <v>1000</v>
      </c>
    </row>
    <row r="478" spans="1:34" s="90" customFormat="1" x14ac:dyDescent="0.3">
      <c r="A478" s="84">
        <v>803033</v>
      </c>
      <c r="B478" s="87">
        <v>17</v>
      </c>
      <c r="C478" s="87">
        <v>5.7500000000000018</v>
      </c>
      <c r="D478" s="86">
        <v>8.92</v>
      </c>
      <c r="E478" s="99">
        <v>0.09</v>
      </c>
      <c r="F478" s="84">
        <v>26.7</v>
      </c>
      <c r="G478" s="84"/>
      <c r="H478" s="84">
        <v>40.49</v>
      </c>
      <c r="I478" s="84">
        <v>271</v>
      </c>
      <c r="J478" s="85">
        <v>1.2999999999999999E-2</v>
      </c>
      <c r="K478" s="87">
        <v>18.66</v>
      </c>
      <c r="L478" s="83">
        <v>340</v>
      </c>
      <c r="M478" s="83">
        <v>0.24</v>
      </c>
      <c r="N478" s="83">
        <v>0.49</v>
      </c>
      <c r="O478" s="83">
        <v>1.18</v>
      </c>
      <c r="P478" s="83">
        <v>1.64</v>
      </c>
      <c r="Q478" s="83"/>
      <c r="R478" s="86">
        <v>0.20851652769282331</v>
      </c>
      <c r="S478" s="87">
        <v>1.4</v>
      </c>
      <c r="T478" s="83"/>
      <c r="U478" s="83"/>
      <c r="V478" s="83"/>
      <c r="W478" s="83"/>
      <c r="X478" s="83"/>
      <c r="Y478" s="87">
        <v>13</v>
      </c>
      <c r="Z478" s="83"/>
      <c r="AA478" s="86"/>
      <c r="AB478" s="86"/>
      <c r="AC478" s="83"/>
      <c r="AD478" s="88">
        <v>260</v>
      </c>
      <c r="AE478" s="88">
        <v>380</v>
      </c>
      <c r="AF478" s="88">
        <v>360</v>
      </c>
      <c r="AG478" s="66">
        <f t="shared" si="14"/>
        <v>508.12615384615378</v>
      </c>
      <c r="AH478" s="143">
        <f t="shared" si="15"/>
        <v>1000</v>
      </c>
    </row>
    <row r="479" spans="1:34" s="90" customFormat="1" x14ac:dyDescent="0.3">
      <c r="A479" s="84">
        <v>803034</v>
      </c>
      <c r="B479" s="87">
        <v>16.666666666666664</v>
      </c>
      <c r="C479" s="87">
        <v>6.3750000000000018</v>
      </c>
      <c r="D479" s="86">
        <v>8.83</v>
      </c>
      <c r="E479" s="99">
        <v>0.09</v>
      </c>
      <c r="F479" s="84">
        <v>27.400000000000002</v>
      </c>
      <c r="G479" s="84"/>
      <c r="H479" s="84">
        <v>45.45</v>
      </c>
      <c r="I479" s="84">
        <v>324</v>
      </c>
      <c r="J479" s="85">
        <v>1.2E-2</v>
      </c>
      <c r="K479" s="87">
        <v>19.600000000000001</v>
      </c>
      <c r="L479" s="83">
        <v>340</v>
      </c>
      <c r="M479" s="83">
        <v>0.13</v>
      </c>
      <c r="N479" s="83">
        <v>0.68</v>
      </c>
      <c r="O479" s="83">
        <v>1.35</v>
      </c>
      <c r="P479" s="83">
        <v>1.9</v>
      </c>
      <c r="Q479" s="83"/>
      <c r="R479" s="86">
        <v>0.19679910733515121</v>
      </c>
      <c r="S479" s="87">
        <v>1.4</v>
      </c>
      <c r="T479" s="83"/>
      <c r="U479" s="83"/>
      <c r="V479" s="83"/>
      <c r="W479" s="83"/>
      <c r="X479" s="83"/>
      <c r="Y479" s="87">
        <v>15.400000000000002</v>
      </c>
      <c r="Z479" s="83"/>
      <c r="AA479" s="86"/>
      <c r="AB479" s="86"/>
      <c r="AC479" s="83"/>
      <c r="AD479" s="88">
        <v>220</v>
      </c>
      <c r="AE479" s="88">
        <v>400</v>
      </c>
      <c r="AF479" s="88">
        <v>380</v>
      </c>
      <c r="AG479" s="66">
        <f t="shared" si="14"/>
        <v>450.54545454545445</v>
      </c>
      <c r="AH479" s="143">
        <f t="shared" si="15"/>
        <v>1000</v>
      </c>
    </row>
    <row r="480" spans="1:34" s="90" customFormat="1" x14ac:dyDescent="0.3">
      <c r="A480" s="84">
        <v>803035</v>
      </c>
      <c r="B480" s="87">
        <v>12.833333333333332</v>
      </c>
      <c r="C480" s="87">
        <v>6.5000000000000036</v>
      </c>
      <c r="D480" s="86">
        <v>8.61</v>
      </c>
      <c r="E480" s="99">
        <v>0.09</v>
      </c>
      <c r="F480" s="84">
        <v>27.400000000000002</v>
      </c>
      <c r="G480" s="84"/>
      <c r="H480" s="84">
        <v>26.94</v>
      </c>
      <c r="I480" s="84">
        <v>327</v>
      </c>
      <c r="J480" s="85">
        <v>1.0999999999999999E-2</v>
      </c>
      <c r="K480" s="87">
        <v>19.739999999999998</v>
      </c>
      <c r="L480" s="83">
        <v>380</v>
      </c>
      <c r="M480" s="83">
        <v>0.23</v>
      </c>
      <c r="N480" s="83">
        <v>0.71</v>
      </c>
      <c r="O480" s="83">
        <v>1.68</v>
      </c>
      <c r="P480" s="83">
        <v>2.37</v>
      </c>
      <c r="Q480" s="83"/>
      <c r="R480" s="86">
        <v>0.55266616510163369</v>
      </c>
      <c r="S480" s="87">
        <v>4.0999999999999996</v>
      </c>
      <c r="T480" s="83"/>
      <c r="U480" s="83"/>
      <c r="V480" s="83"/>
      <c r="W480" s="83"/>
      <c r="X480" s="83"/>
      <c r="Y480" s="87">
        <v>16.8</v>
      </c>
      <c r="Z480" s="83"/>
      <c r="AA480" s="86"/>
      <c r="AB480" s="86"/>
      <c r="AC480" s="83"/>
      <c r="AD480" s="88">
        <v>280</v>
      </c>
      <c r="AE480" s="88">
        <v>380</v>
      </c>
      <c r="AF480" s="88">
        <v>340</v>
      </c>
      <c r="AG480" s="66">
        <f t="shared" si="14"/>
        <v>415.95</v>
      </c>
      <c r="AH480" s="143">
        <f t="shared" si="15"/>
        <v>1000</v>
      </c>
    </row>
    <row r="481" spans="1:34" s="90" customFormat="1" x14ac:dyDescent="0.3">
      <c r="A481" s="84">
        <v>803036</v>
      </c>
      <c r="B481" s="87">
        <v>13.333333333333334</v>
      </c>
      <c r="C481" s="87">
        <v>7.0000000000000018</v>
      </c>
      <c r="D481" s="86">
        <v>8.59</v>
      </c>
      <c r="E481" s="99">
        <v>0.1</v>
      </c>
      <c r="F481" s="84">
        <v>26.75</v>
      </c>
      <c r="G481" s="84"/>
      <c r="H481" s="84">
        <v>38.08</v>
      </c>
      <c r="I481" s="84">
        <v>198</v>
      </c>
      <c r="J481" s="85">
        <v>8.9999999999999993E-3</v>
      </c>
      <c r="K481" s="87">
        <v>16.62</v>
      </c>
      <c r="L481" s="83">
        <v>220</v>
      </c>
      <c r="M481" s="83">
        <v>0.19</v>
      </c>
      <c r="N481" s="83">
        <v>0.61</v>
      </c>
      <c r="O481" s="83">
        <v>1.62</v>
      </c>
      <c r="P481" s="83">
        <v>1.74</v>
      </c>
      <c r="Q481" s="83"/>
      <c r="R481" s="86">
        <v>0.32296969169199041</v>
      </c>
      <c r="S481" s="87">
        <v>2.4</v>
      </c>
      <c r="T481" s="83"/>
      <c r="U481" s="83"/>
      <c r="V481" s="83"/>
      <c r="W481" s="83"/>
      <c r="X481" s="83"/>
      <c r="Y481" s="87">
        <v>15.6</v>
      </c>
      <c r="Z481" s="83"/>
      <c r="AA481" s="86"/>
      <c r="AB481" s="86"/>
      <c r="AC481" s="83"/>
      <c r="AD481" s="88">
        <v>260</v>
      </c>
      <c r="AE481" s="88">
        <v>380</v>
      </c>
      <c r="AF481" s="88">
        <v>360</v>
      </c>
      <c r="AG481" s="66">
        <f t="shared" si="14"/>
        <v>377.14615384615388</v>
      </c>
      <c r="AH481" s="143">
        <f t="shared" si="15"/>
        <v>1000</v>
      </c>
    </row>
    <row r="482" spans="1:34" s="90" customFormat="1" x14ac:dyDescent="0.3">
      <c r="A482" s="84">
        <v>803037</v>
      </c>
      <c r="B482" s="87">
        <v>15.166666666666664</v>
      </c>
      <c r="C482" s="87">
        <v>7.1250000000000018</v>
      </c>
      <c r="D482" s="86">
        <v>8.7200000000000006</v>
      </c>
      <c r="E482" s="99">
        <v>0.11</v>
      </c>
      <c r="F482" s="84">
        <v>27.9</v>
      </c>
      <c r="G482" s="84"/>
      <c r="H482" s="84">
        <v>31.36</v>
      </c>
      <c r="I482" s="84">
        <v>449</v>
      </c>
      <c r="J482" s="85">
        <v>0.02</v>
      </c>
      <c r="K482" s="87">
        <v>19.47</v>
      </c>
      <c r="L482" s="83">
        <v>360</v>
      </c>
      <c r="M482" s="83">
        <v>0.13</v>
      </c>
      <c r="N482" s="83">
        <v>0.68</v>
      </c>
      <c r="O482" s="83">
        <v>1.64</v>
      </c>
      <c r="P482" s="83">
        <v>1.74</v>
      </c>
      <c r="Q482" s="83"/>
      <c r="R482" s="86">
        <v>0.27312356560690548</v>
      </c>
      <c r="S482" s="87">
        <v>1.8</v>
      </c>
      <c r="T482" s="83"/>
      <c r="U482" s="83"/>
      <c r="V482" s="83"/>
      <c r="W482" s="83"/>
      <c r="X482" s="83"/>
      <c r="Y482" s="87">
        <v>22.400000000000002</v>
      </c>
      <c r="Z482" s="83"/>
      <c r="AA482" s="86"/>
      <c r="AB482" s="86"/>
      <c r="AC482" s="83"/>
      <c r="AD482" s="88">
        <v>320</v>
      </c>
      <c r="AE482" s="88">
        <v>360</v>
      </c>
      <c r="AF482" s="88">
        <v>320</v>
      </c>
      <c r="AG482" s="66">
        <f t="shared" si="14"/>
        <v>307.69553571428571</v>
      </c>
      <c r="AH482" s="143">
        <f t="shared" si="15"/>
        <v>1000</v>
      </c>
    </row>
    <row r="483" spans="1:34" s="90" customFormat="1" x14ac:dyDescent="0.3">
      <c r="A483" s="84">
        <v>803038</v>
      </c>
      <c r="B483" s="87">
        <v>12.166666666666666</v>
      </c>
      <c r="C483" s="87">
        <v>7.2500000000000009</v>
      </c>
      <c r="D483" s="86">
        <v>8.69</v>
      </c>
      <c r="E483" s="99">
        <v>0.37</v>
      </c>
      <c r="F483" s="84">
        <v>142.44999999999999</v>
      </c>
      <c r="G483" s="84"/>
      <c r="H483" s="84">
        <v>358.95000000000005</v>
      </c>
      <c r="I483" s="84">
        <v>469</v>
      </c>
      <c r="J483" s="85">
        <v>0.22500000000000001</v>
      </c>
      <c r="K483" s="87">
        <v>18.649999999999999</v>
      </c>
      <c r="L483" s="83">
        <v>850</v>
      </c>
      <c r="M483" s="83">
        <v>2.5499999999999998</v>
      </c>
      <c r="N483" s="83">
        <v>3.75</v>
      </c>
      <c r="O483" s="83">
        <v>5.87</v>
      </c>
      <c r="P483" s="83">
        <v>6.22</v>
      </c>
      <c r="Q483" s="83"/>
      <c r="R483" s="86">
        <v>0.79974348527159911</v>
      </c>
      <c r="S483" s="87">
        <v>5.4</v>
      </c>
      <c r="T483" s="83"/>
      <c r="U483" s="83"/>
      <c r="V483" s="83"/>
      <c r="W483" s="83"/>
      <c r="X483" s="83"/>
      <c r="Y483" s="87">
        <v>24</v>
      </c>
      <c r="Z483" s="83"/>
      <c r="AA483" s="86"/>
      <c r="AB483" s="86"/>
      <c r="AC483" s="83"/>
      <c r="AD483" s="88">
        <v>480</v>
      </c>
      <c r="AE483" s="88">
        <v>260</v>
      </c>
      <c r="AF483" s="88">
        <v>260</v>
      </c>
      <c r="AG483" s="66">
        <f t="shared" si="14"/>
        <v>275.08750000000003</v>
      </c>
      <c r="AH483" s="143">
        <f t="shared" si="15"/>
        <v>1000</v>
      </c>
    </row>
    <row r="484" spans="1:34" s="90" customFormat="1" x14ac:dyDescent="0.3">
      <c r="A484" s="84">
        <v>803039</v>
      </c>
      <c r="B484" s="87">
        <v>7.75</v>
      </c>
      <c r="C484" s="87"/>
      <c r="D484" s="86">
        <v>8.75</v>
      </c>
      <c r="E484" s="99">
        <v>0.18</v>
      </c>
      <c r="F484" s="84">
        <v>64.599999999999994</v>
      </c>
      <c r="G484" s="84"/>
      <c r="H484" s="84">
        <v>37.89</v>
      </c>
      <c r="I484" s="84">
        <v>175</v>
      </c>
      <c r="J484" s="85">
        <v>6.5000000000000002E-2</v>
      </c>
      <c r="K484" s="87">
        <v>17.16</v>
      </c>
      <c r="L484" s="83">
        <v>340</v>
      </c>
      <c r="M484" s="83">
        <v>0.18</v>
      </c>
      <c r="N484" s="83">
        <v>0.36</v>
      </c>
      <c r="O484" s="83">
        <v>1.86</v>
      </c>
      <c r="P484" s="83">
        <v>2.0299999999999998</v>
      </c>
      <c r="Q484" s="83"/>
      <c r="R484" s="86">
        <v>0.48527824912373091</v>
      </c>
      <c r="S484" s="87">
        <v>3.4</v>
      </c>
      <c r="T484" s="83"/>
      <c r="U484" s="83"/>
      <c r="V484" s="83"/>
      <c r="W484" s="83"/>
      <c r="X484" s="83"/>
      <c r="Y484" s="87">
        <v>9</v>
      </c>
      <c r="Z484" s="83"/>
      <c r="AA484" s="86"/>
      <c r="AB484" s="86"/>
      <c r="AC484" s="83"/>
      <c r="AD484" s="88">
        <v>180</v>
      </c>
      <c r="AE484" s="88">
        <v>180</v>
      </c>
      <c r="AF484" s="88">
        <v>640</v>
      </c>
      <c r="AG484" s="66">
        <f t="shared" si="14"/>
        <v>674.96</v>
      </c>
      <c r="AH484" s="143">
        <f t="shared" si="15"/>
        <v>1000</v>
      </c>
    </row>
    <row r="485" spans="1:34" s="90" customFormat="1" x14ac:dyDescent="0.3">
      <c r="A485" s="84">
        <v>803040</v>
      </c>
      <c r="B485" s="87">
        <v>17</v>
      </c>
      <c r="C485" s="87">
        <v>6.7500000000000027</v>
      </c>
      <c r="D485" s="86">
        <v>8.86</v>
      </c>
      <c r="E485" s="99">
        <v>0.13</v>
      </c>
      <c r="F485" s="84">
        <v>36.85</v>
      </c>
      <c r="G485" s="84"/>
      <c r="H485" s="84">
        <v>50.26</v>
      </c>
      <c r="I485" s="84">
        <v>316</v>
      </c>
      <c r="J485" s="85">
        <v>2.7E-2</v>
      </c>
      <c r="K485" s="87">
        <v>17.809999999999999</v>
      </c>
      <c r="L485" s="83">
        <v>300</v>
      </c>
      <c r="M485" s="83">
        <v>0.3</v>
      </c>
      <c r="N485" s="83">
        <v>0.43</v>
      </c>
      <c r="O485" s="83">
        <v>1.61</v>
      </c>
      <c r="P485" s="83">
        <v>1.73</v>
      </c>
      <c r="Q485" s="83"/>
      <c r="R485" s="86">
        <v>0.45277242350538094</v>
      </c>
      <c r="S485" s="87">
        <v>3.3</v>
      </c>
      <c r="T485" s="83"/>
      <c r="U485" s="83"/>
      <c r="V485" s="83"/>
      <c r="W485" s="83"/>
      <c r="X485" s="83"/>
      <c r="Y485" s="87">
        <v>12.600000000000001</v>
      </c>
      <c r="Z485" s="83"/>
      <c r="AA485" s="86"/>
      <c r="AB485" s="86"/>
      <c r="AC485" s="83"/>
      <c r="AD485" s="88">
        <v>180</v>
      </c>
      <c r="AE485" s="88">
        <v>160</v>
      </c>
      <c r="AF485" s="88">
        <v>660</v>
      </c>
      <c r="AG485" s="66">
        <f t="shared" si="14"/>
        <v>500.3761904761904</v>
      </c>
      <c r="AH485" s="143">
        <f t="shared" si="15"/>
        <v>1000</v>
      </c>
    </row>
    <row r="486" spans="1:34" s="90" customFormat="1" x14ac:dyDescent="0.3">
      <c r="A486" s="84">
        <v>803041</v>
      </c>
      <c r="B486" s="87">
        <v>15.916666666666664</v>
      </c>
      <c r="C486" s="87">
        <v>5</v>
      </c>
      <c r="D486" s="86">
        <v>8.58</v>
      </c>
      <c r="E486" s="99">
        <v>0.45</v>
      </c>
      <c r="F486" s="84">
        <v>265.45000000000005</v>
      </c>
      <c r="G486" s="84"/>
      <c r="H486" s="84">
        <v>401.66</v>
      </c>
      <c r="I486" s="84">
        <v>574</v>
      </c>
      <c r="J486" s="85">
        <v>6.0999999999999999E-2</v>
      </c>
      <c r="K486" s="87">
        <v>17.73</v>
      </c>
      <c r="L486" s="83">
        <v>1160</v>
      </c>
      <c r="M486" s="83">
        <v>5.37</v>
      </c>
      <c r="N486" s="83">
        <v>3.32</v>
      </c>
      <c r="O486" s="83">
        <v>13.66</v>
      </c>
      <c r="P486" s="83">
        <v>13.3</v>
      </c>
      <c r="Q486" s="83"/>
      <c r="R486" s="86">
        <v>1.6022000000000001</v>
      </c>
      <c r="S486" s="87">
        <v>11</v>
      </c>
      <c r="T486" s="83"/>
      <c r="U486" s="83"/>
      <c r="V486" s="83"/>
      <c r="W486" s="83"/>
      <c r="X486" s="83"/>
      <c r="Y486" s="87">
        <v>34</v>
      </c>
      <c r="Z486" s="83"/>
      <c r="AA486" s="86"/>
      <c r="AB486" s="86"/>
      <c r="AC486" s="83"/>
      <c r="AD486" s="88">
        <v>680</v>
      </c>
      <c r="AE486" s="88">
        <v>180</v>
      </c>
      <c r="AF486" s="88">
        <v>140</v>
      </c>
      <c r="AG486" s="66">
        <f t="shared" si="14"/>
        <v>184.60058823529411</v>
      </c>
      <c r="AH486" s="143">
        <f t="shared" si="15"/>
        <v>1000</v>
      </c>
    </row>
    <row r="487" spans="1:34" s="90" customFormat="1" x14ac:dyDescent="0.3">
      <c r="A487" s="84">
        <v>803042</v>
      </c>
      <c r="B487" s="87">
        <v>15.416666666666664</v>
      </c>
      <c r="C487" s="87">
        <v>7.7500000000000018</v>
      </c>
      <c r="D487" s="86">
        <v>7.86</v>
      </c>
      <c r="E487" s="99">
        <v>0.78</v>
      </c>
      <c r="F487" s="84">
        <v>573.45000000000005</v>
      </c>
      <c r="G487" s="84"/>
      <c r="H487" s="84">
        <v>87.65</v>
      </c>
      <c r="I487" s="84">
        <v>255</v>
      </c>
      <c r="J487" s="85">
        <v>0.28000000000000003</v>
      </c>
      <c r="K487" s="87">
        <v>17.28</v>
      </c>
      <c r="L487" s="83">
        <v>840</v>
      </c>
      <c r="M487" s="83">
        <v>1.57</v>
      </c>
      <c r="N487" s="83">
        <v>1.39</v>
      </c>
      <c r="O487" s="83">
        <v>14.01</v>
      </c>
      <c r="P487" s="83">
        <v>3.57</v>
      </c>
      <c r="Q487" s="83"/>
      <c r="R487" s="86">
        <v>1.1053294548416448</v>
      </c>
      <c r="S487" s="87">
        <v>7.9</v>
      </c>
      <c r="T487" s="83"/>
      <c r="U487" s="83"/>
      <c r="V487" s="83"/>
      <c r="W487" s="83"/>
      <c r="X487" s="83"/>
      <c r="Y487" s="87">
        <v>20</v>
      </c>
      <c r="Z487" s="83"/>
      <c r="AA487" s="86"/>
      <c r="AB487" s="86"/>
      <c r="AC487" s="83"/>
      <c r="AD487" s="88">
        <v>400</v>
      </c>
      <c r="AE487" s="88">
        <v>340</v>
      </c>
      <c r="AF487" s="88">
        <v>260</v>
      </c>
      <c r="AG487" s="66">
        <f t="shared" si="14"/>
        <v>305.85600000000005</v>
      </c>
      <c r="AH487" s="143">
        <f t="shared" si="15"/>
        <v>1000</v>
      </c>
    </row>
    <row r="488" spans="1:34" s="90" customFormat="1" x14ac:dyDescent="0.3">
      <c r="A488" s="84">
        <v>803043</v>
      </c>
      <c r="B488" s="87">
        <v>16.666666666666664</v>
      </c>
      <c r="C488" s="87">
        <v>6.7500000000000027</v>
      </c>
      <c r="D488" s="86">
        <v>8.9600000000000009</v>
      </c>
      <c r="E488" s="99">
        <v>0.11</v>
      </c>
      <c r="F488" s="84">
        <v>38</v>
      </c>
      <c r="G488" s="84"/>
      <c r="H488" s="84">
        <v>50.21</v>
      </c>
      <c r="I488" s="84">
        <v>447</v>
      </c>
      <c r="J488" s="85">
        <v>2.1000000000000001E-2</v>
      </c>
      <c r="K488" s="87">
        <v>18.059999999999999</v>
      </c>
      <c r="L488" s="83">
        <v>380</v>
      </c>
      <c r="M488" s="83">
        <v>0.17</v>
      </c>
      <c r="N488" s="83">
        <v>0.54</v>
      </c>
      <c r="O488" s="83">
        <v>0.98</v>
      </c>
      <c r="P488" s="83">
        <v>2.06</v>
      </c>
      <c r="Q488" s="83"/>
      <c r="R488" s="86">
        <v>0.16394490976390547</v>
      </c>
      <c r="S488" s="87">
        <v>1.2</v>
      </c>
      <c r="T488" s="83"/>
      <c r="U488" s="83"/>
      <c r="V488" s="83"/>
      <c r="W488" s="83"/>
      <c r="X488" s="83"/>
      <c r="Y488" s="87">
        <v>15</v>
      </c>
      <c r="Z488" s="83"/>
      <c r="AA488" s="86"/>
      <c r="AB488" s="86"/>
      <c r="AC488" s="83"/>
      <c r="AD488" s="88">
        <v>300</v>
      </c>
      <c r="AE488" s="88">
        <v>360</v>
      </c>
      <c r="AF488" s="88">
        <v>340</v>
      </c>
      <c r="AG488" s="66">
        <f t="shared" si="14"/>
        <v>426.21600000000001</v>
      </c>
      <c r="AH488" s="143">
        <f t="shared" si="15"/>
        <v>1000</v>
      </c>
    </row>
    <row r="489" spans="1:34" s="90" customFormat="1" x14ac:dyDescent="0.3">
      <c r="A489" s="84">
        <v>803044</v>
      </c>
      <c r="B489" s="87">
        <v>14.833333333333334</v>
      </c>
      <c r="C489" s="87">
        <v>6.7500000000000027</v>
      </c>
      <c r="D489" s="86">
        <v>8.66</v>
      </c>
      <c r="E489" s="99">
        <v>0.12</v>
      </c>
      <c r="F489" s="84">
        <v>33.050000000000004</v>
      </c>
      <c r="G489" s="84"/>
      <c r="H489" s="84">
        <v>301.74</v>
      </c>
      <c r="I489" s="84">
        <v>210</v>
      </c>
      <c r="J489" s="85">
        <v>1.2E-2</v>
      </c>
      <c r="K489" s="87">
        <v>17.059999999999999</v>
      </c>
      <c r="L489" s="83">
        <v>800</v>
      </c>
      <c r="M489" s="83">
        <v>4.5999999999999996</v>
      </c>
      <c r="N489" s="83">
        <v>1.49</v>
      </c>
      <c r="O489" s="83">
        <v>4.3899999999999997</v>
      </c>
      <c r="P489" s="83">
        <v>8.82</v>
      </c>
      <c r="Q489" s="83"/>
      <c r="R489" s="86">
        <v>1.293610071403918</v>
      </c>
      <c r="S489" s="87">
        <v>8.6999999999999993</v>
      </c>
      <c r="T489" s="83"/>
      <c r="U489" s="83"/>
      <c r="V489" s="83"/>
      <c r="W489" s="83"/>
      <c r="X489" s="83"/>
      <c r="Y489" s="87">
        <v>16.8</v>
      </c>
      <c r="Z489" s="83"/>
      <c r="AA489" s="86"/>
      <c r="AB489" s="86"/>
      <c r="AC489" s="83"/>
      <c r="AD489" s="88">
        <v>280</v>
      </c>
      <c r="AE489" s="88">
        <v>240</v>
      </c>
      <c r="AF489" s="88">
        <v>480</v>
      </c>
      <c r="AG489" s="66">
        <f t="shared" si="14"/>
        <v>359.4785714285714</v>
      </c>
      <c r="AH489" s="143">
        <f t="shared" si="15"/>
        <v>1000</v>
      </c>
    </row>
    <row r="490" spans="1:34" s="90" customFormat="1" x14ac:dyDescent="0.3">
      <c r="A490" s="84">
        <v>803045</v>
      </c>
      <c r="B490" s="87">
        <v>14.916666666666664</v>
      </c>
      <c r="C490" s="87">
        <v>6.0000000000000009</v>
      </c>
      <c r="D490" s="86">
        <v>8.75</v>
      </c>
      <c r="E490" s="99">
        <v>0.09</v>
      </c>
      <c r="F490" s="84">
        <v>34.049999999999997</v>
      </c>
      <c r="G490" s="84"/>
      <c r="H490" s="84">
        <v>90.41</v>
      </c>
      <c r="I490" s="84">
        <v>151</v>
      </c>
      <c r="J490" s="85">
        <v>7.0000000000000001E-3</v>
      </c>
      <c r="K490" s="87">
        <v>17.34</v>
      </c>
      <c r="L490" s="83">
        <v>520</v>
      </c>
      <c r="M490" s="83">
        <v>0.82</v>
      </c>
      <c r="N490" s="83">
        <v>0.59</v>
      </c>
      <c r="O490" s="83">
        <v>2.73</v>
      </c>
      <c r="P490" s="83">
        <v>3.44</v>
      </c>
      <c r="Q490" s="83"/>
      <c r="R490" s="86">
        <v>0.71451831112716413</v>
      </c>
      <c r="S490" s="87">
        <v>4.9000000000000004</v>
      </c>
      <c r="T490" s="83"/>
      <c r="U490" s="83"/>
      <c r="V490" s="83"/>
      <c r="W490" s="83"/>
      <c r="X490" s="83"/>
      <c r="Y490" s="87">
        <v>19.600000000000001</v>
      </c>
      <c r="Z490" s="83"/>
      <c r="AA490" s="86"/>
      <c r="AB490" s="86"/>
      <c r="AC490" s="83"/>
      <c r="AD490" s="88">
        <v>280</v>
      </c>
      <c r="AE490" s="88">
        <v>240</v>
      </c>
      <c r="AF490" s="88">
        <v>480</v>
      </c>
      <c r="AG490" s="66">
        <f t="shared" si="14"/>
        <v>313.18163265306123</v>
      </c>
      <c r="AH490" s="143">
        <f t="shared" si="15"/>
        <v>1000</v>
      </c>
    </row>
    <row r="491" spans="1:34" s="90" customFormat="1" x14ac:dyDescent="0.3">
      <c r="A491" s="84">
        <v>803046</v>
      </c>
      <c r="B491" s="87">
        <v>14.666666666666666</v>
      </c>
      <c r="C491" s="87">
        <v>6.0000000000000009</v>
      </c>
      <c r="D491" s="86">
        <v>8.66</v>
      </c>
      <c r="E491" s="99">
        <v>0.14000000000000001</v>
      </c>
      <c r="F491" s="84">
        <v>35.450000000000003</v>
      </c>
      <c r="G491" s="84"/>
      <c r="H491" s="84">
        <v>179.51</v>
      </c>
      <c r="I491" s="84">
        <v>157</v>
      </c>
      <c r="J491" s="85">
        <v>6.0000000000000001E-3</v>
      </c>
      <c r="K491" s="87">
        <v>14.95</v>
      </c>
      <c r="L491" s="83">
        <v>490</v>
      </c>
      <c r="M491" s="83">
        <v>2.04</v>
      </c>
      <c r="N491" s="83">
        <v>0.51</v>
      </c>
      <c r="O491" s="83">
        <v>4.53</v>
      </c>
      <c r="P491" s="83">
        <v>5.21</v>
      </c>
      <c r="Q491" s="83"/>
      <c r="R491" s="86">
        <v>0.39079495507583989</v>
      </c>
      <c r="S491" s="87">
        <v>2.7</v>
      </c>
      <c r="T491" s="83"/>
      <c r="U491" s="83"/>
      <c r="V491" s="83"/>
      <c r="W491" s="83"/>
      <c r="X491" s="83"/>
      <c r="Y491" s="87">
        <v>7.1999999999999993</v>
      </c>
      <c r="Z491" s="83"/>
      <c r="AA491" s="86"/>
      <c r="AB491" s="86"/>
      <c r="AC491" s="83"/>
      <c r="AD491" s="88">
        <v>120</v>
      </c>
      <c r="AE491" s="88">
        <v>80</v>
      </c>
      <c r="AF491" s="88">
        <v>800</v>
      </c>
      <c r="AG491" s="66">
        <f t="shared" si="14"/>
        <v>735.04166666666663</v>
      </c>
      <c r="AH491" s="143">
        <f t="shared" si="15"/>
        <v>1000</v>
      </c>
    </row>
    <row r="492" spans="1:34" s="90" customFormat="1" x14ac:dyDescent="0.3">
      <c r="A492" s="84">
        <v>803047</v>
      </c>
      <c r="B492" s="87">
        <v>14.75</v>
      </c>
      <c r="C492" s="87">
        <v>7.2500000000000009</v>
      </c>
      <c r="D492" s="86">
        <v>8.67</v>
      </c>
      <c r="E492" s="99">
        <v>0.14000000000000001</v>
      </c>
      <c r="F492" s="84">
        <v>43.849999999999994</v>
      </c>
      <c r="G492" s="84"/>
      <c r="H492" s="84">
        <v>249.63</v>
      </c>
      <c r="I492" s="84">
        <v>284</v>
      </c>
      <c r="J492" s="85">
        <v>8.0000000000000002E-3</v>
      </c>
      <c r="K492" s="87">
        <v>18.690000000000001</v>
      </c>
      <c r="L492" s="83">
        <v>970</v>
      </c>
      <c r="M492" s="83">
        <v>3.14</v>
      </c>
      <c r="N492" s="83">
        <v>0.91</v>
      </c>
      <c r="O492" s="83">
        <v>12.81</v>
      </c>
      <c r="P492" s="83">
        <v>8.39</v>
      </c>
      <c r="Q492" s="83"/>
      <c r="R492" s="86">
        <v>0.89644943546856826</v>
      </c>
      <c r="S492" s="87">
        <v>6.4</v>
      </c>
      <c r="T492" s="83"/>
      <c r="U492" s="83"/>
      <c r="V492" s="83"/>
      <c r="W492" s="83"/>
      <c r="X492" s="83"/>
      <c r="Y492" s="87">
        <v>18</v>
      </c>
      <c r="Z492" s="83"/>
      <c r="AA492" s="86"/>
      <c r="AB492" s="86"/>
      <c r="AC492" s="83"/>
      <c r="AD492" s="88">
        <v>300</v>
      </c>
      <c r="AE492" s="88">
        <v>220</v>
      </c>
      <c r="AF492" s="88">
        <v>480</v>
      </c>
      <c r="AG492" s="66">
        <f t="shared" si="14"/>
        <v>367.57000000000005</v>
      </c>
      <c r="AH492" s="143">
        <f t="shared" si="15"/>
        <v>1000</v>
      </c>
    </row>
    <row r="493" spans="1:34" s="90" customFormat="1" x14ac:dyDescent="0.3">
      <c r="A493" s="84">
        <v>803048</v>
      </c>
      <c r="B493" s="87">
        <v>11.083333333333334</v>
      </c>
      <c r="C493" s="87">
        <v>6.7500000000000027</v>
      </c>
      <c r="D493" s="86">
        <v>8.69</v>
      </c>
      <c r="E493" s="99">
        <v>0.15</v>
      </c>
      <c r="F493" s="84">
        <v>50.15</v>
      </c>
      <c r="G493" s="84"/>
      <c r="H493" s="84">
        <v>211.46</v>
      </c>
      <c r="I493" s="84">
        <v>201</v>
      </c>
      <c r="J493" s="85">
        <v>4.0000000000000001E-3</v>
      </c>
      <c r="K493" s="87">
        <v>17.05</v>
      </c>
      <c r="L493" s="83">
        <v>740</v>
      </c>
      <c r="M493" s="83">
        <v>3.87</v>
      </c>
      <c r="N493" s="83">
        <v>0.63</v>
      </c>
      <c r="O493" s="83">
        <v>4.45</v>
      </c>
      <c r="P493" s="83">
        <v>7.53</v>
      </c>
      <c r="Q493" s="83"/>
      <c r="R493" s="86">
        <v>1.1283073149426872</v>
      </c>
      <c r="S493" s="87">
        <v>7.9</v>
      </c>
      <c r="T493" s="83"/>
      <c r="U493" s="83"/>
      <c r="V493" s="83"/>
      <c r="W493" s="83"/>
      <c r="X493" s="83"/>
      <c r="Y493" s="87">
        <v>22.400000000000002</v>
      </c>
      <c r="Z493" s="83"/>
      <c r="AA493" s="86"/>
      <c r="AB493" s="86"/>
      <c r="AC493" s="83"/>
      <c r="AD493" s="88">
        <v>320</v>
      </c>
      <c r="AE493" s="88">
        <v>180</v>
      </c>
      <c r="AF493" s="88">
        <v>500</v>
      </c>
      <c r="AG493" s="66">
        <f t="shared" si="14"/>
        <v>269.45089285714289</v>
      </c>
      <c r="AH493" s="143">
        <f t="shared" si="15"/>
        <v>1000</v>
      </c>
    </row>
    <row r="494" spans="1:34" s="90" customFormat="1" x14ac:dyDescent="0.3">
      <c r="A494" s="84">
        <v>803049</v>
      </c>
      <c r="B494" s="87">
        <v>5.2916666666666661</v>
      </c>
      <c r="C494" s="87"/>
      <c r="D494" s="86">
        <v>8.7100000000000009</v>
      </c>
      <c r="E494" s="99">
        <v>0.09</v>
      </c>
      <c r="F494" s="84">
        <v>31.95</v>
      </c>
      <c r="G494" s="84"/>
      <c r="H494" s="84">
        <v>115.68</v>
      </c>
      <c r="I494" s="84">
        <v>165</v>
      </c>
      <c r="J494" s="85">
        <v>5.0000000000000001E-3</v>
      </c>
      <c r="K494" s="87">
        <v>16.05</v>
      </c>
      <c r="L494" s="83">
        <v>610</v>
      </c>
      <c r="M494" s="83">
        <v>0.75</v>
      </c>
      <c r="N494" s="83">
        <v>0.53</v>
      </c>
      <c r="O494" s="83">
        <v>3.02</v>
      </c>
      <c r="P494" s="83">
        <v>3.14</v>
      </c>
      <c r="Q494" s="83"/>
      <c r="R494" s="86">
        <v>0.35356451971353964</v>
      </c>
      <c r="S494" s="87">
        <v>2.2999999999999998</v>
      </c>
      <c r="T494" s="83"/>
      <c r="U494" s="83"/>
      <c r="V494" s="83"/>
      <c r="W494" s="83"/>
      <c r="X494" s="83"/>
      <c r="Y494" s="87">
        <v>14</v>
      </c>
      <c r="Z494" s="83"/>
      <c r="AA494" s="86"/>
      <c r="AB494" s="86"/>
      <c r="AC494" s="83"/>
      <c r="AD494" s="88">
        <v>280</v>
      </c>
      <c r="AE494" s="88">
        <v>200</v>
      </c>
      <c r="AF494" s="88">
        <v>520</v>
      </c>
      <c r="AG494" s="66">
        <f t="shared" si="14"/>
        <v>405.83571428571429</v>
      </c>
      <c r="AH494" s="143">
        <f t="shared" si="15"/>
        <v>1000</v>
      </c>
    </row>
    <row r="495" spans="1:34" s="90" customFormat="1" x14ac:dyDescent="0.3">
      <c r="A495" s="84">
        <v>803050</v>
      </c>
      <c r="B495" s="87">
        <v>0.11666666666666665</v>
      </c>
      <c r="C495" s="87"/>
      <c r="D495" s="86">
        <v>6.1</v>
      </c>
      <c r="E495" s="99">
        <v>1.56</v>
      </c>
      <c r="F495" s="84">
        <v>140.69999999999999</v>
      </c>
      <c r="G495" s="84"/>
      <c r="H495" s="84">
        <v>723.15</v>
      </c>
      <c r="I495" s="84">
        <v>1668</v>
      </c>
      <c r="J495" s="85">
        <v>8.7999999999999995E-2</v>
      </c>
      <c r="K495" s="87">
        <v>7.48</v>
      </c>
      <c r="L495" s="83">
        <v>740</v>
      </c>
      <c r="M495" s="83">
        <v>2.2599999999999998</v>
      </c>
      <c r="N495" s="83">
        <v>5.29</v>
      </c>
      <c r="O495" s="83">
        <v>43.68</v>
      </c>
      <c r="P495" s="83">
        <v>8.83</v>
      </c>
      <c r="Q495" s="83"/>
      <c r="R495" s="86">
        <v>0.65780540851923519</v>
      </c>
      <c r="S495" s="87">
        <v>4.5</v>
      </c>
      <c r="T495" s="83"/>
      <c r="U495" s="83"/>
      <c r="V495" s="83"/>
      <c r="W495" s="83"/>
      <c r="X495" s="83"/>
      <c r="Y495" s="87">
        <v>3.5999999999999996</v>
      </c>
      <c r="Z495" s="83"/>
      <c r="AA495" s="86"/>
      <c r="AB495" s="86"/>
      <c r="AC495" s="83"/>
      <c r="AD495" s="88">
        <v>60</v>
      </c>
      <c r="AE495" s="88">
        <v>60</v>
      </c>
      <c r="AF495" s="88">
        <v>880</v>
      </c>
      <c r="AG495" s="66">
        <f t="shared" si="14"/>
        <v>735.53333333333342</v>
      </c>
      <c r="AH495" s="143">
        <f t="shared" si="15"/>
        <v>1000</v>
      </c>
    </row>
    <row r="496" spans="1:34" s="90" customFormat="1" x14ac:dyDescent="0.3">
      <c r="A496" s="84">
        <v>803051</v>
      </c>
      <c r="B496" s="87">
        <v>0.2166666666666667</v>
      </c>
      <c r="C496" s="87"/>
      <c r="D496" s="86">
        <v>5.86</v>
      </c>
      <c r="E496" s="99">
        <v>2.93</v>
      </c>
      <c r="F496" s="84">
        <v>442.70000000000005</v>
      </c>
      <c r="G496" s="84"/>
      <c r="H496" s="84">
        <v>938.19999999999993</v>
      </c>
      <c r="I496" s="84">
        <v>914</v>
      </c>
      <c r="J496" s="85">
        <v>4.2000000000000003E-2</v>
      </c>
      <c r="K496" s="87">
        <v>5.22</v>
      </c>
      <c r="L496" s="83">
        <v>410</v>
      </c>
      <c r="M496" s="83">
        <v>8.06</v>
      </c>
      <c r="N496" s="83">
        <v>5.88</v>
      </c>
      <c r="O496" s="83">
        <v>40.78</v>
      </c>
      <c r="P496" s="83">
        <v>16.73</v>
      </c>
      <c r="Q496" s="83"/>
      <c r="R496" s="86">
        <v>1.2555092834485171</v>
      </c>
      <c r="S496" s="87">
        <v>8.6999999999999993</v>
      </c>
      <c r="T496" s="83"/>
      <c r="U496" s="83"/>
      <c r="V496" s="83"/>
      <c r="W496" s="83"/>
      <c r="X496" s="83"/>
      <c r="Y496" s="87">
        <v>4.2</v>
      </c>
      <c r="Z496" s="83"/>
      <c r="AA496" s="86"/>
      <c r="AB496" s="86"/>
      <c r="AC496" s="83"/>
      <c r="AD496" s="88">
        <v>60</v>
      </c>
      <c r="AE496" s="88">
        <v>60</v>
      </c>
      <c r="AF496" s="88">
        <v>880</v>
      </c>
      <c r="AG496" s="66">
        <f t="shared" si="14"/>
        <v>439.97142857142853</v>
      </c>
      <c r="AH496" s="143">
        <f t="shared" si="15"/>
        <v>1000</v>
      </c>
    </row>
    <row r="497" spans="1:34" s="90" customFormat="1" x14ac:dyDescent="0.3">
      <c r="A497" s="84">
        <v>803052</v>
      </c>
      <c r="B497" s="87">
        <v>0.11666666666666665</v>
      </c>
      <c r="C497" s="87"/>
      <c r="D497" s="86">
        <v>5.8</v>
      </c>
      <c r="E497" s="99">
        <v>2.21</v>
      </c>
      <c r="F497" s="84">
        <v>351.5</v>
      </c>
      <c r="G497" s="84"/>
      <c r="H497" s="84">
        <v>916.9</v>
      </c>
      <c r="I497" s="84">
        <v>1384</v>
      </c>
      <c r="J497" s="85">
        <v>0.105</v>
      </c>
      <c r="K497" s="87">
        <v>5.58</v>
      </c>
      <c r="L497" s="83">
        <v>610</v>
      </c>
      <c r="M497" s="83">
        <v>4.41</v>
      </c>
      <c r="N497" s="83">
        <v>5.21</v>
      </c>
      <c r="O497" s="83">
        <v>41.15</v>
      </c>
      <c r="P497" s="83">
        <v>9.76</v>
      </c>
      <c r="Q497" s="83"/>
      <c r="R497" s="86">
        <v>0.70304722016575361</v>
      </c>
      <c r="S497" s="87">
        <v>4.8</v>
      </c>
      <c r="T497" s="83"/>
      <c r="U497" s="83"/>
      <c r="V497" s="83"/>
      <c r="W497" s="83"/>
      <c r="X497" s="83"/>
      <c r="Y497" s="87">
        <v>4.2</v>
      </c>
      <c r="Z497" s="83"/>
      <c r="AA497" s="86"/>
      <c r="AB497" s="86"/>
      <c r="AC497" s="83"/>
      <c r="AD497" s="88">
        <v>60</v>
      </c>
      <c r="AE497" s="88">
        <v>60</v>
      </c>
      <c r="AF497" s="88">
        <v>880</v>
      </c>
      <c r="AG497" s="66">
        <f t="shared" si="14"/>
        <v>470.31428571428569</v>
      </c>
      <c r="AH497" s="143">
        <f t="shared" si="15"/>
        <v>1000</v>
      </c>
    </row>
    <row r="498" spans="1:34" s="90" customFormat="1" x14ac:dyDescent="0.3">
      <c r="A498" s="84">
        <v>803053</v>
      </c>
      <c r="B498" s="87">
        <v>0.26666666666666666</v>
      </c>
      <c r="C498" s="87"/>
      <c r="D498" s="86">
        <v>5.62</v>
      </c>
      <c r="E498" s="99">
        <v>1.94</v>
      </c>
      <c r="F498" s="84">
        <v>142.85</v>
      </c>
      <c r="G498" s="84"/>
      <c r="H498" s="84">
        <v>998.55000000000007</v>
      </c>
      <c r="I498" s="84">
        <v>1039</v>
      </c>
      <c r="J498" s="85">
        <v>4.4999999999999998E-2</v>
      </c>
      <c r="K498" s="87">
        <v>7.03</v>
      </c>
      <c r="L498" s="83">
        <v>570</v>
      </c>
      <c r="M498" s="83">
        <v>5.0599999999999996</v>
      </c>
      <c r="N498" s="83">
        <v>6.15</v>
      </c>
      <c r="O498" s="83">
        <v>29.23</v>
      </c>
      <c r="P498" s="83">
        <v>14.42</v>
      </c>
      <c r="Q498" s="83"/>
      <c r="R498" s="86">
        <v>0.81661995123553432</v>
      </c>
      <c r="S498" s="87">
        <v>6</v>
      </c>
      <c r="T498" s="83"/>
      <c r="U498" s="83"/>
      <c r="V498" s="83"/>
      <c r="W498" s="83"/>
      <c r="X498" s="83"/>
      <c r="Y498" s="87">
        <v>3.5999999999999996</v>
      </c>
      <c r="Z498" s="83"/>
      <c r="AA498" s="86"/>
      <c r="AB498" s="86"/>
      <c r="AC498" s="83"/>
      <c r="AD498" s="88">
        <v>60</v>
      </c>
      <c r="AE498" s="88">
        <v>60</v>
      </c>
      <c r="AF498" s="88">
        <v>880</v>
      </c>
      <c r="AG498" s="66">
        <f t="shared" si="14"/>
        <v>691.28333333333353</v>
      </c>
      <c r="AH498" s="143">
        <f t="shared" si="15"/>
        <v>1000</v>
      </c>
    </row>
    <row r="499" spans="1:34" s="90" customFormat="1" x14ac:dyDescent="0.3">
      <c r="A499" s="84">
        <v>803054</v>
      </c>
      <c r="B499" s="87">
        <v>0.11666666666666665</v>
      </c>
      <c r="C499" s="87"/>
      <c r="D499" s="86">
        <v>5.67</v>
      </c>
      <c r="E499" s="99">
        <v>2.35</v>
      </c>
      <c r="F499" s="84">
        <v>336.04999999999995</v>
      </c>
      <c r="G499" s="84"/>
      <c r="H499" s="84">
        <v>820.40000000000009</v>
      </c>
      <c r="I499" s="84">
        <v>1365</v>
      </c>
      <c r="J499" s="85">
        <v>4.7E-2</v>
      </c>
      <c r="K499" s="87">
        <v>7.15</v>
      </c>
      <c r="L499" s="83">
        <v>710</v>
      </c>
      <c r="M499" s="83">
        <v>7.24</v>
      </c>
      <c r="N499" s="83">
        <v>4.26</v>
      </c>
      <c r="O499" s="83">
        <v>33.42</v>
      </c>
      <c r="P499" s="83">
        <v>16.89</v>
      </c>
      <c r="Q499" s="83"/>
      <c r="R499" s="86">
        <v>0.9263183006941188</v>
      </c>
      <c r="S499" s="87">
        <v>6.8</v>
      </c>
      <c r="T499" s="83"/>
      <c r="U499" s="83"/>
      <c r="V499" s="83"/>
      <c r="W499" s="83"/>
      <c r="X499" s="83"/>
      <c r="Y499" s="87">
        <v>3</v>
      </c>
      <c r="Z499" s="83"/>
      <c r="AA499" s="86"/>
      <c r="AB499" s="86"/>
      <c r="AC499" s="83"/>
      <c r="AD499" s="88">
        <v>60</v>
      </c>
      <c r="AE499" s="88">
        <v>60</v>
      </c>
      <c r="AF499" s="88">
        <v>880</v>
      </c>
      <c r="AG499" s="66">
        <f t="shared" si="14"/>
        <v>843.69999999999993</v>
      </c>
      <c r="AH499" s="143">
        <f t="shared" si="15"/>
        <v>1000</v>
      </c>
    </row>
    <row r="500" spans="1:34" s="90" customFormat="1" x14ac:dyDescent="0.3">
      <c r="A500" s="84">
        <v>803055</v>
      </c>
      <c r="B500" s="87">
        <v>0.1</v>
      </c>
      <c r="C500" s="87"/>
      <c r="D500" s="86">
        <v>5.49</v>
      </c>
      <c r="E500" s="99">
        <v>1.08</v>
      </c>
      <c r="F500" s="84">
        <v>95.3</v>
      </c>
      <c r="G500" s="84"/>
      <c r="H500" s="84">
        <v>526.30000000000007</v>
      </c>
      <c r="I500" s="84">
        <v>728</v>
      </c>
      <c r="J500" s="85">
        <v>3.2000000000000001E-2</v>
      </c>
      <c r="K500" s="87">
        <v>3.38</v>
      </c>
      <c r="L500" s="83">
        <v>340</v>
      </c>
      <c r="M500" s="83">
        <v>2.44</v>
      </c>
      <c r="N500" s="83">
        <v>5.76</v>
      </c>
      <c r="O500" s="83">
        <v>37.520000000000003</v>
      </c>
      <c r="P500" s="83">
        <v>12.9</v>
      </c>
      <c r="Q500" s="83"/>
      <c r="R500" s="86">
        <v>0.79914528991381895</v>
      </c>
      <c r="S500" s="87">
        <v>5.9</v>
      </c>
      <c r="T500" s="83"/>
      <c r="U500" s="83"/>
      <c r="V500" s="83"/>
      <c r="W500" s="83"/>
      <c r="X500" s="83"/>
      <c r="Y500" s="87">
        <v>3.5999999999999996</v>
      </c>
      <c r="Z500" s="83"/>
      <c r="AA500" s="86"/>
      <c r="AB500" s="86"/>
      <c r="AC500" s="83"/>
      <c r="AD500" s="88">
        <v>60</v>
      </c>
      <c r="AE500" s="88">
        <v>60</v>
      </c>
      <c r="AF500" s="88">
        <v>880</v>
      </c>
      <c r="AG500" s="66">
        <f t="shared" si="14"/>
        <v>332.36666666666667</v>
      </c>
      <c r="AH500" s="143">
        <f t="shared" si="15"/>
        <v>1000</v>
      </c>
    </row>
    <row r="501" spans="1:34" s="90" customFormat="1" x14ac:dyDescent="0.3">
      <c r="A501" s="84">
        <v>803056</v>
      </c>
      <c r="B501" s="87">
        <v>1E-4</v>
      </c>
      <c r="C501" s="87"/>
      <c r="D501" s="86">
        <v>5.51</v>
      </c>
      <c r="E501" s="99">
        <v>1.79</v>
      </c>
      <c r="F501" s="84">
        <v>276.05</v>
      </c>
      <c r="G501" s="84"/>
      <c r="H501" s="84">
        <v>805.05</v>
      </c>
      <c r="I501" s="84">
        <v>1128</v>
      </c>
      <c r="J501" s="85">
        <v>0.13100000000000001</v>
      </c>
      <c r="K501" s="87">
        <v>5.15</v>
      </c>
      <c r="L501" s="83">
        <v>480</v>
      </c>
      <c r="M501" s="83">
        <v>3.98</v>
      </c>
      <c r="N501" s="83">
        <v>4.96</v>
      </c>
      <c r="O501" s="83">
        <v>36.880000000000003</v>
      </c>
      <c r="P501" s="83">
        <v>9.0500000000000007</v>
      </c>
      <c r="Q501" s="83"/>
      <c r="R501" s="86">
        <v>0.65260677092177344</v>
      </c>
      <c r="S501" s="87">
        <v>4.8</v>
      </c>
      <c r="T501" s="83"/>
      <c r="U501" s="83"/>
      <c r="V501" s="83"/>
      <c r="W501" s="83"/>
      <c r="X501" s="83"/>
      <c r="Y501" s="87">
        <v>4.2</v>
      </c>
      <c r="Z501" s="83"/>
      <c r="AA501" s="86"/>
      <c r="AB501" s="86"/>
      <c r="AC501" s="83"/>
      <c r="AD501" s="88">
        <v>60</v>
      </c>
      <c r="AE501" s="88">
        <v>60</v>
      </c>
      <c r="AF501" s="88">
        <v>880</v>
      </c>
      <c r="AG501" s="66">
        <f t="shared" si="14"/>
        <v>434.07142857142861</v>
      </c>
      <c r="AH501" s="143">
        <f t="shared" si="15"/>
        <v>1000</v>
      </c>
    </row>
    <row r="502" spans="1:34" s="90" customFormat="1" x14ac:dyDescent="0.3">
      <c r="A502" s="84">
        <v>803057</v>
      </c>
      <c r="B502" s="87">
        <v>1E-4</v>
      </c>
      <c r="C502" s="87"/>
      <c r="D502" s="86">
        <v>5.66</v>
      </c>
      <c r="E502" s="99">
        <v>0.9</v>
      </c>
      <c r="F502" s="84">
        <v>84.600000000000009</v>
      </c>
      <c r="G502" s="84"/>
      <c r="H502" s="84">
        <v>423.88</v>
      </c>
      <c r="I502" s="84">
        <v>668</v>
      </c>
      <c r="J502" s="85">
        <v>4.2999999999999997E-2</v>
      </c>
      <c r="K502" s="87">
        <v>3.27</v>
      </c>
      <c r="L502" s="83">
        <v>350</v>
      </c>
      <c r="M502" s="83">
        <v>1.64</v>
      </c>
      <c r="N502" s="83">
        <v>4.3899999999999997</v>
      </c>
      <c r="O502" s="83">
        <v>31.14</v>
      </c>
      <c r="P502" s="83">
        <v>8.6199999999999992</v>
      </c>
      <c r="Q502" s="83"/>
      <c r="R502" s="86">
        <v>0.50613592214345238</v>
      </c>
      <c r="S502" s="87">
        <v>3.7</v>
      </c>
      <c r="T502" s="83"/>
      <c r="U502" s="83"/>
      <c r="V502" s="83"/>
      <c r="W502" s="83"/>
      <c r="X502" s="83"/>
      <c r="Y502" s="87">
        <v>3.5999999999999996</v>
      </c>
      <c r="Z502" s="83"/>
      <c r="AA502" s="86"/>
      <c r="AB502" s="86"/>
      <c r="AC502" s="83"/>
      <c r="AD502" s="88">
        <v>60</v>
      </c>
      <c r="AE502" s="88">
        <v>60</v>
      </c>
      <c r="AF502" s="88">
        <v>880</v>
      </c>
      <c r="AG502" s="66">
        <f t="shared" si="14"/>
        <v>321.55000000000007</v>
      </c>
      <c r="AH502" s="143">
        <f t="shared" si="15"/>
        <v>1000</v>
      </c>
    </row>
    <row r="503" spans="1:34" s="90" customFormat="1" x14ac:dyDescent="0.3">
      <c r="A503" s="84">
        <v>803058</v>
      </c>
      <c r="B503" s="87">
        <v>0.1</v>
      </c>
      <c r="C503" s="87"/>
      <c r="D503" s="86">
        <v>5.97</v>
      </c>
      <c r="E503" s="99">
        <v>1.44</v>
      </c>
      <c r="F503" s="84">
        <v>95.199999999999989</v>
      </c>
      <c r="G503" s="84"/>
      <c r="H503" s="84">
        <v>664.75</v>
      </c>
      <c r="I503" s="84">
        <v>566</v>
      </c>
      <c r="J503" s="85">
        <v>7.6999999999999999E-2</v>
      </c>
      <c r="K503" s="87">
        <v>2.39</v>
      </c>
      <c r="L503" s="83">
        <v>540</v>
      </c>
      <c r="M503" s="83">
        <v>2.58</v>
      </c>
      <c r="N503" s="83">
        <v>4.37</v>
      </c>
      <c r="O503" s="83">
        <v>30.69</v>
      </c>
      <c r="P503" s="83">
        <v>9.7799999999999994</v>
      </c>
      <c r="Q503" s="83"/>
      <c r="R503" s="86">
        <v>1.2766096664664155</v>
      </c>
      <c r="S503" s="87">
        <v>8.3000000000000007</v>
      </c>
      <c r="T503" s="83"/>
      <c r="U503" s="83"/>
      <c r="V503" s="83"/>
      <c r="W503" s="83"/>
      <c r="X503" s="83"/>
      <c r="Y503" s="87">
        <v>3.5</v>
      </c>
      <c r="Z503" s="83"/>
      <c r="AA503" s="86"/>
      <c r="AB503" s="86"/>
      <c r="AC503" s="83"/>
      <c r="AD503" s="88">
        <v>70</v>
      </c>
      <c r="AE503" s="88">
        <v>70</v>
      </c>
      <c r="AF503" s="88">
        <v>860</v>
      </c>
      <c r="AG503" s="66">
        <f t="shared" si="14"/>
        <v>241.73142857142861</v>
      </c>
      <c r="AH503" s="143">
        <f t="shared" si="15"/>
        <v>1000</v>
      </c>
    </row>
    <row r="504" spans="1:34" s="90" customFormat="1" x14ac:dyDescent="0.3">
      <c r="A504" s="84">
        <v>803059</v>
      </c>
      <c r="B504" s="87">
        <v>0.16666666666666666</v>
      </c>
      <c r="C504" s="87"/>
      <c r="D504" s="86">
        <v>6</v>
      </c>
      <c r="E504" s="99">
        <v>2.95</v>
      </c>
      <c r="F504" s="84">
        <v>413.25</v>
      </c>
      <c r="G504" s="84"/>
      <c r="H504" s="84">
        <v>993.5</v>
      </c>
      <c r="I504" s="84">
        <v>1275</v>
      </c>
      <c r="J504" s="85">
        <v>0.113</v>
      </c>
      <c r="K504" s="87">
        <v>3.81</v>
      </c>
      <c r="L504" s="83">
        <v>760</v>
      </c>
      <c r="M504" s="83">
        <v>6</v>
      </c>
      <c r="N504" s="83">
        <v>4.04</v>
      </c>
      <c r="O504" s="83">
        <v>42.28</v>
      </c>
      <c r="P504" s="83">
        <v>12.01</v>
      </c>
      <c r="Q504" s="83"/>
      <c r="R504" s="86">
        <v>1.6254680000000001</v>
      </c>
      <c r="S504" s="87">
        <v>11.6</v>
      </c>
      <c r="T504" s="83"/>
      <c r="U504" s="83"/>
      <c r="V504" s="83"/>
      <c r="W504" s="83"/>
      <c r="X504" s="83"/>
      <c r="Y504" s="87">
        <v>3.5</v>
      </c>
      <c r="Z504" s="83"/>
      <c r="AA504" s="86"/>
      <c r="AB504" s="86"/>
      <c r="AC504" s="83"/>
      <c r="AD504" s="88">
        <v>70</v>
      </c>
      <c r="AE504" s="88">
        <v>80</v>
      </c>
      <c r="AF504" s="88">
        <v>850</v>
      </c>
      <c r="AG504" s="66">
        <f t="shared" si="14"/>
        <v>385.35428571428571</v>
      </c>
      <c r="AH504" s="143">
        <f t="shared" si="15"/>
        <v>1000</v>
      </c>
    </row>
    <row r="505" spans="1:34" s="90" customFormat="1" x14ac:dyDescent="0.3">
      <c r="A505" s="84">
        <v>803060</v>
      </c>
      <c r="B505" s="87">
        <v>0.13333333333333333</v>
      </c>
      <c r="C505" s="87"/>
      <c r="D505" s="86">
        <v>6.02</v>
      </c>
      <c r="E505" s="99">
        <v>1.18</v>
      </c>
      <c r="F505" s="84">
        <v>86</v>
      </c>
      <c r="G505" s="84"/>
      <c r="H505" s="84">
        <v>596.65</v>
      </c>
      <c r="I505" s="84">
        <v>518</v>
      </c>
      <c r="J505" s="85">
        <v>5.8999999999999997E-2</v>
      </c>
      <c r="K505" s="87">
        <v>2.56</v>
      </c>
      <c r="L505" s="83">
        <v>500</v>
      </c>
      <c r="M505" s="83">
        <v>2.31</v>
      </c>
      <c r="N505" s="83">
        <v>3.86</v>
      </c>
      <c r="O505" s="83">
        <v>30.67</v>
      </c>
      <c r="P505" s="83">
        <v>7.31</v>
      </c>
      <c r="Q505" s="83"/>
      <c r="R505" s="86">
        <v>0.98454846912184912</v>
      </c>
      <c r="S505" s="87">
        <v>6.8</v>
      </c>
      <c r="T505" s="83"/>
      <c r="U505" s="83"/>
      <c r="V505" s="83"/>
      <c r="W505" s="83"/>
      <c r="X505" s="83"/>
      <c r="Y505" s="87">
        <v>5.6000000000000005</v>
      </c>
      <c r="Z505" s="83"/>
      <c r="AA505" s="86"/>
      <c r="AB505" s="86"/>
      <c r="AC505" s="83"/>
      <c r="AD505" s="88">
        <v>80</v>
      </c>
      <c r="AE505" s="88">
        <v>80</v>
      </c>
      <c r="AF505" s="88">
        <v>840</v>
      </c>
      <c r="AG505" s="66">
        <f t="shared" si="14"/>
        <v>161.82857142857142</v>
      </c>
      <c r="AH505" s="143">
        <f t="shared" si="15"/>
        <v>1000</v>
      </c>
    </row>
    <row r="506" spans="1:34" s="90" customFormat="1" x14ac:dyDescent="0.3">
      <c r="A506" s="84">
        <v>803061</v>
      </c>
      <c r="B506" s="87">
        <v>0.16666666666666666</v>
      </c>
      <c r="C506" s="87"/>
      <c r="D506" s="86">
        <v>5.99</v>
      </c>
      <c r="E506" s="99">
        <v>2.09</v>
      </c>
      <c r="F506" s="84">
        <v>298.8</v>
      </c>
      <c r="G506" s="84"/>
      <c r="H506" s="84">
        <v>843.40000000000009</v>
      </c>
      <c r="I506" s="84">
        <v>977</v>
      </c>
      <c r="J506" s="85">
        <v>0.193</v>
      </c>
      <c r="K506" s="87">
        <v>3.49</v>
      </c>
      <c r="L506" s="83">
        <v>620</v>
      </c>
      <c r="M506" s="83">
        <v>3.8</v>
      </c>
      <c r="N506" s="83">
        <v>5.54</v>
      </c>
      <c r="O506" s="83">
        <v>53.32</v>
      </c>
      <c r="P506" s="83">
        <v>13.28</v>
      </c>
      <c r="Q506" s="83"/>
      <c r="R506" s="86">
        <v>1.413382037340239</v>
      </c>
      <c r="S506" s="87">
        <v>9.6</v>
      </c>
      <c r="T506" s="83"/>
      <c r="U506" s="83"/>
      <c r="V506" s="83"/>
      <c r="W506" s="83"/>
      <c r="X506" s="83"/>
      <c r="Y506" s="87">
        <v>4.8</v>
      </c>
      <c r="Z506" s="83"/>
      <c r="AA506" s="86"/>
      <c r="AB506" s="86"/>
      <c r="AC506" s="83"/>
      <c r="AD506" s="88">
        <v>80</v>
      </c>
      <c r="AE506" s="88">
        <v>60</v>
      </c>
      <c r="AF506" s="88">
        <v>860</v>
      </c>
      <c r="AG506" s="66">
        <f t="shared" si="14"/>
        <v>257.38750000000005</v>
      </c>
      <c r="AH506" s="143">
        <f t="shared" si="15"/>
        <v>1000</v>
      </c>
    </row>
    <row r="507" spans="1:34" s="90" customFormat="1" x14ac:dyDescent="0.3">
      <c r="A507" s="84">
        <v>803062</v>
      </c>
      <c r="B507" s="87">
        <v>6.6666666666666666E-2</v>
      </c>
      <c r="C507" s="87"/>
      <c r="D507" s="86">
        <v>5.97</v>
      </c>
      <c r="E507" s="99">
        <v>0.75</v>
      </c>
      <c r="F507" s="84">
        <v>78.949999999999989</v>
      </c>
      <c r="G507" s="84"/>
      <c r="H507" s="84">
        <v>410.49</v>
      </c>
      <c r="I507" s="84">
        <v>491</v>
      </c>
      <c r="J507" s="85">
        <v>4.5999999999999999E-2</v>
      </c>
      <c r="K507" s="87">
        <v>1.43</v>
      </c>
      <c r="L507" s="83">
        <v>480</v>
      </c>
      <c r="M507" s="83">
        <v>1.68</v>
      </c>
      <c r="N507" s="83">
        <v>4.68</v>
      </c>
      <c r="O507" s="83">
        <v>40.75</v>
      </c>
      <c r="P507" s="83">
        <v>9.9700000000000006</v>
      </c>
      <c r="Q507" s="83"/>
      <c r="R507" s="86">
        <v>0.738068912869142</v>
      </c>
      <c r="S507" s="87">
        <v>5.2</v>
      </c>
      <c r="T507" s="83"/>
      <c r="U507" s="83"/>
      <c r="V507" s="83"/>
      <c r="W507" s="83"/>
      <c r="X507" s="83"/>
      <c r="Y507" s="87">
        <v>3.5999999999999996</v>
      </c>
      <c r="Z507" s="83"/>
      <c r="AA507" s="86"/>
      <c r="AB507" s="86"/>
      <c r="AC507" s="83"/>
      <c r="AD507" s="88">
        <v>60</v>
      </c>
      <c r="AE507" s="88">
        <v>80</v>
      </c>
      <c r="AF507" s="88">
        <v>860</v>
      </c>
      <c r="AG507" s="66">
        <f t="shared" si="14"/>
        <v>140.61666666666667</v>
      </c>
      <c r="AH507" s="143">
        <f t="shared" si="15"/>
        <v>1000</v>
      </c>
    </row>
    <row r="508" spans="1:34" s="90" customFormat="1" x14ac:dyDescent="0.3">
      <c r="A508" s="84">
        <v>803063</v>
      </c>
      <c r="B508" s="87">
        <v>0.11666666666666665</v>
      </c>
      <c r="C508" s="87"/>
      <c r="D508" s="86">
        <v>5.98</v>
      </c>
      <c r="E508" s="99">
        <v>1.72</v>
      </c>
      <c r="F508" s="84">
        <v>203.5</v>
      </c>
      <c r="G508" s="84"/>
      <c r="H508" s="84">
        <v>924.15000000000009</v>
      </c>
      <c r="I508" s="84">
        <v>1219</v>
      </c>
      <c r="J508" s="85">
        <v>9.9000000000000005E-2</v>
      </c>
      <c r="K508" s="87">
        <v>2.96</v>
      </c>
      <c r="L508" s="83">
        <v>750</v>
      </c>
      <c r="M508" s="83">
        <v>5.38</v>
      </c>
      <c r="N508" s="83">
        <v>6.03</v>
      </c>
      <c r="O508" s="83">
        <v>50.21</v>
      </c>
      <c r="P508" s="83">
        <v>12.79</v>
      </c>
      <c r="Q508" s="83"/>
      <c r="R508" s="86">
        <v>0.96264453347383538</v>
      </c>
      <c r="S508" s="87">
        <v>6.6</v>
      </c>
      <c r="T508" s="83"/>
      <c r="U508" s="83"/>
      <c r="V508" s="83"/>
      <c r="W508" s="83"/>
      <c r="X508" s="83"/>
      <c r="Y508" s="87">
        <v>4.2</v>
      </c>
      <c r="Z508" s="83"/>
      <c r="AA508" s="86"/>
      <c r="AB508" s="86"/>
      <c r="AC508" s="83"/>
      <c r="AD508" s="88">
        <v>60</v>
      </c>
      <c r="AE508" s="88">
        <v>60</v>
      </c>
      <c r="AF508" s="88">
        <v>880</v>
      </c>
      <c r="AG508" s="66">
        <f t="shared" si="14"/>
        <v>249.48571428571432</v>
      </c>
      <c r="AH508" s="143">
        <f t="shared" si="15"/>
        <v>1000</v>
      </c>
    </row>
    <row r="509" spans="1:34" s="90" customFormat="1" x14ac:dyDescent="0.3">
      <c r="A509" s="84">
        <v>803064</v>
      </c>
      <c r="B509" s="87">
        <v>0.2166666666666667</v>
      </c>
      <c r="C509" s="87"/>
      <c r="D509" s="86">
        <v>6.02</v>
      </c>
      <c r="E509" s="99">
        <v>1.34</v>
      </c>
      <c r="F509" s="84">
        <v>155.19999999999999</v>
      </c>
      <c r="G509" s="84"/>
      <c r="H509" s="84">
        <v>755.15</v>
      </c>
      <c r="I509" s="84">
        <v>680</v>
      </c>
      <c r="J509" s="85">
        <v>0.114</v>
      </c>
      <c r="K509" s="87">
        <v>2.82</v>
      </c>
      <c r="L509" s="83">
        <v>520</v>
      </c>
      <c r="M509" s="83">
        <v>2.33</v>
      </c>
      <c r="N509" s="83">
        <v>3.41</v>
      </c>
      <c r="O509" s="83">
        <v>33.340000000000003</v>
      </c>
      <c r="P509" s="83">
        <v>8.52</v>
      </c>
      <c r="Q509" s="83"/>
      <c r="R509" s="86">
        <v>0.93782392643170864</v>
      </c>
      <c r="S509" s="87">
        <v>7</v>
      </c>
      <c r="T509" s="83"/>
      <c r="U509" s="83"/>
      <c r="V509" s="83"/>
      <c r="W509" s="83"/>
      <c r="X509" s="83"/>
      <c r="Y509" s="87">
        <v>4.2</v>
      </c>
      <c r="Z509" s="83"/>
      <c r="AA509" s="86"/>
      <c r="AB509" s="86"/>
      <c r="AC509" s="83"/>
      <c r="AD509" s="88">
        <v>70</v>
      </c>
      <c r="AE509" s="88">
        <v>80</v>
      </c>
      <c r="AF509" s="88">
        <v>850</v>
      </c>
      <c r="AG509" s="66">
        <f t="shared" si="14"/>
        <v>237.68571428571428</v>
      </c>
      <c r="AH509" s="143">
        <f t="shared" si="15"/>
        <v>1000</v>
      </c>
    </row>
    <row r="510" spans="1:34" s="90" customFormat="1" x14ac:dyDescent="0.3">
      <c r="A510" s="84">
        <v>803065</v>
      </c>
      <c r="B510" s="87">
        <v>0.23333333333333331</v>
      </c>
      <c r="C510" s="87"/>
      <c r="D510" s="86">
        <v>5.89</v>
      </c>
      <c r="E510" s="99">
        <v>0.94</v>
      </c>
      <c r="F510" s="84">
        <v>79.7</v>
      </c>
      <c r="G510" s="84"/>
      <c r="H510" s="84">
        <v>507.45</v>
      </c>
      <c r="I510" s="84">
        <v>484</v>
      </c>
      <c r="J510" s="85">
        <v>5.8000000000000003E-2</v>
      </c>
      <c r="K510" s="87">
        <v>2.2200000000000002</v>
      </c>
      <c r="L510" s="83">
        <v>440</v>
      </c>
      <c r="M510" s="83">
        <v>1.04</v>
      </c>
      <c r="N510" s="83">
        <v>4.3499999999999996</v>
      </c>
      <c r="O510" s="83">
        <v>42.23</v>
      </c>
      <c r="P510" s="83">
        <v>8.07</v>
      </c>
      <c r="Q510" s="83"/>
      <c r="R510" s="86">
        <v>0.44134675811862939</v>
      </c>
      <c r="S510" s="87">
        <v>3.2</v>
      </c>
      <c r="T510" s="83"/>
      <c r="U510" s="83"/>
      <c r="V510" s="83"/>
      <c r="W510" s="83"/>
      <c r="X510" s="83"/>
      <c r="Y510" s="87">
        <v>4.8</v>
      </c>
      <c r="Z510" s="83"/>
      <c r="AA510" s="86"/>
      <c r="AB510" s="86"/>
      <c r="AC510" s="83"/>
      <c r="AD510" s="88">
        <v>80</v>
      </c>
      <c r="AE510" s="88">
        <v>80</v>
      </c>
      <c r="AF510" s="88">
        <v>840</v>
      </c>
      <c r="AG510" s="66">
        <f t="shared" si="14"/>
        <v>163.72499999999999</v>
      </c>
      <c r="AH510" s="143">
        <f t="shared" si="15"/>
        <v>1000</v>
      </c>
    </row>
    <row r="511" spans="1:34" s="90" customFormat="1" x14ac:dyDescent="0.3">
      <c r="A511" s="84">
        <v>803066</v>
      </c>
      <c r="B511" s="87">
        <v>0.18333333333333335</v>
      </c>
      <c r="C511" s="87"/>
      <c r="D511" s="86">
        <v>6</v>
      </c>
      <c r="E511" s="99">
        <v>2.21</v>
      </c>
      <c r="F511" s="84">
        <v>272.60000000000002</v>
      </c>
      <c r="G511" s="84"/>
      <c r="H511" s="84">
        <v>1057.05</v>
      </c>
      <c r="I511" s="84">
        <v>1239</v>
      </c>
      <c r="J511" s="85">
        <v>0.11799999999999999</v>
      </c>
      <c r="K511" s="87">
        <v>3.86</v>
      </c>
      <c r="L511" s="83">
        <v>890</v>
      </c>
      <c r="M511" s="83">
        <v>6.3</v>
      </c>
      <c r="N511" s="83">
        <v>5.7</v>
      </c>
      <c r="O511" s="83">
        <v>43.42</v>
      </c>
      <c r="P511" s="83">
        <v>13.36</v>
      </c>
      <c r="Q511" s="83"/>
      <c r="R511" s="86">
        <v>1.1384514532420165</v>
      </c>
      <c r="S511" s="87">
        <v>7.8</v>
      </c>
      <c r="T511" s="83"/>
      <c r="U511" s="83"/>
      <c r="V511" s="83"/>
      <c r="W511" s="83"/>
      <c r="X511" s="83"/>
      <c r="Y511" s="87">
        <v>4</v>
      </c>
      <c r="Z511" s="83"/>
      <c r="AA511" s="86"/>
      <c r="AB511" s="86"/>
      <c r="AC511" s="83"/>
      <c r="AD511" s="88">
        <v>80</v>
      </c>
      <c r="AE511" s="88">
        <v>60</v>
      </c>
      <c r="AF511" s="88">
        <v>860</v>
      </c>
      <c r="AG511" s="66">
        <f t="shared" si="14"/>
        <v>341.61</v>
      </c>
      <c r="AH511" s="143">
        <f t="shared" si="15"/>
        <v>1000</v>
      </c>
    </row>
    <row r="512" spans="1:34" s="90" customFormat="1" x14ac:dyDescent="0.3">
      <c r="A512" s="84">
        <v>803067</v>
      </c>
      <c r="B512" s="87">
        <v>0.18333333333333335</v>
      </c>
      <c r="C512" s="87"/>
      <c r="D512" s="86">
        <v>5.9</v>
      </c>
      <c r="E512" s="99">
        <v>1.72</v>
      </c>
      <c r="F512" s="84">
        <v>297.45</v>
      </c>
      <c r="G512" s="84"/>
      <c r="H512" s="84">
        <v>779.85</v>
      </c>
      <c r="I512" s="84">
        <v>1062</v>
      </c>
      <c r="J512" s="85">
        <v>0.20799999999999999</v>
      </c>
      <c r="K512" s="87">
        <v>3.29</v>
      </c>
      <c r="L512" s="83">
        <v>710</v>
      </c>
      <c r="M512" s="83">
        <v>3.86</v>
      </c>
      <c r="N512" s="83">
        <v>4.6399999999999997</v>
      </c>
      <c r="O512" s="83">
        <v>55.12</v>
      </c>
      <c r="P512" s="83">
        <v>9.8000000000000007</v>
      </c>
      <c r="Q512" s="83"/>
      <c r="R512" s="86">
        <v>0.89626984500396834</v>
      </c>
      <c r="S512" s="87">
        <v>6.5</v>
      </c>
      <c r="T512" s="83"/>
      <c r="U512" s="83"/>
      <c r="V512" s="83"/>
      <c r="W512" s="83"/>
      <c r="X512" s="83"/>
      <c r="Y512" s="87">
        <v>3.5999999999999996</v>
      </c>
      <c r="Z512" s="83"/>
      <c r="AA512" s="86"/>
      <c r="AB512" s="86"/>
      <c r="AC512" s="83"/>
      <c r="AD512" s="88">
        <v>60</v>
      </c>
      <c r="AE512" s="88">
        <v>80</v>
      </c>
      <c r="AF512" s="88">
        <v>860</v>
      </c>
      <c r="AG512" s="66">
        <f t="shared" si="14"/>
        <v>323.51666666666665</v>
      </c>
      <c r="AH512" s="143">
        <f t="shared" si="15"/>
        <v>1000</v>
      </c>
    </row>
    <row r="513" spans="1:34" s="90" customFormat="1" x14ac:dyDescent="0.3">
      <c r="A513" s="84">
        <v>803068</v>
      </c>
      <c r="B513" s="87">
        <v>1.2166666666666666</v>
      </c>
      <c r="C513" s="87"/>
      <c r="D513" s="86">
        <v>7.84</v>
      </c>
      <c r="E513" s="99">
        <v>0.28000000000000003</v>
      </c>
      <c r="F513" s="84">
        <v>89.2</v>
      </c>
      <c r="G513" s="84"/>
      <c r="H513" s="84">
        <v>53.03</v>
      </c>
      <c r="I513" s="84">
        <v>157</v>
      </c>
      <c r="J513" s="85">
        <v>0.17899999999999999</v>
      </c>
      <c r="K513" s="87">
        <v>4.24</v>
      </c>
      <c r="L513" s="83">
        <v>1770</v>
      </c>
      <c r="M513" s="83">
        <v>0.33</v>
      </c>
      <c r="N513" s="83">
        <v>0.74</v>
      </c>
      <c r="O513" s="83">
        <v>7.09</v>
      </c>
      <c r="P513" s="83">
        <v>5.18</v>
      </c>
      <c r="Q513" s="83"/>
      <c r="R513" s="86">
        <v>1.6850520000000002</v>
      </c>
      <c r="S513" s="87">
        <v>13.2</v>
      </c>
      <c r="T513" s="83"/>
      <c r="U513" s="83"/>
      <c r="V513" s="83"/>
      <c r="W513" s="83"/>
      <c r="X513" s="83"/>
      <c r="Y513" s="87">
        <v>11.200000000000001</v>
      </c>
      <c r="Z513" s="83"/>
      <c r="AA513" s="86"/>
      <c r="AB513" s="86"/>
      <c r="AC513" s="83"/>
      <c r="AD513" s="88">
        <v>160</v>
      </c>
      <c r="AE513" s="88">
        <v>560</v>
      </c>
      <c r="AF513" s="88">
        <v>280</v>
      </c>
      <c r="AG513" s="66">
        <f t="shared" si="14"/>
        <v>134.01428571428571</v>
      </c>
      <c r="AH513" s="143">
        <f t="shared" si="15"/>
        <v>1000</v>
      </c>
    </row>
    <row r="514" spans="1:34" s="90" customFormat="1" x14ac:dyDescent="0.3">
      <c r="A514" s="84">
        <v>803069</v>
      </c>
      <c r="B514" s="87">
        <v>23.166666666666664</v>
      </c>
      <c r="C514" s="87">
        <v>13.250000000000002</v>
      </c>
      <c r="D514" s="86">
        <v>8.65</v>
      </c>
      <c r="E514" s="99">
        <v>0.17</v>
      </c>
      <c r="F514" s="84">
        <v>62.400000000000006</v>
      </c>
      <c r="G514" s="84"/>
      <c r="H514" s="84">
        <v>36.22</v>
      </c>
      <c r="I514" s="84">
        <v>184</v>
      </c>
      <c r="J514" s="85">
        <v>0.192</v>
      </c>
      <c r="K514" s="87">
        <v>12.37</v>
      </c>
      <c r="L514" s="83">
        <v>2160</v>
      </c>
      <c r="M514" s="83">
        <v>0.16</v>
      </c>
      <c r="N514" s="83">
        <v>1.57</v>
      </c>
      <c r="O514" s="83">
        <v>2.64</v>
      </c>
      <c r="P514" s="83">
        <v>4.3</v>
      </c>
      <c r="Q514" s="83"/>
      <c r="R514" s="86">
        <v>1.5784280000000002</v>
      </c>
      <c r="S514" s="87">
        <v>10.4</v>
      </c>
      <c r="T514" s="83"/>
      <c r="U514" s="83"/>
      <c r="V514" s="83"/>
      <c r="W514" s="83"/>
      <c r="X514" s="83"/>
      <c r="Y514" s="87">
        <v>35</v>
      </c>
      <c r="Z514" s="83"/>
      <c r="AA514" s="86"/>
      <c r="AB514" s="86"/>
      <c r="AC514" s="83"/>
      <c r="AD514" s="88">
        <v>500</v>
      </c>
      <c r="AE514" s="88">
        <v>340</v>
      </c>
      <c r="AF514" s="88">
        <v>160</v>
      </c>
      <c r="AG514" s="66">
        <f t="shared" ref="AG514:AG577" si="16">+K514*3.54*100/Y514</f>
        <v>125.11371428571427</v>
      </c>
      <c r="AH514" s="143">
        <f t="shared" ref="AH514:AH577" si="17">+SUM(AD514:AF514)</f>
        <v>1000</v>
      </c>
    </row>
    <row r="515" spans="1:34" s="90" customFormat="1" x14ac:dyDescent="0.3">
      <c r="A515" s="84">
        <v>803070</v>
      </c>
      <c r="B515" s="87">
        <v>2.083333333333333</v>
      </c>
      <c r="C515" s="87"/>
      <c r="D515" s="86">
        <v>8.61</v>
      </c>
      <c r="E515" s="99">
        <v>0.35</v>
      </c>
      <c r="F515" s="84">
        <v>103.45</v>
      </c>
      <c r="G515" s="84"/>
      <c r="H515" s="84">
        <v>443</v>
      </c>
      <c r="I515" s="84">
        <v>853</v>
      </c>
      <c r="J515" s="85">
        <v>0.20799999999999999</v>
      </c>
      <c r="K515" s="87">
        <v>6.39</v>
      </c>
      <c r="L515" s="83">
        <v>1170</v>
      </c>
      <c r="M515" s="83">
        <v>3.71</v>
      </c>
      <c r="N515" s="83">
        <v>1.17</v>
      </c>
      <c r="O515" s="83">
        <v>6.71</v>
      </c>
      <c r="P515" s="83">
        <v>15.52</v>
      </c>
      <c r="Q515" s="83"/>
      <c r="R515" s="86">
        <v>1.8452330000000001</v>
      </c>
      <c r="S515" s="87">
        <v>18.100000000000001</v>
      </c>
      <c r="T515" s="83"/>
      <c r="U515" s="83"/>
      <c r="V515" s="83"/>
      <c r="W515" s="83"/>
      <c r="X515" s="83"/>
      <c r="Y515" s="87">
        <v>28.7</v>
      </c>
      <c r="Z515" s="83"/>
      <c r="AA515" s="86"/>
      <c r="AB515" s="86"/>
      <c r="AC515" s="83"/>
      <c r="AD515" s="88">
        <v>560</v>
      </c>
      <c r="AE515" s="88">
        <v>240</v>
      </c>
      <c r="AF515" s="88">
        <v>200</v>
      </c>
      <c r="AG515" s="66">
        <f t="shared" si="16"/>
        <v>78.817421602787462</v>
      </c>
      <c r="AH515" s="143">
        <f t="shared" si="17"/>
        <v>1000</v>
      </c>
    </row>
    <row r="516" spans="1:34" s="90" customFormat="1" x14ac:dyDescent="0.3">
      <c r="A516" s="84">
        <v>803071</v>
      </c>
      <c r="B516" s="87">
        <v>6.4166666666666661</v>
      </c>
      <c r="C516" s="87"/>
      <c r="D516" s="86">
        <v>8.0299999999999994</v>
      </c>
      <c r="E516" s="99">
        <v>0.25</v>
      </c>
      <c r="F516" s="84">
        <v>113.94999999999999</v>
      </c>
      <c r="G516" s="84"/>
      <c r="H516" s="84">
        <v>68.180000000000007</v>
      </c>
      <c r="I516" s="84">
        <v>412</v>
      </c>
      <c r="J516" s="85">
        <v>0.378</v>
      </c>
      <c r="K516" s="87">
        <v>8.26</v>
      </c>
      <c r="L516" s="83">
        <v>1070</v>
      </c>
      <c r="M516" s="83">
        <v>0.43</v>
      </c>
      <c r="N516" s="83">
        <v>0.89</v>
      </c>
      <c r="O516" s="83">
        <v>2.82</v>
      </c>
      <c r="P516" s="83">
        <v>2.33</v>
      </c>
      <c r="Q516" s="83"/>
      <c r="R516" s="86">
        <v>1.371087492504548</v>
      </c>
      <c r="S516" s="87">
        <v>9.9</v>
      </c>
      <c r="T516" s="83"/>
      <c r="U516" s="83"/>
      <c r="V516" s="83"/>
      <c r="W516" s="83"/>
      <c r="X516" s="83"/>
      <c r="Y516" s="87">
        <v>29</v>
      </c>
      <c r="Z516" s="83"/>
      <c r="AA516" s="86"/>
      <c r="AB516" s="86"/>
      <c r="AC516" s="83"/>
      <c r="AD516" s="88">
        <v>520</v>
      </c>
      <c r="AE516" s="88">
        <v>280</v>
      </c>
      <c r="AF516" s="88">
        <v>200</v>
      </c>
      <c r="AG516" s="66">
        <f t="shared" si="16"/>
        <v>100.82896551724137</v>
      </c>
      <c r="AH516" s="143">
        <f t="shared" si="17"/>
        <v>1000</v>
      </c>
    </row>
    <row r="517" spans="1:34" s="90" customFormat="1" x14ac:dyDescent="0.3">
      <c r="A517" s="84">
        <v>803072</v>
      </c>
      <c r="B517" s="87">
        <v>11.166666666666666</v>
      </c>
      <c r="C517" s="87">
        <v>8.5</v>
      </c>
      <c r="D517" s="86">
        <v>8.1</v>
      </c>
      <c r="E517" s="99">
        <v>0.26</v>
      </c>
      <c r="F517" s="84">
        <v>82.05</v>
      </c>
      <c r="G517" s="84"/>
      <c r="H517" s="84">
        <v>79.86</v>
      </c>
      <c r="I517" s="84">
        <v>406</v>
      </c>
      <c r="J517" s="85">
        <v>0.17100000000000001</v>
      </c>
      <c r="K517" s="87">
        <v>11</v>
      </c>
      <c r="L517" s="83">
        <v>1540</v>
      </c>
      <c r="M517" s="83">
        <v>0.84</v>
      </c>
      <c r="N517" s="83">
        <v>1.36</v>
      </c>
      <c r="O517" s="83">
        <v>4.2699999999999996</v>
      </c>
      <c r="P517" s="83">
        <v>4.1100000000000003</v>
      </c>
      <c r="Q517" s="83"/>
      <c r="R517" s="86">
        <v>1.7135000000000002</v>
      </c>
      <c r="S517" s="87">
        <v>14</v>
      </c>
      <c r="T517" s="83"/>
      <c r="U517" s="83"/>
      <c r="V517" s="83"/>
      <c r="W517" s="83"/>
      <c r="X517" s="83"/>
      <c r="Y517" s="87">
        <v>32</v>
      </c>
      <c r="Z517" s="83"/>
      <c r="AA517" s="86"/>
      <c r="AB517" s="86"/>
      <c r="AC517" s="83"/>
      <c r="AD517" s="88">
        <v>640</v>
      </c>
      <c r="AE517" s="88">
        <v>200</v>
      </c>
      <c r="AF517" s="88">
        <v>160</v>
      </c>
      <c r="AG517" s="66">
        <f t="shared" si="16"/>
        <v>121.6875</v>
      </c>
      <c r="AH517" s="143">
        <f t="shared" si="17"/>
        <v>1000</v>
      </c>
    </row>
    <row r="518" spans="1:34" s="90" customFormat="1" x14ac:dyDescent="0.3">
      <c r="A518" s="84">
        <v>803073</v>
      </c>
      <c r="B518" s="87">
        <v>0.2</v>
      </c>
      <c r="C518" s="87"/>
      <c r="D518" s="86">
        <v>8.32</v>
      </c>
      <c r="E518" s="99">
        <v>0.06</v>
      </c>
      <c r="F518" s="84">
        <v>37.450000000000003</v>
      </c>
      <c r="G518" s="84"/>
      <c r="H518" s="84">
        <v>57.92</v>
      </c>
      <c r="I518" s="84">
        <v>130</v>
      </c>
      <c r="J518" s="85">
        <v>2.1000000000000001E-2</v>
      </c>
      <c r="K518" s="87">
        <v>6.76</v>
      </c>
      <c r="L518" s="83">
        <v>1470</v>
      </c>
      <c r="M518" s="83">
        <v>0.71</v>
      </c>
      <c r="N518" s="83">
        <v>2.79</v>
      </c>
      <c r="O518" s="83">
        <v>7.09</v>
      </c>
      <c r="P518" s="83">
        <v>32.74</v>
      </c>
      <c r="Q518" s="83"/>
      <c r="R518" s="86">
        <v>1.824408</v>
      </c>
      <c r="S518" s="87">
        <v>17.399999999999999</v>
      </c>
      <c r="T518" s="83"/>
      <c r="U518" s="83"/>
      <c r="V518" s="83"/>
      <c r="W518" s="83"/>
      <c r="X518" s="83"/>
      <c r="Y518" s="87">
        <v>28</v>
      </c>
      <c r="Z518" s="83"/>
      <c r="AA518" s="86"/>
      <c r="AB518" s="86"/>
      <c r="AC518" s="83"/>
      <c r="AD518" s="88">
        <v>560</v>
      </c>
      <c r="AE518" s="88">
        <v>100</v>
      </c>
      <c r="AF518" s="88">
        <v>340</v>
      </c>
      <c r="AG518" s="66">
        <f t="shared" si="16"/>
        <v>85.465714285714284</v>
      </c>
      <c r="AH518" s="143">
        <f t="shared" si="17"/>
        <v>1000</v>
      </c>
    </row>
    <row r="519" spans="1:34" s="90" customFormat="1" x14ac:dyDescent="0.3">
      <c r="A519" s="84">
        <v>803074</v>
      </c>
      <c r="B519" s="87">
        <v>0.51666666666666661</v>
      </c>
      <c r="C519" s="87"/>
      <c r="D519" s="86">
        <v>8.26</v>
      </c>
      <c r="E519" s="99">
        <v>0.1</v>
      </c>
      <c r="F519" s="84">
        <v>45.05</v>
      </c>
      <c r="G519" s="84"/>
      <c r="H519" s="84">
        <v>10.46</v>
      </c>
      <c r="I519" s="84">
        <v>223</v>
      </c>
      <c r="J519" s="85">
        <v>3.7999999999999999E-2</v>
      </c>
      <c r="K519" s="87">
        <v>8.75</v>
      </c>
      <c r="L519" s="83">
        <v>5370</v>
      </c>
      <c r="M519" s="83">
        <v>0.45</v>
      </c>
      <c r="N519" s="83">
        <v>4.4800000000000004</v>
      </c>
      <c r="O519" s="83">
        <v>7.21</v>
      </c>
      <c r="P519" s="83">
        <v>45.76</v>
      </c>
      <c r="Q519" s="83"/>
      <c r="R519" s="86">
        <v>1.6922480000000002</v>
      </c>
      <c r="S519" s="87">
        <v>13.4</v>
      </c>
      <c r="T519" s="83"/>
      <c r="U519" s="83"/>
      <c r="V519" s="83"/>
      <c r="W519" s="83"/>
      <c r="X519" s="83"/>
      <c r="Y519" s="87">
        <v>29</v>
      </c>
      <c r="Z519" s="83"/>
      <c r="AA519" s="86"/>
      <c r="AB519" s="86"/>
      <c r="AC519" s="83"/>
      <c r="AD519" s="88">
        <v>580</v>
      </c>
      <c r="AE519" s="88">
        <v>320</v>
      </c>
      <c r="AF519" s="88">
        <v>100</v>
      </c>
      <c r="AG519" s="66">
        <f t="shared" si="16"/>
        <v>106.81034482758621</v>
      </c>
      <c r="AH519" s="143">
        <f t="shared" si="17"/>
        <v>1000</v>
      </c>
    </row>
    <row r="520" spans="1:34" s="90" customFormat="1" x14ac:dyDescent="0.3">
      <c r="A520" s="84">
        <v>803075</v>
      </c>
      <c r="B520" s="87">
        <v>12.833333333333332</v>
      </c>
      <c r="C520" s="87">
        <v>11.750000000000004</v>
      </c>
      <c r="D520" s="86">
        <v>9.3000000000000007</v>
      </c>
      <c r="E520" s="99">
        <v>0.17</v>
      </c>
      <c r="F520" s="84">
        <v>106.85000000000001</v>
      </c>
      <c r="G520" s="84"/>
      <c r="H520" s="84">
        <v>36.64</v>
      </c>
      <c r="I520" s="84">
        <v>106</v>
      </c>
      <c r="J520" s="85">
        <v>0.14599999999999999</v>
      </c>
      <c r="K520" s="87">
        <v>5.64</v>
      </c>
      <c r="L520" s="83">
        <v>400</v>
      </c>
      <c r="M520" s="83">
        <v>0.12</v>
      </c>
      <c r="N520" s="83">
        <v>0.19</v>
      </c>
      <c r="O520" s="83">
        <v>1.46</v>
      </c>
      <c r="P520" s="83">
        <v>2.85</v>
      </c>
      <c r="Q520" s="83"/>
      <c r="R520" s="86">
        <v>0.2884796734668757</v>
      </c>
      <c r="S520" s="87">
        <v>1.9</v>
      </c>
      <c r="T520" s="83"/>
      <c r="U520" s="83"/>
      <c r="V520" s="83"/>
      <c r="W520" s="83"/>
      <c r="X520" s="83"/>
      <c r="Y520" s="87">
        <v>4.2</v>
      </c>
      <c r="Z520" s="83"/>
      <c r="AA520" s="86"/>
      <c r="AB520" s="86"/>
      <c r="AC520" s="83"/>
      <c r="AD520" s="88">
        <v>60</v>
      </c>
      <c r="AE520" s="88">
        <v>60</v>
      </c>
      <c r="AF520" s="88">
        <v>880</v>
      </c>
      <c r="AG520" s="66">
        <f t="shared" si="16"/>
        <v>475.37142857142857</v>
      </c>
      <c r="AH520" s="143">
        <f t="shared" si="17"/>
        <v>1000</v>
      </c>
    </row>
    <row r="521" spans="1:34" s="90" customFormat="1" x14ac:dyDescent="0.3">
      <c r="A521" s="84">
        <v>803076</v>
      </c>
      <c r="B521" s="87">
        <v>35</v>
      </c>
      <c r="C521" s="87">
        <v>14.75</v>
      </c>
      <c r="D521" s="86">
        <v>8.7899999999999991</v>
      </c>
      <c r="E521" s="99">
        <v>8.82</v>
      </c>
      <c r="F521" s="84">
        <v>5613.0000000000009</v>
      </c>
      <c r="G521" s="84"/>
      <c r="H521" s="84">
        <v>16.59</v>
      </c>
      <c r="I521" s="84">
        <v>434</v>
      </c>
      <c r="J521" s="85">
        <v>8.6129999999999995</v>
      </c>
      <c r="K521" s="87">
        <v>12.3</v>
      </c>
      <c r="L521" s="83">
        <v>4370</v>
      </c>
      <c r="M521" s="83">
        <v>0.16</v>
      </c>
      <c r="N521" s="83">
        <v>0.41</v>
      </c>
      <c r="O521" s="83">
        <v>4.57</v>
      </c>
      <c r="P521" s="83">
        <v>3.7</v>
      </c>
      <c r="Q521" s="83"/>
      <c r="R521" s="86">
        <v>0.47523780123602549</v>
      </c>
      <c r="S521" s="87">
        <v>3.3</v>
      </c>
      <c r="T521" s="83"/>
      <c r="U521" s="83"/>
      <c r="V521" s="83"/>
      <c r="W521" s="83"/>
      <c r="X521" s="83"/>
      <c r="Y521" s="87">
        <v>35</v>
      </c>
      <c r="Z521" s="83"/>
      <c r="AA521" s="86"/>
      <c r="AB521" s="86"/>
      <c r="AC521" s="83"/>
      <c r="AD521" s="88">
        <v>500</v>
      </c>
      <c r="AE521" s="88">
        <v>400</v>
      </c>
      <c r="AF521" s="88">
        <v>100</v>
      </c>
      <c r="AG521" s="66">
        <f t="shared" si="16"/>
        <v>124.40571428571428</v>
      </c>
      <c r="AH521" s="143">
        <f t="shared" si="17"/>
        <v>1000</v>
      </c>
    </row>
    <row r="522" spans="1:34" s="90" customFormat="1" x14ac:dyDescent="0.3">
      <c r="A522" s="84">
        <v>803077</v>
      </c>
      <c r="B522" s="87">
        <v>37.999999999999993</v>
      </c>
      <c r="C522" s="87">
        <v>16.250000000000004</v>
      </c>
      <c r="D522" s="86">
        <v>8.9</v>
      </c>
      <c r="E522" s="99">
        <v>0.12</v>
      </c>
      <c r="F522" s="84">
        <v>77.849999999999994</v>
      </c>
      <c r="G522" s="84"/>
      <c r="H522" s="84">
        <v>18.010000000000002</v>
      </c>
      <c r="I522" s="84">
        <v>119</v>
      </c>
      <c r="J522" s="85">
        <v>2.4E-2</v>
      </c>
      <c r="K522" s="87">
        <v>10.58</v>
      </c>
      <c r="L522" s="83">
        <v>230</v>
      </c>
      <c r="M522" s="83">
        <v>0.15</v>
      </c>
      <c r="N522" s="83">
        <v>0.35</v>
      </c>
      <c r="O522" s="83">
        <v>2.31</v>
      </c>
      <c r="P522" s="83">
        <v>3.68</v>
      </c>
      <c r="Q522" s="83"/>
      <c r="R522" s="86">
        <v>1.6022000000000001</v>
      </c>
      <c r="S522" s="87">
        <v>11</v>
      </c>
      <c r="T522" s="83"/>
      <c r="U522" s="83"/>
      <c r="V522" s="83"/>
      <c r="W522" s="83"/>
      <c r="X522" s="83"/>
      <c r="Y522" s="87">
        <v>4</v>
      </c>
      <c r="Z522" s="83"/>
      <c r="AA522" s="86"/>
      <c r="AB522" s="86"/>
      <c r="AC522" s="83"/>
      <c r="AD522" s="88">
        <v>80</v>
      </c>
      <c r="AE522" s="88">
        <v>80</v>
      </c>
      <c r="AF522" s="88">
        <v>840</v>
      </c>
      <c r="AG522" s="66">
        <f t="shared" si="16"/>
        <v>936.33</v>
      </c>
      <c r="AH522" s="143">
        <f t="shared" si="17"/>
        <v>1000</v>
      </c>
    </row>
    <row r="523" spans="1:34" s="90" customFormat="1" x14ac:dyDescent="0.3">
      <c r="A523" s="84">
        <v>803078</v>
      </c>
      <c r="B523" s="87">
        <v>33.333333333333329</v>
      </c>
      <c r="C523" s="87">
        <v>14.500000000000002</v>
      </c>
      <c r="D523" s="86">
        <v>8.75</v>
      </c>
      <c r="E523" s="99">
        <v>0.36</v>
      </c>
      <c r="F523" s="84">
        <v>48</v>
      </c>
      <c r="G523" s="84"/>
      <c r="H523" s="84">
        <v>17.59</v>
      </c>
      <c r="I523" s="84">
        <v>109</v>
      </c>
      <c r="J523" s="85">
        <v>0.02</v>
      </c>
      <c r="K523" s="87">
        <v>11.86</v>
      </c>
      <c r="L523" s="83">
        <v>180</v>
      </c>
      <c r="M523" s="83">
        <v>0.08</v>
      </c>
      <c r="N523" s="83">
        <v>0.63</v>
      </c>
      <c r="O523" s="83">
        <v>3.3</v>
      </c>
      <c r="P523" s="83">
        <v>3.89</v>
      </c>
      <c r="Q523" s="83"/>
      <c r="R523" s="86">
        <v>1.3173627902559488</v>
      </c>
      <c r="S523" s="87">
        <v>8.9</v>
      </c>
      <c r="T523" s="83"/>
      <c r="U523" s="83"/>
      <c r="V523" s="83"/>
      <c r="W523" s="83"/>
      <c r="X523" s="83"/>
      <c r="Y523" s="87">
        <v>25.200000000000003</v>
      </c>
      <c r="Z523" s="83"/>
      <c r="AA523" s="86"/>
      <c r="AB523" s="86"/>
      <c r="AC523" s="83"/>
      <c r="AD523" s="88">
        <v>360</v>
      </c>
      <c r="AE523" s="88">
        <v>240</v>
      </c>
      <c r="AF523" s="88">
        <v>400</v>
      </c>
      <c r="AG523" s="66">
        <f t="shared" si="16"/>
        <v>166.60476190476192</v>
      </c>
      <c r="AH523" s="143">
        <f t="shared" si="17"/>
        <v>1000</v>
      </c>
    </row>
    <row r="524" spans="1:34" s="90" customFormat="1" x14ac:dyDescent="0.3">
      <c r="A524" s="84">
        <v>803079</v>
      </c>
      <c r="B524" s="87">
        <v>0.58333333333333337</v>
      </c>
      <c r="C524" s="87"/>
      <c r="D524" s="86">
        <v>8.59</v>
      </c>
      <c r="E524" s="99">
        <v>0.12</v>
      </c>
      <c r="F524" s="84">
        <v>40.9</v>
      </c>
      <c r="G524" s="84"/>
      <c r="H524" s="84">
        <v>12.99</v>
      </c>
      <c r="I524" s="84">
        <v>271</v>
      </c>
      <c r="J524" s="85">
        <v>0.22900000000000001</v>
      </c>
      <c r="K524" s="87">
        <v>8.1300000000000008</v>
      </c>
      <c r="L524" s="83">
        <v>2840</v>
      </c>
      <c r="M524" s="83">
        <v>0.19</v>
      </c>
      <c r="N524" s="83">
        <v>0.7</v>
      </c>
      <c r="O524" s="83">
        <v>1.53</v>
      </c>
      <c r="P524" s="83">
        <v>20.6</v>
      </c>
      <c r="Q524" s="83"/>
      <c r="R524" s="86">
        <v>1.3564485954382564</v>
      </c>
      <c r="S524" s="87">
        <v>9.8000000000000007</v>
      </c>
      <c r="T524" s="83"/>
      <c r="U524" s="83"/>
      <c r="V524" s="83"/>
      <c r="W524" s="83"/>
      <c r="X524" s="83"/>
      <c r="Y524" s="87">
        <v>28</v>
      </c>
      <c r="Z524" s="83"/>
      <c r="AA524" s="86"/>
      <c r="AB524" s="86"/>
      <c r="AC524" s="83"/>
      <c r="AD524" s="88">
        <v>560</v>
      </c>
      <c r="AE524" s="88">
        <v>340</v>
      </c>
      <c r="AF524" s="88">
        <v>100</v>
      </c>
      <c r="AG524" s="66">
        <f t="shared" si="16"/>
        <v>102.78642857142859</v>
      </c>
      <c r="AH524" s="143">
        <f t="shared" si="17"/>
        <v>1000</v>
      </c>
    </row>
    <row r="525" spans="1:34" s="90" customFormat="1" x14ac:dyDescent="0.3">
      <c r="A525" s="84">
        <v>803080</v>
      </c>
      <c r="B525" s="87">
        <v>5.3888888888888884</v>
      </c>
      <c r="C525" s="87"/>
      <c r="D525" s="86">
        <v>8.5399999999999991</v>
      </c>
      <c r="E525" s="99">
        <v>0.36</v>
      </c>
      <c r="F525" s="84">
        <v>236.95</v>
      </c>
      <c r="G525" s="84"/>
      <c r="H525" s="84">
        <v>21.04</v>
      </c>
      <c r="I525" s="84">
        <v>634</v>
      </c>
      <c r="J525" s="85">
        <v>0.317</v>
      </c>
      <c r="K525" s="87">
        <v>10.69</v>
      </c>
      <c r="L525" s="83">
        <v>1150</v>
      </c>
      <c r="M525" s="83">
        <v>0.55000000000000004</v>
      </c>
      <c r="N525" s="83">
        <v>1.03</v>
      </c>
      <c r="O525" s="83">
        <v>15.28</v>
      </c>
      <c r="P525" s="83">
        <v>2.76</v>
      </c>
      <c r="Q525" s="83"/>
      <c r="R525" s="86">
        <v>1.216829964620209</v>
      </c>
      <c r="S525" s="87">
        <v>8.4</v>
      </c>
      <c r="T525" s="83"/>
      <c r="U525" s="83"/>
      <c r="V525" s="83"/>
      <c r="W525" s="83"/>
      <c r="X525" s="83"/>
      <c r="Y525" s="87">
        <v>12</v>
      </c>
      <c r="Z525" s="83"/>
      <c r="AA525" s="86"/>
      <c r="AB525" s="86"/>
      <c r="AC525" s="83"/>
      <c r="AD525" s="88">
        <v>240</v>
      </c>
      <c r="AE525" s="88">
        <v>680</v>
      </c>
      <c r="AF525" s="88">
        <v>80</v>
      </c>
      <c r="AG525" s="66">
        <f t="shared" si="16"/>
        <v>315.35499999999996</v>
      </c>
      <c r="AH525" s="143">
        <f t="shared" si="17"/>
        <v>1000</v>
      </c>
    </row>
    <row r="526" spans="1:34" s="90" customFormat="1" x14ac:dyDescent="0.3">
      <c r="A526" s="84">
        <v>803081</v>
      </c>
      <c r="B526" s="87">
        <v>42.666666666666671</v>
      </c>
      <c r="C526" s="87">
        <v>16.750000000000004</v>
      </c>
      <c r="D526" s="86">
        <v>8.56</v>
      </c>
      <c r="E526" s="99">
        <v>0.23</v>
      </c>
      <c r="F526" s="84">
        <v>45.05</v>
      </c>
      <c r="G526" s="84"/>
      <c r="H526" s="84">
        <v>443.03</v>
      </c>
      <c r="I526" s="84">
        <v>151</v>
      </c>
      <c r="J526" s="85">
        <v>4.3999999999999997E-2</v>
      </c>
      <c r="K526" s="87">
        <v>11.03</v>
      </c>
      <c r="L526" s="83">
        <v>1140</v>
      </c>
      <c r="M526" s="83">
        <v>0.6</v>
      </c>
      <c r="N526" s="83">
        <v>0.68</v>
      </c>
      <c r="O526" s="83">
        <v>2.13</v>
      </c>
      <c r="P526" s="83">
        <v>3.18</v>
      </c>
      <c r="Q526" s="83"/>
      <c r="R526" s="86">
        <v>1.2339637127379357</v>
      </c>
      <c r="S526" s="87">
        <v>9</v>
      </c>
      <c r="T526" s="83"/>
      <c r="U526" s="83"/>
      <c r="V526" s="83"/>
      <c r="W526" s="83"/>
      <c r="X526" s="83"/>
      <c r="Y526" s="87">
        <v>31.2</v>
      </c>
      <c r="Z526" s="83"/>
      <c r="AA526" s="86"/>
      <c r="AB526" s="86"/>
      <c r="AC526" s="83"/>
      <c r="AD526" s="88">
        <v>520</v>
      </c>
      <c r="AE526" s="88">
        <v>280</v>
      </c>
      <c r="AF526" s="88">
        <v>200</v>
      </c>
      <c r="AG526" s="66">
        <f t="shared" si="16"/>
        <v>125.14807692307693</v>
      </c>
      <c r="AH526" s="143">
        <f t="shared" si="17"/>
        <v>1000</v>
      </c>
    </row>
    <row r="527" spans="1:34" s="90" customFormat="1" x14ac:dyDescent="0.3">
      <c r="A527" s="84">
        <v>803082</v>
      </c>
      <c r="B527" s="87">
        <v>38.333333333333329</v>
      </c>
      <c r="C527" s="87">
        <v>16</v>
      </c>
      <c r="D527" s="86">
        <v>8.3800000000000008</v>
      </c>
      <c r="E527" s="99">
        <v>0.26</v>
      </c>
      <c r="F527" s="84">
        <v>46.900000000000006</v>
      </c>
      <c r="G527" s="84"/>
      <c r="H527" s="84">
        <v>97.38</v>
      </c>
      <c r="I527" s="84">
        <v>114</v>
      </c>
      <c r="J527" s="85">
        <v>6.6000000000000003E-2</v>
      </c>
      <c r="K527" s="87">
        <v>10.81</v>
      </c>
      <c r="L527" s="83">
        <v>840</v>
      </c>
      <c r="M527" s="83">
        <v>0.37</v>
      </c>
      <c r="N527" s="83">
        <v>0.52</v>
      </c>
      <c r="O527" s="83">
        <v>1.49</v>
      </c>
      <c r="P527" s="83">
        <v>3.57</v>
      </c>
      <c r="Q527" s="83"/>
      <c r="R527" s="86">
        <v>1.1371733339769476</v>
      </c>
      <c r="S527" s="87">
        <v>8.1</v>
      </c>
      <c r="T527" s="83"/>
      <c r="U527" s="83"/>
      <c r="V527" s="83"/>
      <c r="W527" s="83"/>
      <c r="X527" s="83"/>
      <c r="Y527" s="87">
        <v>36</v>
      </c>
      <c r="Z527" s="83"/>
      <c r="AA527" s="86"/>
      <c r="AB527" s="86"/>
      <c r="AC527" s="83"/>
      <c r="AD527" s="88">
        <v>600</v>
      </c>
      <c r="AE527" s="88">
        <v>280</v>
      </c>
      <c r="AF527" s="88">
        <v>120</v>
      </c>
      <c r="AG527" s="66">
        <f t="shared" si="16"/>
        <v>106.29833333333335</v>
      </c>
      <c r="AH527" s="143">
        <f t="shared" si="17"/>
        <v>1000</v>
      </c>
    </row>
    <row r="528" spans="1:34" s="90" customFormat="1" x14ac:dyDescent="0.3">
      <c r="A528" s="84">
        <v>803083</v>
      </c>
      <c r="B528" s="87">
        <v>12.666666666666664</v>
      </c>
      <c r="C528" s="87">
        <v>9.5000000000000018</v>
      </c>
      <c r="D528" s="86">
        <v>8.7100000000000009</v>
      </c>
      <c r="E528" s="99">
        <v>0.19</v>
      </c>
      <c r="F528" s="84">
        <v>50.9</v>
      </c>
      <c r="G528" s="84"/>
      <c r="H528" s="84">
        <v>638.35</v>
      </c>
      <c r="I528" s="84">
        <v>908</v>
      </c>
      <c r="J528" s="85">
        <v>3.1E-2</v>
      </c>
      <c r="K528" s="87">
        <v>8.44</v>
      </c>
      <c r="L528" s="83">
        <v>1870</v>
      </c>
      <c r="M528" s="83">
        <v>3.25</v>
      </c>
      <c r="N528" s="83">
        <v>5.92</v>
      </c>
      <c r="O528" s="83">
        <v>4.82</v>
      </c>
      <c r="P528" s="83">
        <v>3.31</v>
      </c>
      <c r="Q528" s="83"/>
      <c r="R528" s="86">
        <v>1.770977</v>
      </c>
      <c r="S528" s="87">
        <v>15.7</v>
      </c>
      <c r="T528" s="83"/>
      <c r="U528" s="83"/>
      <c r="V528" s="83"/>
      <c r="W528" s="83"/>
      <c r="X528" s="83"/>
      <c r="Y528" s="87">
        <v>13.2</v>
      </c>
      <c r="Z528" s="83"/>
      <c r="AA528" s="86"/>
      <c r="AB528" s="86"/>
      <c r="AC528" s="83"/>
      <c r="AD528" s="88">
        <v>220</v>
      </c>
      <c r="AE528" s="88">
        <v>440</v>
      </c>
      <c r="AF528" s="88">
        <v>340</v>
      </c>
      <c r="AG528" s="66">
        <f t="shared" si="16"/>
        <v>226.34545454545454</v>
      </c>
      <c r="AH528" s="143">
        <f t="shared" si="17"/>
        <v>1000</v>
      </c>
    </row>
    <row r="529" spans="1:34" s="90" customFormat="1" x14ac:dyDescent="0.3">
      <c r="A529" s="84">
        <v>803084</v>
      </c>
      <c r="B529" s="87">
        <v>13.333333333333334</v>
      </c>
      <c r="C529" s="87">
        <v>9.6250000000000018</v>
      </c>
      <c r="D529" s="86">
        <v>8.58</v>
      </c>
      <c r="E529" s="99">
        <v>0.35</v>
      </c>
      <c r="F529" s="84">
        <v>94.399999999999991</v>
      </c>
      <c r="G529" s="84"/>
      <c r="H529" s="84">
        <v>108.99</v>
      </c>
      <c r="I529" s="84">
        <v>1125</v>
      </c>
      <c r="J529" s="85">
        <v>7.3999999999999996E-2</v>
      </c>
      <c r="K529" s="87">
        <v>11.17</v>
      </c>
      <c r="L529" s="83">
        <v>1600</v>
      </c>
      <c r="M529" s="83">
        <v>1.07</v>
      </c>
      <c r="N529" s="83">
        <v>2.85</v>
      </c>
      <c r="O529" s="83">
        <v>5.84</v>
      </c>
      <c r="P529" s="83">
        <v>2.57</v>
      </c>
      <c r="Q529" s="83"/>
      <c r="R529" s="86">
        <v>1.2449039802680015</v>
      </c>
      <c r="S529" s="87">
        <v>9.3000000000000007</v>
      </c>
      <c r="T529" s="83"/>
      <c r="U529" s="83"/>
      <c r="V529" s="83"/>
      <c r="W529" s="83"/>
      <c r="X529" s="83"/>
      <c r="Y529" s="87">
        <v>14.399999999999999</v>
      </c>
      <c r="Z529" s="83"/>
      <c r="AA529" s="86"/>
      <c r="AB529" s="86"/>
      <c r="AC529" s="83"/>
      <c r="AD529" s="88">
        <v>240</v>
      </c>
      <c r="AE529" s="88">
        <v>420</v>
      </c>
      <c r="AF529" s="88">
        <v>340</v>
      </c>
      <c r="AG529" s="66">
        <f t="shared" si="16"/>
        <v>274.59583333333336</v>
      </c>
      <c r="AH529" s="143">
        <f t="shared" si="17"/>
        <v>1000</v>
      </c>
    </row>
    <row r="530" spans="1:34" s="90" customFormat="1" x14ac:dyDescent="0.3">
      <c r="A530" s="84">
        <v>803085</v>
      </c>
      <c r="B530" s="87">
        <v>11.083333333333334</v>
      </c>
      <c r="C530" s="87">
        <v>8.3750000000000018</v>
      </c>
      <c r="D530" s="86">
        <v>8.3000000000000007</v>
      </c>
      <c r="E530" s="99">
        <v>0.55000000000000004</v>
      </c>
      <c r="F530" s="84">
        <v>144.35</v>
      </c>
      <c r="G530" s="84"/>
      <c r="H530" s="84">
        <v>433.65000000000003</v>
      </c>
      <c r="I530" s="84">
        <v>1273</v>
      </c>
      <c r="J530" s="85">
        <v>0.113</v>
      </c>
      <c r="K530" s="87">
        <v>6.77</v>
      </c>
      <c r="L530" s="83">
        <v>1270</v>
      </c>
      <c r="M530" s="83">
        <v>3.38</v>
      </c>
      <c r="N530" s="83">
        <v>2.27</v>
      </c>
      <c r="O530" s="83">
        <v>5.29</v>
      </c>
      <c r="P530" s="83">
        <v>3.18</v>
      </c>
      <c r="Q530" s="83"/>
      <c r="R530" s="86">
        <v>1.651977</v>
      </c>
      <c r="S530" s="87">
        <v>12.3</v>
      </c>
      <c r="T530" s="83"/>
      <c r="U530" s="83"/>
      <c r="V530" s="83"/>
      <c r="W530" s="83"/>
      <c r="X530" s="83"/>
      <c r="Y530" s="87">
        <v>16.8</v>
      </c>
      <c r="Z530" s="83"/>
      <c r="AA530" s="86"/>
      <c r="AB530" s="86"/>
      <c r="AC530" s="83"/>
      <c r="AD530" s="88">
        <v>240</v>
      </c>
      <c r="AE530" s="88">
        <v>420</v>
      </c>
      <c r="AF530" s="88">
        <v>340</v>
      </c>
      <c r="AG530" s="66">
        <f t="shared" si="16"/>
        <v>142.65357142857141</v>
      </c>
      <c r="AH530" s="143">
        <f t="shared" si="17"/>
        <v>1000</v>
      </c>
    </row>
    <row r="531" spans="1:34" s="90" customFormat="1" x14ac:dyDescent="0.3">
      <c r="A531" s="84">
        <v>803086</v>
      </c>
      <c r="B531" s="87">
        <v>25</v>
      </c>
      <c r="C531" s="87">
        <v>12.500000000000002</v>
      </c>
      <c r="D531" s="86">
        <v>8.58</v>
      </c>
      <c r="E531" s="99">
        <v>0.4</v>
      </c>
      <c r="F531" s="84">
        <v>107.6</v>
      </c>
      <c r="G531" s="84"/>
      <c r="H531" s="84">
        <v>193.81</v>
      </c>
      <c r="I531" s="84">
        <v>989</v>
      </c>
      <c r="J531" s="85">
        <v>0.10299999999999999</v>
      </c>
      <c r="K531" s="87">
        <v>8.3800000000000008</v>
      </c>
      <c r="L531" s="83">
        <v>960</v>
      </c>
      <c r="M531" s="83">
        <v>2</v>
      </c>
      <c r="N531" s="83">
        <v>1.78</v>
      </c>
      <c r="O531" s="83">
        <v>3.85</v>
      </c>
      <c r="P531" s="83">
        <v>2.69</v>
      </c>
      <c r="Q531" s="83"/>
      <c r="R531" s="86">
        <v>1.586408</v>
      </c>
      <c r="S531" s="87">
        <v>10.6</v>
      </c>
      <c r="T531" s="83"/>
      <c r="U531" s="83"/>
      <c r="V531" s="83"/>
      <c r="W531" s="83"/>
      <c r="X531" s="83"/>
      <c r="Y531" s="87">
        <v>17</v>
      </c>
      <c r="Z531" s="83"/>
      <c r="AA531" s="86"/>
      <c r="AB531" s="86"/>
      <c r="AC531" s="83"/>
      <c r="AD531" s="88">
        <v>340</v>
      </c>
      <c r="AE531" s="88">
        <v>340</v>
      </c>
      <c r="AF531" s="88">
        <v>320</v>
      </c>
      <c r="AG531" s="66">
        <f t="shared" si="16"/>
        <v>174.50117647058826</v>
      </c>
      <c r="AH531" s="143">
        <f t="shared" si="17"/>
        <v>1000</v>
      </c>
    </row>
    <row r="532" spans="1:34" s="90" customFormat="1" x14ac:dyDescent="0.3">
      <c r="A532" s="84">
        <v>803087</v>
      </c>
      <c r="B532" s="87">
        <v>20.666666666666668</v>
      </c>
      <c r="C532" s="87">
        <v>13.000000000000004</v>
      </c>
      <c r="D532" s="86">
        <v>8.42</v>
      </c>
      <c r="E532" s="99">
        <v>0.36</v>
      </c>
      <c r="F532" s="84">
        <v>77.649999999999991</v>
      </c>
      <c r="G532" s="84"/>
      <c r="H532" s="84">
        <v>210.41</v>
      </c>
      <c r="I532" s="84">
        <v>1049</v>
      </c>
      <c r="J532" s="85">
        <v>3.4000000000000002E-2</v>
      </c>
      <c r="K532" s="87">
        <v>10.15</v>
      </c>
      <c r="L532" s="83">
        <v>1200</v>
      </c>
      <c r="M532" s="83">
        <v>1.42</v>
      </c>
      <c r="N532" s="83">
        <v>1.52</v>
      </c>
      <c r="O532" s="83">
        <v>4.33</v>
      </c>
      <c r="P532" s="83">
        <v>2.61</v>
      </c>
      <c r="Q532" s="83"/>
      <c r="R532" s="86">
        <v>1.6922480000000002</v>
      </c>
      <c r="S532" s="87">
        <v>13.4</v>
      </c>
      <c r="T532" s="83"/>
      <c r="U532" s="83"/>
      <c r="V532" s="83"/>
      <c r="W532" s="83"/>
      <c r="X532" s="83"/>
      <c r="Y532" s="87">
        <v>11</v>
      </c>
      <c r="Z532" s="83"/>
      <c r="AA532" s="86"/>
      <c r="AB532" s="86"/>
      <c r="AC532" s="83"/>
      <c r="AD532" s="88">
        <v>220</v>
      </c>
      <c r="AE532" s="88">
        <v>460</v>
      </c>
      <c r="AF532" s="88">
        <v>320</v>
      </c>
      <c r="AG532" s="66">
        <f t="shared" si="16"/>
        <v>326.64545454545458</v>
      </c>
      <c r="AH532" s="143">
        <f t="shared" si="17"/>
        <v>1000</v>
      </c>
    </row>
    <row r="533" spans="1:34" s="90" customFormat="1" x14ac:dyDescent="0.3">
      <c r="A533" s="84">
        <v>803088</v>
      </c>
      <c r="B533" s="87">
        <v>33.833333333333329</v>
      </c>
      <c r="C533" s="87">
        <v>15.750000000000002</v>
      </c>
      <c r="D533" s="86">
        <v>8.6199999999999992</v>
      </c>
      <c r="E533" s="99">
        <v>0.32</v>
      </c>
      <c r="F533" s="84">
        <v>117.95</v>
      </c>
      <c r="G533" s="84"/>
      <c r="H533" s="84">
        <v>128.16999999999999</v>
      </c>
      <c r="I533" s="84">
        <v>979</v>
      </c>
      <c r="J533" s="85">
        <v>5.0999999999999997E-2</v>
      </c>
      <c r="K533" s="87">
        <v>8.48</v>
      </c>
      <c r="L533" s="83">
        <v>880</v>
      </c>
      <c r="M533" s="83">
        <v>1.21</v>
      </c>
      <c r="N533" s="83">
        <v>1.36</v>
      </c>
      <c r="O533" s="83">
        <v>3.86</v>
      </c>
      <c r="P533" s="83">
        <v>2.5299999999999998</v>
      </c>
      <c r="Q533" s="83"/>
      <c r="R533" s="86">
        <v>1.0511572982893618</v>
      </c>
      <c r="S533" s="87">
        <v>7.6</v>
      </c>
      <c r="T533" s="83"/>
      <c r="U533" s="83"/>
      <c r="V533" s="83"/>
      <c r="W533" s="83"/>
      <c r="X533" s="83"/>
      <c r="Y533" s="87">
        <v>20.399999999999999</v>
      </c>
      <c r="Z533" s="83"/>
      <c r="AA533" s="86"/>
      <c r="AB533" s="86"/>
      <c r="AC533" s="83"/>
      <c r="AD533" s="88">
        <v>340</v>
      </c>
      <c r="AE533" s="88">
        <v>340</v>
      </c>
      <c r="AF533" s="88">
        <v>320</v>
      </c>
      <c r="AG533" s="66">
        <f t="shared" si="16"/>
        <v>147.15294117647059</v>
      </c>
      <c r="AH533" s="143">
        <f t="shared" si="17"/>
        <v>1000</v>
      </c>
    </row>
    <row r="534" spans="1:34" s="90" customFormat="1" x14ac:dyDescent="0.3">
      <c r="A534" s="84">
        <v>803089</v>
      </c>
      <c r="B534" s="87">
        <v>20.5</v>
      </c>
      <c r="C534" s="87">
        <v>11.250000000000002</v>
      </c>
      <c r="D534" s="86">
        <v>7.9</v>
      </c>
      <c r="E534" s="99">
        <v>0.48</v>
      </c>
      <c r="F534" s="84">
        <v>150.6</v>
      </c>
      <c r="G534" s="84"/>
      <c r="H534" s="84">
        <v>254.9</v>
      </c>
      <c r="I534" s="84">
        <v>1069</v>
      </c>
      <c r="J534" s="85">
        <v>7.3999999999999996E-2</v>
      </c>
      <c r="K534" s="87">
        <v>11</v>
      </c>
      <c r="L534" s="83">
        <v>1960</v>
      </c>
      <c r="M534" s="83">
        <v>1.98</v>
      </c>
      <c r="N534" s="83">
        <v>1.48</v>
      </c>
      <c r="O534" s="83">
        <v>4.6399999999999997</v>
      </c>
      <c r="P534" s="83">
        <v>3.68</v>
      </c>
      <c r="Q534" s="83"/>
      <c r="R534" s="86">
        <v>1.6704920000000001</v>
      </c>
      <c r="S534" s="87">
        <v>12.8</v>
      </c>
      <c r="T534" s="83"/>
      <c r="U534" s="83"/>
      <c r="V534" s="83"/>
      <c r="W534" s="83"/>
      <c r="X534" s="83"/>
      <c r="Y534" s="87">
        <v>13.2</v>
      </c>
      <c r="Z534" s="83"/>
      <c r="AA534" s="86"/>
      <c r="AB534" s="86"/>
      <c r="AC534" s="83"/>
      <c r="AD534" s="88">
        <v>240</v>
      </c>
      <c r="AE534" s="88">
        <v>460</v>
      </c>
      <c r="AF534" s="88">
        <v>300</v>
      </c>
      <c r="AG534" s="66">
        <f t="shared" si="16"/>
        <v>295</v>
      </c>
      <c r="AH534" s="143">
        <f t="shared" si="17"/>
        <v>1000</v>
      </c>
    </row>
    <row r="535" spans="1:34" s="90" customFormat="1" x14ac:dyDescent="0.3">
      <c r="A535" s="84">
        <v>803090</v>
      </c>
      <c r="B535" s="87">
        <v>4.958333333333333</v>
      </c>
      <c r="C535" s="87"/>
      <c r="D535" s="86">
        <v>8.7799999999999994</v>
      </c>
      <c r="E535" s="99">
        <v>0.11</v>
      </c>
      <c r="F535" s="84">
        <v>41.449999999999996</v>
      </c>
      <c r="G535" s="84"/>
      <c r="H535" s="84">
        <v>63.05</v>
      </c>
      <c r="I535" s="84">
        <v>381</v>
      </c>
      <c r="J535" s="85">
        <v>6.8000000000000005E-2</v>
      </c>
      <c r="K535" s="87">
        <v>11.2</v>
      </c>
      <c r="L535" s="83">
        <v>1020</v>
      </c>
      <c r="M535" s="83">
        <v>0.19</v>
      </c>
      <c r="N535" s="83">
        <v>0.86</v>
      </c>
      <c r="O535" s="83">
        <v>3.19</v>
      </c>
      <c r="P535" s="83">
        <v>2.89</v>
      </c>
      <c r="Q535" s="83"/>
      <c r="R535" s="86">
        <v>0.74509206266643646</v>
      </c>
      <c r="S535" s="87">
        <v>5.5</v>
      </c>
      <c r="T535" s="83"/>
      <c r="U535" s="83"/>
      <c r="V535" s="83"/>
      <c r="W535" s="83"/>
      <c r="X535" s="83"/>
      <c r="Y535" s="87">
        <v>11</v>
      </c>
      <c r="Z535" s="83"/>
      <c r="AA535" s="86"/>
      <c r="AB535" s="86"/>
      <c r="AC535" s="83"/>
      <c r="AD535" s="88">
        <v>220</v>
      </c>
      <c r="AE535" s="88">
        <v>480</v>
      </c>
      <c r="AF535" s="88">
        <v>300</v>
      </c>
      <c r="AG535" s="66">
        <f t="shared" si="16"/>
        <v>360.43636363636364</v>
      </c>
      <c r="AH535" s="143">
        <f t="shared" si="17"/>
        <v>1000</v>
      </c>
    </row>
    <row r="536" spans="1:34" s="90" customFormat="1" x14ac:dyDescent="0.3">
      <c r="A536" s="84">
        <v>803091</v>
      </c>
      <c r="B536" s="87">
        <v>13.333333333333334</v>
      </c>
      <c r="C536" s="87">
        <v>9.75</v>
      </c>
      <c r="D536" s="86">
        <v>8.7200000000000006</v>
      </c>
      <c r="E536" s="99">
        <v>0.36</v>
      </c>
      <c r="F536" s="84">
        <v>41.150000000000006</v>
      </c>
      <c r="G536" s="84"/>
      <c r="H536" s="84">
        <v>31.06</v>
      </c>
      <c r="I536" s="84">
        <v>244</v>
      </c>
      <c r="J536" s="85">
        <v>0.09</v>
      </c>
      <c r="K536" s="87">
        <v>8.4600000000000009</v>
      </c>
      <c r="L536" s="83">
        <v>640</v>
      </c>
      <c r="M536" s="83">
        <v>0.12</v>
      </c>
      <c r="N536" s="83">
        <v>0.94</v>
      </c>
      <c r="O536" s="83">
        <v>2.86</v>
      </c>
      <c r="P536" s="83">
        <v>2.02</v>
      </c>
      <c r="Q536" s="83"/>
      <c r="R536" s="86">
        <v>0.66934320288320637</v>
      </c>
      <c r="S536" s="87">
        <v>4.8</v>
      </c>
      <c r="T536" s="83"/>
      <c r="U536" s="83"/>
      <c r="V536" s="83"/>
      <c r="W536" s="83"/>
      <c r="X536" s="83"/>
      <c r="Y536" s="87">
        <v>10</v>
      </c>
      <c r="Z536" s="83"/>
      <c r="AA536" s="86"/>
      <c r="AB536" s="86"/>
      <c r="AC536" s="83"/>
      <c r="AD536" s="88">
        <v>200</v>
      </c>
      <c r="AE536" s="88">
        <v>460</v>
      </c>
      <c r="AF536" s="88">
        <v>340</v>
      </c>
      <c r="AG536" s="66">
        <f t="shared" si="16"/>
        <v>299.48400000000004</v>
      </c>
      <c r="AH536" s="143">
        <f t="shared" si="17"/>
        <v>1000</v>
      </c>
    </row>
    <row r="537" spans="1:34" s="90" customFormat="1" x14ac:dyDescent="0.3">
      <c r="A537" s="84">
        <v>803092</v>
      </c>
      <c r="B537" s="87">
        <v>7.5</v>
      </c>
      <c r="C537" s="87"/>
      <c r="D537" s="86">
        <v>8.6199999999999992</v>
      </c>
      <c r="E537" s="99">
        <v>0.21</v>
      </c>
      <c r="F537" s="84">
        <v>106.44999999999999</v>
      </c>
      <c r="G537" s="84"/>
      <c r="H537" s="84">
        <v>35.11</v>
      </c>
      <c r="I537" s="84">
        <v>477</v>
      </c>
      <c r="J537" s="85">
        <v>0.10199999999999999</v>
      </c>
      <c r="K537" s="87">
        <v>8.5299999999999994</v>
      </c>
      <c r="L537" s="83">
        <v>690</v>
      </c>
      <c r="M537" s="83">
        <v>0.24</v>
      </c>
      <c r="N537" s="83">
        <v>1.1100000000000001</v>
      </c>
      <c r="O537" s="83">
        <v>3.63</v>
      </c>
      <c r="P537" s="83">
        <v>2.09</v>
      </c>
      <c r="Q537" s="83"/>
      <c r="R537" s="86">
        <v>0.76424637022037256</v>
      </c>
      <c r="S537" s="87">
        <v>5.6</v>
      </c>
      <c r="T537" s="83"/>
      <c r="U537" s="83"/>
      <c r="V537" s="83"/>
      <c r="W537" s="83"/>
      <c r="X537" s="83"/>
      <c r="Y537" s="87">
        <v>15.400000000000002</v>
      </c>
      <c r="Z537" s="83"/>
      <c r="AA537" s="86"/>
      <c r="AB537" s="86"/>
      <c r="AC537" s="83"/>
      <c r="AD537" s="88">
        <v>220</v>
      </c>
      <c r="AE537" s="88">
        <v>440</v>
      </c>
      <c r="AF537" s="88">
        <v>340</v>
      </c>
      <c r="AG537" s="66">
        <f t="shared" si="16"/>
        <v>196.07922077922075</v>
      </c>
      <c r="AH537" s="143">
        <f t="shared" si="17"/>
        <v>1000</v>
      </c>
    </row>
    <row r="538" spans="1:34" s="90" customFormat="1" x14ac:dyDescent="0.3">
      <c r="A538" s="84">
        <v>803093</v>
      </c>
      <c r="B538" s="87">
        <v>25.5</v>
      </c>
      <c r="C538" s="87">
        <v>12.25</v>
      </c>
      <c r="D538" s="86">
        <v>8.23</v>
      </c>
      <c r="E538" s="99">
        <v>0.75</v>
      </c>
      <c r="F538" s="84">
        <v>296.70000000000005</v>
      </c>
      <c r="G538" s="84"/>
      <c r="H538" s="84">
        <v>70.58</v>
      </c>
      <c r="I538" s="84">
        <v>712</v>
      </c>
      <c r="J538" s="85">
        <v>0.247</v>
      </c>
      <c r="K538" s="87">
        <v>9.84</v>
      </c>
      <c r="L538" s="83">
        <v>860</v>
      </c>
      <c r="M538" s="83">
        <v>0.91</v>
      </c>
      <c r="N538" s="83">
        <v>0.7</v>
      </c>
      <c r="O538" s="83">
        <v>8.4600000000000009</v>
      </c>
      <c r="P538" s="83">
        <v>1.7</v>
      </c>
      <c r="Q538" s="83"/>
      <c r="R538" s="86">
        <v>1.0560820763104108</v>
      </c>
      <c r="S538" s="87">
        <v>7.5</v>
      </c>
      <c r="T538" s="83"/>
      <c r="U538" s="83"/>
      <c r="V538" s="83"/>
      <c r="W538" s="83"/>
      <c r="X538" s="83"/>
      <c r="Y538" s="87">
        <v>19.600000000000001</v>
      </c>
      <c r="Z538" s="83"/>
      <c r="AA538" s="86"/>
      <c r="AB538" s="86"/>
      <c r="AC538" s="83"/>
      <c r="AD538" s="88">
        <v>280</v>
      </c>
      <c r="AE538" s="88">
        <v>340</v>
      </c>
      <c r="AF538" s="88">
        <v>380</v>
      </c>
      <c r="AG538" s="66">
        <f t="shared" si="16"/>
        <v>177.7224489795918</v>
      </c>
      <c r="AH538" s="143">
        <f t="shared" si="17"/>
        <v>1000</v>
      </c>
    </row>
    <row r="539" spans="1:34" s="90" customFormat="1" x14ac:dyDescent="0.3">
      <c r="A539" s="84">
        <v>803094</v>
      </c>
      <c r="B539" s="87">
        <v>29.5</v>
      </c>
      <c r="C539" s="87">
        <v>11.500000000000002</v>
      </c>
      <c r="D539" s="86">
        <v>8.43</v>
      </c>
      <c r="E539" s="99">
        <v>0.32</v>
      </c>
      <c r="F539" s="84">
        <v>237.3</v>
      </c>
      <c r="G539" s="84"/>
      <c r="H539" s="84">
        <v>30.01</v>
      </c>
      <c r="I539" s="84">
        <v>314</v>
      </c>
      <c r="J539" s="85">
        <v>0.28899999999999998</v>
      </c>
      <c r="K539" s="87">
        <v>9.77</v>
      </c>
      <c r="L539" s="83">
        <v>1080</v>
      </c>
      <c r="M539" s="83">
        <v>0.16</v>
      </c>
      <c r="N539" s="83">
        <v>0.48</v>
      </c>
      <c r="O539" s="83">
        <v>3.42</v>
      </c>
      <c r="P539" s="83">
        <v>2.19</v>
      </c>
      <c r="Q539" s="83"/>
      <c r="R539" s="86">
        <v>0.86419621360736654</v>
      </c>
      <c r="S539" s="87">
        <v>6.1</v>
      </c>
      <c r="T539" s="83"/>
      <c r="U539" s="83"/>
      <c r="V539" s="83"/>
      <c r="W539" s="83"/>
      <c r="X539" s="83"/>
      <c r="Y539" s="87">
        <v>15</v>
      </c>
      <c r="Z539" s="83"/>
      <c r="AA539" s="86"/>
      <c r="AB539" s="86"/>
      <c r="AC539" s="83"/>
      <c r="AD539" s="88">
        <v>300</v>
      </c>
      <c r="AE539" s="88">
        <v>340</v>
      </c>
      <c r="AF539" s="88">
        <v>360</v>
      </c>
      <c r="AG539" s="66">
        <f t="shared" si="16"/>
        <v>230.572</v>
      </c>
      <c r="AH539" s="143">
        <f t="shared" si="17"/>
        <v>1000</v>
      </c>
    </row>
    <row r="540" spans="1:34" s="90" customFormat="1" x14ac:dyDescent="0.3">
      <c r="A540" s="84">
        <v>803095</v>
      </c>
      <c r="B540" s="87">
        <v>7.5</v>
      </c>
      <c r="C540" s="87"/>
      <c r="D540" s="86">
        <v>8.4600000000000009</v>
      </c>
      <c r="E540" s="99">
        <v>3.45</v>
      </c>
      <c r="F540" s="84">
        <v>729.55</v>
      </c>
      <c r="G540" s="84"/>
      <c r="H540" s="84">
        <v>7.43</v>
      </c>
      <c r="I540" s="84">
        <v>262</v>
      </c>
      <c r="J540" s="85">
        <v>1.157</v>
      </c>
      <c r="K540" s="87">
        <v>9.11</v>
      </c>
      <c r="L540" s="83">
        <v>1840</v>
      </c>
      <c r="M540" s="83">
        <v>0.04</v>
      </c>
      <c r="N540" s="83">
        <v>0.12</v>
      </c>
      <c r="O540" s="83">
        <v>0.48</v>
      </c>
      <c r="P540" s="83">
        <v>0.64</v>
      </c>
      <c r="Q540" s="83"/>
      <c r="R540" s="86">
        <v>0.66877705145018207</v>
      </c>
      <c r="S540" s="87">
        <v>5</v>
      </c>
      <c r="T540" s="83"/>
      <c r="U540" s="83"/>
      <c r="V540" s="83"/>
      <c r="W540" s="83"/>
      <c r="X540" s="83"/>
      <c r="Y540" s="87">
        <v>8</v>
      </c>
      <c r="Z540" s="83"/>
      <c r="AA540" s="86"/>
      <c r="AB540" s="86"/>
      <c r="AC540" s="83"/>
      <c r="AD540" s="88">
        <v>160</v>
      </c>
      <c r="AE540" s="88">
        <v>140</v>
      </c>
      <c r="AF540" s="88">
        <v>700</v>
      </c>
      <c r="AG540" s="66">
        <f t="shared" si="16"/>
        <v>403.11750000000001</v>
      </c>
      <c r="AH540" s="143">
        <f t="shared" si="17"/>
        <v>1000</v>
      </c>
    </row>
    <row r="541" spans="1:34" s="90" customFormat="1" x14ac:dyDescent="0.3">
      <c r="A541" s="84">
        <v>803096</v>
      </c>
      <c r="B541" s="87">
        <v>31.499999999999993</v>
      </c>
      <c r="C541" s="87">
        <v>14.250000000000004</v>
      </c>
      <c r="D541" s="86">
        <v>8.5399999999999991</v>
      </c>
      <c r="E541" s="99">
        <v>2.17</v>
      </c>
      <c r="F541" s="84">
        <v>600.1</v>
      </c>
      <c r="G541" s="84"/>
      <c r="H541" s="84">
        <v>47.58</v>
      </c>
      <c r="I541" s="84">
        <v>173</v>
      </c>
      <c r="J541" s="85">
        <v>0.54300000000000004</v>
      </c>
      <c r="K541" s="87">
        <v>11.67</v>
      </c>
      <c r="L541" s="83">
        <v>1530</v>
      </c>
      <c r="M541" s="83">
        <v>0.16</v>
      </c>
      <c r="N541" s="83">
        <v>0.38</v>
      </c>
      <c r="O541" s="83">
        <v>1.88</v>
      </c>
      <c r="P541" s="83">
        <v>1.95</v>
      </c>
      <c r="Q541" s="83"/>
      <c r="R541" s="86">
        <v>0.3902451528302594</v>
      </c>
      <c r="S541" s="87">
        <v>2.9</v>
      </c>
      <c r="T541" s="83"/>
      <c r="U541" s="83"/>
      <c r="V541" s="83"/>
      <c r="W541" s="83"/>
      <c r="X541" s="83"/>
      <c r="Y541" s="87">
        <v>22.400000000000002</v>
      </c>
      <c r="Z541" s="83"/>
      <c r="AA541" s="86"/>
      <c r="AB541" s="86"/>
      <c r="AC541" s="83"/>
      <c r="AD541" s="88">
        <v>320</v>
      </c>
      <c r="AE541" s="88">
        <v>400</v>
      </c>
      <c r="AF541" s="88">
        <v>280</v>
      </c>
      <c r="AG541" s="66">
        <f t="shared" si="16"/>
        <v>184.42767857142852</v>
      </c>
      <c r="AH541" s="143">
        <f t="shared" si="17"/>
        <v>1000</v>
      </c>
    </row>
    <row r="542" spans="1:34" s="90" customFormat="1" x14ac:dyDescent="0.3">
      <c r="A542" s="84">
        <v>803097</v>
      </c>
      <c r="B542" s="87">
        <v>37.833333333333329</v>
      </c>
      <c r="C542" s="87">
        <v>14.625000000000002</v>
      </c>
      <c r="D542" s="86">
        <v>8.49</v>
      </c>
      <c r="E542" s="99">
        <v>3.74</v>
      </c>
      <c r="F542" s="84">
        <v>1324.6000000000001</v>
      </c>
      <c r="G542" s="84"/>
      <c r="H542" s="84">
        <v>24.3</v>
      </c>
      <c r="I542" s="84">
        <v>231</v>
      </c>
      <c r="J542" s="85">
        <v>0.186</v>
      </c>
      <c r="K542" s="87">
        <v>23.4</v>
      </c>
      <c r="L542" s="83">
        <v>1290</v>
      </c>
      <c r="M542" s="83">
        <v>7.0000000000000007E-2</v>
      </c>
      <c r="N542" s="83">
        <v>0.2</v>
      </c>
      <c r="O542" s="83">
        <v>0.8</v>
      </c>
      <c r="P542" s="83">
        <v>3.11</v>
      </c>
      <c r="Q542" s="83"/>
      <c r="R542" s="86">
        <v>0.31164650310793418</v>
      </c>
      <c r="S542" s="87">
        <v>2.2999999999999998</v>
      </c>
      <c r="T542" s="83"/>
      <c r="U542" s="83"/>
      <c r="V542" s="83"/>
      <c r="W542" s="83"/>
      <c r="X542" s="83"/>
      <c r="Y542" s="87">
        <v>42.000000000000007</v>
      </c>
      <c r="Z542" s="83"/>
      <c r="AA542" s="86"/>
      <c r="AB542" s="86"/>
      <c r="AC542" s="83"/>
      <c r="AD542" s="88">
        <v>600</v>
      </c>
      <c r="AE542" s="88">
        <v>260</v>
      </c>
      <c r="AF542" s="88">
        <v>140</v>
      </c>
      <c r="AG542" s="66">
        <f t="shared" si="16"/>
        <v>197.2285714285714</v>
      </c>
      <c r="AH542" s="143">
        <f t="shared" si="17"/>
        <v>1000</v>
      </c>
    </row>
    <row r="543" spans="1:34" s="90" customFormat="1" x14ac:dyDescent="0.3">
      <c r="A543" s="84">
        <v>803098</v>
      </c>
      <c r="B543" s="87">
        <v>33.5</v>
      </c>
      <c r="C543" s="87">
        <v>15.875000000000002</v>
      </c>
      <c r="D543" s="86">
        <v>8.68</v>
      </c>
      <c r="E543" s="99">
        <v>3.69</v>
      </c>
      <c r="F543" s="84">
        <v>1479.1499999999999</v>
      </c>
      <c r="G543" s="84"/>
      <c r="H543" s="84">
        <v>80.599999999999994</v>
      </c>
      <c r="I543" s="84">
        <v>468</v>
      </c>
      <c r="J543" s="85">
        <v>1.482</v>
      </c>
      <c r="K543" s="87">
        <v>15.6</v>
      </c>
      <c r="L543" s="83">
        <v>1790</v>
      </c>
      <c r="M543" s="83">
        <v>0.38</v>
      </c>
      <c r="N543" s="83">
        <v>0.33</v>
      </c>
      <c r="O543" s="83">
        <v>1.53</v>
      </c>
      <c r="P543" s="83">
        <v>1.69</v>
      </c>
      <c r="Q543" s="83"/>
      <c r="R543" s="86">
        <v>0.65554347717990047</v>
      </c>
      <c r="S543" s="87">
        <v>4.3</v>
      </c>
      <c r="T543" s="83"/>
      <c r="U543" s="83"/>
      <c r="V543" s="83"/>
      <c r="W543" s="83"/>
      <c r="X543" s="83"/>
      <c r="Y543" s="87">
        <v>34.799999999999997</v>
      </c>
      <c r="Z543" s="83"/>
      <c r="AA543" s="86"/>
      <c r="AB543" s="86"/>
      <c r="AC543" s="83"/>
      <c r="AD543" s="88">
        <v>580</v>
      </c>
      <c r="AE543" s="88">
        <v>280</v>
      </c>
      <c r="AF543" s="88">
        <v>140</v>
      </c>
      <c r="AG543" s="66">
        <f t="shared" si="16"/>
        <v>158.68965517241381</v>
      </c>
      <c r="AH543" s="143">
        <f t="shared" si="17"/>
        <v>1000</v>
      </c>
    </row>
    <row r="544" spans="1:34" s="90" customFormat="1" x14ac:dyDescent="0.3">
      <c r="A544" s="84">
        <v>803099</v>
      </c>
      <c r="B544" s="87">
        <v>17.833333333333332</v>
      </c>
      <c r="C544" s="87">
        <v>9.75</v>
      </c>
      <c r="D544" s="86">
        <v>8.66</v>
      </c>
      <c r="E544" s="99">
        <v>0.22</v>
      </c>
      <c r="F544" s="84">
        <v>158.69999999999999</v>
      </c>
      <c r="G544" s="84"/>
      <c r="H544" s="84">
        <v>40.914000000000001</v>
      </c>
      <c r="I544" s="84">
        <v>786</v>
      </c>
      <c r="J544" s="85">
        <v>4.2999999999999997E-2</v>
      </c>
      <c r="K544" s="87">
        <v>10.97</v>
      </c>
      <c r="L544" s="83">
        <v>360</v>
      </c>
      <c r="M544" s="83">
        <v>0.56000000000000005</v>
      </c>
      <c r="N544" s="83">
        <v>0.62</v>
      </c>
      <c r="O544" s="83">
        <v>4.9000000000000004</v>
      </c>
      <c r="P544" s="83">
        <v>3.44</v>
      </c>
      <c r="Q544" s="83"/>
      <c r="R544" s="86">
        <v>1.9439120000000001</v>
      </c>
      <c r="S544" s="87">
        <v>21.8</v>
      </c>
      <c r="T544" s="83"/>
      <c r="U544" s="83"/>
      <c r="V544" s="83"/>
      <c r="W544" s="83"/>
      <c r="X544" s="83"/>
      <c r="Y544" s="87">
        <v>13.2</v>
      </c>
      <c r="Z544" s="83"/>
      <c r="AA544" s="86"/>
      <c r="AB544" s="86"/>
      <c r="AC544" s="83"/>
      <c r="AD544" s="88">
        <v>220</v>
      </c>
      <c r="AE544" s="88">
        <v>440</v>
      </c>
      <c r="AF544" s="88">
        <v>340</v>
      </c>
      <c r="AG544" s="66">
        <f t="shared" si="16"/>
        <v>294.1954545454546</v>
      </c>
      <c r="AH544" s="143">
        <f t="shared" si="17"/>
        <v>1000</v>
      </c>
    </row>
    <row r="545" spans="1:34" s="90" customFormat="1" x14ac:dyDescent="0.3">
      <c r="A545" s="84">
        <v>803100</v>
      </c>
      <c r="B545" s="87">
        <v>12.666666666666664</v>
      </c>
      <c r="C545" s="87">
        <v>8.73</v>
      </c>
      <c r="D545" s="86">
        <v>8.66</v>
      </c>
      <c r="E545" s="99">
        <v>0.19</v>
      </c>
      <c r="F545" s="84">
        <v>250.14000000000001</v>
      </c>
      <c r="G545" s="84"/>
      <c r="H545" s="84">
        <v>76.772000000000006</v>
      </c>
      <c r="I545" s="84">
        <v>235</v>
      </c>
      <c r="J545" s="85">
        <v>3.6999999999999998E-2</v>
      </c>
      <c r="K545" s="87">
        <v>7.9</v>
      </c>
      <c r="L545" s="83">
        <v>280</v>
      </c>
      <c r="M545" s="83">
        <v>0.32</v>
      </c>
      <c r="N545" s="83">
        <v>0.41</v>
      </c>
      <c r="O545" s="83">
        <v>3.7</v>
      </c>
      <c r="P545" s="83">
        <v>4.79</v>
      </c>
      <c r="Q545" s="83"/>
      <c r="R545" s="86">
        <v>1.8183320000000001</v>
      </c>
      <c r="S545" s="87">
        <v>17.2</v>
      </c>
      <c r="T545" s="83"/>
      <c r="U545" s="83"/>
      <c r="V545" s="83"/>
      <c r="W545" s="83"/>
      <c r="X545" s="83"/>
      <c r="Y545" s="87">
        <v>14.399999999999999</v>
      </c>
      <c r="Z545" s="83"/>
      <c r="AA545" s="86"/>
      <c r="AB545" s="86"/>
      <c r="AC545" s="83"/>
      <c r="AD545" s="88">
        <v>240</v>
      </c>
      <c r="AE545" s="88">
        <v>420</v>
      </c>
      <c r="AF545" s="88">
        <v>340</v>
      </c>
      <c r="AG545" s="66">
        <f t="shared" si="16"/>
        <v>194.20833333333334</v>
      </c>
      <c r="AH545" s="143">
        <f t="shared" si="17"/>
        <v>1000</v>
      </c>
    </row>
    <row r="546" spans="1:34" s="90" customFormat="1" x14ac:dyDescent="0.3">
      <c r="A546" s="84">
        <v>803101</v>
      </c>
      <c r="B546" s="87">
        <v>20</v>
      </c>
      <c r="C546" s="87">
        <v>11.6</v>
      </c>
      <c r="D546" s="86">
        <v>8.7100000000000009</v>
      </c>
      <c r="E546" s="99">
        <v>0.14000000000000001</v>
      </c>
      <c r="F546" s="84">
        <v>277.2</v>
      </c>
      <c r="G546" s="84"/>
      <c r="H546" s="84">
        <v>59.316000000000003</v>
      </c>
      <c r="I546" s="84">
        <v>288</v>
      </c>
      <c r="J546" s="85">
        <v>4.1000000000000002E-2</v>
      </c>
      <c r="K546" s="87">
        <v>11.02</v>
      </c>
      <c r="L546" s="83">
        <v>420</v>
      </c>
      <c r="M546" s="83">
        <v>0.16</v>
      </c>
      <c r="N546" s="83">
        <v>0.5</v>
      </c>
      <c r="O546" s="83">
        <v>3.04</v>
      </c>
      <c r="P546" s="83">
        <v>4.91</v>
      </c>
      <c r="Q546" s="83"/>
      <c r="R546" s="86">
        <v>1.751153</v>
      </c>
      <c r="S546" s="87">
        <v>15.1</v>
      </c>
      <c r="T546" s="83"/>
      <c r="U546" s="83"/>
      <c r="V546" s="83"/>
      <c r="W546" s="83"/>
      <c r="X546" s="83"/>
      <c r="Y546" s="87">
        <v>16.8</v>
      </c>
      <c r="Z546" s="83"/>
      <c r="AA546" s="86"/>
      <c r="AB546" s="86"/>
      <c r="AC546" s="83"/>
      <c r="AD546" s="88">
        <v>240</v>
      </c>
      <c r="AE546" s="88">
        <v>420</v>
      </c>
      <c r="AF546" s="88">
        <v>340</v>
      </c>
      <c r="AG546" s="66">
        <f t="shared" si="16"/>
        <v>232.20714285714283</v>
      </c>
      <c r="AH546" s="143">
        <f t="shared" si="17"/>
        <v>1000</v>
      </c>
    </row>
    <row r="547" spans="1:34" s="90" customFormat="1" x14ac:dyDescent="0.3">
      <c r="A547" s="84">
        <v>803102</v>
      </c>
      <c r="B547" s="87">
        <v>55.333333333333336</v>
      </c>
      <c r="C547" s="87">
        <v>22.7</v>
      </c>
      <c r="D547" s="86">
        <v>8.66</v>
      </c>
      <c r="E547" s="99">
        <v>0.21</v>
      </c>
      <c r="F547" s="84">
        <v>162.82000000000002</v>
      </c>
      <c r="G547" s="84"/>
      <c r="H547" s="84">
        <v>23.128</v>
      </c>
      <c r="I547" s="84">
        <v>666</v>
      </c>
      <c r="J547" s="85">
        <v>3.5000000000000003E-2</v>
      </c>
      <c r="K547" s="87">
        <v>11.23</v>
      </c>
      <c r="L547" s="83">
        <v>290</v>
      </c>
      <c r="M547" s="83">
        <v>0.57999999999999996</v>
      </c>
      <c r="N547" s="83">
        <v>0.41</v>
      </c>
      <c r="O547" s="83">
        <v>3.95</v>
      </c>
      <c r="P547" s="83">
        <v>1.84</v>
      </c>
      <c r="Q547" s="83"/>
      <c r="R547" s="86">
        <v>1.8274250000000001</v>
      </c>
      <c r="S547" s="87">
        <v>17.5</v>
      </c>
      <c r="T547" s="83"/>
      <c r="U547" s="83"/>
      <c r="V547" s="83"/>
      <c r="W547" s="83"/>
      <c r="X547" s="83"/>
      <c r="Y547" s="87">
        <v>17</v>
      </c>
      <c r="Z547" s="83"/>
      <c r="AA547" s="86"/>
      <c r="AB547" s="86"/>
      <c r="AC547" s="83"/>
      <c r="AD547" s="88">
        <v>340</v>
      </c>
      <c r="AE547" s="88">
        <v>340</v>
      </c>
      <c r="AF547" s="88">
        <v>320</v>
      </c>
      <c r="AG547" s="66">
        <f t="shared" si="16"/>
        <v>233.84823529411767</v>
      </c>
      <c r="AH547" s="143">
        <f t="shared" si="17"/>
        <v>1000</v>
      </c>
    </row>
    <row r="548" spans="1:34" s="90" customFormat="1" x14ac:dyDescent="0.3">
      <c r="A548" s="84">
        <v>803103</v>
      </c>
      <c r="B548" s="87">
        <v>28.999999999999996</v>
      </c>
      <c r="C548" s="87">
        <v>11.3</v>
      </c>
      <c r="D548" s="86">
        <v>8.76</v>
      </c>
      <c r="E548" s="99">
        <v>0.18</v>
      </c>
      <c r="F548" s="84">
        <v>182.1</v>
      </c>
      <c r="G548" s="84"/>
      <c r="H548" s="84">
        <v>21.856999999999999</v>
      </c>
      <c r="I548" s="84">
        <v>535</v>
      </c>
      <c r="J548" s="85">
        <v>0.125</v>
      </c>
      <c r="K548" s="87">
        <v>11.99</v>
      </c>
      <c r="L548" s="83">
        <v>1150</v>
      </c>
      <c r="M548" s="83">
        <v>0.3</v>
      </c>
      <c r="N548" s="83">
        <v>0.5</v>
      </c>
      <c r="O548" s="83">
        <v>2.56</v>
      </c>
      <c r="P548" s="83">
        <v>3.3</v>
      </c>
      <c r="Q548" s="83"/>
      <c r="R548" s="86">
        <v>1.7135000000000002</v>
      </c>
      <c r="S548" s="87">
        <v>14</v>
      </c>
      <c r="T548" s="83"/>
      <c r="U548" s="83"/>
      <c r="V548" s="83"/>
      <c r="W548" s="83"/>
      <c r="X548" s="83"/>
      <c r="Y548" s="87">
        <v>11</v>
      </c>
      <c r="Z548" s="83"/>
      <c r="AA548" s="86"/>
      <c r="AB548" s="86"/>
      <c r="AC548" s="83"/>
      <c r="AD548" s="88">
        <v>220</v>
      </c>
      <c r="AE548" s="88">
        <v>460</v>
      </c>
      <c r="AF548" s="88">
        <v>320</v>
      </c>
      <c r="AG548" s="66">
        <f t="shared" si="16"/>
        <v>385.86</v>
      </c>
      <c r="AH548" s="143">
        <f t="shared" si="17"/>
        <v>1000</v>
      </c>
    </row>
    <row r="549" spans="1:34" s="90" customFormat="1" x14ac:dyDescent="0.3">
      <c r="A549" s="84">
        <v>803104</v>
      </c>
      <c r="B549" s="87">
        <v>26</v>
      </c>
      <c r="C549" s="87">
        <v>11.8</v>
      </c>
      <c r="D549" s="86">
        <v>8.7899999999999991</v>
      </c>
      <c r="E549" s="99">
        <v>0.15</v>
      </c>
      <c r="F549" s="84">
        <v>174.76000000000002</v>
      </c>
      <c r="G549" s="84"/>
      <c r="H549" s="84">
        <v>29.843</v>
      </c>
      <c r="I549" s="84">
        <v>328</v>
      </c>
      <c r="J549" s="85">
        <v>9.1999999999999998E-2</v>
      </c>
      <c r="K549" s="87">
        <v>12.45</v>
      </c>
      <c r="L549" s="83">
        <v>1190</v>
      </c>
      <c r="M549" s="83">
        <v>0.15</v>
      </c>
      <c r="N549" s="83">
        <v>0.47</v>
      </c>
      <c r="O549" s="83">
        <v>1.7</v>
      </c>
      <c r="P549" s="83">
        <v>3.35</v>
      </c>
      <c r="Q549" s="83"/>
      <c r="R549" s="86">
        <v>1.7064720000000002</v>
      </c>
      <c r="S549" s="87">
        <v>13.8</v>
      </c>
      <c r="T549" s="83"/>
      <c r="U549" s="83"/>
      <c r="V549" s="83"/>
      <c r="W549" s="83"/>
      <c r="X549" s="83"/>
      <c r="Y549" s="87">
        <v>20.399999999999999</v>
      </c>
      <c r="Z549" s="83"/>
      <c r="AA549" s="86"/>
      <c r="AB549" s="86"/>
      <c r="AC549" s="83"/>
      <c r="AD549" s="88">
        <v>340</v>
      </c>
      <c r="AE549" s="88">
        <v>340</v>
      </c>
      <c r="AF549" s="88">
        <v>320</v>
      </c>
      <c r="AG549" s="66">
        <f t="shared" si="16"/>
        <v>216.04411764705884</v>
      </c>
      <c r="AH549" s="143">
        <f t="shared" si="17"/>
        <v>1000</v>
      </c>
    </row>
    <row r="550" spans="1:34" s="90" customFormat="1" x14ac:dyDescent="0.3">
      <c r="A550" s="84">
        <v>803105</v>
      </c>
      <c r="B550" s="87">
        <v>25</v>
      </c>
      <c r="C550" s="87">
        <v>8.1999999999999993</v>
      </c>
      <c r="D550" s="86">
        <v>8.5500000000000007</v>
      </c>
      <c r="E550" s="99">
        <v>0.16</v>
      </c>
      <c r="F550" s="84">
        <v>196.08</v>
      </c>
      <c r="G550" s="84"/>
      <c r="H550" s="84">
        <v>38.372999999999998</v>
      </c>
      <c r="I550" s="84">
        <v>511</v>
      </c>
      <c r="J550" s="85">
        <v>8.4000000000000005E-2</v>
      </c>
      <c r="K550" s="87">
        <v>13.76</v>
      </c>
      <c r="L550" s="83">
        <v>1080</v>
      </c>
      <c r="M550" s="83">
        <v>0.27</v>
      </c>
      <c r="N550" s="83">
        <v>0.56000000000000005</v>
      </c>
      <c r="O550" s="83">
        <v>2.11</v>
      </c>
      <c r="P550" s="83">
        <v>5.59</v>
      </c>
      <c r="Q550" s="83"/>
      <c r="R550" s="86">
        <v>1.7677080000000003</v>
      </c>
      <c r="S550" s="87">
        <v>15.6</v>
      </c>
      <c r="T550" s="83"/>
      <c r="U550" s="83"/>
      <c r="V550" s="83"/>
      <c r="W550" s="83"/>
      <c r="X550" s="83"/>
      <c r="Y550" s="87">
        <v>13.2</v>
      </c>
      <c r="Z550" s="83"/>
      <c r="AA550" s="86"/>
      <c r="AB550" s="86"/>
      <c r="AC550" s="83"/>
      <c r="AD550" s="88">
        <v>240</v>
      </c>
      <c r="AE550" s="88">
        <v>460</v>
      </c>
      <c r="AF550" s="88">
        <v>300</v>
      </c>
      <c r="AG550" s="66">
        <f t="shared" si="16"/>
        <v>369.01818181818186</v>
      </c>
      <c r="AH550" s="143">
        <f t="shared" si="17"/>
        <v>1000</v>
      </c>
    </row>
    <row r="551" spans="1:34" s="90" customFormat="1" x14ac:dyDescent="0.3">
      <c r="A551" s="84">
        <v>803106</v>
      </c>
      <c r="B551" s="87">
        <v>37.999999999999993</v>
      </c>
      <c r="C551" s="87">
        <v>17.3</v>
      </c>
      <c r="D551" s="86">
        <v>8.58</v>
      </c>
      <c r="E551" s="99">
        <v>0.23</v>
      </c>
      <c r="F551" s="84">
        <v>231.23</v>
      </c>
      <c r="G551" s="84"/>
      <c r="H551" s="84">
        <v>63.237000000000002</v>
      </c>
      <c r="I551" s="84">
        <v>993</v>
      </c>
      <c r="J551" s="85">
        <v>2.5000000000000001E-2</v>
      </c>
      <c r="K551" s="87">
        <v>11.48</v>
      </c>
      <c r="L551" s="83">
        <v>280</v>
      </c>
      <c r="M551" s="83">
        <v>1.1000000000000001</v>
      </c>
      <c r="N551" s="83">
        <v>0.7</v>
      </c>
      <c r="O551" s="83">
        <v>4.46</v>
      </c>
      <c r="P551" s="83">
        <v>1.46</v>
      </c>
      <c r="Q551" s="83"/>
      <c r="R551" s="86">
        <v>1.809113</v>
      </c>
      <c r="S551" s="87">
        <v>16.899999999999999</v>
      </c>
      <c r="T551" s="83"/>
      <c r="U551" s="83"/>
      <c r="V551" s="83"/>
      <c r="W551" s="83"/>
      <c r="X551" s="83"/>
      <c r="Y551" s="87">
        <v>11</v>
      </c>
      <c r="Z551" s="83"/>
      <c r="AA551" s="86"/>
      <c r="AB551" s="86"/>
      <c r="AC551" s="83"/>
      <c r="AD551" s="88">
        <v>220</v>
      </c>
      <c r="AE551" s="88">
        <v>480</v>
      </c>
      <c r="AF551" s="88">
        <v>300</v>
      </c>
      <c r="AG551" s="66">
        <f t="shared" si="16"/>
        <v>369.44727272727272</v>
      </c>
      <c r="AH551" s="143">
        <f t="shared" si="17"/>
        <v>1000</v>
      </c>
    </row>
    <row r="552" spans="1:34" s="90" customFormat="1" x14ac:dyDescent="0.3">
      <c r="A552" s="84">
        <v>803107</v>
      </c>
      <c r="B552" s="87">
        <v>68</v>
      </c>
      <c r="C552" s="87">
        <v>39.700000000000003</v>
      </c>
      <c r="D552" s="86">
        <v>8.51</v>
      </c>
      <c r="E552" s="99">
        <v>0.2</v>
      </c>
      <c r="F552" s="84">
        <v>243.4</v>
      </c>
      <c r="G552" s="84"/>
      <c r="H552" s="84">
        <v>23.853999999999999</v>
      </c>
      <c r="I552" s="84">
        <v>593</v>
      </c>
      <c r="J552" s="85">
        <v>3.7999999999999999E-2</v>
      </c>
      <c r="K552" s="87">
        <v>13.02</v>
      </c>
      <c r="L552" s="83">
        <v>460</v>
      </c>
      <c r="M552" s="83">
        <v>0.4</v>
      </c>
      <c r="N552" s="83">
        <v>0.52</v>
      </c>
      <c r="O552" s="83">
        <v>3.3</v>
      </c>
      <c r="P552" s="83">
        <v>2.81</v>
      </c>
      <c r="Q552" s="83"/>
      <c r="R552" s="86">
        <v>1.7677080000000003</v>
      </c>
      <c r="S552" s="87">
        <v>15.6</v>
      </c>
      <c r="T552" s="83"/>
      <c r="U552" s="83"/>
      <c r="V552" s="83"/>
      <c r="W552" s="83"/>
      <c r="X552" s="83"/>
      <c r="Y552" s="87">
        <v>10</v>
      </c>
      <c r="Z552" s="83"/>
      <c r="AA552" s="86"/>
      <c r="AB552" s="86"/>
      <c r="AC552" s="83"/>
      <c r="AD552" s="88">
        <v>200</v>
      </c>
      <c r="AE552" s="88">
        <v>460</v>
      </c>
      <c r="AF552" s="88">
        <v>340</v>
      </c>
      <c r="AG552" s="66">
        <f t="shared" si="16"/>
        <v>460.90800000000002</v>
      </c>
      <c r="AH552" s="143">
        <f t="shared" si="17"/>
        <v>1000</v>
      </c>
    </row>
    <row r="553" spans="1:34" s="90" customFormat="1" x14ac:dyDescent="0.3">
      <c r="A553" s="84">
        <v>803108</v>
      </c>
      <c r="B553" s="87">
        <v>15.25</v>
      </c>
      <c r="C553" s="87">
        <v>5.9</v>
      </c>
      <c r="D553" s="86">
        <v>8.5500000000000007</v>
      </c>
      <c r="E553" s="99">
        <v>0.13</v>
      </c>
      <c r="F553" s="84">
        <v>161.6</v>
      </c>
      <c r="G553" s="84"/>
      <c r="H553" s="84">
        <v>35.832000000000001</v>
      </c>
      <c r="I553" s="84">
        <v>440</v>
      </c>
      <c r="J553" s="85">
        <v>0.129</v>
      </c>
      <c r="K553" s="87">
        <v>14.12</v>
      </c>
      <c r="L553" s="83">
        <v>1440</v>
      </c>
      <c r="M553" s="83">
        <v>0.24</v>
      </c>
      <c r="N553" s="83">
        <v>0.56999999999999995</v>
      </c>
      <c r="O553" s="83">
        <v>2.65</v>
      </c>
      <c r="P553" s="83">
        <v>6.24</v>
      </c>
      <c r="Q553" s="83"/>
      <c r="R553" s="86">
        <v>1.7677080000000003</v>
      </c>
      <c r="S553" s="87">
        <v>15.6</v>
      </c>
      <c r="T553" s="83"/>
      <c r="U553" s="83"/>
      <c r="V553" s="83"/>
      <c r="W553" s="83"/>
      <c r="X553" s="83"/>
      <c r="Y553" s="87">
        <v>15.400000000000002</v>
      </c>
      <c r="Z553" s="83"/>
      <c r="AA553" s="86"/>
      <c r="AB553" s="86"/>
      <c r="AC553" s="83"/>
      <c r="AD553" s="88">
        <v>220</v>
      </c>
      <c r="AE553" s="88">
        <v>440</v>
      </c>
      <c r="AF553" s="88">
        <v>340</v>
      </c>
      <c r="AG553" s="66">
        <f t="shared" si="16"/>
        <v>324.57662337662333</v>
      </c>
      <c r="AH553" s="143">
        <f t="shared" si="17"/>
        <v>1000</v>
      </c>
    </row>
    <row r="554" spans="1:34" s="90" customFormat="1" x14ac:dyDescent="0.3">
      <c r="A554" s="84">
        <v>803109</v>
      </c>
      <c r="B554" s="87">
        <v>36.833333333333336</v>
      </c>
      <c r="C554" s="87">
        <v>19</v>
      </c>
      <c r="D554" s="86">
        <v>8.42</v>
      </c>
      <c r="E554" s="99">
        <v>0.19</v>
      </c>
      <c r="F554" s="84">
        <v>197.82</v>
      </c>
      <c r="G554" s="84"/>
      <c r="H554" s="84">
        <v>59.97</v>
      </c>
      <c r="I554" s="84">
        <v>487</v>
      </c>
      <c r="J554" s="85">
        <v>6.4000000000000001E-2</v>
      </c>
      <c r="K554" s="87">
        <v>13.58</v>
      </c>
      <c r="L554" s="83">
        <v>710</v>
      </c>
      <c r="M554" s="83">
        <v>0.17</v>
      </c>
      <c r="N554" s="83">
        <v>0.47</v>
      </c>
      <c r="O554" s="83">
        <v>2.7</v>
      </c>
      <c r="P554" s="83">
        <v>3.93</v>
      </c>
      <c r="Q554" s="83"/>
      <c r="R554" s="86">
        <v>1.6958250000000001</v>
      </c>
      <c r="S554" s="87">
        <v>13.5</v>
      </c>
      <c r="T554" s="83"/>
      <c r="U554" s="83"/>
      <c r="V554" s="83"/>
      <c r="W554" s="83"/>
      <c r="X554" s="83"/>
      <c r="Y554" s="87">
        <v>19.600000000000001</v>
      </c>
      <c r="Z554" s="83"/>
      <c r="AA554" s="86"/>
      <c r="AB554" s="86"/>
      <c r="AC554" s="83"/>
      <c r="AD554" s="88">
        <v>280</v>
      </c>
      <c r="AE554" s="88">
        <v>340</v>
      </c>
      <c r="AF554" s="88">
        <v>380</v>
      </c>
      <c r="AG554" s="66">
        <f t="shared" si="16"/>
        <v>245.27142857142854</v>
      </c>
      <c r="AH554" s="143">
        <f t="shared" si="17"/>
        <v>1000</v>
      </c>
    </row>
    <row r="555" spans="1:34" s="90" customFormat="1" x14ac:dyDescent="0.3">
      <c r="A555" s="84">
        <v>803110</v>
      </c>
      <c r="B555" s="87">
        <v>49.499999999999993</v>
      </c>
      <c r="C555" s="87">
        <v>22.1</v>
      </c>
      <c r="D555" s="86">
        <v>8.3800000000000008</v>
      </c>
      <c r="E555" s="99">
        <v>0.2</v>
      </c>
      <c r="F555" s="84">
        <v>214.82999999999998</v>
      </c>
      <c r="G555" s="84"/>
      <c r="H555" s="84">
        <v>58.35</v>
      </c>
      <c r="I555" s="84">
        <v>574</v>
      </c>
      <c r="J555" s="85">
        <v>2.7E-2</v>
      </c>
      <c r="K555" s="87">
        <v>12.06</v>
      </c>
      <c r="L555" s="83">
        <v>330</v>
      </c>
      <c r="M555" s="83">
        <v>0.48</v>
      </c>
      <c r="N555" s="83">
        <v>0.49</v>
      </c>
      <c r="O555" s="83">
        <v>3.64</v>
      </c>
      <c r="P555" s="83">
        <v>2.75</v>
      </c>
      <c r="Q555" s="83"/>
      <c r="R555" s="86">
        <v>1.9292120000000001</v>
      </c>
      <c r="S555" s="87">
        <v>21.2</v>
      </c>
      <c r="T555" s="83"/>
      <c r="U555" s="83"/>
      <c r="V555" s="83"/>
      <c r="W555" s="83"/>
      <c r="X555" s="83"/>
      <c r="Y555" s="87">
        <v>18.200000000000003</v>
      </c>
      <c r="Z555" s="83"/>
      <c r="AA555" s="86"/>
      <c r="AB555" s="86"/>
      <c r="AC555" s="83"/>
      <c r="AD555" s="88">
        <v>260</v>
      </c>
      <c r="AE555" s="88">
        <v>340</v>
      </c>
      <c r="AF555" s="88">
        <v>400</v>
      </c>
      <c r="AG555" s="66">
        <f t="shared" si="16"/>
        <v>234.57362637362633</v>
      </c>
      <c r="AH555" s="143">
        <f t="shared" si="17"/>
        <v>1000</v>
      </c>
    </row>
    <row r="556" spans="1:34" s="90" customFormat="1" x14ac:dyDescent="0.3">
      <c r="A556" s="84">
        <v>803111</v>
      </c>
      <c r="B556" s="87">
        <v>37</v>
      </c>
      <c r="C556" s="87">
        <v>16</v>
      </c>
      <c r="D556" s="86">
        <v>8.66</v>
      </c>
      <c r="E556" s="99">
        <v>0.19</v>
      </c>
      <c r="F556" s="84">
        <v>424.4</v>
      </c>
      <c r="G556" s="84"/>
      <c r="H556" s="84">
        <v>17.559999999999999</v>
      </c>
      <c r="I556" s="84">
        <v>226</v>
      </c>
      <c r="J556" s="85">
        <v>7.5999999999999998E-2</v>
      </c>
      <c r="K556" s="87">
        <v>12.96</v>
      </c>
      <c r="L556" s="83">
        <v>0.84</v>
      </c>
      <c r="M556" s="83">
        <v>0.37</v>
      </c>
      <c r="N556" s="83">
        <v>5.66</v>
      </c>
      <c r="O556" s="83">
        <v>2.83</v>
      </c>
      <c r="P556" s="83">
        <v>2.78</v>
      </c>
      <c r="Q556" s="83"/>
      <c r="R556" s="86">
        <v>1.6922480000000002</v>
      </c>
      <c r="S556" s="87">
        <v>13.4</v>
      </c>
      <c r="T556" s="83"/>
      <c r="U556" s="83"/>
      <c r="V556" s="83"/>
      <c r="W556" s="83"/>
      <c r="X556" s="83"/>
      <c r="Y556" s="87">
        <v>22.8</v>
      </c>
      <c r="Z556" s="83"/>
      <c r="AA556" s="86"/>
      <c r="AB556" s="86"/>
      <c r="AC556" s="83"/>
      <c r="AD556" s="88">
        <v>380</v>
      </c>
      <c r="AE556" s="88">
        <v>460</v>
      </c>
      <c r="AF556" s="88">
        <v>160</v>
      </c>
      <c r="AG556" s="66">
        <f t="shared" si="16"/>
        <v>201.221052631579</v>
      </c>
      <c r="AH556" s="143">
        <f t="shared" si="17"/>
        <v>1000</v>
      </c>
    </row>
    <row r="557" spans="1:34" s="90" customFormat="1" x14ac:dyDescent="0.3">
      <c r="A557" s="84">
        <v>803112</v>
      </c>
      <c r="B557" s="87">
        <v>1</v>
      </c>
      <c r="C557" s="87"/>
      <c r="D557" s="86">
        <v>8.5399999999999991</v>
      </c>
      <c r="E557" s="99">
        <v>0.17</v>
      </c>
      <c r="F557" s="84">
        <v>234.20000000000002</v>
      </c>
      <c r="G557" s="84"/>
      <c r="H557" s="84">
        <v>33.36</v>
      </c>
      <c r="I557" s="84">
        <v>368</v>
      </c>
      <c r="J557" s="85">
        <v>8.7999999999999995E-2</v>
      </c>
      <c r="K557" s="87">
        <v>11.79</v>
      </c>
      <c r="L557" s="83">
        <v>0.77</v>
      </c>
      <c r="M557" s="83">
        <v>0.7</v>
      </c>
      <c r="N557" s="83">
        <v>4.22</v>
      </c>
      <c r="O557" s="83">
        <v>5.2</v>
      </c>
      <c r="P557" s="83">
        <v>3.03</v>
      </c>
      <c r="Q557" s="83"/>
      <c r="R557" s="86">
        <v>1.7934680000000001</v>
      </c>
      <c r="S557" s="87">
        <v>16.399999999999999</v>
      </c>
      <c r="T557" s="83"/>
      <c r="U557" s="83"/>
      <c r="V557" s="83"/>
      <c r="W557" s="83"/>
      <c r="X557" s="83"/>
      <c r="Y557" s="87">
        <v>22.8</v>
      </c>
      <c r="Z557" s="83"/>
      <c r="AA557" s="86"/>
      <c r="AB557" s="86"/>
      <c r="AC557" s="83"/>
      <c r="AD557" s="88">
        <v>380</v>
      </c>
      <c r="AE557" s="88">
        <v>400</v>
      </c>
      <c r="AF557" s="88">
        <v>220</v>
      </c>
      <c r="AG557" s="66">
        <f t="shared" si="16"/>
        <v>183.05526315789473</v>
      </c>
      <c r="AH557" s="143">
        <f t="shared" si="17"/>
        <v>1000</v>
      </c>
    </row>
    <row r="558" spans="1:34" s="90" customFormat="1" x14ac:dyDescent="0.3">
      <c r="A558" s="84">
        <v>803113</v>
      </c>
      <c r="B558" s="87">
        <v>2.3333333333333335</v>
      </c>
      <c r="C558" s="87"/>
      <c r="D558" s="86">
        <v>8</v>
      </c>
      <c r="E558" s="99">
        <v>0.17</v>
      </c>
      <c r="F558" s="84">
        <v>153.19999999999999</v>
      </c>
      <c r="G558" s="84"/>
      <c r="H558" s="84">
        <v>100.44</v>
      </c>
      <c r="I558" s="84">
        <v>536</v>
      </c>
      <c r="J558" s="85">
        <v>7.0000000000000007E-2</v>
      </c>
      <c r="K558" s="87">
        <v>10.52</v>
      </c>
      <c r="L558" s="83">
        <v>1.2</v>
      </c>
      <c r="M558" s="83">
        <v>0.9</v>
      </c>
      <c r="N558" s="83">
        <v>4.8899999999999997</v>
      </c>
      <c r="O558" s="83">
        <v>11.89</v>
      </c>
      <c r="P558" s="83">
        <v>8.89</v>
      </c>
      <c r="Q558" s="83"/>
      <c r="R558" s="86">
        <v>1.7239370000000001</v>
      </c>
      <c r="S558" s="87">
        <v>14.3</v>
      </c>
      <c r="T558" s="83"/>
      <c r="U558" s="83"/>
      <c r="V558" s="83"/>
      <c r="W558" s="83"/>
      <c r="X558" s="83"/>
      <c r="Y558" s="87">
        <v>20.399999999999999</v>
      </c>
      <c r="Z558" s="83"/>
      <c r="AA558" s="86"/>
      <c r="AB558" s="86"/>
      <c r="AC558" s="83"/>
      <c r="AD558" s="88">
        <v>340</v>
      </c>
      <c r="AE558" s="88">
        <v>340</v>
      </c>
      <c r="AF558" s="88">
        <v>320</v>
      </c>
      <c r="AG558" s="66">
        <f t="shared" si="16"/>
        <v>182.5529411764706</v>
      </c>
      <c r="AH558" s="143">
        <f t="shared" si="17"/>
        <v>1000</v>
      </c>
    </row>
    <row r="559" spans="1:34" s="90" customFormat="1" x14ac:dyDescent="0.3">
      <c r="A559" s="84">
        <v>803114</v>
      </c>
      <c r="B559" s="87">
        <v>3.2</v>
      </c>
      <c r="C559" s="87"/>
      <c r="D559" s="86">
        <v>8.8000000000000007</v>
      </c>
      <c r="E559" s="99">
        <v>0.98</v>
      </c>
      <c r="F559" s="84">
        <v>613.85</v>
      </c>
      <c r="G559" s="84"/>
      <c r="H559" s="84">
        <v>148.12</v>
      </c>
      <c r="I559" s="84">
        <v>1084</v>
      </c>
      <c r="J559" s="85">
        <v>0.81200000000000006</v>
      </c>
      <c r="K559" s="87">
        <v>5.82</v>
      </c>
      <c r="L559" s="83">
        <v>0.78</v>
      </c>
      <c r="M559" s="83">
        <v>0.86</v>
      </c>
      <c r="N559" s="83">
        <v>0.75</v>
      </c>
      <c r="O559" s="83">
        <v>5.03</v>
      </c>
      <c r="P559" s="83">
        <v>2.92</v>
      </c>
      <c r="Q559" s="83"/>
      <c r="R559" s="86">
        <v>0.66861397460843075</v>
      </c>
      <c r="S559" s="87">
        <v>4.5999999999999996</v>
      </c>
      <c r="T559" s="83"/>
      <c r="U559" s="83"/>
      <c r="V559" s="83"/>
      <c r="W559" s="83"/>
      <c r="X559" s="83"/>
      <c r="Y559" s="87">
        <v>22.4</v>
      </c>
      <c r="Z559" s="83"/>
      <c r="AA559" s="86"/>
      <c r="AB559" s="86"/>
      <c r="AC559" s="83"/>
      <c r="AD559" s="88">
        <v>420</v>
      </c>
      <c r="AE559" s="88">
        <v>360</v>
      </c>
      <c r="AF559" s="88">
        <v>220</v>
      </c>
      <c r="AG559" s="66">
        <f t="shared" si="16"/>
        <v>91.976785714285725</v>
      </c>
      <c r="AH559" s="143">
        <f t="shared" si="17"/>
        <v>1000</v>
      </c>
    </row>
    <row r="560" spans="1:34" s="90" customFormat="1" x14ac:dyDescent="0.3">
      <c r="A560" s="84">
        <v>803115</v>
      </c>
      <c r="B560" s="87">
        <v>0.26666666666666666</v>
      </c>
      <c r="C560" s="87"/>
      <c r="D560" s="86">
        <v>8.64</v>
      </c>
      <c r="E560" s="99">
        <v>0.89</v>
      </c>
      <c r="F560" s="84">
        <v>383.95000000000005</v>
      </c>
      <c r="G560" s="84"/>
      <c r="H560" s="84">
        <v>186.83</v>
      </c>
      <c r="I560" s="84">
        <v>74</v>
      </c>
      <c r="J560" s="85">
        <v>0.54400000000000004</v>
      </c>
      <c r="K560" s="87">
        <v>6.13</v>
      </c>
      <c r="L560" s="83">
        <v>0.69</v>
      </c>
      <c r="M560" s="83">
        <v>1.56</v>
      </c>
      <c r="N560" s="83">
        <v>0.7</v>
      </c>
      <c r="O560" s="83">
        <v>5.12</v>
      </c>
      <c r="P560" s="83">
        <v>3.49</v>
      </c>
      <c r="Q560" s="83"/>
      <c r="R560" s="86">
        <v>0.57981961658874293</v>
      </c>
      <c r="S560" s="87">
        <v>3.9</v>
      </c>
      <c r="T560" s="83"/>
      <c r="U560" s="83"/>
      <c r="V560" s="83"/>
      <c r="W560" s="83"/>
      <c r="X560" s="83"/>
      <c r="Y560" s="87">
        <v>15.6</v>
      </c>
      <c r="Z560" s="83"/>
      <c r="AA560" s="86"/>
      <c r="AB560" s="86"/>
      <c r="AC560" s="83"/>
      <c r="AD560" s="88">
        <v>260</v>
      </c>
      <c r="AE560" s="88">
        <v>160</v>
      </c>
      <c r="AF560" s="88">
        <v>580</v>
      </c>
      <c r="AG560" s="66">
        <f t="shared" si="16"/>
        <v>139.10384615384615</v>
      </c>
      <c r="AH560" s="143">
        <f t="shared" si="17"/>
        <v>1000</v>
      </c>
    </row>
    <row r="561" spans="1:56" s="90" customFormat="1" x14ac:dyDescent="0.3">
      <c r="A561" s="84">
        <v>803116</v>
      </c>
      <c r="B561" s="87">
        <v>1E-4</v>
      </c>
      <c r="C561" s="87"/>
      <c r="D561" s="86">
        <v>8.33</v>
      </c>
      <c r="E561" s="99">
        <v>0.12</v>
      </c>
      <c r="F561" s="84">
        <v>376.45000000000005</v>
      </c>
      <c r="G561" s="84"/>
      <c r="H561" s="84">
        <v>12.03</v>
      </c>
      <c r="I561" s="84">
        <v>49</v>
      </c>
      <c r="J561" s="85">
        <v>0.03</v>
      </c>
      <c r="K561" s="87">
        <v>3.42</v>
      </c>
      <c r="L561" s="83">
        <v>0.28999999999999998</v>
      </c>
      <c r="M561" s="83">
        <v>0.08</v>
      </c>
      <c r="N561" s="83">
        <v>0.13</v>
      </c>
      <c r="O561" s="83">
        <v>6.46</v>
      </c>
      <c r="P561" s="83">
        <v>4.5</v>
      </c>
      <c r="Q561" s="83"/>
      <c r="R561" s="86">
        <v>1.1718553559118436</v>
      </c>
      <c r="S561" s="87">
        <v>8.5</v>
      </c>
      <c r="T561" s="83"/>
      <c r="U561" s="83"/>
      <c r="V561" s="83"/>
      <c r="W561" s="83"/>
      <c r="X561" s="83"/>
      <c r="Y561" s="87">
        <v>4.2</v>
      </c>
      <c r="Z561" s="83"/>
      <c r="AA561" s="86"/>
      <c r="AB561" s="86"/>
      <c r="AC561" s="83"/>
      <c r="AD561" s="88">
        <v>70</v>
      </c>
      <c r="AE561" s="88">
        <v>70</v>
      </c>
      <c r="AF561" s="88">
        <v>860</v>
      </c>
      <c r="AG561" s="66">
        <f t="shared" si="16"/>
        <v>288.25714285714287</v>
      </c>
      <c r="AH561" s="143">
        <f t="shared" si="17"/>
        <v>1000</v>
      </c>
    </row>
    <row r="562" spans="1:56" s="114" customFormat="1" x14ac:dyDescent="0.3">
      <c r="A562" s="84">
        <v>803127</v>
      </c>
      <c r="B562" s="108">
        <v>11.083333333333334</v>
      </c>
      <c r="C562" s="108">
        <v>3.75</v>
      </c>
      <c r="D562" s="86">
        <v>8.4499999999999993</v>
      </c>
      <c r="E562" s="1524">
        <v>0.35</v>
      </c>
      <c r="F562" s="111">
        <v>80.25</v>
      </c>
      <c r="G562" s="111"/>
      <c r="H562" s="111">
        <v>343.87</v>
      </c>
      <c r="I562" s="111">
        <v>220</v>
      </c>
      <c r="J562" s="112">
        <v>0.20799999999999999</v>
      </c>
      <c r="K562" s="108">
        <v>5.15</v>
      </c>
      <c r="L562" s="110">
        <v>673</v>
      </c>
      <c r="M562" s="110">
        <v>34.520000000000003</v>
      </c>
      <c r="N562" s="110">
        <v>7.93</v>
      </c>
      <c r="O562" s="110">
        <v>2.71</v>
      </c>
      <c r="P562" s="110">
        <v>8.23</v>
      </c>
      <c r="Q562" s="110"/>
      <c r="R562" s="109">
        <v>1.1846804160875473</v>
      </c>
      <c r="S562" s="108">
        <v>8.1</v>
      </c>
      <c r="T562" s="110"/>
      <c r="U562" s="110"/>
      <c r="V562" s="110"/>
      <c r="W562" s="110"/>
      <c r="X562" s="110"/>
      <c r="Y562" s="108">
        <v>6.3000000000000007</v>
      </c>
      <c r="Z562" s="110"/>
      <c r="AA562" s="109"/>
      <c r="AB562" s="109"/>
      <c r="AC562" s="110"/>
      <c r="AD562" s="113">
        <v>90</v>
      </c>
      <c r="AE562" s="113">
        <v>70</v>
      </c>
      <c r="AF562" s="113">
        <v>840</v>
      </c>
      <c r="AG562" s="66">
        <f t="shared" si="16"/>
        <v>289.38095238095235</v>
      </c>
      <c r="AH562" s="143">
        <f t="shared" si="17"/>
        <v>1000</v>
      </c>
      <c r="AI562" s="90"/>
      <c r="AJ562" s="90"/>
      <c r="AK562" s="90"/>
      <c r="AL562" s="90"/>
      <c r="AM562" s="90"/>
      <c r="AN562" s="90"/>
      <c r="AO562" s="90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0"/>
    </row>
    <row r="563" spans="1:56" s="114" customFormat="1" x14ac:dyDescent="0.3">
      <c r="A563" s="84">
        <v>803128</v>
      </c>
      <c r="B563" s="108">
        <v>5.875</v>
      </c>
      <c r="C563" s="108"/>
      <c r="D563" s="86">
        <v>8.3000000000000007</v>
      </c>
      <c r="E563" s="1524">
        <v>0.42</v>
      </c>
      <c r="F563" s="111">
        <v>55.85</v>
      </c>
      <c r="G563" s="111"/>
      <c r="H563" s="111">
        <v>292.45999999999998</v>
      </c>
      <c r="I563" s="111">
        <v>350</v>
      </c>
      <c r="J563" s="112">
        <v>0.25700000000000001</v>
      </c>
      <c r="K563" s="108">
        <v>5.47</v>
      </c>
      <c r="L563" s="110">
        <v>590</v>
      </c>
      <c r="M563" s="110">
        <v>6.22</v>
      </c>
      <c r="N563" s="110">
        <v>9.8800000000000008</v>
      </c>
      <c r="O563" s="110">
        <v>3.26</v>
      </c>
      <c r="P563" s="110">
        <v>3.82</v>
      </c>
      <c r="Q563" s="110"/>
      <c r="R563" s="109">
        <v>1.1728017120066927</v>
      </c>
      <c r="S563" s="108">
        <v>7.9</v>
      </c>
      <c r="T563" s="110"/>
      <c r="U563" s="110"/>
      <c r="V563" s="110"/>
      <c r="W563" s="110"/>
      <c r="X563" s="110"/>
      <c r="Y563" s="108">
        <v>7.7000000000000011</v>
      </c>
      <c r="Z563" s="110"/>
      <c r="AA563" s="109"/>
      <c r="AB563" s="109"/>
      <c r="AC563" s="110"/>
      <c r="AD563" s="113">
        <v>110</v>
      </c>
      <c r="AE563" s="113">
        <v>60</v>
      </c>
      <c r="AF563" s="113">
        <v>830</v>
      </c>
      <c r="AG563" s="66">
        <f t="shared" si="16"/>
        <v>251.47792207792199</v>
      </c>
      <c r="AH563" s="143">
        <f t="shared" si="17"/>
        <v>1000</v>
      </c>
      <c r="AI563" s="90"/>
      <c r="AJ563" s="90"/>
      <c r="AK563" s="90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0"/>
    </row>
    <row r="564" spans="1:56" s="114" customFormat="1" x14ac:dyDescent="0.3">
      <c r="A564" s="84">
        <v>803129</v>
      </c>
      <c r="B564" s="108">
        <v>10.583333333333332</v>
      </c>
      <c r="C564" s="108">
        <v>4.7500000000000009</v>
      </c>
      <c r="D564" s="86">
        <v>8.61</v>
      </c>
      <c r="E564" s="1524">
        <v>0.4</v>
      </c>
      <c r="F564" s="111">
        <v>329.09999999999997</v>
      </c>
      <c r="G564" s="111"/>
      <c r="H564" s="111">
        <v>334.52</v>
      </c>
      <c r="I564" s="111">
        <v>200</v>
      </c>
      <c r="J564" s="112">
        <v>0.248</v>
      </c>
      <c r="K564" s="108">
        <v>6.72</v>
      </c>
      <c r="L564" s="110">
        <v>758</v>
      </c>
      <c r="M564" s="110">
        <v>2.31</v>
      </c>
      <c r="N564" s="110">
        <v>0.66</v>
      </c>
      <c r="O564" s="110">
        <v>0.81</v>
      </c>
      <c r="P564" s="110">
        <v>8.9499999999999993</v>
      </c>
      <c r="Q564" s="110"/>
      <c r="R564" s="109">
        <v>0.77586877567691104</v>
      </c>
      <c r="S564" s="108">
        <v>5.8</v>
      </c>
      <c r="T564" s="110"/>
      <c r="U564" s="110"/>
      <c r="V564" s="110"/>
      <c r="W564" s="110"/>
      <c r="X564" s="110"/>
      <c r="Y564" s="108">
        <v>6.3000000000000007</v>
      </c>
      <c r="Z564" s="110"/>
      <c r="AA564" s="109"/>
      <c r="AB564" s="109"/>
      <c r="AC564" s="110"/>
      <c r="AD564" s="113">
        <v>90</v>
      </c>
      <c r="AE564" s="113">
        <v>90</v>
      </c>
      <c r="AF564" s="113">
        <v>820</v>
      </c>
      <c r="AG564" s="66">
        <f t="shared" si="16"/>
        <v>377.59999999999991</v>
      </c>
      <c r="AH564" s="143">
        <f t="shared" si="17"/>
        <v>1000</v>
      </c>
      <c r="AI564" s="90"/>
      <c r="AJ564" s="90"/>
      <c r="AK564" s="90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0"/>
    </row>
    <row r="565" spans="1:56" s="90" customFormat="1" x14ac:dyDescent="0.3">
      <c r="A565" s="84">
        <v>803117</v>
      </c>
      <c r="B565" s="87">
        <v>0.48333333333333328</v>
      </c>
      <c r="C565" s="87"/>
      <c r="D565" s="86">
        <v>8.74</v>
      </c>
      <c r="E565" s="99">
        <v>0.16</v>
      </c>
      <c r="F565" s="84">
        <v>53.099999999999994</v>
      </c>
      <c r="G565" s="84"/>
      <c r="H565" s="84">
        <v>78.760000000000005</v>
      </c>
      <c r="I565" s="84">
        <v>90</v>
      </c>
      <c r="J565" s="85">
        <v>9.8000000000000004E-2</v>
      </c>
      <c r="K565" s="87">
        <v>3.59</v>
      </c>
      <c r="L565" s="83">
        <v>576</v>
      </c>
      <c r="M565" s="83">
        <v>0.77</v>
      </c>
      <c r="N565" s="83">
        <v>0.73</v>
      </c>
      <c r="O565" s="83">
        <v>2.91</v>
      </c>
      <c r="P565" s="83">
        <v>7.54</v>
      </c>
      <c r="Q565" s="83"/>
      <c r="R565" s="86">
        <v>0.98724516255338379</v>
      </c>
      <c r="S565" s="87">
        <v>6.9</v>
      </c>
      <c r="T565" s="83"/>
      <c r="U565" s="83"/>
      <c r="V565" s="83"/>
      <c r="W565" s="83"/>
      <c r="X565" s="83"/>
      <c r="Y565" s="87">
        <v>7</v>
      </c>
      <c r="Z565" s="83"/>
      <c r="AA565" s="86"/>
      <c r="AB565" s="86"/>
      <c r="AC565" s="83"/>
      <c r="AD565" s="88">
        <v>140</v>
      </c>
      <c r="AE565" s="88">
        <v>620</v>
      </c>
      <c r="AF565" s="88">
        <v>240</v>
      </c>
      <c r="AG565" s="66">
        <f t="shared" si="16"/>
        <v>181.55142857142854</v>
      </c>
      <c r="AH565" s="143">
        <f t="shared" si="17"/>
        <v>1000</v>
      </c>
    </row>
    <row r="566" spans="1:56" s="90" customFormat="1" x14ac:dyDescent="0.3">
      <c r="A566" s="84">
        <v>803118</v>
      </c>
      <c r="B566" s="87">
        <v>0.6166666666666667</v>
      </c>
      <c r="C566" s="87"/>
      <c r="D566" s="86">
        <v>8.6199999999999992</v>
      </c>
      <c r="E566" s="99">
        <v>0.15</v>
      </c>
      <c r="F566" s="84">
        <v>48.25</v>
      </c>
      <c r="G566" s="84"/>
      <c r="H566" s="84">
        <v>102.31</v>
      </c>
      <c r="I566" s="84">
        <v>120</v>
      </c>
      <c r="J566" s="85">
        <v>7.9000000000000001E-2</v>
      </c>
      <c r="K566" s="87">
        <v>3.27</v>
      </c>
      <c r="L566" s="83">
        <v>592</v>
      </c>
      <c r="M566" s="83">
        <v>2.4300000000000002</v>
      </c>
      <c r="N566" s="83">
        <v>0.72</v>
      </c>
      <c r="O566" s="83">
        <v>5.59</v>
      </c>
      <c r="P566" s="83">
        <v>7.35</v>
      </c>
      <c r="Q566" s="83"/>
      <c r="R566" s="86">
        <v>1.5744170000000002</v>
      </c>
      <c r="S566" s="87">
        <v>10.3</v>
      </c>
      <c r="T566" s="83"/>
      <c r="U566" s="83"/>
      <c r="V566" s="83"/>
      <c r="W566" s="83"/>
      <c r="X566" s="83"/>
      <c r="Y566" s="87">
        <v>9.6</v>
      </c>
      <c r="Z566" s="83"/>
      <c r="AA566" s="86"/>
      <c r="AB566" s="86"/>
      <c r="AC566" s="83"/>
      <c r="AD566" s="88">
        <v>160</v>
      </c>
      <c r="AE566" s="88">
        <v>600</v>
      </c>
      <c r="AF566" s="88">
        <v>240</v>
      </c>
      <c r="AG566" s="66">
        <f t="shared" si="16"/>
        <v>120.58125000000003</v>
      </c>
      <c r="AH566" s="143">
        <f t="shared" si="17"/>
        <v>1000</v>
      </c>
    </row>
    <row r="567" spans="1:56" s="90" customFormat="1" x14ac:dyDescent="0.3">
      <c r="A567" s="84">
        <v>803119</v>
      </c>
      <c r="B567" s="87">
        <v>0.83333333333333337</v>
      </c>
      <c r="C567" s="87"/>
      <c r="D567" s="86">
        <v>8.7100000000000009</v>
      </c>
      <c r="E567" s="99">
        <v>0.33</v>
      </c>
      <c r="F567" s="84">
        <v>184</v>
      </c>
      <c r="G567" s="84"/>
      <c r="H567" s="84">
        <v>130.16999999999999</v>
      </c>
      <c r="I567" s="84">
        <v>520</v>
      </c>
      <c r="J567" s="85">
        <v>0.222</v>
      </c>
      <c r="K567" s="87">
        <v>5.03</v>
      </c>
      <c r="L567" s="83">
        <v>915</v>
      </c>
      <c r="M567" s="83">
        <v>2.2799999999999998</v>
      </c>
      <c r="N567" s="83">
        <v>1.03</v>
      </c>
      <c r="O567" s="83">
        <v>12.48</v>
      </c>
      <c r="P567" s="83">
        <v>4.17</v>
      </c>
      <c r="Q567" s="83"/>
      <c r="R567" s="86">
        <v>1.6138970000000001</v>
      </c>
      <c r="S567" s="87">
        <v>11.3</v>
      </c>
      <c r="T567" s="83"/>
      <c r="U567" s="83"/>
      <c r="V567" s="83"/>
      <c r="W567" s="83"/>
      <c r="X567" s="83"/>
      <c r="Y567" s="87">
        <v>12</v>
      </c>
      <c r="Z567" s="83"/>
      <c r="AA567" s="86"/>
      <c r="AB567" s="86"/>
      <c r="AC567" s="83"/>
      <c r="AD567" s="88">
        <v>200</v>
      </c>
      <c r="AE567" s="88">
        <v>80</v>
      </c>
      <c r="AF567" s="88">
        <v>720</v>
      </c>
      <c r="AG567" s="66">
        <f t="shared" si="16"/>
        <v>148.38500000000002</v>
      </c>
      <c r="AH567" s="143">
        <f t="shared" si="17"/>
        <v>1000</v>
      </c>
    </row>
    <row r="568" spans="1:56" s="90" customFormat="1" x14ac:dyDescent="0.3">
      <c r="A568" s="84">
        <v>803120</v>
      </c>
      <c r="B568" s="87">
        <v>10.416666666666666</v>
      </c>
      <c r="C568" s="87">
        <v>4.7500000000000009</v>
      </c>
      <c r="D568" s="86">
        <v>8.94</v>
      </c>
      <c r="E568" s="99">
        <v>0.26</v>
      </c>
      <c r="F568" s="84">
        <v>122.65</v>
      </c>
      <c r="G568" s="84"/>
      <c r="H568" s="84">
        <v>90.63</v>
      </c>
      <c r="I568" s="84">
        <v>290</v>
      </c>
      <c r="J568" s="85">
        <v>0.13</v>
      </c>
      <c r="K568" s="87">
        <v>6.79</v>
      </c>
      <c r="L568" s="83">
        <v>613</v>
      </c>
      <c r="M568" s="83">
        <v>1.69</v>
      </c>
      <c r="N568" s="83">
        <v>0.36</v>
      </c>
      <c r="O568" s="83">
        <v>2.06</v>
      </c>
      <c r="P568" s="83">
        <v>8.89</v>
      </c>
      <c r="Q568" s="83"/>
      <c r="R568" s="86">
        <v>0.77579100690083258</v>
      </c>
      <c r="S568" s="87">
        <v>5.5</v>
      </c>
      <c r="T568" s="83"/>
      <c r="U568" s="83"/>
      <c r="V568" s="83"/>
      <c r="W568" s="83"/>
      <c r="X568" s="83"/>
      <c r="Y568" s="87">
        <v>3.6</v>
      </c>
      <c r="Z568" s="83"/>
      <c r="AA568" s="86"/>
      <c r="AB568" s="86"/>
      <c r="AC568" s="83"/>
      <c r="AD568" s="88">
        <v>60</v>
      </c>
      <c r="AE568" s="88">
        <v>80</v>
      </c>
      <c r="AF568" s="88">
        <v>860</v>
      </c>
      <c r="AG568" s="66">
        <f t="shared" si="16"/>
        <v>667.68333333333328</v>
      </c>
      <c r="AH568" s="143">
        <f t="shared" si="17"/>
        <v>1000</v>
      </c>
    </row>
    <row r="569" spans="1:56" s="90" customFormat="1" x14ac:dyDescent="0.3">
      <c r="A569" s="84">
        <v>803121</v>
      </c>
      <c r="B569" s="87">
        <v>0.68333333333333324</v>
      </c>
      <c r="C569" s="87"/>
      <c r="D569" s="86">
        <v>8.39</v>
      </c>
      <c r="E569" s="99">
        <v>0.1</v>
      </c>
      <c r="F569" s="84">
        <v>29.8</v>
      </c>
      <c r="G569" s="84"/>
      <c r="H569" s="84">
        <v>38.69</v>
      </c>
      <c r="I569" s="84">
        <v>220</v>
      </c>
      <c r="J569" s="85">
        <v>7.9000000000000001E-2</v>
      </c>
      <c r="K569" s="87">
        <v>7.11</v>
      </c>
      <c r="L569" s="83">
        <v>1299</v>
      </c>
      <c r="M569" s="83">
        <v>0.51</v>
      </c>
      <c r="N569" s="83">
        <v>1.02</v>
      </c>
      <c r="O569" s="83">
        <v>28.2</v>
      </c>
      <c r="P569" s="83">
        <v>17.579999999999998</v>
      </c>
      <c r="Q569" s="83"/>
      <c r="R569" s="86">
        <v>1.2977822733578168</v>
      </c>
      <c r="S569" s="87">
        <v>9</v>
      </c>
      <c r="T569" s="83"/>
      <c r="U569" s="83"/>
      <c r="V569" s="83"/>
      <c r="W569" s="83"/>
      <c r="X569" s="83"/>
      <c r="Y569" s="87">
        <v>27</v>
      </c>
      <c r="Z569" s="83"/>
      <c r="AA569" s="86"/>
      <c r="AB569" s="86"/>
      <c r="AC569" s="83"/>
      <c r="AD569" s="88">
        <v>540</v>
      </c>
      <c r="AE569" s="88">
        <v>360</v>
      </c>
      <c r="AF569" s="88">
        <v>100</v>
      </c>
      <c r="AG569" s="66">
        <f t="shared" si="16"/>
        <v>93.220000000000013</v>
      </c>
      <c r="AH569" s="143">
        <f t="shared" si="17"/>
        <v>1000</v>
      </c>
    </row>
    <row r="570" spans="1:56" s="90" customFormat="1" x14ac:dyDescent="0.3">
      <c r="A570" s="84">
        <v>803122</v>
      </c>
      <c r="B570" s="87">
        <v>0.6</v>
      </c>
      <c r="C570" s="87"/>
      <c r="D570" s="86">
        <v>8.48</v>
      </c>
      <c r="E570" s="99">
        <v>0.15</v>
      </c>
      <c r="F570" s="84">
        <v>30.5</v>
      </c>
      <c r="G570" s="84"/>
      <c r="H570" s="84">
        <v>38.33</v>
      </c>
      <c r="I570" s="84">
        <v>210</v>
      </c>
      <c r="J570" s="85">
        <v>7.0999999999999994E-2</v>
      </c>
      <c r="K570" s="87">
        <v>7.13</v>
      </c>
      <c r="L570" s="83">
        <v>1350</v>
      </c>
      <c r="M570" s="83">
        <v>0.55000000000000004</v>
      </c>
      <c r="N570" s="83">
        <v>1.01</v>
      </c>
      <c r="O570" s="83">
        <v>19.43</v>
      </c>
      <c r="P570" s="83">
        <v>8.23</v>
      </c>
      <c r="Q570" s="83"/>
      <c r="R570" s="86">
        <v>1.2049164925592153</v>
      </c>
      <c r="S570" s="87">
        <v>9</v>
      </c>
      <c r="T570" s="83"/>
      <c r="U570" s="83"/>
      <c r="V570" s="83"/>
      <c r="W570" s="83"/>
      <c r="X570" s="83"/>
      <c r="Y570" s="87">
        <v>28</v>
      </c>
      <c r="Z570" s="83"/>
      <c r="AA570" s="86"/>
      <c r="AB570" s="86"/>
      <c r="AC570" s="83"/>
      <c r="AD570" s="88">
        <v>560</v>
      </c>
      <c r="AE570" s="88">
        <v>340</v>
      </c>
      <c r="AF570" s="88">
        <v>100</v>
      </c>
      <c r="AG570" s="66">
        <f t="shared" si="16"/>
        <v>90.143571428571434</v>
      </c>
      <c r="AH570" s="143">
        <f t="shared" si="17"/>
        <v>1000</v>
      </c>
    </row>
    <row r="571" spans="1:56" s="90" customFormat="1" x14ac:dyDescent="0.3">
      <c r="A571" s="84">
        <v>803123</v>
      </c>
      <c r="B571" s="87">
        <v>0.6166666666666667</v>
      </c>
      <c r="C571" s="87"/>
      <c r="D571" s="86">
        <v>8.4600000000000009</v>
      </c>
      <c r="E571" s="99">
        <v>0.1</v>
      </c>
      <c r="F571" s="84">
        <v>49.5</v>
      </c>
      <c r="G571" s="84"/>
      <c r="H571" s="84">
        <v>39.4</v>
      </c>
      <c r="I571" s="84">
        <v>200</v>
      </c>
      <c r="J571" s="85">
        <v>8.5999999999999993E-2</v>
      </c>
      <c r="K571" s="87">
        <v>6.71</v>
      </c>
      <c r="L571" s="83">
        <v>1223</v>
      </c>
      <c r="M571" s="83">
        <v>0.5</v>
      </c>
      <c r="N571" s="83">
        <v>0.84</v>
      </c>
      <c r="O571" s="83">
        <v>16.71</v>
      </c>
      <c r="P571" s="83">
        <v>8.7899999999999991</v>
      </c>
      <c r="Q571" s="83"/>
      <c r="R571" s="86">
        <v>1.1003821306512183</v>
      </c>
      <c r="S571" s="87">
        <v>8.1</v>
      </c>
      <c r="T571" s="83"/>
      <c r="U571" s="83"/>
      <c r="V571" s="83"/>
      <c r="W571" s="83"/>
      <c r="X571" s="83"/>
      <c r="Y571" s="87">
        <v>27</v>
      </c>
      <c r="Z571" s="83"/>
      <c r="AA571" s="86"/>
      <c r="AB571" s="86"/>
      <c r="AC571" s="83"/>
      <c r="AD571" s="88">
        <v>540</v>
      </c>
      <c r="AE571" s="88">
        <v>340</v>
      </c>
      <c r="AF571" s="88">
        <v>120</v>
      </c>
      <c r="AG571" s="66">
        <f t="shared" si="16"/>
        <v>87.975555555555559</v>
      </c>
      <c r="AH571" s="143">
        <f t="shared" si="17"/>
        <v>1000</v>
      </c>
    </row>
    <row r="572" spans="1:56" s="90" customFormat="1" x14ac:dyDescent="0.3">
      <c r="A572" s="84">
        <v>803124</v>
      </c>
      <c r="B572" s="87">
        <v>0.68333333333333324</v>
      </c>
      <c r="C572" s="87"/>
      <c r="D572" s="86">
        <v>8.3800000000000008</v>
      </c>
      <c r="E572" s="99">
        <v>0.09</v>
      </c>
      <c r="F572" s="84">
        <v>28.55</v>
      </c>
      <c r="G572" s="84"/>
      <c r="H572" s="84">
        <v>49.65</v>
      </c>
      <c r="I572" s="84">
        <v>200</v>
      </c>
      <c r="J572" s="85">
        <v>7.8E-2</v>
      </c>
      <c r="K572" s="87">
        <v>6.79</v>
      </c>
      <c r="L572" s="83">
        <v>1323</v>
      </c>
      <c r="M572" s="83">
        <v>0.55000000000000004</v>
      </c>
      <c r="N572" s="83">
        <v>1.05</v>
      </c>
      <c r="O572" s="83">
        <v>29.31</v>
      </c>
      <c r="P572" s="83">
        <v>9.67</v>
      </c>
      <c r="Q572" s="83"/>
      <c r="R572" s="86">
        <v>1.1340607392709119</v>
      </c>
      <c r="S572" s="87">
        <v>8.1999999999999993</v>
      </c>
      <c r="T572" s="83"/>
      <c r="U572" s="83"/>
      <c r="V572" s="83"/>
      <c r="W572" s="83"/>
      <c r="X572" s="83"/>
      <c r="Y572" s="87">
        <v>27</v>
      </c>
      <c r="Z572" s="83"/>
      <c r="AA572" s="86"/>
      <c r="AB572" s="86"/>
      <c r="AC572" s="83"/>
      <c r="AD572" s="88">
        <v>540</v>
      </c>
      <c r="AE572" s="88">
        <v>360</v>
      </c>
      <c r="AF572" s="88">
        <v>100</v>
      </c>
      <c r="AG572" s="66">
        <f t="shared" si="16"/>
        <v>89.024444444444441</v>
      </c>
      <c r="AH572" s="143">
        <f t="shared" si="17"/>
        <v>1000</v>
      </c>
    </row>
    <row r="573" spans="1:56" s="90" customFormat="1" x14ac:dyDescent="0.3">
      <c r="A573" s="84">
        <v>803125</v>
      </c>
      <c r="B573" s="87">
        <v>0.70000000000000007</v>
      </c>
      <c r="C573" s="87"/>
      <c r="D573" s="86">
        <v>8.35</v>
      </c>
      <c r="E573" s="99">
        <v>0.11</v>
      </c>
      <c r="F573" s="84">
        <v>40.049999999999997</v>
      </c>
      <c r="G573" s="84"/>
      <c r="H573" s="84">
        <v>53.6</v>
      </c>
      <c r="I573" s="84">
        <v>190</v>
      </c>
      <c r="J573" s="85">
        <v>8.1000000000000003E-2</v>
      </c>
      <c r="K573" s="87">
        <v>6.94</v>
      </c>
      <c r="L573" s="83">
        <v>1355</v>
      </c>
      <c r="M573" s="83">
        <v>0.5</v>
      </c>
      <c r="N573" s="83">
        <v>1.02</v>
      </c>
      <c r="O573" s="83">
        <v>21.65</v>
      </c>
      <c r="P573" s="83">
        <v>10.9</v>
      </c>
      <c r="Q573" s="83"/>
      <c r="R573" s="86">
        <v>1.4236012777477245</v>
      </c>
      <c r="S573" s="87">
        <v>9.6999999999999993</v>
      </c>
      <c r="T573" s="83"/>
      <c r="U573" s="83"/>
      <c r="V573" s="83"/>
      <c r="W573" s="83"/>
      <c r="X573" s="83"/>
      <c r="Y573" s="87">
        <v>29.6</v>
      </c>
      <c r="Z573" s="83"/>
      <c r="AA573" s="86"/>
      <c r="AB573" s="86"/>
      <c r="AC573" s="83"/>
      <c r="AD573" s="88">
        <v>560</v>
      </c>
      <c r="AE573" s="88">
        <v>320</v>
      </c>
      <c r="AF573" s="88">
        <v>120</v>
      </c>
      <c r="AG573" s="66">
        <f t="shared" si="16"/>
        <v>82.998648648648654</v>
      </c>
      <c r="AH573" s="143">
        <f t="shared" si="17"/>
        <v>1000</v>
      </c>
    </row>
    <row r="574" spans="1:56" s="90" customFormat="1" x14ac:dyDescent="0.3">
      <c r="A574" s="84">
        <v>803130</v>
      </c>
      <c r="B574" s="87">
        <v>8.75</v>
      </c>
      <c r="C574" s="87">
        <v>8</v>
      </c>
      <c r="D574" s="86">
        <v>8.74</v>
      </c>
      <c r="E574" s="99">
        <v>0.11700000000000001</v>
      </c>
      <c r="F574" s="84">
        <v>27.599999999999998</v>
      </c>
      <c r="G574" s="84"/>
      <c r="H574" s="84">
        <v>28.43</v>
      </c>
      <c r="I574" s="84">
        <v>200</v>
      </c>
      <c r="J574" s="85">
        <v>5.0999999999999997E-2</v>
      </c>
      <c r="K574" s="87">
        <v>6.89</v>
      </c>
      <c r="L574" s="83">
        <v>680</v>
      </c>
      <c r="M574" s="83">
        <v>0.56999999999999995</v>
      </c>
      <c r="N574" s="83">
        <v>0.91</v>
      </c>
      <c r="O574" s="83">
        <v>4.63</v>
      </c>
      <c r="P574" s="83">
        <v>2.0699999999999998</v>
      </c>
      <c r="Q574" s="83"/>
      <c r="R574" s="86">
        <v>1.809113</v>
      </c>
      <c r="S574" s="87">
        <v>16.899999999999999</v>
      </c>
      <c r="T574" s="83"/>
      <c r="U574" s="83"/>
      <c r="V574" s="83"/>
      <c r="W574" s="83"/>
      <c r="X574" s="83"/>
      <c r="Y574" s="87">
        <v>21.96</v>
      </c>
      <c r="Z574" s="83"/>
      <c r="AA574" s="86"/>
      <c r="AB574" s="86"/>
      <c r="AC574" s="83"/>
      <c r="AD574" s="88">
        <v>360</v>
      </c>
      <c r="AE574" s="88">
        <v>340</v>
      </c>
      <c r="AF574" s="88">
        <v>300</v>
      </c>
      <c r="AG574" s="66">
        <f t="shared" si="16"/>
        <v>111.06830601092895</v>
      </c>
      <c r="AH574" s="143">
        <f t="shared" si="17"/>
        <v>1000</v>
      </c>
    </row>
    <row r="575" spans="1:56" s="90" customFormat="1" x14ac:dyDescent="0.3">
      <c r="A575" s="84">
        <v>803131</v>
      </c>
      <c r="B575" s="87">
        <v>3.3055555555555554</v>
      </c>
      <c r="C575" s="87"/>
      <c r="D575" s="86">
        <v>8.61</v>
      </c>
      <c r="E575" s="99">
        <v>0.113</v>
      </c>
      <c r="F575" s="84">
        <v>33.950000000000003</v>
      </c>
      <c r="G575" s="84"/>
      <c r="H575" s="84">
        <v>43.47</v>
      </c>
      <c r="I575" s="84">
        <v>280</v>
      </c>
      <c r="J575" s="85">
        <v>3.7999999999999999E-2</v>
      </c>
      <c r="K575" s="87">
        <v>6.86</v>
      </c>
      <c r="L575" s="83">
        <v>660</v>
      </c>
      <c r="M575" s="83">
        <v>0.36</v>
      </c>
      <c r="N575" s="83">
        <v>1.74</v>
      </c>
      <c r="O575" s="83">
        <v>4.07</v>
      </c>
      <c r="P575" s="83">
        <v>2.48</v>
      </c>
      <c r="Q575" s="83"/>
      <c r="R575" s="86">
        <v>1.7444330000000001</v>
      </c>
      <c r="S575" s="87">
        <v>14.9</v>
      </c>
      <c r="T575" s="83"/>
      <c r="U575" s="83"/>
      <c r="V575" s="83"/>
      <c r="W575" s="83"/>
      <c r="X575" s="83"/>
      <c r="Y575" s="87">
        <v>21.66</v>
      </c>
      <c r="Z575" s="83"/>
      <c r="AA575" s="86"/>
      <c r="AB575" s="86"/>
      <c r="AC575" s="83"/>
      <c r="AD575" s="88">
        <v>380</v>
      </c>
      <c r="AE575" s="88">
        <v>360</v>
      </c>
      <c r="AF575" s="88">
        <v>260</v>
      </c>
      <c r="AG575" s="66">
        <f t="shared" si="16"/>
        <v>112.11634349030471</v>
      </c>
      <c r="AH575" s="143">
        <f t="shared" si="17"/>
        <v>1000</v>
      </c>
    </row>
    <row r="576" spans="1:56" s="90" customFormat="1" x14ac:dyDescent="0.3">
      <c r="A576" s="84">
        <v>803132</v>
      </c>
      <c r="B576" s="87">
        <v>27.999999999999996</v>
      </c>
      <c r="C576" s="87">
        <v>8.3000000000000007</v>
      </c>
      <c r="D576" s="86">
        <v>8.8000000000000007</v>
      </c>
      <c r="E576" s="99">
        <v>0.114</v>
      </c>
      <c r="F576" s="84">
        <v>29.049999999999997</v>
      </c>
      <c r="G576" s="84"/>
      <c r="H576" s="84">
        <v>31.79</v>
      </c>
      <c r="I576" s="84">
        <v>200</v>
      </c>
      <c r="J576" s="85">
        <v>3.2000000000000001E-2</v>
      </c>
      <c r="K576" s="87">
        <v>10.77</v>
      </c>
      <c r="L576" s="83">
        <v>590</v>
      </c>
      <c r="M576" s="83">
        <v>0.22</v>
      </c>
      <c r="N576" s="83">
        <v>1.68</v>
      </c>
      <c r="O576" s="83">
        <v>4.4800000000000004</v>
      </c>
      <c r="P576" s="83">
        <v>1.78</v>
      </c>
      <c r="Q576" s="83"/>
      <c r="R576" s="86">
        <v>1.586408</v>
      </c>
      <c r="S576" s="87">
        <v>10.6</v>
      </c>
      <c r="T576" s="83"/>
      <c r="U576" s="83"/>
      <c r="V576" s="83"/>
      <c r="W576" s="83"/>
      <c r="X576" s="83"/>
      <c r="Y576" s="87">
        <v>21.6</v>
      </c>
      <c r="Z576" s="83"/>
      <c r="AA576" s="86"/>
      <c r="AB576" s="86"/>
      <c r="AC576" s="83"/>
      <c r="AD576" s="88">
        <v>360</v>
      </c>
      <c r="AE576" s="88">
        <v>300</v>
      </c>
      <c r="AF576" s="88">
        <v>340</v>
      </c>
      <c r="AG576" s="66">
        <f t="shared" si="16"/>
        <v>176.50833333333333</v>
      </c>
      <c r="AH576" s="143">
        <f t="shared" si="17"/>
        <v>1000</v>
      </c>
    </row>
    <row r="577" spans="1:34" s="90" customFormat="1" x14ac:dyDescent="0.3">
      <c r="A577" s="84">
        <v>803133</v>
      </c>
      <c r="B577" s="87">
        <v>0.58333333333333337</v>
      </c>
      <c r="C577" s="87"/>
      <c r="D577" s="86">
        <v>8.74</v>
      </c>
      <c r="E577" s="99">
        <v>0.125</v>
      </c>
      <c r="F577" s="84">
        <v>25.85</v>
      </c>
      <c r="G577" s="84"/>
      <c r="H577" s="84">
        <v>33.11</v>
      </c>
      <c r="I577" s="84">
        <v>210</v>
      </c>
      <c r="J577" s="85">
        <v>6.3E-2</v>
      </c>
      <c r="K577" s="87">
        <v>8.0299999999999994</v>
      </c>
      <c r="L577" s="83">
        <v>1330</v>
      </c>
      <c r="M577" s="83">
        <v>0.11</v>
      </c>
      <c r="N577" s="83">
        <v>0.83</v>
      </c>
      <c r="O577" s="83">
        <v>4.67</v>
      </c>
      <c r="P577" s="83">
        <v>1.75</v>
      </c>
      <c r="Q577" s="83"/>
      <c r="R577" s="86">
        <v>1.4339604757092863</v>
      </c>
      <c r="S577" s="87">
        <v>10.1</v>
      </c>
      <c r="T577" s="83"/>
      <c r="U577" s="83"/>
      <c r="V577" s="83"/>
      <c r="W577" s="83"/>
      <c r="X577" s="83"/>
      <c r="Y577" s="87">
        <v>22.42</v>
      </c>
      <c r="Z577" s="83"/>
      <c r="AA577" s="86"/>
      <c r="AB577" s="86"/>
      <c r="AC577" s="83"/>
      <c r="AD577" s="88">
        <v>380</v>
      </c>
      <c r="AE577" s="88">
        <v>340</v>
      </c>
      <c r="AF577" s="88">
        <v>280</v>
      </c>
      <c r="AG577" s="66">
        <f t="shared" si="16"/>
        <v>126.78947368421051</v>
      </c>
      <c r="AH577" s="143">
        <f t="shared" si="17"/>
        <v>1000</v>
      </c>
    </row>
    <row r="578" spans="1:34" s="90" customFormat="1" x14ac:dyDescent="0.3">
      <c r="A578" s="84">
        <v>803134</v>
      </c>
      <c r="B578" s="87">
        <v>72.000000000000014</v>
      </c>
      <c r="C578" s="87">
        <v>8.6249999999999982</v>
      </c>
      <c r="D578" s="86">
        <v>8.84</v>
      </c>
      <c r="E578" s="99">
        <v>0.11700000000000001</v>
      </c>
      <c r="F578" s="84">
        <v>21.85</v>
      </c>
      <c r="G578" s="84"/>
      <c r="H578" s="84">
        <v>31.46</v>
      </c>
      <c r="I578" s="84">
        <v>160</v>
      </c>
      <c r="J578" s="85">
        <v>2.7E-2</v>
      </c>
      <c r="K578" s="87">
        <v>8.7200000000000006</v>
      </c>
      <c r="L578" s="83">
        <v>1060</v>
      </c>
      <c r="M578" s="83">
        <v>0.19</v>
      </c>
      <c r="N578" s="83">
        <v>0.63</v>
      </c>
      <c r="O578" s="83">
        <v>4.18</v>
      </c>
      <c r="P578" s="83">
        <v>1.64</v>
      </c>
      <c r="Q578" s="83"/>
      <c r="R578" s="86">
        <v>0.8439586569327614</v>
      </c>
      <c r="S578" s="87">
        <v>6.1</v>
      </c>
      <c r="T578" s="83"/>
      <c r="U578" s="83"/>
      <c r="V578" s="83"/>
      <c r="W578" s="83"/>
      <c r="X578" s="83"/>
      <c r="Y578" s="87">
        <v>7.92</v>
      </c>
      <c r="Z578" s="83"/>
      <c r="AA578" s="86"/>
      <c r="AB578" s="86"/>
      <c r="AC578" s="83"/>
      <c r="AD578" s="88">
        <v>120</v>
      </c>
      <c r="AE578" s="88">
        <v>100</v>
      </c>
      <c r="AF578" s="88">
        <v>780</v>
      </c>
      <c r="AG578" s="66">
        <f t="shared" ref="AG578:AG641" si="18">+K578*3.54*100/Y578</f>
        <v>389.75757575757581</v>
      </c>
      <c r="AH578" s="143">
        <f t="shared" ref="AH578:AH641" si="19">+SUM(AD578:AF578)</f>
        <v>1000</v>
      </c>
    </row>
    <row r="579" spans="1:34" s="90" customFormat="1" x14ac:dyDescent="0.3">
      <c r="A579" s="84">
        <v>803135</v>
      </c>
      <c r="B579" s="87"/>
      <c r="C579" s="87"/>
      <c r="D579" s="86"/>
      <c r="E579" s="99"/>
      <c r="F579" s="84"/>
      <c r="G579" s="84"/>
      <c r="H579" s="84"/>
      <c r="I579" s="84"/>
      <c r="J579" s="85"/>
      <c r="K579" s="87"/>
      <c r="L579" s="83"/>
      <c r="M579" s="83"/>
      <c r="N579" s="83"/>
      <c r="O579" s="83"/>
      <c r="P579" s="83"/>
      <c r="Q579" s="83"/>
      <c r="R579" s="86"/>
      <c r="S579" s="87"/>
      <c r="T579" s="83"/>
      <c r="U579" s="83"/>
      <c r="V579" s="83"/>
      <c r="W579" s="83"/>
      <c r="X579" s="83"/>
      <c r="Y579" s="87">
        <v>0</v>
      </c>
      <c r="Z579" s="83"/>
      <c r="AA579" s="86"/>
      <c r="AB579" s="86"/>
      <c r="AC579" s="83"/>
      <c r="AD579" s="88"/>
      <c r="AE579" s="88"/>
      <c r="AF579" s="88"/>
      <c r="AG579" s="66" t="e">
        <f t="shared" si="18"/>
        <v>#DIV/0!</v>
      </c>
      <c r="AH579" s="143">
        <f t="shared" si="19"/>
        <v>0</v>
      </c>
    </row>
    <row r="580" spans="1:34" s="90" customFormat="1" x14ac:dyDescent="0.3">
      <c r="A580" s="84">
        <v>803136</v>
      </c>
      <c r="B580" s="87">
        <v>10.75</v>
      </c>
      <c r="C580" s="87">
        <v>5.2499999999999991</v>
      </c>
      <c r="D580" s="86">
        <v>8.11</v>
      </c>
      <c r="E580" s="99">
        <v>0.112</v>
      </c>
      <c r="F580" s="84">
        <v>30.5</v>
      </c>
      <c r="G580" s="84"/>
      <c r="H580" s="84">
        <v>29.6</v>
      </c>
      <c r="I580" s="84">
        <v>260</v>
      </c>
      <c r="J580" s="85">
        <v>3.7999999999999999E-2</v>
      </c>
      <c r="K580" s="87">
        <v>8.26</v>
      </c>
      <c r="L580" s="83">
        <v>620</v>
      </c>
      <c r="M580" s="83">
        <v>0.31</v>
      </c>
      <c r="N580" s="83">
        <v>0.68</v>
      </c>
      <c r="O580" s="83">
        <v>4.3600000000000003</v>
      </c>
      <c r="P580" s="83">
        <v>1.22</v>
      </c>
      <c r="Q580" s="83"/>
      <c r="R580" s="86">
        <v>0.11365334756640637</v>
      </c>
      <c r="S580" s="87">
        <v>0.75</v>
      </c>
      <c r="T580" s="83"/>
      <c r="U580" s="83"/>
      <c r="V580" s="83"/>
      <c r="W580" s="83"/>
      <c r="X580" s="83"/>
      <c r="Y580" s="87">
        <v>15.36</v>
      </c>
      <c r="Z580" s="83"/>
      <c r="AA580" s="86"/>
      <c r="AB580" s="86"/>
      <c r="AC580" s="83"/>
      <c r="AD580" s="88">
        <v>240</v>
      </c>
      <c r="AE580" s="88">
        <v>660</v>
      </c>
      <c r="AF580" s="88">
        <v>100</v>
      </c>
      <c r="AG580" s="66">
        <f t="shared" si="18"/>
        <v>190.3671875</v>
      </c>
      <c r="AH580" s="143">
        <f t="shared" si="19"/>
        <v>1000</v>
      </c>
    </row>
    <row r="581" spans="1:34" s="90" customFormat="1" x14ac:dyDescent="0.3">
      <c r="A581" s="84">
        <v>803137</v>
      </c>
      <c r="B581" s="87">
        <v>9.5833333333333321</v>
      </c>
      <c r="C581" s="87">
        <v>5.1249999999999973</v>
      </c>
      <c r="D581" s="86">
        <v>8.15</v>
      </c>
      <c r="E581" s="99">
        <v>0.112</v>
      </c>
      <c r="F581" s="84">
        <v>31.05</v>
      </c>
      <c r="G581" s="84"/>
      <c r="H581" s="84">
        <v>41.01</v>
      </c>
      <c r="I581" s="84">
        <v>300</v>
      </c>
      <c r="J581" s="85">
        <v>4.4999999999999998E-2</v>
      </c>
      <c r="K581" s="87">
        <v>7.8</v>
      </c>
      <c r="L581" s="83">
        <v>580</v>
      </c>
      <c r="M581" s="83">
        <v>0.2</v>
      </c>
      <c r="N581" s="83">
        <v>0.77</v>
      </c>
      <c r="O581" s="83">
        <v>4.95</v>
      </c>
      <c r="P581" s="83">
        <v>1.56</v>
      </c>
      <c r="Q581" s="83"/>
      <c r="R581" s="86">
        <v>0.10695123418863861</v>
      </c>
      <c r="S581" s="87">
        <v>0.7</v>
      </c>
      <c r="T581" s="83"/>
      <c r="U581" s="83"/>
      <c r="V581" s="83"/>
      <c r="W581" s="83"/>
      <c r="X581" s="83"/>
      <c r="Y581" s="87">
        <v>14.64</v>
      </c>
      <c r="Z581" s="83"/>
      <c r="AA581" s="86"/>
      <c r="AB581" s="86"/>
      <c r="AC581" s="83"/>
      <c r="AD581" s="88">
        <v>240</v>
      </c>
      <c r="AE581" s="88">
        <v>640</v>
      </c>
      <c r="AF581" s="88">
        <v>120</v>
      </c>
      <c r="AG581" s="66">
        <f t="shared" si="18"/>
        <v>188.60655737704917</v>
      </c>
      <c r="AH581" s="143">
        <f t="shared" si="19"/>
        <v>1000</v>
      </c>
    </row>
    <row r="582" spans="1:34" s="118" customFormat="1" x14ac:dyDescent="0.3">
      <c r="A582" s="84">
        <v>803138</v>
      </c>
      <c r="B582" s="115">
        <v>33.833333333333329</v>
      </c>
      <c r="C582" s="115">
        <v>9.5000000000000018</v>
      </c>
      <c r="D582" s="116">
        <v>8.67</v>
      </c>
      <c r="E582" s="1525">
        <v>1.98</v>
      </c>
      <c r="F582" s="89">
        <v>1896.55</v>
      </c>
      <c r="G582" s="89"/>
      <c r="H582" s="89">
        <v>56.27</v>
      </c>
      <c r="I582" s="89">
        <v>187</v>
      </c>
      <c r="J582" s="117">
        <v>1.548</v>
      </c>
      <c r="K582" s="115">
        <v>9.57</v>
      </c>
      <c r="L582" s="88">
        <v>1787</v>
      </c>
      <c r="M582" s="88">
        <v>0.47</v>
      </c>
      <c r="N582" s="88">
        <v>0.51</v>
      </c>
      <c r="O582" s="88">
        <v>1.29</v>
      </c>
      <c r="P582" s="88">
        <v>2.29</v>
      </c>
      <c r="Q582" s="88"/>
      <c r="R582" s="116">
        <v>0.7990005277089367</v>
      </c>
      <c r="S582" s="115">
        <v>5.2</v>
      </c>
      <c r="T582" s="88"/>
      <c r="U582" s="88"/>
      <c r="V582" s="88"/>
      <c r="W582" s="88"/>
      <c r="X582" s="88"/>
      <c r="Y582" s="115">
        <v>26.25</v>
      </c>
      <c r="Z582" s="88"/>
      <c r="AA582" s="116"/>
      <c r="AB582" s="116"/>
      <c r="AC582" s="88"/>
      <c r="AD582" s="88">
        <v>500</v>
      </c>
      <c r="AE582" s="88">
        <v>300</v>
      </c>
      <c r="AF582" s="88">
        <v>200</v>
      </c>
      <c r="AG582" s="66">
        <f t="shared" si="18"/>
        <v>129.05828571428572</v>
      </c>
      <c r="AH582" s="143">
        <f t="shared" si="19"/>
        <v>1000</v>
      </c>
    </row>
    <row r="583" spans="1:34" s="118" customFormat="1" x14ac:dyDescent="0.3">
      <c r="A583" s="84">
        <v>803139</v>
      </c>
      <c r="B583" s="115">
        <v>33.333333333333329</v>
      </c>
      <c r="C583" s="115">
        <v>10.125000000000002</v>
      </c>
      <c r="D583" s="116">
        <v>8.49</v>
      </c>
      <c r="E583" s="1525">
        <v>3.61</v>
      </c>
      <c r="F583" s="89">
        <v>2513.4</v>
      </c>
      <c r="G583" s="89"/>
      <c r="H583" s="89">
        <v>56.3</v>
      </c>
      <c r="I583" s="89">
        <v>253</v>
      </c>
      <c r="J583" s="117">
        <v>3.0270000000000001</v>
      </c>
      <c r="K583" s="115">
        <v>16.29</v>
      </c>
      <c r="L583" s="88">
        <v>1722</v>
      </c>
      <c r="M583" s="88">
        <v>0.23</v>
      </c>
      <c r="N583" s="88">
        <v>0.49</v>
      </c>
      <c r="O583" s="88">
        <v>0.64</v>
      </c>
      <c r="P583" s="88">
        <v>1.52</v>
      </c>
      <c r="Q583" s="88"/>
      <c r="R583" s="116">
        <v>0.85738658834589321</v>
      </c>
      <c r="S583" s="115">
        <v>5.7</v>
      </c>
      <c r="T583" s="88"/>
      <c r="U583" s="88"/>
      <c r="V583" s="88"/>
      <c r="W583" s="88"/>
      <c r="X583" s="88"/>
      <c r="Y583" s="115">
        <v>29.400000000000002</v>
      </c>
      <c r="Z583" s="88"/>
      <c r="AA583" s="116"/>
      <c r="AB583" s="116"/>
      <c r="AC583" s="88"/>
      <c r="AD583" s="88">
        <v>560</v>
      </c>
      <c r="AE583" s="88">
        <v>240</v>
      </c>
      <c r="AF583" s="88">
        <v>200</v>
      </c>
      <c r="AG583" s="66">
        <f t="shared" si="18"/>
        <v>196.14489795918365</v>
      </c>
      <c r="AH583" s="143">
        <f t="shared" si="19"/>
        <v>1000</v>
      </c>
    </row>
    <row r="584" spans="1:34" s="118" customFormat="1" x14ac:dyDescent="0.3">
      <c r="A584" s="84">
        <v>803140</v>
      </c>
      <c r="B584" s="115">
        <v>33.166666666666664</v>
      </c>
      <c r="C584" s="115">
        <v>10.000000000000002</v>
      </c>
      <c r="D584" s="116">
        <v>8.77</v>
      </c>
      <c r="E584" s="1525">
        <v>1.93</v>
      </c>
      <c r="F584" s="89">
        <v>1802.2</v>
      </c>
      <c r="G584" s="89"/>
      <c r="H584" s="89">
        <v>42.34</v>
      </c>
      <c r="I584" s="89">
        <v>142</v>
      </c>
      <c r="J584" s="117">
        <v>2.399</v>
      </c>
      <c r="K584" s="115">
        <v>11.55</v>
      </c>
      <c r="L584" s="88">
        <v>1974</v>
      </c>
      <c r="M584" s="88">
        <v>0.23</v>
      </c>
      <c r="N584" s="88">
        <v>0.45</v>
      </c>
      <c r="O584" s="88">
        <v>1.3</v>
      </c>
      <c r="P584" s="88">
        <v>2.04</v>
      </c>
      <c r="Q584" s="88"/>
      <c r="R584" s="116">
        <v>0.74961322143361386</v>
      </c>
      <c r="S584" s="115">
        <v>5.6</v>
      </c>
      <c r="T584" s="88"/>
      <c r="U584" s="88"/>
      <c r="V584" s="88"/>
      <c r="W584" s="88"/>
      <c r="X584" s="88"/>
      <c r="Y584" s="115">
        <v>19.950000000000003</v>
      </c>
      <c r="Z584" s="88"/>
      <c r="AA584" s="88"/>
      <c r="AB584" s="88"/>
      <c r="AC584" s="88"/>
      <c r="AD584" s="88">
        <v>380</v>
      </c>
      <c r="AE584" s="88">
        <v>360</v>
      </c>
      <c r="AF584" s="88">
        <v>260</v>
      </c>
      <c r="AG584" s="66">
        <f t="shared" si="18"/>
        <v>204.9473684210526</v>
      </c>
      <c r="AH584" s="143">
        <f t="shared" si="19"/>
        <v>1000</v>
      </c>
    </row>
    <row r="585" spans="1:34" s="118" customFormat="1" x14ac:dyDescent="0.3">
      <c r="A585" s="84">
        <v>803141</v>
      </c>
      <c r="B585" s="115">
        <v>31</v>
      </c>
      <c r="C585" s="115">
        <v>9.0000000000000018</v>
      </c>
      <c r="D585" s="116">
        <v>8.5500000000000007</v>
      </c>
      <c r="E585" s="1525">
        <v>2.98</v>
      </c>
      <c r="F585" s="89">
        <v>2361.1999999999998</v>
      </c>
      <c r="G585" s="89"/>
      <c r="H585" s="89">
        <v>45.09</v>
      </c>
      <c r="I585" s="89">
        <v>181</v>
      </c>
      <c r="J585" s="117">
        <v>2.9510000000000001</v>
      </c>
      <c r="K585" s="115">
        <v>10.92</v>
      </c>
      <c r="L585" s="88">
        <v>1605</v>
      </c>
      <c r="M585" s="88">
        <v>0.23</v>
      </c>
      <c r="N585" s="88">
        <v>0.47</v>
      </c>
      <c r="O585" s="88">
        <v>0.87</v>
      </c>
      <c r="P585" s="88">
        <v>1.97</v>
      </c>
      <c r="Q585" s="88"/>
      <c r="R585" s="116">
        <v>0.56333470481776404</v>
      </c>
      <c r="S585" s="115">
        <v>4</v>
      </c>
      <c r="T585" s="88"/>
      <c r="U585" s="88"/>
      <c r="V585" s="88"/>
      <c r="W585" s="88"/>
      <c r="X585" s="88"/>
      <c r="Y585" s="115">
        <v>28.35</v>
      </c>
      <c r="Z585" s="88"/>
      <c r="AA585" s="116"/>
      <c r="AB585" s="116"/>
      <c r="AC585" s="88"/>
      <c r="AD585" s="88">
        <v>540</v>
      </c>
      <c r="AE585" s="88">
        <v>280</v>
      </c>
      <c r="AF585" s="88">
        <v>180</v>
      </c>
      <c r="AG585" s="66">
        <f t="shared" si="18"/>
        <v>136.35555555555555</v>
      </c>
      <c r="AH585" s="143">
        <f t="shared" si="19"/>
        <v>1000</v>
      </c>
    </row>
    <row r="586" spans="1:34" s="118" customFormat="1" x14ac:dyDescent="0.3">
      <c r="A586" s="84">
        <v>803142</v>
      </c>
      <c r="B586" s="115">
        <v>36.000000000000007</v>
      </c>
      <c r="C586" s="115">
        <v>9.2500000000000036</v>
      </c>
      <c r="D586" s="116">
        <v>8.69</v>
      </c>
      <c r="E586" s="1525">
        <v>1.66</v>
      </c>
      <c r="F586" s="89">
        <v>1300.05</v>
      </c>
      <c r="G586" s="89"/>
      <c r="H586" s="89">
        <v>50.1</v>
      </c>
      <c r="I586" s="89">
        <v>119</v>
      </c>
      <c r="J586" s="117">
        <v>1.6379999999999999</v>
      </c>
      <c r="K586" s="115">
        <v>12.98</v>
      </c>
      <c r="L586" s="88">
        <v>2073</v>
      </c>
      <c r="M586" s="88">
        <v>0.24</v>
      </c>
      <c r="N586" s="88">
        <v>0.54</v>
      </c>
      <c r="O586" s="88">
        <v>1.47</v>
      </c>
      <c r="P586" s="88">
        <v>1.68</v>
      </c>
      <c r="Q586" s="88"/>
      <c r="R586" s="116">
        <v>0.67506607722866441</v>
      </c>
      <c r="S586" s="115">
        <v>4.8</v>
      </c>
      <c r="T586" s="88"/>
      <c r="U586" s="88"/>
      <c r="V586" s="88"/>
      <c r="W586" s="88"/>
      <c r="X586" s="88"/>
      <c r="Y586" s="115">
        <v>33.6</v>
      </c>
      <c r="Z586" s="88"/>
      <c r="AA586" s="116"/>
      <c r="AB586" s="116"/>
      <c r="AC586" s="88"/>
      <c r="AD586" s="88">
        <v>640</v>
      </c>
      <c r="AE586" s="88">
        <v>200</v>
      </c>
      <c r="AF586" s="88">
        <v>160</v>
      </c>
      <c r="AG586" s="66">
        <f t="shared" si="18"/>
        <v>136.75357142857143</v>
      </c>
      <c r="AH586" s="143">
        <f t="shared" si="19"/>
        <v>1000</v>
      </c>
    </row>
    <row r="587" spans="1:34" s="118" customFormat="1" x14ac:dyDescent="0.3">
      <c r="A587" s="84">
        <v>803143</v>
      </c>
      <c r="B587" s="115">
        <v>33.666666666666664</v>
      </c>
      <c r="C587" s="115">
        <v>9.75</v>
      </c>
      <c r="D587" s="116">
        <v>8.9</v>
      </c>
      <c r="E587" s="1525">
        <v>0.73</v>
      </c>
      <c r="F587" s="89">
        <v>465.5</v>
      </c>
      <c r="G587" s="89"/>
      <c r="H587" s="89">
        <v>132.43</v>
      </c>
      <c r="I587" s="89">
        <v>137</v>
      </c>
      <c r="J587" s="117">
        <v>0.86599999999999999</v>
      </c>
      <c r="K587" s="115">
        <v>11.04</v>
      </c>
      <c r="L587" s="88">
        <v>1786</v>
      </c>
      <c r="M587" s="88">
        <v>0.33</v>
      </c>
      <c r="N587" s="88">
        <v>0.73</v>
      </c>
      <c r="O587" s="88">
        <v>1.26</v>
      </c>
      <c r="P587" s="88">
        <v>3.35</v>
      </c>
      <c r="Q587" s="88"/>
      <c r="R587" s="116">
        <v>0.58795064604617708</v>
      </c>
      <c r="S587" s="115">
        <v>4.4000000000000004</v>
      </c>
      <c r="T587" s="88"/>
      <c r="U587" s="88"/>
      <c r="V587" s="88"/>
      <c r="W587" s="88"/>
      <c r="X587" s="88"/>
      <c r="Y587" s="115">
        <v>34.650000000000006</v>
      </c>
      <c r="Z587" s="88"/>
      <c r="AA587" s="116"/>
      <c r="AB587" s="116"/>
      <c r="AC587" s="88"/>
      <c r="AD587" s="88">
        <v>660</v>
      </c>
      <c r="AE587" s="88">
        <v>180</v>
      </c>
      <c r="AF587" s="88">
        <v>160</v>
      </c>
      <c r="AG587" s="66">
        <f t="shared" si="18"/>
        <v>112.78961038961036</v>
      </c>
      <c r="AH587" s="143">
        <f t="shared" si="19"/>
        <v>1000</v>
      </c>
    </row>
    <row r="588" spans="1:34" s="118" customFormat="1" x14ac:dyDescent="0.3">
      <c r="A588" s="84">
        <v>803144</v>
      </c>
      <c r="B588" s="115">
        <v>34.333333333333336</v>
      </c>
      <c r="C588" s="115">
        <v>10.125000000000002</v>
      </c>
      <c r="D588" s="116">
        <v>8.74</v>
      </c>
      <c r="E588" s="1525">
        <v>1.41</v>
      </c>
      <c r="F588" s="89">
        <v>682.5</v>
      </c>
      <c r="G588" s="89"/>
      <c r="H588" s="89">
        <v>44.08</v>
      </c>
      <c r="I588" s="89">
        <v>107</v>
      </c>
      <c r="J588" s="117">
        <v>1.387</v>
      </c>
      <c r="K588" s="115">
        <v>13.24</v>
      </c>
      <c r="L588" s="88">
        <v>1945</v>
      </c>
      <c r="M588" s="88">
        <v>0.32</v>
      </c>
      <c r="N588" s="88">
        <v>0.5</v>
      </c>
      <c r="O588" s="88">
        <v>1.61</v>
      </c>
      <c r="P588" s="88">
        <v>2.1800000000000002</v>
      </c>
      <c r="Q588" s="88"/>
      <c r="R588" s="116">
        <v>0.42015564696516206</v>
      </c>
      <c r="S588" s="115">
        <v>3.1</v>
      </c>
      <c r="T588" s="88"/>
      <c r="U588" s="88"/>
      <c r="V588" s="88"/>
      <c r="W588" s="88"/>
      <c r="X588" s="88"/>
      <c r="Y588" s="115">
        <v>34.650000000000006</v>
      </c>
      <c r="Z588" s="88"/>
      <c r="AA588" s="116"/>
      <c r="AB588" s="116"/>
      <c r="AC588" s="88"/>
      <c r="AD588" s="88">
        <v>660</v>
      </c>
      <c r="AE588" s="88">
        <v>180</v>
      </c>
      <c r="AF588" s="88">
        <v>160</v>
      </c>
      <c r="AG588" s="66">
        <f t="shared" si="18"/>
        <v>135.26580086580086</v>
      </c>
      <c r="AH588" s="143">
        <f t="shared" si="19"/>
        <v>1000</v>
      </c>
    </row>
    <row r="589" spans="1:34" s="118" customFormat="1" ht="17.100000000000001" customHeight="1" x14ac:dyDescent="0.3">
      <c r="A589" s="84">
        <v>803145</v>
      </c>
      <c r="B589" s="115">
        <v>34.166666666666664</v>
      </c>
      <c r="C589" s="115">
        <v>8.3750000000000018</v>
      </c>
      <c r="D589" s="116">
        <v>9.09</v>
      </c>
      <c r="E589" s="1525">
        <v>0.62</v>
      </c>
      <c r="F589" s="89">
        <v>495.3</v>
      </c>
      <c r="G589" s="89"/>
      <c r="H589" s="89">
        <v>106.92</v>
      </c>
      <c r="I589" s="89">
        <v>95</v>
      </c>
      <c r="J589" s="117">
        <v>0.78200000000000003</v>
      </c>
      <c r="K589" s="115">
        <v>12.55</v>
      </c>
      <c r="L589" s="88">
        <v>1887</v>
      </c>
      <c r="M589" s="88">
        <v>0.28000000000000003</v>
      </c>
      <c r="N589" s="88">
        <v>0.46</v>
      </c>
      <c r="O589" s="88">
        <v>1.44</v>
      </c>
      <c r="P589" s="88">
        <v>2.83</v>
      </c>
      <c r="Q589" s="88"/>
      <c r="R589" s="116">
        <v>0.469782807606829</v>
      </c>
      <c r="S589" s="115">
        <v>3.4</v>
      </c>
      <c r="T589" s="88"/>
      <c r="U589" s="88"/>
      <c r="V589" s="88"/>
      <c r="W589" s="88"/>
      <c r="X589" s="88"/>
      <c r="Y589" s="115">
        <v>29.400000000000002</v>
      </c>
      <c r="Z589" s="88"/>
      <c r="AA589" s="116"/>
      <c r="AB589" s="116"/>
      <c r="AC589" s="88"/>
      <c r="AD589" s="88">
        <v>560</v>
      </c>
      <c r="AE589" s="88">
        <v>340</v>
      </c>
      <c r="AF589" s="88">
        <v>100</v>
      </c>
      <c r="AG589" s="66">
        <f t="shared" si="18"/>
        <v>151.11224489795916</v>
      </c>
      <c r="AH589" s="143">
        <f t="shared" si="19"/>
        <v>1000</v>
      </c>
    </row>
    <row r="590" spans="1:34" s="118" customFormat="1" x14ac:dyDescent="0.3">
      <c r="A590" s="84">
        <v>803146</v>
      </c>
      <c r="B590" s="115">
        <v>35</v>
      </c>
      <c r="C590" s="115">
        <v>8.0000000000000036</v>
      </c>
      <c r="D590" s="116">
        <v>9.14</v>
      </c>
      <c r="E590" s="1525">
        <v>0.47</v>
      </c>
      <c r="F590" s="89">
        <v>314.75</v>
      </c>
      <c r="G590" s="89"/>
      <c r="H590" s="89">
        <v>118.11</v>
      </c>
      <c r="I590" s="89">
        <v>86</v>
      </c>
      <c r="J590" s="117">
        <v>0.46800000000000003</v>
      </c>
      <c r="K590" s="115">
        <v>8.57</v>
      </c>
      <c r="L590" s="88">
        <v>1289</v>
      </c>
      <c r="M590" s="88">
        <v>0.19</v>
      </c>
      <c r="N590" s="88">
        <v>0.49</v>
      </c>
      <c r="O590" s="88">
        <v>2.6</v>
      </c>
      <c r="P590" s="88">
        <v>2.38</v>
      </c>
      <c r="Q590" s="88"/>
      <c r="R590" s="116">
        <v>0.39769166541670553</v>
      </c>
      <c r="S590" s="115">
        <v>2.7</v>
      </c>
      <c r="T590" s="88"/>
      <c r="U590" s="88"/>
      <c r="V590" s="88"/>
      <c r="W590" s="88"/>
      <c r="X590" s="88"/>
      <c r="Y590" s="115">
        <v>33.6</v>
      </c>
      <c r="Z590" s="88"/>
      <c r="AA590" s="116"/>
      <c r="AB590" s="116"/>
      <c r="AC590" s="88"/>
      <c r="AD590" s="88">
        <v>640</v>
      </c>
      <c r="AE590" s="88">
        <v>260</v>
      </c>
      <c r="AF590" s="88">
        <v>100</v>
      </c>
      <c r="AG590" s="66">
        <f t="shared" si="18"/>
        <v>90.291071428571428</v>
      </c>
      <c r="AH590" s="143">
        <f t="shared" si="19"/>
        <v>1000</v>
      </c>
    </row>
    <row r="591" spans="1:34" s="118" customFormat="1" x14ac:dyDescent="0.3">
      <c r="A591" s="84">
        <v>803147</v>
      </c>
      <c r="B591" s="115">
        <v>34.666666666666671</v>
      </c>
      <c r="C591" s="115">
        <v>7.2500000000000009</v>
      </c>
      <c r="D591" s="116">
        <v>9.01</v>
      </c>
      <c r="E591" s="1525">
        <v>0.55000000000000004</v>
      </c>
      <c r="F591" s="89">
        <v>432.1</v>
      </c>
      <c r="G591" s="89"/>
      <c r="H591" s="89">
        <v>43.86</v>
      </c>
      <c r="I591" s="89">
        <v>76</v>
      </c>
      <c r="J591" s="117">
        <v>0.50800000000000001</v>
      </c>
      <c r="K591" s="115">
        <v>8.5500000000000007</v>
      </c>
      <c r="L591" s="88">
        <v>1050</v>
      </c>
      <c r="M591" s="88">
        <v>0.16</v>
      </c>
      <c r="N591" s="88">
        <v>0.34</v>
      </c>
      <c r="O591" s="88">
        <v>1.81</v>
      </c>
      <c r="P591" s="88">
        <v>2.19</v>
      </c>
      <c r="Q591" s="88"/>
      <c r="R591" s="116">
        <v>0.48478704088393898</v>
      </c>
      <c r="S591" s="115">
        <v>3.5</v>
      </c>
      <c r="T591" s="88"/>
      <c r="U591" s="88"/>
      <c r="V591" s="88"/>
      <c r="W591" s="88"/>
      <c r="X591" s="88"/>
      <c r="Y591" s="115">
        <v>32.550000000000004</v>
      </c>
      <c r="Z591" s="88"/>
      <c r="AA591" s="116"/>
      <c r="AB591" s="116"/>
      <c r="AC591" s="88"/>
      <c r="AD591" s="88">
        <v>620</v>
      </c>
      <c r="AE591" s="88">
        <v>270</v>
      </c>
      <c r="AF591" s="88">
        <v>110</v>
      </c>
      <c r="AG591" s="66">
        <f t="shared" si="18"/>
        <v>92.986175115207374</v>
      </c>
      <c r="AH591" s="143">
        <f t="shared" si="19"/>
        <v>1000</v>
      </c>
    </row>
    <row r="592" spans="1:34" s="118" customFormat="1" x14ac:dyDescent="0.3">
      <c r="A592" s="84">
        <v>803148</v>
      </c>
      <c r="B592" s="115">
        <v>37.666666666666664</v>
      </c>
      <c r="C592" s="115">
        <v>9.6250000000000018</v>
      </c>
      <c r="D592" s="116">
        <v>8.99</v>
      </c>
      <c r="E592" s="1525">
        <v>0.45</v>
      </c>
      <c r="F592" s="89">
        <v>330.7</v>
      </c>
      <c r="G592" s="89"/>
      <c r="H592" s="89">
        <v>80.099999999999994</v>
      </c>
      <c r="I592" s="89">
        <v>115</v>
      </c>
      <c r="J592" s="117">
        <v>0.59299999999999997</v>
      </c>
      <c r="K592" s="115">
        <v>11.23</v>
      </c>
      <c r="L592" s="88">
        <v>1904</v>
      </c>
      <c r="M592" s="88">
        <v>0.44</v>
      </c>
      <c r="N592" s="88">
        <v>1.1100000000000001</v>
      </c>
      <c r="O592" s="88">
        <v>2.14</v>
      </c>
      <c r="P592" s="88">
        <v>2.96</v>
      </c>
      <c r="Q592" s="88"/>
      <c r="R592" s="116">
        <v>0.7986076191013054</v>
      </c>
      <c r="S592" s="115">
        <v>5.7</v>
      </c>
      <c r="T592" s="88"/>
      <c r="U592" s="88"/>
      <c r="V592" s="88"/>
      <c r="W592" s="88"/>
      <c r="X592" s="88"/>
      <c r="Y592" s="115">
        <v>33.6</v>
      </c>
      <c r="Z592" s="88"/>
      <c r="AA592" s="116"/>
      <c r="AB592" s="116"/>
      <c r="AC592" s="88"/>
      <c r="AD592" s="88">
        <v>640</v>
      </c>
      <c r="AE592" s="88">
        <v>240</v>
      </c>
      <c r="AF592" s="88">
        <v>120</v>
      </c>
      <c r="AG592" s="66">
        <f t="shared" si="18"/>
        <v>118.31607142857143</v>
      </c>
      <c r="AH592" s="143">
        <f t="shared" si="19"/>
        <v>1000</v>
      </c>
    </row>
    <row r="593" spans="1:34" s="118" customFormat="1" x14ac:dyDescent="0.3">
      <c r="A593" s="84">
        <v>803149</v>
      </c>
      <c r="B593" s="115">
        <v>38.166666666666664</v>
      </c>
      <c r="C593" s="115">
        <v>9.5000000000000018</v>
      </c>
      <c r="D593" s="116">
        <v>8.9700000000000006</v>
      </c>
      <c r="E593" s="1525">
        <v>0.68</v>
      </c>
      <c r="F593" s="89">
        <v>519.04999999999995</v>
      </c>
      <c r="G593" s="89"/>
      <c r="H593" s="89">
        <v>47.88</v>
      </c>
      <c r="I593" s="89">
        <v>78</v>
      </c>
      <c r="J593" s="117">
        <v>0.81</v>
      </c>
      <c r="K593" s="115">
        <v>10.42</v>
      </c>
      <c r="L593" s="88">
        <v>1585</v>
      </c>
      <c r="M593" s="88">
        <v>0.19</v>
      </c>
      <c r="N593" s="88">
        <v>0.43</v>
      </c>
      <c r="O593" s="88">
        <v>2.19</v>
      </c>
      <c r="P593" s="88">
        <v>3.03</v>
      </c>
      <c r="Q593" s="88"/>
      <c r="R593" s="116">
        <v>0.67596702420275567</v>
      </c>
      <c r="S593" s="115">
        <v>4.5</v>
      </c>
      <c r="T593" s="88"/>
      <c r="U593" s="88"/>
      <c r="V593" s="88"/>
      <c r="W593" s="88"/>
      <c r="X593" s="88"/>
      <c r="Y593" s="115">
        <v>34.650000000000006</v>
      </c>
      <c r="Z593" s="88"/>
      <c r="AA593" s="116"/>
      <c r="AB593" s="116"/>
      <c r="AC593" s="88"/>
      <c r="AD593" s="88">
        <v>660</v>
      </c>
      <c r="AE593" s="88">
        <v>260</v>
      </c>
      <c r="AF593" s="88">
        <v>80</v>
      </c>
      <c r="AG593" s="66">
        <f t="shared" si="18"/>
        <v>106.45541125541125</v>
      </c>
      <c r="AH593" s="143">
        <f t="shared" si="19"/>
        <v>1000</v>
      </c>
    </row>
    <row r="594" spans="1:34" s="118" customFormat="1" x14ac:dyDescent="0.3">
      <c r="A594" s="84">
        <v>803150</v>
      </c>
      <c r="B594" s="115">
        <v>24.666666666666668</v>
      </c>
      <c r="C594" s="115">
        <v>9.75</v>
      </c>
      <c r="D594" s="116">
        <v>8.8800000000000008</v>
      </c>
      <c r="E594" s="1525">
        <v>0.69</v>
      </c>
      <c r="F594" s="89">
        <v>489.35</v>
      </c>
      <c r="G594" s="89"/>
      <c r="H594" s="89">
        <v>332.14</v>
      </c>
      <c r="I594" s="89">
        <v>457</v>
      </c>
      <c r="J594" s="117">
        <v>0.71699999999999997</v>
      </c>
      <c r="K594" s="115">
        <v>8.36</v>
      </c>
      <c r="L594" s="88">
        <v>2404</v>
      </c>
      <c r="M594" s="88">
        <v>3.44</v>
      </c>
      <c r="N594" s="88">
        <v>1.17</v>
      </c>
      <c r="O594" s="88">
        <v>2.4300000000000002</v>
      </c>
      <c r="P594" s="88">
        <v>7.06</v>
      </c>
      <c r="Q594" s="88"/>
      <c r="R594" s="116">
        <v>1.7544919999999999</v>
      </c>
      <c r="S594" s="115">
        <v>15.2</v>
      </c>
      <c r="T594" s="88"/>
      <c r="U594" s="88"/>
      <c r="V594" s="88"/>
      <c r="W594" s="88"/>
      <c r="X594" s="88"/>
      <c r="Y594" s="115">
        <v>28.35</v>
      </c>
      <c r="Z594" s="88"/>
      <c r="AA594" s="116"/>
      <c r="AB594" s="116"/>
      <c r="AC594" s="88"/>
      <c r="AD594" s="88">
        <v>540</v>
      </c>
      <c r="AE594" s="88">
        <v>220</v>
      </c>
      <c r="AF594" s="88">
        <v>240</v>
      </c>
      <c r="AG594" s="66">
        <f t="shared" si="18"/>
        <v>104.38941798941796</v>
      </c>
      <c r="AH594" s="143">
        <f t="shared" si="19"/>
        <v>1000</v>
      </c>
    </row>
    <row r="595" spans="1:34" s="118" customFormat="1" x14ac:dyDescent="0.3">
      <c r="A595" s="84">
        <v>803151</v>
      </c>
      <c r="B595" s="115">
        <v>26.999999999999996</v>
      </c>
      <c r="C595" s="115">
        <v>9.3750000000000018</v>
      </c>
      <c r="D595" s="116">
        <v>8.7799999999999994</v>
      </c>
      <c r="E595" s="1525">
        <v>0.95</v>
      </c>
      <c r="F595" s="89">
        <v>681.94999999999993</v>
      </c>
      <c r="G595" s="89"/>
      <c r="H595" s="89">
        <v>470.85</v>
      </c>
      <c r="I595" s="89">
        <v>1193</v>
      </c>
      <c r="J595" s="117">
        <v>0.76500000000000001</v>
      </c>
      <c r="K595" s="115">
        <v>8.36</v>
      </c>
      <c r="L595" s="88">
        <v>3477</v>
      </c>
      <c r="M595" s="88">
        <v>4.4000000000000004</v>
      </c>
      <c r="N595" s="88">
        <v>1.86</v>
      </c>
      <c r="O595" s="88">
        <v>2.39</v>
      </c>
      <c r="P595" s="88">
        <v>12.5</v>
      </c>
      <c r="Q595" s="88"/>
      <c r="R595" s="116">
        <v>1.8956330000000001</v>
      </c>
      <c r="S595" s="115">
        <v>19.899999999999999</v>
      </c>
      <c r="T595" s="88"/>
      <c r="U595" s="88"/>
      <c r="V595" s="88"/>
      <c r="W595" s="88"/>
      <c r="X595" s="88"/>
      <c r="Y595" s="115">
        <v>26.25</v>
      </c>
      <c r="Z595" s="88"/>
      <c r="AA595" s="116"/>
      <c r="AB595" s="116"/>
      <c r="AC595" s="88"/>
      <c r="AD595" s="88">
        <v>500</v>
      </c>
      <c r="AE595" s="88">
        <v>200</v>
      </c>
      <c r="AF595" s="88">
        <v>300</v>
      </c>
      <c r="AG595" s="66">
        <f t="shared" si="18"/>
        <v>112.74057142857141</v>
      </c>
      <c r="AH595" s="143">
        <f t="shared" si="19"/>
        <v>1000</v>
      </c>
    </row>
    <row r="596" spans="1:34" s="118" customFormat="1" x14ac:dyDescent="0.3">
      <c r="A596" s="84">
        <v>803152</v>
      </c>
      <c r="B596" s="115">
        <v>24.333333333333332</v>
      </c>
      <c r="C596" s="115">
        <v>9.5000000000000018</v>
      </c>
      <c r="D596" s="116">
        <v>8.6999999999999993</v>
      </c>
      <c r="E596" s="1525">
        <v>0.97</v>
      </c>
      <c r="F596" s="89">
        <v>724.44999999999993</v>
      </c>
      <c r="G596" s="89"/>
      <c r="H596" s="89">
        <v>523.75</v>
      </c>
      <c r="I596" s="89">
        <v>788</v>
      </c>
      <c r="J596" s="117">
        <v>0.77100000000000002</v>
      </c>
      <c r="K596" s="115">
        <v>7.67</v>
      </c>
      <c r="L596" s="88">
        <v>2021</v>
      </c>
      <c r="M596" s="88">
        <v>4.4800000000000004</v>
      </c>
      <c r="N596" s="88">
        <v>1.1599999999999999</v>
      </c>
      <c r="O596" s="88">
        <v>2.41</v>
      </c>
      <c r="P596" s="88">
        <v>10.66</v>
      </c>
      <c r="Q596" s="88"/>
      <c r="R596" s="116">
        <v>1.7997680000000003</v>
      </c>
      <c r="S596" s="115">
        <v>16.600000000000001</v>
      </c>
      <c r="T596" s="88"/>
      <c r="U596" s="88"/>
      <c r="V596" s="88"/>
      <c r="W596" s="88"/>
      <c r="X596" s="88"/>
      <c r="Y596" s="115">
        <v>26.25</v>
      </c>
      <c r="Z596" s="88"/>
      <c r="AA596" s="116"/>
      <c r="AB596" s="116"/>
      <c r="AC596" s="88"/>
      <c r="AD596" s="88">
        <v>500</v>
      </c>
      <c r="AE596" s="88">
        <v>220</v>
      </c>
      <c r="AF596" s="88">
        <v>280</v>
      </c>
      <c r="AG596" s="66">
        <f t="shared" si="18"/>
        <v>103.43542857142859</v>
      </c>
      <c r="AH596" s="143">
        <f t="shared" si="19"/>
        <v>1000</v>
      </c>
    </row>
    <row r="597" spans="1:34" s="118" customFormat="1" x14ac:dyDescent="0.3">
      <c r="A597" s="84">
        <v>803153</v>
      </c>
      <c r="B597" s="115">
        <v>23.333333333333332</v>
      </c>
      <c r="C597" s="115">
        <v>8.0000000000000036</v>
      </c>
      <c r="D597" s="116">
        <v>8.65</v>
      </c>
      <c r="E597" s="1525">
        <v>1.1100000000000001</v>
      </c>
      <c r="F597" s="89">
        <v>860.05</v>
      </c>
      <c r="G597" s="89"/>
      <c r="H597" s="89">
        <v>617.4</v>
      </c>
      <c r="I597" s="89">
        <v>1173</v>
      </c>
      <c r="J597" s="117">
        <v>0.89400000000000002</v>
      </c>
      <c r="K597" s="115">
        <v>8.27</v>
      </c>
      <c r="L597" s="88">
        <v>2468</v>
      </c>
      <c r="M597" s="88">
        <v>8.94</v>
      </c>
      <c r="N597" s="88">
        <v>1.4</v>
      </c>
      <c r="O597" s="88">
        <v>3.04</v>
      </c>
      <c r="P597" s="88">
        <v>12.79</v>
      </c>
      <c r="Q597" s="88"/>
      <c r="R597" s="116">
        <v>1.6557080000000002</v>
      </c>
      <c r="S597" s="115">
        <v>12.4</v>
      </c>
      <c r="T597" s="88"/>
      <c r="U597" s="88"/>
      <c r="V597" s="88"/>
      <c r="W597" s="88"/>
      <c r="X597" s="88"/>
      <c r="Y597" s="115">
        <v>18.900000000000002</v>
      </c>
      <c r="Z597" s="88"/>
      <c r="AA597" s="116"/>
      <c r="AB597" s="116"/>
      <c r="AC597" s="88"/>
      <c r="AD597" s="88">
        <v>360</v>
      </c>
      <c r="AE597" s="88">
        <v>240</v>
      </c>
      <c r="AF597" s="88">
        <v>400</v>
      </c>
      <c r="AG597" s="66">
        <f t="shared" si="18"/>
        <v>154.89841269841267</v>
      </c>
      <c r="AH597" s="143">
        <f t="shared" si="19"/>
        <v>1000</v>
      </c>
    </row>
    <row r="598" spans="1:34" s="118" customFormat="1" x14ac:dyDescent="0.3">
      <c r="A598" s="84">
        <v>803154</v>
      </c>
      <c r="B598" s="115">
        <v>23.5</v>
      </c>
      <c r="C598" s="115">
        <v>9.5000000000000018</v>
      </c>
      <c r="D598" s="116">
        <v>8.7200000000000006</v>
      </c>
      <c r="E598" s="1525">
        <v>0.98</v>
      </c>
      <c r="F598" s="89">
        <v>738.94999999999993</v>
      </c>
      <c r="G598" s="89"/>
      <c r="H598" s="89">
        <v>341.22</v>
      </c>
      <c r="I598" s="89">
        <v>507</v>
      </c>
      <c r="J598" s="117">
        <v>0.89100000000000001</v>
      </c>
      <c r="K598" s="115">
        <v>12.34</v>
      </c>
      <c r="L598" s="88">
        <v>1974</v>
      </c>
      <c r="M598" s="88">
        <v>1.82</v>
      </c>
      <c r="N598" s="88">
        <v>0.88</v>
      </c>
      <c r="O598" s="88">
        <v>1.83</v>
      </c>
      <c r="P598" s="88">
        <v>7.13</v>
      </c>
      <c r="Q598" s="88"/>
      <c r="R598" s="116">
        <v>1.0346858097333889</v>
      </c>
      <c r="S598" s="115">
        <v>7.7</v>
      </c>
      <c r="T598" s="88"/>
      <c r="U598" s="88"/>
      <c r="V598" s="88"/>
      <c r="W598" s="88"/>
      <c r="X598" s="88"/>
      <c r="Y598" s="115">
        <v>26.25</v>
      </c>
      <c r="Z598" s="88"/>
      <c r="AA598" s="116"/>
      <c r="AB598" s="116"/>
      <c r="AC598" s="88"/>
      <c r="AD598" s="88">
        <v>500</v>
      </c>
      <c r="AE598" s="88">
        <v>300</v>
      </c>
      <c r="AF598" s="88">
        <v>200</v>
      </c>
      <c r="AG598" s="66">
        <f t="shared" si="18"/>
        <v>166.41371428571426</v>
      </c>
      <c r="AH598" s="143">
        <f t="shared" si="19"/>
        <v>1000</v>
      </c>
    </row>
    <row r="599" spans="1:34" s="118" customFormat="1" x14ac:dyDescent="0.3">
      <c r="A599" s="84">
        <v>803155</v>
      </c>
      <c r="B599" s="115">
        <v>26.666666666666668</v>
      </c>
      <c r="C599" s="115">
        <v>11.125000000000004</v>
      </c>
      <c r="D599" s="116">
        <v>9.01</v>
      </c>
      <c r="E599" s="1525">
        <v>1.02</v>
      </c>
      <c r="F599" s="89">
        <v>829</v>
      </c>
      <c r="G599" s="89"/>
      <c r="H599" s="89">
        <v>513.80000000000007</v>
      </c>
      <c r="I599" s="89">
        <v>782</v>
      </c>
      <c r="J599" s="117">
        <v>1.01</v>
      </c>
      <c r="K599" s="115">
        <v>11.65</v>
      </c>
      <c r="L599" s="88">
        <v>2715</v>
      </c>
      <c r="M599" s="88">
        <v>2.27</v>
      </c>
      <c r="N599" s="88">
        <v>1.04</v>
      </c>
      <c r="O599" s="88">
        <v>1.75</v>
      </c>
      <c r="P599" s="88">
        <v>9.18</v>
      </c>
      <c r="Q599" s="88"/>
      <c r="R599" s="116">
        <v>1.3764788720872572</v>
      </c>
      <c r="S599" s="115">
        <v>9.5</v>
      </c>
      <c r="T599" s="88"/>
      <c r="U599" s="88"/>
      <c r="V599" s="88"/>
      <c r="W599" s="88"/>
      <c r="X599" s="88"/>
      <c r="Y599" s="115">
        <v>28.35</v>
      </c>
      <c r="Z599" s="88"/>
      <c r="AA599" s="116"/>
      <c r="AB599" s="116"/>
      <c r="AC599" s="88"/>
      <c r="AD599" s="88">
        <v>540</v>
      </c>
      <c r="AE599" s="88">
        <v>280</v>
      </c>
      <c r="AF599" s="88">
        <v>180</v>
      </c>
      <c r="AG599" s="66">
        <f t="shared" si="18"/>
        <v>145.47089947089947</v>
      </c>
      <c r="AH599" s="143">
        <f t="shared" si="19"/>
        <v>1000</v>
      </c>
    </row>
    <row r="600" spans="1:34" s="118" customFormat="1" x14ac:dyDescent="0.3">
      <c r="A600" s="84">
        <v>803156</v>
      </c>
      <c r="B600" s="115">
        <v>18.666666666666668</v>
      </c>
      <c r="C600" s="115">
        <v>9.5000000000000018</v>
      </c>
      <c r="D600" s="116">
        <v>9.0399999999999991</v>
      </c>
      <c r="E600" s="1525">
        <v>0.56999999999999995</v>
      </c>
      <c r="F600" s="89">
        <v>412.8</v>
      </c>
      <c r="G600" s="89"/>
      <c r="H600" s="89">
        <v>203.57</v>
      </c>
      <c r="I600" s="89">
        <v>421</v>
      </c>
      <c r="J600" s="117">
        <v>0.45</v>
      </c>
      <c r="K600" s="115">
        <v>8.32</v>
      </c>
      <c r="L600" s="88">
        <v>1875</v>
      </c>
      <c r="M600" s="88">
        <v>1.28</v>
      </c>
      <c r="N600" s="88">
        <v>0.8</v>
      </c>
      <c r="O600" s="88">
        <v>2.91</v>
      </c>
      <c r="P600" s="88">
        <v>6.29</v>
      </c>
      <c r="Q600" s="88"/>
      <c r="R600" s="116">
        <v>1.1012594886713765</v>
      </c>
      <c r="S600" s="115">
        <v>7.7</v>
      </c>
      <c r="T600" s="88"/>
      <c r="U600" s="88"/>
      <c r="V600" s="88"/>
      <c r="W600" s="88"/>
      <c r="X600" s="88"/>
      <c r="Y600" s="115">
        <v>25.200000000000003</v>
      </c>
      <c r="Z600" s="88"/>
      <c r="AA600" s="116"/>
      <c r="AB600" s="116"/>
      <c r="AC600" s="88"/>
      <c r="AD600" s="88">
        <v>480</v>
      </c>
      <c r="AE600" s="88">
        <v>300</v>
      </c>
      <c r="AF600" s="88">
        <v>220</v>
      </c>
      <c r="AG600" s="66">
        <f t="shared" si="18"/>
        <v>116.87619047619047</v>
      </c>
      <c r="AH600" s="143">
        <f t="shared" si="19"/>
        <v>1000</v>
      </c>
    </row>
    <row r="601" spans="1:34" s="118" customFormat="1" x14ac:dyDescent="0.3">
      <c r="A601" s="84">
        <v>803157</v>
      </c>
      <c r="B601" s="115">
        <v>23.833333333333336</v>
      </c>
      <c r="C601" s="115">
        <v>7.7500000000000018</v>
      </c>
      <c r="D601" s="116">
        <v>8.6</v>
      </c>
      <c r="E601" s="1525">
        <v>0.79</v>
      </c>
      <c r="F601" s="89">
        <v>635.1</v>
      </c>
      <c r="G601" s="89"/>
      <c r="H601" s="89">
        <v>272.61</v>
      </c>
      <c r="I601" s="89">
        <v>506</v>
      </c>
      <c r="J601" s="117">
        <v>0.85299999999999998</v>
      </c>
      <c r="K601" s="115">
        <v>8.16</v>
      </c>
      <c r="L601" s="88">
        <v>2236</v>
      </c>
      <c r="M601" s="88">
        <v>2.1</v>
      </c>
      <c r="N601" s="88">
        <v>0.84</v>
      </c>
      <c r="O601" s="88">
        <v>1.88</v>
      </c>
      <c r="P601" s="88">
        <v>7.62</v>
      </c>
      <c r="Q601" s="88"/>
      <c r="R601" s="116">
        <v>1.3458770312118054</v>
      </c>
      <c r="S601" s="115">
        <v>10</v>
      </c>
      <c r="T601" s="88"/>
      <c r="U601" s="88"/>
      <c r="V601" s="88"/>
      <c r="W601" s="88"/>
      <c r="X601" s="88"/>
      <c r="Y601" s="115">
        <v>27.300000000000004</v>
      </c>
      <c r="Z601" s="88"/>
      <c r="AA601" s="116"/>
      <c r="AB601" s="116"/>
      <c r="AC601" s="88"/>
      <c r="AD601" s="88">
        <v>520</v>
      </c>
      <c r="AE601" s="88">
        <v>300</v>
      </c>
      <c r="AF601" s="88">
        <v>180</v>
      </c>
      <c r="AG601" s="66">
        <f t="shared" si="18"/>
        <v>105.810989010989</v>
      </c>
      <c r="AH601" s="143">
        <f t="shared" si="19"/>
        <v>1000</v>
      </c>
    </row>
    <row r="602" spans="1:34" s="118" customFormat="1" x14ac:dyDescent="0.3">
      <c r="A602" s="84">
        <v>803158</v>
      </c>
      <c r="B602" s="115">
        <v>21.999999999999996</v>
      </c>
      <c r="C602" s="115">
        <v>8.7500000000000018</v>
      </c>
      <c r="D602" s="116">
        <v>8.6300000000000008</v>
      </c>
      <c r="E602" s="1525">
        <v>1.1000000000000001</v>
      </c>
      <c r="F602" s="89">
        <v>921.65000000000009</v>
      </c>
      <c r="G602" s="89"/>
      <c r="H602" s="89">
        <v>491.34999999999997</v>
      </c>
      <c r="I602" s="89">
        <v>879</v>
      </c>
      <c r="J602" s="117">
        <v>1.119</v>
      </c>
      <c r="K602" s="115">
        <v>8.1199999999999992</v>
      </c>
      <c r="L602" s="88">
        <v>3375</v>
      </c>
      <c r="M602" s="88">
        <v>11.33</v>
      </c>
      <c r="N602" s="88">
        <v>1.73</v>
      </c>
      <c r="O602" s="88">
        <v>3.69</v>
      </c>
      <c r="P602" s="88">
        <v>18.89</v>
      </c>
      <c r="Q602" s="88"/>
      <c r="R602" s="116">
        <v>1.851057</v>
      </c>
      <c r="S602" s="115">
        <v>18.3</v>
      </c>
      <c r="T602" s="88"/>
      <c r="U602" s="88"/>
      <c r="V602" s="88"/>
      <c r="W602" s="88"/>
      <c r="X602" s="88"/>
      <c r="Y602" s="115">
        <v>21.000000000000004</v>
      </c>
      <c r="Z602" s="88"/>
      <c r="AA602" s="116"/>
      <c r="AB602" s="116"/>
      <c r="AC602" s="88"/>
      <c r="AD602" s="88">
        <v>400</v>
      </c>
      <c r="AE602" s="88">
        <v>300</v>
      </c>
      <c r="AF602" s="88">
        <v>300</v>
      </c>
      <c r="AG602" s="66">
        <f t="shared" si="18"/>
        <v>136.87999999999997</v>
      </c>
      <c r="AH602" s="143">
        <f t="shared" si="19"/>
        <v>1000</v>
      </c>
    </row>
    <row r="603" spans="1:34" s="118" customFormat="1" x14ac:dyDescent="0.3">
      <c r="A603" s="84">
        <v>803159</v>
      </c>
      <c r="B603" s="115">
        <v>20.333333333333332</v>
      </c>
      <c r="C603" s="115">
        <v>9.6250000000000018</v>
      </c>
      <c r="D603" s="116">
        <v>8.7200000000000006</v>
      </c>
      <c r="E603" s="1525">
        <v>1.38</v>
      </c>
      <c r="F603" s="89">
        <v>1038.9000000000001</v>
      </c>
      <c r="G603" s="89"/>
      <c r="H603" s="89">
        <v>494.90000000000003</v>
      </c>
      <c r="I603" s="89">
        <v>1397</v>
      </c>
      <c r="J603" s="117">
        <v>1.3660000000000001</v>
      </c>
      <c r="K603" s="115">
        <v>7.44</v>
      </c>
      <c r="L603" s="88">
        <v>2268</v>
      </c>
      <c r="M603" s="88">
        <v>10.99</v>
      </c>
      <c r="N603" s="88">
        <v>1.87</v>
      </c>
      <c r="O603" s="88">
        <v>11.74</v>
      </c>
      <c r="P603" s="88">
        <v>16.3</v>
      </c>
      <c r="Q603" s="88"/>
      <c r="R603" s="116">
        <v>1.7064720000000002</v>
      </c>
      <c r="S603" s="115">
        <v>13.8</v>
      </c>
      <c r="T603" s="88"/>
      <c r="U603" s="88"/>
      <c r="V603" s="88"/>
      <c r="W603" s="88"/>
      <c r="X603" s="88"/>
      <c r="Y603" s="115">
        <v>22.05</v>
      </c>
      <c r="Z603" s="88"/>
      <c r="AA603" s="116"/>
      <c r="AB603" s="116"/>
      <c r="AC603" s="88"/>
      <c r="AD603" s="88">
        <v>420</v>
      </c>
      <c r="AE603" s="88">
        <v>240</v>
      </c>
      <c r="AF603" s="88">
        <v>340</v>
      </c>
      <c r="AG603" s="66">
        <f t="shared" si="18"/>
        <v>119.44489795918368</v>
      </c>
      <c r="AH603" s="143">
        <f t="shared" si="19"/>
        <v>1000</v>
      </c>
    </row>
    <row r="604" spans="1:34" s="118" customFormat="1" x14ac:dyDescent="0.3">
      <c r="A604" s="84">
        <v>803160</v>
      </c>
      <c r="B604" s="115">
        <v>22.333333333333332</v>
      </c>
      <c r="C604" s="115">
        <v>11</v>
      </c>
      <c r="D604" s="116">
        <v>8.81</v>
      </c>
      <c r="E604" s="1525">
        <v>0.89</v>
      </c>
      <c r="F604" s="89">
        <v>683.7</v>
      </c>
      <c r="G604" s="89"/>
      <c r="H604" s="89">
        <v>247.26</v>
      </c>
      <c r="I604" s="89">
        <v>503</v>
      </c>
      <c r="J604" s="117">
        <v>0.67300000000000004</v>
      </c>
      <c r="K604" s="115">
        <v>8.56</v>
      </c>
      <c r="L604" s="88">
        <v>1853</v>
      </c>
      <c r="M604" s="88">
        <v>1.83</v>
      </c>
      <c r="N604" s="88">
        <v>0.79</v>
      </c>
      <c r="O604" s="88">
        <v>1.48</v>
      </c>
      <c r="P604" s="88">
        <v>7.35</v>
      </c>
      <c r="Q604" s="88"/>
      <c r="R604" s="116">
        <v>1.0776306805103189</v>
      </c>
      <c r="S604" s="115">
        <v>7.3</v>
      </c>
      <c r="T604" s="88"/>
      <c r="U604" s="88"/>
      <c r="V604" s="88"/>
      <c r="W604" s="88"/>
      <c r="X604" s="88"/>
      <c r="Y604" s="115">
        <v>26.25</v>
      </c>
      <c r="Z604" s="88"/>
      <c r="AA604" s="116"/>
      <c r="AB604" s="116"/>
      <c r="AC604" s="88"/>
      <c r="AD604" s="88">
        <v>500</v>
      </c>
      <c r="AE604" s="88">
        <v>280</v>
      </c>
      <c r="AF604" s="88">
        <v>220</v>
      </c>
      <c r="AG604" s="66">
        <f t="shared" si="18"/>
        <v>115.43771428571429</v>
      </c>
      <c r="AH604" s="143">
        <f t="shared" si="19"/>
        <v>1000</v>
      </c>
    </row>
    <row r="605" spans="1:34" s="118" customFormat="1" x14ac:dyDescent="0.3">
      <c r="A605" s="84">
        <v>803161</v>
      </c>
      <c r="B605" s="115">
        <v>24.5</v>
      </c>
      <c r="C605" s="115">
        <v>8.2500000000000018</v>
      </c>
      <c r="D605" s="116">
        <v>8.82</v>
      </c>
      <c r="E605" s="1525">
        <v>0.97</v>
      </c>
      <c r="F605" s="89">
        <v>775.84999999999991</v>
      </c>
      <c r="G605" s="89"/>
      <c r="H605" s="89">
        <v>179.14</v>
      </c>
      <c r="I605" s="89">
        <v>643</v>
      </c>
      <c r="J605" s="117">
        <v>0.79100000000000004</v>
      </c>
      <c r="K605" s="115">
        <v>8.49</v>
      </c>
      <c r="L605" s="88">
        <v>2053</v>
      </c>
      <c r="M605" s="88">
        <v>1.29</v>
      </c>
      <c r="N605" s="88">
        <v>0.83</v>
      </c>
      <c r="O605" s="88">
        <v>3.12</v>
      </c>
      <c r="P605" s="88">
        <v>6.2</v>
      </c>
      <c r="Q605" s="88"/>
      <c r="R605" s="116">
        <v>1.0174588710646657</v>
      </c>
      <c r="S605" s="115">
        <v>6.8</v>
      </c>
      <c r="T605" s="88"/>
      <c r="U605" s="88"/>
      <c r="V605" s="88"/>
      <c r="W605" s="88"/>
      <c r="X605" s="88"/>
      <c r="Y605" s="115">
        <v>34.650000000000006</v>
      </c>
      <c r="Z605" s="88"/>
      <c r="AA605" s="116"/>
      <c r="AB605" s="116"/>
      <c r="AC605" s="88"/>
      <c r="AD605" s="88">
        <v>660</v>
      </c>
      <c r="AE605" s="88">
        <v>200</v>
      </c>
      <c r="AF605" s="88">
        <v>140</v>
      </c>
      <c r="AG605" s="66">
        <f t="shared" si="18"/>
        <v>86.737662337662329</v>
      </c>
      <c r="AH605" s="143">
        <f t="shared" si="19"/>
        <v>1000</v>
      </c>
    </row>
    <row r="606" spans="1:34" s="118" customFormat="1" x14ac:dyDescent="0.3">
      <c r="A606" s="84">
        <v>803162</v>
      </c>
      <c r="B606" s="115">
        <v>24</v>
      </c>
      <c r="C606" s="115">
        <v>7.5000000000000018</v>
      </c>
      <c r="D606" s="116">
        <v>8.8000000000000007</v>
      </c>
      <c r="E606" s="1525">
        <v>0.85</v>
      </c>
      <c r="F606" s="89">
        <v>700.1</v>
      </c>
      <c r="G606" s="89"/>
      <c r="H606" s="89">
        <v>165.69</v>
      </c>
      <c r="I606" s="89">
        <v>440</v>
      </c>
      <c r="J606" s="117">
        <v>0.82099999999999995</v>
      </c>
      <c r="K606" s="115">
        <v>8.27</v>
      </c>
      <c r="L606" s="88">
        <v>2195</v>
      </c>
      <c r="M606" s="88">
        <v>1.65</v>
      </c>
      <c r="N606" s="88">
        <v>1.1200000000000001</v>
      </c>
      <c r="O606" s="88">
        <v>8.2799999999999994</v>
      </c>
      <c r="P606" s="88">
        <v>9.1300000000000008</v>
      </c>
      <c r="Q606" s="88"/>
      <c r="R606" s="116">
        <v>1.3579225923823488</v>
      </c>
      <c r="S606" s="115">
        <v>9.5</v>
      </c>
      <c r="T606" s="88"/>
      <c r="U606" s="88"/>
      <c r="V606" s="88"/>
      <c r="W606" s="88"/>
      <c r="X606" s="88"/>
      <c r="Y606" s="115">
        <v>33.6</v>
      </c>
      <c r="Z606" s="88"/>
      <c r="AA606" s="116"/>
      <c r="AB606" s="116"/>
      <c r="AC606" s="88"/>
      <c r="AD606" s="88">
        <v>640</v>
      </c>
      <c r="AE606" s="88">
        <v>200</v>
      </c>
      <c r="AF606" s="88">
        <v>160</v>
      </c>
      <c r="AG606" s="66">
        <f t="shared" si="18"/>
        <v>87.130357142857136</v>
      </c>
      <c r="AH606" s="143">
        <f t="shared" si="19"/>
        <v>1000</v>
      </c>
    </row>
    <row r="607" spans="1:34" s="118" customFormat="1" x14ac:dyDescent="0.3">
      <c r="A607" s="84">
        <v>803163</v>
      </c>
      <c r="B607" s="115">
        <v>24.166666666666668</v>
      </c>
      <c r="C607" s="115">
        <v>8.0000000000000036</v>
      </c>
      <c r="D607" s="116">
        <v>8.75</v>
      </c>
      <c r="E607" s="1525">
        <v>0.78</v>
      </c>
      <c r="F607" s="89">
        <v>645.1</v>
      </c>
      <c r="G607" s="89"/>
      <c r="H607" s="89">
        <v>406.44</v>
      </c>
      <c r="I607" s="89">
        <v>541</v>
      </c>
      <c r="J607" s="117">
        <v>0.72299999999999998</v>
      </c>
      <c r="K607" s="115">
        <v>7.84</v>
      </c>
      <c r="L607" s="88">
        <v>2328</v>
      </c>
      <c r="M607" s="88">
        <v>4.21</v>
      </c>
      <c r="N607" s="88">
        <v>1.54</v>
      </c>
      <c r="O607" s="88">
        <v>4.6900000000000004</v>
      </c>
      <c r="P607" s="88">
        <v>22.3</v>
      </c>
      <c r="Q607" s="88"/>
      <c r="R607" s="116">
        <v>1.6631279999999999</v>
      </c>
      <c r="S607" s="115">
        <v>12.6</v>
      </c>
      <c r="T607" s="88"/>
      <c r="U607" s="88"/>
      <c r="V607" s="88"/>
      <c r="W607" s="88"/>
      <c r="X607" s="88"/>
      <c r="Y607" s="115">
        <v>33.6</v>
      </c>
      <c r="Z607" s="88"/>
      <c r="AA607" s="116"/>
      <c r="AB607" s="116"/>
      <c r="AC607" s="88"/>
      <c r="AD607" s="88">
        <v>640</v>
      </c>
      <c r="AE607" s="88">
        <v>200</v>
      </c>
      <c r="AF607" s="88">
        <v>160</v>
      </c>
      <c r="AG607" s="66">
        <f t="shared" si="18"/>
        <v>82.59999999999998</v>
      </c>
      <c r="AH607" s="143">
        <f t="shared" si="19"/>
        <v>1000</v>
      </c>
    </row>
    <row r="608" spans="1:34" s="118" customFormat="1" x14ac:dyDescent="0.3">
      <c r="A608" s="84">
        <v>803164</v>
      </c>
      <c r="B608" s="115">
        <v>21.666666666666664</v>
      </c>
      <c r="C608" s="115">
        <v>8.5</v>
      </c>
      <c r="D608" s="116">
        <v>8.56</v>
      </c>
      <c r="E608" s="1525">
        <v>1.44</v>
      </c>
      <c r="F608" s="89">
        <v>1034.8999999999999</v>
      </c>
      <c r="G608" s="89"/>
      <c r="H608" s="89">
        <v>676.80000000000007</v>
      </c>
      <c r="I608" s="89">
        <v>1236</v>
      </c>
      <c r="J608" s="117">
        <v>1.2190000000000001</v>
      </c>
      <c r="K608" s="115">
        <v>8.51</v>
      </c>
      <c r="L608" s="88">
        <v>2945</v>
      </c>
      <c r="M608" s="88">
        <v>14.68</v>
      </c>
      <c r="N608" s="88">
        <v>2.41</v>
      </c>
      <c r="O608" s="88">
        <v>12.09</v>
      </c>
      <c r="P608" s="88">
        <v>17.87</v>
      </c>
      <c r="Q608" s="88"/>
      <c r="R608" s="116">
        <v>1.9463130000000002</v>
      </c>
      <c r="S608" s="115">
        <v>21.9</v>
      </c>
      <c r="T608" s="88"/>
      <c r="U608" s="88"/>
      <c r="V608" s="88"/>
      <c r="W608" s="88"/>
      <c r="X608" s="88"/>
      <c r="Y608" s="115">
        <v>23.1</v>
      </c>
      <c r="Z608" s="88"/>
      <c r="AA608" s="116"/>
      <c r="AB608" s="116"/>
      <c r="AC608" s="88"/>
      <c r="AD608" s="88">
        <v>440</v>
      </c>
      <c r="AE608" s="88">
        <v>260</v>
      </c>
      <c r="AF608" s="88">
        <v>300</v>
      </c>
      <c r="AG608" s="66">
        <f t="shared" si="18"/>
        <v>130.412987012987</v>
      </c>
      <c r="AH608" s="143">
        <f t="shared" si="19"/>
        <v>1000</v>
      </c>
    </row>
    <row r="609" spans="1:34" s="118" customFormat="1" x14ac:dyDescent="0.3">
      <c r="A609" s="84">
        <v>803165</v>
      </c>
      <c r="B609" s="115">
        <v>24.166666666666668</v>
      </c>
      <c r="C609" s="115">
        <v>8.2500000000000018</v>
      </c>
      <c r="D609" s="116">
        <v>8.67</v>
      </c>
      <c r="E609" s="1525">
        <v>1.5</v>
      </c>
      <c r="F609" s="89">
        <v>1269.75</v>
      </c>
      <c r="G609" s="89"/>
      <c r="H609" s="89">
        <v>651.85</v>
      </c>
      <c r="I609" s="89">
        <v>1163</v>
      </c>
      <c r="J609" s="117">
        <v>1.403</v>
      </c>
      <c r="K609" s="115">
        <v>8.26</v>
      </c>
      <c r="L609" s="88">
        <v>3534</v>
      </c>
      <c r="M609" s="88">
        <v>11.68</v>
      </c>
      <c r="N609" s="88">
        <v>1.71</v>
      </c>
      <c r="O609" s="88">
        <v>7.3</v>
      </c>
      <c r="P609" s="88">
        <v>18.59</v>
      </c>
      <c r="Q609" s="88"/>
      <c r="R609" s="116">
        <v>1.941497</v>
      </c>
      <c r="S609" s="115">
        <v>21.7</v>
      </c>
      <c r="T609" s="88"/>
      <c r="U609" s="88"/>
      <c r="V609" s="88"/>
      <c r="W609" s="88"/>
      <c r="X609" s="88"/>
      <c r="Y609" s="115">
        <v>23.1</v>
      </c>
      <c r="Z609" s="88"/>
      <c r="AA609" s="116"/>
      <c r="AB609" s="116"/>
      <c r="AC609" s="88"/>
      <c r="AD609" s="88">
        <v>440</v>
      </c>
      <c r="AE609" s="88">
        <v>220</v>
      </c>
      <c r="AF609" s="88">
        <v>340</v>
      </c>
      <c r="AG609" s="66">
        <f t="shared" si="18"/>
        <v>126.58181818181818</v>
      </c>
      <c r="AH609" s="143">
        <f t="shared" si="19"/>
        <v>1000</v>
      </c>
    </row>
    <row r="610" spans="1:34" s="118" customFormat="1" x14ac:dyDescent="0.3">
      <c r="A610" s="84">
        <v>803166</v>
      </c>
      <c r="B610" s="115">
        <v>22.499999999999996</v>
      </c>
      <c r="C610" s="115">
        <v>8.5</v>
      </c>
      <c r="D610" s="116">
        <v>8.77</v>
      </c>
      <c r="E610" s="1525">
        <v>0.92</v>
      </c>
      <c r="F610" s="89">
        <v>742.2</v>
      </c>
      <c r="G610" s="89"/>
      <c r="H610" s="89">
        <v>282.18</v>
      </c>
      <c r="I610" s="89">
        <v>550</v>
      </c>
      <c r="J610" s="117">
        <v>0.96099999999999997</v>
      </c>
      <c r="K610" s="115">
        <v>8.51</v>
      </c>
      <c r="L610" s="88">
        <v>2878</v>
      </c>
      <c r="M610" s="88">
        <v>4.2</v>
      </c>
      <c r="N610" s="88">
        <v>1.48</v>
      </c>
      <c r="O610" s="88">
        <v>8.23</v>
      </c>
      <c r="P610" s="88">
        <v>17.66</v>
      </c>
      <c r="Q610" s="88"/>
      <c r="R610" s="116">
        <v>1.716993</v>
      </c>
      <c r="S610" s="115">
        <v>14.1</v>
      </c>
      <c r="T610" s="88"/>
      <c r="U610" s="88"/>
      <c r="V610" s="88"/>
      <c r="W610" s="88"/>
      <c r="X610" s="88"/>
      <c r="Y610" s="115">
        <v>24.150000000000002</v>
      </c>
      <c r="Z610" s="88"/>
      <c r="AA610" s="116"/>
      <c r="AB610" s="116"/>
      <c r="AC610" s="88"/>
      <c r="AD610" s="88">
        <v>460</v>
      </c>
      <c r="AE610" s="88">
        <v>200</v>
      </c>
      <c r="AF610" s="88">
        <v>340</v>
      </c>
      <c r="AG610" s="66">
        <f t="shared" si="18"/>
        <v>124.74285714285713</v>
      </c>
      <c r="AH610" s="143">
        <f t="shared" si="19"/>
        <v>1000</v>
      </c>
    </row>
    <row r="611" spans="1:34" s="118" customFormat="1" x14ac:dyDescent="0.3">
      <c r="A611" s="84">
        <v>803167</v>
      </c>
      <c r="B611" s="115">
        <v>22.166666666666668</v>
      </c>
      <c r="C611" s="115">
        <v>8.7500000000000018</v>
      </c>
      <c r="D611" s="116">
        <v>8.61</v>
      </c>
      <c r="E611" s="1525">
        <v>1.0900000000000001</v>
      </c>
      <c r="F611" s="89">
        <v>845.05</v>
      </c>
      <c r="G611" s="89"/>
      <c r="H611" s="89">
        <v>542.1</v>
      </c>
      <c r="I611" s="89">
        <v>910</v>
      </c>
      <c r="J611" s="117">
        <v>0.72899999999999998</v>
      </c>
      <c r="K611" s="115">
        <v>7.99</v>
      </c>
      <c r="L611" s="88">
        <v>2130</v>
      </c>
      <c r="M611" s="88">
        <v>4.95</v>
      </c>
      <c r="N611" s="88">
        <v>1.25</v>
      </c>
      <c r="O611" s="88">
        <v>2.4</v>
      </c>
      <c r="P611" s="88">
        <v>12.21</v>
      </c>
      <c r="Q611" s="88"/>
      <c r="R611" s="116">
        <v>1.851057</v>
      </c>
      <c r="S611" s="115">
        <v>18.3</v>
      </c>
      <c r="T611" s="88"/>
      <c r="U611" s="88"/>
      <c r="V611" s="88"/>
      <c r="W611" s="88"/>
      <c r="X611" s="88"/>
      <c r="Y611" s="115">
        <v>24.150000000000002</v>
      </c>
      <c r="Z611" s="88"/>
      <c r="AA611" s="116"/>
      <c r="AB611" s="116"/>
      <c r="AC611" s="88"/>
      <c r="AD611" s="88">
        <v>460</v>
      </c>
      <c r="AE611" s="88">
        <v>200</v>
      </c>
      <c r="AF611" s="88">
        <v>340</v>
      </c>
      <c r="AG611" s="66">
        <f t="shared" si="18"/>
        <v>117.12049689440992</v>
      </c>
      <c r="AH611" s="143">
        <f t="shared" si="19"/>
        <v>1000</v>
      </c>
    </row>
    <row r="612" spans="1:34" s="118" customFormat="1" x14ac:dyDescent="0.3">
      <c r="A612" s="84">
        <v>803168</v>
      </c>
      <c r="B612" s="115">
        <v>22.166666666666668</v>
      </c>
      <c r="C612" s="115">
        <v>9.0000000000000018</v>
      </c>
      <c r="D612" s="116">
        <v>8.6199999999999992</v>
      </c>
      <c r="E612" s="1525">
        <v>1.1299999999999999</v>
      </c>
      <c r="F612" s="89">
        <v>929.05</v>
      </c>
      <c r="G612" s="89"/>
      <c r="H612" s="89">
        <v>616.59999999999991</v>
      </c>
      <c r="I612" s="89">
        <v>904</v>
      </c>
      <c r="J612" s="117">
        <v>0.77600000000000002</v>
      </c>
      <c r="K612" s="115">
        <v>7.47</v>
      </c>
      <c r="L612" s="88">
        <v>2005.9999999999998</v>
      </c>
      <c r="M612" s="88">
        <v>15.26</v>
      </c>
      <c r="N612" s="88">
        <v>2.09</v>
      </c>
      <c r="O612" s="88">
        <v>12.4</v>
      </c>
      <c r="P612" s="88">
        <v>23.49</v>
      </c>
      <c r="Q612" s="88"/>
      <c r="R612" s="116">
        <v>1.8539479999999999</v>
      </c>
      <c r="S612" s="115">
        <v>18.399999999999999</v>
      </c>
      <c r="T612" s="88"/>
      <c r="U612" s="88"/>
      <c r="V612" s="88"/>
      <c r="W612" s="88"/>
      <c r="X612" s="88"/>
      <c r="Y612" s="115">
        <v>23.1</v>
      </c>
      <c r="Z612" s="88"/>
      <c r="AA612" s="116"/>
      <c r="AB612" s="116"/>
      <c r="AC612" s="88"/>
      <c r="AD612" s="88">
        <v>440</v>
      </c>
      <c r="AE612" s="88">
        <v>220</v>
      </c>
      <c r="AF612" s="88">
        <v>340</v>
      </c>
      <c r="AG612" s="66">
        <f t="shared" si="18"/>
        <v>114.47532467532467</v>
      </c>
      <c r="AH612" s="143">
        <f t="shared" si="19"/>
        <v>1000</v>
      </c>
    </row>
    <row r="613" spans="1:34" s="118" customFormat="1" x14ac:dyDescent="0.3">
      <c r="A613" s="84">
        <v>803169</v>
      </c>
      <c r="B613" s="115">
        <v>20.333333333333332</v>
      </c>
      <c r="C613" s="115">
        <v>9.75</v>
      </c>
      <c r="D613" s="116">
        <v>8.64</v>
      </c>
      <c r="E613" s="1525">
        <v>1.33</v>
      </c>
      <c r="F613" s="89">
        <v>1202.1500000000001</v>
      </c>
      <c r="G613" s="89"/>
      <c r="H613" s="89">
        <v>411.22</v>
      </c>
      <c r="I613" s="89">
        <v>761</v>
      </c>
      <c r="J613" s="117">
        <v>0.83599999999999997</v>
      </c>
      <c r="K613" s="115">
        <v>8.0399999999999991</v>
      </c>
      <c r="L613" s="88">
        <v>3602</v>
      </c>
      <c r="M613" s="88">
        <v>4.8899999999999997</v>
      </c>
      <c r="N613" s="88">
        <v>1.2</v>
      </c>
      <c r="O613" s="88">
        <v>3.18</v>
      </c>
      <c r="P613" s="88">
        <v>15.29</v>
      </c>
      <c r="Q613" s="88"/>
      <c r="R613" s="116">
        <v>1.6778</v>
      </c>
      <c r="S613" s="115">
        <v>13</v>
      </c>
      <c r="T613" s="88"/>
      <c r="U613" s="88"/>
      <c r="V613" s="88"/>
      <c r="W613" s="88"/>
      <c r="X613" s="88"/>
      <c r="Y613" s="115">
        <v>23.1</v>
      </c>
      <c r="Z613" s="88"/>
      <c r="AA613" s="116"/>
      <c r="AB613" s="116"/>
      <c r="AC613" s="88"/>
      <c r="AD613" s="88">
        <v>440</v>
      </c>
      <c r="AE613" s="88">
        <v>220</v>
      </c>
      <c r="AF613" s="88">
        <v>340</v>
      </c>
      <c r="AG613" s="66">
        <f t="shared" si="18"/>
        <v>123.2103896103896</v>
      </c>
      <c r="AH613" s="143">
        <f t="shared" si="19"/>
        <v>1000</v>
      </c>
    </row>
    <row r="614" spans="1:34" s="118" customFormat="1" x14ac:dyDescent="0.3">
      <c r="A614" s="84">
        <v>803170</v>
      </c>
      <c r="B614" s="115">
        <v>31.333333333333336</v>
      </c>
      <c r="C614" s="115">
        <v>10.25</v>
      </c>
      <c r="D614" s="116">
        <v>9.15</v>
      </c>
      <c r="E614" s="1525">
        <v>0.502</v>
      </c>
      <c r="F614" s="89">
        <v>340.90000000000003</v>
      </c>
      <c r="G614" s="89"/>
      <c r="H614" s="89">
        <v>99.1</v>
      </c>
      <c r="I614" s="89">
        <v>178</v>
      </c>
      <c r="J614" s="117">
        <v>0.70899999999999996</v>
      </c>
      <c r="K614" s="115">
        <v>9.7899999999999991</v>
      </c>
      <c r="L614" s="88">
        <v>1450</v>
      </c>
      <c r="M614" s="88">
        <v>0.36</v>
      </c>
      <c r="N614" s="88">
        <v>1.52</v>
      </c>
      <c r="O614" s="88">
        <v>2.6</v>
      </c>
      <c r="P614" s="88">
        <v>3.95</v>
      </c>
      <c r="Q614" s="88"/>
      <c r="R614" s="116">
        <v>1.3511428987825032</v>
      </c>
      <c r="S614" s="115">
        <v>8.8000000000000007</v>
      </c>
      <c r="T614" s="88"/>
      <c r="U614" s="88"/>
      <c r="V614" s="88"/>
      <c r="W614" s="88"/>
      <c r="X614" s="88"/>
      <c r="Y614" s="115">
        <v>34</v>
      </c>
      <c r="Z614" s="88"/>
      <c r="AA614" s="116"/>
      <c r="AB614" s="116"/>
      <c r="AC614" s="88"/>
      <c r="AD614" s="88">
        <v>680</v>
      </c>
      <c r="AE614" s="88">
        <v>180</v>
      </c>
      <c r="AF614" s="88">
        <v>140</v>
      </c>
      <c r="AG614" s="66">
        <f t="shared" si="18"/>
        <v>101.93117647058823</v>
      </c>
      <c r="AH614" s="143">
        <f t="shared" si="19"/>
        <v>1000</v>
      </c>
    </row>
    <row r="615" spans="1:34" s="118" customFormat="1" x14ac:dyDescent="0.3">
      <c r="A615" s="84">
        <v>803171</v>
      </c>
      <c r="B615" s="115">
        <v>34</v>
      </c>
      <c r="C615" s="115">
        <v>10.125</v>
      </c>
      <c r="D615" s="116">
        <v>8.77</v>
      </c>
      <c r="E615" s="1525">
        <v>0.91900000000000004</v>
      </c>
      <c r="F615" s="89">
        <v>599.9</v>
      </c>
      <c r="G615" s="89"/>
      <c r="H615" s="89">
        <v>52.78</v>
      </c>
      <c r="I615" s="89">
        <v>109</v>
      </c>
      <c r="J615" s="117">
        <v>0.90900000000000003</v>
      </c>
      <c r="K615" s="115">
        <v>9.6999999999999993</v>
      </c>
      <c r="L615" s="88">
        <v>1170</v>
      </c>
      <c r="M615" s="88">
        <v>0.22</v>
      </c>
      <c r="N615" s="88">
        <v>0.7</v>
      </c>
      <c r="O615" s="88">
        <v>7.49</v>
      </c>
      <c r="P615" s="88">
        <v>3.43</v>
      </c>
      <c r="Q615" s="88"/>
      <c r="R615" s="116">
        <v>0.97352410153215208</v>
      </c>
      <c r="S615" s="115">
        <v>6.6</v>
      </c>
      <c r="T615" s="88"/>
      <c r="U615" s="88"/>
      <c r="V615" s="88"/>
      <c r="W615" s="88"/>
      <c r="X615" s="88"/>
      <c r="Y615" s="115">
        <v>33</v>
      </c>
      <c r="Z615" s="88"/>
      <c r="AA615" s="116"/>
      <c r="AB615" s="116"/>
      <c r="AC615" s="88"/>
      <c r="AD615" s="88">
        <v>660</v>
      </c>
      <c r="AE615" s="88">
        <v>180</v>
      </c>
      <c r="AF615" s="88">
        <v>160</v>
      </c>
      <c r="AG615" s="66">
        <f t="shared" si="18"/>
        <v>104.05454545454546</v>
      </c>
      <c r="AH615" s="143">
        <f t="shared" si="19"/>
        <v>1000</v>
      </c>
    </row>
    <row r="616" spans="1:34" s="118" customFormat="1" x14ac:dyDescent="0.3">
      <c r="A616" s="84">
        <v>803172</v>
      </c>
      <c r="B616" s="115">
        <v>33.666666666666664</v>
      </c>
      <c r="C616" s="115">
        <v>9.875</v>
      </c>
      <c r="D616" s="116">
        <v>9.09</v>
      </c>
      <c r="E616" s="1525">
        <v>0.56000000000000005</v>
      </c>
      <c r="F616" s="89">
        <v>381.04999999999995</v>
      </c>
      <c r="G616" s="89"/>
      <c r="H616" s="89">
        <v>75.400000000000006</v>
      </c>
      <c r="I616" s="89">
        <v>94</v>
      </c>
      <c r="J616" s="117">
        <v>0.64200000000000002</v>
      </c>
      <c r="K616" s="115">
        <v>8.52</v>
      </c>
      <c r="L616" s="88">
        <v>1070</v>
      </c>
      <c r="M616" s="88">
        <v>0.38</v>
      </c>
      <c r="N616" s="88">
        <v>1.37</v>
      </c>
      <c r="O616" s="88">
        <v>2.83</v>
      </c>
      <c r="P616" s="88">
        <v>3.73</v>
      </c>
      <c r="Q616" s="88"/>
      <c r="R616" s="116">
        <v>1.2716823725187365</v>
      </c>
      <c r="S616" s="115">
        <v>8.4</v>
      </c>
      <c r="T616" s="88"/>
      <c r="U616" s="88"/>
      <c r="V616" s="88"/>
      <c r="W616" s="88"/>
      <c r="X616" s="88"/>
      <c r="Y616" s="115">
        <v>32</v>
      </c>
      <c r="Z616" s="88"/>
      <c r="AA616" s="116"/>
      <c r="AB616" s="116"/>
      <c r="AC616" s="88"/>
      <c r="AD616" s="88">
        <v>640</v>
      </c>
      <c r="AE616" s="88">
        <v>160</v>
      </c>
      <c r="AF616" s="88">
        <v>200</v>
      </c>
      <c r="AG616" s="66">
        <f t="shared" si="18"/>
        <v>94.252499999999998</v>
      </c>
      <c r="AH616" s="143">
        <f t="shared" si="19"/>
        <v>1000</v>
      </c>
    </row>
    <row r="617" spans="1:34" s="118" customFormat="1" x14ac:dyDescent="0.3">
      <c r="A617" s="84">
        <v>803173</v>
      </c>
      <c r="B617" s="115">
        <v>37.5</v>
      </c>
      <c r="C617" s="115">
        <v>9.375</v>
      </c>
      <c r="D617" s="116">
        <v>8.9600000000000009</v>
      </c>
      <c r="E617" s="1525">
        <v>0.92200000000000004</v>
      </c>
      <c r="F617" s="89">
        <v>706.85</v>
      </c>
      <c r="G617" s="89"/>
      <c r="H617" s="89">
        <v>72.23</v>
      </c>
      <c r="I617" s="89">
        <v>54</v>
      </c>
      <c r="J617" s="117">
        <v>1.093</v>
      </c>
      <c r="K617" s="115">
        <v>8.4499999999999993</v>
      </c>
      <c r="L617" s="88">
        <v>1220</v>
      </c>
      <c r="M617" s="88">
        <v>0.2</v>
      </c>
      <c r="N617" s="88">
        <v>0.57999999999999996</v>
      </c>
      <c r="O617" s="88">
        <v>2.13</v>
      </c>
      <c r="P617" s="88">
        <v>2.88</v>
      </c>
      <c r="Q617" s="88"/>
      <c r="R617" s="116">
        <v>0.5456900499549957</v>
      </c>
      <c r="S617" s="115">
        <v>3.9</v>
      </c>
      <c r="T617" s="88"/>
      <c r="U617" s="88"/>
      <c r="V617" s="88"/>
      <c r="W617" s="88"/>
      <c r="X617" s="88"/>
      <c r="Y617" s="115">
        <v>32</v>
      </c>
      <c r="Z617" s="88"/>
      <c r="AA617" s="116"/>
      <c r="AB617" s="116"/>
      <c r="AC617" s="88"/>
      <c r="AD617" s="88">
        <v>640</v>
      </c>
      <c r="AE617" s="88">
        <v>170</v>
      </c>
      <c r="AF617" s="88">
        <v>190</v>
      </c>
      <c r="AG617" s="66">
        <f t="shared" si="18"/>
        <v>93.478124999999991</v>
      </c>
      <c r="AH617" s="143">
        <f t="shared" si="19"/>
        <v>1000</v>
      </c>
    </row>
    <row r="618" spans="1:34" s="118" customFormat="1" x14ac:dyDescent="0.3">
      <c r="A618" s="84">
        <v>803174</v>
      </c>
      <c r="B618" s="115">
        <v>34.833333333333329</v>
      </c>
      <c r="C618" s="115">
        <v>10.75</v>
      </c>
      <c r="D618" s="116">
        <v>9.0399999999999991</v>
      </c>
      <c r="E618" s="1525">
        <v>0.48199999999999998</v>
      </c>
      <c r="F618" s="89">
        <v>181.4</v>
      </c>
      <c r="G618" s="89"/>
      <c r="H618" s="89">
        <v>125.77</v>
      </c>
      <c r="I618" s="89">
        <v>164</v>
      </c>
      <c r="J618" s="117">
        <v>0.91400000000000003</v>
      </c>
      <c r="K618" s="115">
        <v>12.79</v>
      </c>
      <c r="L618" s="88">
        <v>2000</v>
      </c>
      <c r="M618" s="88">
        <v>0.28999999999999998</v>
      </c>
      <c r="N618" s="88">
        <v>1.76</v>
      </c>
      <c r="O618" s="88">
        <v>4.9800000000000004</v>
      </c>
      <c r="P618" s="88">
        <v>4.25</v>
      </c>
      <c r="Q618" s="88"/>
      <c r="R618" s="116">
        <v>1.0392153355717231</v>
      </c>
      <c r="S618" s="115">
        <v>7.2</v>
      </c>
      <c r="T618" s="88"/>
      <c r="U618" s="88"/>
      <c r="V618" s="88"/>
      <c r="W618" s="88"/>
      <c r="X618" s="88"/>
      <c r="Y618" s="115">
        <v>34</v>
      </c>
      <c r="Z618" s="88"/>
      <c r="AA618" s="116"/>
      <c r="AB618" s="116"/>
      <c r="AC618" s="88"/>
      <c r="AD618" s="88">
        <v>680</v>
      </c>
      <c r="AE618" s="88">
        <v>180</v>
      </c>
      <c r="AF618" s="88">
        <v>160</v>
      </c>
      <c r="AG618" s="66">
        <f t="shared" si="18"/>
        <v>133.16647058823528</v>
      </c>
      <c r="AH618" s="143">
        <f t="shared" si="19"/>
        <v>1020</v>
      </c>
    </row>
    <row r="619" spans="1:34" s="118" customFormat="1" x14ac:dyDescent="0.3">
      <c r="A619" s="84">
        <v>803175</v>
      </c>
      <c r="B619" s="115">
        <v>32</v>
      </c>
      <c r="C619" s="115">
        <v>10.125</v>
      </c>
      <c r="D619" s="116">
        <v>8.76</v>
      </c>
      <c r="E619" s="1525">
        <v>0.97699999999999998</v>
      </c>
      <c r="F619" s="89">
        <v>576.9</v>
      </c>
      <c r="G619" s="89"/>
      <c r="H619" s="89">
        <v>88.73</v>
      </c>
      <c r="I619" s="89">
        <v>104</v>
      </c>
      <c r="J619" s="117">
        <v>1.018</v>
      </c>
      <c r="K619" s="115">
        <v>9.92</v>
      </c>
      <c r="L619" s="88">
        <v>1400</v>
      </c>
      <c r="M619" s="88">
        <v>0.22</v>
      </c>
      <c r="N619" s="88">
        <v>0.72</v>
      </c>
      <c r="O619" s="88">
        <v>5.09</v>
      </c>
      <c r="P619" s="88">
        <v>3.49</v>
      </c>
      <c r="Q619" s="88"/>
      <c r="R619" s="116">
        <v>0.79036875492905889</v>
      </c>
      <c r="S619" s="115">
        <v>5.3</v>
      </c>
      <c r="T619" s="88"/>
      <c r="U619" s="88"/>
      <c r="V619" s="88"/>
      <c r="W619" s="88"/>
      <c r="X619" s="88"/>
      <c r="Y619" s="115">
        <v>35</v>
      </c>
      <c r="Z619" s="88"/>
      <c r="AA619" s="116"/>
      <c r="AB619" s="116"/>
      <c r="AC619" s="88"/>
      <c r="AD619" s="88">
        <v>700</v>
      </c>
      <c r="AE619" s="88">
        <v>140</v>
      </c>
      <c r="AF619" s="88">
        <v>160</v>
      </c>
      <c r="AG619" s="66">
        <f t="shared" si="18"/>
        <v>100.33371428571428</v>
      </c>
      <c r="AH619" s="143">
        <f t="shared" si="19"/>
        <v>1000</v>
      </c>
    </row>
    <row r="620" spans="1:34" s="118" customFormat="1" x14ac:dyDescent="0.3">
      <c r="A620" s="84">
        <v>803176</v>
      </c>
      <c r="B620" s="115">
        <v>32.833333333333329</v>
      </c>
      <c r="C620" s="115">
        <v>9.25</v>
      </c>
      <c r="D620" s="116">
        <v>8.98</v>
      </c>
      <c r="E620" s="1525">
        <v>0.46100000000000002</v>
      </c>
      <c r="F620" s="89">
        <v>305.45000000000005</v>
      </c>
      <c r="G620" s="89"/>
      <c r="H620" s="89">
        <v>71.98</v>
      </c>
      <c r="I620" s="89">
        <v>170</v>
      </c>
      <c r="J620" s="117">
        <v>0.75900000000000001</v>
      </c>
      <c r="K620" s="115">
        <v>8.73</v>
      </c>
      <c r="L620" s="88">
        <v>1460</v>
      </c>
      <c r="M620" s="88">
        <v>0.21</v>
      </c>
      <c r="N620" s="88">
        <v>1.19</v>
      </c>
      <c r="O620" s="88">
        <v>2.39</v>
      </c>
      <c r="P620" s="88">
        <v>3.37</v>
      </c>
      <c r="Q620" s="88"/>
      <c r="R620" s="116">
        <v>1.0757136440590287</v>
      </c>
      <c r="S620" s="115">
        <v>7.2</v>
      </c>
      <c r="T620" s="88"/>
      <c r="U620" s="88"/>
      <c r="V620" s="88"/>
      <c r="W620" s="88"/>
      <c r="X620" s="88"/>
      <c r="Y620" s="115">
        <v>33</v>
      </c>
      <c r="Z620" s="88"/>
      <c r="AA620" s="116"/>
      <c r="AB620" s="116"/>
      <c r="AC620" s="88"/>
      <c r="AD620" s="88">
        <v>660</v>
      </c>
      <c r="AE620" s="88">
        <v>140</v>
      </c>
      <c r="AF620" s="88">
        <v>200</v>
      </c>
      <c r="AG620" s="66">
        <f t="shared" si="18"/>
        <v>93.649090909090916</v>
      </c>
      <c r="AH620" s="143">
        <f t="shared" si="19"/>
        <v>1000</v>
      </c>
    </row>
    <row r="621" spans="1:34" s="118" customFormat="1" x14ac:dyDescent="0.3">
      <c r="A621" s="84">
        <v>803177</v>
      </c>
      <c r="B621" s="115">
        <v>30.5</v>
      </c>
      <c r="C621" s="115">
        <v>9.5</v>
      </c>
      <c r="D621" s="116">
        <v>8.99</v>
      </c>
      <c r="E621" s="1525">
        <v>0.77800000000000002</v>
      </c>
      <c r="F621" s="89">
        <v>610.70000000000005</v>
      </c>
      <c r="G621" s="89"/>
      <c r="H621" s="89">
        <v>33.29</v>
      </c>
      <c r="I621" s="89">
        <v>72</v>
      </c>
      <c r="J621" s="117">
        <v>1.0469999999999999</v>
      </c>
      <c r="K621" s="115">
        <v>8.6999999999999993</v>
      </c>
      <c r="L621" s="88">
        <v>1360</v>
      </c>
      <c r="M621" s="88">
        <v>0.16</v>
      </c>
      <c r="N621" s="88">
        <v>0.64</v>
      </c>
      <c r="O621" s="88">
        <v>1.71</v>
      </c>
      <c r="P621" s="88">
        <v>3.2</v>
      </c>
      <c r="Q621" s="88"/>
      <c r="R621" s="116">
        <v>0.73002474690427466</v>
      </c>
      <c r="S621" s="115">
        <v>5.0999999999999996</v>
      </c>
      <c r="T621" s="88"/>
      <c r="U621" s="88"/>
      <c r="V621" s="88"/>
      <c r="W621" s="88"/>
      <c r="X621" s="88"/>
      <c r="Y621" s="115">
        <v>32</v>
      </c>
      <c r="Z621" s="88"/>
      <c r="AA621" s="116"/>
      <c r="AB621" s="116"/>
      <c r="AC621" s="88"/>
      <c r="AD621" s="88">
        <v>640</v>
      </c>
      <c r="AE621" s="88">
        <v>160</v>
      </c>
      <c r="AF621" s="88">
        <v>200</v>
      </c>
      <c r="AG621" s="66">
        <f t="shared" si="18"/>
        <v>96.243749999999991</v>
      </c>
      <c r="AH621" s="143">
        <f t="shared" si="19"/>
        <v>1000</v>
      </c>
    </row>
    <row r="622" spans="1:34" s="118" customFormat="1" x14ac:dyDescent="0.3">
      <c r="A622" s="84">
        <v>803178</v>
      </c>
      <c r="B622" s="115">
        <v>31.666666666666664</v>
      </c>
      <c r="C622" s="115">
        <v>9.375</v>
      </c>
      <c r="D622" s="116">
        <v>8.56</v>
      </c>
      <c r="E622" s="1525">
        <v>0.86899999999999999</v>
      </c>
      <c r="F622" s="89">
        <v>498.9</v>
      </c>
      <c r="G622" s="89"/>
      <c r="H622" s="89">
        <v>24.86</v>
      </c>
      <c r="I622" s="89">
        <v>123</v>
      </c>
      <c r="J622" s="117">
        <v>0.58799999999999997</v>
      </c>
      <c r="K622" s="115">
        <v>11.03</v>
      </c>
      <c r="L622" s="88">
        <v>1020</v>
      </c>
      <c r="M622" s="88">
        <v>0.1</v>
      </c>
      <c r="N622" s="88">
        <v>0.5</v>
      </c>
      <c r="O622" s="88">
        <v>1.2</v>
      </c>
      <c r="P622" s="88">
        <v>2.65</v>
      </c>
      <c r="Q622" s="88"/>
      <c r="R622" s="116">
        <v>0.85655843026475387</v>
      </c>
      <c r="S622" s="115">
        <v>5.8</v>
      </c>
      <c r="T622" s="88"/>
      <c r="U622" s="88"/>
      <c r="V622" s="88"/>
      <c r="W622" s="88"/>
      <c r="X622" s="88"/>
      <c r="Y622" s="115">
        <v>28</v>
      </c>
      <c r="Z622" s="88"/>
      <c r="AA622" s="116"/>
      <c r="AB622" s="116"/>
      <c r="AC622" s="88"/>
      <c r="AD622" s="88">
        <v>560</v>
      </c>
      <c r="AE622" s="88">
        <v>360</v>
      </c>
      <c r="AF622" s="88">
        <v>80</v>
      </c>
      <c r="AG622" s="66">
        <f t="shared" si="18"/>
        <v>139.45071428571427</v>
      </c>
      <c r="AH622" s="143">
        <f t="shared" si="19"/>
        <v>1000</v>
      </c>
    </row>
    <row r="623" spans="1:34" s="118" customFormat="1" x14ac:dyDescent="0.3">
      <c r="A623" s="84">
        <v>803179</v>
      </c>
      <c r="B623" s="115">
        <v>31.333333333333336</v>
      </c>
      <c r="C623" s="115">
        <v>10.125</v>
      </c>
      <c r="D623" s="116">
        <v>8.65</v>
      </c>
      <c r="E623" s="1525">
        <v>0.53300000000000003</v>
      </c>
      <c r="F623" s="89">
        <v>444.3</v>
      </c>
      <c r="G623" s="89"/>
      <c r="H623" s="89">
        <v>50.85</v>
      </c>
      <c r="I623" s="89">
        <v>96</v>
      </c>
      <c r="J623" s="117">
        <v>0.55100000000000005</v>
      </c>
      <c r="K623" s="115">
        <v>10.64</v>
      </c>
      <c r="L623" s="88">
        <v>1010</v>
      </c>
      <c r="M623" s="88">
        <v>0.11</v>
      </c>
      <c r="N623" s="88">
        <v>0.48</v>
      </c>
      <c r="O623" s="88">
        <v>0.92</v>
      </c>
      <c r="P623" s="88">
        <v>2.6</v>
      </c>
      <c r="Q623" s="88"/>
      <c r="R623" s="116">
        <v>0.75346816561510144</v>
      </c>
      <c r="S623" s="115">
        <v>5</v>
      </c>
      <c r="T623" s="88"/>
      <c r="U623" s="88"/>
      <c r="V623" s="88"/>
      <c r="W623" s="88"/>
      <c r="X623" s="88"/>
      <c r="Y623" s="115">
        <v>27</v>
      </c>
      <c r="Z623" s="88"/>
      <c r="AA623" s="116"/>
      <c r="AB623" s="116"/>
      <c r="AC623" s="88"/>
      <c r="AD623" s="88">
        <v>540</v>
      </c>
      <c r="AE623" s="88">
        <v>380</v>
      </c>
      <c r="AF623" s="88">
        <v>80</v>
      </c>
      <c r="AG623" s="66">
        <f t="shared" si="18"/>
        <v>139.50222222222223</v>
      </c>
      <c r="AH623" s="143">
        <f t="shared" si="19"/>
        <v>1000</v>
      </c>
    </row>
    <row r="624" spans="1:34" s="118" customFormat="1" x14ac:dyDescent="0.3">
      <c r="A624" s="84">
        <v>803180</v>
      </c>
      <c r="B624" s="115">
        <v>28.666666666666664</v>
      </c>
      <c r="C624" s="115">
        <v>10.125</v>
      </c>
      <c r="D624" s="116">
        <v>8.3699999999999992</v>
      </c>
      <c r="E624" s="1525">
        <v>0.83799999999999997</v>
      </c>
      <c r="F624" s="89">
        <v>428.84999999999997</v>
      </c>
      <c r="G624" s="89"/>
      <c r="H624" s="89">
        <v>31.65</v>
      </c>
      <c r="I624" s="89">
        <v>152</v>
      </c>
      <c r="J624" s="117">
        <v>0.57899999999999996</v>
      </c>
      <c r="K624" s="115">
        <v>11.47</v>
      </c>
      <c r="L624" s="88">
        <v>840</v>
      </c>
      <c r="M624" s="88">
        <v>0.11</v>
      </c>
      <c r="N624" s="88">
        <v>0.7</v>
      </c>
      <c r="O624" s="88">
        <v>1.02</v>
      </c>
      <c r="P624" s="88">
        <v>3</v>
      </c>
      <c r="Q624" s="88"/>
      <c r="R624" s="116">
        <v>0.75096314824877408</v>
      </c>
      <c r="S624" s="115">
        <v>5.4</v>
      </c>
      <c r="T624" s="88"/>
      <c r="U624" s="88"/>
      <c r="V624" s="88"/>
      <c r="W624" s="88"/>
      <c r="X624" s="88"/>
      <c r="Y624" s="115">
        <v>28</v>
      </c>
      <c r="Z624" s="88"/>
      <c r="AA624" s="116"/>
      <c r="AB624" s="116"/>
      <c r="AC624" s="88"/>
      <c r="AD624" s="88">
        <v>560</v>
      </c>
      <c r="AE624" s="88">
        <v>380</v>
      </c>
      <c r="AF624" s="88">
        <v>60</v>
      </c>
      <c r="AG624" s="66">
        <f t="shared" si="18"/>
        <v>145.01357142857142</v>
      </c>
      <c r="AH624" s="143">
        <f t="shared" si="19"/>
        <v>1000</v>
      </c>
    </row>
    <row r="625" spans="1:34" s="118" customFormat="1" x14ac:dyDescent="0.3">
      <c r="A625" s="84">
        <v>803181</v>
      </c>
      <c r="B625" s="115">
        <v>30.666666666666664</v>
      </c>
      <c r="C625" s="115">
        <v>9</v>
      </c>
      <c r="D625" s="116">
        <v>8.24</v>
      </c>
      <c r="E625" s="1525">
        <v>0.187</v>
      </c>
      <c r="F625" s="89">
        <v>275.35000000000002</v>
      </c>
      <c r="G625" s="89"/>
      <c r="H625" s="89">
        <v>23.19</v>
      </c>
      <c r="I625" s="89">
        <v>76</v>
      </c>
      <c r="J625" s="117">
        <v>0.69899999999999995</v>
      </c>
      <c r="K625" s="115">
        <v>12.51</v>
      </c>
      <c r="L625" s="88">
        <v>630</v>
      </c>
      <c r="M625" s="88">
        <v>0.1</v>
      </c>
      <c r="N625" s="88">
        <v>0.41</v>
      </c>
      <c r="O625" s="88">
        <v>0.43</v>
      </c>
      <c r="P625" s="88">
        <v>2.48</v>
      </c>
      <c r="Q625" s="88"/>
      <c r="R625" s="116">
        <v>0.60178123042627485</v>
      </c>
      <c r="S625" s="115">
        <v>4.0999999999999996</v>
      </c>
      <c r="T625" s="88"/>
      <c r="U625" s="88"/>
      <c r="V625" s="88"/>
      <c r="W625" s="88"/>
      <c r="X625" s="88"/>
      <c r="Y625" s="115">
        <v>27</v>
      </c>
      <c r="Z625" s="88"/>
      <c r="AA625" s="116"/>
      <c r="AB625" s="116"/>
      <c r="AC625" s="88"/>
      <c r="AD625" s="88">
        <v>540</v>
      </c>
      <c r="AE625" s="88">
        <v>380</v>
      </c>
      <c r="AF625" s="88">
        <v>80</v>
      </c>
      <c r="AG625" s="66">
        <f t="shared" si="18"/>
        <v>164.02</v>
      </c>
      <c r="AH625" s="143">
        <f t="shared" si="19"/>
        <v>1000</v>
      </c>
    </row>
    <row r="626" spans="1:34" s="118" customFormat="1" x14ac:dyDescent="0.3">
      <c r="A626" s="84">
        <v>803182</v>
      </c>
      <c r="B626" s="115">
        <v>15.333333333333332</v>
      </c>
      <c r="C626" s="115">
        <v>3.125</v>
      </c>
      <c r="D626" s="116">
        <v>8.85</v>
      </c>
      <c r="E626" s="1525">
        <v>0.75900000000000001</v>
      </c>
      <c r="F626" s="89">
        <v>678.45</v>
      </c>
      <c r="G626" s="89"/>
      <c r="H626" s="89">
        <v>22.05</v>
      </c>
      <c r="I626" s="89">
        <v>88</v>
      </c>
      <c r="J626" s="117">
        <v>0.65500000000000003</v>
      </c>
      <c r="K626" s="115">
        <v>6.04</v>
      </c>
      <c r="L626" s="88">
        <v>520</v>
      </c>
      <c r="M626" s="88">
        <v>0.12</v>
      </c>
      <c r="N626" s="88">
        <v>0.14000000000000001</v>
      </c>
      <c r="O626" s="88">
        <v>0.7</v>
      </c>
      <c r="P626" s="88">
        <v>1.28</v>
      </c>
      <c r="Q626" s="88"/>
      <c r="R626" s="116">
        <v>0.53366036777921022</v>
      </c>
      <c r="S626" s="115">
        <v>3.7</v>
      </c>
      <c r="T626" s="88"/>
      <c r="U626" s="88"/>
      <c r="V626" s="88"/>
      <c r="W626" s="88"/>
      <c r="X626" s="88"/>
      <c r="Y626" s="115">
        <v>3</v>
      </c>
      <c r="Z626" s="88"/>
      <c r="AA626" s="116"/>
      <c r="AB626" s="116"/>
      <c r="AC626" s="88"/>
      <c r="AD626" s="88">
        <v>60</v>
      </c>
      <c r="AE626" s="88">
        <v>80</v>
      </c>
      <c r="AF626" s="88">
        <v>860</v>
      </c>
      <c r="AG626" s="66">
        <f t="shared" si="18"/>
        <v>712.71999999999991</v>
      </c>
      <c r="AH626" s="143">
        <f t="shared" si="19"/>
        <v>1000</v>
      </c>
    </row>
    <row r="627" spans="1:34" s="118" customFormat="1" x14ac:dyDescent="0.3">
      <c r="A627" s="84">
        <v>803183</v>
      </c>
      <c r="B627" s="115">
        <v>15.166666666666664</v>
      </c>
      <c r="C627" s="115">
        <v>2.6250000000000018</v>
      </c>
      <c r="D627" s="116">
        <v>8.59</v>
      </c>
      <c r="E627" s="1525">
        <v>0.129</v>
      </c>
      <c r="F627" s="89">
        <v>927.45</v>
      </c>
      <c r="G627" s="89"/>
      <c r="H627" s="89">
        <v>52.08</v>
      </c>
      <c r="I627" s="89">
        <v>215</v>
      </c>
      <c r="J627" s="117">
        <v>0.91800000000000004</v>
      </c>
      <c r="K627" s="115">
        <v>7.66</v>
      </c>
      <c r="L627" s="88">
        <v>770</v>
      </c>
      <c r="M627" s="88">
        <v>0.21</v>
      </c>
      <c r="N627" s="88">
        <v>0.39</v>
      </c>
      <c r="O627" s="88">
        <v>0.55000000000000004</v>
      </c>
      <c r="P627" s="88">
        <v>1.92</v>
      </c>
      <c r="Q627" s="88"/>
      <c r="R627" s="116">
        <v>0.63380077008253144</v>
      </c>
      <c r="S627" s="115">
        <v>4.5</v>
      </c>
      <c r="T627" s="88"/>
      <c r="U627" s="88"/>
      <c r="V627" s="88"/>
      <c r="W627" s="88"/>
      <c r="X627" s="88"/>
      <c r="Y627" s="115">
        <v>5</v>
      </c>
      <c r="Z627" s="88"/>
      <c r="AA627" s="116"/>
      <c r="AB627" s="116"/>
      <c r="AC627" s="88"/>
      <c r="AD627" s="88">
        <v>100</v>
      </c>
      <c r="AE627" s="88">
        <v>80</v>
      </c>
      <c r="AF627" s="88">
        <v>820</v>
      </c>
      <c r="AG627" s="66">
        <f t="shared" si="18"/>
        <v>542.32800000000009</v>
      </c>
      <c r="AH627" s="143">
        <f t="shared" si="19"/>
        <v>1000</v>
      </c>
    </row>
    <row r="628" spans="1:34" s="118" customFormat="1" x14ac:dyDescent="0.3">
      <c r="A628" s="84">
        <v>803184</v>
      </c>
      <c r="B628" s="115">
        <v>15</v>
      </c>
      <c r="C628" s="115">
        <v>2.3749999999999982</v>
      </c>
      <c r="D628" s="116">
        <v>8.86</v>
      </c>
      <c r="E628" s="1525">
        <v>0.999</v>
      </c>
      <c r="F628" s="89">
        <v>649</v>
      </c>
      <c r="G628" s="89"/>
      <c r="H628" s="89">
        <v>63.33</v>
      </c>
      <c r="I628" s="89">
        <v>153</v>
      </c>
      <c r="J628" s="117">
        <v>0.624</v>
      </c>
      <c r="K628" s="115">
        <v>6.43</v>
      </c>
      <c r="L628" s="88">
        <v>660</v>
      </c>
      <c r="M628" s="88">
        <v>0.18</v>
      </c>
      <c r="N628" s="88">
        <v>0.24</v>
      </c>
      <c r="O628" s="88">
        <v>0.65</v>
      </c>
      <c r="P628" s="88">
        <v>1.69</v>
      </c>
      <c r="Q628" s="88"/>
      <c r="R628" s="116">
        <v>0.57314921785183182</v>
      </c>
      <c r="S628" s="115">
        <v>4</v>
      </c>
      <c r="T628" s="88"/>
      <c r="U628" s="88"/>
      <c r="V628" s="88"/>
      <c r="W628" s="88"/>
      <c r="X628" s="88"/>
      <c r="Y628" s="115">
        <v>3</v>
      </c>
      <c r="Z628" s="88"/>
      <c r="AA628" s="116"/>
      <c r="AB628" s="116"/>
      <c r="AC628" s="88"/>
      <c r="AD628" s="88">
        <v>60</v>
      </c>
      <c r="AE628" s="88">
        <v>80</v>
      </c>
      <c r="AF628" s="88">
        <v>860</v>
      </c>
      <c r="AG628" s="66">
        <f t="shared" si="18"/>
        <v>758.7399999999999</v>
      </c>
      <c r="AH628" s="143">
        <f t="shared" si="19"/>
        <v>1000</v>
      </c>
    </row>
    <row r="629" spans="1:34" s="118" customFormat="1" x14ac:dyDescent="0.3">
      <c r="A629" s="84">
        <v>803185</v>
      </c>
      <c r="B629" s="115">
        <v>15.5</v>
      </c>
      <c r="C629" s="115">
        <v>2.8750000000000009</v>
      </c>
      <c r="D629" s="116">
        <v>8.6300000000000008</v>
      </c>
      <c r="E629" s="1525">
        <v>0.97199999999999998</v>
      </c>
      <c r="F629" s="89">
        <v>301.8</v>
      </c>
      <c r="G629" s="89"/>
      <c r="H629" s="89">
        <v>64.38</v>
      </c>
      <c r="I629" s="89">
        <v>147</v>
      </c>
      <c r="J629" s="117">
        <v>0.17100000000000001</v>
      </c>
      <c r="K629" s="115">
        <v>8.09</v>
      </c>
      <c r="L629" s="88">
        <v>560</v>
      </c>
      <c r="M629" s="88">
        <v>0.11</v>
      </c>
      <c r="N629" s="88">
        <v>0.22</v>
      </c>
      <c r="O629" s="88">
        <v>0.88</v>
      </c>
      <c r="P629" s="88">
        <v>0.87</v>
      </c>
      <c r="Q629" s="88"/>
      <c r="R629" s="116">
        <v>0.61093006338541467</v>
      </c>
      <c r="S629" s="115">
        <v>4</v>
      </c>
      <c r="T629" s="88"/>
      <c r="U629" s="88"/>
      <c r="V629" s="88"/>
      <c r="W629" s="88"/>
      <c r="X629" s="88"/>
      <c r="Y629" s="115">
        <v>7</v>
      </c>
      <c r="Z629" s="88"/>
      <c r="AA629" s="116"/>
      <c r="AB629" s="116"/>
      <c r="AC629" s="88"/>
      <c r="AD629" s="88">
        <v>140</v>
      </c>
      <c r="AE629" s="88">
        <v>120</v>
      </c>
      <c r="AF629" s="88">
        <v>740</v>
      </c>
      <c r="AG629" s="66">
        <f t="shared" si="18"/>
        <v>409.12285714285719</v>
      </c>
      <c r="AH629" s="143">
        <f t="shared" si="19"/>
        <v>1000</v>
      </c>
    </row>
    <row r="630" spans="1:34" s="118" customFormat="1" x14ac:dyDescent="0.3">
      <c r="A630" s="84">
        <v>803186</v>
      </c>
      <c r="B630" s="115">
        <v>16.333333333333336</v>
      </c>
      <c r="C630" s="115">
        <v>3.125</v>
      </c>
      <c r="D630" s="116">
        <v>8.7200000000000006</v>
      </c>
      <c r="E630" s="1525">
        <v>0.224</v>
      </c>
      <c r="F630" s="89">
        <v>119.25</v>
      </c>
      <c r="G630" s="89"/>
      <c r="H630" s="89">
        <v>42.34</v>
      </c>
      <c r="I630" s="89">
        <v>227</v>
      </c>
      <c r="J630" s="117">
        <v>9.5000000000000001E-2</v>
      </c>
      <c r="K630" s="115">
        <v>7.93</v>
      </c>
      <c r="L630" s="88">
        <v>460</v>
      </c>
      <c r="M630" s="88">
        <v>0.09</v>
      </c>
      <c r="N630" s="88">
        <v>0.22</v>
      </c>
      <c r="O630" s="88">
        <v>1.93</v>
      </c>
      <c r="P630" s="88">
        <v>0.79</v>
      </c>
      <c r="Q630" s="88"/>
      <c r="R630" s="116">
        <v>0.57484190575368066</v>
      </c>
      <c r="S630" s="115">
        <v>3.8</v>
      </c>
      <c r="T630" s="88"/>
      <c r="U630" s="88"/>
      <c r="V630" s="88"/>
      <c r="W630" s="88"/>
      <c r="X630" s="88"/>
      <c r="Y630" s="115">
        <v>6</v>
      </c>
      <c r="Z630" s="88"/>
      <c r="AA630" s="116"/>
      <c r="AB630" s="116"/>
      <c r="AC630" s="88"/>
      <c r="AD630" s="88">
        <v>120</v>
      </c>
      <c r="AE630" s="88">
        <v>120</v>
      </c>
      <c r="AF630" s="88">
        <v>760</v>
      </c>
      <c r="AG630" s="66">
        <f t="shared" si="18"/>
        <v>467.86999999999995</v>
      </c>
      <c r="AH630" s="143">
        <f t="shared" si="19"/>
        <v>1000</v>
      </c>
    </row>
    <row r="631" spans="1:34" s="118" customFormat="1" x14ac:dyDescent="0.3">
      <c r="A631" s="84">
        <v>803187</v>
      </c>
      <c r="B631" s="115">
        <v>16.416666666666664</v>
      </c>
      <c r="C631" s="115">
        <v>3.6249999999999982</v>
      </c>
      <c r="D631" s="116">
        <v>8.2899999999999991</v>
      </c>
      <c r="E631" s="1525">
        <v>2.4300000000000002</v>
      </c>
      <c r="F631" s="89">
        <v>2434.6</v>
      </c>
      <c r="G631" s="89"/>
      <c r="H631" s="89">
        <v>117.36</v>
      </c>
      <c r="I631" s="89">
        <v>321</v>
      </c>
      <c r="J631" s="117">
        <v>1.109</v>
      </c>
      <c r="K631" s="115">
        <v>8.08</v>
      </c>
      <c r="L631" s="88">
        <v>1800</v>
      </c>
      <c r="M631" s="88">
        <v>0.51</v>
      </c>
      <c r="N631" s="88">
        <v>0.26</v>
      </c>
      <c r="O631" s="88">
        <v>3.29</v>
      </c>
      <c r="P631" s="88">
        <v>1.37</v>
      </c>
      <c r="Q631" s="88"/>
      <c r="R631" s="116">
        <v>0.97392788245374617</v>
      </c>
      <c r="S631" s="115">
        <v>7.3</v>
      </c>
      <c r="T631" s="88"/>
      <c r="U631" s="88"/>
      <c r="V631" s="88"/>
      <c r="W631" s="88"/>
      <c r="X631" s="88"/>
      <c r="Y631" s="115">
        <v>6</v>
      </c>
      <c r="Z631" s="88"/>
      <c r="AA631" s="116"/>
      <c r="AB631" s="116"/>
      <c r="AC631" s="88"/>
      <c r="AD631" s="88">
        <v>120</v>
      </c>
      <c r="AE631" s="88">
        <v>100</v>
      </c>
      <c r="AF631" s="88">
        <v>780</v>
      </c>
      <c r="AG631" s="66">
        <f t="shared" si="18"/>
        <v>476.72</v>
      </c>
      <c r="AH631" s="143">
        <f t="shared" si="19"/>
        <v>1000</v>
      </c>
    </row>
    <row r="632" spans="1:34" s="118" customFormat="1" x14ac:dyDescent="0.3">
      <c r="A632" s="84">
        <v>803188</v>
      </c>
      <c r="B632" s="115">
        <v>13.333333333333334</v>
      </c>
      <c r="C632" s="115">
        <v>1.875</v>
      </c>
      <c r="D632" s="116">
        <v>8.52</v>
      </c>
      <c r="E632" s="1525">
        <v>0.36699999999999999</v>
      </c>
      <c r="F632" s="89">
        <v>172.65</v>
      </c>
      <c r="G632" s="89"/>
      <c r="H632" s="89">
        <v>201.21</v>
      </c>
      <c r="I632" s="89">
        <v>242</v>
      </c>
      <c r="J632" s="117">
        <v>0.159</v>
      </c>
      <c r="K632" s="115">
        <v>6.47</v>
      </c>
      <c r="L632" s="88">
        <v>1140</v>
      </c>
      <c r="M632" s="88">
        <v>1.5</v>
      </c>
      <c r="N632" s="88">
        <v>0.28000000000000003</v>
      </c>
      <c r="O632" s="88">
        <v>1.97</v>
      </c>
      <c r="P632" s="88">
        <v>3.42</v>
      </c>
      <c r="Q632" s="88"/>
      <c r="R632" s="116">
        <v>1.1933337329403229</v>
      </c>
      <c r="S632" s="115">
        <v>8.8000000000000007</v>
      </c>
      <c r="T632" s="88"/>
      <c r="U632" s="88"/>
      <c r="V632" s="88"/>
      <c r="W632" s="88"/>
      <c r="X632" s="88"/>
      <c r="Y632" s="115">
        <v>13</v>
      </c>
      <c r="Z632" s="88"/>
      <c r="AA632" s="116"/>
      <c r="AB632" s="116"/>
      <c r="AC632" s="88"/>
      <c r="AD632" s="88">
        <v>260</v>
      </c>
      <c r="AE632" s="88">
        <v>140</v>
      </c>
      <c r="AF632" s="88">
        <v>600</v>
      </c>
      <c r="AG632" s="66">
        <f t="shared" si="18"/>
        <v>176.18307692307692</v>
      </c>
      <c r="AH632" s="143">
        <f t="shared" si="19"/>
        <v>1000</v>
      </c>
    </row>
    <row r="633" spans="1:34" s="118" customFormat="1" x14ac:dyDescent="0.3">
      <c r="A633" s="84">
        <v>803189</v>
      </c>
      <c r="B633" s="115">
        <v>10.75</v>
      </c>
      <c r="C633" s="115">
        <v>3.125</v>
      </c>
      <c r="D633" s="116">
        <v>8.52</v>
      </c>
      <c r="E633" s="1525">
        <v>0.47</v>
      </c>
      <c r="F633" s="89">
        <v>296.5</v>
      </c>
      <c r="G633" s="89"/>
      <c r="H633" s="89">
        <v>217.82</v>
      </c>
      <c r="I633" s="89">
        <v>249</v>
      </c>
      <c r="J633" s="117">
        <v>0.247</v>
      </c>
      <c r="K633" s="115">
        <v>6.9</v>
      </c>
      <c r="L633" s="88">
        <v>1370</v>
      </c>
      <c r="M633" s="88">
        <v>1.2</v>
      </c>
      <c r="N633" s="88">
        <v>0.48</v>
      </c>
      <c r="O633" s="88">
        <v>1.8</v>
      </c>
      <c r="P633" s="88">
        <v>4.97</v>
      </c>
      <c r="Q633" s="88"/>
      <c r="R633" s="116">
        <v>1.2685587301155123</v>
      </c>
      <c r="S633" s="115">
        <v>9.3000000000000007</v>
      </c>
      <c r="T633" s="88"/>
      <c r="U633" s="88"/>
      <c r="V633" s="88"/>
      <c r="W633" s="88"/>
      <c r="X633" s="88"/>
      <c r="Y633" s="115">
        <v>14</v>
      </c>
      <c r="Z633" s="88"/>
      <c r="AA633" s="116"/>
      <c r="AB633" s="116"/>
      <c r="AC633" s="88"/>
      <c r="AD633" s="88">
        <v>280</v>
      </c>
      <c r="AE633" s="88">
        <v>140</v>
      </c>
      <c r="AF633" s="88">
        <v>580</v>
      </c>
      <c r="AG633" s="66">
        <f t="shared" si="18"/>
        <v>174.47142857142859</v>
      </c>
      <c r="AH633" s="143">
        <f t="shared" si="19"/>
        <v>1000</v>
      </c>
    </row>
    <row r="634" spans="1:34" s="118" customFormat="1" x14ac:dyDescent="0.3">
      <c r="A634" s="84">
        <v>803190</v>
      </c>
      <c r="B634" s="115">
        <v>31.3</v>
      </c>
      <c r="C634" s="115">
        <v>10.25</v>
      </c>
      <c r="D634" s="116">
        <v>8.15</v>
      </c>
      <c r="E634" s="1525">
        <v>0.16700000000000001</v>
      </c>
      <c r="F634" s="89">
        <v>186</v>
      </c>
      <c r="G634" s="89"/>
      <c r="H634" s="89">
        <v>24</v>
      </c>
      <c r="I634" s="89">
        <v>786</v>
      </c>
      <c r="J634" s="117">
        <v>4.2999999999999997E-2</v>
      </c>
      <c r="K634" s="115">
        <v>11</v>
      </c>
      <c r="L634" s="88">
        <v>468</v>
      </c>
      <c r="M634" s="88">
        <v>0.56000000000000005</v>
      </c>
      <c r="N634" s="88">
        <v>0.62</v>
      </c>
      <c r="O634" s="88">
        <v>4.9000000000000004</v>
      </c>
      <c r="P634" s="88">
        <v>3.44</v>
      </c>
      <c r="Q634" s="88"/>
      <c r="R634" s="121">
        <v>1.2321424277582107</v>
      </c>
      <c r="S634" s="115">
        <v>8.8000000000000007</v>
      </c>
      <c r="T634" s="88"/>
      <c r="U634" s="88"/>
      <c r="V634" s="88"/>
      <c r="W634" s="88"/>
      <c r="X634" s="88"/>
      <c r="Y634" s="115">
        <v>9.8000000000000007</v>
      </c>
      <c r="Z634" s="88"/>
      <c r="AA634" s="116"/>
      <c r="AB634" s="116"/>
      <c r="AC634" s="88"/>
      <c r="AD634" s="88">
        <v>140</v>
      </c>
      <c r="AE634" s="88">
        <v>80</v>
      </c>
      <c r="AF634" s="88">
        <v>780</v>
      </c>
      <c r="AG634" s="66">
        <f t="shared" si="18"/>
        <v>397.34693877551018</v>
      </c>
      <c r="AH634" s="143">
        <f t="shared" si="19"/>
        <v>1000</v>
      </c>
    </row>
    <row r="635" spans="1:34" s="118" customFormat="1" x14ac:dyDescent="0.3">
      <c r="A635" s="84">
        <v>803191</v>
      </c>
      <c r="B635" s="115">
        <v>34</v>
      </c>
      <c r="C635" s="115">
        <v>10.130000000000001</v>
      </c>
      <c r="D635" s="116">
        <v>8.77</v>
      </c>
      <c r="E635" s="1525">
        <v>0.14000000000000001</v>
      </c>
      <c r="F635" s="89">
        <v>300</v>
      </c>
      <c r="G635" s="89"/>
      <c r="H635" s="89">
        <v>22</v>
      </c>
      <c r="I635" s="89">
        <v>235</v>
      </c>
      <c r="J635" s="117">
        <v>3.6999999999999998E-2</v>
      </c>
      <c r="K635" s="115">
        <v>7.9</v>
      </c>
      <c r="L635" s="88">
        <v>364</v>
      </c>
      <c r="M635" s="88">
        <v>0.32</v>
      </c>
      <c r="N635" s="88">
        <v>0.41</v>
      </c>
      <c r="O635" s="88">
        <v>3.7</v>
      </c>
      <c r="P635" s="88">
        <v>4.79</v>
      </c>
      <c r="Q635" s="88"/>
      <c r="R635" s="121">
        <v>0.91421308658146816</v>
      </c>
      <c r="S635" s="115">
        <v>6.6</v>
      </c>
      <c r="T635" s="88"/>
      <c r="U635" s="88"/>
      <c r="V635" s="88"/>
      <c r="W635" s="88"/>
      <c r="X635" s="88"/>
      <c r="Y635" s="115">
        <v>8.4</v>
      </c>
      <c r="Z635" s="88"/>
      <c r="AA635" s="116"/>
      <c r="AB635" s="116"/>
      <c r="AC635" s="88"/>
      <c r="AD635" s="88">
        <v>120</v>
      </c>
      <c r="AE635" s="88">
        <v>80</v>
      </c>
      <c r="AF635" s="88">
        <v>800</v>
      </c>
      <c r="AG635" s="66">
        <f t="shared" si="18"/>
        <v>332.92857142857139</v>
      </c>
      <c r="AH635" s="143">
        <f t="shared" si="19"/>
        <v>1000</v>
      </c>
    </row>
    <row r="636" spans="1:34" s="118" customFormat="1" x14ac:dyDescent="0.3">
      <c r="A636" s="84">
        <v>803192</v>
      </c>
      <c r="B636" s="115">
        <v>33.700000000000003</v>
      </c>
      <c r="C636" s="115">
        <v>9.8800000000000008</v>
      </c>
      <c r="D636" s="116">
        <v>9.09</v>
      </c>
      <c r="E636" s="1525">
        <v>0.192</v>
      </c>
      <c r="F636" s="89">
        <v>265</v>
      </c>
      <c r="G636" s="89"/>
      <c r="H636" s="89">
        <v>23</v>
      </c>
      <c r="I636" s="89">
        <v>288</v>
      </c>
      <c r="J636" s="117">
        <v>4.1000000000000002E-2</v>
      </c>
      <c r="K636" s="115">
        <v>11</v>
      </c>
      <c r="L636" s="88">
        <v>546</v>
      </c>
      <c r="M636" s="88">
        <v>0.16</v>
      </c>
      <c r="N636" s="88">
        <v>0.5</v>
      </c>
      <c r="O636" s="88">
        <v>3.04</v>
      </c>
      <c r="P636" s="88">
        <v>4.91</v>
      </c>
      <c r="Q636" s="88"/>
      <c r="R636" s="121">
        <v>1.1264961221840588</v>
      </c>
      <c r="S636" s="115">
        <v>8.4</v>
      </c>
      <c r="T636" s="88"/>
      <c r="U636" s="88"/>
      <c r="V636" s="88"/>
      <c r="W636" s="88"/>
      <c r="X636" s="88"/>
      <c r="Y636" s="115">
        <v>11.200000000000001</v>
      </c>
      <c r="Z636" s="88"/>
      <c r="AA636" s="116"/>
      <c r="AB636" s="116"/>
      <c r="AC636" s="88"/>
      <c r="AD636" s="88">
        <v>160</v>
      </c>
      <c r="AE636" s="88">
        <v>80</v>
      </c>
      <c r="AF636" s="88">
        <v>760</v>
      </c>
      <c r="AG636" s="66">
        <f t="shared" si="18"/>
        <v>347.67857142857139</v>
      </c>
      <c r="AH636" s="143">
        <f t="shared" si="19"/>
        <v>1000</v>
      </c>
    </row>
    <row r="637" spans="1:34" s="118" customFormat="1" x14ac:dyDescent="0.3">
      <c r="A637" s="84">
        <v>803193</v>
      </c>
      <c r="B637" s="115">
        <v>37.5</v>
      </c>
      <c r="C637" s="115">
        <v>9.3800000000000008</v>
      </c>
      <c r="D637" s="116">
        <v>8.9600000000000009</v>
      </c>
      <c r="E637" s="1525">
        <v>0.126</v>
      </c>
      <c r="F637" s="89">
        <v>183</v>
      </c>
      <c r="G637" s="89"/>
      <c r="H637" s="89">
        <v>22</v>
      </c>
      <c r="I637" s="89">
        <v>666</v>
      </c>
      <c r="J637" s="117">
        <v>3.5000000000000003E-2</v>
      </c>
      <c r="K637" s="115">
        <v>11.2</v>
      </c>
      <c r="L637" s="88">
        <v>377</v>
      </c>
      <c r="M637" s="88">
        <v>0.57999999999999996</v>
      </c>
      <c r="N637" s="88">
        <v>0.41</v>
      </c>
      <c r="O637" s="88">
        <v>3.95</v>
      </c>
      <c r="P637" s="88">
        <v>1.84</v>
      </c>
      <c r="Q637" s="88"/>
      <c r="R637" s="121">
        <v>0.59604493173079198</v>
      </c>
      <c r="S637" s="115">
        <v>3.9</v>
      </c>
      <c r="T637" s="88"/>
      <c r="U637" s="88"/>
      <c r="V637" s="88"/>
      <c r="W637" s="88"/>
      <c r="X637" s="88"/>
      <c r="Y637" s="115">
        <v>11.200000000000001</v>
      </c>
      <c r="Z637" s="88"/>
      <c r="AA637" s="116"/>
      <c r="AB637" s="116"/>
      <c r="AC637" s="88"/>
      <c r="AD637" s="88">
        <v>160</v>
      </c>
      <c r="AE637" s="88">
        <v>100</v>
      </c>
      <c r="AF637" s="88">
        <v>740</v>
      </c>
      <c r="AG637" s="66">
        <f t="shared" si="18"/>
        <v>353.99999999999994</v>
      </c>
      <c r="AH637" s="143">
        <f t="shared" si="19"/>
        <v>1000</v>
      </c>
    </row>
    <row r="638" spans="1:34" s="118" customFormat="1" x14ac:dyDescent="0.3">
      <c r="A638" s="84">
        <v>803194</v>
      </c>
      <c r="B638" s="115">
        <v>34.799999999999997</v>
      </c>
      <c r="C638" s="115">
        <v>10.75</v>
      </c>
      <c r="D638" s="116">
        <v>8.0399999999999991</v>
      </c>
      <c r="E638" s="1525">
        <v>0.19500000000000001</v>
      </c>
      <c r="F638" s="89">
        <v>239</v>
      </c>
      <c r="G638" s="89"/>
      <c r="H638" s="89">
        <v>19</v>
      </c>
      <c r="I638" s="89">
        <v>535</v>
      </c>
      <c r="J638" s="117">
        <v>0.125</v>
      </c>
      <c r="K638" s="115">
        <v>12</v>
      </c>
      <c r="L638" s="88">
        <v>1495</v>
      </c>
      <c r="M638" s="88">
        <v>0.3</v>
      </c>
      <c r="N638" s="88">
        <v>0.5</v>
      </c>
      <c r="O638" s="88">
        <v>2.56</v>
      </c>
      <c r="P638" s="88">
        <v>3.3</v>
      </c>
      <c r="Q638" s="88"/>
      <c r="R638" s="121">
        <v>1.0770540274395153</v>
      </c>
      <c r="S638" s="115">
        <v>7.2</v>
      </c>
      <c r="T638" s="88"/>
      <c r="U638" s="88"/>
      <c r="V638" s="88"/>
      <c r="W638" s="88"/>
      <c r="X638" s="88"/>
      <c r="Y638" s="115">
        <v>11.200000000000001</v>
      </c>
      <c r="Z638" s="88"/>
      <c r="AA638" s="116"/>
      <c r="AB638" s="116"/>
      <c r="AC638" s="88"/>
      <c r="AD638" s="88">
        <v>160</v>
      </c>
      <c r="AE638" s="88">
        <v>100</v>
      </c>
      <c r="AF638" s="88">
        <v>740</v>
      </c>
      <c r="AG638" s="66">
        <f t="shared" si="18"/>
        <v>379.28571428571428</v>
      </c>
      <c r="AH638" s="143">
        <f t="shared" si="19"/>
        <v>1000</v>
      </c>
    </row>
    <row r="639" spans="1:34" s="118" customFormat="1" x14ac:dyDescent="0.3">
      <c r="A639" s="84">
        <v>803195</v>
      </c>
      <c r="B639" s="115">
        <v>32</v>
      </c>
      <c r="C639" s="115">
        <v>10.130000000000001</v>
      </c>
      <c r="D639" s="116">
        <v>8.76</v>
      </c>
      <c r="E639" s="1525">
        <v>0.159</v>
      </c>
      <c r="F639" s="89">
        <v>288</v>
      </c>
      <c r="G639" s="89"/>
      <c r="H639" s="89">
        <v>16</v>
      </c>
      <c r="I639" s="89">
        <v>328</v>
      </c>
      <c r="J639" s="117">
        <v>9.1999999999999998E-2</v>
      </c>
      <c r="K639" s="115">
        <v>12.5</v>
      </c>
      <c r="L639" s="88">
        <v>1547</v>
      </c>
      <c r="M639" s="88">
        <v>0.15</v>
      </c>
      <c r="N639" s="88">
        <v>0.47</v>
      </c>
      <c r="O639" s="88">
        <v>1.7</v>
      </c>
      <c r="P639" s="88">
        <v>3.35</v>
      </c>
      <c r="Q639" s="88"/>
      <c r="R639" s="121">
        <v>0.72885817201914094</v>
      </c>
      <c r="S639" s="115">
        <v>5.3</v>
      </c>
      <c r="T639" s="88"/>
      <c r="U639" s="88"/>
      <c r="V639" s="88"/>
      <c r="W639" s="88"/>
      <c r="X639" s="88"/>
      <c r="Y639" s="115">
        <v>9.1000000000000014</v>
      </c>
      <c r="Z639" s="88"/>
      <c r="AA639" s="116"/>
      <c r="AB639" s="116"/>
      <c r="AC639" s="88"/>
      <c r="AD639" s="88">
        <v>130</v>
      </c>
      <c r="AE639" s="88">
        <v>110</v>
      </c>
      <c r="AF639" s="88">
        <v>760</v>
      </c>
      <c r="AG639" s="66">
        <f t="shared" si="18"/>
        <v>486.26373626373618</v>
      </c>
      <c r="AH639" s="143">
        <f t="shared" si="19"/>
        <v>1000</v>
      </c>
    </row>
    <row r="640" spans="1:34" s="118" customFormat="1" x14ac:dyDescent="0.3">
      <c r="A640" s="84">
        <v>803196</v>
      </c>
      <c r="B640" s="115">
        <v>32.799999999999997</v>
      </c>
      <c r="C640" s="115">
        <v>9.25</v>
      </c>
      <c r="D640" s="116">
        <v>8.98</v>
      </c>
      <c r="E640" s="1525">
        <v>0.17100000000000001</v>
      </c>
      <c r="F640" s="89">
        <v>275</v>
      </c>
      <c r="G640" s="89"/>
      <c r="H640" s="89">
        <v>27</v>
      </c>
      <c r="I640" s="89">
        <v>511</v>
      </c>
      <c r="J640" s="117">
        <v>8.4000000000000005E-2</v>
      </c>
      <c r="K640" s="115">
        <v>13.8</v>
      </c>
      <c r="L640" s="88">
        <v>1404</v>
      </c>
      <c r="M640" s="88">
        <v>0.27</v>
      </c>
      <c r="N640" s="88">
        <v>0.56000000000000005</v>
      </c>
      <c r="O640" s="88">
        <v>2.11</v>
      </c>
      <c r="P640" s="88">
        <v>5.59</v>
      </c>
      <c r="Q640" s="88"/>
      <c r="R640" s="121">
        <v>1.0890189772741588</v>
      </c>
      <c r="S640" s="115">
        <v>7.2</v>
      </c>
      <c r="T640" s="88"/>
      <c r="U640" s="88"/>
      <c r="V640" s="88"/>
      <c r="W640" s="88"/>
      <c r="X640" s="88"/>
      <c r="Y640" s="115">
        <v>9.1000000000000014</v>
      </c>
      <c r="Z640" s="88"/>
      <c r="AA640" s="116"/>
      <c r="AB640" s="116"/>
      <c r="AC640" s="88"/>
      <c r="AD640" s="88">
        <v>130</v>
      </c>
      <c r="AE640" s="88">
        <v>110</v>
      </c>
      <c r="AF640" s="88">
        <v>760</v>
      </c>
      <c r="AG640" s="66">
        <f t="shared" si="18"/>
        <v>536.83516483516485</v>
      </c>
      <c r="AH640" s="143">
        <f t="shared" si="19"/>
        <v>1000</v>
      </c>
    </row>
    <row r="641" spans="1:34" s="118" customFormat="1" x14ac:dyDescent="0.3">
      <c r="A641" s="84">
        <v>803197</v>
      </c>
      <c r="B641" s="115">
        <v>30.5</v>
      </c>
      <c r="C641" s="115">
        <v>9.5</v>
      </c>
      <c r="D641" s="116">
        <v>8.99</v>
      </c>
      <c r="E641" s="1525">
        <v>0.16200000000000001</v>
      </c>
      <c r="F641" s="89">
        <v>163</v>
      </c>
      <c r="G641" s="89"/>
      <c r="H641" s="89">
        <v>21</v>
      </c>
      <c r="I641" s="89">
        <v>993</v>
      </c>
      <c r="J641" s="117">
        <v>2.5000000000000001E-2</v>
      </c>
      <c r="K641" s="115">
        <v>11.5</v>
      </c>
      <c r="L641" s="88">
        <v>364</v>
      </c>
      <c r="M641" s="88">
        <v>1.1000000000000001</v>
      </c>
      <c r="N641" s="88">
        <v>0.7</v>
      </c>
      <c r="O641" s="88">
        <v>4.46</v>
      </c>
      <c r="P641" s="88">
        <v>1.46</v>
      </c>
      <c r="Q641" s="88"/>
      <c r="R641" s="121">
        <v>0.74895837917837271</v>
      </c>
      <c r="S641" s="115">
        <v>5.0999999999999996</v>
      </c>
      <c r="T641" s="88"/>
      <c r="U641" s="88"/>
      <c r="V641" s="88"/>
      <c r="W641" s="88"/>
      <c r="X641" s="88"/>
      <c r="Y641" s="115">
        <v>9.1000000000000014</v>
      </c>
      <c r="Z641" s="88"/>
      <c r="AA641" s="116"/>
      <c r="AB641" s="116"/>
      <c r="AC641" s="88"/>
      <c r="AD641" s="88">
        <v>130</v>
      </c>
      <c r="AE641" s="88">
        <v>90</v>
      </c>
      <c r="AF641" s="88">
        <v>780</v>
      </c>
      <c r="AG641" s="66">
        <f t="shared" si="18"/>
        <v>447.36263736263732</v>
      </c>
      <c r="AH641" s="143">
        <f t="shared" si="19"/>
        <v>1000</v>
      </c>
    </row>
    <row r="642" spans="1:34" s="118" customFormat="1" x14ac:dyDescent="0.3">
      <c r="A642" s="84">
        <v>803198</v>
      </c>
      <c r="B642" s="115">
        <v>31.7</v>
      </c>
      <c r="C642" s="115">
        <v>9.3800000000000008</v>
      </c>
      <c r="D642" s="116">
        <v>8.56</v>
      </c>
      <c r="E642" s="1525">
        <v>0.19500000000000001</v>
      </c>
      <c r="F642" s="89">
        <v>174</v>
      </c>
      <c r="G642" s="89"/>
      <c r="H642" s="89">
        <v>42</v>
      </c>
      <c r="I642" s="89">
        <v>593</v>
      </c>
      <c r="J642" s="117">
        <v>3.7999999999999999E-2</v>
      </c>
      <c r="K642" s="115">
        <v>13</v>
      </c>
      <c r="L642" s="88">
        <v>598</v>
      </c>
      <c r="M642" s="88">
        <v>0.4</v>
      </c>
      <c r="N642" s="88">
        <v>0.52</v>
      </c>
      <c r="O642" s="88">
        <v>3.3</v>
      </c>
      <c r="P642" s="88">
        <v>2.81</v>
      </c>
      <c r="Q642" s="88"/>
      <c r="R642" s="121">
        <v>0.81058023868156026</v>
      </c>
      <c r="S642" s="115">
        <v>5.8</v>
      </c>
      <c r="T642" s="88"/>
      <c r="U642" s="88"/>
      <c r="V642" s="88"/>
      <c r="W642" s="88"/>
      <c r="X642" s="88"/>
      <c r="Y642" s="115">
        <v>9.1000000000000014</v>
      </c>
      <c r="Z642" s="88"/>
      <c r="AA642" s="116"/>
      <c r="AB642" s="116"/>
      <c r="AC642" s="88"/>
      <c r="AD642" s="88">
        <v>130</v>
      </c>
      <c r="AE642" s="88">
        <v>70</v>
      </c>
      <c r="AF642" s="88">
        <v>800</v>
      </c>
      <c r="AG642" s="66">
        <f t="shared" ref="AG642:AG705" si="20">+K642*3.54*100/Y642</f>
        <v>505.71428571428561</v>
      </c>
      <c r="AH642" s="143">
        <f t="shared" ref="AH642:AH705" si="21">+SUM(AD642:AF642)</f>
        <v>1000</v>
      </c>
    </row>
    <row r="643" spans="1:34" s="118" customFormat="1" x14ac:dyDescent="0.3">
      <c r="A643" s="84">
        <v>803199</v>
      </c>
      <c r="B643" s="115">
        <v>31.3</v>
      </c>
      <c r="C643" s="115">
        <v>10.130000000000001</v>
      </c>
      <c r="D643" s="116">
        <v>8.65</v>
      </c>
      <c r="E643" s="1525">
        <v>0.124</v>
      </c>
      <c r="F643" s="89">
        <v>198</v>
      </c>
      <c r="G643" s="89"/>
      <c r="H643" s="89">
        <v>23</v>
      </c>
      <c r="I643" s="89">
        <v>440</v>
      </c>
      <c r="J643" s="117">
        <v>0.129</v>
      </c>
      <c r="K643" s="115">
        <v>14.1</v>
      </c>
      <c r="L643" s="88">
        <v>1872</v>
      </c>
      <c r="M643" s="88">
        <v>0.24</v>
      </c>
      <c r="N643" s="88">
        <v>0.56999999999999995</v>
      </c>
      <c r="O643" s="88">
        <v>2.65</v>
      </c>
      <c r="P643" s="88">
        <v>6.24</v>
      </c>
      <c r="Q643" s="88"/>
      <c r="R643" s="121">
        <v>0.70297438161593295</v>
      </c>
      <c r="S643" s="115">
        <v>5</v>
      </c>
      <c r="T643" s="88"/>
      <c r="U643" s="88"/>
      <c r="V643" s="88"/>
      <c r="W643" s="88"/>
      <c r="X643" s="88"/>
      <c r="Y643" s="115">
        <v>8.4</v>
      </c>
      <c r="Z643" s="88"/>
      <c r="AA643" s="116"/>
      <c r="AB643" s="116"/>
      <c r="AC643" s="88"/>
      <c r="AD643" s="88">
        <v>120</v>
      </c>
      <c r="AE643" s="88">
        <v>100</v>
      </c>
      <c r="AF643" s="88">
        <v>780</v>
      </c>
      <c r="AG643" s="66">
        <f t="shared" si="20"/>
        <v>594.21428571428578</v>
      </c>
      <c r="AH643" s="143">
        <f t="shared" si="21"/>
        <v>1000</v>
      </c>
    </row>
    <row r="644" spans="1:34" s="118" customFormat="1" x14ac:dyDescent="0.3">
      <c r="A644" s="84">
        <v>803200</v>
      </c>
      <c r="B644" s="115">
        <v>28.7</v>
      </c>
      <c r="C644" s="115">
        <v>10.130000000000001</v>
      </c>
      <c r="D644" s="116">
        <v>8.3699999999999992</v>
      </c>
      <c r="E644" s="1525">
        <v>0.16500000000000001</v>
      </c>
      <c r="F644" s="89">
        <v>157</v>
      </c>
      <c r="G644" s="89"/>
      <c r="H644" s="89">
        <v>26</v>
      </c>
      <c r="I644" s="89">
        <v>487</v>
      </c>
      <c r="J644" s="117">
        <v>6.4000000000000001E-2</v>
      </c>
      <c r="K644" s="115">
        <v>13.6</v>
      </c>
      <c r="L644" s="88">
        <v>923</v>
      </c>
      <c r="M644" s="88">
        <v>0.17</v>
      </c>
      <c r="N644" s="88">
        <v>0.47</v>
      </c>
      <c r="O644" s="88">
        <v>2.7</v>
      </c>
      <c r="P644" s="88">
        <v>3.93</v>
      </c>
      <c r="Q644" s="88"/>
      <c r="R644" s="121">
        <v>0.80737377986994596</v>
      </c>
      <c r="S644" s="115">
        <v>5.4</v>
      </c>
      <c r="T644" s="88"/>
      <c r="U644" s="88"/>
      <c r="V644" s="88"/>
      <c r="W644" s="88"/>
      <c r="X644" s="88"/>
      <c r="Y644" s="115">
        <v>5.6000000000000005</v>
      </c>
      <c r="Z644" s="88"/>
      <c r="AA644" s="116"/>
      <c r="AB644" s="116"/>
      <c r="AC644" s="88"/>
      <c r="AD644" s="88">
        <v>80</v>
      </c>
      <c r="AE644" s="88">
        <v>80</v>
      </c>
      <c r="AF644" s="88">
        <v>840</v>
      </c>
      <c r="AG644" s="66">
        <f t="shared" si="20"/>
        <v>859.71428571428555</v>
      </c>
      <c r="AH644" s="143">
        <f t="shared" si="21"/>
        <v>1000</v>
      </c>
    </row>
    <row r="645" spans="1:34" s="118" customFormat="1" x14ac:dyDescent="0.3">
      <c r="A645" s="84">
        <v>803201</v>
      </c>
      <c r="B645" s="115">
        <v>30.7</v>
      </c>
      <c r="C645" s="115">
        <v>9</v>
      </c>
      <c r="D645" s="116">
        <v>8.24</v>
      </c>
      <c r="E645" s="1525">
        <v>0.192</v>
      </c>
      <c r="F645" s="89">
        <v>193</v>
      </c>
      <c r="G645" s="89"/>
      <c r="H645" s="89">
        <v>53</v>
      </c>
      <c r="I645" s="89">
        <v>574</v>
      </c>
      <c r="J645" s="117">
        <v>2.7E-2</v>
      </c>
      <c r="K645" s="115">
        <v>12.1</v>
      </c>
      <c r="L645" s="88">
        <v>429</v>
      </c>
      <c r="M645" s="88">
        <v>0.48</v>
      </c>
      <c r="N645" s="88">
        <v>0.49</v>
      </c>
      <c r="O645" s="88">
        <v>3.64</v>
      </c>
      <c r="P645" s="88">
        <v>2.75</v>
      </c>
      <c r="Q645" s="88"/>
      <c r="R645" s="121">
        <v>0.61100502656189437</v>
      </c>
      <c r="S645" s="115">
        <v>4.0999999999999996</v>
      </c>
      <c r="T645" s="88"/>
      <c r="U645" s="88"/>
      <c r="V645" s="88"/>
      <c r="W645" s="88"/>
      <c r="X645" s="88"/>
      <c r="Y645" s="115">
        <v>25.666666666666671</v>
      </c>
      <c r="Z645" s="88"/>
      <c r="AA645" s="116"/>
      <c r="AB645" s="116"/>
      <c r="AC645" s="88"/>
      <c r="AD645" s="88">
        <v>440</v>
      </c>
      <c r="AE645" s="88">
        <v>200</v>
      </c>
      <c r="AF645" s="88">
        <v>360</v>
      </c>
      <c r="AG645" s="66">
        <f t="shared" si="20"/>
        <v>166.88571428571424</v>
      </c>
      <c r="AH645" s="143">
        <f t="shared" si="21"/>
        <v>1000</v>
      </c>
    </row>
    <row r="646" spans="1:34" s="118" customFormat="1" x14ac:dyDescent="0.3">
      <c r="A646" s="84">
        <v>803202</v>
      </c>
      <c r="B646" s="115">
        <v>15.3</v>
      </c>
      <c r="C646" s="115">
        <v>3.13</v>
      </c>
      <c r="D646" s="116">
        <v>8.85</v>
      </c>
      <c r="E646" s="1525">
        <v>0.154</v>
      </c>
      <c r="F646" s="89">
        <v>158</v>
      </c>
      <c r="G646" s="89"/>
      <c r="H646" s="89">
        <v>18</v>
      </c>
      <c r="I646" s="89">
        <v>326</v>
      </c>
      <c r="J646" s="117">
        <v>7.5999999999999998E-2</v>
      </c>
      <c r="K646" s="115">
        <v>13</v>
      </c>
      <c r="L646" s="88">
        <v>1092</v>
      </c>
      <c r="M646" s="88">
        <v>0.37</v>
      </c>
      <c r="N646" s="88">
        <v>5.66</v>
      </c>
      <c r="O646" s="88">
        <v>2.83</v>
      </c>
      <c r="P646" s="88">
        <v>2.78</v>
      </c>
      <c r="Q646" s="88"/>
      <c r="R646" s="121">
        <v>0.5391811680901154</v>
      </c>
      <c r="S646" s="115">
        <v>3.7</v>
      </c>
      <c r="T646" s="88"/>
      <c r="U646" s="88"/>
      <c r="V646" s="88"/>
      <c r="W646" s="88"/>
      <c r="X646" s="88"/>
      <c r="Y646" s="115">
        <v>25.666666666666671</v>
      </c>
      <c r="Z646" s="88"/>
      <c r="AA646" s="116"/>
      <c r="AB646" s="116"/>
      <c r="AC646" s="88"/>
      <c r="AD646" s="88">
        <v>440</v>
      </c>
      <c r="AE646" s="88">
        <v>190</v>
      </c>
      <c r="AF646" s="88">
        <v>370</v>
      </c>
      <c r="AG646" s="66">
        <f t="shared" si="20"/>
        <v>179.29870129870127</v>
      </c>
      <c r="AH646" s="143">
        <f t="shared" si="21"/>
        <v>1000</v>
      </c>
    </row>
    <row r="647" spans="1:34" s="118" customFormat="1" x14ac:dyDescent="0.3">
      <c r="A647" s="84">
        <v>803203</v>
      </c>
      <c r="B647" s="115">
        <v>15.2</v>
      </c>
      <c r="C647" s="115">
        <v>2.63</v>
      </c>
      <c r="D647" s="116">
        <v>8.59</v>
      </c>
      <c r="E647" s="1525">
        <v>0.19</v>
      </c>
      <c r="F647" s="89">
        <v>232</v>
      </c>
      <c r="G647" s="89"/>
      <c r="H647" s="89">
        <v>63</v>
      </c>
      <c r="I647" s="89">
        <v>368</v>
      </c>
      <c r="J647" s="117">
        <v>8.7999999999999995E-2</v>
      </c>
      <c r="K647" s="115">
        <v>11.8</v>
      </c>
      <c r="L647" s="88">
        <v>1001</v>
      </c>
      <c r="M647" s="88">
        <v>0.7</v>
      </c>
      <c r="N647" s="88">
        <v>4.22</v>
      </c>
      <c r="O647" s="88">
        <v>5.2</v>
      </c>
      <c r="P647" s="88">
        <v>3.03</v>
      </c>
      <c r="Q647" s="88"/>
      <c r="R647" s="121">
        <v>0.62494230955146191</v>
      </c>
      <c r="S647" s="115">
        <v>4.5</v>
      </c>
      <c r="T647" s="88"/>
      <c r="U647" s="88"/>
      <c r="V647" s="88"/>
      <c r="W647" s="88"/>
      <c r="X647" s="88"/>
      <c r="Y647" s="115">
        <v>26.250000000000004</v>
      </c>
      <c r="Z647" s="88"/>
      <c r="AA647" s="116"/>
      <c r="AB647" s="116"/>
      <c r="AC647" s="88"/>
      <c r="AD647" s="88">
        <v>450</v>
      </c>
      <c r="AE647" s="88">
        <v>190</v>
      </c>
      <c r="AF647" s="88">
        <v>360</v>
      </c>
      <c r="AG647" s="66">
        <f t="shared" si="20"/>
        <v>159.13142857142859</v>
      </c>
      <c r="AH647" s="143">
        <f t="shared" si="21"/>
        <v>1000</v>
      </c>
    </row>
    <row r="648" spans="1:34" s="118" customFormat="1" x14ac:dyDescent="0.3">
      <c r="A648" s="84">
        <v>803204</v>
      </c>
      <c r="B648" s="115">
        <v>15</v>
      </c>
      <c r="C648" s="115">
        <v>2.38</v>
      </c>
      <c r="D648" s="116">
        <v>8.86</v>
      </c>
      <c r="E648" s="1525">
        <v>0.17399999999999999</v>
      </c>
      <c r="F648" s="89">
        <v>199</v>
      </c>
      <c r="G648" s="89"/>
      <c r="H648" s="89">
        <v>44</v>
      </c>
      <c r="I648" s="89">
        <v>536</v>
      </c>
      <c r="J648" s="117">
        <v>7.0000000000000007E-2</v>
      </c>
      <c r="K648" s="115">
        <v>10.5</v>
      </c>
      <c r="L648" s="88">
        <v>1560</v>
      </c>
      <c r="M648" s="88">
        <v>0.9</v>
      </c>
      <c r="N648" s="88">
        <v>4.8899999999999997</v>
      </c>
      <c r="O648" s="88">
        <v>11.89</v>
      </c>
      <c r="P648" s="88">
        <v>8.89</v>
      </c>
      <c r="Q648" s="88"/>
      <c r="R648" s="121">
        <v>0.61370018992485298</v>
      </c>
      <c r="S648" s="115">
        <v>4</v>
      </c>
      <c r="T648" s="88"/>
      <c r="U648" s="88"/>
      <c r="V648" s="88"/>
      <c r="W648" s="88"/>
      <c r="X648" s="88"/>
      <c r="Y648" s="115">
        <v>26.250000000000004</v>
      </c>
      <c r="Z648" s="88"/>
      <c r="AA648" s="116"/>
      <c r="AB648" s="116"/>
      <c r="AC648" s="88"/>
      <c r="AD648" s="88">
        <v>450</v>
      </c>
      <c r="AE648" s="88">
        <v>190</v>
      </c>
      <c r="AF648" s="88">
        <v>360</v>
      </c>
      <c r="AG648" s="66">
        <f t="shared" si="20"/>
        <v>141.6</v>
      </c>
      <c r="AH648" s="143">
        <f t="shared" si="21"/>
        <v>1000</v>
      </c>
    </row>
    <row r="649" spans="1:34" s="118" customFormat="1" x14ac:dyDescent="0.3">
      <c r="A649" s="84">
        <v>803205</v>
      </c>
      <c r="B649" s="115">
        <v>15.5</v>
      </c>
      <c r="C649" s="115">
        <v>2.88</v>
      </c>
      <c r="D649" s="116">
        <v>8.6300000000000008</v>
      </c>
      <c r="E649" s="1525">
        <v>0.16400000000000001</v>
      </c>
      <c r="F649" s="89">
        <v>264</v>
      </c>
      <c r="G649" s="89"/>
      <c r="H649" s="89">
        <v>67</v>
      </c>
      <c r="I649" s="89">
        <v>684</v>
      </c>
      <c r="J649" s="117">
        <v>0.81200000000000006</v>
      </c>
      <c r="K649" s="115">
        <v>10.3</v>
      </c>
      <c r="L649" s="88">
        <v>1014</v>
      </c>
      <c r="M649" s="88">
        <v>0.86</v>
      </c>
      <c r="N649" s="88">
        <v>0.75</v>
      </c>
      <c r="O649" s="88">
        <v>5.03</v>
      </c>
      <c r="P649" s="88">
        <v>2.92</v>
      </c>
      <c r="Q649" s="88"/>
      <c r="R649" s="121">
        <v>0.56016744129477747</v>
      </c>
      <c r="S649" s="115">
        <v>4</v>
      </c>
      <c r="T649" s="88"/>
      <c r="U649" s="88"/>
      <c r="V649" s="88"/>
      <c r="W649" s="88"/>
      <c r="X649" s="88"/>
      <c r="Y649" s="115">
        <v>23.333333333333336</v>
      </c>
      <c r="Z649" s="88"/>
      <c r="AA649" s="116"/>
      <c r="AB649" s="116"/>
      <c r="AC649" s="88"/>
      <c r="AD649" s="88">
        <v>400</v>
      </c>
      <c r="AE649" s="88">
        <v>360</v>
      </c>
      <c r="AF649" s="88">
        <v>240</v>
      </c>
      <c r="AG649" s="66">
        <f t="shared" si="20"/>
        <v>156.26571428571427</v>
      </c>
      <c r="AH649" s="143">
        <f t="shared" si="21"/>
        <v>1000</v>
      </c>
    </row>
    <row r="650" spans="1:34" s="118" customFormat="1" x14ac:dyDescent="0.3">
      <c r="A650" s="84">
        <v>803206</v>
      </c>
      <c r="B650" s="115">
        <v>16.3</v>
      </c>
      <c r="C650" s="115">
        <v>3.13</v>
      </c>
      <c r="D650" s="116">
        <v>8.7200000000000006</v>
      </c>
      <c r="E650" s="1525">
        <v>0.126</v>
      </c>
      <c r="F650" s="89">
        <v>157</v>
      </c>
      <c r="G650" s="89"/>
      <c r="H650" s="89">
        <v>55</v>
      </c>
      <c r="I650" s="89">
        <v>574</v>
      </c>
      <c r="J650" s="117">
        <v>0.54400000000000004</v>
      </c>
      <c r="K650" s="115">
        <v>11.6</v>
      </c>
      <c r="L650" s="88">
        <v>897</v>
      </c>
      <c r="M650" s="88">
        <v>1.56</v>
      </c>
      <c r="N650" s="88">
        <v>0.7</v>
      </c>
      <c r="O650" s="88">
        <v>5.12</v>
      </c>
      <c r="P650" s="88">
        <v>3.49</v>
      </c>
      <c r="Q650" s="88"/>
      <c r="R650" s="121">
        <v>0.57785351889848713</v>
      </c>
      <c r="S650" s="115">
        <v>3.8</v>
      </c>
      <c r="T650" s="88"/>
      <c r="U650" s="88"/>
      <c r="V650" s="88"/>
      <c r="W650" s="88"/>
      <c r="X650" s="88"/>
      <c r="Y650" s="115">
        <v>23.333333333333336</v>
      </c>
      <c r="Z650" s="88"/>
      <c r="AA650" s="116"/>
      <c r="AB650" s="116"/>
      <c r="AC650" s="88"/>
      <c r="AD650" s="88">
        <v>400</v>
      </c>
      <c r="AE650" s="88">
        <v>440</v>
      </c>
      <c r="AF650" s="88">
        <v>160</v>
      </c>
      <c r="AG650" s="66">
        <f t="shared" si="20"/>
        <v>175.98857142857139</v>
      </c>
      <c r="AH650" s="143">
        <f t="shared" si="21"/>
        <v>1000</v>
      </c>
    </row>
    <row r="651" spans="1:34" s="118" customFormat="1" x14ac:dyDescent="0.3">
      <c r="A651" s="84">
        <v>803207</v>
      </c>
      <c r="B651" s="115">
        <v>16.399999999999999</v>
      </c>
      <c r="C651" s="115">
        <v>3.63</v>
      </c>
      <c r="D651" s="116">
        <v>8.2899999999999991</v>
      </c>
      <c r="E651" s="1525">
        <v>0.128</v>
      </c>
      <c r="F651" s="89">
        <v>100</v>
      </c>
      <c r="G651" s="89"/>
      <c r="H651" s="89">
        <v>54</v>
      </c>
      <c r="I651" s="89">
        <v>549</v>
      </c>
      <c r="J651" s="117">
        <v>0.03</v>
      </c>
      <c r="K651" s="115">
        <v>12.8</v>
      </c>
      <c r="L651" s="88">
        <v>377</v>
      </c>
      <c r="M651" s="88">
        <v>0.08</v>
      </c>
      <c r="N651" s="88">
        <v>0.13</v>
      </c>
      <c r="O651" s="88">
        <v>6.46</v>
      </c>
      <c r="P651" s="88">
        <v>4.5</v>
      </c>
      <c r="Q651" s="88"/>
      <c r="R651" s="121">
        <v>0.97458017489062954</v>
      </c>
      <c r="S651" s="115">
        <v>7.3</v>
      </c>
      <c r="T651" s="88"/>
      <c r="U651" s="88"/>
      <c r="V651" s="88"/>
      <c r="W651" s="88"/>
      <c r="X651" s="88"/>
      <c r="Y651" s="115">
        <v>23.333333333333336</v>
      </c>
      <c r="Z651" s="88"/>
      <c r="AA651" s="116"/>
      <c r="AB651" s="116"/>
      <c r="AC651" s="88"/>
      <c r="AD651" s="88">
        <v>400</v>
      </c>
      <c r="AE651" s="88">
        <v>420</v>
      </c>
      <c r="AF651" s="88">
        <v>180</v>
      </c>
      <c r="AG651" s="66">
        <f t="shared" si="20"/>
        <v>194.19428571428571</v>
      </c>
      <c r="AH651" s="143">
        <f t="shared" si="21"/>
        <v>1000</v>
      </c>
    </row>
    <row r="652" spans="1:34" s="118" customFormat="1" x14ac:dyDescent="0.3">
      <c r="A652" s="84">
        <v>803208</v>
      </c>
      <c r="B652" s="115">
        <v>13.3</v>
      </c>
      <c r="C652" s="115">
        <v>1.88</v>
      </c>
      <c r="D652" s="116">
        <v>8.52</v>
      </c>
      <c r="E652" s="1525">
        <v>0.17100000000000001</v>
      </c>
      <c r="F652" s="89">
        <v>261</v>
      </c>
      <c r="G652" s="89"/>
      <c r="H652" s="89">
        <v>51</v>
      </c>
      <c r="I652" s="89">
        <v>496</v>
      </c>
      <c r="J652" s="117">
        <v>2.1999999999999999E-2</v>
      </c>
      <c r="K652" s="115">
        <v>10.6</v>
      </c>
      <c r="L652" s="88">
        <v>1010</v>
      </c>
      <c r="M652" s="88">
        <v>0.11</v>
      </c>
      <c r="N652" s="88">
        <v>0.48</v>
      </c>
      <c r="O652" s="88">
        <v>0.92</v>
      </c>
      <c r="P652" s="88">
        <v>2.6</v>
      </c>
      <c r="Q652" s="88"/>
      <c r="R652" s="121">
        <v>1.1750205548503641</v>
      </c>
      <c r="S652" s="115">
        <v>8.8000000000000007</v>
      </c>
      <c r="T652" s="88"/>
      <c r="U652" s="88"/>
      <c r="V652" s="88"/>
      <c r="W652" s="88"/>
      <c r="X652" s="88"/>
      <c r="Y652" s="115">
        <v>9.8000000000000007</v>
      </c>
      <c r="Z652" s="88"/>
      <c r="AA652" s="116"/>
      <c r="AB652" s="116"/>
      <c r="AC652" s="88"/>
      <c r="AD652" s="88">
        <v>140</v>
      </c>
      <c r="AE652" s="88">
        <v>100</v>
      </c>
      <c r="AF652" s="88">
        <v>760</v>
      </c>
      <c r="AG652" s="66">
        <f t="shared" si="20"/>
        <v>382.89795918367344</v>
      </c>
      <c r="AH652" s="143">
        <f t="shared" si="21"/>
        <v>1000</v>
      </c>
    </row>
    <row r="653" spans="1:34" s="118" customFormat="1" x14ac:dyDescent="0.3">
      <c r="A653" s="84">
        <v>803209</v>
      </c>
      <c r="B653" s="115">
        <v>0.41666666666666669</v>
      </c>
      <c r="C653" s="115"/>
      <c r="D653" s="116">
        <v>7.41</v>
      </c>
      <c r="E653" s="1525">
        <v>3.4000000000000002E-2</v>
      </c>
      <c r="F653" s="89">
        <v>3.8</v>
      </c>
      <c r="G653" s="89"/>
      <c r="H653" s="89">
        <v>105.66</v>
      </c>
      <c r="I653" s="89">
        <v>40</v>
      </c>
      <c r="J653" s="117">
        <v>3.1E-2</v>
      </c>
      <c r="K653" s="115">
        <v>0.63</v>
      </c>
      <c r="L653" s="88">
        <v>104</v>
      </c>
      <c r="M653" s="88">
        <v>0.98</v>
      </c>
      <c r="N653" s="88">
        <v>0.78</v>
      </c>
      <c r="O653" s="88">
        <v>2.8</v>
      </c>
      <c r="P653" s="88">
        <v>23.14</v>
      </c>
      <c r="Q653" s="88"/>
      <c r="R653" s="121">
        <v>0.70592373454782142</v>
      </c>
      <c r="S653" s="115">
        <v>4.5999999999999996</v>
      </c>
      <c r="T653" s="88"/>
      <c r="U653" s="88"/>
      <c r="V653" s="88"/>
      <c r="W653" s="88"/>
      <c r="X653" s="88"/>
      <c r="Y653" s="115">
        <v>4.2</v>
      </c>
      <c r="Z653" s="88"/>
      <c r="AA653" s="116"/>
      <c r="AB653" s="116"/>
      <c r="AC653" s="88"/>
      <c r="AD653" s="88">
        <v>60</v>
      </c>
      <c r="AE653" s="88">
        <v>60</v>
      </c>
      <c r="AF653" s="88">
        <v>880</v>
      </c>
      <c r="AG653" s="66">
        <f t="shared" si="20"/>
        <v>53.099999999999994</v>
      </c>
      <c r="AH653" s="143">
        <f t="shared" si="21"/>
        <v>1000</v>
      </c>
    </row>
    <row r="654" spans="1:34" s="118" customFormat="1" x14ac:dyDescent="0.3">
      <c r="A654" s="84">
        <v>803210</v>
      </c>
      <c r="B654" s="115">
        <v>26</v>
      </c>
      <c r="C654" s="115">
        <v>10.25</v>
      </c>
      <c r="D654" s="116">
        <v>8.8000000000000007</v>
      </c>
      <c r="E654" s="1525">
        <v>0.223</v>
      </c>
      <c r="F654" s="89">
        <v>1</v>
      </c>
      <c r="G654" s="89"/>
      <c r="H654" s="89">
        <v>99.3</v>
      </c>
      <c r="I654" s="89">
        <v>590</v>
      </c>
      <c r="J654" s="117">
        <v>0.17299999999999999</v>
      </c>
      <c r="K654" s="115">
        <v>6.94</v>
      </c>
      <c r="L654" s="88">
        <v>2033.9999999999998</v>
      </c>
      <c r="M654" s="88">
        <v>1.35</v>
      </c>
      <c r="N654" s="88">
        <v>1.1599999999999999</v>
      </c>
      <c r="O654" s="88">
        <v>2.99</v>
      </c>
      <c r="P654" s="88">
        <v>19.68</v>
      </c>
      <c r="Q654" s="88"/>
      <c r="R654" s="121">
        <v>1.2062851773401706</v>
      </c>
      <c r="S654" s="115">
        <v>8.5</v>
      </c>
      <c r="T654" s="88"/>
      <c r="U654" s="88"/>
      <c r="V654" s="88"/>
      <c r="W654" s="88"/>
      <c r="X654" s="88"/>
      <c r="Y654" s="115">
        <v>22.400000000000002</v>
      </c>
      <c r="Z654" s="88"/>
      <c r="AA654" s="116"/>
      <c r="AB654" s="116"/>
      <c r="AC654" s="88"/>
      <c r="AD654" s="88">
        <v>560</v>
      </c>
      <c r="AE654" s="88">
        <v>180</v>
      </c>
      <c r="AF654" s="88">
        <v>260</v>
      </c>
      <c r="AG654" s="66">
        <f t="shared" si="20"/>
        <v>109.67678571428571</v>
      </c>
      <c r="AH654" s="143">
        <f t="shared" si="21"/>
        <v>1000</v>
      </c>
    </row>
    <row r="655" spans="1:34" s="118" customFormat="1" x14ac:dyDescent="0.3">
      <c r="A655" s="84">
        <v>803211</v>
      </c>
      <c r="B655" s="115">
        <v>5.6249999999999991</v>
      </c>
      <c r="C655" s="115"/>
      <c r="D655" s="116">
        <v>8.66</v>
      </c>
      <c r="E655" s="1525">
        <v>0.40200000000000002</v>
      </c>
      <c r="F655" s="89">
        <v>172.85</v>
      </c>
      <c r="G655" s="89"/>
      <c r="H655" s="89">
        <v>36.32</v>
      </c>
      <c r="I655" s="89">
        <v>150</v>
      </c>
      <c r="J655" s="117">
        <v>0.223</v>
      </c>
      <c r="K655" s="115">
        <v>7.12</v>
      </c>
      <c r="L655" s="88">
        <v>942</v>
      </c>
      <c r="M655" s="88">
        <v>0.35</v>
      </c>
      <c r="N655" s="88">
        <v>0.47</v>
      </c>
      <c r="O655" s="88">
        <v>1.4</v>
      </c>
      <c r="P655" s="88">
        <v>3.49</v>
      </c>
      <c r="Q655" s="88"/>
      <c r="R655" s="121">
        <v>0.59931820316605255</v>
      </c>
      <c r="S655" s="115">
        <v>3.9</v>
      </c>
      <c r="T655" s="88"/>
      <c r="U655" s="88"/>
      <c r="V655" s="88"/>
      <c r="W655" s="88"/>
      <c r="X655" s="88"/>
      <c r="Y655" s="115">
        <v>19.600000000000001</v>
      </c>
      <c r="Z655" s="88"/>
      <c r="AA655" s="116"/>
      <c r="AB655" s="116"/>
      <c r="AC655" s="88"/>
      <c r="AD655" s="88">
        <v>280</v>
      </c>
      <c r="AE655" s="88">
        <v>120</v>
      </c>
      <c r="AF655" s="88">
        <v>600</v>
      </c>
      <c r="AG655" s="66">
        <f t="shared" si="20"/>
        <v>128.59591836734694</v>
      </c>
      <c r="AH655" s="143">
        <f t="shared" si="21"/>
        <v>1000</v>
      </c>
    </row>
    <row r="656" spans="1:34" s="118" customFormat="1" x14ac:dyDescent="0.3">
      <c r="A656" s="84">
        <v>803212</v>
      </c>
      <c r="B656" s="115">
        <v>3.1666666666666661</v>
      </c>
      <c r="C656" s="115"/>
      <c r="D656" s="116">
        <v>8.93</v>
      </c>
      <c r="E656" s="1525">
        <v>0.112</v>
      </c>
      <c r="F656" s="89">
        <v>9.5</v>
      </c>
      <c r="G656" s="89"/>
      <c r="H656" s="89">
        <v>38.15</v>
      </c>
      <c r="I656" s="89">
        <v>480</v>
      </c>
      <c r="J656" s="117">
        <v>0.04</v>
      </c>
      <c r="K656" s="115">
        <v>8.23</v>
      </c>
      <c r="L656" s="88">
        <v>355</v>
      </c>
      <c r="M656" s="88">
        <v>0.14000000000000001</v>
      </c>
      <c r="N656" s="88">
        <v>0.4</v>
      </c>
      <c r="O656" s="88">
        <v>1.81</v>
      </c>
      <c r="P656" s="88">
        <v>1.29</v>
      </c>
      <c r="Q656" s="88"/>
      <c r="R656" s="121">
        <v>1.0151173112427927</v>
      </c>
      <c r="S656" s="115">
        <v>7.1</v>
      </c>
      <c r="T656" s="88"/>
      <c r="U656" s="88"/>
      <c r="V656" s="88"/>
      <c r="W656" s="88"/>
      <c r="X656" s="88"/>
      <c r="Y656" s="115">
        <v>28.000000000000004</v>
      </c>
      <c r="Z656" s="88"/>
      <c r="AA656" s="116"/>
      <c r="AB656" s="116"/>
      <c r="AC656" s="88"/>
      <c r="AD656" s="88">
        <v>400</v>
      </c>
      <c r="AE656" s="88">
        <v>300</v>
      </c>
      <c r="AF656" s="88">
        <v>300</v>
      </c>
      <c r="AG656" s="66">
        <f t="shared" si="20"/>
        <v>104.05071428571429</v>
      </c>
      <c r="AH656" s="143">
        <f t="shared" si="21"/>
        <v>1000</v>
      </c>
    </row>
    <row r="657" spans="1:34" s="118" customFormat="1" x14ac:dyDescent="0.3">
      <c r="A657" s="84">
        <v>803213</v>
      </c>
      <c r="B657" s="115">
        <v>4.208333333333333</v>
      </c>
      <c r="C657" s="115"/>
      <c r="D657" s="116">
        <v>9.19</v>
      </c>
      <c r="E657" s="1525">
        <v>0.11799999999999999</v>
      </c>
      <c r="F657" s="89">
        <v>17.3</v>
      </c>
      <c r="G657" s="89"/>
      <c r="H657" s="89">
        <v>78.11</v>
      </c>
      <c r="I657" s="89">
        <v>600</v>
      </c>
      <c r="J657" s="117">
        <v>8.3000000000000004E-2</v>
      </c>
      <c r="K657" s="115">
        <v>6.46</v>
      </c>
      <c r="L657" s="88">
        <v>959</v>
      </c>
      <c r="M657" s="88">
        <v>0.24</v>
      </c>
      <c r="N657" s="88">
        <v>0.35</v>
      </c>
      <c r="O657" s="88">
        <v>1.31</v>
      </c>
      <c r="P657" s="88">
        <v>1.8</v>
      </c>
      <c r="Q657" s="88"/>
      <c r="R657" s="121">
        <v>0.61625433104391103</v>
      </c>
      <c r="S657" s="115">
        <v>4.5999999999999996</v>
      </c>
      <c r="T657" s="88"/>
      <c r="U657" s="88"/>
      <c r="V657" s="88"/>
      <c r="W657" s="88"/>
      <c r="X657" s="88"/>
      <c r="Y657" s="115">
        <v>16.8</v>
      </c>
      <c r="Z657" s="88"/>
      <c r="AA657" s="116"/>
      <c r="AB657" s="116"/>
      <c r="AC657" s="88"/>
      <c r="AD657" s="88">
        <v>240</v>
      </c>
      <c r="AE657" s="88">
        <v>200</v>
      </c>
      <c r="AF657" s="88">
        <v>560</v>
      </c>
      <c r="AG657" s="66">
        <f t="shared" si="20"/>
        <v>136.12142857142857</v>
      </c>
      <c r="AH657" s="143">
        <f t="shared" si="21"/>
        <v>1000</v>
      </c>
    </row>
    <row r="658" spans="1:34" s="118" customFormat="1" x14ac:dyDescent="0.3">
      <c r="A658" s="84">
        <v>803214</v>
      </c>
      <c r="B658" s="115">
        <v>26.083333333333332</v>
      </c>
      <c r="C658" s="115">
        <v>5</v>
      </c>
      <c r="D658" s="116">
        <v>8.9</v>
      </c>
      <c r="E658" s="1525">
        <v>0.13200000000000001</v>
      </c>
      <c r="F658" s="89">
        <v>16</v>
      </c>
      <c r="G658" s="89"/>
      <c r="H658" s="89">
        <v>46.36</v>
      </c>
      <c r="I658" s="89">
        <v>330</v>
      </c>
      <c r="J658" s="117">
        <v>0.02</v>
      </c>
      <c r="K658" s="115">
        <v>8.2899999999999991</v>
      </c>
      <c r="L658" s="88">
        <v>598</v>
      </c>
      <c r="M658" s="88">
        <v>0.9</v>
      </c>
      <c r="N658" s="88">
        <v>0.3</v>
      </c>
      <c r="O658" s="88">
        <v>1.22</v>
      </c>
      <c r="P658" s="88">
        <v>1.2</v>
      </c>
      <c r="Q658" s="88"/>
      <c r="R658" s="121">
        <v>0.75291933820730461</v>
      </c>
      <c r="S658" s="115">
        <v>5</v>
      </c>
      <c r="T658" s="88"/>
      <c r="U658" s="88"/>
      <c r="V658" s="88"/>
      <c r="W658" s="88"/>
      <c r="X658" s="88"/>
      <c r="Y658" s="115">
        <v>28.000000000000004</v>
      </c>
      <c r="Z658" s="88"/>
      <c r="AA658" s="116"/>
      <c r="AB658" s="116"/>
      <c r="AC658" s="88"/>
      <c r="AD658" s="88">
        <v>400</v>
      </c>
      <c r="AE658" s="88">
        <v>260</v>
      </c>
      <c r="AF658" s="88">
        <v>340</v>
      </c>
      <c r="AG658" s="66">
        <f t="shared" si="20"/>
        <v>104.80928571428569</v>
      </c>
      <c r="AH658" s="143">
        <f t="shared" si="21"/>
        <v>1000</v>
      </c>
    </row>
    <row r="659" spans="1:34" s="118" customFormat="1" x14ac:dyDescent="0.3">
      <c r="A659" s="84">
        <v>803215</v>
      </c>
      <c r="B659" s="115">
        <v>26.25</v>
      </c>
      <c r="C659" s="115">
        <v>7.8750000000000009</v>
      </c>
      <c r="D659" s="116">
        <v>8.65</v>
      </c>
      <c r="E659" s="1525">
        <v>0.26</v>
      </c>
      <c r="F659" s="89">
        <v>48.05</v>
      </c>
      <c r="G659" s="89"/>
      <c r="H659" s="89">
        <v>50</v>
      </c>
      <c r="I659" s="89">
        <v>230</v>
      </c>
      <c r="J659" s="117">
        <v>4.3999999999999997E-2</v>
      </c>
      <c r="K659" s="115">
        <v>12.44</v>
      </c>
      <c r="L659" s="88">
        <v>589</v>
      </c>
      <c r="M659" s="88">
        <v>0.13</v>
      </c>
      <c r="N659" s="88">
        <v>0.34</v>
      </c>
      <c r="O659" s="88">
        <v>0.73</v>
      </c>
      <c r="P659" s="88">
        <v>1.06</v>
      </c>
      <c r="Q659" s="88"/>
      <c r="R659" s="121">
        <v>0.42086579496597876</v>
      </c>
      <c r="S659" s="115">
        <v>3</v>
      </c>
      <c r="T659" s="88"/>
      <c r="U659" s="88"/>
      <c r="V659" s="88"/>
      <c r="W659" s="88"/>
      <c r="X659" s="88"/>
      <c r="Y659" s="115">
        <v>29.400000000000002</v>
      </c>
      <c r="Z659" s="88"/>
      <c r="AA659" s="116"/>
      <c r="AB659" s="116"/>
      <c r="AC659" s="88"/>
      <c r="AD659" s="88">
        <v>420</v>
      </c>
      <c r="AE659" s="88">
        <v>220</v>
      </c>
      <c r="AF659" s="88">
        <v>360</v>
      </c>
      <c r="AG659" s="66">
        <f t="shared" si="20"/>
        <v>149.78775510204082</v>
      </c>
      <c r="AH659" s="143">
        <f t="shared" si="21"/>
        <v>1000</v>
      </c>
    </row>
    <row r="660" spans="1:34" s="118" customFormat="1" x14ac:dyDescent="0.3">
      <c r="A660" s="84">
        <v>803216</v>
      </c>
      <c r="B660" s="115">
        <v>20.25</v>
      </c>
      <c r="C660" s="115">
        <v>5.3750000000000009</v>
      </c>
      <c r="D660" s="116">
        <v>8.51</v>
      </c>
      <c r="E660" s="1525">
        <v>0.39900000000000002</v>
      </c>
      <c r="F660" s="89">
        <v>48</v>
      </c>
      <c r="G660" s="89"/>
      <c r="H660" s="89">
        <v>65.55</v>
      </c>
      <c r="I660" s="89">
        <v>230</v>
      </c>
      <c r="J660" s="117">
        <v>4.2999999999999997E-2</v>
      </c>
      <c r="K660" s="115">
        <v>8.58</v>
      </c>
      <c r="L660" s="88">
        <v>248</v>
      </c>
      <c r="M660" s="88">
        <v>0.17</v>
      </c>
      <c r="N660" s="88">
        <v>0.41</v>
      </c>
      <c r="O660" s="88">
        <v>1.35</v>
      </c>
      <c r="P660" s="88">
        <v>1.22</v>
      </c>
      <c r="Q660" s="88"/>
      <c r="R660" s="121">
        <v>0.50536825490464021</v>
      </c>
      <c r="S660" s="115">
        <v>3.4</v>
      </c>
      <c r="T660" s="88"/>
      <c r="U660" s="88"/>
      <c r="V660" s="88"/>
      <c r="W660" s="88"/>
      <c r="X660" s="88"/>
      <c r="Y660" s="115">
        <v>25.200000000000003</v>
      </c>
      <c r="Z660" s="88"/>
      <c r="AA660" s="116"/>
      <c r="AB660" s="116"/>
      <c r="AC660" s="88"/>
      <c r="AD660" s="88">
        <v>360</v>
      </c>
      <c r="AE660" s="88">
        <v>260</v>
      </c>
      <c r="AF660" s="88">
        <v>380</v>
      </c>
      <c r="AG660" s="66">
        <f t="shared" si="20"/>
        <v>120.52857142857142</v>
      </c>
      <c r="AH660" s="143">
        <f t="shared" si="21"/>
        <v>1000</v>
      </c>
    </row>
    <row r="661" spans="1:34" s="118" customFormat="1" x14ac:dyDescent="0.3">
      <c r="A661" s="84">
        <v>803217</v>
      </c>
      <c r="B661" s="115">
        <v>13.083333333333332</v>
      </c>
      <c r="C661" s="115">
        <v>3.125</v>
      </c>
      <c r="D661" s="116">
        <v>8.7100000000000009</v>
      </c>
      <c r="E661" s="1525">
        <v>0.16600000000000001</v>
      </c>
      <c r="F661" s="89">
        <v>36.450000000000003</v>
      </c>
      <c r="G661" s="89"/>
      <c r="H661" s="89">
        <v>110.81</v>
      </c>
      <c r="I661" s="89">
        <v>120</v>
      </c>
      <c r="J661" s="117">
        <v>5.3999999999999999E-2</v>
      </c>
      <c r="K661" s="115">
        <v>4.53</v>
      </c>
      <c r="L661" s="88">
        <v>265</v>
      </c>
      <c r="M661" s="88">
        <v>1.05</v>
      </c>
      <c r="N661" s="88">
        <v>0.18</v>
      </c>
      <c r="O661" s="88">
        <v>1.57</v>
      </c>
      <c r="P661" s="88">
        <v>1.94</v>
      </c>
      <c r="Q661" s="88"/>
      <c r="R661" s="121">
        <v>0.84131592402267996</v>
      </c>
      <c r="S661" s="115">
        <v>6.2</v>
      </c>
      <c r="T661" s="88"/>
      <c r="U661" s="88"/>
      <c r="V661" s="88"/>
      <c r="W661" s="88"/>
      <c r="X661" s="88"/>
      <c r="Y661" s="115">
        <v>4.9000000000000004</v>
      </c>
      <c r="Z661" s="88"/>
      <c r="AA661" s="116"/>
      <c r="AB661" s="116"/>
      <c r="AC661" s="88"/>
      <c r="AD661" s="88">
        <v>70</v>
      </c>
      <c r="AE661" s="88">
        <v>70</v>
      </c>
      <c r="AF661" s="88">
        <v>860</v>
      </c>
      <c r="AG661" s="66">
        <f t="shared" si="20"/>
        <v>327.26938775510206</v>
      </c>
      <c r="AH661" s="143">
        <f t="shared" si="21"/>
        <v>1000</v>
      </c>
    </row>
    <row r="662" spans="1:34" s="118" customFormat="1" x14ac:dyDescent="0.3">
      <c r="A662" s="84">
        <v>803218</v>
      </c>
      <c r="B662" s="115">
        <v>8.6666666666666679</v>
      </c>
      <c r="C662" s="115"/>
      <c r="D662" s="116">
        <v>8.8699999999999992</v>
      </c>
      <c r="E662" s="1525">
        <v>0.27800000000000002</v>
      </c>
      <c r="F662" s="89">
        <v>82.4</v>
      </c>
      <c r="G662" s="89"/>
      <c r="H662" s="89">
        <v>87.81</v>
      </c>
      <c r="I662" s="89">
        <v>190</v>
      </c>
      <c r="J662" s="117">
        <v>0.28100000000000003</v>
      </c>
      <c r="K662" s="115">
        <v>4.57</v>
      </c>
      <c r="L662" s="88">
        <v>633</v>
      </c>
      <c r="M662" s="88">
        <v>2.2400000000000002</v>
      </c>
      <c r="N662" s="88">
        <v>3.37</v>
      </c>
      <c r="O662" s="88">
        <v>1.33</v>
      </c>
      <c r="P662" s="88">
        <v>3.9</v>
      </c>
      <c r="Q662" s="88"/>
      <c r="R662" s="121">
        <v>1.0553460896689897</v>
      </c>
      <c r="S662" s="115">
        <v>7.4</v>
      </c>
      <c r="T662" s="88"/>
      <c r="U662" s="88"/>
      <c r="V662" s="88"/>
      <c r="W662" s="88"/>
      <c r="X662" s="88"/>
      <c r="Y662" s="115">
        <v>7.0000000000000009</v>
      </c>
      <c r="Z662" s="88"/>
      <c r="AA662" s="116"/>
      <c r="AB662" s="116"/>
      <c r="AC662" s="88"/>
      <c r="AD662" s="88">
        <v>100</v>
      </c>
      <c r="AE662" s="88">
        <v>80</v>
      </c>
      <c r="AF662" s="88">
        <v>820</v>
      </c>
      <c r="AG662" s="66">
        <f t="shared" si="20"/>
        <v>231.11142857142858</v>
      </c>
      <c r="AH662" s="143">
        <f t="shared" si="21"/>
        <v>1000</v>
      </c>
    </row>
    <row r="663" spans="1:34" s="118" customFormat="1" x14ac:dyDescent="0.3">
      <c r="A663" s="84">
        <v>803219</v>
      </c>
      <c r="B663" s="115">
        <v>6.583333333333333</v>
      </c>
      <c r="C663" s="115"/>
      <c r="D663" s="116">
        <v>8.2899999999999991</v>
      </c>
      <c r="E663" s="1525">
        <v>0.28000000000000003</v>
      </c>
      <c r="F663" s="89">
        <v>39.35</v>
      </c>
      <c r="G663" s="89"/>
      <c r="H663" s="89">
        <v>72.7</v>
      </c>
      <c r="I663" s="89">
        <v>300</v>
      </c>
      <c r="J663" s="117">
        <v>7.2999999999999995E-2</v>
      </c>
      <c r="K663" s="115">
        <v>5.24</v>
      </c>
      <c r="L663" s="88">
        <v>222</v>
      </c>
      <c r="M663" s="88">
        <v>1.02</v>
      </c>
      <c r="N663" s="88">
        <v>0.36</v>
      </c>
      <c r="O663" s="88">
        <v>1.47</v>
      </c>
      <c r="P663" s="88">
        <v>2.14</v>
      </c>
      <c r="Q663" s="88"/>
      <c r="R663" s="121">
        <v>0.89238681031688716</v>
      </c>
      <c r="S663" s="115">
        <v>5.9</v>
      </c>
      <c r="T663" s="88"/>
      <c r="U663" s="88"/>
      <c r="V663" s="88"/>
      <c r="W663" s="88"/>
      <c r="X663" s="88"/>
      <c r="Y663" s="115">
        <v>4.9000000000000004</v>
      </c>
      <c r="Z663" s="88"/>
      <c r="AA663" s="116"/>
      <c r="AB663" s="116"/>
      <c r="AC663" s="88"/>
      <c r="AD663" s="88">
        <v>70</v>
      </c>
      <c r="AE663" s="88">
        <v>90</v>
      </c>
      <c r="AF663" s="88">
        <v>840</v>
      </c>
      <c r="AG663" s="66">
        <f t="shared" si="20"/>
        <v>378.5632653061225</v>
      </c>
      <c r="AH663" s="143">
        <f t="shared" si="21"/>
        <v>1000</v>
      </c>
    </row>
    <row r="664" spans="1:34" s="118" customFormat="1" x14ac:dyDescent="0.3">
      <c r="A664" s="84">
        <v>803220</v>
      </c>
      <c r="B664" s="115">
        <v>13.125</v>
      </c>
      <c r="C664" s="115">
        <v>2.6250000000000018</v>
      </c>
      <c r="D664" s="116">
        <v>8.7200000000000006</v>
      </c>
      <c r="E664" s="1525">
        <v>0.14199999999999999</v>
      </c>
      <c r="F664" s="89">
        <v>22.450000000000003</v>
      </c>
      <c r="G664" s="89"/>
      <c r="H664" s="89">
        <v>141.41</v>
      </c>
      <c r="I664" s="89">
        <v>120</v>
      </c>
      <c r="J664" s="117">
        <v>4.7E-2</v>
      </c>
      <c r="K664" s="115">
        <v>5.53</v>
      </c>
      <c r="L664" s="88">
        <v>308</v>
      </c>
      <c r="M664" s="88">
        <v>1.1499999999999999</v>
      </c>
      <c r="N664" s="88">
        <v>0.22</v>
      </c>
      <c r="O664" s="88">
        <v>1.96</v>
      </c>
      <c r="P664" s="88">
        <v>2.4300000000000002</v>
      </c>
      <c r="Q664" s="88"/>
      <c r="R664" s="121">
        <v>0.84586151976409096</v>
      </c>
      <c r="S664" s="115">
        <v>5.5</v>
      </c>
      <c r="T664" s="88"/>
      <c r="U664" s="88"/>
      <c r="V664" s="88"/>
      <c r="W664" s="88"/>
      <c r="X664" s="88"/>
      <c r="Y664" s="115">
        <v>4.2</v>
      </c>
      <c r="Z664" s="88"/>
      <c r="AA664" s="116"/>
      <c r="AB664" s="116"/>
      <c r="AC664" s="88"/>
      <c r="AD664" s="88">
        <v>60</v>
      </c>
      <c r="AE664" s="88">
        <v>60</v>
      </c>
      <c r="AF664" s="88">
        <v>880</v>
      </c>
      <c r="AG664" s="66">
        <f t="shared" si="20"/>
        <v>466.09999999999997</v>
      </c>
      <c r="AH664" s="143">
        <f t="shared" si="21"/>
        <v>1000</v>
      </c>
    </row>
    <row r="665" spans="1:34" s="118" customFormat="1" x14ac:dyDescent="0.3">
      <c r="A665" s="84">
        <v>803221</v>
      </c>
      <c r="B665" s="115">
        <v>12.458333333333332</v>
      </c>
      <c r="C665" s="115">
        <v>3.125</v>
      </c>
      <c r="D665" s="116">
        <v>8.68</v>
      </c>
      <c r="E665" s="1525">
        <v>0.13100000000000001</v>
      </c>
      <c r="F665" s="89">
        <v>23.2</v>
      </c>
      <c r="G665" s="89"/>
      <c r="H665" s="89">
        <v>173.01</v>
      </c>
      <c r="I665" s="89">
        <v>140</v>
      </c>
      <c r="J665" s="117">
        <v>4.2999999999999997E-2</v>
      </c>
      <c r="K665" s="115">
        <v>4.72</v>
      </c>
      <c r="L665" s="88">
        <v>336</v>
      </c>
      <c r="M665" s="88">
        <v>1.33</v>
      </c>
      <c r="N665" s="88">
        <v>0.26</v>
      </c>
      <c r="O665" s="88">
        <v>0.96</v>
      </c>
      <c r="P665" s="88">
        <v>1.87</v>
      </c>
      <c r="Q665" s="88"/>
      <c r="R665" s="121">
        <v>0.777361241074502</v>
      </c>
      <c r="S665" s="115">
        <v>5.3</v>
      </c>
      <c r="T665" s="88"/>
      <c r="U665" s="88"/>
      <c r="V665" s="88"/>
      <c r="W665" s="88"/>
      <c r="X665" s="88"/>
      <c r="Y665" s="115">
        <v>5.6000000000000005</v>
      </c>
      <c r="Z665" s="88"/>
      <c r="AA665" s="116"/>
      <c r="AB665" s="116"/>
      <c r="AC665" s="88"/>
      <c r="AD665" s="88">
        <v>80</v>
      </c>
      <c r="AE665" s="88">
        <v>100</v>
      </c>
      <c r="AF665" s="88">
        <v>820</v>
      </c>
      <c r="AG665" s="66">
        <f t="shared" si="20"/>
        <v>298.37142857142857</v>
      </c>
      <c r="AH665" s="143">
        <f t="shared" si="21"/>
        <v>1000</v>
      </c>
    </row>
    <row r="666" spans="1:34" s="118" customFormat="1" x14ac:dyDescent="0.3">
      <c r="A666" s="84">
        <v>803222</v>
      </c>
      <c r="B666" s="115">
        <v>3.916666666666667</v>
      </c>
      <c r="C666" s="115"/>
      <c r="D666" s="116">
        <v>8.8800000000000008</v>
      </c>
      <c r="E666" s="1525">
        <v>0.2</v>
      </c>
      <c r="F666" s="89">
        <v>99.9</v>
      </c>
      <c r="G666" s="89"/>
      <c r="H666" s="89">
        <v>34.81</v>
      </c>
      <c r="I666" s="89">
        <v>120</v>
      </c>
      <c r="J666" s="117">
        <v>0.124</v>
      </c>
      <c r="K666" s="115">
        <v>6.76</v>
      </c>
      <c r="L666" s="88">
        <v>729</v>
      </c>
      <c r="M666" s="88">
        <v>0.27</v>
      </c>
      <c r="N666" s="88">
        <v>0.16</v>
      </c>
      <c r="O666" s="88">
        <v>0.73</v>
      </c>
      <c r="P666" s="88">
        <v>1.02</v>
      </c>
      <c r="Q666" s="88"/>
      <c r="R666" s="121">
        <v>0.51772442411364894</v>
      </c>
      <c r="S666" s="115">
        <v>3.6</v>
      </c>
      <c r="T666" s="88"/>
      <c r="U666" s="88"/>
      <c r="V666" s="88"/>
      <c r="W666" s="88"/>
      <c r="X666" s="88"/>
      <c r="Y666" s="115">
        <v>6.3000000000000007</v>
      </c>
      <c r="Z666" s="88"/>
      <c r="AA666" s="116"/>
      <c r="AB666" s="116"/>
      <c r="AC666" s="88"/>
      <c r="AD666" s="88">
        <v>90</v>
      </c>
      <c r="AE666" s="88">
        <v>70</v>
      </c>
      <c r="AF666" s="88">
        <v>840</v>
      </c>
      <c r="AG666" s="66">
        <f t="shared" si="20"/>
        <v>379.84761904761899</v>
      </c>
      <c r="AH666" s="143">
        <f t="shared" si="21"/>
        <v>1000</v>
      </c>
    </row>
    <row r="667" spans="1:34" s="118" customFormat="1" x14ac:dyDescent="0.3">
      <c r="A667" s="84">
        <v>803223</v>
      </c>
      <c r="B667" s="115">
        <v>0.35000000000000003</v>
      </c>
      <c r="C667" s="115"/>
      <c r="D667" s="116">
        <v>8.17</v>
      </c>
      <c r="E667" s="1525">
        <v>9.9000000000000005E-2</v>
      </c>
      <c r="F667" s="89">
        <v>18.2</v>
      </c>
      <c r="G667" s="89"/>
      <c r="H667" s="89">
        <v>146.07</v>
      </c>
      <c r="I667" s="89">
        <v>300</v>
      </c>
      <c r="J667" s="117">
        <v>3.4000000000000002E-2</v>
      </c>
      <c r="K667" s="115">
        <v>4.069</v>
      </c>
      <c r="L667" s="88">
        <v>1174</v>
      </c>
      <c r="M667" s="88">
        <v>3.79</v>
      </c>
      <c r="N667" s="88">
        <v>6.16</v>
      </c>
      <c r="O667" s="88">
        <v>24.93</v>
      </c>
      <c r="P667" s="88">
        <v>5.34</v>
      </c>
      <c r="Q667" s="88"/>
      <c r="R667" s="121">
        <v>1.7135000000000002</v>
      </c>
      <c r="S667" s="115">
        <v>14</v>
      </c>
      <c r="T667" s="88"/>
      <c r="U667" s="88"/>
      <c r="V667" s="88"/>
      <c r="W667" s="88"/>
      <c r="X667" s="88"/>
      <c r="Y667" s="115">
        <v>16.8</v>
      </c>
      <c r="Z667" s="88"/>
      <c r="AA667" s="116"/>
      <c r="AB667" s="116"/>
      <c r="AC667" s="88"/>
      <c r="AD667" s="88">
        <v>560</v>
      </c>
      <c r="AE667" s="88">
        <v>320</v>
      </c>
      <c r="AF667" s="88">
        <v>120</v>
      </c>
      <c r="AG667" s="66">
        <f t="shared" si="20"/>
        <v>85.739642857142869</v>
      </c>
      <c r="AH667" s="143">
        <f t="shared" si="21"/>
        <v>1000</v>
      </c>
    </row>
    <row r="668" spans="1:34" s="118" customFormat="1" x14ac:dyDescent="0.3">
      <c r="A668" s="84">
        <v>803224</v>
      </c>
      <c r="B668" s="115">
        <v>0.2166666666666667</v>
      </c>
      <c r="C668" s="115"/>
      <c r="D668" s="116">
        <v>8.4</v>
      </c>
      <c r="E668" s="1525">
        <v>3.4000000000000002E-2</v>
      </c>
      <c r="F668" s="89">
        <v>12.25</v>
      </c>
      <c r="G668" s="89"/>
      <c r="H668" s="89">
        <v>98.69</v>
      </c>
      <c r="I668" s="89">
        <v>240</v>
      </c>
      <c r="J668" s="117">
        <v>8.7999999999999995E-2</v>
      </c>
      <c r="K668" s="115">
        <v>3.6659999999999999</v>
      </c>
      <c r="L668" s="88">
        <v>1541</v>
      </c>
      <c r="M668" s="88">
        <v>1.17</v>
      </c>
      <c r="N668" s="88">
        <v>2.37</v>
      </c>
      <c r="O668" s="88">
        <v>9.2200000000000006</v>
      </c>
      <c r="P668" s="88">
        <v>3.78</v>
      </c>
      <c r="Q668" s="88"/>
      <c r="R668" s="121">
        <v>1.2825069544662682</v>
      </c>
      <c r="S668" s="115">
        <v>9</v>
      </c>
      <c r="T668" s="88"/>
      <c r="U668" s="88"/>
      <c r="V668" s="88"/>
      <c r="W668" s="88"/>
      <c r="X668" s="88"/>
      <c r="Y668" s="115">
        <v>17.399999999999999</v>
      </c>
      <c r="Z668" s="88"/>
      <c r="AA668" s="116"/>
      <c r="AB668" s="116"/>
      <c r="AC668" s="88"/>
      <c r="AD668" s="88">
        <v>580</v>
      </c>
      <c r="AE668" s="88">
        <v>260</v>
      </c>
      <c r="AF668" s="88">
        <v>160</v>
      </c>
      <c r="AG668" s="66">
        <f t="shared" si="20"/>
        <v>74.584137931034476</v>
      </c>
      <c r="AH668" s="143">
        <f t="shared" si="21"/>
        <v>1000</v>
      </c>
    </row>
    <row r="669" spans="1:34" s="118" customFormat="1" x14ac:dyDescent="0.3">
      <c r="A669" s="84">
        <v>803225</v>
      </c>
      <c r="B669" s="115">
        <v>0.2</v>
      </c>
      <c r="C669" s="115"/>
      <c r="D669" s="116">
        <v>7.93</v>
      </c>
      <c r="E669" s="1525">
        <v>8.3000000000000004E-2</v>
      </c>
      <c r="F669" s="89">
        <v>11.05</v>
      </c>
      <c r="G669" s="89"/>
      <c r="H669" s="89">
        <v>155.94</v>
      </c>
      <c r="I669" s="89">
        <v>570</v>
      </c>
      <c r="J669" s="117">
        <v>7.0000000000000007E-2</v>
      </c>
      <c r="K669" s="115">
        <v>5.3819999999999997</v>
      </c>
      <c r="L669" s="88">
        <v>1745</v>
      </c>
      <c r="M669" s="88">
        <v>3.87</v>
      </c>
      <c r="N669" s="88">
        <v>3.61</v>
      </c>
      <c r="O669" s="88">
        <v>9.61</v>
      </c>
      <c r="P669" s="88">
        <v>6.4</v>
      </c>
      <c r="Q669" s="88"/>
      <c r="R669" s="121">
        <v>1.8681930000000002</v>
      </c>
      <c r="S669" s="115">
        <v>18.899999999999999</v>
      </c>
      <c r="T669" s="88"/>
      <c r="U669" s="88"/>
      <c r="V669" s="88"/>
      <c r="W669" s="88"/>
      <c r="X669" s="88"/>
      <c r="Y669" s="115">
        <v>19.2</v>
      </c>
      <c r="Z669" s="88"/>
      <c r="AA669" s="116"/>
      <c r="AB669" s="116"/>
      <c r="AC669" s="88"/>
      <c r="AD669" s="88">
        <v>640</v>
      </c>
      <c r="AE669" s="88">
        <v>260</v>
      </c>
      <c r="AF669" s="88">
        <v>100</v>
      </c>
      <c r="AG669" s="66">
        <f t="shared" si="20"/>
        <v>99.230625000000003</v>
      </c>
      <c r="AH669" s="143">
        <f t="shared" si="21"/>
        <v>1000</v>
      </c>
    </row>
    <row r="670" spans="1:34" s="118" customFormat="1" x14ac:dyDescent="0.3">
      <c r="A670" s="84">
        <v>803226</v>
      </c>
      <c r="B670" s="115">
        <v>0.13333333333333333</v>
      </c>
      <c r="C670" s="115"/>
      <c r="D670" s="116">
        <v>7.58</v>
      </c>
      <c r="E670" s="1525">
        <v>8.2000000000000003E-2</v>
      </c>
      <c r="F670" s="89">
        <v>7.7</v>
      </c>
      <c r="G670" s="89"/>
      <c r="H670" s="89">
        <v>130.02000000000001</v>
      </c>
      <c r="I670" s="89">
        <v>520</v>
      </c>
      <c r="J670" s="117">
        <v>4.2000000000000003E-2</v>
      </c>
      <c r="K670" s="115">
        <v>3.4840000000000004</v>
      </c>
      <c r="L670" s="88">
        <v>977</v>
      </c>
      <c r="M670" s="88">
        <v>2.5099999999999998</v>
      </c>
      <c r="N670" s="88">
        <v>4.4400000000000004</v>
      </c>
      <c r="O670" s="88">
        <v>22.48</v>
      </c>
      <c r="P670" s="88">
        <v>15.86</v>
      </c>
      <c r="Q670" s="88"/>
      <c r="R670" s="121">
        <v>1.7029370000000001</v>
      </c>
      <c r="S670" s="115">
        <v>13.7</v>
      </c>
      <c r="T670" s="88"/>
      <c r="U670" s="88"/>
      <c r="V670" s="88"/>
      <c r="W670" s="88"/>
      <c r="X670" s="88"/>
      <c r="Y670" s="115">
        <v>17.399999999999999</v>
      </c>
      <c r="Z670" s="88"/>
      <c r="AA670" s="116"/>
      <c r="AB670" s="116"/>
      <c r="AC670" s="88"/>
      <c r="AD670" s="88">
        <v>580</v>
      </c>
      <c r="AE670" s="88">
        <v>300</v>
      </c>
      <c r="AF670" s="88">
        <v>120</v>
      </c>
      <c r="AG670" s="66">
        <f t="shared" si="20"/>
        <v>70.88137931034484</v>
      </c>
      <c r="AH670" s="143">
        <f t="shared" si="21"/>
        <v>1000</v>
      </c>
    </row>
    <row r="671" spans="1:34" s="118" customFormat="1" x14ac:dyDescent="0.3">
      <c r="A671" s="84">
        <v>803227</v>
      </c>
      <c r="B671" s="115">
        <v>0.18333333333333335</v>
      </c>
      <c r="C671" s="115"/>
      <c r="D671" s="116">
        <v>8.4499999999999993</v>
      </c>
      <c r="E671" s="1525">
        <v>7.0000000000000007E-2</v>
      </c>
      <c r="F671" s="89">
        <v>10.649999999999999</v>
      </c>
      <c r="G671" s="89"/>
      <c r="H671" s="89">
        <v>82.18</v>
      </c>
      <c r="I671" s="89">
        <v>170</v>
      </c>
      <c r="J671" s="117">
        <v>0.06</v>
      </c>
      <c r="K671" s="115">
        <v>3.7050000000000001</v>
      </c>
      <c r="L671" s="88">
        <v>1240</v>
      </c>
      <c r="M671" s="88">
        <v>2.0099999999999998</v>
      </c>
      <c r="N671" s="88">
        <v>3.07</v>
      </c>
      <c r="O671" s="88">
        <v>20.03</v>
      </c>
      <c r="P671" s="88">
        <v>6.89</v>
      </c>
      <c r="Q671" s="88"/>
      <c r="R671" s="121">
        <v>1.6958250000000001</v>
      </c>
      <c r="S671" s="115">
        <v>13.5</v>
      </c>
      <c r="T671" s="88"/>
      <c r="U671" s="88"/>
      <c r="V671" s="88"/>
      <c r="W671" s="88"/>
      <c r="X671" s="88"/>
      <c r="Y671" s="115">
        <v>18</v>
      </c>
      <c r="Z671" s="88"/>
      <c r="AA671" s="116"/>
      <c r="AB671" s="116"/>
      <c r="AC671" s="88"/>
      <c r="AD671" s="88">
        <v>600</v>
      </c>
      <c r="AE671" s="88">
        <v>280</v>
      </c>
      <c r="AF671" s="88">
        <v>120</v>
      </c>
      <c r="AG671" s="66">
        <f t="shared" si="20"/>
        <v>72.864999999999995</v>
      </c>
      <c r="AH671" s="143">
        <f t="shared" si="21"/>
        <v>1000</v>
      </c>
    </row>
    <row r="672" spans="1:34" s="118" customFormat="1" x14ac:dyDescent="0.3">
      <c r="A672" s="84">
        <v>803228</v>
      </c>
      <c r="B672" s="115">
        <v>0.41666666666666669</v>
      </c>
      <c r="C672" s="115"/>
      <c r="D672" s="116">
        <v>7.96</v>
      </c>
      <c r="E672" s="1525">
        <v>0.11</v>
      </c>
      <c r="F672" s="89">
        <v>37.799999999999997</v>
      </c>
      <c r="G672" s="89"/>
      <c r="H672" s="89">
        <v>164.4</v>
      </c>
      <c r="I672" s="89">
        <v>710</v>
      </c>
      <c r="J672" s="117">
        <v>4.5999999999999999E-2</v>
      </c>
      <c r="K672" s="115">
        <v>4.056</v>
      </c>
      <c r="L672" s="88">
        <v>1108</v>
      </c>
      <c r="M672" s="88">
        <v>2.73</v>
      </c>
      <c r="N672" s="88">
        <v>4.4800000000000004</v>
      </c>
      <c r="O672" s="88">
        <v>28.72</v>
      </c>
      <c r="P672" s="88">
        <v>7.3</v>
      </c>
      <c r="Q672" s="88"/>
      <c r="R672" s="121">
        <v>1.6557080000000002</v>
      </c>
      <c r="S672" s="115">
        <v>12.4</v>
      </c>
      <c r="T672" s="88"/>
      <c r="U672" s="88"/>
      <c r="V672" s="88"/>
      <c r="W672" s="88"/>
      <c r="X672" s="88"/>
      <c r="Y672" s="115">
        <v>16.2</v>
      </c>
      <c r="Z672" s="88"/>
      <c r="AA672" s="116"/>
      <c r="AB672" s="116"/>
      <c r="AC672" s="88"/>
      <c r="AD672" s="88">
        <v>540</v>
      </c>
      <c r="AE672" s="88">
        <v>260</v>
      </c>
      <c r="AF672" s="88">
        <v>200</v>
      </c>
      <c r="AG672" s="66">
        <f t="shared" si="20"/>
        <v>88.631111111111125</v>
      </c>
      <c r="AH672" s="143">
        <f t="shared" si="21"/>
        <v>1000</v>
      </c>
    </row>
    <row r="673" spans="1:34" s="118" customFormat="1" x14ac:dyDescent="0.3">
      <c r="A673" s="84">
        <v>803229</v>
      </c>
      <c r="B673" s="115">
        <v>0.16666666666666666</v>
      </c>
      <c r="C673" s="115"/>
      <c r="D673" s="116">
        <v>8.2899999999999991</v>
      </c>
      <c r="E673" s="1525">
        <v>0.08</v>
      </c>
      <c r="F673" s="89">
        <v>8.1499999999999986</v>
      </c>
      <c r="G673" s="89"/>
      <c r="H673" s="89">
        <v>105.98</v>
      </c>
      <c r="I673" s="89">
        <v>400</v>
      </c>
      <c r="J673" s="117">
        <v>5.6000000000000001E-2</v>
      </c>
      <c r="K673" s="115">
        <v>4.173</v>
      </c>
      <c r="L673" s="88">
        <v>1337</v>
      </c>
      <c r="M673" s="88">
        <v>2.2000000000000002</v>
      </c>
      <c r="N673" s="88">
        <v>3.88</v>
      </c>
      <c r="O673" s="88">
        <v>14.4</v>
      </c>
      <c r="P673" s="88">
        <v>8.73</v>
      </c>
      <c r="Q673" s="88"/>
      <c r="R673" s="121">
        <v>1.7444330000000001</v>
      </c>
      <c r="S673" s="115">
        <v>14.9</v>
      </c>
      <c r="T673" s="88"/>
      <c r="U673" s="88"/>
      <c r="V673" s="88"/>
      <c r="W673" s="88"/>
      <c r="X673" s="88"/>
      <c r="Y673" s="115">
        <v>16.2</v>
      </c>
      <c r="Z673" s="88"/>
      <c r="AA673" s="116"/>
      <c r="AB673" s="116"/>
      <c r="AC673" s="88"/>
      <c r="AD673" s="88">
        <v>540</v>
      </c>
      <c r="AE673" s="88">
        <v>160</v>
      </c>
      <c r="AF673" s="88">
        <v>300</v>
      </c>
      <c r="AG673" s="66">
        <f t="shared" si="20"/>
        <v>91.187777777777782</v>
      </c>
      <c r="AH673" s="143">
        <f t="shared" si="21"/>
        <v>1000</v>
      </c>
    </row>
    <row r="674" spans="1:34" s="118" customFormat="1" x14ac:dyDescent="0.3">
      <c r="A674" s="84">
        <v>803230</v>
      </c>
      <c r="B674" s="115">
        <v>0.18333333333333335</v>
      </c>
      <c r="C674" s="115"/>
      <c r="D674" s="116">
        <v>7.27</v>
      </c>
      <c r="E674" s="1525">
        <v>6.0999999999999999E-2</v>
      </c>
      <c r="F674" s="89">
        <v>2.5499999999999998</v>
      </c>
      <c r="G674" s="89"/>
      <c r="H674" s="89">
        <v>84.94</v>
      </c>
      <c r="I674" s="89">
        <v>240</v>
      </c>
      <c r="J674" s="117">
        <v>6.0999999999999999E-2</v>
      </c>
      <c r="K674" s="115">
        <v>4.056</v>
      </c>
      <c r="L674" s="88">
        <v>1661</v>
      </c>
      <c r="M674" s="88">
        <v>1.6</v>
      </c>
      <c r="N674" s="88">
        <v>2.63</v>
      </c>
      <c r="O674" s="88">
        <v>9.84</v>
      </c>
      <c r="P674" s="88">
        <v>22.13</v>
      </c>
      <c r="Q674" s="88"/>
      <c r="R674" s="121">
        <v>1.6778</v>
      </c>
      <c r="S674" s="115">
        <v>13</v>
      </c>
      <c r="T674" s="88"/>
      <c r="U674" s="88"/>
      <c r="V674" s="88"/>
      <c r="W674" s="88"/>
      <c r="X674" s="88"/>
      <c r="Y674" s="115">
        <v>15.6</v>
      </c>
      <c r="Z674" s="88"/>
      <c r="AA674" s="116"/>
      <c r="AB674" s="116"/>
      <c r="AC674" s="88"/>
      <c r="AD674" s="88">
        <v>520</v>
      </c>
      <c r="AE674" s="88">
        <v>200</v>
      </c>
      <c r="AF674" s="88">
        <v>280</v>
      </c>
      <c r="AG674" s="66">
        <f t="shared" si="20"/>
        <v>92.04</v>
      </c>
      <c r="AH674" s="143">
        <f t="shared" si="21"/>
        <v>1000</v>
      </c>
    </row>
    <row r="675" spans="1:34" s="118" customFormat="1" x14ac:dyDescent="0.3">
      <c r="A675" s="84">
        <v>803231</v>
      </c>
      <c r="B675" s="115">
        <v>5.833333333333333</v>
      </c>
      <c r="C675" s="115"/>
      <c r="D675" s="116">
        <v>9.08</v>
      </c>
      <c r="E675" s="1525">
        <v>0.24</v>
      </c>
      <c r="F675" s="89">
        <v>87.85</v>
      </c>
      <c r="G675" s="89"/>
      <c r="H675" s="89">
        <v>27.89</v>
      </c>
      <c r="I675" s="89">
        <v>320</v>
      </c>
      <c r="J675" s="117">
        <v>0.27300000000000002</v>
      </c>
      <c r="K675" s="115">
        <v>6.74</v>
      </c>
      <c r="L675" s="88">
        <v>720</v>
      </c>
      <c r="M675" s="88">
        <v>0.16</v>
      </c>
      <c r="N675" s="88">
        <v>0.49</v>
      </c>
      <c r="O675" s="88">
        <v>0.72</v>
      </c>
      <c r="P675" s="88">
        <v>0.71</v>
      </c>
      <c r="Q675" s="88"/>
      <c r="R675" s="121">
        <v>0.37119140934896017</v>
      </c>
      <c r="S675" s="115">
        <v>2.6</v>
      </c>
      <c r="T675" s="88"/>
      <c r="U675" s="88"/>
      <c r="V675" s="88"/>
      <c r="W675" s="88"/>
      <c r="X675" s="88"/>
      <c r="Y675" s="115">
        <v>18.200000000000003</v>
      </c>
      <c r="Z675" s="88"/>
      <c r="AA675" s="116"/>
      <c r="AB675" s="116"/>
      <c r="AC675" s="88"/>
      <c r="AD675" s="88">
        <v>260</v>
      </c>
      <c r="AE675" s="88">
        <v>180</v>
      </c>
      <c r="AF675" s="88">
        <v>560</v>
      </c>
      <c r="AG675" s="66">
        <f t="shared" si="20"/>
        <v>131.09670329670328</v>
      </c>
      <c r="AH675" s="143">
        <f t="shared" si="21"/>
        <v>1000</v>
      </c>
    </row>
    <row r="676" spans="1:34" s="118" customFormat="1" x14ac:dyDescent="0.3">
      <c r="A676" s="84">
        <v>803232</v>
      </c>
      <c r="B676" s="115">
        <v>4.7916666666666661</v>
      </c>
      <c r="C676" s="115"/>
      <c r="D676" s="116">
        <v>8.6199999999999992</v>
      </c>
      <c r="E676" s="1525">
        <v>0.87</v>
      </c>
      <c r="F676" s="89">
        <v>319.64999999999998</v>
      </c>
      <c r="G676" s="89"/>
      <c r="H676" s="89">
        <v>26.18</v>
      </c>
      <c r="I676" s="89">
        <v>190</v>
      </c>
      <c r="J676" s="117">
        <v>0.44600000000000001</v>
      </c>
      <c r="K676" s="115">
        <v>4.84</v>
      </c>
      <c r="L676" s="88">
        <v>410</v>
      </c>
      <c r="M676" s="88">
        <v>0.1</v>
      </c>
      <c r="N676" s="88">
        <v>0.28000000000000003</v>
      </c>
      <c r="O676" s="88">
        <v>0.68</v>
      </c>
      <c r="P676" s="88">
        <v>0.62</v>
      </c>
      <c r="Q676" s="88"/>
      <c r="R676" s="121">
        <v>0.22629025386086749</v>
      </c>
      <c r="S676" s="115">
        <v>1.6</v>
      </c>
      <c r="T676" s="88"/>
      <c r="U676" s="88"/>
      <c r="V676" s="88"/>
      <c r="W676" s="88"/>
      <c r="X676" s="88"/>
      <c r="Y676" s="115">
        <v>4.2</v>
      </c>
      <c r="Z676" s="88"/>
      <c r="AA676" s="116"/>
      <c r="AB676" s="116"/>
      <c r="AC676" s="88"/>
      <c r="AD676" s="88">
        <v>60</v>
      </c>
      <c r="AE676" s="88">
        <v>60</v>
      </c>
      <c r="AF676" s="88">
        <v>880</v>
      </c>
      <c r="AG676" s="66">
        <f t="shared" si="20"/>
        <v>407.94285714285718</v>
      </c>
      <c r="AH676" s="143">
        <f t="shared" si="21"/>
        <v>1000</v>
      </c>
    </row>
    <row r="677" spans="1:34" s="118" customFormat="1" x14ac:dyDescent="0.3">
      <c r="A677" s="84">
        <v>803233</v>
      </c>
      <c r="B677" s="115">
        <v>30.166666666666664</v>
      </c>
      <c r="C677" s="115">
        <v>6.7499999999999982</v>
      </c>
      <c r="D677" s="116">
        <v>8.84</v>
      </c>
      <c r="E677" s="1525">
        <v>0.15</v>
      </c>
      <c r="F677" s="89">
        <v>46.8</v>
      </c>
      <c r="G677" s="89"/>
      <c r="H677" s="89">
        <v>26.94</v>
      </c>
      <c r="I677" s="89">
        <v>470</v>
      </c>
      <c r="J677" s="117">
        <v>0.06</v>
      </c>
      <c r="K677" s="115">
        <v>8.7100000000000009</v>
      </c>
      <c r="L677" s="88">
        <v>740</v>
      </c>
      <c r="M677" s="88">
        <v>7.0000000000000007E-2</v>
      </c>
      <c r="N677" s="88">
        <v>0.42</v>
      </c>
      <c r="O677" s="88">
        <v>0.87</v>
      </c>
      <c r="P677" s="88">
        <v>0.8</v>
      </c>
      <c r="Q677" s="88"/>
      <c r="R677" s="121">
        <v>0.40554280380945862</v>
      </c>
      <c r="S677" s="115">
        <v>2.8</v>
      </c>
      <c r="T677" s="88"/>
      <c r="U677" s="88"/>
      <c r="V677" s="88"/>
      <c r="W677" s="88"/>
      <c r="X677" s="88"/>
      <c r="Y677" s="115">
        <v>40.6</v>
      </c>
      <c r="Z677" s="88"/>
      <c r="AA677" s="116"/>
      <c r="AB677" s="116"/>
      <c r="AC677" s="88"/>
      <c r="AD677" s="88">
        <v>580</v>
      </c>
      <c r="AE677" s="88">
        <v>240</v>
      </c>
      <c r="AF677" s="88">
        <v>180</v>
      </c>
      <c r="AG677" s="66">
        <f t="shared" si="20"/>
        <v>75.944334975369472</v>
      </c>
      <c r="AH677" s="143">
        <f t="shared" si="21"/>
        <v>1000</v>
      </c>
    </row>
    <row r="678" spans="1:34" s="118" customFormat="1" x14ac:dyDescent="0.3">
      <c r="A678" s="84">
        <v>803234</v>
      </c>
      <c r="B678" s="115">
        <v>33.333333333333329</v>
      </c>
      <c r="C678" s="115">
        <v>6.4999999999999991</v>
      </c>
      <c r="D678" s="116">
        <v>9.1300000000000008</v>
      </c>
      <c r="E678" s="1525">
        <v>0.11</v>
      </c>
      <c r="F678" s="89">
        <v>46.900000000000006</v>
      </c>
      <c r="G678" s="89"/>
      <c r="H678" s="89">
        <v>27.59</v>
      </c>
      <c r="I678" s="89">
        <v>230</v>
      </c>
      <c r="J678" s="117">
        <v>2.8000000000000001E-2</v>
      </c>
      <c r="K678" s="115">
        <v>8.1999999999999993</v>
      </c>
      <c r="L678" s="88">
        <v>860</v>
      </c>
      <c r="M678" s="88">
        <v>7.0000000000000007E-2</v>
      </c>
      <c r="N678" s="88">
        <v>0.34</v>
      </c>
      <c r="O678" s="88">
        <v>0.37</v>
      </c>
      <c r="P678" s="88">
        <v>0.87</v>
      </c>
      <c r="Q678" s="88"/>
      <c r="R678" s="121">
        <v>0.22231419645826514</v>
      </c>
      <c r="S678" s="115">
        <v>1.6</v>
      </c>
      <c r="T678" s="88"/>
      <c r="U678" s="88"/>
      <c r="V678" s="88"/>
      <c r="W678" s="88"/>
      <c r="X678" s="88"/>
      <c r="Y678" s="115">
        <v>16.8</v>
      </c>
      <c r="Z678" s="88"/>
      <c r="AA678" s="116"/>
      <c r="AB678" s="116"/>
      <c r="AC678" s="88"/>
      <c r="AD678" s="88">
        <v>240</v>
      </c>
      <c r="AE678" s="88">
        <v>120</v>
      </c>
      <c r="AF678" s="88">
        <v>640</v>
      </c>
      <c r="AG678" s="66">
        <f t="shared" si="20"/>
        <v>172.78571428571425</v>
      </c>
      <c r="AH678" s="143">
        <f t="shared" si="21"/>
        <v>1000</v>
      </c>
    </row>
    <row r="679" spans="1:34" s="118" customFormat="1" x14ac:dyDescent="0.3">
      <c r="A679" s="84">
        <v>803235</v>
      </c>
      <c r="B679" s="115">
        <v>33.5</v>
      </c>
      <c r="C679" s="115">
        <v>5.9999999999999982</v>
      </c>
      <c r="D679" s="116">
        <v>8.86</v>
      </c>
      <c r="E679" s="1525">
        <v>0.14000000000000001</v>
      </c>
      <c r="F679" s="89">
        <v>38.799999999999997</v>
      </c>
      <c r="G679" s="89"/>
      <c r="H679" s="89">
        <v>28.89</v>
      </c>
      <c r="I679" s="89">
        <v>200</v>
      </c>
      <c r="J679" s="117">
        <v>3.5999999999999997E-2</v>
      </c>
      <c r="K679" s="115">
        <v>7.47</v>
      </c>
      <c r="L679" s="88">
        <v>680</v>
      </c>
      <c r="M679" s="88">
        <v>0.06</v>
      </c>
      <c r="N679" s="88">
        <v>0.28999999999999998</v>
      </c>
      <c r="O679" s="88">
        <v>1.1299999999999999</v>
      </c>
      <c r="P679" s="88">
        <v>1.73</v>
      </c>
      <c r="Q679" s="88"/>
      <c r="R679" s="121">
        <v>0.21764341360187434</v>
      </c>
      <c r="S679" s="115">
        <v>1.5</v>
      </c>
      <c r="T679" s="88"/>
      <c r="U679" s="88"/>
      <c r="V679" s="88"/>
      <c r="W679" s="88"/>
      <c r="X679" s="88"/>
      <c r="Y679" s="115">
        <v>39.200000000000003</v>
      </c>
      <c r="Z679" s="88"/>
      <c r="AA679" s="116"/>
      <c r="AB679" s="116"/>
      <c r="AC679" s="88"/>
      <c r="AD679" s="88">
        <v>560</v>
      </c>
      <c r="AE679" s="88">
        <v>200</v>
      </c>
      <c r="AF679" s="88">
        <v>240</v>
      </c>
      <c r="AG679" s="66">
        <f t="shared" si="20"/>
        <v>67.458673469387747</v>
      </c>
      <c r="AH679" s="143">
        <f t="shared" si="21"/>
        <v>1000</v>
      </c>
    </row>
    <row r="680" spans="1:34" s="118" customFormat="1" x14ac:dyDescent="0.3">
      <c r="A680" s="84">
        <v>803236</v>
      </c>
      <c r="B680" s="115">
        <v>15.166666666666664</v>
      </c>
      <c r="C680" s="115">
        <v>4.2499999999999982</v>
      </c>
      <c r="D680" s="116">
        <v>8.89</v>
      </c>
      <c r="E680" s="1525">
        <v>0.12</v>
      </c>
      <c r="F680" s="89">
        <v>19.399999999999999</v>
      </c>
      <c r="G680" s="89"/>
      <c r="H680" s="89">
        <v>102.12</v>
      </c>
      <c r="I680" s="89">
        <v>270</v>
      </c>
      <c r="J680" s="117">
        <v>3.5000000000000003E-2</v>
      </c>
      <c r="K680" s="115">
        <v>6.84</v>
      </c>
      <c r="L680" s="88">
        <v>320</v>
      </c>
      <c r="M680" s="88">
        <v>0.67</v>
      </c>
      <c r="N680" s="88">
        <v>0.36</v>
      </c>
      <c r="O680" s="88">
        <v>2.29</v>
      </c>
      <c r="P680" s="88">
        <v>1.57</v>
      </c>
      <c r="Q680" s="88"/>
      <c r="R680" s="121">
        <v>0.41348045148132972</v>
      </c>
      <c r="S680" s="115">
        <v>2.8</v>
      </c>
      <c r="T680" s="88"/>
      <c r="U680" s="88"/>
      <c r="V680" s="88"/>
      <c r="W680" s="88"/>
      <c r="X680" s="88"/>
      <c r="Y680" s="115">
        <v>4.2</v>
      </c>
      <c r="Z680" s="88"/>
      <c r="AA680" s="116"/>
      <c r="AB680" s="116"/>
      <c r="AC680" s="88"/>
      <c r="AD680" s="88">
        <v>60</v>
      </c>
      <c r="AE680" s="88">
        <v>60</v>
      </c>
      <c r="AF680" s="88">
        <v>880</v>
      </c>
      <c r="AG680" s="66">
        <f t="shared" si="20"/>
        <v>576.51428571428573</v>
      </c>
      <c r="AH680" s="143">
        <f t="shared" si="21"/>
        <v>1000</v>
      </c>
    </row>
    <row r="681" spans="1:34" s="118" customFormat="1" x14ac:dyDescent="0.3">
      <c r="A681" s="84">
        <v>803237</v>
      </c>
      <c r="B681" s="115">
        <v>16.666666666666664</v>
      </c>
      <c r="C681" s="115">
        <v>3.8749999999999973</v>
      </c>
      <c r="D681" s="116">
        <v>8.94</v>
      </c>
      <c r="E681" s="1525">
        <v>0.13</v>
      </c>
      <c r="F681" s="89">
        <v>24.5</v>
      </c>
      <c r="G681" s="89"/>
      <c r="H681" s="89">
        <v>126.88</v>
      </c>
      <c r="I681" s="89">
        <v>220</v>
      </c>
      <c r="J681" s="117">
        <v>7.1999999999999995E-2</v>
      </c>
      <c r="K681" s="115">
        <v>6.15</v>
      </c>
      <c r="L681" s="88">
        <v>330</v>
      </c>
      <c r="M681" s="88">
        <v>1.45</v>
      </c>
      <c r="N681" s="88">
        <v>1.03</v>
      </c>
      <c r="O681" s="88">
        <v>2.57</v>
      </c>
      <c r="P681" s="88">
        <v>1.19</v>
      </c>
      <c r="Q681" s="88"/>
      <c r="R681" s="121">
        <v>0.35496992143450001</v>
      </c>
      <c r="S681" s="115">
        <v>2.6</v>
      </c>
      <c r="T681" s="88"/>
      <c r="U681" s="88"/>
      <c r="V681" s="88"/>
      <c r="W681" s="88"/>
      <c r="X681" s="88"/>
      <c r="Y681" s="115">
        <v>5.6000000000000005</v>
      </c>
      <c r="Z681" s="88"/>
      <c r="AA681" s="116"/>
      <c r="AB681" s="116"/>
      <c r="AC681" s="88"/>
      <c r="AD681" s="88">
        <v>80</v>
      </c>
      <c r="AE681" s="88">
        <v>60</v>
      </c>
      <c r="AF681" s="88">
        <v>860</v>
      </c>
      <c r="AG681" s="66">
        <f t="shared" si="20"/>
        <v>388.76785714285711</v>
      </c>
      <c r="AH681" s="143">
        <f t="shared" si="21"/>
        <v>1000</v>
      </c>
    </row>
    <row r="682" spans="1:34" s="118" customFormat="1" x14ac:dyDescent="0.3">
      <c r="A682" s="84">
        <v>803238</v>
      </c>
      <c r="B682" s="115">
        <v>15.58333333333333</v>
      </c>
      <c r="C682" s="115">
        <v>5.7499999999999973</v>
      </c>
      <c r="D682" s="116">
        <v>8.83</v>
      </c>
      <c r="E682" s="1525">
        <v>0.13</v>
      </c>
      <c r="F682" s="89">
        <v>22</v>
      </c>
      <c r="G682" s="89"/>
      <c r="H682" s="89">
        <v>83.35</v>
      </c>
      <c r="I682" s="89">
        <v>260</v>
      </c>
      <c r="J682" s="117">
        <v>3.4000000000000002E-2</v>
      </c>
      <c r="K682" s="115">
        <v>6.32</v>
      </c>
      <c r="L682" s="88">
        <v>260</v>
      </c>
      <c r="M682" s="88">
        <v>0.59</v>
      </c>
      <c r="N682" s="88">
        <v>0.33</v>
      </c>
      <c r="O682" s="88">
        <v>4.97</v>
      </c>
      <c r="P682" s="88">
        <v>1.47</v>
      </c>
      <c r="Q682" s="88"/>
      <c r="R682" s="121">
        <v>0.37474673617033122</v>
      </c>
      <c r="S682" s="115">
        <v>2.5</v>
      </c>
      <c r="T682" s="88"/>
      <c r="U682" s="88"/>
      <c r="V682" s="88"/>
      <c r="W682" s="88"/>
      <c r="X682" s="88"/>
      <c r="Y682" s="115">
        <v>4.2</v>
      </c>
      <c r="Z682" s="88"/>
      <c r="AA682" s="116"/>
      <c r="AB682" s="116"/>
      <c r="AC682" s="88"/>
      <c r="AD682" s="88">
        <v>60</v>
      </c>
      <c r="AE682" s="88">
        <v>60</v>
      </c>
      <c r="AF682" s="88">
        <v>880</v>
      </c>
      <c r="AG682" s="66">
        <f t="shared" si="20"/>
        <v>532.68571428571431</v>
      </c>
      <c r="AH682" s="143">
        <f t="shared" si="21"/>
        <v>1000</v>
      </c>
    </row>
    <row r="683" spans="1:34" s="118" customFormat="1" x14ac:dyDescent="0.3">
      <c r="A683" s="84">
        <v>803239</v>
      </c>
      <c r="B683" s="115">
        <v>13.999999999999998</v>
      </c>
      <c r="C683" s="115">
        <v>6.9999999999999973</v>
      </c>
      <c r="D683" s="116">
        <v>9.01</v>
      </c>
      <c r="E683" s="1525">
        <v>0.12</v>
      </c>
      <c r="F683" s="89">
        <v>19.25</v>
      </c>
      <c r="G683" s="89"/>
      <c r="H683" s="89">
        <v>87.14</v>
      </c>
      <c r="I683" s="89">
        <v>220</v>
      </c>
      <c r="J683" s="117">
        <v>2.8000000000000001E-2</v>
      </c>
      <c r="K683" s="115">
        <v>6.79</v>
      </c>
      <c r="L683" s="88">
        <v>300</v>
      </c>
      <c r="M683" s="88">
        <v>0.56999999999999995</v>
      </c>
      <c r="N683" s="88">
        <v>0.33</v>
      </c>
      <c r="O683" s="88">
        <v>5.64</v>
      </c>
      <c r="P683" s="88">
        <v>1.19</v>
      </c>
      <c r="Q683" s="88"/>
      <c r="R683" s="121">
        <v>0.27566451389826652</v>
      </c>
      <c r="S683" s="115">
        <v>1.8</v>
      </c>
      <c r="T683" s="88"/>
      <c r="U683" s="88"/>
      <c r="V683" s="88"/>
      <c r="W683" s="88"/>
      <c r="X683" s="88"/>
      <c r="Y683" s="115">
        <v>4.2</v>
      </c>
      <c r="Z683" s="88"/>
      <c r="AA683" s="116"/>
      <c r="AB683" s="116"/>
      <c r="AC683" s="88"/>
      <c r="AD683" s="88">
        <v>60</v>
      </c>
      <c r="AE683" s="88">
        <v>80</v>
      </c>
      <c r="AF683" s="88">
        <v>860</v>
      </c>
      <c r="AG683" s="66">
        <f t="shared" si="20"/>
        <v>572.29999999999995</v>
      </c>
      <c r="AH683" s="143">
        <f t="shared" si="21"/>
        <v>1000</v>
      </c>
    </row>
    <row r="684" spans="1:34" s="118" customFormat="1" x14ac:dyDescent="0.3">
      <c r="A684" s="84">
        <v>803240</v>
      </c>
      <c r="B684" s="115">
        <v>16.583333333333332</v>
      </c>
      <c r="C684" s="115">
        <v>5.2499999999999991</v>
      </c>
      <c r="D684" s="116">
        <v>8.89</v>
      </c>
      <c r="E684" s="1525">
        <v>0.12</v>
      </c>
      <c r="F684" s="89">
        <v>22.85</v>
      </c>
      <c r="G684" s="89"/>
      <c r="H684" s="89">
        <v>74.989999999999995</v>
      </c>
      <c r="I684" s="89">
        <v>230</v>
      </c>
      <c r="J684" s="117">
        <v>4.1000000000000002E-2</v>
      </c>
      <c r="K684" s="115">
        <v>6.57</v>
      </c>
      <c r="L684" s="88">
        <v>310</v>
      </c>
      <c r="M684" s="88">
        <v>0.73</v>
      </c>
      <c r="N684" s="88">
        <v>0.78</v>
      </c>
      <c r="O684" s="88">
        <v>4.26</v>
      </c>
      <c r="P684" s="88">
        <v>1.1499999999999999</v>
      </c>
      <c r="Q684" s="88"/>
      <c r="R684" s="121">
        <v>0.38365802120668158</v>
      </c>
      <c r="S684" s="115">
        <v>2.7</v>
      </c>
      <c r="T684" s="88"/>
      <c r="U684" s="88"/>
      <c r="V684" s="88"/>
      <c r="W684" s="88"/>
      <c r="X684" s="88"/>
      <c r="Y684" s="115">
        <v>4.2</v>
      </c>
      <c r="Z684" s="88"/>
      <c r="AA684" s="116"/>
      <c r="AB684" s="116"/>
      <c r="AC684" s="88"/>
      <c r="AD684" s="88">
        <v>60</v>
      </c>
      <c r="AE684" s="88">
        <v>60</v>
      </c>
      <c r="AF684" s="88">
        <v>880</v>
      </c>
      <c r="AG684" s="66">
        <f t="shared" si="20"/>
        <v>553.75714285714275</v>
      </c>
      <c r="AH684" s="143">
        <f t="shared" si="21"/>
        <v>1000</v>
      </c>
    </row>
    <row r="685" spans="1:34" s="118" customFormat="1" x14ac:dyDescent="0.3">
      <c r="A685" s="84">
        <v>803241</v>
      </c>
      <c r="B685" s="115">
        <v>7.9166666666666661</v>
      </c>
      <c r="C685" s="115"/>
      <c r="D685" s="116">
        <v>8.48</v>
      </c>
      <c r="E685" s="1525">
        <v>0.18</v>
      </c>
      <c r="F685" s="89">
        <v>57.75</v>
      </c>
      <c r="G685" s="89"/>
      <c r="H685" s="89">
        <v>250.37</v>
      </c>
      <c r="I685" s="89">
        <v>140</v>
      </c>
      <c r="J685" s="117">
        <v>7.9000000000000001E-2</v>
      </c>
      <c r="K685" s="115">
        <v>4.8899999999999997</v>
      </c>
      <c r="L685" s="88">
        <v>560</v>
      </c>
      <c r="M685" s="88">
        <v>3.89</v>
      </c>
      <c r="N685" s="88">
        <v>4.08</v>
      </c>
      <c r="O685" s="88">
        <v>2.97</v>
      </c>
      <c r="P685" s="88">
        <v>3.11</v>
      </c>
      <c r="Q685" s="88"/>
      <c r="R685" s="121">
        <v>0.49594441779202381</v>
      </c>
      <c r="S685" s="115">
        <v>3.6</v>
      </c>
      <c r="T685" s="88"/>
      <c r="U685" s="88"/>
      <c r="V685" s="88"/>
      <c r="W685" s="88"/>
      <c r="X685" s="88"/>
      <c r="Y685" s="115">
        <v>4.2</v>
      </c>
      <c r="Z685" s="88"/>
      <c r="AA685" s="116"/>
      <c r="AB685" s="116"/>
      <c r="AC685" s="88"/>
      <c r="AD685" s="88">
        <v>60</v>
      </c>
      <c r="AE685" s="88">
        <v>80</v>
      </c>
      <c r="AF685" s="88">
        <v>860</v>
      </c>
      <c r="AG685" s="66">
        <f t="shared" si="20"/>
        <v>412.15714285714279</v>
      </c>
      <c r="AH685" s="143">
        <f t="shared" si="21"/>
        <v>1000</v>
      </c>
    </row>
    <row r="686" spans="1:34" s="118" customFormat="1" x14ac:dyDescent="0.3">
      <c r="A686" s="84">
        <v>803242</v>
      </c>
      <c r="B686" s="115">
        <v>8.1666666666666679</v>
      </c>
      <c r="C686" s="115"/>
      <c r="D686" s="116">
        <v>8.41</v>
      </c>
      <c r="E686" s="1525">
        <v>0.17</v>
      </c>
      <c r="F686" s="89">
        <v>35.550000000000004</v>
      </c>
      <c r="G686" s="89"/>
      <c r="H686" s="89">
        <v>288.64999999999998</v>
      </c>
      <c r="I686" s="89">
        <v>220</v>
      </c>
      <c r="J686" s="117">
        <v>6.5000000000000002E-2</v>
      </c>
      <c r="K686" s="115">
        <v>6.06</v>
      </c>
      <c r="L686" s="88">
        <v>820</v>
      </c>
      <c r="M686" s="88">
        <v>3.59</v>
      </c>
      <c r="N686" s="88">
        <v>1.3</v>
      </c>
      <c r="O686" s="88">
        <v>3.28</v>
      </c>
      <c r="P686" s="88">
        <v>4.74</v>
      </c>
      <c r="Q686" s="88"/>
      <c r="R686" s="121">
        <v>0.57269984799710871</v>
      </c>
      <c r="S686" s="115">
        <v>4.2</v>
      </c>
      <c r="T686" s="88"/>
      <c r="U686" s="88"/>
      <c r="V686" s="88"/>
      <c r="W686" s="88"/>
      <c r="X686" s="88"/>
      <c r="Y686" s="115">
        <v>4.2</v>
      </c>
      <c r="Z686" s="88"/>
      <c r="AA686" s="116"/>
      <c r="AB686" s="116"/>
      <c r="AC686" s="88"/>
      <c r="AD686" s="88">
        <v>60</v>
      </c>
      <c r="AE686" s="88">
        <v>60</v>
      </c>
      <c r="AF686" s="88">
        <v>880</v>
      </c>
      <c r="AG686" s="66">
        <f t="shared" si="20"/>
        <v>510.77142857142849</v>
      </c>
      <c r="AH686" s="143">
        <f t="shared" si="21"/>
        <v>1000</v>
      </c>
    </row>
    <row r="687" spans="1:34" s="118" customFormat="1" x14ac:dyDescent="0.3">
      <c r="A687" s="84">
        <v>803243</v>
      </c>
      <c r="B687" s="115">
        <v>9.375</v>
      </c>
      <c r="C687" s="115"/>
      <c r="D687" s="116">
        <v>8.5</v>
      </c>
      <c r="E687" s="1525">
        <v>0.15</v>
      </c>
      <c r="F687" s="89">
        <v>40.450000000000003</v>
      </c>
      <c r="G687" s="89"/>
      <c r="H687" s="89">
        <v>222.5</v>
      </c>
      <c r="I687" s="89">
        <v>130</v>
      </c>
      <c r="J687" s="117">
        <v>0.105</v>
      </c>
      <c r="K687" s="115">
        <v>4.22</v>
      </c>
      <c r="L687" s="88">
        <v>410</v>
      </c>
      <c r="M687" s="88">
        <v>2.8</v>
      </c>
      <c r="N687" s="88">
        <v>2.06</v>
      </c>
      <c r="O687" s="88">
        <v>5.43</v>
      </c>
      <c r="P687" s="88">
        <v>2.71</v>
      </c>
      <c r="Q687" s="88"/>
      <c r="R687" s="121">
        <v>0.56265411793335163</v>
      </c>
      <c r="S687" s="115">
        <v>4</v>
      </c>
      <c r="T687" s="88"/>
      <c r="U687" s="88"/>
      <c r="V687" s="88"/>
      <c r="W687" s="88"/>
      <c r="X687" s="88"/>
      <c r="Y687" s="115">
        <v>4.2</v>
      </c>
      <c r="Z687" s="88"/>
      <c r="AA687" s="116"/>
      <c r="AB687" s="116"/>
      <c r="AC687" s="88"/>
      <c r="AD687" s="88">
        <v>60</v>
      </c>
      <c r="AE687" s="88">
        <v>60</v>
      </c>
      <c r="AF687" s="88">
        <v>880</v>
      </c>
      <c r="AG687" s="66">
        <f t="shared" si="20"/>
        <v>355.68571428571425</v>
      </c>
      <c r="AH687" s="143">
        <f t="shared" si="21"/>
        <v>1000</v>
      </c>
    </row>
    <row r="688" spans="1:34" s="118" customFormat="1" x14ac:dyDescent="0.3">
      <c r="A688" s="84">
        <v>803244</v>
      </c>
      <c r="B688" s="115">
        <v>17.75</v>
      </c>
      <c r="C688" s="115">
        <v>4.7499999999999964</v>
      </c>
      <c r="D688" s="116">
        <v>8.66</v>
      </c>
      <c r="E688" s="1525">
        <v>0.25</v>
      </c>
      <c r="F688" s="89">
        <v>91.1</v>
      </c>
      <c r="G688" s="89"/>
      <c r="H688" s="89">
        <v>293.92</v>
      </c>
      <c r="I688" s="89">
        <v>140</v>
      </c>
      <c r="J688" s="117">
        <v>0.183</v>
      </c>
      <c r="K688" s="115">
        <v>5.16</v>
      </c>
      <c r="L688" s="88">
        <v>570</v>
      </c>
      <c r="M688" s="88">
        <v>3.29</v>
      </c>
      <c r="N688" s="88">
        <v>0.7</v>
      </c>
      <c r="O688" s="88">
        <v>3.21</v>
      </c>
      <c r="P688" s="88">
        <v>4.71</v>
      </c>
      <c r="Q688" s="88"/>
      <c r="R688" s="121">
        <v>0.87045871684743548</v>
      </c>
      <c r="S688" s="115">
        <v>5.9</v>
      </c>
      <c r="T688" s="88"/>
      <c r="U688" s="88"/>
      <c r="V688" s="88"/>
      <c r="W688" s="88"/>
      <c r="X688" s="88"/>
      <c r="Y688" s="115">
        <v>5.6000000000000005</v>
      </c>
      <c r="Z688" s="88"/>
      <c r="AA688" s="116"/>
      <c r="AB688" s="116"/>
      <c r="AC688" s="88"/>
      <c r="AD688" s="88">
        <v>80</v>
      </c>
      <c r="AE688" s="88">
        <v>60</v>
      </c>
      <c r="AF688" s="88">
        <v>860</v>
      </c>
      <c r="AG688" s="66">
        <f t="shared" si="20"/>
        <v>326.18571428571425</v>
      </c>
      <c r="AH688" s="143">
        <f t="shared" si="21"/>
        <v>1000</v>
      </c>
    </row>
    <row r="689" spans="1:34" s="118" customFormat="1" x14ac:dyDescent="0.3">
      <c r="A689" s="84">
        <v>803245</v>
      </c>
      <c r="B689" s="115">
        <v>7.0416666666666652</v>
      </c>
      <c r="C689" s="115"/>
      <c r="D689" s="116">
        <v>8.2100000000000009</v>
      </c>
      <c r="E689" s="1525">
        <v>0.24</v>
      </c>
      <c r="F689" s="89">
        <v>98.3</v>
      </c>
      <c r="G689" s="89"/>
      <c r="H689" s="89">
        <v>252.3</v>
      </c>
      <c r="I689" s="89">
        <v>170</v>
      </c>
      <c r="J689" s="117">
        <v>0.11600000000000001</v>
      </c>
      <c r="K689" s="115">
        <v>3.88</v>
      </c>
      <c r="L689" s="88">
        <v>650</v>
      </c>
      <c r="M689" s="88">
        <v>3.56</v>
      </c>
      <c r="N689" s="88">
        <v>2.57</v>
      </c>
      <c r="O689" s="88">
        <v>4.79</v>
      </c>
      <c r="P689" s="88">
        <v>2.85</v>
      </c>
      <c r="Q689" s="88"/>
      <c r="R689" s="121">
        <v>0.39034938750152864</v>
      </c>
      <c r="S689" s="115">
        <v>2.9</v>
      </c>
      <c r="T689" s="88"/>
      <c r="U689" s="88"/>
      <c r="V689" s="88"/>
      <c r="W689" s="88"/>
      <c r="X689" s="88"/>
      <c r="Y689" s="115">
        <v>4.2</v>
      </c>
      <c r="Z689" s="88"/>
      <c r="AA689" s="116"/>
      <c r="AB689" s="116"/>
      <c r="AC689" s="88"/>
      <c r="AD689" s="88">
        <v>60</v>
      </c>
      <c r="AE689" s="88">
        <v>80</v>
      </c>
      <c r="AF689" s="88">
        <v>860</v>
      </c>
      <c r="AG689" s="66">
        <f t="shared" si="20"/>
        <v>327.02857142857141</v>
      </c>
      <c r="AH689" s="143">
        <f t="shared" si="21"/>
        <v>1000</v>
      </c>
    </row>
    <row r="690" spans="1:34" s="118" customFormat="1" x14ac:dyDescent="0.3">
      <c r="A690" s="84">
        <v>803246</v>
      </c>
      <c r="B690" s="115">
        <v>13.375</v>
      </c>
      <c r="C690" s="115">
        <v>1.7499999999999982</v>
      </c>
      <c r="D690" s="116">
        <v>8.3000000000000007</v>
      </c>
      <c r="E690" s="1525">
        <v>0.15</v>
      </c>
      <c r="F690" s="89">
        <v>32.1</v>
      </c>
      <c r="G690" s="89"/>
      <c r="H690" s="89">
        <v>266.91000000000003</v>
      </c>
      <c r="I690" s="89">
        <v>80</v>
      </c>
      <c r="J690" s="117">
        <v>4.7E-2</v>
      </c>
      <c r="K690" s="115">
        <v>5</v>
      </c>
      <c r="L690" s="88">
        <v>360</v>
      </c>
      <c r="M690" s="88">
        <v>6</v>
      </c>
      <c r="N690" s="88">
        <v>1.8</v>
      </c>
      <c r="O690" s="88">
        <v>4.3600000000000003</v>
      </c>
      <c r="P690" s="88">
        <v>2.73</v>
      </c>
      <c r="Q690" s="88"/>
      <c r="R690" s="121">
        <v>0.54961130188326512</v>
      </c>
      <c r="S690" s="115">
        <v>4</v>
      </c>
      <c r="T690" s="88"/>
      <c r="U690" s="88"/>
      <c r="V690" s="88"/>
      <c r="W690" s="88"/>
      <c r="X690" s="88"/>
      <c r="Y690" s="115">
        <v>5.6000000000000005</v>
      </c>
      <c r="Z690" s="88"/>
      <c r="AA690" s="116"/>
      <c r="AB690" s="116"/>
      <c r="AC690" s="88"/>
      <c r="AD690" s="88">
        <v>80</v>
      </c>
      <c r="AE690" s="88">
        <v>60</v>
      </c>
      <c r="AF690" s="88">
        <v>860</v>
      </c>
      <c r="AG690" s="66">
        <f t="shared" si="20"/>
        <v>316.07142857142856</v>
      </c>
      <c r="AH690" s="143">
        <f t="shared" si="21"/>
        <v>1000</v>
      </c>
    </row>
    <row r="691" spans="1:34" s="118" customFormat="1" x14ac:dyDescent="0.3">
      <c r="A691" s="84">
        <v>803247</v>
      </c>
      <c r="B691" s="115">
        <v>12.916666666666668</v>
      </c>
      <c r="C691" s="115">
        <v>3.4999999999999964</v>
      </c>
      <c r="D691" s="116">
        <v>8.4499999999999993</v>
      </c>
      <c r="E691" s="1525">
        <v>0.41</v>
      </c>
      <c r="F691" s="89">
        <v>195.45000000000002</v>
      </c>
      <c r="G691" s="89"/>
      <c r="H691" s="89">
        <v>242.01</v>
      </c>
      <c r="I691" s="89">
        <v>200</v>
      </c>
      <c r="J691" s="117">
        <v>0.23300000000000001</v>
      </c>
      <c r="K691" s="115">
        <v>6.39</v>
      </c>
      <c r="L691" s="88">
        <v>610</v>
      </c>
      <c r="M691" s="88">
        <v>4.6100000000000003</v>
      </c>
      <c r="N691" s="88">
        <v>3.16</v>
      </c>
      <c r="O691" s="88">
        <v>3.74</v>
      </c>
      <c r="P691" s="88">
        <v>2.79</v>
      </c>
      <c r="Q691" s="88"/>
      <c r="R691" s="121">
        <v>0.77558117224458656</v>
      </c>
      <c r="S691" s="115">
        <v>5.0999999999999996</v>
      </c>
      <c r="T691" s="88"/>
      <c r="U691" s="88"/>
      <c r="V691" s="88"/>
      <c r="W691" s="88"/>
      <c r="X691" s="88"/>
      <c r="Y691" s="115">
        <v>4.2</v>
      </c>
      <c r="Z691" s="88"/>
      <c r="AA691" s="116"/>
      <c r="AB691" s="116"/>
      <c r="AC691" s="88"/>
      <c r="AD691" s="88">
        <v>60</v>
      </c>
      <c r="AE691" s="88">
        <v>60</v>
      </c>
      <c r="AF691" s="88">
        <v>880</v>
      </c>
      <c r="AG691" s="66">
        <f t="shared" si="20"/>
        <v>538.58571428571429</v>
      </c>
      <c r="AH691" s="143">
        <f t="shared" si="21"/>
        <v>1000</v>
      </c>
    </row>
    <row r="692" spans="1:34" s="118" customFormat="1" x14ac:dyDescent="0.3">
      <c r="A692" s="84">
        <v>803248</v>
      </c>
      <c r="B692" s="115">
        <v>18.333333333333336</v>
      </c>
      <c r="C692" s="115">
        <v>2.7499999999999991</v>
      </c>
      <c r="D692" s="116">
        <v>8.6300000000000008</v>
      </c>
      <c r="E692" s="1525">
        <v>0.42</v>
      </c>
      <c r="F692" s="89">
        <v>184.35</v>
      </c>
      <c r="G692" s="89"/>
      <c r="H692" s="89">
        <v>416.28</v>
      </c>
      <c r="I692" s="89">
        <v>200</v>
      </c>
      <c r="J692" s="117">
        <v>0.312</v>
      </c>
      <c r="K692" s="115">
        <v>6.53</v>
      </c>
      <c r="L692" s="88">
        <v>810</v>
      </c>
      <c r="M692" s="88">
        <v>5.15</v>
      </c>
      <c r="N692" s="88">
        <v>6.32</v>
      </c>
      <c r="O692" s="88">
        <v>5.43</v>
      </c>
      <c r="P692" s="88">
        <v>3.94</v>
      </c>
      <c r="Q692" s="88"/>
      <c r="R692" s="121">
        <v>0.69987914265406248</v>
      </c>
      <c r="S692" s="115">
        <v>5</v>
      </c>
      <c r="T692" s="88"/>
      <c r="U692" s="88"/>
      <c r="V692" s="88"/>
      <c r="W692" s="88"/>
      <c r="X692" s="88"/>
      <c r="Y692" s="115">
        <v>5.6000000000000005</v>
      </c>
      <c r="Z692" s="88"/>
      <c r="AA692" s="116"/>
      <c r="AB692" s="116"/>
      <c r="AC692" s="88"/>
      <c r="AD692" s="88">
        <v>80</v>
      </c>
      <c r="AE692" s="88">
        <v>60</v>
      </c>
      <c r="AF692" s="88">
        <v>860</v>
      </c>
      <c r="AG692" s="66">
        <f t="shared" si="20"/>
        <v>412.78928571428571</v>
      </c>
      <c r="AH692" s="143">
        <f t="shared" si="21"/>
        <v>1000</v>
      </c>
    </row>
    <row r="693" spans="1:34" s="118" customFormat="1" x14ac:dyDescent="0.3">
      <c r="A693" s="84">
        <v>803249</v>
      </c>
      <c r="B693" s="115">
        <v>8.2083333333333321</v>
      </c>
      <c r="C693" s="115"/>
      <c r="D693" s="116">
        <v>8.77</v>
      </c>
      <c r="E693" s="1525">
        <v>0.28999999999999998</v>
      </c>
      <c r="F693" s="89">
        <v>35.75</v>
      </c>
      <c r="G693" s="89"/>
      <c r="H693" s="89">
        <v>278.76</v>
      </c>
      <c r="I693" s="89">
        <v>430</v>
      </c>
      <c r="J693" s="117">
        <v>0.11799999999999999</v>
      </c>
      <c r="K693" s="115">
        <v>5.15</v>
      </c>
      <c r="L693" s="88">
        <v>730</v>
      </c>
      <c r="M693" s="88">
        <v>2.27</v>
      </c>
      <c r="N693" s="88">
        <v>1.64</v>
      </c>
      <c r="O693" s="88">
        <v>2.82</v>
      </c>
      <c r="P693" s="88">
        <v>5.85</v>
      </c>
      <c r="Q693" s="88"/>
      <c r="R693" s="121">
        <v>1.4094207034742923</v>
      </c>
      <c r="S693" s="115">
        <v>10</v>
      </c>
      <c r="T693" s="88"/>
      <c r="U693" s="88"/>
      <c r="V693" s="88"/>
      <c r="W693" s="88"/>
      <c r="X693" s="88"/>
      <c r="Y693" s="115">
        <v>7.0000000000000009</v>
      </c>
      <c r="Z693" s="88"/>
      <c r="AA693" s="116"/>
      <c r="AB693" s="116"/>
      <c r="AC693" s="88"/>
      <c r="AD693" s="88">
        <v>100</v>
      </c>
      <c r="AE693" s="88">
        <v>60</v>
      </c>
      <c r="AF693" s="88">
        <v>840</v>
      </c>
      <c r="AG693" s="66">
        <f t="shared" si="20"/>
        <v>260.44285714285712</v>
      </c>
      <c r="AH693" s="143">
        <f t="shared" si="21"/>
        <v>1000</v>
      </c>
    </row>
    <row r="694" spans="1:34" s="118" customFormat="1" x14ac:dyDescent="0.3">
      <c r="A694" s="84">
        <v>803250</v>
      </c>
      <c r="B694" s="115">
        <v>2.1333333333333333</v>
      </c>
      <c r="C694" s="115"/>
      <c r="D694" s="116">
        <v>8.83</v>
      </c>
      <c r="E694" s="1525">
        <v>0.24</v>
      </c>
      <c r="F694" s="89">
        <v>31.85</v>
      </c>
      <c r="G694" s="89"/>
      <c r="H694" s="89">
        <v>244.49</v>
      </c>
      <c r="I694" s="89">
        <v>530</v>
      </c>
      <c r="J694" s="117">
        <v>9.9000000000000005E-2</v>
      </c>
      <c r="K694" s="115">
        <v>3.67</v>
      </c>
      <c r="L694" s="88">
        <v>720</v>
      </c>
      <c r="M694" s="88">
        <v>1.23</v>
      </c>
      <c r="N694" s="88">
        <v>0.96</v>
      </c>
      <c r="O694" s="88">
        <v>2.42</v>
      </c>
      <c r="P694" s="88">
        <v>2.2599999999999998</v>
      </c>
      <c r="Q694" s="88"/>
      <c r="R694" s="121">
        <v>0.81672250880822206</v>
      </c>
      <c r="S694" s="115">
        <v>5.7</v>
      </c>
      <c r="T694" s="88"/>
      <c r="U694" s="88"/>
      <c r="V694" s="88"/>
      <c r="W694" s="88"/>
      <c r="X694" s="88"/>
      <c r="Y694" s="115">
        <v>4.2</v>
      </c>
      <c r="Z694" s="88"/>
      <c r="AA694" s="116"/>
      <c r="AB694" s="116"/>
      <c r="AC694" s="88"/>
      <c r="AD694" s="88">
        <v>60</v>
      </c>
      <c r="AE694" s="88">
        <v>60</v>
      </c>
      <c r="AF694" s="88">
        <v>880</v>
      </c>
      <c r="AG694" s="66">
        <f t="shared" si="20"/>
        <v>309.32857142857142</v>
      </c>
      <c r="AH694" s="143">
        <f t="shared" si="21"/>
        <v>1000</v>
      </c>
    </row>
    <row r="695" spans="1:34" s="118" customFormat="1" x14ac:dyDescent="0.3">
      <c r="A695" s="84">
        <v>803251</v>
      </c>
      <c r="B695" s="115">
        <v>5.375</v>
      </c>
      <c r="C695" s="115"/>
      <c r="D695" s="116">
        <v>8.65</v>
      </c>
      <c r="E695" s="1525">
        <v>0.34</v>
      </c>
      <c r="F695" s="89">
        <v>32.599999999999994</v>
      </c>
      <c r="G695" s="89"/>
      <c r="H695" s="89">
        <v>255.39</v>
      </c>
      <c r="I695" s="89">
        <v>390</v>
      </c>
      <c r="J695" s="117">
        <v>0.156</v>
      </c>
      <c r="K695" s="115">
        <v>5.19</v>
      </c>
      <c r="L695" s="88">
        <v>1070</v>
      </c>
      <c r="M695" s="88">
        <v>2.54</v>
      </c>
      <c r="N695" s="88">
        <v>1.05</v>
      </c>
      <c r="O695" s="88">
        <v>3.07</v>
      </c>
      <c r="P695" s="88">
        <v>3.02</v>
      </c>
      <c r="Q695" s="88"/>
      <c r="R695" s="121">
        <v>1.1751140918578453</v>
      </c>
      <c r="S695" s="115">
        <v>7.8</v>
      </c>
      <c r="T695" s="88"/>
      <c r="U695" s="88"/>
      <c r="V695" s="88"/>
      <c r="W695" s="88"/>
      <c r="X695" s="88"/>
      <c r="Y695" s="115">
        <v>4.2</v>
      </c>
      <c r="Z695" s="88"/>
      <c r="AA695" s="116"/>
      <c r="AB695" s="116"/>
      <c r="AC695" s="88"/>
      <c r="AD695" s="88">
        <v>60</v>
      </c>
      <c r="AE695" s="88">
        <v>60</v>
      </c>
      <c r="AF695" s="88">
        <v>880</v>
      </c>
      <c r="AG695" s="66">
        <f t="shared" si="20"/>
        <v>437.44285714285718</v>
      </c>
      <c r="AH695" s="143">
        <f t="shared" si="21"/>
        <v>1000</v>
      </c>
    </row>
    <row r="696" spans="1:34" s="118" customFormat="1" x14ac:dyDescent="0.3">
      <c r="A696" s="84">
        <v>803252</v>
      </c>
      <c r="B696" s="115">
        <v>40.166666666666664</v>
      </c>
      <c r="C696" s="115">
        <v>15.999999999999998</v>
      </c>
      <c r="D696" s="116">
        <v>8.3000000000000007</v>
      </c>
      <c r="E696" s="1525">
        <v>0.23</v>
      </c>
      <c r="F696" s="89">
        <v>58.25</v>
      </c>
      <c r="G696" s="89"/>
      <c r="H696" s="89">
        <v>76.42</v>
      </c>
      <c r="I696" s="89">
        <v>460</v>
      </c>
      <c r="J696" s="117">
        <v>0.09</v>
      </c>
      <c r="K696" s="115">
        <v>11.97</v>
      </c>
      <c r="L696" s="88">
        <v>840</v>
      </c>
      <c r="M696" s="88">
        <v>0.39</v>
      </c>
      <c r="N696" s="88">
        <v>0.38</v>
      </c>
      <c r="O696" s="88">
        <v>2.72</v>
      </c>
      <c r="P696" s="88">
        <v>3.36</v>
      </c>
      <c r="Q696" s="88"/>
      <c r="R696" s="121">
        <v>1.8625370000000001</v>
      </c>
      <c r="S696" s="115">
        <v>18.7</v>
      </c>
      <c r="T696" s="88"/>
      <c r="U696" s="88"/>
      <c r="V696" s="88"/>
      <c r="W696" s="88"/>
      <c r="X696" s="88"/>
      <c r="Y696" s="115">
        <v>23</v>
      </c>
      <c r="Z696" s="88"/>
      <c r="AA696" s="116"/>
      <c r="AB696" s="116"/>
      <c r="AC696" s="88"/>
      <c r="AD696" s="88">
        <v>460</v>
      </c>
      <c r="AE696" s="88">
        <v>420</v>
      </c>
      <c r="AF696" s="88">
        <v>120</v>
      </c>
      <c r="AG696" s="66">
        <f t="shared" si="20"/>
        <v>184.23391304347825</v>
      </c>
      <c r="AH696" s="143">
        <f t="shared" si="21"/>
        <v>1000</v>
      </c>
    </row>
    <row r="697" spans="1:34" s="118" customFormat="1" x14ac:dyDescent="0.3">
      <c r="A697" s="84">
        <v>803253</v>
      </c>
      <c r="B697" s="115">
        <v>37.166666666666664</v>
      </c>
      <c r="C697" s="115">
        <v>16.999999999999996</v>
      </c>
      <c r="D697" s="116">
        <v>8.39</v>
      </c>
      <c r="E697" s="1525">
        <v>0.2</v>
      </c>
      <c r="F697" s="89">
        <v>34.200000000000003</v>
      </c>
      <c r="G697" s="89"/>
      <c r="H697" s="89">
        <v>58.52</v>
      </c>
      <c r="I697" s="89">
        <v>480</v>
      </c>
      <c r="J697" s="117">
        <v>0.10299999999999999</v>
      </c>
      <c r="K697" s="115">
        <v>14.09</v>
      </c>
      <c r="L697" s="88">
        <v>980</v>
      </c>
      <c r="M697" s="88">
        <v>0.35</v>
      </c>
      <c r="N697" s="88">
        <v>0.38</v>
      </c>
      <c r="O697" s="88">
        <v>2.95</v>
      </c>
      <c r="P697" s="88">
        <v>3.65</v>
      </c>
      <c r="Q697" s="88"/>
      <c r="R697" s="121">
        <v>1.8875480000000002</v>
      </c>
      <c r="S697" s="115">
        <v>19.600000000000001</v>
      </c>
      <c r="T697" s="88"/>
      <c r="U697" s="88"/>
      <c r="V697" s="88"/>
      <c r="W697" s="88"/>
      <c r="X697" s="88"/>
      <c r="Y697" s="115">
        <v>24</v>
      </c>
      <c r="Z697" s="88"/>
      <c r="AA697" s="116"/>
      <c r="AB697" s="116"/>
      <c r="AC697" s="88"/>
      <c r="AD697" s="88">
        <v>480</v>
      </c>
      <c r="AE697" s="88">
        <v>420</v>
      </c>
      <c r="AF697" s="88">
        <v>100</v>
      </c>
      <c r="AG697" s="66">
        <f t="shared" si="20"/>
        <v>207.82749999999999</v>
      </c>
      <c r="AH697" s="143">
        <f t="shared" si="21"/>
        <v>1000</v>
      </c>
    </row>
    <row r="698" spans="1:34" s="118" customFormat="1" x14ac:dyDescent="0.3">
      <c r="A698" s="84">
        <v>803254</v>
      </c>
      <c r="B698" s="115">
        <v>36.833333333333336</v>
      </c>
      <c r="C698" s="115">
        <v>16.5</v>
      </c>
      <c r="D698" s="116">
        <v>8.25</v>
      </c>
      <c r="E698" s="1525">
        <v>0.21</v>
      </c>
      <c r="F698" s="89">
        <v>46.050000000000004</v>
      </c>
      <c r="G698" s="89"/>
      <c r="H698" s="89">
        <v>61.3</v>
      </c>
      <c r="I698" s="89">
        <v>410</v>
      </c>
      <c r="J698" s="117">
        <v>9.1999999999999998E-2</v>
      </c>
      <c r="K698" s="115">
        <v>11.49</v>
      </c>
      <c r="L698" s="88">
        <v>800</v>
      </c>
      <c r="M698" s="88">
        <v>0.37</v>
      </c>
      <c r="N698" s="88">
        <v>0.46</v>
      </c>
      <c r="O698" s="88">
        <v>3.08</v>
      </c>
      <c r="P698" s="88">
        <v>3.94</v>
      </c>
      <c r="Q698" s="88"/>
      <c r="R698" s="121">
        <v>1.908828</v>
      </c>
      <c r="S698" s="115">
        <v>20.399999999999999</v>
      </c>
      <c r="T698" s="88"/>
      <c r="U698" s="88"/>
      <c r="V698" s="88"/>
      <c r="W698" s="88"/>
      <c r="X698" s="88"/>
      <c r="Y698" s="115">
        <v>23</v>
      </c>
      <c r="Z698" s="88"/>
      <c r="AA698" s="116"/>
      <c r="AB698" s="116"/>
      <c r="AC698" s="88"/>
      <c r="AD698" s="88">
        <v>460</v>
      </c>
      <c r="AE698" s="88">
        <v>420</v>
      </c>
      <c r="AF698" s="88">
        <v>120</v>
      </c>
      <c r="AG698" s="66">
        <f t="shared" si="20"/>
        <v>176.84608695652173</v>
      </c>
      <c r="AH698" s="143">
        <f t="shared" si="21"/>
        <v>1000</v>
      </c>
    </row>
    <row r="699" spans="1:34" s="118" customFormat="1" x14ac:dyDescent="0.3">
      <c r="A699" s="84">
        <v>803255</v>
      </c>
      <c r="B699" s="115">
        <v>40.666666666666664</v>
      </c>
      <c r="C699" s="115">
        <v>14.749999999999998</v>
      </c>
      <c r="D699" s="116">
        <v>8.36</v>
      </c>
      <c r="E699" s="1525">
        <v>0.2</v>
      </c>
      <c r="F699" s="89">
        <v>26.549999999999997</v>
      </c>
      <c r="G699" s="89"/>
      <c r="H699" s="89">
        <v>59.15</v>
      </c>
      <c r="I699" s="89">
        <v>420</v>
      </c>
      <c r="J699" s="117">
        <v>0.10100000000000001</v>
      </c>
      <c r="K699" s="115">
        <v>14.07</v>
      </c>
      <c r="L699" s="88">
        <v>950</v>
      </c>
      <c r="M699" s="88">
        <v>0.28999999999999998</v>
      </c>
      <c r="N699" s="88">
        <v>0.33</v>
      </c>
      <c r="O699" s="88">
        <v>2.4300000000000002</v>
      </c>
      <c r="P699" s="88">
        <v>2.91</v>
      </c>
      <c r="Q699" s="88"/>
      <c r="R699" s="121">
        <v>1.9114249999999999</v>
      </c>
      <c r="S699" s="115">
        <v>20.5</v>
      </c>
      <c r="T699" s="88"/>
      <c r="U699" s="88"/>
      <c r="V699" s="88"/>
      <c r="W699" s="88"/>
      <c r="X699" s="88"/>
      <c r="Y699" s="115">
        <v>24</v>
      </c>
      <c r="Z699" s="88"/>
      <c r="AA699" s="116"/>
      <c r="AB699" s="116"/>
      <c r="AC699" s="88"/>
      <c r="AD699" s="88">
        <v>480</v>
      </c>
      <c r="AE699" s="88">
        <v>400</v>
      </c>
      <c r="AF699" s="88">
        <v>120</v>
      </c>
      <c r="AG699" s="66">
        <f t="shared" si="20"/>
        <v>207.5325</v>
      </c>
      <c r="AH699" s="143">
        <f t="shared" si="21"/>
        <v>1000</v>
      </c>
    </row>
    <row r="700" spans="1:34" s="118" customFormat="1" x14ac:dyDescent="0.3">
      <c r="A700" s="84">
        <v>803256</v>
      </c>
      <c r="B700" s="115">
        <v>36.333333333333336</v>
      </c>
      <c r="C700" s="115">
        <v>14.124999999999998</v>
      </c>
      <c r="D700" s="116">
        <v>8.33</v>
      </c>
      <c r="E700" s="1525">
        <v>0.23</v>
      </c>
      <c r="F700" s="89">
        <v>75.5</v>
      </c>
      <c r="G700" s="89"/>
      <c r="H700" s="89">
        <v>70.47</v>
      </c>
      <c r="I700" s="89">
        <v>550</v>
      </c>
      <c r="J700" s="117">
        <v>8.5999999999999993E-2</v>
      </c>
      <c r="K700" s="115">
        <v>12.74</v>
      </c>
      <c r="L700" s="88">
        <v>880</v>
      </c>
      <c r="M700" s="88">
        <v>0.3</v>
      </c>
      <c r="N700" s="88">
        <v>0.41</v>
      </c>
      <c r="O700" s="88">
        <v>2.86</v>
      </c>
      <c r="P700" s="88">
        <v>3.17</v>
      </c>
      <c r="Q700" s="88"/>
      <c r="R700" s="121">
        <v>1.8875480000000002</v>
      </c>
      <c r="S700" s="115">
        <v>19.600000000000001</v>
      </c>
      <c r="T700" s="88"/>
      <c r="U700" s="88"/>
      <c r="V700" s="88"/>
      <c r="W700" s="88"/>
      <c r="X700" s="88"/>
      <c r="Y700" s="115">
        <v>3.5000000000000004</v>
      </c>
      <c r="Z700" s="88"/>
      <c r="AA700" s="116"/>
      <c r="AB700" s="116"/>
      <c r="AC700" s="88"/>
      <c r="AD700" s="88">
        <v>50</v>
      </c>
      <c r="AE700" s="88">
        <v>420</v>
      </c>
      <c r="AF700" s="88">
        <v>530</v>
      </c>
      <c r="AG700" s="66">
        <f t="shared" si="20"/>
        <v>1288.56</v>
      </c>
      <c r="AH700" s="143">
        <f t="shared" si="21"/>
        <v>1000</v>
      </c>
    </row>
    <row r="701" spans="1:34" s="118" customFormat="1" x14ac:dyDescent="0.3">
      <c r="A701" s="84">
        <v>803257</v>
      </c>
      <c r="B701" s="115">
        <v>36.166666666666664</v>
      </c>
      <c r="C701" s="115">
        <v>16.874999999999996</v>
      </c>
      <c r="D701" s="116">
        <v>8.33</v>
      </c>
      <c r="E701" s="1525">
        <v>0.2</v>
      </c>
      <c r="F701" s="89">
        <v>28.35</v>
      </c>
      <c r="G701" s="89"/>
      <c r="H701" s="89">
        <v>54.68</v>
      </c>
      <c r="I701" s="89">
        <v>500</v>
      </c>
      <c r="J701" s="117">
        <v>8.5999999999999993E-2</v>
      </c>
      <c r="K701" s="115">
        <v>13.86</v>
      </c>
      <c r="L701" s="88">
        <v>1010</v>
      </c>
      <c r="M701" s="88">
        <v>0.25</v>
      </c>
      <c r="N701" s="88">
        <v>0.34</v>
      </c>
      <c r="O701" s="88">
        <v>4.8899999999999997</v>
      </c>
      <c r="P701" s="88">
        <v>2.89</v>
      </c>
      <c r="Q701" s="88"/>
      <c r="R701" s="121">
        <v>1.882088</v>
      </c>
      <c r="S701" s="115">
        <v>19.399999999999999</v>
      </c>
      <c r="T701" s="88"/>
      <c r="U701" s="88"/>
      <c r="V701" s="88"/>
      <c r="W701" s="88"/>
      <c r="X701" s="88"/>
      <c r="Y701" s="115">
        <v>24</v>
      </c>
      <c r="Z701" s="88"/>
      <c r="AA701" s="116"/>
      <c r="AB701" s="116"/>
      <c r="AC701" s="88"/>
      <c r="AD701" s="88">
        <v>480</v>
      </c>
      <c r="AE701" s="88">
        <v>400</v>
      </c>
      <c r="AF701" s="88">
        <v>120</v>
      </c>
      <c r="AG701" s="66">
        <f t="shared" si="20"/>
        <v>204.43499999999997</v>
      </c>
      <c r="AH701" s="143">
        <f t="shared" si="21"/>
        <v>1000</v>
      </c>
    </row>
    <row r="702" spans="1:34" s="118" customFormat="1" x14ac:dyDescent="0.3">
      <c r="A702" s="84">
        <v>803258</v>
      </c>
      <c r="B702" s="115">
        <v>38.333333333333329</v>
      </c>
      <c r="C702" s="115">
        <v>16.249999999999996</v>
      </c>
      <c r="D702" s="116">
        <v>8.2799999999999994</v>
      </c>
      <c r="E702" s="1525">
        <v>0.22</v>
      </c>
      <c r="F702" s="89">
        <v>43.05</v>
      </c>
      <c r="G702" s="89"/>
      <c r="H702" s="89">
        <v>30.75</v>
      </c>
      <c r="I702" s="89">
        <v>390</v>
      </c>
      <c r="J702" s="117">
        <v>7.6999999999999999E-2</v>
      </c>
      <c r="K702" s="115">
        <v>11.67</v>
      </c>
      <c r="L702" s="88">
        <v>870</v>
      </c>
      <c r="M702" s="88">
        <v>0.19</v>
      </c>
      <c r="N702" s="88">
        <v>0.28999999999999998</v>
      </c>
      <c r="O702" s="88">
        <v>1.1499999999999999</v>
      </c>
      <c r="P702" s="88">
        <v>2.2000000000000002</v>
      </c>
      <c r="Q702" s="88"/>
      <c r="R702" s="121">
        <v>1.7806999999999999</v>
      </c>
      <c r="S702" s="115">
        <v>16</v>
      </c>
      <c r="T702" s="88"/>
      <c r="U702" s="88"/>
      <c r="V702" s="88"/>
      <c r="W702" s="88"/>
      <c r="X702" s="88"/>
      <c r="Y702" s="115">
        <v>23</v>
      </c>
      <c r="Z702" s="88"/>
      <c r="AA702" s="116"/>
      <c r="AB702" s="116"/>
      <c r="AC702" s="88"/>
      <c r="AD702" s="88">
        <v>460</v>
      </c>
      <c r="AE702" s="88">
        <v>420</v>
      </c>
      <c r="AF702" s="88">
        <v>120</v>
      </c>
      <c r="AG702" s="66">
        <f t="shared" si="20"/>
        <v>179.61652173913041</v>
      </c>
      <c r="AH702" s="143">
        <f t="shared" si="21"/>
        <v>1000</v>
      </c>
    </row>
    <row r="703" spans="1:34" s="118" customFormat="1" x14ac:dyDescent="0.3">
      <c r="A703" s="84">
        <v>803259</v>
      </c>
      <c r="B703" s="115">
        <v>35.666666666666664</v>
      </c>
      <c r="C703" s="115">
        <v>15.499999999999998</v>
      </c>
      <c r="D703" s="116">
        <v>8.35</v>
      </c>
      <c r="E703" s="1525">
        <v>0.17</v>
      </c>
      <c r="F703" s="89">
        <v>24.049999999999997</v>
      </c>
      <c r="G703" s="89"/>
      <c r="H703" s="89">
        <v>44.28</v>
      </c>
      <c r="I703" s="89">
        <v>420</v>
      </c>
      <c r="J703" s="117">
        <v>7.5999999999999998E-2</v>
      </c>
      <c r="K703" s="115">
        <v>12.93</v>
      </c>
      <c r="L703" s="88">
        <v>940</v>
      </c>
      <c r="M703" s="88">
        <v>0.23</v>
      </c>
      <c r="N703" s="88">
        <v>0.27</v>
      </c>
      <c r="O703" s="88">
        <v>1.21</v>
      </c>
      <c r="P703" s="88">
        <v>2.2200000000000002</v>
      </c>
      <c r="Q703" s="88"/>
      <c r="R703" s="121">
        <v>1.8481520000000002</v>
      </c>
      <c r="S703" s="115">
        <v>18.2</v>
      </c>
      <c r="T703" s="88"/>
      <c r="U703" s="88"/>
      <c r="V703" s="88"/>
      <c r="W703" s="88"/>
      <c r="X703" s="88"/>
      <c r="Y703" s="115">
        <v>23</v>
      </c>
      <c r="Z703" s="88"/>
      <c r="AA703" s="116"/>
      <c r="AB703" s="116"/>
      <c r="AC703" s="88"/>
      <c r="AD703" s="88">
        <v>460</v>
      </c>
      <c r="AE703" s="88">
        <v>440</v>
      </c>
      <c r="AF703" s="88">
        <v>100</v>
      </c>
      <c r="AG703" s="66">
        <f t="shared" si="20"/>
        <v>199.00956521739127</v>
      </c>
      <c r="AH703" s="143">
        <f t="shared" si="21"/>
        <v>1000</v>
      </c>
    </row>
    <row r="704" spans="1:34" s="118" customFormat="1" x14ac:dyDescent="0.3">
      <c r="A704" s="84">
        <v>803260</v>
      </c>
      <c r="B704" s="115">
        <v>42.166666666666671</v>
      </c>
      <c r="C704" s="115">
        <v>16.874999999999996</v>
      </c>
      <c r="D704" s="116">
        <v>8.3699999999999992</v>
      </c>
      <c r="E704" s="1525">
        <v>0.21</v>
      </c>
      <c r="F704" s="89">
        <v>28.1</v>
      </c>
      <c r="G704" s="89"/>
      <c r="H704" s="89">
        <v>73.33</v>
      </c>
      <c r="I704" s="89">
        <v>410</v>
      </c>
      <c r="J704" s="117">
        <v>0.06</v>
      </c>
      <c r="K704" s="115">
        <v>12.77</v>
      </c>
      <c r="L704" s="88">
        <v>910</v>
      </c>
      <c r="M704" s="88">
        <v>0.21</v>
      </c>
      <c r="N704" s="88">
        <v>0.31</v>
      </c>
      <c r="O704" s="88">
        <v>2.19</v>
      </c>
      <c r="P704" s="88">
        <v>2.5099999999999998</v>
      </c>
      <c r="Q704" s="88"/>
      <c r="R704" s="121">
        <v>1.7135000000000002</v>
      </c>
      <c r="S704" s="115">
        <v>14</v>
      </c>
      <c r="T704" s="88"/>
      <c r="U704" s="88"/>
      <c r="V704" s="88"/>
      <c r="W704" s="88"/>
      <c r="X704" s="88"/>
      <c r="Y704" s="115">
        <v>21</v>
      </c>
      <c r="Z704" s="88"/>
      <c r="AA704" s="116"/>
      <c r="AB704" s="116"/>
      <c r="AC704" s="88"/>
      <c r="AD704" s="88">
        <v>420</v>
      </c>
      <c r="AE704" s="88">
        <v>500</v>
      </c>
      <c r="AF704" s="88">
        <v>80</v>
      </c>
      <c r="AG704" s="66">
        <f t="shared" si="20"/>
        <v>215.2657142857143</v>
      </c>
      <c r="AH704" s="143">
        <f t="shared" si="21"/>
        <v>1000</v>
      </c>
    </row>
    <row r="705" spans="1:34" s="118" customFormat="1" x14ac:dyDescent="0.3">
      <c r="A705" s="84">
        <v>803261</v>
      </c>
      <c r="B705" s="115">
        <v>44.333333333333336</v>
      </c>
      <c r="C705" s="115">
        <v>16.5</v>
      </c>
      <c r="D705" s="116">
        <v>8.33</v>
      </c>
      <c r="E705" s="1525">
        <v>0.22</v>
      </c>
      <c r="F705" s="89">
        <v>27.349999999999998</v>
      </c>
      <c r="G705" s="89"/>
      <c r="H705" s="89">
        <v>73.63</v>
      </c>
      <c r="I705" s="89">
        <v>400</v>
      </c>
      <c r="J705" s="117">
        <v>4.8000000000000001E-2</v>
      </c>
      <c r="K705" s="115">
        <v>12.63</v>
      </c>
      <c r="L705" s="88">
        <v>960</v>
      </c>
      <c r="M705" s="88">
        <v>0.22</v>
      </c>
      <c r="N705" s="88">
        <v>2.19</v>
      </c>
      <c r="O705" s="88">
        <v>1.6</v>
      </c>
      <c r="P705" s="88">
        <v>2.4500000000000002</v>
      </c>
      <c r="Q705" s="88"/>
      <c r="R705" s="121">
        <v>1.737657</v>
      </c>
      <c r="S705" s="115">
        <v>14.7</v>
      </c>
      <c r="T705" s="88"/>
      <c r="U705" s="88"/>
      <c r="V705" s="88"/>
      <c r="W705" s="88"/>
      <c r="X705" s="88"/>
      <c r="Y705" s="115">
        <v>22</v>
      </c>
      <c r="Z705" s="88"/>
      <c r="AA705" s="116"/>
      <c r="AB705" s="116"/>
      <c r="AC705" s="88"/>
      <c r="AD705" s="88">
        <v>440</v>
      </c>
      <c r="AE705" s="88">
        <v>480</v>
      </c>
      <c r="AF705" s="88">
        <v>80</v>
      </c>
      <c r="AG705" s="66">
        <f t="shared" si="20"/>
        <v>203.22818181818184</v>
      </c>
      <c r="AH705" s="143">
        <f t="shared" si="21"/>
        <v>1000</v>
      </c>
    </row>
    <row r="706" spans="1:34" s="118" customFormat="1" x14ac:dyDescent="0.3">
      <c r="A706" s="84">
        <v>803263</v>
      </c>
      <c r="B706" s="115">
        <v>5.583333333333333</v>
      </c>
      <c r="C706" s="115"/>
      <c r="D706" s="116">
        <v>8.57</v>
      </c>
      <c r="E706" s="1525">
        <v>0.15</v>
      </c>
      <c r="F706" s="89">
        <v>33.650000000000006</v>
      </c>
      <c r="G706" s="89"/>
      <c r="H706" s="89">
        <v>30.15</v>
      </c>
      <c r="I706" s="89">
        <v>130</v>
      </c>
      <c r="J706" s="117">
        <v>9.1999999999999998E-2</v>
      </c>
      <c r="K706" s="115">
        <v>8.24</v>
      </c>
      <c r="L706" s="88">
        <v>690</v>
      </c>
      <c r="M706" s="88">
        <v>0.91</v>
      </c>
      <c r="N706" s="88">
        <v>3.87</v>
      </c>
      <c r="O706" s="88">
        <v>2.5499999999999998</v>
      </c>
      <c r="P706" s="88">
        <v>5.76</v>
      </c>
      <c r="Q706" s="88"/>
      <c r="R706" s="121">
        <v>0.77183324601387171</v>
      </c>
      <c r="S706" s="115">
        <v>5.6</v>
      </c>
      <c r="T706" s="88"/>
      <c r="U706" s="88"/>
      <c r="V706" s="88"/>
      <c r="W706" s="88"/>
      <c r="X706" s="88"/>
      <c r="Y706" s="115">
        <v>29</v>
      </c>
      <c r="Z706" s="88"/>
      <c r="AA706" s="116"/>
      <c r="AB706" s="116"/>
      <c r="AC706" s="88"/>
      <c r="AD706" s="88">
        <v>680</v>
      </c>
      <c r="AE706" s="88">
        <v>240</v>
      </c>
      <c r="AF706" s="88">
        <v>80</v>
      </c>
      <c r="AG706" s="66">
        <f t="shared" ref="AG706:AG769" si="22">+K706*3.54*100/Y706</f>
        <v>100.5848275862069</v>
      </c>
      <c r="AH706" s="143">
        <f t="shared" ref="AH706:AH769" si="23">+SUM(AD706:AF706)</f>
        <v>1000</v>
      </c>
    </row>
    <row r="707" spans="1:34" s="118" customFormat="1" x14ac:dyDescent="0.3">
      <c r="A707" s="84">
        <v>803264</v>
      </c>
      <c r="B707" s="115">
        <v>16.583333333333332</v>
      </c>
      <c r="C707" s="115">
        <v>1.7499999999999982</v>
      </c>
      <c r="D707" s="116">
        <v>8.6300000000000008</v>
      </c>
      <c r="E707" s="1525">
        <v>0.13</v>
      </c>
      <c r="F707" s="89">
        <v>24.3</v>
      </c>
      <c r="G707" s="89"/>
      <c r="H707" s="89">
        <v>20.010000000000002</v>
      </c>
      <c r="I707" s="89">
        <v>110</v>
      </c>
      <c r="J707" s="117">
        <v>0.104</v>
      </c>
      <c r="K707" s="115">
        <v>8.4700000000000006</v>
      </c>
      <c r="L707" s="88">
        <v>650</v>
      </c>
      <c r="M707" s="88">
        <v>0.36</v>
      </c>
      <c r="N707" s="88">
        <v>1.89</v>
      </c>
      <c r="O707" s="88">
        <v>1.59</v>
      </c>
      <c r="P707" s="88">
        <v>5.76</v>
      </c>
      <c r="Q707" s="88"/>
      <c r="R707" s="121">
        <v>0.68033182119467783</v>
      </c>
      <c r="S707" s="115">
        <v>4.7</v>
      </c>
      <c r="T707" s="88"/>
      <c r="U707" s="88"/>
      <c r="V707" s="88"/>
      <c r="W707" s="88"/>
      <c r="X707" s="88"/>
      <c r="Y707" s="115">
        <v>28.8</v>
      </c>
      <c r="Z707" s="88"/>
      <c r="AA707" s="116"/>
      <c r="AB707" s="116"/>
      <c r="AC707" s="88"/>
      <c r="AD707" s="88">
        <v>660</v>
      </c>
      <c r="AE707" s="88">
        <v>220</v>
      </c>
      <c r="AF707" s="88">
        <v>120</v>
      </c>
      <c r="AG707" s="66">
        <f t="shared" si="22"/>
        <v>104.11041666666667</v>
      </c>
      <c r="AH707" s="143">
        <f t="shared" si="23"/>
        <v>1000</v>
      </c>
    </row>
    <row r="708" spans="1:34" s="118" customFormat="1" x14ac:dyDescent="0.3">
      <c r="A708" s="84">
        <v>803265</v>
      </c>
      <c r="B708" s="115">
        <v>10.583333333333332</v>
      </c>
      <c r="C708" s="115">
        <v>11.749999999999998</v>
      </c>
      <c r="D708" s="116">
        <v>8.64</v>
      </c>
      <c r="E708" s="1525">
        <v>0.18</v>
      </c>
      <c r="F708" s="89">
        <v>26.8</v>
      </c>
      <c r="G708" s="89"/>
      <c r="H708" s="89">
        <v>24.05</v>
      </c>
      <c r="I708" s="89">
        <v>230</v>
      </c>
      <c r="J708" s="117">
        <v>0.23799999999999999</v>
      </c>
      <c r="K708" s="115">
        <v>6.17</v>
      </c>
      <c r="L708" s="88">
        <v>840</v>
      </c>
      <c r="M708" s="88">
        <v>0.72</v>
      </c>
      <c r="N708" s="88">
        <v>1.77</v>
      </c>
      <c r="O708" s="88">
        <v>0.72</v>
      </c>
      <c r="P708" s="88">
        <v>4.93</v>
      </c>
      <c r="Q708" s="88"/>
      <c r="R708" s="121">
        <v>1.6444730000000001</v>
      </c>
      <c r="S708" s="115">
        <v>12.1</v>
      </c>
      <c r="T708" s="88"/>
      <c r="U708" s="88"/>
      <c r="V708" s="88"/>
      <c r="W708" s="88"/>
      <c r="X708" s="88"/>
      <c r="Y708" s="115">
        <v>24.7</v>
      </c>
      <c r="Z708" s="88"/>
      <c r="AA708" s="116"/>
      <c r="AB708" s="116"/>
      <c r="AC708" s="88"/>
      <c r="AD708" s="88">
        <v>680</v>
      </c>
      <c r="AE708" s="88">
        <v>220</v>
      </c>
      <c r="AF708" s="88">
        <v>100</v>
      </c>
      <c r="AG708" s="66">
        <f t="shared" si="22"/>
        <v>88.428340080971651</v>
      </c>
      <c r="AH708" s="143">
        <f t="shared" si="23"/>
        <v>1000</v>
      </c>
    </row>
    <row r="709" spans="1:34" s="124" customFormat="1" x14ac:dyDescent="0.3">
      <c r="A709" s="84">
        <v>803266</v>
      </c>
      <c r="B709" s="120">
        <v>28.999999999999996</v>
      </c>
      <c r="C709" s="120">
        <v>10.499999999999998</v>
      </c>
      <c r="D709" s="121">
        <v>8.33</v>
      </c>
      <c r="E709" s="1526">
        <v>2.67</v>
      </c>
      <c r="F709" s="122">
        <v>776.55</v>
      </c>
      <c r="G709" s="122"/>
      <c r="H709" s="122">
        <v>90.25</v>
      </c>
      <c r="I709" s="122">
        <v>260</v>
      </c>
      <c r="J709" s="119">
        <v>1.466</v>
      </c>
      <c r="K709" s="120">
        <v>18.72</v>
      </c>
      <c r="L709" s="123">
        <v>1630</v>
      </c>
      <c r="M709" s="123">
        <v>0.45</v>
      </c>
      <c r="N709" s="123">
        <v>0.42</v>
      </c>
      <c r="O709" s="123">
        <v>1.38</v>
      </c>
      <c r="P709" s="123">
        <v>3.31</v>
      </c>
      <c r="Q709" s="123"/>
      <c r="R709" s="121">
        <v>0.90598736302037552</v>
      </c>
      <c r="S709" s="120">
        <v>6.5</v>
      </c>
      <c r="T709" s="123"/>
      <c r="U709" s="123"/>
      <c r="V709" s="123"/>
      <c r="W709" s="123"/>
      <c r="X709" s="123"/>
      <c r="Y709" s="120">
        <v>18</v>
      </c>
      <c r="Z709" s="123"/>
      <c r="AA709" s="121"/>
      <c r="AB709" s="121"/>
      <c r="AC709" s="123"/>
      <c r="AD709" s="88">
        <v>360</v>
      </c>
      <c r="AE709" s="88">
        <v>240</v>
      </c>
      <c r="AF709" s="88">
        <v>400</v>
      </c>
      <c r="AG709" s="66">
        <f t="shared" si="22"/>
        <v>368.16</v>
      </c>
      <c r="AH709" s="143">
        <f t="shared" si="23"/>
        <v>1000</v>
      </c>
    </row>
    <row r="710" spans="1:34" s="124" customFormat="1" x14ac:dyDescent="0.3">
      <c r="A710" s="84">
        <v>803267</v>
      </c>
      <c r="B710" s="120">
        <v>28.500000000000004</v>
      </c>
      <c r="C710" s="120">
        <v>9.2499999999999982</v>
      </c>
      <c r="D710" s="121">
        <v>8.59</v>
      </c>
      <c r="E710" s="1526">
        <v>1.55</v>
      </c>
      <c r="F710" s="122">
        <v>833.55000000000007</v>
      </c>
      <c r="G710" s="122"/>
      <c r="H710" s="122">
        <v>92.11</v>
      </c>
      <c r="I710" s="122">
        <v>220</v>
      </c>
      <c r="J710" s="119">
        <v>1.1870000000000001</v>
      </c>
      <c r="K710" s="120">
        <v>12.84</v>
      </c>
      <c r="L710" s="123">
        <v>1210</v>
      </c>
      <c r="M710" s="123">
        <v>0.37</v>
      </c>
      <c r="N710" s="123">
        <v>0.45</v>
      </c>
      <c r="O710" s="123">
        <v>1.49</v>
      </c>
      <c r="P710" s="123">
        <v>3.76</v>
      </c>
      <c r="Q710" s="123"/>
      <c r="R710" s="121">
        <v>0.59079285686179639</v>
      </c>
      <c r="S710" s="120">
        <v>4.2</v>
      </c>
      <c r="T710" s="123"/>
      <c r="U710" s="123"/>
      <c r="V710" s="123"/>
      <c r="W710" s="123"/>
      <c r="X710" s="123"/>
      <c r="Y710" s="120">
        <v>28</v>
      </c>
      <c r="Z710" s="123"/>
      <c r="AA710" s="121"/>
      <c r="AB710" s="121"/>
      <c r="AC710" s="123"/>
      <c r="AD710" s="88">
        <v>400</v>
      </c>
      <c r="AE710" s="88">
        <v>240</v>
      </c>
      <c r="AF710" s="88">
        <v>360</v>
      </c>
      <c r="AG710" s="66">
        <f t="shared" si="22"/>
        <v>162.33428571428573</v>
      </c>
      <c r="AH710" s="143">
        <f t="shared" si="23"/>
        <v>1000</v>
      </c>
    </row>
    <row r="711" spans="1:34" s="124" customFormat="1" x14ac:dyDescent="0.3">
      <c r="A711" s="84">
        <v>803268</v>
      </c>
      <c r="B711" s="120">
        <v>34.166666666666664</v>
      </c>
      <c r="C711" s="120">
        <v>11.999999999999996</v>
      </c>
      <c r="D711" s="121">
        <v>8.82</v>
      </c>
      <c r="E711" s="1526">
        <v>0.74</v>
      </c>
      <c r="F711" s="122">
        <v>466.5</v>
      </c>
      <c r="G711" s="122"/>
      <c r="H711" s="122">
        <v>18.53</v>
      </c>
      <c r="I711" s="122">
        <v>190</v>
      </c>
      <c r="J711" s="119">
        <v>0.64600000000000002</v>
      </c>
      <c r="K711" s="120">
        <v>7.94</v>
      </c>
      <c r="L711" s="123">
        <v>590</v>
      </c>
      <c r="M711" s="123">
        <v>0.25</v>
      </c>
      <c r="N711" s="123">
        <v>0.25</v>
      </c>
      <c r="O711" s="123">
        <v>1.88</v>
      </c>
      <c r="P711" s="123">
        <v>2.59</v>
      </c>
      <c r="Q711" s="123"/>
      <c r="R711" s="121">
        <v>0.4705820044871426</v>
      </c>
      <c r="S711" s="120">
        <v>3.5</v>
      </c>
      <c r="T711" s="123"/>
      <c r="U711" s="123"/>
      <c r="V711" s="123"/>
      <c r="W711" s="123"/>
      <c r="X711" s="123"/>
      <c r="Y711" s="120">
        <v>30</v>
      </c>
      <c r="Z711" s="123"/>
      <c r="AA711" s="121"/>
      <c r="AB711" s="121"/>
      <c r="AC711" s="123"/>
      <c r="AD711" s="88">
        <v>600</v>
      </c>
      <c r="AE711" s="88">
        <v>160</v>
      </c>
      <c r="AF711" s="88">
        <v>240</v>
      </c>
      <c r="AG711" s="66">
        <f t="shared" si="22"/>
        <v>93.692000000000007</v>
      </c>
      <c r="AH711" s="143">
        <f t="shared" si="23"/>
        <v>1000</v>
      </c>
    </row>
    <row r="712" spans="1:34" s="124" customFormat="1" x14ac:dyDescent="0.3">
      <c r="A712" s="84">
        <v>803269</v>
      </c>
      <c r="B712" s="120">
        <v>8.3333333333333321</v>
      </c>
      <c r="C712" s="120"/>
      <c r="D712" s="121">
        <v>8.52</v>
      </c>
      <c r="E712" s="1526">
        <v>0.72</v>
      </c>
      <c r="F712" s="122">
        <v>616.79999999999995</v>
      </c>
      <c r="G712" s="122"/>
      <c r="H712" s="122">
        <v>59.66</v>
      </c>
      <c r="I712" s="122">
        <v>280</v>
      </c>
      <c r="J712" s="119">
        <v>0.16</v>
      </c>
      <c r="K712" s="120">
        <v>7.66</v>
      </c>
      <c r="L712" s="123">
        <v>440</v>
      </c>
      <c r="M712" s="123">
        <v>0.5</v>
      </c>
      <c r="N712" s="123">
        <v>0.23</v>
      </c>
      <c r="O712" s="123">
        <v>3.09</v>
      </c>
      <c r="P712" s="123">
        <v>2.57</v>
      </c>
      <c r="Q712" s="123"/>
      <c r="R712" s="121">
        <v>0.99234008271835128</v>
      </c>
      <c r="S712" s="120">
        <v>6.9</v>
      </c>
      <c r="T712" s="123"/>
      <c r="U712" s="123"/>
      <c r="V712" s="123"/>
      <c r="W712" s="123"/>
      <c r="X712" s="123"/>
      <c r="Y712" s="120">
        <v>7</v>
      </c>
      <c r="Z712" s="123"/>
      <c r="AA712" s="121"/>
      <c r="AB712" s="121"/>
      <c r="AC712" s="123"/>
      <c r="AD712" s="88">
        <v>100</v>
      </c>
      <c r="AE712" s="88">
        <v>140</v>
      </c>
      <c r="AF712" s="88">
        <v>760</v>
      </c>
      <c r="AG712" s="66">
        <f t="shared" si="22"/>
        <v>387.37714285714293</v>
      </c>
      <c r="AH712" s="143">
        <f t="shared" si="23"/>
        <v>1000</v>
      </c>
    </row>
    <row r="713" spans="1:34" s="124" customFormat="1" x14ac:dyDescent="0.3">
      <c r="A713" s="84">
        <v>803270</v>
      </c>
      <c r="B713" s="120">
        <v>48.5</v>
      </c>
      <c r="C713" s="120">
        <v>12.999999999999998</v>
      </c>
      <c r="D713" s="121">
        <v>8.61</v>
      </c>
      <c r="E713" s="1526">
        <v>3.3</v>
      </c>
      <c r="F713" s="122">
        <v>2125</v>
      </c>
      <c r="G713" s="122"/>
      <c r="H713" s="122">
        <v>18.329999999999998</v>
      </c>
      <c r="I713" s="122">
        <v>270</v>
      </c>
      <c r="J713" s="119">
        <v>1.738</v>
      </c>
      <c r="K713" s="120">
        <v>13.99</v>
      </c>
      <c r="L713" s="123">
        <v>1780</v>
      </c>
      <c r="M713" s="123">
        <v>0.09</v>
      </c>
      <c r="N713" s="123">
        <v>0.18</v>
      </c>
      <c r="O713" s="123">
        <v>0.33</v>
      </c>
      <c r="P713" s="123">
        <v>1.05</v>
      </c>
      <c r="Q713" s="123"/>
      <c r="R713" s="121">
        <v>1.0531094937641505</v>
      </c>
      <c r="S713" s="120">
        <v>6.9</v>
      </c>
      <c r="T713" s="123"/>
      <c r="U713" s="123"/>
      <c r="V713" s="123"/>
      <c r="W713" s="123"/>
      <c r="X713" s="123"/>
      <c r="Y713" s="120">
        <v>24</v>
      </c>
      <c r="Z713" s="123"/>
      <c r="AA713" s="121"/>
      <c r="AB713" s="121"/>
      <c r="AC713" s="123"/>
      <c r="AD713" s="88">
        <v>400</v>
      </c>
      <c r="AE713" s="88">
        <v>360</v>
      </c>
      <c r="AF713" s="88">
        <v>240</v>
      </c>
      <c r="AG713" s="66">
        <f t="shared" si="22"/>
        <v>206.35249999999999</v>
      </c>
      <c r="AH713" s="143">
        <f t="shared" si="23"/>
        <v>1000</v>
      </c>
    </row>
    <row r="714" spans="1:34" s="124" customFormat="1" x14ac:dyDescent="0.3">
      <c r="A714" s="84">
        <v>803271</v>
      </c>
      <c r="B714" s="120">
        <v>48</v>
      </c>
      <c r="C714" s="120">
        <v>12.874999999999998</v>
      </c>
      <c r="D714" s="121">
        <v>8.66</v>
      </c>
      <c r="E714" s="1526">
        <v>0.37</v>
      </c>
      <c r="F714" s="122">
        <v>261.84999999999997</v>
      </c>
      <c r="G714" s="122"/>
      <c r="H714" s="122">
        <v>33.200000000000003</v>
      </c>
      <c r="I714" s="122">
        <v>760</v>
      </c>
      <c r="J714" s="119">
        <v>0.16400000000000001</v>
      </c>
      <c r="K714" s="120">
        <v>8.6300000000000008</v>
      </c>
      <c r="L714" s="123">
        <v>1180</v>
      </c>
      <c r="M714" s="123">
        <v>0.45</v>
      </c>
      <c r="N714" s="123">
        <v>0.45</v>
      </c>
      <c r="O714" s="123">
        <v>3.8</v>
      </c>
      <c r="P714" s="123">
        <v>1.49</v>
      </c>
      <c r="Q714" s="123"/>
      <c r="R714" s="121">
        <v>1.5784280000000002</v>
      </c>
      <c r="S714" s="120">
        <v>10.4</v>
      </c>
      <c r="T714" s="123"/>
      <c r="U714" s="123"/>
      <c r="V714" s="123"/>
      <c r="W714" s="123"/>
      <c r="X714" s="123"/>
      <c r="Y714" s="120">
        <v>32.200000000000003</v>
      </c>
      <c r="Z714" s="123"/>
      <c r="AA714" s="121"/>
      <c r="AB714" s="121"/>
      <c r="AC714" s="123"/>
      <c r="AD714" s="88">
        <v>460</v>
      </c>
      <c r="AE714" s="88">
        <v>300</v>
      </c>
      <c r="AF714" s="88">
        <v>240</v>
      </c>
      <c r="AG714" s="66">
        <f t="shared" si="22"/>
        <v>94.876397515527955</v>
      </c>
      <c r="AH714" s="143">
        <f t="shared" si="23"/>
        <v>1000</v>
      </c>
    </row>
    <row r="715" spans="1:34" s="124" customFormat="1" x14ac:dyDescent="0.3">
      <c r="A715" s="84">
        <v>803272</v>
      </c>
      <c r="B715" s="120">
        <v>26.166666666666664</v>
      </c>
      <c r="C715" s="120">
        <v>11.999999999999996</v>
      </c>
      <c r="D715" s="121">
        <v>8.73</v>
      </c>
      <c r="E715" s="1526">
        <v>0.13</v>
      </c>
      <c r="F715" s="122">
        <v>60.599999999999994</v>
      </c>
      <c r="G715" s="122"/>
      <c r="H715" s="122">
        <v>28.6</v>
      </c>
      <c r="I715" s="122">
        <v>470</v>
      </c>
      <c r="J715" s="119">
        <v>3.2000000000000001E-2</v>
      </c>
      <c r="K715" s="120">
        <v>11.2</v>
      </c>
      <c r="L715" s="123">
        <v>600</v>
      </c>
      <c r="M715" s="123">
        <v>0.22</v>
      </c>
      <c r="N715" s="123">
        <v>0.6</v>
      </c>
      <c r="O715" s="123">
        <v>2.17</v>
      </c>
      <c r="P715" s="123">
        <v>1.91</v>
      </c>
      <c r="Q715" s="123"/>
      <c r="R715" s="121">
        <v>1.2561311994435553</v>
      </c>
      <c r="S715" s="120">
        <v>8.4</v>
      </c>
      <c r="T715" s="123"/>
      <c r="U715" s="123"/>
      <c r="V715" s="123"/>
      <c r="W715" s="123"/>
      <c r="X715" s="123"/>
      <c r="Y715" s="120">
        <v>28</v>
      </c>
      <c r="Z715" s="123"/>
      <c r="AA715" s="121"/>
      <c r="AB715" s="121"/>
      <c r="AC715" s="123"/>
      <c r="AD715" s="88">
        <v>400</v>
      </c>
      <c r="AE715" s="88">
        <v>360</v>
      </c>
      <c r="AF715" s="88">
        <v>240</v>
      </c>
      <c r="AG715" s="66">
        <f t="shared" si="22"/>
        <v>141.6</v>
      </c>
      <c r="AH715" s="143">
        <f t="shared" si="23"/>
        <v>1000</v>
      </c>
    </row>
    <row r="716" spans="1:34" s="124" customFormat="1" x14ac:dyDescent="0.3">
      <c r="A716" s="84">
        <v>803273</v>
      </c>
      <c r="B716" s="120">
        <v>34.333333333333336</v>
      </c>
      <c r="C716" s="120">
        <v>9.7499999999999982</v>
      </c>
      <c r="D716" s="121">
        <v>8.91</v>
      </c>
      <c r="E716" s="1526">
        <v>0.15</v>
      </c>
      <c r="F716" s="122">
        <v>74.599999999999994</v>
      </c>
      <c r="G716" s="122"/>
      <c r="H716" s="122">
        <v>31.91</v>
      </c>
      <c r="I716" s="122">
        <v>590</v>
      </c>
      <c r="J716" s="119">
        <v>7.8E-2</v>
      </c>
      <c r="K716" s="120">
        <v>8.48</v>
      </c>
      <c r="L716" s="123">
        <v>350</v>
      </c>
      <c r="M716" s="123">
        <v>0.41</v>
      </c>
      <c r="N716" s="123">
        <v>0.51</v>
      </c>
      <c r="O716" s="123">
        <v>4.71</v>
      </c>
      <c r="P716" s="123">
        <v>1.18</v>
      </c>
      <c r="Q716" s="123"/>
      <c r="R716" s="121">
        <v>1.369264657409361</v>
      </c>
      <c r="S716" s="120">
        <v>10.199999999999999</v>
      </c>
      <c r="T716" s="123"/>
      <c r="U716" s="123"/>
      <c r="V716" s="123"/>
      <c r="W716" s="123"/>
      <c r="X716" s="123"/>
      <c r="Y716" s="120">
        <v>29.4</v>
      </c>
      <c r="Z716" s="123"/>
      <c r="AA716" s="121"/>
      <c r="AB716" s="121"/>
      <c r="AC716" s="123"/>
      <c r="AD716" s="88">
        <v>420</v>
      </c>
      <c r="AE716" s="88">
        <v>340</v>
      </c>
      <c r="AF716" s="88">
        <v>240</v>
      </c>
      <c r="AG716" s="66">
        <f t="shared" si="22"/>
        <v>102.1061224489796</v>
      </c>
      <c r="AH716" s="143">
        <f t="shared" si="23"/>
        <v>1000</v>
      </c>
    </row>
    <row r="717" spans="1:34" s="124" customFormat="1" x14ac:dyDescent="0.3">
      <c r="A717" s="84">
        <v>803274</v>
      </c>
      <c r="B717" s="120">
        <v>7.6666666666666661</v>
      </c>
      <c r="C717" s="120"/>
      <c r="D717" s="121">
        <v>8.58</v>
      </c>
      <c r="E717" s="1526">
        <v>0.51</v>
      </c>
      <c r="F717" s="122">
        <v>548.20000000000005</v>
      </c>
      <c r="G717" s="122"/>
      <c r="H717" s="122">
        <v>27.55</v>
      </c>
      <c r="I717" s="122">
        <v>680</v>
      </c>
      <c r="J717" s="119">
        <v>0.54500000000000004</v>
      </c>
      <c r="K717" s="120">
        <v>8.56</v>
      </c>
      <c r="L717" s="123">
        <v>680</v>
      </c>
      <c r="M717" s="123">
        <v>0.34</v>
      </c>
      <c r="N717" s="123">
        <v>0.55000000000000004</v>
      </c>
      <c r="O717" s="123">
        <v>2.62</v>
      </c>
      <c r="P717" s="123">
        <v>1.45</v>
      </c>
      <c r="Q717" s="123"/>
      <c r="R717" s="121">
        <v>1.6216250000000001</v>
      </c>
      <c r="S717" s="120">
        <v>11.5</v>
      </c>
      <c r="T717" s="123"/>
      <c r="U717" s="123"/>
      <c r="V717" s="123"/>
      <c r="W717" s="123"/>
      <c r="X717" s="123"/>
      <c r="Y717" s="120">
        <v>20</v>
      </c>
      <c r="Z717" s="123"/>
      <c r="AA717" s="121"/>
      <c r="AB717" s="121"/>
      <c r="AC717" s="123"/>
      <c r="AD717" s="88">
        <v>400</v>
      </c>
      <c r="AE717" s="88">
        <v>340</v>
      </c>
      <c r="AF717" s="88">
        <v>260</v>
      </c>
      <c r="AG717" s="66">
        <f t="shared" si="22"/>
        <v>151.512</v>
      </c>
      <c r="AH717" s="143">
        <f t="shared" si="23"/>
        <v>1000</v>
      </c>
    </row>
    <row r="718" spans="1:34" s="124" customFormat="1" x14ac:dyDescent="0.3">
      <c r="A718" s="84">
        <v>803275</v>
      </c>
      <c r="B718" s="120">
        <v>16.333333333333336</v>
      </c>
      <c r="C718" s="120">
        <v>6.2499999999999982</v>
      </c>
      <c r="D718" s="121">
        <v>8.69</v>
      </c>
      <c r="E718" s="1526">
        <v>0.49</v>
      </c>
      <c r="F718" s="122">
        <v>583.80000000000007</v>
      </c>
      <c r="G718" s="122"/>
      <c r="H718" s="122">
        <v>38.020000000000003</v>
      </c>
      <c r="I718" s="122">
        <v>670</v>
      </c>
      <c r="J718" s="119">
        <v>0.54400000000000004</v>
      </c>
      <c r="K718" s="120">
        <v>7.79</v>
      </c>
      <c r="L718" s="123">
        <v>350</v>
      </c>
      <c r="M718" s="123">
        <v>0.38</v>
      </c>
      <c r="N718" s="123">
        <v>0.52</v>
      </c>
      <c r="O718" s="123">
        <v>3.26</v>
      </c>
      <c r="P718" s="123">
        <v>1.3</v>
      </c>
      <c r="Q718" s="123"/>
      <c r="R718" s="121">
        <v>1.2177718934254245</v>
      </c>
      <c r="S718" s="120">
        <v>8.6999999999999993</v>
      </c>
      <c r="T718" s="123"/>
      <c r="U718" s="123"/>
      <c r="V718" s="123"/>
      <c r="W718" s="123"/>
      <c r="X718" s="123"/>
      <c r="Y718" s="120">
        <v>25.2</v>
      </c>
      <c r="Z718" s="123"/>
      <c r="AA718" s="121"/>
      <c r="AB718" s="121"/>
      <c r="AC718" s="123"/>
      <c r="AD718" s="88">
        <v>420</v>
      </c>
      <c r="AE718" s="88">
        <v>380</v>
      </c>
      <c r="AF718" s="88">
        <v>200</v>
      </c>
      <c r="AG718" s="66">
        <f t="shared" si="22"/>
        <v>109.43095238095238</v>
      </c>
      <c r="AH718" s="143">
        <f t="shared" si="23"/>
        <v>1000</v>
      </c>
    </row>
    <row r="719" spans="1:34" s="124" customFormat="1" x14ac:dyDescent="0.3">
      <c r="A719" s="84">
        <v>803276</v>
      </c>
      <c r="B719" s="120">
        <v>22.333333333333332</v>
      </c>
      <c r="C719" s="120">
        <v>11.749999999999998</v>
      </c>
      <c r="D719" s="121">
        <v>8.66</v>
      </c>
      <c r="E719" s="1526">
        <v>5.42</v>
      </c>
      <c r="F719" s="122">
        <v>5514.25</v>
      </c>
      <c r="G719" s="122"/>
      <c r="H719" s="122">
        <v>70.08</v>
      </c>
      <c r="I719" s="122">
        <v>410</v>
      </c>
      <c r="J719" s="119">
        <v>4.7430000000000003</v>
      </c>
      <c r="K719" s="120">
        <v>8.58</v>
      </c>
      <c r="L719" s="123">
        <v>610</v>
      </c>
      <c r="M719" s="123">
        <v>0.63</v>
      </c>
      <c r="N719" s="123">
        <v>0.31</v>
      </c>
      <c r="O719" s="123">
        <v>1.33</v>
      </c>
      <c r="P719" s="123">
        <v>0.92</v>
      </c>
      <c r="Q719" s="123"/>
      <c r="R719" s="121">
        <v>1.1920417988997869</v>
      </c>
      <c r="S719" s="120">
        <v>8</v>
      </c>
      <c r="T719" s="123"/>
      <c r="U719" s="123"/>
      <c r="V719" s="123"/>
      <c r="W719" s="123"/>
      <c r="X719" s="123"/>
      <c r="Y719" s="120">
        <v>31</v>
      </c>
      <c r="Z719" s="123"/>
      <c r="AA719" s="121"/>
      <c r="AB719" s="121"/>
      <c r="AC719" s="123"/>
      <c r="AD719" s="88">
        <v>620</v>
      </c>
      <c r="AE719" s="88">
        <v>240</v>
      </c>
      <c r="AF719" s="88">
        <v>140</v>
      </c>
      <c r="AG719" s="66">
        <f t="shared" si="22"/>
        <v>97.978064516129038</v>
      </c>
      <c r="AH719" s="143">
        <f t="shared" si="23"/>
        <v>1000</v>
      </c>
    </row>
    <row r="720" spans="1:34" s="124" customFormat="1" x14ac:dyDescent="0.3">
      <c r="A720" s="84">
        <v>803277</v>
      </c>
      <c r="B720" s="120">
        <v>34.666666666666671</v>
      </c>
      <c r="C720" s="120">
        <v>11.749999999999998</v>
      </c>
      <c r="D720" s="121">
        <v>8.98</v>
      </c>
      <c r="E720" s="1526">
        <v>0.14000000000000001</v>
      </c>
      <c r="F720" s="122">
        <v>63.150000000000006</v>
      </c>
      <c r="G720" s="122"/>
      <c r="H720" s="122">
        <v>19.82</v>
      </c>
      <c r="I720" s="122">
        <v>100</v>
      </c>
      <c r="J720" s="119">
        <v>4.8000000000000001E-2</v>
      </c>
      <c r="K720" s="120">
        <v>7.77</v>
      </c>
      <c r="L720" s="123">
        <v>1130</v>
      </c>
      <c r="M720" s="123">
        <v>0.25</v>
      </c>
      <c r="N720" s="123">
        <v>0.85</v>
      </c>
      <c r="O720" s="123">
        <v>2.58</v>
      </c>
      <c r="P720" s="123">
        <v>1.22</v>
      </c>
      <c r="Q720" s="123"/>
      <c r="R720" s="121">
        <v>0.58648354432081928</v>
      </c>
      <c r="S720" s="120">
        <v>4</v>
      </c>
      <c r="T720" s="123"/>
      <c r="U720" s="123"/>
      <c r="V720" s="123"/>
      <c r="W720" s="123"/>
      <c r="X720" s="123"/>
      <c r="Y720" s="120">
        <v>29</v>
      </c>
      <c r="Z720" s="123"/>
      <c r="AA720" s="121"/>
      <c r="AB720" s="121"/>
      <c r="AC720" s="123"/>
      <c r="AD720" s="88">
        <v>580</v>
      </c>
      <c r="AE720" s="88">
        <v>240</v>
      </c>
      <c r="AF720" s="88">
        <v>180</v>
      </c>
      <c r="AG720" s="66">
        <f t="shared" si="22"/>
        <v>94.847586206896551</v>
      </c>
      <c r="AH720" s="143">
        <f t="shared" si="23"/>
        <v>1000</v>
      </c>
    </row>
    <row r="721" spans="1:34" s="124" customFormat="1" x14ac:dyDescent="0.3">
      <c r="A721" s="84">
        <v>803278</v>
      </c>
      <c r="B721" s="120">
        <v>8.1249999999999982</v>
      </c>
      <c r="C721" s="120"/>
      <c r="D721" s="121">
        <v>8.9</v>
      </c>
      <c r="E721" s="1526">
        <v>0.16</v>
      </c>
      <c r="F721" s="122">
        <v>54.6</v>
      </c>
      <c r="G721" s="122"/>
      <c r="H721" s="122">
        <v>21.04</v>
      </c>
      <c r="I721" s="122">
        <v>390</v>
      </c>
      <c r="J721" s="119">
        <v>7.2999999999999995E-2</v>
      </c>
      <c r="K721" s="120">
        <v>7.87</v>
      </c>
      <c r="L721" s="123">
        <v>1360</v>
      </c>
      <c r="M721" s="123">
        <v>1.05</v>
      </c>
      <c r="N721" s="123">
        <v>1.36</v>
      </c>
      <c r="O721" s="123">
        <v>2.85</v>
      </c>
      <c r="P721" s="123">
        <v>1.55</v>
      </c>
      <c r="Q721" s="123"/>
      <c r="R721" s="121">
        <v>1.5982730000000001</v>
      </c>
      <c r="S721" s="120">
        <v>10.9</v>
      </c>
      <c r="T721" s="123"/>
      <c r="U721" s="123"/>
      <c r="V721" s="123"/>
      <c r="W721" s="123"/>
      <c r="X721" s="123"/>
      <c r="Y721" s="120">
        <v>27</v>
      </c>
      <c r="Z721" s="123"/>
      <c r="AA721" s="121"/>
      <c r="AB721" s="121"/>
      <c r="AC721" s="123"/>
      <c r="AD721" s="88">
        <v>540</v>
      </c>
      <c r="AE721" s="88">
        <v>380</v>
      </c>
      <c r="AF721" s="88">
        <v>80</v>
      </c>
      <c r="AG721" s="66">
        <f t="shared" si="22"/>
        <v>103.18444444444445</v>
      </c>
      <c r="AH721" s="143">
        <f t="shared" si="23"/>
        <v>1000</v>
      </c>
    </row>
    <row r="722" spans="1:34" s="124" customFormat="1" x14ac:dyDescent="0.3">
      <c r="A722" s="84">
        <v>803279</v>
      </c>
      <c r="B722" s="120">
        <v>7.5833333333333321</v>
      </c>
      <c r="C722" s="120"/>
      <c r="D722" s="121">
        <v>8.85</v>
      </c>
      <c r="E722" s="1526">
        <v>0.21</v>
      </c>
      <c r="F722" s="122">
        <v>51.349999999999994</v>
      </c>
      <c r="G722" s="122"/>
      <c r="H722" s="122">
        <v>20.94</v>
      </c>
      <c r="I722" s="122">
        <v>120</v>
      </c>
      <c r="J722" s="119">
        <v>0.1</v>
      </c>
      <c r="K722" s="120">
        <v>7.45</v>
      </c>
      <c r="L722" s="123">
        <v>910</v>
      </c>
      <c r="M722" s="123">
        <v>0.39</v>
      </c>
      <c r="N722" s="123">
        <v>0.92</v>
      </c>
      <c r="O722" s="123">
        <v>3.98</v>
      </c>
      <c r="P722" s="123">
        <v>1.1599999999999999</v>
      </c>
      <c r="Q722" s="123"/>
      <c r="R722" s="121">
        <v>0.58884542310145838</v>
      </c>
      <c r="S722" s="120">
        <v>4.4000000000000004</v>
      </c>
      <c r="T722" s="123"/>
      <c r="U722" s="123"/>
      <c r="V722" s="123"/>
      <c r="W722" s="123"/>
      <c r="X722" s="123"/>
      <c r="Y722" s="120">
        <v>26</v>
      </c>
      <c r="Z722" s="123"/>
      <c r="AA722" s="121"/>
      <c r="AB722" s="121"/>
      <c r="AC722" s="123"/>
      <c r="AD722" s="88">
        <v>520</v>
      </c>
      <c r="AE722" s="88">
        <v>400</v>
      </c>
      <c r="AF722" s="88">
        <v>80</v>
      </c>
      <c r="AG722" s="66">
        <f t="shared" si="22"/>
        <v>101.4346153846154</v>
      </c>
      <c r="AH722" s="143">
        <f t="shared" si="23"/>
        <v>1000</v>
      </c>
    </row>
    <row r="723" spans="1:34" s="124" customFormat="1" x14ac:dyDescent="0.3">
      <c r="A723" s="84">
        <v>803280</v>
      </c>
      <c r="B723" s="120">
        <v>13.083333333333332</v>
      </c>
      <c r="C723" s="120">
        <v>3.3749999999999991</v>
      </c>
      <c r="D723" s="121">
        <v>8.57</v>
      </c>
      <c r="E723" s="1526">
        <v>0.2</v>
      </c>
      <c r="F723" s="122">
        <v>42.9</v>
      </c>
      <c r="G723" s="122"/>
      <c r="H723" s="122">
        <v>192.83</v>
      </c>
      <c r="I723" s="122">
        <v>170</v>
      </c>
      <c r="J723" s="119">
        <v>5.8000000000000003E-2</v>
      </c>
      <c r="K723" s="120">
        <v>5.53</v>
      </c>
      <c r="L723" s="123">
        <v>260</v>
      </c>
      <c r="M723" s="123">
        <v>4.88</v>
      </c>
      <c r="N723" s="123">
        <v>13.53</v>
      </c>
      <c r="O723" s="123">
        <v>3.24</v>
      </c>
      <c r="P723" s="123">
        <v>2.64</v>
      </c>
      <c r="Q723" s="123"/>
      <c r="R723" s="121">
        <v>0.90696417220809566</v>
      </c>
      <c r="S723" s="120">
        <v>6.2</v>
      </c>
      <c r="T723" s="123"/>
      <c r="U723" s="123"/>
      <c r="V723" s="123"/>
      <c r="W723" s="123"/>
      <c r="X723" s="123"/>
      <c r="Y723" s="120">
        <v>3.6</v>
      </c>
      <c r="Z723" s="123"/>
      <c r="AA723" s="121"/>
      <c r="AB723" s="121"/>
      <c r="AC723" s="123"/>
      <c r="AD723" s="88">
        <v>60</v>
      </c>
      <c r="AE723" s="88">
        <v>60</v>
      </c>
      <c r="AF723" s="88">
        <v>880</v>
      </c>
      <c r="AG723" s="66">
        <f t="shared" si="22"/>
        <v>543.7833333333333</v>
      </c>
      <c r="AH723" s="143">
        <f t="shared" si="23"/>
        <v>1000</v>
      </c>
    </row>
    <row r="724" spans="1:34" s="124" customFormat="1" x14ac:dyDescent="0.3">
      <c r="A724" s="84">
        <v>803281</v>
      </c>
      <c r="B724" s="120">
        <v>13.916666666666666</v>
      </c>
      <c r="C724" s="120">
        <v>2.9999999999999982</v>
      </c>
      <c r="D724" s="121">
        <v>8.85</v>
      </c>
      <c r="E724" s="1526">
        <v>0.19</v>
      </c>
      <c r="F724" s="122">
        <v>37.549999999999997</v>
      </c>
      <c r="G724" s="122"/>
      <c r="H724" s="122">
        <v>114.64</v>
      </c>
      <c r="I724" s="122">
        <v>200</v>
      </c>
      <c r="J724" s="119">
        <v>5.0999999999999997E-2</v>
      </c>
      <c r="K724" s="120">
        <v>5.43</v>
      </c>
      <c r="L724" s="123">
        <v>200</v>
      </c>
      <c r="M724" s="123">
        <v>2.81</v>
      </c>
      <c r="N724" s="123">
        <v>10.54</v>
      </c>
      <c r="O724" s="123">
        <v>2.83</v>
      </c>
      <c r="P724" s="123">
        <v>1.71</v>
      </c>
      <c r="Q724" s="123"/>
      <c r="R724" s="121">
        <v>0.63210982576688746</v>
      </c>
      <c r="S724" s="120">
        <v>4.5999999999999996</v>
      </c>
      <c r="T724" s="123"/>
      <c r="U724" s="123"/>
      <c r="V724" s="123"/>
      <c r="W724" s="123"/>
      <c r="X724" s="123"/>
      <c r="Y724" s="120">
        <v>4.2</v>
      </c>
      <c r="Z724" s="123"/>
      <c r="AA724" s="121"/>
      <c r="AB724" s="121"/>
      <c r="AC724" s="123"/>
      <c r="AD724" s="88">
        <v>60</v>
      </c>
      <c r="AE724" s="88">
        <v>60</v>
      </c>
      <c r="AF724" s="88">
        <v>880</v>
      </c>
      <c r="AG724" s="66">
        <f t="shared" si="22"/>
        <v>457.67142857142858</v>
      </c>
      <c r="AH724" s="143">
        <f t="shared" si="23"/>
        <v>1000</v>
      </c>
    </row>
    <row r="725" spans="1:34" s="124" customFormat="1" x14ac:dyDescent="0.3">
      <c r="A725" s="84">
        <v>803282</v>
      </c>
      <c r="B725" s="120">
        <v>30.5</v>
      </c>
      <c r="C725" s="120">
        <v>11.749999999999998</v>
      </c>
      <c r="D725" s="121">
        <v>9.0500000000000007</v>
      </c>
      <c r="E725" s="1526">
        <v>0.11</v>
      </c>
      <c r="F725" s="122">
        <v>29.15</v>
      </c>
      <c r="G725" s="122"/>
      <c r="H725" s="122">
        <v>12.41</v>
      </c>
      <c r="I725" s="122">
        <v>60</v>
      </c>
      <c r="J725" s="119">
        <v>2.7E-2</v>
      </c>
      <c r="K725" s="120">
        <v>2.96</v>
      </c>
      <c r="L725" s="123">
        <v>150</v>
      </c>
      <c r="M725" s="123">
        <v>0.15</v>
      </c>
      <c r="N725" s="123">
        <v>0.15</v>
      </c>
      <c r="O725" s="123">
        <v>3.03</v>
      </c>
      <c r="P725" s="123">
        <v>2.72</v>
      </c>
      <c r="Q725" s="123"/>
      <c r="R725" s="121">
        <v>0.2453510934109995</v>
      </c>
      <c r="S725" s="120">
        <v>1.8</v>
      </c>
      <c r="T725" s="123"/>
      <c r="U725" s="123"/>
      <c r="V725" s="123"/>
      <c r="W725" s="123"/>
      <c r="X725" s="123"/>
      <c r="Y725" s="120">
        <v>3.6</v>
      </c>
      <c r="Z725" s="123"/>
      <c r="AA725" s="121"/>
      <c r="AB725" s="121"/>
      <c r="AC725" s="123"/>
      <c r="AD725" s="88">
        <v>60</v>
      </c>
      <c r="AE725" s="88">
        <v>60</v>
      </c>
      <c r="AF725" s="88">
        <v>880</v>
      </c>
      <c r="AG725" s="66">
        <f t="shared" si="22"/>
        <v>291.06666666666672</v>
      </c>
      <c r="AH725" s="143">
        <f t="shared" si="23"/>
        <v>1000</v>
      </c>
    </row>
    <row r="726" spans="1:34" s="124" customFormat="1" x14ac:dyDescent="0.3">
      <c r="A726" s="84">
        <v>803283</v>
      </c>
      <c r="B726" s="120">
        <v>34.833333333333329</v>
      </c>
      <c r="C726" s="120">
        <v>10.499999999999998</v>
      </c>
      <c r="D726" s="121">
        <v>9.07</v>
      </c>
      <c r="E726" s="1526">
        <v>2</v>
      </c>
      <c r="F726" s="122">
        <v>2402</v>
      </c>
      <c r="G726" s="122"/>
      <c r="H726" s="122">
        <v>15.14</v>
      </c>
      <c r="I726" s="122">
        <v>130</v>
      </c>
      <c r="J726" s="119">
        <v>1.883</v>
      </c>
      <c r="K726" s="120">
        <v>4.95</v>
      </c>
      <c r="L726" s="123">
        <v>620</v>
      </c>
      <c r="M726" s="123">
        <v>0.11</v>
      </c>
      <c r="N726" s="123">
        <v>0.2</v>
      </c>
      <c r="O726" s="123">
        <v>0.13</v>
      </c>
      <c r="P726" s="123">
        <v>1.1000000000000001</v>
      </c>
      <c r="Q726" s="123"/>
      <c r="R726" s="121">
        <v>9.6091290246782396E-2</v>
      </c>
      <c r="S726" s="120">
        <v>0.7</v>
      </c>
      <c r="T726" s="123"/>
      <c r="U726" s="123"/>
      <c r="V726" s="123"/>
      <c r="W726" s="123"/>
      <c r="X726" s="123"/>
      <c r="Y726" s="120">
        <v>4.2</v>
      </c>
      <c r="Z726" s="123"/>
      <c r="AA726" s="121"/>
      <c r="AB726" s="121"/>
      <c r="AC726" s="123"/>
      <c r="AD726" s="88">
        <v>60</v>
      </c>
      <c r="AE726" s="88">
        <v>80</v>
      </c>
      <c r="AF726" s="88">
        <v>860</v>
      </c>
      <c r="AG726" s="66">
        <f t="shared" si="22"/>
        <v>417.21428571428567</v>
      </c>
      <c r="AH726" s="143">
        <f t="shared" si="23"/>
        <v>1000</v>
      </c>
    </row>
    <row r="727" spans="1:34" s="124" customFormat="1" x14ac:dyDescent="0.3">
      <c r="A727" s="84">
        <v>803284</v>
      </c>
      <c r="B727" s="120">
        <v>35</v>
      </c>
      <c r="C727" s="120">
        <v>9.2499999999999982</v>
      </c>
      <c r="D727" s="121">
        <v>8.9700000000000006</v>
      </c>
      <c r="E727" s="1526">
        <v>0.13</v>
      </c>
      <c r="F727" s="122">
        <v>77.300000000000011</v>
      </c>
      <c r="G727" s="122"/>
      <c r="H727" s="122">
        <v>21.09</v>
      </c>
      <c r="I727" s="122">
        <v>50</v>
      </c>
      <c r="J727" s="119">
        <v>0.05</v>
      </c>
      <c r="K727" s="120">
        <v>3.12</v>
      </c>
      <c r="L727" s="123">
        <v>130</v>
      </c>
      <c r="M727" s="123">
        <v>0.22</v>
      </c>
      <c r="N727" s="123">
        <v>0.08</v>
      </c>
      <c r="O727" s="123">
        <v>2.39</v>
      </c>
      <c r="P727" s="123">
        <v>1.33</v>
      </c>
      <c r="Q727" s="123"/>
      <c r="R727" s="121">
        <v>0.38140855378712563</v>
      </c>
      <c r="S727" s="120">
        <v>2.6</v>
      </c>
      <c r="T727" s="123"/>
      <c r="U727" s="123"/>
      <c r="V727" s="123"/>
      <c r="W727" s="123"/>
      <c r="X727" s="123"/>
      <c r="Y727" s="120">
        <v>4.2</v>
      </c>
      <c r="Z727" s="123"/>
      <c r="AA727" s="121"/>
      <c r="AB727" s="121"/>
      <c r="AC727" s="123"/>
      <c r="AD727" s="88">
        <v>60</v>
      </c>
      <c r="AE727" s="88">
        <v>60</v>
      </c>
      <c r="AF727" s="88">
        <v>880</v>
      </c>
      <c r="AG727" s="66">
        <f t="shared" si="22"/>
        <v>262.97142857142859</v>
      </c>
      <c r="AH727" s="143">
        <f t="shared" si="23"/>
        <v>1000</v>
      </c>
    </row>
    <row r="728" spans="1:34" s="124" customFormat="1" x14ac:dyDescent="0.3">
      <c r="A728" s="84">
        <v>803285</v>
      </c>
      <c r="B728" s="120">
        <v>32.666666666666671</v>
      </c>
      <c r="C728" s="120">
        <v>9.4999999999999964</v>
      </c>
      <c r="D728" s="121">
        <v>9.42</v>
      </c>
      <c r="E728" s="1526">
        <v>0.1</v>
      </c>
      <c r="F728" s="122">
        <v>30.65</v>
      </c>
      <c r="G728" s="122"/>
      <c r="H728" s="122">
        <v>14.62</v>
      </c>
      <c r="I728" s="122">
        <v>70</v>
      </c>
      <c r="J728" s="119">
        <v>4.4999999999999998E-2</v>
      </c>
      <c r="K728" s="120">
        <v>2.5099999999999998</v>
      </c>
      <c r="L728" s="123">
        <v>120</v>
      </c>
      <c r="M728" s="123">
        <v>0.18</v>
      </c>
      <c r="N728" s="123">
        <v>0.08</v>
      </c>
      <c r="O728" s="123">
        <v>1.65</v>
      </c>
      <c r="P728" s="123">
        <v>1.1000000000000001</v>
      </c>
      <c r="Q728" s="123"/>
      <c r="R728" s="121">
        <v>0.2147185134926988</v>
      </c>
      <c r="S728" s="120">
        <v>1.5</v>
      </c>
      <c r="T728" s="123"/>
      <c r="U728" s="123"/>
      <c r="V728" s="123"/>
      <c r="W728" s="123"/>
      <c r="X728" s="123"/>
      <c r="Y728" s="120">
        <v>4.8</v>
      </c>
      <c r="Z728" s="123"/>
      <c r="AA728" s="121"/>
      <c r="AB728" s="121"/>
      <c r="AC728" s="123"/>
      <c r="AD728" s="88">
        <v>80</v>
      </c>
      <c r="AE728" s="88">
        <v>60</v>
      </c>
      <c r="AF728" s="88">
        <v>860</v>
      </c>
      <c r="AG728" s="66">
        <f t="shared" si="22"/>
        <v>185.11249999999998</v>
      </c>
      <c r="AH728" s="143">
        <f t="shared" si="23"/>
        <v>1000</v>
      </c>
    </row>
    <row r="729" spans="1:34" s="124" customFormat="1" x14ac:dyDescent="0.3">
      <c r="A729" s="84">
        <v>803286</v>
      </c>
      <c r="B729" s="120">
        <v>41</v>
      </c>
      <c r="C729" s="120">
        <v>11.749999999999998</v>
      </c>
      <c r="D729" s="121">
        <v>9.44</v>
      </c>
      <c r="E729" s="1526">
        <v>0.38</v>
      </c>
      <c r="F729" s="122">
        <v>225.25</v>
      </c>
      <c r="G729" s="122"/>
      <c r="H729" s="122">
        <v>14.67</v>
      </c>
      <c r="I729" s="122">
        <v>150</v>
      </c>
      <c r="J729" s="119">
        <v>0.29099999999999998</v>
      </c>
      <c r="K729" s="120">
        <v>3.83</v>
      </c>
      <c r="L729" s="123">
        <v>780</v>
      </c>
      <c r="M729" s="123">
        <v>0.53</v>
      </c>
      <c r="N729" s="123">
        <v>0.18</v>
      </c>
      <c r="O729" s="123">
        <v>1.32</v>
      </c>
      <c r="P729" s="123">
        <v>7.87</v>
      </c>
      <c r="Q729" s="123"/>
      <c r="R729" s="121">
        <v>0.60844278144408925</v>
      </c>
      <c r="S729" s="120">
        <v>4.0999999999999996</v>
      </c>
      <c r="T729" s="123"/>
      <c r="U729" s="123"/>
      <c r="V729" s="123"/>
      <c r="W729" s="123"/>
      <c r="X729" s="123"/>
      <c r="Y729" s="120">
        <v>3.6</v>
      </c>
      <c r="Z729" s="123"/>
      <c r="AA729" s="121"/>
      <c r="AB729" s="121"/>
      <c r="AC729" s="123"/>
      <c r="AD729" s="88">
        <v>60</v>
      </c>
      <c r="AE729" s="88">
        <v>60</v>
      </c>
      <c r="AF729" s="88">
        <v>880</v>
      </c>
      <c r="AG729" s="66">
        <f t="shared" si="22"/>
        <v>376.61666666666673</v>
      </c>
      <c r="AH729" s="143">
        <f t="shared" si="23"/>
        <v>1000</v>
      </c>
    </row>
    <row r="730" spans="1:34" s="124" customFormat="1" x14ac:dyDescent="0.3">
      <c r="A730" s="84">
        <v>803287</v>
      </c>
      <c r="B730" s="120">
        <v>33.166666666666664</v>
      </c>
      <c r="C730" s="120">
        <v>10.124999999999996</v>
      </c>
      <c r="D730" s="121">
        <v>9.5299999999999994</v>
      </c>
      <c r="E730" s="1526">
        <v>0.98</v>
      </c>
      <c r="F730" s="122">
        <v>23.15</v>
      </c>
      <c r="G730" s="122"/>
      <c r="H730" s="122">
        <v>10.79</v>
      </c>
      <c r="I730" s="122">
        <v>40</v>
      </c>
      <c r="J730" s="119">
        <v>8.9999999999999993E-3</v>
      </c>
      <c r="K730" s="120">
        <v>2.5499999999999998</v>
      </c>
      <c r="L730" s="123">
        <v>110</v>
      </c>
      <c r="M730" s="123">
        <v>0.12</v>
      </c>
      <c r="N730" s="123">
        <v>0.12</v>
      </c>
      <c r="O730" s="123">
        <v>1.46</v>
      </c>
      <c r="P730" s="123">
        <v>1.07</v>
      </c>
      <c r="Q730" s="123"/>
      <c r="R730" s="121">
        <v>2.9282525100733009E-2</v>
      </c>
      <c r="S730" s="120">
        <v>0.2</v>
      </c>
      <c r="T730" s="123"/>
      <c r="U730" s="123"/>
      <c r="V730" s="123"/>
      <c r="W730" s="123"/>
      <c r="X730" s="123"/>
      <c r="Y730" s="120">
        <v>3.6</v>
      </c>
      <c r="Z730" s="123"/>
      <c r="AA730" s="121"/>
      <c r="AB730" s="121"/>
      <c r="AC730" s="123"/>
      <c r="AD730" s="88">
        <v>60</v>
      </c>
      <c r="AE730" s="88">
        <v>60</v>
      </c>
      <c r="AF730" s="88">
        <v>880</v>
      </c>
      <c r="AG730" s="66">
        <f t="shared" si="22"/>
        <v>250.74999999999997</v>
      </c>
      <c r="AH730" s="143">
        <f t="shared" si="23"/>
        <v>1000</v>
      </c>
    </row>
    <row r="731" spans="1:34" s="124" customFormat="1" x14ac:dyDescent="0.3">
      <c r="A731" s="84">
        <v>803288</v>
      </c>
      <c r="B731" s="120">
        <v>33.166666666666664</v>
      </c>
      <c r="C731" s="120">
        <v>11.749999999999998</v>
      </c>
      <c r="D731" s="121">
        <v>9.0299999999999994</v>
      </c>
      <c r="E731" s="1526">
        <v>0.83</v>
      </c>
      <c r="F731" s="122">
        <v>20.6</v>
      </c>
      <c r="G731" s="122"/>
      <c r="H731" s="122">
        <v>13.78</v>
      </c>
      <c r="I731" s="122">
        <v>40</v>
      </c>
      <c r="J731" s="119">
        <v>1.2E-2</v>
      </c>
      <c r="K731" s="120">
        <v>2.8</v>
      </c>
      <c r="L731" s="123">
        <v>70</v>
      </c>
      <c r="M731" s="123">
        <v>0.36</v>
      </c>
      <c r="N731" s="123">
        <v>0.06</v>
      </c>
      <c r="O731" s="123">
        <v>1.43</v>
      </c>
      <c r="P731" s="123">
        <v>1.03</v>
      </c>
      <c r="Q731" s="123"/>
      <c r="R731" s="121">
        <v>0.23993976331952341</v>
      </c>
      <c r="S731" s="120">
        <v>1.6</v>
      </c>
      <c r="T731" s="123"/>
      <c r="U731" s="123"/>
      <c r="V731" s="123"/>
      <c r="W731" s="123"/>
      <c r="X731" s="123"/>
      <c r="Y731" s="120">
        <v>5.6</v>
      </c>
      <c r="Z731" s="123"/>
      <c r="AA731" s="121"/>
      <c r="AB731" s="121"/>
      <c r="AC731" s="123"/>
      <c r="AD731" s="88">
        <v>80</v>
      </c>
      <c r="AE731" s="88">
        <v>60</v>
      </c>
      <c r="AF731" s="88">
        <v>860</v>
      </c>
      <c r="AG731" s="66">
        <f t="shared" si="22"/>
        <v>177</v>
      </c>
      <c r="AH731" s="143">
        <f t="shared" si="23"/>
        <v>1000</v>
      </c>
    </row>
    <row r="732" spans="1:34" s="124" customFormat="1" x14ac:dyDescent="0.3">
      <c r="A732" s="84">
        <v>803289</v>
      </c>
      <c r="B732" s="120">
        <v>26.166666666666664</v>
      </c>
      <c r="C732" s="120">
        <v>5.4999999999999982</v>
      </c>
      <c r="D732" s="121">
        <v>9.49</v>
      </c>
      <c r="E732" s="1526">
        <v>0.74</v>
      </c>
      <c r="F732" s="122">
        <v>596</v>
      </c>
      <c r="G732" s="122"/>
      <c r="H732" s="122">
        <v>16.940000000000001</v>
      </c>
      <c r="I732" s="122">
        <v>330</v>
      </c>
      <c r="J732" s="119">
        <v>1.1879999999999999</v>
      </c>
      <c r="K732" s="120">
        <v>8.06</v>
      </c>
      <c r="L732" s="123">
        <v>530</v>
      </c>
      <c r="M732" s="123">
        <v>0.1</v>
      </c>
      <c r="N732" s="123">
        <v>0.2</v>
      </c>
      <c r="O732" s="123">
        <v>0.76</v>
      </c>
      <c r="P732" s="123">
        <v>1.01</v>
      </c>
      <c r="Q732" s="123"/>
      <c r="R732" s="121">
        <v>0.23830750535089118</v>
      </c>
      <c r="S732" s="120">
        <v>1.6</v>
      </c>
      <c r="T732" s="123"/>
      <c r="U732" s="123"/>
      <c r="V732" s="123"/>
      <c r="W732" s="123"/>
      <c r="X732" s="123"/>
      <c r="Y732" s="120">
        <v>29.8</v>
      </c>
      <c r="Z732" s="123"/>
      <c r="AA732" s="121"/>
      <c r="AB732" s="121"/>
      <c r="AC732" s="123"/>
      <c r="AD732" s="88">
        <v>580</v>
      </c>
      <c r="AE732" s="88">
        <v>220</v>
      </c>
      <c r="AF732" s="88">
        <v>200</v>
      </c>
      <c r="AG732" s="66">
        <f t="shared" si="22"/>
        <v>95.746308724832218</v>
      </c>
      <c r="AH732" s="143">
        <f t="shared" si="23"/>
        <v>1000</v>
      </c>
    </row>
    <row r="733" spans="1:34" s="124" customFormat="1" x14ac:dyDescent="0.3">
      <c r="A733" s="84">
        <v>803290</v>
      </c>
      <c r="B733" s="120">
        <v>34.666666666666671</v>
      </c>
      <c r="C733" s="120">
        <v>13.124999999999998</v>
      </c>
      <c r="D733" s="121">
        <v>9.31</v>
      </c>
      <c r="E733" s="1526">
        <v>0.1</v>
      </c>
      <c r="F733" s="122">
        <v>30</v>
      </c>
      <c r="G733" s="122"/>
      <c r="H733" s="122">
        <v>15.14</v>
      </c>
      <c r="I733" s="122">
        <v>40</v>
      </c>
      <c r="J733" s="119">
        <v>2.8000000000000001E-2</v>
      </c>
      <c r="K733" s="120">
        <v>2.61</v>
      </c>
      <c r="L733" s="123">
        <v>70</v>
      </c>
      <c r="M733" s="123">
        <v>0.08</v>
      </c>
      <c r="N733" s="123">
        <v>0.08</v>
      </c>
      <c r="O733" s="123">
        <v>1.34</v>
      </c>
      <c r="P733" s="123">
        <v>1.29</v>
      </c>
      <c r="Q733" s="123"/>
      <c r="R733" s="121">
        <v>0.31778840191884095</v>
      </c>
      <c r="S733" s="120">
        <v>2.2000000000000002</v>
      </c>
      <c r="T733" s="123"/>
      <c r="U733" s="123"/>
      <c r="V733" s="123"/>
      <c r="W733" s="123"/>
      <c r="X733" s="123"/>
      <c r="Y733" s="120">
        <v>3</v>
      </c>
      <c r="Z733" s="123"/>
      <c r="AA733" s="121"/>
      <c r="AB733" s="121"/>
      <c r="AC733" s="123"/>
      <c r="AD733" s="88">
        <v>60</v>
      </c>
      <c r="AE733" s="88">
        <v>60</v>
      </c>
      <c r="AF733" s="88">
        <v>880</v>
      </c>
      <c r="AG733" s="66">
        <f t="shared" si="22"/>
        <v>307.97999999999996</v>
      </c>
      <c r="AH733" s="143">
        <f t="shared" si="23"/>
        <v>1000</v>
      </c>
    </row>
    <row r="734" spans="1:34" s="124" customFormat="1" x14ac:dyDescent="0.3">
      <c r="A734" s="84">
        <v>803291</v>
      </c>
      <c r="B734" s="120">
        <v>23.5</v>
      </c>
      <c r="C734" s="120">
        <v>8.6249999999999982</v>
      </c>
      <c r="D734" s="121">
        <v>8.9600000000000009</v>
      </c>
      <c r="E734" s="1526">
        <v>1.86</v>
      </c>
      <c r="F734" s="122">
        <v>1129.4000000000001</v>
      </c>
      <c r="G734" s="122"/>
      <c r="H734" s="122">
        <v>38.25</v>
      </c>
      <c r="I734" s="122">
        <v>1130</v>
      </c>
      <c r="J734" s="119">
        <v>2.2869999999999999</v>
      </c>
      <c r="K734" s="120">
        <v>8.7200000000000006</v>
      </c>
      <c r="L734" s="123">
        <v>1550</v>
      </c>
      <c r="M734" s="123">
        <v>4.8000000000000001E-2</v>
      </c>
      <c r="N734" s="123">
        <v>1.1499999999999999</v>
      </c>
      <c r="O734" s="123">
        <v>5.3</v>
      </c>
      <c r="P734" s="123">
        <v>10.029999999999999</v>
      </c>
      <c r="Q734" s="123"/>
      <c r="R734" s="121">
        <v>1.610012</v>
      </c>
      <c r="S734" s="120">
        <v>11.2</v>
      </c>
      <c r="T734" s="123"/>
      <c r="U734" s="123"/>
      <c r="V734" s="123"/>
      <c r="W734" s="123"/>
      <c r="X734" s="123"/>
      <c r="Y734" s="120">
        <v>31</v>
      </c>
      <c r="Z734" s="123"/>
      <c r="AA734" s="121"/>
      <c r="AB734" s="121"/>
      <c r="AC734" s="123"/>
      <c r="AD734" s="88">
        <v>640</v>
      </c>
      <c r="AE734" s="88">
        <v>260</v>
      </c>
      <c r="AF734" s="88">
        <v>100</v>
      </c>
      <c r="AG734" s="66">
        <f t="shared" si="22"/>
        <v>99.576774193548403</v>
      </c>
      <c r="AH734" s="143">
        <f t="shared" si="23"/>
        <v>1000</v>
      </c>
    </row>
    <row r="735" spans="1:34" s="124" customFormat="1" x14ac:dyDescent="0.3">
      <c r="A735" s="84">
        <v>803292</v>
      </c>
      <c r="B735" s="120">
        <v>33.833333333333329</v>
      </c>
      <c r="C735" s="120">
        <v>11.999999999999996</v>
      </c>
      <c r="D735" s="121">
        <v>9.3800000000000008</v>
      </c>
      <c r="E735" s="1526">
        <v>0.12</v>
      </c>
      <c r="F735" s="122">
        <v>24.35</v>
      </c>
      <c r="G735" s="122"/>
      <c r="H735" s="122">
        <v>12.88</v>
      </c>
      <c r="I735" s="122">
        <v>50</v>
      </c>
      <c r="J735" s="119">
        <v>3.9E-2</v>
      </c>
      <c r="K735" s="120">
        <v>3.14</v>
      </c>
      <c r="L735" s="123">
        <v>190</v>
      </c>
      <c r="M735" s="123">
        <v>0.51</v>
      </c>
      <c r="N735" s="123">
        <v>0.1</v>
      </c>
      <c r="O735" s="123">
        <v>1.85</v>
      </c>
      <c r="P735" s="123">
        <v>1.2</v>
      </c>
      <c r="Q735" s="123"/>
      <c r="R735" s="121">
        <v>0.47754309447879106</v>
      </c>
      <c r="S735" s="120">
        <v>3.3</v>
      </c>
      <c r="T735" s="123"/>
      <c r="U735" s="123"/>
      <c r="V735" s="123"/>
      <c r="W735" s="123"/>
      <c r="X735" s="123"/>
      <c r="Y735" s="120">
        <v>3.6</v>
      </c>
      <c r="Z735" s="123"/>
      <c r="AA735" s="121"/>
      <c r="AB735" s="121"/>
      <c r="AC735" s="123"/>
      <c r="AD735" s="88">
        <v>60</v>
      </c>
      <c r="AE735" s="88">
        <v>60</v>
      </c>
      <c r="AF735" s="88">
        <v>880</v>
      </c>
      <c r="AG735" s="66">
        <f t="shared" si="22"/>
        <v>308.76666666666665</v>
      </c>
      <c r="AH735" s="143">
        <f t="shared" si="23"/>
        <v>1000</v>
      </c>
    </row>
    <row r="736" spans="1:34" s="124" customFormat="1" x14ac:dyDescent="0.3">
      <c r="A736" s="84">
        <v>803293</v>
      </c>
      <c r="B736" s="120">
        <v>29.166666666666664</v>
      </c>
      <c r="C736" s="120">
        <v>11.749999999999998</v>
      </c>
      <c r="D736" s="121">
        <v>8.7100000000000009</v>
      </c>
      <c r="E736" s="1526">
        <v>9.1999999999999993</v>
      </c>
      <c r="F736" s="122">
        <v>12570.5</v>
      </c>
      <c r="G736" s="122"/>
      <c r="H736" s="122">
        <v>49.79</v>
      </c>
      <c r="I736" s="122">
        <v>1030</v>
      </c>
      <c r="J736" s="119">
        <v>11.074999999999999</v>
      </c>
      <c r="K736" s="120">
        <v>7.69</v>
      </c>
      <c r="L736" s="123">
        <v>2140</v>
      </c>
      <c r="M736" s="123">
        <v>0.26</v>
      </c>
      <c r="N736" s="123">
        <v>0.75</v>
      </c>
      <c r="O736" s="123">
        <v>4.13</v>
      </c>
      <c r="P736" s="123">
        <v>4.51</v>
      </c>
      <c r="Q736" s="123"/>
      <c r="R736" s="121">
        <v>0.6538978093245893</v>
      </c>
      <c r="S736" s="120">
        <v>4.4000000000000004</v>
      </c>
      <c r="T736" s="123"/>
      <c r="U736" s="123"/>
      <c r="V736" s="123"/>
      <c r="W736" s="123"/>
      <c r="X736" s="123"/>
      <c r="Y736" s="120">
        <v>28.2</v>
      </c>
      <c r="Z736" s="123"/>
      <c r="AA736" s="121"/>
      <c r="AB736" s="121"/>
      <c r="AC736" s="123"/>
      <c r="AD736" s="88">
        <v>660</v>
      </c>
      <c r="AE736" s="88">
        <v>140</v>
      </c>
      <c r="AF736" s="88">
        <v>200</v>
      </c>
      <c r="AG736" s="66">
        <f t="shared" si="22"/>
        <v>96.534042553191497</v>
      </c>
      <c r="AH736" s="143">
        <f t="shared" si="23"/>
        <v>1000</v>
      </c>
    </row>
    <row r="737" spans="1:34" s="124" customFormat="1" x14ac:dyDescent="0.3">
      <c r="A737" s="84">
        <v>803294</v>
      </c>
      <c r="B737" s="120">
        <v>33.166666666666664</v>
      </c>
      <c r="C737" s="120">
        <v>12.999999999999998</v>
      </c>
      <c r="D737" s="121">
        <v>9.06</v>
      </c>
      <c r="E737" s="1526">
        <v>0.11</v>
      </c>
      <c r="F737" s="122">
        <v>65.099999999999994</v>
      </c>
      <c r="G737" s="122"/>
      <c r="H737" s="122">
        <v>19.100000000000001</v>
      </c>
      <c r="I737" s="122">
        <v>30</v>
      </c>
      <c r="J737" s="119">
        <v>4.9000000000000002E-2</v>
      </c>
      <c r="K737" s="120">
        <v>2.98</v>
      </c>
      <c r="L737" s="123">
        <v>120</v>
      </c>
      <c r="M737" s="123">
        <v>0.21</v>
      </c>
      <c r="N737" s="123">
        <v>0.08</v>
      </c>
      <c r="O737" s="123">
        <v>1.69</v>
      </c>
      <c r="P737" s="123">
        <v>1.34</v>
      </c>
      <c r="Q737" s="123"/>
      <c r="R737" s="121">
        <v>0.43372394209949694</v>
      </c>
      <c r="S737" s="120">
        <v>3.2</v>
      </c>
      <c r="T737" s="123"/>
      <c r="U737" s="123"/>
      <c r="V737" s="123"/>
      <c r="W737" s="123"/>
      <c r="X737" s="123"/>
      <c r="Y737" s="120">
        <v>3.6</v>
      </c>
      <c r="Z737" s="123"/>
      <c r="AA737" s="121"/>
      <c r="AB737" s="121"/>
      <c r="AC737" s="123"/>
      <c r="AD737" s="88">
        <v>60</v>
      </c>
      <c r="AE737" s="88">
        <v>60</v>
      </c>
      <c r="AF737" s="88">
        <v>880</v>
      </c>
      <c r="AG737" s="66">
        <f t="shared" si="22"/>
        <v>293.03333333333336</v>
      </c>
      <c r="AH737" s="143">
        <f t="shared" si="23"/>
        <v>1000</v>
      </c>
    </row>
    <row r="738" spans="1:34" s="124" customFormat="1" x14ac:dyDescent="0.3">
      <c r="A738" s="84">
        <v>803295</v>
      </c>
      <c r="B738" s="120">
        <v>30</v>
      </c>
      <c r="C738" s="120">
        <v>12.499999999999998</v>
      </c>
      <c r="D738" s="121">
        <v>8.9</v>
      </c>
      <c r="E738" s="1526">
        <v>0.69</v>
      </c>
      <c r="F738" s="122">
        <v>722.2</v>
      </c>
      <c r="G738" s="122"/>
      <c r="H738" s="122">
        <v>14.15</v>
      </c>
      <c r="I738" s="122">
        <v>130</v>
      </c>
      <c r="J738" s="119">
        <v>0.81</v>
      </c>
      <c r="K738" s="120">
        <v>10.93</v>
      </c>
      <c r="L738" s="123">
        <v>680</v>
      </c>
      <c r="M738" s="123">
        <v>0.11</v>
      </c>
      <c r="N738" s="123">
        <v>0.35</v>
      </c>
      <c r="O738" s="123">
        <v>0.91</v>
      </c>
      <c r="P738" s="123">
        <v>1.01</v>
      </c>
      <c r="Q738" s="123"/>
      <c r="R738" s="121">
        <v>1.0334122424776055</v>
      </c>
      <c r="S738" s="120">
        <v>6.9</v>
      </c>
      <c r="T738" s="123"/>
      <c r="U738" s="123"/>
      <c r="V738" s="123"/>
      <c r="W738" s="123"/>
      <c r="X738" s="123"/>
      <c r="Y738" s="120">
        <v>32</v>
      </c>
      <c r="Z738" s="123"/>
      <c r="AA738" s="121"/>
      <c r="AB738" s="121"/>
      <c r="AC738" s="123"/>
      <c r="AD738" s="88">
        <v>640</v>
      </c>
      <c r="AE738" s="88">
        <v>180</v>
      </c>
      <c r="AF738" s="88">
        <v>180</v>
      </c>
      <c r="AG738" s="66">
        <f t="shared" si="22"/>
        <v>120.91312499999999</v>
      </c>
      <c r="AH738" s="143">
        <f t="shared" si="23"/>
        <v>1000</v>
      </c>
    </row>
    <row r="739" spans="1:34" s="124" customFormat="1" x14ac:dyDescent="0.3">
      <c r="A739" s="84">
        <v>803296</v>
      </c>
      <c r="B739" s="120">
        <v>30.666666666666664</v>
      </c>
      <c r="C739" s="120">
        <v>12.75</v>
      </c>
      <c r="D739" s="121">
        <v>8.7200000000000006</v>
      </c>
      <c r="E739" s="1526">
        <v>0.8</v>
      </c>
      <c r="F739" s="122">
        <v>874.44999999999993</v>
      </c>
      <c r="G739" s="122"/>
      <c r="H739" s="122">
        <v>27.16</v>
      </c>
      <c r="I739" s="122">
        <v>180</v>
      </c>
      <c r="J739" s="119">
        <v>0.47299999999999998</v>
      </c>
      <c r="K739" s="120">
        <v>7.43</v>
      </c>
      <c r="L739" s="123">
        <v>590</v>
      </c>
      <c r="M739" s="123">
        <v>0.16</v>
      </c>
      <c r="N739" s="123">
        <v>0.43</v>
      </c>
      <c r="O739" s="123">
        <v>2.19</v>
      </c>
      <c r="P739" s="123">
        <v>1.3</v>
      </c>
      <c r="Q739" s="123"/>
      <c r="R739" s="121">
        <v>0.83901268091121761</v>
      </c>
      <c r="S739" s="120">
        <v>5.7</v>
      </c>
      <c r="T739" s="123"/>
      <c r="U739" s="123"/>
      <c r="V739" s="123"/>
      <c r="W739" s="123"/>
      <c r="X739" s="123"/>
      <c r="Y739" s="120">
        <v>29</v>
      </c>
      <c r="Z739" s="123"/>
      <c r="AA739" s="121"/>
      <c r="AB739" s="121"/>
      <c r="AC739" s="123"/>
      <c r="AD739" s="88">
        <v>644</v>
      </c>
      <c r="AE739" s="88">
        <v>176</v>
      </c>
      <c r="AF739" s="88">
        <v>180</v>
      </c>
      <c r="AG739" s="66">
        <f t="shared" si="22"/>
        <v>90.697241379310341</v>
      </c>
      <c r="AH739" s="143">
        <f t="shared" si="23"/>
        <v>1000</v>
      </c>
    </row>
    <row r="740" spans="1:34" s="118" customFormat="1" x14ac:dyDescent="0.3">
      <c r="A740" s="84">
        <v>803297</v>
      </c>
      <c r="B740" s="115">
        <v>3.3333333333333333E-2</v>
      </c>
      <c r="C740" s="115"/>
      <c r="D740" s="116">
        <v>6.78</v>
      </c>
      <c r="E740" s="1525">
        <v>0.17</v>
      </c>
      <c r="F740" s="89">
        <v>104.9</v>
      </c>
      <c r="G740" s="89"/>
      <c r="H740" s="89">
        <v>108.24</v>
      </c>
      <c r="I740" s="89">
        <v>153</v>
      </c>
      <c r="J740" s="117">
        <v>0.19769999999999999</v>
      </c>
      <c r="K740" s="115">
        <v>0.93600000000000005</v>
      </c>
      <c r="L740" s="88">
        <v>125</v>
      </c>
      <c r="M740" s="88">
        <v>1.25</v>
      </c>
      <c r="N740" s="88">
        <v>0.48</v>
      </c>
      <c r="O740" s="88">
        <v>6.01</v>
      </c>
      <c r="P740" s="88">
        <v>18.78</v>
      </c>
      <c r="Q740" s="88"/>
      <c r="R740" s="116">
        <v>0.84906212947452386</v>
      </c>
      <c r="S740" s="115">
        <v>5.6</v>
      </c>
      <c r="T740" s="88"/>
      <c r="U740" s="88"/>
      <c r="V740" s="88"/>
      <c r="W740" s="88"/>
      <c r="X740" s="88"/>
      <c r="Y740" s="115">
        <v>12.654</v>
      </c>
      <c r="Z740" s="88"/>
      <c r="AA740" s="116"/>
      <c r="AB740" s="116"/>
      <c r="AC740" s="88"/>
      <c r="AD740" s="88">
        <v>380</v>
      </c>
      <c r="AE740" s="88">
        <f t="shared" ref="AE740:AE778" si="24">1000-(AF740+AD740)</f>
        <v>360</v>
      </c>
      <c r="AF740" s="88">
        <v>260</v>
      </c>
      <c r="AG740" s="66">
        <f t="shared" si="22"/>
        <v>26.184921763869138</v>
      </c>
      <c r="AH740" s="143">
        <f t="shared" si="23"/>
        <v>1000</v>
      </c>
    </row>
    <row r="741" spans="1:34" s="118" customFormat="1" x14ac:dyDescent="0.3">
      <c r="A741" s="84">
        <v>803298</v>
      </c>
      <c r="B741" s="115">
        <v>8.3333333333333329E-2</v>
      </c>
      <c r="C741" s="115"/>
      <c r="D741" s="116">
        <v>6.24</v>
      </c>
      <c r="E741" s="1525">
        <v>0.39</v>
      </c>
      <c r="F741" s="89">
        <v>301.14999999999998</v>
      </c>
      <c r="G741" s="89"/>
      <c r="H741" s="89">
        <v>49.22</v>
      </c>
      <c r="I741" s="89">
        <v>104</v>
      </c>
      <c r="J741" s="117">
        <v>0.54900000000000004</v>
      </c>
      <c r="K741" s="115">
        <v>1.5129999999999999</v>
      </c>
      <c r="L741" s="88">
        <v>280</v>
      </c>
      <c r="M741" s="88">
        <v>0.55000000000000004</v>
      </c>
      <c r="N741" s="88">
        <v>0.34</v>
      </c>
      <c r="O741" s="88">
        <v>20.63</v>
      </c>
      <c r="P741" s="88">
        <v>9.67</v>
      </c>
      <c r="Q741" s="88"/>
      <c r="R741" s="116">
        <v>0.59788447733310623</v>
      </c>
      <c r="S741" s="115">
        <v>4.3</v>
      </c>
      <c r="T741" s="88"/>
      <c r="U741" s="88"/>
      <c r="V741" s="88"/>
      <c r="W741" s="88"/>
      <c r="X741" s="88"/>
      <c r="Y741" s="115">
        <v>15.84</v>
      </c>
      <c r="Z741" s="88"/>
      <c r="AA741" s="116"/>
      <c r="AB741" s="116"/>
      <c r="AC741" s="88"/>
      <c r="AD741" s="88">
        <v>480</v>
      </c>
      <c r="AE741" s="88">
        <f t="shared" si="24"/>
        <v>380</v>
      </c>
      <c r="AF741" s="88">
        <v>140</v>
      </c>
      <c r="AG741" s="66">
        <f t="shared" si="22"/>
        <v>33.813257575757575</v>
      </c>
      <c r="AH741" s="143">
        <f t="shared" si="23"/>
        <v>1000</v>
      </c>
    </row>
    <row r="742" spans="1:34" s="118" customFormat="1" x14ac:dyDescent="0.3">
      <c r="A742" s="84">
        <v>803299</v>
      </c>
      <c r="B742" s="115">
        <v>0.13333333333333333</v>
      </c>
      <c r="C742" s="115"/>
      <c r="D742" s="116">
        <v>6.32</v>
      </c>
      <c r="E742" s="1525">
        <v>0.18</v>
      </c>
      <c r="F742" s="89">
        <v>111.1</v>
      </c>
      <c r="G742" s="89"/>
      <c r="H742" s="89">
        <v>154.76</v>
      </c>
      <c r="I742" s="89">
        <v>105</v>
      </c>
      <c r="J742" s="117">
        <v>0.21429999999999999</v>
      </c>
      <c r="K742" s="115">
        <v>1.6850000000000001</v>
      </c>
      <c r="L742" s="88">
        <v>104</v>
      </c>
      <c r="M742" s="88">
        <v>0.15</v>
      </c>
      <c r="N742" s="88">
        <v>0.91</v>
      </c>
      <c r="O742" s="88">
        <v>16.899999999999999</v>
      </c>
      <c r="P742" s="88">
        <v>29.23</v>
      </c>
      <c r="Q742" s="88"/>
      <c r="R742" s="116">
        <v>0.65413412561176654</v>
      </c>
      <c r="S742" s="115">
        <v>4.5</v>
      </c>
      <c r="T742" s="88"/>
      <c r="U742" s="88"/>
      <c r="V742" s="88"/>
      <c r="W742" s="88"/>
      <c r="X742" s="88"/>
      <c r="Y742" s="115">
        <v>14.432</v>
      </c>
      <c r="Z742" s="88"/>
      <c r="AA742" s="116"/>
      <c r="AB742" s="116"/>
      <c r="AC742" s="88"/>
      <c r="AD742" s="88">
        <v>440</v>
      </c>
      <c r="AE742" s="88">
        <f t="shared" si="24"/>
        <v>320</v>
      </c>
      <c r="AF742" s="88">
        <v>240</v>
      </c>
      <c r="AG742" s="66">
        <f t="shared" si="22"/>
        <v>41.331069844789354</v>
      </c>
      <c r="AH742" s="143">
        <f t="shared" si="23"/>
        <v>1000</v>
      </c>
    </row>
    <row r="743" spans="1:34" s="118" customFormat="1" x14ac:dyDescent="0.3">
      <c r="A743" s="84">
        <v>803300</v>
      </c>
      <c r="B743" s="115">
        <v>1E-4</v>
      </c>
      <c r="C743" s="115"/>
      <c r="D743" s="116">
        <v>5.66</v>
      </c>
      <c r="E743" s="1525">
        <v>0.28000000000000003</v>
      </c>
      <c r="F743" s="89">
        <v>176.45</v>
      </c>
      <c r="G743" s="89"/>
      <c r="H743" s="89">
        <v>121.02</v>
      </c>
      <c r="I743" s="89">
        <v>118</v>
      </c>
      <c r="J743" s="117">
        <v>0.25180000000000002</v>
      </c>
      <c r="K743" s="115">
        <v>1.7</v>
      </c>
      <c r="L743" s="88">
        <v>97</v>
      </c>
      <c r="M743" s="88">
        <v>1.04</v>
      </c>
      <c r="N743" s="88">
        <v>0.75</v>
      </c>
      <c r="O743" s="88">
        <v>39.54</v>
      </c>
      <c r="P743" s="88">
        <v>26.63</v>
      </c>
      <c r="Q743" s="88"/>
      <c r="R743" s="116">
        <v>0.73677667923851908</v>
      </c>
      <c r="S743" s="115">
        <v>4.9000000000000004</v>
      </c>
      <c r="T743" s="88"/>
      <c r="U743" s="88"/>
      <c r="V743" s="88"/>
      <c r="W743" s="88"/>
      <c r="X743" s="88"/>
      <c r="Y743" s="115">
        <v>27.824000000000002</v>
      </c>
      <c r="Z743" s="88"/>
      <c r="AA743" s="116"/>
      <c r="AB743" s="116"/>
      <c r="AC743" s="88"/>
      <c r="AD743" s="88">
        <v>420</v>
      </c>
      <c r="AE743" s="88">
        <v>320</v>
      </c>
      <c r="AF743" s="88">
        <v>260</v>
      </c>
      <c r="AG743" s="66">
        <f t="shared" si="22"/>
        <v>21.628809660724553</v>
      </c>
      <c r="AH743" s="143">
        <f t="shared" si="23"/>
        <v>1000</v>
      </c>
    </row>
    <row r="744" spans="1:34" s="118" customFormat="1" x14ac:dyDescent="0.3">
      <c r="A744" s="84">
        <v>803301</v>
      </c>
      <c r="B744" s="115">
        <v>8.5</v>
      </c>
      <c r="C744" s="115"/>
      <c r="D744" s="116">
        <v>7.51</v>
      </c>
      <c r="E744" s="1525">
        <v>0.2</v>
      </c>
      <c r="F744" s="89">
        <v>62.300000000000004</v>
      </c>
      <c r="G744" s="89"/>
      <c r="H744" s="89">
        <v>43.78</v>
      </c>
      <c r="I744" s="89">
        <v>167</v>
      </c>
      <c r="J744" s="117">
        <v>0.2235</v>
      </c>
      <c r="K744" s="115">
        <v>8.74</v>
      </c>
      <c r="L744" s="88">
        <v>555</v>
      </c>
      <c r="M744" s="88">
        <v>1.02</v>
      </c>
      <c r="N744" s="88">
        <v>1.21</v>
      </c>
      <c r="O744" s="88">
        <v>4.83</v>
      </c>
      <c r="P744" s="88">
        <v>34.53</v>
      </c>
      <c r="Q744" s="88"/>
      <c r="R744" s="116">
        <v>1.7239370000000001</v>
      </c>
      <c r="S744" s="115">
        <v>14.3</v>
      </c>
      <c r="T744" s="88"/>
      <c r="U744" s="88"/>
      <c r="V744" s="88"/>
      <c r="W744" s="88"/>
      <c r="X744" s="88"/>
      <c r="Y744" s="115">
        <v>26.827999999999999</v>
      </c>
      <c r="Z744" s="88"/>
      <c r="AA744" s="116"/>
      <c r="AB744" s="116"/>
      <c r="AC744" s="88"/>
      <c r="AD744" s="88">
        <v>760</v>
      </c>
      <c r="AE744" s="88">
        <f t="shared" si="24"/>
        <v>140</v>
      </c>
      <c r="AF744" s="88">
        <v>100</v>
      </c>
      <c r="AG744" s="66">
        <f t="shared" si="22"/>
        <v>115.3257790368272</v>
      </c>
      <c r="AH744" s="143">
        <f t="shared" si="23"/>
        <v>1000</v>
      </c>
    </row>
    <row r="745" spans="1:34" s="118" customFormat="1" x14ac:dyDescent="0.3">
      <c r="A745" s="84">
        <v>803302</v>
      </c>
      <c r="B745" s="115">
        <v>10.25</v>
      </c>
      <c r="C745" s="115">
        <v>5.3750000000000009</v>
      </c>
      <c r="D745" s="116">
        <v>8.69</v>
      </c>
      <c r="E745" s="1525">
        <v>0.2</v>
      </c>
      <c r="F745" s="89">
        <v>74.95</v>
      </c>
      <c r="G745" s="89"/>
      <c r="H745" s="89">
        <v>21.07</v>
      </c>
      <c r="I745" s="89">
        <v>175</v>
      </c>
      <c r="J745" s="117">
        <v>0.21729999999999999</v>
      </c>
      <c r="K745" s="115">
        <v>12.015000000000001</v>
      </c>
      <c r="L745" s="88">
        <v>629</v>
      </c>
      <c r="M745" s="88">
        <v>0.86</v>
      </c>
      <c r="N745" s="88">
        <v>1.28</v>
      </c>
      <c r="O745" s="88">
        <v>3.36</v>
      </c>
      <c r="P745" s="88">
        <v>16.75</v>
      </c>
      <c r="Q745" s="88"/>
      <c r="R745" s="116">
        <v>1.7239370000000001</v>
      </c>
      <c r="S745" s="115">
        <v>14.3</v>
      </c>
      <c r="T745" s="88"/>
      <c r="U745" s="88"/>
      <c r="V745" s="88"/>
      <c r="W745" s="88"/>
      <c r="X745" s="88"/>
      <c r="Y745" s="115">
        <v>23.606000000000002</v>
      </c>
      <c r="Z745" s="88"/>
      <c r="AA745" s="116"/>
      <c r="AB745" s="116"/>
      <c r="AC745" s="88"/>
      <c r="AD745" s="88">
        <v>740</v>
      </c>
      <c r="AE745" s="88">
        <f t="shared" si="24"/>
        <v>160</v>
      </c>
      <c r="AF745" s="88">
        <v>100</v>
      </c>
      <c r="AG745" s="66">
        <f t="shared" si="22"/>
        <v>180.17919173091587</v>
      </c>
      <c r="AH745" s="143">
        <f t="shared" si="23"/>
        <v>1000</v>
      </c>
    </row>
    <row r="746" spans="1:34" s="118" customFormat="1" x14ac:dyDescent="0.3">
      <c r="A746" s="84">
        <v>803303</v>
      </c>
      <c r="B746" s="115">
        <v>10.833333333333332</v>
      </c>
      <c r="C746" s="115">
        <v>6.0000000000000009</v>
      </c>
      <c r="D746" s="116">
        <v>8.61</v>
      </c>
      <c r="E746" s="1525">
        <v>0.15</v>
      </c>
      <c r="F746" s="89">
        <v>48.3</v>
      </c>
      <c r="G746" s="89"/>
      <c r="H746" s="89">
        <v>26.75</v>
      </c>
      <c r="I746" s="89">
        <v>192</v>
      </c>
      <c r="J746" s="117">
        <v>0.1215</v>
      </c>
      <c r="K746" s="115">
        <v>12.32</v>
      </c>
      <c r="L746" s="88">
        <v>695</v>
      </c>
      <c r="M746" s="88">
        <v>0.95</v>
      </c>
      <c r="N746" s="88">
        <v>1.47</v>
      </c>
      <c r="O746" s="88">
        <v>6.78</v>
      </c>
      <c r="P746" s="88">
        <v>21.09</v>
      </c>
      <c r="Q746" s="88"/>
      <c r="R746" s="116">
        <v>1.751153</v>
      </c>
      <c r="S746" s="115">
        <v>15.1</v>
      </c>
      <c r="T746" s="88"/>
      <c r="U746" s="88"/>
      <c r="V746" s="88"/>
      <c r="W746" s="88"/>
      <c r="X746" s="88"/>
      <c r="Y746" s="115">
        <v>27.44</v>
      </c>
      <c r="Z746" s="88"/>
      <c r="AA746" s="116"/>
      <c r="AB746" s="116"/>
      <c r="AC746" s="88"/>
      <c r="AD746" s="88">
        <v>700</v>
      </c>
      <c r="AE746" s="88">
        <f t="shared" si="24"/>
        <v>200</v>
      </c>
      <c r="AF746" s="88">
        <v>100</v>
      </c>
      <c r="AG746" s="66">
        <f t="shared" si="22"/>
        <v>158.93877551020407</v>
      </c>
      <c r="AH746" s="143">
        <f t="shared" si="23"/>
        <v>1000</v>
      </c>
    </row>
    <row r="747" spans="1:34" s="118" customFormat="1" x14ac:dyDescent="0.3">
      <c r="A747" s="84">
        <v>803304</v>
      </c>
      <c r="B747" s="115">
        <v>11.249999999999998</v>
      </c>
      <c r="C747" s="115">
        <v>6.4999999999999991</v>
      </c>
      <c r="D747" s="116">
        <v>8.7100000000000009</v>
      </c>
      <c r="E747" s="1525">
        <v>0.14000000000000001</v>
      </c>
      <c r="F747" s="89">
        <v>55.300000000000004</v>
      </c>
      <c r="G747" s="89"/>
      <c r="H747" s="89">
        <v>5.65</v>
      </c>
      <c r="I747" s="89">
        <v>160</v>
      </c>
      <c r="J747" s="117">
        <v>0.16250000000000001</v>
      </c>
      <c r="K747" s="115">
        <v>11.669</v>
      </c>
      <c r="L747" s="88">
        <v>607</v>
      </c>
      <c r="M747" s="88">
        <v>0.76</v>
      </c>
      <c r="N747" s="88">
        <v>1.41</v>
      </c>
      <c r="O747" s="88">
        <v>5.8</v>
      </c>
      <c r="P747" s="88">
        <v>19.440000000000001</v>
      </c>
      <c r="Q747" s="88"/>
      <c r="R747" s="116">
        <v>1.6594250000000001</v>
      </c>
      <c r="S747" s="115">
        <v>12.5</v>
      </c>
      <c r="T747" s="88"/>
      <c r="U747" s="88"/>
      <c r="V747" s="88"/>
      <c r="W747" s="88"/>
      <c r="X747" s="88"/>
      <c r="Y747" s="115">
        <v>25.2</v>
      </c>
      <c r="Z747" s="88"/>
      <c r="AA747" s="116"/>
      <c r="AB747" s="116"/>
      <c r="AC747" s="88"/>
      <c r="AD747" s="88">
        <v>700</v>
      </c>
      <c r="AE747" s="88">
        <f t="shared" si="24"/>
        <v>220</v>
      </c>
      <c r="AF747" s="88">
        <v>80</v>
      </c>
      <c r="AG747" s="66">
        <f t="shared" si="22"/>
        <v>163.92166666666668</v>
      </c>
      <c r="AH747" s="143">
        <f t="shared" si="23"/>
        <v>1000</v>
      </c>
    </row>
    <row r="748" spans="1:34" s="118" customFormat="1" x14ac:dyDescent="0.3">
      <c r="A748" s="84">
        <v>803305</v>
      </c>
      <c r="B748" s="115">
        <v>8.3333333333333329E-2</v>
      </c>
      <c r="C748" s="115"/>
      <c r="D748" s="116">
        <v>7.32</v>
      </c>
      <c r="E748" s="1525">
        <v>0.05</v>
      </c>
      <c r="F748" s="89">
        <v>51.65</v>
      </c>
      <c r="G748" s="89"/>
      <c r="H748" s="89">
        <v>119.19</v>
      </c>
      <c r="I748" s="89">
        <v>52</v>
      </c>
      <c r="J748" s="117">
        <v>2.07E-2</v>
      </c>
      <c r="K748" s="115">
        <v>0.63800000000000001</v>
      </c>
      <c r="L748" s="88">
        <v>62</v>
      </c>
      <c r="M748" s="88">
        <v>0.46</v>
      </c>
      <c r="N748" s="88">
        <v>0.21</v>
      </c>
      <c r="O748" s="88">
        <v>1.42</v>
      </c>
      <c r="P748" s="88">
        <v>32.33</v>
      </c>
      <c r="Q748" s="88"/>
      <c r="R748" s="116">
        <v>0.58536743542099345</v>
      </c>
      <c r="S748" s="115">
        <v>4.0999999999999996</v>
      </c>
      <c r="T748" s="88"/>
      <c r="U748" s="88"/>
      <c r="V748" s="88"/>
      <c r="W748" s="88"/>
      <c r="X748" s="88"/>
      <c r="Y748" s="115">
        <v>1.956</v>
      </c>
      <c r="Z748" s="88"/>
      <c r="AA748" s="116"/>
      <c r="AB748" s="116"/>
      <c r="AC748" s="88"/>
      <c r="AD748" s="88">
        <v>60</v>
      </c>
      <c r="AE748" s="88">
        <f t="shared" si="24"/>
        <v>60</v>
      </c>
      <c r="AF748" s="88">
        <v>880</v>
      </c>
      <c r="AG748" s="66">
        <f t="shared" si="22"/>
        <v>115.46625766871165</v>
      </c>
      <c r="AH748" s="143">
        <f t="shared" si="23"/>
        <v>1000</v>
      </c>
    </row>
    <row r="749" spans="1:34" s="118" customFormat="1" x14ac:dyDescent="0.3">
      <c r="A749" s="84">
        <v>803306</v>
      </c>
      <c r="B749" s="115">
        <v>0.1</v>
      </c>
      <c r="C749" s="115"/>
      <c r="D749" s="116">
        <v>7.58</v>
      </c>
      <c r="E749" s="1525">
        <v>7.0000000000000007E-2</v>
      </c>
      <c r="F749" s="89">
        <v>35.85</v>
      </c>
      <c r="G749" s="89"/>
      <c r="H749" s="89">
        <v>90.82</v>
      </c>
      <c r="I749" s="89">
        <v>139</v>
      </c>
      <c r="J749" s="117">
        <v>1.7100000000000001E-2</v>
      </c>
      <c r="K749" s="115">
        <v>0.66</v>
      </c>
      <c r="L749" s="88">
        <v>88</v>
      </c>
      <c r="M749" s="88">
        <v>0.43</v>
      </c>
      <c r="N749" s="88">
        <v>0.23</v>
      </c>
      <c r="O749" s="88">
        <v>2.5499999999999998</v>
      </c>
      <c r="P749" s="88">
        <v>20.48</v>
      </c>
      <c r="Q749" s="88"/>
      <c r="R749" s="116">
        <v>0.74778190603178785</v>
      </c>
      <c r="S749" s="115">
        <v>4.9000000000000004</v>
      </c>
      <c r="T749" s="88"/>
      <c r="U749" s="88"/>
      <c r="V749" s="88"/>
      <c r="W749" s="88"/>
      <c r="X749" s="88"/>
      <c r="Y749" s="115">
        <v>1.8120000000000001</v>
      </c>
      <c r="Z749" s="88"/>
      <c r="AA749" s="116"/>
      <c r="AB749" s="116"/>
      <c r="AC749" s="88"/>
      <c r="AD749" s="88">
        <v>60</v>
      </c>
      <c r="AE749" s="88">
        <f t="shared" si="24"/>
        <v>60</v>
      </c>
      <c r="AF749" s="88">
        <v>880</v>
      </c>
      <c r="AG749" s="66">
        <f t="shared" si="22"/>
        <v>128.94039735099338</v>
      </c>
      <c r="AH749" s="143">
        <f t="shared" si="23"/>
        <v>1000</v>
      </c>
    </row>
    <row r="750" spans="1:34" s="118" customFormat="1" x14ac:dyDescent="0.3">
      <c r="A750" s="84">
        <v>803307</v>
      </c>
      <c r="B750" s="115">
        <v>10.583333333333332</v>
      </c>
      <c r="C750" s="115">
        <v>6.25</v>
      </c>
      <c r="D750" s="116">
        <v>7.27</v>
      </c>
      <c r="E750" s="1525">
        <v>0.25</v>
      </c>
      <c r="F750" s="89">
        <v>155.6</v>
      </c>
      <c r="G750" s="89"/>
      <c r="H750" s="89">
        <v>41.33</v>
      </c>
      <c r="I750" s="89">
        <v>327</v>
      </c>
      <c r="J750" s="117">
        <v>0.28360000000000002</v>
      </c>
      <c r="K750" s="115">
        <v>8.6880000000000006</v>
      </c>
      <c r="L750" s="88">
        <v>323</v>
      </c>
      <c r="M750" s="88">
        <v>0.64</v>
      </c>
      <c r="N750" s="88">
        <v>1.27</v>
      </c>
      <c r="O750" s="88">
        <v>4.12</v>
      </c>
      <c r="P750" s="88">
        <v>19.149999999999999</v>
      </c>
      <c r="Q750" s="88"/>
      <c r="R750" s="116">
        <v>1.7544919999999999</v>
      </c>
      <c r="S750" s="115">
        <v>15.2</v>
      </c>
      <c r="T750" s="88"/>
      <c r="U750" s="88"/>
      <c r="V750" s="88"/>
      <c r="W750" s="88"/>
      <c r="X750" s="88"/>
      <c r="Y750" s="115">
        <v>22.536000000000001</v>
      </c>
      <c r="Z750" s="88"/>
      <c r="AA750" s="116"/>
      <c r="AB750" s="116"/>
      <c r="AC750" s="88"/>
      <c r="AD750" s="88">
        <v>720</v>
      </c>
      <c r="AE750" s="88">
        <f t="shared" si="24"/>
        <v>180</v>
      </c>
      <c r="AF750" s="88">
        <v>100</v>
      </c>
      <c r="AG750" s="66">
        <f t="shared" si="22"/>
        <v>136.47284345047925</v>
      </c>
      <c r="AH750" s="143">
        <f t="shared" si="23"/>
        <v>1000</v>
      </c>
    </row>
    <row r="751" spans="1:34" s="118" customFormat="1" x14ac:dyDescent="0.3">
      <c r="A751" s="84">
        <v>803308</v>
      </c>
      <c r="B751" s="115">
        <v>10.833333333333332</v>
      </c>
      <c r="C751" s="115">
        <v>6.25</v>
      </c>
      <c r="D751" s="116">
        <v>8.4</v>
      </c>
      <c r="E751" s="1525">
        <v>0.22</v>
      </c>
      <c r="F751" s="89">
        <v>129.4</v>
      </c>
      <c r="G751" s="89"/>
      <c r="H751" s="89">
        <v>35.119999999999997</v>
      </c>
      <c r="I751" s="89">
        <v>221</v>
      </c>
      <c r="J751" s="117">
        <v>0.20880000000000001</v>
      </c>
      <c r="K751" s="115">
        <v>10.867000000000001</v>
      </c>
      <c r="L751" s="88">
        <v>353</v>
      </c>
      <c r="M751" s="88">
        <v>0.7</v>
      </c>
      <c r="N751" s="88">
        <v>1.35</v>
      </c>
      <c r="O751" s="88">
        <v>4.09</v>
      </c>
      <c r="P751" s="88">
        <v>17.77</v>
      </c>
      <c r="Q751" s="88"/>
      <c r="R751" s="116">
        <v>1.7774730000000001</v>
      </c>
      <c r="S751" s="115">
        <v>15.9</v>
      </c>
      <c r="T751" s="88"/>
      <c r="U751" s="88"/>
      <c r="V751" s="88"/>
      <c r="W751" s="88"/>
      <c r="X751" s="88"/>
      <c r="Y751" s="115">
        <v>24.57</v>
      </c>
      <c r="Z751" s="88"/>
      <c r="AA751" s="116"/>
      <c r="AB751" s="116"/>
      <c r="AC751" s="88"/>
      <c r="AD751" s="88">
        <v>700</v>
      </c>
      <c r="AE751" s="88">
        <f t="shared" si="24"/>
        <v>220</v>
      </c>
      <c r="AF751" s="88">
        <v>80</v>
      </c>
      <c r="AG751" s="66">
        <f t="shared" si="22"/>
        <v>156.56971916971918</v>
      </c>
      <c r="AH751" s="143">
        <f t="shared" si="23"/>
        <v>1000</v>
      </c>
    </row>
    <row r="752" spans="1:34" s="118" customFormat="1" x14ac:dyDescent="0.3">
      <c r="A752" s="84">
        <v>803309</v>
      </c>
      <c r="B752" s="115">
        <v>55.166666666666664</v>
      </c>
      <c r="C752" s="115">
        <v>12.875</v>
      </c>
      <c r="D752" s="116">
        <v>8.66</v>
      </c>
      <c r="E752" s="1525">
        <v>0.14000000000000001</v>
      </c>
      <c r="F752" s="89">
        <v>49.1</v>
      </c>
      <c r="G752" s="89"/>
      <c r="H752" s="89">
        <v>37.65</v>
      </c>
      <c r="I752" s="89">
        <v>50</v>
      </c>
      <c r="J752" s="117">
        <v>0.19650000000000001</v>
      </c>
      <c r="K752" s="115">
        <v>7.3550000000000004</v>
      </c>
      <c r="L752" s="88">
        <v>907</v>
      </c>
      <c r="M752" s="88">
        <v>0.16</v>
      </c>
      <c r="N752" s="88">
        <v>0.27</v>
      </c>
      <c r="O752" s="88">
        <v>1.23</v>
      </c>
      <c r="P752" s="88">
        <v>2.62</v>
      </c>
      <c r="Q752" s="88"/>
      <c r="R752" s="116">
        <v>1.7578170000000002</v>
      </c>
      <c r="S752" s="115">
        <v>15.3</v>
      </c>
      <c r="T752" s="88"/>
      <c r="U752" s="88"/>
      <c r="V752" s="88"/>
      <c r="W752" s="88"/>
      <c r="X752" s="88"/>
      <c r="Y752" s="115">
        <v>13.3</v>
      </c>
      <c r="Z752" s="88"/>
      <c r="AA752" s="116"/>
      <c r="AB752" s="116"/>
      <c r="AC752" s="88"/>
      <c r="AD752" s="88">
        <v>380</v>
      </c>
      <c r="AE752" s="88">
        <f t="shared" si="24"/>
        <v>360</v>
      </c>
      <c r="AF752" s="88">
        <v>260</v>
      </c>
      <c r="AG752" s="66">
        <f t="shared" si="22"/>
        <v>195.76466165413538</v>
      </c>
      <c r="AH752" s="143">
        <f t="shared" si="23"/>
        <v>1000</v>
      </c>
    </row>
    <row r="753" spans="1:34" s="118" customFormat="1" x14ac:dyDescent="0.3">
      <c r="A753" s="84">
        <v>803310</v>
      </c>
      <c r="B753" s="115">
        <v>55.666666666666664</v>
      </c>
      <c r="C753" s="115">
        <v>11.5</v>
      </c>
      <c r="D753" s="116">
        <v>8.24</v>
      </c>
      <c r="E753" s="1525">
        <v>0.19</v>
      </c>
      <c r="F753" s="89">
        <v>73.550000000000011</v>
      </c>
      <c r="G753" s="89"/>
      <c r="H753" s="89">
        <v>38.67</v>
      </c>
      <c r="I753" s="89">
        <v>26</v>
      </c>
      <c r="J753" s="117">
        <v>0.24590000000000001</v>
      </c>
      <c r="K753" s="115">
        <v>6.3620000000000001</v>
      </c>
      <c r="L753" s="88">
        <v>667</v>
      </c>
      <c r="M753" s="88">
        <v>0.13</v>
      </c>
      <c r="N753" s="88">
        <v>0.25</v>
      </c>
      <c r="O753" s="88">
        <v>0.56000000000000005</v>
      </c>
      <c r="P753" s="88">
        <v>2.88</v>
      </c>
      <c r="Q753" s="88"/>
      <c r="R753" s="116">
        <v>1.6407</v>
      </c>
      <c r="S753" s="115">
        <v>12</v>
      </c>
      <c r="T753" s="88"/>
      <c r="U753" s="88"/>
      <c r="V753" s="88"/>
      <c r="W753" s="88"/>
      <c r="X753" s="88"/>
      <c r="Y753" s="115">
        <v>12.72</v>
      </c>
      <c r="Z753" s="88"/>
      <c r="AA753" s="116"/>
      <c r="AB753" s="116"/>
      <c r="AC753" s="88"/>
      <c r="AD753" s="88">
        <v>400</v>
      </c>
      <c r="AE753" s="88">
        <f t="shared" si="24"/>
        <v>360</v>
      </c>
      <c r="AF753" s="88">
        <v>240</v>
      </c>
      <c r="AG753" s="66">
        <f t="shared" si="22"/>
        <v>177.05566037735849</v>
      </c>
      <c r="AH753" s="143">
        <f t="shared" si="23"/>
        <v>1000</v>
      </c>
    </row>
    <row r="754" spans="1:34" s="118" customFormat="1" x14ac:dyDescent="0.3">
      <c r="A754" s="84">
        <v>803311</v>
      </c>
      <c r="B754" s="115">
        <v>1E-3</v>
      </c>
      <c r="C754" s="115"/>
      <c r="D754" s="116">
        <v>6.84</v>
      </c>
      <c r="E754" s="1525">
        <v>0.05</v>
      </c>
      <c r="F754" s="89">
        <v>31.9</v>
      </c>
      <c r="G754" s="89"/>
      <c r="H754" s="89">
        <v>131.84</v>
      </c>
      <c r="I754" s="89">
        <v>113</v>
      </c>
      <c r="J754" s="117">
        <v>1.8800000000000001E-2</v>
      </c>
      <c r="K754" s="115">
        <v>0.47799999999999998</v>
      </c>
      <c r="L754" s="88">
        <v>56</v>
      </c>
      <c r="M754" s="88">
        <v>0.85</v>
      </c>
      <c r="N754" s="88">
        <v>0.26</v>
      </c>
      <c r="O754" s="88">
        <v>2.04</v>
      </c>
      <c r="P754" s="88">
        <v>30.09</v>
      </c>
      <c r="Q754" s="88"/>
      <c r="R754" s="116">
        <v>0.87886552577599608</v>
      </c>
      <c r="S754" s="115">
        <v>5.8</v>
      </c>
      <c r="T754" s="88"/>
      <c r="U754" s="88"/>
      <c r="V754" s="88"/>
      <c r="W754" s="88"/>
      <c r="X754" s="88"/>
      <c r="Y754" s="115">
        <v>1.944</v>
      </c>
      <c r="Z754" s="88"/>
      <c r="AA754" s="116"/>
      <c r="AB754" s="116"/>
      <c r="AC754" s="88"/>
      <c r="AD754" s="88">
        <v>60</v>
      </c>
      <c r="AE754" s="88">
        <f t="shared" si="24"/>
        <v>60</v>
      </c>
      <c r="AF754" s="88">
        <v>880</v>
      </c>
      <c r="AG754" s="66">
        <f t="shared" si="22"/>
        <v>87.043209876543202</v>
      </c>
      <c r="AH754" s="143">
        <f t="shared" si="23"/>
        <v>1000</v>
      </c>
    </row>
    <row r="755" spans="1:34" s="118" customFormat="1" x14ac:dyDescent="0.3">
      <c r="A755" s="84">
        <v>803312</v>
      </c>
      <c r="B755" s="115">
        <v>1E-3</v>
      </c>
      <c r="C755" s="115"/>
      <c r="D755" s="116">
        <v>6.32</v>
      </c>
      <c r="E755" s="1525">
        <v>0.03</v>
      </c>
      <c r="F755" s="89">
        <v>38.950000000000003</v>
      </c>
      <c r="G755" s="89"/>
      <c r="H755" s="89">
        <v>62.8</v>
      </c>
      <c r="I755" s="89">
        <v>46</v>
      </c>
      <c r="J755" s="117">
        <v>1.43E-2</v>
      </c>
      <c r="K755" s="115">
        <v>0.17699999999999999</v>
      </c>
      <c r="L755" s="88">
        <v>31</v>
      </c>
      <c r="M755" s="88">
        <v>0.13</v>
      </c>
      <c r="N755" s="88">
        <v>0.11</v>
      </c>
      <c r="O755" s="88">
        <v>3.98</v>
      </c>
      <c r="P755" s="88">
        <v>19.32</v>
      </c>
      <c r="Q755" s="88"/>
      <c r="R755" s="116">
        <v>0.59439363989353999</v>
      </c>
      <c r="S755" s="115">
        <v>4.3</v>
      </c>
      <c r="T755" s="88"/>
      <c r="U755" s="88"/>
      <c r="V755" s="88"/>
      <c r="W755" s="88"/>
      <c r="X755" s="88"/>
      <c r="Y755" s="115">
        <v>2.3279999999999998</v>
      </c>
      <c r="Z755" s="88"/>
      <c r="AA755" s="116"/>
      <c r="AB755" s="116"/>
      <c r="AC755" s="88"/>
      <c r="AD755" s="88">
        <v>60</v>
      </c>
      <c r="AE755" s="88">
        <f t="shared" si="24"/>
        <v>60</v>
      </c>
      <c r="AF755" s="88">
        <v>880</v>
      </c>
      <c r="AG755" s="66">
        <f t="shared" si="22"/>
        <v>26.91494845360825</v>
      </c>
      <c r="AH755" s="143">
        <f t="shared" si="23"/>
        <v>1000</v>
      </c>
    </row>
    <row r="756" spans="1:34" s="118" customFormat="1" x14ac:dyDescent="0.3">
      <c r="A756" s="84">
        <v>803313</v>
      </c>
      <c r="B756" s="115">
        <v>6.8333333333333313</v>
      </c>
      <c r="C756" s="115"/>
      <c r="D756" s="116">
        <v>7.5</v>
      </c>
      <c r="E756" s="1525">
        <v>0.16</v>
      </c>
      <c r="F756" s="89">
        <v>50.949999999999996</v>
      </c>
      <c r="G756" s="89"/>
      <c r="H756" s="89">
        <v>73.33</v>
      </c>
      <c r="I756" s="89">
        <v>280</v>
      </c>
      <c r="J756" s="117">
        <v>8.6900000000000005E-2</v>
      </c>
      <c r="K756" s="115">
        <v>8.0960000000000001</v>
      </c>
      <c r="L756" s="88">
        <v>1022.9999999999999</v>
      </c>
      <c r="M756" s="88">
        <v>1</v>
      </c>
      <c r="N756" s="88">
        <v>2.0299999999999998</v>
      </c>
      <c r="O756" s="88">
        <v>7.48</v>
      </c>
      <c r="P756" s="88">
        <v>8.7899999999999991</v>
      </c>
      <c r="Q756" s="88"/>
      <c r="R756" s="116">
        <v>1.7239370000000001</v>
      </c>
      <c r="S756" s="115">
        <v>14.3</v>
      </c>
      <c r="T756" s="88"/>
      <c r="U756" s="88"/>
      <c r="V756" s="88"/>
      <c r="W756" s="88"/>
      <c r="X756" s="88"/>
      <c r="Y756" s="115">
        <v>25.2</v>
      </c>
      <c r="Z756" s="88"/>
      <c r="AA756" s="116"/>
      <c r="AB756" s="116"/>
      <c r="AC756" s="88"/>
      <c r="AD756" s="88">
        <v>720</v>
      </c>
      <c r="AE756" s="88">
        <f t="shared" si="24"/>
        <v>180</v>
      </c>
      <c r="AF756" s="88">
        <v>100</v>
      </c>
      <c r="AG756" s="66">
        <f t="shared" si="22"/>
        <v>113.72952380952381</v>
      </c>
      <c r="AH756" s="143">
        <f t="shared" si="23"/>
        <v>1000</v>
      </c>
    </row>
    <row r="757" spans="1:34" s="118" customFormat="1" x14ac:dyDescent="0.3">
      <c r="A757" s="84">
        <v>803314</v>
      </c>
      <c r="B757" s="115">
        <v>8.5</v>
      </c>
      <c r="C757" s="115"/>
      <c r="D757" s="116">
        <v>7.67</v>
      </c>
      <c r="E757" s="1525">
        <v>0.16</v>
      </c>
      <c r="F757" s="89">
        <v>42.55</v>
      </c>
      <c r="G757" s="89"/>
      <c r="H757" s="89">
        <v>96.8</v>
      </c>
      <c r="I757" s="89">
        <v>260</v>
      </c>
      <c r="J757" s="117">
        <v>6.1100000000000002E-2</v>
      </c>
      <c r="K757" s="115">
        <v>8.36</v>
      </c>
      <c r="L757" s="88">
        <v>988</v>
      </c>
      <c r="M757" s="88">
        <v>0.46</v>
      </c>
      <c r="N757" s="88">
        <v>1.86</v>
      </c>
      <c r="O757" s="88">
        <v>5.35</v>
      </c>
      <c r="P757" s="88">
        <v>5.62</v>
      </c>
      <c r="Q757" s="88"/>
      <c r="R757" s="116">
        <v>1.5903770000000002</v>
      </c>
      <c r="S757" s="115">
        <v>10.7</v>
      </c>
      <c r="T757" s="88"/>
      <c r="U757" s="88"/>
      <c r="V757" s="88"/>
      <c r="W757" s="88"/>
      <c r="X757" s="88"/>
      <c r="Y757" s="115">
        <v>28.638000000000002</v>
      </c>
      <c r="Z757" s="88"/>
      <c r="AA757" s="116"/>
      <c r="AB757" s="116"/>
      <c r="AC757" s="88"/>
      <c r="AD757" s="88">
        <v>740</v>
      </c>
      <c r="AE757" s="88">
        <f t="shared" si="24"/>
        <v>160</v>
      </c>
      <c r="AF757" s="88">
        <v>100</v>
      </c>
      <c r="AG757" s="66">
        <f t="shared" si="22"/>
        <v>103.33961868845587</v>
      </c>
      <c r="AH757" s="143">
        <f t="shared" si="23"/>
        <v>1000</v>
      </c>
    </row>
    <row r="758" spans="1:34" s="118" customFormat="1" x14ac:dyDescent="0.3">
      <c r="A758" s="84">
        <v>803315</v>
      </c>
      <c r="B758" s="115">
        <v>1E-3</v>
      </c>
      <c r="C758" s="115"/>
      <c r="D758" s="116">
        <v>7.05</v>
      </c>
      <c r="E758" s="1525">
        <v>0.21</v>
      </c>
      <c r="F758" s="89">
        <v>126.25</v>
      </c>
      <c r="G758" s="89"/>
      <c r="H758" s="89">
        <v>161.91999999999999</v>
      </c>
      <c r="I758" s="89">
        <v>80</v>
      </c>
      <c r="J758" s="117">
        <v>0.38419999999999999</v>
      </c>
      <c r="K758" s="115">
        <v>0.81299999999999994</v>
      </c>
      <c r="L758" s="88">
        <v>132</v>
      </c>
      <c r="M758" s="88">
        <v>0.92</v>
      </c>
      <c r="N758" s="88">
        <v>1.06</v>
      </c>
      <c r="O758" s="88">
        <v>8.4</v>
      </c>
      <c r="P758" s="88">
        <v>22.71</v>
      </c>
      <c r="Q758" s="88"/>
      <c r="R758" s="116">
        <v>0.67391063724008804</v>
      </c>
      <c r="S758" s="115">
        <v>5</v>
      </c>
      <c r="T758" s="88"/>
      <c r="U758" s="88"/>
      <c r="V758" s="88"/>
      <c r="W758" s="88"/>
      <c r="X758" s="88"/>
      <c r="Y758" s="115">
        <v>16.896000000000001</v>
      </c>
      <c r="Z758" s="88"/>
      <c r="AA758" s="116"/>
      <c r="AB758" s="116"/>
      <c r="AC758" s="88"/>
      <c r="AD758" s="88">
        <v>440</v>
      </c>
      <c r="AE758" s="88">
        <f t="shared" si="24"/>
        <v>200</v>
      </c>
      <c r="AF758" s="88">
        <v>360</v>
      </c>
      <c r="AG758" s="66">
        <f t="shared" si="22"/>
        <v>17.033735795454543</v>
      </c>
      <c r="AH758" s="143">
        <f t="shared" si="23"/>
        <v>1000</v>
      </c>
    </row>
    <row r="759" spans="1:34" s="118" customFormat="1" x14ac:dyDescent="0.3">
      <c r="A759" s="84">
        <v>803316</v>
      </c>
      <c r="B759" s="115">
        <v>1E-3</v>
      </c>
      <c r="C759" s="115"/>
      <c r="D759" s="116">
        <v>6.3</v>
      </c>
      <c r="E759" s="1525">
        <v>0.45</v>
      </c>
      <c r="F759" s="89">
        <v>345.6</v>
      </c>
      <c r="G759" s="89"/>
      <c r="H759" s="89">
        <v>131.51</v>
      </c>
      <c r="I759" s="89">
        <v>83</v>
      </c>
      <c r="J759" s="117">
        <v>0.3957</v>
      </c>
      <c r="K759" s="115">
        <v>0.80200000000000005</v>
      </c>
      <c r="L759" s="88">
        <v>138</v>
      </c>
      <c r="M759" s="88">
        <v>0.85</v>
      </c>
      <c r="N759" s="88">
        <v>0.87</v>
      </c>
      <c r="O759" s="88">
        <v>19.98</v>
      </c>
      <c r="P759" s="88">
        <v>25.03</v>
      </c>
      <c r="Q759" s="88"/>
      <c r="R759" s="116">
        <v>0.67715570935106972</v>
      </c>
      <c r="S759" s="115">
        <v>4.5</v>
      </c>
      <c r="T759" s="88"/>
      <c r="U759" s="88"/>
      <c r="V759" s="88"/>
      <c r="W759" s="88"/>
      <c r="X759" s="88"/>
      <c r="Y759" s="115">
        <v>13.86</v>
      </c>
      <c r="Z759" s="88"/>
      <c r="AA759" s="116"/>
      <c r="AB759" s="116"/>
      <c r="AC759" s="88"/>
      <c r="AD759" s="88">
        <v>440</v>
      </c>
      <c r="AE759" s="88">
        <f t="shared" si="24"/>
        <v>260</v>
      </c>
      <c r="AF759" s="88">
        <v>300</v>
      </c>
      <c r="AG759" s="66">
        <f t="shared" si="22"/>
        <v>20.483982683982685</v>
      </c>
      <c r="AH759" s="143">
        <f t="shared" si="23"/>
        <v>1000</v>
      </c>
    </row>
    <row r="760" spans="1:34" s="118" customFormat="1" x14ac:dyDescent="0.3">
      <c r="A760" s="84">
        <v>803317</v>
      </c>
      <c r="B760" s="115">
        <v>1E-3</v>
      </c>
      <c r="C760" s="115"/>
      <c r="D760" s="116">
        <v>7.25</v>
      </c>
      <c r="E760" s="1525">
        <v>0.12</v>
      </c>
      <c r="F760" s="89">
        <v>87.35</v>
      </c>
      <c r="G760" s="89"/>
      <c r="H760" s="89">
        <v>153.34</v>
      </c>
      <c r="I760" s="89">
        <v>53</v>
      </c>
      <c r="J760" s="117">
        <v>0.19009999999999999</v>
      </c>
      <c r="K760" s="115">
        <v>0.60599999999999998</v>
      </c>
      <c r="L760" s="88">
        <v>118</v>
      </c>
      <c r="M760" s="88">
        <v>0.8</v>
      </c>
      <c r="N760" s="88">
        <v>0.43</v>
      </c>
      <c r="O760" s="88">
        <v>3.92</v>
      </c>
      <c r="P760" s="88">
        <v>33.68</v>
      </c>
      <c r="Q760" s="88"/>
      <c r="R760" s="116">
        <v>0.75866853633942377</v>
      </c>
      <c r="S760" s="115">
        <v>5.0999999999999996</v>
      </c>
      <c r="T760" s="88"/>
      <c r="U760" s="88"/>
      <c r="V760" s="88"/>
      <c r="W760" s="88"/>
      <c r="X760" s="88"/>
      <c r="Y760" s="115">
        <v>15.36</v>
      </c>
      <c r="Z760" s="88"/>
      <c r="AA760" s="116"/>
      <c r="AB760" s="116"/>
      <c r="AC760" s="88"/>
      <c r="AD760" s="88">
        <v>400</v>
      </c>
      <c r="AE760" s="88">
        <f t="shared" si="24"/>
        <v>280</v>
      </c>
      <c r="AF760" s="88">
        <v>320</v>
      </c>
      <c r="AG760" s="66">
        <f t="shared" si="22"/>
        <v>13.966406249999999</v>
      </c>
      <c r="AH760" s="143">
        <f t="shared" si="23"/>
        <v>1000</v>
      </c>
    </row>
    <row r="761" spans="1:34" s="118" customFormat="1" x14ac:dyDescent="0.3">
      <c r="A761" s="84">
        <v>803318</v>
      </c>
      <c r="B761" s="115">
        <v>6.6666666666666666E-2</v>
      </c>
      <c r="C761" s="115"/>
      <c r="D761" s="116">
        <v>5.88</v>
      </c>
      <c r="E761" s="1525">
        <v>0.43</v>
      </c>
      <c r="F761" s="89">
        <v>432.75</v>
      </c>
      <c r="G761" s="89"/>
      <c r="H761" s="89">
        <v>139.18</v>
      </c>
      <c r="I761" s="89">
        <v>102</v>
      </c>
      <c r="J761" s="117">
        <v>0.50080000000000002</v>
      </c>
      <c r="K761" s="115">
        <v>0.51300000000000001</v>
      </c>
      <c r="L761" s="88">
        <v>129</v>
      </c>
      <c r="M761" s="88">
        <v>1.26</v>
      </c>
      <c r="N761" s="88">
        <v>0.5</v>
      </c>
      <c r="O761" s="88">
        <v>26.3</v>
      </c>
      <c r="P761" s="88">
        <v>34.17</v>
      </c>
      <c r="Q761" s="88"/>
      <c r="R761" s="116">
        <v>0.46096228984013532</v>
      </c>
      <c r="S761" s="115">
        <v>3.4</v>
      </c>
      <c r="T761" s="88"/>
      <c r="U761" s="88"/>
      <c r="V761" s="88"/>
      <c r="W761" s="88"/>
      <c r="X761" s="88"/>
      <c r="Y761" s="115">
        <v>14.88</v>
      </c>
      <c r="Z761" s="88"/>
      <c r="AA761" s="116"/>
      <c r="AB761" s="116"/>
      <c r="AC761" s="88"/>
      <c r="AD761" s="88">
        <v>400</v>
      </c>
      <c r="AE761" s="88">
        <f t="shared" si="24"/>
        <v>280</v>
      </c>
      <c r="AF761" s="88">
        <v>320</v>
      </c>
      <c r="AG761" s="66">
        <f t="shared" si="22"/>
        <v>12.204435483870967</v>
      </c>
      <c r="AH761" s="143">
        <f t="shared" si="23"/>
        <v>1000</v>
      </c>
    </row>
    <row r="762" spans="1:34" s="118" customFormat="1" x14ac:dyDescent="0.3">
      <c r="A762" s="84">
        <v>803319</v>
      </c>
      <c r="B762" s="115">
        <v>0.05</v>
      </c>
      <c r="C762" s="115"/>
      <c r="D762" s="116">
        <v>7.8</v>
      </c>
      <c r="E762" s="1525">
        <v>0.12</v>
      </c>
      <c r="F762" s="89">
        <v>51.25</v>
      </c>
      <c r="G762" s="89"/>
      <c r="H762" s="89">
        <v>147.9</v>
      </c>
      <c r="I762" s="89">
        <v>159</v>
      </c>
      <c r="J762" s="117">
        <v>0.1278</v>
      </c>
      <c r="K762" s="115">
        <v>1.069</v>
      </c>
      <c r="L762" s="88">
        <v>150</v>
      </c>
      <c r="M762" s="88">
        <v>0.97</v>
      </c>
      <c r="N762" s="88">
        <v>0.81</v>
      </c>
      <c r="O762" s="88">
        <v>9.99</v>
      </c>
      <c r="P762" s="88">
        <v>7.19</v>
      </c>
      <c r="Q762" s="88"/>
      <c r="R762" s="116">
        <v>0.62050321792249785</v>
      </c>
      <c r="S762" s="115">
        <v>4.2</v>
      </c>
      <c r="T762" s="88"/>
      <c r="U762" s="88"/>
      <c r="V762" s="88"/>
      <c r="W762" s="88"/>
      <c r="X762" s="88"/>
      <c r="Y762" s="115">
        <v>18.335999999999999</v>
      </c>
      <c r="Z762" s="88"/>
      <c r="AA762" s="116"/>
      <c r="AB762" s="116"/>
      <c r="AC762" s="88"/>
      <c r="AD762" s="88">
        <v>480</v>
      </c>
      <c r="AE762" s="88">
        <f t="shared" si="24"/>
        <v>320</v>
      </c>
      <c r="AF762" s="88">
        <v>200</v>
      </c>
      <c r="AG762" s="66">
        <f t="shared" si="22"/>
        <v>20.638416230366492</v>
      </c>
      <c r="AH762" s="143">
        <f t="shared" si="23"/>
        <v>1000</v>
      </c>
    </row>
    <row r="763" spans="1:34" s="118" customFormat="1" x14ac:dyDescent="0.3">
      <c r="A763" s="84">
        <v>803320</v>
      </c>
      <c r="B763" s="115">
        <v>8.3333333333333329E-2</v>
      </c>
      <c r="C763" s="115"/>
      <c r="D763" s="116">
        <v>7.04</v>
      </c>
      <c r="E763" s="1525">
        <v>0.21</v>
      </c>
      <c r="F763" s="89">
        <v>88.949999999999989</v>
      </c>
      <c r="G763" s="89"/>
      <c r="H763" s="89">
        <v>125.19</v>
      </c>
      <c r="I763" s="89">
        <v>118</v>
      </c>
      <c r="J763" s="117">
        <v>0.28670000000000001</v>
      </c>
      <c r="K763" s="115">
        <v>1.091</v>
      </c>
      <c r="L763" s="88">
        <v>147</v>
      </c>
      <c r="M763" s="88">
        <v>0.72</v>
      </c>
      <c r="N763" s="88">
        <v>0.69</v>
      </c>
      <c r="O763" s="88">
        <v>13.52</v>
      </c>
      <c r="P763" s="88">
        <v>6.3</v>
      </c>
      <c r="Q763" s="88"/>
      <c r="R763" s="116">
        <v>0.62287382319317852</v>
      </c>
      <c r="S763" s="115">
        <v>4.0999999999999996</v>
      </c>
      <c r="T763" s="88"/>
      <c r="U763" s="88"/>
      <c r="V763" s="88"/>
      <c r="W763" s="88"/>
      <c r="X763" s="88"/>
      <c r="Y763" s="115">
        <v>15.456</v>
      </c>
      <c r="Z763" s="88"/>
      <c r="AA763" s="116"/>
      <c r="AB763" s="116"/>
      <c r="AC763" s="88"/>
      <c r="AD763" s="88">
        <v>460</v>
      </c>
      <c r="AE763" s="88">
        <f t="shared" si="24"/>
        <v>320</v>
      </c>
      <c r="AF763" s="88">
        <v>220</v>
      </c>
      <c r="AG763" s="66">
        <f t="shared" si="22"/>
        <v>24.987965838509318</v>
      </c>
      <c r="AH763" s="143">
        <f t="shared" si="23"/>
        <v>1000</v>
      </c>
    </row>
    <row r="764" spans="1:34" s="118" customFormat="1" x14ac:dyDescent="0.3">
      <c r="A764" s="84">
        <v>803321</v>
      </c>
      <c r="B764" s="115">
        <v>8.3333333333333329E-2</v>
      </c>
      <c r="C764" s="115"/>
      <c r="D764" s="116">
        <v>6.53</v>
      </c>
      <c r="E764" s="1525">
        <v>0.28999999999999998</v>
      </c>
      <c r="F764" s="89">
        <v>144.75</v>
      </c>
      <c r="G764" s="89"/>
      <c r="H764" s="89">
        <v>97.5</v>
      </c>
      <c r="I764" s="89">
        <v>161</v>
      </c>
      <c r="J764" s="117">
        <v>0.29980000000000001</v>
      </c>
      <c r="K764" s="115">
        <v>0.94399999999999995</v>
      </c>
      <c r="L764" s="88">
        <v>134</v>
      </c>
      <c r="M764" s="88">
        <v>2.02</v>
      </c>
      <c r="N764" s="88">
        <v>1.36</v>
      </c>
      <c r="O764" s="88">
        <v>20.99</v>
      </c>
      <c r="P764" s="88">
        <v>22.89</v>
      </c>
      <c r="Q764" s="88"/>
      <c r="R764" s="116">
        <v>0.83637590411284024</v>
      </c>
      <c r="S764" s="115">
        <v>5.7</v>
      </c>
      <c r="T764" s="88"/>
      <c r="U764" s="88"/>
      <c r="V764" s="88"/>
      <c r="W764" s="88"/>
      <c r="X764" s="88"/>
      <c r="Y764" s="115">
        <v>13.992000000000001</v>
      </c>
      <c r="Z764" s="88"/>
      <c r="AA764" s="116"/>
      <c r="AB764" s="116"/>
      <c r="AC764" s="88"/>
      <c r="AD764" s="88">
        <v>440</v>
      </c>
      <c r="AE764" s="88">
        <f t="shared" si="24"/>
        <v>340</v>
      </c>
      <c r="AF764" s="88">
        <v>220</v>
      </c>
      <c r="AG764" s="66">
        <f t="shared" si="22"/>
        <v>23.883361921097769</v>
      </c>
      <c r="AH764" s="143">
        <f t="shared" si="23"/>
        <v>1000</v>
      </c>
    </row>
    <row r="765" spans="1:34" s="118" customFormat="1" x14ac:dyDescent="0.3">
      <c r="A765" s="84">
        <v>803322</v>
      </c>
      <c r="B765" s="115">
        <v>8.3333333333333329E-2</v>
      </c>
      <c r="C765" s="115"/>
      <c r="D765" s="116">
        <v>6.49</v>
      </c>
      <c r="E765" s="1525">
        <v>0.52</v>
      </c>
      <c r="F765" s="89">
        <v>373.25</v>
      </c>
      <c r="G765" s="89"/>
      <c r="H765" s="89">
        <v>72.17</v>
      </c>
      <c r="I765" s="89">
        <v>70</v>
      </c>
      <c r="J765" s="117">
        <v>0.56740000000000002</v>
      </c>
      <c r="K765" s="115">
        <v>1.0680000000000001</v>
      </c>
      <c r="L765" s="88">
        <v>172</v>
      </c>
      <c r="M765" s="88">
        <v>1.55</v>
      </c>
      <c r="N765" s="88">
        <v>1.1000000000000001</v>
      </c>
      <c r="O765" s="88">
        <v>28.24</v>
      </c>
      <c r="P765" s="88">
        <v>22.28</v>
      </c>
      <c r="Q765" s="88"/>
      <c r="R765" s="116">
        <v>0.66736760294125574</v>
      </c>
      <c r="S765" s="115">
        <v>4.8</v>
      </c>
      <c r="T765" s="88"/>
      <c r="U765" s="88"/>
      <c r="V765" s="88"/>
      <c r="W765" s="88"/>
      <c r="X765" s="88"/>
      <c r="Y765" s="115">
        <v>16.675999999999998</v>
      </c>
      <c r="Z765" s="88"/>
      <c r="AA765" s="116"/>
      <c r="AB765" s="116"/>
      <c r="AC765" s="88"/>
      <c r="AD765" s="88">
        <v>440</v>
      </c>
      <c r="AE765" s="88">
        <f t="shared" si="24"/>
        <v>340</v>
      </c>
      <c r="AF765" s="88">
        <v>220</v>
      </c>
      <c r="AG765" s="66">
        <f t="shared" si="22"/>
        <v>22.671623890621255</v>
      </c>
      <c r="AH765" s="143">
        <f t="shared" si="23"/>
        <v>1000</v>
      </c>
    </row>
    <row r="766" spans="1:34" s="118" customFormat="1" x14ac:dyDescent="0.3">
      <c r="A766" s="84">
        <v>803323</v>
      </c>
      <c r="B766" s="115">
        <v>0.11666666666666665</v>
      </c>
      <c r="C766" s="115"/>
      <c r="D766" s="116">
        <v>6.77</v>
      </c>
      <c r="E766" s="1525">
        <v>0.36</v>
      </c>
      <c r="F766" s="89">
        <v>220.9</v>
      </c>
      <c r="G766" s="89"/>
      <c r="H766" s="89">
        <v>108.26</v>
      </c>
      <c r="I766" s="89">
        <v>131</v>
      </c>
      <c r="J766" s="117">
        <v>0.38009999999999999</v>
      </c>
      <c r="K766" s="115">
        <v>0.90800000000000003</v>
      </c>
      <c r="L766" s="88">
        <v>146</v>
      </c>
      <c r="M766" s="88">
        <v>0.77</v>
      </c>
      <c r="N766" s="88">
        <v>1.1499999999999999</v>
      </c>
      <c r="O766" s="88">
        <v>14.73</v>
      </c>
      <c r="P766" s="88">
        <v>20.05</v>
      </c>
      <c r="Q766" s="88"/>
      <c r="R766" s="116">
        <v>0.94154985603205876</v>
      </c>
      <c r="S766" s="115">
        <v>6.7</v>
      </c>
      <c r="T766" s="88"/>
      <c r="U766" s="88"/>
      <c r="V766" s="88"/>
      <c r="W766" s="88"/>
      <c r="X766" s="88"/>
      <c r="Y766" s="115">
        <v>15.87</v>
      </c>
      <c r="Z766" s="88"/>
      <c r="AA766" s="116"/>
      <c r="AB766" s="116"/>
      <c r="AC766" s="88"/>
      <c r="AD766" s="88">
        <v>460</v>
      </c>
      <c r="AE766" s="88">
        <f t="shared" si="24"/>
        <v>340</v>
      </c>
      <c r="AF766" s="88">
        <v>200</v>
      </c>
      <c r="AG766" s="66">
        <f t="shared" si="22"/>
        <v>20.254064272211721</v>
      </c>
      <c r="AH766" s="143">
        <f t="shared" si="23"/>
        <v>1000</v>
      </c>
    </row>
    <row r="767" spans="1:34" s="118" customFormat="1" x14ac:dyDescent="0.3">
      <c r="A767" s="84">
        <v>803324</v>
      </c>
      <c r="B767" s="115">
        <v>0.1</v>
      </c>
      <c r="C767" s="115"/>
      <c r="D767" s="116">
        <v>7.01</v>
      </c>
      <c r="E767" s="1525">
        <v>0.38</v>
      </c>
      <c r="F767" s="89">
        <v>237.45000000000002</v>
      </c>
      <c r="G767" s="89"/>
      <c r="H767" s="89">
        <v>52.96</v>
      </c>
      <c r="I767" s="89">
        <v>104</v>
      </c>
      <c r="J767" s="117">
        <v>0.46329999999999999</v>
      </c>
      <c r="K767" s="115">
        <v>1.1399999999999999</v>
      </c>
      <c r="L767" s="88">
        <v>189</v>
      </c>
      <c r="M767" s="88">
        <v>0.55000000000000004</v>
      </c>
      <c r="N767" s="88">
        <v>0.71</v>
      </c>
      <c r="O767" s="88">
        <v>27.08</v>
      </c>
      <c r="P767" s="88">
        <v>15.49</v>
      </c>
      <c r="Q767" s="88"/>
      <c r="R767" s="116">
        <v>0.67507344253112544</v>
      </c>
      <c r="S767" s="115">
        <v>4.5</v>
      </c>
      <c r="T767" s="88"/>
      <c r="U767" s="88"/>
      <c r="V767" s="88"/>
      <c r="W767" s="88"/>
      <c r="X767" s="88"/>
      <c r="Y767" s="115">
        <v>15.8</v>
      </c>
      <c r="Z767" s="88"/>
      <c r="AA767" s="116"/>
      <c r="AB767" s="116"/>
      <c r="AC767" s="88"/>
      <c r="AD767" s="88">
        <v>400</v>
      </c>
      <c r="AE767" s="88">
        <f t="shared" si="24"/>
        <v>340</v>
      </c>
      <c r="AF767" s="88">
        <v>260</v>
      </c>
      <c r="AG767" s="66">
        <f t="shared" si="22"/>
        <v>25.54177215189873</v>
      </c>
      <c r="AH767" s="143">
        <f t="shared" si="23"/>
        <v>1000</v>
      </c>
    </row>
    <row r="768" spans="1:34" s="118" customFormat="1" x14ac:dyDescent="0.3">
      <c r="A768" s="84">
        <v>803325</v>
      </c>
      <c r="B768" s="115">
        <v>3.3333333333333333E-2</v>
      </c>
      <c r="C768" s="115"/>
      <c r="D768" s="116">
        <v>6.87</v>
      </c>
      <c r="E768" s="1525">
        <v>0.11</v>
      </c>
      <c r="F768" s="89">
        <v>58.25</v>
      </c>
      <c r="G768" s="89"/>
      <c r="H768" s="89">
        <v>149.72999999999999</v>
      </c>
      <c r="I768" s="89">
        <v>77</v>
      </c>
      <c r="J768" s="117">
        <v>0.16270000000000001</v>
      </c>
      <c r="K768" s="115">
        <v>0.73499999999999999</v>
      </c>
      <c r="L768" s="88">
        <v>111</v>
      </c>
      <c r="M768" s="88">
        <v>0.8</v>
      </c>
      <c r="N768" s="88">
        <v>0.41</v>
      </c>
      <c r="O768" s="88">
        <v>14.55</v>
      </c>
      <c r="P768" s="88">
        <v>19.8</v>
      </c>
      <c r="Q768" s="88"/>
      <c r="R768" s="116">
        <v>0.93790425840983482</v>
      </c>
      <c r="S768" s="115">
        <v>6.7</v>
      </c>
      <c r="T768" s="88"/>
      <c r="U768" s="88"/>
      <c r="V768" s="88"/>
      <c r="W768" s="88"/>
      <c r="X768" s="88"/>
      <c r="Y768" s="115">
        <v>16.456</v>
      </c>
      <c r="Z768" s="88"/>
      <c r="AA768" s="116"/>
      <c r="AB768" s="116"/>
      <c r="AC768" s="88"/>
      <c r="AD768" s="88">
        <v>440</v>
      </c>
      <c r="AE768" s="88">
        <f t="shared" si="24"/>
        <v>280</v>
      </c>
      <c r="AF768" s="88">
        <v>280</v>
      </c>
      <c r="AG768" s="66">
        <f t="shared" si="22"/>
        <v>15.811254253767624</v>
      </c>
      <c r="AH768" s="143">
        <f t="shared" si="23"/>
        <v>1000</v>
      </c>
    </row>
    <row r="769" spans="1:34" s="118" customFormat="1" x14ac:dyDescent="0.3">
      <c r="A769" s="84">
        <v>803326</v>
      </c>
      <c r="B769" s="115">
        <v>6.6666666666666666E-2</v>
      </c>
      <c r="C769" s="115"/>
      <c r="D769" s="116">
        <v>6.38</v>
      </c>
      <c r="E769" s="1525">
        <v>0.2</v>
      </c>
      <c r="F769" s="89">
        <v>110.45</v>
      </c>
      <c r="G769" s="89"/>
      <c r="H769" s="89">
        <v>56.16</v>
      </c>
      <c r="I769" s="89">
        <v>66</v>
      </c>
      <c r="J769" s="117">
        <v>0.25169999999999998</v>
      </c>
      <c r="K769" s="115">
        <v>0.86799999999999999</v>
      </c>
      <c r="L769" s="88">
        <v>143</v>
      </c>
      <c r="M769" s="88">
        <v>0.39</v>
      </c>
      <c r="N769" s="88">
        <v>0.41</v>
      </c>
      <c r="O769" s="88">
        <v>23.45</v>
      </c>
      <c r="P769" s="88">
        <v>19.48</v>
      </c>
      <c r="Q769" s="88"/>
      <c r="R769" s="116">
        <v>0.74797355425171308</v>
      </c>
      <c r="S769" s="115">
        <v>4.9000000000000004</v>
      </c>
      <c r="T769" s="88"/>
      <c r="U769" s="88"/>
      <c r="V769" s="88"/>
      <c r="W769" s="88"/>
      <c r="X769" s="88"/>
      <c r="Y769" s="115">
        <v>13.948</v>
      </c>
      <c r="Z769" s="88"/>
      <c r="AA769" s="116"/>
      <c r="AB769" s="116"/>
      <c r="AC769" s="88"/>
      <c r="AD769" s="88">
        <v>440</v>
      </c>
      <c r="AE769" s="88">
        <f t="shared" si="24"/>
        <v>300</v>
      </c>
      <c r="AF769" s="88">
        <v>260</v>
      </c>
      <c r="AG769" s="66">
        <f t="shared" si="22"/>
        <v>22.029825064525379</v>
      </c>
      <c r="AH769" s="143">
        <f t="shared" si="23"/>
        <v>1000</v>
      </c>
    </row>
    <row r="770" spans="1:34" s="118" customFormat="1" x14ac:dyDescent="0.3">
      <c r="A770" s="84">
        <v>803327</v>
      </c>
      <c r="B770" s="115">
        <v>0.16666666666666666</v>
      </c>
      <c r="C770" s="115"/>
      <c r="D770" s="116">
        <v>7.04</v>
      </c>
      <c r="E770" s="1525">
        <v>0.06</v>
      </c>
      <c r="F770" s="89">
        <v>50.85</v>
      </c>
      <c r="G770" s="89"/>
      <c r="H770" s="89">
        <v>22.87</v>
      </c>
      <c r="I770" s="89">
        <v>75</v>
      </c>
      <c r="J770" s="117">
        <v>4.36E-2</v>
      </c>
      <c r="K770" s="115">
        <v>1.764</v>
      </c>
      <c r="L770" s="88">
        <v>239</v>
      </c>
      <c r="M770" s="88">
        <v>0.93</v>
      </c>
      <c r="N770" s="88">
        <v>0.96</v>
      </c>
      <c r="O770" s="88">
        <v>26.44</v>
      </c>
      <c r="P770" s="88">
        <v>18.100000000000001</v>
      </c>
      <c r="Q770" s="88"/>
      <c r="R770" s="116">
        <v>1.6407</v>
      </c>
      <c r="S770" s="115">
        <v>12</v>
      </c>
      <c r="T770" s="88"/>
      <c r="U770" s="88"/>
      <c r="V770" s="88"/>
      <c r="W770" s="88"/>
      <c r="X770" s="88"/>
      <c r="Y770" s="115">
        <v>13.507999999999999</v>
      </c>
      <c r="Z770" s="88"/>
      <c r="AA770" s="116"/>
      <c r="AB770" s="116"/>
      <c r="AC770" s="88"/>
      <c r="AD770" s="88">
        <v>440</v>
      </c>
      <c r="AE770" s="88">
        <f t="shared" si="24"/>
        <v>280</v>
      </c>
      <c r="AF770" s="88">
        <v>280</v>
      </c>
      <c r="AG770" s="66">
        <f t="shared" ref="AG770:AG833" si="25">+K770*3.54*100/Y770</f>
        <v>46.228605270950553</v>
      </c>
      <c r="AH770" s="143">
        <f t="shared" ref="AH770:AH833" si="26">+SUM(AD770:AF770)</f>
        <v>1000</v>
      </c>
    </row>
    <row r="771" spans="1:34" s="118" customFormat="1" x14ac:dyDescent="0.3">
      <c r="A771" s="84">
        <v>803328</v>
      </c>
      <c r="B771" s="115">
        <v>8.3333333333333329E-2</v>
      </c>
      <c r="C771" s="115"/>
      <c r="D771" s="116">
        <v>7.22</v>
      </c>
      <c r="E771" s="1525">
        <v>0.06</v>
      </c>
      <c r="F771" s="89">
        <v>34.1</v>
      </c>
      <c r="G771" s="89"/>
      <c r="H771" s="89">
        <v>31.43</v>
      </c>
      <c r="I771" s="89">
        <v>97</v>
      </c>
      <c r="J771" s="117">
        <v>5.3199999999999997E-2</v>
      </c>
      <c r="K771" s="115">
        <v>2.1</v>
      </c>
      <c r="L771" s="88">
        <v>292</v>
      </c>
      <c r="M771" s="88">
        <v>1.06</v>
      </c>
      <c r="N771" s="88">
        <v>1.1299999999999999</v>
      </c>
      <c r="O771" s="88">
        <v>33.520000000000003</v>
      </c>
      <c r="P771" s="88">
        <v>19.78</v>
      </c>
      <c r="Q771" s="88"/>
      <c r="R771" s="116">
        <v>1.6631279999999999</v>
      </c>
      <c r="S771" s="115">
        <v>12.6</v>
      </c>
      <c r="T771" s="88"/>
      <c r="U771" s="88"/>
      <c r="V771" s="88"/>
      <c r="W771" s="88"/>
      <c r="X771" s="88"/>
      <c r="Y771" s="115">
        <v>16.5</v>
      </c>
      <c r="Z771" s="88"/>
      <c r="AA771" s="116"/>
      <c r="AB771" s="116"/>
      <c r="AC771" s="88"/>
      <c r="AD771" s="88">
        <v>440</v>
      </c>
      <c r="AE771" s="88">
        <f t="shared" si="24"/>
        <v>260</v>
      </c>
      <c r="AF771" s="88">
        <v>300</v>
      </c>
      <c r="AG771" s="66">
        <f t="shared" si="25"/>
        <v>45.054545454545455</v>
      </c>
      <c r="AH771" s="143">
        <f t="shared" si="26"/>
        <v>1000</v>
      </c>
    </row>
    <row r="772" spans="1:34" s="118" customFormat="1" x14ac:dyDescent="0.3">
      <c r="A772" s="84">
        <v>803329</v>
      </c>
      <c r="B772" s="115">
        <v>0.11666666666666665</v>
      </c>
      <c r="C772" s="115"/>
      <c r="D772" s="116">
        <v>7.29</v>
      </c>
      <c r="E772" s="1525">
        <v>7.0000000000000007E-2</v>
      </c>
      <c r="F772" s="89">
        <v>40.549999999999997</v>
      </c>
      <c r="G772" s="89"/>
      <c r="H772" s="89">
        <v>70.94</v>
      </c>
      <c r="I772" s="89">
        <v>95</v>
      </c>
      <c r="J772" s="117">
        <v>2.5600000000000001E-2</v>
      </c>
      <c r="K772" s="115">
        <v>1.1919999999999999</v>
      </c>
      <c r="L772" s="88">
        <v>148</v>
      </c>
      <c r="M772" s="88">
        <v>0.92</v>
      </c>
      <c r="N772" s="88">
        <v>0.77</v>
      </c>
      <c r="O772" s="88">
        <v>13.77</v>
      </c>
      <c r="P772" s="88">
        <v>16.5</v>
      </c>
      <c r="Q772" s="88"/>
      <c r="R772" s="116">
        <v>1.6557080000000002</v>
      </c>
      <c r="S772" s="115">
        <v>12.4</v>
      </c>
      <c r="T772" s="88"/>
      <c r="U772" s="88"/>
      <c r="V772" s="88"/>
      <c r="W772" s="88"/>
      <c r="X772" s="88"/>
      <c r="Y772" s="115">
        <v>16.001999999999999</v>
      </c>
      <c r="Z772" s="88"/>
      <c r="AA772" s="116"/>
      <c r="AB772" s="116"/>
      <c r="AC772" s="88"/>
      <c r="AD772" s="88">
        <v>420</v>
      </c>
      <c r="AE772" s="88">
        <f t="shared" si="24"/>
        <v>260</v>
      </c>
      <c r="AF772" s="88">
        <v>320</v>
      </c>
      <c r="AG772" s="66">
        <f t="shared" si="25"/>
        <v>26.369703787026619</v>
      </c>
      <c r="AH772" s="143">
        <f t="shared" si="26"/>
        <v>1000</v>
      </c>
    </row>
    <row r="773" spans="1:34" s="118" customFormat="1" x14ac:dyDescent="0.3">
      <c r="A773" s="84">
        <v>803330</v>
      </c>
      <c r="B773" s="115">
        <v>0.26666666666666666</v>
      </c>
      <c r="C773" s="115"/>
      <c r="D773" s="116">
        <v>7.35</v>
      </c>
      <c r="E773" s="1525">
        <v>0.08</v>
      </c>
      <c r="F773" s="89">
        <v>46.2</v>
      </c>
      <c r="G773" s="89"/>
      <c r="H773" s="89">
        <v>27.82</v>
      </c>
      <c r="I773" s="89">
        <v>60</v>
      </c>
      <c r="J773" s="117">
        <v>4.02E-2</v>
      </c>
      <c r="K773" s="115">
        <v>0.87</v>
      </c>
      <c r="L773" s="88">
        <v>117</v>
      </c>
      <c r="M773" s="88">
        <v>0.37</v>
      </c>
      <c r="N773" s="88">
        <v>0.62</v>
      </c>
      <c r="O773" s="88">
        <v>25.07</v>
      </c>
      <c r="P773" s="88">
        <v>16.440000000000001</v>
      </c>
      <c r="Q773" s="88"/>
      <c r="R773" s="116">
        <v>1.1047558240122495</v>
      </c>
      <c r="S773" s="115">
        <v>8.1999999999999993</v>
      </c>
      <c r="T773" s="88"/>
      <c r="U773" s="88"/>
      <c r="V773" s="88"/>
      <c r="W773" s="88"/>
      <c r="X773" s="88"/>
      <c r="Y773" s="115">
        <v>15.08</v>
      </c>
      <c r="Z773" s="88"/>
      <c r="AA773" s="116"/>
      <c r="AB773" s="116"/>
      <c r="AC773" s="88"/>
      <c r="AD773" s="88">
        <v>400</v>
      </c>
      <c r="AE773" s="88">
        <f t="shared" si="24"/>
        <v>300</v>
      </c>
      <c r="AF773" s="88">
        <v>300</v>
      </c>
      <c r="AG773" s="66">
        <f t="shared" si="25"/>
        <v>20.423076923076923</v>
      </c>
      <c r="AH773" s="143">
        <f t="shared" si="26"/>
        <v>1000</v>
      </c>
    </row>
    <row r="774" spans="1:34" s="118" customFormat="1" x14ac:dyDescent="0.3">
      <c r="A774" s="84">
        <v>803331</v>
      </c>
      <c r="B774" s="115">
        <v>1.3666666666666665</v>
      </c>
      <c r="C774" s="115"/>
      <c r="D774" s="116">
        <v>7.14</v>
      </c>
      <c r="E774" s="1525">
        <v>0.34</v>
      </c>
      <c r="F774" s="89">
        <v>187.39999999999998</v>
      </c>
      <c r="G774" s="89"/>
      <c r="H774" s="89">
        <v>209.37</v>
      </c>
      <c r="I774" s="89">
        <v>316</v>
      </c>
      <c r="J774" s="117">
        <v>0.14019999999999999</v>
      </c>
      <c r="K774" s="115">
        <v>3.093</v>
      </c>
      <c r="L774" s="88">
        <v>340</v>
      </c>
      <c r="M774" s="88">
        <v>2.15</v>
      </c>
      <c r="N774" s="88">
        <v>0.6</v>
      </c>
      <c r="O774" s="88">
        <v>3.2</v>
      </c>
      <c r="P774" s="88">
        <v>5.56</v>
      </c>
      <c r="Q774" s="88"/>
      <c r="R774" s="116">
        <v>1.6138970000000001</v>
      </c>
      <c r="S774" s="115">
        <v>11.3</v>
      </c>
      <c r="T774" s="88"/>
      <c r="U774" s="88"/>
      <c r="V774" s="88"/>
      <c r="W774" s="88"/>
      <c r="X774" s="88"/>
      <c r="Y774" s="115">
        <v>11.742000000000001</v>
      </c>
      <c r="Z774" s="88"/>
      <c r="AA774" s="116"/>
      <c r="AB774" s="116"/>
      <c r="AC774" s="88"/>
      <c r="AD774" s="88">
        <v>380</v>
      </c>
      <c r="AE774" s="88">
        <f t="shared" si="24"/>
        <v>520</v>
      </c>
      <c r="AF774" s="88">
        <v>100</v>
      </c>
      <c r="AG774" s="66">
        <f t="shared" si="25"/>
        <v>93.248339294839028</v>
      </c>
      <c r="AH774" s="143">
        <f t="shared" si="26"/>
        <v>1000</v>
      </c>
    </row>
    <row r="775" spans="1:34" s="118" customFormat="1" x14ac:dyDescent="0.3">
      <c r="A775" s="84">
        <v>803332</v>
      </c>
      <c r="B775" s="115">
        <v>1.1666666666666667</v>
      </c>
      <c r="C775" s="115"/>
      <c r="D775" s="116">
        <v>7.31</v>
      </c>
      <c r="E775" s="1525">
        <v>0.28000000000000003</v>
      </c>
      <c r="F775" s="89">
        <v>116</v>
      </c>
      <c r="G775" s="89"/>
      <c r="H775" s="89">
        <v>368.95</v>
      </c>
      <c r="I775" s="89">
        <v>527</v>
      </c>
      <c r="J775" s="117">
        <v>0.1193</v>
      </c>
      <c r="K775" s="115">
        <v>3.56</v>
      </c>
      <c r="L775" s="88">
        <v>533</v>
      </c>
      <c r="M775" s="88">
        <v>2.08</v>
      </c>
      <c r="N775" s="88">
        <v>0.57999999999999996</v>
      </c>
      <c r="O775" s="88">
        <v>3.08</v>
      </c>
      <c r="P775" s="88">
        <v>5.0199999999999996</v>
      </c>
      <c r="Q775" s="88"/>
      <c r="R775" s="116">
        <v>1.6557080000000002</v>
      </c>
      <c r="S775" s="115">
        <v>12.4</v>
      </c>
      <c r="T775" s="88"/>
      <c r="U775" s="88"/>
      <c r="V775" s="88"/>
      <c r="W775" s="88"/>
      <c r="X775" s="88"/>
      <c r="Y775" s="115">
        <v>14.4</v>
      </c>
      <c r="Z775" s="88"/>
      <c r="AA775" s="116"/>
      <c r="AB775" s="116"/>
      <c r="AC775" s="88"/>
      <c r="AD775" s="88">
        <v>360</v>
      </c>
      <c r="AE775" s="88">
        <f t="shared" si="24"/>
        <v>520</v>
      </c>
      <c r="AF775" s="88">
        <v>120</v>
      </c>
      <c r="AG775" s="66">
        <f t="shared" si="25"/>
        <v>87.516666666666666</v>
      </c>
      <c r="AH775" s="143">
        <f t="shared" si="26"/>
        <v>1000</v>
      </c>
    </row>
    <row r="776" spans="1:34" s="118" customFormat="1" x14ac:dyDescent="0.3">
      <c r="A776" s="84">
        <v>803333</v>
      </c>
      <c r="B776" s="115">
        <v>1.1166666666666667</v>
      </c>
      <c r="C776" s="115"/>
      <c r="D776" s="116">
        <v>7.26</v>
      </c>
      <c r="E776" s="1525">
        <v>1.1299999999999999</v>
      </c>
      <c r="F776" s="89">
        <v>719.30000000000007</v>
      </c>
      <c r="G776" s="89"/>
      <c r="H776" s="89">
        <v>373.58</v>
      </c>
      <c r="I776" s="89">
        <v>1692</v>
      </c>
      <c r="J776" s="117">
        <v>0.55759999999999998</v>
      </c>
      <c r="K776" s="115">
        <v>4.2050000000000001</v>
      </c>
      <c r="L776" s="88">
        <v>825</v>
      </c>
      <c r="M776" s="88">
        <v>2.87</v>
      </c>
      <c r="N776" s="88">
        <v>0.67</v>
      </c>
      <c r="O776" s="88">
        <v>4.42</v>
      </c>
      <c r="P776" s="88">
        <v>4.3099999999999996</v>
      </c>
      <c r="Q776" s="88"/>
      <c r="R776" s="116">
        <v>1.7135000000000002</v>
      </c>
      <c r="S776" s="115">
        <v>14</v>
      </c>
      <c r="T776" s="88"/>
      <c r="U776" s="88"/>
      <c r="V776" s="88"/>
      <c r="W776" s="88"/>
      <c r="X776" s="88"/>
      <c r="Y776" s="115">
        <v>11.304</v>
      </c>
      <c r="Z776" s="88"/>
      <c r="AA776" s="116"/>
      <c r="AB776" s="116"/>
      <c r="AC776" s="88"/>
      <c r="AD776" s="88">
        <v>360</v>
      </c>
      <c r="AE776" s="88">
        <f t="shared" si="24"/>
        <v>540</v>
      </c>
      <c r="AF776" s="88">
        <v>100</v>
      </c>
      <c r="AG776" s="66">
        <f t="shared" si="25"/>
        <v>131.68524416135881</v>
      </c>
      <c r="AH776" s="143">
        <f t="shared" si="26"/>
        <v>1000</v>
      </c>
    </row>
    <row r="777" spans="1:34" s="118" customFormat="1" x14ac:dyDescent="0.3">
      <c r="A777" s="84">
        <v>803334</v>
      </c>
      <c r="B777" s="115">
        <v>37.5</v>
      </c>
      <c r="C777" s="115">
        <v>15.5</v>
      </c>
      <c r="D777" s="116">
        <v>8.64</v>
      </c>
      <c r="E777" s="1525">
        <v>0.22</v>
      </c>
      <c r="F777" s="89">
        <v>101.35</v>
      </c>
      <c r="G777" s="89"/>
      <c r="H777" s="89">
        <v>41.71</v>
      </c>
      <c r="I777" s="89">
        <v>528</v>
      </c>
      <c r="J777" s="117">
        <v>0.1333</v>
      </c>
      <c r="K777" s="115">
        <v>8.0820000000000007</v>
      </c>
      <c r="L777" s="88">
        <v>666</v>
      </c>
      <c r="M777" s="88">
        <v>1.39</v>
      </c>
      <c r="N777" s="88">
        <v>1.8</v>
      </c>
      <c r="O777" s="88">
        <v>5.79</v>
      </c>
      <c r="P777" s="88">
        <v>3.25</v>
      </c>
      <c r="Q777" s="88"/>
      <c r="R777" s="116">
        <v>1.080378906673412</v>
      </c>
      <c r="S777" s="115">
        <v>7.7</v>
      </c>
      <c r="T777" s="88"/>
      <c r="U777" s="88"/>
      <c r="V777" s="88"/>
      <c r="W777" s="88"/>
      <c r="X777" s="88"/>
      <c r="Y777" s="115">
        <v>19.768000000000001</v>
      </c>
      <c r="Z777" s="88"/>
      <c r="AA777" s="116"/>
      <c r="AB777" s="116"/>
      <c r="AC777" s="88"/>
      <c r="AD777" s="88">
        <v>560</v>
      </c>
      <c r="AE777" s="88">
        <f t="shared" si="24"/>
        <v>320</v>
      </c>
      <c r="AF777" s="88">
        <v>120</v>
      </c>
      <c r="AG777" s="66">
        <f t="shared" si="25"/>
        <v>144.73027114528531</v>
      </c>
      <c r="AH777" s="143">
        <f t="shared" si="26"/>
        <v>1000</v>
      </c>
    </row>
    <row r="778" spans="1:34" s="118" customFormat="1" x14ac:dyDescent="0.3">
      <c r="A778" s="84">
        <v>803335</v>
      </c>
      <c r="B778" s="115">
        <v>31</v>
      </c>
      <c r="C778" s="115">
        <v>10</v>
      </c>
      <c r="D778" s="116">
        <v>8.6999999999999993</v>
      </c>
      <c r="E778" s="1525">
        <v>0.28000000000000003</v>
      </c>
      <c r="F778" s="89">
        <v>96.4</v>
      </c>
      <c r="G778" s="89"/>
      <c r="H778" s="89">
        <v>14.41</v>
      </c>
      <c r="I778" s="89">
        <v>291</v>
      </c>
      <c r="J778" s="117">
        <v>0.1817</v>
      </c>
      <c r="K778" s="115">
        <v>10.733000000000001</v>
      </c>
      <c r="L778" s="88">
        <v>1047</v>
      </c>
      <c r="M778" s="88">
        <v>0.32</v>
      </c>
      <c r="N778" s="88">
        <v>1.2</v>
      </c>
      <c r="O778" s="88">
        <v>1.52</v>
      </c>
      <c r="P778" s="88">
        <v>5.52</v>
      </c>
      <c r="Q778" s="88"/>
      <c r="R778" s="116">
        <v>1.0325991447333145</v>
      </c>
      <c r="S778" s="115">
        <v>7.5</v>
      </c>
      <c r="T778" s="88"/>
      <c r="U778" s="88"/>
      <c r="V778" s="88"/>
      <c r="W778" s="88"/>
      <c r="X778" s="88"/>
      <c r="Y778" s="115">
        <v>26.928000000000001</v>
      </c>
      <c r="Z778" s="88"/>
      <c r="AA778" s="116"/>
      <c r="AB778" s="116"/>
      <c r="AC778" s="88"/>
      <c r="AD778" s="88">
        <v>680</v>
      </c>
      <c r="AE778" s="88">
        <f t="shared" si="24"/>
        <v>200</v>
      </c>
      <c r="AF778" s="88">
        <v>120</v>
      </c>
      <c r="AG778" s="66">
        <f t="shared" si="25"/>
        <v>141.09781639928701</v>
      </c>
      <c r="AH778" s="143">
        <f t="shared" si="26"/>
        <v>1000</v>
      </c>
    </row>
    <row r="779" spans="1:34" s="118" customFormat="1" x14ac:dyDescent="0.3">
      <c r="A779" s="84">
        <v>803358</v>
      </c>
      <c r="B779" s="115">
        <v>13.3</v>
      </c>
      <c r="C779" s="115">
        <v>1.88</v>
      </c>
      <c r="D779" s="86">
        <v>7.88</v>
      </c>
      <c r="E779" s="99">
        <v>0.19</v>
      </c>
      <c r="F779" s="84">
        <v>77.95</v>
      </c>
      <c r="G779" s="83"/>
      <c r="H779" s="84">
        <v>45</v>
      </c>
      <c r="I779" s="84">
        <v>155</v>
      </c>
      <c r="J779" s="85">
        <v>0.105</v>
      </c>
      <c r="K779" s="87">
        <v>6.07</v>
      </c>
      <c r="L779" s="83">
        <v>380</v>
      </c>
      <c r="M779" s="88">
        <v>2.84</v>
      </c>
      <c r="N779" s="88">
        <v>1.05</v>
      </c>
      <c r="O779" s="88">
        <v>3.78</v>
      </c>
      <c r="P779" s="88">
        <v>6.5</v>
      </c>
      <c r="Q779" s="88"/>
      <c r="R779" s="116">
        <v>0.90962501375360816</v>
      </c>
      <c r="S779" s="115">
        <v>6.3</v>
      </c>
      <c r="T779" s="88"/>
      <c r="U779" s="88"/>
      <c r="V779" s="88"/>
      <c r="W779" s="88"/>
      <c r="X779" s="88"/>
      <c r="Y779" s="115">
        <v>6.3</v>
      </c>
      <c r="Z779" s="88"/>
      <c r="AA779" s="116"/>
      <c r="AB779" s="116"/>
      <c r="AC779" s="88"/>
      <c r="AD779" s="88">
        <v>140</v>
      </c>
      <c r="AE779" s="88">
        <v>380</v>
      </c>
      <c r="AF779" s="88">
        <v>480</v>
      </c>
      <c r="AG779" s="66">
        <f t="shared" si="25"/>
        <v>341.0761904761905</v>
      </c>
      <c r="AH779" s="143">
        <f t="shared" si="26"/>
        <v>1000</v>
      </c>
    </row>
    <row r="780" spans="1:34" s="118" customFormat="1" x14ac:dyDescent="0.3">
      <c r="A780" s="84">
        <v>802914</v>
      </c>
      <c r="B780" s="115">
        <v>0.16666666666666666</v>
      </c>
      <c r="C780" s="115"/>
      <c r="D780" s="86">
        <v>7.12</v>
      </c>
      <c r="E780" s="99">
        <v>0.17469999999999999</v>
      </c>
      <c r="F780" s="84">
        <v>436.34999999999997</v>
      </c>
      <c r="G780" s="83"/>
      <c r="H780" s="84">
        <v>151.4</v>
      </c>
      <c r="I780" s="84">
        <v>76</v>
      </c>
      <c r="J780" s="85">
        <v>7.5999999999999998E-2</v>
      </c>
      <c r="K780" s="87">
        <v>1.26</v>
      </c>
      <c r="L780" s="83">
        <v>130</v>
      </c>
      <c r="M780" s="88">
        <v>1.55</v>
      </c>
      <c r="N780" s="88">
        <v>1.06</v>
      </c>
      <c r="O780" s="88">
        <v>9.7200000000000006</v>
      </c>
      <c r="P780" s="88">
        <v>27.52</v>
      </c>
      <c r="Q780" s="88"/>
      <c r="R780" s="116">
        <v>0.72067567065195626</v>
      </c>
      <c r="S780" s="115">
        <v>5.4</v>
      </c>
      <c r="T780" s="88"/>
      <c r="U780" s="88"/>
      <c r="V780" s="88"/>
      <c r="W780" s="88"/>
      <c r="X780" s="88"/>
      <c r="Y780" s="115">
        <f>AD780*0.07</f>
        <v>7.0000000000000009</v>
      </c>
      <c r="Z780" s="88"/>
      <c r="AA780" s="116"/>
      <c r="AB780" s="116"/>
      <c r="AC780" s="88"/>
      <c r="AD780" s="88">
        <v>100</v>
      </c>
      <c r="AE780" s="88">
        <v>80</v>
      </c>
      <c r="AF780" s="88">
        <v>820</v>
      </c>
      <c r="AG780" s="66">
        <f t="shared" si="25"/>
        <v>63.719999999999985</v>
      </c>
      <c r="AH780" s="143">
        <f t="shared" si="26"/>
        <v>1000</v>
      </c>
    </row>
    <row r="781" spans="1:34" s="118" customFormat="1" x14ac:dyDescent="0.3">
      <c r="A781" s="84">
        <v>802915</v>
      </c>
      <c r="B781" s="115">
        <v>0.11666666666666665</v>
      </c>
      <c r="C781" s="115"/>
      <c r="D781" s="86">
        <v>7.07</v>
      </c>
      <c r="E781" s="99">
        <v>0.11</v>
      </c>
      <c r="F781" s="84">
        <v>489.09999999999997</v>
      </c>
      <c r="G781" s="83"/>
      <c r="H781" s="84">
        <v>152.58000000000001</v>
      </c>
      <c r="I781" s="84">
        <v>82</v>
      </c>
      <c r="J781" s="85">
        <v>4.1000000000000002E-2</v>
      </c>
      <c r="K781" s="87">
        <v>1.1499999999999999</v>
      </c>
      <c r="L781" s="83">
        <v>110</v>
      </c>
      <c r="M781" s="88">
        <v>1.23</v>
      </c>
      <c r="N781" s="88">
        <v>1.17</v>
      </c>
      <c r="O781" s="88">
        <v>8.4600000000000009</v>
      </c>
      <c r="P781" s="88">
        <v>26.43</v>
      </c>
      <c r="Q781" s="88"/>
      <c r="R781" s="116">
        <v>0.52297199207896006</v>
      </c>
      <c r="S781" s="115">
        <v>3.5</v>
      </c>
      <c r="T781" s="88"/>
      <c r="U781" s="88"/>
      <c r="V781" s="88"/>
      <c r="W781" s="88"/>
      <c r="X781" s="88"/>
      <c r="Y781" s="115">
        <f t="shared" ref="Y781:Y837" si="27">AD781*0.07</f>
        <v>5.6000000000000005</v>
      </c>
      <c r="Z781" s="88"/>
      <c r="AA781" s="116"/>
      <c r="AB781" s="116"/>
      <c r="AC781" s="88"/>
      <c r="AD781" s="88">
        <v>80</v>
      </c>
      <c r="AE781" s="88">
        <v>80</v>
      </c>
      <c r="AF781" s="88">
        <v>840</v>
      </c>
      <c r="AG781" s="66">
        <f t="shared" si="25"/>
        <v>72.696428571428555</v>
      </c>
      <c r="AH781" s="143">
        <f t="shared" si="26"/>
        <v>1000</v>
      </c>
    </row>
    <row r="782" spans="1:34" s="118" customFormat="1" x14ac:dyDescent="0.3">
      <c r="A782" s="84">
        <v>802916</v>
      </c>
      <c r="B782" s="115">
        <v>0.13333333333333333</v>
      </c>
      <c r="C782" s="115"/>
      <c r="D782" s="86">
        <v>7.74</v>
      </c>
      <c r="E782" s="99">
        <v>6.6000000000000003E-2</v>
      </c>
      <c r="F782" s="84">
        <v>456</v>
      </c>
      <c r="G782" s="83"/>
      <c r="H782" s="84">
        <v>73.78</v>
      </c>
      <c r="I782" s="84">
        <v>61</v>
      </c>
      <c r="J782" s="85">
        <v>6.0999999999999999E-2</v>
      </c>
      <c r="K782" s="87">
        <v>1.37</v>
      </c>
      <c r="L782" s="83">
        <v>180</v>
      </c>
      <c r="M782" s="88">
        <v>1.18</v>
      </c>
      <c r="N782" s="88">
        <v>0.31</v>
      </c>
      <c r="O782" s="88">
        <v>9.42</v>
      </c>
      <c r="P782" s="88">
        <v>11.87</v>
      </c>
      <c r="Q782" s="88"/>
      <c r="R782" s="116">
        <v>0.63047692574845016</v>
      </c>
      <c r="S782" s="115">
        <v>4.7</v>
      </c>
      <c r="T782" s="88"/>
      <c r="U782" s="88"/>
      <c r="V782" s="88"/>
      <c r="W782" s="88"/>
      <c r="X782" s="88"/>
      <c r="Y782" s="115">
        <f t="shared" si="27"/>
        <v>5.6000000000000005</v>
      </c>
      <c r="Z782" s="88"/>
      <c r="AA782" s="116"/>
      <c r="AB782" s="116"/>
      <c r="AC782" s="88"/>
      <c r="AD782" s="88">
        <v>80</v>
      </c>
      <c r="AE782" s="88">
        <v>60</v>
      </c>
      <c r="AF782" s="88">
        <v>860</v>
      </c>
      <c r="AG782" s="66">
        <f t="shared" si="25"/>
        <v>86.603571428571428</v>
      </c>
      <c r="AH782" s="143">
        <f t="shared" si="26"/>
        <v>1000</v>
      </c>
    </row>
    <row r="783" spans="1:34" s="118" customFormat="1" x14ac:dyDescent="0.3">
      <c r="A783" s="84">
        <v>802917</v>
      </c>
      <c r="B783" s="115">
        <v>0.13333333333333333</v>
      </c>
      <c r="C783" s="115"/>
      <c r="D783" s="86">
        <v>8.02</v>
      </c>
      <c r="E783" s="99">
        <v>6.4000000000000001E-2</v>
      </c>
      <c r="F783" s="84">
        <v>452.25</v>
      </c>
      <c r="G783" s="83"/>
      <c r="H783" s="84">
        <v>71.03</v>
      </c>
      <c r="I783" s="84">
        <v>54</v>
      </c>
      <c r="J783" s="85">
        <v>5.0999999999999997E-2</v>
      </c>
      <c r="K783" s="87">
        <v>1.3</v>
      </c>
      <c r="L783" s="83">
        <v>170</v>
      </c>
      <c r="M783" s="88">
        <v>0.78</v>
      </c>
      <c r="N783" s="88">
        <v>0.32</v>
      </c>
      <c r="O783" s="88">
        <v>9.17</v>
      </c>
      <c r="P783" s="88">
        <v>14.85</v>
      </c>
      <c r="Q783" s="88"/>
      <c r="R783" s="116">
        <v>0.66057794204130804</v>
      </c>
      <c r="S783" s="115">
        <v>4.5</v>
      </c>
      <c r="T783" s="88"/>
      <c r="U783" s="88"/>
      <c r="V783" s="88"/>
      <c r="W783" s="88"/>
      <c r="X783" s="88"/>
      <c r="Y783" s="115">
        <f t="shared" si="27"/>
        <v>5.6000000000000005</v>
      </c>
      <c r="Z783" s="88"/>
      <c r="AA783" s="116"/>
      <c r="AB783" s="116"/>
      <c r="AC783" s="88"/>
      <c r="AD783" s="88">
        <v>80</v>
      </c>
      <c r="AE783" s="88">
        <v>80</v>
      </c>
      <c r="AF783" s="88">
        <v>840</v>
      </c>
      <c r="AG783" s="66">
        <f t="shared" si="25"/>
        <v>82.178571428571431</v>
      </c>
      <c r="AH783" s="143">
        <f t="shared" si="26"/>
        <v>1000</v>
      </c>
    </row>
    <row r="784" spans="1:34" s="118" customFormat="1" x14ac:dyDescent="0.3">
      <c r="A784" s="84">
        <v>802918</v>
      </c>
      <c r="B784" s="115">
        <v>0.15</v>
      </c>
      <c r="C784" s="115"/>
      <c r="D784" s="86">
        <v>8.0399999999999991</v>
      </c>
      <c r="E784" s="99">
        <v>6.0999999999999999E-2</v>
      </c>
      <c r="F784" s="84">
        <v>465.05</v>
      </c>
      <c r="G784" s="83"/>
      <c r="H784" s="84">
        <v>61.52</v>
      </c>
      <c r="I784" s="84">
        <v>50</v>
      </c>
      <c r="J784" s="85">
        <v>4.9000000000000002E-2</v>
      </c>
      <c r="K784" s="87">
        <v>1.25</v>
      </c>
      <c r="L784" s="83">
        <v>160</v>
      </c>
      <c r="M784" s="88">
        <v>0.86</v>
      </c>
      <c r="N784" s="88">
        <v>0.3</v>
      </c>
      <c r="O784" s="88">
        <v>10.67</v>
      </c>
      <c r="P784" s="88">
        <v>13.81</v>
      </c>
      <c r="Q784" s="88"/>
      <c r="R784" s="116">
        <v>0.53177141199681288</v>
      </c>
      <c r="S784" s="115">
        <v>3.9</v>
      </c>
      <c r="T784" s="88"/>
      <c r="U784" s="88"/>
      <c r="V784" s="88"/>
      <c r="W784" s="88"/>
      <c r="X784" s="88"/>
      <c r="Y784" s="115">
        <f t="shared" si="27"/>
        <v>5.6000000000000005</v>
      </c>
      <c r="Z784" s="88"/>
      <c r="AA784" s="116"/>
      <c r="AB784" s="116"/>
      <c r="AC784" s="88"/>
      <c r="AD784" s="88">
        <v>80</v>
      </c>
      <c r="AE784" s="88">
        <v>80</v>
      </c>
      <c r="AF784" s="88">
        <v>840</v>
      </c>
      <c r="AG784" s="66">
        <f t="shared" si="25"/>
        <v>79.017857142857139</v>
      </c>
      <c r="AH784" s="143">
        <f t="shared" si="26"/>
        <v>1000</v>
      </c>
    </row>
    <row r="785" spans="1:34" s="118" customFormat="1" x14ac:dyDescent="0.3">
      <c r="A785" s="84">
        <v>802919</v>
      </c>
      <c r="B785" s="115">
        <v>0.2166666666666667</v>
      </c>
      <c r="C785" s="115"/>
      <c r="D785" s="86">
        <v>7.43</v>
      </c>
      <c r="E785" s="99">
        <v>0.2</v>
      </c>
      <c r="F785" s="84">
        <v>375.34999999999997</v>
      </c>
      <c r="G785" s="83"/>
      <c r="H785" s="84">
        <v>63.66</v>
      </c>
      <c r="I785" s="84">
        <v>106</v>
      </c>
      <c r="J785" s="85">
        <v>9.1999999999999998E-2</v>
      </c>
      <c r="K785" s="87">
        <v>1.96</v>
      </c>
      <c r="L785" s="83">
        <v>250</v>
      </c>
      <c r="M785" s="88">
        <v>0.93</v>
      </c>
      <c r="N785" s="88">
        <v>0.34</v>
      </c>
      <c r="O785" s="88">
        <v>12.19</v>
      </c>
      <c r="P785" s="88">
        <v>16.03</v>
      </c>
      <c r="Q785" s="88"/>
      <c r="R785" s="116">
        <v>0.75798292210593166</v>
      </c>
      <c r="S785" s="115">
        <v>5.3</v>
      </c>
      <c r="T785" s="88"/>
      <c r="U785" s="88"/>
      <c r="V785" s="88"/>
      <c r="W785" s="88"/>
      <c r="X785" s="88"/>
      <c r="Y785" s="115">
        <f t="shared" si="27"/>
        <v>7.0000000000000009</v>
      </c>
      <c r="Z785" s="88"/>
      <c r="AA785" s="116"/>
      <c r="AB785" s="116"/>
      <c r="AC785" s="88"/>
      <c r="AD785" s="88">
        <v>100</v>
      </c>
      <c r="AE785" s="88">
        <v>100</v>
      </c>
      <c r="AF785" s="88">
        <v>800</v>
      </c>
      <c r="AG785" s="66">
        <f t="shared" si="25"/>
        <v>99.119999999999976</v>
      </c>
      <c r="AH785" s="143">
        <f t="shared" si="26"/>
        <v>1000</v>
      </c>
    </row>
    <row r="786" spans="1:34" s="118" customFormat="1" x14ac:dyDescent="0.3">
      <c r="A786" s="84">
        <v>802920</v>
      </c>
      <c r="B786" s="115">
        <v>8.3333333333333329E-2</v>
      </c>
      <c r="C786" s="115"/>
      <c r="D786" s="86">
        <v>7.27</v>
      </c>
      <c r="E786" s="99">
        <v>0.18</v>
      </c>
      <c r="F786" s="84">
        <v>429.45</v>
      </c>
      <c r="G786" s="83"/>
      <c r="H786" s="84">
        <v>128.66999999999999</v>
      </c>
      <c r="I786" s="84">
        <v>86</v>
      </c>
      <c r="J786" s="85">
        <v>9.1999999999999998E-2</v>
      </c>
      <c r="K786" s="87">
        <v>2.08</v>
      </c>
      <c r="L786" s="83">
        <v>250</v>
      </c>
      <c r="M786" s="88">
        <v>1.06</v>
      </c>
      <c r="N786" s="88">
        <v>0.39</v>
      </c>
      <c r="O786" s="88">
        <v>13.61</v>
      </c>
      <c r="P786" s="88">
        <v>20.69</v>
      </c>
      <c r="Q786" s="88"/>
      <c r="R786" s="116">
        <v>0.814627289769982</v>
      </c>
      <c r="S786" s="115">
        <v>5.8</v>
      </c>
      <c r="T786" s="88"/>
      <c r="U786" s="88"/>
      <c r="V786" s="88"/>
      <c r="W786" s="88"/>
      <c r="X786" s="88"/>
      <c r="Y786" s="115">
        <f t="shared" si="27"/>
        <v>6.3000000000000007</v>
      </c>
      <c r="Z786" s="88"/>
      <c r="AA786" s="116"/>
      <c r="AB786" s="116"/>
      <c r="AC786" s="88"/>
      <c r="AD786" s="88">
        <v>90</v>
      </c>
      <c r="AE786" s="88">
        <v>110</v>
      </c>
      <c r="AF786" s="88">
        <v>800</v>
      </c>
      <c r="AG786" s="66">
        <f t="shared" si="25"/>
        <v>116.87619047619047</v>
      </c>
      <c r="AH786" s="143">
        <f t="shared" si="26"/>
        <v>1000</v>
      </c>
    </row>
    <row r="787" spans="1:34" s="118" customFormat="1" x14ac:dyDescent="0.3">
      <c r="A787" s="84">
        <v>802921</v>
      </c>
      <c r="B787" s="115">
        <v>0.24999999999999997</v>
      </c>
      <c r="C787" s="115"/>
      <c r="D787" s="86">
        <v>7.9</v>
      </c>
      <c r="E787" s="99">
        <v>0.08</v>
      </c>
      <c r="F787" s="84">
        <v>407.5</v>
      </c>
      <c r="G787" s="83"/>
      <c r="H787" s="84">
        <v>64.89</v>
      </c>
      <c r="I787" s="84">
        <v>48</v>
      </c>
      <c r="J787" s="85">
        <v>4.2000000000000003E-2</v>
      </c>
      <c r="K787" s="87">
        <v>1.23</v>
      </c>
      <c r="L787" s="83">
        <v>120</v>
      </c>
      <c r="M787" s="88">
        <v>0.91</v>
      </c>
      <c r="N787" s="88">
        <v>0.28000000000000003</v>
      </c>
      <c r="O787" s="88">
        <v>6.33</v>
      </c>
      <c r="P787" s="88">
        <v>7.99</v>
      </c>
      <c r="Q787" s="88"/>
      <c r="R787" s="116">
        <v>0.55300117713170283</v>
      </c>
      <c r="S787" s="115">
        <v>3.8</v>
      </c>
      <c r="T787" s="88"/>
      <c r="U787" s="88"/>
      <c r="V787" s="88"/>
      <c r="W787" s="88"/>
      <c r="X787" s="88"/>
      <c r="Y787" s="115">
        <f t="shared" si="27"/>
        <v>7.0000000000000009</v>
      </c>
      <c r="Z787" s="88"/>
      <c r="AA787" s="116"/>
      <c r="AB787" s="116"/>
      <c r="AC787" s="88"/>
      <c r="AD787" s="88">
        <v>100</v>
      </c>
      <c r="AE787" s="88">
        <v>80</v>
      </c>
      <c r="AF787" s="88">
        <v>820</v>
      </c>
      <c r="AG787" s="66">
        <f t="shared" si="25"/>
        <v>62.202857142857127</v>
      </c>
      <c r="AH787" s="143">
        <f t="shared" si="26"/>
        <v>1000</v>
      </c>
    </row>
    <row r="788" spans="1:34" s="118" customFormat="1" x14ac:dyDescent="0.3">
      <c r="A788" s="84">
        <v>802922</v>
      </c>
      <c r="B788" s="115">
        <v>0.2166666666666667</v>
      </c>
      <c r="C788" s="115"/>
      <c r="D788" s="86">
        <v>8.07</v>
      </c>
      <c r="E788" s="99">
        <v>0.08</v>
      </c>
      <c r="F788" s="84">
        <v>325.60000000000002</v>
      </c>
      <c r="G788" s="83"/>
      <c r="H788" s="84">
        <v>59.89</v>
      </c>
      <c r="I788" s="84">
        <v>47</v>
      </c>
      <c r="J788" s="85">
        <v>4.2999999999999997E-2</v>
      </c>
      <c r="K788" s="87">
        <v>1.24</v>
      </c>
      <c r="L788" s="83">
        <v>110</v>
      </c>
      <c r="M788" s="88">
        <v>0.71</v>
      </c>
      <c r="N788" s="88">
        <v>0.27</v>
      </c>
      <c r="O788" s="88">
        <v>4.8899999999999997</v>
      </c>
      <c r="P788" s="88">
        <v>6.5</v>
      </c>
      <c r="Q788" s="88"/>
      <c r="R788" s="116">
        <v>0.45684460446995229</v>
      </c>
      <c r="S788" s="115">
        <v>3.2</v>
      </c>
      <c r="T788" s="88"/>
      <c r="U788" s="88"/>
      <c r="V788" s="88"/>
      <c r="W788" s="88"/>
      <c r="X788" s="88"/>
      <c r="Y788" s="115">
        <f t="shared" si="27"/>
        <v>7.0000000000000009</v>
      </c>
      <c r="Z788" s="88"/>
      <c r="AA788" s="116"/>
      <c r="AB788" s="116"/>
      <c r="AC788" s="88"/>
      <c r="AD788" s="88">
        <v>100</v>
      </c>
      <c r="AE788" s="88">
        <v>80</v>
      </c>
      <c r="AF788" s="88">
        <v>820</v>
      </c>
      <c r="AG788" s="66">
        <f t="shared" si="25"/>
        <v>62.708571428571418</v>
      </c>
      <c r="AH788" s="143">
        <f t="shared" si="26"/>
        <v>1000</v>
      </c>
    </row>
    <row r="789" spans="1:34" s="118" customFormat="1" x14ac:dyDescent="0.3">
      <c r="A789" s="84">
        <v>802923</v>
      </c>
      <c r="B789" s="115">
        <v>6.6666666666666666E-2</v>
      </c>
      <c r="C789" s="115"/>
      <c r="D789" s="86">
        <v>7.68</v>
      </c>
      <c r="E789" s="99">
        <v>0.12</v>
      </c>
      <c r="F789" s="84">
        <v>300.65000000000003</v>
      </c>
      <c r="G789" s="83"/>
      <c r="H789" s="84">
        <v>184.58</v>
      </c>
      <c r="I789" s="84">
        <v>87</v>
      </c>
      <c r="J789" s="85">
        <v>5.2999999999999999E-2</v>
      </c>
      <c r="K789" s="87">
        <v>1.33</v>
      </c>
      <c r="L789" s="83">
        <v>120</v>
      </c>
      <c r="M789" s="88">
        <v>1.18</v>
      </c>
      <c r="N789" s="88">
        <v>0.53</v>
      </c>
      <c r="O789" s="88">
        <v>5.63</v>
      </c>
      <c r="P789" s="88">
        <v>8.23</v>
      </c>
      <c r="Q789" s="88"/>
      <c r="R789" s="116">
        <v>0.66078681381966098</v>
      </c>
      <c r="S789" s="115">
        <v>4.7</v>
      </c>
      <c r="T789" s="88"/>
      <c r="U789" s="88"/>
      <c r="V789" s="88"/>
      <c r="W789" s="88"/>
      <c r="X789" s="88"/>
      <c r="Y789" s="115">
        <f t="shared" si="27"/>
        <v>5.6000000000000005</v>
      </c>
      <c r="Z789" s="88"/>
      <c r="AA789" s="116"/>
      <c r="AB789" s="116"/>
      <c r="AC789" s="88"/>
      <c r="AD789" s="88">
        <v>80</v>
      </c>
      <c r="AE789" s="88">
        <v>90</v>
      </c>
      <c r="AF789" s="88">
        <v>830</v>
      </c>
      <c r="AG789" s="66">
        <f t="shared" si="25"/>
        <v>84.075000000000003</v>
      </c>
      <c r="AH789" s="143">
        <f t="shared" si="26"/>
        <v>1000</v>
      </c>
    </row>
    <row r="790" spans="1:34" s="118" customFormat="1" x14ac:dyDescent="0.3">
      <c r="A790" s="84">
        <v>802924</v>
      </c>
      <c r="B790" s="115">
        <v>0.1</v>
      </c>
      <c r="C790" s="115"/>
      <c r="D790" s="86">
        <v>7.62</v>
      </c>
      <c r="E790" s="99">
        <v>0.14000000000000001</v>
      </c>
      <c r="F790" s="84">
        <v>308</v>
      </c>
      <c r="G790" s="83"/>
      <c r="H790" s="84">
        <v>316.62</v>
      </c>
      <c r="I790" s="84">
        <v>116</v>
      </c>
      <c r="J790" s="85">
        <v>4.5999999999999999E-2</v>
      </c>
      <c r="K790" s="87">
        <v>1.45</v>
      </c>
      <c r="L790" s="83">
        <v>180</v>
      </c>
      <c r="M790" s="88">
        <v>1.81</v>
      </c>
      <c r="N790" s="88">
        <v>0.59</v>
      </c>
      <c r="O790" s="88">
        <v>5.79</v>
      </c>
      <c r="P790" s="88">
        <v>7.93</v>
      </c>
      <c r="Q790" s="88"/>
      <c r="R790" s="116">
        <v>0.64359179717360171</v>
      </c>
      <c r="S790" s="115">
        <v>4.8</v>
      </c>
      <c r="T790" s="88"/>
      <c r="U790" s="88"/>
      <c r="V790" s="88"/>
      <c r="W790" s="88"/>
      <c r="X790" s="88"/>
      <c r="Y790" s="115">
        <f t="shared" si="27"/>
        <v>5.6000000000000005</v>
      </c>
      <c r="Z790" s="88"/>
      <c r="AA790" s="116"/>
      <c r="AB790" s="116"/>
      <c r="AC790" s="88"/>
      <c r="AD790" s="88">
        <v>80</v>
      </c>
      <c r="AE790" s="88">
        <v>80</v>
      </c>
      <c r="AF790" s="88">
        <v>840</v>
      </c>
      <c r="AG790" s="66">
        <f t="shared" si="25"/>
        <v>91.660714285714263</v>
      </c>
      <c r="AH790" s="143">
        <f t="shared" si="26"/>
        <v>1000</v>
      </c>
    </row>
    <row r="791" spans="1:34" s="118" customFormat="1" x14ac:dyDescent="0.3">
      <c r="A791" s="84">
        <v>802925</v>
      </c>
      <c r="B791" s="115">
        <v>0.16666666666666666</v>
      </c>
      <c r="C791" s="115"/>
      <c r="D791" s="86">
        <v>7.52</v>
      </c>
      <c r="E791" s="99">
        <v>0.2</v>
      </c>
      <c r="F791" s="84">
        <v>525.79999999999995</v>
      </c>
      <c r="G791" s="83"/>
      <c r="H791" s="84">
        <v>66.540000000000006</v>
      </c>
      <c r="I791" s="84">
        <v>208</v>
      </c>
      <c r="J791" s="85">
        <v>4.7E-2</v>
      </c>
      <c r="K791" s="87">
        <v>1.1399999999999999</v>
      </c>
      <c r="L791" s="83">
        <v>170</v>
      </c>
      <c r="M791" s="88">
        <v>0.59</v>
      </c>
      <c r="N791" s="88">
        <v>0.51</v>
      </c>
      <c r="O791" s="88">
        <v>18.79</v>
      </c>
      <c r="P791" s="88">
        <v>29.74</v>
      </c>
      <c r="Q791" s="88"/>
      <c r="R791" s="116">
        <v>0.85868581549597611</v>
      </c>
      <c r="S791" s="115">
        <v>6.3</v>
      </c>
      <c r="T791" s="88"/>
      <c r="U791" s="88"/>
      <c r="V791" s="88"/>
      <c r="W791" s="88"/>
      <c r="X791" s="88"/>
      <c r="Y791" s="115">
        <f t="shared" si="27"/>
        <v>7.0000000000000009</v>
      </c>
      <c r="Z791" s="88"/>
      <c r="AA791" s="116"/>
      <c r="AB791" s="116"/>
      <c r="AC791" s="88"/>
      <c r="AD791" s="88">
        <v>100</v>
      </c>
      <c r="AE791" s="88">
        <v>100</v>
      </c>
      <c r="AF791" s="88">
        <v>800</v>
      </c>
      <c r="AG791" s="66">
        <f t="shared" si="25"/>
        <v>57.651428571428553</v>
      </c>
      <c r="AH791" s="143">
        <f t="shared" si="26"/>
        <v>1000</v>
      </c>
    </row>
    <row r="792" spans="1:34" s="118" customFormat="1" x14ac:dyDescent="0.3">
      <c r="A792" s="84">
        <v>802926</v>
      </c>
      <c r="B792" s="115">
        <v>0.11666666666666665</v>
      </c>
      <c r="C792" s="115"/>
      <c r="D792" s="86">
        <v>7.59</v>
      </c>
      <c r="E792" s="99">
        <v>0.08</v>
      </c>
      <c r="F792" s="84">
        <v>521.95000000000005</v>
      </c>
      <c r="G792" s="83"/>
      <c r="H792" s="84">
        <v>46</v>
      </c>
      <c r="I792" s="84">
        <v>287</v>
      </c>
      <c r="J792" s="85">
        <v>6.3E-2</v>
      </c>
      <c r="K792" s="87">
        <v>1.07</v>
      </c>
      <c r="L792" s="83">
        <v>180</v>
      </c>
      <c r="M792" s="88">
        <v>0.24</v>
      </c>
      <c r="N792" s="88">
        <v>0.36</v>
      </c>
      <c r="O792" s="88">
        <v>17.47</v>
      </c>
      <c r="P792" s="88">
        <v>22.27</v>
      </c>
      <c r="Q792" s="88"/>
      <c r="R792" s="116">
        <v>0.566266551851207</v>
      </c>
      <c r="S792" s="115">
        <v>3.7</v>
      </c>
      <c r="T792" s="88"/>
      <c r="U792" s="88"/>
      <c r="V792" s="88"/>
      <c r="W792" s="88"/>
      <c r="X792" s="88"/>
      <c r="Y792" s="115">
        <f t="shared" si="27"/>
        <v>8.4</v>
      </c>
      <c r="Z792" s="88"/>
      <c r="AA792" s="116"/>
      <c r="AB792" s="116"/>
      <c r="AC792" s="88"/>
      <c r="AD792" s="88">
        <v>120</v>
      </c>
      <c r="AE792" s="88">
        <v>100</v>
      </c>
      <c r="AF792" s="88">
        <v>780</v>
      </c>
      <c r="AG792" s="66">
        <f t="shared" si="25"/>
        <v>45.092857142857142</v>
      </c>
      <c r="AH792" s="143">
        <f t="shared" si="26"/>
        <v>1000</v>
      </c>
    </row>
    <row r="793" spans="1:34" s="118" customFormat="1" x14ac:dyDescent="0.3">
      <c r="A793" s="84">
        <v>802927</v>
      </c>
      <c r="B793" s="115">
        <v>13.499999999999998</v>
      </c>
      <c r="C793" s="115">
        <v>5</v>
      </c>
      <c r="D793" s="86">
        <v>8.33</v>
      </c>
      <c r="E793" s="99">
        <v>0.16</v>
      </c>
      <c r="F793" s="84">
        <v>428.40000000000003</v>
      </c>
      <c r="G793" s="83"/>
      <c r="H793" s="84">
        <v>34.74</v>
      </c>
      <c r="I793" s="84">
        <v>196</v>
      </c>
      <c r="J793" s="85">
        <v>0.121</v>
      </c>
      <c r="K793" s="87">
        <v>10.23</v>
      </c>
      <c r="L793" s="83">
        <v>198</v>
      </c>
      <c r="M793" s="88">
        <v>0.72</v>
      </c>
      <c r="N793" s="88">
        <v>1.29</v>
      </c>
      <c r="O793" s="88">
        <v>4.42</v>
      </c>
      <c r="P793" s="88">
        <v>14.77</v>
      </c>
      <c r="Q793" s="88"/>
      <c r="R793" s="116">
        <v>1.666817</v>
      </c>
      <c r="S793" s="115">
        <v>12.7</v>
      </c>
      <c r="T793" s="88"/>
      <c r="U793" s="88"/>
      <c r="V793" s="88"/>
      <c r="W793" s="88"/>
      <c r="X793" s="88"/>
      <c r="Y793" s="115">
        <f t="shared" si="27"/>
        <v>49.000000000000007</v>
      </c>
      <c r="Z793" s="88"/>
      <c r="AA793" s="116"/>
      <c r="AB793" s="116"/>
      <c r="AC793" s="88"/>
      <c r="AD793" s="88">
        <v>700</v>
      </c>
      <c r="AE793" s="88">
        <v>200</v>
      </c>
      <c r="AF793" s="88">
        <v>100</v>
      </c>
      <c r="AG793" s="66">
        <f t="shared" si="25"/>
        <v>73.906530612244893</v>
      </c>
      <c r="AH793" s="143">
        <f t="shared" si="26"/>
        <v>1000</v>
      </c>
    </row>
    <row r="794" spans="1:34" s="118" customFormat="1" x14ac:dyDescent="0.3">
      <c r="A794" s="84">
        <v>802928</v>
      </c>
      <c r="B794" s="115">
        <v>13.666666666666663</v>
      </c>
      <c r="C794" s="115">
        <v>4.7500000000000009</v>
      </c>
      <c r="D794" s="86">
        <v>8.44</v>
      </c>
      <c r="E794" s="99">
        <v>0.17</v>
      </c>
      <c r="F794" s="84">
        <v>569</v>
      </c>
      <c r="G794" s="83"/>
      <c r="H794" s="84">
        <v>14.66</v>
      </c>
      <c r="I794" s="84">
        <v>110</v>
      </c>
      <c r="J794" s="85">
        <v>0.127</v>
      </c>
      <c r="K794" s="87">
        <v>10.46</v>
      </c>
      <c r="L794" s="83">
        <v>510</v>
      </c>
      <c r="M794" s="88">
        <v>0.53</v>
      </c>
      <c r="N794" s="88">
        <v>1.01</v>
      </c>
      <c r="O794" s="88">
        <v>2.0499999999999998</v>
      </c>
      <c r="P794" s="88">
        <v>8.26</v>
      </c>
      <c r="Q794" s="88"/>
      <c r="R794" s="116">
        <v>1.2836530580818071</v>
      </c>
      <c r="S794" s="115">
        <v>9.1</v>
      </c>
      <c r="T794" s="88"/>
      <c r="U794" s="88"/>
      <c r="V794" s="88"/>
      <c r="W794" s="88"/>
      <c r="X794" s="88"/>
      <c r="Y794" s="115">
        <f t="shared" si="27"/>
        <v>47.6</v>
      </c>
      <c r="Z794" s="88"/>
      <c r="AA794" s="116"/>
      <c r="AB794" s="116"/>
      <c r="AC794" s="88"/>
      <c r="AD794" s="88">
        <v>680</v>
      </c>
      <c r="AE794" s="88">
        <v>240</v>
      </c>
      <c r="AF794" s="88">
        <v>80</v>
      </c>
      <c r="AG794" s="66">
        <f t="shared" si="25"/>
        <v>77.790756302521018</v>
      </c>
      <c r="AH794" s="143">
        <f t="shared" si="26"/>
        <v>1000</v>
      </c>
    </row>
    <row r="795" spans="1:34" s="118" customFormat="1" x14ac:dyDescent="0.3">
      <c r="A795" s="84">
        <v>802929</v>
      </c>
      <c r="B795" s="115">
        <v>11.083333333333334</v>
      </c>
      <c r="C795" s="115">
        <v>5.625</v>
      </c>
      <c r="D795" s="86">
        <v>8.25</v>
      </c>
      <c r="E795" s="99">
        <v>0.3</v>
      </c>
      <c r="F795" s="84">
        <v>688.05000000000007</v>
      </c>
      <c r="G795" s="83"/>
      <c r="H795" s="84">
        <v>27.37</v>
      </c>
      <c r="I795" s="84">
        <v>377</v>
      </c>
      <c r="J795" s="85">
        <v>0.13300000000000001</v>
      </c>
      <c r="K795" s="87">
        <v>10.51</v>
      </c>
      <c r="L795" s="83">
        <v>490</v>
      </c>
      <c r="M795" s="88">
        <v>1.29</v>
      </c>
      <c r="N795" s="88">
        <v>0.91</v>
      </c>
      <c r="O795" s="88">
        <v>10.210000000000001</v>
      </c>
      <c r="P795" s="88">
        <v>31.96</v>
      </c>
      <c r="Q795" s="88"/>
      <c r="R795" s="116">
        <v>1.7677080000000003</v>
      </c>
      <c r="S795" s="115">
        <v>15.6</v>
      </c>
      <c r="T795" s="88"/>
      <c r="U795" s="88"/>
      <c r="V795" s="88"/>
      <c r="W795" s="88"/>
      <c r="X795" s="88"/>
      <c r="Y795" s="115">
        <f t="shared" si="27"/>
        <v>47.6</v>
      </c>
      <c r="Z795" s="88"/>
      <c r="AA795" s="116"/>
      <c r="AB795" s="116"/>
      <c r="AC795" s="88"/>
      <c r="AD795" s="88">
        <v>680</v>
      </c>
      <c r="AE795" s="88">
        <v>240</v>
      </c>
      <c r="AF795" s="88">
        <v>80</v>
      </c>
      <c r="AG795" s="66">
        <f t="shared" si="25"/>
        <v>78.162605042016807</v>
      </c>
      <c r="AH795" s="143">
        <f t="shared" si="26"/>
        <v>1000</v>
      </c>
    </row>
    <row r="796" spans="1:34" s="118" customFormat="1" x14ac:dyDescent="0.3">
      <c r="A796" s="84">
        <v>802930</v>
      </c>
      <c r="B796" s="115">
        <v>10.958333333333334</v>
      </c>
      <c r="C796" s="115">
        <v>4.7500000000000009</v>
      </c>
      <c r="D796" s="86">
        <v>8.4600000000000009</v>
      </c>
      <c r="E796" s="99">
        <v>0.15</v>
      </c>
      <c r="F796" s="84">
        <v>838.65</v>
      </c>
      <c r="G796" s="83"/>
      <c r="H796" s="84">
        <v>7.11</v>
      </c>
      <c r="I796" s="84">
        <v>116</v>
      </c>
      <c r="J796" s="85">
        <v>0.127</v>
      </c>
      <c r="K796" s="87">
        <v>9.58</v>
      </c>
      <c r="L796" s="83">
        <v>440</v>
      </c>
      <c r="M796" s="88">
        <v>0.31</v>
      </c>
      <c r="N796" s="88">
        <v>0.84</v>
      </c>
      <c r="O796" s="88">
        <v>2.48</v>
      </c>
      <c r="P796" s="88">
        <v>6.41</v>
      </c>
      <c r="Q796" s="88"/>
      <c r="R796" s="116">
        <v>1.2641331099581463</v>
      </c>
      <c r="S796" s="115">
        <v>9.3000000000000007</v>
      </c>
      <c r="T796" s="88"/>
      <c r="U796" s="88"/>
      <c r="V796" s="88"/>
      <c r="W796" s="88"/>
      <c r="X796" s="88"/>
      <c r="Y796" s="115">
        <f t="shared" si="27"/>
        <v>47.6</v>
      </c>
      <c r="Z796" s="88"/>
      <c r="AA796" s="116"/>
      <c r="AB796" s="116"/>
      <c r="AC796" s="88"/>
      <c r="AD796" s="88">
        <v>680</v>
      </c>
      <c r="AE796" s="88">
        <v>220</v>
      </c>
      <c r="AF796" s="88">
        <v>100</v>
      </c>
      <c r="AG796" s="66">
        <f t="shared" si="25"/>
        <v>71.246218487394955</v>
      </c>
      <c r="AH796" s="143">
        <f t="shared" si="26"/>
        <v>1000</v>
      </c>
    </row>
    <row r="797" spans="1:34" s="118" customFormat="1" x14ac:dyDescent="0.3">
      <c r="A797" s="84">
        <v>802931</v>
      </c>
      <c r="B797" s="115">
        <v>13.666666666666663</v>
      </c>
      <c r="C797" s="115">
        <v>12.249999999999998</v>
      </c>
      <c r="D797" s="86">
        <v>7.87</v>
      </c>
      <c r="E797" s="99">
        <v>0.15</v>
      </c>
      <c r="F797" s="84">
        <v>25.099999999999998</v>
      </c>
      <c r="G797" s="83"/>
      <c r="H797" s="84">
        <v>49.11</v>
      </c>
      <c r="I797" s="84">
        <v>150</v>
      </c>
      <c r="J797" s="85">
        <v>8.4000000000000005E-2</v>
      </c>
      <c r="K797" s="87">
        <v>9.86</v>
      </c>
      <c r="L797" s="83">
        <v>477</v>
      </c>
      <c r="M797" s="88">
        <v>0.39</v>
      </c>
      <c r="N797" s="88">
        <v>1.41</v>
      </c>
      <c r="O797" s="88">
        <v>4.42</v>
      </c>
      <c r="P797" s="88">
        <v>12.34</v>
      </c>
      <c r="Q797" s="88"/>
      <c r="R797" s="116">
        <v>1.6594250000000001</v>
      </c>
      <c r="S797" s="115">
        <v>12.5</v>
      </c>
      <c r="T797" s="88"/>
      <c r="U797" s="88"/>
      <c r="V797" s="88"/>
      <c r="W797" s="88"/>
      <c r="X797" s="88"/>
      <c r="Y797" s="115">
        <f t="shared" si="27"/>
        <v>42.000000000000007</v>
      </c>
      <c r="Z797" s="88"/>
      <c r="AA797" s="116"/>
      <c r="AB797" s="116"/>
      <c r="AC797" s="88"/>
      <c r="AD797" s="88">
        <v>600</v>
      </c>
      <c r="AE797" s="88">
        <v>320</v>
      </c>
      <c r="AF797" s="88">
        <v>80</v>
      </c>
      <c r="AG797" s="66">
        <f t="shared" si="25"/>
        <v>83.105714285714257</v>
      </c>
      <c r="AH797" s="143">
        <f t="shared" si="26"/>
        <v>1000</v>
      </c>
    </row>
    <row r="798" spans="1:34" s="118" customFormat="1" x14ac:dyDescent="0.3">
      <c r="A798" s="84">
        <v>802932</v>
      </c>
      <c r="B798" s="115">
        <v>13.249999999999998</v>
      </c>
      <c r="C798" s="115">
        <v>3.9999999999999991</v>
      </c>
      <c r="D798" s="86">
        <v>8.7100000000000009</v>
      </c>
      <c r="E798" s="99">
        <v>0.15</v>
      </c>
      <c r="F798" s="84">
        <v>19.899999999999999</v>
      </c>
      <c r="G798" s="83"/>
      <c r="H798" s="84">
        <v>41.92</v>
      </c>
      <c r="I798" s="84">
        <v>120</v>
      </c>
      <c r="J798" s="85">
        <v>0.14399999999999999</v>
      </c>
      <c r="K798" s="87">
        <v>10.7</v>
      </c>
      <c r="L798" s="83">
        <v>514</v>
      </c>
      <c r="M798" s="88">
        <v>0.37</v>
      </c>
      <c r="N798" s="88">
        <v>1.28</v>
      </c>
      <c r="O798" s="88">
        <v>4.09</v>
      </c>
      <c r="P798" s="88">
        <v>11.74</v>
      </c>
      <c r="Q798" s="88"/>
      <c r="R798" s="116">
        <v>1.3983980384867922</v>
      </c>
      <c r="S798" s="115">
        <v>10.199999999999999</v>
      </c>
      <c r="T798" s="88"/>
      <c r="U798" s="88"/>
      <c r="V798" s="88"/>
      <c r="W798" s="88"/>
      <c r="X798" s="88"/>
      <c r="Y798" s="115">
        <f t="shared" si="27"/>
        <v>42.000000000000007</v>
      </c>
      <c r="Z798" s="88"/>
      <c r="AA798" s="116"/>
      <c r="AB798" s="116"/>
      <c r="AC798" s="88"/>
      <c r="AD798" s="88">
        <v>600</v>
      </c>
      <c r="AE798" s="88">
        <v>340</v>
      </c>
      <c r="AF798" s="88">
        <v>60</v>
      </c>
      <c r="AG798" s="66">
        <f t="shared" si="25"/>
        <v>90.185714285714269</v>
      </c>
      <c r="AH798" s="143">
        <f t="shared" si="26"/>
        <v>1000</v>
      </c>
    </row>
    <row r="799" spans="1:34" s="118" customFormat="1" x14ac:dyDescent="0.3">
      <c r="A799" s="84">
        <v>802933</v>
      </c>
      <c r="B799" s="115">
        <v>11.166666666666666</v>
      </c>
      <c r="C799" s="115">
        <v>3.75</v>
      </c>
      <c r="D799" s="86">
        <v>8.56</v>
      </c>
      <c r="E799" s="99">
        <v>0.23</v>
      </c>
      <c r="F799" s="84">
        <v>69.599999999999994</v>
      </c>
      <c r="G799" s="83"/>
      <c r="H799" s="84">
        <v>67.62</v>
      </c>
      <c r="I799" s="84">
        <v>180</v>
      </c>
      <c r="J799" s="85">
        <v>0.14399999999999999</v>
      </c>
      <c r="K799" s="87">
        <v>10.83</v>
      </c>
      <c r="L799" s="83">
        <v>568</v>
      </c>
      <c r="M799" s="88">
        <v>0.42</v>
      </c>
      <c r="N799" s="88">
        <v>1.2</v>
      </c>
      <c r="O799" s="88">
        <v>2.25</v>
      </c>
      <c r="P799" s="88">
        <v>9.15</v>
      </c>
      <c r="Q799" s="88"/>
      <c r="R799" s="116">
        <v>2.0363120000000001</v>
      </c>
      <c r="S799" s="115">
        <v>26.2</v>
      </c>
      <c r="T799" s="88"/>
      <c r="U799" s="88"/>
      <c r="V799" s="88"/>
      <c r="W799" s="88"/>
      <c r="X799" s="88"/>
      <c r="Y799" s="115">
        <f t="shared" si="27"/>
        <v>44.800000000000004</v>
      </c>
      <c r="Z799" s="88"/>
      <c r="AA799" s="116"/>
      <c r="AB799" s="116"/>
      <c r="AC799" s="88"/>
      <c r="AD799" s="88">
        <v>640</v>
      </c>
      <c r="AE799" s="88">
        <v>280</v>
      </c>
      <c r="AF799" s="88">
        <v>80</v>
      </c>
      <c r="AG799" s="66">
        <f t="shared" si="25"/>
        <v>85.576339285714283</v>
      </c>
      <c r="AH799" s="143">
        <f t="shared" si="26"/>
        <v>1000</v>
      </c>
    </row>
    <row r="800" spans="1:34" s="118" customFormat="1" x14ac:dyDescent="0.3">
      <c r="A800" s="84">
        <v>802934</v>
      </c>
      <c r="B800" s="115">
        <v>11.916666666666668</v>
      </c>
      <c r="C800" s="115">
        <v>6.875</v>
      </c>
      <c r="D800" s="86">
        <v>8.6199999999999992</v>
      </c>
      <c r="E800" s="99">
        <v>0.18</v>
      </c>
      <c r="F800" s="84">
        <v>24.5</v>
      </c>
      <c r="G800" s="83"/>
      <c r="H800" s="84">
        <v>45.51</v>
      </c>
      <c r="I800" s="84">
        <v>160</v>
      </c>
      <c r="J800" s="85">
        <v>0.183</v>
      </c>
      <c r="K800" s="87">
        <v>10.95</v>
      </c>
      <c r="L800" s="83">
        <v>558</v>
      </c>
      <c r="M800" s="88">
        <v>0.56999999999999995</v>
      </c>
      <c r="N800" s="88">
        <v>1.52</v>
      </c>
      <c r="O800" s="88">
        <v>4.09</v>
      </c>
      <c r="P800" s="88">
        <v>12.54</v>
      </c>
      <c r="Q800" s="88"/>
      <c r="R800" s="116">
        <v>1.716993</v>
      </c>
      <c r="S800" s="115">
        <v>14.1</v>
      </c>
      <c r="T800" s="88"/>
      <c r="U800" s="88"/>
      <c r="V800" s="88"/>
      <c r="W800" s="88"/>
      <c r="X800" s="88"/>
      <c r="Y800" s="115">
        <f t="shared" si="27"/>
        <v>44.800000000000004</v>
      </c>
      <c r="Z800" s="88"/>
      <c r="AA800" s="116"/>
      <c r="AB800" s="116"/>
      <c r="AC800" s="88"/>
      <c r="AD800" s="88">
        <v>640</v>
      </c>
      <c r="AE800" s="88">
        <v>290</v>
      </c>
      <c r="AF800" s="88">
        <v>70</v>
      </c>
      <c r="AG800" s="66">
        <f t="shared" si="25"/>
        <v>86.524553571428555</v>
      </c>
      <c r="AH800" s="143">
        <f t="shared" si="26"/>
        <v>1000</v>
      </c>
    </row>
    <row r="801" spans="1:34" s="118" customFormat="1" x14ac:dyDescent="0.3">
      <c r="A801" s="84">
        <v>802935</v>
      </c>
      <c r="B801" s="115">
        <v>10.083333333333332</v>
      </c>
      <c r="C801" s="115">
        <v>5</v>
      </c>
      <c r="D801" s="86">
        <v>8.64</v>
      </c>
      <c r="E801" s="99">
        <v>0.16</v>
      </c>
      <c r="F801" s="84">
        <v>20.5</v>
      </c>
      <c r="G801" s="83"/>
      <c r="H801" s="84">
        <v>81.099999999999994</v>
      </c>
      <c r="I801" s="84">
        <v>230</v>
      </c>
      <c r="J801" s="85">
        <v>0.105</v>
      </c>
      <c r="K801" s="87">
        <v>8.64</v>
      </c>
      <c r="L801" s="83">
        <v>546</v>
      </c>
      <c r="M801" s="88">
        <v>0.63</v>
      </c>
      <c r="N801" s="88">
        <v>1.58</v>
      </c>
      <c r="O801" s="88">
        <v>1.68</v>
      </c>
      <c r="P801" s="88">
        <v>10.29</v>
      </c>
      <c r="Q801" s="88"/>
      <c r="R801" s="116">
        <v>1.7444330000000001</v>
      </c>
      <c r="S801" s="115">
        <v>14.9</v>
      </c>
      <c r="T801" s="88"/>
      <c r="U801" s="88"/>
      <c r="V801" s="88"/>
      <c r="W801" s="88"/>
      <c r="X801" s="88"/>
      <c r="Y801" s="115">
        <f t="shared" si="27"/>
        <v>46.2</v>
      </c>
      <c r="Z801" s="88"/>
      <c r="AA801" s="116"/>
      <c r="AB801" s="116"/>
      <c r="AC801" s="88"/>
      <c r="AD801" s="88">
        <v>660</v>
      </c>
      <c r="AE801" s="88">
        <v>280</v>
      </c>
      <c r="AF801" s="88">
        <v>60</v>
      </c>
      <c r="AG801" s="66">
        <f t="shared" si="25"/>
        <v>66.202597402597405</v>
      </c>
      <c r="AH801" s="143">
        <f t="shared" si="26"/>
        <v>1000</v>
      </c>
    </row>
    <row r="802" spans="1:34" s="118" customFormat="1" x14ac:dyDescent="0.3">
      <c r="A802" s="84">
        <v>802936</v>
      </c>
      <c r="B802" s="115">
        <v>11.083333333333334</v>
      </c>
      <c r="C802" s="115">
        <v>3.5000000000000013</v>
      </c>
      <c r="D802" s="86">
        <v>8.69</v>
      </c>
      <c r="E802" s="99">
        <v>0.18</v>
      </c>
      <c r="F802" s="84">
        <v>26.85</v>
      </c>
      <c r="G802" s="83"/>
      <c r="H802" s="84">
        <v>118.13</v>
      </c>
      <c r="I802" s="84">
        <v>230</v>
      </c>
      <c r="J802" s="85">
        <v>0.129</v>
      </c>
      <c r="K802" s="87">
        <v>9.9600000000000009</v>
      </c>
      <c r="L802" s="83">
        <v>520</v>
      </c>
      <c r="M802" s="88">
        <v>0.64</v>
      </c>
      <c r="N802" s="88">
        <v>1.47</v>
      </c>
      <c r="O802" s="88">
        <v>1.06</v>
      </c>
      <c r="P802" s="88">
        <v>10.5</v>
      </c>
      <c r="Q802" s="88"/>
      <c r="R802" s="116">
        <v>1.7410520000000003</v>
      </c>
      <c r="S802" s="115">
        <v>14.8</v>
      </c>
      <c r="T802" s="88"/>
      <c r="U802" s="88"/>
      <c r="V802" s="88"/>
      <c r="W802" s="88"/>
      <c r="X802" s="88"/>
      <c r="Y802" s="115">
        <f t="shared" si="27"/>
        <v>46.2</v>
      </c>
      <c r="Z802" s="88"/>
      <c r="AA802" s="116"/>
      <c r="AB802" s="116"/>
      <c r="AC802" s="88"/>
      <c r="AD802" s="88">
        <v>660</v>
      </c>
      <c r="AE802" s="88">
        <v>260</v>
      </c>
      <c r="AF802" s="88">
        <v>80</v>
      </c>
      <c r="AG802" s="66">
        <f t="shared" si="25"/>
        <v>76.316883116883119</v>
      </c>
      <c r="AH802" s="143">
        <f t="shared" si="26"/>
        <v>1000</v>
      </c>
    </row>
    <row r="803" spans="1:34" s="118" customFormat="1" x14ac:dyDescent="0.3">
      <c r="A803" s="84">
        <v>802937</v>
      </c>
      <c r="B803" s="115">
        <v>10.666666666666668</v>
      </c>
      <c r="C803" s="115">
        <v>5</v>
      </c>
      <c r="D803" s="86">
        <v>8.75</v>
      </c>
      <c r="E803" s="99">
        <v>0.17</v>
      </c>
      <c r="F803" s="84">
        <v>32.15</v>
      </c>
      <c r="G803" s="83"/>
      <c r="H803" s="84">
        <v>64.930000000000007</v>
      </c>
      <c r="I803" s="84">
        <v>200</v>
      </c>
      <c r="J803" s="85">
        <v>0.17</v>
      </c>
      <c r="K803" s="87">
        <v>10.199999999999999</v>
      </c>
      <c r="L803" s="83">
        <v>561</v>
      </c>
      <c r="M803" s="88">
        <v>0.68</v>
      </c>
      <c r="N803" s="88">
        <v>1.62</v>
      </c>
      <c r="O803" s="88">
        <v>2.98</v>
      </c>
      <c r="P803" s="88">
        <v>10.78</v>
      </c>
      <c r="Q803" s="88"/>
      <c r="R803" s="116">
        <v>1.6922480000000002</v>
      </c>
      <c r="S803" s="115">
        <v>13.4</v>
      </c>
      <c r="T803" s="88"/>
      <c r="U803" s="88"/>
      <c r="V803" s="88"/>
      <c r="W803" s="88"/>
      <c r="X803" s="88"/>
      <c r="Y803" s="115">
        <f t="shared" si="27"/>
        <v>44.800000000000004</v>
      </c>
      <c r="Z803" s="88"/>
      <c r="AA803" s="116"/>
      <c r="AB803" s="116"/>
      <c r="AC803" s="88"/>
      <c r="AD803" s="88">
        <v>640</v>
      </c>
      <c r="AE803" s="88">
        <v>280</v>
      </c>
      <c r="AF803" s="88">
        <v>80</v>
      </c>
      <c r="AG803" s="66">
        <f t="shared" si="25"/>
        <v>80.598214285714278</v>
      </c>
      <c r="AH803" s="143">
        <f t="shared" si="26"/>
        <v>1000</v>
      </c>
    </row>
    <row r="804" spans="1:34" s="118" customFormat="1" x14ac:dyDescent="0.3">
      <c r="A804" s="84">
        <v>802953</v>
      </c>
      <c r="B804" s="115">
        <v>3.8833333333333329</v>
      </c>
      <c r="C804" s="115"/>
      <c r="D804" s="86">
        <v>8.7100000000000009</v>
      </c>
      <c r="E804" s="99">
        <v>0.17</v>
      </c>
      <c r="F804" s="84">
        <v>29.35</v>
      </c>
      <c r="G804" s="83"/>
      <c r="H804" s="84">
        <v>62.05</v>
      </c>
      <c r="I804" s="84">
        <v>220</v>
      </c>
      <c r="J804" s="85">
        <v>0.26700000000000002</v>
      </c>
      <c r="K804" s="87">
        <v>15.98</v>
      </c>
      <c r="L804" s="83">
        <v>1869</v>
      </c>
      <c r="M804" s="88">
        <v>0.74</v>
      </c>
      <c r="N804" s="88">
        <v>0.86</v>
      </c>
      <c r="O804" s="88">
        <v>1.08</v>
      </c>
      <c r="P804" s="88">
        <v>14.16</v>
      </c>
      <c r="Q804" s="88"/>
      <c r="R804" s="116">
        <v>1.7410520000000003</v>
      </c>
      <c r="S804" s="115">
        <v>14.8</v>
      </c>
      <c r="T804" s="88"/>
      <c r="U804" s="88"/>
      <c r="V804" s="88"/>
      <c r="W804" s="88"/>
      <c r="X804" s="88"/>
      <c r="Y804" s="115">
        <f t="shared" si="27"/>
        <v>44.800000000000004</v>
      </c>
      <c r="Z804" s="88"/>
      <c r="AA804" s="116"/>
      <c r="AB804" s="116"/>
      <c r="AC804" s="88"/>
      <c r="AD804" s="88">
        <v>640</v>
      </c>
      <c r="AE804" s="88">
        <v>240</v>
      </c>
      <c r="AF804" s="88">
        <v>120</v>
      </c>
      <c r="AG804" s="66">
        <f t="shared" si="25"/>
        <v>126.2705357142857</v>
      </c>
      <c r="AH804" s="143">
        <f t="shared" si="26"/>
        <v>1000</v>
      </c>
    </row>
    <row r="805" spans="1:34" s="118" customFormat="1" x14ac:dyDescent="0.3">
      <c r="A805" s="84">
        <v>802954</v>
      </c>
      <c r="B805" s="115">
        <v>4.1388888888888893</v>
      </c>
      <c r="C805" s="115"/>
      <c r="D805" s="86">
        <v>8.5399999999999991</v>
      </c>
      <c r="E805" s="99">
        <v>0.17</v>
      </c>
      <c r="F805" s="84">
        <v>24.65</v>
      </c>
      <c r="G805" s="83"/>
      <c r="H805" s="84">
        <v>65.290000000000006</v>
      </c>
      <c r="I805" s="84">
        <v>190</v>
      </c>
      <c r="J805" s="85">
        <v>0.309</v>
      </c>
      <c r="K805" s="87">
        <v>15.28</v>
      </c>
      <c r="L805" s="83">
        <v>1646</v>
      </c>
      <c r="M805" s="88">
        <v>0.6</v>
      </c>
      <c r="N805" s="88">
        <v>0.69</v>
      </c>
      <c r="O805" s="88">
        <v>1.28</v>
      </c>
      <c r="P805" s="88">
        <v>14.14</v>
      </c>
      <c r="Q805" s="88"/>
      <c r="R805" s="116">
        <v>1.7677080000000003</v>
      </c>
      <c r="S805" s="115">
        <v>15.6</v>
      </c>
      <c r="T805" s="88"/>
      <c r="U805" s="88"/>
      <c r="V805" s="88"/>
      <c r="W805" s="88"/>
      <c r="X805" s="88"/>
      <c r="Y805" s="115">
        <f t="shared" si="27"/>
        <v>44.800000000000004</v>
      </c>
      <c r="Z805" s="88"/>
      <c r="AA805" s="116"/>
      <c r="AB805" s="116"/>
      <c r="AC805" s="88"/>
      <c r="AD805" s="88">
        <v>640</v>
      </c>
      <c r="AE805" s="88">
        <v>260</v>
      </c>
      <c r="AF805" s="88">
        <v>100</v>
      </c>
      <c r="AG805" s="66">
        <f t="shared" si="25"/>
        <v>120.7392857142857</v>
      </c>
      <c r="AH805" s="143">
        <f t="shared" si="26"/>
        <v>1000</v>
      </c>
    </row>
    <row r="806" spans="1:34" s="118" customFormat="1" x14ac:dyDescent="0.3">
      <c r="A806" s="84">
        <v>802955</v>
      </c>
      <c r="B806" s="115">
        <v>4.3611111111111107</v>
      </c>
      <c r="C806" s="115"/>
      <c r="D806" s="86">
        <v>8.74</v>
      </c>
      <c r="E806" s="99">
        <v>0.17</v>
      </c>
      <c r="F806" s="84">
        <v>28.55</v>
      </c>
      <c r="G806" s="83"/>
      <c r="H806" s="84">
        <v>37.61</v>
      </c>
      <c r="I806" s="84">
        <v>200</v>
      </c>
      <c r="J806" s="85">
        <v>0.32500000000000001</v>
      </c>
      <c r="K806" s="87">
        <v>16.11</v>
      </c>
      <c r="L806" s="83">
        <v>1495</v>
      </c>
      <c r="M806" s="88">
        <v>0.44</v>
      </c>
      <c r="N806" s="88">
        <v>0.63</v>
      </c>
      <c r="O806" s="88">
        <v>1.23</v>
      </c>
      <c r="P806" s="88">
        <v>13.92</v>
      </c>
      <c r="Q806" s="88"/>
      <c r="R806" s="116">
        <v>1.6886570000000001</v>
      </c>
      <c r="S806" s="115">
        <v>13.3</v>
      </c>
      <c r="T806" s="88"/>
      <c r="U806" s="88"/>
      <c r="V806" s="88"/>
      <c r="W806" s="88"/>
      <c r="X806" s="88"/>
      <c r="Y806" s="115">
        <f t="shared" si="27"/>
        <v>46.2</v>
      </c>
      <c r="Z806" s="88"/>
      <c r="AA806" s="116"/>
      <c r="AB806" s="116"/>
      <c r="AC806" s="88"/>
      <c r="AD806" s="88">
        <v>660</v>
      </c>
      <c r="AE806" s="88">
        <v>240</v>
      </c>
      <c r="AF806" s="88">
        <v>100</v>
      </c>
      <c r="AG806" s="66">
        <f t="shared" si="25"/>
        <v>123.44025974025972</v>
      </c>
      <c r="AH806" s="143">
        <f t="shared" si="26"/>
        <v>1000</v>
      </c>
    </row>
    <row r="807" spans="1:34" s="118" customFormat="1" x14ac:dyDescent="0.3">
      <c r="A807" s="84">
        <v>802956</v>
      </c>
      <c r="B807" s="115">
        <v>0.41666666666666669</v>
      </c>
      <c r="C807" s="115"/>
      <c r="D807" s="86">
        <v>8.36</v>
      </c>
      <c r="E807" s="99">
        <v>0.17</v>
      </c>
      <c r="F807" s="84">
        <v>22.9</v>
      </c>
      <c r="G807" s="83"/>
      <c r="H807" s="84">
        <v>63.67</v>
      </c>
      <c r="I807" s="84">
        <v>250</v>
      </c>
      <c r="J807" s="85">
        <v>0.23400000000000001</v>
      </c>
      <c r="K807" s="87">
        <v>13.27</v>
      </c>
      <c r="L807" s="83">
        <v>1432</v>
      </c>
      <c r="M807" s="88">
        <v>0.28999999999999998</v>
      </c>
      <c r="N807" s="88">
        <v>0.88</v>
      </c>
      <c r="O807" s="88">
        <v>2.42</v>
      </c>
      <c r="P807" s="88">
        <v>16.559999999999999</v>
      </c>
      <c r="Q807" s="88"/>
      <c r="R807" s="116">
        <v>1.737657</v>
      </c>
      <c r="S807" s="115">
        <v>14.7</v>
      </c>
      <c r="T807" s="88"/>
      <c r="U807" s="88"/>
      <c r="V807" s="88"/>
      <c r="W807" s="88"/>
      <c r="X807" s="88"/>
      <c r="Y807" s="115">
        <f t="shared" si="27"/>
        <v>44.800000000000004</v>
      </c>
      <c r="Z807" s="88"/>
      <c r="AA807" s="116"/>
      <c r="AB807" s="116"/>
      <c r="AC807" s="88"/>
      <c r="AD807" s="88">
        <v>640</v>
      </c>
      <c r="AE807" s="88">
        <v>300</v>
      </c>
      <c r="AF807" s="88">
        <v>60</v>
      </c>
      <c r="AG807" s="66">
        <f t="shared" si="25"/>
        <v>104.85669642857141</v>
      </c>
      <c r="AH807" s="143">
        <f t="shared" si="26"/>
        <v>1000</v>
      </c>
    </row>
    <row r="808" spans="1:34" s="118" customFormat="1" x14ac:dyDescent="0.3">
      <c r="A808" s="84">
        <v>802957</v>
      </c>
      <c r="B808" s="115">
        <v>0.6333333333333333</v>
      </c>
      <c r="C808" s="115"/>
      <c r="D808" s="86">
        <v>8.52</v>
      </c>
      <c r="E808" s="99">
        <v>0.22</v>
      </c>
      <c r="F808" s="84">
        <v>25.299999999999997</v>
      </c>
      <c r="G808" s="83"/>
      <c r="H808" s="84">
        <v>26.82</v>
      </c>
      <c r="I808" s="84">
        <v>260</v>
      </c>
      <c r="J808" s="85">
        <v>0.311</v>
      </c>
      <c r="K808" s="87">
        <v>13.2</v>
      </c>
      <c r="L808" s="83">
        <v>1395</v>
      </c>
      <c r="M808" s="88">
        <v>0.3</v>
      </c>
      <c r="N808" s="88">
        <v>0.9</v>
      </c>
      <c r="O808" s="88">
        <v>1.76</v>
      </c>
      <c r="P808" s="88">
        <v>15.13</v>
      </c>
      <c r="Q808" s="88"/>
      <c r="R808" s="116">
        <v>1.6138970000000001</v>
      </c>
      <c r="S808" s="115">
        <v>11.3</v>
      </c>
      <c r="T808" s="88"/>
      <c r="U808" s="88"/>
      <c r="V808" s="88"/>
      <c r="W808" s="88"/>
      <c r="X808" s="88"/>
      <c r="Y808" s="115">
        <f t="shared" si="27"/>
        <v>44.800000000000004</v>
      </c>
      <c r="Z808" s="88"/>
      <c r="AA808" s="116"/>
      <c r="AB808" s="116"/>
      <c r="AC808" s="88"/>
      <c r="AD808" s="88">
        <v>640</v>
      </c>
      <c r="AE808" s="88">
        <v>300</v>
      </c>
      <c r="AF808" s="88">
        <v>60</v>
      </c>
      <c r="AG808" s="66">
        <f t="shared" si="25"/>
        <v>104.3035714285714</v>
      </c>
      <c r="AH808" s="143">
        <f t="shared" si="26"/>
        <v>1000</v>
      </c>
    </row>
    <row r="809" spans="1:34" s="118" customFormat="1" x14ac:dyDescent="0.3">
      <c r="A809" s="84">
        <v>802958</v>
      </c>
      <c r="B809" s="115">
        <v>1.5666666666666667</v>
      </c>
      <c r="C809" s="115"/>
      <c r="D809" s="86">
        <v>8.75</v>
      </c>
      <c r="E809" s="99">
        <v>0.17</v>
      </c>
      <c r="F809" s="84">
        <v>32.65</v>
      </c>
      <c r="G809" s="83"/>
      <c r="H809" s="84">
        <v>55.76</v>
      </c>
      <c r="I809" s="84">
        <v>190</v>
      </c>
      <c r="J809" s="85">
        <v>0.23300000000000001</v>
      </c>
      <c r="K809" s="87">
        <v>14.29</v>
      </c>
      <c r="L809" s="83">
        <v>1412</v>
      </c>
      <c r="M809" s="88">
        <v>0.24</v>
      </c>
      <c r="N809" s="88">
        <v>0.53</v>
      </c>
      <c r="O809" s="88">
        <v>2.08</v>
      </c>
      <c r="P809" s="88">
        <v>14.98</v>
      </c>
      <c r="Q809" s="88"/>
      <c r="R809" s="116">
        <v>1.6022000000000001</v>
      </c>
      <c r="S809" s="115">
        <v>11</v>
      </c>
      <c r="T809" s="88"/>
      <c r="U809" s="88"/>
      <c r="V809" s="88"/>
      <c r="W809" s="88"/>
      <c r="X809" s="88"/>
      <c r="Y809" s="115">
        <f t="shared" si="27"/>
        <v>44.800000000000004</v>
      </c>
      <c r="Z809" s="88"/>
      <c r="AA809" s="116"/>
      <c r="AB809" s="116"/>
      <c r="AC809" s="88"/>
      <c r="AD809" s="88">
        <v>640</v>
      </c>
      <c r="AE809" s="88">
        <v>260</v>
      </c>
      <c r="AF809" s="88">
        <v>100</v>
      </c>
      <c r="AG809" s="66">
        <f t="shared" si="25"/>
        <v>112.91651785714285</v>
      </c>
      <c r="AH809" s="143">
        <f t="shared" si="26"/>
        <v>1000</v>
      </c>
    </row>
    <row r="810" spans="1:34" s="118" customFormat="1" x14ac:dyDescent="0.3">
      <c r="A810" s="84">
        <v>802959</v>
      </c>
      <c r="B810" s="115">
        <v>4.4999999999999991</v>
      </c>
      <c r="C810" s="115"/>
      <c r="D810" s="86">
        <v>8.58</v>
      </c>
      <c r="E810" s="99">
        <v>0.19</v>
      </c>
      <c r="F810" s="84">
        <v>32.5</v>
      </c>
      <c r="G810" s="83"/>
      <c r="H810" s="84">
        <v>48.93</v>
      </c>
      <c r="I810" s="84">
        <v>220</v>
      </c>
      <c r="J810" s="85">
        <v>0.75</v>
      </c>
      <c r="K810" s="87">
        <v>16.38</v>
      </c>
      <c r="L810" s="83">
        <v>1705</v>
      </c>
      <c r="M810" s="88">
        <v>0.27</v>
      </c>
      <c r="N810" s="88">
        <v>0.57999999999999996</v>
      </c>
      <c r="O810" s="88">
        <v>1.63</v>
      </c>
      <c r="P810" s="88">
        <v>11.85</v>
      </c>
      <c r="Q810" s="88"/>
      <c r="R810" s="116">
        <v>1.5824250000000002</v>
      </c>
      <c r="S810" s="115">
        <v>10.5</v>
      </c>
      <c r="T810" s="88"/>
      <c r="U810" s="88"/>
      <c r="V810" s="88"/>
      <c r="W810" s="88"/>
      <c r="X810" s="88"/>
      <c r="Y810" s="115">
        <f t="shared" si="27"/>
        <v>44.800000000000004</v>
      </c>
      <c r="Z810" s="88"/>
      <c r="AA810" s="116"/>
      <c r="AB810" s="116"/>
      <c r="AC810" s="88"/>
      <c r="AD810" s="88">
        <v>640</v>
      </c>
      <c r="AE810" s="88">
        <v>240</v>
      </c>
      <c r="AF810" s="88">
        <v>120</v>
      </c>
      <c r="AG810" s="66">
        <f t="shared" si="25"/>
        <v>129.43124999999998</v>
      </c>
      <c r="AH810" s="143">
        <f t="shared" si="26"/>
        <v>1000</v>
      </c>
    </row>
    <row r="811" spans="1:34" s="118" customFormat="1" x14ac:dyDescent="0.3">
      <c r="A811" s="84">
        <v>802960</v>
      </c>
      <c r="B811" s="115">
        <v>1.9999999999999998</v>
      </c>
      <c r="C811" s="115"/>
      <c r="D811" s="86">
        <v>8.59</v>
      </c>
      <c r="E811" s="99">
        <v>0.17</v>
      </c>
      <c r="F811" s="84">
        <v>53.150000000000006</v>
      </c>
      <c r="G811" s="83"/>
      <c r="H811" s="84">
        <v>60.07</v>
      </c>
      <c r="I811" s="84">
        <v>270</v>
      </c>
      <c r="J811" s="85">
        <v>0.74</v>
      </c>
      <c r="K811" s="87">
        <v>16.7</v>
      </c>
      <c r="L811" s="83">
        <v>1523</v>
      </c>
      <c r="M811" s="88">
        <v>0.36</v>
      </c>
      <c r="N811" s="88">
        <v>0.62</v>
      </c>
      <c r="O811" s="88">
        <v>2.27</v>
      </c>
      <c r="P811" s="88">
        <v>12.24</v>
      </c>
      <c r="Q811" s="88"/>
      <c r="R811" s="116">
        <v>1.6814330000000002</v>
      </c>
      <c r="S811" s="115">
        <v>13.1</v>
      </c>
      <c r="T811" s="88"/>
      <c r="U811" s="88"/>
      <c r="V811" s="88"/>
      <c r="W811" s="88"/>
      <c r="X811" s="88"/>
      <c r="Y811" s="115">
        <f t="shared" si="27"/>
        <v>46.2</v>
      </c>
      <c r="Z811" s="88"/>
      <c r="AA811" s="116"/>
      <c r="AB811" s="116"/>
      <c r="AC811" s="88"/>
      <c r="AD811" s="88">
        <v>660</v>
      </c>
      <c r="AE811" s="88">
        <v>240</v>
      </c>
      <c r="AF811" s="88">
        <v>100</v>
      </c>
      <c r="AG811" s="66">
        <f t="shared" si="25"/>
        <v>127.96103896103894</v>
      </c>
      <c r="AH811" s="143">
        <f t="shared" si="26"/>
        <v>1000</v>
      </c>
    </row>
    <row r="812" spans="1:34" s="118" customFormat="1" x14ac:dyDescent="0.3">
      <c r="A812" s="84">
        <v>802961</v>
      </c>
      <c r="B812" s="115">
        <v>3.2499999999999996</v>
      </c>
      <c r="C812" s="115"/>
      <c r="D812" s="86">
        <v>8.69</v>
      </c>
      <c r="E812" s="99">
        <v>0.18</v>
      </c>
      <c r="F812" s="84">
        <v>57.55</v>
      </c>
      <c r="G812" s="83"/>
      <c r="H812" s="84">
        <v>57.74</v>
      </c>
      <c r="I812" s="84">
        <v>270</v>
      </c>
      <c r="J812" s="85">
        <v>0.25</v>
      </c>
      <c r="K812" s="87">
        <v>13.99</v>
      </c>
      <c r="L812" s="83">
        <v>1424</v>
      </c>
      <c r="M812" s="88">
        <v>0.37</v>
      </c>
      <c r="N812" s="88">
        <v>0.59</v>
      </c>
      <c r="O812" s="88">
        <v>3.55</v>
      </c>
      <c r="P812" s="88">
        <v>12.19</v>
      </c>
      <c r="Q812" s="88"/>
      <c r="R812" s="116">
        <v>1.720472</v>
      </c>
      <c r="S812" s="115">
        <v>14.2</v>
      </c>
      <c r="T812" s="88"/>
      <c r="U812" s="88"/>
      <c r="V812" s="88"/>
      <c r="W812" s="88"/>
      <c r="X812" s="88"/>
      <c r="Y812" s="115">
        <f t="shared" si="27"/>
        <v>46.2</v>
      </c>
      <c r="Z812" s="88"/>
      <c r="AA812" s="116"/>
      <c r="AB812" s="116"/>
      <c r="AC812" s="88"/>
      <c r="AD812" s="88">
        <v>660</v>
      </c>
      <c r="AE812" s="88">
        <v>260</v>
      </c>
      <c r="AF812" s="88">
        <v>80</v>
      </c>
      <c r="AG812" s="66">
        <f t="shared" si="25"/>
        <v>107.19610389610389</v>
      </c>
      <c r="AH812" s="143">
        <f t="shared" si="26"/>
        <v>1000</v>
      </c>
    </row>
    <row r="813" spans="1:34" s="118" customFormat="1" x14ac:dyDescent="0.3">
      <c r="A813" s="84">
        <v>802962</v>
      </c>
      <c r="B813" s="115">
        <v>2.7777777777777777</v>
      </c>
      <c r="C813" s="115"/>
      <c r="D813" s="86">
        <v>8.74</v>
      </c>
      <c r="E813" s="99">
        <v>0.17</v>
      </c>
      <c r="F813" s="84">
        <v>57.95</v>
      </c>
      <c r="G813" s="83"/>
      <c r="H813" s="84">
        <v>57.02</v>
      </c>
      <c r="I813" s="84">
        <v>200</v>
      </c>
      <c r="J813" s="85">
        <v>0.23100000000000001</v>
      </c>
      <c r="K813" s="87">
        <v>14.66</v>
      </c>
      <c r="L813" s="83">
        <v>924</v>
      </c>
      <c r="M813" s="88">
        <v>0.34</v>
      </c>
      <c r="N813" s="88">
        <v>0.59</v>
      </c>
      <c r="O813" s="88">
        <v>2.23</v>
      </c>
      <c r="P813" s="88">
        <v>12.24</v>
      </c>
      <c r="Q813" s="88"/>
      <c r="R813" s="116">
        <v>1.6704920000000001</v>
      </c>
      <c r="S813" s="115">
        <v>12.8</v>
      </c>
      <c r="T813" s="88"/>
      <c r="U813" s="88"/>
      <c r="V813" s="88"/>
      <c r="W813" s="88"/>
      <c r="X813" s="88"/>
      <c r="Y813" s="115">
        <f t="shared" si="27"/>
        <v>46.2</v>
      </c>
      <c r="Z813" s="88"/>
      <c r="AA813" s="116"/>
      <c r="AB813" s="116"/>
      <c r="AC813" s="88"/>
      <c r="AD813" s="88">
        <v>660</v>
      </c>
      <c r="AE813" s="88">
        <v>260</v>
      </c>
      <c r="AF813" s="88">
        <v>80</v>
      </c>
      <c r="AG813" s="66">
        <f t="shared" si="25"/>
        <v>112.32987012987013</v>
      </c>
      <c r="AH813" s="143">
        <f t="shared" si="26"/>
        <v>1000</v>
      </c>
    </row>
    <row r="814" spans="1:34" s="118" customFormat="1" x14ac:dyDescent="0.3">
      <c r="A814" s="84">
        <v>802963</v>
      </c>
      <c r="B814" s="115">
        <v>3.4166666666666665</v>
      </c>
      <c r="C814" s="115"/>
      <c r="D814" s="86">
        <v>8.66</v>
      </c>
      <c r="E814" s="99">
        <v>0.18</v>
      </c>
      <c r="F814" s="84">
        <v>39.4</v>
      </c>
      <c r="G814" s="83"/>
      <c r="H814" s="84">
        <v>35.090000000000003</v>
      </c>
      <c r="I814" s="84">
        <v>230</v>
      </c>
      <c r="J814" s="85">
        <v>0.22</v>
      </c>
      <c r="K814" s="87">
        <v>17.64</v>
      </c>
      <c r="L814" s="83">
        <v>1032</v>
      </c>
      <c r="M814" s="88">
        <v>0.36</v>
      </c>
      <c r="N814" s="88">
        <v>0.55000000000000004</v>
      </c>
      <c r="O814" s="88">
        <v>3.28</v>
      </c>
      <c r="P814" s="88">
        <v>13.16</v>
      </c>
      <c r="Q814" s="88"/>
      <c r="R814" s="116">
        <v>1.6704920000000001</v>
      </c>
      <c r="S814" s="115">
        <v>12.8</v>
      </c>
      <c r="T814" s="88"/>
      <c r="U814" s="88"/>
      <c r="V814" s="88"/>
      <c r="W814" s="88"/>
      <c r="X814" s="88"/>
      <c r="Y814" s="115">
        <f t="shared" si="27"/>
        <v>44.800000000000004</v>
      </c>
      <c r="Z814" s="88"/>
      <c r="AA814" s="116"/>
      <c r="AB814" s="116"/>
      <c r="AC814" s="88"/>
      <c r="AD814" s="88">
        <v>640</v>
      </c>
      <c r="AE814" s="88">
        <v>280</v>
      </c>
      <c r="AF814" s="88">
        <v>80</v>
      </c>
      <c r="AG814" s="66">
        <f t="shared" si="25"/>
        <v>139.38749999999999</v>
      </c>
      <c r="AH814" s="143">
        <f t="shared" si="26"/>
        <v>1000</v>
      </c>
    </row>
    <row r="815" spans="1:34" s="118" customFormat="1" x14ac:dyDescent="0.3">
      <c r="A815" s="84">
        <v>802964</v>
      </c>
      <c r="B815" s="115">
        <v>0.66666666666666663</v>
      </c>
      <c r="C815" s="115"/>
      <c r="D815" s="86">
        <v>8.08</v>
      </c>
      <c r="E815" s="99">
        <v>0.13</v>
      </c>
      <c r="F815" s="84">
        <v>32.5</v>
      </c>
      <c r="G815" s="83"/>
      <c r="H815" s="84">
        <v>158.56</v>
      </c>
      <c r="I815" s="84">
        <v>130</v>
      </c>
      <c r="J815" s="85">
        <v>0.05</v>
      </c>
      <c r="K815" s="87">
        <v>2.99</v>
      </c>
      <c r="L815" s="83">
        <v>198</v>
      </c>
      <c r="M815" s="88">
        <v>0.93</v>
      </c>
      <c r="N815" s="88">
        <v>0.23</v>
      </c>
      <c r="O815" s="88">
        <v>12.39</v>
      </c>
      <c r="P815" s="88">
        <v>18.559999999999999</v>
      </c>
      <c r="Q815" s="88"/>
      <c r="R815" s="116">
        <v>1.336043816300778</v>
      </c>
      <c r="S815" s="115">
        <v>9.4</v>
      </c>
      <c r="T815" s="88"/>
      <c r="U815" s="88"/>
      <c r="V815" s="88"/>
      <c r="W815" s="88"/>
      <c r="X815" s="88"/>
      <c r="Y815" s="115">
        <f t="shared" si="27"/>
        <v>5.6000000000000005</v>
      </c>
      <c r="Z815" s="88"/>
      <c r="AA815" s="116"/>
      <c r="AB815" s="116"/>
      <c r="AC815" s="88"/>
      <c r="AD815" s="88">
        <v>80</v>
      </c>
      <c r="AE815" s="88">
        <v>120</v>
      </c>
      <c r="AF815" s="88">
        <v>800</v>
      </c>
      <c r="AG815" s="66">
        <f t="shared" si="25"/>
        <v>189.01071428571427</v>
      </c>
      <c r="AH815" s="143">
        <f t="shared" si="26"/>
        <v>1000</v>
      </c>
    </row>
    <row r="816" spans="1:34" s="118" customFormat="1" x14ac:dyDescent="0.3">
      <c r="A816" s="84">
        <v>802965</v>
      </c>
      <c r="B816" s="115">
        <v>0.33333333333333331</v>
      </c>
      <c r="C816" s="115"/>
      <c r="D816" s="86">
        <v>7.78</v>
      </c>
      <c r="E816" s="99">
        <v>0.13</v>
      </c>
      <c r="F816" s="84">
        <v>31.200000000000003</v>
      </c>
      <c r="G816" s="83"/>
      <c r="H816" s="84">
        <v>254.91</v>
      </c>
      <c r="I816" s="84">
        <v>100</v>
      </c>
      <c r="J816" s="85">
        <v>6.0999999999999999E-2</v>
      </c>
      <c r="K816" s="87">
        <v>2.87</v>
      </c>
      <c r="L816" s="83">
        <v>256</v>
      </c>
      <c r="M816" s="88">
        <v>1.03</v>
      </c>
      <c r="N816" s="88">
        <v>0.34</v>
      </c>
      <c r="O816" s="88">
        <v>35.47</v>
      </c>
      <c r="P816" s="88">
        <v>34.01</v>
      </c>
      <c r="Q816" s="88"/>
      <c r="R816" s="116">
        <v>1.3652724779762555</v>
      </c>
      <c r="S816" s="115">
        <v>9.6</v>
      </c>
      <c r="T816" s="88"/>
      <c r="U816" s="88"/>
      <c r="V816" s="88"/>
      <c r="W816" s="88"/>
      <c r="X816" s="88"/>
      <c r="Y816" s="115">
        <f t="shared" si="27"/>
        <v>4.2</v>
      </c>
      <c r="Z816" s="88"/>
      <c r="AA816" s="116"/>
      <c r="AB816" s="116"/>
      <c r="AC816" s="88"/>
      <c r="AD816" s="88">
        <v>60</v>
      </c>
      <c r="AE816" s="88">
        <v>140</v>
      </c>
      <c r="AF816" s="88">
        <v>800</v>
      </c>
      <c r="AG816" s="66">
        <f t="shared" si="25"/>
        <v>241.9</v>
      </c>
      <c r="AH816" s="143">
        <f t="shared" si="26"/>
        <v>1000</v>
      </c>
    </row>
    <row r="817" spans="1:34" s="118" customFormat="1" x14ac:dyDescent="0.3">
      <c r="A817" s="84">
        <v>802966</v>
      </c>
      <c r="B817" s="115">
        <v>1E-4</v>
      </c>
      <c r="C817" s="115"/>
      <c r="D817" s="86">
        <v>6.98</v>
      </c>
      <c r="E817" s="99">
        <v>0.03</v>
      </c>
      <c r="F817" s="84">
        <v>30.049999999999997</v>
      </c>
      <c r="G817" s="83"/>
      <c r="H817" s="84">
        <v>118.13</v>
      </c>
      <c r="I817" s="84">
        <v>40</v>
      </c>
      <c r="J817" s="85">
        <v>3.3000000000000002E-2</v>
      </c>
      <c r="K817" s="87">
        <v>0.69</v>
      </c>
      <c r="L817" s="83">
        <v>121</v>
      </c>
      <c r="M817" s="88">
        <v>0.55000000000000004</v>
      </c>
      <c r="N817" s="88">
        <v>0.23</v>
      </c>
      <c r="O817" s="88">
        <v>7.9</v>
      </c>
      <c r="P817" s="88">
        <v>26.34</v>
      </c>
      <c r="Q817" s="88"/>
      <c r="R817" s="116">
        <v>1.0158612193008079</v>
      </c>
      <c r="S817" s="115">
        <v>6.7</v>
      </c>
      <c r="T817" s="88"/>
      <c r="U817" s="88"/>
      <c r="V817" s="88"/>
      <c r="W817" s="88"/>
      <c r="X817" s="88"/>
      <c r="Y817" s="115">
        <f t="shared" si="27"/>
        <v>4.2</v>
      </c>
      <c r="Z817" s="88"/>
      <c r="AA817" s="116"/>
      <c r="AB817" s="116"/>
      <c r="AC817" s="88"/>
      <c r="AD817" s="88">
        <v>60</v>
      </c>
      <c r="AE817" s="88">
        <v>60</v>
      </c>
      <c r="AF817" s="88">
        <v>880</v>
      </c>
      <c r="AG817" s="66">
        <f t="shared" si="25"/>
        <v>58.157142857142844</v>
      </c>
      <c r="AH817" s="143">
        <f t="shared" si="26"/>
        <v>1000</v>
      </c>
    </row>
    <row r="818" spans="1:34" s="118" customFormat="1" x14ac:dyDescent="0.3">
      <c r="A818" s="84">
        <v>802967</v>
      </c>
      <c r="B818" s="115">
        <v>1E-4</v>
      </c>
      <c r="C818" s="115"/>
      <c r="D818" s="86">
        <v>6.92</v>
      </c>
      <c r="E818" s="99">
        <v>0.03</v>
      </c>
      <c r="F818" s="84">
        <v>24.25</v>
      </c>
      <c r="G818" s="83"/>
      <c r="H818" s="84">
        <v>130.53</v>
      </c>
      <c r="I818" s="84">
        <v>40</v>
      </c>
      <c r="J818" s="85">
        <v>0.03</v>
      </c>
      <c r="K818" s="87">
        <v>0.73</v>
      </c>
      <c r="L818" s="83">
        <v>123</v>
      </c>
      <c r="M818" s="88">
        <v>0.5</v>
      </c>
      <c r="N818" s="88">
        <v>0.24</v>
      </c>
      <c r="O818" s="88">
        <v>8.6999999999999993</v>
      </c>
      <c r="P818" s="88">
        <v>29.29</v>
      </c>
      <c r="Q818" s="88"/>
      <c r="R818" s="116">
        <v>0.69386773421025538</v>
      </c>
      <c r="S818" s="115">
        <v>5.2</v>
      </c>
      <c r="T818" s="88"/>
      <c r="U818" s="88"/>
      <c r="V818" s="88"/>
      <c r="W818" s="88"/>
      <c r="X818" s="88"/>
      <c r="Y818" s="115">
        <f t="shared" si="27"/>
        <v>4.2</v>
      </c>
      <c r="Z818" s="88"/>
      <c r="AA818" s="116"/>
      <c r="AB818" s="116"/>
      <c r="AC818" s="88"/>
      <c r="AD818" s="88">
        <v>60</v>
      </c>
      <c r="AE818" s="88">
        <v>60</v>
      </c>
      <c r="AF818" s="88">
        <v>880</v>
      </c>
      <c r="AG818" s="66">
        <f t="shared" si="25"/>
        <v>61.528571428571432</v>
      </c>
      <c r="AH818" s="143">
        <f t="shared" si="26"/>
        <v>1000</v>
      </c>
    </row>
    <row r="819" spans="1:34" s="118" customFormat="1" x14ac:dyDescent="0.3">
      <c r="A819" s="84">
        <v>802968</v>
      </c>
      <c r="B819" s="115">
        <v>3.3333333333333333E-2</v>
      </c>
      <c r="C819" s="115"/>
      <c r="D819" s="86">
        <v>7.65</v>
      </c>
      <c r="E819" s="99">
        <v>0.16</v>
      </c>
      <c r="F819" s="84">
        <v>84.65</v>
      </c>
      <c r="G819" s="83"/>
      <c r="H819" s="84">
        <v>222.73</v>
      </c>
      <c r="I819" s="84">
        <v>200</v>
      </c>
      <c r="J819" s="85">
        <v>5.1999999999999998E-2</v>
      </c>
      <c r="K819" s="87">
        <v>1.55</v>
      </c>
      <c r="L819" s="83">
        <v>144</v>
      </c>
      <c r="M819" s="88">
        <v>3.33</v>
      </c>
      <c r="N819" s="88">
        <v>2.2799999999999998</v>
      </c>
      <c r="O819" s="88">
        <v>10.25</v>
      </c>
      <c r="P819" s="88">
        <v>9.92</v>
      </c>
      <c r="Q819" s="88"/>
      <c r="R819" s="116">
        <v>1.0327601290034012</v>
      </c>
      <c r="S819" s="115">
        <v>6.9</v>
      </c>
      <c r="T819" s="88"/>
      <c r="U819" s="88"/>
      <c r="V819" s="88"/>
      <c r="W819" s="88"/>
      <c r="X819" s="88"/>
      <c r="Y819" s="115">
        <f t="shared" si="27"/>
        <v>4.2</v>
      </c>
      <c r="Z819" s="88"/>
      <c r="AA819" s="116"/>
      <c r="AB819" s="116"/>
      <c r="AC819" s="88"/>
      <c r="AD819" s="88">
        <v>60</v>
      </c>
      <c r="AE819" s="88">
        <v>60</v>
      </c>
      <c r="AF819" s="88">
        <v>880</v>
      </c>
      <c r="AG819" s="66">
        <f t="shared" si="25"/>
        <v>130.64285714285714</v>
      </c>
      <c r="AH819" s="143">
        <f t="shared" si="26"/>
        <v>1000</v>
      </c>
    </row>
    <row r="820" spans="1:34" s="118" customFormat="1" x14ac:dyDescent="0.3">
      <c r="A820" s="84">
        <v>802969</v>
      </c>
      <c r="B820" s="115">
        <v>6.6666666666666666E-2</v>
      </c>
      <c r="C820" s="115"/>
      <c r="D820" s="86">
        <v>8.06</v>
      </c>
      <c r="E820" s="99">
        <v>0.11</v>
      </c>
      <c r="F820" s="84">
        <v>35.950000000000003</v>
      </c>
      <c r="G820" s="83"/>
      <c r="H820" s="84">
        <v>197.39</v>
      </c>
      <c r="I820" s="84">
        <v>160</v>
      </c>
      <c r="J820" s="85">
        <v>0.03</v>
      </c>
      <c r="K820" s="87">
        <v>1.59</v>
      </c>
      <c r="L820" s="83">
        <v>136</v>
      </c>
      <c r="M820" s="88">
        <v>3.45</v>
      </c>
      <c r="N820" s="88">
        <v>2.66</v>
      </c>
      <c r="O820" s="88">
        <v>5.75</v>
      </c>
      <c r="P820" s="88">
        <v>9.67</v>
      </c>
      <c r="Q820" s="88"/>
      <c r="R820" s="116">
        <v>0.51628769953101605</v>
      </c>
      <c r="S820" s="115">
        <v>3.7</v>
      </c>
      <c r="T820" s="88"/>
      <c r="U820" s="88"/>
      <c r="V820" s="88"/>
      <c r="W820" s="88"/>
      <c r="X820" s="88"/>
      <c r="Y820" s="115">
        <f t="shared" si="27"/>
        <v>4.2</v>
      </c>
      <c r="Z820" s="88"/>
      <c r="AA820" s="116"/>
      <c r="AB820" s="116"/>
      <c r="AC820" s="88"/>
      <c r="AD820" s="88">
        <v>60</v>
      </c>
      <c r="AE820" s="88">
        <v>60</v>
      </c>
      <c r="AF820" s="88">
        <v>880</v>
      </c>
      <c r="AG820" s="66">
        <f t="shared" si="25"/>
        <v>134.01428571428571</v>
      </c>
      <c r="AH820" s="143">
        <f t="shared" si="26"/>
        <v>1000</v>
      </c>
    </row>
    <row r="821" spans="1:34" s="118" customFormat="1" x14ac:dyDescent="0.3">
      <c r="A821" s="84">
        <v>802987</v>
      </c>
      <c r="B821" s="115">
        <v>16</v>
      </c>
      <c r="C821" s="115">
        <v>7.1249999999999991</v>
      </c>
      <c r="D821" s="86">
        <v>9.1300000000000008</v>
      </c>
      <c r="E821" s="99">
        <v>0.155</v>
      </c>
      <c r="F821" s="84">
        <v>38.299999999999997</v>
      </c>
      <c r="G821" s="83"/>
      <c r="H821" s="84">
        <v>34.17</v>
      </c>
      <c r="I821" s="84">
        <v>160</v>
      </c>
      <c r="J821" s="85">
        <v>0.11</v>
      </c>
      <c r="K821" s="87">
        <v>10.9</v>
      </c>
      <c r="L821" s="83">
        <v>520</v>
      </c>
      <c r="M821" s="88">
        <v>0.34</v>
      </c>
      <c r="N821" s="88">
        <v>0.84</v>
      </c>
      <c r="O821" s="88">
        <v>2.66</v>
      </c>
      <c r="P821" s="88">
        <v>5.86</v>
      </c>
      <c r="Q821" s="88"/>
      <c r="R821" s="116">
        <v>1.5085929771419038</v>
      </c>
      <c r="S821" s="115">
        <v>10</v>
      </c>
      <c r="T821" s="88"/>
      <c r="U821" s="88"/>
      <c r="V821" s="88"/>
      <c r="W821" s="88"/>
      <c r="X821" s="88"/>
      <c r="Y821" s="115">
        <f>AD821*0.07</f>
        <v>40.6</v>
      </c>
      <c r="Z821" s="88"/>
      <c r="AA821" s="116"/>
      <c r="AB821" s="116"/>
      <c r="AC821" s="88"/>
      <c r="AD821" s="88">
        <v>580</v>
      </c>
      <c r="AE821" s="88">
        <v>340</v>
      </c>
      <c r="AF821" s="88">
        <v>80</v>
      </c>
      <c r="AG821" s="66">
        <f t="shared" si="25"/>
        <v>95.039408866995075</v>
      </c>
      <c r="AH821" s="143">
        <f t="shared" si="26"/>
        <v>1000</v>
      </c>
    </row>
    <row r="822" spans="1:34" s="118" customFormat="1" x14ac:dyDescent="0.3">
      <c r="A822" s="84">
        <v>802988</v>
      </c>
      <c r="B822" s="115">
        <v>15.083333333333332</v>
      </c>
      <c r="C822" s="115">
        <v>6.9999999999999973</v>
      </c>
      <c r="D822" s="86">
        <v>9</v>
      </c>
      <c r="E822" s="99">
        <v>0.16800000000000001</v>
      </c>
      <c r="F822" s="84">
        <v>41.050000000000004</v>
      </c>
      <c r="G822" s="83"/>
      <c r="H822" s="84">
        <v>30.3</v>
      </c>
      <c r="I822" s="84">
        <v>140</v>
      </c>
      <c r="J822" s="85">
        <v>0.105</v>
      </c>
      <c r="K822" s="87">
        <v>8.6</v>
      </c>
      <c r="L822" s="83">
        <v>460</v>
      </c>
      <c r="M822" s="88">
        <v>0.43</v>
      </c>
      <c r="N822" s="88">
        <v>0.98</v>
      </c>
      <c r="O822" s="88">
        <v>3.33</v>
      </c>
      <c r="P822" s="88">
        <v>7.85</v>
      </c>
      <c r="Q822" s="88"/>
      <c r="R822" s="116">
        <v>1.5784280000000002</v>
      </c>
      <c r="S822" s="115">
        <v>10.4</v>
      </c>
      <c r="T822" s="88"/>
      <c r="U822" s="88"/>
      <c r="V822" s="88"/>
      <c r="W822" s="88"/>
      <c r="X822" s="88"/>
      <c r="Y822" s="115">
        <f t="shared" si="27"/>
        <v>40.6</v>
      </c>
      <c r="Z822" s="88"/>
      <c r="AA822" s="116"/>
      <c r="AB822" s="116"/>
      <c r="AC822" s="88"/>
      <c r="AD822" s="88">
        <v>580</v>
      </c>
      <c r="AE822" s="88">
        <v>320</v>
      </c>
      <c r="AF822" s="88">
        <v>100</v>
      </c>
      <c r="AG822" s="66">
        <f t="shared" si="25"/>
        <v>74.98522167487684</v>
      </c>
      <c r="AH822" s="143">
        <f t="shared" si="26"/>
        <v>1000</v>
      </c>
    </row>
    <row r="823" spans="1:34" s="118" customFormat="1" x14ac:dyDescent="0.3">
      <c r="A823" s="84">
        <v>802989</v>
      </c>
      <c r="B823" s="115">
        <v>0.11666666666666665</v>
      </c>
      <c r="C823" s="115"/>
      <c r="D823" s="86">
        <v>7.36</v>
      </c>
      <c r="E823" s="99">
        <v>5.5E-2</v>
      </c>
      <c r="F823" s="84">
        <v>32.799999999999997</v>
      </c>
      <c r="G823" s="83"/>
      <c r="H823" s="84">
        <v>95.89</v>
      </c>
      <c r="I823" s="84">
        <v>40</v>
      </c>
      <c r="J823" s="85">
        <v>3.9E-2</v>
      </c>
      <c r="K823" s="87">
        <v>0.83</v>
      </c>
      <c r="L823" s="83">
        <v>90</v>
      </c>
      <c r="M823" s="88">
        <v>1.93</v>
      </c>
      <c r="N823" s="88">
        <v>0.28000000000000003</v>
      </c>
      <c r="O823" s="88">
        <v>9.7200000000000006</v>
      </c>
      <c r="P823" s="88">
        <v>48.41</v>
      </c>
      <c r="Q823" s="88"/>
      <c r="R823" s="116">
        <v>1.3162129911969982</v>
      </c>
      <c r="S823" s="115">
        <v>9.8000000000000007</v>
      </c>
      <c r="T823" s="88"/>
      <c r="U823" s="88"/>
      <c r="V823" s="88"/>
      <c r="W823" s="88"/>
      <c r="X823" s="88"/>
      <c r="Y823" s="115">
        <f t="shared" si="27"/>
        <v>7.0000000000000009</v>
      </c>
      <c r="Z823" s="88"/>
      <c r="AA823" s="116"/>
      <c r="AB823" s="116"/>
      <c r="AC823" s="88"/>
      <c r="AD823" s="88">
        <v>100</v>
      </c>
      <c r="AE823" s="88">
        <v>80</v>
      </c>
      <c r="AF823" s="88">
        <v>820</v>
      </c>
      <c r="AG823" s="66">
        <f t="shared" si="25"/>
        <v>41.974285714285706</v>
      </c>
      <c r="AH823" s="143">
        <f t="shared" si="26"/>
        <v>1000</v>
      </c>
    </row>
    <row r="824" spans="1:34" s="118" customFormat="1" x14ac:dyDescent="0.3">
      <c r="A824" s="84">
        <v>802990</v>
      </c>
      <c r="B824" s="115">
        <v>0.15</v>
      </c>
      <c r="C824" s="115"/>
      <c r="D824" s="86">
        <v>6.97</v>
      </c>
      <c r="E824" s="99">
        <v>5.2999999999999999E-2</v>
      </c>
      <c r="F824" s="84">
        <v>39.900000000000006</v>
      </c>
      <c r="G824" s="83"/>
      <c r="H824" s="84">
        <v>110.18</v>
      </c>
      <c r="I824" s="84">
        <v>60</v>
      </c>
      <c r="J824" s="85">
        <v>4.9000000000000002E-2</v>
      </c>
      <c r="K824" s="87">
        <v>0.81</v>
      </c>
      <c r="L824" s="83">
        <v>110</v>
      </c>
      <c r="M824" s="88">
        <v>1.61</v>
      </c>
      <c r="N824" s="88">
        <v>0.3</v>
      </c>
      <c r="O824" s="88">
        <v>24.23</v>
      </c>
      <c r="P824" s="88">
        <v>45.8</v>
      </c>
      <c r="Q824" s="88"/>
      <c r="R824" s="116">
        <v>1.6022000000000001</v>
      </c>
      <c r="S824" s="115">
        <v>11</v>
      </c>
      <c r="T824" s="88"/>
      <c r="U824" s="88"/>
      <c r="V824" s="88"/>
      <c r="W824" s="88"/>
      <c r="X824" s="88"/>
      <c r="Y824" s="115">
        <f t="shared" si="27"/>
        <v>7.0000000000000009</v>
      </c>
      <c r="Z824" s="88"/>
      <c r="AA824" s="116"/>
      <c r="AB824" s="116"/>
      <c r="AC824" s="88"/>
      <c r="AD824" s="88">
        <v>100</v>
      </c>
      <c r="AE824" s="88">
        <v>80</v>
      </c>
      <c r="AF824" s="88">
        <v>820</v>
      </c>
      <c r="AG824" s="66">
        <f t="shared" si="25"/>
        <v>40.962857142857146</v>
      </c>
      <c r="AH824" s="143">
        <f t="shared" si="26"/>
        <v>1000</v>
      </c>
    </row>
    <row r="825" spans="1:34" s="118" customFormat="1" x14ac:dyDescent="0.3">
      <c r="A825" s="84">
        <v>802991</v>
      </c>
      <c r="B825" s="115">
        <v>2.2999999999999998</v>
      </c>
      <c r="C825" s="115"/>
      <c r="D825" s="116">
        <v>8.35</v>
      </c>
      <c r="E825" s="1525">
        <v>0.26800000000000002</v>
      </c>
      <c r="F825" s="89">
        <v>83.65</v>
      </c>
      <c r="G825" s="88"/>
      <c r="H825" s="89">
        <v>58.28</v>
      </c>
      <c r="I825" s="89">
        <v>220</v>
      </c>
      <c r="J825" s="117">
        <v>0.16500000000000001</v>
      </c>
      <c r="K825" s="115">
        <v>8.61</v>
      </c>
      <c r="L825" s="88">
        <v>660</v>
      </c>
      <c r="M825" s="88">
        <v>0.53</v>
      </c>
      <c r="N825" s="88">
        <v>1.4</v>
      </c>
      <c r="O825" s="88">
        <v>5.14</v>
      </c>
      <c r="P825" s="88">
        <v>9.17</v>
      </c>
      <c r="Q825" s="88"/>
      <c r="R825" s="116">
        <v>1.7410520000000003</v>
      </c>
      <c r="S825" s="115">
        <v>14.8</v>
      </c>
      <c r="T825" s="88"/>
      <c r="U825" s="88"/>
      <c r="V825" s="88"/>
      <c r="W825" s="88"/>
      <c r="X825" s="88"/>
      <c r="Y825" s="115">
        <f t="shared" si="27"/>
        <v>44.800000000000004</v>
      </c>
      <c r="Z825" s="88"/>
      <c r="AA825" s="116"/>
      <c r="AB825" s="116"/>
      <c r="AC825" s="88"/>
      <c r="AD825" s="88">
        <v>640</v>
      </c>
      <c r="AE825" s="88">
        <v>240</v>
      </c>
      <c r="AF825" s="88">
        <v>120</v>
      </c>
      <c r="AG825" s="66">
        <f t="shared" si="25"/>
        <v>68.034374999999983</v>
      </c>
      <c r="AH825" s="143">
        <f t="shared" si="26"/>
        <v>1000</v>
      </c>
    </row>
    <row r="826" spans="1:34" s="118" customFormat="1" x14ac:dyDescent="0.3">
      <c r="A826" s="84">
        <v>802992</v>
      </c>
      <c r="B826" s="115">
        <v>2.1166666666666663</v>
      </c>
      <c r="C826" s="115"/>
      <c r="D826" s="116">
        <v>8.36</v>
      </c>
      <c r="E826" s="1525">
        <v>0.158</v>
      </c>
      <c r="F826" s="89">
        <v>38.700000000000003</v>
      </c>
      <c r="G826" s="88"/>
      <c r="H826" s="89">
        <v>53.83</v>
      </c>
      <c r="I826" s="89">
        <v>180</v>
      </c>
      <c r="J826" s="117">
        <v>0.13100000000000001</v>
      </c>
      <c r="K826" s="115">
        <v>8.76</v>
      </c>
      <c r="L826" s="88">
        <v>700</v>
      </c>
      <c r="M826" s="88">
        <v>0.4</v>
      </c>
      <c r="N826" s="88">
        <v>1.22</v>
      </c>
      <c r="O826" s="88">
        <v>3.16</v>
      </c>
      <c r="P826" s="88">
        <v>6.33</v>
      </c>
      <c r="Q826" s="88"/>
      <c r="R826" s="116">
        <v>1.7410520000000003</v>
      </c>
      <c r="S826" s="115">
        <v>14.8</v>
      </c>
      <c r="T826" s="88"/>
      <c r="U826" s="88"/>
      <c r="V826" s="88"/>
      <c r="W826" s="88"/>
      <c r="X826" s="88"/>
      <c r="Y826" s="115">
        <f t="shared" si="27"/>
        <v>44.800000000000004</v>
      </c>
      <c r="Z826" s="88"/>
      <c r="AA826" s="116"/>
      <c r="AB826" s="116"/>
      <c r="AC826" s="88"/>
      <c r="AD826" s="88">
        <v>640</v>
      </c>
      <c r="AE826" s="88">
        <v>240</v>
      </c>
      <c r="AF826" s="88">
        <v>120</v>
      </c>
      <c r="AG826" s="66">
        <f t="shared" si="25"/>
        <v>69.219642857142844</v>
      </c>
      <c r="AH826" s="143">
        <f t="shared" si="26"/>
        <v>1000</v>
      </c>
    </row>
    <row r="827" spans="1:34" s="118" customFormat="1" x14ac:dyDescent="0.3">
      <c r="A827" s="84">
        <v>802993</v>
      </c>
      <c r="B827" s="115">
        <v>0.45000000000000007</v>
      </c>
      <c r="C827" s="115"/>
      <c r="D827" s="116">
        <v>8.3699999999999992</v>
      </c>
      <c r="E827" s="1525">
        <v>0.129</v>
      </c>
      <c r="F827" s="89">
        <v>27.85</v>
      </c>
      <c r="G827" s="88"/>
      <c r="H827" s="89">
        <v>49.01</v>
      </c>
      <c r="I827" s="89">
        <v>110</v>
      </c>
      <c r="J827" s="117">
        <v>0.11600000000000001</v>
      </c>
      <c r="K827" s="115">
        <v>4.33</v>
      </c>
      <c r="L827" s="88">
        <v>410</v>
      </c>
      <c r="M827" s="88">
        <v>0.31</v>
      </c>
      <c r="N827" s="88">
        <v>0.74</v>
      </c>
      <c r="O827" s="88">
        <v>5.01</v>
      </c>
      <c r="P827" s="88">
        <v>8.59</v>
      </c>
      <c r="Q827" s="88"/>
      <c r="R827" s="116">
        <v>1.4334273552063299</v>
      </c>
      <c r="S827" s="115">
        <v>10.199999999999999</v>
      </c>
      <c r="T827" s="88"/>
      <c r="U827" s="88"/>
      <c r="V827" s="88"/>
      <c r="W827" s="88"/>
      <c r="X827" s="88"/>
      <c r="Y827" s="115">
        <f t="shared" si="27"/>
        <v>44.800000000000004</v>
      </c>
      <c r="Z827" s="88"/>
      <c r="AA827" s="116"/>
      <c r="AB827" s="116"/>
      <c r="AC827" s="88"/>
      <c r="AD827" s="88">
        <v>640</v>
      </c>
      <c r="AE827" s="88">
        <v>200</v>
      </c>
      <c r="AF827" s="88">
        <v>160</v>
      </c>
      <c r="AG827" s="66">
        <f t="shared" si="25"/>
        <v>34.214732142857144</v>
      </c>
      <c r="AH827" s="143">
        <f t="shared" si="26"/>
        <v>1000</v>
      </c>
    </row>
    <row r="828" spans="1:34" s="118" customFormat="1" x14ac:dyDescent="0.3">
      <c r="A828" s="84">
        <v>802994</v>
      </c>
      <c r="B828" s="115">
        <v>0.54999999999999993</v>
      </c>
      <c r="C828" s="115"/>
      <c r="D828" s="116">
        <v>7.48</v>
      </c>
      <c r="E828" s="1525">
        <v>0.14399999999999999</v>
      </c>
      <c r="F828" s="89">
        <v>25.2</v>
      </c>
      <c r="G828" s="88"/>
      <c r="H828" s="89">
        <v>54.7</v>
      </c>
      <c r="I828" s="89">
        <v>110</v>
      </c>
      <c r="J828" s="117">
        <v>0.111</v>
      </c>
      <c r="K828" s="115">
        <v>4.42</v>
      </c>
      <c r="L828" s="88">
        <v>580</v>
      </c>
      <c r="M828" s="88">
        <v>0.45</v>
      </c>
      <c r="N828" s="88">
        <v>0.92</v>
      </c>
      <c r="O828" s="88">
        <v>14.01</v>
      </c>
      <c r="P828" s="88">
        <v>17.43</v>
      </c>
      <c r="Q828" s="88"/>
      <c r="R828" s="116">
        <v>1.6594250000000001</v>
      </c>
      <c r="S828" s="115">
        <v>12.5</v>
      </c>
      <c r="T828" s="88"/>
      <c r="U828" s="88"/>
      <c r="V828" s="88"/>
      <c r="W828" s="88"/>
      <c r="X828" s="88"/>
      <c r="Y828" s="115">
        <f t="shared" si="27"/>
        <v>46.900000000000006</v>
      </c>
      <c r="Z828" s="88"/>
      <c r="AA828" s="116"/>
      <c r="AB828" s="116"/>
      <c r="AC828" s="88"/>
      <c r="AD828" s="88">
        <v>670</v>
      </c>
      <c r="AE828" s="88">
        <v>180</v>
      </c>
      <c r="AF828" s="88">
        <v>150</v>
      </c>
      <c r="AG828" s="66">
        <f t="shared" si="25"/>
        <v>33.362046908315563</v>
      </c>
      <c r="AH828" s="143">
        <f t="shared" si="26"/>
        <v>1000</v>
      </c>
    </row>
    <row r="829" spans="1:34" s="118" customFormat="1" x14ac:dyDescent="0.3">
      <c r="A829" s="84">
        <v>802995</v>
      </c>
      <c r="B829" s="115">
        <v>9.1666666666666679</v>
      </c>
      <c r="C829" s="115">
        <v>7.8749999999999982</v>
      </c>
      <c r="D829" s="116">
        <v>8.3000000000000007</v>
      </c>
      <c r="E829" s="1525">
        <v>0.28599999999999998</v>
      </c>
      <c r="F829" s="89">
        <v>125.05000000000001</v>
      </c>
      <c r="G829" s="88"/>
      <c r="H829" s="89">
        <v>40.96</v>
      </c>
      <c r="I829" s="89">
        <v>160</v>
      </c>
      <c r="J829" s="117">
        <v>0.19600000000000001</v>
      </c>
      <c r="K829" s="115">
        <v>9.65</v>
      </c>
      <c r="L829" s="88">
        <v>780</v>
      </c>
      <c r="M829" s="88">
        <v>0.23</v>
      </c>
      <c r="N829" s="88">
        <v>0.84</v>
      </c>
      <c r="O829" s="88">
        <v>1.9</v>
      </c>
      <c r="P829" s="88">
        <v>3.86</v>
      </c>
      <c r="Q829" s="88"/>
      <c r="R829" s="116">
        <v>1.7644250000000001</v>
      </c>
      <c r="S829" s="115">
        <v>15.5</v>
      </c>
      <c r="T829" s="88"/>
      <c r="U829" s="88"/>
      <c r="V829" s="88"/>
      <c r="W829" s="88"/>
      <c r="X829" s="88"/>
      <c r="Y829" s="115">
        <f t="shared" si="27"/>
        <v>44.800000000000004</v>
      </c>
      <c r="Z829" s="88"/>
      <c r="AA829" s="116"/>
      <c r="AB829" s="116"/>
      <c r="AC829" s="88"/>
      <c r="AD829" s="88">
        <v>640</v>
      </c>
      <c r="AE829" s="88">
        <v>240</v>
      </c>
      <c r="AF829" s="88">
        <v>120</v>
      </c>
      <c r="AG829" s="66">
        <f t="shared" si="25"/>
        <v>76.252232142857139</v>
      </c>
      <c r="AH829" s="143">
        <f t="shared" si="26"/>
        <v>1000</v>
      </c>
    </row>
    <row r="830" spans="1:34" s="118" customFormat="1" x14ac:dyDescent="0.3">
      <c r="A830" s="84">
        <v>802996</v>
      </c>
      <c r="B830" s="115">
        <v>8.9166666666666661</v>
      </c>
      <c r="C830" s="115">
        <v>7.9999999999999982</v>
      </c>
      <c r="D830" s="116">
        <v>8.44</v>
      </c>
      <c r="E830" s="1525">
        <v>0.315</v>
      </c>
      <c r="F830" s="89">
        <v>138.19999999999999</v>
      </c>
      <c r="G830" s="88"/>
      <c r="H830" s="89">
        <v>182.53</v>
      </c>
      <c r="I830" s="89">
        <v>210</v>
      </c>
      <c r="J830" s="117">
        <v>0.20699999999999999</v>
      </c>
      <c r="K830" s="115">
        <v>11.15</v>
      </c>
      <c r="L830" s="88">
        <v>790</v>
      </c>
      <c r="M830" s="88">
        <v>0.28999999999999998</v>
      </c>
      <c r="N830" s="88">
        <v>1.1399999999999999</v>
      </c>
      <c r="O830" s="88">
        <v>5.28</v>
      </c>
      <c r="P830" s="88">
        <v>6.91</v>
      </c>
      <c r="Q830" s="88"/>
      <c r="R830" s="116">
        <v>1.836392</v>
      </c>
      <c r="S830" s="115">
        <v>17.8</v>
      </c>
      <c r="T830" s="88"/>
      <c r="U830" s="88"/>
      <c r="V830" s="88"/>
      <c r="W830" s="88"/>
      <c r="X830" s="88"/>
      <c r="Y830" s="115">
        <f t="shared" si="27"/>
        <v>46.2</v>
      </c>
      <c r="Z830" s="88"/>
      <c r="AA830" s="116"/>
      <c r="AB830" s="116"/>
      <c r="AC830" s="88"/>
      <c r="AD830" s="88">
        <v>660</v>
      </c>
      <c r="AE830" s="88">
        <v>240</v>
      </c>
      <c r="AF830" s="88">
        <v>100</v>
      </c>
      <c r="AG830" s="66">
        <f t="shared" si="25"/>
        <v>85.435064935064943</v>
      </c>
      <c r="AH830" s="143">
        <f t="shared" si="26"/>
        <v>1000</v>
      </c>
    </row>
    <row r="831" spans="1:34" s="118" customFormat="1" x14ac:dyDescent="0.3">
      <c r="A831" s="84">
        <v>802997</v>
      </c>
      <c r="B831" s="115">
        <v>5.4166666666666661</v>
      </c>
      <c r="C831" s="115"/>
      <c r="D831" s="116">
        <v>8.68</v>
      </c>
      <c r="E831" s="1525">
        <v>0.154</v>
      </c>
      <c r="F831" s="89">
        <v>35.25</v>
      </c>
      <c r="G831" s="88"/>
      <c r="H831" s="89">
        <v>51.6</v>
      </c>
      <c r="I831" s="89">
        <v>240</v>
      </c>
      <c r="J831" s="117">
        <v>0.17699999999999999</v>
      </c>
      <c r="K831" s="115">
        <v>11.39</v>
      </c>
      <c r="L831" s="88">
        <v>940</v>
      </c>
      <c r="M831" s="88">
        <v>0.37</v>
      </c>
      <c r="N831" s="88">
        <v>1.24</v>
      </c>
      <c r="O831" s="88">
        <v>3.52</v>
      </c>
      <c r="P831" s="88">
        <v>9.32</v>
      </c>
      <c r="Q831" s="88"/>
      <c r="R831" s="116">
        <v>1.6993880000000001</v>
      </c>
      <c r="S831" s="115">
        <v>13.6</v>
      </c>
      <c r="T831" s="88"/>
      <c r="U831" s="88"/>
      <c r="V831" s="88"/>
      <c r="W831" s="88"/>
      <c r="X831" s="88"/>
      <c r="Y831" s="115">
        <f t="shared" si="27"/>
        <v>44.800000000000004</v>
      </c>
      <c r="Z831" s="88"/>
      <c r="AA831" s="116"/>
      <c r="AB831" s="116"/>
      <c r="AC831" s="88"/>
      <c r="AD831" s="88">
        <v>640</v>
      </c>
      <c r="AE831" s="88">
        <v>240</v>
      </c>
      <c r="AF831" s="88">
        <v>120</v>
      </c>
      <c r="AG831" s="66">
        <f t="shared" si="25"/>
        <v>90.00133928571428</v>
      </c>
      <c r="AH831" s="143">
        <f t="shared" si="26"/>
        <v>1000</v>
      </c>
    </row>
    <row r="832" spans="1:34" s="118" customFormat="1" x14ac:dyDescent="0.3">
      <c r="A832" s="84">
        <v>802998</v>
      </c>
      <c r="B832" s="115">
        <v>5.333333333333333</v>
      </c>
      <c r="C832" s="115"/>
      <c r="D832" s="116">
        <v>8.74</v>
      </c>
      <c r="E832" s="1525">
        <v>0.153</v>
      </c>
      <c r="F832" s="89">
        <v>27.799999999999997</v>
      </c>
      <c r="G832" s="88"/>
      <c r="H832" s="89">
        <v>69.67</v>
      </c>
      <c r="I832" s="89">
        <v>260</v>
      </c>
      <c r="J832" s="117">
        <v>0.19900000000000001</v>
      </c>
      <c r="K832" s="115">
        <v>10.59</v>
      </c>
      <c r="L832" s="88">
        <v>1010</v>
      </c>
      <c r="M832" s="88">
        <v>0.44</v>
      </c>
      <c r="N832" s="88">
        <v>1.33</v>
      </c>
      <c r="O832" s="88">
        <v>4.3600000000000003</v>
      </c>
      <c r="P832" s="88">
        <v>13.59</v>
      </c>
      <c r="Q832" s="88"/>
      <c r="R832" s="116">
        <v>1.6850520000000002</v>
      </c>
      <c r="S832" s="115">
        <v>13.2</v>
      </c>
      <c r="T832" s="88"/>
      <c r="U832" s="88"/>
      <c r="V832" s="88"/>
      <c r="W832" s="88"/>
      <c r="X832" s="88"/>
      <c r="Y832" s="115">
        <f t="shared" si="27"/>
        <v>46.2</v>
      </c>
      <c r="Z832" s="88"/>
      <c r="AA832" s="116"/>
      <c r="AB832" s="116"/>
      <c r="AC832" s="88"/>
      <c r="AD832" s="88">
        <v>660</v>
      </c>
      <c r="AE832" s="88">
        <v>240</v>
      </c>
      <c r="AF832" s="88">
        <v>100</v>
      </c>
      <c r="AG832" s="66">
        <f t="shared" si="25"/>
        <v>81.144155844155833</v>
      </c>
      <c r="AH832" s="143">
        <f t="shared" si="26"/>
        <v>1000</v>
      </c>
    </row>
    <row r="833" spans="1:34" s="118" customFormat="1" x14ac:dyDescent="0.3">
      <c r="A833" s="84">
        <v>802999</v>
      </c>
      <c r="B833" s="115">
        <v>6.125</v>
      </c>
      <c r="C833" s="115"/>
      <c r="D833" s="116">
        <v>8.61</v>
      </c>
      <c r="E833" s="1525">
        <v>0.16300000000000001</v>
      </c>
      <c r="F833" s="89">
        <v>40.35</v>
      </c>
      <c r="G833" s="88"/>
      <c r="H833" s="89">
        <v>31.14</v>
      </c>
      <c r="I833" s="89">
        <v>160</v>
      </c>
      <c r="J833" s="117">
        <v>0.115</v>
      </c>
      <c r="K833" s="115">
        <v>11.5</v>
      </c>
      <c r="L833" s="88">
        <v>780</v>
      </c>
      <c r="M833" s="88">
        <v>0.24</v>
      </c>
      <c r="N833" s="88">
        <v>0.83</v>
      </c>
      <c r="O833" s="88">
        <v>2.82</v>
      </c>
      <c r="P833" s="88">
        <v>6.11</v>
      </c>
      <c r="Q833" s="88"/>
      <c r="R833" s="116">
        <v>1.7544919999999999</v>
      </c>
      <c r="S833" s="115">
        <v>15.2</v>
      </c>
      <c r="T833" s="88"/>
      <c r="U833" s="88"/>
      <c r="V833" s="88"/>
      <c r="W833" s="88"/>
      <c r="X833" s="88"/>
      <c r="Y833" s="115">
        <f t="shared" si="27"/>
        <v>46.2</v>
      </c>
      <c r="Z833" s="88"/>
      <c r="AA833" s="116"/>
      <c r="AB833" s="116"/>
      <c r="AC833" s="88"/>
      <c r="AD833" s="88">
        <v>660</v>
      </c>
      <c r="AE833" s="88">
        <v>180</v>
      </c>
      <c r="AF833" s="88">
        <v>160</v>
      </c>
      <c r="AG833" s="66">
        <f t="shared" si="25"/>
        <v>88.116883116883116</v>
      </c>
      <c r="AH833" s="143">
        <f t="shared" si="26"/>
        <v>1000</v>
      </c>
    </row>
    <row r="834" spans="1:34" s="118" customFormat="1" x14ac:dyDescent="0.3">
      <c r="A834" s="84">
        <v>803000</v>
      </c>
      <c r="B834" s="115">
        <v>6.1944444444444438</v>
      </c>
      <c r="C834" s="115"/>
      <c r="D834" s="116">
        <v>8.6199999999999992</v>
      </c>
      <c r="E834" s="1525">
        <v>0.16200000000000001</v>
      </c>
      <c r="F834" s="89">
        <v>40.549999999999997</v>
      </c>
      <c r="G834" s="88"/>
      <c r="H834" s="89">
        <v>26.99</v>
      </c>
      <c r="I834" s="89">
        <v>160</v>
      </c>
      <c r="J834" s="117">
        <v>0.109</v>
      </c>
      <c r="K834" s="115">
        <v>10.11</v>
      </c>
      <c r="L834" s="88">
        <v>840</v>
      </c>
      <c r="M834" s="88">
        <v>0.3</v>
      </c>
      <c r="N834" s="88">
        <v>1.05</v>
      </c>
      <c r="O834" s="88">
        <v>3.66</v>
      </c>
      <c r="P834" s="88">
        <v>8.11</v>
      </c>
      <c r="Q834" s="88"/>
      <c r="R834" s="116">
        <v>1.734248</v>
      </c>
      <c r="S834" s="115">
        <v>14.6</v>
      </c>
      <c r="T834" s="88"/>
      <c r="U834" s="88"/>
      <c r="V834" s="88"/>
      <c r="W834" s="88"/>
      <c r="X834" s="88"/>
      <c r="Y834" s="115">
        <f t="shared" si="27"/>
        <v>45.500000000000007</v>
      </c>
      <c r="Z834" s="88"/>
      <c r="AA834" s="116"/>
      <c r="AB834" s="116"/>
      <c r="AC834" s="88"/>
      <c r="AD834" s="88">
        <v>650</v>
      </c>
      <c r="AE834" s="88">
        <v>190</v>
      </c>
      <c r="AF834" s="88">
        <v>160</v>
      </c>
      <c r="AG834" s="66">
        <f t="shared" ref="AG834:AG897" si="28">+K834*3.54*100/Y834</f>
        <v>78.658021978021964</v>
      </c>
      <c r="AH834" s="143">
        <f t="shared" ref="AH834:AH897" si="29">+SUM(AD834:AF834)</f>
        <v>1000</v>
      </c>
    </row>
    <row r="835" spans="1:34" s="118" customFormat="1" x14ac:dyDescent="0.3">
      <c r="A835" s="84">
        <v>803003</v>
      </c>
      <c r="B835" s="115">
        <v>12.083333333333334</v>
      </c>
      <c r="C835" s="115">
        <v>6.25</v>
      </c>
      <c r="D835" s="116">
        <v>9.02</v>
      </c>
      <c r="E835" s="1525">
        <v>0.14000000000000001</v>
      </c>
      <c r="F835" s="89">
        <v>85</v>
      </c>
      <c r="G835" s="88"/>
      <c r="H835" s="89">
        <v>35.17</v>
      </c>
      <c r="I835" s="89">
        <v>110</v>
      </c>
      <c r="J835" s="117">
        <v>9.9000000000000005E-2</v>
      </c>
      <c r="K835" s="115">
        <v>10.01</v>
      </c>
      <c r="L835" s="88">
        <v>790</v>
      </c>
      <c r="M835" s="88">
        <v>0.38</v>
      </c>
      <c r="N835" s="88">
        <v>1.03</v>
      </c>
      <c r="O835" s="88">
        <v>2.9</v>
      </c>
      <c r="P835" s="88">
        <v>6.03</v>
      </c>
      <c r="Q835" s="88"/>
      <c r="R835" s="116">
        <v>1.6254680000000001</v>
      </c>
      <c r="S835" s="115">
        <v>11.6</v>
      </c>
      <c r="T835" s="88"/>
      <c r="U835" s="88"/>
      <c r="V835" s="88"/>
      <c r="W835" s="88"/>
      <c r="X835" s="88"/>
      <c r="Y835" s="115">
        <f t="shared" si="27"/>
        <v>43.400000000000006</v>
      </c>
      <c r="Z835" s="88"/>
      <c r="AA835" s="116"/>
      <c r="AB835" s="116"/>
      <c r="AC835" s="88"/>
      <c r="AD835" s="88">
        <v>620</v>
      </c>
      <c r="AE835" s="88">
        <v>240</v>
      </c>
      <c r="AF835" s="88">
        <v>140</v>
      </c>
      <c r="AG835" s="66">
        <f t="shared" si="28"/>
        <v>81.648387096774186</v>
      </c>
      <c r="AH835" s="143">
        <f t="shared" si="29"/>
        <v>1000</v>
      </c>
    </row>
    <row r="836" spans="1:34" s="118" customFormat="1" x14ac:dyDescent="0.3">
      <c r="A836" s="84">
        <v>803004</v>
      </c>
      <c r="B836" s="115">
        <v>11.541666666666666</v>
      </c>
      <c r="C836" s="115">
        <v>6.1249999999999982</v>
      </c>
      <c r="D836" s="116">
        <v>8.6999999999999993</v>
      </c>
      <c r="E836" s="1525">
        <v>0.153</v>
      </c>
      <c r="F836" s="89">
        <v>67.350000000000009</v>
      </c>
      <c r="G836" s="88"/>
      <c r="H836" s="89">
        <v>37.229999999999997</v>
      </c>
      <c r="I836" s="89">
        <v>150</v>
      </c>
      <c r="J836" s="117">
        <v>0.121</v>
      </c>
      <c r="K836" s="115">
        <v>10.26</v>
      </c>
      <c r="L836" s="88">
        <v>570</v>
      </c>
      <c r="M836" s="88">
        <v>0.59</v>
      </c>
      <c r="N836" s="88">
        <v>1.29</v>
      </c>
      <c r="O836" s="88">
        <v>6.32</v>
      </c>
      <c r="P836" s="88">
        <v>12.81</v>
      </c>
      <c r="Q836" s="88"/>
      <c r="R836" s="116">
        <v>1.7029370000000001</v>
      </c>
      <c r="S836" s="115">
        <v>13.7</v>
      </c>
      <c r="T836" s="88"/>
      <c r="U836" s="88"/>
      <c r="V836" s="88"/>
      <c r="W836" s="88"/>
      <c r="X836" s="88"/>
      <c r="Y836" s="115">
        <f t="shared" si="27"/>
        <v>42.000000000000007</v>
      </c>
      <c r="Z836" s="88"/>
      <c r="AA836" s="116"/>
      <c r="AB836" s="116"/>
      <c r="AC836" s="88"/>
      <c r="AD836" s="88">
        <v>600</v>
      </c>
      <c r="AE836" s="88">
        <v>260</v>
      </c>
      <c r="AF836" s="88">
        <v>140</v>
      </c>
      <c r="AG836" s="66">
        <f t="shared" si="28"/>
        <v>86.477142857142837</v>
      </c>
      <c r="AH836" s="143">
        <f t="shared" si="29"/>
        <v>1000</v>
      </c>
    </row>
    <row r="837" spans="1:34" s="118" customFormat="1" x14ac:dyDescent="0.3">
      <c r="A837" s="84">
        <v>803005</v>
      </c>
      <c r="B837" s="115">
        <v>11.75</v>
      </c>
      <c r="C837" s="115">
        <v>6.25</v>
      </c>
      <c r="D837" s="116">
        <v>8.7200000000000006</v>
      </c>
      <c r="E837" s="1525">
        <v>0.14799999999999999</v>
      </c>
      <c r="F837" s="89">
        <v>35.550000000000004</v>
      </c>
      <c r="G837" s="88"/>
      <c r="H837" s="89">
        <v>25.03</v>
      </c>
      <c r="I837" s="89">
        <v>140</v>
      </c>
      <c r="J837" s="117">
        <v>0.14699999999999999</v>
      </c>
      <c r="K837" s="115">
        <v>10.37</v>
      </c>
      <c r="L837" s="88">
        <v>510</v>
      </c>
      <c r="M837" s="88">
        <v>0.46</v>
      </c>
      <c r="N837" s="88">
        <v>1.33</v>
      </c>
      <c r="O837" s="88">
        <v>4.9000000000000004</v>
      </c>
      <c r="P837" s="88">
        <v>10.76</v>
      </c>
      <c r="Q837" s="88"/>
      <c r="R837" s="116">
        <v>1.7239370000000001</v>
      </c>
      <c r="S837" s="115">
        <v>14.3</v>
      </c>
      <c r="T837" s="88"/>
      <c r="U837" s="88"/>
      <c r="V837" s="88"/>
      <c r="W837" s="88"/>
      <c r="X837" s="88"/>
      <c r="Y837" s="115">
        <f t="shared" si="27"/>
        <v>43.400000000000006</v>
      </c>
      <c r="Z837" s="88"/>
      <c r="AA837" s="116"/>
      <c r="AB837" s="116"/>
      <c r="AC837" s="88"/>
      <c r="AD837" s="88">
        <v>620</v>
      </c>
      <c r="AE837" s="88">
        <v>240</v>
      </c>
      <c r="AF837" s="88">
        <v>140</v>
      </c>
      <c r="AG837" s="66">
        <f t="shared" si="28"/>
        <v>84.584792626728088</v>
      </c>
      <c r="AH837" s="143">
        <f t="shared" si="29"/>
        <v>1000</v>
      </c>
    </row>
    <row r="838" spans="1:34" s="118" customFormat="1" x14ac:dyDescent="0.3">
      <c r="A838" s="84">
        <v>803336</v>
      </c>
      <c r="B838" s="115">
        <v>0.26666666666666666</v>
      </c>
      <c r="C838" s="115"/>
      <c r="D838" s="116">
        <v>7.66</v>
      </c>
      <c r="E838" s="1525">
        <v>0.14000000000000001</v>
      </c>
      <c r="F838" s="89">
        <v>39</v>
      </c>
      <c r="G838" s="88"/>
      <c r="H838" s="89">
        <v>177.02</v>
      </c>
      <c r="I838" s="89">
        <v>100</v>
      </c>
      <c r="J838" s="117">
        <v>3.5999999999999997E-2</v>
      </c>
      <c r="K838" s="115">
        <v>1.56</v>
      </c>
      <c r="L838" s="88">
        <v>100</v>
      </c>
      <c r="M838" s="88">
        <v>1.98</v>
      </c>
      <c r="N838" s="88">
        <v>0.59</v>
      </c>
      <c r="O838" s="88">
        <v>1.74</v>
      </c>
      <c r="P838" s="88">
        <v>6.63</v>
      </c>
      <c r="Q838" s="88"/>
      <c r="R838" s="116">
        <v>0.47203016179267748</v>
      </c>
      <c r="S838" s="115">
        <v>3.4</v>
      </c>
      <c r="T838" s="88"/>
      <c r="U838" s="88"/>
      <c r="V838" s="88"/>
      <c r="W838" s="88"/>
      <c r="X838" s="88"/>
      <c r="Y838" s="115">
        <v>4.2</v>
      </c>
      <c r="Z838" s="88"/>
      <c r="AA838" s="116"/>
      <c r="AB838" s="116"/>
      <c r="AC838" s="88"/>
      <c r="AD838" s="88">
        <v>60</v>
      </c>
      <c r="AE838" s="88">
        <f>1000-(AF838+AD838)</f>
        <v>60</v>
      </c>
      <c r="AF838" s="88">
        <v>880</v>
      </c>
      <c r="AG838" s="66">
        <f t="shared" si="28"/>
        <v>131.48571428571429</v>
      </c>
      <c r="AH838" s="143">
        <f t="shared" si="29"/>
        <v>1000</v>
      </c>
    </row>
    <row r="839" spans="1:34" s="118" customFormat="1" x14ac:dyDescent="0.3">
      <c r="A839" s="84">
        <v>803337</v>
      </c>
      <c r="B839" s="115">
        <v>0.2</v>
      </c>
      <c r="C839" s="115"/>
      <c r="D839" s="116">
        <v>7.51</v>
      </c>
      <c r="E839" s="1525">
        <v>0.1</v>
      </c>
      <c r="F839" s="89">
        <v>442.65</v>
      </c>
      <c r="G839" s="88"/>
      <c r="H839" s="89">
        <v>180.4</v>
      </c>
      <c r="I839" s="89">
        <v>130</v>
      </c>
      <c r="J839" s="117">
        <v>3.9E-2</v>
      </c>
      <c r="K839" s="115">
        <v>0.97</v>
      </c>
      <c r="L839" s="88">
        <v>91</v>
      </c>
      <c r="M839" s="88">
        <v>1.54</v>
      </c>
      <c r="N839" s="88">
        <v>0.75</v>
      </c>
      <c r="O839" s="88">
        <v>3.94</v>
      </c>
      <c r="P839" s="88">
        <v>7.47</v>
      </c>
      <c r="Q839" s="88"/>
      <c r="R839" s="116">
        <v>0.76907814535463248</v>
      </c>
      <c r="S839" s="115">
        <v>5.2</v>
      </c>
      <c r="T839" s="88"/>
      <c r="U839" s="88"/>
      <c r="V839" s="88"/>
      <c r="W839" s="88"/>
      <c r="X839" s="88"/>
      <c r="Y839" s="115">
        <v>4.2</v>
      </c>
      <c r="Z839" s="88"/>
      <c r="AA839" s="116"/>
      <c r="AB839" s="116"/>
      <c r="AC839" s="88"/>
      <c r="AD839" s="88">
        <v>60</v>
      </c>
      <c r="AE839" s="88">
        <f t="shared" ref="AE839:AE863" si="30">1000-(AF839+AD839)</f>
        <v>60</v>
      </c>
      <c r="AF839" s="88">
        <v>880</v>
      </c>
      <c r="AG839" s="66">
        <f t="shared" si="28"/>
        <v>81.757142857142853</v>
      </c>
      <c r="AH839" s="143">
        <f t="shared" si="29"/>
        <v>1000</v>
      </c>
    </row>
    <row r="840" spans="1:34" s="118" customFormat="1" x14ac:dyDescent="0.3">
      <c r="A840" s="84">
        <v>803338</v>
      </c>
      <c r="B840" s="115">
        <v>22.25</v>
      </c>
      <c r="C840" s="115">
        <v>9.0000000000000018</v>
      </c>
      <c r="D840" s="116">
        <v>8.2899999999999991</v>
      </c>
      <c r="E840" s="1525">
        <v>0.98</v>
      </c>
      <c r="F840" s="89">
        <v>786.15</v>
      </c>
      <c r="G840" s="88"/>
      <c r="H840" s="89">
        <v>238.67</v>
      </c>
      <c r="I840" s="89">
        <v>420</v>
      </c>
      <c r="J840" s="117">
        <v>0.60499999999999998</v>
      </c>
      <c r="K840" s="115">
        <v>10.199999999999999</v>
      </c>
      <c r="L840" s="88">
        <v>902</v>
      </c>
      <c r="M840" s="88">
        <v>1.03</v>
      </c>
      <c r="N840" s="88">
        <v>0.86</v>
      </c>
      <c r="O840" s="88">
        <v>2.02</v>
      </c>
      <c r="P840" s="88">
        <v>4.24</v>
      </c>
      <c r="Q840" s="88"/>
      <c r="R840" s="116">
        <v>1.7839130000000001</v>
      </c>
      <c r="S840" s="115">
        <v>16.100000000000001</v>
      </c>
      <c r="T840" s="88"/>
      <c r="U840" s="88"/>
      <c r="V840" s="88"/>
      <c r="W840" s="88"/>
      <c r="X840" s="88"/>
      <c r="Y840" s="115">
        <f>AD840*0.04</f>
        <v>20</v>
      </c>
      <c r="Z840" s="88"/>
      <c r="AA840" s="116"/>
      <c r="AB840" s="116"/>
      <c r="AC840" s="88"/>
      <c r="AD840" s="88">
        <v>500</v>
      </c>
      <c r="AE840" s="88">
        <f t="shared" si="30"/>
        <v>320</v>
      </c>
      <c r="AF840" s="88">
        <v>180</v>
      </c>
      <c r="AG840" s="66">
        <f t="shared" si="28"/>
        <v>180.54</v>
      </c>
      <c r="AH840" s="143">
        <f t="shared" si="29"/>
        <v>1000</v>
      </c>
    </row>
    <row r="841" spans="1:34" s="118" customFormat="1" x14ac:dyDescent="0.3">
      <c r="A841" s="84">
        <v>803339</v>
      </c>
      <c r="B841" s="115">
        <v>27.250000000000004</v>
      </c>
      <c r="C841" s="115">
        <v>11</v>
      </c>
      <c r="D841" s="116">
        <v>8.61</v>
      </c>
      <c r="E841" s="1525">
        <v>0.43</v>
      </c>
      <c r="F841" s="89">
        <v>158.69999999999999</v>
      </c>
      <c r="G841" s="88"/>
      <c r="H841" s="89">
        <v>135.88999999999999</v>
      </c>
      <c r="I841" s="89">
        <v>520</v>
      </c>
      <c r="J841" s="117">
        <v>0.224</v>
      </c>
      <c r="K841" s="115">
        <v>10.25</v>
      </c>
      <c r="L841" s="88">
        <v>1116</v>
      </c>
      <c r="M841" s="88">
        <v>0.76</v>
      </c>
      <c r="N841" s="88">
        <v>1.24</v>
      </c>
      <c r="O841" s="88">
        <v>2.16</v>
      </c>
      <c r="P841" s="88">
        <v>3.77</v>
      </c>
      <c r="Q841" s="88"/>
      <c r="R841" s="116">
        <v>1.7478000000000002</v>
      </c>
      <c r="S841" s="115">
        <v>15</v>
      </c>
      <c r="T841" s="88"/>
      <c r="U841" s="88"/>
      <c r="V841" s="88"/>
      <c r="W841" s="88"/>
      <c r="X841" s="88"/>
      <c r="Y841" s="115">
        <f t="shared" ref="Y841:Y849" si="31">AD841*0.04</f>
        <v>22.400000000000002</v>
      </c>
      <c r="Z841" s="88"/>
      <c r="AA841" s="116"/>
      <c r="AB841" s="116"/>
      <c r="AC841" s="88"/>
      <c r="AD841" s="88">
        <v>560</v>
      </c>
      <c r="AE841" s="88">
        <f t="shared" si="30"/>
        <v>300</v>
      </c>
      <c r="AF841" s="88">
        <v>140</v>
      </c>
      <c r="AG841" s="66">
        <f t="shared" si="28"/>
        <v>161.98660714285714</v>
      </c>
      <c r="AH841" s="143">
        <f t="shared" si="29"/>
        <v>1000</v>
      </c>
    </row>
    <row r="842" spans="1:34" s="118" customFormat="1" x14ac:dyDescent="0.3">
      <c r="A842" s="84">
        <v>803340</v>
      </c>
      <c r="B842" s="115">
        <v>26.999999999999996</v>
      </c>
      <c r="C842" s="115">
        <v>10.125000000000002</v>
      </c>
      <c r="D842" s="116">
        <v>8.65</v>
      </c>
      <c r="E842" s="1525">
        <v>0.32</v>
      </c>
      <c r="F842" s="89">
        <v>92.65</v>
      </c>
      <c r="G842" s="88"/>
      <c r="H842" s="89">
        <v>93.78</v>
      </c>
      <c r="I842" s="89">
        <v>640</v>
      </c>
      <c r="J842" s="117">
        <v>0.157</v>
      </c>
      <c r="K842" s="115">
        <v>6.16</v>
      </c>
      <c r="L842" s="88">
        <v>743</v>
      </c>
      <c r="M842" s="88">
        <v>0.76</v>
      </c>
      <c r="N842" s="88">
        <v>1.1100000000000001</v>
      </c>
      <c r="O842" s="88">
        <v>2.54</v>
      </c>
      <c r="P842" s="88">
        <v>4.47</v>
      </c>
      <c r="Q842" s="88"/>
      <c r="R842" s="116">
        <v>1.7934680000000001</v>
      </c>
      <c r="S842" s="115">
        <v>16.399999999999999</v>
      </c>
      <c r="T842" s="88"/>
      <c r="U842" s="88"/>
      <c r="V842" s="88"/>
      <c r="W842" s="88"/>
      <c r="X842" s="88"/>
      <c r="Y842" s="115">
        <f t="shared" si="31"/>
        <v>21.6</v>
      </c>
      <c r="Z842" s="88"/>
      <c r="AA842" s="116"/>
      <c r="AB842" s="116"/>
      <c r="AC842" s="88"/>
      <c r="AD842" s="88">
        <v>540</v>
      </c>
      <c r="AE842" s="88">
        <f t="shared" si="30"/>
        <v>300</v>
      </c>
      <c r="AF842" s="88">
        <v>160</v>
      </c>
      <c r="AG842" s="66">
        <f t="shared" si="28"/>
        <v>100.95555555555555</v>
      </c>
      <c r="AH842" s="143">
        <f t="shared" si="29"/>
        <v>1000</v>
      </c>
    </row>
    <row r="843" spans="1:34" s="118" customFormat="1" x14ac:dyDescent="0.3">
      <c r="A843" s="84">
        <v>803341</v>
      </c>
      <c r="B843" s="115">
        <v>19.166666666666664</v>
      </c>
      <c r="C843" s="115">
        <v>5.3750000000000009</v>
      </c>
      <c r="D843" s="116">
        <v>8.6300000000000008</v>
      </c>
      <c r="E843" s="1525">
        <v>0.19</v>
      </c>
      <c r="F843" s="89">
        <v>39.75</v>
      </c>
      <c r="G843" s="88"/>
      <c r="H843" s="89">
        <v>62.42</v>
      </c>
      <c r="I843" s="89">
        <v>290</v>
      </c>
      <c r="J843" s="117">
        <v>5.0999999999999997E-2</v>
      </c>
      <c r="K843" s="115">
        <v>6.05</v>
      </c>
      <c r="L843" s="88">
        <v>486</v>
      </c>
      <c r="M843" s="88">
        <v>0.57999999999999996</v>
      </c>
      <c r="N843" s="88">
        <v>0.56999999999999995</v>
      </c>
      <c r="O843" s="88">
        <v>3.27</v>
      </c>
      <c r="P843" s="88">
        <v>2.29</v>
      </c>
      <c r="Q843" s="88"/>
      <c r="R843" s="116">
        <v>1.4941434318096702</v>
      </c>
      <c r="S843" s="115">
        <v>10.1</v>
      </c>
      <c r="T843" s="88"/>
      <c r="U843" s="88"/>
      <c r="V843" s="88"/>
      <c r="W843" s="88"/>
      <c r="X843" s="88"/>
      <c r="Y843" s="115">
        <f t="shared" si="31"/>
        <v>20.8</v>
      </c>
      <c r="Z843" s="88"/>
      <c r="AA843" s="116"/>
      <c r="AB843" s="116"/>
      <c r="AC843" s="88"/>
      <c r="AD843" s="88">
        <v>520</v>
      </c>
      <c r="AE843" s="88">
        <f t="shared" si="30"/>
        <v>360</v>
      </c>
      <c r="AF843" s="88">
        <v>120</v>
      </c>
      <c r="AG843" s="66">
        <f t="shared" si="28"/>
        <v>102.96634615384615</v>
      </c>
      <c r="AH843" s="143">
        <f t="shared" si="29"/>
        <v>1000</v>
      </c>
    </row>
    <row r="844" spans="1:34" s="118" customFormat="1" x14ac:dyDescent="0.3">
      <c r="A844" s="84">
        <v>803342</v>
      </c>
      <c r="B844" s="115">
        <v>39.666666666666664</v>
      </c>
      <c r="C844" s="115">
        <v>14.000000000000002</v>
      </c>
      <c r="D844" s="116">
        <v>8.25</v>
      </c>
      <c r="E844" s="1525">
        <v>1.1000000000000001</v>
      </c>
      <c r="F844" s="89">
        <v>64.099999999999994</v>
      </c>
      <c r="G844" s="88"/>
      <c r="H844" s="89">
        <v>147.19999999999999</v>
      </c>
      <c r="I844" s="89">
        <v>260</v>
      </c>
      <c r="J844" s="117">
        <v>0.188</v>
      </c>
      <c r="K844" s="115">
        <v>6.95</v>
      </c>
      <c r="L844" s="88">
        <v>805</v>
      </c>
      <c r="M844" s="88">
        <v>1.02</v>
      </c>
      <c r="N844" s="88">
        <v>4.43</v>
      </c>
      <c r="O844" s="88">
        <v>1.75</v>
      </c>
      <c r="P844" s="88">
        <v>3.17</v>
      </c>
      <c r="Q844" s="88"/>
      <c r="R844" s="116">
        <v>1.8423</v>
      </c>
      <c r="S844" s="115">
        <v>18</v>
      </c>
      <c r="T844" s="88"/>
      <c r="U844" s="88"/>
      <c r="V844" s="88"/>
      <c r="W844" s="88"/>
      <c r="X844" s="88"/>
      <c r="Y844" s="115">
        <f t="shared" si="31"/>
        <v>23.2</v>
      </c>
      <c r="Z844" s="88"/>
      <c r="AA844" s="116"/>
      <c r="AB844" s="116"/>
      <c r="AC844" s="88"/>
      <c r="AD844" s="88">
        <v>580</v>
      </c>
      <c r="AE844" s="88">
        <f t="shared" si="30"/>
        <v>260</v>
      </c>
      <c r="AF844" s="88">
        <v>160</v>
      </c>
      <c r="AG844" s="66">
        <f t="shared" si="28"/>
        <v>106.04741379310346</v>
      </c>
      <c r="AH844" s="143">
        <f t="shared" si="29"/>
        <v>1000</v>
      </c>
    </row>
    <row r="845" spans="1:34" s="118" customFormat="1" x14ac:dyDescent="0.3">
      <c r="A845" s="84">
        <v>803343</v>
      </c>
      <c r="B845" s="115">
        <v>25.666666666666664</v>
      </c>
      <c r="C845" s="115">
        <v>12.625000000000002</v>
      </c>
      <c r="D845" s="116">
        <v>8.5</v>
      </c>
      <c r="E845" s="1525">
        <v>0.54</v>
      </c>
      <c r="F845" s="89">
        <v>247.65</v>
      </c>
      <c r="G845" s="88"/>
      <c r="H845" s="89">
        <v>136.02000000000001</v>
      </c>
      <c r="I845" s="89">
        <v>350</v>
      </c>
      <c r="J845" s="117">
        <v>0.27300000000000002</v>
      </c>
      <c r="K845" s="115">
        <v>6.94</v>
      </c>
      <c r="L845" s="88">
        <v>1006</v>
      </c>
      <c r="M845" s="88">
        <v>0.76</v>
      </c>
      <c r="N845" s="88">
        <v>3.89</v>
      </c>
      <c r="O845" s="88">
        <v>2.21</v>
      </c>
      <c r="P845" s="88">
        <v>8.08</v>
      </c>
      <c r="Q845" s="88"/>
      <c r="R845" s="116">
        <v>1.6216250000000001</v>
      </c>
      <c r="S845" s="115">
        <v>11.5</v>
      </c>
      <c r="T845" s="88"/>
      <c r="U845" s="88"/>
      <c r="V845" s="88"/>
      <c r="W845" s="88"/>
      <c r="X845" s="88"/>
      <c r="Y845" s="115">
        <f t="shared" si="31"/>
        <v>25.6</v>
      </c>
      <c r="Z845" s="88"/>
      <c r="AA845" s="116"/>
      <c r="AB845" s="116"/>
      <c r="AC845" s="88"/>
      <c r="AD845" s="88">
        <v>640</v>
      </c>
      <c r="AE845" s="88">
        <f t="shared" si="30"/>
        <v>240</v>
      </c>
      <c r="AF845" s="88">
        <v>120</v>
      </c>
      <c r="AG845" s="66">
        <f t="shared" si="28"/>
        <v>95.967187500000009</v>
      </c>
      <c r="AH845" s="143">
        <f t="shared" si="29"/>
        <v>1000</v>
      </c>
    </row>
    <row r="846" spans="1:34" s="118" customFormat="1" x14ac:dyDescent="0.3">
      <c r="A846" s="84">
        <v>803344</v>
      </c>
      <c r="B846" s="115">
        <v>27.499999999999996</v>
      </c>
      <c r="C846" s="115">
        <v>12.875</v>
      </c>
      <c r="D846" s="116">
        <v>8.5500000000000007</v>
      </c>
      <c r="E846" s="1525">
        <v>0.28000000000000003</v>
      </c>
      <c r="F846" s="89">
        <v>181.45</v>
      </c>
      <c r="G846" s="88"/>
      <c r="H846" s="89">
        <v>117.41</v>
      </c>
      <c r="I846" s="89">
        <v>360</v>
      </c>
      <c r="J846" s="117">
        <v>0.126</v>
      </c>
      <c r="K846" s="115">
        <v>7.58</v>
      </c>
      <c r="L846" s="88">
        <v>875</v>
      </c>
      <c r="M846" s="88">
        <v>0.94</v>
      </c>
      <c r="N846" s="88">
        <v>1.38</v>
      </c>
      <c r="O846" s="88">
        <v>3.3</v>
      </c>
      <c r="P846" s="88">
        <v>16.28</v>
      </c>
      <c r="Q846" s="88"/>
      <c r="R846" s="116">
        <v>1.809113</v>
      </c>
      <c r="S846" s="115">
        <v>16.899999999999999</v>
      </c>
      <c r="T846" s="88"/>
      <c r="U846" s="88"/>
      <c r="V846" s="88"/>
      <c r="W846" s="88"/>
      <c r="X846" s="88"/>
      <c r="Y846" s="115">
        <f t="shared" si="31"/>
        <v>24</v>
      </c>
      <c r="Z846" s="88"/>
      <c r="AA846" s="116"/>
      <c r="AB846" s="116"/>
      <c r="AC846" s="88"/>
      <c r="AD846" s="88">
        <v>600</v>
      </c>
      <c r="AE846" s="88">
        <f t="shared" si="30"/>
        <v>300</v>
      </c>
      <c r="AF846" s="88">
        <v>100</v>
      </c>
      <c r="AG846" s="66">
        <f t="shared" si="28"/>
        <v>111.80500000000001</v>
      </c>
      <c r="AH846" s="143">
        <f t="shared" si="29"/>
        <v>1000</v>
      </c>
    </row>
    <row r="847" spans="1:34" s="118" customFormat="1" x14ac:dyDescent="0.3">
      <c r="A847" s="84">
        <v>803345</v>
      </c>
      <c r="B847" s="115">
        <v>26.833333333333332</v>
      </c>
      <c r="C847" s="115">
        <v>11.375000000000002</v>
      </c>
      <c r="D847" s="116">
        <v>8.5399999999999991</v>
      </c>
      <c r="E847" s="1525">
        <v>0.32</v>
      </c>
      <c r="F847" s="89">
        <v>116.05000000000001</v>
      </c>
      <c r="G847" s="88"/>
      <c r="H847" s="89">
        <v>346.87</v>
      </c>
      <c r="I847" s="89">
        <v>360</v>
      </c>
      <c r="J847" s="117">
        <v>0.192</v>
      </c>
      <c r="K847" s="115">
        <v>7.83</v>
      </c>
      <c r="L847" s="88">
        <v>1172</v>
      </c>
      <c r="M847" s="88">
        <v>1.57</v>
      </c>
      <c r="N847" s="88">
        <v>9.3699999999999992</v>
      </c>
      <c r="O847" s="88">
        <v>2.36</v>
      </c>
      <c r="P847" s="88">
        <v>7.34</v>
      </c>
      <c r="Q847" s="88"/>
      <c r="R847" s="116">
        <v>2.0851370000000005</v>
      </c>
      <c r="S847" s="115">
        <v>29.3</v>
      </c>
      <c r="T847" s="88"/>
      <c r="U847" s="88"/>
      <c r="V847" s="88"/>
      <c r="W847" s="88"/>
      <c r="X847" s="88"/>
      <c r="Y847" s="115">
        <f t="shared" si="31"/>
        <v>24.8</v>
      </c>
      <c r="Z847" s="88"/>
      <c r="AA847" s="116"/>
      <c r="AB847" s="116"/>
      <c r="AC847" s="88"/>
      <c r="AD847" s="88">
        <v>620</v>
      </c>
      <c r="AE847" s="88">
        <f t="shared" si="30"/>
        <v>280</v>
      </c>
      <c r="AF847" s="88">
        <v>100</v>
      </c>
      <c r="AG847" s="66">
        <f t="shared" si="28"/>
        <v>111.76693548387097</v>
      </c>
      <c r="AH847" s="143">
        <f t="shared" si="29"/>
        <v>1000</v>
      </c>
    </row>
    <row r="848" spans="1:34" s="118" customFormat="1" x14ac:dyDescent="0.3">
      <c r="A848" s="84">
        <v>803346</v>
      </c>
      <c r="B848" s="115">
        <v>39.333333333333329</v>
      </c>
      <c r="C848" s="115">
        <v>13.625000000000004</v>
      </c>
      <c r="D848" s="116">
        <v>8.5299999999999994</v>
      </c>
      <c r="E848" s="1525">
        <v>0.56000000000000005</v>
      </c>
      <c r="F848" s="89">
        <v>391.45000000000005</v>
      </c>
      <c r="G848" s="88"/>
      <c r="H848" s="89">
        <v>67.760000000000005</v>
      </c>
      <c r="I848" s="89">
        <v>230</v>
      </c>
      <c r="J848" s="117">
        <v>0.24399999999999999</v>
      </c>
      <c r="K848" s="115">
        <v>7.21</v>
      </c>
      <c r="L848" s="88">
        <v>994</v>
      </c>
      <c r="M848" s="88">
        <v>0.93</v>
      </c>
      <c r="N848" s="88">
        <v>6.33</v>
      </c>
      <c r="O848" s="88">
        <v>2.6</v>
      </c>
      <c r="P848" s="88">
        <v>4.4000000000000004</v>
      </c>
      <c r="Q848" s="88"/>
      <c r="R848" s="116">
        <v>1.7934680000000001</v>
      </c>
      <c r="S848" s="115">
        <v>16.399999999999999</v>
      </c>
      <c r="T848" s="88"/>
      <c r="U848" s="88"/>
      <c r="V848" s="88"/>
      <c r="W848" s="88"/>
      <c r="X848" s="88"/>
      <c r="Y848" s="115">
        <f t="shared" si="31"/>
        <v>22.400000000000002</v>
      </c>
      <c r="Z848" s="88"/>
      <c r="AA848" s="116"/>
      <c r="AB848" s="116"/>
      <c r="AC848" s="88"/>
      <c r="AD848" s="88">
        <v>560</v>
      </c>
      <c r="AE848" s="88">
        <f t="shared" si="30"/>
        <v>300</v>
      </c>
      <c r="AF848" s="88">
        <v>140</v>
      </c>
      <c r="AG848" s="66">
        <f t="shared" si="28"/>
        <v>113.94374999999998</v>
      </c>
      <c r="AH848" s="143">
        <f t="shared" si="29"/>
        <v>1000</v>
      </c>
    </row>
    <row r="849" spans="1:34" s="118" customFormat="1" x14ac:dyDescent="0.3">
      <c r="A849" s="84">
        <v>803347</v>
      </c>
      <c r="B849" s="115">
        <v>51.666666666666671</v>
      </c>
      <c r="C849" s="115">
        <v>16</v>
      </c>
      <c r="D849" s="116">
        <v>8.81</v>
      </c>
      <c r="E849" s="1525">
        <v>0.25</v>
      </c>
      <c r="F849" s="89">
        <v>86.899999999999991</v>
      </c>
      <c r="G849" s="88"/>
      <c r="H849" s="89">
        <v>24.97</v>
      </c>
      <c r="I849" s="89">
        <v>320</v>
      </c>
      <c r="J849" s="117">
        <v>0.13900000000000001</v>
      </c>
      <c r="K849" s="115">
        <v>8.41</v>
      </c>
      <c r="L849" s="88">
        <v>912</v>
      </c>
      <c r="M849" s="88">
        <v>0.23</v>
      </c>
      <c r="N849" s="88">
        <v>1.03</v>
      </c>
      <c r="O849" s="88">
        <v>2.36</v>
      </c>
      <c r="P849" s="88">
        <v>1.84</v>
      </c>
      <c r="Q849" s="88"/>
      <c r="R849" s="116">
        <v>1.1514255854839586</v>
      </c>
      <c r="S849" s="115">
        <v>7.9</v>
      </c>
      <c r="T849" s="88"/>
      <c r="U849" s="88"/>
      <c r="V849" s="88"/>
      <c r="W849" s="88"/>
      <c r="X849" s="88"/>
      <c r="Y849" s="115">
        <f t="shared" si="31"/>
        <v>27.2</v>
      </c>
      <c r="Z849" s="88"/>
      <c r="AA849" s="116"/>
      <c r="AB849" s="116"/>
      <c r="AC849" s="88"/>
      <c r="AD849" s="88">
        <v>680</v>
      </c>
      <c r="AE849" s="88">
        <f t="shared" si="30"/>
        <v>200</v>
      </c>
      <c r="AF849" s="88">
        <v>120</v>
      </c>
      <c r="AG849" s="66">
        <f t="shared" si="28"/>
        <v>109.45367647058823</v>
      </c>
      <c r="AH849" s="143">
        <f t="shared" si="29"/>
        <v>1000</v>
      </c>
    </row>
    <row r="850" spans="1:34" s="118" customFormat="1" x14ac:dyDescent="0.3">
      <c r="A850" s="84">
        <v>803348</v>
      </c>
      <c r="B850" s="115">
        <v>0.11666666666666665</v>
      </c>
      <c r="C850" s="115"/>
      <c r="D850" s="116">
        <v>6.5</v>
      </c>
      <c r="E850" s="1525">
        <v>7.0000000000000007E-2</v>
      </c>
      <c r="F850" s="89">
        <v>43.7</v>
      </c>
      <c r="G850" s="88"/>
      <c r="H850" s="89">
        <v>22.84</v>
      </c>
      <c r="I850" s="89">
        <v>90</v>
      </c>
      <c r="J850" s="117">
        <v>3.0000000000000001E-3</v>
      </c>
      <c r="K850" s="115">
        <v>0.35</v>
      </c>
      <c r="L850" s="88">
        <v>56</v>
      </c>
      <c r="M850" s="88">
        <v>0.33</v>
      </c>
      <c r="N850" s="88">
        <v>0.38</v>
      </c>
      <c r="O850" s="88">
        <v>20.37</v>
      </c>
      <c r="P850" s="88">
        <v>17.649999999999999</v>
      </c>
      <c r="Q850" s="88"/>
      <c r="R850" s="116">
        <v>1.1658681421118195</v>
      </c>
      <c r="S850" s="115">
        <v>8.4</v>
      </c>
      <c r="T850" s="88"/>
      <c r="U850" s="88"/>
      <c r="V850" s="88"/>
      <c r="W850" s="88"/>
      <c r="X850" s="88"/>
      <c r="Y850" s="115">
        <v>8.4</v>
      </c>
      <c r="Z850" s="88">
        <v>5.26</v>
      </c>
      <c r="AA850" s="116"/>
      <c r="AB850" s="116"/>
      <c r="AC850" s="88"/>
      <c r="AD850" s="88">
        <v>140</v>
      </c>
      <c r="AE850" s="88">
        <f t="shared" si="30"/>
        <v>80</v>
      </c>
      <c r="AF850" s="88">
        <v>780</v>
      </c>
      <c r="AG850" s="66">
        <f t="shared" si="28"/>
        <v>14.749999999999998</v>
      </c>
      <c r="AH850" s="143">
        <f t="shared" si="29"/>
        <v>1000</v>
      </c>
    </row>
    <row r="851" spans="1:34" s="118" customFormat="1" x14ac:dyDescent="0.3">
      <c r="A851" s="84">
        <v>803349</v>
      </c>
      <c r="B851" s="115">
        <v>6.6666666666666666E-2</v>
      </c>
      <c r="C851" s="115"/>
      <c r="D851" s="116">
        <v>6.65</v>
      </c>
      <c r="E851" s="1525">
        <v>0.03</v>
      </c>
      <c r="F851" s="89">
        <v>53.849999999999994</v>
      </c>
      <c r="G851" s="88"/>
      <c r="H851" s="89">
        <v>22.87</v>
      </c>
      <c r="I851" s="89">
        <v>100</v>
      </c>
      <c r="J851" s="117">
        <v>1E-3</v>
      </c>
      <c r="K851" s="115">
        <v>0.19</v>
      </c>
      <c r="L851" s="88">
        <v>50</v>
      </c>
      <c r="M851" s="88">
        <v>0.22</v>
      </c>
      <c r="N851" s="88">
        <v>0.23</v>
      </c>
      <c r="O851" s="88">
        <v>12.86</v>
      </c>
      <c r="P851" s="88">
        <v>7.97</v>
      </c>
      <c r="Q851" s="88"/>
      <c r="R851" s="116">
        <v>0.76148335275376511</v>
      </c>
      <c r="S851" s="115">
        <v>5.3</v>
      </c>
      <c r="T851" s="88"/>
      <c r="U851" s="88"/>
      <c r="V851" s="88"/>
      <c r="W851" s="88"/>
      <c r="X851" s="88"/>
      <c r="Y851" s="115">
        <v>7.2</v>
      </c>
      <c r="Z851" s="88">
        <v>5.21</v>
      </c>
      <c r="AA851" s="116"/>
      <c r="AB851" s="116"/>
      <c r="AC851" s="88"/>
      <c r="AD851" s="88">
        <v>120</v>
      </c>
      <c r="AE851" s="88">
        <f t="shared" si="30"/>
        <v>80</v>
      </c>
      <c r="AF851" s="88">
        <v>800</v>
      </c>
      <c r="AG851" s="66">
        <f t="shared" si="28"/>
        <v>9.341666666666665</v>
      </c>
      <c r="AH851" s="143">
        <f t="shared" si="29"/>
        <v>1000</v>
      </c>
    </row>
    <row r="852" spans="1:34" s="118" customFormat="1" x14ac:dyDescent="0.3">
      <c r="A852" s="84">
        <v>803350</v>
      </c>
      <c r="B852" s="115">
        <v>0.05</v>
      </c>
      <c r="C852" s="115"/>
      <c r="D852" s="116">
        <v>6.65</v>
      </c>
      <c r="E852" s="1525">
        <v>0.03</v>
      </c>
      <c r="F852" s="89">
        <v>54.400000000000006</v>
      </c>
      <c r="G852" s="88"/>
      <c r="H852" s="89">
        <v>25.45</v>
      </c>
      <c r="I852" s="89">
        <v>70</v>
      </c>
      <c r="J852" s="117">
        <v>4.0000000000000001E-3</v>
      </c>
      <c r="K852" s="115">
        <v>0.51</v>
      </c>
      <c r="L852" s="88">
        <v>108</v>
      </c>
      <c r="M852" s="88">
        <v>1.02</v>
      </c>
      <c r="N852" s="88">
        <v>0.37</v>
      </c>
      <c r="O852" s="88">
        <v>15.13</v>
      </c>
      <c r="P852" s="88">
        <v>15.81</v>
      </c>
      <c r="Q852" s="88"/>
      <c r="R852" s="116">
        <v>1.5022290907604714</v>
      </c>
      <c r="S852" s="115">
        <v>10.1</v>
      </c>
      <c r="T852" s="88"/>
      <c r="U852" s="88"/>
      <c r="V852" s="88"/>
      <c r="W852" s="88"/>
      <c r="X852" s="88"/>
      <c r="Y852" s="115">
        <v>8.4</v>
      </c>
      <c r="Z852" s="88">
        <v>5.61</v>
      </c>
      <c r="AA852" s="116"/>
      <c r="AB852" s="116"/>
      <c r="AC852" s="88"/>
      <c r="AD852" s="88">
        <v>140</v>
      </c>
      <c r="AE852" s="88">
        <f t="shared" si="30"/>
        <v>80</v>
      </c>
      <c r="AF852" s="88">
        <v>780</v>
      </c>
      <c r="AG852" s="66">
        <f t="shared" si="28"/>
        <v>21.492857142857144</v>
      </c>
      <c r="AH852" s="143">
        <f t="shared" si="29"/>
        <v>1000</v>
      </c>
    </row>
    <row r="853" spans="1:34" s="118" customFormat="1" x14ac:dyDescent="0.3">
      <c r="A853" s="84">
        <v>803351</v>
      </c>
      <c r="B853" s="115">
        <v>0.18333333333333335</v>
      </c>
      <c r="C853" s="115"/>
      <c r="D853" s="116">
        <v>7.29</v>
      </c>
      <c r="E853" s="1525">
        <v>7.0000000000000007E-2</v>
      </c>
      <c r="F853" s="89">
        <v>51.449999999999996</v>
      </c>
      <c r="G853" s="88"/>
      <c r="H853" s="89">
        <v>14.88</v>
      </c>
      <c r="I853" s="89">
        <v>90</v>
      </c>
      <c r="J853" s="117">
        <v>5.0000000000000001E-3</v>
      </c>
      <c r="K853" s="115">
        <v>1.62</v>
      </c>
      <c r="L853" s="88">
        <v>275</v>
      </c>
      <c r="M853" s="88">
        <v>1.27</v>
      </c>
      <c r="N853" s="88">
        <v>0.35</v>
      </c>
      <c r="O853" s="88">
        <v>14.83</v>
      </c>
      <c r="P853" s="88">
        <v>17.72</v>
      </c>
      <c r="Q853" s="88"/>
      <c r="R853" s="116">
        <v>2.0398680000000002</v>
      </c>
      <c r="S853" s="115">
        <v>26.4</v>
      </c>
      <c r="T853" s="88"/>
      <c r="U853" s="88"/>
      <c r="V853" s="88"/>
      <c r="W853" s="88"/>
      <c r="X853" s="88"/>
      <c r="Y853" s="115">
        <v>11</v>
      </c>
      <c r="Z853" s="88">
        <v>6.2</v>
      </c>
      <c r="AA853" s="116"/>
      <c r="AB853" s="116"/>
      <c r="AC853" s="88"/>
      <c r="AD853" s="88">
        <v>220</v>
      </c>
      <c r="AE853" s="88">
        <f t="shared" si="30"/>
        <v>80</v>
      </c>
      <c r="AF853" s="88">
        <v>700</v>
      </c>
      <c r="AG853" s="66">
        <f t="shared" si="28"/>
        <v>52.134545454545467</v>
      </c>
      <c r="AH853" s="143">
        <f t="shared" si="29"/>
        <v>1000</v>
      </c>
    </row>
    <row r="854" spans="1:34" s="118" customFormat="1" x14ac:dyDescent="0.3">
      <c r="A854" s="84">
        <v>803352</v>
      </c>
      <c r="B854" s="115">
        <v>0.11666666666666665</v>
      </c>
      <c r="C854" s="115"/>
      <c r="D854" s="116">
        <v>6.66</v>
      </c>
      <c r="E854" s="1525">
        <v>0.05</v>
      </c>
      <c r="F854" s="89">
        <v>40.300000000000004</v>
      </c>
      <c r="G854" s="88"/>
      <c r="H854" s="89">
        <v>18.57</v>
      </c>
      <c r="I854" s="89">
        <v>30</v>
      </c>
      <c r="J854" s="117">
        <v>0.01</v>
      </c>
      <c r="K854" s="115">
        <v>0.24</v>
      </c>
      <c r="L854" s="88">
        <v>19</v>
      </c>
      <c r="M854" s="88">
        <v>0.46</v>
      </c>
      <c r="N854" s="88">
        <v>0.5</v>
      </c>
      <c r="O854" s="88">
        <v>2.56</v>
      </c>
      <c r="P854" s="88">
        <v>91.54</v>
      </c>
      <c r="Q854" s="88"/>
      <c r="R854" s="116">
        <v>1.586408</v>
      </c>
      <c r="S854" s="115">
        <v>10.6</v>
      </c>
      <c r="T854" s="88"/>
      <c r="U854" s="88"/>
      <c r="V854" s="88"/>
      <c r="W854" s="88"/>
      <c r="X854" s="88"/>
      <c r="Y854" s="115">
        <v>13</v>
      </c>
      <c r="Z854" s="88">
        <v>5.36</v>
      </c>
      <c r="AA854" s="116"/>
      <c r="AB854" s="116"/>
      <c r="AC854" s="88"/>
      <c r="AD854" s="88">
        <v>260</v>
      </c>
      <c r="AE854" s="88">
        <f t="shared" si="30"/>
        <v>120</v>
      </c>
      <c r="AF854" s="88">
        <v>620</v>
      </c>
      <c r="AG854" s="66">
        <f t="shared" si="28"/>
        <v>6.5353846153846158</v>
      </c>
      <c r="AH854" s="143">
        <f t="shared" si="29"/>
        <v>1000</v>
      </c>
    </row>
    <row r="855" spans="1:34" s="118" customFormat="1" x14ac:dyDescent="0.3">
      <c r="A855" s="84">
        <v>803353</v>
      </c>
      <c r="B855" s="115">
        <v>0.11666666666666665</v>
      </c>
      <c r="C855" s="115"/>
      <c r="D855" s="116">
        <v>6.79</v>
      </c>
      <c r="E855" s="1525">
        <v>0.05</v>
      </c>
      <c r="F855" s="89">
        <v>62.55</v>
      </c>
      <c r="G855" s="88"/>
      <c r="H855" s="89">
        <v>18.600000000000001</v>
      </c>
      <c r="I855" s="89">
        <v>40</v>
      </c>
      <c r="J855" s="117">
        <v>2E-3</v>
      </c>
      <c r="K855" s="115">
        <v>1.1000000000000001</v>
      </c>
      <c r="L855" s="88">
        <v>163</v>
      </c>
      <c r="M855" s="88">
        <v>0.83</v>
      </c>
      <c r="N855" s="88">
        <v>0.54</v>
      </c>
      <c r="O855" s="88">
        <v>51.96</v>
      </c>
      <c r="P855" s="88">
        <v>70.08</v>
      </c>
      <c r="Q855" s="88"/>
      <c r="R855" s="116">
        <v>1.9366250000000003</v>
      </c>
      <c r="S855" s="115">
        <v>21.5</v>
      </c>
      <c r="T855" s="88"/>
      <c r="U855" s="88"/>
      <c r="V855" s="88"/>
      <c r="W855" s="88"/>
      <c r="X855" s="88"/>
      <c r="Y855" s="115">
        <v>15.6</v>
      </c>
      <c r="Z855" s="115">
        <v>6</v>
      </c>
      <c r="AA855" s="116"/>
      <c r="AB855" s="116"/>
      <c r="AC855" s="88"/>
      <c r="AD855" s="88">
        <v>260</v>
      </c>
      <c r="AE855" s="88">
        <f t="shared" si="30"/>
        <v>120</v>
      </c>
      <c r="AF855" s="88">
        <v>620</v>
      </c>
      <c r="AG855" s="66">
        <f t="shared" si="28"/>
        <v>24.961538461538463</v>
      </c>
      <c r="AH855" s="143">
        <f t="shared" si="29"/>
        <v>1000</v>
      </c>
    </row>
    <row r="856" spans="1:34" s="118" customFormat="1" x14ac:dyDescent="0.3">
      <c r="A856" s="84">
        <v>803354</v>
      </c>
      <c r="B856" s="115">
        <v>11.666666666666666</v>
      </c>
      <c r="C856" s="115">
        <v>8.5</v>
      </c>
      <c r="D856" s="116">
        <v>8.86</v>
      </c>
      <c r="E856" s="1525">
        <v>0.22</v>
      </c>
      <c r="F856" s="89">
        <v>64.349999999999994</v>
      </c>
      <c r="G856" s="88"/>
      <c r="H856" s="89">
        <v>25.53</v>
      </c>
      <c r="I856" s="89">
        <v>370</v>
      </c>
      <c r="J856" s="117">
        <v>0.66600000000000004</v>
      </c>
      <c r="K856" s="115">
        <v>8.61</v>
      </c>
      <c r="L856" s="88">
        <v>1963</v>
      </c>
      <c r="M856" s="88">
        <v>0.43</v>
      </c>
      <c r="N856" s="88">
        <v>0.61</v>
      </c>
      <c r="O856" s="88">
        <v>1.29</v>
      </c>
      <c r="P856" s="88">
        <v>6.16</v>
      </c>
      <c r="Q856" s="88"/>
      <c r="R856" s="116">
        <v>1.774232</v>
      </c>
      <c r="S856" s="115">
        <v>15.8</v>
      </c>
      <c r="T856" s="88"/>
      <c r="U856" s="88"/>
      <c r="V856" s="88"/>
      <c r="W856" s="88"/>
      <c r="X856" s="88"/>
      <c r="Y856" s="115">
        <f t="shared" ref="Y856:Y863" si="32">AD856*0.04</f>
        <v>25.6</v>
      </c>
      <c r="Z856" s="88"/>
      <c r="AA856" s="116"/>
      <c r="AB856" s="116"/>
      <c r="AC856" s="88"/>
      <c r="AD856" s="88">
        <v>640</v>
      </c>
      <c r="AE856" s="88">
        <f t="shared" si="30"/>
        <v>280</v>
      </c>
      <c r="AF856" s="88">
        <v>80</v>
      </c>
      <c r="AG856" s="66">
        <f t="shared" si="28"/>
        <v>119.06015624999998</v>
      </c>
      <c r="AH856" s="143">
        <f t="shared" si="29"/>
        <v>1000</v>
      </c>
    </row>
    <row r="857" spans="1:34" s="118" customFormat="1" x14ac:dyDescent="0.3">
      <c r="A857" s="84">
        <v>803355</v>
      </c>
      <c r="B857" s="115">
        <v>10</v>
      </c>
      <c r="C857" s="115">
        <v>9.125</v>
      </c>
      <c r="D857" s="116">
        <v>8.77</v>
      </c>
      <c r="E857" s="1525">
        <v>0.32</v>
      </c>
      <c r="F857" s="89">
        <v>135.29999999999998</v>
      </c>
      <c r="G857" s="88"/>
      <c r="H857" s="89">
        <v>21.23</v>
      </c>
      <c r="I857" s="89">
        <v>270</v>
      </c>
      <c r="J857" s="117">
        <v>0.72799999999999998</v>
      </c>
      <c r="K857" s="115">
        <v>10.050000000000001</v>
      </c>
      <c r="L857" s="88">
        <v>1666</v>
      </c>
      <c r="M857" s="88">
        <v>0.38</v>
      </c>
      <c r="N857" s="88">
        <v>0.71</v>
      </c>
      <c r="O857" s="88">
        <v>2.1</v>
      </c>
      <c r="P857" s="88">
        <v>8.41</v>
      </c>
      <c r="Q857" s="88"/>
      <c r="R857" s="116">
        <v>1.7239370000000001</v>
      </c>
      <c r="S857" s="115">
        <v>14.3</v>
      </c>
      <c r="T857" s="88"/>
      <c r="U857" s="88"/>
      <c r="V857" s="88"/>
      <c r="W857" s="88"/>
      <c r="X857" s="88"/>
      <c r="Y857" s="115">
        <f t="shared" si="32"/>
        <v>24.8</v>
      </c>
      <c r="Z857" s="88"/>
      <c r="AA857" s="116"/>
      <c r="AB857" s="116"/>
      <c r="AC857" s="88"/>
      <c r="AD857" s="88">
        <v>620</v>
      </c>
      <c r="AE857" s="88">
        <f t="shared" si="30"/>
        <v>300</v>
      </c>
      <c r="AF857" s="88">
        <v>80</v>
      </c>
      <c r="AG857" s="66">
        <f t="shared" si="28"/>
        <v>143.45564516129033</v>
      </c>
      <c r="AH857" s="143">
        <f t="shared" si="29"/>
        <v>1000</v>
      </c>
    </row>
    <row r="858" spans="1:34" s="118" customFormat="1" x14ac:dyDescent="0.3">
      <c r="A858" s="84">
        <v>803356</v>
      </c>
      <c r="B858" s="115">
        <v>12.083333333333334</v>
      </c>
      <c r="C858" s="115">
        <v>8.1250000000000018</v>
      </c>
      <c r="D858" s="116">
        <v>8.84</v>
      </c>
      <c r="E858" s="1525">
        <v>0.2</v>
      </c>
      <c r="F858" s="89">
        <v>75.75</v>
      </c>
      <c r="G858" s="88"/>
      <c r="H858" s="89">
        <v>36.909999999999997</v>
      </c>
      <c r="I858" s="89">
        <v>340</v>
      </c>
      <c r="J858" s="117">
        <v>0.48199999999999998</v>
      </c>
      <c r="K858" s="115">
        <v>9.75</v>
      </c>
      <c r="L858" s="88">
        <v>1159</v>
      </c>
      <c r="M858" s="88">
        <v>0.49</v>
      </c>
      <c r="N858" s="88">
        <v>0.63</v>
      </c>
      <c r="O858" s="88">
        <v>0.95</v>
      </c>
      <c r="P858" s="88">
        <v>4.87</v>
      </c>
      <c r="Q858" s="88"/>
      <c r="R858" s="116">
        <v>1.7774730000000001</v>
      </c>
      <c r="S858" s="115">
        <v>15.9</v>
      </c>
      <c r="T858" s="88"/>
      <c r="U858" s="88"/>
      <c r="V858" s="88"/>
      <c r="W858" s="88"/>
      <c r="X858" s="88"/>
      <c r="Y858" s="115">
        <f t="shared" si="32"/>
        <v>24.8</v>
      </c>
      <c r="Z858" s="88"/>
      <c r="AA858" s="116"/>
      <c r="AB858" s="116"/>
      <c r="AC858" s="88"/>
      <c r="AD858" s="88">
        <v>620</v>
      </c>
      <c r="AE858" s="88">
        <f t="shared" si="30"/>
        <v>300</v>
      </c>
      <c r="AF858" s="88">
        <v>80</v>
      </c>
      <c r="AG858" s="66">
        <f t="shared" si="28"/>
        <v>139.17338709677418</v>
      </c>
      <c r="AH858" s="143">
        <f t="shared" si="29"/>
        <v>1000</v>
      </c>
    </row>
    <row r="859" spans="1:34" s="118" customFormat="1" x14ac:dyDescent="0.3">
      <c r="A859" s="84">
        <v>803357</v>
      </c>
      <c r="B859" s="115">
        <v>4.708333333333333</v>
      </c>
      <c r="C859" s="115"/>
      <c r="D859" s="116">
        <v>8.99</v>
      </c>
      <c r="E859" s="1525">
        <v>0.23</v>
      </c>
      <c r="F859" s="89">
        <v>79.75</v>
      </c>
      <c r="G859" s="88"/>
      <c r="H859" s="89">
        <v>34.86</v>
      </c>
      <c r="I859" s="89">
        <v>330</v>
      </c>
      <c r="J859" s="117">
        <v>0.77600000000000002</v>
      </c>
      <c r="K859" s="115">
        <v>11.97</v>
      </c>
      <c r="L859" s="88">
        <v>1144</v>
      </c>
      <c r="M859" s="88">
        <v>0.28000000000000003</v>
      </c>
      <c r="N859" s="88">
        <v>0.68</v>
      </c>
      <c r="O859" s="88">
        <v>1.19</v>
      </c>
      <c r="P859" s="88">
        <v>4.58</v>
      </c>
      <c r="Q859" s="88"/>
      <c r="R859" s="116">
        <v>1.6958250000000001</v>
      </c>
      <c r="S859" s="115">
        <v>13.5</v>
      </c>
      <c r="T859" s="88"/>
      <c r="U859" s="88"/>
      <c r="V859" s="88"/>
      <c r="W859" s="88"/>
      <c r="X859" s="88"/>
      <c r="Y859" s="115">
        <f t="shared" si="32"/>
        <v>24.8</v>
      </c>
      <c r="Z859" s="88"/>
      <c r="AA859" s="116"/>
      <c r="AB859" s="116"/>
      <c r="AC859" s="88"/>
      <c r="AD859" s="88">
        <v>620</v>
      </c>
      <c r="AE859" s="88">
        <f t="shared" si="30"/>
        <v>280</v>
      </c>
      <c r="AF859" s="88">
        <v>100</v>
      </c>
      <c r="AG859" s="66">
        <f t="shared" si="28"/>
        <v>170.86209677419356</v>
      </c>
      <c r="AH859" s="143">
        <f t="shared" si="29"/>
        <v>1000</v>
      </c>
    </row>
    <row r="860" spans="1:34" s="118" customFormat="1" x14ac:dyDescent="0.3">
      <c r="A860" s="84">
        <v>803358</v>
      </c>
      <c r="B860" s="115">
        <v>3.583333333333333</v>
      </c>
      <c r="C860" s="115"/>
      <c r="D860" s="116">
        <v>8.48</v>
      </c>
      <c r="E860" s="1525">
        <v>0.27</v>
      </c>
      <c r="F860" s="89">
        <v>84.399999999999991</v>
      </c>
      <c r="G860" s="88"/>
      <c r="H860" s="89">
        <v>185.72</v>
      </c>
      <c r="I860" s="89">
        <v>220</v>
      </c>
      <c r="J860" s="117">
        <v>5.8000000000000003E-2</v>
      </c>
      <c r="K860" s="115">
        <v>3.55</v>
      </c>
      <c r="L860" s="88">
        <v>344</v>
      </c>
      <c r="M860" s="88">
        <v>2.84</v>
      </c>
      <c r="N860" s="88">
        <v>1.05</v>
      </c>
      <c r="O860" s="88">
        <v>3.78</v>
      </c>
      <c r="P860" s="88">
        <v>6.51</v>
      </c>
      <c r="Q860" s="88"/>
      <c r="R860" s="116">
        <v>1.5903770000000002</v>
      </c>
      <c r="S860" s="115">
        <v>10.7</v>
      </c>
      <c r="T860" s="88"/>
      <c r="U860" s="88"/>
      <c r="V860" s="88"/>
      <c r="W860" s="88"/>
      <c r="X860" s="88"/>
      <c r="Y860" s="115">
        <f t="shared" si="32"/>
        <v>23.2</v>
      </c>
      <c r="Z860" s="88"/>
      <c r="AA860" s="116"/>
      <c r="AB860" s="116"/>
      <c r="AC860" s="88"/>
      <c r="AD860" s="88">
        <v>580</v>
      </c>
      <c r="AE860" s="88">
        <f t="shared" si="30"/>
        <v>280</v>
      </c>
      <c r="AF860" s="88">
        <v>140</v>
      </c>
      <c r="AG860" s="66">
        <f t="shared" si="28"/>
        <v>54.168103448275865</v>
      </c>
      <c r="AH860" s="143">
        <f t="shared" si="29"/>
        <v>1000</v>
      </c>
    </row>
    <row r="861" spans="1:34" s="118" customFormat="1" x14ac:dyDescent="0.3">
      <c r="A861" s="84">
        <v>803359</v>
      </c>
      <c r="B861" s="115">
        <v>11.416666666666666</v>
      </c>
      <c r="C861" s="115">
        <v>7.6250000000000018</v>
      </c>
      <c r="D861" s="116">
        <v>8.6300000000000008</v>
      </c>
      <c r="E861" s="1525">
        <v>0.42</v>
      </c>
      <c r="F861" s="89">
        <v>282.55</v>
      </c>
      <c r="G861" s="88"/>
      <c r="H861" s="89">
        <v>43.71</v>
      </c>
      <c r="I861" s="89">
        <v>130</v>
      </c>
      <c r="J861" s="117">
        <v>0.45</v>
      </c>
      <c r="K861" s="115">
        <v>6.3</v>
      </c>
      <c r="L861" s="88">
        <v>1437</v>
      </c>
      <c r="M861" s="88">
        <v>0.63</v>
      </c>
      <c r="N861" s="88">
        <v>0.52</v>
      </c>
      <c r="O861" s="88">
        <v>2.61</v>
      </c>
      <c r="P861" s="88">
        <v>3.86</v>
      </c>
      <c r="Q861" s="88"/>
      <c r="R861" s="116">
        <v>1.6922480000000002</v>
      </c>
      <c r="S861" s="115">
        <v>13.4</v>
      </c>
      <c r="T861" s="88"/>
      <c r="U861" s="88"/>
      <c r="V861" s="88"/>
      <c r="W861" s="88"/>
      <c r="X861" s="88"/>
      <c r="Y861" s="115">
        <f t="shared" si="32"/>
        <v>24.8</v>
      </c>
      <c r="Z861" s="88"/>
      <c r="AA861" s="116"/>
      <c r="AB861" s="116"/>
      <c r="AC861" s="88"/>
      <c r="AD861" s="88">
        <v>620</v>
      </c>
      <c r="AE861" s="88">
        <f t="shared" si="30"/>
        <v>300</v>
      </c>
      <c r="AF861" s="88">
        <v>80</v>
      </c>
      <c r="AG861" s="66">
        <f t="shared" si="28"/>
        <v>89.927419354838705</v>
      </c>
      <c r="AH861" s="143">
        <f t="shared" si="29"/>
        <v>1000</v>
      </c>
    </row>
    <row r="862" spans="1:34" s="118" customFormat="1" x14ac:dyDescent="0.3">
      <c r="A862" s="84">
        <v>803360</v>
      </c>
      <c r="B862" s="115">
        <v>17.583333333333336</v>
      </c>
      <c r="C862" s="115">
        <v>5.1250000000000018</v>
      </c>
      <c r="D862" s="116">
        <v>8.52</v>
      </c>
      <c r="E862" s="1525">
        <v>0.53</v>
      </c>
      <c r="F862" s="89">
        <v>125.55</v>
      </c>
      <c r="G862" s="88"/>
      <c r="H862" s="89">
        <v>43.13</v>
      </c>
      <c r="I862" s="89">
        <v>220</v>
      </c>
      <c r="J862" s="117">
        <v>0.36</v>
      </c>
      <c r="K862" s="115">
        <v>7.29</v>
      </c>
      <c r="L862" s="88">
        <v>1149</v>
      </c>
      <c r="M862" s="88">
        <v>1.02</v>
      </c>
      <c r="N862" s="88">
        <v>0.63</v>
      </c>
      <c r="O862" s="88">
        <v>2.41</v>
      </c>
      <c r="P862" s="88">
        <v>4.12</v>
      </c>
      <c r="Q862" s="88"/>
      <c r="R862" s="116">
        <v>1.7135000000000002</v>
      </c>
      <c r="S862" s="115">
        <v>14</v>
      </c>
      <c r="T862" s="88"/>
      <c r="U862" s="88"/>
      <c r="V862" s="88"/>
      <c r="W862" s="88"/>
      <c r="X862" s="88"/>
      <c r="Y862" s="115">
        <f t="shared" si="32"/>
        <v>23.2</v>
      </c>
      <c r="Z862" s="88"/>
      <c r="AA862" s="116"/>
      <c r="AB862" s="116"/>
      <c r="AC862" s="88"/>
      <c r="AD862" s="88">
        <v>580</v>
      </c>
      <c r="AE862" s="88">
        <f t="shared" si="30"/>
        <v>320</v>
      </c>
      <c r="AF862" s="88">
        <v>100</v>
      </c>
      <c r="AG862" s="66">
        <f t="shared" si="28"/>
        <v>111.2353448275862</v>
      </c>
      <c r="AH862" s="143">
        <f t="shared" si="29"/>
        <v>1000</v>
      </c>
    </row>
    <row r="863" spans="1:34" s="118" customFormat="1" x14ac:dyDescent="0.3">
      <c r="A863" s="84">
        <v>803361</v>
      </c>
      <c r="B863" s="115">
        <v>7.7916666666666652</v>
      </c>
      <c r="C863" s="115"/>
      <c r="D863" s="116">
        <v>8.77</v>
      </c>
      <c r="E863" s="1525">
        <v>0.43</v>
      </c>
      <c r="F863" s="89">
        <v>282</v>
      </c>
      <c r="G863" s="88"/>
      <c r="H863" s="89">
        <v>56.28</v>
      </c>
      <c r="I863" s="89">
        <v>190</v>
      </c>
      <c r="J863" s="117">
        <v>1.056</v>
      </c>
      <c r="K863" s="115">
        <v>5.93</v>
      </c>
      <c r="L863" s="88">
        <v>1295</v>
      </c>
      <c r="M863" s="88">
        <v>0.71</v>
      </c>
      <c r="N863" s="88">
        <v>0.86</v>
      </c>
      <c r="O863" s="88">
        <v>2.2200000000000002</v>
      </c>
      <c r="P863" s="88">
        <v>4.08</v>
      </c>
      <c r="Q863" s="88"/>
      <c r="R863" s="116">
        <v>1.6177680000000001</v>
      </c>
      <c r="S863" s="115">
        <v>11.4</v>
      </c>
      <c r="T863" s="88"/>
      <c r="U863" s="88"/>
      <c r="V863" s="88"/>
      <c r="W863" s="88"/>
      <c r="X863" s="88"/>
      <c r="Y863" s="115">
        <f t="shared" si="32"/>
        <v>24</v>
      </c>
      <c r="Z863" s="88"/>
      <c r="AA863" s="116"/>
      <c r="AB863" s="116"/>
      <c r="AC863" s="88"/>
      <c r="AD863" s="88">
        <v>600</v>
      </c>
      <c r="AE863" s="88">
        <f t="shared" si="30"/>
        <v>320</v>
      </c>
      <c r="AF863" s="88">
        <v>80</v>
      </c>
      <c r="AG863" s="66">
        <f t="shared" si="28"/>
        <v>87.467500000000015</v>
      </c>
      <c r="AH863" s="143">
        <f t="shared" si="29"/>
        <v>1000</v>
      </c>
    </row>
    <row r="864" spans="1:34" s="118" customFormat="1" x14ac:dyDescent="0.3">
      <c r="A864" s="84">
        <v>803362</v>
      </c>
      <c r="B864" s="115"/>
      <c r="C864" s="115"/>
      <c r="D864" s="116"/>
      <c r="E864" s="1525"/>
      <c r="F864" s="89"/>
      <c r="G864" s="88"/>
      <c r="H864" s="89"/>
      <c r="I864" s="89"/>
      <c r="J864" s="117"/>
      <c r="K864" s="115"/>
      <c r="L864" s="88"/>
      <c r="M864" s="88"/>
      <c r="N864" s="88"/>
      <c r="O864" s="88"/>
      <c r="P864" s="88"/>
      <c r="Q864" s="88"/>
      <c r="R864" s="116">
        <v>0</v>
      </c>
      <c r="S864" s="115"/>
      <c r="T864" s="88"/>
      <c r="U864" s="88"/>
      <c r="V864" s="88"/>
      <c r="W864" s="88"/>
      <c r="X864" s="88"/>
      <c r="Y864" s="115">
        <v>0</v>
      </c>
      <c r="Z864" s="88"/>
      <c r="AA864" s="116"/>
      <c r="AB864" s="116"/>
      <c r="AC864" s="88"/>
      <c r="AD864" s="88"/>
      <c r="AE864" s="88"/>
      <c r="AF864" s="88"/>
      <c r="AG864" s="66" t="e">
        <f t="shared" si="28"/>
        <v>#DIV/0!</v>
      </c>
      <c r="AH864" s="143">
        <f t="shared" si="29"/>
        <v>0</v>
      </c>
    </row>
    <row r="865" spans="1:34" s="118" customFormat="1" x14ac:dyDescent="0.3">
      <c r="A865" s="84">
        <v>803363</v>
      </c>
      <c r="B865" s="115">
        <v>0.2</v>
      </c>
      <c r="C865" s="115" t="s">
        <v>170</v>
      </c>
      <c r="D865" s="116">
        <v>7.69</v>
      </c>
      <c r="E865" s="1525">
        <v>0.06</v>
      </c>
      <c r="F865" s="89">
        <v>53.8</v>
      </c>
      <c r="G865" s="88"/>
      <c r="H865" s="89">
        <v>38.25</v>
      </c>
      <c r="I865" s="89">
        <v>110</v>
      </c>
      <c r="J865" s="117">
        <v>2.3E-2</v>
      </c>
      <c r="K865" s="115">
        <v>1.36</v>
      </c>
      <c r="L865" s="88">
        <v>110</v>
      </c>
      <c r="M865" s="88">
        <v>0.55000000000000004</v>
      </c>
      <c r="N865" s="88">
        <v>0.59</v>
      </c>
      <c r="O865" s="88">
        <v>7.87</v>
      </c>
      <c r="P865" s="88">
        <v>15.41</v>
      </c>
      <c r="Q865" s="88"/>
      <c r="R865" s="116">
        <v>1.5824250000000002</v>
      </c>
      <c r="S865" s="115">
        <v>10.5</v>
      </c>
      <c r="T865" s="88"/>
      <c r="U865" s="88"/>
      <c r="V865" s="88"/>
      <c r="W865" s="88"/>
      <c r="X865" s="88"/>
      <c r="Y865" s="115">
        <f>AD865*0.04</f>
        <v>17.600000000000001</v>
      </c>
      <c r="Z865" s="88"/>
      <c r="AA865" s="116"/>
      <c r="AB865" s="116"/>
      <c r="AC865" s="88"/>
      <c r="AD865" s="88">
        <v>440</v>
      </c>
      <c r="AE865" s="88">
        <f t="shared" ref="AE865:AE873" si="33">1000-(AF865+AD865)</f>
        <v>240</v>
      </c>
      <c r="AF865" s="88">
        <v>320</v>
      </c>
      <c r="AG865" s="66">
        <f t="shared" si="28"/>
        <v>27.354545454545452</v>
      </c>
      <c r="AH865" s="143">
        <f t="shared" si="29"/>
        <v>1000</v>
      </c>
    </row>
    <row r="866" spans="1:34" s="118" customFormat="1" x14ac:dyDescent="0.3">
      <c r="A866" s="84">
        <v>803364</v>
      </c>
      <c r="B866" s="115">
        <v>0.38333333333333325</v>
      </c>
      <c r="C866" s="115" t="s">
        <v>170</v>
      </c>
      <c r="D866" s="116">
        <v>7.53</v>
      </c>
      <c r="E866" s="1525">
        <v>0.06</v>
      </c>
      <c r="F866" s="89">
        <v>54.400000000000006</v>
      </c>
      <c r="G866" s="88"/>
      <c r="H866" s="89">
        <v>41.51</v>
      </c>
      <c r="I866" s="89">
        <v>130</v>
      </c>
      <c r="J866" s="117">
        <v>0.02</v>
      </c>
      <c r="K866" s="115">
        <v>1.37</v>
      </c>
      <c r="L866" s="88">
        <v>105</v>
      </c>
      <c r="M866" s="88">
        <v>0.99</v>
      </c>
      <c r="N866" s="88">
        <v>0.56999999999999995</v>
      </c>
      <c r="O866" s="88">
        <v>9.17</v>
      </c>
      <c r="P866" s="88">
        <v>14.19</v>
      </c>
      <c r="Q866" s="88"/>
      <c r="R866" s="116">
        <v>1.586408</v>
      </c>
      <c r="S866" s="115">
        <v>10.6</v>
      </c>
      <c r="T866" s="88"/>
      <c r="U866" s="88"/>
      <c r="V866" s="88"/>
      <c r="W866" s="88"/>
      <c r="X866" s="88"/>
      <c r="Y866" s="115">
        <f>AD866*0.04</f>
        <v>17.600000000000001</v>
      </c>
      <c r="Z866" s="88"/>
      <c r="AA866" s="116"/>
      <c r="AB866" s="116"/>
      <c r="AC866" s="88"/>
      <c r="AD866" s="88">
        <v>440</v>
      </c>
      <c r="AE866" s="88">
        <f t="shared" si="33"/>
        <v>260</v>
      </c>
      <c r="AF866" s="88">
        <v>300</v>
      </c>
      <c r="AG866" s="66">
        <f t="shared" si="28"/>
        <v>27.555681818181817</v>
      </c>
      <c r="AH866" s="143">
        <f t="shared" si="29"/>
        <v>1000</v>
      </c>
    </row>
    <row r="867" spans="1:34" s="118" customFormat="1" x14ac:dyDescent="0.3">
      <c r="A867" s="84">
        <v>803365</v>
      </c>
      <c r="B867" s="115">
        <v>0.24999999999999997</v>
      </c>
      <c r="C867" s="115" t="s">
        <v>170</v>
      </c>
      <c r="D867" s="116">
        <v>7.44</v>
      </c>
      <c r="E867" s="1525">
        <v>0.05</v>
      </c>
      <c r="F867" s="89">
        <v>55.75</v>
      </c>
      <c r="G867" s="88"/>
      <c r="H867" s="89">
        <v>63.11</v>
      </c>
      <c r="I867" s="89">
        <v>160</v>
      </c>
      <c r="J867" s="117">
        <v>2.9000000000000001E-2</v>
      </c>
      <c r="K867" s="115">
        <v>0.91</v>
      </c>
      <c r="L867" s="88">
        <v>87</v>
      </c>
      <c r="M867" s="88">
        <v>0.97</v>
      </c>
      <c r="N867" s="88">
        <v>0.71</v>
      </c>
      <c r="O867" s="88">
        <v>13.03</v>
      </c>
      <c r="P867" s="88">
        <v>12.92</v>
      </c>
      <c r="Q867" s="88"/>
      <c r="R867" s="116">
        <v>1.3470868019208577</v>
      </c>
      <c r="S867" s="115">
        <v>8.9</v>
      </c>
      <c r="T867" s="88"/>
      <c r="U867" s="88"/>
      <c r="V867" s="88"/>
      <c r="W867" s="88"/>
      <c r="X867" s="88"/>
      <c r="Y867" s="115">
        <f>AD867*0.04</f>
        <v>17.600000000000001</v>
      </c>
      <c r="Z867" s="88"/>
      <c r="AA867" s="116"/>
      <c r="AB867" s="116"/>
      <c r="AC867" s="88"/>
      <c r="AD867" s="88">
        <v>440</v>
      </c>
      <c r="AE867" s="88">
        <f t="shared" si="33"/>
        <v>260</v>
      </c>
      <c r="AF867" s="88">
        <v>300</v>
      </c>
      <c r="AG867" s="66">
        <f t="shared" si="28"/>
        <v>18.303409090909089</v>
      </c>
      <c r="AH867" s="143">
        <f t="shared" si="29"/>
        <v>1000</v>
      </c>
    </row>
    <row r="868" spans="1:34" s="118" customFormat="1" x14ac:dyDescent="0.3">
      <c r="A868" s="84">
        <v>803366</v>
      </c>
      <c r="B868" s="115">
        <v>1E-4</v>
      </c>
      <c r="C868" s="115" t="s">
        <v>170</v>
      </c>
      <c r="D868" s="116">
        <v>7.48</v>
      </c>
      <c r="E868" s="1525">
        <v>0.12</v>
      </c>
      <c r="F868" s="89">
        <v>54.050000000000004</v>
      </c>
      <c r="G868" s="88"/>
      <c r="H868" s="89">
        <v>134.44999999999999</v>
      </c>
      <c r="I868" s="89">
        <v>180</v>
      </c>
      <c r="J868" s="117">
        <v>1.4E-2</v>
      </c>
      <c r="K868" s="115">
        <v>0.95</v>
      </c>
      <c r="L868" s="88">
        <v>98</v>
      </c>
      <c r="M868" s="88">
        <v>1.29</v>
      </c>
      <c r="N868" s="88">
        <v>0.82</v>
      </c>
      <c r="O868" s="88">
        <v>3.87</v>
      </c>
      <c r="P868" s="88">
        <v>13.83</v>
      </c>
      <c r="Q868" s="88"/>
      <c r="R868" s="116">
        <v>0.93706711271368159</v>
      </c>
      <c r="S868" s="115">
        <v>6.4</v>
      </c>
      <c r="T868" s="88"/>
      <c r="U868" s="88"/>
      <c r="V868" s="88"/>
      <c r="W868" s="88"/>
      <c r="X868" s="88"/>
      <c r="Y868" s="115">
        <v>3.6</v>
      </c>
      <c r="Z868" s="88"/>
      <c r="AA868" s="116"/>
      <c r="AB868" s="116"/>
      <c r="AC868" s="88"/>
      <c r="AD868" s="88">
        <v>60</v>
      </c>
      <c r="AE868" s="88">
        <f t="shared" si="33"/>
        <v>60</v>
      </c>
      <c r="AF868" s="88">
        <v>880</v>
      </c>
      <c r="AG868" s="66">
        <f t="shared" si="28"/>
        <v>93.416666666666671</v>
      </c>
      <c r="AH868" s="143">
        <f t="shared" si="29"/>
        <v>1000</v>
      </c>
    </row>
    <row r="869" spans="1:34" s="118" customFormat="1" x14ac:dyDescent="0.3">
      <c r="A869" s="84">
        <v>803367</v>
      </c>
      <c r="B869" s="115">
        <v>16.083333333333332</v>
      </c>
      <c r="C869" s="115">
        <v>5.3750000000000009</v>
      </c>
      <c r="D869" s="116">
        <v>8.64</v>
      </c>
      <c r="E869" s="1525">
        <v>0.62</v>
      </c>
      <c r="F869" s="89">
        <v>631.45000000000005</v>
      </c>
      <c r="G869" s="88"/>
      <c r="H869" s="89">
        <v>178.99</v>
      </c>
      <c r="I869" s="89">
        <v>70</v>
      </c>
      <c r="J869" s="117">
        <v>2.1000000000000001E-2</v>
      </c>
      <c r="K869" s="115">
        <v>4.88</v>
      </c>
      <c r="L869" s="88">
        <v>648</v>
      </c>
      <c r="M869" s="88">
        <v>12.61</v>
      </c>
      <c r="N869" s="88">
        <v>3.92</v>
      </c>
      <c r="O869" s="88">
        <v>1.68</v>
      </c>
      <c r="P869" s="88">
        <v>8.67</v>
      </c>
      <c r="Q869" s="88"/>
      <c r="R869" s="116">
        <v>1.1659843777713386</v>
      </c>
      <c r="S869" s="115">
        <v>8.5</v>
      </c>
      <c r="T869" s="88"/>
      <c r="U869" s="88"/>
      <c r="V869" s="88"/>
      <c r="W869" s="88"/>
      <c r="X869" s="88"/>
      <c r="Y869" s="115">
        <v>3.6</v>
      </c>
      <c r="Z869" s="88"/>
      <c r="AA869" s="116"/>
      <c r="AB869" s="116"/>
      <c r="AC869" s="88"/>
      <c r="AD869" s="88">
        <v>60</v>
      </c>
      <c r="AE869" s="88">
        <f t="shared" si="33"/>
        <v>60</v>
      </c>
      <c r="AF869" s="88">
        <v>880</v>
      </c>
      <c r="AG869" s="66">
        <f t="shared" si="28"/>
        <v>479.86666666666656</v>
      </c>
      <c r="AH869" s="143">
        <f t="shared" si="29"/>
        <v>1000</v>
      </c>
    </row>
    <row r="870" spans="1:34" s="118" customFormat="1" x14ac:dyDescent="0.3">
      <c r="A870" s="84">
        <v>803368</v>
      </c>
      <c r="B870" s="115">
        <v>26.666666666666668</v>
      </c>
      <c r="C870" s="115">
        <v>9.6250000000000018</v>
      </c>
      <c r="D870" s="116">
        <v>8.94</v>
      </c>
      <c r="E870" s="1525">
        <v>0.36</v>
      </c>
      <c r="F870" s="89">
        <v>185.95</v>
      </c>
      <c r="G870" s="88"/>
      <c r="H870" s="89">
        <v>82.58</v>
      </c>
      <c r="I870" s="89">
        <v>360</v>
      </c>
      <c r="J870" s="117">
        <v>0.27900000000000003</v>
      </c>
      <c r="K870" s="115">
        <v>7.59</v>
      </c>
      <c r="L870" s="88">
        <v>568</v>
      </c>
      <c r="M870" s="88">
        <v>0.43</v>
      </c>
      <c r="N870" s="88">
        <v>0.5</v>
      </c>
      <c r="O870" s="88">
        <v>1.44</v>
      </c>
      <c r="P870" s="88">
        <v>4.96</v>
      </c>
      <c r="Q870" s="88"/>
      <c r="R870" s="116">
        <v>0.61791769290674403</v>
      </c>
      <c r="S870" s="115">
        <v>4.3</v>
      </c>
      <c r="T870" s="88"/>
      <c r="U870" s="88"/>
      <c r="V870" s="88"/>
      <c r="W870" s="88"/>
      <c r="X870" s="88"/>
      <c r="Y870" s="115">
        <f>AD870*0.04</f>
        <v>25.6</v>
      </c>
      <c r="Z870" s="88"/>
      <c r="AA870" s="116"/>
      <c r="AB870" s="116"/>
      <c r="AC870" s="88"/>
      <c r="AD870" s="88">
        <v>640</v>
      </c>
      <c r="AE870" s="88">
        <f t="shared" si="33"/>
        <v>240</v>
      </c>
      <c r="AF870" s="88">
        <v>120</v>
      </c>
      <c r="AG870" s="66">
        <f t="shared" si="28"/>
        <v>104.95546874999999</v>
      </c>
      <c r="AH870" s="143">
        <f t="shared" si="29"/>
        <v>1000</v>
      </c>
    </row>
    <row r="871" spans="1:34" s="118" customFormat="1" x14ac:dyDescent="0.3">
      <c r="A871" s="84">
        <v>803369</v>
      </c>
      <c r="B871" s="115">
        <v>25.333333333333329</v>
      </c>
      <c r="C871" s="115">
        <v>8.8750000000000018</v>
      </c>
      <c r="D871" s="116">
        <v>8.64</v>
      </c>
      <c r="E871" s="1525">
        <v>0.78</v>
      </c>
      <c r="F871" s="89">
        <v>408.40000000000003</v>
      </c>
      <c r="G871" s="88"/>
      <c r="H871" s="89">
        <v>20.39</v>
      </c>
      <c r="I871" s="89">
        <v>90</v>
      </c>
      <c r="J871" s="117">
        <v>0.48399999999999999</v>
      </c>
      <c r="K871" s="115">
        <v>7.74</v>
      </c>
      <c r="L871" s="88">
        <v>238</v>
      </c>
      <c r="M871" s="88">
        <v>0.1</v>
      </c>
      <c r="N871" s="88">
        <v>0.24</v>
      </c>
      <c r="O871" s="88">
        <v>1.04</v>
      </c>
      <c r="P871" s="88">
        <v>1.77</v>
      </c>
      <c r="Q871" s="88"/>
      <c r="R871" s="116">
        <v>0.29591910953256156</v>
      </c>
      <c r="S871" s="115">
        <v>2.1</v>
      </c>
      <c r="T871" s="88"/>
      <c r="U871" s="88"/>
      <c r="V871" s="88"/>
      <c r="W871" s="88"/>
      <c r="X871" s="88"/>
      <c r="Y871" s="115">
        <f>AD871*0.04</f>
        <v>25.6</v>
      </c>
      <c r="Z871" s="88"/>
      <c r="AA871" s="116"/>
      <c r="AB871" s="116"/>
      <c r="AC871" s="88"/>
      <c r="AD871" s="88">
        <v>640</v>
      </c>
      <c r="AE871" s="88">
        <f t="shared" si="33"/>
        <v>240</v>
      </c>
      <c r="AF871" s="88">
        <v>120</v>
      </c>
      <c r="AG871" s="66">
        <f t="shared" si="28"/>
        <v>107.02968749999999</v>
      </c>
      <c r="AH871" s="143">
        <f t="shared" si="29"/>
        <v>1000</v>
      </c>
    </row>
    <row r="872" spans="1:34" s="118" customFormat="1" x14ac:dyDescent="0.3">
      <c r="A872" s="84">
        <v>803370</v>
      </c>
      <c r="B872" s="115">
        <v>17</v>
      </c>
      <c r="C872" s="115">
        <v>5.6250000000000018</v>
      </c>
      <c r="D872" s="116">
        <v>8.56</v>
      </c>
      <c r="E872" s="1525">
        <v>0.51</v>
      </c>
      <c r="F872" s="89">
        <v>380.5</v>
      </c>
      <c r="G872" s="88"/>
      <c r="H872" s="89">
        <v>42.04</v>
      </c>
      <c r="I872" s="89">
        <v>560</v>
      </c>
      <c r="J872" s="117">
        <v>0.29799999999999999</v>
      </c>
      <c r="K872" s="115">
        <v>9.68</v>
      </c>
      <c r="L872" s="88">
        <v>374</v>
      </c>
      <c r="M872" s="88">
        <v>0.14000000000000001</v>
      </c>
      <c r="N872" s="88">
        <v>0.64</v>
      </c>
      <c r="O872" s="88">
        <v>1.19</v>
      </c>
      <c r="P872" s="88">
        <v>1.35</v>
      </c>
      <c r="Q872" s="88"/>
      <c r="R872" s="116">
        <v>0.83244951936390132</v>
      </c>
      <c r="S872" s="115">
        <v>5.8</v>
      </c>
      <c r="T872" s="88"/>
      <c r="U872" s="88"/>
      <c r="V872" s="88"/>
      <c r="W872" s="88"/>
      <c r="X872" s="88"/>
      <c r="Y872" s="115">
        <f>AD872*0.04</f>
        <v>20</v>
      </c>
      <c r="Z872" s="88"/>
      <c r="AA872" s="116"/>
      <c r="AB872" s="116"/>
      <c r="AC872" s="88"/>
      <c r="AD872" s="88">
        <v>500</v>
      </c>
      <c r="AE872" s="88">
        <f t="shared" si="33"/>
        <v>400</v>
      </c>
      <c r="AF872" s="88">
        <v>100</v>
      </c>
      <c r="AG872" s="66">
        <f t="shared" si="28"/>
        <v>171.33600000000001</v>
      </c>
      <c r="AH872" s="143">
        <f t="shared" si="29"/>
        <v>1000</v>
      </c>
    </row>
    <row r="873" spans="1:34" s="118" customFormat="1" x14ac:dyDescent="0.3">
      <c r="A873" s="84">
        <v>803371</v>
      </c>
      <c r="B873" s="115">
        <v>41.333333333333336</v>
      </c>
      <c r="C873" s="115">
        <v>13.000000000000004</v>
      </c>
      <c r="D873" s="116">
        <v>8.41</v>
      </c>
      <c r="E873" s="1525">
        <v>1.86</v>
      </c>
      <c r="F873" s="89">
        <v>1472.1000000000001</v>
      </c>
      <c r="G873" s="88"/>
      <c r="H873" s="89">
        <v>33.04</v>
      </c>
      <c r="I873" s="89">
        <v>210</v>
      </c>
      <c r="J873" s="117">
        <v>1.405</v>
      </c>
      <c r="K873" s="115">
        <v>11.48</v>
      </c>
      <c r="L873" s="88">
        <v>919</v>
      </c>
      <c r="M873" s="88">
        <v>0.28000000000000003</v>
      </c>
      <c r="N873" s="88">
        <v>0.53</v>
      </c>
      <c r="O873" s="88">
        <v>0.52</v>
      </c>
      <c r="P873" s="88">
        <v>3.39</v>
      </c>
      <c r="Q873" s="88"/>
      <c r="R873" s="116">
        <v>0.2620400046113498</v>
      </c>
      <c r="S873" s="115">
        <v>1.8</v>
      </c>
      <c r="T873" s="88"/>
      <c r="U873" s="88"/>
      <c r="V873" s="88"/>
      <c r="W873" s="88"/>
      <c r="X873" s="88"/>
      <c r="Y873" s="115">
        <f>AD873*0.04</f>
        <v>24</v>
      </c>
      <c r="Z873" s="88"/>
      <c r="AA873" s="116"/>
      <c r="AB873" s="116"/>
      <c r="AC873" s="88"/>
      <c r="AD873" s="88">
        <v>600</v>
      </c>
      <c r="AE873" s="88">
        <f t="shared" si="33"/>
        <v>320</v>
      </c>
      <c r="AF873" s="88">
        <v>80</v>
      </c>
      <c r="AG873" s="66">
        <f t="shared" si="28"/>
        <v>169.33</v>
      </c>
      <c r="AH873" s="143">
        <f t="shared" si="29"/>
        <v>1000</v>
      </c>
    </row>
    <row r="874" spans="1:34" s="118" customFormat="1" x14ac:dyDescent="0.3">
      <c r="A874" s="84">
        <v>803372</v>
      </c>
      <c r="B874" s="115">
        <v>24.666666666666668</v>
      </c>
      <c r="C874" s="115">
        <v>9.3749999999999982</v>
      </c>
      <c r="D874" s="116">
        <v>7.9</v>
      </c>
      <c r="E874" s="1525">
        <v>0.5</v>
      </c>
      <c r="F874" s="89">
        <v>278.5</v>
      </c>
      <c r="G874" s="88"/>
      <c r="H874" s="89">
        <v>165.93</v>
      </c>
      <c r="I874" s="89">
        <v>606</v>
      </c>
      <c r="J874" s="88">
        <v>0.60599999999999998</v>
      </c>
      <c r="K874" s="115">
        <v>6.53</v>
      </c>
      <c r="L874" s="88">
        <v>1090</v>
      </c>
      <c r="M874" s="88">
        <v>1.42</v>
      </c>
      <c r="N874" s="88">
        <v>0.94</v>
      </c>
      <c r="O874" s="88">
        <v>1.31</v>
      </c>
      <c r="P874" s="88">
        <v>7.88</v>
      </c>
      <c r="Q874" s="116"/>
      <c r="R874" s="116">
        <v>1.1564861908058577</v>
      </c>
      <c r="S874" s="115">
        <v>8.4</v>
      </c>
      <c r="T874" s="88"/>
      <c r="U874" s="88"/>
      <c r="V874" s="88"/>
      <c r="W874" s="88"/>
      <c r="X874" s="115"/>
      <c r="Y874" s="115">
        <v>28</v>
      </c>
      <c r="Z874" s="88"/>
      <c r="AA874" s="116"/>
      <c r="AB874" s="88"/>
      <c r="AC874" s="88"/>
      <c r="AD874" s="88">
        <v>640</v>
      </c>
      <c r="AE874" s="88">
        <f t="shared" ref="AE874:AE905" si="34">1000-(AF874+AD874)</f>
        <v>280</v>
      </c>
      <c r="AF874" s="88">
        <v>80</v>
      </c>
      <c r="AG874" s="66">
        <f t="shared" si="28"/>
        <v>82.557857142857159</v>
      </c>
      <c r="AH874" s="143">
        <f t="shared" si="29"/>
        <v>1000</v>
      </c>
    </row>
    <row r="875" spans="1:34" s="118" customFormat="1" x14ac:dyDescent="0.3">
      <c r="A875" s="84">
        <v>803373</v>
      </c>
      <c r="B875" s="115">
        <v>22.666666666666664</v>
      </c>
      <c r="C875" s="115">
        <v>9</v>
      </c>
      <c r="D875" s="116">
        <v>7.85</v>
      </c>
      <c r="E875" s="1525">
        <v>0.68</v>
      </c>
      <c r="F875" s="89">
        <v>470.20000000000005</v>
      </c>
      <c r="G875" s="88"/>
      <c r="H875" s="89">
        <v>165.83</v>
      </c>
      <c r="I875" s="89">
        <v>651</v>
      </c>
      <c r="J875" s="88">
        <v>0.65100000000000002</v>
      </c>
      <c r="K875" s="115">
        <v>6.03</v>
      </c>
      <c r="L875" s="88">
        <v>780</v>
      </c>
      <c r="M875" s="88">
        <v>1.24</v>
      </c>
      <c r="N875" s="88">
        <v>0.82</v>
      </c>
      <c r="O875" s="88">
        <v>0.85</v>
      </c>
      <c r="P875" s="88">
        <v>6.24</v>
      </c>
      <c r="Q875" s="116"/>
      <c r="R875" s="116">
        <v>0.9378537605364532</v>
      </c>
      <c r="S875" s="115">
        <v>6.2</v>
      </c>
      <c r="T875" s="88"/>
      <c r="U875" s="88"/>
      <c r="V875" s="88"/>
      <c r="W875" s="88"/>
      <c r="X875" s="115"/>
      <c r="Y875" s="115">
        <f>4/100*AD875</f>
        <v>24</v>
      </c>
      <c r="Z875" s="88"/>
      <c r="AA875" s="116"/>
      <c r="AB875" s="88"/>
      <c r="AC875" s="88"/>
      <c r="AD875" s="88">
        <v>600</v>
      </c>
      <c r="AE875" s="88">
        <f t="shared" si="34"/>
        <v>260</v>
      </c>
      <c r="AF875" s="88">
        <v>140</v>
      </c>
      <c r="AG875" s="66">
        <f t="shared" si="28"/>
        <v>88.942499999999995</v>
      </c>
      <c r="AH875" s="143">
        <f t="shared" si="29"/>
        <v>1000</v>
      </c>
    </row>
    <row r="876" spans="1:34" s="118" customFormat="1" x14ac:dyDescent="0.3">
      <c r="A876" s="84">
        <v>803374</v>
      </c>
      <c r="B876" s="115">
        <v>40.666666666666664</v>
      </c>
      <c r="C876" s="115">
        <v>14.999999999999998</v>
      </c>
      <c r="D876" s="116">
        <v>7.6</v>
      </c>
      <c r="E876" s="1525">
        <v>0.14000000000000001</v>
      </c>
      <c r="F876" s="89">
        <v>48.35</v>
      </c>
      <c r="G876" s="88"/>
      <c r="H876" s="89">
        <v>34.520000000000003</v>
      </c>
      <c r="I876" s="89">
        <v>24</v>
      </c>
      <c r="J876" s="88">
        <v>2.4E-2</v>
      </c>
      <c r="K876" s="115">
        <v>7.93</v>
      </c>
      <c r="L876" s="88">
        <v>160</v>
      </c>
      <c r="M876" s="88">
        <v>0.12</v>
      </c>
      <c r="N876" s="88">
        <v>0.65</v>
      </c>
      <c r="O876" s="88">
        <v>3.38</v>
      </c>
      <c r="P876" s="88">
        <v>3.76</v>
      </c>
      <c r="Q876" s="116"/>
      <c r="R876" s="116">
        <v>1.6369130000000003</v>
      </c>
      <c r="S876" s="115">
        <v>11.9</v>
      </c>
      <c r="T876" s="88"/>
      <c r="U876" s="88"/>
      <c r="V876" s="88"/>
      <c r="W876" s="88"/>
      <c r="X876" s="115"/>
      <c r="Y876" s="115">
        <f>4/100*AD876</f>
        <v>21.6</v>
      </c>
      <c r="Z876" s="88"/>
      <c r="AA876" s="116"/>
      <c r="AB876" s="88"/>
      <c r="AC876" s="88"/>
      <c r="AD876" s="88">
        <v>540</v>
      </c>
      <c r="AE876" s="88">
        <f t="shared" si="34"/>
        <v>160</v>
      </c>
      <c r="AF876" s="88">
        <v>300</v>
      </c>
      <c r="AG876" s="66">
        <f t="shared" si="28"/>
        <v>129.96388888888887</v>
      </c>
      <c r="AH876" s="143">
        <f t="shared" si="29"/>
        <v>1000</v>
      </c>
    </row>
    <row r="877" spans="1:34" s="118" customFormat="1" x14ac:dyDescent="0.3">
      <c r="A877" s="84">
        <v>803375</v>
      </c>
      <c r="B877" s="115">
        <v>45.666666666666664</v>
      </c>
      <c r="C877" s="115">
        <v>14.749999999999998</v>
      </c>
      <c r="D877" s="116">
        <v>7.64</v>
      </c>
      <c r="E877" s="1525">
        <v>0.11</v>
      </c>
      <c r="F877" s="89">
        <v>44.25</v>
      </c>
      <c r="G877" s="88"/>
      <c r="H877" s="89">
        <v>24.12</v>
      </c>
      <c r="I877" s="89">
        <v>15</v>
      </c>
      <c r="J877" s="88">
        <v>1.4999999999999999E-2</v>
      </c>
      <c r="K877" s="115">
        <v>7.62</v>
      </c>
      <c r="L877" s="88">
        <v>120</v>
      </c>
      <c r="M877" s="88">
        <v>0.12</v>
      </c>
      <c r="N877" s="88">
        <v>0.33</v>
      </c>
      <c r="O877" s="88">
        <v>3.12</v>
      </c>
      <c r="P877" s="88">
        <v>3.62</v>
      </c>
      <c r="Q877" s="116"/>
      <c r="R877" s="116">
        <v>1.7444330000000001</v>
      </c>
      <c r="S877" s="115">
        <v>14.9</v>
      </c>
      <c r="T877" s="88"/>
      <c r="U877" s="88"/>
      <c r="V877" s="88"/>
      <c r="W877" s="88"/>
      <c r="X877" s="115"/>
      <c r="Y877" s="115">
        <f>4/100*AD877</f>
        <v>20</v>
      </c>
      <c r="Z877" s="88"/>
      <c r="AA877" s="116"/>
      <c r="AB877" s="88"/>
      <c r="AC877" s="88"/>
      <c r="AD877" s="88">
        <v>500</v>
      </c>
      <c r="AE877" s="88">
        <f t="shared" si="34"/>
        <v>140</v>
      </c>
      <c r="AF877" s="88">
        <v>360</v>
      </c>
      <c r="AG877" s="66">
        <f t="shared" si="28"/>
        <v>134.874</v>
      </c>
      <c r="AH877" s="143">
        <f t="shared" si="29"/>
        <v>1000</v>
      </c>
    </row>
    <row r="878" spans="1:34" s="118" customFormat="1" x14ac:dyDescent="0.3">
      <c r="A878" s="84">
        <v>803376</v>
      </c>
      <c r="B878" s="115">
        <v>17.083333333333332</v>
      </c>
      <c r="C878" s="115">
        <v>2.5</v>
      </c>
      <c r="D878" s="116">
        <v>7.88</v>
      </c>
      <c r="E878" s="1525">
        <v>0.56999999999999995</v>
      </c>
      <c r="F878" s="89">
        <v>486.8</v>
      </c>
      <c r="G878" s="88"/>
      <c r="H878" s="89">
        <v>48.1</v>
      </c>
      <c r="I878" s="89">
        <v>466</v>
      </c>
      <c r="J878" s="88">
        <v>0.46600000000000003</v>
      </c>
      <c r="K878" s="115">
        <v>5.35</v>
      </c>
      <c r="L878" s="88">
        <v>380</v>
      </c>
      <c r="M878" s="88">
        <v>0.13</v>
      </c>
      <c r="N878" s="88">
        <v>0.26</v>
      </c>
      <c r="O878" s="88">
        <v>0.57999999999999996</v>
      </c>
      <c r="P878" s="88">
        <v>1.01</v>
      </c>
      <c r="Q878" s="116"/>
      <c r="R878" s="116">
        <v>0.36159855510894795</v>
      </c>
      <c r="S878" s="115">
        <v>2.4</v>
      </c>
      <c r="T878" s="88"/>
      <c r="U878" s="88"/>
      <c r="V878" s="88"/>
      <c r="W878" s="88"/>
      <c r="X878" s="115"/>
      <c r="Y878" s="115">
        <f ca="1">RANDBETWEEN(5,7)/100*AD878</f>
        <v>7</v>
      </c>
      <c r="Z878" s="88"/>
      <c r="AA878" s="116"/>
      <c r="AB878" s="88"/>
      <c r="AC878" s="88"/>
      <c r="AD878" s="88">
        <v>140</v>
      </c>
      <c r="AE878" s="88">
        <f t="shared" si="34"/>
        <v>200</v>
      </c>
      <c r="AF878" s="88">
        <v>660</v>
      </c>
      <c r="AG878" s="66">
        <f t="shared" ca="1" si="28"/>
        <v>270.55714285714288</v>
      </c>
      <c r="AH878" s="143">
        <f t="shared" si="29"/>
        <v>1000</v>
      </c>
    </row>
    <row r="879" spans="1:34" s="118" customFormat="1" x14ac:dyDescent="0.3">
      <c r="A879" s="84">
        <v>803377</v>
      </c>
      <c r="B879" s="115">
        <v>18.833333333333332</v>
      </c>
      <c r="C879" s="115">
        <v>1.7499999999999982</v>
      </c>
      <c r="D879" s="116">
        <v>7.65</v>
      </c>
      <c r="E879" s="1525">
        <v>0.28000000000000003</v>
      </c>
      <c r="F879" s="89">
        <v>117.69999999999999</v>
      </c>
      <c r="G879" s="88"/>
      <c r="H879" s="89">
        <v>26.6</v>
      </c>
      <c r="I879" s="89">
        <v>110</v>
      </c>
      <c r="J879" s="88">
        <v>0.11</v>
      </c>
      <c r="K879" s="115">
        <v>5.03</v>
      </c>
      <c r="L879" s="88">
        <v>190</v>
      </c>
      <c r="M879" s="88">
        <v>0.18</v>
      </c>
      <c r="N879" s="88">
        <v>0.22</v>
      </c>
      <c r="O879" s="88">
        <v>1.04</v>
      </c>
      <c r="P879" s="88">
        <v>1.31</v>
      </c>
      <c r="Q879" s="116"/>
      <c r="R879" s="116">
        <v>0.43815760967751327</v>
      </c>
      <c r="S879" s="115">
        <v>3.1</v>
      </c>
      <c r="T879" s="88"/>
      <c r="U879" s="88"/>
      <c r="V879" s="88"/>
      <c r="W879" s="88"/>
      <c r="X879" s="115"/>
      <c r="Y879" s="115">
        <f ca="1">RANDBETWEEN(5,7)/100*AD879</f>
        <v>3</v>
      </c>
      <c r="Z879" s="88"/>
      <c r="AA879" s="116"/>
      <c r="AB879" s="88"/>
      <c r="AC879" s="88"/>
      <c r="AD879" s="88">
        <v>60</v>
      </c>
      <c r="AE879" s="88">
        <f t="shared" si="34"/>
        <v>60</v>
      </c>
      <c r="AF879" s="88">
        <v>880</v>
      </c>
      <c r="AG879" s="66">
        <f t="shared" ca="1" si="28"/>
        <v>593.54000000000008</v>
      </c>
      <c r="AH879" s="143">
        <f t="shared" si="29"/>
        <v>1000</v>
      </c>
    </row>
    <row r="880" spans="1:34" s="118" customFormat="1" x14ac:dyDescent="0.3">
      <c r="A880" s="84">
        <v>803378</v>
      </c>
      <c r="B880" s="115">
        <v>16.75</v>
      </c>
      <c r="C880" s="115">
        <v>2.2499999999999964</v>
      </c>
      <c r="D880" s="116">
        <v>7.66</v>
      </c>
      <c r="E880" s="1525">
        <v>0.19</v>
      </c>
      <c r="F880" s="89">
        <v>81.850000000000009</v>
      </c>
      <c r="G880" s="88"/>
      <c r="H880" s="89">
        <v>32.99</v>
      </c>
      <c r="I880" s="89">
        <v>40</v>
      </c>
      <c r="J880" s="88">
        <v>0.04</v>
      </c>
      <c r="K880" s="115">
        <v>8.0500000000000007</v>
      </c>
      <c r="L880" s="88">
        <v>310</v>
      </c>
      <c r="M880" s="88">
        <v>0.09</v>
      </c>
      <c r="N880" s="88">
        <v>0.45</v>
      </c>
      <c r="O880" s="88">
        <v>1.08</v>
      </c>
      <c r="P880" s="88">
        <v>0.85</v>
      </c>
      <c r="Q880" s="116"/>
      <c r="R880" s="116">
        <v>0.81882936530784434</v>
      </c>
      <c r="S880" s="115">
        <v>5.4</v>
      </c>
      <c r="T880" s="88"/>
      <c r="U880" s="88"/>
      <c r="V880" s="88"/>
      <c r="W880" s="88"/>
      <c r="X880" s="115"/>
      <c r="Y880" s="115">
        <f ca="1">RANDBETWEEN(5,7)/100*AD880</f>
        <v>10</v>
      </c>
      <c r="Z880" s="88"/>
      <c r="AA880" s="116"/>
      <c r="AB880" s="88"/>
      <c r="AC880" s="88"/>
      <c r="AD880" s="88">
        <v>200</v>
      </c>
      <c r="AE880" s="88">
        <f t="shared" si="34"/>
        <v>440</v>
      </c>
      <c r="AF880" s="88">
        <v>360</v>
      </c>
      <c r="AG880" s="66">
        <f t="shared" ca="1" si="28"/>
        <v>284.97000000000003</v>
      </c>
      <c r="AH880" s="143">
        <f t="shared" si="29"/>
        <v>1000</v>
      </c>
    </row>
    <row r="881" spans="1:34" s="118" customFormat="1" x14ac:dyDescent="0.3">
      <c r="A881" s="84">
        <v>803379</v>
      </c>
      <c r="B881" s="115">
        <v>0.11666666666666665</v>
      </c>
      <c r="C881" s="115"/>
      <c r="D881" s="116">
        <v>7.26</v>
      </c>
      <c r="E881" s="1525">
        <v>0.03</v>
      </c>
      <c r="F881" s="89">
        <v>31.5</v>
      </c>
      <c r="G881" s="88"/>
      <c r="H881" s="89">
        <v>30.96</v>
      </c>
      <c r="I881" s="89">
        <v>43</v>
      </c>
      <c r="J881" s="88">
        <v>4.2999999999999997E-2</v>
      </c>
      <c r="K881" s="115">
        <v>5.0599999999999996</v>
      </c>
      <c r="L881" s="88">
        <v>370</v>
      </c>
      <c r="M881" s="88">
        <v>0.19</v>
      </c>
      <c r="N881" s="88">
        <v>0.77</v>
      </c>
      <c r="O881" s="88">
        <v>26.98</v>
      </c>
      <c r="P881" s="88">
        <v>18.88</v>
      </c>
      <c r="Q881" s="116"/>
      <c r="R881" s="116">
        <v>1.3424546848936398</v>
      </c>
      <c r="S881" s="115">
        <v>9</v>
      </c>
      <c r="T881" s="88"/>
      <c r="U881" s="88"/>
      <c r="V881" s="88"/>
      <c r="W881" s="88"/>
      <c r="X881" s="115"/>
      <c r="Y881" s="115">
        <v>18</v>
      </c>
      <c r="Z881" s="88"/>
      <c r="AA881" s="116"/>
      <c r="AB881" s="88"/>
      <c r="AC881" s="88"/>
      <c r="AD881" s="88">
        <v>560</v>
      </c>
      <c r="AE881" s="88">
        <f t="shared" si="34"/>
        <v>180</v>
      </c>
      <c r="AF881" s="88">
        <v>260</v>
      </c>
      <c r="AG881" s="66">
        <f t="shared" si="28"/>
        <v>99.513333333333321</v>
      </c>
      <c r="AH881" s="143">
        <f t="shared" si="29"/>
        <v>1000</v>
      </c>
    </row>
    <row r="882" spans="1:34" s="118" customFormat="1" x14ac:dyDescent="0.3">
      <c r="A882" s="84">
        <v>803380</v>
      </c>
      <c r="B882" s="115">
        <v>8.3333333333333329E-2</v>
      </c>
      <c r="C882" s="115"/>
      <c r="D882" s="116">
        <v>7.45</v>
      </c>
      <c r="E882" s="1525">
        <v>0.11</v>
      </c>
      <c r="F882" s="89">
        <v>36.5</v>
      </c>
      <c r="G882" s="88"/>
      <c r="H882" s="89">
        <v>32.65</v>
      </c>
      <c r="I882" s="89">
        <v>540</v>
      </c>
      <c r="J882" s="88">
        <v>0.54</v>
      </c>
      <c r="K882" s="115">
        <v>5.57</v>
      </c>
      <c r="L882" s="88">
        <v>400</v>
      </c>
      <c r="M882" s="88">
        <v>0.16</v>
      </c>
      <c r="N882" s="88">
        <v>0.76</v>
      </c>
      <c r="O882" s="88">
        <v>27.36</v>
      </c>
      <c r="P882" s="88">
        <v>19.22</v>
      </c>
      <c r="Q882" s="116"/>
      <c r="R882" s="116">
        <v>1.586408</v>
      </c>
      <c r="S882" s="115">
        <v>10.6</v>
      </c>
      <c r="T882" s="88"/>
      <c r="U882" s="88"/>
      <c r="V882" s="88"/>
      <c r="W882" s="88"/>
      <c r="X882" s="115"/>
      <c r="Y882" s="115">
        <v>19</v>
      </c>
      <c r="Z882" s="88"/>
      <c r="AA882" s="116"/>
      <c r="AB882" s="88"/>
      <c r="AC882" s="88"/>
      <c r="AD882" s="88">
        <v>560</v>
      </c>
      <c r="AE882" s="88">
        <f t="shared" si="34"/>
        <v>200</v>
      </c>
      <c r="AF882" s="88">
        <v>240</v>
      </c>
      <c r="AG882" s="66">
        <f t="shared" si="28"/>
        <v>103.7778947368421</v>
      </c>
      <c r="AH882" s="143">
        <f t="shared" si="29"/>
        <v>1000</v>
      </c>
    </row>
    <row r="883" spans="1:34" s="118" customFormat="1" x14ac:dyDescent="0.3">
      <c r="A883" s="84">
        <v>803381</v>
      </c>
      <c r="B883" s="115">
        <v>2.8833333333333333</v>
      </c>
      <c r="C883" s="115"/>
      <c r="D883" s="116">
        <v>7.8</v>
      </c>
      <c r="E883" s="1525">
        <v>0.17</v>
      </c>
      <c r="F883" s="89">
        <v>124.45</v>
      </c>
      <c r="G883" s="88"/>
      <c r="H883" s="89">
        <v>289.10000000000002</v>
      </c>
      <c r="I883" s="89">
        <v>82</v>
      </c>
      <c r="J883" s="88">
        <v>8.2000000000000003E-2</v>
      </c>
      <c r="K883" s="115">
        <v>1.27</v>
      </c>
      <c r="L883" s="88">
        <v>160</v>
      </c>
      <c r="M883" s="88">
        <v>0.47</v>
      </c>
      <c r="N883" s="88">
        <v>0.15</v>
      </c>
      <c r="O883" s="88">
        <v>2.6</v>
      </c>
      <c r="P883" s="88">
        <v>8.75</v>
      </c>
      <c r="Q883" s="116"/>
      <c r="R883" s="116">
        <v>0.72062723646169335</v>
      </c>
      <c r="S883" s="115">
        <v>4.9000000000000004</v>
      </c>
      <c r="T883" s="88"/>
      <c r="U883" s="88"/>
      <c r="V883" s="88"/>
      <c r="W883" s="88"/>
      <c r="X883" s="115"/>
      <c r="Y883" s="115">
        <f ca="1">RANDBETWEEN(5,7)/100*AD883</f>
        <v>3.5999999999999996</v>
      </c>
      <c r="Z883" s="88"/>
      <c r="AA883" s="116"/>
      <c r="AB883" s="88"/>
      <c r="AC883" s="88"/>
      <c r="AD883" s="88">
        <v>60</v>
      </c>
      <c r="AE883" s="88">
        <f t="shared" si="34"/>
        <v>60</v>
      </c>
      <c r="AF883" s="88">
        <v>880</v>
      </c>
      <c r="AG883" s="66">
        <f t="shared" ca="1" si="28"/>
        <v>124.88333333333334</v>
      </c>
      <c r="AH883" s="143">
        <f t="shared" si="29"/>
        <v>1000</v>
      </c>
    </row>
    <row r="884" spans="1:34" s="118" customFormat="1" x14ac:dyDescent="0.3">
      <c r="A884" s="84">
        <v>803382</v>
      </c>
      <c r="B884" s="115">
        <v>0.81666666666666676</v>
      </c>
      <c r="C884" s="115"/>
      <c r="D884" s="116">
        <v>7.97</v>
      </c>
      <c r="E884" s="1525">
        <v>0.12</v>
      </c>
      <c r="F884" s="89">
        <v>44.5</v>
      </c>
      <c r="G884" s="88"/>
      <c r="H884" s="89">
        <v>146.36000000000001</v>
      </c>
      <c r="I884" s="89">
        <v>37</v>
      </c>
      <c r="J884" s="88">
        <v>3.6999999999999998E-2</v>
      </c>
      <c r="K884" s="115">
        <v>2.0699999999999998</v>
      </c>
      <c r="L884" s="88">
        <v>160</v>
      </c>
      <c r="M884" s="88">
        <v>0.23</v>
      </c>
      <c r="N884" s="88">
        <v>0.15</v>
      </c>
      <c r="O884" s="88">
        <v>1.58</v>
      </c>
      <c r="P884" s="88">
        <v>6.75</v>
      </c>
      <c r="Q884" s="116"/>
      <c r="R884" s="116">
        <v>0.56711498610082245</v>
      </c>
      <c r="S884" s="115">
        <v>3.8</v>
      </c>
      <c r="T884" s="88"/>
      <c r="U884" s="88"/>
      <c r="V884" s="88"/>
      <c r="W884" s="88"/>
      <c r="X884" s="115"/>
      <c r="Y884" s="115">
        <v>2.8</v>
      </c>
      <c r="Z884" s="88"/>
      <c r="AA884" s="116"/>
      <c r="AB884" s="88"/>
      <c r="AC884" s="88"/>
      <c r="AD884" s="88">
        <v>60</v>
      </c>
      <c r="AE884" s="88">
        <f t="shared" si="34"/>
        <v>80</v>
      </c>
      <c r="AF884" s="88">
        <v>860</v>
      </c>
      <c r="AG884" s="66">
        <f t="shared" si="28"/>
        <v>261.70714285714286</v>
      </c>
      <c r="AH884" s="143">
        <f t="shared" si="29"/>
        <v>1000</v>
      </c>
    </row>
    <row r="885" spans="1:34" s="118" customFormat="1" x14ac:dyDescent="0.3">
      <c r="A885" s="84">
        <v>803383</v>
      </c>
      <c r="B885" s="115">
        <v>0.31666666666666665</v>
      </c>
      <c r="C885" s="115"/>
      <c r="D885" s="116">
        <v>7.56</v>
      </c>
      <c r="E885" s="1525">
        <v>0.04</v>
      </c>
      <c r="F885" s="89">
        <v>36.25</v>
      </c>
      <c r="G885" s="88"/>
      <c r="H885" s="89">
        <v>74.63</v>
      </c>
      <c r="I885" s="89">
        <v>19</v>
      </c>
      <c r="J885" s="88">
        <v>1.9E-2</v>
      </c>
      <c r="K885" s="115">
        <v>1.67</v>
      </c>
      <c r="L885" s="88">
        <v>60</v>
      </c>
      <c r="M885" s="88">
        <v>0.33</v>
      </c>
      <c r="N885" s="88">
        <v>0.28000000000000003</v>
      </c>
      <c r="O885" s="88">
        <v>1.05</v>
      </c>
      <c r="P885" s="88">
        <v>7.72</v>
      </c>
      <c r="Q885" s="116"/>
      <c r="R885" s="116">
        <v>0.28233159442907163</v>
      </c>
      <c r="S885" s="115">
        <v>2.1</v>
      </c>
      <c r="T885" s="88"/>
      <c r="U885" s="88"/>
      <c r="V885" s="88"/>
      <c r="W885" s="88"/>
      <c r="X885" s="115"/>
      <c r="Y885" s="115">
        <v>2.9</v>
      </c>
      <c r="Z885" s="88"/>
      <c r="AA885" s="116"/>
      <c r="AB885" s="88"/>
      <c r="AC885" s="88"/>
      <c r="AD885" s="88">
        <v>60</v>
      </c>
      <c r="AE885" s="88">
        <f t="shared" si="34"/>
        <v>60</v>
      </c>
      <c r="AF885" s="88">
        <v>880</v>
      </c>
      <c r="AG885" s="66">
        <f t="shared" si="28"/>
        <v>203.8551724137931</v>
      </c>
      <c r="AH885" s="143">
        <f t="shared" si="29"/>
        <v>1000</v>
      </c>
    </row>
    <row r="886" spans="1:34" s="118" customFormat="1" x14ac:dyDescent="0.3">
      <c r="A886" s="84">
        <v>803384</v>
      </c>
      <c r="B886" s="115">
        <v>8.3333333333333329E-2</v>
      </c>
      <c r="C886" s="115"/>
      <c r="D886" s="116">
        <v>7.07</v>
      </c>
      <c r="E886" s="1525">
        <v>0.02</v>
      </c>
      <c r="F886" s="89">
        <v>35.15</v>
      </c>
      <c r="G886" s="88"/>
      <c r="H886" s="89">
        <v>70.459999999999994</v>
      </c>
      <c r="I886" s="89">
        <v>30</v>
      </c>
      <c r="J886" s="88">
        <v>0.03</v>
      </c>
      <c r="K886" s="115">
        <v>1.32</v>
      </c>
      <c r="L886" s="88">
        <v>40</v>
      </c>
      <c r="M886" s="88">
        <v>0.1</v>
      </c>
      <c r="N886" s="88">
        <v>0.16</v>
      </c>
      <c r="O886" s="88">
        <v>1.56</v>
      </c>
      <c r="P886" s="88">
        <v>10.27</v>
      </c>
      <c r="Q886" s="116"/>
      <c r="R886" s="116">
        <v>0.27032766664859115</v>
      </c>
      <c r="S886" s="115">
        <v>1.9</v>
      </c>
      <c r="T886" s="88"/>
      <c r="U886" s="88"/>
      <c r="V886" s="88"/>
      <c r="W886" s="88"/>
      <c r="X886" s="115"/>
      <c r="Y886" s="115">
        <v>2.7</v>
      </c>
      <c r="Z886" s="88"/>
      <c r="AA886" s="116"/>
      <c r="AB886" s="88"/>
      <c r="AC886" s="88"/>
      <c r="AD886" s="88">
        <v>60</v>
      </c>
      <c r="AE886" s="88">
        <f t="shared" si="34"/>
        <v>60</v>
      </c>
      <c r="AF886" s="88">
        <v>880</v>
      </c>
      <c r="AG886" s="66">
        <f t="shared" si="28"/>
        <v>173.06666666666666</v>
      </c>
      <c r="AH886" s="143">
        <f t="shared" si="29"/>
        <v>1000</v>
      </c>
    </row>
    <row r="887" spans="1:34" s="118" customFormat="1" x14ac:dyDescent="0.3">
      <c r="A887" s="84">
        <v>803385</v>
      </c>
      <c r="B887" s="115">
        <v>8.3333333333333329E-2</v>
      </c>
      <c r="C887" s="115"/>
      <c r="D887" s="116">
        <v>6.91</v>
      </c>
      <c r="E887" s="1525">
        <v>0.06</v>
      </c>
      <c r="F887" s="89">
        <v>41.7</v>
      </c>
      <c r="G887" s="88"/>
      <c r="H887" s="89">
        <v>82.79</v>
      </c>
      <c r="I887" s="89">
        <v>21</v>
      </c>
      <c r="J887" s="88">
        <v>2.1000000000000001E-2</v>
      </c>
      <c r="K887" s="115">
        <v>1.45</v>
      </c>
      <c r="L887" s="88">
        <v>70</v>
      </c>
      <c r="M887" s="88">
        <v>0.78</v>
      </c>
      <c r="N887" s="88">
        <v>0.36</v>
      </c>
      <c r="O887" s="88">
        <v>4.33</v>
      </c>
      <c r="P887" s="88">
        <v>21.37</v>
      </c>
      <c r="Q887" s="116"/>
      <c r="R887" s="116">
        <v>0.99228502328273172</v>
      </c>
      <c r="S887" s="115">
        <v>6.5</v>
      </c>
      <c r="T887" s="88"/>
      <c r="U887" s="88"/>
      <c r="V887" s="88"/>
      <c r="W887" s="88"/>
      <c r="X887" s="115"/>
      <c r="Y887" s="115">
        <v>2.8</v>
      </c>
      <c r="Z887" s="88">
        <v>5.53</v>
      </c>
      <c r="AA887" s="116"/>
      <c r="AB887" s="88"/>
      <c r="AC887" s="88"/>
      <c r="AD887" s="88">
        <v>60</v>
      </c>
      <c r="AE887" s="88">
        <f t="shared" si="34"/>
        <v>80</v>
      </c>
      <c r="AF887" s="88">
        <v>860</v>
      </c>
      <c r="AG887" s="66">
        <f t="shared" si="28"/>
        <v>183.32142857142856</v>
      </c>
      <c r="AH887" s="143">
        <f t="shared" si="29"/>
        <v>1000</v>
      </c>
    </row>
    <row r="888" spans="1:34" s="118" customFormat="1" x14ac:dyDescent="0.3">
      <c r="A888" s="84">
        <v>803386</v>
      </c>
      <c r="B888" s="115">
        <v>6.6666666666666666E-2</v>
      </c>
      <c r="C888" s="115"/>
      <c r="D888" s="116">
        <v>6.1</v>
      </c>
      <c r="E888" s="1525">
        <v>0.03</v>
      </c>
      <c r="F888" s="89">
        <v>37.700000000000003</v>
      </c>
      <c r="G888" s="88"/>
      <c r="H888" s="89">
        <v>112.94</v>
      </c>
      <c r="I888" s="89">
        <v>80</v>
      </c>
      <c r="J888" s="88">
        <v>0.08</v>
      </c>
      <c r="K888" s="115">
        <v>1.2</v>
      </c>
      <c r="L888" s="88">
        <v>20</v>
      </c>
      <c r="M888" s="88">
        <v>0.62</v>
      </c>
      <c r="N888" s="88">
        <v>0.2</v>
      </c>
      <c r="O888" s="88">
        <v>3.75</v>
      </c>
      <c r="P888" s="88">
        <v>41.71</v>
      </c>
      <c r="Q888" s="116"/>
      <c r="R888" s="116">
        <v>0.93090479835917161</v>
      </c>
      <c r="S888" s="115">
        <v>6.9</v>
      </c>
      <c r="T888" s="88"/>
      <c r="U888" s="88"/>
      <c r="V888" s="88"/>
      <c r="W888" s="88"/>
      <c r="X888" s="115"/>
      <c r="Y888" s="115">
        <v>2.6</v>
      </c>
      <c r="Z888" s="88">
        <v>4.37</v>
      </c>
      <c r="AA888" s="116"/>
      <c r="AB888" s="88"/>
      <c r="AC888" s="88"/>
      <c r="AD888" s="88">
        <v>60</v>
      </c>
      <c r="AE888" s="88">
        <f t="shared" si="34"/>
        <v>60</v>
      </c>
      <c r="AF888" s="88">
        <v>880</v>
      </c>
      <c r="AG888" s="66">
        <f t="shared" si="28"/>
        <v>163.38461538461539</v>
      </c>
      <c r="AH888" s="143">
        <f t="shared" si="29"/>
        <v>1000</v>
      </c>
    </row>
    <row r="889" spans="1:34" s="118" customFormat="1" x14ac:dyDescent="0.3">
      <c r="A889" s="84">
        <v>803387</v>
      </c>
      <c r="B889" s="115">
        <v>6.6666666666666666E-2</v>
      </c>
      <c r="C889" s="115"/>
      <c r="D889" s="116">
        <v>6.11</v>
      </c>
      <c r="E889" s="1525">
        <v>0.03</v>
      </c>
      <c r="F889" s="89">
        <v>32.450000000000003</v>
      </c>
      <c r="G889" s="88"/>
      <c r="H889" s="89">
        <v>35.61</v>
      </c>
      <c r="I889" s="89">
        <v>5</v>
      </c>
      <c r="J889" s="88">
        <v>5.0000000000000001E-3</v>
      </c>
      <c r="K889" s="115">
        <v>1.21</v>
      </c>
      <c r="L889" s="88">
        <v>30</v>
      </c>
      <c r="M889" s="88">
        <v>0.22</v>
      </c>
      <c r="N889" s="88">
        <v>0.16</v>
      </c>
      <c r="O889" s="88">
        <v>2.12</v>
      </c>
      <c r="P889" s="88">
        <v>26.6</v>
      </c>
      <c r="Q889" s="116"/>
      <c r="R889" s="116">
        <v>0.58753899451259806</v>
      </c>
      <c r="S889" s="115">
        <v>3.9</v>
      </c>
      <c r="T889" s="88"/>
      <c r="U889" s="88"/>
      <c r="V889" s="88"/>
      <c r="W889" s="88"/>
      <c r="X889" s="115"/>
      <c r="Y889" s="115">
        <v>2.9</v>
      </c>
      <c r="Z889" s="88">
        <v>4.43</v>
      </c>
      <c r="AA889" s="116"/>
      <c r="AB889" s="88"/>
      <c r="AC889" s="88"/>
      <c r="AD889" s="88">
        <v>60</v>
      </c>
      <c r="AE889" s="88">
        <f t="shared" si="34"/>
        <v>80</v>
      </c>
      <c r="AF889" s="88">
        <v>860</v>
      </c>
      <c r="AG889" s="66">
        <f t="shared" si="28"/>
        <v>147.70344827586209</v>
      </c>
      <c r="AH889" s="143">
        <f t="shared" si="29"/>
        <v>1000</v>
      </c>
    </row>
    <row r="890" spans="1:34" s="118" customFormat="1" x14ac:dyDescent="0.3">
      <c r="A890" s="84">
        <v>803388</v>
      </c>
      <c r="B890" s="115">
        <v>1E-4</v>
      </c>
      <c r="C890" s="115"/>
      <c r="D890" s="116">
        <v>6.13</v>
      </c>
      <c r="E890" s="1525">
        <v>0.04</v>
      </c>
      <c r="F890" s="89">
        <v>38.15</v>
      </c>
      <c r="G890" s="88"/>
      <c r="H890" s="89">
        <v>61.74</v>
      </c>
      <c r="I890" s="89">
        <v>19</v>
      </c>
      <c r="J890" s="88">
        <v>1.9E-2</v>
      </c>
      <c r="K890" s="115">
        <v>1.17</v>
      </c>
      <c r="L890" s="88">
        <v>30</v>
      </c>
      <c r="M890" s="88">
        <v>0.28999999999999998</v>
      </c>
      <c r="N890" s="88">
        <v>0.24</v>
      </c>
      <c r="O890" s="88">
        <v>3.8</v>
      </c>
      <c r="P890" s="88">
        <v>30.63</v>
      </c>
      <c r="Q890" s="116"/>
      <c r="R890" s="116">
        <v>0.78261692457553655</v>
      </c>
      <c r="S890" s="115">
        <v>5.5</v>
      </c>
      <c r="T890" s="88"/>
      <c r="U890" s="88"/>
      <c r="V890" s="88"/>
      <c r="W890" s="88"/>
      <c r="X890" s="115"/>
      <c r="Y890" s="115">
        <v>3</v>
      </c>
      <c r="Z890" s="88">
        <v>4.51</v>
      </c>
      <c r="AA890" s="116"/>
      <c r="AB890" s="88"/>
      <c r="AC890" s="88"/>
      <c r="AD890" s="88">
        <v>60</v>
      </c>
      <c r="AE890" s="88">
        <f t="shared" si="34"/>
        <v>60</v>
      </c>
      <c r="AF890" s="88">
        <v>880</v>
      </c>
      <c r="AG890" s="66">
        <f t="shared" si="28"/>
        <v>138.06</v>
      </c>
      <c r="AH890" s="143">
        <f t="shared" si="29"/>
        <v>1000</v>
      </c>
    </row>
    <row r="891" spans="1:34" s="118" customFormat="1" x14ac:dyDescent="0.3">
      <c r="A891" s="84">
        <v>803389</v>
      </c>
      <c r="B891" s="115">
        <v>13.999999999999998</v>
      </c>
      <c r="C891" s="115">
        <v>2.5</v>
      </c>
      <c r="D891" s="116">
        <v>8.5399999999999991</v>
      </c>
      <c r="E891" s="1525">
        <v>0.28000000000000003</v>
      </c>
      <c r="F891" s="89">
        <v>104.85</v>
      </c>
      <c r="G891" s="88"/>
      <c r="H891" s="89">
        <v>31.49</v>
      </c>
      <c r="I891" s="89">
        <v>232</v>
      </c>
      <c r="J891" s="88">
        <v>0.23200000000000001</v>
      </c>
      <c r="K891" s="115">
        <v>6.55</v>
      </c>
      <c r="L891" s="88">
        <v>830</v>
      </c>
      <c r="M891" s="88">
        <v>0.31</v>
      </c>
      <c r="N891" s="88">
        <v>0.83</v>
      </c>
      <c r="O891" s="88">
        <v>2.31</v>
      </c>
      <c r="P891" s="88">
        <v>3.23</v>
      </c>
      <c r="Q891" s="116"/>
      <c r="R891" s="116">
        <v>1.3657651815648044</v>
      </c>
      <c r="S891" s="115">
        <v>9.6999999999999993</v>
      </c>
      <c r="T891" s="88"/>
      <c r="U891" s="88"/>
      <c r="V891" s="88"/>
      <c r="W891" s="88"/>
      <c r="X891" s="115"/>
      <c r="Y891" s="115">
        <v>28</v>
      </c>
      <c r="Z891" s="88"/>
      <c r="AA891" s="116"/>
      <c r="AB891" s="88"/>
      <c r="AC891" s="88"/>
      <c r="AD891" s="88">
        <v>580</v>
      </c>
      <c r="AE891" s="88">
        <f t="shared" si="34"/>
        <v>300</v>
      </c>
      <c r="AF891" s="88">
        <v>120</v>
      </c>
      <c r="AG891" s="66">
        <f t="shared" si="28"/>
        <v>82.810714285714297</v>
      </c>
      <c r="AH891" s="143">
        <f t="shared" si="29"/>
        <v>1000</v>
      </c>
    </row>
    <row r="892" spans="1:34" s="118" customFormat="1" x14ac:dyDescent="0.3">
      <c r="A892" s="84">
        <v>803390</v>
      </c>
      <c r="B892" s="115">
        <v>6.8611111111111107</v>
      </c>
      <c r="C892" s="115"/>
      <c r="D892" s="116">
        <v>8.7799999999999994</v>
      </c>
      <c r="E892" s="1525">
        <v>0.23</v>
      </c>
      <c r="F892" s="89">
        <v>128.80000000000001</v>
      </c>
      <c r="G892" s="88"/>
      <c r="H892" s="89">
        <v>31.2</v>
      </c>
      <c r="I892" s="89">
        <v>227</v>
      </c>
      <c r="J892" s="88">
        <v>0.22700000000000001</v>
      </c>
      <c r="K892" s="115">
        <v>5.21</v>
      </c>
      <c r="L892" s="88">
        <v>880</v>
      </c>
      <c r="M892" s="88">
        <v>0.67</v>
      </c>
      <c r="N892" s="88">
        <v>0.71</v>
      </c>
      <c r="O892" s="88">
        <v>2.2400000000000002</v>
      </c>
      <c r="P892" s="88">
        <v>2.4500000000000002</v>
      </c>
      <c r="Q892" s="116"/>
      <c r="R892" s="116">
        <v>1.6254680000000001</v>
      </c>
      <c r="S892" s="115">
        <v>11.6</v>
      </c>
      <c r="T892" s="88"/>
      <c r="U892" s="88"/>
      <c r="V892" s="88"/>
      <c r="W892" s="88"/>
      <c r="X892" s="115"/>
      <c r="Y892" s="115">
        <v>17</v>
      </c>
      <c r="Z892" s="88"/>
      <c r="AA892" s="116"/>
      <c r="AB892" s="88"/>
      <c r="AC892" s="88"/>
      <c r="AD892" s="88">
        <v>540</v>
      </c>
      <c r="AE892" s="88">
        <f t="shared" si="34"/>
        <v>260</v>
      </c>
      <c r="AF892" s="88">
        <v>200</v>
      </c>
      <c r="AG892" s="66">
        <f t="shared" si="28"/>
        <v>108.49058823529413</v>
      </c>
      <c r="AH892" s="143">
        <f t="shared" si="29"/>
        <v>1000</v>
      </c>
    </row>
    <row r="893" spans="1:34" s="118" customFormat="1" x14ac:dyDescent="0.3">
      <c r="A893" s="84">
        <v>803391</v>
      </c>
      <c r="B893" s="115">
        <v>7.083333333333333</v>
      </c>
      <c r="C893" s="115"/>
      <c r="D893" s="116">
        <v>8.7100000000000009</v>
      </c>
      <c r="E893" s="1525">
        <v>0.24</v>
      </c>
      <c r="F893" s="89">
        <v>144.44999999999999</v>
      </c>
      <c r="G893" s="88"/>
      <c r="H893" s="89">
        <v>46.2</v>
      </c>
      <c r="I893" s="89">
        <v>195</v>
      </c>
      <c r="J893" s="88">
        <v>0.19500000000000001</v>
      </c>
      <c r="K893" s="115">
        <v>3.91</v>
      </c>
      <c r="L893" s="88">
        <v>640</v>
      </c>
      <c r="M893" s="88">
        <v>0.55000000000000004</v>
      </c>
      <c r="N893" s="88">
        <v>0.69</v>
      </c>
      <c r="O893" s="88">
        <v>2.71</v>
      </c>
      <c r="P893" s="88">
        <v>2.57</v>
      </c>
      <c r="Q893" s="116"/>
      <c r="R893" s="116">
        <v>1.320150101836757</v>
      </c>
      <c r="S893" s="115">
        <v>9.1999999999999993</v>
      </c>
      <c r="T893" s="88"/>
      <c r="U893" s="88"/>
      <c r="V893" s="88"/>
      <c r="W893" s="88"/>
      <c r="X893" s="115"/>
      <c r="Y893" s="115">
        <f t="shared" ref="Y893:Y905" ca="1" si="35">RANDBETWEEN(180,220)/10</f>
        <v>19</v>
      </c>
      <c r="Z893" s="88"/>
      <c r="AA893" s="116"/>
      <c r="AB893" s="88"/>
      <c r="AC893" s="88"/>
      <c r="AD893" s="88">
        <v>500</v>
      </c>
      <c r="AE893" s="88">
        <f t="shared" si="34"/>
        <v>260</v>
      </c>
      <c r="AF893" s="88">
        <v>240</v>
      </c>
      <c r="AG893" s="66">
        <f t="shared" ca="1" si="28"/>
        <v>72.849473684210537</v>
      </c>
      <c r="AH893" s="143">
        <f t="shared" si="29"/>
        <v>1000</v>
      </c>
    </row>
    <row r="894" spans="1:34" s="118" customFormat="1" x14ac:dyDescent="0.3">
      <c r="A894" s="84">
        <v>803392</v>
      </c>
      <c r="B894" s="115">
        <v>12.833333333333332</v>
      </c>
      <c r="C894" s="115">
        <v>7.7499999999999991</v>
      </c>
      <c r="D894" s="116">
        <v>8.68</v>
      </c>
      <c r="E894" s="1525">
        <v>0.48</v>
      </c>
      <c r="F894" s="89">
        <v>236.95</v>
      </c>
      <c r="G894" s="88"/>
      <c r="H894" s="89">
        <v>47.68</v>
      </c>
      <c r="I894" s="89">
        <v>328</v>
      </c>
      <c r="J894" s="88">
        <v>0.32800000000000001</v>
      </c>
      <c r="K894" s="115">
        <v>6.19</v>
      </c>
      <c r="L894" s="88">
        <v>870</v>
      </c>
      <c r="M894" s="88">
        <v>0.47</v>
      </c>
      <c r="N894" s="88">
        <v>0.82</v>
      </c>
      <c r="O894" s="88">
        <v>2.1800000000000002</v>
      </c>
      <c r="P894" s="88">
        <v>1.99</v>
      </c>
      <c r="Q894" s="116"/>
      <c r="R894" s="116">
        <v>1.4938799691014282</v>
      </c>
      <c r="S894" s="115">
        <v>9.9</v>
      </c>
      <c r="T894" s="88"/>
      <c r="U894" s="88"/>
      <c r="V894" s="88"/>
      <c r="W894" s="88"/>
      <c r="X894" s="115"/>
      <c r="Y894" s="115">
        <f t="shared" ca="1" si="35"/>
        <v>20</v>
      </c>
      <c r="Z894" s="88"/>
      <c r="AA894" s="116"/>
      <c r="AB894" s="88"/>
      <c r="AC894" s="88"/>
      <c r="AD894" s="88">
        <v>600</v>
      </c>
      <c r="AE894" s="88">
        <f t="shared" si="34"/>
        <v>280</v>
      </c>
      <c r="AF894" s="88">
        <v>120</v>
      </c>
      <c r="AG894" s="66">
        <f t="shared" ca="1" si="28"/>
        <v>109.56300000000002</v>
      </c>
      <c r="AH894" s="143">
        <f t="shared" si="29"/>
        <v>1000</v>
      </c>
    </row>
    <row r="895" spans="1:34" s="118" customFormat="1" x14ac:dyDescent="0.3">
      <c r="A895" s="84">
        <v>803393</v>
      </c>
      <c r="B895" s="115">
        <v>6.916666666666667</v>
      </c>
      <c r="C895" s="115"/>
      <c r="D895" s="116">
        <v>8.89</v>
      </c>
      <c r="E895" s="1525">
        <v>0.2</v>
      </c>
      <c r="F895" s="89">
        <v>114.1</v>
      </c>
      <c r="G895" s="88"/>
      <c r="H895" s="89">
        <v>38.880000000000003</v>
      </c>
      <c r="I895" s="89">
        <v>181</v>
      </c>
      <c r="J895" s="88">
        <v>0.18099999999999999</v>
      </c>
      <c r="K895" s="115">
        <v>6.07</v>
      </c>
      <c r="L895" s="88">
        <v>860</v>
      </c>
      <c r="M895" s="88">
        <v>0.45</v>
      </c>
      <c r="N895" s="88">
        <v>0.68</v>
      </c>
      <c r="O895" s="88">
        <v>1.54</v>
      </c>
      <c r="P895" s="88">
        <v>2.2599999999999998</v>
      </c>
      <c r="Q895" s="116"/>
      <c r="R895" s="116">
        <v>1.5982730000000001</v>
      </c>
      <c r="S895" s="115">
        <v>10.9</v>
      </c>
      <c r="T895" s="88"/>
      <c r="U895" s="88"/>
      <c r="V895" s="88"/>
      <c r="W895" s="88"/>
      <c r="X895" s="115"/>
      <c r="Y895" s="115">
        <f t="shared" ca="1" si="35"/>
        <v>19.600000000000001</v>
      </c>
      <c r="Z895" s="88"/>
      <c r="AA895" s="116"/>
      <c r="AB895" s="88"/>
      <c r="AC895" s="88"/>
      <c r="AD895" s="88">
        <v>560</v>
      </c>
      <c r="AE895" s="88">
        <f t="shared" si="34"/>
        <v>300</v>
      </c>
      <c r="AF895" s="88">
        <v>140</v>
      </c>
      <c r="AG895" s="66">
        <f t="shared" ca="1" si="28"/>
        <v>109.63163265306123</v>
      </c>
      <c r="AH895" s="143">
        <f t="shared" si="29"/>
        <v>1000</v>
      </c>
    </row>
    <row r="896" spans="1:34" s="118" customFormat="1" x14ac:dyDescent="0.3">
      <c r="A896" s="84">
        <v>803394</v>
      </c>
      <c r="B896" s="115">
        <v>5</v>
      </c>
      <c r="C896" s="115"/>
      <c r="D896" s="116">
        <v>8.74</v>
      </c>
      <c r="E896" s="1525">
        <v>0.41</v>
      </c>
      <c r="F896" s="89">
        <v>249.7</v>
      </c>
      <c r="G896" s="88"/>
      <c r="H896" s="89">
        <v>38.700000000000003</v>
      </c>
      <c r="I896" s="89">
        <v>460</v>
      </c>
      <c r="J896" s="88">
        <v>0.46</v>
      </c>
      <c r="K896" s="115">
        <v>6.24</v>
      </c>
      <c r="L896" s="88">
        <v>890</v>
      </c>
      <c r="M896" s="88">
        <v>0.52</v>
      </c>
      <c r="N896" s="88">
        <v>0.88</v>
      </c>
      <c r="O896" s="88">
        <v>1.53</v>
      </c>
      <c r="P896" s="88">
        <v>2.76</v>
      </c>
      <c r="Q896" s="116"/>
      <c r="R896" s="116">
        <v>1.5943320000000001</v>
      </c>
      <c r="S896" s="115">
        <v>10.8</v>
      </c>
      <c r="T896" s="88"/>
      <c r="U896" s="88"/>
      <c r="V896" s="88"/>
      <c r="W896" s="88"/>
      <c r="X896" s="115"/>
      <c r="Y896" s="115">
        <f t="shared" ca="1" si="35"/>
        <v>20.100000000000001</v>
      </c>
      <c r="Z896" s="88"/>
      <c r="AA896" s="116"/>
      <c r="AB896" s="88"/>
      <c r="AC896" s="88"/>
      <c r="AD896" s="88">
        <v>500</v>
      </c>
      <c r="AE896" s="88">
        <f t="shared" si="34"/>
        <v>360</v>
      </c>
      <c r="AF896" s="88">
        <v>140</v>
      </c>
      <c r="AG896" s="66">
        <f t="shared" ca="1" si="28"/>
        <v>109.89850746268657</v>
      </c>
      <c r="AH896" s="143">
        <f t="shared" si="29"/>
        <v>1000</v>
      </c>
    </row>
    <row r="897" spans="1:34" s="118" customFormat="1" x14ac:dyDescent="0.3">
      <c r="A897" s="84">
        <v>803395</v>
      </c>
      <c r="B897" s="115">
        <v>5.3888888888888884</v>
      </c>
      <c r="C897" s="115"/>
      <c r="D897" s="116">
        <v>8.82</v>
      </c>
      <c r="E897" s="1525">
        <v>0.52</v>
      </c>
      <c r="F897" s="89">
        <v>508.84999999999997</v>
      </c>
      <c r="G897" s="88"/>
      <c r="H897" s="89">
        <v>25.78</v>
      </c>
      <c r="I897" s="89">
        <v>663</v>
      </c>
      <c r="J897" s="88">
        <v>0.66300000000000003</v>
      </c>
      <c r="K897" s="115">
        <v>6.36</v>
      </c>
      <c r="L897" s="88">
        <v>370</v>
      </c>
      <c r="M897" s="88">
        <v>0.25</v>
      </c>
      <c r="N897" s="88">
        <v>0.82</v>
      </c>
      <c r="O897" s="88">
        <v>1.84</v>
      </c>
      <c r="P897" s="88">
        <v>2.91</v>
      </c>
      <c r="Q897" s="116"/>
      <c r="R897" s="116">
        <v>0.77044191191847666</v>
      </c>
      <c r="S897" s="115">
        <v>5.4</v>
      </c>
      <c r="T897" s="88"/>
      <c r="U897" s="88"/>
      <c r="V897" s="88"/>
      <c r="W897" s="88"/>
      <c r="X897" s="115"/>
      <c r="Y897" s="115">
        <f t="shared" ca="1" si="35"/>
        <v>19.600000000000001</v>
      </c>
      <c r="Z897" s="88"/>
      <c r="AA897" s="116"/>
      <c r="AB897" s="88"/>
      <c r="AC897" s="88"/>
      <c r="AD897" s="88">
        <v>360</v>
      </c>
      <c r="AE897" s="88">
        <f t="shared" si="34"/>
        <v>560</v>
      </c>
      <c r="AF897" s="88">
        <v>80</v>
      </c>
      <c r="AG897" s="66">
        <f t="shared" ca="1" si="28"/>
        <v>114.86938775510204</v>
      </c>
      <c r="AH897" s="143">
        <f t="shared" si="29"/>
        <v>1000</v>
      </c>
    </row>
    <row r="898" spans="1:34" s="118" customFormat="1" x14ac:dyDescent="0.3">
      <c r="A898" s="84">
        <v>803396</v>
      </c>
      <c r="B898" s="115">
        <v>52.333333333333329</v>
      </c>
      <c r="C898" s="115">
        <v>14.499999999999996</v>
      </c>
      <c r="D898" s="116">
        <v>8.5399999999999991</v>
      </c>
      <c r="E898" s="1525">
        <v>0.12</v>
      </c>
      <c r="F898" s="89">
        <v>48.4</v>
      </c>
      <c r="G898" s="88"/>
      <c r="H898" s="89">
        <v>65.459999999999994</v>
      </c>
      <c r="I898" s="89">
        <v>25</v>
      </c>
      <c r="J898" s="88">
        <v>2.5000000000000001E-2</v>
      </c>
      <c r="K898" s="115">
        <v>6.72</v>
      </c>
      <c r="L898" s="88">
        <v>360</v>
      </c>
      <c r="M898" s="88">
        <v>0.65</v>
      </c>
      <c r="N898" s="88">
        <v>0.9</v>
      </c>
      <c r="O898" s="88">
        <v>3.2</v>
      </c>
      <c r="P898" s="88">
        <v>4.74</v>
      </c>
      <c r="Q898" s="116"/>
      <c r="R898" s="116">
        <v>1.1023335352143731</v>
      </c>
      <c r="S898" s="115">
        <v>8.1</v>
      </c>
      <c r="T898" s="88"/>
      <c r="U898" s="88"/>
      <c r="V898" s="88"/>
      <c r="W898" s="88"/>
      <c r="X898" s="115"/>
      <c r="Y898" s="115">
        <f t="shared" ca="1" si="35"/>
        <v>18.8</v>
      </c>
      <c r="Z898" s="88"/>
      <c r="AA898" s="116"/>
      <c r="AB898" s="88"/>
      <c r="AC898" s="88"/>
      <c r="AD898" s="88">
        <v>580</v>
      </c>
      <c r="AE898" s="88">
        <f t="shared" si="34"/>
        <v>280</v>
      </c>
      <c r="AF898" s="88">
        <v>140</v>
      </c>
      <c r="AG898" s="66">
        <f t="shared" ref="AG898:AG961" ca="1" si="36">+K898*3.54*100/Y898</f>
        <v>126.53617021276594</v>
      </c>
      <c r="AH898" s="143">
        <f t="shared" ref="AH898:AH961" si="37">+SUM(AD898:AF898)</f>
        <v>1000</v>
      </c>
    </row>
    <row r="899" spans="1:34" s="118" customFormat="1" x14ac:dyDescent="0.3">
      <c r="A899" s="84">
        <v>803397</v>
      </c>
      <c r="B899" s="115">
        <v>46.333333333333329</v>
      </c>
      <c r="C899" s="115">
        <v>13.874999999999996</v>
      </c>
      <c r="D899" s="116">
        <v>8.58</v>
      </c>
      <c r="E899" s="1525">
        <v>0.18</v>
      </c>
      <c r="F899" s="89">
        <v>57.199999999999996</v>
      </c>
      <c r="G899" s="88"/>
      <c r="H899" s="89">
        <v>163.85</v>
      </c>
      <c r="I899" s="89">
        <v>80</v>
      </c>
      <c r="J899" s="88">
        <v>0.08</v>
      </c>
      <c r="K899" s="115">
        <v>6.3</v>
      </c>
      <c r="L899" s="88">
        <v>890</v>
      </c>
      <c r="M899" s="88">
        <v>1.82</v>
      </c>
      <c r="N899" s="88">
        <v>1.0900000000000001</v>
      </c>
      <c r="O899" s="88">
        <v>1.36</v>
      </c>
      <c r="P899" s="88">
        <v>2.99</v>
      </c>
      <c r="Q899" s="116"/>
      <c r="R899" s="116">
        <v>1.734248</v>
      </c>
      <c r="S899" s="115">
        <v>14.6</v>
      </c>
      <c r="T899" s="88"/>
      <c r="U899" s="88"/>
      <c r="V899" s="88"/>
      <c r="W899" s="88"/>
      <c r="X899" s="115"/>
      <c r="Y899" s="115">
        <f t="shared" ca="1" si="35"/>
        <v>21.7</v>
      </c>
      <c r="Z899" s="88"/>
      <c r="AA899" s="116"/>
      <c r="AB899" s="88"/>
      <c r="AC899" s="88"/>
      <c r="AD899" s="88">
        <v>560</v>
      </c>
      <c r="AE899" s="88">
        <f t="shared" si="34"/>
        <v>280</v>
      </c>
      <c r="AF899" s="88">
        <v>160</v>
      </c>
      <c r="AG899" s="66">
        <f t="shared" ca="1" si="36"/>
        <v>102.77419354838709</v>
      </c>
      <c r="AH899" s="143">
        <f t="shared" si="37"/>
        <v>1000</v>
      </c>
    </row>
    <row r="900" spans="1:34" s="118" customFormat="1" x14ac:dyDescent="0.3">
      <c r="A900" s="84">
        <v>803398</v>
      </c>
      <c r="B900" s="115">
        <v>69</v>
      </c>
      <c r="C900" s="115">
        <v>15.624999999999998</v>
      </c>
      <c r="D900" s="116">
        <v>8.6300000000000008</v>
      </c>
      <c r="E900" s="1525">
        <v>0.12</v>
      </c>
      <c r="F900" s="89">
        <v>45.25</v>
      </c>
      <c r="G900" s="88"/>
      <c r="H900" s="89">
        <v>109.87</v>
      </c>
      <c r="I900" s="89">
        <v>25</v>
      </c>
      <c r="J900" s="88">
        <v>2.5000000000000001E-2</v>
      </c>
      <c r="K900" s="115">
        <v>6.6</v>
      </c>
      <c r="L900" s="88">
        <v>360</v>
      </c>
      <c r="M900" s="88">
        <v>0.52</v>
      </c>
      <c r="N900" s="88">
        <v>1.39</v>
      </c>
      <c r="O900" s="88">
        <v>1.37</v>
      </c>
      <c r="P900" s="88">
        <v>2.83</v>
      </c>
      <c r="Q900" s="116"/>
      <c r="R900" s="116">
        <v>1.0622630416145533</v>
      </c>
      <c r="S900" s="115">
        <v>7.6</v>
      </c>
      <c r="T900" s="88"/>
      <c r="U900" s="88"/>
      <c r="V900" s="88"/>
      <c r="W900" s="88"/>
      <c r="X900" s="115"/>
      <c r="Y900" s="115">
        <f t="shared" ca="1" si="35"/>
        <v>20</v>
      </c>
      <c r="Z900" s="88"/>
      <c r="AA900" s="116"/>
      <c r="AB900" s="88"/>
      <c r="AC900" s="88"/>
      <c r="AD900" s="88">
        <v>600</v>
      </c>
      <c r="AE900" s="88">
        <f t="shared" si="34"/>
        <v>260</v>
      </c>
      <c r="AF900" s="88">
        <v>140</v>
      </c>
      <c r="AG900" s="66">
        <f t="shared" ca="1" si="36"/>
        <v>116.81999999999998</v>
      </c>
      <c r="AH900" s="143">
        <f t="shared" si="37"/>
        <v>1000</v>
      </c>
    </row>
    <row r="901" spans="1:34" s="118" customFormat="1" x14ac:dyDescent="0.3">
      <c r="A901" s="84">
        <v>803399</v>
      </c>
      <c r="B901" s="115">
        <v>38.999999999999993</v>
      </c>
      <c r="C901" s="115">
        <v>14.249999999999998</v>
      </c>
      <c r="D901" s="116">
        <v>8.23</v>
      </c>
      <c r="E901" s="1525">
        <v>0.17</v>
      </c>
      <c r="F901" s="89">
        <v>40.300000000000004</v>
      </c>
      <c r="G901" s="88"/>
      <c r="H901" s="89">
        <f>322.02*2</f>
        <v>644.04</v>
      </c>
      <c r="I901" s="89">
        <v>30</v>
      </c>
      <c r="J901" s="88">
        <v>0.03</v>
      </c>
      <c r="K901" s="115">
        <v>6.16</v>
      </c>
      <c r="L901" s="88">
        <v>410</v>
      </c>
      <c r="M901" s="88">
        <v>0.64</v>
      </c>
      <c r="N901" s="88">
        <v>1.52</v>
      </c>
      <c r="O901" s="88">
        <v>0.75</v>
      </c>
      <c r="P901" s="88">
        <v>4.5999999999999996</v>
      </c>
      <c r="Q901" s="116"/>
      <c r="R901" s="116">
        <v>1.5943320000000001</v>
      </c>
      <c r="S901" s="115">
        <v>10.8</v>
      </c>
      <c r="T901" s="88"/>
      <c r="U901" s="88"/>
      <c r="V901" s="88"/>
      <c r="W901" s="88"/>
      <c r="X901" s="115"/>
      <c r="Y901" s="115">
        <f t="shared" ca="1" si="35"/>
        <v>20.5</v>
      </c>
      <c r="Z901" s="88"/>
      <c r="AA901" s="116"/>
      <c r="AB901" s="88"/>
      <c r="AC901" s="88"/>
      <c r="AD901" s="88">
        <v>580</v>
      </c>
      <c r="AE901" s="88">
        <f t="shared" si="34"/>
        <v>300</v>
      </c>
      <c r="AF901" s="88">
        <v>120</v>
      </c>
      <c r="AG901" s="66">
        <f t="shared" ca="1" si="36"/>
        <v>106.37268292682926</v>
      </c>
      <c r="AH901" s="143">
        <f t="shared" si="37"/>
        <v>1000</v>
      </c>
    </row>
    <row r="902" spans="1:34" s="118" customFormat="1" x14ac:dyDescent="0.3">
      <c r="A902" s="84">
        <v>803400</v>
      </c>
      <c r="B902" s="115">
        <v>45.666666666666664</v>
      </c>
      <c r="C902" s="115">
        <v>14.999999999999998</v>
      </c>
      <c r="D902" s="116">
        <v>8.64</v>
      </c>
      <c r="E902" s="1525">
        <v>0.15</v>
      </c>
      <c r="F902" s="89">
        <v>44.5</v>
      </c>
      <c r="G902" s="88"/>
      <c r="H902" s="89">
        <f>216.95</f>
        <v>216.95</v>
      </c>
      <c r="I902" s="89">
        <v>45</v>
      </c>
      <c r="J902" s="88">
        <v>4.4999999999999998E-2</v>
      </c>
      <c r="K902" s="115">
        <v>6.19</v>
      </c>
      <c r="L902" s="88">
        <v>910</v>
      </c>
      <c r="M902" s="88">
        <v>3.72</v>
      </c>
      <c r="N902" s="88">
        <v>3.99</v>
      </c>
      <c r="O902" s="88">
        <v>1.79</v>
      </c>
      <c r="P902" s="88">
        <v>3.68</v>
      </c>
      <c r="Q902" s="116"/>
      <c r="R902" s="116">
        <v>1.839353</v>
      </c>
      <c r="S902" s="115">
        <v>17.899999999999999</v>
      </c>
      <c r="T902" s="88"/>
      <c r="U902" s="88"/>
      <c r="V902" s="88"/>
      <c r="W902" s="88"/>
      <c r="X902" s="115"/>
      <c r="Y902" s="115">
        <f t="shared" ca="1" si="35"/>
        <v>19.2</v>
      </c>
      <c r="Z902" s="88"/>
      <c r="AA902" s="116"/>
      <c r="AB902" s="88"/>
      <c r="AC902" s="88"/>
      <c r="AD902" s="88">
        <v>600</v>
      </c>
      <c r="AE902" s="88">
        <f t="shared" si="34"/>
        <v>260</v>
      </c>
      <c r="AF902" s="88">
        <v>140</v>
      </c>
      <c r="AG902" s="66">
        <f t="shared" ca="1" si="36"/>
        <v>114.12812500000001</v>
      </c>
      <c r="AH902" s="143">
        <f t="shared" si="37"/>
        <v>1000</v>
      </c>
    </row>
    <row r="903" spans="1:34" s="118" customFormat="1" x14ac:dyDescent="0.3">
      <c r="A903" s="84">
        <v>803401</v>
      </c>
      <c r="B903" s="115">
        <v>27.333333333333325</v>
      </c>
      <c r="C903" s="115"/>
      <c r="D903" s="116">
        <v>8.49</v>
      </c>
      <c r="E903" s="1525">
        <v>0.15</v>
      </c>
      <c r="F903" s="89">
        <v>44.400000000000006</v>
      </c>
      <c r="G903" s="88"/>
      <c r="H903" s="89">
        <f>218.54*2</f>
        <v>437.08</v>
      </c>
      <c r="I903" s="89">
        <v>51</v>
      </c>
      <c r="J903" s="88">
        <v>5.0999999999999997E-2</v>
      </c>
      <c r="K903" s="115">
        <v>6.47</v>
      </c>
      <c r="L903" s="88">
        <v>990</v>
      </c>
      <c r="M903" s="88">
        <v>0.66</v>
      </c>
      <c r="N903" s="88">
        <v>3</v>
      </c>
      <c r="O903" s="88">
        <v>0.62</v>
      </c>
      <c r="P903" s="88">
        <v>2.62</v>
      </c>
      <c r="Q903" s="116"/>
      <c r="R903" s="116">
        <v>1.7839130000000001</v>
      </c>
      <c r="S903" s="115">
        <v>16.100000000000001</v>
      </c>
      <c r="T903" s="88"/>
      <c r="U903" s="88"/>
      <c r="V903" s="88"/>
      <c r="W903" s="88"/>
      <c r="X903" s="115"/>
      <c r="Y903" s="115">
        <f t="shared" ca="1" si="35"/>
        <v>19</v>
      </c>
      <c r="Z903" s="88"/>
      <c r="AA903" s="116"/>
      <c r="AB903" s="88"/>
      <c r="AC903" s="88"/>
      <c r="AD903" s="88">
        <v>560</v>
      </c>
      <c r="AE903" s="88">
        <f t="shared" si="34"/>
        <v>240</v>
      </c>
      <c r="AF903" s="88">
        <v>200</v>
      </c>
      <c r="AG903" s="66">
        <f t="shared" ca="1" si="36"/>
        <v>120.5463157894737</v>
      </c>
      <c r="AH903" s="143">
        <f t="shared" si="37"/>
        <v>1000</v>
      </c>
    </row>
    <row r="904" spans="1:34" s="118" customFormat="1" x14ac:dyDescent="0.3">
      <c r="A904" s="84">
        <v>803402</v>
      </c>
      <c r="B904" s="115">
        <v>39.333333333333329</v>
      </c>
      <c r="C904" s="115">
        <v>15.25</v>
      </c>
      <c r="D904" s="116">
        <v>8.24</v>
      </c>
      <c r="E904" s="1525">
        <v>0.15</v>
      </c>
      <c r="F904" s="89">
        <v>41.900000000000006</v>
      </c>
      <c r="G904" s="88"/>
      <c r="H904" s="89">
        <v>421.51</v>
      </c>
      <c r="I904" s="89">
        <v>33</v>
      </c>
      <c r="J904" s="88">
        <v>3.3000000000000002E-2</v>
      </c>
      <c r="K904" s="115">
        <v>6.02</v>
      </c>
      <c r="L904" s="88">
        <v>970</v>
      </c>
      <c r="M904" s="88">
        <v>2.0299999999999998</v>
      </c>
      <c r="N904" s="88">
        <v>5.31</v>
      </c>
      <c r="O904" s="88">
        <v>2.0699999999999998</v>
      </c>
      <c r="P904" s="88">
        <v>8.32</v>
      </c>
      <c r="Q904" s="116"/>
      <c r="R904" s="116">
        <v>1.8956330000000001</v>
      </c>
      <c r="S904" s="115">
        <v>19.899999999999999</v>
      </c>
      <c r="T904" s="88"/>
      <c r="U904" s="88"/>
      <c r="V904" s="88"/>
      <c r="W904" s="88"/>
      <c r="X904" s="115"/>
      <c r="Y904" s="115">
        <f t="shared" ca="1" si="35"/>
        <v>19.2</v>
      </c>
      <c r="Z904" s="88"/>
      <c r="AA904" s="116"/>
      <c r="AB904" s="88"/>
      <c r="AC904" s="88"/>
      <c r="AD904" s="88">
        <v>580</v>
      </c>
      <c r="AE904" s="88">
        <f t="shared" si="34"/>
        <v>240</v>
      </c>
      <c r="AF904" s="88">
        <v>180</v>
      </c>
      <c r="AG904" s="66">
        <f t="shared" ca="1" si="36"/>
        <v>110.99375000000001</v>
      </c>
      <c r="AH904" s="143">
        <f t="shared" si="37"/>
        <v>1000</v>
      </c>
    </row>
    <row r="905" spans="1:34" s="118" customFormat="1" x14ac:dyDescent="0.3">
      <c r="A905" s="84">
        <v>803403</v>
      </c>
      <c r="B905" s="115">
        <v>9.9166666666666661</v>
      </c>
      <c r="C905" s="115"/>
      <c r="D905" s="116">
        <v>8.16</v>
      </c>
      <c r="E905" s="1525">
        <v>0.3</v>
      </c>
      <c r="F905" s="89">
        <v>51.6</v>
      </c>
      <c r="G905" s="88"/>
      <c r="H905" s="89">
        <f>287.44*2</f>
        <v>574.88</v>
      </c>
      <c r="I905" s="89">
        <v>37</v>
      </c>
      <c r="J905" s="88">
        <v>3.6999999999999998E-2</v>
      </c>
      <c r="K905" s="115">
        <v>5.27</v>
      </c>
      <c r="L905" s="88">
        <v>870</v>
      </c>
      <c r="M905" s="88">
        <v>2.2400000000000002</v>
      </c>
      <c r="N905" s="88">
        <v>1.05</v>
      </c>
      <c r="O905" s="88">
        <v>1.85</v>
      </c>
      <c r="P905" s="88">
        <v>2.92</v>
      </c>
      <c r="Q905" s="116"/>
      <c r="R905" s="116">
        <v>1.610012</v>
      </c>
      <c r="S905" s="115">
        <v>11.2</v>
      </c>
      <c r="T905" s="88"/>
      <c r="U905" s="88"/>
      <c r="V905" s="88"/>
      <c r="W905" s="88"/>
      <c r="X905" s="115"/>
      <c r="Y905" s="115">
        <f t="shared" ca="1" si="35"/>
        <v>19.100000000000001</v>
      </c>
      <c r="Z905" s="88"/>
      <c r="AA905" s="116"/>
      <c r="AB905" s="88"/>
      <c r="AC905" s="88"/>
      <c r="AD905" s="88">
        <v>440</v>
      </c>
      <c r="AE905" s="88">
        <f t="shared" si="34"/>
        <v>300</v>
      </c>
      <c r="AF905" s="88">
        <v>260</v>
      </c>
      <c r="AG905" s="66">
        <f t="shared" ca="1" si="36"/>
        <v>97.674345549738206</v>
      </c>
      <c r="AH905" s="143">
        <f t="shared" si="37"/>
        <v>1000</v>
      </c>
    </row>
    <row r="906" spans="1:34" s="118" customFormat="1" x14ac:dyDescent="0.3">
      <c r="A906" s="84">
        <v>803404</v>
      </c>
      <c r="B906" s="115">
        <v>0.1</v>
      </c>
      <c r="C906" s="115"/>
      <c r="D906" s="116">
        <v>6.83</v>
      </c>
      <c r="E906" s="1525">
        <v>0.08</v>
      </c>
      <c r="F906" s="89">
        <v>57.45</v>
      </c>
      <c r="G906" s="89"/>
      <c r="H906" s="89">
        <v>41.76</v>
      </c>
      <c r="I906" s="89">
        <v>120</v>
      </c>
      <c r="J906" s="117">
        <v>0.20200000000000001</v>
      </c>
      <c r="K906" s="115">
        <v>4.8479999999999999</v>
      </c>
      <c r="L906" s="88">
        <v>530</v>
      </c>
      <c r="M906" s="88">
        <v>0.51</v>
      </c>
      <c r="N906" s="88">
        <v>1.74</v>
      </c>
      <c r="O906" s="88">
        <v>21.28</v>
      </c>
      <c r="P906" s="116">
        <v>54.34</v>
      </c>
      <c r="Q906" s="115"/>
      <c r="R906" s="116">
        <v>1.4027023228390769</v>
      </c>
      <c r="S906" s="115">
        <v>9.9</v>
      </c>
      <c r="T906" s="88"/>
      <c r="U906" s="88"/>
      <c r="V906" s="88"/>
      <c r="W906" s="115"/>
      <c r="X906" s="88"/>
      <c r="Y906" s="115">
        <v>18</v>
      </c>
      <c r="Z906" s="116"/>
      <c r="AA906" s="88"/>
      <c r="AB906" s="88"/>
      <c r="AC906" s="88"/>
      <c r="AD906" s="88">
        <v>600</v>
      </c>
      <c r="AE906" s="88">
        <v>260</v>
      </c>
      <c r="AF906" s="88">
        <v>140</v>
      </c>
      <c r="AG906" s="66">
        <f t="shared" si="36"/>
        <v>95.343999999999994</v>
      </c>
      <c r="AH906" s="143">
        <f t="shared" si="37"/>
        <v>1000</v>
      </c>
    </row>
    <row r="907" spans="1:34" s="118" customFormat="1" x14ac:dyDescent="0.3">
      <c r="A907" s="84">
        <v>803405</v>
      </c>
      <c r="B907" s="115">
        <v>0.7</v>
      </c>
      <c r="C907" s="115"/>
      <c r="D907" s="116">
        <v>8.02</v>
      </c>
      <c r="E907" s="1525">
        <v>0.17</v>
      </c>
      <c r="F907" s="89">
        <v>33.049999999999997</v>
      </c>
      <c r="G907" s="89"/>
      <c r="H907" s="89">
        <v>28.22</v>
      </c>
      <c r="I907" s="89">
        <v>120</v>
      </c>
      <c r="J907" s="117">
        <v>0.28899999999999998</v>
      </c>
      <c r="K907" s="115">
        <v>5.915</v>
      </c>
      <c r="L907" s="88">
        <v>1090</v>
      </c>
      <c r="M907" s="88">
        <v>0.15</v>
      </c>
      <c r="N907" s="88">
        <v>0.69</v>
      </c>
      <c r="O907" s="88">
        <v>3.67</v>
      </c>
      <c r="P907" s="116">
        <v>12.33</v>
      </c>
      <c r="Q907" s="115"/>
      <c r="R907" s="116">
        <v>0.85237489327710148</v>
      </c>
      <c r="S907" s="115">
        <v>6.3</v>
      </c>
      <c r="T907" s="88"/>
      <c r="U907" s="88"/>
      <c r="V907" s="88"/>
      <c r="W907" s="115"/>
      <c r="X907" s="88"/>
      <c r="Y907" s="115">
        <v>12.4</v>
      </c>
      <c r="Z907" s="116"/>
      <c r="AA907" s="88"/>
      <c r="AB907" s="88"/>
      <c r="AC907" s="88"/>
      <c r="AD907" s="88">
        <v>620</v>
      </c>
      <c r="AE907" s="88">
        <v>260</v>
      </c>
      <c r="AF907" s="88">
        <v>120</v>
      </c>
      <c r="AG907" s="66">
        <f t="shared" si="36"/>
        <v>168.86370967741934</v>
      </c>
      <c r="AH907" s="143">
        <f t="shared" si="37"/>
        <v>1000</v>
      </c>
    </row>
    <row r="908" spans="1:34" s="118" customFormat="1" x14ac:dyDescent="0.3">
      <c r="A908" s="84">
        <v>803406</v>
      </c>
      <c r="B908" s="115">
        <v>0.9</v>
      </c>
      <c r="C908" s="115"/>
      <c r="D908" s="116">
        <v>7.9</v>
      </c>
      <c r="E908" s="1525">
        <v>0.17</v>
      </c>
      <c r="F908" s="89">
        <v>52.15</v>
      </c>
      <c r="G908" s="89"/>
      <c r="H908" s="89">
        <v>24.11</v>
      </c>
      <c r="I908" s="89">
        <v>130</v>
      </c>
      <c r="J908" s="117">
        <v>0.14199999999999999</v>
      </c>
      <c r="K908" s="115">
        <v>5.9930000000000003</v>
      </c>
      <c r="L908" s="88">
        <v>1170</v>
      </c>
      <c r="M908" s="88">
        <v>0.18</v>
      </c>
      <c r="N908" s="88">
        <v>0.6</v>
      </c>
      <c r="O908" s="88">
        <v>1.62</v>
      </c>
      <c r="P908" s="116">
        <v>5.05</v>
      </c>
      <c r="Q908" s="115"/>
      <c r="R908" s="116">
        <v>0.90745807522773192</v>
      </c>
      <c r="S908" s="115">
        <v>6.5</v>
      </c>
      <c r="T908" s="88"/>
      <c r="U908" s="88"/>
      <c r="V908" s="88"/>
      <c r="W908" s="115"/>
      <c r="X908" s="88"/>
      <c r="Y908" s="115">
        <v>18</v>
      </c>
      <c r="Z908" s="116"/>
      <c r="AA908" s="88"/>
      <c r="AB908" s="88"/>
      <c r="AC908" s="88"/>
      <c r="AD908" s="88">
        <v>600</v>
      </c>
      <c r="AE908" s="88">
        <v>280</v>
      </c>
      <c r="AF908" s="88">
        <v>120</v>
      </c>
      <c r="AG908" s="66">
        <f t="shared" si="36"/>
        <v>117.86233333333335</v>
      </c>
      <c r="AH908" s="143">
        <f t="shared" si="37"/>
        <v>1000</v>
      </c>
    </row>
    <row r="909" spans="1:34" s="118" customFormat="1" x14ac:dyDescent="0.3">
      <c r="A909" s="84">
        <v>803407</v>
      </c>
      <c r="B909" s="115">
        <v>0.2</v>
      </c>
      <c r="C909" s="115"/>
      <c r="D909" s="116">
        <v>7.87</v>
      </c>
      <c r="E909" s="1525">
        <v>0.13</v>
      </c>
      <c r="F909" s="89">
        <v>100.8</v>
      </c>
      <c r="G909" s="89"/>
      <c r="H909" s="89">
        <v>20.309999999999999</v>
      </c>
      <c r="I909" s="89">
        <v>13</v>
      </c>
      <c r="J909" s="117">
        <v>0.28999999999999998</v>
      </c>
      <c r="K909" s="115">
        <v>4.5198999999999998</v>
      </c>
      <c r="L909" s="88">
        <v>1280</v>
      </c>
      <c r="M909" s="88">
        <v>0.19</v>
      </c>
      <c r="N909" s="88">
        <v>1.06</v>
      </c>
      <c r="O909" s="88">
        <v>19.05</v>
      </c>
      <c r="P909" s="116">
        <v>25.78</v>
      </c>
      <c r="Q909" s="115"/>
      <c r="R909" s="116">
        <v>1.1013552840501981</v>
      </c>
      <c r="S909" s="115">
        <v>7.2</v>
      </c>
      <c r="T909" s="88"/>
      <c r="U909" s="88"/>
      <c r="V909" s="88"/>
      <c r="W909" s="115"/>
      <c r="X909" s="88"/>
      <c r="Y909" s="115">
        <v>18.600000000000001</v>
      </c>
      <c r="Z909" s="116"/>
      <c r="AA909" s="88"/>
      <c r="AB909" s="88"/>
      <c r="AC909" s="88"/>
      <c r="AD909" s="88">
        <v>620</v>
      </c>
      <c r="AE909" s="88">
        <v>280</v>
      </c>
      <c r="AF909" s="88">
        <v>100</v>
      </c>
      <c r="AG909" s="66">
        <f t="shared" si="36"/>
        <v>86.023903225806436</v>
      </c>
      <c r="AH909" s="143">
        <f t="shared" si="37"/>
        <v>1000</v>
      </c>
    </row>
    <row r="910" spans="1:34" s="118" customFormat="1" x14ac:dyDescent="0.3">
      <c r="A910" s="84">
        <v>803408</v>
      </c>
      <c r="B910" s="115">
        <v>0.5</v>
      </c>
      <c r="C910" s="115"/>
      <c r="D910" s="116">
        <v>7.8</v>
      </c>
      <c r="E910" s="1525">
        <v>0.18</v>
      </c>
      <c r="F910" s="89">
        <v>53.2</v>
      </c>
      <c r="G910" s="89"/>
      <c r="H910" s="89">
        <v>25.59</v>
      </c>
      <c r="I910" s="89">
        <v>140</v>
      </c>
      <c r="J910" s="117">
        <v>0.17399999999999999</v>
      </c>
      <c r="K910" s="115">
        <v>4.0170000000000003</v>
      </c>
      <c r="L910" s="88">
        <v>850</v>
      </c>
      <c r="M910" s="88">
        <v>0.38</v>
      </c>
      <c r="N910" s="88">
        <v>1.08</v>
      </c>
      <c r="O910" s="88">
        <v>13.94</v>
      </c>
      <c r="P910" s="116">
        <v>22.07</v>
      </c>
      <c r="Q910" s="115"/>
      <c r="R910" s="116">
        <v>0.91010186552215544</v>
      </c>
      <c r="S910" s="115">
        <v>6.2</v>
      </c>
      <c r="T910" s="88"/>
      <c r="U910" s="88"/>
      <c r="V910" s="88"/>
      <c r="W910" s="115"/>
      <c r="X910" s="88"/>
      <c r="Y910" s="115">
        <v>17.399999999999999</v>
      </c>
      <c r="Z910" s="116"/>
      <c r="AA910" s="88"/>
      <c r="AB910" s="88"/>
      <c r="AC910" s="88"/>
      <c r="AD910" s="88">
        <v>580</v>
      </c>
      <c r="AE910" s="88">
        <v>300</v>
      </c>
      <c r="AF910" s="88">
        <v>120</v>
      </c>
      <c r="AG910" s="66">
        <f t="shared" si="36"/>
        <v>81.725172413793118</v>
      </c>
      <c r="AH910" s="143">
        <f t="shared" si="37"/>
        <v>1000</v>
      </c>
    </row>
    <row r="911" spans="1:34" s="118" customFormat="1" x14ac:dyDescent="0.3">
      <c r="A911" s="84">
        <v>803409</v>
      </c>
      <c r="B911" s="115">
        <v>0.2</v>
      </c>
      <c r="C911" s="115"/>
      <c r="D911" s="116">
        <v>6.55</v>
      </c>
      <c r="E911" s="1525">
        <v>0.27</v>
      </c>
      <c r="F911" s="89">
        <v>297.10000000000002</v>
      </c>
      <c r="G911" s="89"/>
      <c r="H911" s="89">
        <v>15.77</v>
      </c>
      <c r="I911" s="89">
        <v>50</v>
      </c>
      <c r="J911" s="117">
        <v>0.30599999999999999</v>
      </c>
      <c r="K911" s="115">
        <v>4.3529999999999998</v>
      </c>
      <c r="L911" s="88">
        <v>300</v>
      </c>
      <c r="M911" s="88">
        <v>0.21</v>
      </c>
      <c r="N911" s="88">
        <v>0.81</v>
      </c>
      <c r="O911" s="88">
        <v>36.78</v>
      </c>
      <c r="P911" s="116">
        <v>31.23</v>
      </c>
      <c r="Q911" s="115"/>
      <c r="R911" s="116">
        <v>0.93015349025229344</v>
      </c>
      <c r="S911" s="115">
        <v>6.1</v>
      </c>
      <c r="T911" s="88"/>
      <c r="U911" s="88"/>
      <c r="V911" s="88"/>
      <c r="W911" s="115"/>
      <c r="X911" s="88"/>
      <c r="Y911" s="115">
        <v>16.8</v>
      </c>
      <c r="Z911" s="116"/>
      <c r="AA911" s="88"/>
      <c r="AB911" s="88"/>
      <c r="AC911" s="88"/>
      <c r="AD911" s="88">
        <v>560</v>
      </c>
      <c r="AE911" s="88">
        <v>300</v>
      </c>
      <c r="AF911" s="88">
        <v>140</v>
      </c>
      <c r="AG911" s="66">
        <f t="shared" si="36"/>
        <v>91.723928571428559</v>
      </c>
      <c r="AH911" s="143">
        <f t="shared" si="37"/>
        <v>1000</v>
      </c>
    </row>
    <row r="912" spans="1:34" s="118" customFormat="1" x14ac:dyDescent="0.3">
      <c r="A912" s="84">
        <v>803410</v>
      </c>
      <c r="B912" s="115">
        <v>0.2</v>
      </c>
      <c r="C912" s="115"/>
      <c r="D912" s="116">
        <v>6.52</v>
      </c>
      <c r="E912" s="1525">
        <v>0.11</v>
      </c>
      <c r="F912" s="89">
        <v>93.2</v>
      </c>
      <c r="G912" s="89"/>
      <c r="H912" s="89">
        <v>45.26</v>
      </c>
      <c r="I912" s="89">
        <v>100</v>
      </c>
      <c r="J912" s="117">
        <v>0.158</v>
      </c>
      <c r="K912" s="115">
        <v>4.1719999999999997</v>
      </c>
      <c r="L912" s="88">
        <v>400</v>
      </c>
      <c r="M912" s="88">
        <v>0.42</v>
      </c>
      <c r="N912" s="88">
        <v>1.04</v>
      </c>
      <c r="O912" s="88">
        <v>18.45</v>
      </c>
      <c r="P912" s="116">
        <v>23.65</v>
      </c>
      <c r="Q912" s="115"/>
      <c r="R912" s="116">
        <v>1.2157084369835778</v>
      </c>
      <c r="S912" s="115">
        <v>8.9</v>
      </c>
      <c r="T912" s="88"/>
      <c r="U912" s="88"/>
      <c r="V912" s="88"/>
      <c r="W912" s="115"/>
      <c r="X912" s="88"/>
      <c r="Y912" s="115">
        <v>11.6</v>
      </c>
      <c r="Z912" s="116"/>
      <c r="AA912" s="88"/>
      <c r="AB912" s="88"/>
      <c r="AC912" s="88"/>
      <c r="AD912" s="88">
        <v>580</v>
      </c>
      <c r="AE912" s="88">
        <v>280</v>
      </c>
      <c r="AF912" s="88">
        <v>140</v>
      </c>
      <c r="AG912" s="66">
        <f t="shared" si="36"/>
        <v>127.31793103448275</v>
      </c>
      <c r="AH912" s="143">
        <f t="shared" si="37"/>
        <v>1000</v>
      </c>
    </row>
    <row r="913" spans="1:34" s="118" customFormat="1" x14ac:dyDescent="0.3">
      <c r="A913" s="84">
        <v>803411</v>
      </c>
      <c r="B913" s="115">
        <v>0.5</v>
      </c>
      <c r="C913" s="115"/>
      <c r="D913" s="116">
        <v>8.1999999999999993</v>
      </c>
      <c r="E913" s="1525">
        <v>0.13</v>
      </c>
      <c r="F913" s="89">
        <v>40.85</v>
      </c>
      <c r="G913" s="89"/>
      <c r="H913" s="89">
        <v>52.97</v>
      </c>
      <c r="I913" s="89">
        <v>280</v>
      </c>
      <c r="J913" s="117">
        <v>0.20499999999999999</v>
      </c>
      <c r="K913" s="115">
        <v>4.7450000000000001</v>
      </c>
      <c r="L913" s="88">
        <v>1010</v>
      </c>
      <c r="M913" s="88">
        <v>0.66</v>
      </c>
      <c r="N913" s="88">
        <v>1.4</v>
      </c>
      <c r="O913" s="88">
        <v>20.309999999999999</v>
      </c>
      <c r="P913" s="116">
        <v>36.9</v>
      </c>
      <c r="Q913" s="115"/>
      <c r="R913" s="116">
        <v>1.629297</v>
      </c>
      <c r="S913" s="115">
        <v>11.7</v>
      </c>
      <c r="T913" s="88"/>
      <c r="U913" s="88"/>
      <c r="V913" s="88"/>
      <c r="W913" s="115"/>
      <c r="X913" s="88"/>
      <c r="Y913" s="115">
        <v>12.8</v>
      </c>
      <c r="Z913" s="116"/>
      <c r="AA913" s="88"/>
      <c r="AB913" s="88"/>
      <c r="AC913" s="88"/>
      <c r="AD913" s="88">
        <v>640</v>
      </c>
      <c r="AE913" s="88">
        <v>240</v>
      </c>
      <c r="AF913" s="88">
        <v>120</v>
      </c>
      <c r="AG913" s="66">
        <f t="shared" si="36"/>
        <v>131.22890624999999</v>
      </c>
      <c r="AH913" s="143">
        <f t="shared" si="37"/>
        <v>1000</v>
      </c>
    </row>
    <row r="914" spans="1:34" s="118" customFormat="1" x14ac:dyDescent="0.3">
      <c r="A914" s="84">
        <v>803412</v>
      </c>
      <c r="B914" s="115">
        <v>0.2</v>
      </c>
      <c r="C914" s="115"/>
      <c r="D914" s="116">
        <v>7.24</v>
      </c>
      <c r="E914" s="1525">
        <v>0.14000000000000001</v>
      </c>
      <c r="F914" s="89">
        <v>83.85</v>
      </c>
      <c r="G914" s="89"/>
      <c r="H914" s="89">
        <v>145.54</v>
      </c>
      <c r="I914" s="89">
        <v>100</v>
      </c>
      <c r="J914" s="117">
        <v>0.16800000000000001</v>
      </c>
      <c r="K914" s="115">
        <v>4.2120000000000006</v>
      </c>
      <c r="L914" s="88">
        <v>390</v>
      </c>
      <c r="M914" s="88">
        <v>0.91</v>
      </c>
      <c r="N914" s="88">
        <v>1.87</v>
      </c>
      <c r="O914" s="88">
        <v>9.41</v>
      </c>
      <c r="P914" s="116">
        <v>40.99</v>
      </c>
      <c r="Q914" s="115"/>
      <c r="R914" s="116">
        <v>1.6631279999999999</v>
      </c>
      <c r="S914" s="115">
        <v>12.6</v>
      </c>
      <c r="T914" s="88"/>
      <c r="U914" s="88"/>
      <c r="V914" s="88"/>
      <c r="W914" s="115"/>
      <c r="X914" s="88"/>
      <c r="Y914" s="115">
        <v>11.6</v>
      </c>
      <c r="Z914" s="116"/>
      <c r="AA914" s="88"/>
      <c r="AB914" s="88"/>
      <c r="AC914" s="88"/>
      <c r="AD914" s="88">
        <v>580</v>
      </c>
      <c r="AE914" s="88">
        <v>280</v>
      </c>
      <c r="AF914" s="88">
        <v>140</v>
      </c>
      <c r="AG914" s="66">
        <f t="shared" si="36"/>
        <v>128.5386206896552</v>
      </c>
      <c r="AH914" s="143">
        <f t="shared" si="37"/>
        <v>1000</v>
      </c>
    </row>
    <row r="915" spans="1:34" s="118" customFormat="1" x14ac:dyDescent="0.3">
      <c r="A915" s="84">
        <v>803413</v>
      </c>
      <c r="B915" s="115">
        <v>0.1</v>
      </c>
      <c r="C915" s="115"/>
      <c r="D915" s="116">
        <v>7.25</v>
      </c>
      <c r="E915" s="1525">
        <v>0.11</v>
      </c>
      <c r="F915" s="89">
        <v>94.3</v>
      </c>
      <c r="G915" s="89"/>
      <c r="H915" s="89">
        <v>21.57</v>
      </c>
      <c r="I915" s="89">
        <v>80</v>
      </c>
      <c r="J915" s="117">
        <v>0.2</v>
      </c>
      <c r="K915" s="115">
        <v>4.1319999999999997</v>
      </c>
      <c r="L915" s="88">
        <v>390</v>
      </c>
      <c r="M915" s="88">
        <v>0.15</v>
      </c>
      <c r="N915" s="88">
        <v>0.82</v>
      </c>
      <c r="O915" s="88">
        <v>14.52</v>
      </c>
      <c r="P915" s="116">
        <v>16.72</v>
      </c>
      <c r="Q915" s="115"/>
      <c r="R915" s="116">
        <v>0.81506308453398635</v>
      </c>
      <c r="S915" s="115">
        <v>5.5</v>
      </c>
      <c r="T915" s="88"/>
      <c r="U915" s="88"/>
      <c r="V915" s="88"/>
      <c r="W915" s="115"/>
      <c r="X915" s="88"/>
      <c r="Y915" s="115">
        <v>16.8</v>
      </c>
      <c r="Z915" s="116"/>
      <c r="AA915" s="88"/>
      <c r="AB915" s="88"/>
      <c r="AC915" s="88"/>
      <c r="AD915" s="88">
        <v>560</v>
      </c>
      <c r="AE915" s="88">
        <v>320</v>
      </c>
      <c r="AF915" s="88">
        <v>120</v>
      </c>
      <c r="AG915" s="66">
        <f t="shared" si="36"/>
        <v>87.067142857142841</v>
      </c>
      <c r="AH915" s="143">
        <f t="shared" si="37"/>
        <v>1000</v>
      </c>
    </row>
    <row r="916" spans="1:34" s="118" customFormat="1" x14ac:dyDescent="0.3">
      <c r="A916" s="84">
        <v>803414</v>
      </c>
      <c r="B916" s="115">
        <v>1E-4</v>
      </c>
      <c r="C916" s="115"/>
      <c r="D916" s="116">
        <v>8.2899999999999991</v>
      </c>
      <c r="E916" s="1525">
        <v>0.05</v>
      </c>
      <c r="F916" s="89">
        <v>31.3</v>
      </c>
      <c r="G916" s="89"/>
      <c r="H916" s="89">
        <v>16.34</v>
      </c>
      <c r="I916" s="89">
        <v>120</v>
      </c>
      <c r="J916" s="117">
        <v>0.189</v>
      </c>
      <c r="K916" s="115">
        <v>4.5220000000000002</v>
      </c>
      <c r="L916" s="88">
        <v>1310</v>
      </c>
      <c r="M916" s="88">
        <v>0.14000000000000001</v>
      </c>
      <c r="N916" s="88">
        <v>0.8</v>
      </c>
      <c r="O916" s="88">
        <v>12.85</v>
      </c>
      <c r="P916" s="116">
        <v>16.55</v>
      </c>
      <c r="Q916" s="115"/>
      <c r="R916" s="116">
        <v>1.0590914047345168</v>
      </c>
      <c r="S916" s="115">
        <v>7.7</v>
      </c>
      <c r="T916" s="88"/>
      <c r="U916" s="88"/>
      <c r="V916" s="88"/>
      <c r="W916" s="115"/>
      <c r="X916" s="88"/>
      <c r="Y916" s="115">
        <v>11.2</v>
      </c>
      <c r="Z916" s="116"/>
      <c r="AA916" s="88"/>
      <c r="AB916" s="88"/>
      <c r="AC916" s="88"/>
      <c r="AD916" s="88">
        <v>560</v>
      </c>
      <c r="AE916" s="88">
        <v>280</v>
      </c>
      <c r="AF916" s="88">
        <v>160</v>
      </c>
      <c r="AG916" s="66">
        <f t="shared" si="36"/>
        <v>142.92750000000001</v>
      </c>
      <c r="AH916" s="143">
        <f t="shared" si="37"/>
        <v>1000</v>
      </c>
    </row>
    <row r="917" spans="1:34" s="118" customFormat="1" x14ac:dyDescent="0.3">
      <c r="A917" s="84">
        <v>803415</v>
      </c>
      <c r="B917" s="115">
        <v>0.4</v>
      </c>
      <c r="C917" s="115"/>
      <c r="D917" s="116">
        <v>7.37</v>
      </c>
      <c r="E917" s="1525">
        <v>0.12</v>
      </c>
      <c r="F917" s="89">
        <v>50.1</v>
      </c>
      <c r="G917" s="89"/>
      <c r="H917" s="89">
        <v>45.09</v>
      </c>
      <c r="I917" s="89">
        <v>90</v>
      </c>
      <c r="J917" s="117">
        <v>0.252</v>
      </c>
      <c r="K917" s="115">
        <v>4.7652000000000001</v>
      </c>
      <c r="L917" s="88">
        <v>920</v>
      </c>
      <c r="M917" s="88">
        <v>0.3</v>
      </c>
      <c r="N917" s="88">
        <v>1.01</v>
      </c>
      <c r="O917" s="88">
        <v>19.899999999999999</v>
      </c>
      <c r="P917" s="116">
        <v>32.18</v>
      </c>
      <c r="Q917" s="115"/>
      <c r="R917" s="116">
        <v>1.5744170000000002</v>
      </c>
      <c r="S917" s="115">
        <v>10.3</v>
      </c>
      <c r="T917" s="88"/>
      <c r="U917" s="88"/>
      <c r="V917" s="88"/>
      <c r="W917" s="115"/>
      <c r="X917" s="88"/>
      <c r="Y917" s="115">
        <v>17.399999999999999</v>
      </c>
      <c r="Z917" s="116"/>
      <c r="AA917" s="88"/>
      <c r="AB917" s="88"/>
      <c r="AC917" s="88"/>
      <c r="AD917" s="88">
        <v>580</v>
      </c>
      <c r="AE917" s="88">
        <v>240</v>
      </c>
      <c r="AF917" s="88">
        <v>180</v>
      </c>
      <c r="AG917" s="66">
        <f t="shared" si="36"/>
        <v>96.947172413793126</v>
      </c>
      <c r="AH917" s="143">
        <f t="shared" si="37"/>
        <v>1000</v>
      </c>
    </row>
    <row r="918" spans="1:34" s="118" customFormat="1" x14ac:dyDescent="0.3">
      <c r="A918" s="84">
        <v>803416</v>
      </c>
      <c r="B918" s="115">
        <v>0.3</v>
      </c>
      <c r="C918" s="115"/>
      <c r="D918" s="116">
        <v>6.8</v>
      </c>
      <c r="E918" s="1525">
        <v>0.1</v>
      </c>
      <c r="F918" s="89">
        <v>76.349999999999994</v>
      </c>
      <c r="G918" s="89"/>
      <c r="H918" s="89">
        <v>50.34</v>
      </c>
      <c r="I918" s="89">
        <v>90</v>
      </c>
      <c r="J918" s="117">
        <v>0.115</v>
      </c>
      <c r="K918" s="115">
        <v>4.8479999999999999</v>
      </c>
      <c r="L918" s="88">
        <v>500</v>
      </c>
      <c r="M918" s="88">
        <v>0.19</v>
      </c>
      <c r="N918" s="88">
        <v>0.71</v>
      </c>
      <c r="O918" s="88">
        <v>12.33</v>
      </c>
      <c r="P918" s="116">
        <v>22.45</v>
      </c>
      <c r="Q918" s="115"/>
      <c r="R918" s="116">
        <v>1.6138970000000001</v>
      </c>
      <c r="S918" s="115">
        <v>11.3</v>
      </c>
      <c r="T918" s="88"/>
      <c r="U918" s="88"/>
      <c r="V918" s="88"/>
      <c r="W918" s="115"/>
      <c r="X918" s="88"/>
      <c r="Y918" s="115">
        <v>17.399999999999999</v>
      </c>
      <c r="Z918" s="116"/>
      <c r="AA918" s="88"/>
      <c r="AB918" s="88"/>
      <c r="AC918" s="88"/>
      <c r="AD918" s="88">
        <v>580</v>
      </c>
      <c r="AE918" s="88">
        <v>280</v>
      </c>
      <c r="AF918" s="88">
        <v>140</v>
      </c>
      <c r="AG918" s="66">
        <f t="shared" si="36"/>
        <v>98.63172413793103</v>
      </c>
      <c r="AH918" s="143">
        <f t="shared" si="37"/>
        <v>1000</v>
      </c>
    </row>
    <row r="919" spans="1:34" s="118" customFormat="1" x14ac:dyDescent="0.3">
      <c r="A919" s="84">
        <v>803417</v>
      </c>
      <c r="B919" s="115">
        <v>0.2</v>
      </c>
      <c r="C919" s="115"/>
      <c r="D919" s="116">
        <v>7.43</v>
      </c>
      <c r="E919" s="1525">
        <v>0.14000000000000001</v>
      </c>
      <c r="F919" s="89">
        <v>106.85</v>
      </c>
      <c r="G919" s="89"/>
      <c r="H919" s="89">
        <v>16.739999999999998</v>
      </c>
      <c r="I919" s="89">
        <v>130</v>
      </c>
      <c r="J919" s="117">
        <v>0.58099999999999996</v>
      </c>
      <c r="K919" s="115">
        <v>4.484</v>
      </c>
      <c r="L919" s="88">
        <v>1750</v>
      </c>
      <c r="M919" s="88">
        <v>7.0000000000000007E-2</v>
      </c>
      <c r="N919" s="88">
        <v>0.71</v>
      </c>
      <c r="O919" s="88">
        <v>12.74</v>
      </c>
      <c r="P919" s="116">
        <v>10.29</v>
      </c>
      <c r="Q919" s="115"/>
      <c r="R919" s="116">
        <v>0.75611218437999672</v>
      </c>
      <c r="S919" s="115">
        <v>5.6</v>
      </c>
      <c r="T919" s="88"/>
      <c r="U919" s="88"/>
      <c r="V919" s="88"/>
      <c r="W919" s="115"/>
      <c r="X919" s="88"/>
      <c r="Y919" s="115">
        <v>11.2</v>
      </c>
      <c r="Z919" s="116"/>
      <c r="AA919" s="88"/>
      <c r="AB919" s="88"/>
      <c r="AC919" s="88"/>
      <c r="AD919" s="88">
        <v>560</v>
      </c>
      <c r="AE919" s="88">
        <v>280</v>
      </c>
      <c r="AF919" s="88">
        <v>160</v>
      </c>
      <c r="AG919" s="66">
        <f t="shared" si="36"/>
        <v>141.72642857142858</v>
      </c>
      <c r="AH919" s="143">
        <f t="shared" si="37"/>
        <v>1000</v>
      </c>
    </row>
    <row r="920" spans="1:34" s="118" customFormat="1" x14ac:dyDescent="0.3">
      <c r="A920" s="84">
        <v>803418</v>
      </c>
      <c r="B920" s="115">
        <v>2.6</v>
      </c>
      <c r="C920" s="115"/>
      <c r="D920" s="116">
        <v>7.83</v>
      </c>
      <c r="E920" s="1525">
        <v>0.24</v>
      </c>
      <c r="F920" s="89">
        <v>90.25</v>
      </c>
      <c r="G920" s="89"/>
      <c r="H920" s="89">
        <v>129</v>
      </c>
      <c r="I920" s="89">
        <v>570</v>
      </c>
      <c r="J920" s="117">
        <v>0.155</v>
      </c>
      <c r="K920" s="115">
        <v>8.2940000000000005</v>
      </c>
      <c r="L920" s="88">
        <v>810</v>
      </c>
      <c r="M920" s="88">
        <v>0.7</v>
      </c>
      <c r="N920" s="88">
        <v>1.49</v>
      </c>
      <c r="O920" s="88">
        <v>11.05</v>
      </c>
      <c r="P920" s="116">
        <v>45.01</v>
      </c>
      <c r="Q920" s="115"/>
      <c r="R920" s="116">
        <v>1.8304280000000002</v>
      </c>
      <c r="S920" s="115">
        <v>17.600000000000001</v>
      </c>
      <c r="T920" s="88"/>
      <c r="U920" s="88"/>
      <c r="V920" s="88"/>
      <c r="W920" s="115"/>
      <c r="X920" s="88"/>
      <c r="Y920" s="115">
        <v>18</v>
      </c>
      <c r="Z920" s="116"/>
      <c r="AA920" s="88"/>
      <c r="AB920" s="88"/>
      <c r="AC920" s="88"/>
      <c r="AD920" s="88">
        <v>600</v>
      </c>
      <c r="AE920" s="88">
        <v>260</v>
      </c>
      <c r="AF920" s="88">
        <v>140</v>
      </c>
      <c r="AG920" s="66">
        <f t="shared" si="36"/>
        <v>163.11533333333335</v>
      </c>
      <c r="AH920" s="143">
        <f t="shared" si="37"/>
        <v>1000</v>
      </c>
    </row>
    <row r="921" spans="1:34" s="118" customFormat="1" x14ac:dyDescent="0.3">
      <c r="A921" s="84">
        <v>803419</v>
      </c>
      <c r="B921" s="115">
        <v>0.2</v>
      </c>
      <c r="C921" s="115"/>
      <c r="D921" s="116">
        <v>8.0299999999999994</v>
      </c>
      <c r="E921" s="1525">
        <v>0.09</v>
      </c>
      <c r="F921" s="89">
        <v>59.05</v>
      </c>
      <c r="G921" s="89"/>
      <c r="H921" s="89">
        <v>17.47</v>
      </c>
      <c r="I921" s="89">
        <v>120</v>
      </c>
      <c r="J921" s="117">
        <v>0.23</v>
      </c>
      <c r="K921" s="115">
        <v>5.2510000000000003</v>
      </c>
      <c r="L921" s="88">
        <v>930</v>
      </c>
      <c r="M921" s="88">
        <v>0.11</v>
      </c>
      <c r="N921" s="88">
        <v>0.36</v>
      </c>
      <c r="O921" s="88">
        <v>3.04</v>
      </c>
      <c r="P921" s="116">
        <v>4.32</v>
      </c>
      <c r="Q921" s="115"/>
      <c r="R921" s="116">
        <v>1.0209886749197821</v>
      </c>
      <c r="S921" s="115">
        <v>7</v>
      </c>
      <c r="T921" s="88"/>
      <c r="U921" s="88"/>
      <c r="V921" s="88"/>
      <c r="W921" s="115"/>
      <c r="X921" s="88"/>
      <c r="Y921" s="115">
        <v>19.2</v>
      </c>
      <c r="Z921" s="116"/>
      <c r="AA921" s="88"/>
      <c r="AB921" s="88"/>
      <c r="AC921" s="88"/>
      <c r="AD921" s="88">
        <v>640</v>
      </c>
      <c r="AE921" s="88">
        <v>220</v>
      </c>
      <c r="AF921" s="88">
        <v>140</v>
      </c>
      <c r="AG921" s="66">
        <f t="shared" si="36"/>
        <v>96.815312500000019</v>
      </c>
      <c r="AH921" s="143">
        <f t="shared" si="37"/>
        <v>1000</v>
      </c>
    </row>
    <row r="922" spans="1:34" s="118" customFormat="1" x14ac:dyDescent="0.3">
      <c r="A922" s="84">
        <v>803420</v>
      </c>
      <c r="B922" s="115">
        <v>0.1</v>
      </c>
      <c r="C922" s="115"/>
      <c r="D922" s="116">
        <v>7.55</v>
      </c>
      <c r="E922" s="1525">
        <v>0.11</v>
      </c>
      <c r="F922" s="89">
        <v>54.6</v>
      </c>
      <c r="G922" s="89"/>
      <c r="H922" s="89">
        <v>132.43</v>
      </c>
      <c r="I922" s="89">
        <v>420</v>
      </c>
      <c r="J922" s="117">
        <v>0.108</v>
      </c>
      <c r="K922" s="115">
        <v>4.2250000000000005</v>
      </c>
      <c r="L922" s="88">
        <v>870</v>
      </c>
      <c r="M922" s="88">
        <v>1.47</v>
      </c>
      <c r="N922" s="88">
        <v>1.48</v>
      </c>
      <c r="O922" s="88">
        <v>6.71</v>
      </c>
      <c r="P922" s="116">
        <v>28.56</v>
      </c>
      <c r="Q922" s="115"/>
      <c r="R922" s="116">
        <v>1.6886570000000001</v>
      </c>
      <c r="S922" s="115">
        <v>13.3</v>
      </c>
      <c r="T922" s="88"/>
      <c r="U922" s="88"/>
      <c r="V922" s="88"/>
      <c r="W922" s="115"/>
      <c r="X922" s="88"/>
      <c r="Y922" s="115">
        <v>16.8</v>
      </c>
      <c r="Z922" s="116"/>
      <c r="AA922" s="88"/>
      <c r="AB922" s="88"/>
      <c r="AC922" s="88"/>
      <c r="AD922" s="88">
        <v>560</v>
      </c>
      <c r="AE922" s="88">
        <v>320</v>
      </c>
      <c r="AF922" s="88">
        <v>120</v>
      </c>
      <c r="AG922" s="66">
        <f t="shared" si="36"/>
        <v>89.026785714285722</v>
      </c>
      <c r="AH922" s="143">
        <f t="shared" si="37"/>
        <v>1000</v>
      </c>
    </row>
    <row r="923" spans="1:34" s="118" customFormat="1" x14ac:dyDescent="0.3">
      <c r="A923" s="84">
        <v>803421</v>
      </c>
      <c r="B923" s="115">
        <v>0.2</v>
      </c>
      <c r="C923" s="115"/>
      <c r="D923" s="116">
        <v>6.9</v>
      </c>
      <c r="E923" s="1525">
        <v>7.0000000000000007E-2</v>
      </c>
      <c r="F923" s="89">
        <v>75.099999999999994</v>
      </c>
      <c r="G923" s="89"/>
      <c r="H923" s="89">
        <v>20.48</v>
      </c>
      <c r="I923" s="89">
        <v>120</v>
      </c>
      <c r="J923" s="117">
        <v>9.7000000000000003E-2</v>
      </c>
      <c r="K923" s="115">
        <v>4.99</v>
      </c>
      <c r="L923" s="88">
        <v>810</v>
      </c>
      <c r="M923" s="88">
        <v>0.32</v>
      </c>
      <c r="N923" s="88">
        <v>1.31</v>
      </c>
      <c r="O923" s="88">
        <v>11.04</v>
      </c>
      <c r="P923" s="116">
        <v>44.41</v>
      </c>
      <c r="Q923" s="115"/>
      <c r="R923" s="116">
        <v>1.203780845038428</v>
      </c>
      <c r="S923" s="115">
        <v>8.6999999999999993</v>
      </c>
      <c r="T923" s="88"/>
      <c r="U923" s="88"/>
      <c r="V923" s="88"/>
      <c r="W923" s="115"/>
      <c r="X923" s="88"/>
      <c r="Y923" s="115">
        <v>18.600000000000001</v>
      </c>
      <c r="Z923" s="116"/>
      <c r="AA923" s="88"/>
      <c r="AB923" s="88"/>
      <c r="AC923" s="88"/>
      <c r="AD923" s="88">
        <v>620</v>
      </c>
      <c r="AE923" s="88">
        <v>280</v>
      </c>
      <c r="AF923" s="88">
        <v>100</v>
      </c>
      <c r="AG923" s="66">
        <f t="shared" si="36"/>
        <v>94.970967741935482</v>
      </c>
      <c r="AH923" s="143">
        <f t="shared" si="37"/>
        <v>1000</v>
      </c>
    </row>
    <row r="924" spans="1:34" s="118" customFormat="1" x14ac:dyDescent="0.3">
      <c r="A924" s="84">
        <v>803422</v>
      </c>
      <c r="B924" s="115">
        <v>0.4</v>
      </c>
      <c r="C924" s="115"/>
      <c r="D924" s="116">
        <v>7.67</v>
      </c>
      <c r="E924" s="1525">
        <v>0.11</v>
      </c>
      <c r="F924" s="89">
        <v>106.95</v>
      </c>
      <c r="G924" s="89"/>
      <c r="H924" s="89">
        <v>18.14</v>
      </c>
      <c r="I924" s="89">
        <v>260</v>
      </c>
      <c r="J924" s="117">
        <v>0.40500000000000003</v>
      </c>
      <c r="K924" s="115">
        <v>4.0040000000000004</v>
      </c>
      <c r="L924" s="88">
        <v>1470</v>
      </c>
      <c r="M924" s="88">
        <v>0.13</v>
      </c>
      <c r="N924" s="88">
        <v>0.67</v>
      </c>
      <c r="O924" s="88">
        <v>3.39</v>
      </c>
      <c r="P924" s="116">
        <v>11.91</v>
      </c>
      <c r="Q924" s="115"/>
      <c r="R924" s="116">
        <v>0.96358626478713028</v>
      </c>
      <c r="S924" s="115">
        <v>6.7</v>
      </c>
      <c r="T924" s="88"/>
      <c r="U924" s="88"/>
      <c r="V924" s="88"/>
      <c r="W924" s="115"/>
      <c r="X924" s="88"/>
      <c r="Y924" s="115">
        <v>16.8</v>
      </c>
      <c r="Z924" s="116"/>
      <c r="AA924" s="88"/>
      <c r="AB924" s="88"/>
      <c r="AC924" s="88"/>
      <c r="AD924" s="88">
        <v>560</v>
      </c>
      <c r="AE924" s="88">
        <v>280</v>
      </c>
      <c r="AF924" s="88">
        <v>160</v>
      </c>
      <c r="AG924" s="66">
        <f t="shared" si="36"/>
        <v>84.37</v>
      </c>
      <c r="AH924" s="143">
        <f t="shared" si="37"/>
        <v>1000</v>
      </c>
    </row>
    <row r="925" spans="1:34" s="118" customFormat="1" x14ac:dyDescent="0.3">
      <c r="A925" s="84">
        <v>803423</v>
      </c>
      <c r="B925" s="115">
        <v>0.1</v>
      </c>
      <c r="C925" s="115"/>
      <c r="D925" s="116">
        <v>6.83</v>
      </c>
      <c r="E925" s="1525">
        <v>0.19</v>
      </c>
      <c r="F925" s="89">
        <v>70.849999999999994</v>
      </c>
      <c r="G925" s="89"/>
      <c r="H925" s="89">
        <v>54.67</v>
      </c>
      <c r="I925" s="89">
        <v>80</v>
      </c>
      <c r="J925" s="117">
        <v>0.10100000000000001</v>
      </c>
      <c r="K925" s="115">
        <v>3.3800000000000003</v>
      </c>
      <c r="L925" s="88">
        <v>330</v>
      </c>
      <c r="M925" s="88">
        <v>0.61</v>
      </c>
      <c r="N925" s="88">
        <v>0.92</v>
      </c>
      <c r="O925" s="88">
        <v>12</v>
      </c>
      <c r="P925" s="116">
        <v>47.22</v>
      </c>
      <c r="Q925" s="115"/>
      <c r="R925" s="116">
        <v>1.3297890847080582</v>
      </c>
      <c r="S925" s="115">
        <v>8.9</v>
      </c>
      <c r="T925" s="88"/>
      <c r="U925" s="88"/>
      <c r="V925" s="88"/>
      <c r="W925" s="115"/>
      <c r="X925" s="88"/>
      <c r="Y925" s="115">
        <v>8.8000000000000007</v>
      </c>
      <c r="Z925" s="116"/>
      <c r="AA925" s="88"/>
      <c r="AB925" s="88"/>
      <c r="AC925" s="88"/>
      <c r="AD925" s="88">
        <v>440</v>
      </c>
      <c r="AE925" s="88">
        <v>300</v>
      </c>
      <c r="AF925" s="88">
        <v>260</v>
      </c>
      <c r="AG925" s="66">
        <f t="shared" si="36"/>
        <v>135.96818181818182</v>
      </c>
      <c r="AH925" s="143">
        <f t="shared" si="37"/>
        <v>1000</v>
      </c>
    </row>
    <row r="926" spans="1:34" s="118" customFormat="1" x14ac:dyDescent="0.3">
      <c r="A926" s="84">
        <v>803424</v>
      </c>
      <c r="B926" s="115">
        <v>0.1</v>
      </c>
      <c r="C926" s="115"/>
      <c r="D926" s="116">
        <v>8.27</v>
      </c>
      <c r="E926" s="1525">
        <v>0.09</v>
      </c>
      <c r="F926" s="89">
        <v>110.65</v>
      </c>
      <c r="G926" s="89"/>
      <c r="H926" s="89">
        <v>19.2</v>
      </c>
      <c r="I926" s="89">
        <v>100</v>
      </c>
      <c r="J926" s="117">
        <v>0.28799999999999998</v>
      </c>
      <c r="K926" s="115">
        <v>4.4980000000000002</v>
      </c>
      <c r="L926" s="88">
        <v>1390</v>
      </c>
      <c r="M926" s="88">
        <v>0.08</v>
      </c>
      <c r="N926" s="88">
        <v>0.59</v>
      </c>
      <c r="O926" s="88">
        <v>21.78</v>
      </c>
      <c r="P926" s="116">
        <v>23.38</v>
      </c>
      <c r="Q926" s="115"/>
      <c r="R926" s="116">
        <v>0.86707309876077565</v>
      </c>
      <c r="S926" s="115">
        <v>6.5</v>
      </c>
      <c r="T926" s="88"/>
      <c r="U926" s="88"/>
      <c r="V926" s="88"/>
      <c r="W926" s="115"/>
      <c r="X926" s="88"/>
      <c r="Y926" s="115">
        <v>11.2</v>
      </c>
      <c r="Z926" s="116"/>
      <c r="AA926" s="88"/>
      <c r="AB926" s="88"/>
      <c r="AC926" s="88"/>
      <c r="AD926" s="88">
        <v>560</v>
      </c>
      <c r="AE926" s="88">
        <v>280</v>
      </c>
      <c r="AF926" s="88">
        <v>160</v>
      </c>
      <c r="AG926" s="66">
        <f t="shared" si="36"/>
        <v>142.16892857142858</v>
      </c>
      <c r="AH926" s="143">
        <f t="shared" si="37"/>
        <v>1000</v>
      </c>
    </row>
    <row r="927" spans="1:34" s="118" customFormat="1" x14ac:dyDescent="0.3">
      <c r="A927" s="84">
        <v>803425</v>
      </c>
      <c r="B927" s="115">
        <v>0.2</v>
      </c>
      <c r="C927" s="115"/>
      <c r="D927" s="116">
        <v>7.67</v>
      </c>
      <c r="E927" s="1525">
        <v>0.06</v>
      </c>
      <c r="F927" s="89">
        <v>71.3</v>
      </c>
      <c r="G927" s="89"/>
      <c r="H927" s="89">
        <v>34.36</v>
      </c>
      <c r="I927" s="89">
        <v>70</v>
      </c>
      <c r="J927" s="117">
        <v>0.06</v>
      </c>
      <c r="K927" s="115">
        <v>4.5730000000000004</v>
      </c>
      <c r="L927" s="88">
        <v>220</v>
      </c>
      <c r="M927" s="88">
        <v>0.28999999999999998</v>
      </c>
      <c r="N927" s="88">
        <v>1.25</v>
      </c>
      <c r="O927" s="88">
        <v>32.94</v>
      </c>
      <c r="P927" s="116">
        <v>61.43</v>
      </c>
      <c r="Q927" s="115"/>
      <c r="R927" s="116">
        <v>0.95949631300175131</v>
      </c>
      <c r="S927" s="115">
        <v>6.7</v>
      </c>
      <c r="T927" s="88"/>
      <c r="U927" s="88"/>
      <c r="V927" s="88"/>
      <c r="W927" s="115"/>
      <c r="X927" s="88"/>
      <c r="Y927" s="115">
        <v>10.8</v>
      </c>
      <c r="Z927" s="116"/>
      <c r="AA927" s="88"/>
      <c r="AB927" s="88"/>
      <c r="AC927" s="88"/>
      <c r="AD927" s="88">
        <v>540</v>
      </c>
      <c r="AE927" s="88">
        <v>260</v>
      </c>
      <c r="AF927" s="88">
        <v>200</v>
      </c>
      <c r="AG927" s="66">
        <f t="shared" si="36"/>
        <v>149.89277777777778</v>
      </c>
      <c r="AH927" s="143">
        <f t="shared" si="37"/>
        <v>1000</v>
      </c>
    </row>
    <row r="928" spans="1:34" s="118" customFormat="1" x14ac:dyDescent="0.3">
      <c r="A928" s="84">
        <v>803426</v>
      </c>
      <c r="B928" s="115">
        <v>2.6</v>
      </c>
      <c r="C928" s="115"/>
      <c r="D928" s="116">
        <v>7.71</v>
      </c>
      <c r="E928" s="1525">
        <v>0.2</v>
      </c>
      <c r="F928" s="89">
        <v>123.8</v>
      </c>
      <c r="G928" s="89"/>
      <c r="H928" s="89">
        <v>37.340000000000003</v>
      </c>
      <c r="I928" s="89">
        <v>110</v>
      </c>
      <c r="J928" s="117">
        <v>0.311</v>
      </c>
      <c r="K928" s="115">
        <v>4.875</v>
      </c>
      <c r="L928" s="88">
        <v>1180</v>
      </c>
      <c r="M928" s="88">
        <v>0.39</v>
      </c>
      <c r="N928" s="88">
        <v>0.54</v>
      </c>
      <c r="O928" s="88">
        <v>1.47</v>
      </c>
      <c r="P928" s="116">
        <v>9.1</v>
      </c>
      <c r="Q928" s="115"/>
      <c r="R928" s="116">
        <v>0.85819922967368623</v>
      </c>
      <c r="S928" s="115">
        <v>6.4</v>
      </c>
      <c r="T928" s="88"/>
      <c r="U928" s="88"/>
      <c r="V928" s="88"/>
      <c r="W928" s="115"/>
      <c r="X928" s="88"/>
      <c r="Y928" s="115">
        <v>18.600000000000001</v>
      </c>
      <c r="Z928" s="116"/>
      <c r="AA928" s="88"/>
      <c r="AB928" s="88"/>
      <c r="AC928" s="88"/>
      <c r="AD928" s="88">
        <v>620</v>
      </c>
      <c r="AE928" s="88">
        <v>280</v>
      </c>
      <c r="AF928" s="88">
        <v>100</v>
      </c>
      <c r="AG928" s="66">
        <f t="shared" si="36"/>
        <v>92.782258064516128</v>
      </c>
      <c r="AH928" s="143">
        <f t="shared" si="37"/>
        <v>1000</v>
      </c>
    </row>
    <row r="929" spans="1:56" s="118" customFormat="1" x14ac:dyDescent="0.3">
      <c r="A929" s="84">
        <v>803427</v>
      </c>
      <c r="B929" s="115">
        <v>0.1</v>
      </c>
      <c r="C929" s="115"/>
      <c r="D929" s="116">
        <v>7.47</v>
      </c>
      <c r="E929" s="1525">
        <v>7.0000000000000007E-2</v>
      </c>
      <c r="F929" s="89">
        <v>74.55</v>
      </c>
      <c r="G929" s="89"/>
      <c r="H929" s="89">
        <v>24.45</v>
      </c>
      <c r="I929" s="89">
        <v>90</v>
      </c>
      <c r="J929" s="117">
        <v>9.9000000000000005E-2</v>
      </c>
      <c r="K929" s="115">
        <v>4.7569999999999997</v>
      </c>
      <c r="L929" s="88">
        <v>830</v>
      </c>
      <c r="M929" s="88">
        <v>0.38</v>
      </c>
      <c r="N929" s="88">
        <v>1.18</v>
      </c>
      <c r="O929" s="88">
        <v>7.73</v>
      </c>
      <c r="P929" s="116">
        <v>40.18</v>
      </c>
      <c r="Q929" s="115"/>
      <c r="R929" s="116">
        <v>1.3448281159668312</v>
      </c>
      <c r="S929" s="115">
        <v>9.9</v>
      </c>
      <c r="T929" s="88"/>
      <c r="U929" s="88"/>
      <c r="V929" s="88"/>
      <c r="W929" s="115"/>
      <c r="X929" s="88"/>
      <c r="Y929" s="115">
        <v>17.399999999999999</v>
      </c>
      <c r="Z929" s="116"/>
      <c r="AA929" s="88"/>
      <c r="AB929" s="88"/>
      <c r="AC929" s="88"/>
      <c r="AD929" s="88">
        <v>580</v>
      </c>
      <c r="AE929" s="88">
        <v>280</v>
      </c>
      <c r="AF929" s="88">
        <v>140</v>
      </c>
      <c r="AG929" s="66">
        <f t="shared" si="36"/>
        <v>96.780344827586205</v>
      </c>
      <c r="AH929" s="143">
        <f t="shared" si="37"/>
        <v>1000</v>
      </c>
    </row>
    <row r="930" spans="1:56" s="118" customFormat="1" x14ac:dyDescent="0.3">
      <c r="A930" s="84">
        <v>803428</v>
      </c>
      <c r="B930" s="115">
        <v>1E-4</v>
      </c>
      <c r="C930" s="115"/>
      <c r="D930" s="116">
        <v>6.44</v>
      </c>
      <c r="E930" s="1525">
        <v>0.19</v>
      </c>
      <c r="F930" s="89">
        <v>141.9</v>
      </c>
      <c r="G930" s="89"/>
      <c r="H930" s="89">
        <v>73.760000000000005</v>
      </c>
      <c r="I930" s="89">
        <v>70</v>
      </c>
      <c r="J930" s="117">
        <v>7.3999999999999996E-2</v>
      </c>
      <c r="K930" s="115">
        <v>3.3650000000000002</v>
      </c>
      <c r="L930" s="88">
        <v>140</v>
      </c>
      <c r="M930" s="88">
        <v>0.45</v>
      </c>
      <c r="N930" s="88">
        <v>0.84</v>
      </c>
      <c r="O930" s="88">
        <v>12.81</v>
      </c>
      <c r="P930" s="116">
        <v>28.99</v>
      </c>
      <c r="Q930" s="115"/>
      <c r="R930" s="116">
        <v>0.82798447304114697</v>
      </c>
      <c r="S930" s="115">
        <v>6.1</v>
      </c>
      <c r="T930" s="88"/>
      <c r="U930" s="88"/>
      <c r="V930" s="88"/>
      <c r="W930" s="115"/>
      <c r="X930" s="88"/>
      <c r="Y930" s="115">
        <v>7.2</v>
      </c>
      <c r="Z930" s="116"/>
      <c r="AA930" s="88"/>
      <c r="AB930" s="88"/>
      <c r="AC930" s="88"/>
      <c r="AD930" s="88">
        <v>240</v>
      </c>
      <c r="AE930" s="88">
        <v>200</v>
      </c>
      <c r="AF930" s="88">
        <v>560</v>
      </c>
      <c r="AG930" s="66">
        <f t="shared" si="36"/>
        <v>165.44583333333333</v>
      </c>
      <c r="AH930" s="143">
        <f t="shared" si="37"/>
        <v>1000</v>
      </c>
    </row>
    <row r="931" spans="1:56" s="118" customFormat="1" x14ac:dyDescent="0.3">
      <c r="A931" s="84">
        <v>803429</v>
      </c>
      <c r="B931" s="115">
        <v>0.1</v>
      </c>
      <c r="C931" s="115"/>
      <c r="D931" s="116">
        <v>7.32</v>
      </c>
      <c r="E931" s="1525">
        <v>0.08</v>
      </c>
      <c r="F931" s="89">
        <v>56.5</v>
      </c>
      <c r="G931" s="89"/>
      <c r="H931" s="89">
        <v>102.45</v>
      </c>
      <c r="I931" s="89">
        <v>140</v>
      </c>
      <c r="J931" s="117">
        <v>8.3000000000000004E-2</v>
      </c>
      <c r="K931" s="115">
        <v>4.5090000000000003</v>
      </c>
      <c r="L931" s="88">
        <v>270</v>
      </c>
      <c r="M931" s="88">
        <v>0.45</v>
      </c>
      <c r="N931" s="88">
        <v>0.73</v>
      </c>
      <c r="O931" s="88">
        <v>8.84</v>
      </c>
      <c r="P931" s="116">
        <v>22.09</v>
      </c>
      <c r="Q931" s="115"/>
      <c r="R931" s="116">
        <v>1.117569967442765</v>
      </c>
      <c r="S931" s="115">
        <v>8</v>
      </c>
      <c r="T931" s="88"/>
      <c r="U931" s="88"/>
      <c r="V931" s="88"/>
      <c r="W931" s="115"/>
      <c r="X931" s="88"/>
      <c r="Y931" s="115">
        <v>15.6</v>
      </c>
      <c r="Z931" s="116"/>
      <c r="AA931" s="88"/>
      <c r="AB931" s="88"/>
      <c r="AC931" s="88"/>
      <c r="AD931" s="88">
        <v>520</v>
      </c>
      <c r="AE931" s="88">
        <v>280</v>
      </c>
      <c r="AF931" s="88">
        <v>200</v>
      </c>
      <c r="AG931" s="66">
        <f t="shared" si="36"/>
        <v>102.3196153846154</v>
      </c>
      <c r="AH931" s="143">
        <f t="shared" si="37"/>
        <v>1000</v>
      </c>
    </row>
    <row r="932" spans="1:56" s="118" customFormat="1" x14ac:dyDescent="0.3">
      <c r="A932" s="84">
        <v>803430</v>
      </c>
      <c r="B932" s="115">
        <v>0.3</v>
      </c>
      <c r="C932" s="115"/>
      <c r="D932" s="116">
        <v>7.67</v>
      </c>
      <c r="E932" s="1525">
        <v>0.08</v>
      </c>
      <c r="F932" s="89">
        <v>53.65</v>
      </c>
      <c r="G932" s="89"/>
      <c r="H932" s="89">
        <v>152.12</v>
      </c>
      <c r="I932" s="89">
        <v>330</v>
      </c>
      <c r="J932" s="117">
        <v>5.8000000000000003E-2</v>
      </c>
      <c r="K932" s="115">
        <v>3.7040000000000002</v>
      </c>
      <c r="L932" s="88">
        <v>340</v>
      </c>
      <c r="M932" s="88">
        <v>0.72</v>
      </c>
      <c r="N932" s="88">
        <v>0.75</v>
      </c>
      <c r="O932" s="88">
        <v>4.3600000000000003</v>
      </c>
      <c r="P932" s="116">
        <v>23.42</v>
      </c>
      <c r="Q932" s="115"/>
      <c r="R932" s="116">
        <v>0.97032939472287461</v>
      </c>
      <c r="S932" s="115">
        <v>6.9</v>
      </c>
      <c r="T932" s="88"/>
      <c r="U932" s="88"/>
      <c r="V932" s="88"/>
      <c r="W932" s="115"/>
      <c r="X932" s="88"/>
      <c r="Y932" s="115">
        <v>10.8</v>
      </c>
      <c r="Z932" s="116"/>
      <c r="AA932" s="88"/>
      <c r="AB932" s="88"/>
      <c r="AC932" s="88"/>
      <c r="AD932" s="88">
        <v>540</v>
      </c>
      <c r="AE932" s="88">
        <v>320</v>
      </c>
      <c r="AF932" s="88">
        <v>140</v>
      </c>
      <c r="AG932" s="66">
        <f t="shared" si="36"/>
        <v>121.4088888888889</v>
      </c>
      <c r="AH932" s="143">
        <f t="shared" si="37"/>
        <v>1000</v>
      </c>
    </row>
    <row r="933" spans="1:56" s="118" customFormat="1" x14ac:dyDescent="0.3">
      <c r="A933" s="84">
        <v>803431</v>
      </c>
      <c r="B933" s="115">
        <v>0.8</v>
      </c>
      <c r="C933" s="115"/>
      <c r="D933" s="116">
        <v>7.34</v>
      </c>
      <c r="E933" s="1525">
        <v>0.21</v>
      </c>
      <c r="F933" s="89">
        <v>76.55</v>
      </c>
      <c r="G933" s="89"/>
      <c r="H933" s="89">
        <v>52.14</v>
      </c>
      <c r="I933" s="89">
        <v>110</v>
      </c>
      <c r="J933" s="117">
        <v>0.38400000000000001</v>
      </c>
      <c r="K933" s="115">
        <v>4.758</v>
      </c>
      <c r="L933" s="88">
        <v>910</v>
      </c>
      <c r="M933" s="88">
        <v>0.25</v>
      </c>
      <c r="N933" s="88">
        <v>0.82</v>
      </c>
      <c r="O933" s="88">
        <v>6.53</v>
      </c>
      <c r="P933" s="116">
        <v>26.18</v>
      </c>
      <c r="Q933" s="115"/>
      <c r="R933" s="116">
        <v>1.2194268825632908</v>
      </c>
      <c r="S933" s="115">
        <v>8.6</v>
      </c>
      <c r="T933" s="88"/>
      <c r="U933" s="88"/>
      <c r="V933" s="88"/>
      <c r="W933" s="115"/>
      <c r="X933" s="88"/>
      <c r="Y933" s="115">
        <v>16.2</v>
      </c>
      <c r="Z933" s="116"/>
      <c r="AA933" s="88"/>
      <c r="AB933" s="88"/>
      <c r="AC933" s="88"/>
      <c r="AD933" s="88">
        <v>540</v>
      </c>
      <c r="AE933" s="88">
        <v>280</v>
      </c>
      <c r="AF933" s="88">
        <v>180</v>
      </c>
      <c r="AG933" s="66">
        <f t="shared" si="36"/>
        <v>103.97111111111111</v>
      </c>
      <c r="AH933" s="143">
        <f t="shared" si="37"/>
        <v>1000</v>
      </c>
    </row>
    <row r="934" spans="1:56" s="118" customFormat="1" x14ac:dyDescent="0.3">
      <c r="A934" s="84">
        <v>803432</v>
      </c>
      <c r="B934" s="115">
        <v>0.5</v>
      </c>
      <c r="C934" s="115"/>
      <c r="D934" s="116">
        <v>7.42</v>
      </c>
      <c r="E934" s="1525">
        <v>0.13</v>
      </c>
      <c r="F934" s="89">
        <v>47.45</v>
      </c>
      <c r="G934" s="89"/>
      <c r="H934" s="89">
        <v>98.09</v>
      </c>
      <c r="I934" s="89">
        <v>110</v>
      </c>
      <c r="J934" s="117">
        <v>3.4000000000000002E-2</v>
      </c>
      <c r="K934" s="115">
        <v>4.133</v>
      </c>
      <c r="L934" s="88">
        <v>270</v>
      </c>
      <c r="M934" s="88">
        <v>1.35</v>
      </c>
      <c r="N934" s="88">
        <v>1.19</v>
      </c>
      <c r="O934" s="88">
        <v>7.62</v>
      </c>
      <c r="P934" s="116">
        <v>28.42</v>
      </c>
      <c r="Q934" s="115"/>
      <c r="R934" s="116">
        <v>1.4821258330533791</v>
      </c>
      <c r="S934" s="115">
        <v>9.8000000000000007</v>
      </c>
      <c r="T934" s="88"/>
      <c r="U934" s="88"/>
      <c r="V934" s="88"/>
      <c r="W934" s="115"/>
      <c r="X934" s="88"/>
      <c r="Y934" s="115">
        <v>16.8</v>
      </c>
      <c r="Z934" s="116"/>
      <c r="AA934" s="88"/>
      <c r="AB934" s="88"/>
      <c r="AC934" s="88"/>
      <c r="AD934" s="88">
        <v>560</v>
      </c>
      <c r="AE934" s="88">
        <v>320</v>
      </c>
      <c r="AF934" s="88">
        <v>120</v>
      </c>
      <c r="AG934" s="66">
        <f t="shared" si="36"/>
        <v>87.088214285714272</v>
      </c>
      <c r="AH934" s="143">
        <f t="shared" si="37"/>
        <v>1000</v>
      </c>
    </row>
    <row r="935" spans="1:56" s="118" customFormat="1" x14ac:dyDescent="0.3">
      <c r="A935" s="84">
        <v>803433</v>
      </c>
      <c r="B935" s="115">
        <v>0.2</v>
      </c>
      <c r="C935" s="115"/>
      <c r="D935" s="116">
        <v>7.37</v>
      </c>
      <c r="E935" s="1525">
        <v>7.0000000000000007E-2</v>
      </c>
      <c r="F935" s="89">
        <v>55.2</v>
      </c>
      <c r="G935" s="89"/>
      <c r="H935" s="89">
        <v>57.02</v>
      </c>
      <c r="I935" s="89">
        <v>70</v>
      </c>
      <c r="J935" s="117">
        <v>0.04</v>
      </c>
      <c r="K935" s="115">
        <v>4.274</v>
      </c>
      <c r="L935" s="88">
        <v>210</v>
      </c>
      <c r="M935" s="88">
        <v>0.28999999999999998</v>
      </c>
      <c r="N935" s="88">
        <v>0.65</v>
      </c>
      <c r="O935" s="88">
        <v>13.38</v>
      </c>
      <c r="P935" s="116">
        <v>38.229999999999997</v>
      </c>
      <c r="Q935" s="115"/>
      <c r="R935" s="116">
        <v>0.97310664328658303</v>
      </c>
      <c r="S935" s="115">
        <v>6.7</v>
      </c>
      <c r="T935" s="88"/>
      <c r="U935" s="88"/>
      <c r="V935" s="88"/>
      <c r="W935" s="115"/>
      <c r="X935" s="88"/>
      <c r="Y935" s="115">
        <v>17.399999999999999</v>
      </c>
      <c r="Z935" s="116"/>
      <c r="AA935" s="88"/>
      <c r="AB935" s="88"/>
      <c r="AC935" s="88"/>
      <c r="AD935" s="88">
        <v>580</v>
      </c>
      <c r="AE935" s="88">
        <v>280</v>
      </c>
      <c r="AF935" s="88">
        <v>140</v>
      </c>
      <c r="AG935" s="66">
        <f t="shared" si="36"/>
        <v>86.953793103448291</v>
      </c>
      <c r="AH935" s="143">
        <f t="shared" si="37"/>
        <v>1000</v>
      </c>
    </row>
    <row r="936" spans="1:56" s="118" customFormat="1" x14ac:dyDescent="0.3">
      <c r="A936" s="84">
        <v>803434</v>
      </c>
      <c r="B936" s="115">
        <v>0.1</v>
      </c>
      <c r="C936" s="115"/>
      <c r="D936" s="116">
        <v>7.26</v>
      </c>
      <c r="E936" s="1525">
        <v>0.05</v>
      </c>
      <c r="F936" s="89">
        <v>37.5</v>
      </c>
      <c r="G936" s="89"/>
      <c r="H936" s="89">
        <v>59.58</v>
      </c>
      <c r="I936" s="89">
        <v>120</v>
      </c>
      <c r="J936" s="117">
        <v>6.6000000000000003E-2</v>
      </c>
      <c r="K936" s="115">
        <v>4.1449999999999996</v>
      </c>
      <c r="L936" s="88">
        <v>380</v>
      </c>
      <c r="M936" s="88">
        <v>0.4</v>
      </c>
      <c r="N936" s="88">
        <v>1.1499999999999999</v>
      </c>
      <c r="O936" s="88">
        <v>17.84</v>
      </c>
      <c r="P936" s="116">
        <v>47.6</v>
      </c>
      <c r="Q936" s="115"/>
      <c r="R936" s="116">
        <v>1.2621833907703592</v>
      </c>
      <c r="S936" s="115">
        <v>9.1999999999999993</v>
      </c>
      <c r="T936" s="88"/>
      <c r="U936" s="88"/>
      <c r="V936" s="88"/>
      <c r="W936" s="115"/>
      <c r="X936" s="88"/>
      <c r="Y936" s="115">
        <v>16.8</v>
      </c>
      <c r="Z936" s="116"/>
      <c r="AA936" s="88"/>
      <c r="AB936" s="88"/>
      <c r="AC936" s="88"/>
      <c r="AD936" s="88">
        <v>560</v>
      </c>
      <c r="AE936" s="88">
        <v>320</v>
      </c>
      <c r="AF936" s="88">
        <v>120</v>
      </c>
      <c r="AG936" s="66">
        <f t="shared" si="36"/>
        <v>87.341071428571425</v>
      </c>
      <c r="AH936" s="143">
        <f t="shared" si="37"/>
        <v>1000</v>
      </c>
    </row>
    <row r="937" spans="1:56" s="118" customFormat="1" x14ac:dyDescent="0.3">
      <c r="A937" s="84">
        <v>803435</v>
      </c>
      <c r="B937" s="115">
        <v>0.1</v>
      </c>
      <c r="C937" s="115"/>
      <c r="D937" s="116">
        <v>6.4</v>
      </c>
      <c r="E937" s="1525">
        <v>0.22</v>
      </c>
      <c r="F937" s="89">
        <v>222.1</v>
      </c>
      <c r="G937" s="89"/>
      <c r="H937" s="89">
        <v>30.37</v>
      </c>
      <c r="I937" s="89">
        <v>40</v>
      </c>
      <c r="J937" s="117">
        <v>0.16400000000000001</v>
      </c>
      <c r="K937" s="115">
        <v>3.95</v>
      </c>
      <c r="L937" s="88">
        <v>150</v>
      </c>
      <c r="M937" s="88">
        <v>0.18</v>
      </c>
      <c r="N937" s="88">
        <v>0.82</v>
      </c>
      <c r="O937" s="88">
        <v>14.1</v>
      </c>
      <c r="P937" s="116">
        <v>23.09</v>
      </c>
      <c r="Q937" s="115"/>
      <c r="R937" s="116">
        <v>0.99525207389942449</v>
      </c>
      <c r="S937" s="115">
        <v>6.8</v>
      </c>
      <c r="T937" s="88"/>
      <c r="U937" s="88"/>
      <c r="V937" s="88"/>
      <c r="W937" s="115"/>
      <c r="X937" s="88"/>
      <c r="Y937" s="115">
        <v>10</v>
      </c>
      <c r="Z937" s="116"/>
      <c r="AA937" s="88"/>
      <c r="AB937" s="88"/>
      <c r="AC937" s="88"/>
      <c r="AD937" s="88">
        <v>500</v>
      </c>
      <c r="AE937" s="88">
        <v>240</v>
      </c>
      <c r="AF937" s="88">
        <v>260</v>
      </c>
      <c r="AG937" s="66">
        <f t="shared" si="36"/>
        <v>139.82999999999998</v>
      </c>
      <c r="AH937" s="143">
        <f t="shared" si="37"/>
        <v>1000</v>
      </c>
    </row>
    <row r="938" spans="1:56" s="118" customFormat="1" x14ac:dyDescent="0.3">
      <c r="A938" s="84">
        <v>803436</v>
      </c>
      <c r="B938" s="115">
        <v>0.2</v>
      </c>
      <c r="C938" s="115"/>
      <c r="D938" s="116">
        <v>7.89</v>
      </c>
      <c r="E938" s="1525">
        <v>0.12</v>
      </c>
      <c r="F938" s="89">
        <v>92.5</v>
      </c>
      <c r="G938" s="89"/>
      <c r="H938" s="89">
        <v>85.51</v>
      </c>
      <c r="I938" s="89">
        <v>90</v>
      </c>
      <c r="J938" s="117">
        <v>7.5999999999999998E-2</v>
      </c>
      <c r="K938" s="115">
        <v>4.0949999999999998</v>
      </c>
      <c r="L938" s="88">
        <v>650</v>
      </c>
      <c r="M938" s="88">
        <v>0.56000000000000005</v>
      </c>
      <c r="N938" s="88">
        <v>0.73</v>
      </c>
      <c r="O938" s="88">
        <v>6.38</v>
      </c>
      <c r="P938" s="116">
        <v>49.91</v>
      </c>
      <c r="Q938" s="115"/>
      <c r="R938" s="116">
        <v>1.610012</v>
      </c>
      <c r="S938" s="115">
        <v>11.2</v>
      </c>
      <c r="T938" s="88"/>
      <c r="U938" s="88"/>
      <c r="V938" s="88"/>
      <c r="W938" s="115"/>
      <c r="X938" s="88"/>
      <c r="Y938" s="115">
        <v>11.2</v>
      </c>
      <c r="Z938" s="116"/>
      <c r="AA938" s="88"/>
      <c r="AB938" s="88"/>
      <c r="AC938" s="88"/>
      <c r="AD938" s="88">
        <v>560</v>
      </c>
      <c r="AE938" s="88">
        <v>300</v>
      </c>
      <c r="AF938" s="88">
        <v>140</v>
      </c>
      <c r="AG938" s="66">
        <f t="shared" si="36"/>
        <v>129.43125000000001</v>
      </c>
      <c r="AH938" s="143">
        <f t="shared" si="37"/>
        <v>1000</v>
      </c>
    </row>
    <row r="939" spans="1:56" s="118" customFormat="1" x14ac:dyDescent="0.3">
      <c r="A939" s="84">
        <v>803437</v>
      </c>
      <c r="B939" s="115">
        <v>0.1</v>
      </c>
      <c r="C939" s="115"/>
      <c r="D939" s="116">
        <v>7.35</v>
      </c>
      <c r="E939" s="1525">
        <v>0.06</v>
      </c>
      <c r="F939" s="89">
        <v>38.5</v>
      </c>
      <c r="G939" s="89"/>
      <c r="H939" s="89">
        <v>88.47</v>
      </c>
      <c r="I939" s="89">
        <v>90</v>
      </c>
      <c r="J939" s="117">
        <v>7.0999999999999994E-2</v>
      </c>
      <c r="K939" s="115">
        <v>4.0940000000000003</v>
      </c>
      <c r="L939" s="88">
        <v>340</v>
      </c>
      <c r="M939" s="88">
        <v>0.42</v>
      </c>
      <c r="N939" s="88">
        <v>0.91</v>
      </c>
      <c r="O939" s="88">
        <v>6.22</v>
      </c>
      <c r="P939" s="116">
        <v>44.87</v>
      </c>
      <c r="Q939" s="115"/>
      <c r="R939" s="116">
        <v>1.2890426317260397</v>
      </c>
      <c r="S939" s="115">
        <v>9.6</v>
      </c>
      <c r="T939" s="88"/>
      <c r="U939" s="88"/>
      <c r="V939" s="88"/>
      <c r="W939" s="115"/>
      <c r="X939" s="88"/>
      <c r="Y939" s="115">
        <v>16.8</v>
      </c>
      <c r="Z939" s="116"/>
      <c r="AA939" s="88"/>
      <c r="AB939" s="88"/>
      <c r="AC939" s="88"/>
      <c r="AD939" s="88">
        <v>560</v>
      </c>
      <c r="AE939" s="88">
        <v>300</v>
      </c>
      <c r="AF939" s="88">
        <v>140</v>
      </c>
      <c r="AG939" s="66">
        <f t="shared" si="36"/>
        <v>86.266428571428577</v>
      </c>
      <c r="AH939" s="143">
        <f t="shared" si="37"/>
        <v>1000</v>
      </c>
    </row>
    <row r="940" spans="1:56" s="118" customFormat="1" x14ac:dyDescent="0.3">
      <c r="A940" s="84">
        <v>803438</v>
      </c>
      <c r="B940" s="115">
        <v>0.5</v>
      </c>
      <c r="C940" s="115"/>
      <c r="D940" s="116">
        <v>7.49</v>
      </c>
      <c r="E940" s="1525">
        <v>0.13</v>
      </c>
      <c r="F940" s="89">
        <v>46.5</v>
      </c>
      <c r="G940" s="89"/>
      <c r="H940" s="89">
        <v>125.45</v>
      </c>
      <c r="I940" s="89">
        <v>410</v>
      </c>
      <c r="J940" s="117">
        <v>0.114</v>
      </c>
      <c r="K940" s="115">
        <v>4.0170000000000003</v>
      </c>
      <c r="L940" s="88">
        <v>310</v>
      </c>
      <c r="M940" s="88">
        <v>0.46</v>
      </c>
      <c r="N940" s="88">
        <v>0.37</v>
      </c>
      <c r="O940" s="88">
        <v>1.49</v>
      </c>
      <c r="P940" s="116">
        <v>8.6300000000000008</v>
      </c>
      <c r="Q940" s="115"/>
      <c r="R940" s="116">
        <v>1.674153</v>
      </c>
      <c r="S940" s="115">
        <v>12.9</v>
      </c>
      <c r="T940" s="88"/>
      <c r="U940" s="88"/>
      <c r="V940" s="88"/>
      <c r="W940" s="115"/>
      <c r="X940" s="88"/>
      <c r="Y940" s="115">
        <v>16.8</v>
      </c>
      <c r="Z940" s="116"/>
      <c r="AA940" s="88"/>
      <c r="AB940" s="88"/>
      <c r="AC940" s="88"/>
      <c r="AD940" s="88">
        <v>560</v>
      </c>
      <c r="AE940" s="88">
        <v>280</v>
      </c>
      <c r="AF940" s="88">
        <v>160</v>
      </c>
      <c r="AG940" s="66">
        <f t="shared" si="36"/>
        <v>84.643928571428575</v>
      </c>
      <c r="AH940" s="143">
        <f t="shared" si="37"/>
        <v>1000</v>
      </c>
    </row>
    <row r="941" spans="1:56" s="118" customFormat="1" x14ac:dyDescent="0.3">
      <c r="A941" s="84">
        <v>803439</v>
      </c>
      <c r="B941" s="115">
        <v>0.2</v>
      </c>
      <c r="C941" s="115"/>
      <c r="D941" s="116">
        <v>7.39</v>
      </c>
      <c r="E941" s="1525">
        <v>0.15</v>
      </c>
      <c r="F941" s="89">
        <v>124.7</v>
      </c>
      <c r="G941" s="89"/>
      <c r="H941" s="89">
        <v>58.96</v>
      </c>
      <c r="I941" s="89">
        <v>190</v>
      </c>
      <c r="J941" s="117">
        <v>5.6000000000000001E-2</v>
      </c>
      <c r="K941" s="115">
        <v>3.7959999999999998</v>
      </c>
      <c r="L941" s="88">
        <v>530</v>
      </c>
      <c r="M941" s="88">
        <v>0.37</v>
      </c>
      <c r="N941" s="88">
        <v>1</v>
      </c>
      <c r="O941" s="88">
        <v>3.5</v>
      </c>
      <c r="P941" s="116">
        <v>55.38</v>
      </c>
      <c r="Q941" s="115"/>
      <c r="R941" s="116">
        <v>1.5982730000000001</v>
      </c>
      <c r="S941" s="115">
        <v>10.9</v>
      </c>
      <c r="T941" s="88"/>
      <c r="U941" s="88"/>
      <c r="V941" s="88"/>
      <c r="W941" s="115"/>
      <c r="X941" s="88"/>
      <c r="Y941" s="115">
        <v>11.2</v>
      </c>
      <c r="Z941" s="116"/>
      <c r="AA941" s="88"/>
      <c r="AB941" s="88"/>
      <c r="AC941" s="88"/>
      <c r="AD941" s="88">
        <v>560</v>
      </c>
      <c r="AE941" s="88">
        <v>220</v>
      </c>
      <c r="AF941" s="88">
        <v>220</v>
      </c>
      <c r="AG941" s="66">
        <f t="shared" si="36"/>
        <v>119.98071428571428</v>
      </c>
      <c r="AH941" s="143">
        <f t="shared" si="37"/>
        <v>1000</v>
      </c>
    </row>
    <row r="942" spans="1:56" s="131" customFormat="1" x14ac:dyDescent="0.3">
      <c r="A942" s="84">
        <v>803440</v>
      </c>
      <c r="B942" s="129">
        <v>62.333333333333321</v>
      </c>
      <c r="C942" s="129">
        <v>15</v>
      </c>
      <c r="D942" s="149">
        <v>8.3000000000000007</v>
      </c>
      <c r="E942" s="1527">
        <v>0.17</v>
      </c>
      <c r="F942" s="127">
        <v>78.25</v>
      </c>
      <c r="G942" s="125"/>
      <c r="H942" s="127">
        <v>30.96</v>
      </c>
      <c r="I942" s="127">
        <v>310</v>
      </c>
      <c r="J942" s="128">
        <v>2.5999999999999999E-2</v>
      </c>
      <c r="K942" s="129">
        <v>10.42</v>
      </c>
      <c r="L942" s="125">
        <v>190</v>
      </c>
      <c r="M942" s="125">
        <v>0.33</v>
      </c>
      <c r="N942" s="125">
        <v>0.99</v>
      </c>
      <c r="O942" s="125">
        <v>3.49</v>
      </c>
      <c r="P942" s="125">
        <v>2.98</v>
      </c>
      <c r="Q942" s="125"/>
      <c r="R942" s="126">
        <v>1.5784280000000002</v>
      </c>
      <c r="S942" s="129">
        <v>10.4</v>
      </c>
      <c r="T942" s="125"/>
      <c r="U942" s="125"/>
      <c r="V942" s="125"/>
      <c r="W942" s="125"/>
      <c r="X942" s="125"/>
      <c r="Y942" s="129">
        <v>28</v>
      </c>
      <c r="Z942" s="125"/>
      <c r="AA942" s="126"/>
      <c r="AB942" s="126"/>
      <c r="AC942" s="125"/>
      <c r="AD942" s="130">
        <v>400</v>
      </c>
      <c r="AE942" s="130">
        <v>340</v>
      </c>
      <c r="AF942" s="130">
        <v>260</v>
      </c>
      <c r="AG942" s="66">
        <f t="shared" si="36"/>
        <v>131.73857142857145</v>
      </c>
      <c r="AH942" s="143">
        <f t="shared" si="37"/>
        <v>1000</v>
      </c>
      <c r="AI942" s="1324"/>
      <c r="AJ942" s="1324"/>
      <c r="AK942" s="1324"/>
      <c r="AL942" s="1324"/>
      <c r="AM942" s="1324"/>
      <c r="AN942" s="1324"/>
      <c r="AO942" s="1324"/>
      <c r="AP942" s="1324"/>
      <c r="AQ942" s="1324"/>
      <c r="AR942" s="1324"/>
      <c r="AS942" s="1324"/>
      <c r="AT942" s="1324"/>
      <c r="AU942" s="1324"/>
      <c r="AV942" s="1324"/>
      <c r="AW942" s="1324"/>
      <c r="AX942" s="1324"/>
      <c r="AY942" s="1324"/>
      <c r="AZ942" s="1324"/>
      <c r="BA942" s="1324"/>
      <c r="BB942" s="1324"/>
      <c r="BC942" s="1324"/>
      <c r="BD942" s="1324"/>
    </row>
    <row r="943" spans="1:56" s="131" customFormat="1" x14ac:dyDescent="0.3">
      <c r="A943" s="84">
        <v>803441</v>
      </c>
      <c r="B943" s="129">
        <v>35.666666666666664</v>
      </c>
      <c r="C943" s="129">
        <v>11.875</v>
      </c>
      <c r="D943" s="149">
        <v>8.19</v>
      </c>
      <c r="E943" s="1527">
        <v>0.61</v>
      </c>
      <c r="F943" s="127">
        <v>109.35000000000001</v>
      </c>
      <c r="G943" s="125"/>
      <c r="H943" s="127">
        <v>159.74</v>
      </c>
      <c r="I943" s="127">
        <v>970</v>
      </c>
      <c r="J943" s="128">
        <v>0.49199999999999999</v>
      </c>
      <c r="K943" s="129">
        <v>10.59</v>
      </c>
      <c r="L943" s="125">
        <v>870</v>
      </c>
      <c r="M943" s="125">
        <v>1.89</v>
      </c>
      <c r="N943" s="125">
        <v>1.61</v>
      </c>
      <c r="O943" s="125">
        <v>7.2</v>
      </c>
      <c r="P943" s="125">
        <v>6.75</v>
      </c>
      <c r="Q943" s="125"/>
      <c r="R943" s="126">
        <v>1.7934680000000001</v>
      </c>
      <c r="S943" s="129">
        <v>16.399999999999999</v>
      </c>
      <c r="T943" s="125"/>
      <c r="U943" s="125"/>
      <c r="V943" s="125"/>
      <c r="W943" s="125"/>
      <c r="X943" s="125"/>
      <c r="Y943" s="129">
        <v>28</v>
      </c>
      <c r="Z943" s="125"/>
      <c r="AA943" s="126"/>
      <c r="AB943" s="126"/>
      <c r="AC943" s="125"/>
      <c r="AD943" s="130">
        <v>400</v>
      </c>
      <c r="AE943" s="130">
        <v>360</v>
      </c>
      <c r="AF943" s="130">
        <v>240</v>
      </c>
      <c r="AG943" s="66">
        <f t="shared" si="36"/>
        <v>133.88785714285714</v>
      </c>
      <c r="AH943" s="143">
        <f t="shared" si="37"/>
        <v>1000</v>
      </c>
      <c r="AI943" s="1324"/>
      <c r="AJ943" s="1324"/>
      <c r="AK943" s="1324"/>
      <c r="AL943" s="1324"/>
      <c r="AM943" s="1324"/>
      <c r="AN943" s="1324"/>
      <c r="AO943" s="1324"/>
      <c r="AP943" s="1324"/>
      <c r="AQ943" s="1324"/>
      <c r="AR943" s="1324"/>
      <c r="AS943" s="1324"/>
      <c r="AT943" s="1324"/>
      <c r="AU943" s="1324"/>
      <c r="AV943" s="1324"/>
      <c r="AW943" s="1324"/>
      <c r="AX943" s="1324"/>
      <c r="AY943" s="1324"/>
      <c r="AZ943" s="1324"/>
      <c r="BA943" s="1324"/>
      <c r="BB943" s="1324"/>
      <c r="BC943" s="1324"/>
      <c r="BD943" s="1324"/>
    </row>
    <row r="944" spans="1:56" s="131" customFormat="1" x14ac:dyDescent="0.3">
      <c r="A944" s="84">
        <v>803442</v>
      </c>
      <c r="B944" s="129">
        <v>36.666666666666671</v>
      </c>
      <c r="C944" s="129">
        <v>12</v>
      </c>
      <c r="D944" s="149">
        <v>7.76</v>
      </c>
      <c r="E944" s="1527">
        <v>0.99</v>
      </c>
      <c r="F944" s="127">
        <v>95.1</v>
      </c>
      <c r="G944" s="125"/>
      <c r="H944" s="127">
        <v>329.05</v>
      </c>
      <c r="I944" s="127">
        <v>620</v>
      </c>
      <c r="J944" s="128">
        <v>0.215</v>
      </c>
      <c r="K944" s="129">
        <v>10.65</v>
      </c>
      <c r="L944" s="125">
        <v>1210</v>
      </c>
      <c r="M944" s="125">
        <v>2.81</v>
      </c>
      <c r="N944" s="125">
        <v>1.1200000000000001</v>
      </c>
      <c r="O944" s="125">
        <v>10.58</v>
      </c>
      <c r="P944" s="125">
        <v>7.4</v>
      </c>
      <c r="Q944" s="125"/>
      <c r="R944" s="126">
        <v>1.6254680000000001</v>
      </c>
      <c r="S944" s="129">
        <v>11.6</v>
      </c>
      <c r="T944" s="125"/>
      <c r="U944" s="125"/>
      <c r="V944" s="125"/>
      <c r="W944" s="125"/>
      <c r="X944" s="125"/>
      <c r="Y944" s="129">
        <v>25.2</v>
      </c>
      <c r="Z944" s="125"/>
      <c r="AA944" s="126"/>
      <c r="AB944" s="126"/>
      <c r="AC944" s="125"/>
      <c r="AD944" s="130">
        <v>420</v>
      </c>
      <c r="AE944" s="130">
        <v>400</v>
      </c>
      <c r="AF944" s="130">
        <v>180</v>
      </c>
      <c r="AG944" s="66">
        <f t="shared" si="36"/>
        <v>149.60714285714286</v>
      </c>
      <c r="AH944" s="143">
        <f t="shared" si="37"/>
        <v>1000</v>
      </c>
      <c r="AI944" s="1324"/>
      <c r="AJ944" s="1324"/>
      <c r="AK944" s="1324"/>
      <c r="AL944" s="1324"/>
      <c r="AM944" s="1324"/>
      <c r="AN944" s="1324"/>
      <c r="AO944" s="1324"/>
      <c r="AP944" s="1324"/>
      <c r="AQ944" s="1324"/>
      <c r="AR944" s="1324"/>
      <c r="AS944" s="1324"/>
      <c r="AT944" s="1324"/>
      <c r="AU944" s="1324"/>
      <c r="AV944" s="1324"/>
      <c r="AW944" s="1324"/>
      <c r="AX944" s="1324"/>
      <c r="AY944" s="1324"/>
      <c r="AZ944" s="1324"/>
      <c r="BA944" s="1324"/>
      <c r="BB944" s="1324"/>
      <c r="BC944" s="1324"/>
      <c r="BD944" s="1324"/>
    </row>
    <row r="945" spans="1:56" s="131" customFormat="1" x14ac:dyDescent="0.3">
      <c r="A945" s="84">
        <v>803443</v>
      </c>
      <c r="B945" s="129">
        <v>44.999999999999993</v>
      </c>
      <c r="C945" s="129">
        <v>13.25</v>
      </c>
      <c r="D945" s="149">
        <v>8.5</v>
      </c>
      <c r="E945" s="1527">
        <v>0.15</v>
      </c>
      <c r="F945" s="127">
        <v>93.3</v>
      </c>
      <c r="G945" s="125"/>
      <c r="H945" s="127">
        <v>23.1</v>
      </c>
      <c r="I945" s="127">
        <v>210</v>
      </c>
      <c r="J945" s="128">
        <v>2.4E-2</v>
      </c>
      <c r="K945" s="129">
        <v>11.75</v>
      </c>
      <c r="L945" s="125">
        <v>240</v>
      </c>
      <c r="M945" s="125">
        <v>0.14000000000000001</v>
      </c>
      <c r="N945" s="125">
        <v>0.93</v>
      </c>
      <c r="O945" s="125">
        <v>3.53</v>
      </c>
      <c r="P945" s="125">
        <v>4.8</v>
      </c>
      <c r="Q945" s="125"/>
      <c r="R945" s="126">
        <v>1.1676641905507543</v>
      </c>
      <c r="S945" s="129">
        <v>8.5</v>
      </c>
      <c r="T945" s="125"/>
      <c r="U945" s="125"/>
      <c r="V945" s="125"/>
      <c r="W945" s="125"/>
      <c r="X945" s="125"/>
      <c r="Y945" s="129">
        <v>26.4</v>
      </c>
      <c r="Z945" s="125"/>
      <c r="AA945" s="126"/>
      <c r="AB945" s="126"/>
      <c r="AC945" s="125"/>
      <c r="AD945" s="130">
        <v>440</v>
      </c>
      <c r="AE945" s="130">
        <v>440</v>
      </c>
      <c r="AF945" s="130">
        <v>120</v>
      </c>
      <c r="AG945" s="66">
        <f t="shared" si="36"/>
        <v>157.55681818181819</v>
      </c>
      <c r="AH945" s="143">
        <f t="shared" si="37"/>
        <v>1000</v>
      </c>
      <c r="AI945" s="1324"/>
      <c r="AJ945" s="1324"/>
      <c r="AK945" s="1324"/>
      <c r="AL945" s="1324"/>
      <c r="AM945" s="1324"/>
      <c r="AN945" s="1324"/>
      <c r="AO945" s="1324"/>
      <c r="AP945" s="1324"/>
      <c r="AQ945" s="1324"/>
      <c r="AR945" s="1324"/>
      <c r="AS945" s="1324"/>
      <c r="AT945" s="1324"/>
      <c r="AU945" s="1324"/>
      <c r="AV945" s="1324"/>
      <c r="AW945" s="1324"/>
      <c r="AX945" s="1324"/>
      <c r="AY945" s="1324"/>
      <c r="AZ945" s="1324"/>
      <c r="BA945" s="1324"/>
      <c r="BB945" s="1324"/>
      <c r="BC945" s="1324"/>
      <c r="BD945" s="1324"/>
    </row>
    <row r="946" spans="1:56" s="131" customFormat="1" x14ac:dyDescent="0.3">
      <c r="A946" s="84">
        <v>803444</v>
      </c>
      <c r="B946" s="129">
        <v>50.666666666666657</v>
      </c>
      <c r="C946" s="129">
        <v>13.375</v>
      </c>
      <c r="D946" s="149">
        <v>8.5</v>
      </c>
      <c r="E946" s="1527">
        <v>0.16</v>
      </c>
      <c r="F946" s="127">
        <v>85.8</v>
      </c>
      <c r="G946" s="125"/>
      <c r="H946" s="127">
        <v>19.190000000000001</v>
      </c>
      <c r="I946" s="127">
        <v>220</v>
      </c>
      <c r="J946" s="128">
        <v>0.104</v>
      </c>
      <c r="K946" s="129">
        <v>11.6</v>
      </c>
      <c r="L946" s="125">
        <v>260</v>
      </c>
      <c r="M946" s="125">
        <v>0.16</v>
      </c>
      <c r="N946" s="125">
        <v>1.01</v>
      </c>
      <c r="O946" s="125">
        <v>3.16</v>
      </c>
      <c r="P946" s="125">
        <v>5.03</v>
      </c>
      <c r="Q946" s="125"/>
      <c r="R946" s="126">
        <v>0.85255794034666643</v>
      </c>
      <c r="S946" s="129">
        <v>5.6</v>
      </c>
      <c r="T946" s="125"/>
      <c r="U946" s="125"/>
      <c r="V946" s="125"/>
      <c r="W946" s="125"/>
      <c r="X946" s="125"/>
      <c r="Y946" s="129">
        <v>24</v>
      </c>
      <c r="Z946" s="125"/>
      <c r="AA946" s="126"/>
      <c r="AB946" s="126"/>
      <c r="AC946" s="125"/>
      <c r="AD946" s="130">
        <v>400</v>
      </c>
      <c r="AE946" s="130">
        <v>380</v>
      </c>
      <c r="AF946" s="130">
        <v>220</v>
      </c>
      <c r="AG946" s="66">
        <f t="shared" si="36"/>
        <v>171.1</v>
      </c>
      <c r="AH946" s="143">
        <f t="shared" si="37"/>
        <v>1000</v>
      </c>
      <c r="AI946" s="1324"/>
      <c r="AJ946" s="1324"/>
      <c r="AK946" s="1324"/>
      <c r="AL946" s="1324"/>
      <c r="AM946" s="1324"/>
      <c r="AN946" s="1324"/>
      <c r="AO946" s="1324"/>
      <c r="AP946" s="1324"/>
      <c r="AQ946" s="1324"/>
      <c r="AR946" s="1324"/>
      <c r="AS946" s="1324"/>
      <c r="AT946" s="1324"/>
      <c r="AU946" s="1324"/>
      <c r="AV946" s="1324"/>
      <c r="AW946" s="1324"/>
      <c r="AX946" s="1324"/>
      <c r="AY946" s="1324"/>
      <c r="AZ946" s="1324"/>
      <c r="BA946" s="1324"/>
      <c r="BB946" s="1324"/>
      <c r="BC946" s="1324"/>
      <c r="BD946" s="1324"/>
    </row>
    <row r="947" spans="1:56" s="131" customFormat="1" x14ac:dyDescent="0.3">
      <c r="A947" s="84">
        <v>803445</v>
      </c>
      <c r="B947" s="129">
        <v>0.6166666666666667</v>
      </c>
      <c r="C947" s="129"/>
      <c r="D947" s="149">
        <v>8.3000000000000007</v>
      </c>
      <c r="E947" s="1527">
        <v>0.12</v>
      </c>
      <c r="F947" s="127">
        <v>88.5</v>
      </c>
      <c r="G947" s="125"/>
      <c r="H947" s="127">
        <v>18.27</v>
      </c>
      <c r="I947" s="127">
        <v>110</v>
      </c>
      <c r="J947" s="128">
        <v>5.5E-2</v>
      </c>
      <c r="K947" s="129">
        <v>5.96</v>
      </c>
      <c r="L947" s="125">
        <v>290</v>
      </c>
      <c r="M947" s="125">
        <v>0.47</v>
      </c>
      <c r="N947" s="125">
        <v>1.5</v>
      </c>
      <c r="O947" s="125">
        <v>5.89</v>
      </c>
      <c r="P947" s="125">
        <v>13.65</v>
      </c>
      <c r="Q947" s="125"/>
      <c r="R947" s="126">
        <v>1.4362787002243431</v>
      </c>
      <c r="S947" s="129">
        <v>10</v>
      </c>
      <c r="T947" s="125"/>
      <c r="U947" s="125"/>
      <c r="V947" s="125"/>
      <c r="W947" s="125"/>
      <c r="X947" s="125"/>
      <c r="Y947" s="129">
        <f ca="1">AD947*RANDBETWEEN(4,6)/100</f>
        <v>28</v>
      </c>
      <c r="Z947" s="125"/>
      <c r="AA947" s="126"/>
      <c r="AB947" s="126"/>
      <c r="AC947" s="125"/>
      <c r="AD947" s="130">
        <v>700</v>
      </c>
      <c r="AE947" s="130">
        <v>200</v>
      </c>
      <c r="AF947" s="130">
        <v>100</v>
      </c>
      <c r="AG947" s="66">
        <f t="shared" ca="1" si="36"/>
        <v>75.351428571428571</v>
      </c>
      <c r="AH947" s="143">
        <f t="shared" si="37"/>
        <v>1000</v>
      </c>
      <c r="AI947" s="1324"/>
      <c r="AJ947" s="1324"/>
      <c r="AK947" s="1324"/>
      <c r="AL947" s="1324"/>
      <c r="AM947" s="1324"/>
      <c r="AN947" s="1324"/>
      <c r="AO947" s="1324"/>
      <c r="AP947" s="1324"/>
      <c r="AQ947" s="1324"/>
      <c r="AR947" s="1324"/>
      <c r="AS947" s="1324"/>
      <c r="AT947" s="1324"/>
      <c r="AU947" s="1324"/>
      <c r="AV947" s="1324"/>
      <c r="AW947" s="1324"/>
      <c r="AX947" s="1324"/>
      <c r="AY947" s="1324"/>
      <c r="AZ947" s="1324"/>
      <c r="BA947" s="1324"/>
      <c r="BB947" s="1324"/>
      <c r="BC947" s="1324"/>
      <c r="BD947" s="1324"/>
    </row>
    <row r="948" spans="1:56" s="131" customFormat="1" x14ac:dyDescent="0.3">
      <c r="A948" s="84">
        <v>803446</v>
      </c>
      <c r="B948" s="129">
        <v>0.33333333333333331</v>
      </c>
      <c r="C948" s="129"/>
      <c r="D948" s="149">
        <v>8.36</v>
      </c>
      <c r="E948" s="1527">
        <v>0.12</v>
      </c>
      <c r="F948" s="127">
        <v>78.150000000000006</v>
      </c>
      <c r="G948" s="125"/>
      <c r="H948" s="127">
        <v>80.67</v>
      </c>
      <c r="I948" s="127">
        <v>410</v>
      </c>
      <c r="J948" s="128">
        <v>0.19700000000000001</v>
      </c>
      <c r="K948" s="129">
        <v>5.93</v>
      </c>
      <c r="L948" s="125">
        <v>2450</v>
      </c>
      <c r="M948" s="125">
        <v>0.68</v>
      </c>
      <c r="N948" s="125">
        <v>3.86</v>
      </c>
      <c r="O948" s="125">
        <v>11.41</v>
      </c>
      <c r="P948" s="125">
        <v>8.7899999999999991</v>
      </c>
      <c r="Q948" s="125"/>
      <c r="R948" s="126">
        <v>1.2564395441395997</v>
      </c>
      <c r="S948" s="129">
        <v>9.4</v>
      </c>
      <c r="T948" s="125"/>
      <c r="U948" s="125"/>
      <c r="V948" s="125"/>
      <c r="W948" s="125"/>
      <c r="X948" s="125"/>
      <c r="Y948" s="129">
        <f ca="1">AD948*RANDBETWEEN(4,6)/100</f>
        <v>32.4</v>
      </c>
      <c r="Z948" s="125"/>
      <c r="AA948" s="126"/>
      <c r="AB948" s="126"/>
      <c r="AC948" s="125"/>
      <c r="AD948" s="130">
        <v>540</v>
      </c>
      <c r="AE948" s="130">
        <v>360</v>
      </c>
      <c r="AF948" s="130">
        <v>100</v>
      </c>
      <c r="AG948" s="66">
        <f t="shared" ca="1" si="36"/>
        <v>64.790740740740745</v>
      </c>
      <c r="AH948" s="143">
        <f t="shared" si="37"/>
        <v>1000</v>
      </c>
      <c r="AI948" s="1324"/>
      <c r="AJ948" s="1324"/>
      <c r="AK948" s="1324"/>
      <c r="AL948" s="1324"/>
      <c r="AM948" s="1324"/>
      <c r="AN948" s="1324"/>
      <c r="AO948" s="1324"/>
      <c r="AP948" s="1324"/>
      <c r="AQ948" s="1324"/>
      <c r="AR948" s="1324"/>
      <c r="AS948" s="1324"/>
      <c r="AT948" s="1324"/>
      <c r="AU948" s="1324"/>
      <c r="AV948" s="1324"/>
      <c r="AW948" s="1324"/>
      <c r="AX948" s="1324"/>
      <c r="AY948" s="1324"/>
      <c r="AZ948" s="1324"/>
      <c r="BA948" s="1324"/>
      <c r="BB948" s="1324"/>
      <c r="BC948" s="1324"/>
      <c r="BD948" s="1324"/>
    </row>
    <row r="949" spans="1:56" s="131" customFormat="1" x14ac:dyDescent="0.3">
      <c r="A949" s="84">
        <v>803447</v>
      </c>
      <c r="B949" s="129">
        <v>1.4166666666666665</v>
      </c>
      <c r="C949" s="129"/>
      <c r="D949" s="149">
        <v>8.2799999999999994</v>
      </c>
      <c r="E949" s="1527">
        <v>0.22</v>
      </c>
      <c r="F949" s="127">
        <v>107.6</v>
      </c>
      <c r="G949" s="125"/>
      <c r="H949" s="127">
        <v>105.89</v>
      </c>
      <c r="I949" s="127">
        <v>470</v>
      </c>
      <c r="J949" s="128">
        <v>9.5000000000000001E-2</v>
      </c>
      <c r="K949" s="129">
        <v>6.01</v>
      </c>
      <c r="L949" s="125">
        <v>1640</v>
      </c>
      <c r="M949" s="125">
        <v>0.79</v>
      </c>
      <c r="N949" s="125">
        <v>2.34</v>
      </c>
      <c r="O949" s="125">
        <v>8.2200000000000006</v>
      </c>
      <c r="P949" s="125">
        <v>4.13</v>
      </c>
      <c r="Q949" s="125"/>
      <c r="R949" s="126">
        <v>1.6958250000000001</v>
      </c>
      <c r="S949" s="129">
        <v>13.5</v>
      </c>
      <c r="T949" s="125"/>
      <c r="U949" s="125"/>
      <c r="V949" s="125"/>
      <c r="W949" s="125"/>
      <c r="X949" s="125"/>
      <c r="Y949" s="129">
        <f ca="1">AD949*RANDBETWEEN(4,6)/100</f>
        <v>20.8</v>
      </c>
      <c r="Z949" s="125"/>
      <c r="AA949" s="126"/>
      <c r="AB949" s="126"/>
      <c r="AC949" s="125"/>
      <c r="AD949" s="130">
        <v>520</v>
      </c>
      <c r="AE949" s="130">
        <v>360</v>
      </c>
      <c r="AF949" s="130">
        <v>120</v>
      </c>
      <c r="AG949" s="66">
        <f t="shared" ca="1" si="36"/>
        <v>102.28557692307692</v>
      </c>
      <c r="AH949" s="143">
        <f t="shared" si="37"/>
        <v>1000</v>
      </c>
      <c r="AI949" s="1324"/>
      <c r="AJ949" s="1324"/>
      <c r="AK949" s="1324"/>
      <c r="AL949" s="1324"/>
      <c r="AM949" s="1324"/>
      <c r="AN949" s="1324"/>
      <c r="AO949" s="1324"/>
      <c r="AP949" s="1324"/>
      <c r="AQ949" s="1324"/>
      <c r="AR949" s="1324"/>
      <c r="AS949" s="1324"/>
      <c r="AT949" s="1324"/>
      <c r="AU949" s="1324"/>
      <c r="AV949" s="1324"/>
      <c r="AW949" s="1324"/>
      <c r="AX949" s="1324"/>
      <c r="AY949" s="1324"/>
      <c r="AZ949" s="1324"/>
      <c r="BA949" s="1324"/>
      <c r="BB949" s="1324"/>
      <c r="BC949" s="1324"/>
      <c r="BD949" s="1324"/>
    </row>
    <row r="950" spans="1:56" s="131" customFormat="1" x14ac:dyDescent="0.3">
      <c r="A950" s="84">
        <v>803448</v>
      </c>
      <c r="B950" s="129">
        <v>13.833333333333334</v>
      </c>
      <c r="C950" s="129">
        <v>4.1249999999999982</v>
      </c>
      <c r="D950" s="149">
        <v>8.1300000000000008</v>
      </c>
      <c r="E950" s="1527">
        <v>0.16</v>
      </c>
      <c r="F950" s="127">
        <v>79.75</v>
      </c>
      <c r="G950" s="125"/>
      <c r="H950" s="127">
        <v>20.46</v>
      </c>
      <c r="I950" s="127">
        <v>430</v>
      </c>
      <c r="J950" s="128">
        <v>0.13</v>
      </c>
      <c r="K950" s="129">
        <v>11.73</v>
      </c>
      <c r="L950" s="125">
        <v>640</v>
      </c>
      <c r="M950" s="125">
        <v>0.39</v>
      </c>
      <c r="N950" s="125">
        <v>1.99</v>
      </c>
      <c r="O950" s="125">
        <v>3.56</v>
      </c>
      <c r="P950" s="125">
        <v>6.13</v>
      </c>
      <c r="Q950" s="125"/>
      <c r="R950" s="126">
        <v>1.6138970000000001</v>
      </c>
      <c r="S950" s="129">
        <v>11.3</v>
      </c>
      <c r="T950" s="125"/>
      <c r="U950" s="125"/>
      <c r="V950" s="125"/>
      <c r="W950" s="125"/>
      <c r="X950" s="125"/>
      <c r="Y950" s="129">
        <v>37.799999999999997</v>
      </c>
      <c r="Z950" s="125"/>
      <c r="AA950" s="126"/>
      <c r="AB950" s="126"/>
      <c r="AC950" s="125"/>
      <c r="AD950" s="130">
        <v>540</v>
      </c>
      <c r="AE950" s="130">
        <v>360</v>
      </c>
      <c r="AF950" s="130">
        <v>100</v>
      </c>
      <c r="AG950" s="66">
        <f t="shared" si="36"/>
        <v>109.85238095238097</v>
      </c>
      <c r="AH950" s="143">
        <f t="shared" si="37"/>
        <v>1000</v>
      </c>
      <c r="AI950" s="1324"/>
      <c r="AJ950" s="1324"/>
      <c r="AK950" s="1324"/>
      <c r="AL950" s="1324"/>
      <c r="AM950" s="1324"/>
      <c r="AN950" s="1324"/>
      <c r="AO950" s="1324"/>
      <c r="AP950" s="1324"/>
      <c r="AQ950" s="1324"/>
      <c r="AR950" s="1324"/>
      <c r="AS950" s="1324"/>
      <c r="AT950" s="1324"/>
      <c r="AU950" s="1324"/>
      <c r="AV950" s="1324"/>
      <c r="AW950" s="1324"/>
      <c r="AX950" s="1324"/>
      <c r="AY950" s="1324"/>
      <c r="AZ950" s="1324"/>
      <c r="BA950" s="1324"/>
      <c r="BB950" s="1324"/>
      <c r="BC950" s="1324"/>
      <c r="BD950" s="1324"/>
    </row>
    <row r="951" spans="1:56" s="131" customFormat="1" x14ac:dyDescent="0.3">
      <c r="A951" s="84">
        <v>803449</v>
      </c>
      <c r="B951" s="129">
        <v>5.125</v>
      </c>
      <c r="C951" s="129"/>
      <c r="D951" s="149">
        <v>7.9</v>
      </c>
      <c r="E951" s="1527">
        <v>0.15</v>
      </c>
      <c r="F951" s="127">
        <v>82.65</v>
      </c>
      <c r="G951" s="125"/>
      <c r="H951" s="127">
        <v>37.29</v>
      </c>
      <c r="I951" s="127">
        <v>310</v>
      </c>
      <c r="J951" s="128">
        <v>4.8000000000000001E-2</v>
      </c>
      <c r="K951" s="129">
        <v>12.21</v>
      </c>
      <c r="L951" s="125">
        <v>1050</v>
      </c>
      <c r="M951" s="125">
        <v>0.38</v>
      </c>
      <c r="N951" s="125">
        <v>1.38</v>
      </c>
      <c r="O951" s="125">
        <v>4.34</v>
      </c>
      <c r="P951" s="125">
        <v>5.52</v>
      </c>
      <c r="Q951" s="125"/>
      <c r="R951" s="126">
        <v>1.8274250000000001</v>
      </c>
      <c r="S951" s="129">
        <v>17.5</v>
      </c>
      <c r="T951" s="125"/>
      <c r="U951" s="125"/>
      <c r="V951" s="125"/>
      <c r="W951" s="125"/>
      <c r="X951" s="125"/>
      <c r="Y951" s="129">
        <v>33.6</v>
      </c>
      <c r="Z951" s="125"/>
      <c r="AA951" s="126"/>
      <c r="AB951" s="126"/>
      <c r="AC951" s="125"/>
      <c r="AD951" s="130">
        <v>560</v>
      </c>
      <c r="AE951" s="130">
        <v>340</v>
      </c>
      <c r="AF951" s="130">
        <v>100</v>
      </c>
      <c r="AG951" s="66">
        <f t="shared" si="36"/>
        <v>128.64107142857142</v>
      </c>
      <c r="AH951" s="143">
        <f t="shared" si="37"/>
        <v>1000</v>
      </c>
      <c r="AI951" s="1324"/>
      <c r="AJ951" s="1324"/>
      <c r="AK951" s="1324"/>
      <c r="AL951" s="1324"/>
      <c r="AM951" s="1324"/>
      <c r="AN951" s="1324"/>
      <c r="AO951" s="1324"/>
      <c r="AP951" s="1324"/>
      <c r="AQ951" s="1324"/>
      <c r="AR951" s="1324"/>
      <c r="AS951" s="1324"/>
      <c r="AT951" s="1324"/>
      <c r="AU951" s="1324"/>
      <c r="AV951" s="1324"/>
      <c r="AW951" s="1324"/>
      <c r="AX951" s="1324"/>
      <c r="AY951" s="1324"/>
      <c r="AZ951" s="1324"/>
      <c r="BA951" s="1324"/>
      <c r="BB951" s="1324"/>
      <c r="BC951" s="1324"/>
      <c r="BD951" s="1324"/>
    </row>
    <row r="952" spans="1:56" s="131" customFormat="1" x14ac:dyDescent="0.3">
      <c r="A952" s="84">
        <v>803450</v>
      </c>
      <c r="B952" s="129">
        <v>6</v>
      </c>
      <c r="C952" s="129"/>
      <c r="D952" s="149">
        <v>7.96</v>
      </c>
      <c r="E952" s="1527">
        <v>0.23</v>
      </c>
      <c r="F952" s="127">
        <v>143</v>
      </c>
      <c r="G952" s="125"/>
      <c r="H952" s="127">
        <v>51.33</v>
      </c>
      <c r="I952" s="127">
        <v>430</v>
      </c>
      <c r="J952" s="128">
        <v>0.152</v>
      </c>
      <c r="K952" s="129">
        <v>14.2</v>
      </c>
      <c r="L952" s="125">
        <v>1650</v>
      </c>
      <c r="M952" s="125">
        <v>0.24</v>
      </c>
      <c r="N952" s="125">
        <v>2.57</v>
      </c>
      <c r="O952" s="125">
        <v>1.7</v>
      </c>
      <c r="P952" s="125">
        <v>5.37</v>
      </c>
      <c r="Q952" s="125"/>
      <c r="R952" s="126">
        <v>1.5744170000000002</v>
      </c>
      <c r="S952" s="129">
        <v>10.3</v>
      </c>
      <c r="T952" s="125"/>
      <c r="U952" s="125"/>
      <c r="V952" s="125"/>
      <c r="W952" s="125"/>
      <c r="X952" s="125"/>
      <c r="Y952" s="129">
        <v>32.4</v>
      </c>
      <c r="Z952" s="125"/>
      <c r="AA952" s="126"/>
      <c r="AB952" s="126"/>
      <c r="AC952" s="125"/>
      <c r="AD952" s="130">
        <v>540</v>
      </c>
      <c r="AE952" s="130">
        <v>360</v>
      </c>
      <c r="AF952" s="130">
        <v>100</v>
      </c>
      <c r="AG952" s="66">
        <f t="shared" si="36"/>
        <v>155.14814814814815</v>
      </c>
      <c r="AH952" s="143">
        <f t="shared" si="37"/>
        <v>1000</v>
      </c>
      <c r="AI952" s="1324"/>
      <c r="AJ952" s="1324"/>
      <c r="AK952" s="1324"/>
      <c r="AL952" s="1324"/>
      <c r="AM952" s="1324"/>
      <c r="AN952" s="1324"/>
      <c r="AO952" s="1324"/>
      <c r="AP952" s="1324"/>
      <c r="AQ952" s="1324"/>
      <c r="AR952" s="1324"/>
      <c r="AS952" s="1324"/>
      <c r="AT952" s="1324"/>
      <c r="AU952" s="1324"/>
      <c r="AV952" s="1324"/>
      <c r="AW952" s="1324"/>
      <c r="AX952" s="1324"/>
      <c r="AY952" s="1324"/>
      <c r="AZ952" s="1324"/>
      <c r="BA952" s="1324"/>
      <c r="BB952" s="1324"/>
      <c r="BC952" s="1324"/>
      <c r="BD952" s="1324"/>
    </row>
    <row r="953" spans="1:56" s="131" customFormat="1" x14ac:dyDescent="0.3">
      <c r="A953" s="84">
        <v>803451</v>
      </c>
      <c r="B953" s="129">
        <v>10.375</v>
      </c>
      <c r="C953" s="129">
        <v>2.1249999999999991</v>
      </c>
      <c r="D953" s="149">
        <v>8.23</v>
      </c>
      <c r="E953" s="1527">
        <v>0.15</v>
      </c>
      <c r="F953" s="127">
        <v>77.75</v>
      </c>
      <c r="G953" s="125"/>
      <c r="H953" s="127">
        <v>52.72</v>
      </c>
      <c r="I953" s="127">
        <v>410</v>
      </c>
      <c r="J953" s="128">
        <v>5.8000000000000003E-2</v>
      </c>
      <c r="K953" s="129">
        <v>10.5</v>
      </c>
      <c r="L953" s="125">
        <v>1050</v>
      </c>
      <c r="M953" s="125">
        <v>0.67</v>
      </c>
      <c r="N953" s="125">
        <v>1.55</v>
      </c>
      <c r="O953" s="125">
        <v>7.43</v>
      </c>
      <c r="P953" s="125">
        <v>5.56</v>
      </c>
      <c r="Q953" s="125"/>
      <c r="R953" s="126">
        <v>1.6704920000000001</v>
      </c>
      <c r="S953" s="129">
        <v>12.8</v>
      </c>
      <c r="T953" s="125"/>
      <c r="U953" s="125"/>
      <c r="V953" s="125"/>
      <c r="W953" s="125"/>
      <c r="X953" s="125"/>
      <c r="Y953" s="129">
        <v>31.2</v>
      </c>
      <c r="Z953" s="125"/>
      <c r="AA953" s="126"/>
      <c r="AB953" s="126"/>
      <c r="AC953" s="125"/>
      <c r="AD953" s="130">
        <v>520</v>
      </c>
      <c r="AE953" s="130">
        <v>400</v>
      </c>
      <c r="AF953" s="130">
        <v>80</v>
      </c>
      <c r="AG953" s="66">
        <f t="shared" si="36"/>
        <v>119.13461538461539</v>
      </c>
      <c r="AH953" s="143">
        <f t="shared" si="37"/>
        <v>1000</v>
      </c>
      <c r="AI953" s="1324"/>
      <c r="AJ953" s="1324"/>
      <c r="AK953" s="1324"/>
      <c r="AL953" s="1324"/>
      <c r="AM953" s="1324"/>
      <c r="AN953" s="1324"/>
      <c r="AO953" s="1324"/>
      <c r="AP953" s="1324"/>
      <c r="AQ953" s="1324"/>
      <c r="AR953" s="1324"/>
      <c r="AS953" s="1324"/>
      <c r="AT953" s="1324"/>
      <c r="AU953" s="1324"/>
      <c r="AV953" s="1324"/>
      <c r="AW953" s="1324"/>
      <c r="AX953" s="1324"/>
      <c r="AY953" s="1324"/>
      <c r="AZ953" s="1324"/>
      <c r="BA953" s="1324"/>
      <c r="BB953" s="1324"/>
      <c r="BC953" s="1324"/>
      <c r="BD953" s="1324"/>
    </row>
    <row r="954" spans="1:56" s="131" customFormat="1" x14ac:dyDescent="0.3">
      <c r="A954" s="84">
        <v>803452</v>
      </c>
      <c r="B954" s="129">
        <v>20</v>
      </c>
      <c r="C954" s="129">
        <v>5.625</v>
      </c>
      <c r="D954" s="149">
        <v>8.2200000000000006</v>
      </c>
      <c r="E954" s="1527">
        <v>0.17</v>
      </c>
      <c r="F954" s="127">
        <v>86.050000000000011</v>
      </c>
      <c r="G954" s="125"/>
      <c r="H954" s="127">
        <v>20.79</v>
      </c>
      <c r="I954" s="127">
        <v>200</v>
      </c>
      <c r="J954" s="128">
        <v>6.3E-2</v>
      </c>
      <c r="K954" s="129">
        <v>7.68</v>
      </c>
      <c r="L954" s="125">
        <v>440</v>
      </c>
      <c r="M954" s="125">
        <v>0.26</v>
      </c>
      <c r="N954" s="125">
        <v>0.61</v>
      </c>
      <c r="O954" s="125">
        <v>2.2999999999999998</v>
      </c>
      <c r="P954" s="125">
        <v>2.39</v>
      </c>
      <c r="Q954" s="125"/>
      <c r="R954" s="126">
        <v>0.13883154238963841</v>
      </c>
      <c r="S954" s="129">
        <v>1</v>
      </c>
      <c r="T954" s="125"/>
      <c r="U954" s="125"/>
      <c r="V954" s="125"/>
      <c r="W954" s="125"/>
      <c r="X954" s="125"/>
      <c r="Y954" s="129">
        <v>30.8</v>
      </c>
      <c r="Z954" s="125"/>
      <c r="AA954" s="126"/>
      <c r="AB954" s="126"/>
      <c r="AC954" s="125"/>
      <c r="AD954" s="130">
        <v>440</v>
      </c>
      <c r="AE954" s="130">
        <v>400</v>
      </c>
      <c r="AF954" s="130">
        <v>160</v>
      </c>
      <c r="AG954" s="66">
        <f t="shared" si="36"/>
        <v>88.270129870129878</v>
      </c>
      <c r="AH954" s="143">
        <f t="shared" si="37"/>
        <v>1000</v>
      </c>
      <c r="AI954" s="1324"/>
      <c r="AJ954" s="1324"/>
      <c r="AK954" s="1324"/>
      <c r="AL954" s="1324"/>
      <c r="AM954" s="1324"/>
      <c r="AN954" s="1324"/>
      <c r="AO954" s="1324"/>
      <c r="AP954" s="1324"/>
      <c r="AQ954" s="1324"/>
      <c r="AR954" s="1324"/>
      <c r="AS954" s="1324"/>
      <c r="AT954" s="1324"/>
      <c r="AU954" s="1324"/>
      <c r="AV954" s="1324"/>
      <c r="AW954" s="1324"/>
      <c r="AX954" s="1324"/>
      <c r="AY954" s="1324"/>
      <c r="AZ954" s="1324"/>
      <c r="BA954" s="1324"/>
      <c r="BB954" s="1324"/>
      <c r="BC954" s="1324"/>
      <c r="BD954" s="1324"/>
    </row>
    <row r="955" spans="1:56" s="131" customFormat="1" x14ac:dyDescent="0.3">
      <c r="A955" s="84">
        <v>803453</v>
      </c>
      <c r="B955" s="129">
        <v>18.666666666666668</v>
      </c>
      <c r="C955" s="129">
        <v>5</v>
      </c>
      <c r="D955" s="149">
        <v>8.6</v>
      </c>
      <c r="E955" s="1527">
        <v>0.12</v>
      </c>
      <c r="F955" s="127">
        <v>85.399999999999991</v>
      </c>
      <c r="G955" s="125"/>
      <c r="H955" s="127">
        <v>24.13</v>
      </c>
      <c r="I955" s="127">
        <v>160</v>
      </c>
      <c r="J955" s="128">
        <v>4.2999999999999997E-2</v>
      </c>
      <c r="K955" s="129">
        <v>7.45</v>
      </c>
      <c r="L955" s="125">
        <v>340</v>
      </c>
      <c r="M955" s="125">
        <v>0.22</v>
      </c>
      <c r="N955" s="125">
        <v>0.53</v>
      </c>
      <c r="O955" s="125">
        <v>2.4500000000000002</v>
      </c>
      <c r="P955" s="125">
        <v>2.09</v>
      </c>
      <c r="Q955" s="125"/>
      <c r="R955" s="126">
        <v>9.3920194326916992E-2</v>
      </c>
      <c r="S955" s="129">
        <v>0.7</v>
      </c>
      <c r="T955" s="125"/>
      <c r="U955" s="125"/>
      <c r="V955" s="125"/>
      <c r="W955" s="125"/>
      <c r="X955" s="125"/>
      <c r="Y955" s="129">
        <v>21.6</v>
      </c>
      <c r="Z955" s="125"/>
      <c r="AA955" s="126"/>
      <c r="AB955" s="126"/>
      <c r="AC955" s="125"/>
      <c r="AD955" s="130">
        <v>360</v>
      </c>
      <c r="AE955" s="130">
        <v>340</v>
      </c>
      <c r="AF955" s="130">
        <v>300</v>
      </c>
      <c r="AG955" s="66">
        <f t="shared" si="36"/>
        <v>122.09722222222223</v>
      </c>
      <c r="AH955" s="143">
        <f t="shared" si="37"/>
        <v>1000</v>
      </c>
      <c r="AI955" s="1324"/>
      <c r="AJ955" s="1324"/>
      <c r="AK955" s="1324"/>
      <c r="AL955" s="1324"/>
      <c r="AM955" s="1324"/>
      <c r="AN955" s="1324"/>
      <c r="AO955" s="1324"/>
      <c r="AP955" s="1324"/>
      <c r="AQ955" s="1324"/>
      <c r="AR955" s="1324"/>
      <c r="AS955" s="1324"/>
      <c r="AT955" s="1324"/>
      <c r="AU955" s="1324"/>
      <c r="AV955" s="1324"/>
      <c r="AW955" s="1324"/>
      <c r="AX955" s="1324"/>
      <c r="AY955" s="1324"/>
      <c r="AZ955" s="1324"/>
      <c r="BA955" s="1324"/>
      <c r="BB955" s="1324"/>
      <c r="BC955" s="1324"/>
      <c r="BD955" s="1324"/>
    </row>
    <row r="956" spans="1:56" s="131" customFormat="1" x14ac:dyDescent="0.3">
      <c r="A956" s="84">
        <v>803454</v>
      </c>
      <c r="B956" s="129">
        <v>7.5</v>
      </c>
      <c r="C956" s="129"/>
      <c r="D956" s="149">
        <v>8.23</v>
      </c>
      <c r="E956" s="1527">
        <v>0.63</v>
      </c>
      <c r="F956" s="127">
        <v>369.5</v>
      </c>
      <c r="G956" s="125"/>
      <c r="H956" s="127">
        <v>167.21</v>
      </c>
      <c r="I956" s="127">
        <v>940</v>
      </c>
      <c r="J956" s="128">
        <v>0.20599999999999999</v>
      </c>
      <c r="K956" s="129">
        <v>7.14</v>
      </c>
      <c r="L956" s="125">
        <v>1440</v>
      </c>
      <c r="M956" s="125">
        <v>1.36</v>
      </c>
      <c r="N956" s="125">
        <v>0.94</v>
      </c>
      <c r="O956" s="125">
        <v>13.5</v>
      </c>
      <c r="P956" s="125">
        <v>4.62</v>
      </c>
      <c r="Q956" s="125"/>
      <c r="R956" s="126">
        <v>1.3327524801881636</v>
      </c>
      <c r="S956" s="129">
        <v>9.8000000000000007</v>
      </c>
      <c r="T956" s="125"/>
      <c r="U956" s="125"/>
      <c r="V956" s="125"/>
      <c r="W956" s="125"/>
      <c r="X956" s="125"/>
      <c r="Y956" s="129">
        <v>28.8</v>
      </c>
      <c r="Z956" s="125"/>
      <c r="AA956" s="126"/>
      <c r="AB956" s="126"/>
      <c r="AC956" s="125"/>
      <c r="AD956" s="130">
        <v>480</v>
      </c>
      <c r="AE956" s="130">
        <v>400</v>
      </c>
      <c r="AF956" s="130">
        <v>120</v>
      </c>
      <c r="AG956" s="66">
        <f t="shared" si="36"/>
        <v>87.762500000000003</v>
      </c>
      <c r="AH956" s="143">
        <f t="shared" si="37"/>
        <v>1000</v>
      </c>
      <c r="AI956" s="1324"/>
      <c r="AJ956" s="1324"/>
      <c r="AK956" s="1324"/>
      <c r="AL956" s="1324"/>
      <c r="AM956" s="1324"/>
      <c r="AN956" s="1324"/>
      <c r="AO956" s="1324"/>
      <c r="AP956" s="1324"/>
      <c r="AQ956" s="1324"/>
      <c r="AR956" s="1324"/>
      <c r="AS956" s="1324"/>
      <c r="AT956" s="1324"/>
      <c r="AU956" s="1324"/>
      <c r="AV956" s="1324"/>
      <c r="AW956" s="1324"/>
      <c r="AX956" s="1324"/>
      <c r="AY956" s="1324"/>
      <c r="AZ956" s="1324"/>
      <c r="BA956" s="1324"/>
      <c r="BB956" s="1324"/>
      <c r="BC956" s="1324"/>
      <c r="BD956" s="1324"/>
    </row>
    <row r="957" spans="1:56" s="131" customFormat="1" x14ac:dyDescent="0.3">
      <c r="A957" s="84">
        <v>803455</v>
      </c>
      <c r="B957" s="129">
        <v>8.3333333333333329E-2</v>
      </c>
      <c r="C957" s="129"/>
      <c r="D957" s="149">
        <v>8.57</v>
      </c>
      <c r="E957" s="1527">
        <v>0.03</v>
      </c>
      <c r="F957" s="127">
        <v>79.150000000000006</v>
      </c>
      <c r="G957" s="125"/>
      <c r="H957" s="127">
        <v>11.32</v>
      </c>
      <c r="I957" s="127">
        <v>70</v>
      </c>
      <c r="J957" s="128">
        <v>0.01</v>
      </c>
      <c r="K957" s="129">
        <v>2.48</v>
      </c>
      <c r="L957" s="125">
        <v>110</v>
      </c>
      <c r="M957" s="125">
        <v>0.26</v>
      </c>
      <c r="N957" s="125">
        <v>0.3</v>
      </c>
      <c r="O957" s="125">
        <v>16.329999999999998</v>
      </c>
      <c r="P957" s="125">
        <v>10.3</v>
      </c>
      <c r="Q957" s="125"/>
      <c r="R957" s="126">
        <v>0.59153860202268671</v>
      </c>
      <c r="S957" s="129">
        <v>4.2</v>
      </c>
      <c r="T957" s="125"/>
      <c r="U957" s="125"/>
      <c r="V957" s="125"/>
      <c r="W957" s="125"/>
      <c r="X957" s="125"/>
      <c r="Y957" s="129">
        <v>25.2</v>
      </c>
      <c r="Z957" s="125"/>
      <c r="AA957" s="126"/>
      <c r="AB957" s="126"/>
      <c r="AC957" s="125"/>
      <c r="AD957" s="130">
        <v>360</v>
      </c>
      <c r="AE957" s="130">
        <v>560</v>
      </c>
      <c r="AF957" s="130">
        <v>80</v>
      </c>
      <c r="AG957" s="66">
        <f t="shared" si="36"/>
        <v>34.838095238095235</v>
      </c>
      <c r="AH957" s="143">
        <f t="shared" si="37"/>
        <v>1000</v>
      </c>
      <c r="AI957" s="1324"/>
      <c r="AJ957" s="1324"/>
      <c r="AK957" s="1324"/>
      <c r="AL957" s="1324"/>
      <c r="AM957" s="1324"/>
      <c r="AN957" s="1324"/>
      <c r="AO957" s="1324"/>
      <c r="AP957" s="1324"/>
      <c r="AQ957" s="1324"/>
      <c r="AR957" s="1324"/>
      <c r="AS957" s="1324"/>
      <c r="AT957" s="1324"/>
      <c r="AU957" s="1324"/>
      <c r="AV957" s="1324"/>
      <c r="AW957" s="1324"/>
      <c r="AX957" s="1324"/>
      <c r="AY957" s="1324"/>
      <c r="AZ957" s="1324"/>
      <c r="BA957" s="1324"/>
      <c r="BB957" s="1324"/>
      <c r="BC957" s="1324"/>
      <c r="BD957" s="1324"/>
    </row>
    <row r="958" spans="1:56" s="131" customFormat="1" x14ac:dyDescent="0.3">
      <c r="A958" s="84">
        <v>803456</v>
      </c>
      <c r="B958" s="129">
        <v>8.3333333333333329E-2</v>
      </c>
      <c r="C958" s="129"/>
      <c r="D958" s="149">
        <v>6.8</v>
      </c>
      <c r="E958" s="1527">
        <v>0.03</v>
      </c>
      <c r="F958" s="127">
        <v>76.349999999999994</v>
      </c>
      <c r="G958" s="125"/>
      <c r="H958" s="127">
        <v>17.11</v>
      </c>
      <c r="I958" s="127">
        <v>60</v>
      </c>
      <c r="J958" s="128">
        <v>6.0000000000000001E-3</v>
      </c>
      <c r="K958" s="129">
        <v>2.4699999999999998</v>
      </c>
      <c r="L958" s="125">
        <v>100</v>
      </c>
      <c r="M958" s="125">
        <v>0.55000000000000004</v>
      </c>
      <c r="N958" s="125">
        <v>0.21</v>
      </c>
      <c r="O958" s="125">
        <v>8.1999999999999993</v>
      </c>
      <c r="P958" s="125">
        <v>8.7799999999999994</v>
      </c>
      <c r="Q958" s="125"/>
      <c r="R958" s="126">
        <v>0.44414678683726327</v>
      </c>
      <c r="S958" s="129">
        <v>3.3</v>
      </c>
      <c r="T958" s="125"/>
      <c r="U958" s="125"/>
      <c r="V958" s="125"/>
      <c r="W958" s="125"/>
      <c r="X958" s="125"/>
      <c r="Y958" s="129">
        <f t="shared" ref="Y958:Y979" ca="1" si="38">AD958*RANDBETWEEN(4,6)/100</f>
        <v>14.4</v>
      </c>
      <c r="Z958" s="126">
        <f ca="1">RANDBETWEEN(80,85)*D958/100</f>
        <v>5.5760000000000005</v>
      </c>
      <c r="AA958" s="126"/>
      <c r="AB958" s="126"/>
      <c r="AC958" s="125"/>
      <c r="AD958" s="130">
        <v>360</v>
      </c>
      <c r="AE958" s="130">
        <v>540</v>
      </c>
      <c r="AF958" s="130">
        <v>100</v>
      </c>
      <c r="AG958" s="66">
        <f t="shared" ca="1" si="36"/>
        <v>60.720833333333324</v>
      </c>
      <c r="AH958" s="143">
        <f t="shared" si="37"/>
        <v>1000</v>
      </c>
      <c r="AI958" s="1324"/>
      <c r="AJ958" s="1324"/>
      <c r="AK958" s="1324"/>
      <c r="AL958" s="1324"/>
      <c r="AM958" s="1324"/>
      <c r="AN958" s="1324"/>
      <c r="AO958" s="1324"/>
      <c r="AP958" s="1324"/>
      <c r="AQ958" s="1324"/>
      <c r="AR958" s="1324"/>
      <c r="AS958" s="1324"/>
      <c r="AT958" s="1324"/>
      <c r="AU958" s="1324"/>
      <c r="AV958" s="1324"/>
      <c r="AW958" s="1324"/>
      <c r="AX958" s="1324"/>
      <c r="AY958" s="1324"/>
      <c r="AZ958" s="1324"/>
      <c r="BA958" s="1324"/>
      <c r="BB958" s="1324"/>
      <c r="BC958" s="1324"/>
      <c r="BD958" s="1324"/>
    </row>
    <row r="959" spans="1:56" s="131" customFormat="1" x14ac:dyDescent="0.3">
      <c r="A959" s="84">
        <v>803457</v>
      </c>
      <c r="B959" s="129">
        <v>1E-4</v>
      </c>
      <c r="C959" s="129"/>
      <c r="D959" s="149">
        <v>6.88</v>
      </c>
      <c r="E959" s="1527">
        <v>0.03</v>
      </c>
      <c r="F959" s="127">
        <v>77.900000000000006</v>
      </c>
      <c r="G959" s="125"/>
      <c r="H959" s="127">
        <v>12.97</v>
      </c>
      <c r="I959" s="127">
        <v>120</v>
      </c>
      <c r="J959" s="128">
        <v>1.4999999999999999E-2</v>
      </c>
      <c r="K959" s="129">
        <v>2.4300000000000002</v>
      </c>
      <c r="L959" s="125">
        <v>110</v>
      </c>
      <c r="M959" s="125">
        <v>0.27</v>
      </c>
      <c r="N959" s="125">
        <v>0.32</v>
      </c>
      <c r="O959" s="125">
        <v>17.34</v>
      </c>
      <c r="P959" s="125">
        <v>15.65</v>
      </c>
      <c r="Q959" s="125"/>
      <c r="R959" s="126">
        <v>0.34882947876885584</v>
      </c>
      <c r="S959" s="129">
        <v>2.6</v>
      </c>
      <c r="T959" s="125"/>
      <c r="U959" s="125"/>
      <c r="V959" s="125"/>
      <c r="W959" s="125"/>
      <c r="X959" s="125"/>
      <c r="Y959" s="129">
        <f t="shared" ca="1" si="38"/>
        <v>22.8</v>
      </c>
      <c r="Z959" s="126">
        <f ca="1">RANDBETWEEN(80,85)*D959/100</f>
        <v>5.7103999999999999</v>
      </c>
      <c r="AA959" s="126"/>
      <c r="AB959" s="126"/>
      <c r="AC959" s="125"/>
      <c r="AD959" s="130">
        <v>380</v>
      </c>
      <c r="AE959" s="130">
        <v>520</v>
      </c>
      <c r="AF959" s="130">
        <v>100</v>
      </c>
      <c r="AG959" s="66">
        <f t="shared" ca="1" si="36"/>
        <v>37.728947368421053</v>
      </c>
      <c r="AH959" s="143">
        <f t="shared" si="37"/>
        <v>1000</v>
      </c>
      <c r="AI959" s="1324"/>
      <c r="AJ959" s="1324"/>
      <c r="AK959" s="1324"/>
      <c r="AL959" s="1324"/>
      <c r="AM959" s="1324"/>
      <c r="AN959" s="1324"/>
      <c r="AO959" s="1324"/>
      <c r="AP959" s="1324"/>
      <c r="AQ959" s="1324"/>
      <c r="AR959" s="1324"/>
      <c r="AS959" s="1324"/>
      <c r="AT959" s="1324"/>
      <c r="AU959" s="1324"/>
      <c r="AV959" s="1324"/>
      <c r="AW959" s="1324"/>
      <c r="AX959" s="1324"/>
      <c r="AY959" s="1324"/>
      <c r="AZ959" s="1324"/>
      <c r="BA959" s="1324"/>
      <c r="BB959" s="1324"/>
      <c r="BC959" s="1324"/>
      <c r="BD959" s="1324"/>
    </row>
    <row r="960" spans="1:56" s="131" customFormat="1" x14ac:dyDescent="0.3">
      <c r="A960" s="84">
        <v>803458</v>
      </c>
      <c r="B960" s="129">
        <v>1E-4</v>
      </c>
      <c r="C960" s="129"/>
      <c r="D960" s="149">
        <v>6.92</v>
      </c>
      <c r="E960" s="1527">
        <v>0.02</v>
      </c>
      <c r="F960" s="127">
        <v>93.45</v>
      </c>
      <c r="G960" s="125"/>
      <c r="H960" s="127">
        <v>5.27</v>
      </c>
      <c r="I960" s="127">
        <v>40</v>
      </c>
      <c r="J960" s="128">
        <v>1.2E-2</v>
      </c>
      <c r="K960" s="129">
        <v>2.4</v>
      </c>
      <c r="L960" s="125">
        <v>130</v>
      </c>
      <c r="M960" s="125">
        <v>0.27</v>
      </c>
      <c r="N960" s="125">
        <v>0.28000000000000003</v>
      </c>
      <c r="O960" s="125">
        <v>9.2899999999999991</v>
      </c>
      <c r="P960" s="125">
        <v>6.52</v>
      </c>
      <c r="Q960" s="125"/>
      <c r="R960" s="126">
        <v>4.3940906866089806E-2</v>
      </c>
      <c r="S960" s="129">
        <v>0.3</v>
      </c>
      <c r="T960" s="125"/>
      <c r="U960" s="125"/>
      <c r="V960" s="125"/>
      <c r="W960" s="125"/>
      <c r="X960" s="125"/>
      <c r="Y960" s="129">
        <f t="shared" ca="1" si="38"/>
        <v>9.6</v>
      </c>
      <c r="Z960" s="126">
        <f ca="1">RANDBETWEEN(80,85)*D960/100</f>
        <v>5.8820000000000006</v>
      </c>
      <c r="AA960" s="126"/>
      <c r="AB960" s="126"/>
      <c r="AC960" s="125"/>
      <c r="AD960" s="130">
        <v>240</v>
      </c>
      <c r="AE960" s="130">
        <v>420</v>
      </c>
      <c r="AF960" s="130">
        <v>340</v>
      </c>
      <c r="AG960" s="66">
        <f t="shared" ca="1" si="36"/>
        <v>88.5</v>
      </c>
      <c r="AH960" s="143">
        <f t="shared" si="37"/>
        <v>1000</v>
      </c>
      <c r="AI960" s="1324"/>
      <c r="AJ960" s="1324"/>
      <c r="AK960" s="1324"/>
      <c r="AL960" s="1324"/>
      <c r="AM960" s="1324"/>
      <c r="AN960" s="1324"/>
      <c r="AO960" s="1324"/>
      <c r="AP960" s="1324"/>
      <c r="AQ960" s="1324"/>
      <c r="AR960" s="1324"/>
      <c r="AS960" s="1324"/>
      <c r="AT960" s="1324"/>
      <c r="AU960" s="1324"/>
      <c r="AV960" s="1324"/>
      <c r="AW960" s="1324"/>
      <c r="AX960" s="1324"/>
      <c r="AY960" s="1324"/>
      <c r="AZ960" s="1324"/>
      <c r="BA960" s="1324"/>
      <c r="BB960" s="1324"/>
      <c r="BC960" s="1324"/>
      <c r="BD960" s="1324"/>
    </row>
    <row r="961" spans="1:56" s="131" customFormat="1" x14ac:dyDescent="0.3">
      <c r="A961" s="84">
        <v>803459</v>
      </c>
      <c r="B961" s="129">
        <v>1E-4</v>
      </c>
      <c r="C961" s="129"/>
      <c r="D961" s="149">
        <v>6.82</v>
      </c>
      <c r="E961" s="1527">
        <v>0.02</v>
      </c>
      <c r="F961" s="127">
        <v>87.75</v>
      </c>
      <c r="G961" s="125"/>
      <c r="H961" s="127">
        <v>8.43</v>
      </c>
      <c r="I961" s="127">
        <v>40</v>
      </c>
      <c r="J961" s="128">
        <v>1.4E-2</v>
      </c>
      <c r="K961" s="129">
        <v>2.35</v>
      </c>
      <c r="L961" s="125">
        <v>110</v>
      </c>
      <c r="M961" s="125">
        <v>0.26</v>
      </c>
      <c r="N961" s="125">
        <v>0.21</v>
      </c>
      <c r="O961" s="125">
        <v>14.14</v>
      </c>
      <c r="P961" s="125">
        <v>7.88</v>
      </c>
      <c r="Q961" s="125"/>
      <c r="R961" s="126">
        <v>0.17724620882473341</v>
      </c>
      <c r="S961" s="129">
        <v>1.2</v>
      </c>
      <c r="T961" s="125"/>
      <c r="U961" s="125"/>
      <c r="V961" s="125"/>
      <c r="W961" s="125"/>
      <c r="X961" s="125"/>
      <c r="Y961" s="129">
        <f t="shared" ca="1" si="38"/>
        <v>14.4</v>
      </c>
      <c r="Z961" s="126">
        <f ca="1">RANDBETWEEN(80,85)*D961/100</f>
        <v>5.6606000000000005</v>
      </c>
      <c r="AA961" s="126"/>
      <c r="AB961" s="126"/>
      <c r="AC961" s="125"/>
      <c r="AD961" s="130">
        <v>240</v>
      </c>
      <c r="AE961" s="130">
        <v>420</v>
      </c>
      <c r="AF961" s="130">
        <v>340</v>
      </c>
      <c r="AG961" s="66">
        <f t="shared" ca="1" si="36"/>
        <v>57.770833333333336</v>
      </c>
      <c r="AH961" s="143">
        <f t="shared" si="37"/>
        <v>1000</v>
      </c>
      <c r="AI961" s="1324"/>
      <c r="AJ961" s="1324"/>
      <c r="AK961" s="1324"/>
      <c r="AL961" s="1324"/>
      <c r="AM961" s="1324"/>
      <c r="AN961" s="1324"/>
      <c r="AO961" s="1324"/>
      <c r="AP961" s="1324"/>
      <c r="AQ961" s="1324"/>
      <c r="AR961" s="1324"/>
      <c r="AS961" s="1324"/>
      <c r="AT961" s="1324"/>
      <c r="AU961" s="1324"/>
      <c r="AV961" s="1324"/>
      <c r="AW961" s="1324"/>
      <c r="AX961" s="1324"/>
      <c r="AY961" s="1324"/>
      <c r="AZ961" s="1324"/>
      <c r="BA961" s="1324"/>
      <c r="BB961" s="1324"/>
      <c r="BC961" s="1324"/>
      <c r="BD961" s="1324"/>
    </row>
    <row r="962" spans="1:56" s="131" customFormat="1" x14ac:dyDescent="0.3">
      <c r="A962" s="84">
        <v>803460</v>
      </c>
      <c r="B962" s="129">
        <v>8.3333333333333329E-2</v>
      </c>
      <c r="C962" s="129"/>
      <c r="D962" s="149">
        <v>6.7</v>
      </c>
      <c r="E962" s="1527">
        <v>0.03</v>
      </c>
      <c r="F962" s="127">
        <v>84.05</v>
      </c>
      <c r="G962" s="125"/>
      <c r="H962" s="127">
        <v>12.43</v>
      </c>
      <c r="I962" s="127">
        <v>40</v>
      </c>
      <c r="J962" s="128">
        <v>1.7999999999999999E-2</v>
      </c>
      <c r="K962" s="129">
        <v>2.48</v>
      </c>
      <c r="L962" s="125">
        <v>120</v>
      </c>
      <c r="M962" s="125">
        <v>0.42</v>
      </c>
      <c r="N962" s="125">
        <v>0.34</v>
      </c>
      <c r="O962" s="125">
        <v>8.4499999999999993</v>
      </c>
      <c r="P962" s="125">
        <v>5.93</v>
      </c>
      <c r="Q962" s="125"/>
      <c r="R962" s="126">
        <v>0.28450441050461428</v>
      </c>
      <c r="S962" s="129">
        <v>2</v>
      </c>
      <c r="T962" s="125"/>
      <c r="U962" s="125"/>
      <c r="V962" s="125"/>
      <c r="W962" s="125"/>
      <c r="X962" s="125"/>
      <c r="Y962" s="129">
        <f t="shared" ca="1" si="38"/>
        <v>8.8000000000000007</v>
      </c>
      <c r="Z962" s="126">
        <f ca="1">RANDBETWEEN(80,85)*D962/100</f>
        <v>5.628000000000001</v>
      </c>
      <c r="AA962" s="126"/>
      <c r="AB962" s="126"/>
      <c r="AC962" s="125"/>
      <c r="AD962" s="130">
        <v>220</v>
      </c>
      <c r="AE962" s="130">
        <v>420</v>
      </c>
      <c r="AF962" s="130">
        <v>360</v>
      </c>
      <c r="AG962" s="66">
        <f t="shared" ref="AG962:AG1025" ca="1" si="39">+K962*3.54*100/Y962</f>
        <v>99.763636363636351</v>
      </c>
      <c r="AH962" s="143">
        <f t="shared" ref="AH962:AH1025" si="40">+SUM(AD962:AF962)</f>
        <v>1000</v>
      </c>
      <c r="AI962" s="1324"/>
      <c r="AJ962" s="1324"/>
      <c r="AK962" s="1324"/>
      <c r="AL962" s="1324"/>
      <c r="AM962" s="1324"/>
      <c r="AN962" s="1324"/>
      <c r="AO962" s="1324"/>
      <c r="AP962" s="1324"/>
      <c r="AQ962" s="1324"/>
      <c r="AR962" s="1324"/>
      <c r="AS962" s="1324"/>
      <c r="AT962" s="1324"/>
      <c r="AU962" s="1324"/>
      <c r="AV962" s="1324"/>
      <c r="AW962" s="1324"/>
      <c r="AX962" s="1324"/>
      <c r="AY962" s="1324"/>
      <c r="AZ962" s="1324"/>
      <c r="BA962" s="1324"/>
      <c r="BB962" s="1324"/>
      <c r="BC962" s="1324"/>
      <c r="BD962" s="1324"/>
    </row>
    <row r="963" spans="1:56" s="131" customFormat="1" x14ac:dyDescent="0.3">
      <c r="A963" s="84">
        <v>803461</v>
      </c>
      <c r="B963" s="129">
        <v>1E-4</v>
      </c>
      <c r="C963" s="129"/>
      <c r="D963" s="149">
        <v>7.15</v>
      </c>
      <c r="E963" s="1527">
        <v>0.03</v>
      </c>
      <c r="F963" s="127">
        <v>73.75</v>
      </c>
      <c r="G963" s="125"/>
      <c r="H963" s="127">
        <v>9.81</v>
      </c>
      <c r="I963" s="127">
        <v>120</v>
      </c>
      <c r="J963" s="128">
        <v>5.0000000000000001E-3</v>
      </c>
      <c r="K963" s="129">
        <v>2.37</v>
      </c>
      <c r="L963" s="125">
        <v>90</v>
      </c>
      <c r="M963" s="125">
        <v>0.44</v>
      </c>
      <c r="N963" s="125">
        <v>0.15</v>
      </c>
      <c r="O963" s="125">
        <v>13.52</v>
      </c>
      <c r="P963" s="125">
        <v>4.28</v>
      </c>
      <c r="Q963" s="125"/>
      <c r="R963" s="126">
        <v>0.31305800692227376</v>
      </c>
      <c r="S963" s="129">
        <v>2.2999999999999998</v>
      </c>
      <c r="T963" s="125"/>
      <c r="U963" s="125"/>
      <c r="V963" s="125"/>
      <c r="W963" s="125"/>
      <c r="X963" s="125"/>
      <c r="Y963" s="129">
        <f t="shared" ca="1" si="38"/>
        <v>26.4</v>
      </c>
      <c r="Z963" s="125"/>
      <c r="AA963" s="126"/>
      <c r="AB963" s="126"/>
      <c r="AC963" s="125"/>
      <c r="AD963" s="130">
        <v>440</v>
      </c>
      <c r="AE963" s="130">
        <v>300</v>
      </c>
      <c r="AF963" s="130">
        <v>260</v>
      </c>
      <c r="AG963" s="66">
        <f t="shared" ca="1" si="39"/>
        <v>31.77954545454546</v>
      </c>
      <c r="AH963" s="143">
        <f t="shared" si="40"/>
        <v>1000</v>
      </c>
      <c r="AI963" s="1324"/>
      <c r="AJ963" s="1324"/>
      <c r="AK963" s="1324"/>
      <c r="AL963" s="1324"/>
      <c r="AM963" s="1324"/>
      <c r="AN963" s="1324"/>
      <c r="AO963" s="1324"/>
      <c r="AP963" s="1324"/>
      <c r="AQ963" s="1324"/>
      <c r="AR963" s="1324"/>
      <c r="AS963" s="1324"/>
      <c r="AT963" s="1324"/>
      <c r="AU963" s="1324"/>
      <c r="AV963" s="1324"/>
      <c r="AW963" s="1324"/>
      <c r="AX963" s="1324"/>
      <c r="AY963" s="1324"/>
      <c r="AZ963" s="1324"/>
      <c r="BA963" s="1324"/>
      <c r="BB963" s="1324"/>
      <c r="BC963" s="1324"/>
      <c r="BD963" s="1324"/>
    </row>
    <row r="964" spans="1:56" s="131" customFormat="1" x14ac:dyDescent="0.3">
      <c r="A964" s="84">
        <v>803462</v>
      </c>
      <c r="B964" s="129">
        <v>1E-4</v>
      </c>
      <c r="C964" s="129"/>
      <c r="D964" s="149">
        <v>6.69</v>
      </c>
      <c r="E964" s="1527">
        <v>0.03</v>
      </c>
      <c r="F964" s="127">
        <v>59.050000000000004</v>
      </c>
      <c r="G964" s="125"/>
      <c r="H964" s="127">
        <v>16.05</v>
      </c>
      <c r="I964" s="127">
        <v>130</v>
      </c>
      <c r="J964" s="128">
        <v>0.01</v>
      </c>
      <c r="K964" s="129">
        <v>2.4900000000000002</v>
      </c>
      <c r="L964" s="125">
        <v>110</v>
      </c>
      <c r="M964" s="125">
        <v>0.89</v>
      </c>
      <c r="N964" s="125">
        <v>0.16</v>
      </c>
      <c r="O964" s="125">
        <v>14.92</v>
      </c>
      <c r="P964" s="125">
        <v>7.04</v>
      </c>
      <c r="Q964" s="125"/>
      <c r="R964" s="126">
        <v>0.51238945948230352</v>
      </c>
      <c r="S964" s="129">
        <v>3.7</v>
      </c>
      <c r="T964" s="125"/>
      <c r="U964" s="125"/>
      <c r="V964" s="125"/>
      <c r="W964" s="125"/>
      <c r="X964" s="125"/>
      <c r="Y964" s="129">
        <f t="shared" ca="1" si="38"/>
        <v>25.2</v>
      </c>
      <c r="Z964" s="126">
        <f ca="1">RANDBETWEEN(80,85)*D964/100</f>
        <v>5.3520000000000003</v>
      </c>
      <c r="AA964" s="126"/>
      <c r="AB964" s="126"/>
      <c r="AC964" s="125"/>
      <c r="AD964" s="130">
        <v>420</v>
      </c>
      <c r="AE964" s="130">
        <v>340</v>
      </c>
      <c r="AF964" s="130">
        <v>240</v>
      </c>
      <c r="AG964" s="66">
        <f t="shared" ca="1" si="39"/>
        <v>34.978571428571428</v>
      </c>
      <c r="AH964" s="143">
        <f t="shared" si="40"/>
        <v>1000</v>
      </c>
      <c r="AI964" s="1324"/>
      <c r="AJ964" s="1324"/>
      <c r="AK964" s="1324"/>
      <c r="AL964" s="1324"/>
      <c r="AM964" s="1324"/>
      <c r="AN964" s="1324"/>
      <c r="AO964" s="1324"/>
      <c r="AP964" s="1324"/>
      <c r="AQ964" s="1324"/>
      <c r="AR964" s="1324"/>
      <c r="AS964" s="1324"/>
      <c r="AT964" s="1324"/>
      <c r="AU964" s="1324"/>
      <c r="AV964" s="1324"/>
      <c r="AW964" s="1324"/>
      <c r="AX964" s="1324"/>
      <c r="AY964" s="1324"/>
      <c r="AZ964" s="1324"/>
      <c r="BA964" s="1324"/>
      <c r="BB964" s="1324"/>
      <c r="BC964" s="1324"/>
      <c r="BD964" s="1324"/>
    </row>
    <row r="965" spans="1:56" s="131" customFormat="1" x14ac:dyDescent="0.3">
      <c r="A965" s="84">
        <v>803463</v>
      </c>
      <c r="B965" s="129">
        <v>1E-4</v>
      </c>
      <c r="C965" s="129"/>
      <c r="D965" s="149">
        <v>6.74</v>
      </c>
      <c r="E965" s="1527">
        <v>0.03</v>
      </c>
      <c r="F965" s="127">
        <v>62.1</v>
      </c>
      <c r="G965" s="125"/>
      <c r="H965" s="127">
        <v>15.44</v>
      </c>
      <c r="I965" s="127">
        <v>130</v>
      </c>
      <c r="J965" s="128">
        <v>1.6E-2</v>
      </c>
      <c r="K965" s="129">
        <v>2.37</v>
      </c>
      <c r="L965" s="125">
        <v>100</v>
      </c>
      <c r="M965" s="125">
        <v>0.42</v>
      </c>
      <c r="N965" s="125">
        <v>0.17</v>
      </c>
      <c r="O965" s="125">
        <v>21.37</v>
      </c>
      <c r="P965" s="125">
        <v>6.93</v>
      </c>
      <c r="Q965" s="125"/>
      <c r="R965" s="126">
        <v>0.75750717917295518</v>
      </c>
      <c r="S965" s="129">
        <v>5.6</v>
      </c>
      <c r="T965" s="125"/>
      <c r="U965" s="125"/>
      <c r="V965" s="125"/>
      <c r="W965" s="125"/>
      <c r="X965" s="125"/>
      <c r="Y965" s="129">
        <f t="shared" ca="1" si="38"/>
        <v>24</v>
      </c>
      <c r="Z965" s="126">
        <f ca="1">RANDBETWEEN(80,85)*D965/100</f>
        <v>5.6616</v>
      </c>
      <c r="AA965" s="126"/>
      <c r="AB965" s="126"/>
      <c r="AC965" s="125"/>
      <c r="AD965" s="130">
        <v>400</v>
      </c>
      <c r="AE965" s="130">
        <v>340</v>
      </c>
      <c r="AF965" s="130">
        <v>260</v>
      </c>
      <c r="AG965" s="66">
        <f t="shared" ca="1" si="39"/>
        <v>34.957500000000003</v>
      </c>
      <c r="AH965" s="143">
        <f t="shared" si="40"/>
        <v>1000</v>
      </c>
      <c r="AI965" s="1324"/>
      <c r="AJ965" s="1324"/>
      <c r="AK965" s="1324"/>
      <c r="AL965" s="1324"/>
      <c r="AM965" s="1324"/>
      <c r="AN965" s="1324"/>
      <c r="AO965" s="1324"/>
      <c r="AP965" s="1324"/>
      <c r="AQ965" s="1324"/>
      <c r="AR965" s="1324"/>
      <c r="AS965" s="1324"/>
      <c r="AT965" s="1324"/>
      <c r="AU965" s="1324"/>
      <c r="AV965" s="1324"/>
      <c r="AW965" s="1324"/>
      <c r="AX965" s="1324"/>
      <c r="AY965" s="1324"/>
      <c r="AZ965" s="1324"/>
      <c r="BA965" s="1324"/>
      <c r="BB965" s="1324"/>
      <c r="BC965" s="1324"/>
      <c r="BD965" s="1324"/>
    </row>
    <row r="966" spans="1:56" s="131" customFormat="1" x14ac:dyDescent="0.3">
      <c r="A966" s="84">
        <v>803464</v>
      </c>
      <c r="B966" s="129">
        <v>1E-4</v>
      </c>
      <c r="C966" s="129"/>
      <c r="D966" s="149">
        <v>6.09</v>
      </c>
      <c r="E966" s="1527">
        <v>0.02</v>
      </c>
      <c r="F966" s="127">
        <v>67.75</v>
      </c>
      <c r="G966" s="125"/>
      <c r="H966" s="127">
        <v>10.31</v>
      </c>
      <c r="I966" s="127">
        <v>50</v>
      </c>
      <c r="J966" s="128">
        <v>5.0000000000000001E-3</v>
      </c>
      <c r="K966" s="129">
        <v>2.09</v>
      </c>
      <c r="L966" s="125">
        <v>30</v>
      </c>
      <c r="M966" s="125">
        <v>0.04</v>
      </c>
      <c r="N966" s="125">
        <v>0.11</v>
      </c>
      <c r="O966" s="125">
        <v>6.97</v>
      </c>
      <c r="P966" s="125">
        <v>2.41</v>
      </c>
      <c r="Q966" s="125"/>
      <c r="R966" s="126">
        <v>9.2279556382489011E-2</v>
      </c>
      <c r="S966" s="129">
        <v>0.6</v>
      </c>
      <c r="T966" s="125"/>
      <c r="U966" s="125"/>
      <c r="V966" s="125"/>
      <c r="W966" s="125"/>
      <c r="X966" s="125"/>
      <c r="Y966" s="129">
        <f t="shared" ca="1" si="38"/>
        <v>7.2</v>
      </c>
      <c r="Z966" s="126">
        <f ca="1">RANDBETWEEN(80,85)*D966/100</f>
        <v>5.1155999999999997</v>
      </c>
      <c r="AA966" s="126"/>
      <c r="AB966" s="126"/>
      <c r="AC966" s="125"/>
      <c r="AD966" s="130">
        <v>120</v>
      </c>
      <c r="AE966" s="130">
        <v>60</v>
      </c>
      <c r="AF966" s="130">
        <v>820</v>
      </c>
      <c r="AG966" s="66">
        <f t="shared" ca="1" si="39"/>
        <v>102.75833333333331</v>
      </c>
      <c r="AH966" s="143">
        <f t="shared" si="40"/>
        <v>1000</v>
      </c>
      <c r="AI966" s="1324"/>
      <c r="AJ966" s="1324"/>
      <c r="AK966" s="1324"/>
      <c r="AL966" s="1324"/>
      <c r="AM966" s="1324"/>
      <c r="AN966" s="1324"/>
      <c r="AO966" s="1324"/>
      <c r="AP966" s="1324"/>
      <c r="AQ966" s="1324"/>
      <c r="AR966" s="1324"/>
      <c r="AS966" s="1324"/>
      <c r="AT966" s="1324"/>
      <c r="AU966" s="1324"/>
      <c r="AV966" s="1324"/>
      <c r="AW966" s="1324"/>
      <c r="AX966" s="1324"/>
      <c r="AY966" s="1324"/>
      <c r="AZ966" s="1324"/>
      <c r="BA966" s="1324"/>
      <c r="BB966" s="1324"/>
      <c r="BC966" s="1324"/>
      <c r="BD966" s="1324"/>
    </row>
    <row r="967" spans="1:56" s="131" customFormat="1" x14ac:dyDescent="0.3">
      <c r="A967" s="84">
        <v>803465</v>
      </c>
      <c r="B967" s="129">
        <v>1E-4</v>
      </c>
      <c r="C967" s="129"/>
      <c r="D967" s="149">
        <v>6.25</v>
      </c>
      <c r="E967" s="1527">
        <v>0.02</v>
      </c>
      <c r="F967" s="127">
        <v>65.650000000000006</v>
      </c>
      <c r="G967" s="125"/>
      <c r="H967" s="127">
        <v>11.98</v>
      </c>
      <c r="I967" s="127">
        <v>50</v>
      </c>
      <c r="J967" s="128">
        <v>0.01</v>
      </c>
      <c r="K967" s="129">
        <v>2.12</v>
      </c>
      <c r="L967" s="125">
        <v>40</v>
      </c>
      <c r="M967" s="125">
        <v>0.12</v>
      </c>
      <c r="N967" s="125">
        <v>0.12</v>
      </c>
      <c r="O967" s="125">
        <v>9.31</v>
      </c>
      <c r="P967" s="125">
        <v>2.73</v>
      </c>
      <c r="Q967" s="125"/>
      <c r="R967" s="126">
        <v>0.2740883756188483</v>
      </c>
      <c r="S967" s="129">
        <v>1.8</v>
      </c>
      <c r="T967" s="125"/>
      <c r="U967" s="125"/>
      <c r="V967" s="125"/>
      <c r="W967" s="125"/>
      <c r="X967" s="125"/>
      <c r="Y967" s="129">
        <f t="shared" ca="1" si="38"/>
        <v>5</v>
      </c>
      <c r="Z967" s="126">
        <f ca="1">RANDBETWEEN(80,85)*D967/100</f>
        <v>5.25</v>
      </c>
      <c r="AA967" s="126"/>
      <c r="AB967" s="126"/>
      <c r="AC967" s="125"/>
      <c r="AD967" s="130">
        <v>100</v>
      </c>
      <c r="AE967" s="130">
        <v>60</v>
      </c>
      <c r="AF967" s="130">
        <v>840</v>
      </c>
      <c r="AG967" s="66">
        <f t="shared" ca="1" si="39"/>
        <v>150.096</v>
      </c>
      <c r="AH967" s="143">
        <f t="shared" si="40"/>
        <v>1000</v>
      </c>
      <c r="AI967" s="1324"/>
      <c r="AJ967" s="1324"/>
      <c r="AK967" s="1324"/>
      <c r="AL967" s="1324"/>
      <c r="AM967" s="1324"/>
      <c r="AN967" s="1324"/>
      <c r="AO967" s="1324"/>
      <c r="AP967" s="1324"/>
      <c r="AQ967" s="1324"/>
      <c r="AR967" s="1324"/>
      <c r="AS967" s="1324"/>
      <c r="AT967" s="1324"/>
      <c r="AU967" s="1324"/>
      <c r="AV967" s="1324"/>
      <c r="AW967" s="1324"/>
      <c r="AX967" s="1324"/>
      <c r="AY967" s="1324"/>
      <c r="AZ967" s="1324"/>
      <c r="BA967" s="1324"/>
      <c r="BB967" s="1324"/>
      <c r="BC967" s="1324"/>
      <c r="BD967" s="1324"/>
    </row>
    <row r="968" spans="1:56" s="131" customFormat="1" x14ac:dyDescent="0.3">
      <c r="A968" s="84">
        <v>803466</v>
      </c>
      <c r="B968" s="129">
        <v>1E-4</v>
      </c>
      <c r="C968" s="129"/>
      <c r="D968" s="149">
        <v>6.31</v>
      </c>
      <c r="E968" s="1527">
        <v>0.02</v>
      </c>
      <c r="F968" s="127">
        <v>104.14999999999999</v>
      </c>
      <c r="G968" s="125"/>
      <c r="H968" s="127">
        <v>6.71</v>
      </c>
      <c r="I968" s="127">
        <v>50</v>
      </c>
      <c r="J968" s="128">
        <v>8.0000000000000002E-3</v>
      </c>
      <c r="K968" s="129">
        <v>2.12</v>
      </c>
      <c r="L968" s="125">
        <v>40</v>
      </c>
      <c r="M968" s="125">
        <v>0.06</v>
      </c>
      <c r="N968" s="125">
        <v>0.13</v>
      </c>
      <c r="O968" s="125">
        <v>13.09</v>
      </c>
      <c r="P968" s="125">
        <v>2.92</v>
      </c>
      <c r="Q968" s="125"/>
      <c r="R968" s="126">
        <v>0.19457901659302942</v>
      </c>
      <c r="S968" s="129">
        <v>1.3</v>
      </c>
      <c r="T968" s="125"/>
      <c r="U968" s="125"/>
      <c r="V968" s="125"/>
      <c r="W968" s="125"/>
      <c r="X968" s="125"/>
      <c r="Y968" s="129">
        <f t="shared" ca="1" si="38"/>
        <v>5</v>
      </c>
      <c r="Z968" s="126">
        <f ca="1">RANDBETWEEN(80,85)*D968/100</f>
        <v>5.3003999999999998</v>
      </c>
      <c r="AA968" s="126"/>
      <c r="AB968" s="126"/>
      <c r="AC968" s="125"/>
      <c r="AD968" s="130">
        <v>100</v>
      </c>
      <c r="AE968" s="130">
        <v>60</v>
      </c>
      <c r="AF968" s="130">
        <v>840</v>
      </c>
      <c r="AG968" s="66">
        <f t="shared" ca="1" si="39"/>
        <v>150.096</v>
      </c>
      <c r="AH968" s="143">
        <f t="shared" si="40"/>
        <v>1000</v>
      </c>
      <c r="AI968" s="1324"/>
      <c r="AJ968" s="1324"/>
      <c r="AK968" s="1324"/>
      <c r="AL968" s="1324"/>
      <c r="AM968" s="1324"/>
      <c r="AN968" s="1324"/>
      <c r="AO968" s="1324"/>
      <c r="AP968" s="1324"/>
      <c r="AQ968" s="1324"/>
      <c r="AR968" s="1324"/>
      <c r="AS968" s="1324"/>
      <c r="AT968" s="1324"/>
      <c r="AU968" s="1324"/>
      <c r="AV968" s="1324"/>
      <c r="AW968" s="1324"/>
      <c r="AX968" s="1324"/>
      <c r="AY968" s="1324"/>
      <c r="AZ968" s="1324"/>
      <c r="BA968" s="1324"/>
      <c r="BB968" s="1324"/>
      <c r="BC968" s="1324"/>
      <c r="BD968" s="1324"/>
    </row>
    <row r="969" spans="1:56" s="131" customFormat="1" x14ac:dyDescent="0.3">
      <c r="A969" s="84">
        <v>803467</v>
      </c>
      <c r="B969" s="129">
        <v>10</v>
      </c>
      <c r="C969" s="129">
        <v>0.24999999999999911</v>
      </c>
      <c r="D969" s="149">
        <v>8.59</v>
      </c>
      <c r="E969" s="1527">
        <v>0.2</v>
      </c>
      <c r="F969" s="127">
        <v>79.55</v>
      </c>
      <c r="G969" s="125"/>
      <c r="H969" s="127">
        <v>51.33</v>
      </c>
      <c r="I969" s="127">
        <v>200</v>
      </c>
      <c r="J969" s="128">
        <v>0.23599999999999999</v>
      </c>
      <c r="K969" s="129">
        <v>5.74</v>
      </c>
      <c r="L969" s="125">
        <v>600</v>
      </c>
      <c r="M969" s="125">
        <v>2.57</v>
      </c>
      <c r="N969" s="125">
        <v>3.42</v>
      </c>
      <c r="O969" s="125">
        <v>4.25</v>
      </c>
      <c r="P969" s="125">
        <v>16.7</v>
      </c>
      <c r="Q969" s="125"/>
      <c r="R969" s="126">
        <v>0.96391631781494636</v>
      </c>
      <c r="S969" s="129">
        <v>6.3</v>
      </c>
      <c r="T969" s="125"/>
      <c r="U969" s="125"/>
      <c r="V969" s="125"/>
      <c r="W969" s="125"/>
      <c r="X969" s="125"/>
      <c r="Y969" s="129">
        <f t="shared" ca="1" si="38"/>
        <v>28</v>
      </c>
      <c r="Z969" s="125"/>
      <c r="AA969" s="126"/>
      <c r="AB969" s="126"/>
      <c r="AC969" s="125"/>
      <c r="AD969" s="130">
        <v>560</v>
      </c>
      <c r="AE969" s="130">
        <v>220</v>
      </c>
      <c r="AF969" s="130">
        <v>280</v>
      </c>
      <c r="AG969" s="66">
        <f t="shared" ca="1" si="39"/>
        <v>72.570000000000007</v>
      </c>
      <c r="AH969" s="143">
        <f t="shared" si="40"/>
        <v>1060</v>
      </c>
      <c r="AI969" s="1324"/>
      <c r="AJ969" s="1324"/>
      <c r="AK969" s="1324"/>
      <c r="AL969" s="1324"/>
      <c r="AM969" s="1324"/>
      <c r="AN969" s="1324"/>
      <c r="AO969" s="1324"/>
      <c r="AP969" s="1324"/>
      <c r="AQ969" s="1324"/>
      <c r="AR969" s="1324"/>
      <c r="AS969" s="1324"/>
      <c r="AT969" s="1324"/>
      <c r="AU969" s="1324"/>
      <c r="AV969" s="1324"/>
      <c r="AW969" s="1324"/>
      <c r="AX969" s="1324"/>
      <c r="AY969" s="1324"/>
      <c r="AZ969" s="1324"/>
      <c r="BA969" s="1324"/>
      <c r="BB969" s="1324"/>
      <c r="BC969" s="1324"/>
      <c r="BD969" s="1324"/>
    </row>
    <row r="970" spans="1:56" s="131" customFormat="1" x14ac:dyDescent="0.3">
      <c r="A970" s="84">
        <v>803468</v>
      </c>
      <c r="B970" s="129">
        <v>9.1666666666666679</v>
      </c>
      <c r="C970" s="129"/>
      <c r="D970" s="149">
        <v>8.35</v>
      </c>
      <c r="E970" s="1527">
        <v>0.22</v>
      </c>
      <c r="F970" s="127">
        <v>118.65</v>
      </c>
      <c r="G970" s="125"/>
      <c r="H970" s="127">
        <v>122.49</v>
      </c>
      <c r="I970" s="127">
        <v>570</v>
      </c>
      <c r="J970" s="128">
        <v>0.26100000000000001</v>
      </c>
      <c r="K970" s="129">
        <v>6.79</v>
      </c>
      <c r="L970" s="125">
        <v>1230</v>
      </c>
      <c r="M970" s="125">
        <v>3.26</v>
      </c>
      <c r="N970" s="125">
        <v>1.0900000000000001</v>
      </c>
      <c r="O970" s="125">
        <v>5.44</v>
      </c>
      <c r="P970" s="125">
        <v>29.28</v>
      </c>
      <c r="Q970" s="125"/>
      <c r="R970" s="126">
        <v>1.9439120000000001</v>
      </c>
      <c r="S970" s="129">
        <v>21.8</v>
      </c>
      <c r="T970" s="125"/>
      <c r="U970" s="125"/>
      <c r="V970" s="125"/>
      <c r="W970" s="125"/>
      <c r="X970" s="125"/>
      <c r="Y970" s="129">
        <f t="shared" ca="1" si="38"/>
        <v>30</v>
      </c>
      <c r="Z970" s="125"/>
      <c r="AA970" s="126"/>
      <c r="AB970" s="126"/>
      <c r="AC970" s="125"/>
      <c r="AD970" s="130">
        <v>500</v>
      </c>
      <c r="AE970" s="130">
        <v>320</v>
      </c>
      <c r="AF970" s="130">
        <v>180</v>
      </c>
      <c r="AG970" s="66">
        <f t="shared" ca="1" si="39"/>
        <v>80.122</v>
      </c>
      <c r="AH970" s="143">
        <f t="shared" si="40"/>
        <v>1000</v>
      </c>
      <c r="AI970" s="1324"/>
      <c r="AJ970" s="1324"/>
      <c r="AK970" s="1324"/>
      <c r="AL970" s="1324"/>
      <c r="AM970" s="1324"/>
      <c r="AN970" s="1324"/>
      <c r="AO970" s="1324"/>
      <c r="AP970" s="1324"/>
      <c r="AQ970" s="1324"/>
      <c r="AR970" s="1324"/>
      <c r="AS970" s="1324"/>
      <c r="AT970" s="1324"/>
      <c r="AU970" s="1324"/>
      <c r="AV970" s="1324"/>
      <c r="AW970" s="1324"/>
      <c r="AX970" s="1324"/>
      <c r="AY970" s="1324"/>
      <c r="AZ970" s="1324"/>
      <c r="BA970" s="1324"/>
      <c r="BB970" s="1324"/>
      <c r="BC970" s="1324"/>
      <c r="BD970" s="1324"/>
    </row>
    <row r="971" spans="1:56" s="131" customFormat="1" x14ac:dyDescent="0.3">
      <c r="A971" s="84">
        <v>803469</v>
      </c>
      <c r="B971" s="129">
        <v>0.8</v>
      </c>
      <c r="C971" s="129"/>
      <c r="D971" s="149">
        <v>8.48</v>
      </c>
      <c r="E971" s="1527">
        <v>0.31</v>
      </c>
      <c r="F971" s="127">
        <v>74.75</v>
      </c>
      <c r="G971" s="125"/>
      <c r="H971" s="127">
        <v>97.46</v>
      </c>
      <c r="I971" s="127">
        <v>430</v>
      </c>
      <c r="J971" s="128">
        <v>0.63600000000000001</v>
      </c>
      <c r="K971" s="129">
        <v>4.5999999999999996</v>
      </c>
      <c r="L971" s="125">
        <v>1520</v>
      </c>
      <c r="M971" s="125">
        <v>3.4</v>
      </c>
      <c r="N971" s="125">
        <v>1.64</v>
      </c>
      <c r="O971" s="125">
        <v>9.0500000000000007</v>
      </c>
      <c r="P971" s="125">
        <v>91.14</v>
      </c>
      <c r="Q971" s="125"/>
      <c r="R971" s="126">
        <v>2.0468120000000001</v>
      </c>
      <c r="S971" s="129">
        <v>26.8</v>
      </c>
      <c r="T971" s="125"/>
      <c r="U971" s="125"/>
      <c r="V971" s="125"/>
      <c r="W971" s="125"/>
      <c r="X971" s="125"/>
      <c r="Y971" s="129">
        <f t="shared" ca="1" si="38"/>
        <v>22</v>
      </c>
      <c r="Z971" s="125"/>
      <c r="AA971" s="126"/>
      <c r="AB971" s="126"/>
      <c r="AC971" s="125"/>
      <c r="AD971" s="130">
        <v>440</v>
      </c>
      <c r="AE971" s="130">
        <v>360</v>
      </c>
      <c r="AF971" s="130">
        <v>200</v>
      </c>
      <c r="AG971" s="66">
        <f t="shared" ca="1" si="39"/>
        <v>74.018181818181816</v>
      </c>
      <c r="AH971" s="143">
        <f t="shared" si="40"/>
        <v>1000</v>
      </c>
      <c r="AI971" s="1324"/>
      <c r="AJ971" s="1324"/>
      <c r="AK971" s="1324"/>
      <c r="AL971" s="1324"/>
      <c r="AM971" s="1324"/>
      <c r="AN971" s="1324"/>
      <c r="AO971" s="1324"/>
      <c r="AP971" s="1324"/>
      <c r="AQ971" s="1324"/>
      <c r="AR971" s="1324"/>
      <c r="AS971" s="1324"/>
      <c r="AT971" s="1324"/>
      <c r="AU971" s="1324"/>
      <c r="AV971" s="1324"/>
      <c r="AW971" s="1324"/>
      <c r="AX971" s="1324"/>
      <c r="AY971" s="1324"/>
      <c r="AZ971" s="1324"/>
      <c r="BA971" s="1324"/>
      <c r="BB971" s="1324"/>
      <c r="BC971" s="1324"/>
      <c r="BD971" s="1324"/>
    </row>
    <row r="972" spans="1:56" s="131" customFormat="1" x14ac:dyDescent="0.3">
      <c r="A972" s="84">
        <v>803470</v>
      </c>
      <c r="B972" s="129">
        <v>7.5</v>
      </c>
      <c r="C972" s="129"/>
      <c r="D972" s="149">
        <v>8.09</v>
      </c>
      <c r="E972" s="1527">
        <v>0.15</v>
      </c>
      <c r="F972" s="127">
        <v>78.650000000000006</v>
      </c>
      <c r="G972" s="125"/>
      <c r="H972" s="127">
        <v>16.78</v>
      </c>
      <c r="I972" s="127">
        <v>80</v>
      </c>
      <c r="J972" s="128">
        <v>4.9000000000000002E-2</v>
      </c>
      <c r="K972" s="129">
        <v>7.43</v>
      </c>
      <c r="L972" s="125">
        <v>300</v>
      </c>
      <c r="M972" s="125">
        <v>0.08</v>
      </c>
      <c r="N972" s="125">
        <v>0.23</v>
      </c>
      <c r="O972" s="125">
        <v>3.05</v>
      </c>
      <c r="P972" s="125">
        <v>5.88</v>
      </c>
      <c r="Q972" s="125"/>
      <c r="R972" s="126">
        <v>0.19194899337762653</v>
      </c>
      <c r="S972" s="129">
        <v>1.4</v>
      </c>
      <c r="T972" s="125"/>
      <c r="U972" s="125"/>
      <c r="V972" s="125"/>
      <c r="W972" s="125"/>
      <c r="X972" s="125"/>
      <c r="Y972" s="129">
        <f t="shared" ca="1" si="38"/>
        <v>21</v>
      </c>
      <c r="Z972" s="125"/>
      <c r="AA972" s="126"/>
      <c r="AB972" s="126"/>
      <c r="AC972" s="125"/>
      <c r="AD972" s="130">
        <v>420</v>
      </c>
      <c r="AE972" s="130">
        <v>360</v>
      </c>
      <c r="AF972" s="130">
        <v>220</v>
      </c>
      <c r="AG972" s="66">
        <f t="shared" ca="1" si="39"/>
        <v>125.24857142857142</v>
      </c>
      <c r="AH972" s="143">
        <f t="shared" si="40"/>
        <v>1000</v>
      </c>
      <c r="AI972" s="1324"/>
      <c r="AJ972" s="1324"/>
      <c r="AK972" s="1324"/>
      <c r="AL972" s="1324"/>
      <c r="AM972" s="1324"/>
      <c r="AN972" s="1324"/>
      <c r="AO972" s="1324"/>
      <c r="AP972" s="1324"/>
      <c r="AQ972" s="1324"/>
      <c r="AR972" s="1324"/>
      <c r="AS972" s="1324"/>
      <c r="AT972" s="1324"/>
      <c r="AU972" s="1324"/>
      <c r="AV972" s="1324"/>
      <c r="AW972" s="1324"/>
      <c r="AX972" s="1324"/>
      <c r="AY972" s="1324"/>
      <c r="AZ972" s="1324"/>
      <c r="BA972" s="1324"/>
      <c r="BB972" s="1324"/>
      <c r="BC972" s="1324"/>
      <c r="BD972" s="1324"/>
    </row>
    <row r="973" spans="1:56" s="131" customFormat="1" x14ac:dyDescent="0.3">
      <c r="A973" s="84">
        <v>803471</v>
      </c>
      <c r="B973" s="129">
        <v>1E-4</v>
      </c>
      <c r="C973" s="129"/>
      <c r="D973" s="149">
        <v>8.1</v>
      </c>
      <c r="E973" s="1527">
        <v>0.04</v>
      </c>
      <c r="F973" s="127">
        <v>315.89999999999998</v>
      </c>
      <c r="G973" s="125"/>
      <c r="H973" s="127">
        <v>36.33</v>
      </c>
      <c r="I973" s="127">
        <v>60</v>
      </c>
      <c r="J973" s="128">
        <v>4.5999999999999999E-2</v>
      </c>
      <c r="K973" s="129">
        <v>2.19</v>
      </c>
      <c r="L973" s="125">
        <v>310</v>
      </c>
      <c r="M973" s="125">
        <v>0.13</v>
      </c>
      <c r="N973" s="125">
        <v>0.25</v>
      </c>
      <c r="O973" s="125">
        <v>4.58</v>
      </c>
      <c r="P973" s="125">
        <v>27.38</v>
      </c>
      <c r="Q973" s="125"/>
      <c r="R973" s="126">
        <v>6.7255797852962429E-2</v>
      </c>
      <c r="S973" s="129">
        <v>0.5</v>
      </c>
      <c r="T973" s="125"/>
      <c r="U973" s="125"/>
      <c r="V973" s="125"/>
      <c r="W973" s="125"/>
      <c r="X973" s="125"/>
      <c r="Y973" s="129">
        <f t="shared" ca="1" si="38"/>
        <v>21.6</v>
      </c>
      <c r="Z973" s="125"/>
      <c r="AA973" s="126"/>
      <c r="AB973" s="126"/>
      <c r="AC973" s="125"/>
      <c r="AD973" s="130">
        <v>540</v>
      </c>
      <c r="AE973" s="130">
        <v>220</v>
      </c>
      <c r="AF973" s="130">
        <v>240</v>
      </c>
      <c r="AG973" s="66">
        <f t="shared" ca="1" si="39"/>
        <v>35.891666666666666</v>
      </c>
      <c r="AH973" s="143">
        <f t="shared" si="40"/>
        <v>1000</v>
      </c>
      <c r="AI973" s="1324"/>
      <c r="AJ973" s="1324"/>
      <c r="AK973" s="1324"/>
      <c r="AL973" s="1324"/>
      <c r="AM973" s="1324"/>
      <c r="AN973" s="1324"/>
      <c r="AO973" s="1324"/>
      <c r="AP973" s="1324"/>
      <c r="AQ973" s="1324"/>
      <c r="AR973" s="1324"/>
      <c r="AS973" s="1324"/>
      <c r="AT973" s="1324"/>
      <c r="AU973" s="1324"/>
      <c r="AV973" s="1324"/>
      <c r="AW973" s="1324"/>
      <c r="AX973" s="1324"/>
      <c r="AY973" s="1324"/>
      <c r="AZ973" s="1324"/>
      <c r="BA973" s="1324"/>
      <c r="BB973" s="1324"/>
      <c r="BC973" s="1324"/>
      <c r="BD973" s="1324"/>
    </row>
    <row r="974" spans="1:56" s="131" customFormat="1" x14ac:dyDescent="0.3">
      <c r="A974" s="84">
        <v>803472</v>
      </c>
      <c r="B974" s="129">
        <v>5.541666666666667</v>
      </c>
      <c r="C974" s="129"/>
      <c r="D974" s="149">
        <v>8.08</v>
      </c>
      <c r="E974" s="1527">
        <v>3.74</v>
      </c>
      <c r="F974" s="127">
        <v>1519.05</v>
      </c>
      <c r="G974" s="125"/>
      <c r="H974" s="127">
        <v>17.09</v>
      </c>
      <c r="I974" s="127">
        <v>580</v>
      </c>
      <c r="J974" s="128">
        <v>1.421</v>
      </c>
      <c r="K974" s="129">
        <v>24.68</v>
      </c>
      <c r="L974" s="125">
        <v>1500</v>
      </c>
      <c r="M974" s="125">
        <v>0.05</v>
      </c>
      <c r="N974" s="125">
        <v>0.25</v>
      </c>
      <c r="O974" s="125">
        <v>1.0000000000000001E-5</v>
      </c>
      <c r="P974" s="125">
        <v>2.04</v>
      </c>
      <c r="Q974" s="125"/>
      <c r="R974" s="126">
        <v>0.26923746977970103</v>
      </c>
      <c r="S974" s="129">
        <v>2</v>
      </c>
      <c r="T974" s="125"/>
      <c r="U974" s="125"/>
      <c r="V974" s="125"/>
      <c r="W974" s="125"/>
      <c r="X974" s="125"/>
      <c r="Y974" s="129">
        <f t="shared" ca="1" si="38"/>
        <v>15.2</v>
      </c>
      <c r="Z974" s="125"/>
      <c r="AA974" s="126"/>
      <c r="AB974" s="126"/>
      <c r="AC974" s="125"/>
      <c r="AD974" s="130">
        <v>380</v>
      </c>
      <c r="AE974" s="130">
        <v>440</v>
      </c>
      <c r="AF974" s="130">
        <v>180</v>
      </c>
      <c r="AG974" s="66">
        <f t="shared" ca="1" si="39"/>
        <v>574.78421052631575</v>
      </c>
      <c r="AH974" s="143">
        <f t="shared" si="40"/>
        <v>1000</v>
      </c>
      <c r="AI974" s="1324"/>
      <c r="AJ974" s="1324"/>
      <c r="AK974" s="1324"/>
      <c r="AL974" s="1324"/>
      <c r="AM974" s="1324"/>
      <c r="AN974" s="1324"/>
      <c r="AO974" s="1324"/>
      <c r="AP974" s="1324"/>
      <c r="AQ974" s="1324"/>
      <c r="AR974" s="1324"/>
      <c r="AS974" s="1324"/>
      <c r="AT974" s="1324"/>
      <c r="AU974" s="1324"/>
      <c r="AV974" s="1324"/>
      <c r="AW974" s="1324"/>
      <c r="AX974" s="1324"/>
      <c r="AY974" s="1324"/>
      <c r="AZ974" s="1324"/>
      <c r="BA974" s="1324"/>
      <c r="BB974" s="1324"/>
      <c r="BC974" s="1324"/>
      <c r="BD974" s="1324"/>
    </row>
    <row r="975" spans="1:56" s="131" customFormat="1" x14ac:dyDescent="0.3">
      <c r="A975" s="84">
        <v>803473</v>
      </c>
      <c r="B975" s="129">
        <v>1.2</v>
      </c>
      <c r="C975" s="129"/>
      <c r="D975" s="149">
        <v>8.3000000000000007</v>
      </c>
      <c r="E975" s="1527">
        <v>0.37</v>
      </c>
      <c r="F975" s="127">
        <v>686</v>
      </c>
      <c r="G975" s="125"/>
      <c r="H975" s="127">
        <v>37.74</v>
      </c>
      <c r="I975" s="127">
        <v>290</v>
      </c>
      <c r="J975" s="128">
        <v>0.26100000000000001</v>
      </c>
      <c r="K975" s="129">
        <v>4.21</v>
      </c>
      <c r="L975" s="125">
        <v>770</v>
      </c>
      <c r="M975" s="125">
        <v>1.23</v>
      </c>
      <c r="N975" s="125">
        <v>0.74</v>
      </c>
      <c r="O975" s="125">
        <v>0.85</v>
      </c>
      <c r="P975" s="125">
        <v>3.38</v>
      </c>
      <c r="Q975" s="125"/>
      <c r="R975" s="126">
        <v>0.83527061411684922</v>
      </c>
      <c r="S975" s="129">
        <v>5.8</v>
      </c>
      <c r="T975" s="125"/>
      <c r="U975" s="125"/>
      <c r="V975" s="125"/>
      <c r="W975" s="125"/>
      <c r="X975" s="125"/>
      <c r="Y975" s="129">
        <f t="shared" ca="1" si="38"/>
        <v>13.6</v>
      </c>
      <c r="Z975" s="125"/>
      <c r="AA975" s="126"/>
      <c r="AB975" s="126"/>
      <c r="AC975" s="125"/>
      <c r="AD975" s="130">
        <v>340</v>
      </c>
      <c r="AE975" s="130">
        <v>400</v>
      </c>
      <c r="AF975" s="130">
        <v>260</v>
      </c>
      <c r="AG975" s="66">
        <f t="shared" ca="1" si="39"/>
        <v>109.58382352941176</v>
      </c>
      <c r="AH975" s="143">
        <f t="shared" si="40"/>
        <v>1000</v>
      </c>
      <c r="AI975" s="1324"/>
      <c r="AJ975" s="1324"/>
      <c r="AK975" s="1324"/>
      <c r="AL975" s="1324"/>
      <c r="AM975" s="1324"/>
      <c r="AN975" s="1324"/>
      <c r="AO975" s="1324"/>
      <c r="AP975" s="1324"/>
      <c r="AQ975" s="1324"/>
      <c r="AR975" s="1324"/>
      <c r="AS975" s="1324"/>
      <c r="AT975" s="1324"/>
      <c r="AU975" s="1324"/>
      <c r="AV975" s="1324"/>
      <c r="AW975" s="1324"/>
      <c r="AX975" s="1324"/>
      <c r="AY975" s="1324"/>
      <c r="AZ975" s="1324"/>
      <c r="BA975" s="1324"/>
      <c r="BB975" s="1324"/>
      <c r="BC975" s="1324"/>
      <c r="BD975" s="1324"/>
    </row>
    <row r="976" spans="1:56" s="131" customFormat="1" x14ac:dyDescent="0.3">
      <c r="A976" s="84">
        <v>803474</v>
      </c>
      <c r="B976" s="129">
        <v>2.833333333333333</v>
      </c>
      <c r="C976" s="129"/>
      <c r="D976" s="149">
        <v>8.26</v>
      </c>
      <c r="E976" s="1527">
        <v>0.78</v>
      </c>
      <c r="F976" s="127">
        <v>126.85000000000001</v>
      </c>
      <c r="G976" s="125"/>
      <c r="H976" s="127">
        <v>145.99</v>
      </c>
      <c r="I976" s="127">
        <v>140</v>
      </c>
      <c r="J976" s="128">
        <v>0.23799999999999999</v>
      </c>
      <c r="K976" s="129">
        <v>5.13</v>
      </c>
      <c r="L976" s="125">
        <v>710</v>
      </c>
      <c r="M976" s="125">
        <v>6.86</v>
      </c>
      <c r="N976" s="125">
        <v>0.87</v>
      </c>
      <c r="O976" s="125">
        <v>2.44</v>
      </c>
      <c r="P976" s="125">
        <v>4.6100000000000003</v>
      </c>
      <c r="Q976" s="125"/>
      <c r="R976" s="126">
        <v>1.2576558420049995</v>
      </c>
      <c r="S976" s="129">
        <v>8.1999999999999993</v>
      </c>
      <c r="T976" s="125"/>
      <c r="U976" s="125"/>
      <c r="V976" s="125"/>
      <c r="W976" s="125"/>
      <c r="X976" s="125"/>
      <c r="Y976" s="129">
        <f t="shared" ca="1" si="38"/>
        <v>3.2</v>
      </c>
      <c r="Z976" s="125"/>
      <c r="AA976" s="126"/>
      <c r="AB976" s="126"/>
      <c r="AC976" s="125"/>
      <c r="AD976" s="130">
        <v>80</v>
      </c>
      <c r="AE976" s="130">
        <v>80</v>
      </c>
      <c r="AF976" s="130">
        <v>860</v>
      </c>
      <c r="AG976" s="66">
        <f t="shared" ca="1" si="39"/>
        <v>567.50624999999991</v>
      </c>
      <c r="AH976" s="143">
        <f t="shared" si="40"/>
        <v>1020</v>
      </c>
      <c r="AI976" s="1324"/>
      <c r="AJ976" s="1324"/>
      <c r="AK976" s="1324"/>
      <c r="AL976" s="1324"/>
      <c r="AM976" s="1324"/>
      <c r="AN976" s="1324"/>
      <c r="AO976" s="1324"/>
      <c r="AP976" s="1324"/>
      <c r="AQ976" s="1324"/>
      <c r="AR976" s="1324"/>
      <c r="AS976" s="1324"/>
      <c r="AT976" s="1324"/>
      <c r="AU976" s="1324"/>
      <c r="AV976" s="1324"/>
      <c r="AW976" s="1324"/>
      <c r="AX976" s="1324"/>
      <c r="AY976" s="1324"/>
      <c r="AZ976" s="1324"/>
      <c r="BA976" s="1324"/>
      <c r="BB976" s="1324"/>
      <c r="BC976" s="1324"/>
      <c r="BD976" s="1324"/>
    </row>
    <row r="977" spans="1:56" s="131" customFormat="1" x14ac:dyDescent="0.3">
      <c r="A977" s="84">
        <v>803475</v>
      </c>
      <c r="B977" s="129">
        <v>9.25</v>
      </c>
      <c r="C977" s="129"/>
      <c r="D977" s="149">
        <v>8.1300000000000008</v>
      </c>
      <c r="E977" s="1527">
        <v>0.27</v>
      </c>
      <c r="F977" s="127">
        <v>89.600000000000009</v>
      </c>
      <c r="G977" s="125"/>
      <c r="H977" s="127">
        <v>204.06</v>
      </c>
      <c r="I977" s="127">
        <v>180</v>
      </c>
      <c r="J977" s="128">
        <v>8.2000000000000003E-2</v>
      </c>
      <c r="K977" s="129">
        <v>6.5</v>
      </c>
      <c r="L977" s="125">
        <v>360</v>
      </c>
      <c r="M977" s="125">
        <v>2.77</v>
      </c>
      <c r="N977" s="125">
        <v>1.4</v>
      </c>
      <c r="O977" s="125">
        <v>2.91</v>
      </c>
      <c r="P977" s="125">
        <v>3.65</v>
      </c>
      <c r="Q977" s="125"/>
      <c r="R977" s="126">
        <v>0.6732169728152454</v>
      </c>
      <c r="S977" s="129">
        <v>5</v>
      </c>
      <c r="T977" s="125"/>
      <c r="U977" s="125"/>
      <c r="V977" s="125"/>
      <c r="W977" s="125"/>
      <c r="X977" s="125"/>
      <c r="Y977" s="129">
        <f t="shared" ca="1" si="38"/>
        <v>2.4</v>
      </c>
      <c r="Z977" s="125"/>
      <c r="AA977" s="126"/>
      <c r="AB977" s="126"/>
      <c r="AC977" s="125"/>
      <c r="AD977" s="130">
        <v>60</v>
      </c>
      <c r="AE977" s="130">
        <v>60</v>
      </c>
      <c r="AF977" s="130">
        <v>880</v>
      </c>
      <c r="AG977" s="66">
        <f t="shared" ca="1" si="39"/>
        <v>958.75</v>
      </c>
      <c r="AH977" s="143">
        <f t="shared" si="40"/>
        <v>1000</v>
      </c>
      <c r="AI977" s="1324"/>
      <c r="AJ977" s="1324"/>
      <c r="AK977" s="1324"/>
      <c r="AL977" s="1324"/>
      <c r="AM977" s="1324"/>
      <c r="AN977" s="1324"/>
      <c r="AO977" s="1324"/>
      <c r="AP977" s="1324"/>
      <c r="AQ977" s="1324"/>
      <c r="AR977" s="1324"/>
      <c r="AS977" s="1324"/>
      <c r="AT977" s="1324"/>
      <c r="AU977" s="1324"/>
      <c r="AV977" s="1324"/>
      <c r="AW977" s="1324"/>
      <c r="AX977" s="1324"/>
      <c r="AY977" s="1324"/>
      <c r="AZ977" s="1324"/>
      <c r="BA977" s="1324"/>
      <c r="BB977" s="1324"/>
      <c r="BC977" s="1324"/>
      <c r="BD977" s="1324"/>
    </row>
    <row r="978" spans="1:56" s="131" customFormat="1" x14ac:dyDescent="0.3">
      <c r="A978" s="84">
        <v>803476</v>
      </c>
      <c r="B978" s="129">
        <v>14.166666666666666</v>
      </c>
      <c r="C978" s="129">
        <v>2.7499999999999991</v>
      </c>
      <c r="D978" s="149">
        <v>8.68</v>
      </c>
      <c r="E978" s="1527">
        <v>0.17</v>
      </c>
      <c r="F978" s="127">
        <v>74.599999999999994</v>
      </c>
      <c r="G978" s="125"/>
      <c r="H978" s="127">
        <v>47.54</v>
      </c>
      <c r="I978" s="127">
        <v>190</v>
      </c>
      <c r="J978" s="128">
        <v>0.152</v>
      </c>
      <c r="K978" s="129">
        <v>6.26</v>
      </c>
      <c r="L978" s="125">
        <v>600</v>
      </c>
      <c r="M978" s="125">
        <v>0.67</v>
      </c>
      <c r="N978" s="125">
        <v>1.1200000000000001</v>
      </c>
      <c r="O978" s="125">
        <v>4.4800000000000004</v>
      </c>
      <c r="P978" s="125">
        <v>4.24</v>
      </c>
      <c r="Q978" s="125"/>
      <c r="R978" s="126">
        <v>1.0670451210611533</v>
      </c>
      <c r="S978" s="129">
        <v>7.2</v>
      </c>
      <c r="T978" s="125"/>
      <c r="U978" s="125"/>
      <c r="V978" s="125"/>
      <c r="W978" s="125"/>
      <c r="X978" s="125"/>
      <c r="Y978" s="129">
        <f t="shared" ca="1" si="38"/>
        <v>21.6</v>
      </c>
      <c r="Z978" s="125"/>
      <c r="AA978" s="126"/>
      <c r="AB978" s="126"/>
      <c r="AC978" s="125"/>
      <c r="AD978" s="130">
        <v>360</v>
      </c>
      <c r="AE978" s="130">
        <v>220</v>
      </c>
      <c r="AF978" s="130">
        <v>420</v>
      </c>
      <c r="AG978" s="66">
        <f t="shared" ca="1" si="39"/>
        <v>102.59444444444443</v>
      </c>
      <c r="AH978" s="143">
        <f t="shared" si="40"/>
        <v>1000</v>
      </c>
      <c r="AI978" s="1324"/>
      <c r="AJ978" s="1324"/>
      <c r="AK978" s="1324"/>
      <c r="AL978" s="1324"/>
      <c r="AM978" s="1324"/>
      <c r="AN978" s="1324"/>
      <c r="AO978" s="1324"/>
      <c r="AP978" s="1324"/>
      <c r="AQ978" s="1324"/>
      <c r="AR978" s="1324"/>
      <c r="AS978" s="1324"/>
      <c r="AT978" s="1324"/>
      <c r="AU978" s="1324"/>
      <c r="AV978" s="1324"/>
      <c r="AW978" s="1324"/>
      <c r="AX978" s="1324"/>
      <c r="AY978" s="1324"/>
      <c r="AZ978" s="1324"/>
      <c r="BA978" s="1324"/>
      <c r="BB978" s="1324"/>
      <c r="BC978" s="1324"/>
      <c r="BD978" s="1324"/>
    </row>
    <row r="979" spans="1:56" s="131" customFormat="1" x14ac:dyDescent="0.3">
      <c r="A979" s="84">
        <v>803477</v>
      </c>
      <c r="B979" s="129">
        <v>0.11666666666666665</v>
      </c>
      <c r="C979" s="129"/>
      <c r="D979" s="149">
        <v>7.64</v>
      </c>
      <c r="E979" s="1527">
        <v>0.24</v>
      </c>
      <c r="F979" s="127">
        <v>75.45</v>
      </c>
      <c r="G979" s="125"/>
      <c r="H979" s="127">
        <v>53.33</v>
      </c>
      <c r="I979" s="127">
        <v>90</v>
      </c>
      <c r="J979" s="128">
        <v>2.4E-2</v>
      </c>
      <c r="K979" s="129">
        <v>2.93</v>
      </c>
      <c r="L979" s="125">
        <v>70</v>
      </c>
      <c r="M979" s="125">
        <v>0.34</v>
      </c>
      <c r="N979" s="125">
        <v>2.81</v>
      </c>
      <c r="O979" s="125">
        <v>25.45</v>
      </c>
      <c r="P979" s="125">
        <v>13.56</v>
      </c>
      <c r="Q979" s="125"/>
      <c r="R979" s="126">
        <v>0.63145924954384869</v>
      </c>
      <c r="S979" s="129">
        <v>4.5</v>
      </c>
      <c r="T979" s="125"/>
      <c r="U979" s="125"/>
      <c r="V979" s="125"/>
      <c r="W979" s="125"/>
      <c r="X979" s="125"/>
      <c r="Y979" s="129">
        <f t="shared" ca="1" si="38"/>
        <v>16</v>
      </c>
      <c r="Z979" s="125"/>
      <c r="AA979" s="126"/>
      <c r="AB979" s="126"/>
      <c r="AC979" s="125"/>
      <c r="AD979" s="130">
        <v>400</v>
      </c>
      <c r="AE979" s="130">
        <v>340</v>
      </c>
      <c r="AF979" s="130">
        <v>260</v>
      </c>
      <c r="AG979" s="66">
        <f t="shared" ca="1" si="39"/>
        <v>64.826250000000002</v>
      </c>
      <c r="AH979" s="143">
        <f t="shared" si="40"/>
        <v>1000</v>
      </c>
      <c r="AI979" s="1324"/>
      <c r="AJ979" s="1324"/>
      <c r="AK979" s="1324"/>
      <c r="AL979" s="1324"/>
      <c r="AM979" s="1324"/>
      <c r="AN979" s="1324"/>
      <c r="AO979" s="1324"/>
      <c r="AP979" s="1324"/>
      <c r="AQ979" s="1324"/>
      <c r="AR979" s="1324"/>
      <c r="AS979" s="1324"/>
      <c r="AT979" s="1324"/>
      <c r="AU979" s="1324"/>
      <c r="AV979" s="1324"/>
      <c r="AW979" s="1324"/>
      <c r="AX979" s="1324"/>
      <c r="AY979" s="1324"/>
      <c r="AZ979" s="1324"/>
      <c r="BA979" s="1324"/>
      <c r="BB979" s="1324"/>
      <c r="BC979" s="1324"/>
      <c r="BD979" s="1324"/>
    </row>
    <row r="980" spans="1:56" s="137" customFormat="1" x14ac:dyDescent="0.3">
      <c r="A980" s="84">
        <v>903000</v>
      </c>
      <c r="B980" s="136">
        <v>38.999999999999993</v>
      </c>
      <c r="C980" s="136">
        <v>10.499999999999998</v>
      </c>
      <c r="D980" s="153">
        <v>8.9700000000000006</v>
      </c>
      <c r="E980" s="1528">
        <v>0.19</v>
      </c>
      <c r="F980" s="134">
        <v>50.300000000000004</v>
      </c>
      <c r="G980" s="132"/>
      <c r="H980" s="134">
        <v>190.71</v>
      </c>
      <c r="I980" s="134">
        <v>280</v>
      </c>
      <c r="J980" s="135">
        <v>4.2000000000000003E-2</v>
      </c>
      <c r="K980" s="136">
        <v>8.61</v>
      </c>
      <c r="L980" s="132">
        <v>1190</v>
      </c>
      <c r="M980" s="132">
        <v>1.71</v>
      </c>
      <c r="N980" s="132">
        <v>1.82</v>
      </c>
      <c r="O980" s="132">
        <v>3.08</v>
      </c>
      <c r="P980" s="132">
        <v>8.8699999999999992</v>
      </c>
      <c r="Q980" s="132"/>
      <c r="R980" s="133">
        <v>1.774232</v>
      </c>
      <c r="S980" s="136">
        <v>15.8</v>
      </c>
      <c r="T980" s="132"/>
      <c r="U980" s="132"/>
      <c r="V980" s="132"/>
      <c r="W980" s="132"/>
      <c r="X980" s="132"/>
      <c r="Y980" s="136">
        <v>26.4</v>
      </c>
      <c r="Z980" s="132"/>
      <c r="AA980" s="133"/>
      <c r="AB980" s="133"/>
      <c r="AC980" s="132"/>
      <c r="AD980" s="130">
        <v>440</v>
      </c>
      <c r="AE980" s="130">
        <v>400</v>
      </c>
      <c r="AF980" s="130">
        <f>1000-(AD980+AE980)</f>
        <v>160</v>
      </c>
      <c r="AG980" s="66">
        <f t="shared" si="39"/>
        <v>115.45227272727271</v>
      </c>
      <c r="AH980" s="143">
        <f t="shared" si="40"/>
        <v>1000</v>
      </c>
      <c r="AI980" s="157"/>
      <c r="AJ980" s="157"/>
      <c r="AK980" s="157"/>
      <c r="AL980" s="157"/>
      <c r="AM980" s="157"/>
      <c r="AN980" s="157"/>
      <c r="AO980" s="157"/>
      <c r="AP980" s="157"/>
      <c r="AQ980" s="157"/>
      <c r="AR980" s="157"/>
      <c r="AS980" s="157"/>
      <c r="AT980" s="157"/>
      <c r="AU980" s="157"/>
      <c r="AV980" s="157"/>
      <c r="AW980" s="157"/>
      <c r="AX980" s="157"/>
      <c r="AY980" s="157"/>
      <c r="AZ980" s="157"/>
      <c r="BA980" s="157"/>
      <c r="BB980" s="157"/>
      <c r="BC980" s="157"/>
      <c r="BD980" s="157"/>
    </row>
    <row r="981" spans="1:56" s="137" customFormat="1" x14ac:dyDescent="0.3">
      <c r="A981" s="84">
        <v>903001</v>
      </c>
      <c r="B981" s="136">
        <v>31.666666666666664</v>
      </c>
      <c r="C981" s="136">
        <v>8.875</v>
      </c>
      <c r="D981" s="153">
        <v>8.74</v>
      </c>
      <c r="E981" s="1528">
        <v>0.21</v>
      </c>
      <c r="F981" s="134">
        <v>55.199999999999996</v>
      </c>
      <c r="G981" s="132"/>
      <c r="H981" s="134">
        <v>240.17</v>
      </c>
      <c r="I981" s="134">
        <v>410</v>
      </c>
      <c r="J981" s="135">
        <v>4.3999999999999997E-2</v>
      </c>
      <c r="K981" s="136">
        <v>8.7899999999999991</v>
      </c>
      <c r="L981" s="132">
        <v>970</v>
      </c>
      <c r="M981" s="132">
        <v>1.76</v>
      </c>
      <c r="N981" s="132">
        <v>1.52</v>
      </c>
      <c r="O981" s="132">
        <v>4</v>
      </c>
      <c r="P981" s="132">
        <v>12.94</v>
      </c>
      <c r="Q981" s="132"/>
      <c r="R981" s="133">
        <v>1.8060120000000002</v>
      </c>
      <c r="S981" s="136">
        <v>16.8</v>
      </c>
      <c r="T981" s="132"/>
      <c r="U981" s="132"/>
      <c r="V981" s="132"/>
      <c r="W981" s="132"/>
      <c r="X981" s="132"/>
      <c r="Y981" s="136">
        <v>40.6</v>
      </c>
      <c r="Z981" s="132"/>
      <c r="AA981" s="133"/>
      <c r="AB981" s="133"/>
      <c r="AC981" s="132"/>
      <c r="AD981" s="130">
        <v>580</v>
      </c>
      <c r="AE981" s="130">
        <v>300</v>
      </c>
      <c r="AF981" s="130">
        <f t="shared" ref="AF981:AF1022" si="41">1000-(AD981+AE981)</f>
        <v>120</v>
      </c>
      <c r="AG981" s="66">
        <f t="shared" si="39"/>
        <v>76.641871921182258</v>
      </c>
      <c r="AH981" s="143">
        <f t="shared" si="40"/>
        <v>1000</v>
      </c>
      <c r="AI981" s="157"/>
      <c r="AJ981" s="157"/>
      <c r="AK981" s="157"/>
      <c r="AL981" s="157"/>
      <c r="AM981" s="157"/>
      <c r="AN981" s="157"/>
      <c r="AO981" s="157"/>
      <c r="AP981" s="157"/>
      <c r="AQ981" s="157"/>
      <c r="AR981" s="157"/>
      <c r="AS981" s="157"/>
      <c r="AT981" s="157"/>
      <c r="AU981" s="157"/>
      <c r="AV981" s="157"/>
      <c r="AW981" s="157"/>
      <c r="AX981" s="157"/>
      <c r="AY981" s="157"/>
      <c r="AZ981" s="157"/>
      <c r="BA981" s="157"/>
      <c r="BB981" s="157"/>
      <c r="BC981" s="157"/>
      <c r="BD981" s="157"/>
    </row>
    <row r="982" spans="1:56" s="137" customFormat="1" x14ac:dyDescent="0.3">
      <c r="A982" s="84">
        <v>903002</v>
      </c>
      <c r="B982" s="136">
        <v>32</v>
      </c>
      <c r="C982" s="136">
        <v>8.375</v>
      </c>
      <c r="D982" s="153">
        <v>8.7799999999999994</v>
      </c>
      <c r="E982" s="1528">
        <v>0.18</v>
      </c>
      <c r="F982" s="134">
        <v>54.75</v>
      </c>
      <c r="G982" s="132"/>
      <c r="H982" s="134">
        <v>196.18</v>
      </c>
      <c r="I982" s="134">
        <v>200</v>
      </c>
      <c r="J982" s="135">
        <v>4.8000000000000001E-2</v>
      </c>
      <c r="K982" s="136">
        <v>13</v>
      </c>
      <c r="L982" s="132">
        <v>1130</v>
      </c>
      <c r="M982" s="132">
        <v>1.21</v>
      </c>
      <c r="N982" s="132">
        <v>1.73</v>
      </c>
      <c r="O982" s="132">
        <v>6.17</v>
      </c>
      <c r="P982" s="132">
        <v>17.86</v>
      </c>
      <c r="Q982" s="132"/>
      <c r="R982" s="133">
        <v>1.720472</v>
      </c>
      <c r="S982" s="136">
        <v>14.2</v>
      </c>
      <c r="T982" s="132"/>
      <c r="U982" s="132"/>
      <c r="V982" s="132"/>
      <c r="W982" s="132"/>
      <c r="X982" s="132"/>
      <c r="Y982" s="136">
        <v>28</v>
      </c>
      <c r="Z982" s="132"/>
      <c r="AA982" s="133"/>
      <c r="AB982" s="133"/>
      <c r="AC982" s="132"/>
      <c r="AD982" s="130">
        <v>560</v>
      </c>
      <c r="AE982" s="130">
        <v>320</v>
      </c>
      <c r="AF982" s="130">
        <f t="shared" si="41"/>
        <v>120</v>
      </c>
      <c r="AG982" s="66">
        <f t="shared" si="39"/>
        <v>164.35714285714286</v>
      </c>
      <c r="AH982" s="143">
        <f t="shared" si="40"/>
        <v>1000</v>
      </c>
      <c r="AI982" s="157"/>
      <c r="AJ982" s="157"/>
      <c r="AK982" s="157"/>
      <c r="AL982" s="157"/>
      <c r="AM982" s="157"/>
      <c r="AN982" s="157"/>
      <c r="AO982" s="157"/>
      <c r="AP982" s="157"/>
      <c r="AQ982" s="157"/>
      <c r="AR982" s="157"/>
      <c r="AS982" s="157"/>
      <c r="AT982" s="157"/>
      <c r="AU982" s="157"/>
      <c r="AV982" s="157"/>
      <c r="AW982" s="157"/>
      <c r="AX982" s="157"/>
      <c r="AY982" s="157"/>
      <c r="AZ982" s="157"/>
      <c r="BA982" s="157"/>
      <c r="BB982" s="157"/>
      <c r="BC982" s="157"/>
      <c r="BD982" s="157"/>
    </row>
    <row r="983" spans="1:56" s="137" customFormat="1" x14ac:dyDescent="0.3">
      <c r="A983" s="84">
        <v>903003</v>
      </c>
      <c r="B983" s="136">
        <v>21.833333333333332</v>
      </c>
      <c r="C983" s="136">
        <v>7.1249999999999991</v>
      </c>
      <c r="D983" s="153">
        <v>8.9600000000000009</v>
      </c>
      <c r="E983" s="1528">
        <v>0.42</v>
      </c>
      <c r="F983" s="134">
        <v>132.05000000000001</v>
      </c>
      <c r="G983" s="132"/>
      <c r="H983" s="134">
        <v>18.190000000000001</v>
      </c>
      <c r="I983" s="134">
        <v>180</v>
      </c>
      <c r="J983" s="135">
        <v>0.13800000000000001</v>
      </c>
      <c r="K983" s="136">
        <v>7.33</v>
      </c>
      <c r="L983" s="132">
        <v>1240</v>
      </c>
      <c r="M983" s="132">
        <v>1.81</v>
      </c>
      <c r="N983" s="132">
        <v>0.66</v>
      </c>
      <c r="O983" s="132">
        <v>2.92</v>
      </c>
      <c r="P983" s="132">
        <v>4.57</v>
      </c>
      <c r="Q983" s="132"/>
      <c r="R983" s="133">
        <v>1.7806999999999999</v>
      </c>
      <c r="S983" s="136">
        <v>16</v>
      </c>
      <c r="T983" s="132"/>
      <c r="U983" s="132"/>
      <c r="V983" s="132"/>
      <c r="W983" s="132"/>
      <c r="X983" s="132"/>
      <c r="Y983" s="136">
        <v>28</v>
      </c>
      <c r="Z983" s="132"/>
      <c r="AA983" s="133"/>
      <c r="AB983" s="133"/>
      <c r="AC983" s="132"/>
      <c r="AD983" s="130">
        <v>400</v>
      </c>
      <c r="AE983" s="130">
        <v>340</v>
      </c>
      <c r="AF983" s="130">
        <f t="shared" si="41"/>
        <v>260</v>
      </c>
      <c r="AG983" s="66">
        <f t="shared" si="39"/>
        <v>92.672142857142859</v>
      </c>
      <c r="AH983" s="143">
        <f t="shared" si="40"/>
        <v>1000</v>
      </c>
      <c r="AI983" s="157"/>
      <c r="AJ983" s="157"/>
      <c r="AK983" s="157"/>
      <c r="AL983" s="157"/>
      <c r="AM983" s="157"/>
      <c r="AN983" s="157"/>
      <c r="AO983" s="157"/>
      <c r="AP983" s="157"/>
      <c r="AQ983" s="157"/>
      <c r="AR983" s="157"/>
      <c r="AS983" s="157"/>
      <c r="AT983" s="157"/>
      <c r="AU983" s="157"/>
      <c r="AV983" s="157"/>
      <c r="AW983" s="157"/>
      <c r="AX983" s="157"/>
      <c r="AY983" s="157"/>
      <c r="AZ983" s="157"/>
      <c r="BA983" s="157"/>
      <c r="BB983" s="157"/>
      <c r="BC983" s="157"/>
      <c r="BD983" s="157"/>
    </row>
    <row r="984" spans="1:56" s="137" customFormat="1" x14ac:dyDescent="0.3">
      <c r="A984" s="84">
        <v>903004</v>
      </c>
      <c r="B984" s="136">
        <v>8.3333333333333321</v>
      </c>
      <c r="C984" s="136"/>
      <c r="D984" s="153">
        <v>8.35</v>
      </c>
      <c r="E984" s="1528">
        <v>0.13</v>
      </c>
      <c r="F984" s="134">
        <v>57.35</v>
      </c>
      <c r="G984" s="132"/>
      <c r="H984" s="134">
        <v>27.2</v>
      </c>
      <c r="I984" s="134">
        <v>170</v>
      </c>
      <c r="J984" s="135">
        <v>3.9E-2</v>
      </c>
      <c r="K984" s="136">
        <v>8.61</v>
      </c>
      <c r="L984" s="132">
        <v>910</v>
      </c>
      <c r="M984" s="132">
        <v>0.15</v>
      </c>
      <c r="N984" s="132">
        <v>0.48</v>
      </c>
      <c r="O984" s="132">
        <v>1.74</v>
      </c>
      <c r="P984" s="132">
        <v>2.79</v>
      </c>
      <c r="Q984" s="132"/>
      <c r="R984" s="133">
        <v>0.93410945769648956</v>
      </c>
      <c r="S984" s="136">
        <v>6.9</v>
      </c>
      <c r="T984" s="132"/>
      <c r="U984" s="132"/>
      <c r="V984" s="132"/>
      <c r="W984" s="132"/>
      <c r="X984" s="132"/>
      <c r="Y984" s="136">
        <v>30.8</v>
      </c>
      <c r="Z984" s="132"/>
      <c r="AA984" s="133"/>
      <c r="AB984" s="133"/>
      <c r="AC984" s="132"/>
      <c r="AD984" s="130">
        <v>440</v>
      </c>
      <c r="AE984" s="130">
        <v>260</v>
      </c>
      <c r="AF984" s="130">
        <f t="shared" si="41"/>
        <v>300</v>
      </c>
      <c r="AG984" s="66">
        <f t="shared" si="39"/>
        <v>98.959090909090889</v>
      </c>
      <c r="AH984" s="143">
        <f t="shared" si="40"/>
        <v>1000</v>
      </c>
      <c r="AI984" s="157"/>
      <c r="AJ984" s="157"/>
      <c r="AK984" s="157"/>
      <c r="AL984" s="157"/>
      <c r="AM984" s="157"/>
      <c r="AN984" s="157"/>
      <c r="AO984" s="157"/>
      <c r="AP984" s="157"/>
      <c r="AQ984" s="157"/>
      <c r="AR984" s="157"/>
      <c r="AS984" s="157"/>
      <c r="AT984" s="157"/>
      <c r="AU984" s="157"/>
      <c r="AV984" s="157"/>
      <c r="AW984" s="157"/>
      <c r="AX984" s="157"/>
      <c r="AY984" s="157"/>
      <c r="AZ984" s="157"/>
      <c r="BA984" s="157"/>
      <c r="BB984" s="157"/>
      <c r="BC984" s="157"/>
      <c r="BD984" s="157"/>
    </row>
    <row r="985" spans="1:56" s="137" customFormat="1" x14ac:dyDescent="0.3">
      <c r="A985" s="84">
        <v>903005</v>
      </c>
      <c r="B985" s="136">
        <v>33.833333333333329</v>
      </c>
      <c r="C985" s="136">
        <v>7.1249999999999991</v>
      </c>
      <c r="D985" s="153">
        <v>8.98</v>
      </c>
      <c r="E985" s="1528">
        <v>0.38</v>
      </c>
      <c r="F985" s="134">
        <v>277.35000000000002</v>
      </c>
      <c r="G985" s="132"/>
      <c r="H985" s="134">
        <v>22.47</v>
      </c>
      <c r="I985" s="134">
        <v>80</v>
      </c>
      <c r="J985" s="135">
        <v>0.24</v>
      </c>
      <c r="K985" s="136">
        <v>12.82</v>
      </c>
      <c r="L985" s="132">
        <v>950</v>
      </c>
      <c r="M985" s="132">
        <v>0.2</v>
      </c>
      <c r="N985" s="132">
        <v>0.62</v>
      </c>
      <c r="O985" s="132">
        <v>1.05</v>
      </c>
      <c r="P985" s="132">
        <v>3.9</v>
      </c>
      <c r="Q985" s="132"/>
      <c r="R985" s="133">
        <v>0.58246764768941406</v>
      </c>
      <c r="S985" s="136">
        <v>4.2</v>
      </c>
      <c r="T985" s="132"/>
      <c r="U985" s="132"/>
      <c r="V985" s="132"/>
      <c r="W985" s="132"/>
      <c r="X985" s="132"/>
      <c r="Y985" s="136">
        <v>39.200000000000003</v>
      </c>
      <c r="Z985" s="132"/>
      <c r="AA985" s="133"/>
      <c r="AB985" s="133"/>
      <c r="AC985" s="132"/>
      <c r="AD985" s="130">
        <v>560</v>
      </c>
      <c r="AE985" s="130">
        <v>280</v>
      </c>
      <c r="AF985" s="130">
        <f t="shared" si="41"/>
        <v>160</v>
      </c>
      <c r="AG985" s="66">
        <f t="shared" si="39"/>
        <v>115.77244897959184</v>
      </c>
      <c r="AH985" s="143">
        <f t="shared" si="40"/>
        <v>1000</v>
      </c>
      <c r="AI985" s="157"/>
      <c r="AJ985" s="157"/>
      <c r="AK985" s="157"/>
      <c r="AL985" s="157"/>
      <c r="AM985" s="157"/>
      <c r="AN985" s="157"/>
      <c r="AO985" s="157"/>
      <c r="AP985" s="157"/>
      <c r="AQ985" s="157"/>
      <c r="AR985" s="157"/>
      <c r="AS985" s="157"/>
      <c r="AT985" s="157"/>
      <c r="AU985" s="157"/>
      <c r="AV985" s="157"/>
      <c r="AW985" s="157"/>
      <c r="AX985" s="157"/>
      <c r="AY985" s="157"/>
      <c r="AZ985" s="157"/>
      <c r="BA985" s="157"/>
      <c r="BB985" s="157"/>
      <c r="BC985" s="157"/>
      <c r="BD985" s="157"/>
    </row>
    <row r="986" spans="1:56" s="137" customFormat="1" x14ac:dyDescent="0.3">
      <c r="A986" s="84">
        <v>903006</v>
      </c>
      <c r="B986" s="136">
        <v>43.166666666666664</v>
      </c>
      <c r="C986" s="136">
        <v>10.875</v>
      </c>
      <c r="D986" s="153">
        <v>8.5500000000000007</v>
      </c>
      <c r="E986" s="1528">
        <v>1.05</v>
      </c>
      <c r="F986" s="134">
        <v>435.55</v>
      </c>
      <c r="G986" s="132"/>
      <c r="H986" s="134">
        <v>204.59</v>
      </c>
      <c r="I986" s="134">
        <v>800</v>
      </c>
      <c r="J986" s="135">
        <v>0.24099999999999999</v>
      </c>
      <c r="K986" s="136">
        <v>13.91</v>
      </c>
      <c r="L986" s="132">
        <v>1900</v>
      </c>
      <c r="M986" s="132">
        <v>1.1599999999999999</v>
      </c>
      <c r="N986" s="132">
        <v>0.44</v>
      </c>
      <c r="O986" s="132">
        <v>6.28</v>
      </c>
      <c r="P986" s="132">
        <v>4.7699999999999996</v>
      </c>
      <c r="Q986" s="132"/>
      <c r="R986" s="133">
        <v>2.132072</v>
      </c>
      <c r="S986" s="136">
        <v>33.799999999999997</v>
      </c>
      <c r="T986" s="132"/>
      <c r="U986" s="132"/>
      <c r="V986" s="132"/>
      <c r="W986" s="132"/>
      <c r="X986" s="132"/>
      <c r="Y986" s="136">
        <v>24</v>
      </c>
      <c r="Z986" s="132"/>
      <c r="AA986" s="133"/>
      <c r="AB986" s="133"/>
      <c r="AC986" s="132"/>
      <c r="AD986" s="130">
        <v>400</v>
      </c>
      <c r="AE986" s="130">
        <v>240</v>
      </c>
      <c r="AF986" s="130">
        <f t="shared" si="41"/>
        <v>360</v>
      </c>
      <c r="AG986" s="66">
        <f t="shared" si="39"/>
        <v>205.17249999999999</v>
      </c>
      <c r="AH986" s="143">
        <f t="shared" si="40"/>
        <v>1000</v>
      </c>
      <c r="AI986" s="157"/>
      <c r="AJ986" s="157"/>
      <c r="AK986" s="157"/>
      <c r="AL986" s="157"/>
      <c r="AM986" s="157"/>
      <c r="AN986" s="157"/>
      <c r="AO986" s="157"/>
      <c r="AP986" s="157"/>
      <c r="AQ986" s="157"/>
      <c r="AR986" s="157"/>
      <c r="AS986" s="157"/>
      <c r="AT986" s="157"/>
      <c r="AU986" s="157"/>
      <c r="AV986" s="157"/>
      <c r="AW986" s="157"/>
      <c r="AX986" s="157"/>
      <c r="AY986" s="157"/>
      <c r="AZ986" s="157"/>
      <c r="BA986" s="157"/>
      <c r="BB986" s="157"/>
      <c r="BC986" s="157"/>
      <c r="BD986" s="157"/>
    </row>
    <row r="987" spans="1:56" s="137" customFormat="1" x14ac:dyDescent="0.3">
      <c r="A987" s="84">
        <v>903007</v>
      </c>
      <c r="B987" s="136">
        <v>41.666666666666664</v>
      </c>
      <c r="C987" s="136">
        <v>10.374999999999998</v>
      </c>
      <c r="D987" s="153">
        <v>8.1999999999999993</v>
      </c>
      <c r="E987" s="1528">
        <v>0.28000000000000003</v>
      </c>
      <c r="F987" s="134">
        <v>107.05</v>
      </c>
      <c r="G987" s="132"/>
      <c r="H987" s="134">
        <v>69.44</v>
      </c>
      <c r="I987" s="134">
        <v>230</v>
      </c>
      <c r="J987" s="135">
        <v>0.191</v>
      </c>
      <c r="K987" s="136">
        <v>8.6300000000000008</v>
      </c>
      <c r="L987" s="132">
        <v>610</v>
      </c>
      <c r="M987" s="132">
        <v>2.3199999999999998</v>
      </c>
      <c r="N987" s="132">
        <v>0.56999999999999995</v>
      </c>
      <c r="O987" s="132">
        <v>3.3</v>
      </c>
      <c r="P987" s="132">
        <v>4.05</v>
      </c>
      <c r="Q987" s="132"/>
      <c r="R987" s="133">
        <v>0.74336409851863106</v>
      </c>
      <c r="S987" s="136">
        <v>5.0999999999999996</v>
      </c>
      <c r="T987" s="132"/>
      <c r="U987" s="132"/>
      <c r="V987" s="132"/>
      <c r="W987" s="132"/>
      <c r="X987" s="132"/>
      <c r="Y987" s="136">
        <v>26</v>
      </c>
      <c r="Z987" s="132"/>
      <c r="AA987" s="133"/>
      <c r="AB987" s="133"/>
      <c r="AC987" s="132"/>
      <c r="AD987" s="130">
        <v>520</v>
      </c>
      <c r="AE987" s="130">
        <v>380</v>
      </c>
      <c r="AF987" s="130">
        <f t="shared" si="41"/>
        <v>100</v>
      </c>
      <c r="AG987" s="66">
        <f t="shared" si="39"/>
        <v>117.50076923076925</v>
      </c>
      <c r="AH987" s="143">
        <f t="shared" si="40"/>
        <v>1000</v>
      </c>
      <c r="AI987" s="157"/>
      <c r="AJ987" s="157"/>
      <c r="AK987" s="157"/>
      <c r="AL987" s="157"/>
      <c r="AM987" s="157"/>
      <c r="AN987" s="157"/>
      <c r="AO987" s="157"/>
      <c r="AP987" s="157"/>
      <c r="AQ987" s="157"/>
      <c r="AR987" s="157"/>
      <c r="AS987" s="157"/>
      <c r="AT987" s="157"/>
      <c r="AU987" s="157"/>
      <c r="AV987" s="157"/>
      <c r="AW987" s="157"/>
      <c r="AX987" s="157"/>
      <c r="AY987" s="157"/>
      <c r="AZ987" s="157"/>
      <c r="BA987" s="157"/>
      <c r="BB987" s="157"/>
      <c r="BC987" s="157"/>
      <c r="BD987" s="157"/>
    </row>
    <row r="988" spans="1:56" s="137" customFormat="1" x14ac:dyDescent="0.3">
      <c r="A988" s="84">
        <v>903008</v>
      </c>
      <c r="B988" s="136">
        <v>36.833333333333336</v>
      </c>
      <c r="C988" s="136">
        <v>9</v>
      </c>
      <c r="D988" s="153">
        <v>8.1300000000000008</v>
      </c>
      <c r="E988" s="1528">
        <v>0.36</v>
      </c>
      <c r="F988" s="134">
        <v>78.25</v>
      </c>
      <c r="G988" s="132"/>
      <c r="H988" s="134">
        <v>19.88</v>
      </c>
      <c r="I988" s="134">
        <v>80</v>
      </c>
      <c r="J988" s="135">
        <v>0.22500000000000001</v>
      </c>
      <c r="K988" s="136">
        <v>8.7100000000000009</v>
      </c>
      <c r="L988" s="132">
        <v>430</v>
      </c>
      <c r="M988" s="132">
        <v>0.18</v>
      </c>
      <c r="N988" s="132">
        <v>0.5</v>
      </c>
      <c r="O988" s="132">
        <v>1.78</v>
      </c>
      <c r="P988" s="132">
        <v>3.27</v>
      </c>
      <c r="Q988" s="132"/>
      <c r="R988" s="133">
        <v>0.40569937844535736</v>
      </c>
      <c r="S988" s="136">
        <v>2.8</v>
      </c>
      <c r="T988" s="132"/>
      <c r="U988" s="132"/>
      <c r="V988" s="132"/>
      <c r="W988" s="132"/>
      <c r="X988" s="132"/>
      <c r="Y988" s="136">
        <v>26</v>
      </c>
      <c r="Z988" s="132"/>
      <c r="AA988" s="133"/>
      <c r="AB988" s="133"/>
      <c r="AC988" s="132"/>
      <c r="AD988" s="130">
        <v>520</v>
      </c>
      <c r="AE988" s="130">
        <v>380</v>
      </c>
      <c r="AF988" s="130">
        <f t="shared" si="41"/>
        <v>100</v>
      </c>
      <c r="AG988" s="66">
        <f t="shared" si="39"/>
        <v>118.59000000000002</v>
      </c>
      <c r="AH988" s="143">
        <f t="shared" si="40"/>
        <v>1000</v>
      </c>
      <c r="AI988" s="157"/>
      <c r="AJ988" s="157"/>
      <c r="AK988" s="157"/>
      <c r="AL988" s="157"/>
      <c r="AM988" s="157"/>
      <c r="AN988" s="157"/>
      <c r="AO988" s="157"/>
      <c r="AP988" s="157"/>
      <c r="AQ988" s="157"/>
      <c r="AR988" s="157"/>
      <c r="AS988" s="157"/>
      <c r="AT988" s="157"/>
      <c r="AU988" s="157"/>
      <c r="AV988" s="157"/>
      <c r="AW988" s="157"/>
      <c r="AX988" s="157"/>
      <c r="AY988" s="157"/>
      <c r="AZ988" s="157"/>
      <c r="BA988" s="157"/>
      <c r="BB988" s="157"/>
      <c r="BC988" s="157"/>
      <c r="BD988" s="157"/>
    </row>
    <row r="989" spans="1:56" s="137" customFormat="1" x14ac:dyDescent="0.3">
      <c r="A989" s="84">
        <v>903009</v>
      </c>
      <c r="B989" s="136">
        <v>46.499999999999993</v>
      </c>
      <c r="C989" s="136">
        <v>9.625</v>
      </c>
      <c r="D989" s="153">
        <v>8.09</v>
      </c>
      <c r="E989" s="1528">
        <v>0.21</v>
      </c>
      <c r="F989" s="134">
        <v>60.9</v>
      </c>
      <c r="G989" s="132"/>
      <c r="H989" s="134">
        <v>102.64</v>
      </c>
      <c r="I989" s="134">
        <v>460</v>
      </c>
      <c r="J989" s="135">
        <v>5.8999999999999997E-2</v>
      </c>
      <c r="K989" s="136">
        <v>12.45</v>
      </c>
      <c r="L989" s="132">
        <v>1610</v>
      </c>
      <c r="M989" s="132">
        <v>1.3</v>
      </c>
      <c r="N989" s="132">
        <v>0.78</v>
      </c>
      <c r="O989" s="132">
        <v>3.37</v>
      </c>
      <c r="P989" s="132">
        <v>5.13</v>
      </c>
      <c r="Q989" s="132"/>
      <c r="R989" s="133">
        <v>1.6061130000000001</v>
      </c>
      <c r="S989" s="136">
        <v>11.1</v>
      </c>
      <c r="T989" s="132"/>
      <c r="U989" s="132"/>
      <c r="V989" s="132"/>
      <c r="W989" s="132"/>
      <c r="X989" s="132"/>
      <c r="Y989" s="136">
        <v>32.4</v>
      </c>
      <c r="Z989" s="132"/>
      <c r="AA989" s="133"/>
      <c r="AB989" s="133"/>
      <c r="AC989" s="132"/>
      <c r="AD989" s="130">
        <v>540</v>
      </c>
      <c r="AE989" s="130">
        <v>320</v>
      </c>
      <c r="AF989" s="130">
        <f t="shared" si="41"/>
        <v>140</v>
      </c>
      <c r="AG989" s="66">
        <f t="shared" si="39"/>
        <v>136.0277777777778</v>
      </c>
      <c r="AH989" s="143">
        <f t="shared" si="40"/>
        <v>1000</v>
      </c>
      <c r="AI989" s="157"/>
      <c r="AJ989" s="157"/>
      <c r="AK989" s="157"/>
      <c r="AL989" s="157"/>
      <c r="AM989" s="157"/>
      <c r="AN989" s="157"/>
      <c r="AO989" s="157"/>
      <c r="AP989" s="157"/>
      <c r="AQ989" s="157"/>
      <c r="AR989" s="157"/>
      <c r="AS989" s="157"/>
      <c r="AT989" s="157"/>
      <c r="AU989" s="157"/>
      <c r="AV989" s="157"/>
      <c r="AW989" s="157"/>
      <c r="AX989" s="157"/>
      <c r="AY989" s="157"/>
      <c r="AZ989" s="157"/>
      <c r="BA989" s="157"/>
      <c r="BB989" s="157"/>
      <c r="BC989" s="157"/>
      <c r="BD989" s="157"/>
    </row>
    <row r="990" spans="1:56" s="137" customFormat="1" x14ac:dyDescent="0.3">
      <c r="A990" s="84">
        <v>903010</v>
      </c>
      <c r="B990" s="136">
        <v>54.833333333333336</v>
      </c>
      <c r="C990" s="136">
        <v>11.749999999999998</v>
      </c>
      <c r="D990" s="153">
        <v>8.9499999999999993</v>
      </c>
      <c r="E990" s="1528">
        <v>0.25</v>
      </c>
      <c r="F990" s="134">
        <v>105.95</v>
      </c>
      <c r="G990" s="132"/>
      <c r="H990" s="134">
        <v>205.32</v>
      </c>
      <c r="I990" s="134">
        <v>360</v>
      </c>
      <c r="J990" s="135">
        <v>7.2999999999999995E-2</v>
      </c>
      <c r="K990" s="136">
        <v>11.6</v>
      </c>
      <c r="L990" s="132">
        <v>1250</v>
      </c>
      <c r="M990" s="132">
        <v>4.6100000000000003</v>
      </c>
      <c r="N990" s="132">
        <v>0.71</v>
      </c>
      <c r="O990" s="132">
        <v>5.86</v>
      </c>
      <c r="P990" s="132">
        <v>7.91</v>
      </c>
      <c r="Q990" s="132"/>
      <c r="R990" s="133">
        <v>1.965017</v>
      </c>
      <c r="S990" s="136">
        <v>22.7</v>
      </c>
      <c r="T990" s="132"/>
      <c r="U990" s="132"/>
      <c r="V990" s="132"/>
      <c r="W990" s="132"/>
      <c r="X990" s="132"/>
      <c r="Y990" s="136">
        <v>28</v>
      </c>
      <c r="Z990" s="132"/>
      <c r="AA990" s="133"/>
      <c r="AB990" s="133"/>
      <c r="AC990" s="132"/>
      <c r="AD990" s="130">
        <v>560</v>
      </c>
      <c r="AE990" s="130">
        <v>280</v>
      </c>
      <c r="AF990" s="130">
        <f t="shared" si="41"/>
        <v>160</v>
      </c>
      <c r="AG990" s="66">
        <f t="shared" si="39"/>
        <v>146.65714285714284</v>
      </c>
      <c r="AH990" s="143">
        <f t="shared" si="40"/>
        <v>1000</v>
      </c>
      <c r="AI990" s="157"/>
      <c r="AJ990" s="157"/>
      <c r="AK990" s="157"/>
      <c r="AL990" s="157"/>
      <c r="AM990" s="157"/>
      <c r="AN990" s="157"/>
      <c r="AO990" s="157"/>
      <c r="AP990" s="157"/>
      <c r="AQ990" s="157"/>
      <c r="AR990" s="157"/>
      <c r="AS990" s="157"/>
      <c r="AT990" s="157"/>
      <c r="AU990" s="157"/>
      <c r="AV990" s="157"/>
      <c r="AW990" s="157"/>
      <c r="AX990" s="157"/>
      <c r="AY990" s="157"/>
      <c r="AZ990" s="157"/>
      <c r="BA990" s="157"/>
      <c r="BB990" s="157"/>
      <c r="BC990" s="157"/>
      <c r="BD990" s="157"/>
    </row>
    <row r="991" spans="1:56" s="137" customFormat="1" x14ac:dyDescent="0.3">
      <c r="A991" s="84">
        <v>903011</v>
      </c>
      <c r="B991" s="136">
        <v>7.5</v>
      </c>
      <c r="C991" s="136"/>
      <c r="D991" s="153">
        <v>8.51</v>
      </c>
      <c r="E991" s="1528">
        <v>0.11</v>
      </c>
      <c r="F991" s="134">
        <v>66.050000000000011</v>
      </c>
      <c r="G991" s="132"/>
      <c r="H991" s="134">
        <v>17.75</v>
      </c>
      <c r="I991" s="134">
        <v>180</v>
      </c>
      <c r="J991" s="135">
        <v>0.03</v>
      </c>
      <c r="K991" s="136">
        <v>8.59</v>
      </c>
      <c r="L991" s="132">
        <v>350</v>
      </c>
      <c r="M991" s="132">
        <v>0.08</v>
      </c>
      <c r="N991" s="132">
        <v>0.14000000000000001</v>
      </c>
      <c r="O991" s="132">
        <v>1.03</v>
      </c>
      <c r="P991" s="132">
        <v>1.1000000000000001</v>
      </c>
      <c r="Q991" s="132"/>
      <c r="R991" s="133">
        <v>0.43720410719595848</v>
      </c>
      <c r="S991" s="136">
        <v>2.9</v>
      </c>
      <c r="T991" s="132"/>
      <c r="U991" s="132"/>
      <c r="V991" s="132"/>
      <c r="W991" s="132"/>
      <c r="X991" s="132"/>
      <c r="Y991" s="136">
        <v>13</v>
      </c>
      <c r="Z991" s="132"/>
      <c r="AA991" s="133"/>
      <c r="AB991" s="133"/>
      <c r="AC991" s="132"/>
      <c r="AD991" s="130">
        <v>260</v>
      </c>
      <c r="AE991" s="130">
        <v>140</v>
      </c>
      <c r="AF991" s="130">
        <f t="shared" si="41"/>
        <v>600</v>
      </c>
      <c r="AG991" s="66">
        <f t="shared" si="39"/>
        <v>233.91230769230771</v>
      </c>
      <c r="AH991" s="143">
        <f t="shared" si="40"/>
        <v>1000</v>
      </c>
      <c r="AI991" s="157"/>
      <c r="AJ991" s="157"/>
      <c r="AK991" s="157"/>
      <c r="AL991" s="157"/>
      <c r="AM991" s="157"/>
      <c r="AN991" s="157"/>
      <c r="AO991" s="157"/>
      <c r="AP991" s="157"/>
      <c r="AQ991" s="157"/>
      <c r="AR991" s="157"/>
      <c r="AS991" s="157"/>
      <c r="AT991" s="157"/>
      <c r="AU991" s="157"/>
      <c r="AV991" s="157"/>
      <c r="AW991" s="157"/>
      <c r="AX991" s="157"/>
      <c r="AY991" s="157"/>
      <c r="AZ991" s="157"/>
      <c r="BA991" s="157"/>
      <c r="BB991" s="157"/>
      <c r="BC991" s="157"/>
      <c r="BD991" s="157"/>
    </row>
    <row r="992" spans="1:56" s="137" customFormat="1" x14ac:dyDescent="0.3">
      <c r="A992" s="84">
        <v>903012</v>
      </c>
      <c r="B992" s="136">
        <v>4.3333333333333339</v>
      </c>
      <c r="C992" s="136"/>
      <c r="D992" s="153">
        <v>8.42</v>
      </c>
      <c r="E992" s="1528">
        <v>0.18</v>
      </c>
      <c r="F992" s="134">
        <v>83</v>
      </c>
      <c r="G992" s="132"/>
      <c r="H992" s="134">
        <v>25.45</v>
      </c>
      <c r="I992" s="134">
        <v>270</v>
      </c>
      <c r="J992" s="135">
        <v>0.06</v>
      </c>
      <c r="K992" s="136">
        <v>7.57</v>
      </c>
      <c r="L992" s="132">
        <v>330</v>
      </c>
      <c r="M992" s="132">
        <v>0.17</v>
      </c>
      <c r="N992" s="132">
        <v>0.27</v>
      </c>
      <c r="O992" s="132">
        <v>1.54</v>
      </c>
      <c r="P992" s="132">
        <v>1.89</v>
      </c>
      <c r="Q992" s="132"/>
      <c r="R992" s="133">
        <v>0.58978320348609603</v>
      </c>
      <c r="S992" s="136">
        <v>4.2</v>
      </c>
      <c r="T992" s="132"/>
      <c r="U992" s="132"/>
      <c r="V992" s="132"/>
      <c r="W992" s="132"/>
      <c r="X992" s="132"/>
      <c r="Y992" s="136">
        <v>10</v>
      </c>
      <c r="Z992" s="132"/>
      <c r="AA992" s="133"/>
      <c r="AB992" s="133"/>
      <c r="AC992" s="132"/>
      <c r="AD992" s="130">
        <v>200</v>
      </c>
      <c r="AE992" s="130">
        <v>100</v>
      </c>
      <c r="AF992" s="130">
        <f t="shared" si="41"/>
        <v>700</v>
      </c>
      <c r="AG992" s="66">
        <f t="shared" si="39"/>
        <v>267.97800000000001</v>
      </c>
      <c r="AH992" s="143">
        <f t="shared" si="40"/>
        <v>1000</v>
      </c>
      <c r="AI992" s="157"/>
      <c r="AJ992" s="157"/>
      <c r="AK992" s="157"/>
      <c r="AL992" s="157"/>
      <c r="AM992" s="157"/>
      <c r="AN992" s="157"/>
      <c r="AO992" s="157"/>
      <c r="AP992" s="157"/>
      <c r="AQ992" s="157"/>
      <c r="AR992" s="157"/>
      <c r="AS992" s="157"/>
      <c r="AT992" s="157"/>
      <c r="AU992" s="157"/>
      <c r="AV992" s="157"/>
      <c r="AW992" s="157"/>
      <c r="AX992" s="157"/>
      <c r="AY992" s="157"/>
      <c r="AZ992" s="157"/>
      <c r="BA992" s="157"/>
      <c r="BB992" s="157"/>
      <c r="BC992" s="157"/>
      <c r="BD992" s="157"/>
    </row>
    <row r="993" spans="1:56" s="137" customFormat="1" x14ac:dyDescent="0.3">
      <c r="A993" s="84">
        <v>903013</v>
      </c>
      <c r="B993" s="136">
        <v>5.6666666666666661</v>
      </c>
      <c r="C993" s="136"/>
      <c r="D993" s="153">
        <v>8.57</v>
      </c>
      <c r="E993" s="1528">
        <v>0.11</v>
      </c>
      <c r="F993" s="134">
        <v>54.400000000000006</v>
      </c>
      <c r="G993" s="132"/>
      <c r="H993" s="134">
        <v>22.57</v>
      </c>
      <c r="I993" s="134">
        <v>200</v>
      </c>
      <c r="J993" s="135">
        <v>2.8000000000000001E-2</v>
      </c>
      <c r="K993" s="136">
        <v>7.74</v>
      </c>
      <c r="L993" s="132">
        <v>410</v>
      </c>
      <c r="M993" s="132">
        <v>0.13</v>
      </c>
      <c r="N993" s="132">
        <v>0.25</v>
      </c>
      <c r="O993" s="132">
        <v>0.69</v>
      </c>
      <c r="P993" s="132">
        <v>1.44</v>
      </c>
      <c r="Q993" s="132"/>
      <c r="R993" s="133">
        <v>0.40874465308420382</v>
      </c>
      <c r="S993" s="136">
        <v>3</v>
      </c>
      <c r="T993" s="132"/>
      <c r="U993" s="132"/>
      <c r="V993" s="132"/>
      <c r="W993" s="132"/>
      <c r="X993" s="132"/>
      <c r="Y993" s="136">
        <v>9.6</v>
      </c>
      <c r="Z993" s="132"/>
      <c r="AA993" s="133"/>
      <c r="AB993" s="133"/>
      <c r="AC993" s="132"/>
      <c r="AD993" s="130">
        <v>160</v>
      </c>
      <c r="AE993" s="130">
        <v>100</v>
      </c>
      <c r="AF993" s="130">
        <f t="shared" si="41"/>
        <v>740</v>
      </c>
      <c r="AG993" s="66">
        <f t="shared" si="39"/>
        <v>285.41250000000002</v>
      </c>
      <c r="AH993" s="143">
        <f t="shared" si="40"/>
        <v>1000</v>
      </c>
      <c r="AI993" s="157"/>
      <c r="AJ993" s="157"/>
      <c r="AK993" s="157"/>
      <c r="AL993" s="157"/>
      <c r="AM993" s="157"/>
      <c r="AN993" s="157"/>
      <c r="AO993" s="157"/>
      <c r="AP993" s="157"/>
      <c r="AQ993" s="157"/>
      <c r="AR993" s="157"/>
      <c r="AS993" s="157"/>
      <c r="AT993" s="157"/>
      <c r="AU993" s="157"/>
      <c r="AV993" s="157"/>
      <c r="AW993" s="157"/>
      <c r="AX993" s="157"/>
      <c r="AY993" s="157"/>
      <c r="AZ993" s="157"/>
      <c r="BA993" s="157"/>
      <c r="BB993" s="157"/>
      <c r="BC993" s="157"/>
      <c r="BD993" s="157"/>
    </row>
    <row r="994" spans="1:56" s="137" customFormat="1" x14ac:dyDescent="0.3">
      <c r="A994" s="84">
        <v>903014</v>
      </c>
      <c r="B994" s="136">
        <v>56.666666666666664</v>
      </c>
      <c r="C994" s="136">
        <v>10.999999999999998</v>
      </c>
      <c r="D994" s="153">
        <v>8.98</v>
      </c>
      <c r="E994" s="1528">
        <v>0.2</v>
      </c>
      <c r="F994" s="134">
        <v>69.900000000000006</v>
      </c>
      <c r="G994" s="132"/>
      <c r="H994" s="134">
        <v>40.06</v>
      </c>
      <c r="I994" s="134">
        <v>170</v>
      </c>
      <c r="J994" s="135">
        <v>0.42</v>
      </c>
      <c r="K994" s="136">
        <v>14.19</v>
      </c>
      <c r="L994" s="132">
        <v>1230</v>
      </c>
      <c r="M994" s="132">
        <v>0.68</v>
      </c>
      <c r="N994" s="132">
        <v>0.86</v>
      </c>
      <c r="O994" s="132">
        <v>20.68</v>
      </c>
      <c r="P994" s="132">
        <v>3.84</v>
      </c>
      <c r="Q994" s="132"/>
      <c r="R994" s="133">
        <v>1.6886570000000001</v>
      </c>
      <c r="S994" s="136">
        <v>13.3</v>
      </c>
      <c r="T994" s="132"/>
      <c r="U994" s="132"/>
      <c r="V994" s="132"/>
      <c r="W994" s="132"/>
      <c r="X994" s="132"/>
      <c r="Y994" s="136">
        <v>28</v>
      </c>
      <c r="Z994" s="132"/>
      <c r="AA994" s="133"/>
      <c r="AB994" s="133"/>
      <c r="AC994" s="132"/>
      <c r="AD994" s="130">
        <v>560</v>
      </c>
      <c r="AE994" s="130">
        <v>240</v>
      </c>
      <c r="AF994" s="130">
        <f t="shared" si="41"/>
        <v>200</v>
      </c>
      <c r="AG994" s="66">
        <f t="shared" si="39"/>
        <v>179.40214285714288</v>
      </c>
      <c r="AH994" s="143">
        <f t="shared" si="40"/>
        <v>1000</v>
      </c>
      <c r="AI994" s="157"/>
      <c r="AJ994" s="157"/>
      <c r="AK994" s="157"/>
      <c r="AL994" s="157"/>
      <c r="AM994" s="157"/>
      <c r="AN994" s="157"/>
      <c r="AO994" s="157"/>
      <c r="AP994" s="157"/>
      <c r="AQ994" s="157"/>
      <c r="AR994" s="157"/>
      <c r="AS994" s="157"/>
      <c r="AT994" s="157"/>
      <c r="AU994" s="157"/>
      <c r="AV994" s="157"/>
      <c r="AW994" s="157"/>
      <c r="AX994" s="157"/>
      <c r="AY994" s="157"/>
      <c r="AZ994" s="157"/>
      <c r="BA994" s="157"/>
      <c r="BB994" s="157"/>
      <c r="BC994" s="157"/>
      <c r="BD994" s="157"/>
    </row>
    <row r="995" spans="1:56" s="137" customFormat="1" x14ac:dyDescent="0.3">
      <c r="A995" s="84">
        <v>903015</v>
      </c>
      <c r="B995" s="136">
        <v>39.666666666666664</v>
      </c>
      <c r="C995" s="136">
        <v>10.25</v>
      </c>
      <c r="D995" s="153">
        <v>8.8699999999999992</v>
      </c>
      <c r="E995" s="1528">
        <v>0.16</v>
      </c>
      <c r="F995" s="134">
        <v>50.099999999999994</v>
      </c>
      <c r="G995" s="132"/>
      <c r="H995" s="134">
        <v>57.84</v>
      </c>
      <c r="I995" s="134">
        <v>360</v>
      </c>
      <c r="J995" s="135">
        <v>1.9E-2</v>
      </c>
      <c r="K995" s="136">
        <v>11.7</v>
      </c>
      <c r="L995" s="132">
        <v>1020</v>
      </c>
      <c r="M995" s="132">
        <v>0.63</v>
      </c>
      <c r="N995" s="132">
        <v>1.33</v>
      </c>
      <c r="O995" s="132">
        <v>8.3800000000000008</v>
      </c>
      <c r="P995" s="132">
        <v>4.26</v>
      </c>
      <c r="Q995" s="132"/>
      <c r="R995" s="133">
        <v>1.802897</v>
      </c>
      <c r="S995" s="136">
        <v>16.7</v>
      </c>
      <c r="T995" s="132"/>
      <c r="U995" s="132"/>
      <c r="V995" s="132"/>
      <c r="W995" s="132"/>
      <c r="X995" s="132"/>
      <c r="Y995" s="136">
        <v>40.6</v>
      </c>
      <c r="Z995" s="132"/>
      <c r="AA995" s="133"/>
      <c r="AB995" s="133"/>
      <c r="AC995" s="132"/>
      <c r="AD995" s="130">
        <v>580</v>
      </c>
      <c r="AE995" s="130">
        <v>220</v>
      </c>
      <c r="AF995" s="130">
        <f t="shared" si="41"/>
        <v>200</v>
      </c>
      <c r="AG995" s="66">
        <f t="shared" si="39"/>
        <v>102.01477832512316</v>
      </c>
      <c r="AH995" s="143">
        <f t="shared" si="40"/>
        <v>1000</v>
      </c>
      <c r="AI995" s="157"/>
      <c r="AJ995" s="157"/>
      <c r="AK995" s="157"/>
      <c r="AL995" s="157"/>
      <c r="AM995" s="157"/>
      <c r="AN995" s="157"/>
      <c r="AO995" s="157"/>
      <c r="AP995" s="157"/>
      <c r="AQ995" s="157"/>
      <c r="AR995" s="157"/>
      <c r="AS995" s="157"/>
      <c r="AT995" s="157"/>
      <c r="AU995" s="157"/>
      <c r="AV995" s="157"/>
      <c r="AW995" s="157"/>
      <c r="AX995" s="157"/>
      <c r="AY995" s="157"/>
      <c r="AZ995" s="157"/>
      <c r="BA995" s="157"/>
      <c r="BB995" s="157"/>
      <c r="BC995" s="157"/>
      <c r="BD995" s="157"/>
    </row>
    <row r="996" spans="1:56" s="137" customFormat="1" x14ac:dyDescent="0.3">
      <c r="A996" s="84">
        <v>903016</v>
      </c>
      <c r="B996" s="136">
        <v>3.3333333333333333E-2</v>
      </c>
      <c r="C996" s="136"/>
      <c r="D996" s="153">
        <v>8.17</v>
      </c>
      <c r="E996" s="1528">
        <v>0.06</v>
      </c>
      <c r="F996" s="134">
        <v>47.25</v>
      </c>
      <c r="G996" s="132"/>
      <c r="H996" s="134">
        <v>124.26</v>
      </c>
      <c r="I996" s="134">
        <v>70</v>
      </c>
      <c r="J996" s="135">
        <v>1.2999999999999999E-2</v>
      </c>
      <c r="K996" s="136">
        <v>1.47</v>
      </c>
      <c r="L996" s="132">
        <v>90</v>
      </c>
      <c r="M996" s="132">
        <v>1.98</v>
      </c>
      <c r="N996" s="132">
        <v>0.47</v>
      </c>
      <c r="O996" s="132">
        <v>1.52</v>
      </c>
      <c r="P996" s="132">
        <v>12.36</v>
      </c>
      <c r="Q996" s="132"/>
      <c r="R996" s="133">
        <v>0.78478295838966805</v>
      </c>
      <c r="S996" s="136">
        <v>5.5</v>
      </c>
      <c r="T996" s="132"/>
      <c r="U996" s="132"/>
      <c r="V996" s="132"/>
      <c r="W996" s="132"/>
      <c r="X996" s="132"/>
      <c r="Y996" s="136">
        <v>4.2</v>
      </c>
      <c r="Z996" s="132"/>
      <c r="AA996" s="133"/>
      <c r="AB996" s="133"/>
      <c r="AC996" s="132"/>
      <c r="AD996" s="130">
        <v>60</v>
      </c>
      <c r="AE996" s="130">
        <v>80</v>
      </c>
      <c r="AF996" s="130">
        <f t="shared" si="41"/>
        <v>860</v>
      </c>
      <c r="AG996" s="66">
        <f t="shared" si="39"/>
        <v>123.89999999999999</v>
      </c>
      <c r="AH996" s="143">
        <f t="shared" si="40"/>
        <v>1000</v>
      </c>
      <c r="AI996" s="157"/>
      <c r="AJ996" s="157"/>
      <c r="AK996" s="157"/>
      <c r="AL996" s="157"/>
      <c r="AM996" s="157"/>
      <c r="AN996" s="157"/>
      <c r="AO996" s="157"/>
      <c r="AP996" s="157"/>
      <c r="AQ996" s="157"/>
      <c r="AR996" s="157"/>
      <c r="AS996" s="157"/>
      <c r="AT996" s="157"/>
      <c r="AU996" s="157"/>
      <c r="AV996" s="157"/>
      <c r="AW996" s="157"/>
      <c r="AX996" s="157"/>
      <c r="AY996" s="157"/>
      <c r="AZ996" s="157"/>
      <c r="BA996" s="157"/>
      <c r="BB996" s="157"/>
      <c r="BC996" s="157"/>
      <c r="BD996" s="157"/>
    </row>
    <row r="997" spans="1:56" s="137" customFormat="1" x14ac:dyDescent="0.3">
      <c r="A997" s="84">
        <v>903017</v>
      </c>
      <c r="B997" s="136">
        <v>0.05</v>
      </c>
      <c r="C997" s="136"/>
      <c r="D997" s="153">
        <v>7.87</v>
      </c>
      <c r="E997" s="1528">
        <v>0.05</v>
      </c>
      <c r="F997" s="134">
        <v>49.400000000000006</v>
      </c>
      <c r="G997" s="132"/>
      <c r="H997" s="134">
        <v>109.68</v>
      </c>
      <c r="I997" s="134">
        <v>70</v>
      </c>
      <c r="J997" s="135">
        <v>5.0000000000000001E-3</v>
      </c>
      <c r="K997" s="136">
        <v>1.42</v>
      </c>
      <c r="L997" s="132">
        <v>100</v>
      </c>
      <c r="M997" s="132">
        <v>1.67</v>
      </c>
      <c r="N997" s="132">
        <v>0.51</v>
      </c>
      <c r="O997" s="132">
        <v>1.25</v>
      </c>
      <c r="P997" s="132">
        <v>13.27</v>
      </c>
      <c r="Q997" s="132"/>
      <c r="R997" s="133">
        <v>0.56268860203500082</v>
      </c>
      <c r="S997" s="136">
        <v>3.8</v>
      </c>
      <c r="T997" s="132"/>
      <c r="U997" s="132"/>
      <c r="V997" s="132"/>
      <c r="W997" s="132"/>
      <c r="X997" s="132"/>
      <c r="Y997" s="136">
        <v>4</v>
      </c>
      <c r="Z997" s="132"/>
      <c r="AA997" s="133"/>
      <c r="AB997" s="133"/>
      <c r="AC997" s="132"/>
      <c r="AD997" s="130">
        <v>80</v>
      </c>
      <c r="AE997" s="130">
        <v>60</v>
      </c>
      <c r="AF997" s="130">
        <f t="shared" si="41"/>
        <v>860</v>
      </c>
      <c r="AG997" s="66">
        <f t="shared" si="39"/>
        <v>125.66999999999999</v>
      </c>
      <c r="AH997" s="143">
        <f t="shared" si="40"/>
        <v>1000</v>
      </c>
      <c r="AI997" s="157"/>
      <c r="AJ997" s="157"/>
      <c r="AK997" s="157"/>
      <c r="AL997" s="157"/>
      <c r="AM997" s="157"/>
      <c r="AN997" s="157"/>
      <c r="AO997" s="157"/>
      <c r="AP997" s="157"/>
      <c r="AQ997" s="157"/>
      <c r="AR997" s="157"/>
      <c r="AS997" s="157"/>
      <c r="AT997" s="157"/>
      <c r="AU997" s="157"/>
      <c r="AV997" s="157"/>
      <c r="AW997" s="157"/>
      <c r="AX997" s="157"/>
      <c r="AY997" s="157"/>
      <c r="AZ997" s="157"/>
      <c r="BA997" s="157"/>
      <c r="BB997" s="157"/>
      <c r="BC997" s="157"/>
      <c r="BD997" s="157"/>
    </row>
    <row r="998" spans="1:56" s="137" customFormat="1" x14ac:dyDescent="0.3">
      <c r="A998" s="84">
        <v>903018</v>
      </c>
      <c r="B998" s="136">
        <v>0.05</v>
      </c>
      <c r="C998" s="136"/>
      <c r="D998" s="153">
        <v>7.39</v>
      </c>
      <c r="E998" s="1528">
        <v>0.08</v>
      </c>
      <c r="F998" s="134">
        <v>45</v>
      </c>
      <c r="G998" s="132"/>
      <c r="H998" s="134">
        <v>138.82</v>
      </c>
      <c r="I998" s="134">
        <v>60</v>
      </c>
      <c r="J998" s="135">
        <v>1.7000000000000001E-2</v>
      </c>
      <c r="K998" s="136">
        <v>1.42</v>
      </c>
      <c r="L998" s="132">
        <v>110</v>
      </c>
      <c r="M998" s="132">
        <v>1.72</v>
      </c>
      <c r="N998" s="132">
        <v>0.63</v>
      </c>
      <c r="O998" s="132">
        <v>1.83</v>
      </c>
      <c r="P998" s="132">
        <v>15.93</v>
      </c>
      <c r="Q998" s="132"/>
      <c r="R998" s="133">
        <v>0.48053107139589629</v>
      </c>
      <c r="S998" s="136">
        <v>3.6</v>
      </c>
      <c r="T998" s="132"/>
      <c r="U998" s="132"/>
      <c r="V998" s="132"/>
      <c r="W998" s="132"/>
      <c r="X998" s="132"/>
      <c r="Y998" s="136">
        <v>3.6</v>
      </c>
      <c r="Z998" s="132"/>
      <c r="AA998" s="133"/>
      <c r="AB998" s="133"/>
      <c r="AC998" s="132"/>
      <c r="AD998" s="130">
        <v>60</v>
      </c>
      <c r="AE998" s="130">
        <v>80</v>
      </c>
      <c r="AF998" s="130">
        <f t="shared" si="41"/>
        <v>860</v>
      </c>
      <c r="AG998" s="66">
        <f t="shared" si="39"/>
        <v>139.63333333333333</v>
      </c>
      <c r="AH998" s="143">
        <f t="shared" si="40"/>
        <v>1000</v>
      </c>
      <c r="AI998" s="157"/>
      <c r="AJ998" s="157"/>
      <c r="AK998" s="157"/>
      <c r="AL998" s="157"/>
      <c r="AM998" s="157"/>
      <c r="AN998" s="157"/>
      <c r="AO998" s="157"/>
      <c r="AP998" s="157"/>
      <c r="AQ998" s="157"/>
      <c r="AR998" s="157"/>
      <c r="AS998" s="157"/>
      <c r="AT998" s="157"/>
      <c r="AU998" s="157"/>
      <c r="AV998" s="157"/>
      <c r="AW998" s="157"/>
      <c r="AX998" s="157"/>
      <c r="AY998" s="157"/>
      <c r="AZ998" s="157"/>
      <c r="BA998" s="157"/>
      <c r="BB998" s="157"/>
      <c r="BC998" s="157"/>
      <c r="BD998" s="157"/>
    </row>
    <row r="999" spans="1:56" s="137" customFormat="1" x14ac:dyDescent="0.3">
      <c r="A999" s="84">
        <v>903019</v>
      </c>
      <c r="B999" s="136">
        <v>0.05</v>
      </c>
      <c r="C999" s="136"/>
      <c r="D999" s="153">
        <v>7.11</v>
      </c>
      <c r="E999" s="1528">
        <v>0.04</v>
      </c>
      <c r="F999" s="134">
        <v>43.25</v>
      </c>
      <c r="G999" s="132"/>
      <c r="H999" s="134">
        <v>118.72</v>
      </c>
      <c r="I999" s="134">
        <v>60</v>
      </c>
      <c r="J999" s="135">
        <v>1.4999999999999999E-2</v>
      </c>
      <c r="K999" s="136">
        <v>1.39</v>
      </c>
      <c r="L999" s="132">
        <v>110</v>
      </c>
      <c r="M999" s="132">
        <v>1.42</v>
      </c>
      <c r="N999" s="132">
        <v>0.59</v>
      </c>
      <c r="O999" s="132">
        <v>1.2</v>
      </c>
      <c r="P999" s="132">
        <v>12.88</v>
      </c>
      <c r="Q999" s="132"/>
      <c r="R999" s="133">
        <v>0.91919613617349627</v>
      </c>
      <c r="S999" s="136">
        <v>6.3</v>
      </c>
      <c r="T999" s="132"/>
      <c r="U999" s="132"/>
      <c r="V999" s="132"/>
      <c r="W999" s="132"/>
      <c r="X999" s="132"/>
      <c r="Y999" s="136">
        <v>3</v>
      </c>
      <c r="Z999" s="132"/>
      <c r="AA999" s="133"/>
      <c r="AB999" s="133"/>
      <c r="AC999" s="132"/>
      <c r="AD999" s="130">
        <v>60</v>
      </c>
      <c r="AE999" s="130">
        <v>60</v>
      </c>
      <c r="AF999" s="130">
        <f t="shared" si="41"/>
        <v>880</v>
      </c>
      <c r="AG999" s="66">
        <f t="shared" si="39"/>
        <v>164.01999999999998</v>
      </c>
      <c r="AH999" s="143">
        <f t="shared" si="40"/>
        <v>1000</v>
      </c>
      <c r="AI999" s="157"/>
      <c r="AJ999" s="157"/>
      <c r="AK999" s="157"/>
      <c r="AL999" s="157"/>
      <c r="AM999" s="157"/>
      <c r="AN999" s="157"/>
      <c r="AO999" s="157"/>
      <c r="AP999" s="157"/>
      <c r="AQ999" s="157"/>
      <c r="AR999" s="157"/>
      <c r="AS999" s="157"/>
      <c r="AT999" s="157"/>
      <c r="AU999" s="157"/>
      <c r="AV999" s="157"/>
      <c r="AW999" s="157"/>
      <c r="AX999" s="157"/>
      <c r="AY999" s="157"/>
      <c r="AZ999" s="157"/>
      <c r="BA999" s="157"/>
      <c r="BB999" s="157"/>
      <c r="BC999" s="157"/>
      <c r="BD999" s="157"/>
    </row>
    <row r="1000" spans="1:56" s="137" customFormat="1" x14ac:dyDescent="0.3">
      <c r="A1000" s="84">
        <v>903020</v>
      </c>
      <c r="B1000" s="136">
        <v>3.3333333333333333E-2</v>
      </c>
      <c r="C1000" s="136"/>
      <c r="D1000" s="153">
        <v>6.53</v>
      </c>
      <c r="E1000" s="1528">
        <v>0.08</v>
      </c>
      <c r="F1000" s="134">
        <v>47.699999999999996</v>
      </c>
      <c r="G1000" s="132"/>
      <c r="H1000" s="134">
        <v>126.19</v>
      </c>
      <c r="I1000" s="134">
        <v>90</v>
      </c>
      <c r="J1000" s="135">
        <v>1.4999999999999999E-2</v>
      </c>
      <c r="K1000" s="136">
        <v>1.55</v>
      </c>
      <c r="L1000" s="132">
        <v>150</v>
      </c>
      <c r="M1000" s="132">
        <v>2.86</v>
      </c>
      <c r="N1000" s="132">
        <v>0.82</v>
      </c>
      <c r="O1000" s="132">
        <v>1.89</v>
      </c>
      <c r="P1000" s="132">
        <v>12.88</v>
      </c>
      <c r="Q1000" s="132"/>
      <c r="R1000" s="133">
        <v>0.81126547249601699</v>
      </c>
      <c r="S1000" s="136">
        <v>5.5</v>
      </c>
      <c r="T1000" s="132"/>
      <c r="U1000" s="132"/>
      <c r="V1000" s="132"/>
      <c r="W1000" s="132"/>
      <c r="X1000" s="132"/>
      <c r="Y1000" s="136">
        <v>3.6</v>
      </c>
      <c r="Z1000" s="133">
        <v>5.2240000000000002</v>
      </c>
      <c r="AA1000" s="133"/>
      <c r="AB1000" s="133"/>
      <c r="AC1000" s="132"/>
      <c r="AD1000" s="130">
        <v>60</v>
      </c>
      <c r="AE1000" s="130">
        <v>60</v>
      </c>
      <c r="AF1000" s="130">
        <f t="shared" si="41"/>
        <v>880</v>
      </c>
      <c r="AG1000" s="66">
        <f t="shared" si="39"/>
        <v>152.41666666666669</v>
      </c>
      <c r="AH1000" s="143">
        <f t="shared" si="40"/>
        <v>1000</v>
      </c>
      <c r="AI1000" s="157"/>
      <c r="AJ1000" s="157"/>
      <c r="AK1000" s="157"/>
      <c r="AL1000" s="157"/>
      <c r="AM1000" s="157"/>
      <c r="AN1000" s="157"/>
      <c r="AO1000" s="157"/>
      <c r="AP1000" s="157"/>
      <c r="AQ1000" s="157"/>
      <c r="AR1000" s="157"/>
      <c r="AS1000" s="157"/>
      <c r="AT1000" s="157"/>
      <c r="AU1000" s="157"/>
      <c r="AV1000" s="157"/>
      <c r="AW1000" s="157"/>
      <c r="AX1000" s="157"/>
      <c r="AY1000" s="157"/>
      <c r="AZ1000" s="157"/>
      <c r="BA1000" s="157"/>
      <c r="BB1000" s="157"/>
      <c r="BC1000" s="157"/>
      <c r="BD1000" s="157"/>
    </row>
    <row r="1001" spans="1:56" s="137" customFormat="1" x14ac:dyDescent="0.3">
      <c r="A1001" s="84">
        <v>903021</v>
      </c>
      <c r="B1001" s="136">
        <v>1.6666666666666666E-2</v>
      </c>
      <c r="C1001" s="136"/>
      <c r="D1001" s="153">
        <v>5.86</v>
      </c>
      <c r="E1001" s="1528">
        <v>0.06</v>
      </c>
      <c r="F1001" s="134">
        <v>42.65</v>
      </c>
      <c r="G1001" s="132"/>
      <c r="H1001" s="134">
        <v>137.74</v>
      </c>
      <c r="I1001" s="134">
        <v>70</v>
      </c>
      <c r="J1001" s="135">
        <v>1.7999999999999999E-2</v>
      </c>
      <c r="K1001" s="136">
        <v>1.37</v>
      </c>
      <c r="L1001" s="132">
        <v>90</v>
      </c>
      <c r="M1001" s="132">
        <v>2.4500000000000002</v>
      </c>
      <c r="N1001" s="132">
        <v>0.64</v>
      </c>
      <c r="O1001" s="132">
        <v>2.4500000000000002</v>
      </c>
      <c r="P1001" s="132">
        <v>19.940000000000001</v>
      </c>
      <c r="Q1001" s="132"/>
      <c r="R1001" s="133">
        <v>0.59639370250106449</v>
      </c>
      <c r="S1001" s="136">
        <v>4.0999999999999996</v>
      </c>
      <c r="T1001" s="132"/>
      <c r="U1001" s="132"/>
      <c r="V1001" s="132"/>
      <c r="W1001" s="132"/>
      <c r="X1001" s="132"/>
      <c r="Y1001" s="136">
        <v>3</v>
      </c>
      <c r="Z1001" s="133">
        <v>4.6880000000000006</v>
      </c>
      <c r="AA1001" s="133"/>
      <c r="AB1001" s="133"/>
      <c r="AC1001" s="132"/>
      <c r="AD1001" s="130">
        <v>60</v>
      </c>
      <c r="AE1001" s="130">
        <v>80</v>
      </c>
      <c r="AF1001" s="130">
        <f t="shared" si="41"/>
        <v>860</v>
      </c>
      <c r="AG1001" s="66">
        <f t="shared" si="39"/>
        <v>161.66</v>
      </c>
      <c r="AH1001" s="143">
        <f t="shared" si="40"/>
        <v>1000</v>
      </c>
      <c r="AI1001" s="157"/>
      <c r="AJ1001" s="157"/>
      <c r="AK1001" s="157"/>
      <c r="AL1001" s="157"/>
      <c r="AM1001" s="157"/>
      <c r="AN1001" s="157"/>
      <c r="AO1001" s="157"/>
      <c r="AP1001" s="157"/>
      <c r="AQ1001" s="157"/>
      <c r="AR1001" s="157"/>
      <c r="AS1001" s="157"/>
      <c r="AT1001" s="157"/>
      <c r="AU1001" s="157"/>
      <c r="AV1001" s="157"/>
      <c r="AW1001" s="157"/>
      <c r="AX1001" s="157"/>
      <c r="AY1001" s="157"/>
      <c r="AZ1001" s="157"/>
      <c r="BA1001" s="157"/>
      <c r="BB1001" s="157"/>
      <c r="BC1001" s="157"/>
      <c r="BD1001" s="157"/>
    </row>
    <row r="1002" spans="1:56" s="157" customFormat="1" x14ac:dyDescent="0.3">
      <c r="A1002" s="84">
        <v>903022</v>
      </c>
      <c r="B1002" s="156">
        <v>3.3333333333333333E-2</v>
      </c>
      <c r="C1002" s="156"/>
      <c r="D1002" s="153">
        <v>7.9</v>
      </c>
      <c r="E1002" s="1529">
        <v>0.1</v>
      </c>
      <c r="F1002" s="154">
        <v>55.9</v>
      </c>
      <c r="G1002" s="150"/>
      <c r="H1002" s="154">
        <v>73.739999999999995</v>
      </c>
      <c r="I1002" s="154">
        <v>60</v>
      </c>
      <c r="J1002" s="155">
        <v>2.3E-2</v>
      </c>
      <c r="K1002" s="156">
        <v>1.36</v>
      </c>
      <c r="L1002" s="150">
        <v>120</v>
      </c>
      <c r="M1002" s="150">
        <v>1.32</v>
      </c>
      <c r="N1002" s="150">
        <v>0.4</v>
      </c>
      <c r="O1002" s="150">
        <v>3.8</v>
      </c>
      <c r="P1002" s="150">
        <v>6.92</v>
      </c>
      <c r="Q1002" s="150"/>
      <c r="R1002" s="153">
        <v>0.63049512200295177</v>
      </c>
      <c r="S1002" s="156">
        <v>4.5999999999999996</v>
      </c>
      <c r="T1002" s="150"/>
      <c r="U1002" s="150"/>
      <c r="V1002" s="150"/>
      <c r="W1002" s="150"/>
      <c r="X1002" s="150"/>
      <c r="Y1002" s="156">
        <v>4</v>
      </c>
      <c r="Z1002" s="150"/>
      <c r="AA1002" s="153"/>
      <c r="AB1002" s="153"/>
      <c r="AC1002" s="150"/>
      <c r="AD1002" s="95">
        <v>80</v>
      </c>
      <c r="AE1002" s="95">
        <v>60</v>
      </c>
      <c r="AF1002" s="95">
        <f t="shared" si="41"/>
        <v>860</v>
      </c>
      <c r="AG1002" s="66">
        <f t="shared" si="39"/>
        <v>120.36</v>
      </c>
      <c r="AH1002" s="143">
        <f t="shared" si="40"/>
        <v>1000</v>
      </c>
    </row>
    <row r="1003" spans="1:56" s="157" customFormat="1" x14ac:dyDescent="0.3">
      <c r="A1003" s="84">
        <v>903023</v>
      </c>
      <c r="B1003" s="156">
        <v>3.3333333333333333E-2</v>
      </c>
      <c r="C1003" s="156"/>
      <c r="D1003" s="153">
        <v>7.78</v>
      </c>
      <c r="E1003" s="1529">
        <v>0.09</v>
      </c>
      <c r="F1003" s="154">
        <v>46.1</v>
      </c>
      <c r="G1003" s="150"/>
      <c r="H1003" s="154">
        <v>67.540000000000006</v>
      </c>
      <c r="I1003" s="154">
        <v>50</v>
      </c>
      <c r="J1003" s="155">
        <v>2.3E-2</v>
      </c>
      <c r="K1003" s="156">
        <v>1.22</v>
      </c>
      <c r="L1003" s="150">
        <v>100</v>
      </c>
      <c r="M1003" s="150">
        <v>1.22</v>
      </c>
      <c r="N1003" s="150">
        <v>0.26</v>
      </c>
      <c r="O1003" s="150">
        <v>5.09</v>
      </c>
      <c r="P1003" s="150">
        <v>6.52</v>
      </c>
      <c r="Q1003" s="150"/>
      <c r="R1003" s="153">
        <v>0.70864893325732259</v>
      </c>
      <c r="S1003" s="156">
        <v>4.8</v>
      </c>
      <c r="T1003" s="150"/>
      <c r="U1003" s="150"/>
      <c r="V1003" s="150"/>
      <c r="W1003" s="150"/>
      <c r="X1003" s="150"/>
      <c r="Y1003" s="156">
        <v>4.2</v>
      </c>
      <c r="Z1003" s="150"/>
      <c r="AA1003" s="153"/>
      <c r="AB1003" s="153"/>
      <c r="AC1003" s="150"/>
      <c r="AD1003" s="95">
        <v>60</v>
      </c>
      <c r="AE1003" s="95">
        <v>80</v>
      </c>
      <c r="AF1003" s="95">
        <f t="shared" si="41"/>
        <v>860</v>
      </c>
      <c r="AG1003" s="66">
        <f t="shared" si="39"/>
        <v>102.82857142857141</v>
      </c>
      <c r="AH1003" s="143">
        <f t="shared" si="40"/>
        <v>1000</v>
      </c>
    </row>
    <row r="1004" spans="1:56" s="157" customFormat="1" x14ac:dyDescent="0.3">
      <c r="A1004" s="84">
        <v>903024</v>
      </c>
      <c r="B1004" s="156">
        <v>1.6666666666666666E-2</v>
      </c>
      <c r="C1004" s="156"/>
      <c r="D1004" s="153">
        <v>7.31</v>
      </c>
      <c r="E1004" s="1529">
        <v>0.09</v>
      </c>
      <c r="F1004" s="154">
        <v>48.25</v>
      </c>
      <c r="G1004" s="150"/>
      <c r="H1004" s="154">
        <v>98.74</v>
      </c>
      <c r="I1004" s="154">
        <v>30</v>
      </c>
      <c r="J1004" s="155">
        <v>2.7E-2</v>
      </c>
      <c r="K1004" s="156">
        <v>1.21</v>
      </c>
      <c r="L1004" s="150">
        <v>60</v>
      </c>
      <c r="M1004" s="150">
        <v>3.96</v>
      </c>
      <c r="N1004" s="150">
        <v>0.36</v>
      </c>
      <c r="O1004" s="150">
        <v>4.58</v>
      </c>
      <c r="P1004" s="150">
        <v>8.08</v>
      </c>
      <c r="Q1004" s="150"/>
      <c r="R1004" s="153">
        <v>0.75484882293010025</v>
      </c>
      <c r="S1004" s="156">
        <v>5.4</v>
      </c>
      <c r="T1004" s="150"/>
      <c r="U1004" s="150"/>
      <c r="V1004" s="150"/>
      <c r="W1004" s="150"/>
      <c r="X1004" s="150"/>
      <c r="Y1004" s="156">
        <v>4.2</v>
      </c>
      <c r="Z1004" s="150"/>
      <c r="AA1004" s="153"/>
      <c r="AB1004" s="153"/>
      <c r="AC1004" s="150"/>
      <c r="AD1004" s="95">
        <v>60</v>
      </c>
      <c r="AE1004" s="95">
        <v>60</v>
      </c>
      <c r="AF1004" s="95">
        <f t="shared" si="41"/>
        <v>880</v>
      </c>
      <c r="AG1004" s="66">
        <f t="shared" si="39"/>
        <v>101.98571428571429</v>
      </c>
      <c r="AH1004" s="143">
        <f t="shared" si="40"/>
        <v>1000</v>
      </c>
    </row>
    <row r="1005" spans="1:56" s="157" customFormat="1" x14ac:dyDescent="0.3">
      <c r="A1005" s="84">
        <v>903025</v>
      </c>
      <c r="B1005" s="156">
        <v>1.6666666666666666E-2</v>
      </c>
      <c r="C1005" s="156"/>
      <c r="D1005" s="153">
        <v>6.96</v>
      </c>
      <c r="E1005" s="1529">
        <v>0.1</v>
      </c>
      <c r="F1005" s="154">
        <v>54</v>
      </c>
      <c r="G1005" s="150"/>
      <c r="H1005" s="154">
        <v>111.37</v>
      </c>
      <c r="I1005" s="154">
        <v>50</v>
      </c>
      <c r="J1005" s="155">
        <v>2.7E-2</v>
      </c>
      <c r="K1005" s="156">
        <v>1.1599999999999999</v>
      </c>
      <c r="L1005" s="150">
        <v>80</v>
      </c>
      <c r="M1005" s="150">
        <v>1.6</v>
      </c>
      <c r="N1005" s="150">
        <v>0.24</v>
      </c>
      <c r="O1005" s="150">
        <v>6.84</v>
      </c>
      <c r="P1005" s="150">
        <v>8.0500000000000007</v>
      </c>
      <c r="Q1005" s="150"/>
      <c r="R1005" s="153">
        <v>0.56233916177315424</v>
      </c>
      <c r="S1005" s="156">
        <v>3.9</v>
      </c>
      <c r="T1005" s="150"/>
      <c r="U1005" s="150"/>
      <c r="V1005" s="150"/>
      <c r="W1005" s="150"/>
      <c r="X1005" s="150"/>
      <c r="Y1005" s="156">
        <v>3.6</v>
      </c>
      <c r="Z1005" s="153">
        <v>5.5680000000000005</v>
      </c>
      <c r="AA1005" s="153"/>
      <c r="AB1005" s="153"/>
      <c r="AC1005" s="150"/>
      <c r="AD1005" s="95">
        <v>60</v>
      </c>
      <c r="AE1005" s="95">
        <v>80</v>
      </c>
      <c r="AF1005" s="95">
        <f t="shared" si="41"/>
        <v>860</v>
      </c>
      <c r="AG1005" s="66">
        <f t="shared" si="39"/>
        <v>114.06666666666666</v>
      </c>
      <c r="AH1005" s="143">
        <f t="shared" si="40"/>
        <v>1000</v>
      </c>
    </row>
    <row r="1006" spans="1:56" s="157" customFormat="1" x14ac:dyDescent="0.3">
      <c r="A1006" s="84">
        <v>903026</v>
      </c>
      <c r="B1006" s="156">
        <v>1.6666666666666666E-2</v>
      </c>
      <c r="C1006" s="156"/>
      <c r="D1006" s="153">
        <v>7.31</v>
      </c>
      <c r="E1006" s="1529">
        <v>0.1</v>
      </c>
      <c r="F1006" s="154">
        <v>51.25</v>
      </c>
      <c r="G1006" s="150"/>
      <c r="H1006" s="154">
        <v>102.44</v>
      </c>
      <c r="I1006" s="154">
        <v>50</v>
      </c>
      <c r="J1006" s="155">
        <v>2.9000000000000001E-2</v>
      </c>
      <c r="K1006" s="156">
        <v>1.2</v>
      </c>
      <c r="L1006" s="150">
        <v>100</v>
      </c>
      <c r="M1006" s="150">
        <v>1.37</v>
      </c>
      <c r="N1006" s="150">
        <v>0.39</v>
      </c>
      <c r="O1006" s="150">
        <v>5.38</v>
      </c>
      <c r="P1006" s="150">
        <v>7.97</v>
      </c>
      <c r="Q1006" s="150"/>
      <c r="R1006" s="153">
        <v>0.66879391902923868</v>
      </c>
      <c r="S1006" s="156">
        <v>4.5</v>
      </c>
      <c r="T1006" s="150"/>
      <c r="U1006" s="150"/>
      <c r="V1006" s="150"/>
      <c r="W1006" s="150"/>
      <c r="X1006" s="150"/>
      <c r="Y1006" s="156">
        <v>3.6</v>
      </c>
      <c r="Z1006" s="150"/>
      <c r="AA1006" s="153"/>
      <c r="AB1006" s="153"/>
      <c r="AC1006" s="150"/>
      <c r="AD1006" s="95">
        <v>60</v>
      </c>
      <c r="AE1006" s="95">
        <v>60</v>
      </c>
      <c r="AF1006" s="95">
        <f t="shared" si="41"/>
        <v>880</v>
      </c>
      <c r="AG1006" s="66">
        <f t="shared" si="39"/>
        <v>118</v>
      </c>
      <c r="AH1006" s="143">
        <f t="shared" si="40"/>
        <v>1000</v>
      </c>
    </row>
    <row r="1007" spans="1:56" s="157" customFormat="1" x14ac:dyDescent="0.3">
      <c r="A1007" s="84">
        <v>903027</v>
      </c>
      <c r="B1007" s="156">
        <v>3.3333333333333333E-2</v>
      </c>
      <c r="C1007" s="156"/>
      <c r="D1007" s="153">
        <v>7.02</v>
      </c>
      <c r="E1007" s="1529">
        <v>0.1</v>
      </c>
      <c r="F1007" s="154">
        <v>53.449999999999996</v>
      </c>
      <c r="G1007" s="150"/>
      <c r="H1007" s="154">
        <v>115.02</v>
      </c>
      <c r="I1007" s="154">
        <v>40</v>
      </c>
      <c r="J1007" s="155">
        <v>2.9000000000000001E-2</v>
      </c>
      <c r="K1007" s="156">
        <v>1.23</v>
      </c>
      <c r="L1007" s="150">
        <v>70</v>
      </c>
      <c r="M1007" s="150">
        <v>1.48</v>
      </c>
      <c r="N1007" s="150">
        <v>0.22</v>
      </c>
      <c r="O1007" s="150">
        <v>5.79</v>
      </c>
      <c r="P1007" s="150">
        <v>7.78</v>
      </c>
      <c r="Q1007" s="150"/>
      <c r="R1007" s="153">
        <v>0.73687158083374549</v>
      </c>
      <c r="S1007" s="156">
        <v>5.2</v>
      </c>
      <c r="T1007" s="150"/>
      <c r="U1007" s="150"/>
      <c r="V1007" s="150"/>
      <c r="W1007" s="150"/>
      <c r="X1007" s="150"/>
      <c r="Y1007" s="156">
        <v>3</v>
      </c>
      <c r="Z1007" s="150"/>
      <c r="AA1007" s="153"/>
      <c r="AB1007" s="153"/>
      <c r="AC1007" s="150"/>
      <c r="AD1007" s="95">
        <v>60</v>
      </c>
      <c r="AE1007" s="95">
        <v>60</v>
      </c>
      <c r="AF1007" s="95">
        <f t="shared" si="41"/>
        <v>880</v>
      </c>
      <c r="AG1007" s="66">
        <f t="shared" si="39"/>
        <v>145.13999999999999</v>
      </c>
      <c r="AH1007" s="143">
        <f t="shared" si="40"/>
        <v>1000</v>
      </c>
    </row>
    <row r="1008" spans="1:56" s="157" customFormat="1" x14ac:dyDescent="0.3">
      <c r="A1008" s="84">
        <v>903028</v>
      </c>
      <c r="B1008" s="156">
        <v>3.3333333333333333E-2</v>
      </c>
      <c r="C1008" s="156"/>
      <c r="D1008" s="153">
        <v>7.36</v>
      </c>
      <c r="E1008" s="1529">
        <v>0.12</v>
      </c>
      <c r="F1008" s="154">
        <v>81.850000000000009</v>
      </c>
      <c r="G1008" s="150"/>
      <c r="H1008" s="154">
        <v>123.71</v>
      </c>
      <c r="I1008" s="154">
        <v>140</v>
      </c>
      <c r="J1008" s="155">
        <v>4.4999999999999998E-2</v>
      </c>
      <c r="K1008" s="156">
        <v>1.07</v>
      </c>
      <c r="L1008" s="150">
        <v>170</v>
      </c>
      <c r="M1008" s="150">
        <v>0.89</v>
      </c>
      <c r="N1008" s="150">
        <v>0.52</v>
      </c>
      <c r="O1008" s="150">
        <v>2.65</v>
      </c>
      <c r="P1008" s="150">
        <v>6.3</v>
      </c>
      <c r="Q1008" s="150"/>
      <c r="R1008" s="153">
        <v>0.69819773698366994</v>
      </c>
      <c r="S1008" s="156">
        <v>4.5999999999999996</v>
      </c>
      <c r="T1008" s="150"/>
      <c r="U1008" s="150"/>
      <c r="V1008" s="150"/>
      <c r="W1008" s="150"/>
      <c r="X1008" s="150"/>
      <c r="Y1008" s="156">
        <v>3.6</v>
      </c>
      <c r="Z1008" s="150"/>
      <c r="AA1008" s="153"/>
      <c r="AB1008" s="153"/>
      <c r="AC1008" s="150"/>
      <c r="AD1008" s="95">
        <v>60</v>
      </c>
      <c r="AE1008" s="95">
        <v>80</v>
      </c>
      <c r="AF1008" s="95">
        <f t="shared" si="41"/>
        <v>860</v>
      </c>
      <c r="AG1008" s="66">
        <f t="shared" si="39"/>
        <v>105.21666666666667</v>
      </c>
      <c r="AH1008" s="143">
        <f t="shared" si="40"/>
        <v>1000</v>
      </c>
    </row>
    <row r="1009" spans="1:34" s="157" customFormat="1" x14ac:dyDescent="0.3">
      <c r="A1009" s="84">
        <v>903029</v>
      </c>
      <c r="B1009" s="156">
        <v>3.3333333333333333E-2</v>
      </c>
      <c r="C1009" s="156"/>
      <c r="D1009" s="153">
        <v>7.04</v>
      </c>
      <c r="E1009" s="1529">
        <v>0.09</v>
      </c>
      <c r="F1009" s="154">
        <v>78.2</v>
      </c>
      <c r="G1009" s="150"/>
      <c r="H1009" s="154">
        <v>116.49</v>
      </c>
      <c r="I1009" s="154">
        <v>120</v>
      </c>
      <c r="J1009" s="155">
        <v>4.2000000000000003E-2</v>
      </c>
      <c r="K1009" s="156">
        <v>1.8</v>
      </c>
      <c r="L1009" s="150">
        <v>120</v>
      </c>
      <c r="M1009" s="150">
        <v>0.63</v>
      </c>
      <c r="N1009" s="150">
        <v>0.44</v>
      </c>
      <c r="O1009" s="150">
        <v>3.99</v>
      </c>
      <c r="P1009" s="150">
        <v>8.18</v>
      </c>
      <c r="Q1009" s="150"/>
      <c r="R1009" s="153">
        <v>0.46276695524871769</v>
      </c>
      <c r="S1009" s="156">
        <v>3.1</v>
      </c>
      <c r="T1009" s="150"/>
      <c r="U1009" s="150"/>
      <c r="V1009" s="150"/>
      <c r="W1009" s="150"/>
      <c r="X1009" s="150"/>
      <c r="Y1009" s="156">
        <v>3.6</v>
      </c>
      <c r="Z1009" s="150"/>
      <c r="AA1009" s="153"/>
      <c r="AB1009" s="153"/>
      <c r="AC1009" s="150"/>
      <c r="AD1009" s="95">
        <v>60</v>
      </c>
      <c r="AE1009" s="95">
        <v>60</v>
      </c>
      <c r="AF1009" s="95">
        <f t="shared" si="41"/>
        <v>880</v>
      </c>
      <c r="AG1009" s="66">
        <f t="shared" si="39"/>
        <v>177</v>
      </c>
      <c r="AH1009" s="143">
        <f t="shared" si="40"/>
        <v>1000</v>
      </c>
    </row>
    <row r="1010" spans="1:34" s="157" customFormat="1" x14ac:dyDescent="0.3">
      <c r="A1010" s="84">
        <v>903030</v>
      </c>
      <c r="B1010" s="156">
        <v>1.6666666666666666E-2</v>
      </c>
      <c r="C1010" s="156"/>
      <c r="D1010" s="153">
        <v>7.46</v>
      </c>
      <c r="E1010" s="1529">
        <v>0.12</v>
      </c>
      <c r="F1010" s="154">
        <v>75.45</v>
      </c>
      <c r="G1010" s="150"/>
      <c r="H1010" s="154">
        <v>109.2</v>
      </c>
      <c r="I1010" s="154">
        <v>110</v>
      </c>
      <c r="J1010" s="155">
        <v>3.5000000000000003E-2</v>
      </c>
      <c r="K1010" s="156">
        <v>1.1200000000000001</v>
      </c>
      <c r="L1010" s="150">
        <v>140</v>
      </c>
      <c r="M1010" s="150">
        <v>0.9</v>
      </c>
      <c r="N1010" s="150">
        <v>0.43</v>
      </c>
      <c r="O1010" s="150">
        <v>3.9</v>
      </c>
      <c r="P1010" s="150">
        <v>7.39</v>
      </c>
      <c r="Q1010" s="150"/>
      <c r="R1010" s="153">
        <v>0.44771719102641555</v>
      </c>
      <c r="S1010" s="156">
        <v>3</v>
      </c>
      <c r="T1010" s="150"/>
      <c r="U1010" s="150"/>
      <c r="V1010" s="150"/>
      <c r="W1010" s="150"/>
      <c r="X1010" s="150"/>
      <c r="Y1010" s="156">
        <v>4.2</v>
      </c>
      <c r="Z1010" s="150"/>
      <c r="AA1010" s="153"/>
      <c r="AB1010" s="153"/>
      <c r="AC1010" s="150"/>
      <c r="AD1010" s="95">
        <v>60</v>
      </c>
      <c r="AE1010" s="95">
        <v>80</v>
      </c>
      <c r="AF1010" s="95">
        <f t="shared" si="41"/>
        <v>860</v>
      </c>
      <c r="AG1010" s="66">
        <f t="shared" si="39"/>
        <v>94.4</v>
      </c>
      <c r="AH1010" s="143">
        <f t="shared" si="40"/>
        <v>1000</v>
      </c>
    </row>
    <row r="1011" spans="1:34" s="157" customFormat="1" x14ac:dyDescent="0.3">
      <c r="A1011" s="84">
        <v>903031</v>
      </c>
      <c r="B1011" s="156">
        <v>3.3333333333333333E-2</v>
      </c>
      <c r="C1011" s="156"/>
      <c r="D1011" s="153">
        <v>7.16</v>
      </c>
      <c r="E1011" s="1529">
        <v>0.16</v>
      </c>
      <c r="F1011" s="154">
        <v>96.199999999999989</v>
      </c>
      <c r="G1011" s="150"/>
      <c r="H1011" s="154">
        <v>103.4</v>
      </c>
      <c r="I1011" s="154">
        <v>130</v>
      </c>
      <c r="J1011" s="155">
        <v>6.2E-2</v>
      </c>
      <c r="K1011" s="156">
        <v>1.91</v>
      </c>
      <c r="L1011" s="150">
        <v>130</v>
      </c>
      <c r="M1011" s="150">
        <v>1.1499999999999999</v>
      </c>
      <c r="N1011" s="150">
        <v>0.38</v>
      </c>
      <c r="O1011" s="150">
        <v>5.56</v>
      </c>
      <c r="P1011" s="150">
        <v>8.93</v>
      </c>
      <c r="Q1011" s="150"/>
      <c r="R1011" s="153">
        <v>0.57848835287709877</v>
      </c>
      <c r="S1011" s="156">
        <v>4.3</v>
      </c>
      <c r="T1011" s="150"/>
      <c r="U1011" s="150"/>
      <c r="V1011" s="150"/>
      <c r="W1011" s="150"/>
      <c r="X1011" s="150"/>
      <c r="Y1011" s="156">
        <v>3.6</v>
      </c>
      <c r="Z1011" s="150"/>
      <c r="AA1011" s="153"/>
      <c r="AB1011" s="153"/>
      <c r="AC1011" s="150"/>
      <c r="AD1011" s="95">
        <v>60</v>
      </c>
      <c r="AE1011" s="95">
        <v>60</v>
      </c>
      <c r="AF1011" s="95">
        <f t="shared" si="41"/>
        <v>880</v>
      </c>
      <c r="AG1011" s="66">
        <f t="shared" si="39"/>
        <v>187.81666666666666</v>
      </c>
      <c r="AH1011" s="143">
        <f t="shared" si="40"/>
        <v>1000</v>
      </c>
    </row>
    <row r="1012" spans="1:34" s="157" customFormat="1" x14ac:dyDescent="0.3">
      <c r="A1012" s="84">
        <v>903032</v>
      </c>
      <c r="B1012" s="156">
        <v>3.3333333333333333E-2</v>
      </c>
      <c r="C1012" s="156"/>
      <c r="D1012" s="153">
        <v>6.77</v>
      </c>
      <c r="E1012" s="1529">
        <v>0.13</v>
      </c>
      <c r="F1012" s="154">
        <v>109.45</v>
      </c>
      <c r="G1012" s="150"/>
      <c r="H1012" s="154">
        <v>118.36</v>
      </c>
      <c r="I1012" s="154">
        <v>80</v>
      </c>
      <c r="J1012" s="155">
        <v>9.2999999999999999E-2</v>
      </c>
      <c r="K1012" s="156">
        <v>1.78</v>
      </c>
      <c r="L1012" s="150">
        <v>110</v>
      </c>
      <c r="M1012" s="150">
        <v>1.35</v>
      </c>
      <c r="N1012" s="150">
        <v>0.46</v>
      </c>
      <c r="O1012" s="150">
        <v>22.34</v>
      </c>
      <c r="P1012" s="150">
        <v>24.94</v>
      </c>
      <c r="Q1012" s="150"/>
      <c r="R1012" s="153">
        <v>0.86481445610135921</v>
      </c>
      <c r="S1012" s="156">
        <v>6.1</v>
      </c>
      <c r="T1012" s="150"/>
      <c r="U1012" s="150"/>
      <c r="V1012" s="150"/>
      <c r="W1012" s="150"/>
      <c r="X1012" s="150"/>
      <c r="Y1012" s="156">
        <v>3</v>
      </c>
      <c r="Z1012" s="153">
        <v>5.4160000000000004</v>
      </c>
      <c r="AA1012" s="153"/>
      <c r="AB1012" s="153"/>
      <c r="AC1012" s="150"/>
      <c r="AD1012" s="95">
        <v>60</v>
      </c>
      <c r="AE1012" s="95">
        <v>60</v>
      </c>
      <c r="AF1012" s="95">
        <f t="shared" si="41"/>
        <v>880</v>
      </c>
      <c r="AG1012" s="66">
        <f t="shared" si="39"/>
        <v>210.04</v>
      </c>
      <c r="AH1012" s="143">
        <f t="shared" si="40"/>
        <v>1000</v>
      </c>
    </row>
    <row r="1013" spans="1:34" s="157" customFormat="1" x14ac:dyDescent="0.3">
      <c r="A1013" s="84">
        <v>903033</v>
      </c>
      <c r="B1013" s="156">
        <v>1.6666666666666666E-2</v>
      </c>
      <c r="C1013" s="156"/>
      <c r="D1013" s="153">
        <v>6.87</v>
      </c>
      <c r="E1013" s="1529">
        <v>0.1</v>
      </c>
      <c r="F1013" s="154">
        <v>87.2</v>
      </c>
      <c r="G1013" s="150"/>
      <c r="H1013" s="154">
        <v>92.99</v>
      </c>
      <c r="I1013" s="154">
        <v>90</v>
      </c>
      <c r="J1013" s="155">
        <v>6.9000000000000006E-2</v>
      </c>
      <c r="K1013" s="156">
        <v>0.85</v>
      </c>
      <c r="L1013" s="150">
        <v>100</v>
      </c>
      <c r="M1013" s="150">
        <v>0.9</v>
      </c>
      <c r="N1013" s="150">
        <v>0.18</v>
      </c>
      <c r="O1013" s="150">
        <v>7.61</v>
      </c>
      <c r="P1013" s="150">
        <v>9.73</v>
      </c>
      <c r="Q1013" s="150"/>
      <c r="R1013" s="153">
        <v>0.96081838830676725</v>
      </c>
      <c r="S1013" s="156">
        <v>6.4</v>
      </c>
      <c r="T1013" s="150"/>
      <c r="U1013" s="150"/>
      <c r="V1013" s="150"/>
      <c r="W1013" s="150"/>
      <c r="X1013" s="150"/>
      <c r="Y1013" s="156">
        <v>3</v>
      </c>
      <c r="Z1013" s="153">
        <v>5.4960000000000004</v>
      </c>
      <c r="AA1013" s="153"/>
      <c r="AB1013" s="153"/>
      <c r="AC1013" s="150"/>
      <c r="AD1013" s="95">
        <v>60</v>
      </c>
      <c r="AE1013" s="95">
        <v>60</v>
      </c>
      <c r="AF1013" s="95">
        <f t="shared" si="41"/>
        <v>880</v>
      </c>
      <c r="AG1013" s="66">
        <f t="shared" si="39"/>
        <v>100.3</v>
      </c>
      <c r="AH1013" s="143">
        <f t="shared" si="40"/>
        <v>1000</v>
      </c>
    </row>
    <row r="1014" spans="1:34" s="157" customFormat="1" x14ac:dyDescent="0.3">
      <c r="A1014" s="84">
        <v>903034</v>
      </c>
      <c r="B1014" s="156">
        <v>3.3333333333333333E-2</v>
      </c>
      <c r="C1014" s="156"/>
      <c r="D1014" s="153">
        <v>7.23</v>
      </c>
      <c r="E1014" s="1529">
        <v>0.23</v>
      </c>
      <c r="F1014" s="154">
        <v>58.949999999999996</v>
      </c>
      <c r="G1014" s="150"/>
      <c r="H1014" s="154">
        <v>144.09</v>
      </c>
      <c r="I1014" s="154">
        <v>270</v>
      </c>
      <c r="J1014" s="155">
        <v>2.8000000000000001E-2</v>
      </c>
      <c r="K1014" s="156">
        <v>1.61</v>
      </c>
      <c r="L1014" s="150">
        <v>110</v>
      </c>
      <c r="M1014" s="150">
        <v>2.12</v>
      </c>
      <c r="N1014" s="150">
        <v>0.62</v>
      </c>
      <c r="O1014" s="150">
        <v>5.72</v>
      </c>
      <c r="P1014" s="150">
        <v>14.67</v>
      </c>
      <c r="Q1014" s="150"/>
      <c r="R1014" s="153">
        <v>1.0946598347914576</v>
      </c>
      <c r="S1014" s="156">
        <v>7.2</v>
      </c>
      <c r="T1014" s="150"/>
      <c r="U1014" s="150"/>
      <c r="V1014" s="150"/>
      <c r="W1014" s="150"/>
      <c r="X1014" s="150"/>
      <c r="Y1014" s="156">
        <v>4.2</v>
      </c>
      <c r="Z1014" s="150"/>
      <c r="AA1014" s="153"/>
      <c r="AB1014" s="153"/>
      <c r="AC1014" s="150"/>
      <c r="AD1014" s="95">
        <v>60</v>
      </c>
      <c r="AE1014" s="95">
        <v>80</v>
      </c>
      <c r="AF1014" s="95">
        <f t="shared" si="41"/>
        <v>860</v>
      </c>
      <c r="AG1014" s="66">
        <f t="shared" si="39"/>
        <v>135.70000000000002</v>
      </c>
      <c r="AH1014" s="143">
        <f t="shared" si="40"/>
        <v>1000</v>
      </c>
    </row>
    <row r="1015" spans="1:34" s="157" customFormat="1" x14ac:dyDescent="0.3">
      <c r="A1015" s="84">
        <v>903035</v>
      </c>
      <c r="B1015" s="156">
        <v>3.3333333333333333E-2</v>
      </c>
      <c r="C1015" s="156"/>
      <c r="D1015" s="153">
        <v>6.62</v>
      </c>
      <c r="E1015" s="1529">
        <v>0.37</v>
      </c>
      <c r="F1015" s="154">
        <v>63</v>
      </c>
      <c r="G1015" s="150"/>
      <c r="H1015" s="154">
        <v>230.72</v>
      </c>
      <c r="I1015" s="154">
        <v>160</v>
      </c>
      <c r="J1015" s="155">
        <v>5.2999999999999999E-2</v>
      </c>
      <c r="K1015" s="156">
        <v>2.06</v>
      </c>
      <c r="L1015" s="150">
        <v>100</v>
      </c>
      <c r="M1015" s="150">
        <v>3.25</v>
      </c>
      <c r="N1015" s="150">
        <v>0.73</v>
      </c>
      <c r="O1015" s="150">
        <v>17.260000000000002</v>
      </c>
      <c r="P1015" s="150">
        <v>32.71</v>
      </c>
      <c r="Q1015" s="150"/>
      <c r="R1015" s="153">
        <v>1.3898413968917196</v>
      </c>
      <c r="S1015" s="156">
        <v>9.5</v>
      </c>
      <c r="T1015" s="150"/>
      <c r="U1015" s="150"/>
      <c r="V1015" s="150"/>
      <c r="W1015" s="150"/>
      <c r="X1015" s="150"/>
      <c r="Y1015" s="156">
        <v>4</v>
      </c>
      <c r="Z1015" s="153">
        <v>5.2960000000000003</v>
      </c>
      <c r="AA1015" s="153"/>
      <c r="AB1015" s="153"/>
      <c r="AC1015" s="150"/>
      <c r="AD1015" s="95">
        <v>80</v>
      </c>
      <c r="AE1015" s="95">
        <v>60</v>
      </c>
      <c r="AF1015" s="95">
        <f t="shared" si="41"/>
        <v>860</v>
      </c>
      <c r="AG1015" s="66">
        <f t="shared" si="39"/>
        <v>182.31</v>
      </c>
      <c r="AH1015" s="143">
        <f t="shared" si="40"/>
        <v>1000</v>
      </c>
    </row>
    <row r="1016" spans="1:34" s="157" customFormat="1" x14ac:dyDescent="0.3">
      <c r="A1016" s="84">
        <v>903036</v>
      </c>
      <c r="B1016" s="156">
        <v>0.05</v>
      </c>
      <c r="C1016" s="156"/>
      <c r="D1016" s="153">
        <v>6.06</v>
      </c>
      <c r="E1016" s="1529">
        <v>0.44</v>
      </c>
      <c r="F1016" s="154">
        <v>59.75</v>
      </c>
      <c r="G1016" s="150"/>
      <c r="H1016" s="154">
        <v>257.19</v>
      </c>
      <c r="I1016" s="154">
        <v>220</v>
      </c>
      <c r="J1016" s="155">
        <v>2.9000000000000001E-2</v>
      </c>
      <c r="K1016" s="156">
        <v>1.95</v>
      </c>
      <c r="L1016" s="150">
        <v>110</v>
      </c>
      <c r="M1016" s="150">
        <v>4.34</v>
      </c>
      <c r="N1016" s="150">
        <v>1</v>
      </c>
      <c r="O1016" s="150">
        <v>25.24</v>
      </c>
      <c r="P1016" s="150">
        <v>30.23</v>
      </c>
      <c r="Q1016" s="150"/>
      <c r="R1016" s="153">
        <v>1.5744170000000002</v>
      </c>
      <c r="S1016" s="156">
        <v>10.3</v>
      </c>
      <c r="T1016" s="150"/>
      <c r="U1016" s="150"/>
      <c r="V1016" s="150"/>
      <c r="W1016" s="150"/>
      <c r="X1016" s="150"/>
      <c r="Y1016" s="156">
        <v>4</v>
      </c>
      <c r="Z1016" s="153">
        <v>4.8479999999999999</v>
      </c>
      <c r="AA1016" s="153"/>
      <c r="AB1016" s="153"/>
      <c r="AC1016" s="150"/>
      <c r="AD1016" s="95">
        <v>80</v>
      </c>
      <c r="AE1016" s="95">
        <v>60</v>
      </c>
      <c r="AF1016" s="95">
        <f t="shared" si="41"/>
        <v>860</v>
      </c>
      <c r="AG1016" s="66">
        <f t="shared" si="39"/>
        <v>172.57499999999999</v>
      </c>
      <c r="AH1016" s="143">
        <f t="shared" si="40"/>
        <v>1000</v>
      </c>
    </row>
    <row r="1017" spans="1:34" s="157" customFormat="1" x14ac:dyDescent="0.3">
      <c r="A1017" s="84">
        <v>903037</v>
      </c>
      <c r="B1017" s="156">
        <v>3.3333333333333333E-2</v>
      </c>
      <c r="C1017" s="156"/>
      <c r="D1017" s="153">
        <v>7.44</v>
      </c>
      <c r="E1017" s="1529">
        <v>0.19</v>
      </c>
      <c r="F1017" s="154">
        <v>78.45</v>
      </c>
      <c r="G1017" s="150"/>
      <c r="H1017" s="154">
        <v>207.86</v>
      </c>
      <c r="I1017" s="154">
        <v>70</v>
      </c>
      <c r="J1017" s="155">
        <v>7.4999999999999997E-2</v>
      </c>
      <c r="K1017" s="156">
        <v>2.72</v>
      </c>
      <c r="L1017" s="150">
        <v>100</v>
      </c>
      <c r="M1017" s="150">
        <v>2.92</v>
      </c>
      <c r="N1017" s="150">
        <v>0.35</v>
      </c>
      <c r="O1017" s="150">
        <v>3.86</v>
      </c>
      <c r="P1017" s="150">
        <v>17.010000000000002</v>
      </c>
      <c r="Q1017" s="150"/>
      <c r="R1017" s="153">
        <v>1.6922480000000002</v>
      </c>
      <c r="S1017" s="156">
        <v>13.4</v>
      </c>
      <c r="T1017" s="150"/>
      <c r="U1017" s="150"/>
      <c r="V1017" s="150"/>
      <c r="W1017" s="150"/>
      <c r="X1017" s="150"/>
      <c r="Y1017" s="156">
        <v>3</v>
      </c>
      <c r="Z1017" s="150"/>
      <c r="AA1017" s="153"/>
      <c r="AB1017" s="153"/>
      <c r="AC1017" s="150"/>
      <c r="AD1017" s="95">
        <v>60</v>
      </c>
      <c r="AE1017" s="95">
        <v>80</v>
      </c>
      <c r="AF1017" s="95">
        <f t="shared" si="41"/>
        <v>860</v>
      </c>
      <c r="AG1017" s="66">
        <f t="shared" si="39"/>
        <v>320.95999999999998</v>
      </c>
      <c r="AH1017" s="143">
        <f t="shared" si="40"/>
        <v>1000</v>
      </c>
    </row>
    <row r="1018" spans="1:34" s="157" customFormat="1" x14ac:dyDescent="0.3">
      <c r="A1018" s="84">
        <v>903038</v>
      </c>
      <c r="B1018" s="156">
        <v>3.3333333333333333E-2</v>
      </c>
      <c r="C1018" s="156"/>
      <c r="D1018" s="153">
        <v>5.7</v>
      </c>
      <c r="E1018" s="1529">
        <v>0.44</v>
      </c>
      <c r="F1018" s="154">
        <v>132.85</v>
      </c>
      <c r="G1018" s="150"/>
      <c r="H1018" s="154">
        <f>220.57*2</f>
        <v>441.14</v>
      </c>
      <c r="I1018" s="154">
        <v>360</v>
      </c>
      <c r="J1018" s="155">
        <v>0.107</v>
      </c>
      <c r="K1018" s="156">
        <v>1.87</v>
      </c>
      <c r="L1018" s="150">
        <v>220</v>
      </c>
      <c r="M1018" s="150">
        <v>4.5599999999999996</v>
      </c>
      <c r="N1018" s="150">
        <v>1.54</v>
      </c>
      <c r="O1018" s="150">
        <v>14.99</v>
      </c>
      <c r="P1018" s="150">
        <v>34.75</v>
      </c>
      <c r="Q1018" s="150"/>
      <c r="R1018" s="153">
        <v>1.666817</v>
      </c>
      <c r="S1018" s="156">
        <v>12.7</v>
      </c>
      <c r="T1018" s="150"/>
      <c r="U1018" s="150"/>
      <c r="V1018" s="150"/>
      <c r="W1018" s="150"/>
      <c r="X1018" s="150"/>
      <c r="Y1018" s="156">
        <v>4</v>
      </c>
      <c r="Z1018" s="153">
        <v>4.5600000000000005</v>
      </c>
      <c r="AA1018" s="153"/>
      <c r="AB1018" s="153"/>
      <c r="AC1018" s="150"/>
      <c r="AD1018" s="95">
        <v>80</v>
      </c>
      <c r="AE1018" s="95">
        <v>60</v>
      </c>
      <c r="AF1018" s="95">
        <f t="shared" si="41"/>
        <v>860</v>
      </c>
      <c r="AG1018" s="66">
        <f t="shared" si="39"/>
        <v>165.495</v>
      </c>
      <c r="AH1018" s="143">
        <f t="shared" si="40"/>
        <v>1000</v>
      </c>
    </row>
    <row r="1019" spans="1:34" s="157" customFormat="1" x14ac:dyDescent="0.3">
      <c r="A1019" s="84">
        <v>903039</v>
      </c>
      <c r="B1019" s="156">
        <v>3.3333333333333333E-2</v>
      </c>
      <c r="C1019" s="156"/>
      <c r="D1019" s="153">
        <v>7.34</v>
      </c>
      <c r="E1019" s="1529">
        <v>0.28000000000000003</v>
      </c>
      <c r="F1019" s="154">
        <v>62.25</v>
      </c>
      <c r="G1019" s="150"/>
      <c r="H1019" s="154">
        <f>185.29</f>
        <v>185.29</v>
      </c>
      <c r="I1019" s="154">
        <v>370</v>
      </c>
      <c r="J1019" s="155">
        <v>3.3000000000000002E-2</v>
      </c>
      <c r="K1019" s="156">
        <v>1.85</v>
      </c>
      <c r="L1019" s="150">
        <v>150</v>
      </c>
      <c r="M1019" s="150">
        <v>1.83</v>
      </c>
      <c r="N1019" s="150">
        <v>0.48</v>
      </c>
      <c r="O1019" s="150">
        <v>5.05</v>
      </c>
      <c r="P1019" s="150">
        <v>12.35</v>
      </c>
      <c r="Q1019" s="150"/>
      <c r="R1019" s="153">
        <v>1.3657068896833195</v>
      </c>
      <c r="S1019" s="156">
        <v>9.1999999999999993</v>
      </c>
      <c r="T1019" s="150"/>
      <c r="U1019" s="150"/>
      <c r="V1019" s="150"/>
      <c r="W1019" s="150"/>
      <c r="X1019" s="150"/>
      <c r="Y1019" s="156">
        <v>4</v>
      </c>
      <c r="Z1019" s="150"/>
      <c r="AA1019" s="153"/>
      <c r="AB1019" s="153"/>
      <c r="AC1019" s="150"/>
      <c r="AD1019" s="95">
        <v>80</v>
      </c>
      <c r="AE1019" s="95">
        <v>60</v>
      </c>
      <c r="AF1019" s="95">
        <f t="shared" si="41"/>
        <v>860</v>
      </c>
      <c r="AG1019" s="66">
        <f t="shared" si="39"/>
        <v>163.72500000000002</v>
      </c>
      <c r="AH1019" s="143">
        <f t="shared" si="40"/>
        <v>1000</v>
      </c>
    </row>
    <row r="1020" spans="1:34" s="157" customFormat="1" x14ac:dyDescent="0.3">
      <c r="A1020" s="84">
        <v>903040</v>
      </c>
      <c r="B1020" s="156">
        <v>29.333333333333332</v>
      </c>
      <c r="C1020" s="156">
        <v>6.4999999999999991</v>
      </c>
      <c r="D1020" s="153">
        <v>8.34</v>
      </c>
      <c r="E1020" s="1529">
        <v>0.45</v>
      </c>
      <c r="F1020" s="154">
        <v>70.149999999999991</v>
      </c>
      <c r="G1020" s="150"/>
      <c r="H1020" s="154">
        <f>252.93*2</f>
        <v>505.86</v>
      </c>
      <c r="I1020" s="154">
        <v>510</v>
      </c>
      <c r="J1020" s="155">
        <v>4.2999999999999997E-2</v>
      </c>
      <c r="K1020" s="156">
        <v>7.63</v>
      </c>
      <c r="L1020" s="150">
        <v>1530</v>
      </c>
      <c r="M1020" s="150">
        <v>1.38</v>
      </c>
      <c r="N1020" s="150">
        <v>1.94</v>
      </c>
      <c r="O1020" s="150">
        <v>1.94</v>
      </c>
      <c r="P1020" s="150">
        <v>8.92</v>
      </c>
      <c r="Q1020" s="150"/>
      <c r="R1020" s="153">
        <v>1.8481520000000002</v>
      </c>
      <c r="S1020" s="156">
        <v>18.2</v>
      </c>
      <c r="T1020" s="150"/>
      <c r="U1020" s="150"/>
      <c r="V1020" s="150"/>
      <c r="W1020" s="150"/>
      <c r="X1020" s="150"/>
      <c r="Y1020" s="156">
        <v>30</v>
      </c>
      <c r="Z1020" s="150"/>
      <c r="AA1020" s="153"/>
      <c r="AB1020" s="153"/>
      <c r="AC1020" s="150"/>
      <c r="AD1020" s="95">
        <v>640</v>
      </c>
      <c r="AE1020" s="95">
        <v>260</v>
      </c>
      <c r="AF1020" s="95">
        <f t="shared" si="41"/>
        <v>100</v>
      </c>
      <c r="AG1020" s="66">
        <f t="shared" si="39"/>
        <v>90.034000000000006</v>
      </c>
      <c r="AH1020" s="143">
        <f t="shared" si="40"/>
        <v>1000</v>
      </c>
    </row>
    <row r="1021" spans="1:34" s="157" customFormat="1" x14ac:dyDescent="0.3">
      <c r="A1021" s="84">
        <v>903041</v>
      </c>
      <c r="B1021" s="156">
        <v>53.5</v>
      </c>
      <c r="C1021" s="156">
        <v>10.875</v>
      </c>
      <c r="D1021" s="153">
        <v>8.25</v>
      </c>
      <c r="E1021" s="1529">
        <v>0.19</v>
      </c>
      <c r="F1021" s="154">
        <v>73.25</v>
      </c>
      <c r="G1021" s="150"/>
      <c r="H1021" s="154">
        <v>38.82</v>
      </c>
      <c r="I1021" s="154">
        <v>440</v>
      </c>
      <c r="J1021" s="155">
        <v>7.0000000000000007E-2</v>
      </c>
      <c r="K1021" s="156">
        <v>8.69</v>
      </c>
      <c r="L1021" s="150">
        <v>730</v>
      </c>
      <c r="M1021" s="150">
        <v>0.26</v>
      </c>
      <c r="N1021" s="150">
        <v>0.41</v>
      </c>
      <c r="O1021" s="150">
        <v>0.84</v>
      </c>
      <c r="P1021" s="150">
        <v>1.27</v>
      </c>
      <c r="Q1021" s="150"/>
      <c r="R1021" s="153">
        <v>1.3369205183511237</v>
      </c>
      <c r="S1021" s="156">
        <v>10</v>
      </c>
      <c r="T1021" s="150"/>
      <c r="U1021" s="150"/>
      <c r="V1021" s="150"/>
      <c r="W1021" s="150"/>
      <c r="X1021" s="150"/>
      <c r="Y1021" s="156">
        <v>28</v>
      </c>
      <c r="Z1021" s="150"/>
      <c r="AA1021" s="153"/>
      <c r="AB1021" s="153"/>
      <c r="AC1021" s="150"/>
      <c r="AD1021" s="95">
        <v>560</v>
      </c>
      <c r="AE1021" s="95">
        <v>300</v>
      </c>
      <c r="AF1021" s="95">
        <f t="shared" si="41"/>
        <v>140</v>
      </c>
      <c r="AG1021" s="66">
        <f t="shared" si="39"/>
        <v>109.86642857142856</v>
      </c>
      <c r="AH1021" s="143">
        <f t="shared" si="40"/>
        <v>1000</v>
      </c>
    </row>
    <row r="1022" spans="1:34" s="157" customFormat="1" x14ac:dyDescent="0.3">
      <c r="A1022" s="84">
        <v>903042</v>
      </c>
      <c r="B1022" s="156">
        <v>48.666666666666664</v>
      </c>
      <c r="C1022" s="156">
        <v>10.499999999999998</v>
      </c>
      <c r="D1022" s="153">
        <v>8.1300000000000008</v>
      </c>
      <c r="E1022" s="1529">
        <v>0.17</v>
      </c>
      <c r="F1022" s="154">
        <v>75.199999999999989</v>
      </c>
      <c r="G1022" s="150"/>
      <c r="H1022" s="154">
        <v>216.42</v>
      </c>
      <c r="I1022" s="154">
        <v>240</v>
      </c>
      <c r="J1022" s="155">
        <v>5.6000000000000001E-2</v>
      </c>
      <c r="K1022" s="156">
        <v>8.06</v>
      </c>
      <c r="L1022" s="150">
        <v>1400</v>
      </c>
      <c r="M1022" s="150">
        <v>0.65</v>
      </c>
      <c r="N1022" s="150">
        <v>0.33</v>
      </c>
      <c r="O1022" s="150">
        <v>0.57999999999999996</v>
      </c>
      <c r="P1022" s="150">
        <v>1.38</v>
      </c>
      <c r="Q1022" s="150"/>
      <c r="R1022" s="153">
        <v>1.8956330000000001</v>
      </c>
      <c r="S1022" s="156">
        <v>19.899999999999999</v>
      </c>
      <c r="T1022" s="150"/>
      <c r="U1022" s="150"/>
      <c r="V1022" s="150"/>
      <c r="W1022" s="150"/>
      <c r="X1022" s="150"/>
      <c r="Y1022" s="156">
        <v>26</v>
      </c>
      <c r="Z1022" s="150"/>
      <c r="AA1022" s="153"/>
      <c r="AB1022" s="153"/>
      <c r="AC1022" s="150"/>
      <c r="AD1022" s="95">
        <v>520</v>
      </c>
      <c r="AE1022" s="95">
        <v>320</v>
      </c>
      <c r="AF1022" s="95">
        <f t="shared" si="41"/>
        <v>160</v>
      </c>
      <c r="AG1022" s="66">
        <f t="shared" si="39"/>
        <v>109.74000000000001</v>
      </c>
      <c r="AH1022" s="143">
        <f t="shared" si="40"/>
        <v>1000</v>
      </c>
    </row>
    <row r="1023" spans="1:34" s="162" customFormat="1" x14ac:dyDescent="0.3">
      <c r="A1023" s="84">
        <v>903043</v>
      </c>
      <c r="B1023" s="161">
        <v>11.25</v>
      </c>
      <c r="C1023" s="161">
        <v>5.6</v>
      </c>
      <c r="D1023" s="151">
        <v>7.2250000000000005</v>
      </c>
      <c r="E1023" s="1530">
        <v>0.18</v>
      </c>
      <c r="F1023" s="159">
        <v>33.299999999999997</v>
      </c>
      <c r="G1023" s="158"/>
      <c r="H1023" s="159">
        <v>65.2</v>
      </c>
      <c r="I1023" s="159">
        <v>640</v>
      </c>
      <c r="J1023" s="160">
        <v>5.7000000000000002E-2</v>
      </c>
      <c r="K1023" s="161">
        <v>14.29</v>
      </c>
      <c r="L1023" s="158">
        <v>2510</v>
      </c>
      <c r="M1023" s="158">
        <v>2.25</v>
      </c>
      <c r="N1023" s="158">
        <v>3</v>
      </c>
      <c r="O1023" s="158">
        <v>37.840000000000003</v>
      </c>
      <c r="P1023" s="158">
        <v>0.73</v>
      </c>
      <c r="Q1023" s="158"/>
      <c r="R1023" s="151">
        <v>1.8875480000000002</v>
      </c>
      <c r="S1023" s="161">
        <v>19.600000000000001</v>
      </c>
      <c r="T1023" s="158"/>
      <c r="U1023" s="158"/>
      <c r="V1023" s="158"/>
      <c r="W1023" s="158"/>
      <c r="X1023" s="158"/>
      <c r="Y1023" s="161">
        <v>39.200000000000003</v>
      </c>
      <c r="Z1023" s="158"/>
      <c r="AA1023" s="151"/>
      <c r="AB1023" s="151"/>
      <c r="AC1023" s="158"/>
      <c r="AD1023" s="95">
        <v>560</v>
      </c>
      <c r="AE1023" s="95">
        <v>260</v>
      </c>
      <c r="AF1023" s="95">
        <v>180</v>
      </c>
      <c r="AG1023" s="66">
        <f t="shared" si="39"/>
        <v>129.04744897959182</v>
      </c>
      <c r="AH1023" s="143">
        <f t="shared" si="40"/>
        <v>1000</v>
      </c>
    </row>
    <row r="1024" spans="1:34" s="162" customFormat="1" x14ac:dyDescent="0.3">
      <c r="A1024" s="84">
        <v>903044</v>
      </c>
      <c r="B1024" s="161">
        <v>0.38</v>
      </c>
      <c r="C1024" s="161"/>
      <c r="D1024" s="151">
        <v>7.166666666666667</v>
      </c>
      <c r="E1024" s="1530">
        <v>0.13</v>
      </c>
      <c r="F1024" s="159">
        <v>31.35</v>
      </c>
      <c r="G1024" s="158"/>
      <c r="H1024" s="159">
        <v>57.43</v>
      </c>
      <c r="I1024" s="159">
        <v>650</v>
      </c>
      <c r="J1024" s="160">
        <v>9.8000000000000004E-2</v>
      </c>
      <c r="K1024" s="161">
        <v>6.22</v>
      </c>
      <c r="L1024" s="158">
        <v>2460</v>
      </c>
      <c r="M1024" s="158">
        <v>2.2799999999999998</v>
      </c>
      <c r="N1024" s="158">
        <v>3.45</v>
      </c>
      <c r="O1024" s="158">
        <v>20.12</v>
      </c>
      <c r="P1024" s="158">
        <v>7.47</v>
      </c>
      <c r="Q1024" s="158"/>
      <c r="R1024" s="151">
        <v>1.9762520000000001</v>
      </c>
      <c r="S1024" s="161">
        <v>23.2</v>
      </c>
      <c r="T1024" s="158"/>
      <c r="U1024" s="158"/>
      <c r="V1024" s="158"/>
      <c r="W1024" s="158"/>
      <c r="X1024" s="158"/>
      <c r="Y1024" s="161">
        <v>26</v>
      </c>
      <c r="Z1024" s="158"/>
      <c r="AA1024" s="151"/>
      <c r="AB1024" s="151"/>
      <c r="AC1024" s="158"/>
      <c r="AD1024" s="95">
        <v>560</v>
      </c>
      <c r="AE1024" s="95">
        <v>360</v>
      </c>
      <c r="AF1024" s="95">
        <v>80</v>
      </c>
      <c r="AG1024" s="66">
        <f t="shared" si="39"/>
        <v>84.687692307692316</v>
      </c>
      <c r="AH1024" s="143">
        <f t="shared" si="40"/>
        <v>1000</v>
      </c>
    </row>
    <row r="1025" spans="1:34" s="162" customFormat="1" x14ac:dyDescent="0.3">
      <c r="A1025" s="84">
        <v>903045</v>
      </c>
      <c r="B1025" s="161">
        <v>0.33</v>
      </c>
      <c r="C1025" s="161"/>
      <c r="D1025" s="151">
        <v>7.2416666666666663</v>
      </c>
      <c r="E1025" s="1530">
        <v>0.09</v>
      </c>
      <c r="F1025" s="159">
        <v>31.45</v>
      </c>
      <c r="G1025" s="158"/>
      <c r="H1025" s="159">
        <v>18.37</v>
      </c>
      <c r="I1025" s="159">
        <v>290</v>
      </c>
      <c r="J1025" s="160">
        <v>5.6000000000000001E-2</v>
      </c>
      <c r="K1025" s="161">
        <v>5.18</v>
      </c>
      <c r="L1025" s="158">
        <v>1700</v>
      </c>
      <c r="M1025" s="158">
        <v>1.3</v>
      </c>
      <c r="N1025" s="158">
        <v>0.78</v>
      </c>
      <c r="O1025" s="158">
        <v>4.8600000000000003</v>
      </c>
      <c r="P1025" s="158">
        <v>4.8499999999999996</v>
      </c>
      <c r="Q1025" s="158"/>
      <c r="R1025" s="151">
        <v>1.7934680000000001</v>
      </c>
      <c r="S1025" s="161">
        <v>16.399999999999999</v>
      </c>
      <c r="T1025" s="158"/>
      <c r="U1025" s="158"/>
      <c r="V1025" s="158"/>
      <c r="W1025" s="158"/>
      <c r="X1025" s="158"/>
      <c r="Y1025" s="161">
        <v>22</v>
      </c>
      <c r="Z1025" s="158"/>
      <c r="AA1025" s="151"/>
      <c r="AB1025" s="151"/>
      <c r="AC1025" s="158"/>
      <c r="AD1025" s="95">
        <v>540</v>
      </c>
      <c r="AE1025" s="95">
        <v>360</v>
      </c>
      <c r="AF1025" s="95">
        <v>100</v>
      </c>
      <c r="AG1025" s="66">
        <f t="shared" si="39"/>
        <v>83.350909090909099</v>
      </c>
      <c r="AH1025" s="143">
        <f t="shared" si="40"/>
        <v>1000</v>
      </c>
    </row>
    <row r="1026" spans="1:34" s="162" customFormat="1" x14ac:dyDescent="0.3">
      <c r="A1026" s="84">
        <v>903046</v>
      </c>
      <c r="B1026" s="161">
        <v>1.5</v>
      </c>
      <c r="C1026" s="161"/>
      <c r="D1026" s="151">
        <v>7.2666666666666675</v>
      </c>
      <c r="E1026" s="1530">
        <v>0.11</v>
      </c>
      <c r="F1026" s="159">
        <v>29.9</v>
      </c>
      <c r="G1026" s="158"/>
      <c r="H1026" s="159">
        <v>27.34</v>
      </c>
      <c r="I1026" s="159">
        <v>230</v>
      </c>
      <c r="J1026" s="160">
        <v>3.3000000000000002E-2</v>
      </c>
      <c r="K1026" s="161">
        <v>4.92</v>
      </c>
      <c r="L1026" s="158">
        <v>1770</v>
      </c>
      <c r="M1026" s="158">
        <v>0.88</v>
      </c>
      <c r="N1026" s="158">
        <v>0.64</v>
      </c>
      <c r="O1026" s="158">
        <v>5.08</v>
      </c>
      <c r="P1026" s="158">
        <v>6.22</v>
      </c>
      <c r="Q1026" s="158"/>
      <c r="R1026" s="151">
        <v>1.873793</v>
      </c>
      <c r="S1026" s="161">
        <v>19.100000000000001</v>
      </c>
      <c r="T1026" s="158"/>
      <c r="U1026" s="158"/>
      <c r="V1026" s="158"/>
      <c r="W1026" s="158"/>
      <c r="X1026" s="158"/>
      <c r="Y1026" s="161">
        <v>18</v>
      </c>
      <c r="Z1026" s="158"/>
      <c r="AA1026" s="151"/>
      <c r="AB1026" s="151"/>
      <c r="AC1026" s="158"/>
      <c r="AD1026" s="95">
        <v>360</v>
      </c>
      <c r="AE1026" s="95">
        <v>480</v>
      </c>
      <c r="AF1026" s="95">
        <v>160</v>
      </c>
      <c r="AG1026" s="66">
        <f t="shared" ref="AG1026:AG1089" si="42">+K1026*3.54*100/Y1026</f>
        <v>96.759999999999991</v>
      </c>
      <c r="AH1026" s="143">
        <f t="shared" ref="AH1026:AH1089" si="43">+SUM(AD1026:AF1026)</f>
        <v>1000</v>
      </c>
    </row>
    <row r="1027" spans="1:34" s="162" customFormat="1" x14ac:dyDescent="0.3">
      <c r="A1027" s="84">
        <v>903047</v>
      </c>
      <c r="B1027" s="161">
        <v>46</v>
      </c>
      <c r="C1027" s="161">
        <v>4.4000000000000004</v>
      </c>
      <c r="D1027" s="151">
        <v>7.3249999999999993</v>
      </c>
      <c r="E1027" s="1530">
        <v>0.12</v>
      </c>
      <c r="F1027" s="159">
        <v>30.85</v>
      </c>
      <c r="G1027" s="158"/>
      <c r="H1027" s="159">
        <v>32.479999999999997</v>
      </c>
      <c r="I1027" s="159">
        <v>110</v>
      </c>
      <c r="J1027" s="160">
        <v>1.7000000000000001E-2</v>
      </c>
      <c r="K1027" s="161">
        <v>4.72</v>
      </c>
      <c r="L1027" s="158">
        <v>730</v>
      </c>
      <c r="M1027" s="158">
        <v>0.41</v>
      </c>
      <c r="N1027" s="158">
        <v>0.41</v>
      </c>
      <c r="O1027" s="158">
        <v>3.86</v>
      </c>
      <c r="P1027" s="158">
        <v>3.5</v>
      </c>
      <c r="Q1027" s="158"/>
      <c r="R1027" s="151">
        <v>0.58782502945925708</v>
      </c>
      <c r="S1027" s="161">
        <v>4.3</v>
      </c>
      <c r="T1027" s="158"/>
      <c r="U1027" s="158"/>
      <c r="V1027" s="158"/>
      <c r="W1027" s="158"/>
      <c r="X1027" s="158"/>
      <c r="Y1027" s="161">
        <v>18</v>
      </c>
      <c r="Z1027" s="158"/>
      <c r="AA1027" s="151"/>
      <c r="AB1027" s="151"/>
      <c r="AC1027" s="158"/>
      <c r="AD1027" s="95">
        <v>360</v>
      </c>
      <c r="AE1027" s="95">
        <v>460</v>
      </c>
      <c r="AF1027" s="95">
        <v>180</v>
      </c>
      <c r="AG1027" s="66">
        <f t="shared" si="42"/>
        <v>92.826666666666668</v>
      </c>
      <c r="AH1027" s="143">
        <f t="shared" si="43"/>
        <v>1000</v>
      </c>
    </row>
    <row r="1028" spans="1:34" s="162" customFormat="1" x14ac:dyDescent="0.3">
      <c r="A1028" s="84">
        <v>903048</v>
      </c>
      <c r="B1028" s="161">
        <v>28</v>
      </c>
      <c r="C1028" s="161">
        <v>3.9</v>
      </c>
      <c r="D1028" s="151">
        <v>7.45</v>
      </c>
      <c r="E1028" s="1530">
        <v>0.09</v>
      </c>
      <c r="F1028" s="159">
        <v>32.75</v>
      </c>
      <c r="G1028" s="158"/>
      <c r="H1028" s="159">
        <v>36.54</v>
      </c>
      <c r="I1028" s="159">
        <v>130</v>
      </c>
      <c r="J1028" s="160">
        <v>2.3E-2</v>
      </c>
      <c r="K1028" s="161">
        <v>3.65</v>
      </c>
      <c r="L1028" s="158">
        <v>1040</v>
      </c>
      <c r="M1028" s="158">
        <v>0.51</v>
      </c>
      <c r="N1028" s="158">
        <v>0.62</v>
      </c>
      <c r="O1028" s="158">
        <v>4</v>
      </c>
      <c r="P1028" s="158">
        <v>4.5599999999999996</v>
      </c>
      <c r="Q1028" s="158"/>
      <c r="R1028" s="151">
        <v>1.2237297291471003</v>
      </c>
      <c r="S1028" s="161">
        <v>8.9</v>
      </c>
      <c r="T1028" s="158"/>
      <c r="U1028" s="158"/>
      <c r="V1028" s="158"/>
      <c r="W1028" s="158"/>
      <c r="X1028" s="158"/>
      <c r="Y1028" s="161">
        <v>15</v>
      </c>
      <c r="Z1028" s="158"/>
      <c r="AA1028" s="151"/>
      <c r="AB1028" s="151"/>
      <c r="AC1028" s="158"/>
      <c r="AD1028" s="95">
        <v>300</v>
      </c>
      <c r="AE1028" s="95">
        <v>400</v>
      </c>
      <c r="AF1028" s="95">
        <v>300</v>
      </c>
      <c r="AG1028" s="66">
        <f t="shared" si="42"/>
        <v>86.14</v>
      </c>
      <c r="AH1028" s="143">
        <f t="shared" si="43"/>
        <v>1000</v>
      </c>
    </row>
    <row r="1029" spans="1:34" s="162" customFormat="1" x14ac:dyDescent="0.3">
      <c r="A1029" s="84">
        <v>903049</v>
      </c>
      <c r="B1029" s="161">
        <v>6.14</v>
      </c>
      <c r="C1029" s="161"/>
      <c r="D1029" s="151">
        <v>7.2000000000000011</v>
      </c>
      <c r="E1029" s="1530">
        <v>0.16</v>
      </c>
      <c r="F1029" s="159">
        <v>28.45</v>
      </c>
      <c r="G1029" s="158"/>
      <c r="H1029" s="159">
        <v>33.369999999999997</v>
      </c>
      <c r="I1029" s="159">
        <v>310</v>
      </c>
      <c r="J1029" s="160">
        <v>5.1999999999999998E-2</v>
      </c>
      <c r="K1029" s="161">
        <v>11.71</v>
      </c>
      <c r="L1029" s="158">
        <v>2540</v>
      </c>
      <c r="M1029" s="158">
        <v>0.56000000000000005</v>
      </c>
      <c r="N1029" s="158">
        <v>2.62</v>
      </c>
      <c r="O1029" s="158">
        <v>14.17</v>
      </c>
      <c r="P1029" s="158">
        <v>19.28</v>
      </c>
      <c r="Q1029" s="158"/>
      <c r="R1029" s="151">
        <v>1.5824250000000002</v>
      </c>
      <c r="S1029" s="161">
        <v>10.5</v>
      </c>
      <c r="T1029" s="158"/>
      <c r="U1029" s="158"/>
      <c r="V1029" s="158"/>
      <c r="W1029" s="158"/>
      <c r="X1029" s="158"/>
      <c r="Y1029" s="161">
        <v>38.4</v>
      </c>
      <c r="Z1029" s="158"/>
      <c r="AA1029" s="151"/>
      <c r="AB1029" s="151"/>
      <c r="AC1029" s="158"/>
      <c r="AD1029" s="95">
        <v>640</v>
      </c>
      <c r="AE1029" s="95">
        <v>260</v>
      </c>
      <c r="AF1029" s="95">
        <v>100</v>
      </c>
      <c r="AG1029" s="66">
        <f t="shared" si="42"/>
        <v>107.95156250000001</v>
      </c>
      <c r="AH1029" s="143">
        <f t="shared" si="43"/>
        <v>1000</v>
      </c>
    </row>
    <row r="1030" spans="1:34" s="162" customFormat="1" x14ac:dyDescent="0.3">
      <c r="A1030" s="84">
        <v>903050</v>
      </c>
      <c r="B1030" s="161">
        <v>40.83</v>
      </c>
      <c r="C1030" s="161">
        <v>2.5</v>
      </c>
      <c r="D1030" s="151">
        <v>7.4333333333333336</v>
      </c>
      <c r="E1030" s="1530">
        <v>0.09</v>
      </c>
      <c r="F1030" s="159">
        <v>31.7</v>
      </c>
      <c r="G1030" s="158"/>
      <c r="H1030" s="159">
        <v>18.72</v>
      </c>
      <c r="I1030" s="159">
        <v>220</v>
      </c>
      <c r="J1030" s="160">
        <v>3.5999999999999997E-2</v>
      </c>
      <c r="K1030" s="161">
        <v>5.89</v>
      </c>
      <c r="L1030" s="158">
        <v>1630</v>
      </c>
      <c r="M1030" s="158">
        <v>0.71</v>
      </c>
      <c r="N1030" s="158">
        <v>0.91</v>
      </c>
      <c r="O1030" s="158">
        <v>5.29</v>
      </c>
      <c r="P1030" s="158">
        <v>5.62</v>
      </c>
      <c r="Q1030" s="158"/>
      <c r="R1030" s="151">
        <v>1.7839130000000001</v>
      </c>
      <c r="S1030" s="161">
        <v>16.100000000000001</v>
      </c>
      <c r="T1030" s="158"/>
      <c r="U1030" s="158"/>
      <c r="V1030" s="158"/>
      <c r="W1030" s="158"/>
      <c r="X1030" s="158"/>
      <c r="Y1030" s="161">
        <v>22</v>
      </c>
      <c r="Z1030" s="158"/>
      <c r="AA1030" s="151"/>
      <c r="AB1030" s="151"/>
      <c r="AC1030" s="158"/>
      <c r="AD1030" s="95">
        <v>560</v>
      </c>
      <c r="AE1030" s="95">
        <v>340</v>
      </c>
      <c r="AF1030" s="95">
        <v>100</v>
      </c>
      <c r="AG1030" s="66">
        <f t="shared" si="42"/>
        <v>94.775454545454537</v>
      </c>
      <c r="AH1030" s="143">
        <f t="shared" si="43"/>
        <v>1000</v>
      </c>
    </row>
    <row r="1031" spans="1:34" s="162" customFormat="1" x14ac:dyDescent="0.3">
      <c r="A1031" s="84">
        <v>903051</v>
      </c>
      <c r="B1031" s="161">
        <v>40.5</v>
      </c>
      <c r="C1031" s="161">
        <v>3</v>
      </c>
      <c r="D1031" s="151">
        <v>7.25</v>
      </c>
      <c r="E1031" s="1530">
        <v>0.11</v>
      </c>
      <c r="F1031" s="159">
        <v>29.55</v>
      </c>
      <c r="G1031" s="158"/>
      <c r="H1031" s="159">
        <v>20.37</v>
      </c>
      <c r="I1031" s="159">
        <v>260</v>
      </c>
      <c r="J1031" s="160">
        <v>2.7E-2</v>
      </c>
      <c r="K1031" s="161">
        <v>3.9</v>
      </c>
      <c r="L1031" s="158">
        <v>1250</v>
      </c>
      <c r="M1031" s="158">
        <v>0.43</v>
      </c>
      <c r="N1031" s="158">
        <v>0.56999999999999995</v>
      </c>
      <c r="O1031" s="158">
        <v>4.07</v>
      </c>
      <c r="P1031" s="158">
        <v>4.17</v>
      </c>
      <c r="Q1031" s="158"/>
      <c r="R1031" s="151">
        <v>1.716993</v>
      </c>
      <c r="S1031" s="161">
        <v>14.1</v>
      </c>
      <c r="T1031" s="158"/>
      <c r="U1031" s="158"/>
      <c r="V1031" s="158"/>
      <c r="W1031" s="158"/>
      <c r="X1031" s="158"/>
      <c r="Y1031" s="161">
        <v>24</v>
      </c>
      <c r="Z1031" s="158"/>
      <c r="AA1031" s="151"/>
      <c r="AB1031" s="151"/>
      <c r="AC1031" s="158"/>
      <c r="AD1031" s="95">
        <v>540</v>
      </c>
      <c r="AE1031" s="95">
        <v>340</v>
      </c>
      <c r="AF1031" s="95">
        <v>120</v>
      </c>
      <c r="AG1031" s="66">
        <f t="shared" si="42"/>
        <v>57.524999999999999</v>
      </c>
      <c r="AH1031" s="143">
        <f t="shared" si="43"/>
        <v>1000</v>
      </c>
    </row>
    <row r="1032" spans="1:34" s="162" customFormat="1" x14ac:dyDescent="0.3">
      <c r="A1032" s="84">
        <v>903052</v>
      </c>
      <c r="B1032" s="161">
        <v>0.3</v>
      </c>
      <c r="C1032" s="161"/>
      <c r="D1032" s="151">
        <v>7.4833333333333343</v>
      </c>
      <c r="E1032" s="1530">
        <v>0.17</v>
      </c>
      <c r="F1032" s="159">
        <v>100.15</v>
      </c>
      <c r="G1032" s="158"/>
      <c r="H1032" s="159">
        <v>40.549999999999997</v>
      </c>
      <c r="I1032" s="159">
        <v>190</v>
      </c>
      <c r="J1032" s="160">
        <v>0.25900000000000001</v>
      </c>
      <c r="K1032" s="161">
        <v>3.95</v>
      </c>
      <c r="L1032" s="158">
        <v>430</v>
      </c>
      <c r="M1032" s="158">
        <v>1.53</v>
      </c>
      <c r="N1032" s="158">
        <v>1.82</v>
      </c>
      <c r="O1032" s="158">
        <v>19.71</v>
      </c>
      <c r="P1032" s="158">
        <v>7.4</v>
      </c>
      <c r="Q1032" s="158"/>
      <c r="R1032" s="151">
        <v>1.1988130326057809</v>
      </c>
      <c r="S1032" s="161">
        <v>8.6999999999999993</v>
      </c>
      <c r="T1032" s="158"/>
      <c r="U1032" s="158"/>
      <c r="V1032" s="158"/>
      <c r="W1032" s="158"/>
      <c r="X1032" s="158"/>
      <c r="Y1032" s="161">
        <v>26.6</v>
      </c>
      <c r="Z1032" s="158"/>
      <c r="AA1032" s="151"/>
      <c r="AB1032" s="151"/>
      <c r="AC1032" s="158"/>
      <c r="AD1032" s="95">
        <v>380</v>
      </c>
      <c r="AE1032" s="95">
        <v>220</v>
      </c>
      <c r="AF1032" s="95">
        <v>400</v>
      </c>
      <c r="AG1032" s="66">
        <f t="shared" si="42"/>
        <v>52.567669172932327</v>
      </c>
      <c r="AH1032" s="143">
        <f t="shared" si="43"/>
        <v>1000</v>
      </c>
    </row>
    <row r="1033" spans="1:34" s="162" customFormat="1" x14ac:dyDescent="0.3">
      <c r="A1033" s="84">
        <v>903053</v>
      </c>
      <c r="B1033" s="161">
        <v>0.25</v>
      </c>
      <c r="C1033" s="161"/>
      <c r="D1033" s="151">
        <v>6.958333333333333</v>
      </c>
      <c r="E1033" s="1530">
        <v>0.21</v>
      </c>
      <c r="F1033" s="159">
        <v>155.80000000000001</v>
      </c>
      <c r="G1033" s="158"/>
      <c r="H1033" s="159">
        <v>41.61</v>
      </c>
      <c r="I1033" s="159">
        <v>240</v>
      </c>
      <c r="J1033" s="160">
        <v>0.27900000000000003</v>
      </c>
      <c r="K1033" s="161">
        <v>3.85</v>
      </c>
      <c r="L1033" s="158">
        <v>710</v>
      </c>
      <c r="M1033" s="158">
        <v>0.88</v>
      </c>
      <c r="N1033" s="158">
        <v>1.2</v>
      </c>
      <c r="O1033" s="158">
        <v>28.58</v>
      </c>
      <c r="P1033" s="158">
        <v>8.59</v>
      </c>
      <c r="Q1033" s="158"/>
      <c r="R1033" s="151">
        <v>1.4236566197141871</v>
      </c>
      <c r="S1033" s="161">
        <v>9.4</v>
      </c>
      <c r="T1033" s="158"/>
      <c r="U1033" s="158"/>
      <c r="V1033" s="158"/>
      <c r="W1033" s="158"/>
      <c r="X1033" s="158"/>
      <c r="Y1033" s="161">
        <v>25.2</v>
      </c>
      <c r="Z1033" s="158"/>
      <c r="AA1033" s="151"/>
      <c r="AB1033" s="151"/>
      <c r="AC1033" s="158"/>
      <c r="AD1033" s="95">
        <v>360</v>
      </c>
      <c r="AE1033" s="95">
        <v>210</v>
      </c>
      <c r="AF1033" s="95">
        <v>430</v>
      </c>
      <c r="AG1033" s="66">
        <f t="shared" si="42"/>
        <v>54.083333333333336</v>
      </c>
      <c r="AH1033" s="143">
        <f t="shared" si="43"/>
        <v>1000</v>
      </c>
    </row>
    <row r="1034" spans="1:34" s="162" customFormat="1" x14ac:dyDescent="0.3">
      <c r="A1034" s="84">
        <v>903054</v>
      </c>
      <c r="B1034" s="161">
        <v>0.05</v>
      </c>
      <c r="C1034" s="161"/>
      <c r="D1034" s="151">
        <v>7.3</v>
      </c>
      <c r="E1034" s="1530">
        <v>0.06</v>
      </c>
      <c r="F1034" s="159">
        <v>45.05</v>
      </c>
      <c r="G1034" s="158"/>
      <c r="H1034" s="159">
        <v>45.91</v>
      </c>
      <c r="I1034" s="159">
        <v>50</v>
      </c>
      <c r="J1034" s="160">
        <v>5.0999999999999997E-2</v>
      </c>
      <c r="K1034" s="161">
        <v>1.25</v>
      </c>
      <c r="L1034" s="158">
        <v>70</v>
      </c>
      <c r="M1034" s="158">
        <v>1.1100000000000001</v>
      </c>
      <c r="N1034" s="158">
        <v>0.28999999999999998</v>
      </c>
      <c r="O1034" s="158">
        <v>6.35</v>
      </c>
      <c r="P1034" s="158">
        <v>4.3499999999999996</v>
      </c>
      <c r="Q1034" s="158"/>
      <c r="R1034" s="151">
        <v>0.14951238805085346</v>
      </c>
      <c r="S1034" s="161">
        <v>1</v>
      </c>
      <c r="T1034" s="158"/>
      <c r="U1034" s="158"/>
      <c r="V1034" s="158"/>
      <c r="W1034" s="158"/>
      <c r="X1034" s="158"/>
      <c r="Y1034" s="161">
        <v>4.8</v>
      </c>
      <c r="Z1034" s="158"/>
      <c r="AA1034" s="151"/>
      <c r="AB1034" s="151"/>
      <c r="AC1034" s="158"/>
      <c r="AD1034" s="95">
        <v>80</v>
      </c>
      <c r="AE1034" s="95">
        <v>60</v>
      </c>
      <c r="AF1034" s="95">
        <v>860</v>
      </c>
      <c r="AG1034" s="66">
        <f t="shared" si="42"/>
        <v>92.1875</v>
      </c>
      <c r="AH1034" s="143">
        <f t="shared" si="43"/>
        <v>1000</v>
      </c>
    </row>
    <row r="1035" spans="1:34" s="162" customFormat="1" x14ac:dyDescent="0.3">
      <c r="A1035" s="84">
        <v>903055</v>
      </c>
      <c r="B1035" s="161">
        <v>0.04</v>
      </c>
      <c r="C1035" s="161"/>
      <c r="D1035" s="151">
        <v>7.3249999999999993</v>
      </c>
      <c r="E1035" s="1530">
        <v>0.05</v>
      </c>
      <c r="F1035" s="159">
        <v>36.450000000000003</v>
      </c>
      <c r="G1035" s="158"/>
      <c r="H1035" s="159">
        <v>53.18</v>
      </c>
      <c r="I1035" s="159">
        <v>30</v>
      </c>
      <c r="J1035" s="160">
        <v>4.5999999999999999E-2</v>
      </c>
      <c r="K1035" s="161">
        <v>1.06</v>
      </c>
      <c r="L1035" s="158">
        <v>60</v>
      </c>
      <c r="M1035" s="158">
        <v>0.86</v>
      </c>
      <c r="N1035" s="158">
        <v>0.25</v>
      </c>
      <c r="O1035" s="158">
        <v>7.03</v>
      </c>
      <c r="P1035" s="158">
        <v>4.12</v>
      </c>
      <c r="Q1035" s="158"/>
      <c r="R1035" s="151">
        <v>0.18730759400480035</v>
      </c>
      <c r="S1035" s="161">
        <v>1.4</v>
      </c>
      <c r="T1035" s="158"/>
      <c r="U1035" s="158"/>
      <c r="V1035" s="158"/>
      <c r="W1035" s="158"/>
      <c r="X1035" s="158"/>
      <c r="Y1035" s="161">
        <v>4.2</v>
      </c>
      <c r="Z1035" s="158"/>
      <c r="AA1035" s="151"/>
      <c r="AB1035" s="151"/>
      <c r="AC1035" s="158"/>
      <c r="AD1035" s="95">
        <v>60</v>
      </c>
      <c r="AE1035" s="95">
        <v>60</v>
      </c>
      <c r="AF1035" s="95">
        <v>880</v>
      </c>
      <c r="AG1035" s="66">
        <f t="shared" si="42"/>
        <v>89.342857142857142</v>
      </c>
      <c r="AH1035" s="143">
        <f t="shared" si="43"/>
        <v>1000</v>
      </c>
    </row>
    <row r="1036" spans="1:34" s="162" customFormat="1" x14ac:dyDescent="0.3">
      <c r="A1036" s="84">
        <v>903056</v>
      </c>
      <c r="B1036" s="161">
        <v>2.33</v>
      </c>
      <c r="C1036" s="161"/>
      <c r="D1036" s="151">
        <v>7.1333333333333337</v>
      </c>
      <c r="E1036" s="1530">
        <v>0.1</v>
      </c>
      <c r="F1036" s="159">
        <v>36.25</v>
      </c>
      <c r="G1036" s="158"/>
      <c r="H1036" s="159">
        <v>57.46</v>
      </c>
      <c r="I1036" s="159">
        <v>800</v>
      </c>
      <c r="J1036" s="160">
        <v>1.4999999999999999E-2</v>
      </c>
      <c r="K1036" s="161">
        <v>5.95</v>
      </c>
      <c r="L1036" s="158">
        <v>2210</v>
      </c>
      <c r="M1036" s="158">
        <v>2.11</v>
      </c>
      <c r="N1036" s="158">
        <v>4.91</v>
      </c>
      <c r="O1036" s="158">
        <v>22.19</v>
      </c>
      <c r="P1036" s="158">
        <v>10.58</v>
      </c>
      <c r="Q1036" s="158"/>
      <c r="R1036" s="151">
        <v>1.6814330000000002</v>
      </c>
      <c r="S1036" s="161">
        <v>13.1</v>
      </c>
      <c r="T1036" s="158"/>
      <c r="U1036" s="158"/>
      <c r="V1036" s="158"/>
      <c r="W1036" s="158"/>
      <c r="X1036" s="158"/>
      <c r="Y1036" s="161">
        <v>31.2</v>
      </c>
      <c r="Z1036" s="158"/>
      <c r="AA1036" s="151"/>
      <c r="AB1036" s="151"/>
      <c r="AC1036" s="158"/>
      <c r="AD1036" s="95">
        <v>520</v>
      </c>
      <c r="AE1036" s="95">
        <v>380</v>
      </c>
      <c r="AF1036" s="95">
        <v>100</v>
      </c>
      <c r="AG1036" s="66">
        <f t="shared" si="42"/>
        <v>67.509615384615387</v>
      </c>
      <c r="AH1036" s="143">
        <f t="shared" si="43"/>
        <v>1000</v>
      </c>
    </row>
    <row r="1037" spans="1:34" s="162" customFormat="1" x14ac:dyDescent="0.3">
      <c r="A1037" s="84">
        <v>903057</v>
      </c>
      <c r="B1037" s="161">
        <v>6.25</v>
      </c>
      <c r="C1037" s="161"/>
      <c r="D1037" s="151">
        <v>7.3500000000000005</v>
      </c>
      <c r="E1037" s="1530">
        <v>0.12</v>
      </c>
      <c r="F1037" s="159">
        <v>44</v>
      </c>
      <c r="G1037" s="158"/>
      <c r="H1037" s="159">
        <v>30.51</v>
      </c>
      <c r="I1037" s="159">
        <v>160</v>
      </c>
      <c r="J1037" s="160">
        <v>2.5999999999999999E-2</v>
      </c>
      <c r="K1037" s="161">
        <v>5.04</v>
      </c>
      <c r="L1037" s="158">
        <v>840</v>
      </c>
      <c r="M1037" s="158">
        <v>0.86</v>
      </c>
      <c r="N1037" s="158">
        <v>2.2200000000000002</v>
      </c>
      <c r="O1037" s="158">
        <v>6.56</v>
      </c>
      <c r="P1037" s="158">
        <v>5.62</v>
      </c>
      <c r="Q1037" s="158"/>
      <c r="R1037" s="151">
        <v>0.25775973474335045</v>
      </c>
      <c r="S1037" s="161">
        <v>1.8</v>
      </c>
      <c r="T1037" s="158"/>
      <c r="U1037" s="158"/>
      <c r="V1037" s="158"/>
      <c r="W1037" s="158"/>
      <c r="X1037" s="158"/>
      <c r="Y1037" s="161">
        <v>21</v>
      </c>
      <c r="Z1037" s="158"/>
      <c r="AA1037" s="151"/>
      <c r="AB1037" s="151"/>
      <c r="AC1037" s="158"/>
      <c r="AD1037" s="95">
        <v>300</v>
      </c>
      <c r="AE1037" s="95">
        <v>260</v>
      </c>
      <c r="AF1037" s="95">
        <v>440</v>
      </c>
      <c r="AG1037" s="66">
        <f t="shared" si="42"/>
        <v>84.96</v>
      </c>
      <c r="AH1037" s="143">
        <f t="shared" si="43"/>
        <v>1000</v>
      </c>
    </row>
    <row r="1038" spans="1:34" s="162" customFormat="1" x14ac:dyDescent="0.3">
      <c r="A1038" s="84">
        <v>903058</v>
      </c>
      <c r="B1038" s="161">
        <v>5</v>
      </c>
      <c r="C1038" s="161"/>
      <c r="D1038" s="151">
        <v>7.3083333333333336</v>
      </c>
      <c r="E1038" s="1530">
        <v>0.13</v>
      </c>
      <c r="F1038" s="159">
        <v>50.65</v>
      </c>
      <c r="G1038" s="158"/>
      <c r="H1038" s="159">
        <v>42.1</v>
      </c>
      <c r="I1038" s="159">
        <v>220</v>
      </c>
      <c r="J1038" s="160">
        <v>1.6E-2</v>
      </c>
      <c r="K1038" s="161">
        <v>5.36</v>
      </c>
      <c r="L1038" s="158">
        <v>1550</v>
      </c>
      <c r="M1038" s="158">
        <v>1.6</v>
      </c>
      <c r="N1038" s="158">
        <v>4.04</v>
      </c>
      <c r="O1038" s="158">
        <v>20.51</v>
      </c>
      <c r="P1038" s="158">
        <v>8.83</v>
      </c>
      <c r="Q1038" s="158"/>
      <c r="R1038" s="151">
        <v>1.7308250000000001</v>
      </c>
      <c r="S1038" s="161">
        <v>14.5</v>
      </c>
      <c r="T1038" s="158"/>
      <c r="U1038" s="158"/>
      <c r="V1038" s="158"/>
      <c r="W1038" s="158"/>
      <c r="X1038" s="158"/>
      <c r="Y1038" s="161">
        <v>19</v>
      </c>
      <c r="Z1038" s="158"/>
      <c r="AA1038" s="151"/>
      <c r="AB1038" s="151"/>
      <c r="AC1038" s="158"/>
      <c r="AD1038" s="95">
        <v>380</v>
      </c>
      <c r="AE1038" s="95">
        <v>480</v>
      </c>
      <c r="AF1038" s="95">
        <v>140</v>
      </c>
      <c r="AG1038" s="66">
        <f t="shared" si="42"/>
        <v>99.865263157894745</v>
      </c>
      <c r="AH1038" s="143">
        <f t="shared" si="43"/>
        <v>1000</v>
      </c>
    </row>
    <row r="1039" spans="1:34" s="162" customFormat="1" x14ac:dyDescent="0.3">
      <c r="A1039" s="84">
        <v>903059</v>
      </c>
      <c r="B1039" s="161">
        <v>7.92</v>
      </c>
      <c r="C1039" s="161"/>
      <c r="D1039" s="151">
        <v>8.0500000000000007</v>
      </c>
      <c r="E1039" s="1530">
        <v>0.12</v>
      </c>
      <c r="F1039" s="159">
        <v>52.2</v>
      </c>
      <c r="G1039" s="158"/>
      <c r="H1039" s="159">
        <v>20.34</v>
      </c>
      <c r="I1039" s="159">
        <v>130</v>
      </c>
      <c r="J1039" s="160">
        <v>2.1999999999999999E-2</v>
      </c>
      <c r="K1039" s="161">
        <v>3.59</v>
      </c>
      <c r="L1039" s="158">
        <v>1260</v>
      </c>
      <c r="M1039" s="158">
        <v>0.64</v>
      </c>
      <c r="N1039" s="158">
        <v>0.84</v>
      </c>
      <c r="O1039" s="158">
        <v>5.56</v>
      </c>
      <c r="P1039" s="158">
        <v>3.84</v>
      </c>
      <c r="Q1039" s="158"/>
      <c r="R1039" s="151">
        <v>0.2744916363886441</v>
      </c>
      <c r="S1039" s="161">
        <v>1.8</v>
      </c>
      <c r="T1039" s="158"/>
      <c r="U1039" s="158"/>
      <c r="V1039" s="158"/>
      <c r="W1039" s="158"/>
      <c r="X1039" s="158"/>
      <c r="Y1039" s="161">
        <v>15</v>
      </c>
      <c r="Z1039" s="158"/>
      <c r="AA1039" s="151"/>
      <c r="AB1039" s="151"/>
      <c r="AC1039" s="158"/>
      <c r="AD1039" s="95">
        <v>300</v>
      </c>
      <c r="AE1039" s="95">
        <v>300</v>
      </c>
      <c r="AF1039" s="95">
        <v>400</v>
      </c>
      <c r="AG1039" s="66">
        <f t="shared" si="42"/>
        <v>84.72399999999999</v>
      </c>
      <c r="AH1039" s="143">
        <f t="shared" si="43"/>
        <v>1000</v>
      </c>
    </row>
    <row r="1040" spans="1:34" s="162" customFormat="1" x14ac:dyDescent="0.3">
      <c r="A1040" s="84">
        <v>903060</v>
      </c>
      <c r="B1040" s="161">
        <v>0.03</v>
      </c>
      <c r="C1040" s="161"/>
      <c r="D1040" s="151">
        <v>6.95</v>
      </c>
      <c r="E1040" s="1530">
        <v>0.11</v>
      </c>
      <c r="F1040" s="159">
        <v>74.2</v>
      </c>
      <c r="G1040" s="158"/>
      <c r="H1040" s="159">
        <v>224.81</v>
      </c>
      <c r="I1040" s="159">
        <v>170</v>
      </c>
      <c r="J1040" s="160">
        <v>4.5999999999999999E-2</v>
      </c>
      <c r="K1040" s="161">
        <v>1.1499999999999999</v>
      </c>
      <c r="L1040" s="158">
        <v>180</v>
      </c>
      <c r="M1040" s="158">
        <v>3.71</v>
      </c>
      <c r="N1040" s="158">
        <v>0.93</v>
      </c>
      <c r="O1040" s="158">
        <v>8.11</v>
      </c>
      <c r="P1040" s="158">
        <v>71.25</v>
      </c>
      <c r="Q1040" s="158"/>
      <c r="R1040" s="151">
        <v>1.2542389223425765</v>
      </c>
      <c r="S1040" s="161">
        <v>8.5</v>
      </c>
      <c r="T1040" s="158"/>
      <c r="U1040" s="158"/>
      <c r="V1040" s="158"/>
      <c r="W1040" s="158"/>
      <c r="X1040" s="158"/>
      <c r="Y1040" s="161">
        <v>4</v>
      </c>
      <c r="Z1040" s="158"/>
      <c r="AA1040" s="151"/>
      <c r="AB1040" s="151"/>
      <c r="AC1040" s="158"/>
      <c r="AD1040" s="95">
        <v>80</v>
      </c>
      <c r="AE1040" s="95">
        <v>60</v>
      </c>
      <c r="AF1040" s="95">
        <v>860</v>
      </c>
      <c r="AG1040" s="66">
        <f t="shared" si="42"/>
        <v>101.77499999999999</v>
      </c>
      <c r="AH1040" s="143">
        <f t="shared" si="43"/>
        <v>1000</v>
      </c>
    </row>
    <row r="1041" spans="1:34" s="162" customFormat="1" x14ac:dyDescent="0.3">
      <c r="A1041" s="84">
        <v>903061</v>
      </c>
      <c r="B1041" s="161">
        <v>0.17</v>
      </c>
      <c r="C1041" s="161"/>
      <c r="D1041" s="151">
        <v>8.09</v>
      </c>
      <c r="E1041" s="1530">
        <v>7.0000000000000007E-2</v>
      </c>
      <c r="F1041" s="159">
        <v>39.200000000000003</v>
      </c>
      <c r="G1041" s="158"/>
      <c r="H1041" s="159">
        <v>127.86</v>
      </c>
      <c r="I1041" s="159">
        <v>190</v>
      </c>
      <c r="J1041" s="160">
        <v>7.2999999999999995E-2</v>
      </c>
      <c r="K1041" s="161">
        <v>4.01</v>
      </c>
      <c r="L1041" s="158">
        <v>620</v>
      </c>
      <c r="M1041" s="158">
        <v>1.31</v>
      </c>
      <c r="N1041" s="158">
        <v>0.76</v>
      </c>
      <c r="O1041" s="158">
        <v>2.4300000000000002</v>
      </c>
      <c r="P1041" s="158">
        <v>54.32</v>
      </c>
      <c r="Q1041" s="158"/>
      <c r="R1041" s="151">
        <v>0.62007898214525092</v>
      </c>
      <c r="S1041" s="161">
        <v>4.3</v>
      </c>
      <c r="T1041" s="158"/>
      <c r="U1041" s="158"/>
      <c r="V1041" s="158"/>
      <c r="W1041" s="158"/>
      <c r="X1041" s="158"/>
      <c r="Y1041" s="161">
        <v>16</v>
      </c>
      <c r="Z1041" s="158"/>
      <c r="AA1041" s="151"/>
      <c r="AB1041" s="151"/>
      <c r="AC1041" s="158"/>
      <c r="AD1041" s="95">
        <v>260</v>
      </c>
      <c r="AE1041" s="95">
        <v>120</v>
      </c>
      <c r="AF1041" s="95">
        <v>620</v>
      </c>
      <c r="AG1041" s="66">
        <f t="shared" si="42"/>
        <v>88.721249999999998</v>
      </c>
      <c r="AH1041" s="143">
        <f t="shared" si="43"/>
        <v>1000</v>
      </c>
    </row>
    <row r="1042" spans="1:34" s="162" customFormat="1" x14ac:dyDescent="0.3">
      <c r="A1042" s="84">
        <v>903062</v>
      </c>
      <c r="B1042" s="161">
        <v>0.13</v>
      </c>
      <c r="C1042" s="161"/>
      <c r="D1042" s="151">
        <v>7.56</v>
      </c>
      <c r="E1042" s="1530">
        <v>0.13</v>
      </c>
      <c r="F1042" s="159">
        <v>40.75</v>
      </c>
      <c r="G1042" s="158"/>
      <c r="H1042" s="159">
        <v>209.99</v>
      </c>
      <c r="I1042" s="159">
        <v>130</v>
      </c>
      <c r="J1042" s="160">
        <v>4.1000000000000002E-2</v>
      </c>
      <c r="K1042" s="161">
        <v>1.58</v>
      </c>
      <c r="L1042" s="158">
        <v>110</v>
      </c>
      <c r="M1042" s="158">
        <v>3.55</v>
      </c>
      <c r="N1042" s="158">
        <v>0.72</v>
      </c>
      <c r="O1042" s="158">
        <v>10.69</v>
      </c>
      <c r="P1042" s="158">
        <v>10.33</v>
      </c>
      <c r="Q1042" s="158"/>
      <c r="R1042" s="151">
        <v>0.53547904214473263</v>
      </c>
      <c r="S1042" s="161">
        <v>4</v>
      </c>
      <c r="T1042" s="158"/>
      <c r="U1042" s="158"/>
      <c r="V1042" s="158"/>
      <c r="W1042" s="158"/>
      <c r="X1042" s="158"/>
      <c r="Y1042" s="161">
        <v>4</v>
      </c>
      <c r="Z1042" s="158"/>
      <c r="AA1042" s="151"/>
      <c r="AB1042" s="151"/>
      <c r="AC1042" s="158"/>
      <c r="AD1042" s="95">
        <v>80</v>
      </c>
      <c r="AE1042" s="95">
        <v>60</v>
      </c>
      <c r="AF1042" s="95">
        <v>860</v>
      </c>
      <c r="AG1042" s="66">
        <f t="shared" si="42"/>
        <v>139.83000000000001</v>
      </c>
      <c r="AH1042" s="143">
        <f t="shared" si="43"/>
        <v>1000</v>
      </c>
    </row>
    <row r="1043" spans="1:34" s="162" customFormat="1" x14ac:dyDescent="0.3">
      <c r="A1043" s="84">
        <v>903063</v>
      </c>
      <c r="B1043" s="161">
        <v>0.08</v>
      </c>
      <c r="C1043" s="161"/>
      <c r="D1043" s="151">
        <v>8.33</v>
      </c>
      <c r="E1043" s="1530">
        <v>0.09</v>
      </c>
      <c r="F1043" s="159">
        <v>52.15</v>
      </c>
      <c r="G1043" s="158"/>
      <c r="H1043" s="159">
        <v>16.190000000000001</v>
      </c>
      <c r="I1043" s="159">
        <v>30</v>
      </c>
      <c r="J1043" s="160">
        <v>4.3999999999999997E-2</v>
      </c>
      <c r="K1043" s="161">
        <v>2.02</v>
      </c>
      <c r="L1043" s="158">
        <v>80</v>
      </c>
      <c r="M1043" s="158">
        <v>0.12</v>
      </c>
      <c r="N1043" s="158">
        <v>0.13</v>
      </c>
      <c r="O1043" s="158">
        <v>7.72</v>
      </c>
      <c r="P1043" s="158">
        <v>5.7</v>
      </c>
      <c r="Q1043" s="158"/>
      <c r="R1043" s="151">
        <v>0.34325819671274344</v>
      </c>
      <c r="S1043" s="161">
        <v>2.4</v>
      </c>
      <c r="T1043" s="158"/>
      <c r="U1043" s="158"/>
      <c r="V1043" s="158"/>
      <c r="W1043" s="158"/>
      <c r="X1043" s="158"/>
      <c r="Y1043" s="161">
        <v>3</v>
      </c>
      <c r="Z1043" s="158"/>
      <c r="AA1043" s="151"/>
      <c r="AB1043" s="151"/>
      <c r="AC1043" s="158"/>
      <c r="AD1043" s="95">
        <v>60</v>
      </c>
      <c r="AE1043" s="95">
        <v>80</v>
      </c>
      <c r="AF1043" s="95">
        <v>860</v>
      </c>
      <c r="AG1043" s="66">
        <f t="shared" si="42"/>
        <v>238.36</v>
      </c>
      <c r="AH1043" s="143">
        <f t="shared" si="43"/>
        <v>1000</v>
      </c>
    </row>
    <row r="1044" spans="1:34" s="162" customFormat="1" x14ac:dyDescent="0.3">
      <c r="A1044" s="84">
        <v>903064</v>
      </c>
      <c r="B1044" s="161">
        <v>0.25</v>
      </c>
      <c r="C1044" s="161"/>
      <c r="D1044" s="151">
        <v>8.64</v>
      </c>
      <c r="E1044" s="1530">
        <v>0.05</v>
      </c>
      <c r="F1044" s="159">
        <v>45.8</v>
      </c>
      <c r="G1044" s="158"/>
      <c r="H1044" s="159">
        <v>18.7</v>
      </c>
      <c r="I1044" s="159">
        <v>20</v>
      </c>
      <c r="J1044" s="160">
        <v>3.5999999999999997E-2</v>
      </c>
      <c r="K1044" s="161">
        <v>2.33</v>
      </c>
      <c r="L1044" s="158">
        <v>50</v>
      </c>
      <c r="M1044" s="158">
        <v>0.06</v>
      </c>
      <c r="N1044" s="158">
        <v>0.13</v>
      </c>
      <c r="O1044" s="158">
        <v>6.8</v>
      </c>
      <c r="P1044" s="158">
        <v>6.26</v>
      </c>
      <c r="Q1044" s="158"/>
      <c r="R1044" s="151">
        <v>0.18983518680900907</v>
      </c>
      <c r="S1044" s="161">
        <v>1.4</v>
      </c>
      <c r="T1044" s="158"/>
      <c r="U1044" s="158"/>
      <c r="V1044" s="158"/>
      <c r="W1044" s="158"/>
      <c r="X1044" s="158"/>
      <c r="Y1044" s="161">
        <v>6.3</v>
      </c>
      <c r="Z1044" s="158"/>
      <c r="AA1044" s="151"/>
      <c r="AB1044" s="151"/>
      <c r="AC1044" s="158"/>
      <c r="AD1044" s="95">
        <v>100</v>
      </c>
      <c r="AE1044" s="95">
        <v>60</v>
      </c>
      <c r="AF1044" s="95">
        <v>840</v>
      </c>
      <c r="AG1044" s="66">
        <f t="shared" si="42"/>
        <v>130.92380952380952</v>
      </c>
      <c r="AH1044" s="143">
        <f t="shared" si="43"/>
        <v>1000</v>
      </c>
    </row>
    <row r="1045" spans="1:34" s="162" customFormat="1" x14ac:dyDescent="0.3">
      <c r="A1045" s="84">
        <v>903065</v>
      </c>
      <c r="B1045" s="161">
        <v>14.25</v>
      </c>
      <c r="C1045" s="161">
        <v>2.2999999999999998</v>
      </c>
      <c r="D1045" s="151">
        <v>8.3800000000000008</v>
      </c>
      <c r="E1045" s="1530">
        <v>0.3</v>
      </c>
      <c r="F1045" s="159">
        <v>100.85</v>
      </c>
      <c r="G1045" s="158"/>
      <c r="H1045" s="159">
        <v>44.52</v>
      </c>
      <c r="I1045" s="159">
        <v>300</v>
      </c>
      <c r="J1045" s="160">
        <v>0.91400000000000003</v>
      </c>
      <c r="K1045" s="161">
        <v>8.73</v>
      </c>
      <c r="L1045" s="158">
        <v>1960</v>
      </c>
      <c r="M1045" s="158">
        <v>0.84</v>
      </c>
      <c r="N1045" s="158">
        <v>0.57999999999999996</v>
      </c>
      <c r="O1045" s="158">
        <v>2.89</v>
      </c>
      <c r="P1045" s="158">
        <v>4.91</v>
      </c>
      <c r="Q1045" s="158"/>
      <c r="R1045" s="151">
        <v>1.651977</v>
      </c>
      <c r="S1045" s="161">
        <v>12.3</v>
      </c>
      <c r="T1045" s="158"/>
      <c r="U1045" s="158"/>
      <c r="V1045" s="158"/>
      <c r="W1045" s="158"/>
      <c r="X1045" s="158"/>
      <c r="Y1045" s="161">
        <v>28</v>
      </c>
      <c r="Z1045" s="158"/>
      <c r="AA1045" s="151"/>
      <c r="AB1045" s="151"/>
      <c r="AC1045" s="158"/>
      <c r="AD1045" s="95">
        <v>600</v>
      </c>
      <c r="AE1045" s="95">
        <v>280</v>
      </c>
      <c r="AF1045" s="95">
        <v>120</v>
      </c>
      <c r="AG1045" s="66">
        <f t="shared" si="42"/>
        <v>110.37214285714286</v>
      </c>
      <c r="AH1045" s="143">
        <f t="shared" si="43"/>
        <v>1000</v>
      </c>
    </row>
    <row r="1046" spans="1:34" s="162" customFormat="1" x14ac:dyDescent="0.3">
      <c r="A1046" s="84">
        <v>903066</v>
      </c>
      <c r="B1046" s="161">
        <v>12.67</v>
      </c>
      <c r="C1046" s="161">
        <v>1.8</v>
      </c>
      <c r="D1046" s="151">
        <v>8.65</v>
      </c>
      <c r="E1046" s="1530">
        <v>0.25</v>
      </c>
      <c r="F1046" s="159">
        <v>63.65</v>
      </c>
      <c r="G1046" s="158"/>
      <c r="H1046" s="159">
        <v>34.57</v>
      </c>
      <c r="I1046" s="159">
        <v>210</v>
      </c>
      <c r="J1046" s="160">
        <v>1</v>
      </c>
      <c r="K1046" s="161">
        <v>7.88</v>
      </c>
      <c r="L1046" s="158">
        <v>2020</v>
      </c>
      <c r="M1046" s="158">
        <v>0.6</v>
      </c>
      <c r="N1046" s="158">
        <v>0.57999999999999996</v>
      </c>
      <c r="O1046" s="158">
        <v>2.27</v>
      </c>
      <c r="P1046" s="158">
        <v>5.24</v>
      </c>
      <c r="Q1046" s="158"/>
      <c r="R1046" s="151">
        <v>1.4708728133831348</v>
      </c>
      <c r="S1046" s="161">
        <v>9.8000000000000007</v>
      </c>
      <c r="T1046" s="158"/>
      <c r="U1046" s="158"/>
      <c r="V1046" s="158"/>
      <c r="W1046" s="158"/>
      <c r="X1046" s="158"/>
      <c r="Y1046" s="161">
        <v>33.6</v>
      </c>
      <c r="Z1046" s="158"/>
      <c r="AA1046" s="151"/>
      <c r="AB1046" s="151"/>
      <c r="AC1046" s="158"/>
      <c r="AD1046" s="95">
        <v>480</v>
      </c>
      <c r="AE1046" s="95">
        <v>240</v>
      </c>
      <c r="AF1046" s="95">
        <v>280</v>
      </c>
      <c r="AG1046" s="66">
        <f t="shared" si="42"/>
        <v>83.021428571428572</v>
      </c>
      <c r="AH1046" s="143">
        <f t="shared" si="43"/>
        <v>1000</v>
      </c>
    </row>
    <row r="1047" spans="1:34" s="162" customFormat="1" x14ac:dyDescent="0.3">
      <c r="A1047" s="84">
        <v>903067</v>
      </c>
      <c r="B1047" s="161">
        <v>14.42</v>
      </c>
      <c r="C1047" s="161">
        <v>3.8</v>
      </c>
      <c r="D1047" s="151">
        <v>8.33</v>
      </c>
      <c r="E1047" s="1530">
        <v>0.34</v>
      </c>
      <c r="F1047" s="159">
        <v>126.9</v>
      </c>
      <c r="G1047" s="158"/>
      <c r="H1047" s="159">
        <v>47.86</v>
      </c>
      <c r="I1047" s="159">
        <v>280</v>
      </c>
      <c r="J1047" s="160">
        <v>0.89400000000000002</v>
      </c>
      <c r="K1047" s="161">
        <v>8.57</v>
      </c>
      <c r="L1047" s="158">
        <v>1780</v>
      </c>
      <c r="M1047" s="158">
        <v>0.52</v>
      </c>
      <c r="N1047" s="158">
        <v>0.66</v>
      </c>
      <c r="O1047" s="158">
        <v>2.57</v>
      </c>
      <c r="P1047" s="158">
        <v>5.33</v>
      </c>
      <c r="Q1047" s="158"/>
      <c r="R1047" s="151">
        <v>1.6482320000000001</v>
      </c>
      <c r="S1047" s="161">
        <v>12.2</v>
      </c>
      <c r="T1047" s="158"/>
      <c r="U1047" s="158"/>
      <c r="V1047" s="158"/>
      <c r="W1047" s="158"/>
      <c r="X1047" s="158"/>
      <c r="Y1047" s="161">
        <v>34.799999999999997</v>
      </c>
      <c r="Z1047" s="158"/>
      <c r="AA1047" s="151"/>
      <c r="AB1047" s="151"/>
      <c r="AC1047" s="158"/>
      <c r="AD1047" s="95">
        <v>580</v>
      </c>
      <c r="AE1047" s="95">
        <v>320</v>
      </c>
      <c r="AF1047" s="95">
        <v>100</v>
      </c>
      <c r="AG1047" s="66">
        <f t="shared" si="42"/>
        <v>87.177586206896564</v>
      </c>
      <c r="AH1047" s="143">
        <f t="shared" si="43"/>
        <v>1000</v>
      </c>
    </row>
    <row r="1048" spans="1:34" s="162" customFormat="1" x14ac:dyDescent="0.3">
      <c r="A1048" s="84">
        <v>903068</v>
      </c>
      <c r="B1048" s="161">
        <v>21.67</v>
      </c>
      <c r="C1048" s="161">
        <v>4.5999999999999996</v>
      </c>
      <c r="D1048" s="151">
        <v>8.31</v>
      </c>
      <c r="E1048" s="1530">
        <v>0.37</v>
      </c>
      <c r="F1048" s="159">
        <v>202.65</v>
      </c>
      <c r="G1048" s="158"/>
      <c r="H1048" s="159">
        <v>26.14</v>
      </c>
      <c r="I1048" s="159">
        <v>150</v>
      </c>
      <c r="J1048" s="160">
        <v>1.2430000000000001</v>
      </c>
      <c r="K1048" s="161">
        <v>8.7200000000000006</v>
      </c>
      <c r="L1048" s="158">
        <v>1170</v>
      </c>
      <c r="M1048" s="158">
        <v>0.24</v>
      </c>
      <c r="N1048" s="158">
        <v>0.66</v>
      </c>
      <c r="O1048" s="158">
        <v>2.98</v>
      </c>
      <c r="P1048" s="158">
        <v>4.51</v>
      </c>
      <c r="Q1048" s="158"/>
      <c r="R1048" s="151">
        <v>1.1237774021754263</v>
      </c>
      <c r="S1048" s="161">
        <v>7.8</v>
      </c>
      <c r="T1048" s="158"/>
      <c r="U1048" s="158"/>
      <c r="V1048" s="158"/>
      <c r="W1048" s="158"/>
      <c r="X1048" s="158"/>
      <c r="Y1048" s="161">
        <v>30</v>
      </c>
      <c r="Z1048" s="158"/>
      <c r="AA1048" s="151"/>
      <c r="AB1048" s="151"/>
      <c r="AC1048" s="158"/>
      <c r="AD1048" s="95">
        <v>500</v>
      </c>
      <c r="AE1048" s="95">
        <v>260</v>
      </c>
      <c r="AF1048" s="95">
        <v>240</v>
      </c>
      <c r="AG1048" s="66">
        <f t="shared" si="42"/>
        <v>102.89600000000002</v>
      </c>
      <c r="AH1048" s="143">
        <f t="shared" si="43"/>
        <v>1000</v>
      </c>
    </row>
    <row r="1049" spans="1:34" s="162" customFormat="1" x14ac:dyDescent="0.3">
      <c r="A1049" s="84">
        <v>903076</v>
      </c>
      <c r="B1049" s="161">
        <v>0.77</v>
      </c>
      <c r="C1049" s="161"/>
      <c r="D1049" s="151">
        <v>7.291666666666667</v>
      </c>
      <c r="E1049" s="1530">
        <v>0.09</v>
      </c>
      <c r="F1049" s="159">
        <v>41.35</v>
      </c>
      <c r="G1049" s="158"/>
      <c r="H1049" s="159">
        <v>24.29</v>
      </c>
      <c r="I1049" s="159">
        <v>110</v>
      </c>
      <c r="J1049" s="160">
        <v>0.04</v>
      </c>
      <c r="K1049" s="161">
        <v>4.54</v>
      </c>
      <c r="L1049" s="158">
        <v>160</v>
      </c>
      <c r="M1049" s="158">
        <v>0.19</v>
      </c>
      <c r="N1049" s="158">
        <v>0.42</v>
      </c>
      <c r="O1049" s="158">
        <v>4.82</v>
      </c>
      <c r="P1049" s="158">
        <v>3.9</v>
      </c>
      <c r="Q1049" s="158"/>
      <c r="R1049" s="151">
        <v>0.96378152096154146</v>
      </c>
      <c r="S1049" s="161">
        <v>7.2</v>
      </c>
      <c r="T1049" s="158"/>
      <c r="U1049" s="158"/>
      <c r="V1049" s="158"/>
      <c r="W1049" s="158"/>
      <c r="X1049" s="158"/>
      <c r="Y1049" s="161">
        <v>15.4</v>
      </c>
      <c r="Z1049" s="158"/>
      <c r="AA1049" s="151"/>
      <c r="AB1049" s="151"/>
      <c r="AC1049" s="158"/>
      <c r="AD1049" s="95">
        <v>220</v>
      </c>
      <c r="AE1049" s="95">
        <v>480</v>
      </c>
      <c r="AF1049" s="95">
        <v>300</v>
      </c>
      <c r="AG1049" s="66">
        <f t="shared" si="42"/>
        <v>104.36103896103896</v>
      </c>
      <c r="AH1049" s="143">
        <f t="shared" si="43"/>
        <v>1000</v>
      </c>
    </row>
    <row r="1050" spans="1:34" s="162" customFormat="1" x14ac:dyDescent="0.3">
      <c r="A1050" s="84">
        <v>903077</v>
      </c>
      <c r="B1050" s="161">
        <v>5.54</v>
      </c>
      <c r="C1050" s="161"/>
      <c r="D1050" s="151">
        <v>7.5166666666666666</v>
      </c>
      <c r="E1050" s="1530">
        <v>0.11</v>
      </c>
      <c r="F1050" s="159">
        <v>50.25</v>
      </c>
      <c r="G1050" s="158"/>
      <c r="H1050" s="159">
        <v>22.81</v>
      </c>
      <c r="I1050" s="159">
        <v>90</v>
      </c>
      <c r="J1050" s="160">
        <v>6.0999999999999999E-2</v>
      </c>
      <c r="K1050" s="161">
        <v>7.88</v>
      </c>
      <c r="L1050" s="158">
        <v>160</v>
      </c>
      <c r="M1050" s="158">
        <v>7.0000000000000007E-2</v>
      </c>
      <c r="N1050" s="158">
        <v>0.26</v>
      </c>
      <c r="O1050" s="158">
        <v>1.55</v>
      </c>
      <c r="P1050" s="158">
        <v>1.71</v>
      </c>
      <c r="Q1050" s="158"/>
      <c r="R1050" s="151">
        <v>0.92899973650714318</v>
      </c>
      <c r="S1050" s="161">
        <v>6.1</v>
      </c>
      <c r="T1050" s="158"/>
      <c r="U1050" s="158"/>
      <c r="V1050" s="158"/>
      <c r="W1050" s="158"/>
      <c r="X1050" s="158"/>
      <c r="Y1050" s="161">
        <v>15.4</v>
      </c>
      <c r="Z1050" s="158"/>
      <c r="AA1050" s="151"/>
      <c r="AB1050" s="151"/>
      <c r="AC1050" s="158"/>
      <c r="AD1050" s="95">
        <v>220</v>
      </c>
      <c r="AE1050" s="95">
        <v>500</v>
      </c>
      <c r="AF1050" s="95">
        <v>280</v>
      </c>
      <c r="AG1050" s="66">
        <f t="shared" si="42"/>
        <v>181.13766233766233</v>
      </c>
      <c r="AH1050" s="143">
        <f t="shared" si="43"/>
        <v>1000</v>
      </c>
    </row>
    <row r="1051" spans="1:34" s="162" customFormat="1" x14ac:dyDescent="0.3">
      <c r="A1051" s="84">
        <v>903078</v>
      </c>
      <c r="B1051" s="161">
        <v>2.67</v>
      </c>
      <c r="C1051" s="161"/>
      <c r="D1051" s="151">
        <v>7.5</v>
      </c>
      <c r="E1051" s="1530">
        <v>0.08</v>
      </c>
      <c r="F1051" s="159">
        <v>45.4</v>
      </c>
      <c r="G1051" s="158"/>
      <c r="H1051" s="159">
        <v>12.72</v>
      </c>
      <c r="I1051" s="159">
        <v>90</v>
      </c>
      <c r="J1051" s="160">
        <v>3.9E-2</v>
      </c>
      <c r="K1051" s="161">
        <v>5.85</v>
      </c>
      <c r="L1051" s="158">
        <v>170</v>
      </c>
      <c r="M1051" s="158">
        <v>0.14000000000000001</v>
      </c>
      <c r="N1051" s="158">
        <v>0.28000000000000003</v>
      </c>
      <c r="O1051" s="158">
        <v>3.89</v>
      </c>
      <c r="P1051" s="158">
        <v>1.94</v>
      </c>
      <c r="Q1051" s="158"/>
      <c r="R1051" s="151">
        <v>1.177025780726813</v>
      </c>
      <c r="S1051" s="161">
        <v>8.6</v>
      </c>
      <c r="T1051" s="158"/>
      <c r="U1051" s="158"/>
      <c r="V1051" s="158"/>
      <c r="W1051" s="158"/>
      <c r="X1051" s="158"/>
      <c r="Y1051" s="161">
        <v>14</v>
      </c>
      <c r="Z1051" s="158"/>
      <c r="AA1051" s="151"/>
      <c r="AB1051" s="151"/>
      <c r="AC1051" s="158"/>
      <c r="AD1051" s="95">
        <v>200</v>
      </c>
      <c r="AE1051" s="95">
        <v>480</v>
      </c>
      <c r="AF1051" s="95">
        <v>320</v>
      </c>
      <c r="AG1051" s="66">
        <f t="shared" si="42"/>
        <v>147.92142857142858</v>
      </c>
      <c r="AH1051" s="143">
        <f t="shared" si="43"/>
        <v>1000</v>
      </c>
    </row>
    <row r="1052" spans="1:34" s="162" customFormat="1" x14ac:dyDescent="0.3">
      <c r="A1052" s="84">
        <v>903079</v>
      </c>
      <c r="B1052" s="161">
        <v>1.17</v>
      </c>
      <c r="C1052" s="161"/>
      <c r="D1052" s="151">
        <v>7.5500000000000007</v>
      </c>
      <c r="E1052" s="1530">
        <v>0.09</v>
      </c>
      <c r="F1052" s="159">
        <v>31.65</v>
      </c>
      <c r="G1052" s="158"/>
      <c r="H1052" s="159">
        <v>20.98</v>
      </c>
      <c r="I1052" s="159">
        <v>80</v>
      </c>
      <c r="J1052" s="160">
        <v>4.3999999999999997E-2</v>
      </c>
      <c r="K1052" s="161">
        <v>6.4</v>
      </c>
      <c r="L1052" s="158">
        <v>150</v>
      </c>
      <c r="M1052" s="158">
        <v>0.1</v>
      </c>
      <c r="N1052" s="158">
        <v>0.33</v>
      </c>
      <c r="O1052" s="158">
        <v>2.46</v>
      </c>
      <c r="P1052" s="158">
        <v>2.17</v>
      </c>
      <c r="Q1052" s="158"/>
      <c r="R1052" s="151">
        <v>1.3323457880326723</v>
      </c>
      <c r="S1052" s="161">
        <v>9.1</v>
      </c>
      <c r="T1052" s="158"/>
      <c r="U1052" s="158"/>
      <c r="V1052" s="158"/>
      <c r="W1052" s="158"/>
      <c r="X1052" s="158"/>
      <c r="Y1052" s="161">
        <v>10</v>
      </c>
      <c r="Z1052" s="158"/>
      <c r="AA1052" s="151"/>
      <c r="AB1052" s="151"/>
      <c r="AC1052" s="158"/>
      <c r="AD1052" s="95">
        <v>200</v>
      </c>
      <c r="AE1052" s="95">
        <v>500</v>
      </c>
      <c r="AF1052" s="95">
        <v>300</v>
      </c>
      <c r="AG1052" s="66">
        <f t="shared" si="42"/>
        <v>226.56000000000003</v>
      </c>
      <c r="AH1052" s="143">
        <f t="shared" si="43"/>
        <v>1000</v>
      </c>
    </row>
    <row r="1053" spans="1:34" s="162" customFormat="1" x14ac:dyDescent="0.3">
      <c r="A1053" s="84">
        <v>903080</v>
      </c>
      <c r="B1053" s="161">
        <v>0.54</v>
      </c>
      <c r="C1053" s="161"/>
      <c r="D1053" s="151">
        <v>7.7750000000000004</v>
      </c>
      <c r="E1053" s="1530">
        <v>0.2</v>
      </c>
      <c r="F1053" s="159">
        <v>29.45</v>
      </c>
      <c r="G1053" s="158"/>
      <c r="H1053" s="159">
        <v>18.28</v>
      </c>
      <c r="I1053" s="159">
        <v>50</v>
      </c>
      <c r="J1053" s="160">
        <v>1.9E-2</v>
      </c>
      <c r="K1053" s="161">
        <v>1.49</v>
      </c>
      <c r="L1053" s="158">
        <v>80</v>
      </c>
      <c r="M1053" s="158">
        <v>7.0000000000000007E-2</v>
      </c>
      <c r="N1053" s="158">
        <v>0.17</v>
      </c>
      <c r="O1053" s="158">
        <v>1.76</v>
      </c>
      <c r="P1053" s="158">
        <v>1.65</v>
      </c>
      <c r="Q1053" s="158"/>
      <c r="R1053" s="151">
        <v>0.16464588002103225</v>
      </c>
      <c r="S1053" s="161">
        <v>1.2</v>
      </c>
      <c r="T1053" s="158"/>
      <c r="U1053" s="158"/>
      <c r="V1053" s="158"/>
      <c r="W1053" s="158"/>
      <c r="X1053" s="158"/>
      <c r="Y1053" s="161">
        <v>3</v>
      </c>
      <c r="Z1053" s="158"/>
      <c r="AA1053" s="151"/>
      <c r="AB1053" s="151"/>
      <c r="AC1053" s="158"/>
      <c r="AD1053" s="95">
        <v>60</v>
      </c>
      <c r="AE1053" s="95">
        <v>60</v>
      </c>
      <c r="AF1053" s="95">
        <v>880</v>
      </c>
      <c r="AG1053" s="66">
        <f t="shared" si="42"/>
        <v>175.82000000000002</v>
      </c>
      <c r="AH1053" s="143">
        <f t="shared" si="43"/>
        <v>1000</v>
      </c>
    </row>
    <row r="1054" spans="1:34" s="162" customFormat="1" x14ac:dyDescent="0.3">
      <c r="A1054" s="84">
        <v>903081</v>
      </c>
      <c r="B1054" s="161">
        <v>1</v>
      </c>
      <c r="C1054" s="161"/>
      <c r="D1054" s="151">
        <v>7.7833333333333332</v>
      </c>
      <c r="E1054" s="1530">
        <v>0.08</v>
      </c>
      <c r="F1054" s="159">
        <v>25.95</v>
      </c>
      <c r="G1054" s="158"/>
      <c r="H1054" s="159">
        <v>18.84</v>
      </c>
      <c r="I1054" s="159">
        <v>70</v>
      </c>
      <c r="J1054" s="160">
        <v>1.6E-2</v>
      </c>
      <c r="K1054" s="161">
        <v>3.16</v>
      </c>
      <c r="L1054" s="158">
        <v>120</v>
      </c>
      <c r="M1054" s="158">
        <v>0.08</v>
      </c>
      <c r="N1054" s="158">
        <v>0.33</v>
      </c>
      <c r="O1054" s="158">
        <v>0.76</v>
      </c>
      <c r="P1054" s="158">
        <v>1.64</v>
      </c>
      <c r="Q1054" s="158"/>
      <c r="R1054" s="151">
        <v>4.3133255439710416E-2</v>
      </c>
      <c r="S1054" s="161">
        <v>0.3</v>
      </c>
      <c r="T1054" s="158"/>
      <c r="U1054" s="158"/>
      <c r="V1054" s="158"/>
      <c r="W1054" s="158"/>
      <c r="X1054" s="158"/>
      <c r="Y1054" s="161">
        <v>4</v>
      </c>
      <c r="Z1054" s="158"/>
      <c r="AA1054" s="151"/>
      <c r="AB1054" s="151"/>
      <c r="AC1054" s="158"/>
      <c r="AD1054" s="95">
        <v>80</v>
      </c>
      <c r="AE1054" s="95">
        <v>60</v>
      </c>
      <c r="AF1054" s="95">
        <v>860</v>
      </c>
      <c r="AG1054" s="66">
        <f t="shared" si="42"/>
        <v>279.66000000000003</v>
      </c>
      <c r="AH1054" s="143">
        <f t="shared" si="43"/>
        <v>1000</v>
      </c>
    </row>
    <row r="1055" spans="1:34" s="162" customFormat="1" x14ac:dyDescent="0.3">
      <c r="A1055" s="84">
        <v>903082</v>
      </c>
      <c r="B1055" s="161">
        <v>0.6</v>
      </c>
      <c r="C1055" s="161"/>
      <c r="D1055" s="151">
        <v>7.8250000000000011</v>
      </c>
      <c r="E1055" s="1530">
        <v>0.06</v>
      </c>
      <c r="F1055" s="159">
        <v>27.6</v>
      </c>
      <c r="G1055" s="158"/>
      <c r="H1055" s="159">
        <v>20.98</v>
      </c>
      <c r="I1055" s="159">
        <v>50</v>
      </c>
      <c r="J1055" s="160">
        <v>1.0999999999999999E-2</v>
      </c>
      <c r="K1055" s="161">
        <v>1.95</v>
      </c>
      <c r="L1055" s="158">
        <v>100</v>
      </c>
      <c r="M1055" s="158">
        <v>7.0000000000000007E-2</v>
      </c>
      <c r="N1055" s="158">
        <v>0.14000000000000001</v>
      </c>
      <c r="O1055" s="158">
        <v>1.56</v>
      </c>
      <c r="P1055" s="158">
        <v>0.72</v>
      </c>
      <c r="Q1055" s="158"/>
      <c r="R1055" s="151">
        <v>1.4899817732007822E-2</v>
      </c>
      <c r="S1055" s="161">
        <v>0.1</v>
      </c>
      <c r="T1055" s="158"/>
      <c r="U1055" s="158"/>
      <c r="V1055" s="158"/>
      <c r="W1055" s="158"/>
      <c r="X1055" s="158"/>
      <c r="Y1055" s="161">
        <v>4.2</v>
      </c>
      <c r="Z1055" s="158"/>
      <c r="AA1055" s="151"/>
      <c r="AB1055" s="151"/>
      <c r="AC1055" s="158"/>
      <c r="AD1055" s="95">
        <v>60</v>
      </c>
      <c r="AE1055" s="95">
        <v>70</v>
      </c>
      <c r="AF1055" s="95">
        <v>870</v>
      </c>
      <c r="AG1055" s="66">
        <f t="shared" si="42"/>
        <v>164.35714285714283</v>
      </c>
      <c r="AH1055" s="143">
        <f t="shared" si="43"/>
        <v>1000</v>
      </c>
    </row>
    <row r="1056" spans="1:34" s="162" customFormat="1" x14ac:dyDescent="0.3">
      <c r="A1056" s="84">
        <v>903083</v>
      </c>
      <c r="B1056" s="161">
        <v>1.97</v>
      </c>
      <c r="C1056" s="161"/>
      <c r="D1056" s="151">
        <v>7.8500000000000005</v>
      </c>
      <c r="E1056" s="1530">
        <v>0.08</v>
      </c>
      <c r="F1056" s="159">
        <v>27.3</v>
      </c>
      <c r="G1056" s="158"/>
      <c r="H1056" s="159">
        <v>16.89</v>
      </c>
      <c r="I1056" s="159">
        <v>30</v>
      </c>
      <c r="J1056" s="160">
        <v>1.9E-2</v>
      </c>
      <c r="K1056" s="161">
        <v>3.59</v>
      </c>
      <c r="L1056" s="158">
        <v>130</v>
      </c>
      <c r="M1056" s="158">
        <v>0.02</v>
      </c>
      <c r="N1056" s="158">
        <v>0.14000000000000001</v>
      </c>
      <c r="O1056" s="158">
        <v>0.39</v>
      </c>
      <c r="P1056" s="158">
        <v>0.65</v>
      </c>
      <c r="Q1056" s="158"/>
      <c r="R1056" s="151">
        <v>4.5714857023527594E-2</v>
      </c>
      <c r="S1056" s="161">
        <v>0.3</v>
      </c>
      <c r="T1056" s="158"/>
      <c r="U1056" s="158"/>
      <c r="V1056" s="158"/>
      <c r="W1056" s="158"/>
      <c r="X1056" s="158"/>
      <c r="Y1056" s="161">
        <v>3</v>
      </c>
      <c r="Z1056" s="158"/>
      <c r="AA1056" s="151"/>
      <c r="AB1056" s="151"/>
      <c r="AC1056" s="158"/>
      <c r="AD1056" s="95">
        <v>60</v>
      </c>
      <c r="AE1056" s="95">
        <v>60</v>
      </c>
      <c r="AF1056" s="95">
        <v>880</v>
      </c>
      <c r="AG1056" s="66">
        <f t="shared" si="42"/>
        <v>423.61999999999995</v>
      </c>
      <c r="AH1056" s="143">
        <f t="shared" si="43"/>
        <v>1000</v>
      </c>
    </row>
    <row r="1057" spans="1:34" s="162" customFormat="1" x14ac:dyDescent="0.3">
      <c r="A1057" s="84">
        <v>903084</v>
      </c>
      <c r="B1057" s="161">
        <v>7.5</v>
      </c>
      <c r="C1057" s="161"/>
      <c r="D1057" s="151">
        <v>7.7500000000000009</v>
      </c>
      <c r="E1057" s="1530">
        <v>0.09</v>
      </c>
      <c r="F1057" s="159">
        <v>29.45</v>
      </c>
      <c r="G1057" s="158"/>
      <c r="H1057" s="159">
        <v>22.69</v>
      </c>
      <c r="I1057" s="159">
        <v>110</v>
      </c>
      <c r="J1057" s="160">
        <v>2.5999999999999999E-2</v>
      </c>
      <c r="K1057" s="161">
        <v>7.3</v>
      </c>
      <c r="L1057" s="158">
        <v>150</v>
      </c>
      <c r="M1057" s="158">
        <v>0.16</v>
      </c>
      <c r="N1057" s="158">
        <v>0.13</v>
      </c>
      <c r="O1057" s="158">
        <v>1.49</v>
      </c>
      <c r="P1057" s="158">
        <v>0.91</v>
      </c>
      <c r="Q1057" s="158"/>
      <c r="R1057" s="151">
        <v>0.98026622414776754</v>
      </c>
      <c r="S1057" s="161">
        <v>7.1</v>
      </c>
      <c r="T1057" s="158"/>
      <c r="U1057" s="158"/>
      <c r="V1057" s="158"/>
      <c r="W1057" s="158"/>
      <c r="X1057" s="158"/>
      <c r="Y1057" s="161">
        <v>4.2</v>
      </c>
      <c r="Z1057" s="158"/>
      <c r="AA1057" s="151"/>
      <c r="AB1057" s="151"/>
      <c r="AC1057" s="158"/>
      <c r="AD1057" s="95">
        <v>60</v>
      </c>
      <c r="AE1057" s="95">
        <v>140</v>
      </c>
      <c r="AF1057" s="95">
        <v>800</v>
      </c>
      <c r="AG1057" s="66">
        <f t="shared" si="42"/>
        <v>615.28571428571422</v>
      </c>
      <c r="AH1057" s="143">
        <f t="shared" si="43"/>
        <v>1000</v>
      </c>
    </row>
    <row r="1058" spans="1:34" s="162" customFormat="1" x14ac:dyDescent="0.3">
      <c r="A1058" s="84">
        <v>903085</v>
      </c>
      <c r="B1058" s="161">
        <v>9.17</v>
      </c>
      <c r="C1058" s="161"/>
      <c r="D1058" s="151">
        <v>7.7583333333333337</v>
      </c>
      <c r="E1058" s="1530">
        <v>0.1</v>
      </c>
      <c r="F1058" s="159">
        <v>46.1</v>
      </c>
      <c r="G1058" s="158"/>
      <c r="H1058" s="159">
        <v>15.7</v>
      </c>
      <c r="I1058" s="159">
        <v>50</v>
      </c>
      <c r="J1058" s="160">
        <v>4.7E-2</v>
      </c>
      <c r="K1058" s="161">
        <v>7.79</v>
      </c>
      <c r="L1058" s="158">
        <v>170</v>
      </c>
      <c r="M1058" s="158">
        <v>9.6000000000000002E-2</v>
      </c>
      <c r="N1058" s="158">
        <v>0.09</v>
      </c>
      <c r="O1058" s="158">
        <v>0.28000000000000003</v>
      </c>
      <c r="P1058" s="158">
        <v>0.6</v>
      </c>
      <c r="Q1058" s="158"/>
      <c r="R1058" s="151">
        <v>0.86513591919579358</v>
      </c>
      <c r="S1058" s="161">
        <v>6.4</v>
      </c>
      <c r="T1058" s="158"/>
      <c r="U1058" s="158"/>
      <c r="V1058" s="158"/>
      <c r="W1058" s="158"/>
      <c r="X1058" s="158"/>
      <c r="Y1058" s="161">
        <v>6</v>
      </c>
      <c r="Z1058" s="158"/>
      <c r="AA1058" s="151"/>
      <c r="AB1058" s="151"/>
      <c r="AC1058" s="158"/>
      <c r="AD1058" s="95">
        <v>100</v>
      </c>
      <c r="AE1058" s="95">
        <v>120</v>
      </c>
      <c r="AF1058" s="95">
        <v>780</v>
      </c>
      <c r="AG1058" s="66">
        <f t="shared" si="42"/>
        <v>459.60999999999996</v>
      </c>
      <c r="AH1058" s="143">
        <f t="shared" si="43"/>
        <v>1000</v>
      </c>
    </row>
    <row r="1059" spans="1:34" s="162" customFormat="1" x14ac:dyDescent="0.3">
      <c r="A1059" s="84">
        <v>903086</v>
      </c>
      <c r="B1059" s="161">
        <v>0.72</v>
      </c>
      <c r="C1059" s="161"/>
      <c r="D1059" s="151">
        <v>7.5</v>
      </c>
      <c r="E1059" s="1530">
        <v>0.09</v>
      </c>
      <c r="F1059" s="159">
        <v>36.5</v>
      </c>
      <c r="G1059" s="158"/>
      <c r="H1059" s="159">
        <v>12.5</v>
      </c>
      <c r="I1059" s="159">
        <v>90</v>
      </c>
      <c r="J1059" s="160">
        <v>4.7E-2</v>
      </c>
      <c r="K1059" s="161">
        <v>4.5999999999999996</v>
      </c>
      <c r="L1059" s="158">
        <v>160</v>
      </c>
      <c r="M1059" s="158">
        <v>0.09</v>
      </c>
      <c r="N1059" s="158">
        <v>0.15</v>
      </c>
      <c r="O1059" s="158">
        <v>1.43</v>
      </c>
      <c r="P1059" s="158">
        <v>1.05</v>
      </c>
      <c r="Q1059" s="158"/>
      <c r="R1059" s="151">
        <v>0.81232281867052913</v>
      </c>
      <c r="S1059" s="161">
        <v>6</v>
      </c>
      <c r="T1059" s="158"/>
      <c r="U1059" s="158"/>
      <c r="V1059" s="158"/>
      <c r="W1059" s="158"/>
      <c r="X1059" s="158"/>
      <c r="Y1059" s="161">
        <v>6</v>
      </c>
      <c r="Z1059" s="158"/>
      <c r="AA1059" s="151"/>
      <c r="AB1059" s="151"/>
      <c r="AC1059" s="158"/>
      <c r="AD1059" s="95">
        <v>120</v>
      </c>
      <c r="AE1059" s="95">
        <v>100</v>
      </c>
      <c r="AF1059" s="95">
        <v>780</v>
      </c>
      <c r="AG1059" s="66">
        <f t="shared" si="42"/>
        <v>271.39999999999998</v>
      </c>
      <c r="AH1059" s="143">
        <f t="shared" si="43"/>
        <v>1000</v>
      </c>
    </row>
    <row r="1060" spans="1:34" s="162" customFormat="1" x14ac:dyDescent="0.3">
      <c r="A1060" s="84">
        <v>903087</v>
      </c>
      <c r="B1060" s="161">
        <v>8.67</v>
      </c>
      <c r="C1060" s="161"/>
      <c r="D1060" s="151">
        <v>7.7333333333333334</v>
      </c>
      <c r="E1060" s="1530">
        <v>0.09</v>
      </c>
      <c r="F1060" s="159">
        <v>38</v>
      </c>
      <c r="G1060" s="158"/>
      <c r="H1060" s="159">
        <v>20.3</v>
      </c>
      <c r="I1060" s="159">
        <v>40</v>
      </c>
      <c r="J1060" s="160">
        <v>4.2000000000000003E-2</v>
      </c>
      <c r="K1060" s="161">
        <v>7.87</v>
      </c>
      <c r="L1060" s="158">
        <v>140</v>
      </c>
      <c r="M1060" s="158">
        <v>0.03</v>
      </c>
      <c r="N1060" s="158">
        <v>0.14000000000000001</v>
      </c>
      <c r="O1060" s="158">
        <v>1.25</v>
      </c>
      <c r="P1060" s="158">
        <v>0.5</v>
      </c>
      <c r="Q1060" s="158"/>
      <c r="R1060" s="151">
        <v>0.48325609706070549</v>
      </c>
      <c r="S1060" s="161">
        <v>3.4</v>
      </c>
      <c r="T1060" s="158"/>
      <c r="U1060" s="158"/>
      <c r="V1060" s="158"/>
      <c r="W1060" s="158"/>
      <c r="X1060" s="158"/>
      <c r="Y1060" s="161">
        <v>24</v>
      </c>
      <c r="Z1060" s="158"/>
      <c r="AA1060" s="151"/>
      <c r="AB1060" s="151"/>
      <c r="AC1060" s="158"/>
      <c r="AD1060" s="95">
        <v>400</v>
      </c>
      <c r="AE1060" s="95">
        <v>220</v>
      </c>
      <c r="AF1060" s="95">
        <v>380</v>
      </c>
      <c r="AG1060" s="66">
        <f t="shared" si="42"/>
        <v>116.0825</v>
      </c>
      <c r="AH1060" s="143">
        <f t="shared" si="43"/>
        <v>1000</v>
      </c>
    </row>
    <row r="1061" spans="1:34" s="162" customFormat="1" x14ac:dyDescent="0.3">
      <c r="A1061" s="84">
        <v>903088</v>
      </c>
      <c r="B1061" s="161">
        <v>0.56999999999999995</v>
      </c>
      <c r="C1061" s="161"/>
      <c r="D1061" s="151">
        <v>7.6666666666666661</v>
      </c>
      <c r="E1061" s="1530">
        <v>0.08</v>
      </c>
      <c r="F1061" s="159">
        <v>43.85</v>
      </c>
      <c r="G1061" s="158"/>
      <c r="H1061" s="159">
        <v>16</v>
      </c>
      <c r="I1061" s="159">
        <v>80</v>
      </c>
      <c r="J1061" s="160">
        <v>6.5000000000000002E-2</v>
      </c>
      <c r="K1061" s="161">
        <v>4.2699999999999996</v>
      </c>
      <c r="L1061" s="158">
        <v>130</v>
      </c>
      <c r="M1061" s="158">
        <v>0.12</v>
      </c>
      <c r="N1061" s="158">
        <v>0.14000000000000001</v>
      </c>
      <c r="O1061" s="158">
        <v>2.02</v>
      </c>
      <c r="P1061" s="158">
        <v>1.01</v>
      </c>
      <c r="Q1061" s="158"/>
      <c r="R1061" s="151">
        <v>0.82646163255101845</v>
      </c>
      <c r="S1061" s="161">
        <v>5.4</v>
      </c>
      <c r="T1061" s="158"/>
      <c r="U1061" s="158"/>
      <c r="V1061" s="158"/>
      <c r="W1061" s="158"/>
      <c r="X1061" s="158"/>
      <c r="Y1061" s="161">
        <v>5.6</v>
      </c>
      <c r="Z1061" s="158"/>
      <c r="AA1061" s="151"/>
      <c r="AB1061" s="151"/>
      <c r="AC1061" s="158"/>
      <c r="AD1061" s="95">
        <v>80</v>
      </c>
      <c r="AE1061" s="95">
        <v>180</v>
      </c>
      <c r="AF1061" s="95">
        <v>740</v>
      </c>
      <c r="AG1061" s="66">
        <f t="shared" si="42"/>
        <v>269.92500000000001</v>
      </c>
      <c r="AH1061" s="143">
        <f t="shared" si="43"/>
        <v>1000</v>
      </c>
    </row>
    <row r="1062" spans="1:34" s="162" customFormat="1" x14ac:dyDescent="0.3">
      <c r="A1062" s="84">
        <v>903089</v>
      </c>
      <c r="B1062" s="161">
        <v>0.87</v>
      </c>
      <c r="C1062" s="161"/>
      <c r="D1062" s="151">
        <v>7.7083333333333339</v>
      </c>
      <c r="E1062" s="1530">
        <v>0.09</v>
      </c>
      <c r="F1062" s="159">
        <v>38.35</v>
      </c>
      <c r="G1062" s="158"/>
      <c r="H1062" s="159">
        <v>16.68</v>
      </c>
      <c r="I1062" s="159">
        <v>60</v>
      </c>
      <c r="J1062" s="160">
        <v>5.0999999999999997E-2</v>
      </c>
      <c r="K1062" s="161">
        <v>5.78</v>
      </c>
      <c r="L1062" s="158">
        <v>140</v>
      </c>
      <c r="M1062" s="158">
        <v>7.0000000000000007E-2</v>
      </c>
      <c r="N1062" s="158">
        <v>0.13</v>
      </c>
      <c r="O1062" s="158">
        <v>1.92</v>
      </c>
      <c r="P1062" s="158">
        <v>1.08</v>
      </c>
      <c r="Q1062" s="158"/>
      <c r="R1062" s="151">
        <v>0.74510667841035116</v>
      </c>
      <c r="S1062" s="161">
        <v>4.9000000000000004</v>
      </c>
      <c r="T1062" s="158"/>
      <c r="U1062" s="158"/>
      <c r="V1062" s="158"/>
      <c r="W1062" s="158"/>
      <c r="X1062" s="158"/>
      <c r="Y1062" s="161">
        <v>9.8000000000000007</v>
      </c>
      <c r="Z1062" s="158"/>
      <c r="AA1062" s="151"/>
      <c r="AB1062" s="151"/>
      <c r="AC1062" s="158"/>
      <c r="AD1062" s="95">
        <v>140</v>
      </c>
      <c r="AE1062" s="95">
        <v>160</v>
      </c>
      <c r="AF1062" s="95">
        <v>700</v>
      </c>
      <c r="AG1062" s="66">
        <f t="shared" si="42"/>
        <v>208.78775510204082</v>
      </c>
      <c r="AH1062" s="143">
        <f t="shared" si="43"/>
        <v>1000</v>
      </c>
    </row>
    <row r="1063" spans="1:34" s="162" customFormat="1" x14ac:dyDescent="0.3">
      <c r="A1063" s="84">
        <v>903090</v>
      </c>
      <c r="B1063" s="161">
        <v>0.17</v>
      </c>
      <c r="C1063" s="161"/>
      <c r="D1063" s="151">
        <v>7.8916666666666675</v>
      </c>
      <c r="E1063" s="1530">
        <v>0.06</v>
      </c>
      <c r="F1063" s="159">
        <v>36.5</v>
      </c>
      <c r="G1063" s="158"/>
      <c r="H1063" s="159">
        <v>21.24</v>
      </c>
      <c r="I1063" s="159">
        <v>40</v>
      </c>
      <c r="J1063" s="160">
        <v>2.1000000000000001E-2</v>
      </c>
      <c r="K1063" s="161">
        <v>1.41</v>
      </c>
      <c r="L1063" s="158">
        <v>160</v>
      </c>
      <c r="M1063" s="158">
        <v>0.08</v>
      </c>
      <c r="N1063" s="158">
        <v>0.14000000000000001</v>
      </c>
      <c r="O1063" s="158">
        <v>0.43</v>
      </c>
      <c r="P1063" s="158">
        <v>0.87</v>
      </c>
      <c r="Q1063" s="158"/>
      <c r="R1063" s="151">
        <v>0.17677287268375011</v>
      </c>
      <c r="S1063" s="161">
        <v>1.3</v>
      </c>
      <c r="T1063" s="158"/>
      <c r="U1063" s="158"/>
      <c r="V1063" s="158"/>
      <c r="W1063" s="158"/>
      <c r="X1063" s="158"/>
      <c r="Y1063" s="161">
        <v>3.6</v>
      </c>
      <c r="Z1063" s="158"/>
      <c r="AA1063" s="151"/>
      <c r="AB1063" s="151"/>
      <c r="AC1063" s="158"/>
      <c r="AD1063" s="95">
        <v>60</v>
      </c>
      <c r="AE1063" s="95">
        <v>60</v>
      </c>
      <c r="AF1063" s="95">
        <v>880</v>
      </c>
      <c r="AG1063" s="66">
        <f t="shared" si="42"/>
        <v>138.65</v>
      </c>
      <c r="AH1063" s="143">
        <f t="shared" si="43"/>
        <v>1000</v>
      </c>
    </row>
    <row r="1064" spans="1:34" s="90" customFormat="1" x14ac:dyDescent="0.3">
      <c r="A1064" s="84">
        <v>903091</v>
      </c>
      <c r="B1064" s="168">
        <v>0.91666666666666663</v>
      </c>
      <c r="C1064" s="168"/>
      <c r="D1064" s="169">
        <v>6.7</v>
      </c>
      <c r="E1064" s="1531">
        <v>9.5000000000000001E-2</v>
      </c>
      <c r="F1064" s="168">
        <v>76.900000000000006</v>
      </c>
      <c r="G1064" s="170"/>
      <c r="H1064" s="171">
        <v>12.7</v>
      </c>
      <c r="I1064" s="170">
        <v>30</v>
      </c>
      <c r="J1064" s="170">
        <v>6.2E-2</v>
      </c>
      <c r="K1064" s="168">
        <v>2.25</v>
      </c>
      <c r="L1064" s="170">
        <v>100</v>
      </c>
      <c r="M1064" s="170">
        <v>7.0000000000000007E-2</v>
      </c>
      <c r="N1064" s="170">
        <v>0.19</v>
      </c>
      <c r="O1064" s="170">
        <v>0.81</v>
      </c>
      <c r="P1064" s="170">
        <v>1.17</v>
      </c>
      <c r="Q1064" s="170"/>
      <c r="R1064" s="169">
        <v>0.45791108126906971</v>
      </c>
      <c r="S1064" s="170">
        <v>3.1</v>
      </c>
      <c r="T1064" s="170"/>
      <c r="U1064" s="170"/>
      <c r="V1064" s="170"/>
      <c r="W1064" s="170"/>
      <c r="X1064" s="170"/>
      <c r="Y1064" s="170">
        <v>4.8</v>
      </c>
      <c r="Z1064" s="170"/>
      <c r="AA1064" s="169"/>
      <c r="AB1064" s="169"/>
      <c r="AC1064" s="170"/>
      <c r="AD1064" s="172">
        <v>80</v>
      </c>
      <c r="AE1064" s="172">
        <v>60</v>
      </c>
      <c r="AF1064" s="172">
        <f t="shared" ref="AF1064:AF1098" si="44">1000-(AD1064+AE1064)</f>
        <v>860</v>
      </c>
      <c r="AG1064" s="66">
        <f t="shared" si="42"/>
        <v>165.9375</v>
      </c>
      <c r="AH1064" s="143">
        <f t="shared" si="43"/>
        <v>1000</v>
      </c>
    </row>
    <row r="1065" spans="1:34" s="90" customFormat="1" x14ac:dyDescent="0.3">
      <c r="A1065" s="84">
        <v>903092</v>
      </c>
      <c r="B1065" s="168">
        <v>0.16666666666666666</v>
      </c>
      <c r="C1065" s="168"/>
      <c r="D1065" s="169">
        <v>6.71</v>
      </c>
      <c r="E1065" s="1531">
        <v>4.8000000000000001E-2</v>
      </c>
      <c r="F1065" s="168">
        <v>102.44999999999999</v>
      </c>
      <c r="G1065" s="170"/>
      <c r="H1065" s="171">
        <v>66.78</v>
      </c>
      <c r="I1065" s="170">
        <v>40</v>
      </c>
      <c r="J1065" s="170">
        <v>1.6E-2</v>
      </c>
      <c r="K1065" s="168">
        <v>1.1499999999999999</v>
      </c>
      <c r="L1065" s="170">
        <v>110</v>
      </c>
      <c r="M1065" s="170">
        <v>0.2</v>
      </c>
      <c r="N1065" s="170">
        <v>0.62</v>
      </c>
      <c r="O1065" s="170">
        <v>5.97</v>
      </c>
      <c r="P1065" s="170">
        <v>19.86</v>
      </c>
      <c r="Q1065" s="170"/>
      <c r="R1065" s="169">
        <v>0.80027962044907786</v>
      </c>
      <c r="S1065" s="170">
        <v>5.7</v>
      </c>
      <c r="T1065" s="170"/>
      <c r="U1065" s="170"/>
      <c r="V1065" s="170"/>
      <c r="W1065" s="170"/>
      <c r="X1065" s="170"/>
      <c r="Y1065" s="170">
        <v>0.6</v>
      </c>
      <c r="Z1065" s="170"/>
      <c r="AA1065" s="169"/>
      <c r="AB1065" s="169"/>
      <c r="AC1065" s="170"/>
      <c r="AD1065" s="172">
        <v>10</v>
      </c>
      <c r="AE1065" s="172">
        <v>80</v>
      </c>
      <c r="AF1065" s="172">
        <f t="shared" si="44"/>
        <v>910</v>
      </c>
      <c r="AG1065" s="66">
        <f t="shared" si="42"/>
        <v>678.5</v>
      </c>
      <c r="AH1065" s="143">
        <f t="shared" si="43"/>
        <v>1000</v>
      </c>
    </row>
    <row r="1066" spans="1:34" s="90" customFormat="1" x14ac:dyDescent="0.3">
      <c r="A1066" s="84">
        <v>903093</v>
      </c>
      <c r="B1066" s="168">
        <v>0.3666666666666667</v>
      </c>
      <c r="C1066" s="168"/>
      <c r="D1066" s="169">
        <v>7.45</v>
      </c>
      <c r="E1066" s="1531">
        <v>4.2999999999999997E-2</v>
      </c>
      <c r="F1066" s="168">
        <v>99.399999999999991</v>
      </c>
      <c r="G1066" s="170"/>
      <c r="H1066" s="171">
        <v>62.21</v>
      </c>
      <c r="I1066" s="170">
        <v>130</v>
      </c>
      <c r="J1066" s="170">
        <v>5.8999999999999997E-2</v>
      </c>
      <c r="K1066" s="168">
        <v>5.95</v>
      </c>
      <c r="L1066" s="170">
        <v>440</v>
      </c>
      <c r="M1066" s="170">
        <v>0.09</v>
      </c>
      <c r="N1066" s="170">
        <v>0.28000000000000003</v>
      </c>
      <c r="O1066" s="170">
        <v>3.83</v>
      </c>
      <c r="P1066" s="170">
        <v>8.98</v>
      </c>
      <c r="Q1066" s="170"/>
      <c r="R1066" s="169">
        <v>0.64151201259699508</v>
      </c>
      <c r="S1066" s="170">
        <v>4.8</v>
      </c>
      <c r="T1066" s="170"/>
      <c r="U1066" s="170"/>
      <c r="V1066" s="170"/>
      <c r="W1066" s="170"/>
      <c r="X1066" s="170"/>
      <c r="Y1066" s="170">
        <v>22</v>
      </c>
      <c r="Z1066" s="170"/>
      <c r="AA1066" s="169"/>
      <c r="AB1066" s="169"/>
      <c r="AC1066" s="170"/>
      <c r="AD1066" s="172">
        <v>460</v>
      </c>
      <c r="AE1066" s="172">
        <v>240</v>
      </c>
      <c r="AF1066" s="172">
        <f t="shared" si="44"/>
        <v>300</v>
      </c>
      <c r="AG1066" s="66">
        <f t="shared" si="42"/>
        <v>95.740909090909099</v>
      </c>
      <c r="AH1066" s="143">
        <f t="shared" si="43"/>
        <v>1000</v>
      </c>
    </row>
    <row r="1067" spans="1:34" s="90" customFormat="1" x14ac:dyDescent="0.3">
      <c r="A1067" s="84">
        <v>903094</v>
      </c>
      <c r="B1067" s="168">
        <v>8.3333333333333329E-2</v>
      </c>
      <c r="C1067" s="168"/>
      <c r="D1067" s="169">
        <v>7.17</v>
      </c>
      <c r="E1067" s="1531">
        <v>8.3000000000000004E-2</v>
      </c>
      <c r="F1067" s="168">
        <v>91</v>
      </c>
      <c r="G1067" s="170"/>
      <c r="H1067" s="171">
        <v>80.37</v>
      </c>
      <c r="I1067" s="170">
        <v>100</v>
      </c>
      <c r="J1067" s="170">
        <v>6.7000000000000004E-2</v>
      </c>
      <c r="K1067" s="168">
        <v>4.3899999999999997</v>
      </c>
      <c r="L1067" s="170">
        <v>650</v>
      </c>
      <c r="M1067" s="170">
        <v>0.28999999999999998</v>
      </c>
      <c r="N1067" s="170">
        <v>0.54</v>
      </c>
      <c r="O1067" s="170">
        <v>5.92</v>
      </c>
      <c r="P1067" s="170">
        <v>10.48</v>
      </c>
      <c r="Q1067" s="170"/>
      <c r="R1067" s="169">
        <v>0.94680386464619393</v>
      </c>
      <c r="S1067" s="170">
        <v>7.1</v>
      </c>
      <c r="T1067" s="170"/>
      <c r="U1067" s="170"/>
      <c r="V1067" s="170"/>
      <c r="W1067" s="170"/>
      <c r="X1067" s="170"/>
      <c r="Y1067" s="170">
        <v>19</v>
      </c>
      <c r="Z1067" s="170"/>
      <c r="AA1067" s="169"/>
      <c r="AB1067" s="169"/>
      <c r="AC1067" s="170"/>
      <c r="AD1067" s="172">
        <v>380</v>
      </c>
      <c r="AE1067" s="172">
        <v>280</v>
      </c>
      <c r="AF1067" s="172">
        <f t="shared" si="44"/>
        <v>340</v>
      </c>
      <c r="AG1067" s="66">
        <f t="shared" si="42"/>
        <v>81.792631578947365</v>
      </c>
      <c r="AH1067" s="143">
        <f t="shared" si="43"/>
        <v>1000</v>
      </c>
    </row>
    <row r="1068" spans="1:34" s="90" customFormat="1" x14ac:dyDescent="0.3">
      <c r="A1068" s="84">
        <v>903095</v>
      </c>
      <c r="B1068" s="168">
        <v>0.28333333333333333</v>
      </c>
      <c r="C1068" s="168"/>
      <c r="D1068" s="169">
        <v>7.88</v>
      </c>
      <c r="E1068" s="1531">
        <v>9.7000000000000003E-2</v>
      </c>
      <c r="F1068" s="168">
        <v>96.1</v>
      </c>
      <c r="G1068" s="170"/>
      <c r="H1068" s="171">
        <v>21.66</v>
      </c>
      <c r="I1068" s="170">
        <v>130</v>
      </c>
      <c r="J1068" s="170">
        <v>0.27300000000000002</v>
      </c>
      <c r="K1068" s="168">
        <v>5.95</v>
      </c>
      <c r="L1068" s="170">
        <v>1390</v>
      </c>
      <c r="M1068" s="170">
        <v>0.26</v>
      </c>
      <c r="N1068" s="170">
        <v>0.32</v>
      </c>
      <c r="O1068" s="170">
        <v>2.37</v>
      </c>
      <c r="P1068" s="170">
        <v>7.17</v>
      </c>
      <c r="Q1068" s="170"/>
      <c r="R1068" s="169">
        <v>0.7280786745402994</v>
      </c>
      <c r="S1068" s="170">
        <v>5</v>
      </c>
      <c r="T1068" s="170"/>
      <c r="U1068" s="170"/>
      <c r="V1068" s="170"/>
      <c r="W1068" s="170"/>
      <c r="X1068" s="170"/>
      <c r="Y1068" s="170">
        <v>23</v>
      </c>
      <c r="Z1068" s="170"/>
      <c r="AA1068" s="169"/>
      <c r="AB1068" s="169"/>
      <c r="AC1068" s="170"/>
      <c r="AD1068" s="172">
        <v>560</v>
      </c>
      <c r="AE1068" s="172">
        <v>320</v>
      </c>
      <c r="AF1068" s="172">
        <f t="shared" si="44"/>
        <v>120</v>
      </c>
      <c r="AG1068" s="66">
        <f t="shared" si="42"/>
        <v>91.578260869565227</v>
      </c>
      <c r="AH1068" s="143">
        <f t="shared" si="43"/>
        <v>1000</v>
      </c>
    </row>
    <row r="1069" spans="1:34" s="90" customFormat="1" x14ac:dyDescent="0.3">
      <c r="A1069" s="84">
        <v>903096</v>
      </c>
      <c r="B1069" s="168">
        <v>1.1166666666666667</v>
      </c>
      <c r="C1069" s="168"/>
      <c r="D1069" s="169">
        <v>7.78</v>
      </c>
      <c r="E1069" s="1531">
        <v>7.9000000000000001E-2</v>
      </c>
      <c r="F1069" s="168">
        <v>87.65</v>
      </c>
      <c r="G1069" s="170"/>
      <c r="H1069" s="171">
        <v>17.59</v>
      </c>
      <c r="I1069" s="170">
        <v>40</v>
      </c>
      <c r="J1069" s="170">
        <v>1.0999999999999999E-2</v>
      </c>
      <c r="K1069" s="168">
        <v>1.88</v>
      </c>
      <c r="L1069" s="170">
        <v>100</v>
      </c>
      <c r="M1069" s="170">
        <v>0.08</v>
      </c>
      <c r="N1069" s="170">
        <v>0.15</v>
      </c>
      <c r="O1069" s="170">
        <v>1.1399999999999999</v>
      </c>
      <c r="P1069" s="170">
        <v>0.99</v>
      </c>
      <c r="Q1069" s="170"/>
      <c r="R1069" s="169">
        <v>0.22534335327736588</v>
      </c>
      <c r="S1069" s="170">
        <v>1.6</v>
      </c>
      <c r="T1069" s="170"/>
      <c r="U1069" s="170"/>
      <c r="V1069" s="170"/>
      <c r="W1069" s="170"/>
      <c r="X1069" s="170"/>
      <c r="Y1069" s="170">
        <v>4.2</v>
      </c>
      <c r="Z1069" s="170"/>
      <c r="AA1069" s="169"/>
      <c r="AB1069" s="169"/>
      <c r="AC1069" s="170"/>
      <c r="AD1069" s="172">
        <v>60</v>
      </c>
      <c r="AE1069" s="172">
        <v>80</v>
      </c>
      <c r="AF1069" s="172">
        <f t="shared" si="44"/>
        <v>860</v>
      </c>
      <c r="AG1069" s="66">
        <f t="shared" si="42"/>
        <v>158.45714285714286</v>
      </c>
      <c r="AH1069" s="143">
        <f t="shared" si="43"/>
        <v>1000</v>
      </c>
    </row>
    <row r="1070" spans="1:34" s="90" customFormat="1" x14ac:dyDescent="0.3">
      <c r="A1070" s="84">
        <v>903097</v>
      </c>
      <c r="B1070" s="168">
        <v>1.4333333333333331</v>
      </c>
      <c r="C1070" s="168"/>
      <c r="D1070" s="169">
        <v>7.98</v>
      </c>
      <c r="E1070" s="1531">
        <v>7.6999999999999999E-2</v>
      </c>
      <c r="F1070" s="168">
        <v>101.7</v>
      </c>
      <c r="G1070" s="170"/>
      <c r="H1070" s="171">
        <v>21.86</v>
      </c>
      <c r="I1070" s="170">
        <v>30</v>
      </c>
      <c r="J1070" s="170">
        <v>4.2999999999999997E-2</v>
      </c>
      <c r="K1070" s="168">
        <v>2.72</v>
      </c>
      <c r="L1070" s="170">
        <v>110</v>
      </c>
      <c r="M1070" s="170">
        <v>7.0000000000000007E-2</v>
      </c>
      <c r="N1070" s="170">
        <v>0.22</v>
      </c>
      <c r="O1070" s="170">
        <v>0.5</v>
      </c>
      <c r="P1070" s="170">
        <v>1.1599999999999999</v>
      </c>
      <c r="Q1070" s="170"/>
      <c r="R1070" s="169">
        <v>0.59936999887871123</v>
      </c>
      <c r="S1070" s="170">
        <v>4.4000000000000004</v>
      </c>
      <c r="T1070" s="170"/>
      <c r="U1070" s="170"/>
      <c r="V1070" s="170"/>
      <c r="W1070" s="170"/>
      <c r="X1070" s="170"/>
      <c r="Y1070" s="170">
        <v>4.2</v>
      </c>
      <c r="Z1070" s="170"/>
      <c r="AA1070" s="169"/>
      <c r="AB1070" s="169"/>
      <c r="AC1070" s="170"/>
      <c r="AD1070" s="172">
        <v>60</v>
      </c>
      <c r="AE1070" s="172">
        <v>60</v>
      </c>
      <c r="AF1070" s="172">
        <f t="shared" si="44"/>
        <v>880</v>
      </c>
      <c r="AG1070" s="66">
        <f t="shared" si="42"/>
        <v>229.25714285714284</v>
      </c>
      <c r="AH1070" s="143">
        <f t="shared" si="43"/>
        <v>1000</v>
      </c>
    </row>
    <row r="1071" spans="1:34" s="90" customFormat="1" x14ac:dyDescent="0.3">
      <c r="A1071" s="84">
        <v>903098</v>
      </c>
      <c r="B1071" s="168">
        <v>0.16666666666666666</v>
      </c>
      <c r="C1071" s="168"/>
      <c r="D1071" s="169">
        <v>7</v>
      </c>
      <c r="E1071" s="1531">
        <v>2.8000000000000001E-2</v>
      </c>
      <c r="F1071" s="168">
        <v>108.2</v>
      </c>
      <c r="G1071" s="170"/>
      <c r="H1071" s="171">
        <v>63.73</v>
      </c>
      <c r="I1071" s="170">
        <v>70</v>
      </c>
      <c r="J1071" s="170">
        <v>1.7999999999999999E-2</v>
      </c>
      <c r="K1071" s="168">
        <v>4.7300000000000004</v>
      </c>
      <c r="L1071" s="170">
        <v>90</v>
      </c>
      <c r="M1071" s="170">
        <v>0.18</v>
      </c>
      <c r="N1071" s="170">
        <v>0.54</v>
      </c>
      <c r="O1071" s="170">
        <v>6.32</v>
      </c>
      <c r="P1071" s="170">
        <v>16.260000000000002</v>
      </c>
      <c r="Q1071" s="170"/>
      <c r="R1071" s="169">
        <v>0.86096191122579024</v>
      </c>
      <c r="S1071" s="170">
        <v>6.1</v>
      </c>
      <c r="T1071" s="170"/>
      <c r="U1071" s="170"/>
      <c r="V1071" s="170"/>
      <c r="W1071" s="170"/>
      <c r="X1071" s="170"/>
      <c r="Y1071" s="170">
        <v>6</v>
      </c>
      <c r="Z1071" s="170"/>
      <c r="AA1071" s="169"/>
      <c r="AB1071" s="169"/>
      <c r="AC1071" s="170"/>
      <c r="AD1071" s="172">
        <v>100</v>
      </c>
      <c r="AE1071" s="172">
        <v>80</v>
      </c>
      <c r="AF1071" s="172">
        <f t="shared" si="44"/>
        <v>820</v>
      </c>
      <c r="AG1071" s="66">
        <f t="shared" si="42"/>
        <v>279.07000000000005</v>
      </c>
      <c r="AH1071" s="143">
        <f t="shared" si="43"/>
        <v>1000</v>
      </c>
    </row>
    <row r="1072" spans="1:34" s="90" customFormat="1" x14ac:dyDescent="0.3">
      <c r="A1072" s="84">
        <v>903099</v>
      </c>
      <c r="B1072" s="168">
        <v>0.53333333333333333</v>
      </c>
      <c r="C1072" s="168"/>
      <c r="D1072" s="169">
        <v>7.03</v>
      </c>
      <c r="E1072" s="1531">
        <v>9.9000000000000005E-2</v>
      </c>
      <c r="F1072" s="168">
        <v>88.550000000000011</v>
      </c>
      <c r="G1072" s="170"/>
      <c r="H1072" s="171">
        <v>53.86</v>
      </c>
      <c r="I1072" s="170">
        <v>180</v>
      </c>
      <c r="J1072" s="170">
        <v>0.45200000000000001</v>
      </c>
      <c r="K1072" s="168">
        <v>4.71</v>
      </c>
      <c r="L1072" s="170">
        <v>1070</v>
      </c>
      <c r="M1072" s="170">
        <v>0.06</v>
      </c>
      <c r="N1072" s="170">
        <v>0.46</v>
      </c>
      <c r="O1072" s="170">
        <v>2.21</v>
      </c>
      <c r="P1072" s="170">
        <v>18.920000000000002</v>
      </c>
      <c r="Q1072" s="170"/>
      <c r="R1072" s="169">
        <v>0.73356233315937569</v>
      </c>
      <c r="S1072" s="170">
        <v>5.3</v>
      </c>
      <c r="T1072" s="170"/>
      <c r="U1072" s="170"/>
      <c r="V1072" s="170"/>
      <c r="W1072" s="170"/>
      <c r="X1072" s="170"/>
      <c r="Y1072" s="170">
        <v>18</v>
      </c>
      <c r="Z1072" s="170"/>
      <c r="AA1072" s="169"/>
      <c r="AB1072" s="169"/>
      <c r="AC1072" s="170"/>
      <c r="AD1072" s="172">
        <v>640</v>
      </c>
      <c r="AE1072" s="172">
        <v>260</v>
      </c>
      <c r="AF1072" s="172">
        <f t="shared" si="44"/>
        <v>100</v>
      </c>
      <c r="AG1072" s="66">
        <f t="shared" si="42"/>
        <v>92.63000000000001</v>
      </c>
      <c r="AH1072" s="143">
        <f t="shared" si="43"/>
        <v>1000</v>
      </c>
    </row>
    <row r="1073" spans="1:34" s="90" customFormat="1" x14ac:dyDescent="0.3">
      <c r="A1073" s="84">
        <v>903100</v>
      </c>
      <c r="B1073" s="168">
        <v>13.583333333333334</v>
      </c>
      <c r="C1073" s="168">
        <v>8.75</v>
      </c>
      <c r="D1073" s="169">
        <v>7.6</v>
      </c>
      <c r="E1073" s="1531">
        <v>0.30399999999999999</v>
      </c>
      <c r="F1073" s="168">
        <v>114.7</v>
      </c>
      <c r="G1073" s="170"/>
      <c r="H1073" s="171">
        <v>82.055999999999997</v>
      </c>
      <c r="I1073" s="170">
        <v>880</v>
      </c>
      <c r="J1073" s="170">
        <v>0.10299999999999999</v>
      </c>
      <c r="K1073" s="168">
        <v>7.92</v>
      </c>
      <c r="L1073" s="170">
        <v>1230</v>
      </c>
      <c r="M1073" s="170">
        <v>1.7</v>
      </c>
      <c r="N1073" s="170">
        <v>1.35</v>
      </c>
      <c r="O1073" s="170">
        <v>5.53</v>
      </c>
      <c r="P1073" s="170">
        <v>5.39</v>
      </c>
      <c r="Q1073" s="170"/>
      <c r="R1073" s="169">
        <v>1.586408</v>
      </c>
      <c r="S1073" s="170">
        <v>10.6</v>
      </c>
      <c r="T1073" s="170"/>
      <c r="U1073" s="170"/>
      <c r="V1073" s="170"/>
      <c r="W1073" s="170"/>
      <c r="X1073" s="170"/>
      <c r="Y1073" s="170">
        <v>35</v>
      </c>
      <c r="Z1073" s="170"/>
      <c r="AA1073" s="169"/>
      <c r="AB1073" s="169"/>
      <c r="AC1073" s="170"/>
      <c r="AD1073" s="172">
        <v>500</v>
      </c>
      <c r="AE1073" s="172">
        <v>360</v>
      </c>
      <c r="AF1073" s="172">
        <f t="shared" si="44"/>
        <v>140</v>
      </c>
      <c r="AG1073" s="66">
        <f t="shared" si="42"/>
        <v>80.105142857142852</v>
      </c>
      <c r="AH1073" s="143">
        <f t="shared" si="43"/>
        <v>1000</v>
      </c>
    </row>
    <row r="1074" spans="1:34" s="90" customFormat="1" x14ac:dyDescent="0.3">
      <c r="A1074" s="84">
        <v>903101</v>
      </c>
      <c r="B1074" s="168">
        <v>1.7666666666666668</v>
      </c>
      <c r="C1074" s="168"/>
      <c r="D1074" s="169">
        <v>7.79</v>
      </c>
      <c r="E1074" s="1531">
        <v>0.19500000000000001</v>
      </c>
      <c r="F1074" s="168">
        <v>91.649999999999991</v>
      </c>
      <c r="G1074" s="170"/>
      <c r="H1074" s="171">
        <v>88.03</v>
      </c>
      <c r="I1074" s="170">
        <v>570</v>
      </c>
      <c r="J1074" s="170">
        <v>8.2000000000000003E-2</v>
      </c>
      <c r="K1074" s="168">
        <v>5.84</v>
      </c>
      <c r="L1074" s="170">
        <v>550</v>
      </c>
      <c r="M1074" s="170">
        <v>2.87</v>
      </c>
      <c r="N1074" s="170">
        <v>1.1299999999999999</v>
      </c>
      <c r="O1074" s="170">
        <v>3.35</v>
      </c>
      <c r="P1074" s="170">
        <v>2.04</v>
      </c>
      <c r="Q1074" s="170"/>
      <c r="R1074" s="169">
        <v>1.6369130000000003</v>
      </c>
      <c r="S1074" s="170">
        <v>11.9</v>
      </c>
      <c r="T1074" s="170"/>
      <c r="U1074" s="170"/>
      <c r="V1074" s="170"/>
      <c r="W1074" s="170"/>
      <c r="X1074" s="170"/>
      <c r="Y1074" s="171">
        <v>22.285714285714288</v>
      </c>
      <c r="Z1074" s="170"/>
      <c r="AA1074" s="169"/>
      <c r="AB1074" s="169"/>
      <c r="AC1074" s="170"/>
      <c r="AD1074" s="172">
        <v>520</v>
      </c>
      <c r="AE1074" s="172">
        <v>340</v>
      </c>
      <c r="AF1074" s="172">
        <f t="shared" si="44"/>
        <v>140</v>
      </c>
      <c r="AG1074" s="66">
        <f t="shared" si="42"/>
        <v>92.766153846153841</v>
      </c>
      <c r="AH1074" s="143">
        <f t="shared" si="43"/>
        <v>1000</v>
      </c>
    </row>
    <row r="1075" spans="1:34" s="90" customFormat="1" x14ac:dyDescent="0.3">
      <c r="A1075" s="84">
        <v>903102</v>
      </c>
      <c r="B1075" s="168">
        <v>1.9999999999999998</v>
      </c>
      <c r="C1075" s="168"/>
      <c r="D1075" s="169">
        <v>7.43</v>
      </c>
      <c r="E1075" s="1531">
        <v>0.21099999999999999</v>
      </c>
      <c r="F1075" s="168">
        <v>83.3</v>
      </c>
      <c r="G1075" s="170"/>
      <c r="H1075" s="171">
        <v>134.71</v>
      </c>
      <c r="I1075" s="170">
        <v>420</v>
      </c>
      <c r="J1075" s="170">
        <v>5.2999999999999999E-2</v>
      </c>
      <c r="K1075" s="168">
        <v>6.45</v>
      </c>
      <c r="L1075" s="170">
        <v>550</v>
      </c>
      <c r="M1075" s="170">
        <v>4.1900000000000004</v>
      </c>
      <c r="N1075" s="170">
        <v>1.58</v>
      </c>
      <c r="O1075" s="170">
        <v>4.12</v>
      </c>
      <c r="P1075" s="170">
        <v>5.7</v>
      </c>
      <c r="Q1075" s="170"/>
      <c r="R1075" s="169">
        <v>1.651977</v>
      </c>
      <c r="S1075" s="170">
        <v>12.3</v>
      </c>
      <c r="T1075" s="170"/>
      <c r="U1075" s="170"/>
      <c r="V1075" s="170"/>
      <c r="W1075" s="170"/>
      <c r="X1075" s="170"/>
      <c r="Y1075" s="171">
        <v>25</v>
      </c>
      <c r="Z1075" s="170"/>
      <c r="AA1075" s="169"/>
      <c r="AB1075" s="169"/>
      <c r="AC1075" s="170"/>
      <c r="AD1075" s="172">
        <v>500</v>
      </c>
      <c r="AE1075" s="172">
        <v>340</v>
      </c>
      <c r="AF1075" s="172">
        <f t="shared" si="44"/>
        <v>160</v>
      </c>
      <c r="AG1075" s="66">
        <f t="shared" si="42"/>
        <v>91.332000000000008</v>
      </c>
      <c r="AH1075" s="143">
        <f t="shared" si="43"/>
        <v>1000</v>
      </c>
    </row>
    <row r="1076" spans="1:34" s="90" customFormat="1" x14ac:dyDescent="0.3">
      <c r="A1076" s="84">
        <v>903103</v>
      </c>
      <c r="B1076" s="168">
        <v>15.083333333333332</v>
      </c>
      <c r="C1076" s="168">
        <v>8.6249999999999982</v>
      </c>
      <c r="D1076" s="169">
        <v>7.62</v>
      </c>
      <c r="E1076" s="1531">
        <v>0.193</v>
      </c>
      <c r="F1076" s="168">
        <v>111</v>
      </c>
      <c r="G1076" s="170"/>
      <c r="H1076" s="171">
        <v>35.28</v>
      </c>
      <c r="I1076" s="170">
        <v>580</v>
      </c>
      <c r="J1076" s="170">
        <v>5.8000000000000003E-2</v>
      </c>
      <c r="K1076" s="168">
        <v>7.73</v>
      </c>
      <c r="L1076" s="170">
        <v>580</v>
      </c>
      <c r="M1076" s="170">
        <v>1.23</v>
      </c>
      <c r="N1076" s="170">
        <v>0.54</v>
      </c>
      <c r="O1076" s="170">
        <v>2.89</v>
      </c>
      <c r="P1076" s="170">
        <v>1.33</v>
      </c>
      <c r="Q1076" s="170"/>
      <c r="R1076" s="169">
        <v>0.64180139239524314</v>
      </c>
      <c r="S1076" s="170">
        <v>4.4000000000000004</v>
      </c>
      <c r="T1076" s="170"/>
      <c r="U1076" s="170"/>
      <c r="V1076" s="170"/>
      <c r="W1076" s="170"/>
      <c r="X1076" s="170"/>
      <c r="Y1076" s="171">
        <v>30.000000000000004</v>
      </c>
      <c r="Z1076" s="170"/>
      <c r="AA1076" s="169"/>
      <c r="AB1076" s="169"/>
      <c r="AC1076" s="170"/>
      <c r="AD1076" s="172">
        <v>600</v>
      </c>
      <c r="AE1076" s="172">
        <v>220</v>
      </c>
      <c r="AF1076" s="172">
        <f t="shared" si="44"/>
        <v>180</v>
      </c>
      <c r="AG1076" s="66">
        <f t="shared" si="42"/>
        <v>91.213999999999999</v>
      </c>
      <c r="AH1076" s="143">
        <f t="shared" si="43"/>
        <v>1000</v>
      </c>
    </row>
    <row r="1077" spans="1:34" s="90" customFormat="1" x14ac:dyDescent="0.3">
      <c r="A1077" s="84">
        <v>903104</v>
      </c>
      <c r="B1077" s="168">
        <v>3.55</v>
      </c>
      <c r="C1077" s="168"/>
      <c r="D1077" s="169">
        <v>7.57</v>
      </c>
      <c r="E1077" s="1531">
        <v>0.157</v>
      </c>
      <c r="F1077" s="168">
        <v>89.3</v>
      </c>
      <c r="G1077" s="170"/>
      <c r="H1077" s="171">
        <v>49.09</v>
      </c>
      <c r="I1077" s="170">
        <v>380</v>
      </c>
      <c r="J1077" s="170">
        <v>4.2000000000000003E-2</v>
      </c>
      <c r="K1077" s="168">
        <v>7.42</v>
      </c>
      <c r="L1077" s="170">
        <v>670</v>
      </c>
      <c r="M1077" s="170">
        <v>3.5</v>
      </c>
      <c r="N1077" s="170">
        <v>1.29</v>
      </c>
      <c r="O1077" s="170">
        <v>5.28</v>
      </c>
      <c r="P1077" s="170">
        <v>4.16</v>
      </c>
      <c r="Q1077" s="170"/>
      <c r="R1077" s="169">
        <v>1.561764346535244</v>
      </c>
      <c r="S1077" s="170">
        <v>10.199999999999999</v>
      </c>
      <c r="T1077" s="170"/>
      <c r="U1077" s="170"/>
      <c r="V1077" s="170"/>
      <c r="W1077" s="170"/>
      <c r="X1077" s="170"/>
      <c r="Y1077" s="171">
        <v>31</v>
      </c>
      <c r="Z1077" s="170"/>
      <c r="AA1077" s="169"/>
      <c r="AB1077" s="169"/>
      <c r="AC1077" s="170"/>
      <c r="AD1077" s="172">
        <v>620</v>
      </c>
      <c r="AE1077" s="172">
        <v>260</v>
      </c>
      <c r="AF1077" s="172">
        <f t="shared" si="44"/>
        <v>120</v>
      </c>
      <c r="AG1077" s="66">
        <f t="shared" si="42"/>
        <v>84.731612903225795</v>
      </c>
      <c r="AH1077" s="143">
        <f t="shared" si="43"/>
        <v>1000</v>
      </c>
    </row>
    <row r="1078" spans="1:34" s="90" customFormat="1" x14ac:dyDescent="0.3">
      <c r="A1078" s="84">
        <v>903105</v>
      </c>
      <c r="B1078" s="168">
        <v>0.53333333333333333</v>
      </c>
      <c r="C1078" s="168"/>
      <c r="D1078" s="169">
        <v>7.61</v>
      </c>
      <c r="E1078" s="1531">
        <v>0.13700000000000001</v>
      </c>
      <c r="F1078" s="168">
        <v>100.39999999999999</v>
      </c>
      <c r="G1078" s="170"/>
      <c r="H1078" s="171">
        <v>61.04</v>
      </c>
      <c r="I1078" s="170">
        <v>230</v>
      </c>
      <c r="J1078" s="170">
        <v>5.8000000000000003E-2</v>
      </c>
      <c r="K1078" s="168">
        <v>7.89</v>
      </c>
      <c r="L1078" s="170">
        <v>1020</v>
      </c>
      <c r="M1078" s="170">
        <v>1.18</v>
      </c>
      <c r="N1078" s="170">
        <v>0.97</v>
      </c>
      <c r="O1078" s="170">
        <v>3.1</v>
      </c>
      <c r="P1078" s="170">
        <v>2.73</v>
      </c>
      <c r="Q1078" s="170"/>
      <c r="R1078" s="169">
        <v>1.2344095138303102</v>
      </c>
      <c r="S1078" s="170">
        <v>8.4</v>
      </c>
      <c r="T1078" s="170"/>
      <c r="U1078" s="170"/>
      <c r="V1078" s="170"/>
      <c r="W1078" s="170"/>
      <c r="X1078" s="170"/>
      <c r="Y1078" s="171">
        <v>30.000000000000004</v>
      </c>
      <c r="Z1078" s="170"/>
      <c r="AA1078" s="169"/>
      <c r="AB1078" s="169"/>
      <c r="AC1078" s="170"/>
      <c r="AD1078" s="172">
        <v>600</v>
      </c>
      <c r="AE1078" s="172">
        <v>240</v>
      </c>
      <c r="AF1078" s="172">
        <f t="shared" si="44"/>
        <v>160</v>
      </c>
      <c r="AG1078" s="66">
        <f t="shared" si="42"/>
        <v>93.10199999999999</v>
      </c>
      <c r="AH1078" s="143">
        <f t="shared" si="43"/>
        <v>1000</v>
      </c>
    </row>
    <row r="1079" spans="1:34" s="90" customFormat="1" x14ac:dyDescent="0.3">
      <c r="A1079" s="84">
        <v>903106</v>
      </c>
      <c r="B1079" s="168">
        <v>0.3</v>
      </c>
      <c r="C1079" s="168"/>
      <c r="D1079" s="169">
        <v>8.4600000000000009</v>
      </c>
      <c r="E1079" s="1531">
        <v>0.184</v>
      </c>
      <c r="F1079" s="168">
        <v>112.10000000000001</v>
      </c>
      <c r="G1079" s="170"/>
      <c r="H1079" s="171">
        <v>51.38</v>
      </c>
      <c r="I1079" s="170">
        <v>240</v>
      </c>
      <c r="J1079" s="170">
        <v>0.11700000000000001</v>
      </c>
      <c r="K1079" s="168">
        <v>5.89</v>
      </c>
      <c r="L1079" s="170">
        <v>820</v>
      </c>
      <c r="M1079" s="170">
        <v>1.32</v>
      </c>
      <c r="N1079" s="170">
        <v>1.07</v>
      </c>
      <c r="O1079" s="170">
        <v>4.32</v>
      </c>
      <c r="P1079" s="170">
        <v>1.92</v>
      </c>
      <c r="Q1079" s="170"/>
      <c r="R1079" s="169">
        <v>1.092909251079117</v>
      </c>
      <c r="S1079" s="170">
        <v>7.8</v>
      </c>
      <c r="T1079" s="170"/>
      <c r="U1079" s="170"/>
      <c r="V1079" s="170"/>
      <c r="W1079" s="170"/>
      <c r="X1079" s="170"/>
      <c r="Y1079" s="171">
        <v>19.714285714285715</v>
      </c>
      <c r="Z1079" s="170"/>
      <c r="AA1079" s="169"/>
      <c r="AB1079" s="169"/>
      <c r="AC1079" s="170"/>
      <c r="AD1079" s="172">
        <v>460</v>
      </c>
      <c r="AE1079" s="172">
        <v>240</v>
      </c>
      <c r="AF1079" s="172">
        <f t="shared" si="44"/>
        <v>300</v>
      </c>
      <c r="AG1079" s="66">
        <f t="shared" si="42"/>
        <v>105.76391304347825</v>
      </c>
      <c r="AH1079" s="143">
        <f t="shared" si="43"/>
        <v>1000</v>
      </c>
    </row>
    <row r="1080" spans="1:34" s="90" customFormat="1" x14ac:dyDescent="0.3">
      <c r="A1080" s="84">
        <v>903107</v>
      </c>
      <c r="B1080" s="168">
        <v>11.666666666666666</v>
      </c>
      <c r="C1080" s="168">
        <v>10.25</v>
      </c>
      <c r="D1080" s="169">
        <v>8.0727272727272723</v>
      </c>
      <c r="E1080" s="1531">
        <v>0.17699999999999999</v>
      </c>
      <c r="F1080" s="168">
        <v>97.8</v>
      </c>
      <c r="G1080" s="170"/>
      <c r="H1080" s="171">
        <v>81.47</v>
      </c>
      <c r="I1080" s="170">
        <v>440</v>
      </c>
      <c r="J1080" s="170">
        <v>9.0999999999999998E-2</v>
      </c>
      <c r="K1080" s="168">
        <v>5.66</v>
      </c>
      <c r="L1080" s="170">
        <v>1030</v>
      </c>
      <c r="M1080" s="170">
        <v>1.1399999999999999</v>
      </c>
      <c r="N1080" s="170">
        <v>1.01</v>
      </c>
      <c r="O1080" s="170">
        <v>1.65</v>
      </c>
      <c r="P1080" s="170">
        <v>2.5</v>
      </c>
      <c r="Q1080" s="170"/>
      <c r="R1080" s="169">
        <v>1.0603516946402536</v>
      </c>
      <c r="S1080" s="170">
        <v>7.7</v>
      </c>
      <c r="T1080" s="170"/>
      <c r="U1080" s="170"/>
      <c r="V1080" s="170"/>
      <c r="W1080" s="170"/>
      <c r="X1080" s="170"/>
      <c r="Y1080" s="171">
        <v>18.857142857142858</v>
      </c>
      <c r="Z1080" s="170"/>
      <c r="AA1080" s="169"/>
      <c r="AB1080" s="169"/>
      <c r="AC1080" s="170"/>
      <c r="AD1080" s="172">
        <v>440</v>
      </c>
      <c r="AE1080" s="172">
        <v>480</v>
      </c>
      <c r="AF1080" s="172">
        <f t="shared" si="44"/>
        <v>80</v>
      </c>
      <c r="AG1080" s="66">
        <f t="shared" si="42"/>
        <v>106.25363636363636</v>
      </c>
      <c r="AH1080" s="143">
        <f t="shared" si="43"/>
        <v>1000</v>
      </c>
    </row>
    <row r="1081" spans="1:34" s="90" customFormat="1" x14ac:dyDescent="0.3">
      <c r="A1081" s="84">
        <v>903108</v>
      </c>
      <c r="B1081" s="168">
        <v>11.333333333333332</v>
      </c>
      <c r="C1081" s="168">
        <v>10</v>
      </c>
      <c r="D1081" s="169">
        <v>8.163636363636364</v>
      </c>
      <c r="E1081" s="1531">
        <v>0.156</v>
      </c>
      <c r="F1081" s="168">
        <v>102.35</v>
      </c>
      <c r="G1081" s="170"/>
      <c r="H1081" s="171">
        <v>67.31</v>
      </c>
      <c r="I1081" s="170">
        <v>320</v>
      </c>
      <c r="J1081" s="170">
        <v>6.2E-2</v>
      </c>
      <c r="K1081" s="168">
        <v>6.01</v>
      </c>
      <c r="L1081" s="170">
        <v>250</v>
      </c>
      <c r="M1081" s="170">
        <v>0.92</v>
      </c>
      <c r="N1081" s="170">
        <v>0.7</v>
      </c>
      <c r="O1081" s="170">
        <v>2.96</v>
      </c>
      <c r="P1081" s="170">
        <v>1.19</v>
      </c>
      <c r="Q1081" s="170"/>
      <c r="R1081" s="169">
        <v>0.86377109971248589</v>
      </c>
      <c r="S1081" s="170">
        <v>5.7</v>
      </c>
      <c r="T1081" s="170"/>
      <c r="U1081" s="170"/>
      <c r="V1081" s="170"/>
      <c r="W1081" s="170"/>
      <c r="X1081" s="170"/>
      <c r="Y1081" s="170">
        <v>3.6</v>
      </c>
      <c r="Z1081" s="170"/>
      <c r="AA1081" s="169"/>
      <c r="AB1081" s="169"/>
      <c r="AC1081" s="170"/>
      <c r="AD1081" s="172">
        <v>60</v>
      </c>
      <c r="AE1081" s="172">
        <v>80</v>
      </c>
      <c r="AF1081" s="172">
        <f t="shared" si="44"/>
        <v>860</v>
      </c>
      <c r="AG1081" s="66">
        <f t="shared" si="42"/>
        <v>590.98333333333335</v>
      </c>
      <c r="AH1081" s="143">
        <f t="shared" si="43"/>
        <v>1000</v>
      </c>
    </row>
    <row r="1082" spans="1:34" s="90" customFormat="1" x14ac:dyDescent="0.3">
      <c r="A1082" s="84">
        <v>903109</v>
      </c>
      <c r="B1082" s="168">
        <v>11.041666666666668</v>
      </c>
      <c r="C1082" s="168">
        <v>9.8749999999999982</v>
      </c>
      <c r="D1082" s="169">
        <v>8.127272727272727</v>
      </c>
      <c r="E1082" s="1531">
        <v>0.253</v>
      </c>
      <c r="F1082" s="168">
        <v>84.05</v>
      </c>
      <c r="G1082" s="170"/>
      <c r="H1082" s="171">
        <v>97.49</v>
      </c>
      <c r="I1082" s="170">
        <v>240</v>
      </c>
      <c r="J1082" s="170">
        <v>3.4000000000000002E-2</v>
      </c>
      <c r="K1082" s="168">
        <v>5.45</v>
      </c>
      <c r="L1082" s="170">
        <v>270</v>
      </c>
      <c r="M1082" s="170">
        <v>2.14</v>
      </c>
      <c r="N1082" s="170">
        <v>1.27</v>
      </c>
      <c r="O1082" s="170">
        <v>3.21</v>
      </c>
      <c r="P1082" s="170">
        <v>1.43</v>
      </c>
      <c r="Q1082" s="170"/>
      <c r="R1082" s="169">
        <v>1.1300979257500536</v>
      </c>
      <c r="S1082" s="170">
        <v>7.5</v>
      </c>
      <c r="T1082" s="170"/>
      <c r="U1082" s="170"/>
      <c r="V1082" s="170"/>
      <c r="W1082" s="170"/>
      <c r="X1082" s="170"/>
      <c r="Y1082" s="170">
        <v>4.2</v>
      </c>
      <c r="Z1082" s="170"/>
      <c r="AA1082" s="169"/>
      <c r="AB1082" s="169"/>
      <c r="AC1082" s="170"/>
      <c r="AD1082" s="172">
        <v>60</v>
      </c>
      <c r="AE1082" s="172">
        <v>60</v>
      </c>
      <c r="AF1082" s="172">
        <f t="shared" si="44"/>
        <v>880</v>
      </c>
      <c r="AG1082" s="66">
        <f t="shared" si="42"/>
        <v>459.35714285714283</v>
      </c>
      <c r="AH1082" s="143">
        <f t="shared" si="43"/>
        <v>1000</v>
      </c>
    </row>
    <row r="1083" spans="1:34" s="90" customFormat="1" x14ac:dyDescent="0.3">
      <c r="A1083" s="84">
        <v>903110</v>
      </c>
      <c r="B1083" s="168">
        <v>1.7333333333333336</v>
      </c>
      <c r="C1083" s="168"/>
      <c r="D1083" s="169">
        <v>8.0909090909090899</v>
      </c>
      <c r="E1083" s="1531">
        <v>6.5000000000000002E-2</v>
      </c>
      <c r="F1083" s="168">
        <v>56.1</v>
      </c>
      <c r="G1083" s="170"/>
      <c r="H1083" s="171">
        <v>20.149999999999999</v>
      </c>
      <c r="I1083" s="170">
        <v>60</v>
      </c>
      <c r="J1083" s="170">
        <v>1.9E-2</v>
      </c>
      <c r="K1083" s="168">
        <v>1.91</v>
      </c>
      <c r="L1083" s="170">
        <v>130</v>
      </c>
      <c r="M1083" s="170">
        <v>0.13</v>
      </c>
      <c r="N1083" s="170">
        <v>0.15</v>
      </c>
      <c r="O1083" s="170">
        <v>0.84</v>
      </c>
      <c r="P1083" s="169">
        <v>1</v>
      </c>
      <c r="Q1083" s="170"/>
      <c r="R1083" s="169">
        <v>0.62710504097351616</v>
      </c>
      <c r="S1083" s="170">
        <v>4.4000000000000004</v>
      </c>
      <c r="T1083" s="170"/>
      <c r="U1083" s="170"/>
      <c r="V1083" s="170"/>
      <c r="W1083" s="170"/>
      <c r="X1083" s="170"/>
      <c r="Y1083" s="170">
        <v>4.2</v>
      </c>
      <c r="Z1083" s="170"/>
      <c r="AA1083" s="169"/>
      <c r="AB1083" s="169"/>
      <c r="AC1083" s="170"/>
      <c r="AD1083" s="172">
        <v>60</v>
      </c>
      <c r="AE1083" s="172">
        <v>60</v>
      </c>
      <c r="AF1083" s="172">
        <f t="shared" si="44"/>
        <v>880</v>
      </c>
      <c r="AG1083" s="66">
        <f t="shared" si="42"/>
        <v>160.98571428571427</v>
      </c>
      <c r="AH1083" s="143">
        <f t="shared" si="43"/>
        <v>1000</v>
      </c>
    </row>
    <row r="1084" spans="1:34" s="90" customFormat="1" x14ac:dyDescent="0.3">
      <c r="A1084" s="84">
        <v>903111</v>
      </c>
      <c r="B1084" s="168">
        <v>2.6833333333333336</v>
      </c>
      <c r="C1084" s="168"/>
      <c r="D1084" s="169">
        <v>8.1181818181818173</v>
      </c>
      <c r="E1084" s="1531">
        <v>7.6999999999999999E-2</v>
      </c>
      <c r="F1084" s="168">
        <v>77.900000000000006</v>
      </c>
      <c r="G1084" s="170"/>
      <c r="H1084" s="171">
        <v>13.76</v>
      </c>
      <c r="I1084" s="170">
        <v>40</v>
      </c>
      <c r="J1084" s="170">
        <v>2.1999999999999999E-2</v>
      </c>
      <c r="K1084" s="168">
        <v>2.91</v>
      </c>
      <c r="L1084" s="170">
        <v>120</v>
      </c>
      <c r="M1084" s="170">
        <v>0.13</v>
      </c>
      <c r="N1084" s="170">
        <v>0.2</v>
      </c>
      <c r="O1084" s="170">
        <v>0.85</v>
      </c>
      <c r="P1084" s="170">
        <v>0.91</v>
      </c>
      <c r="Q1084" s="170"/>
      <c r="R1084" s="169">
        <v>0.44442840092169095</v>
      </c>
      <c r="S1084" s="170">
        <v>3</v>
      </c>
      <c r="T1084" s="170"/>
      <c r="U1084" s="170"/>
      <c r="V1084" s="170"/>
      <c r="W1084" s="170"/>
      <c r="X1084" s="170"/>
      <c r="Y1084" s="170">
        <v>4.2</v>
      </c>
      <c r="Z1084" s="170"/>
      <c r="AA1084" s="169"/>
      <c r="AB1084" s="169"/>
      <c r="AC1084" s="170"/>
      <c r="AD1084" s="172">
        <v>60</v>
      </c>
      <c r="AE1084" s="172">
        <v>80</v>
      </c>
      <c r="AF1084" s="172">
        <f t="shared" si="44"/>
        <v>860</v>
      </c>
      <c r="AG1084" s="66">
        <f t="shared" si="42"/>
        <v>245.27142857142857</v>
      </c>
      <c r="AH1084" s="143">
        <f t="shared" si="43"/>
        <v>1000</v>
      </c>
    </row>
    <row r="1085" spans="1:34" s="90" customFormat="1" x14ac:dyDescent="0.3">
      <c r="A1085" s="84">
        <v>903112</v>
      </c>
      <c r="B1085" s="168">
        <v>3.5555555555555554</v>
      </c>
      <c r="C1085" s="168"/>
      <c r="D1085" s="169">
        <v>8.1545454545454543</v>
      </c>
      <c r="E1085" s="1531">
        <v>0.14499999999999999</v>
      </c>
      <c r="F1085" s="168">
        <v>96.55</v>
      </c>
      <c r="G1085" s="170"/>
      <c r="H1085" s="171">
        <v>22.31</v>
      </c>
      <c r="I1085" s="170">
        <v>60</v>
      </c>
      <c r="J1085" s="170">
        <v>0.14699999999999999</v>
      </c>
      <c r="K1085" s="168">
        <v>6.47</v>
      </c>
      <c r="L1085" s="170">
        <v>370</v>
      </c>
      <c r="M1085" s="170">
        <v>0.23</v>
      </c>
      <c r="N1085" s="170">
        <v>0.56000000000000005</v>
      </c>
      <c r="O1085" s="170">
        <v>2.48</v>
      </c>
      <c r="P1085" s="170">
        <v>1.53</v>
      </c>
      <c r="Q1085" s="170"/>
      <c r="R1085" s="169">
        <v>0.96308038251878991</v>
      </c>
      <c r="S1085" s="170">
        <v>6.9</v>
      </c>
      <c r="T1085" s="170"/>
      <c r="U1085" s="170"/>
      <c r="V1085" s="170"/>
      <c r="W1085" s="170"/>
      <c r="X1085" s="170"/>
      <c r="Y1085" s="170">
        <v>16.8</v>
      </c>
      <c r="Z1085" s="170"/>
      <c r="AA1085" s="169"/>
      <c r="AB1085" s="169"/>
      <c r="AC1085" s="170"/>
      <c r="AD1085" s="172">
        <v>280</v>
      </c>
      <c r="AE1085" s="172">
        <v>320</v>
      </c>
      <c r="AF1085" s="172">
        <f t="shared" si="44"/>
        <v>400</v>
      </c>
      <c r="AG1085" s="66">
        <f t="shared" si="42"/>
        <v>136.33214285714286</v>
      </c>
      <c r="AH1085" s="143">
        <f t="shared" si="43"/>
        <v>1000</v>
      </c>
    </row>
    <row r="1086" spans="1:34" s="90" customFormat="1" x14ac:dyDescent="0.3">
      <c r="A1086" s="84">
        <v>903113</v>
      </c>
      <c r="B1086" s="168">
        <v>8.75</v>
      </c>
      <c r="C1086" s="168"/>
      <c r="D1086" s="169">
        <v>7.8818181818181809</v>
      </c>
      <c r="E1086" s="1531">
        <v>0.44700000000000001</v>
      </c>
      <c r="F1086" s="168">
        <v>383.75</v>
      </c>
      <c r="G1086" s="170"/>
      <c r="H1086" s="171">
        <v>29.94</v>
      </c>
      <c r="I1086" s="170">
        <v>20</v>
      </c>
      <c r="J1086" s="170">
        <v>0.46800000000000003</v>
      </c>
      <c r="K1086" s="168">
        <v>8.1199999999999992</v>
      </c>
      <c r="L1086" s="170">
        <v>450</v>
      </c>
      <c r="M1086" s="170">
        <v>0.06</v>
      </c>
      <c r="N1086" s="170">
        <v>0.47</v>
      </c>
      <c r="O1086" s="170">
        <v>1.37</v>
      </c>
      <c r="P1086" s="170">
        <v>2.85</v>
      </c>
      <c r="Q1086" s="170"/>
      <c r="R1086" s="169">
        <v>0.82418100353494594</v>
      </c>
      <c r="S1086" s="170">
        <v>6</v>
      </c>
      <c r="T1086" s="170"/>
      <c r="U1086" s="170"/>
      <c r="V1086" s="170"/>
      <c r="W1086" s="170"/>
      <c r="X1086" s="170"/>
      <c r="Y1086" s="170">
        <v>23.8</v>
      </c>
      <c r="Z1086" s="170"/>
      <c r="AA1086" s="169"/>
      <c r="AB1086" s="169"/>
      <c r="AC1086" s="170"/>
      <c r="AD1086" s="172">
        <v>340</v>
      </c>
      <c r="AE1086" s="172">
        <v>580</v>
      </c>
      <c r="AF1086" s="172">
        <f t="shared" si="44"/>
        <v>80</v>
      </c>
      <c r="AG1086" s="66">
        <f t="shared" si="42"/>
        <v>120.77647058823527</v>
      </c>
      <c r="AH1086" s="143">
        <f t="shared" si="43"/>
        <v>1000</v>
      </c>
    </row>
    <row r="1087" spans="1:34" s="90" customFormat="1" x14ac:dyDescent="0.3">
      <c r="A1087" s="84">
        <v>903114</v>
      </c>
      <c r="B1087" s="168">
        <v>7.4583333333333321</v>
      </c>
      <c r="C1087" s="168"/>
      <c r="D1087" s="169">
        <v>7.7454545454545443</v>
      </c>
      <c r="E1087" s="1531">
        <v>0.29499999999999998</v>
      </c>
      <c r="F1087" s="168">
        <v>156.35</v>
      </c>
      <c r="G1087" s="170"/>
      <c r="H1087" s="171">
        <v>107.66</v>
      </c>
      <c r="I1087" s="170">
        <v>290</v>
      </c>
      <c r="J1087" s="170">
        <v>9.1999999999999998E-2</v>
      </c>
      <c r="K1087" s="168">
        <v>6.6</v>
      </c>
      <c r="L1087" s="170">
        <v>580</v>
      </c>
      <c r="M1087" s="170">
        <v>2.42</v>
      </c>
      <c r="N1087" s="170">
        <v>0.69</v>
      </c>
      <c r="O1087" s="170">
        <v>3.28</v>
      </c>
      <c r="P1087" s="170">
        <v>2.1</v>
      </c>
      <c r="Q1087" s="170"/>
      <c r="R1087" s="169">
        <v>0.76290609145382293</v>
      </c>
      <c r="S1087" s="170">
        <v>5.2</v>
      </c>
      <c r="T1087" s="170"/>
      <c r="U1087" s="170"/>
      <c r="V1087" s="170"/>
      <c r="W1087" s="170"/>
      <c r="X1087" s="170"/>
      <c r="Y1087" s="170">
        <v>3.6</v>
      </c>
      <c r="Z1087" s="170"/>
      <c r="AA1087" s="169"/>
      <c r="AB1087" s="169"/>
      <c r="AC1087" s="170"/>
      <c r="AD1087" s="172">
        <v>60</v>
      </c>
      <c r="AE1087" s="172">
        <v>60</v>
      </c>
      <c r="AF1087" s="172">
        <f t="shared" si="44"/>
        <v>880</v>
      </c>
      <c r="AG1087" s="66">
        <f t="shared" si="42"/>
        <v>648.99999999999989</v>
      </c>
      <c r="AH1087" s="143">
        <f t="shared" si="43"/>
        <v>1000</v>
      </c>
    </row>
    <row r="1088" spans="1:34" s="90" customFormat="1" x14ac:dyDescent="0.3">
      <c r="A1088" s="84">
        <v>903115</v>
      </c>
      <c r="B1088" s="168">
        <v>18.333333333333336</v>
      </c>
      <c r="C1088" s="168">
        <v>10.875</v>
      </c>
      <c r="D1088" s="169">
        <v>8.3800000000000008</v>
      </c>
      <c r="E1088" s="1531">
        <v>0.224</v>
      </c>
      <c r="F1088" s="168">
        <v>66.8</v>
      </c>
      <c r="G1088" s="170"/>
      <c r="H1088" s="171">
        <v>47.65</v>
      </c>
      <c r="I1088" s="170">
        <v>450</v>
      </c>
      <c r="J1088" s="170">
        <v>7.0000000000000001E-3</v>
      </c>
      <c r="K1088" s="168">
        <v>9.89</v>
      </c>
      <c r="L1088" s="170">
        <v>970</v>
      </c>
      <c r="M1088" s="170">
        <v>0.56999999999999995</v>
      </c>
      <c r="N1088" s="170">
        <v>1.67</v>
      </c>
      <c r="O1088" s="170">
        <v>2.99</v>
      </c>
      <c r="P1088" s="170">
        <v>5.7</v>
      </c>
      <c r="Q1088" s="170"/>
      <c r="R1088" s="169">
        <v>1.6177680000000001</v>
      </c>
      <c r="S1088" s="170">
        <v>11.4</v>
      </c>
      <c r="T1088" s="170"/>
      <c r="U1088" s="170"/>
      <c r="V1088" s="170"/>
      <c r="W1088" s="170"/>
      <c r="X1088" s="170"/>
      <c r="Y1088" s="170">
        <v>42</v>
      </c>
      <c r="Z1088" s="170"/>
      <c r="AA1088" s="169"/>
      <c r="AB1088" s="169"/>
      <c r="AC1088" s="170"/>
      <c r="AD1088" s="172">
        <v>600</v>
      </c>
      <c r="AE1088" s="172">
        <v>320</v>
      </c>
      <c r="AF1088" s="172">
        <f t="shared" si="44"/>
        <v>80</v>
      </c>
      <c r="AG1088" s="66">
        <f t="shared" si="42"/>
        <v>83.358571428571437</v>
      </c>
      <c r="AH1088" s="143">
        <f t="shared" si="43"/>
        <v>1000</v>
      </c>
    </row>
    <row r="1089" spans="1:34" s="90" customFormat="1" x14ac:dyDescent="0.3">
      <c r="A1089" s="84">
        <v>903116</v>
      </c>
      <c r="B1089" s="168">
        <v>19.25</v>
      </c>
      <c r="C1089" s="168">
        <v>10.875</v>
      </c>
      <c r="D1089" s="169">
        <v>8.09</v>
      </c>
      <c r="E1089" s="1531">
        <v>0.36</v>
      </c>
      <c r="F1089" s="168">
        <v>84.85</v>
      </c>
      <c r="G1089" s="170"/>
      <c r="H1089" s="171">
        <v>31.28</v>
      </c>
      <c r="I1089" s="170">
        <v>550</v>
      </c>
      <c r="J1089" s="170">
        <v>1.2E-2</v>
      </c>
      <c r="K1089" s="168">
        <v>8.74</v>
      </c>
      <c r="L1089" s="170">
        <v>750</v>
      </c>
      <c r="M1089" s="170">
        <v>0.71</v>
      </c>
      <c r="N1089" s="170">
        <v>1.53</v>
      </c>
      <c r="O1089" s="170">
        <v>3.59</v>
      </c>
      <c r="P1089" s="170">
        <v>8.0500000000000007</v>
      </c>
      <c r="Q1089" s="170"/>
      <c r="R1089" s="169">
        <v>1.6778</v>
      </c>
      <c r="S1089" s="170">
        <v>13</v>
      </c>
      <c r="T1089" s="170"/>
      <c r="U1089" s="170"/>
      <c r="V1089" s="170"/>
      <c r="W1089" s="170"/>
      <c r="X1089" s="170"/>
      <c r="Y1089" s="170">
        <v>37.200000000000003</v>
      </c>
      <c r="Z1089" s="170"/>
      <c r="AA1089" s="169"/>
      <c r="AB1089" s="169"/>
      <c r="AC1089" s="170"/>
      <c r="AD1089" s="172">
        <v>620</v>
      </c>
      <c r="AE1089" s="172">
        <v>300</v>
      </c>
      <c r="AF1089" s="172">
        <f t="shared" si="44"/>
        <v>80</v>
      </c>
      <c r="AG1089" s="66">
        <f t="shared" si="42"/>
        <v>83.170967741935485</v>
      </c>
      <c r="AH1089" s="143">
        <f t="shared" si="43"/>
        <v>1000</v>
      </c>
    </row>
    <row r="1090" spans="1:34" s="90" customFormat="1" x14ac:dyDescent="0.3">
      <c r="A1090" s="84">
        <v>903117</v>
      </c>
      <c r="B1090" s="168">
        <v>26.166666666666664</v>
      </c>
      <c r="C1090" s="168">
        <v>12.75</v>
      </c>
      <c r="D1090" s="169">
        <v>8.32</v>
      </c>
      <c r="E1090" s="1531">
        <v>0.14699999999999999</v>
      </c>
      <c r="F1090" s="168">
        <v>83.85</v>
      </c>
      <c r="G1090" s="170"/>
      <c r="H1090" s="171">
        <v>22.86</v>
      </c>
      <c r="I1090" s="170">
        <v>660</v>
      </c>
      <c r="J1090" s="170">
        <v>2.1999999999999999E-2</v>
      </c>
      <c r="K1090" s="168">
        <v>7.04</v>
      </c>
      <c r="L1090" s="170">
        <v>960</v>
      </c>
      <c r="M1090" s="170">
        <v>0.9</v>
      </c>
      <c r="N1090" s="170">
        <v>1.34</v>
      </c>
      <c r="O1090" s="170">
        <v>4.49</v>
      </c>
      <c r="P1090" s="170">
        <v>6.9</v>
      </c>
      <c r="Q1090" s="170"/>
      <c r="R1090" s="169">
        <v>1.6444730000000001</v>
      </c>
      <c r="S1090" s="170">
        <v>12.1</v>
      </c>
      <c r="T1090" s="170"/>
      <c r="U1090" s="170"/>
      <c r="V1090" s="170"/>
      <c r="W1090" s="170"/>
      <c r="X1090" s="170"/>
      <c r="Y1090" s="170">
        <v>27</v>
      </c>
      <c r="Z1090" s="170"/>
      <c r="AA1090" s="169"/>
      <c r="AB1090" s="169"/>
      <c r="AC1090" s="170"/>
      <c r="AD1090" s="172">
        <v>600</v>
      </c>
      <c r="AE1090" s="172">
        <v>280</v>
      </c>
      <c r="AF1090" s="172">
        <f t="shared" si="44"/>
        <v>120</v>
      </c>
      <c r="AG1090" s="66">
        <f t="shared" ref="AG1090:AG1153" si="45">+K1090*3.54*100/Y1090</f>
        <v>92.302222222222227</v>
      </c>
      <c r="AH1090" s="143">
        <f t="shared" ref="AH1090:AH1153" si="46">+SUM(AD1090:AF1090)</f>
        <v>1000</v>
      </c>
    </row>
    <row r="1091" spans="1:34" s="90" customFormat="1" x14ac:dyDescent="0.3">
      <c r="A1091" s="84">
        <v>903118</v>
      </c>
      <c r="B1091" s="168">
        <v>31</v>
      </c>
      <c r="C1091" s="168">
        <v>6.0000000000000009</v>
      </c>
      <c r="D1091" s="169">
        <v>8.84</v>
      </c>
      <c r="E1091" s="1531">
        <v>0.10299999999999999</v>
      </c>
      <c r="F1091" s="168">
        <v>79.900000000000006</v>
      </c>
      <c r="G1091" s="170"/>
      <c r="H1091" s="171">
        <v>20.2</v>
      </c>
      <c r="I1091" s="170">
        <v>160</v>
      </c>
      <c r="J1091" s="170">
        <v>8.0000000000000002E-3</v>
      </c>
      <c r="K1091" s="168">
        <v>7.68</v>
      </c>
      <c r="L1091" s="170">
        <v>340</v>
      </c>
      <c r="M1091" s="170">
        <v>7.0000000000000007E-2</v>
      </c>
      <c r="N1091" s="170">
        <v>0.21</v>
      </c>
      <c r="O1091" s="170">
        <v>0.75</v>
      </c>
      <c r="P1091" s="170">
        <v>0.84</v>
      </c>
      <c r="Q1091" s="170"/>
      <c r="R1091" s="169">
        <v>0.37484942133909405</v>
      </c>
      <c r="S1091" s="170">
        <v>2.7</v>
      </c>
      <c r="T1091" s="170"/>
      <c r="U1091" s="170"/>
      <c r="V1091" s="170"/>
      <c r="W1091" s="170"/>
      <c r="X1091" s="170"/>
      <c r="Y1091" s="170">
        <v>21</v>
      </c>
      <c r="Z1091" s="170"/>
      <c r="AA1091" s="169"/>
      <c r="AB1091" s="169"/>
      <c r="AC1091" s="170"/>
      <c r="AD1091" s="172">
        <v>300</v>
      </c>
      <c r="AE1091" s="172">
        <v>220</v>
      </c>
      <c r="AF1091" s="172">
        <f t="shared" si="44"/>
        <v>480</v>
      </c>
      <c r="AG1091" s="66">
        <f t="shared" si="45"/>
        <v>129.46285714285716</v>
      </c>
      <c r="AH1091" s="143">
        <f t="shared" si="46"/>
        <v>1000</v>
      </c>
    </row>
    <row r="1092" spans="1:34" s="90" customFormat="1" x14ac:dyDescent="0.3">
      <c r="A1092" s="84">
        <v>903119</v>
      </c>
      <c r="B1092" s="168">
        <v>24.666666666666668</v>
      </c>
      <c r="C1092" s="168">
        <v>10</v>
      </c>
      <c r="D1092" s="169">
        <v>8.89</v>
      </c>
      <c r="E1092" s="1531">
        <v>0.1</v>
      </c>
      <c r="F1092" s="168">
        <v>71.25</v>
      </c>
      <c r="G1092" s="170"/>
      <c r="H1092" s="171">
        <v>16.55</v>
      </c>
      <c r="I1092" s="170">
        <v>240</v>
      </c>
      <c r="J1092" s="170">
        <v>1.4999999999999999E-2</v>
      </c>
      <c r="K1092" s="168">
        <v>8.23</v>
      </c>
      <c r="L1092" s="170">
        <v>390</v>
      </c>
      <c r="M1092" s="170">
        <v>7.0000000000000007E-2</v>
      </c>
      <c r="N1092" s="170">
        <v>0.38</v>
      </c>
      <c r="O1092" s="170">
        <v>0.8</v>
      </c>
      <c r="P1092" s="170">
        <v>1.1599999999999999</v>
      </c>
      <c r="Q1092" s="170"/>
      <c r="R1092" s="169">
        <v>0.38311787563997451</v>
      </c>
      <c r="S1092" s="170">
        <v>2.8</v>
      </c>
      <c r="T1092" s="170"/>
      <c r="U1092" s="170"/>
      <c r="V1092" s="170"/>
      <c r="W1092" s="170"/>
      <c r="X1092" s="170"/>
      <c r="Y1092" s="170">
        <v>15.6</v>
      </c>
      <c r="Z1092" s="170"/>
      <c r="AA1092" s="169"/>
      <c r="AB1092" s="169"/>
      <c r="AC1092" s="170"/>
      <c r="AD1092" s="172">
        <v>260</v>
      </c>
      <c r="AE1092" s="172">
        <v>440</v>
      </c>
      <c r="AF1092" s="172">
        <f t="shared" si="44"/>
        <v>300</v>
      </c>
      <c r="AG1092" s="66">
        <f t="shared" si="45"/>
        <v>186.75769230769234</v>
      </c>
      <c r="AH1092" s="143">
        <f t="shared" si="46"/>
        <v>1000</v>
      </c>
    </row>
    <row r="1093" spans="1:34" s="90" customFormat="1" x14ac:dyDescent="0.3">
      <c r="A1093" s="84">
        <v>903120</v>
      </c>
      <c r="B1093" s="168">
        <v>5.208333333333333</v>
      </c>
      <c r="C1093" s="168"/>
      <c r="D1093" s="169">
        <v>7.43</v>
      </c>
      <c r="E1093" s="1531">
        <v>0.17499999999999999</v>
      </c>
      <c r="F1093" s="168">
        <v>81.449999999999989</v>
      </c>
      <c r="G1093" s="170"/>
      <c r="H1093" s="171">
        <v>16.739999999999998</v>
      </c>
      <c r="I1093" s="170">
        <v>490</v>
      </c>
      <c r="J1093" s="170">
        <v>0.09</v>
      </c>
      <c r="K1093" s="168">
        <v>7.23</v>
      </c>
      <c r="L1093" s="170">
        <v>560</v>
      </c>
      <c r="M1093" s="170">
        <v>0.1</v>
      </c>
      <c r="N1093" s="170">
        <v>0.45</v>
      </c>
      <c r="O1093" s="170">
        <v>0.61</v>
      </c>
      <c r="P1093" s="170">
        <v>2.06</v>
      </c>
      <c r="Q1093" s="170"/>
      <c r="R1093" s="169">
        <v>0.88109194846095262</v>
      </c>
      <c r="S1093" s="170">
        <v>6.3</v>
      </c>
      <c r="T1093" s="170"/>
      <c r="U1093" s="170"/>
      <c r="V1093" s="170"/>
      <c r="W1093" s="170"/>
      <c r="X1093" s="170"/>
      <c r="Y1093" s="170">
        <v>25.2</v>
      </c>
      <c r="Z1093" s="170"/>
      <c r="AA1093" s="169"/>
      <c r="AB1093" s="169"/>
      <c r="AC1093" s="170"/>
      <c r="AD1093" s="172">
        <v>360</v>
      </c>
      <c r="AE1093" s="172">
        <v>480</v>
      </c>
      <c r="AF1093" s="172">
        <f t="shared" si="44"/>
        <v>160</v>
      </c>
      <c r="AG1093" s="66">
        <f t="shared" si="45"/>
        <v>101.56428571428572</v>
      </c>
      <c r="AH1093" s="143">
        <f t="shared" si="46"/>
        <v>1000</v>
      </c>
    </row>
    <row r="1094" spans="1:34" s="90" customFormat="1" x14ac:dyDescent="0.3">
      <c r="A1094" s="84">
        <v>903121</v>
      </c>
      <c r="B1094" s="168">
        <v>10.583333333333332</v>
      </c>
      <c r="C1094" s="168">
        <v>5</v>
      </c>
      <c r="D1094" s="169">
        <v>8.07</v>
      </c>
      <c r="E1094" s="1531">
        <v>0.57699999999999996</v>
      </c>
      <c r="F1094" s="168">
        <v>163.4</v>
      </c>
      <c r="G1094" s="170"/>
      <c r="H1094" s="171">
        <v>20.399999999999999</v>
      </c>
      <c r="I1094" s="170">
        <v>470</v>
      </c>
      <c r="J1094" s="170">
        <v>0.14199999999999999</v>
      </c>
      <c r="K1094" s="168">
        <v>7.83</v>
      </c>
      <c r="L1094" s="170">
        <v>400</v>
      </c>
      <c r="M1094" s="170">
        <v>0.12</v>
      </c>
      <c r="N1094" s="170">
        <v>0.34</v>
      </c>
      <c r="O1094" s="170">
        <v>0.43</v>
      </c>
      <c r="P1094" s="170">
        <v>1.1100000000000001</v>
      </c>
      <c r="Q1094" s="170"/>
      <c r="R1094" s="169">
        <v>0.83694868548130752</v>
      </c>
      <c r="S1094" s="170">
        <v>5.6</v>
      </c>
      <c r="T1094" s="170"/>
      <c r="U1094" s="170"/>
      <c r="V1094" s="170"/>
      <c r="W1094" s="170"/>
      <c r="X1094" s="170"/>
      <c r="Y1094" s="170">
        <v>22.8</v>
      </c>
      <c r="Z1094" s="170"/>
      <c r="AA1094" s="169"/>
      <c r="AB1094" s="169"/>
      <c r="AC1094" s="170"/>
      <c r="AD1094" s="172">
        <v>380</v>
      </c>
      <c r="AE1094" s="172">
        <v>480</v>
      </c>
      <c r="AF1094" s="172">
        <f t="shared" si="44"/>
        <v>140</v>
      </c>
      <c r="AG1094" s="66">
        <f t="shared" si="45"/>
        <v>121.57105263157895</v>
      </c>
      <c r="AH1094" s="143">
        <f t="shared" si="46"/>
        <v>1000</v>
      </c>
    </row>
    <row r="1095" spans="1:34" s="90" customFormat="1" x14ac:dyDescent="0.3">
      <c r="A1095" s="84">
        <v>903122</v>
      </c>
      <c r="B1095" s="168">
        <v>21</v>
      </c>
      <c r="C1095" s="168">
        <v>12.75</v>
      </c>
      <c r="D1095" s="169">
        <v>8.18</v>
      </c>
      <c r="E1095" s="1531">
        <v>0.50900000000000001</v>
      </c>
      <c r="F1095" s="168">
        <v>486.85</v>
      </c>
      <c r="G1095" s="170"/>
      <c r="H1095" s="171">
        <v>64.3</v>
      </c>
      <c r="I1095" s="170">
        <v>660</v>
      </c>
      <c r="J1095" s="170">
        <v>0.25900000000000001</v>
      </c>
      <c r="K1095" s="168">
        <v>8.6</v>
      </c>
      <c r="L1095" s="170">
        <v>2930</v>
      </c>
      <c r="M1095" s="170">
        <v>2.4900000000000002</v>
      </c>
      <c r="N1095" s="170">
        <v>2.34</v>
      </c>
      <c r="O1095" s="170">
        <v>10.82</v>
      </c>
      <c r="P1095" s="170">
        <v>5.92</v>
      </c>
      <c r="Q1095" s="170"/>
      <c r="R1095" s="169">
        <v>2.0980170000000005</v>
      </c>
      <c r="S1095" s="170">
        <v>30.3</v>
      </c>
      <c r="T1095" s="170"/>
      <c r="U1095" s="170"/>
      <c r="V1095" s="170"/>
      <c r="W1095" s="170"/>
      <c r="X1095" s="170"/>
      <c r="Y1095" s="170">
        <v>32.799999999999997</v>
      </c>
      <c r="Z1095" s="170"/>
      <c r="AA1095" s="169"/>
      <c r="AB1095" s="169"/>
      <c r="AC1095" s="170"/>
      <c r="AD1095" s="172">
        <v>600</v>
      </c>
      <c r="AE1095" s="172">
        <v>300</v>
      </c>
      <c r="AF1095" s="172">
        <f t="shared" si="44"/>
        <v>100</v>
      </c>
      <c r="AG1095" s="66">
        <f t="shared" si="45"/>
        <v>92.817073170731717</v>
      </c>
      <c r="AH1095" s="143">
        <f t="shared" si="46"/>
        <v>1000</v>
      </c>
    </row>
    <row r="1096" spans="1:34" s="90" customFormat="1" x14ac:dyDescent="0.3">
      <c r="A1096" s="84">
        <v>903123</v>
      </c>
      <c r="B1096" s="168">
        <v>29.083333333333332</v>
      </c>
      <c r="C1096" s="168">
        <v>15.25</v>
      </c>
      <c r="D1096" s="169">
        <v>8.59</v>
      </c>
      <c r="E1096" s="1531">
        <v>0.33300000000000002</v>
      </c>
      <c r="F1096" s="168">
        <v>284.5</v>
      </c>
      <c r="G1096" s="170"/>
      <c r="H1096" s="171">
        <v>48.3</v>
      </c>
      <c r="I1096" s="170">
        <v>400</v>
      </c>
      <c r="J1096" s="170">
        <v>0.18099999999999999</v>
      </c>
      <c r="K1096" s="168">
        <v>7.24</v>
      </c>
      <c r="L1096" s="170">
        <v>1970</v>
      </c>
      <c r="M1096" s="170">
        <v>1.31</v>
      </c>
      <c r="N1096" s="170">
        <v>1.7</v>
      </c>
      <c r="O1096" s="170">
        <v>7.02</v>
      </c>
      <c r="P1096" s="170">
        <v>3.52</v>
      </c>
      <c r="Q1096" s="170"/>
      <c r="R1096" s="169">
        <v>1.5824250000000002</v>
      </c>
      <c r="S1096" s="170">
        <v>10.5</v>
      </c>
      <c r="T1096" s="170"/>
      <c r="U1096" s="170"/>
      <c r="V1096" s="170"/>
      <c r="W1096" s="170"/>
      <c r="X1096" s="170"/>
      <c r="Y1096" s="170">
        <v>31</v>
      </c>
      <c r="Z1096" s="170"/>
      <c r="AA1096" s="169"/>
      <c r="AB1096" s="169"/>
      <c r="AC1096" s="170"/>
      <c r="AD1096" s="172">
        <v>640</v>
      </c>
      <c r="AE1096" s="172">
        <v>260</v>
      </c>
      <c r="AF1096" s="172">
        <f t="shared" si="44"/>
        <v>100</v>
      </c>
      <c r="AG1096" s="66">
        <f t="shared" si="45"/>
        <v>82.676129032258061</v>
      </c>
      <c r="AH1096" s="143">
        <f t="shared" si="46"/>
        <v>1000</v>
      </c>
    </row>
    <row r="1097" spans="1:34" s="90" customFormat="1" x14ac:dyDescent="0.3">
      <c r="A1097" s="84">
        <v>903124</v>
      </c>
      <c r="B1097" s="168">
        <v>18.000000000000004</v>
      </c>
      <c r="C1097" s="168">
        <v>12.125</v>
      </c>
      <c r="D1097" s="169">
        <v>8.44</v>
      </c>
      <c r="E1097" s="1531">
        <v>0.19500000000000001</v>
      </c>
      <c r="F1097" s="168">
        <v>79.3</v>
      </c>
      <c r="G1097" s="170"/>
      <c r="H1097" s="171">
        <v>190.89</v>
      </c>
      <c r="I1097" s="170">
        <v>1150</v>
      </c>
      <c r="J1097" s="170">
        <v>5.8000000000000003E-2</v>
      </c>
      <c r="K1097" s="168">
        <v>7.86</v>
      </c>
      <c r="L1097" s="170">
        <v>2180</v>
      </c>
      <c r="M1097" s="170">
        <v>4.88</v>
      </c>
      <c r="N1097" s="170">
        <v>4.57</v>
      </c>
      <c r="O1097" s="170">
        <v>7.96</v>
      </c>
      <c r="P1097" s="170">
        <v>5.14</v>
      </c>
      <c r="Q1097" s="170"/>
      <c r="R1097" s="169">
        <v>2.021528</v>
      </c>
      <c r="S1097" s="170">
        <v>25.4</v>
      </c>
      <c r="T1097" s="170"/>
      <c r="U1097" s="170"/>
      <c r="V1097" s="170"/>
      <c r="W1097" s="170"/>
      <c r="X1097" s="170"/>
      <c r="Y1097" s="170">
        <v>32</v>
      </c>
      <c r="Z1097" s="170"/>
      <c r="AA1097" s="169"/>
      <c r="AB1097" s="169"/>
      <c r="AC1097" s="170"/>
      <c r="AD1097" s="172">
        <v>640</v>
      </c>
      <c r="AE1097" s="172">
        <v>260</v>
      </c>
      <c r="AF1097" s="172">
        <f t="shared" si="44"/>
        <v>100</v>
      </c>
      <c r="AG1097" s="66">
        <f t="shared" si="45"/>
        <v>86.951250000000002</v>
      </c>
      <c r="AH1097" s="143">
        <f t="shared" si="46"/>
        <v>1000</v>
      </c>
    </row>
    <row r="1098" spans="1:34" s="90" customFormat="1" x14ac:dyDescent="0.3">
      <c r="A1098" s="84">
        <v>903125</v>
      </c>
      <c r="B1098" s="168">
        <v>26.916666666666661</v>
      </c>
      <c r="C1098" s="168">
        <v>12.75</v>
      </c>
      <c r="D1098" s="169">
        <v>8.52</v>
      </c>
      <c r="E1098" s="1531">
        <v>0.20100000000000001</v>
      </c>
      <c r="F1098" s="168">
        <v>67.849999999999994</v>
      </c>
      <c r="G1098" s="170"/>
      <c r="H1098" s="171">
        <v>96.28</v>
      </c>
      <c r="I1098" s="170">
        <v>730</v>
      </c>
      <c r="J1098" s="170">
        <v>0.06</v>
      </c>
      <c r="K1098" s="168">
        <v>8.6199999999999992</v>
      </c>
      <c r="L1098" s="170">
        <v>2100</v>
      </c>
      <c r="M1098" s="170">
        <v>1.25</v>
      </c>
      <c r="N1098" s="170">
        <v>1.92</v>
      </c>
      <c r="O1098" s="170">
        <v>8.5399999999999991</v>
      </c>
      <c r="P1098" s="170">
        <v>5.94</v>
      </c>
      <c r="Q1098" s="170"/>
      <c r="R1098" s="169">
        <v>1.629297</v>
      </c>
      <c r="S1098" s="170">
        <v>11.7</v>
      </c>
      <c r="T1098" s="170"/>
      <c r="U1098" s="170"/>
      <c r="V1098" s="170"/>
      <c r="W1098" s="170"/>
      <c r="X1098" s="170"/>
      <c r="Y1098" s="170">
        <v>31</v>
      </c>
      <c r="Z1098" s="170"/>
      <c r="AA1098" s="169"/>
      <c r="AB1098" s="169"/>
      <c r="AC1098" s="170"/>
      <c r="AD1098" s="172">
        <v>640</v>
      </c>
      <c r="AE1098" s="172">
        <v>260</v>
      </c>
      <c r="AF1098" s="172">
        <f t="shared" si="44"/>
        <v>100</v>
      </c>
      <c r="AG1098" s="66">
        <f t="shared" si="45"/>
        <v>98.434838709677408</v>
      </c>
      <c r="AH1098" s="143">
        <f t="shared" si="46"/>
        <v>1000</v>
      </c>
    </row>
    <row r="1099" spans="1:34" s="90" customFormat="1" x14ac:dyDescent="0.3">
      <c r="A1099" s="84">
        <v>903069</v>
      </c>
      <c r="B1099" s="173">
        <v>64</v>
      </c>
      <c r="C1099" s="173">
        <v>20.25</v>
      </c>
      <c r="D1099" s="174">
        <v>8.24</v>
      </c>
      <c r="E1099" s="1532">
        <v>0.183</v>
      </c>
      <c r="F1099" s="173">
        <v>158.15</v>
      </c>
      <c r="G1099" s="170"/>
      <c r="H1099" s="175">
        <v>23.75</v>
      </c>
      <c r="I1099" s="176">
        <v>100</v>
      </c>
      <c r="J1099" s="176">
        <v>5.1999999999999998E-2</v>
      </c>
      <c r="K1099" s="173">
        <v>11.18</v>
      </c>
      <c r="L1099" s="176">
        <v>260</v>
      </c>
      <c r="M1099" s="176">
        <v>0.08</v>
      </c>
      <c r="N1099" s="176">
        <v>0.25</v>
      </c>
      <c r="O1099" s="176">
        <v>0.98</v>
      </c>
      <c r="P1099" s="176">
        <v>1.4</v>
      </c>
      <c r="Q1099" s="176"/>
      <c r="R1099" s="174">
        <v>0.60366854585076657</v>
      </c>
      <c r="S1099" s="176">
        <v>4.0999999999999996</v>
      </c>
      <c r="T1099" s="176"/>
      <c r="U1099" s="176"/>
      <c r="V1099" s="176"/>
      <c r="W1099" s="176"/>
      <c r="X1099" s="176"/>
      <c r="Y1099" s="170">
        <v>33.6</v>
      </c>
      <c r="Z1099" s="176"/>
      <c r="AA1099" s="174"/>
      <c r="AB1099" s="174"/>
      <c r="AC1099" s="176"/>
      <c r="AD1099" s="172">
        <v>480</v>
      </c>
      <c r="AE1099" s="172">
        <v>360</v>
      </c>
      <c r="AF1099" s="172">
        <f>1000-(AD1099+AE1099)</f>
        <v>160</v>
      </c>
      <c r="AG1099" s="66">
        <f t="shared" si="45"/>
        <v>117.7892857142857</v>
      </c>
      <c r="AH1099" s="143">
        <f t="shared" si="46"/>
        <v>1000</v>
      </c>
    </row>
    <row r="1100" spans="1:34" s="90" customFormat="1" x14ac:dyDescent="0.3">
      <c r="A1100" s="84">
        <v>903070</v>
      </c>
      <c r="B1100" s="173">
        <v>36.333333333333336</v>
      </c>
      <c r="C1100" s="173">
        <v>17.25</v>
      </c>
      <c r="D1100" s="174">
        <v>8.7200000000000006</v>
      </c>
      <c r="E1100" s="1532">
        <v>0.20799999999999999</v>
      </c>
      <c r="F1100" s="173">
        <v>116.6</v>
      </c>
      <c r="G1100" s="170"/>
      <c r="H1100" s="175">
        <v>12.92</v>
      </c>
      <c r="I1100" s="176">
        <v>210</v>
      </c>
      <c r="J1100" s="176">
        <v>0.41699999999999998</v>
      </c>
      <c r="K1100" s="173">
        <v>11.8</v>
      </c>
      <c r="L1100" s="176">
        <v>420</v>
      </c>
      <c r="M1100" s="176">
        <v>0.11</v>
      </c>
      <c r="N1100" s="176">
        <v>0.44</v>
      </c>
      <c r="O1100" s="176">
        <v>2.21</v>
      </c>
      <c r="P1100" s="176">
        <v>3.35</v>
      </c>
      <c r="Q1100" s="176"/>
      <c r="R1100" s="174">
        <v>1.6022000000000001</v>
      </c>
      <c r="S1100" s="176">
        <v>11</v>
      </c>
      <c r="T1100" s="176"/>
      <c r="U1100" s="176"/>
      <c r="V1100" s="176"/>
      <c r="W1100" s="176"/>
      <c r="X1100" s="176"/>
      <c r="Y1100" s="170">
        <v>34.799999999999997</v>
      </c>
      <c r="Z1100" s="176"/>
      <c r="AA1100" s="174"/>
      <c r="AB1100" s="174"/>
      <c r="AC1100" s="176"/>
      <c r="AD1100" s="172">
        <v>580</v>
      </c>
      <c r="AE1100" s="172">
        <v>340</v>
      </c>
      <c r="AF1100" s="172">
        <f t="shared" ref="AF1100:AF1105" si="47">1000-(AD1100+AE1100)</f>
        <v>80</v>
      </c>
      <c r="AG1100" s="66">
        <f t="shared" si="45"/>
        <v>120.03448275862073</v>
      </c>
      <c r="AH1100" s="143">
        <f t="shared" si="46"/>
        <v>1000</v>
      </c>
    </row>
    <row r="1101" spans="1:34" s="90" customFormat="1" x14ac:dyDescent="0.3">
      <c r="A1101" s="84">
        <v>903071</v>
      </c>
      <c r="B1101" s="173">
        <v>32</v>
      </c>
      <c r="C1101" s="173">
        <v>16.5</v>
      </c>
      <c r="D1101" s="174">
        <v>8.84</v>
      </c>
      <c r="E1101" s="1532">
        <v>0.19500000000000001</v>
      </c>
      <c r="F1101" s="173">
        <v>122.6</v>
      </c>
      <c r="G1101" s="170"/>
      <c r="H1101" s="175">
        <v>19.059999999999999</v>
      </c>
      <c r="I1101" s="176">
        <v>230</v>
      </c>
      <c r="J1101" s="176">
        <v>0.55300000000000005</v>
      </c>
      <c r="K1101" s="173">
        <v>10.63</v>
      </c>
      <c r="L1101" s="176">
        <v>950</v>
      </c>
      <c r="M1101" s="176">
        <v>0.12</v>
      </c>
      <c r="N1101" s="176">
        <v>0.5</v>
      </c>
      <c r="O1101" s="176">
        <v>1.67</v>
      </c>
      <c r="P1101" s="176">
        <v>3.45</v>
      </c>
      <c r="Q1101" s="176"/>
      <c r="R1101" s="174">
        <v>1.2946359033823318</v>
      </c>
      <c r="S1101" s="176">
        <v>9.6</v>
      </c>
      <c r="T1101" s="176"/>
      <c r="U1101" s="176"/>
      <c r="V1101" s="176"/>
      <c r="W1101" s="176"/>
      <c r="X1101" s="176"/>
      <c r="Y1101" s="170">
        <v>39.6</v>
      </c>
      <c r="Z1101" s="176"/>
      <c r="AA1101" s="174"/>
      <c r="AB1101" s="174"/>
      <c r="AC1101" s="176"/>
      <c r="AD1101" s="172">
        <v>660</v>
      </c>
      <c r="AE1101" s="172">
        <v>240</v>
      </c>
      <c r="AF1101" s="172">
        <f t="shared" si="47"/>
        <v>100</v>
      </c>
      <c r="AG1101" s="66">
        <f t="shared" si="45"/>
        <v>95.025757575757581</v>
      </c>
      <c r="AH1101" s="143">
        <f t="shared" si="46"/>
        <v>1000</v>
      </c>
    </row>
    <row r="1102" spans="1:34" s="90" customFormat="1" x14ac:dyDescent="0.3">
      <c r="A1102" s="84">
        <v>903072</v>
      </c>
      <c r="B1102" s="173">
        <v>17.666666666666668</v>
      </c>
      <c r="C1102" s="173">
        <v>7.7499999999999991</v>
      </c>
      <c r="D1102" s="174">
        <v>8.89</v>
      </c>
      <c r="E1102" s="1532">
        <v>0.308</v>
      </c>
      <c r="F1102" s="173">
        <v>129.4</v>
      </c>
      <c r="G1102" s="170"/>
      <c r="H1102" s="175">
        <v>17.04</v>
      </c>
      <c r="I1102" s="176">
        <v>310</v>
      </c>
      <c r="J1102" s="176">
        <v>0.78700000000000003</v>
      </c>
      <c r="K1102" s="173">
        <v>10.11</v>
      </c>
      <c r="L1102" s="176">
        <v>2100</v>
      </c>
      <c r="M1102" s="176">
        <v>0.48</v>
      </c>
      <c r="N1102" s="176">
        <v>1.66</v>
      </c>
      <c r="O1102" s="176">
        <v>6.41</v>
      </c>
      <c r="P1102" s="176">
        <v>4.93</v>
      </c>
      <c r="Q1102" s="176"/>
      <c r="R1102" s="174">
        <v>1.809113</v>
      </c>
      <c r="S1102" s="176">
        <v>16.899999999999999</v>
      </c>
      <c r="T1102" s="176"/>
      <c r="U1102" s="176"/>
      <c r="V1102" s="176"/>
      <c r="W1102" s="176"/>
      <c r="X1102" s="176"/>
      <c r="Y1102" s="170">
        <v>35.700000000000003</v>
      </c>
      <c r="Z1102" s="176"/>
      <c r="AA1102" s="174"/>
      <c r="AB1102" s="174"/>
      <c r="AC1102" s="176"/>
      <c r="AD1102" s="172">
        <v>640</v>
      </c>
      <c r="AE1102" s="172">
        <v>260</v>
      </c>
      <c r="AF1102" s="172">
        <f t="shared" si="47"/>
        <v>100</v>
      </c>
      <c r="AG1102" s="66">
        <f t="shared" si="45"/>
        <v>100.25042016806722</v>
      </c>
      <c r="AH1102" s="143">
        <f t="shared" si="46"/>
        <v>1000</v>
      </c>
    </row>
    <row r="1103" spans="1:34" s="90" customFormat="1" x14ac:dyDescent="0.3">
      <c r="A1103" s="84">
        <v>903073</v>
      </c>
      <c r="B1103" s="173">
        <v>47.666666666666671</v>
      </c>
      <c r="C1103" s="173">
        <v>16.625</v>
      </c>
      <c r="D1103" s="174">
        <v>8.91</v>
      </c>
      <c r="E1103" s="1532">
        <v>0.28699999999999998</v>
      </c>
      <c r="F1103" s="173">
        <v>165.5</v>
      </c>
      <c r="G1103" s="170"/>
      <c r="H1103" s="175">
        <v>42.71</v>
      </c>
      <c r="I1103" s="176">
        <v>300</v>
      </c>
      <c r="J1103" s="176">
        <v>0.61399999999999999</v>
      </c>
      <c r="K1103" s="173">
        <v>8.56</v>
      </c>
      <c r="L1103" s="176">
        <v>1450</v>
      </c>
      <c r="M1103" s="176">
        <v>0.35</v>
      </c>
      <c r="N1103" s="176">
        <v>0.7</v>
      </c>
      <c r="O1103" s="176">
        <v>3.65</v>
      </c>
      <c r="P1103" s="176">
        <v>4.38</v>
      </c>
      <c r="Q1103" s="176"/>
      <c r="R1103" s="174">
        <v>1.5744170000000002</v>
      </c>
      <c r="S1103" s="176">
        <v>10.3</v>
      </c>
      <c r="T1103" s="176"/>
      <c r="U1103" s="176"/>
      <c r="V1103" s="176"/>
      <c r="W1103" s="176"/>
      <c r="X1103" s="176"/>
      <c r="Y1103" s="170">
        <v>36.700000000000003</v>
      </c>
      <c r="Z1103" s="176"/>
      <c r="AA1103" s="174"/>
      <c r="AB1103" s="174"/>
      <c r="AC1103" s="176"/>
      <c r="AD1103" s="172">
        <v>640</v>
      </c>
      <c r="AE1103" s="172">
        <v>240</v>
      </c>
      <c r="AF1103" s="172">
        <f t="shared" si="47"/>
        <v>120</v>
      </c>
      <c r="AG1103" s="66">
        <f t="shared" si="45"/>
        <v>82.567847411444149</v>
      </c>
      <c r="AH1103" s="143">
        <f t="shared" si="46"/>
        <v>1000</v>
      </c>
    </row>
    <row r="1104" spans="1:34" s="90" customFormat="1" x14ac:dyDescent="0.3">
      <c r="A1104" s="84">
        <v>903074</v>
      </c>
      <c r="B1104" s="173">
        <v>34.833333333333329</v>
      </c>
      <c r="C1104" s="173">
        <v>17</v>
      </c>
      <c r="D1104" s="174">
        <v>8.6300000000000008</v>
      </c>
      <c r="E1104" s="1532">
        <v>0.183</v>
      </c>
      <c r="F1104" s="173">
        <v>125.7</v>
      </c>
      <c r="G1104" s="170"/>
      <c r="H1104" s="175">
        <v>20.399999999999999</v>
      </c>
      <c r="I1104" s="176">
        <v>230</v>
      </c>
      <c r="J1104" s="176">
        <v>0.21199999999999999</v>
      </c>
      <c r="K1104" s="173">
        <v>11.58</v>
      </c>
      <c r="L1104" s="176">
        <v>710</v>
      </c>
      <c r="M1104" s="176">
        <v>0.21</v>
      </c>
      <c r="N1104" s="176">
        <v>0.57999999999999996</v>
      </c>
      <c r="O1104" s="176">
        <v>2.02</v>
      </c>
      <c r="P1104" s="176">
        <v>3.69</v>
      </c>
      <c r="Q1104" s="176"/>
      <c r="R1104" s="174">
        <v>1.809113</v>
      </c>
      <c r="S1104" s="176">
        <v>16.899999999999999</v>
      </c>
      <c r="T1104" s="176"/>
      <c r="U1104" s="176"/>
      <c r="V1104" s="176"/>
      <c r="W1104" s="176"/>
      <c r="X1104" s="176"/>
      <c r="Y1104" s="170">
        <v>35.200000000000003</v>
      </c>
      <c r="Z1104" s="176"/>
      <c r="AA1104" s="174"/>
      <c r="AB1104" s="174"/>
      <c r="AC1104" s="176"/>
      <c r="AD1104" s="172">
        <v>600</v>
      </c>
      <c r="AE1104" s="172">
        <v>280</v>
      </c>
      <c r="AF1104" s="172">
        <f t="shared" si="47"/>
        <v>120</v>
      </c>
      <c r="AG1104" s="66">
        <f t="shared" si="45"/>
        <v>116.45795454545453</v>
      </c>
      <c r="AH1104" s="143">
        <f t="shared" si="46"/>
        <v>1000</v>
      </c>
    </row>
    <row r="1105" spans="1:143" s="90" customFormat="1" x14ac:dyDescent="0.3">
      <c r="A1105" s="84">
        <v>903075</v>
      </c>
      <c r="B1105" s="173">
        <v>25.833333333333336</v>
      </c>
      <c r="C1105" s="173">
        <v>13.624999999999998</v>
      </c>
      <c r="D1105" s="174">
        <v>8.75</v>
      </c>
      <c r="E1105" s="1532">
        <v>0.16900000000000001</v>
      </c>
      <c r="F1105" s="173">
        <v>109.05</v>
      </c>
      <c r="G1105" s="170"/>
      <c r="H1105" s="175">
        <v>18.809999999999999</v>
      </c>
      <c r="I1105" s="176">
        <v>300</v>
      </c>
      <c r="J1105" s="176">
        <v>0.23300000000000001</v>
      </c>
      <c r="K1105" s="173">
        <v>11.1</v>
      </c>
      <c r="L1105" s="176">
        <v>1260</v>
      </c>
      <c r="M1105" s="176">
        <v>0.14000000000000001</v>
      </c>
      <c r="N1105" s="176">
        <v>0.77</v>
      </c>
      <c r="O1105" s="176">
        <v>0.89</v>
      </c>
      <c r="P1105" s="176">
        <v>5.54</v>
      </c>
      <c r="Q1105" s="176"/>
      <c r="R1105" s="174">
        <v>1.3104791520849195</v>
      </c>
      <c r="S1105" s="176">
        <v>8.9</v>
      </c>
      <c r="T1105" s="176"/>
      <c r="U1105" s="176"/>
      <c r="V1105" s="176"/>
      <c r="W1105" s="176"/>
      <c r="X1105" s="176"/>
      <c r="Y1105" s="170">
        <v>34.5</v>
      </c>
      <c r="Z1105" s="176"/>
      <c r="AA1105" s="174"/>
      <c r="AB1105" s="174"/>
      <c r="AC1105" s="176"/>
      <c r="AD1105" s="172">
        <v>680</v>
      </c>
      <c r="AE1105" s="172">
        <v>220</v>
      </c>
      <c r="AF1105" s="172">
        <f t="shared" si="47"/>
        <v>100</v>
      </c>
      <c r="AG1105" s="66">
        <f t="shared" si="45"/>
        <v>113.89565217391304</v>
      </c>
      <c r="AH1105" s="143">
        <f t="shared" si="46"/>
        <v>1000</v>
      </c>
    </row>
    <row r="1106" spans="1:143" s="90" customFormat="1" x14ac:dyDescent="0.3">
      <c r="A1106" s="84">
        <v>903147</v>
      </c>
      <c r="B1106" s="177">
        <v>14.9</v>
      </c>
      <c r="C1106" s="177">
        <v>10.4</v>
      </c>
      <c r="D1106" s="178">
        <v>8.32</v>
      </c>
      <c r="E1106" s="1533">
        <v>0.22</v>
      </c>
      <c r="F1106" s="179">
        <v>34.4</v>
      </c>
      <c r="G1106" s="179"/>
      <c r="H1106" s="180">
        <v>207.94</v>
      </c>
      <c r="I1106" s="179">
        <v>320</v>
      </c>
      <c r="J1106" s="179">
        <v>0.09</v>
      </c>
      <c r="K1106" s="177">
        <v>9.8800000000000008</v>
      </c>
      <c r="L1106" s="179">
        <v>1490</v>
      </c>
      <c r="M1106" s="179">
        <v>2.92</v>
      </c>
      <c r="N1106" s="179">
        <v>1.36</v>
      </c>
      <c r="O1106" s="179">
        <v>3.18</v>
      </c>
      <c r="P1106" s="179">
        <v>20.53</v>
      </c>
      <c r="Q1106" s="179"/>
      <c r="R1106" s="178">
        <v>2.0290319999999999</v>
      </c>
      <c r="S1106" s="179">
        <v>25.8</v>
      </c>
      <c r="T1106" s="83"/>
      <c r="U1106" s="83"/>
      <c r="V1106" s="83"/>
      <c r="W1106" s="181"/>
      <c r="X1106" s="181"/>
      <c r="Y1106" s="182">
        <v>18</v>
      </c>
      <c r="Z1106" s="181"/>
      <c r="AA1106" s="181"/>
      <c r="AB1106" s="181"/>
      <c r="AC1106" s="181"/>
      <c r="AD1106" s="88">
        <v>360</v>
      </c>
      <c r="AE1106" s="88">
        <v>440</v>
      </c>
      <c r="AF1106" s="88">
        <v>200</v>
      </c>
      <c r="AG1106" s="66">
        <f t="shared" si="45"/>
        <v>194.30666666666667</v>
      </c>
      <c r="AH1106" s="143">
        <f t="shared" si="46"/>
        <v>1000</v>
      </c>
      <c r="AI1106" s="148"/>
      <c r="AJ1106" s="148"/>
      <c r="AK1106" s="148"/>
      <c r="AL1106" s="148"/>
      <c r="AM1106" s="148"/>
      <c r="AN1106" s="148"/>
      <c r="AO1106" s="148"/>
      <c r="AP1106" s="148"/>
      <c r="AQ1106" s="148"/>
      <c r="AR1106" s="148"/>
      <c r="AS1106" s="148"/>
      <c r="AT1106" s="148"/>
      <c r="AU1106" s="148"/>
      <c r="AV1106" s="148"/>
      <c r="AW1106" s="148"/>
      <c r="AX1106" s="148"/>
      <c r="AY1106" s="148"/>
      <c r="AZ1106" s="148"/>
      <c r="BA1106" s="148"/>
      <c r="BB1106" s="148"/>
      <c r="BC1106" s="148"/>
      <c r="BD1106" s="148"/>
      <c r="BE1106" s="148"/>
      <c r="BF1106" s="148"/>
      <c r="BG1106" s="148"/>
      <c r="BH1106" s="148"/>
      <c r="BI1106" s="148"/>
      <c r="BJ1106" s="148"/>
      <c r="BK1106" s="148"/>
      <c r="BL1106" s="148"/>
      <c r="BM1106" s="148"/>
      <c r="BN1106" s="148"/>
      <c r="BO1106" s="148"/>
      <c r="BP1106" s="148"/>
      <c r="BQ1106" s="148"/>
      <c r="BR1106" s="148"/>
      <c r="BS1106" s="148"/>
      <c r="BT1106" s="148"/>
      <c r="BU1106" s="148"/>
      <c r="BV1106" s="148"/>
      <c r="BW1106" s="148"/>
      <c r="BX1106" s="148"/>
      <c r="BY1106" s="148"/>
      <c r="BZ1106" s="148"/>
      <c r="CA1106" s="148"/>
      <c r="CB1106" s="148"/>
      <c r="CC1106" s="148"/>
      <c r="CD1106" s="148"/>
      <c r="CE1106" s="148"/>
      <c r="CF1106" s="148"/>
      <c r="CG1106" s="148"/>
      <c r="CH1106" s="148"/>
      <c r="CI1106" s="148"/>
      <c r="CJ1106" s="148"/>
      <c r="CK1106" s="148"/>
      <c r="CL1106" s="148"/>
      <c r="CM1106" s="148"/>
      <c r="CN1106" s="148"/>
      <c r="CO1106" s="148"/>
      <c r="CP1106" s="148"/>
      <c r="CQ1106" s="148"/>
      <c r="CR1106" s="148"/>
      <c r="CS1106" s="148"/>
      <c r="CT1106" s="148"/>
      <c r="CU1106" s="148"/>
      <c r="CV1106" s="148"/>
      <c r="CW1106" s="148"/>
      <c r="CX1106" s="148"/>
      <c r="CY1106" s="148"/>
      <c r="CZ1106" s="148"/>
      <c r="DA1106" s="148"/>
      <c r="DB1106" s="148"/>
      <c r="DC1106" s="148"/>
      <c r="DD1106" s="148"/>
      <c r="DE1106" s="148"/>
      <c r="DF1106" s="148"/>
      <c r="DG1106" s="148"/>
      <c r="DH1106" s="148"/>
      <c r="DI1106" s="148"/>
      <c r="DJ1106" s="148"/>
      <c r="DK1106" s="148"/>
      <c r="DL1106" s="148"/>
      <c r="DM1106" s="148"/>
      <c r="DN1106" s="148"/>
      <c r="DO1106" s="148"/>
      <c r="DP1106" s="148"/>
      <c r="DQ1106" s="148"/>
      <c r="DR1106" s="148"/>
      <c r="DS1106" s="148"/>
      <c r="DT1106" s="148"/>
      <c r="DU1106" s="148"/>
      <c r="DV1106" s="148"/>
      <c r="DW1106" s="148"/>
      <c r="DX1106" s="148"/>
      <c r="DY1106" s="148"/>
      <c r="DZ1106" s="148"/>
      <c r="EA1106" s="148"/>
      <c r="EB1106" s="148"/>
      <c r="EC1106" s="148"/>
      <c r="ED1106" s="148"/>
      <c r="EE1106" s="148"/>
      <c r="EF1106" s="148"/>
      <c r="EG1106" s="148"/>
      <c r="EH1106" s="148"/>
      <c r="EI1106" s="148"/>
      <c r="EJ1106" s="148"/>
      <c r="EK1106" s="148"/>
      <c r="EL1106" s="148"/>
      <c r="EM1106" s="148"/>
    </row>
    <row r="1107" spans="1:143" s="90" customFormat="1" x14ac:dyDescent="0.3">
      <c r="A1107" s="84">
        <v>903148</v>
      </c>
      <c r="B1107" s="177">
        <v>6</v>
      </c>
      <c r="C1107" s="177"/>
      <c r="D1107" s="178">
        <v>8.17</v>
      </c>
      <c r="E1107" s="1533">
        <v>0.22</v>
      </c>
      <c r="F1107" s="179">
        <v>34.200000000000003</v>
      </c>
      <c r="G1107" s="179"/>
      <c r="H1107" s="180">
        <v>76.11</v>
      </c>
      <c r="I1107" s="179">
        <v>270</v>
      </c>
      <c r="J1107" s="179">
        <v>0.09</v>
      </c>
      <c r="K1107" s="177">
        <v>7.31</v>
      </c>
      <c r="L1107" s="179">
        <v>1310</v>
      </c>
      <c r="M1107" s="179">
        <v>3.92</v>
      </c>
      <c r="N1107" s="179">
        <v>4.99</v>
      </c>
      <c r="O1107" s="179">
        <v>5.44</v>
      </c>
      <c r="P1107" s="179">
        <v>8.31</v>
      </c>
      <c r="Q1107" s="179"/>
      <c r="R1107" s="178">
        <v>1.9062170000000003</v>
      </c>
      <c r="S1107" s="179">
        <v>20.3</v>
      </c>
      <c r="T1107" s="83"/>
      <c r="U1107" s="83"/>
      <c r="V1107" s="83"/>
      <c r="W1107" s="181"/>
      <c r="X1107" s="181"/>
      <c r="Y1107" s="182">
        <v>23</v>
      </c>
      <c r="Z1107" s="181"/>
      <c r="AA1107" s="181"/>
      <c r="AB1107" s="181"/>
      <c r="AC1107" s="181"/>
      <c r="AD1107" s="88">
        <v>460</v>
      </c>
      <c r="AE1107" s="88">
        <v>360</v>
      </c>
      <c r="AF1107" s="88">
        <v>180</v>
      </c>
      <c r="AG1107" s="66">
        <f t="shared" si="45"/>
        <v>112.51043478260868</v>
      </c>
      <c r="AH1107" s="143">
        <f t="shared" si="46"/>
        <v>1000</v>
      </c>
      <c r="AI1107" s="148"/>
      <c r="AJ1107" s="148"/>
      <c r="AK1107" s="148"/>
      <c r="AL1107" s="148"/>
      <c r="AM1107" s="148"/>
      <c r="AN1107" s="148"/>
      <c r="AO1107" s="148"/>
      <c r="AP1107" s="148"/>
      <c r="AQ1107" s="148"/>
      <c r="AR1107" s="148"/>
      <c r="AS1107" s="148"/>
      <c r="AT1107" s="148"/>
      <c r="AU1107" s="148"/>
      <c r="AV1107" s="148"/>
      <c r="AW1107" s="148"/>
      <c r="AX1107" s="148"/>
      <c r="AY1107" s="148"/>
      <c r="AZ1107" s="148"/>
      <c r="BA1107" s="148"/>
      <c r="BB1107" s="148"/>
      <c r="BC1107" s="148"/>
      <c r="BD1107" s="148"/>
      <c r="BE1107" s="148"/>
      <c r="BF1107" s="148"/>
      <c r="BG1107" s="148"/>
      <c r="BH1107" s="148"/>
      <c r="BI1107" s="148"/>
      <c r="BJ1107" s="148"/>
      <c r="BK1107" s="148"/>
      <c r="BL1107" s="148"/>
      <c r="BM1107" s="148"/>
      <c r="BN1107" s="148"/>
      <c r="BO1107" s="148"/>
      <c r="BP1107" s="148"/>
      <c r="BQ1107" s="148"/>
      <c r="BR1107" s="148"/>
      <c r="BS1107" s="148"/>
      <c r="BT1107" s="148"/>
      <c r="BU1107" s="148"/>
      <c r="BV1107" s="148"/>
      <c r="BW1107" s="148"/>
      <c r="BX1107" s="148"/>
      <c r="BY1107" s="148"/>
      <c r="BZ1107" s="148"/>
      <c r="CA1107" s="148"/>
      <c r="CB1107" s="148"/>
      <c r="CC1107" s="148"/>
      <c r="CD1107" s="148"/>
      <c r="CE1107" s="148"/>
      <c r="CF1107" s="148"/>
      <c r="CG1107" s="148"/>
      <c r="CH1107" s="148"/>
      <c r="CI1107" s="148"/>
      <c r="CJ1107" s="148"/>
      <c r="CK1107" s="148"/>
      <c r="CL1107" s="148"/>
      <c r="CM1107" s="148"/>
      <c r="CN1107" s="148"/>
      <c r="CO1107" s="148"/>
      <c r="CP1107" s="148"/>
      <c r="CQ1107" s="148"/>
      <c r="CR1107" s="148"/>
      <c r="CS1107" s="148"/>
      <c r="CT1107" s="148"/>
      <c r="CU1107" s="148"/>
      <c r="CV1107" s="148"/>
      <c r="CW1107" s="148"/>
      <c r="CX1107" s="148"/>
      <c r="CY1107" s="148"/>
      <c r="CZ1107" s="148"/>
      <c r="DA1107" s="148"/>
      <c r="DB1107" s="148"/>
      <c r="DC1107" s="148"/>
      <c r="DD1107" s="148"/>
      <c r="DE1107" s="148"/>
      <c r="DF1107" s="148"/>
      <c r="DG1107" s="148"/>
      <c r="DH1107" s="148"/>
      <c r="DI1107" s="148"/>
      <c r="DJ1107" s="148"/>
      <c r="DK1107" s="148"/>
      <c r="DL1107" s="148"/>
      <c r="DM1107" s="148"/>
      <c r="DN1107" s="148"/>
      <c r="DO1107" s="148"/>
      <c r="DP1107" s="148"/>
      <c r="DQ1107" s="148"/>
      <c r="DR1107" s="148"/>
      <c r="DS1107" s="148"/>
      <c r="DT1107" s="148"/>
      <c r="DU1107" s="148"/>
      <c r="DV1107" s="148"/>
      <c r="DW1107" s="148"/>
      <c r="DX1107" s="148"/>
      <c r="DY1107" s="148"/>
      <c r="DZ1107" s="148"/>
      <c r="EA1107" s="148"/>
      <c r="EB1107" s="148"/>
      <c r="EC1107" s="148"/>
      <c r="ED1107" s="148"/>
      <c r="EE1107" s="148"/>
      <c r="EF1107" s="148"/>
      <c r="EG1107" s="148"/>
      <c r="EH1107" s="148"/>
      <c r="EI1107" s="148"/>
      <c r="EJ1107" s="148"/>
      <c r="EK1107" s="148"/>
      <c r="EL1107" s="148"/>
      <c r="EM1107" s="148"/>
    </row>
    <row r="1108" spans="1:143" s="90" customFormat="1" x14ac:dyDescent="0.3">
      <c r="A1108" s="84">
        <v>903149</v>
      </c>
      <c r="B1108" s="177">
        <v>8.3000000000000007</v>
      </c>
      <c r="C1108" s="177"/>
      <c r="D1108" s="178">
        <v>8.34</v>
      </c>
      <c r="E1108" s="1533">
        <v>0.21</v>
      </c>
      <c r="F1108" s="179">
        <v>44.4</v>
      </c>
      <c r="G1108" s="179"/>
      <c r="H1108" s="180">
        <v>33.89</v>
      </c>
      <c r="I1108" s="179">
        <v>250</v>
      </c>
      <c r="J1108" s="179">
        <v>7.8E-2</v>
      </c>
      <c r="K1108" s="177">
        <v>7.24</v>
      </c>
      <c r="L1108" s="179">
        <v>1070</v>
      </c>
      <c r="M1108" s="179">
        <v>1.02</v>
      </c>
      <c r="N1108" s="179">
        <v>2.8</v>
      </c>
      <c r="O1108" s="179">
        <v>3.25</v>
      </c>
      <c r="P1108" s="179">
        <v>5.84</v>
      </c>
      <c r="Q1108" s="179"/>
      <c r="R1108" s="178">
        <v>1.7644250000000001</v>
      </c>
      <c r="S1108" s="179">
        <v>15.5</v>
      </c>
      <c r="T1108" s="83"/>
      <c r="U1108" s="83"/>
      <c r="V1108" s="83"/>
      <c r="W1108" s="181"/>
      <c r="X1108" s="181"/>
      <c r="Y1108" s="182">
        <v>24</v>
      </c>
      <c r="Z1108" s="181"/>
      <c r="AA1108" s="181"/>
      <c r="AB1108" s="181"/>
      <c r="AC1108" s="181"/>
      <c r="AD1108" s="88">
        <v>480</v>
      </c>
      <c r="AE1108" s="88">
        <v>340</v>
      </c>
      <c r="AF1108" s="88">
        <v>180</v>
      </c>
      <c r="AG1108" s="66">
        <f t="shared" si="45"/>
        <v>106.79</v>
      </c>
      <c r="AH1108" s="143">
        <f t="shared" si="46"/>
        <v>1000</v>
      </c>
      <c r="AI1108" s="148"/>
      <c r="AJ1108" s="148"/>
      <c r="AK1108" s="148"/>
      <c r="AL1108" s="148"/>
      <c r="AM1108" s="148"/>
      <c r="AN1108" s="148"/>
      <c r="AO1108" s="148"/>
      <c r="AP1108" s="148"/>
      <c r="AQ1108" s="148"/>
      <c r="AR1108" s="148"/>
      <c r="AS1108" s="148"/>
      <c r="AT1108" s="148"/>
      <c r="AU1108" s="148"/>
      <c r="AV1108" s="148"/>
      <c r="AW1108" s="148"/>
      <c r="AX1108" s="148"/>
      <c r="AY1108" s="148"/>
      <c r="AZ1108" s="148"/>
      <c r="BA1108" s="148"/>
      <c r="BB1108" s="148"/>
      <c r="BC1108" s="148"/>
      <c r="BD1108" s="148"/>
      <c r="BE1108" s="148"/>
      <c r="BF1108" s="148"/>
      <c r="BG1108" s="148"/>
      <c r="BH1108" s="148"/>
      <c r="BI1108" s="148"/>
      <c r="BJ1108" s="148"/>
      <c r="BK1108" s="148"/>
      <c r="BL1108" s="148"/>
      <c r="BM1108" s="148"/>
      <c r="BN1108" s="148"/>
      <c r="BO1108" s="148"/>
      <c r="BP1108" s="148"/>
      <c r="BQ1108" s="148"/>
      <c r="BR1108" s="148"/>
      <c r="BS1108" s="148"/>
      <c r="BT1108" s="148"/>
      <c r="BU1108" s="148"/>
      <c r="BV1108" s="148"/>
      <c r="BW1108" s="148"/>
      <c r="BX1108" s="148"/>
      <c r="BY1108" s="148"/>
      <c r="BZ1108" s="148"/>
      <c r="CA1108" s="148"/>
      <c r="CB1108" s="148"/>
      <c r="CC1108" s="148"/>
      <c r="CD1108" s="148"/>
      <c r="CE1108" s="148"/>
      <c r="CF1108" s="148"/>
      <c r="CG1108" s="148"/>
      <c r="CH1108" s="148"/>
      <c r="CI1108" s="148"/>
      <c r="CJ1108" s="148"/>
      <c r="CK1108" s="148"/>
      <c r="CL1108" s="148"/>
      <c r="CM1108" s="148"/>
      <c r="CN1108" s="148"/>
      <c r="CO1108" s="148"/>
      <c r="CP1108" s="148"/>
      <c r="CQ1108" s="148"/>
      <c r="CR1108" s="148"/>
      <c r="CS1108" s="148"/>
      <c r="CT1108" s="148"/>
      <c r="CU1108" s="148"/>
      <c r="CV1108" s="148"/>
      <c r="CW1108" s="148"/>
      <c r="CX1108" s="148"/>
      <c r="CY1108" s="148"/>
      <c r="CZ1108" s="148"/>
      <c r="DA1108" s="148"/>
      <c r="DB1108" s="148"/>
      <c r="DC1108" s="148"/>
      <c r="DD1108" s="148"/>
      <c r="DE1108" s="148"/>
      <c r="DF1108" s="148"/>
      <c r="DG1108" s="148"/>
      <c r="DH1108" s="148"/>
      <c r="DI1108" s="148"/>
      <c r="DJ1108" s="148"/>
      <c r="DK1108" s="148"/>
      <c r="DL1108" s="148"/>
      <c r="DM1108" s="148"/>
      <c r="DN1108" s="148"/>
      <c r="DO1108" s="148"/>
      <c r="DP1108" s="148"/>
      <c r="DQ1108" s="148"/>
      <c r="DR1108" s="148"/>
      <c r="DS1108" s="148"/>
      <c r="DT1108" s="148"/>
      <c r="DU1108" s="148"/>
      <c r="DV1108" s="148"/>
      <c r="DW1108" s="148"/>
      <c r="DX1108" s="148"/>
      <c r="DY1108" s="148"/>
      <c r="DZ1108" s="148"/>
      <c r="EA1108" s="148"/>
      <c r="EB1108" s="148"/>
      <c r="EC1108" s="148"/>
      <c r="ED1108" s="148"/>
      <c r="EE1108" s="148"/>
      <c r="EF1108" s="148"/>
      <c r="EG1108" s="148"/>
      <c r="EH1108" s="148"/>
      <c r="EI1108" s="148"/>
      <c r="EJ1108" s="148"/>
      <c r="EK1108" s="148"/>
      <c r="EL1108" s="148"/>
      <c r="EM1108" s="148"/>
    </row>
    <row r="1109" spans="1:143" s="90" customFormat="1" x14ac:dyDescent="0.3">
      <c r="A1109" s="84">
        <v>903126</v>
      </c>
      <c r="B1109" s="182">
        <v>30.3</v>
      </c>
      <c r="C1109" s="182">
        <v>13.5</v>
      </c>
      <c r="D1109" s="184">
        <v>8.56</v>
      </c>
      <c r="E1109" s="1534">
        <v>0.2</v>
      </c>
      <c r="F1109" s="181">
        <v>57.05</v>
      </c>
      <c r="G1109" s="181"/>
      <c r="H1109" s="183">
        <v>101.65</v>
      </c>
      <c r="I1109" s="181">
        <v>380</v>
      </c>
      <c r="J1109" s="181">
        <v>9.0999999999999998E-2</v>
      </c>
      <c r="K1109" s="182">
        <v>8.0299999999999994</v>
      </c>
      <c r="L1109" s="181">
        <v>1660</v>
      </c>
      <c r="M1109" s="181">
        <v>3.45</v>
      </c>
      <c r="N1109" s="181">
        <v>3.41</v>
      </c>
      <c r="O1109" s="181">
        <v>8.5500000000000007</v>
      </c>
      <c r="P1109" s="181">
        <v>7.54</v>
      </c>
      <c r="Q1109" s="181"/>
      <c r="R1109" s="957">
        <v>1.836392</v>
      </c>
      <c r="S1109" s="181">
        <v>17.8</v>
      </c>
      <c r="T1109" s="83"/>
      <c r="U1109" s="83"/>
      <c r="V1109" s="83"/>
      <c r="W1109" s="181"/>
      <c r="X1109" s="181"/>
      <c r="Y1109" s="182">
        <f>AD1109*0.05</f>
        <v>22</v>
      </c>
      <c r="Z1109" s="181"/>
      <c r="AA1109" s="181"/>
      <c r="AB1109" s="181"/>
      <c r="AC1109" s="181"/>
      <c r="AD1109" s="88">
        <v>440</v>
      </c>
      <c r="AE1109" s="88">
        <v>380</v>
      </c>
      <c r="AF1109" s="88">
        <v>180</v>
      </c>
      <c r="AG1109" s="66">
        <f t="shared" si="45"/>
        <v>129.21</v>
      </c>
      <c r="AH1109" s="143">
        <f t="shared" si="46"/>
        <v>1000</v>
      </c>
      <c r="AI1109" s="148"/>
      <c r="AJ1109" s="148"/>
      <c r="AK1109" s="148"/>
      <c r="AL1109" s="148"/>
      <c r="AM1109" s="148"/>
      <c r="AN1109" s="148"/>
      <c r="AO1109" s="148"/>
      <c r="AP1109" s="148"/>
      <c r="AQ1109" s="148"/>
      <c r="AR1109" s="148"/>
      <c r="AS1109" s="148"/>
      <c r="AT1109" s="148"/>
      <c r="AU1109" s="148"/>
      <c r="AV1109" s="148"/>
      <c r="AW1109" s="148"/>
      <c r="AX1109" s="148"/>
      <c r="AY1109" s="148"/>
      <c r="AZ1109" s="148"/>
      <c r="BA1109" s="148"/>
      <c r="BB1109" s="148"/>
      <c r="BC1109" s="148"/>
      <c r="BD1109" s="148"/>
      <c r="BE1109" s="148"/>
      <c r="BF1109" s="148"/>
      <c r="BG1109" s="148"/>
      <c r="BH1109" s="148"/>
      <c r="BI1109" s="148"/>
      <c r="BJ1109" s="148"/>
      <c r="BK1109" s="148"/>
      <c r="BL1109" s="148"/>
      <c r="BM1109" s="148"/>
      <c r="BN1109" s="148"/>
      <c r="BO1109" s="148"/>
      <c r="BP1109" s="148"/>
      <c r="BQ1109" s="148"/>
      <c r="BR1109" s="148"/>
      <c r="BS1109" s="148"/>
      <c r="BT1109" s="148"/>
      <c r="BU1109" s="148"/>
      <c r="BV1109" s="148"/>
      <c r="BW1109" s="148"/>
      <c r="BX1109" s="148"/>
      <c r="BY1109" s="148"/>
      <c r="BZ1109" s="148"/>
      <c r="CA1109" s="148"/>
      <c r="CB1109" s="148"/>
      <c r="CC1109" s="148"/>
      <c r="CD1109" s="148"/>
      <c r="CE1109" s="148"/>
      <c r="CF1109" s="148"/>
      <c r="CG1109" s="148"/>
      <c r="CH1109" s="148"/>
      <c r="CI1109" s="148"/>
      <c r="CJ1109" s="148"/>
      <c r="CK1109" s="148"/>
      <c r="CL1109" s="148"/>
      <c r="CM1109" s="148"/>
      <c r="CN1109" s="148"/>
      <c r="CO1109" s="148"/>
      <c r="CP1109" s="148"/>
      <c r="CQ1109" s="148"/>
      <c r="CR1109" s="148"/>
      <c r="CS1109" s="148"/>
      <c r="CT1109" s="148"/>
      <c r="CU1109" s="148"/>
      <c r="CV1109" s="148"/>
      <c r="CW1109" s="148"/>
      <c r="CX1109" s="148"/>
      <c r="CY1109" s="148"/>
      <c r="CZ1109" s="148"/>
      <c r="DA1109" s="148"/>
      <c r="DB1109" s="148"/>
      <c r="DC1109" s="148"/>
      <c r="DD1109" s="148"/>
      <c r="DE1109" s="148"/>
      <c r="DF1109" s="148"/>
      <c r="DG1109" s="148"/>
      <c r="DH1109" s="148"/>
      <c r="DI1109" s="148"/>
      <c r="DJ1109" s="148"/>
      <c r="DK1109" s="148"/>
      <c r="DL1109" s="148"/>
      <c r="DM1109" s="148"/>
      <c r="DN1109" s="148"/>
      <c r="DO1109" s="148"/>
      <c r="DP1109" s="148"/>
      <c r="DQ1109" s="148"/>
      <c r="DR1109" s="148"/>
      <c r="DS1109" s="148"/>
      <c r="DT1109" s="148"/>
      <c r="DU1109" s="148"/>
      <c r="DV1109" s="148"/>
      <c r="DW1109" s="148"/>
      <c r="DX1109" s="148"/>
      <c r="DY1109" s="148"/>
      <c r="DZ1109" s="148"/>
      <c r="EA1109" s="148"/>
      <c r="EB1109" s="148"/>
      <c r="EC1109" s="148"/>
      <c r="ED1109" s="148"/>
      <c r="EE1109" s="148"/>
      <c r="EF1109" s="148"/>
      <c r="EG1109" s="148"/>
      <c r="EH1109" s="148"/>
      <c r="EI1109" s="148"/>
      <c r="EJ1109" s="148"/>
      <c r="EK1109" s="148"/>
      <c r="EL1109" s="148"/>
      <c r="EM1109" s="148"/>
    </row>
    <row r="1110" spans="1:143" s="90" customFormat="1" x14ac:dyDescent="0.3">
      <c r="A1110" s="84">
        <v>903127</v>
      </c>
      <c r="B1110" s="182">
        <v>37.200000000000003</v>
      </c>
      <c r="C1110" s="182">
        <v>12.9</v>
      </c>
      <c r="D1110" s="184">
        <v>8.75</v>
      </c>
      <c r="E1110" s="1534">
        <v>0.22</v>
      </c>
      <c r="F1110" s="181">
        <v>74.400000000000006</v>
      </c>
      <c r="G1110" s="181"/>
      <c r="H1110" s="183">
        <v>52.25</v>
      </c>
      <c r="I1110" s="181">
        <v>290</v>
      </c>
      <c r="J1110" s="181">
        <v>0.14199999999999999</v>
      </c>
      <c r="K1110" s="182">
        <v>8.19</v>
      </c>
      <c r="L1110" s="181">
        <v>2020</v>
      </c>
      <c r="M1110" s="181">
        <v>2.64</v>
      </c>
      <c r="N1110" s="181">
        <v>2.44</v>
      </c>
      <c r="O1110" s="181">
        <v>9.4</v>
      </c>
      <c r="P1110" s="181">
        <v>7.07</v>
      </c>
      <c r="Q1110" s="181"/>
      <c r="R1110" s="957">
        <v>1.7135000000000002</v>
      </c>
      <c r="S1110" s="181">
        <v>14</v>
      </c>
      <c r="T1110" s="83"/>
      <c r="U1110" s="83"/>
      <c r="V1110" s="83"/>
      <c r="W1110" s="181"/>
      <c r="X1110" s="181"/>
      <c r="Y1110" s="182">
        <f t="shared" ref="Y1110:Y1135" si="48">AD1110*0.05</f>
        <v>22</v>
      </c>
      <c r="Z1110" s="181"/>
      <c r="AA1110" s="181"/>
      <c r="AB1110" s="181"/>
      <c r="AC1110" s="181"/>
      <c r="AD1110" s="88">
        <v>440</v>
      </c>
      <c r="AE1110" s="88">
        <v>400</v>
      </c>
      <c r="AF1110" s="88">
        <v>160</v>
      </c>
      <c r="AG1110" s="66">
        <f t="shared" si="45"/>
        <v>131.78454545454545</v>
      </c>
      <c r="AH1110" s="143">
        <f t="shared" si="46"/>
        <v>1000</v>
      </c>
      <c r="AI1110" s="148"/>
      <c r="AJ1110" s="148"/>
      <c r="AK1110" s="148"/>
      <c r="AL1110" s="148"/>
      <c r="AM1110" s="148"/>
      <c r="AN1110" s="148"/>
      <c r="AO1110" s="148"/>
      <c r="AP1110" s="148"/>
      <c r="AQ1110" s="148"/>
      <c r="AR1110" s="148"/>
      <c r="AS1110" s="148"/>
      <c r="AT1110" s="148"/>
      <c r="AU1110" s="148"/>
      <c r="AV1110" s="148"/>
      <c r="AW1110" s="148"/>
      <c r="AX1110" s="148"/>
      <c r="AY1110" s="148"/>
      <c r="AZ1110" s="148"/>
      <c r="BA1110" s="148"/>
      <c r="BB1110" s="148"/>
      <c r="BC1110" s="148"/>
      <c r="BD1110" s="148"/>
      <c r="BE1110" s="148"/>
      <c r="BF1110" s="148"/>
      <c r="BG1110" s="148"/>
      <c r="BH1110" s="148"/>
      <c r="BI1110" s="148"/>
      <c r="BJ1110" s="148"/>
      <c r="BK1110" s="148"/>
      <c r="BL1110" s="148"/>
      <c r="BM1110" s="148"/>
      <c r="BN1110" s="148"/>
      <c r="BO1110" s="148"/>
      <c r="BP1110" s="148"/>
      <c r="BQ1110" s="148"/>
      <c r="BR1110" s="148"/>
      <c r="BS1110" s="148"/>
      <c r="BT1110" s="148"/>
      <c r="BU1110" s="148"/>
      <c r="BV1110" s="148"/>
      <c r="BW1110" s="148"/>
      <c r="BX1110" s="148"/>
      <c r="BY1110" s="148"/>
      <c r="BZ1110" s="148"/>
      <c r="CA1110" s="148"/>
      <c r="CB1110" s="148"/>
      <c r="CC1110" s="148"/>
      <c r="CD1110" s="148"/>
      <c r="CE1110" s="148"/>
      <c r="CF1110" s="148"/>
      <c r="CG1110" s="148"/>
      <c r="CH1110" s="148"/>
      <c r="CI1110" s="148"/>
      <c r="CJ1110" s="148"/>
      <c r="CK1110" s="148"/>
      <c r="CL1110" s="148"/>
      <c r="CM1110" s="148"/>
      <c r="CN1110" s="148"/>
      <c r="CO1110" s="148"/>
      <c r="CP1110" s="148"/>
      <c r="CQ1110" s="148"/>
      <c r="CR1110" s="148"/>
      <c r="CS1110" s="148"/>
      <c r="CT1110" s="148"/>
      <c r="CU1110" s="148"/>
      <c r="CV1110" s="148"/>
      <c r="CW1110" s="148"/>
      <c r="CX1110" s="148"/>
      <c r="CY1110" s="148"/>
      <c r="CZ1110" s="148"/>
      <c r="DA1110" s="148"/>
      <c r="DB1110" s="148"/>
      <c r="DC1110" s="148"/>
      <c r="DD1110" s="148"/>
      <c r="DE1110" s="148"/>
      <c r="DF1110" s="148"/>
      <c r="DG1110" s="148"/>
      <c r="DH1110" s="148"/>
      <c r="DI1110" s="148"/>
      <c r="DJ1110" s="148"/>
      <c r="DK1110" s="148"/>
      <c r="DL1110" s="148"/>
      <c r="DM1110" s="148"/>
      <c r="DN1110" s="148"/>
      <c r="DO1110" s="148"/>
      <c r="DP1110" s="148"/>
      <c r="DQ1110" s="148"/>
      <c r="DR1110" s="148"/>
      <c r="DS1110" s="148"/>
      <c r="DT1110" s="148"/>
      <c r="DU1110" s="148"/>
      <c r="DV1110" s="148"/>
      <c r="DW1110" s="148"/>
      <c r="DX1110" s="148"/>
      <c r="DY1110" s="148"/>
      <c r="DZ1110" s="148"/>
      <c r="EA1110" s="148"/>
      <c r="EB1110" s="148"/>
      <c r="EC1110" s="148"/>
      <c r="ED1110" s="148"/>
      <c r="EE1110" s="148"/>
      <c r="EF1110" s="148"/>
      <c r="EG1110" s="148"/>
      <c r="EH1110" s="148"/>
      <c r="EI1110" s="148"/>
      <c r="EJ1110" s="148"/>
      <c r="EK1110" s="148"/>
      <c r="EL1110" s="148"/>
      <c r="EM1110" s="148"/>
    </row>
    <row r="1111" spans="1:143" s="90" customFormat="1" x14ac:dyDescent="0.3">
      <c r="A1111" s="84">
        <v>903128</v>
      </c>
      <c r="B1111" s="182">
        <v>20.8</v>
      </c>
      <c r="C1111" s="182">
        <v>14</v>
      </c>
      <c r="D1111" s="184">
        <v>8.6300000000000008</v>
      </c>
      <c r="E1111" s="1534">
        <v>0.19</v>
      </c>
      <c r="F1111" s="181">
        <v>63.25</v>
      </c>
      <c r="G1111" s="181"/>
      <c r="H1111" s="183">
        <v>163.83000000000001</v>
      </c>
      <c r="I1111" s="181">
        <v>840</v>
      </c>
      <c r="J1111" s="181">
        <v>7.6999999999999999E-2</v>
      </c>
      <c r="K1111" s="182">
        <v>8.31</v>
      </c>
      <c r="L1111" s="181">
        <v>2480</v>
      </c>
      <c r="M1111" s="181">
        <v>12.62</v>
      </c>
      <c r="N1111" s="181">
        <v>8.24</v>
      </c>
      <c r="O1111" s="181">
        <v>5.83</v>
      </c>
      <c r="P1111" s="181">
        <v>11.96</v>
      </c>
      <c r="Q1111" s="181"/>
      <c r="R1111" s="957">
        <v>2.0891480000000002</v>
      </c>
      <c r="S1111" s="181">
        <v>29.6</v>
      </c>
      <c r="T1111" s="83"/>
      <c r="U1111" s="83"/>
      <c r="V1111" s="83"/>
      <c r="W1111" s="181"/>
      <c r="X1111" s="181"/>
      <c r="Y1111" s="182">
        <f t="shared" si="48"/>
        <v>27</v>
      </c>
      <c r="Z1111" s="181"/>
      <c r="AA1111" s="181"/>
      <c r="AB1111" s="181"/>
      <c r="AC1111" s="181"/>
      <c r="AD1111" s="88">
        <v>540</v>
      </c>
      <c r="AE1111" s="88">
        <v>320</v>
      </c>
      <c r="AF1111" s="88">
        <v>140</v>
      </c>
      <c r="AG1111" s="66">
        <f t="shared" si="45"/>
        <v>108.95333333333335</v>
      </c>
      <c r="AH1111" s="143">
        <f t="shared" si="46"/>
        <v>1000</v>
      </c>
      <c r="AI1111" s="148"/>
      <c r="AJ1111" s="148"/>
      <c r="AK1111" s="148"/>
      <c r="AL1111" s="148"/>
      <c r="AM1111" s="148"/>
      <c r="AN1111" s="148"/>
      <c r="AO1111" s="148"/>
      <c r="AP1111" s="148"/>
      <c r="AQ1111" s="148"/>
      <c r="AR1111" s="148"/>
      <c r="AS1111" s="148"/>
      <c r="AT1111" s="148"/>
      <c r="AU1111" s="148"/>
      <c r="AV1111" s="148"/>
      <c r="AW1111" s="148"/>
      <c r="AX1111" s="148"/>
      <c r="AY1111" s="148"/>
      <c r="AZ1111" s="148"/>
      <c r="BA1111" s="148"/>
      <c r="BB1111" s="148"/>
      <c r="BC1111" s="148"/>
      <c r="BD1111" s="148"/>
      <c r="BE1111" s="148"/>
      <c r="BF1111" s="148"/>
      <c r="BG1111" s="148"/>
      <c r="BH1111" s="148"/>
      <c r="BI1111" s="148"/>
      <c r="BJ1111" s="148"/>
      <c r="BK1111" s="148"/>
      <c r="BL1111" s="148"/>
      <c r="BM1111" s="148"/>
      <c r="BN1111" s="148"/>
      <c r="BO1111" s="148"/>
      <c r="BP1111" s="148"/>
      <c r="BQ1111" s="148"/>
      <c r="BR1111" s="148"/>
      <c r="BS1111" s="148"/>
      <c r="BT1111" s="148"/>
      <c r="BU1111" s="148"/>
      <c r="BV1111" s="148"/>
      <c r="BW1111" s="148"/>
      <c r="BX1111" s="148"/>
      <c r="BY1111" s="148"/>
      <c r="BZ1111" s="148"/>
      <c r="CA1111" s="148"/>
      <c r="CB1111" s="148"/>
      <c r="CC1111" s="148"/>
      <c r="CD1111" s="148"/>
      <c r="CE1111" s="148"/>
      <c r="CF1111" s="148"/>
      <c r="CG1111" s="148"/>
      <c r="CH1111" s="148"/>
      <c r="CI1111" s="148"/>
      <c r="CJ1111" s="148"/>
      <c r="CK1111" s="148"/>
      <c r="CL1111" s="148"/>
      <c r="CM1111" s="148"/>
      <c r="CN1111" s="148"/>
      <c r="CO1111" s="148"/>
      <c r="CP1111" s="148"/>
      <c r="CQ1111" s="148"/>
      <c r="CR1111" s="148"/>
      <c r="CS1111" s="148"/>
      <c r="CT1111" s="148"/>
      <c r="CU1111" s="148"/>
      <c r="CV1111" s="148"/>
      <c r="CW1111" s="148"/>
      <c r="CX1111" s="148"/>
      <c r="CY1111" s="148"/>
      <c r="CZ1111" s="148"/>
      <c r="DA1111" s="148"/>
      <c r="DB1111" s="148"/>
      <c r="DC1111" s="148"/>
      <c r="DD1111" s="148"/>
      <c r="DE1111" s="148"/>
      <c r="DF1111" s="148"/>
      <c r="DG1111" s="148"/>
      <c r="DH1111" s="148"/>
      <c r="DI1111" s="148"/>
      <c r="DJ1111" s="148"/>
      <c r="DK1111" s="148"/>
      <c r="DL1111" s="148"/>
      <c r="DM1111" s="148"/>
      <c r="DN1111" s="148"/>
      <c r="DO1111" s="148"/>
      <c r="DP1111" s="148"/>
      <c r="DQ1111" s="148"/>
      <c r="DR1111" s="148"/>
      <c r="DS1111" s="148"/>
      <c r="DT1111" s="148"/>
      <c r="DU1111" s="148"/>
      <c r="DV1111" s="148"/>
      <c r="DW1111" s="148"/>
      <c r="DX1111" s="148"/>
      <c r="DY1111" s="148"/>
      <c r="DZ1111" s="148"/>
      <c r="EA1111" s="148"/>
      <c r="EB1111" s="148"/>
      <c r="EC1111" s="148"/>
      <c r="ED1111" s="148"/>
      <c r="EE1111" s="148"/>
      <c r="EF1111" s="148"/>
      <c r="EG1111" s="148"/>
      <c r="EH1111" s="148"/>
      <c r="EI1111" s="148"/>
      <c r="EJ1111" s="148"/>
      <c r="EK1111" s="148"/>
      <c r="EL1111" s="148"/>
      <c r="EM1111" s="148"/>
    </row>
    <row r="1112" spans="1:143" s="90" customFormat="1" x14ac:dyDescent="0.3">
      <c r="A1112" s="84">
        <v>903129</v>
      </c>
      <c r="B1112" s="182">
        <v>26</v>
      </c>
      <c r="C1112" s="182">
        <v>11.9</v>
      </c>
      <c r="D1112" s="184">
        <v>8.66</v>
      </c>
      <c r="E1112" s="1534">
        <v>0.2</v>
      </c>
      <c r="F1112" s="181">
        <v>150.19999999999999</v>
      </c>
      <c r="G1112" s="181"/>
      <c r="H1112" s="183">
        <v>68.8</v>
      </c>
      <c r="I1112" s="181">
        <v>720</v>
      </c>
      <c r="J1112" s="181">
        <v>8.3000000000000004E-2</v>
      </c>
      <c r="K1112" s="182">
        <v>8.65</v>
      </c>
      <c r="L1112" s="181">
        <v>2290</v>
      </c>
      <c r="M1112" s="181">
        <v>3.38</v>
      </c>
      <c r="N1112" s="181">
        <v>3.42</v>
      </c>
      <c r="O1112" s="181">
        <v>9.9700000000000006</v>
      </c>
      <c r="P1112" s="181">
        <v>8.57</v>
      </c>
      <c r="Q1112" s="181"/>
      <c r="R1112" s="957">
        <v>1.7677080000000003</v>
      </c>
      <c r="S1112" s="181">
        <v>15.6</v>
      </c>
      <c r="T1112" s="83"/>
      <c r="U1112" s="83"/>
      <c r="V1112" s="83"/>
      <c r="W1112" s="181"/>
      <c r="X1112" s="181"/>
      <c r="Y1112" s="182">
        <f t="shared" si="48"/>
        <v>26</v>
      </c>
      <c r="Z1112" s="181"/>
      <c r="AA1112" s="181"/>
      <c r="AB1112" s="181"/>
      <c r="AC1112" s="181"/>
      <c r="AD1112" s="88">
        <v>520</v>
      </c>
      <c r="AE1112" s="88">
        <v>340</v>
      </c>
      <c r="AF1112" s="88">
        <v>140</v>
      </c>
      <c r="AG1112" s="66">
        <f t="shared" si="45"/>
        <v>117.77307692307694</v>
      </c>
      <c r="AH1112" s="143">
        <f t="shared" si="46"/>
        <v>1000</v>
      </c>
      <c r="AI1112" s="148"/>
      <c r="AJ1112" s="148"/>
      <c r="AK1112" s="148"/>
      <c r="AL1112" s="148"/>
      <c r="AM1112" s="148"/>
      <c r="AN1112" s="148"/>
      <c r="AO1112" s="148"/>
      <c r="AP1112" s="148"/>
      <c r="AQ1112" s="148"/>
      <c r="AR1112" s="148"/>
      <c r="AS1112" s="148"/>
      <c r="AT1112" s="148"/>
      <c r="AU1112" s="148"/>
      <c r="AV1112" s="148"/>
      <c r="AW1112" s="148"/>
      <c r="AX1112" s="148"/>
      <c r="AY1112" s="148"/>
      <c r="AZ1112" s="148"/>
      <c r="BA1112" s="148"/>
      <c r="BB1112" s="148"/>
      <c r="BC1112" s="148"/>
      <c r="BD1112" s="148"/>
      <c r="BE1112" s="148"/>
      <c r="BF1112" s="148"/>
      <c r="BG1112" s="148"/>
      <c r="BH1112" s="148"/>
      <c r="BI1112" s="148"/>
      <c r="BJ1112" s="148"/>
      <c r="BK1112" s="148"/>
      <c r="BL1112" s="148"/>
      <c r="BM1112" s="148"/>
      <c r="BN1112" s="148"/>
      <c r="BO1112" s="148"/>
      <c r="BP1112" s="148"/>
      <c r="BQ1112" s="148"/>
      <c r="BR1112" s="148"/>
      <c r="BS1112" s="148"/>
      <c r="BT1112" s="148"/>
      <c r="BU1112" s="148"/>
      <c r="BV1112" s="148"/>
      <c r="BW1112" s="148"/>
      <c r="BX1112" s="148"/>
      <c r="BY1112" s="148"/>
      <c r="BZ1112" s="148"/>
      <c r="CA1112" s="148"/>
      <c r="CB1112" s="148"/>
      <c r="CC1112" s="148"/>
      <c r="CD1112" s="148"/>
      <c r="CE1112" s="148"/>
      <c r="CF1112" s="148"/>
      <c r="CG1112" s="148"/>
      <c r="CH1112" s="148"/>
      <c r="CI1112" s="148"/>
      <c r="CJ1112" s="148"/>
      <c r="CK1112" s="148"/>
      <c r="CL1112" s="148"/>
      <c r="CM1112" s="148"/>
      <c r="CN1112" s="148"/>
      <c r="CO1112" s="148"/>
      <c r="CP1112" s="148"/>
      <c r="CQ1112" s="148"/>
      <c r="CR1112" s="148"/>
      <c r="CS1112" s="148"/>
      <c r="CT1112" s="148"/>
      <c r="CU1112" s="148"/>
      <c r="CV1112" s="148"/>
      <c r="CW1112" s="148"/>
      <c r="CX1112" s="148"/>
      <c r="CY1112" s="148"/>
      <c r="CZ1112" s="148"/>
      <c r="DA1112" s="148"/>
      <c r="DB1112" s="148"/>
      <c r="DC1112" s="148"/>
      <c r="DD1112" s="148"/>
      <c r="DE1112" s="148"/>
      <c r="DF1112" s="148"/>
      <c r="DG1112" s="148"/>
      <c r="DH1112" s="148"/>
      <c r="DI1112" s="148"/>
      <c r="DJ1112" s="148"/>
      <c r="DK1112" s="148"/>
      <c r="DL1112" s="148"/>
      <c r="DM1112" s="148"/>
      <c r="DN1112" s="148"/>
      <c r="DO1112" s="148"/>
      <c r="DP1112" s="148"/>
      <c r="DQ1112" s="148"/>
      <c r="DR1112" s="148"/>
      <c r="DS1112" s="148"/>
      <c r="DT1112" s="148"/>
      <c r="DU1112" s="148"/>
      <c r="DV1112" s="148"/>
      <c r="DW1112" s="148"/>
      <c r="DX1112" s="148"/>
      <c r="DY1112" s="148"/>
      <c r="DZ1112" s="148"/>
      <c r="EA1112" s="148"/>
      <c r="EB1112" s="148"/>
      <c r="EC1112" s="148"/>
      <c r="ED1112" s="148"/>
      <c r="EE1112" s="148"/>
      <c r="EF1112" s="148"/>
      <c r="EG1112" s="148"/>
      <c r="EH1112" s="148"/>
      <c r="EI1112" s="148"/>
      <c r="EJ1112" s="148"/>
      <c r="EK1112" s="148"/>
      <c r="EL1112" s="148"/>
      <c r="EM1112" s="148"/>
    </row>
    <row r="1113" spans="1:143" s="90" customFormat="1" x14ac:dyDescent="0.3">
      <c r="A1113" s="84">
        <v>903130</v>
      </c>
      <c r="B1113" s="182">
        <v>26.7</v>
      </c>
      <c r="C1113" s="182">
        <v>11.6</v>
      </c>
      <c r="D1113" s="184">
        <v>8.6</v>
      </c>
      <c r="E1113" s="1534">
        <v>0.18</v>
      </c>
      <c r="F1113" s="181">
        <v>153.55000000000001</v>
      </c>
      <c r="G1113" s="181"/>
      <c r="H1113" s="183">
        <v>77.23</v>
      </c>
      <c r="I1113" s="181">
        <v>1010</v>
      </c>
      <c r="J1113" s="181">
        <v>8.2000000000000003E-2</v>
      </c>
      <c r="K1113" s="182">
        <v>8.7200000000000006</v>
      </c>
      <c r="L1113" s="181">
        <v>2160</v>
      </c>
      <c r="M1113" s="181">
        <v>0.86</v>
      </c>
      <c r="N1113" s="181">
        <v>1.18</v>
      </c>
      <c r="O1113" s="181">
        <v>4.4400000000000004</v>
      </c>
      <c r="P1113" s="181">
        <v>3.77</v>
      </c>
      <c r="Q1113" s="181"/>
      <c r="R1113" s="957">
        <v>1.716993</v>
      </c>
      <c r="S1113" s="181">
        <v>14.1</v>
      </c>
      <c r="T1113" s="83"/>
      <c r="U1113" s="83"/>
      <c r="V1113" s="83"/>
      <c r="W1113" s="181"/>
      <c r="X1113" s="181"/>
      <c r="Y1113" s="182">
        <f t="shared" si="48"/>
        <v>30</v>
      </c>
      <c r="Z1113" s="181"/>
      <c r="AA1113" s="181"/>
      <c r="AB1113" s="181"/>
      <c r="AC1113" s="181"/>
      <c r="AD1113" s="88">
        <v>600</v>
      </c>
      <c r="AE1113" s="88">
        <v>300</v>
      </c>
      <c r="AF1113" s="88">
        <v>100</v>
      </c>
      <c r="AG1113" s="66">
        <f t="shared" si="45"/>
        <v>102.89600000000002</v>
      </c>
      <c r="AH1113" s="143">
        <f t="shared" si="46"/>
        <v>1000</v>
      </c>
      <c r="AI1113" s="148"/>
      <c r="AJ1113" s="148"/>
      <c r="AK1113" s="148"/>
      <c r="AL1113" s="148"/>
      <c r="AM1113" s="148"/>
      <c r="AN1113" s="148"/>
      <c r="AO1113" s="148"/>
      <c r="AP1113" s="148"/>
      <c r="AQ1113" s="148"/>
      <c r="AR1113" s="148"/>
      <c r="AS1113" s="148"/>
      <c r="AT1113" s="148"/>
      <c r="AU1113" s="148"/>
      <c r="AV1113" s="148"/>
      <c r="AW1113" s="148"/>
      <c r="AX1113" s="148"/>
      <c r="AY1113" s="148"/>
      <c r="AZ1113" s="148"/>
      <c r="BA1113" s="148"/>
      <c r="BB1113" s="148"/>
      <c r="BC1113" s="148"/>
      <c r="BD1113" s="148"/>
      <c r="BE1113" s="148"/>
      <c r="BF1113" s="148"/>
      <c r="BG1113" s="148"/>
      <c r="BH1113" s="148"/>
      <c r="BI1113" s="148"/>
      <c r="BJ1113" s="148"/>
      <c r="BK1113" s="148"/>
      <c r="BL1113" s="148"/>
      <c r="BM1113" s="148"/>
      <c r="BN1113" s="148"/>
      <c r="BO1113" s="148"/>
      <c r="BP1113" s="148"/>
      <c r="BQ1113" s="148"/>
      <c r="BR1113" s="148"/>
      <c r="BS1113" s="148"/>
      <c r="BT1113" s="148"/>
      <c r="BU1113" s="148"/>
      <c r="BV1113" s="148"/>
      <c r="BW1113" s="148"/>
      <c r="BX1113" s="148"/>
      <c r="BY1113" s="148"/>
      <c r="BZ1113" s="148"/>
      <c r="CA1113" s="148"/>
      <c r="CB1113" s="148"/>
      <c r="CC1113" s="148"/>
      <c r="CD1113" s="148"/>
      <c r="CE1113" s="148"/>
      <c r="CF1113" s="148"/>
      <c r="CG1113" s="148"/>
      <c r="CH1113" s="148"/>
      <c r="CI1113" s="148"/>
      <c r="CJ1113" s="148"/>
      <c r="CK1113" s="148"/>
      <c r="CL1113" s="148"/>
      <c r="CM1113" s="148"/>
      <c r="CN1113" s="148"/>
      <c r="CO1113" s="148"/>
      <c r="CP1113" s="148"/>
      <c r="CQ1113" s="148"/>
      <c r="CR1113" s="148"/>
      <c r="CS1113" s="148"/>
      <c r="CT1113" s="148"/>
      <c r="CU1113" s="148"/>
      <c r="CV1113" s="148"/>
      <c r="CW1113" s="148"/>
      <c r="CX1113" s="148"/>
      <c r="CY1113" s="148"/>
      <c r="CZ1113" s="148"/>
      <c r="DA1113" s="148"/>
      <c r="DB1113" s="148"/>
      <c r="DC1113" s="148"/>
      <c r="DD1113" s="148"/>
      <c r="DE1113" s="148"/>
      <c r="DF1113" s="148"/>
      <c r="DG1113" s="148"/>
      <c r="DH1113" s="148"/>
      <c r="DI1113" s="148"/>
      <c r="DJ1113" s="148"/>
      <c r="DK1113" s="148"/>
      <c r="DL1113" s="148"/>
      <c r="DM1113" s="148"/>
      <c r="DN1113" s="148"/>
      <c r="DO1113" s="148"/>
      <c r="DP1113" s="148"/>
      <c r="DQ1113" s="148"/>
      <c r="DR1113" s="148"/>
      <c r="DS1113" s="148"/>
      <c r="DT1113" s="148"/>
      <c r="DU1113" s="148"/>
      <c r="DV1113" s="148"/>
      <c r="DW1113" s="148"/>
      <c r="DX1113" s="148"/>
      <c r="DY1113" s="148"/>
      <c r="DZ1113" s="148"/>
      <c r="EA1113" s="148"/>
      <c r="EB1113" s="148"/>
      <c r="EC1113" s="148"/>
      <c r="ED1113" s="148"/>
      <c r="EE1113" s="148"/>
      <c r="EF1113" s="148"/>
      <c r="EG1113" s="148"/>
      <c r="EH1113" s="148"/>
      <c r="EI1113" s="148"/>
      <c r="EJ1113" s="148"/>
      <c r="EK1113" s="148"/>
      <c r="EL1113" s="148"/>
      <c r="EM1113" s="148"/>
    </row>
    <row r="1114" spans="1:143" s="90" customFormat="1" x14ac:dyDescent="0.3">
      <c r="A1114" s="84">
        <v>903131</v>
      </c>
      <c r="B1114" s="182">
        <v>35.299999999999997</v>
      </c>
      <c r="C1114" s="182">
        <v>13</v>
      </c>
      <c r="D1114" s="184">
        <v>8.74</v>
      </c>
      <c r="E1114" s="1534">
        <v>0.16</v>
      </c>
      <c r="F1114" s="181">
        <v>132</v>
      </c>
      <c r="G1114" s="181"/>
      <c r="H1114" s="183">
        <v>32.049999999999997</v>
      </c>
      <c r="I1114" s="181">
        <v>790</v>
      </c>
      <c r="J1114" s="181">
        <v>6.2E-2</v>
      </c>
      <c r="K1114" s="182">
        <v>100</v>
      </c>
      <c r="L1114" s="181">
        <v>2050</v>
      </c>
      <c r="M1114" s="181">
        <v>0.35</v>
      </c>
      <c r="N1114" s="181">
        <v>0.83</v>
      </c>
      <c r="O1114" s="181">
        <v>4.33</v>
      </c>
      <c r="P1114" s="181">
        <v>2.98</v>
      </c>
      <c r="Q1114" s="181"/>
      <c r="R1114" s="957">
        <v>1.0660584881852018</v>
      </c>
      <c r="S1114" s="181">
        <v>7.2</v>
      </c>
      <c r="T1114" s="83"/>
      <c r="U1114" s="83"/>
      <c r="V1114" s="83"/>
      <c r="W1114" s="181"/>
      <c r="X1114" s="181"/>
      <c r="Y1114" s="182">
        <f t="shared" si="48"/>
        <v>31</v>
      </c>
      <c r="Z1114" s="181"/>
      <c r="AA1114" s="181"/>
      <c r="AB1114" s="181"/>
      <c r="AC1114" s="181"/>
      <c r="AD1114" s="88">
        <v>620</v>
      </c>
      <c r="AE1114" s="88">
        <v>280</v>
      </c>
      <c r="AF1114" s="88">
        <v>100</v>
      </c>
      <c r="AG1114" s="66">
        <f t="shared" si="45"/>
        <v>1141.9354838709678</v>
      </c>
      <c r="AH1114" s="143">
        <f t="shared" si="46"/>
        <v>1000</v>
      </c>
      <c r="AI1114" s="148"/>
      <c r="AJ1114" s="148"/>
      <c r="AK1114" s="148"/>
      <c r="AL1114" s="148"/>
      <c r="AM1114" s="148"/>
      <c r="AN1114" s="148"/>
      <c r="AO1114" s="148"/>
      <c r="AP1114" s="148"/>
      <c r="AQ1114" s="148"/>
      <c r="AR1114" s="148"/>
      <c r="AS1114" s="148"/>
      <c r="AT1114" s="148"/>
      <c r="AU1114" s="148"/>
      <c r="AV1114" s="148"/>
      <c r="AW1114" s="148"/>
      <c r="AX1114" s="148"/>
      <c r="AY1114" s="148"/>
      <c r="AZ1114" s="148"/>
      <c r="BA1114" s="148"/>
      <c r="BB1114" s="148"/>
      <c r="BC1114" s="148"/>
      <c r="BD1114" s="148"/>
      <c r="BE1114" s="148"/>
      <c r="BF1114" s="148"/>
      <c r="BG1114" s="148"/>
      <c r="BH1114" s="148"/>
      <c r="BI1114" s="148"/>
      <c r="BJ1114" s="148"/>
      <c r="BK1114" s="148"/>
      <c r="BL1114" s="148"/>
      <c r="BM1114" s="148"/>
      <c r="BN1114" s="148"/>
      <c r="BO1114" s="148"/>
      <c r="BP1114" s="148"/>
      <c r="BQ1114" s="148"/>
      <c r="BR1114" s="148"/>
      <c r="BS1114" s="148"/>
      <c r="BT1114" s="148"/>
      <c r="BU1114" s="148"/>
      <c r="BV1114" s="148"/>
      <c r="BW1114" s="148"/>
      <c r="BX1114" s="148"/>
      <c r="BY1114" s="148"/>
      <c r="BZ1114" s="148"/>
      <c r="CA1114" s="148"/>
      <c r="CB1114" s="148"/>
      <c r="CC1114" s="148"/>
      <c r="CD1114" s="148"/>
      <c r="CE1114" s="148"/>
      <c r="CF1114" s="148"/>
      <c r="CG1114" s="148"/>
      <c r="CH1114" s="148"/>
      <c r="CI1114" s="148"/>
      <c r="CJ1114" s="148"/>
      <c r="CK1114" s="148"/>
      <c r="CL1114" s="148"/>
      <c r="CM1114" s="148"/>
      <c r="CN1114" s="148"/>
      <c r="CO1114" s="148"/>
      <c r="CP1114" s="148"/>
      <c r="CQ1114" s="148"/>
      <c r="CR1114" s="148"/>
      <c r="CS1114" s="148"/>
      <c r="CT1114" s="148"/>
      <c r="CU1114" s="148"/>
      <c r="CV1114" s="148"/>
      <c r="CW1114" s="148"/>
      <c r="CX1114" s="148"/>
      <c r="CY1114" s="148"/>
      <c r="CZ1114" s="148"/>
      <c r="DA1114" s="148"/>
      <c r="DB1114" s="148"/>
      <c r="DC1114" s="148"/>
      <c r="DD1114" s="148"/>
      <c r="DE1114" s="148"/>
      <c r="DF1114" s="148"/>
      <c r="DG1114" s="148"/>
      <c r="DH1114" s="148"/>
      <c r="DI1114" s="148"/>
      <c r="DJ1114" s="148"/>
      <c r="DK1114" s="148"/>
      <c r="DL1114" s="148"/>
      <c r="DM1114" s="148"/>
      <c r="DN1114" s="148"/>
      <c r="DO1114" s="148"/>
      <c r="DP1114" s="148"/>
      <c r="DQ1114" s="148"/>
      <c r="DR1114" s="148"/>
      <c r="DS1114" s="148"/>
      <c r="DT1114" s="148"/>
      <c r="DU1114" s="148"/>
      <c r="DV1114" s="148"/>
      <c r="DW1114" s="148"/>
      <c r="DX1114" s="148"/>
      <c r="DY1114" s="148"/>
      <c r="DZ1114" s="148"/>
      <c r="EA1114" s="148"/>
      <c r="EB1114" s="148"/>
      <c r="EC1114" s="148"/>
      <c r="ED1114" s="148"/>
      <c r="EE1114" s="148"/>
      <c r="EF1114" s="148"/>
      <c r="EG1114" s="148"/>
      <c r="EH1114" s="148"/>
      <c r="EI1114" s="148"/>
      <c r="EJ1114" s="148"/>
      <c r="EK1114" s="148"/>
      <c r="EL1114" s="148"/>
      <c r="EM1114" s="148"/>
    </row>
    <row r="1115" spans="1:143" s="90" customFormat="1" x14ac:dyDescent="0.3">
      <c r="A1115" s="84">
        <v>903132</v>
      </c>
      <c r="B1115" s="182">
        <v>25.7</v>
      </c>
      <c r="C1115" s="182">
        <v>9.1</v>
      </c>
      <c r="D1115" s="184">
        <v>8.65</v>
      </c>
      <c r="E1115" s="1534">
        <v>0.31</v>
      </c>
      <c r="F1115" s="181">
        <v>264.89999999999998</v>
      </c>
      <c r="G1115" s="181"/>
      <c r="H1115" s="183">
        <v>34.86</v>
      </c>
      <c r="I1115" s="181">
        <v>1030</v>
      </c>
      <c r="J1115" s="181">
        <v>0.14899999999999999</v>
      </c>
      <c r="K1115" s="182">
        <v>8.6999999999999993</v>
      </c>
      <c r="L1115" s="181">
        <v>2190</v>
      </c>
      <c r="M1115" s="181">
        <v>1.82</v>
      </c>
      <c r="N1115" s="181">
        <v>3.39</v>
      </c>
      <c r="O1115" s="181">
        <v>4.6399999999999997</v>
      </c>
      <c r="P1115" s="181">
        <v>3.45</v>
      </c>
      <c r="Q1115" s="181"/>
      <c r="R1115" s="957">
        <v>1.7308250000000001</v>
      </c>
      <c r="S1115" s="181">
        <v>14.5</v>
      </c>
      <c r="T1115" s="83"/>
      <c r="U1115" s="83"/>
      <c r="V1115" s="83"/>
      <c r="W1115" s="181"/>
      <c r="X1115" s="181"/>
      <c r="Y1115" s="182">
        <f t="shared" si="48"/>
        <v>31</v>
      </c>
      <c r="Z1115" s="181"/>
      <c r="AA1115" s="181"/>
      <c r="AB1115" s="181"/>
      <c r="AC1115" s="181"/>
      <c r="AD1115" s="88">
        <v>620</v>
      </c>
      <c r="AE1115" s="88">
        <v>300</v>
      </c>
      <c r="AF1115" s="88">
        <v>80</v>
      </c>
      <c r="AG1115" s="66">
        <f t="shared" si="45"/>
        <v>99.348387096774189</v>
      </c>
      <c r="AH1115" s="143">
        <f t="shared" si="46"/>
        <v>1000</v>
      </c>
      <c r="AI1115" s="148"/>
      <c r="AJ1115" s="148"/>
      <c r="AK1115" s="148"/>
      <c r="AL1115" s="148"/>
      <c r="AM1115" s="148"/>
      <c r="AN1115" s="148"/>
      <c r="AO1115" s="148"/>
      <c r="AP1115" s="148"/>
      <c r="AQ1115" s="148"/>
      <c r="AR1115" s="148"/>
      <c r="AS1115" s="148"/>
      <c r="AT1115" s="148"/>
      <c r="AU1115" s="148"/>
      <c r="AV1115" s="148"/>
      <c r="AW1115" s="148"/>
      <c r="AX1115" s="148"/>
      <c r="AY1115" s="148"/>
      <c r="AZ1115" s="148"/>
      <c r="BA1115" s="148"/>
      <c r="BB1115" s="148"/>
      <c r="BC1115" s="148"/>
      <c r="BD1115" s="148"/>
      <c r="BE1115" s="148"/>
      <c r="BF1115" s="148"/>
      <c r="BG1115" s="148"/>
      <c r="BH1115" s="148"/>
      <c r="BI1115" s="148"/>
      <c r="BJ1115" s="148"/>
      <c r="BK1115" s="148"/>
      <c r="BL1115" s="148"/>
      <c r="BM1115" s="148"/>
      <c r="BN1115" s="148"/>
      <c r="BO1115" s="148"/>
      <c r="BP1115" s="148"/>
      <c r="BQ1115" s="148"/>
      <c r="BR1115" s="148"/>
      <c r="BS1115" s="148"/>
      <c r="BT1115" s="148"/>
      <c r="BU1115" s="148"/>
      <c r="BV1115" s="148"/>
      <c r="BW1115" s="148"/>
      <c r="BX1115" s="148"/>
      <c r="BY1115" s="148"/>
      <c r="BZ1115" s="148"/>
      <c r="CA1115" s="148"/>
      <c r="CB1115" s="148"/>
      <c r="CC1115" s="148"/>
      <c r="CD1115" s="148"/>
      <c r="CE1115" s="148"/>
      <c r="CF1115" s="148"/>
      <c r="CG1115" s="148"/>
      <c r="CH1115" s="148"/>
      <c r="CI1115" s="148"/>
      <c r="CJ1115" s="148"/>
      <c r="CK1115" s="148"/>
      <c r="CL1115" s="148"/>
      <c r="CM1115" s="148"/>
      <c r="CN1115" s="148"/>
      <c r="CO1115" s="148"/>
      <c r="CP1115" s="148"/>
      <c r="CQ1115" s="148"/>
      <c r="CR1115" s="148"/>
      <c r="CS1115" s="148"/>
      <c r="CT1115" s="148"/>
      <c r="CU1115" s="148"/>
      <c r="CV1115" s="148"/>
      <c r="CW1115" s="148"/>
      <c r="CX1115" s="148"/>
      <c r="CY1115" s="148"/>
      <c r="CZ1115" s="148"/>
      <c r="DA1115" s="148"/>
      <c r="DB1115" s="148"/>
      <c r="DC1115" s="148"/>
      <c r="DD1115" s="148"/>
      <c r="DE1115" s="148"/>
      <c r="DF1115" s="148"/>
      <c r="DG1115" s="148"/>
      <c r="DH1115" s="148"/>
      <c r="DI1115" s="148"/>
      <c r="DJ1115" s="148"/>
      <c r="DK1115" s="148"/>
      <c r="DL1115" s="148"/>
      <c r="DM1115" s="148"/>
      <c r="DN1115" s="148"/>
      <c r="DO1115" s="148"/>
      <c r="DP1115" s="148"/>
      <c r="DQ1115" s="148"/>
      <c r="DR1115" s="148"/>
      <c r="DS1115" s="148"/>
      <c r="DT1115" s="148"/>
      <c r="DU1115" s="148"/>
      <c r="DV1115" s="148"/>
      <c r="DW1115" s="148"/>
      <c r="DX1115" s="148"/>
      <c r="DY1115" s="148"/>
      <c r="DZ1115" s="148"/>
      <c r="EA1115" s="148"/>
      <c r="EB1115" s="148"/>
      <c r="EC1115" s="148"/>
      <c r="ED1115" s="148"/>
      <c r="EE1115" s="148"/>
      <c r="EF1115" s="148"/>
      <c r="EG1115" s="148"/>
      <c r="EH1115" s="148"/>
      <c r="EI1115" s="148"/>
      <c r="EJ1115" s="148"/>
      <c r="EK1115" s="148"/>
      <c r="EL1115" s="148"/>
      <c r="EM1115" s="148"/>
    </row>
    <row r="1116" spans="1:143" s="90" customFormat="1" x14ac:dyDescent="0.3">
      <c r="A1116" s="84">
        <v>903133</v>
      </c>
      <c r="B1116" s="182">
        <v>39.299999999999997</v>
      </c>
      <c r="C1116" s="182">
        <v>12.6</v>
      </c>
      <c r="D1116" s="184">
        <v>8.6</v>
      </c>
      <c r="E1116" s="1534">
        <v>0.27</v>
      </c>
      <c r="F1116" s="181">
        <v>215.65</v>
      </c>
      <c r="G1116" s="181"/>
      <c r="H1116" s="183">
        <v>26.43</v>
      </c>
      <c r="I1116" s="181">
        <v>780</v>
      </c>
      <c r="J1116" s="181">
        <v>0.152</v>
      </c>
      <c r="K1116" s="182">
        <v>8.2799999999999994</v>
      </c>
      <c r="L1116" s="181">
        <v>2380</v>
      </c>
      <c r="M1116" s="181">
        <v>1.22</v>
      </c>
      <c r="N1116" s="181">
        <v>2.27</v>
      </c>
      <c r="O1116" s="181">
        <v>6.39</v>
      </c>
      <c r="P1116" s="181">
        <v>4.26</v>
      </c>
      <c r="Q1116" s="181"/>
      <c r="R1116" s="957">
        <v>1.2207872582453472</v>
      </c>
      <c r="S1116" s="181">
        <v>8.4</v>
      </c>
      <c r="T1116" s="83"/>
      <c r="U1116" s="83"/>
      <c r="V1116" s="83"/>
      <c r="W1116" s="181"/>
      <c r="X1116" s="181"/>
      <c r="Y1116" s="182">
        <f t="shared" si="48"/>
        <v>32</v>
      </c>
      <c r="Z1116" s="181"/>
      <c r="AA1116" s="181"/>
      <c r="AB1116" s="181"/>
      <c r="AC1116" s="181"/>
      <c r="AD1116" s="88">
        <v>640</v>
      </c>
      <c r="AE1116" s="88">
        <v>280</v>
      </c>
      <c r="AF1116" s="88">
        <v>80</v>
      </c>
      <c r="AG1116" s="66">
        <f t="shared" si="45"/>
        <v>91.597499999999997</v>
      </c>
      <c r="AH1116" s="143">
        <f t="shared" si="46"/>
        <v>1000</v>
      </c>
      <c r="AI1116" s="148"/>
      <c r="AJ1116" s="148"/>
      <c r="AK1116" s="148"/>
      <c r="AL1116" s="148"/>
      <c r="AM1116" s="148"/>
      <c r="AN1116" s="148"/>
      <c r="AO1116" s="148"/>
      <c r="AP1116" s="148"/>
      <c r="AQ1116" s="148"/>
      <c r="AR1116" s="148"/>
      <c r="AS1116" s="148"/>
      <c r="AT1116" s="148"/>
      <c r="AU1116" s="148"/>
      <c r="AV1116" s="148"/>
      <c r="AW1116" s="148"/>
      <c r="AX1116" s="148"/>
      <c r="AY1116" s="148"/>
      <c r="AZ1116" s="148"/>
      <c r="BA1116" s="148"/>
      <c r="BB1116" s="148"/>
      <c r="BC1116" s="148"/>
      <c r="BD1116" s="148"/>
      <c r="BE1116" s="148"/>
      <c r="BF1116" s="148"/>
      <c r="BG1116" s="148"/>
      <c r="BH1116" s="148"/>
      <c r="BI1116" s="148"/>
      <c r="BJ1116" s="148"/>
      <c r="BK1116" s="148"/>
      <c r="BL1116" s="148"/>
      <c r="BM1116" s="148"/>
      <c r="BN1116" s="148"/>
      <c r="BO1116" s="148"/>
      <c r="BP1116" s="148"/>
      <c r="BQ1116" s="148"/>
      <c r="BR1116" s="148"/>
      <c r="BS1116" s="148"/>
      <c r="BT1116" s="148"/>
      <c r="BU1116" s="148"/>
      <c r="BV1116" s="148"/>
      <c r="BW1116" s="148"/>
      <c r="BX1116" s="148"/>
      <c r="BY1116" s="148"/>
      <c r="BZ1116" s="148"/>
      <c r="CA1116" s="148"/>
      <c r="CB1116" s="148"/>
      <c r="CC1116" s="148"/>
      <c r="CD1116" s="148"/>
      <c r="CE1116" s="148"/>
      <c r="CF1116" s="148"/>
      <c r="CG1116" s="148"/>
      <c r="CH1116" s="148"/>
      <c r="CI1116" s="148"/>
      <c r="CJ1116" s="148"/>
      <c r="CK1116" s="148"/>
      <c r="CL1116" s="148"/>
      <c r="CM1116" s="148"/>
      <c r="CN1116" s="148"/>
      <c r="CO1116" s="148"/>
      <c r="CP1116" s="148"/>
      <c r="CQ1116" s="148"/>
      <c r="CR1116" s="148"/>
      <c r="CS1116" s="148"/>
      <c r="CT1116" s="148"/>
      <c r="CU1116" s="148"/>
      <c r="CV1116" s="148"/>
      <c r="CW1116" s="148"/>
      <c r="CX1116" s="148"/>
      <c r="CY1116" s="148"/>
      <c r="CZ1116" s="148"/>
      <c r="DA1116" s="148"/>
      <c r="DB1116" s="148"/>
      <c r="DC1116" s="148"/>
      <c r="DD1116" s="148"/>
      <c r="DE1116" s="148"/>
      <c r="DF1116" s="148"/>
      <c r="DG1116" s="148"/>
      <c r="DH1116" s="148"/>
      <c r="DI1116" s="148"/>
      <c r="DJ1116" s="148"/>
      <c r="DK1116" s="148"/>
      <c r="DL1116" s="148"/>
      <c r="DM1116" s="148"/>
      <c r="DN1116" s="148"/>
      <c r="DO1116" s="148"/>
      <c r="DP1116" s="148"/>
      <c r="DQ1116" s="148"/>
      <c r="DR1116" s="148"/>
      <c r="DS1116" s="148"/>
      <c r="DT1116" s="148"/>
      <c r="DU1116" s="148"/>
      <c r="DV1116" s="148"/>
      <c r="DW1116" s="148"/>
      <c r="DX1116" s="148"/>
      <c r="DY1116" s="148"/>
      <c r="DZ1116" s="148"/>
      <c r="EA1116" s="148"/>
      <c r="EB1116" s="148"/>
      <c r="EC1116" s="148"/>
      <c r="ED1116" s="148"/>
      <c r="EE1116" s="148"/>
      <c r="EF1116" s="148"/>
      <c r="EG1116" s="148"/>
      <c r="EH1116" s="148"/>
      <c r="EI1116" s="148"/>
      <c r="EJ1116" s="148"/>
      <c r="EK1116" s="148"/>
      <c r="EL1116" s="148"/>
      <c r="EM1116" s="148"/>
    </row>
    <row r="1117" spans="1:143" s="90" customFormat="1" x14ac:dyDescent="0.3">
      <c r="A1117" s="84">
        <v>903134</v>
      </c>
      <c r="B1117" s="182">
        <v>38.299999999999997</v>
      </c>
      <c r="C1117" s="182">
        <v>11.8</v>
      </c>
      <c r="D1117" s="184">
        <v>8.44</v>
      </c>
      <c r="E1117" s="1534">
        <v>0.26</v>
      </c>
      <c r="F1117" s="181">
        <v>146.85</v>
      </c>
      <c r="G1117" s="181"/>
      <c r="H1117" s="183">
        <v>142.66999999999999</v>
      </c>
      <c r="I1117" s="181">
        <v>770</v>
      </c>
      <c r="J1117" s="181">
        <v>0.13700000000000001</v>
      </c>
      <c r="K1117" s="182">
        <v>8.5399999999999991</v>
      </c>
      <c r="L1117" s="181">
        <v>1860</v>
      </c>
      <c r="M1117" s="181">
        <v>2.85</v>
      </c>
      <c r="N1117" s="181">
        <v>2.5099999999999998</v>
      </c>
      <c r="O1117" s="181">
        <v>9.42</v>
      </c>
      <c r="P1117" s="181">
        <v>5.9</v>
      </c>
      <c r="Q1117" s="181"/>
      <c r="R1117" s="957">
        <v>1.7239370000000001</v>
      </c>
      <c r="S1117" s="181">
        <v>14.3</v>
      </c>
      <c r="T1117" s="83"/>
      <c r="U1117" s="83"/>
      <c r="V1117" s="83"/>
      <c r="W1117" s="181"/>
      <c r="X1117" s="181"/>
      <c r="Y1117" s="182">
        <f t="shared" si="48"/>
        <v>31</v>
      </c>
      <c r="Z1117" s="181"/>
      <c r="AA1117" s="181"/>
      <c r="AB1117" s="181"/>
      <c r="AC1117" s="181"/>
      <c r="AD1117" s="88">
        <v>620</v>
      </c>
      <c r="AE1117" s="88">
        <v>240</v>
      </c>
      <c r="AF1117" s="88">
        <v>140</v>
      </c>
      <c r="AG1117" s="66">
        <f t="shared" si="45"/>
        <v>97.52129032258064</v>
      </c>
      <c r="AH1117" s="143">
        <f t="shared" si="46"/>
        <v>1000</v>
      </c>
      <c r="AI1117" s="148"/>
      <c r="AJ1117" s="148"/>
      <c r="AK1117" s="148"/>
      <c r="AL1117" s="148"/>
      <c r="AM1117" s="148"/>
      <c r="AN1117" s="148"/>
      <c r="AO1117" s="148"/>
      <c r="AP1117" s="148"/>
      <c r="AQ1117" s="148"/>
      <c r="AR1117" s="148"/>
      <c r="AS1117" s="148"/>
      <c r="AT1117" s="148"/>
      <c r="AU1117" s="148"/>
      <c r="AV1117" s="148"/>
      <c r="AW1117" s="148"/>
      <c r="AX1117" s="148"/>
      <c r="AY1117" s="148"/>
      <c r="AZ1117" s="148"/>
      <c r="BA1117" s="148"/>
      <c r="BB1117" s="148"/>
      <c r="BC1117" s="148"/>
      <c r="BD1117" s="148"/>
      <c r="BE1117" s="148"/>
      <c r="BF1117" s="148"/>
      <c r="BG1117" s="148"/>
      <c r="BH1117" s="148"/>
      <c r="BI1117" s="148"/>
      <c r="BJ1117" s="148"/>
      <c r="BK1117" s="148"/>
      <c r="BL1117" s="148"/>
      <c r="BM1117" s="148"/>
      <c r="BN1117" s="148"/>
      <c r="BO1117" s="148"/>
      <c r="BP1117" s="148"/>
      <c r="BQ1117" s="148"/>
      <c r="BR1117" s="148"/>
      <c r="BS1117" s="148"/>
      <c r="BT1117" s="148"/>
      <c r="BU1117" s="148"/>
      <c r="BV1117" s="148"/>
      <c r="BW1117" s="148"/>
      <c r="BX1117" s="148"/>
      <c r="BY1117" s="148"/>
      <c r="BZ1117" s="148"/>
      <c r="CA1117" s="148"/>
      <c r="CB1117" s="148"/>
      <c r="CC1117" s="148"/>
      <c r="CD1117" s="148"/>
      <c r="CE1117" s="148"/>
      <c r="CF1117" s="148"/>
      <c r="CG1117" s="148"/>
      <c r="CH1117" s="148"/>
      <c r="CI1117" s="148"/>
      <c r="CJ1117" s="148"/>
      <c r="CK1117" s="148"/>
      <c r="CL1117" s="148"/>
      <c r="CM1117" s="148"/>
      <c r="CN1117" s="148"/>
      <c r="CO1117" s="148"/>
      <c r="CP1117" s="148"/>
      <c r="CQ1117" s="148"/>
      <c r="CR1117" s="148"/>
      <c r="CS1117" s="148"/>
      <c r="CT1117" s="148"/>
      <c r="CU1117" s="148"/>
      <c r="CV1117" s="148"/>
      <c r="CW1117" s="148"/>
      <c r="CX1117" s="148"/>
      <c r="CY1117" s="148"/>
      <c r="CZ1117" s="148"/>
      <c r="DA1117" s="148"/>
      <c r="DB1117" s="148"/>
      <c r="DC1117" s="148"/>
      <c r="DD1117" s="148"/>
      <c r="DE1117" s="148"/>
      <c r="DF1117" s="148"/>
      <c r="DG1117" s="148"/>
      <c r="DH1117" s="148"/>
      <c r="DI1117" s="148"/>
      <c r="DJ1117" s="148"/>
      <c r="DK1117" s="148"/>
      <c r="DL1117" s="148"/>
      <c r="DM1117" s="148"/>
      <c r="DN1117" s="148"/>
      <c r="DO1117" s="148"/>
      <c r="DP1117" s="148"/>
      <c r="DQ1117" s="148"/>
      <c r="DR1117" s="148"/>
      <c r="DS1117" s="148"/>
      <c r="DT1117" s="148"/>
      <c r="DU1117" s="148"/>
      <c r="DV1117" s="148"/>
      <c r="DW1117" s="148"/>
      <c r="DX1117" s="148"/>
      <c r="DY1117" s="148"/>
      <c r="DZ1117" s="148"/>
      <c r="EA1117" s="148"/>
      <c r="EB1117" s="148"/>
      <c r="EC1117" s="148"/>
      <c r="ED1117" s="148"/>
      <c r="EE1117" s="148"/>
      <c r="EF1117" s="148"/>
      <c r="EG1117" s="148"/>
      <c r="EH1117" s="148"/>
      <c r="EI1117" s="148"/>
      <c r="EJ1117" s="148"/>
      <c r="EK1117" s="148"/>
      <c r="EL1117" s="148"/>
      <c r="EM1117" s="148"/>
    </row>
    <row r="1118" spans="1:143" s="90" customFormat="1" x14ac:dyDescent="0.3">
      <c r="A1118" s="84">
        <v>903135</v>
      </c>
      <c r="B1118" s="182">
        <v>42</v>
      </c>
      <c r="C1118" s="182">
        <v>12.6</v>
      </c>
      <c r="D1118" s="184">
        <v>8.56</v>
      </c>
      <c r="E1118" s="1534">
        <v>0.26</v>
      </c>
      <c r="F1118" s="181">
        <v>132.19999999999999</v>
      </c>
      <c r="G1118" s="181"/>
      <c r="H1118" s="183">
        <v>109.08</v>
      </c>
      <c r="I1118" s="181">
        <v>730</v>
      </c>
      <c r="J1118" s="181">
        <v>0.125</v>
      </c>
      <c r="K1118" s="182">
        <v>8.3800000000000008</v>
      </c>
      <c r="L1118" s="181">
        <v>1790</v>
      </c>
      <c r="M1118" s="181">
        <v>1.85</v>
      </c>
      <c r="N1118" s="181">
        <v>2.0099999999999998</v>
      </c>
      <c r="O1118" s="181">
        <v>9.15</v>
      </c>
      <c r="P1118" s="181">
        <v>4.79</v>
      </c>
      <c r="Q1118" s="181"/>
      <c r="R1118" s="957">
        <v>1.7444330000000001</v>
      </c>
      <c r="S1118" s="181">
        <v>14.9</v>
      </c>
      <c r="T1118" s="83"/>
      <c r="U1118" s="83"/>
      <c r="V1118" s="83"/>
      <c r="W1118" s="181"/>
      <c r="X1118" s="181"/>
      <c r="Y1118" s="182">
        <f t="shared" si="48"/>
        <v>29</v>
      </c>
      <c r="Z1118" s="181"/>
      <c r="AA1118" s="181"/>
      <c r="AB1118" s="181"/>
      <c r="AC1118" s="181"/>
      <c r="AD1118" s="88">
        <v>580</v>
      </c>
      <c r="AE1118" s="88">
        <v>260</v>
      </c>
      <c r="AF1118" s="88">
        <v>160</v>
      </c>
      <c r="AG1118" s="66">
        <f t="shared" si="45"/>
        <v>102.29379310344829</v>
      </c>
      <c r="AH1118" s="143">
        <f t="shared" si="46"/>
        <v>1000</v>
      </c>
      <c r="AI1118" s="148"/>
      <c r="AJ1118" s="148"/>
      <c r="AK1118" s="148"/>
      <c r="AL1118" s="148"/>
      <c r="AM1118" s="148"/>
      <c r="AN1118" s="148"/>
      <c r="AO1118" s="148"/>
      <c r="AP1118" s="148"/>
      <c r="AQ1118" s="148"/>
      <c r="AR1118" s="148"/>
      <c r="AS1118" s="148"/>
      <c r="AT1118" s="148"/>
      <c r="AU1118" s="148"/>
      <c r="AV1118" s="148"/>
      <c r="AW1118" s="148"/>
      <c r="AX1118" s="148"/>
      <c r="AY1118" s="148"/>
      <c r="AZ1118" s="148"/>
      <c r="BA1118" s="148"/>
      <c r="BB1118" s="148"/>
      <c r="BC1118" s="148"/>
      <c r="BD1118" s="148"/>
      <c r="BE1118" s="148"/>
      <c r="BF1118" s="148"/>
      <c r="BG1118" s="148"/>
      <c r="BH1118" s="148"/>
      <c r="BI1118" s="148"/>
      <c r="BJ1118" s="148"/>
      <c r="BK1118" s="148"/>
      <c r="BL1118" s="148"/>
      <c r="BM1118" s="148"/>
      <c r="BN1118" s="148"/>
      <c r="BO1118" s="148"/>
      <c r="BP1118" s="148"/>
      <c r="BQ1118" s="148"/>
      <c r="BR1118" s="148"/>
      <c r="BS1118" s="148"/>
      <c r="BT1118" s="148"/>
      <c r="BU1118" s="148"/>
      <c r="BV1118" s="148"/>
      <c r="BW1118" s="148"/>
      <c r="BX1118" s="148"/>
      <c r="BY1118" s="148"/>
      <c r="BZ1118" s="148"/>
      <c r="CA1118" s="148"/>
      <c r="CB1118" s="148"/>
      <c r="CC1118" s="148"/>
      <c r="CD1118" s="148"/>
      <c r="CE1118" s="148"/>
      <c r="CF1118" s="148"/>
      <c r="CG1118" s="148"/>
      <c r="CH1118" s="148"/>
      <c r="CI1118" s="148"/>
      <c r="CJ1118" s="148"/>
      <c r="CK1118" s="148"/>
      <c r="CL1118" s="148"/>
      <c r="CM1118" s="148"/>
      <c r="CN1118" s="148"/>
      <c r="CO1118" s="148"/>
      <c r="CP1118" s="148"/>
      <c r="CQ1118" s="148"/>
      <c r="CR1118" s="148"/>
      <c r="CS1118" s="148"/>
      <c r="CT1118" s="148"/>
      <c r="CU1118" s="148"/>
      <c r="CV1118" s="148"/>
      <c r="CW1118" s="148"/>
      <c r="CX1118" s="148"/>
      <c r="CY1118" s="148"/>
      <c r="CZ1118" s="148"/>
      <c r="DA1118" s="148"/>
      <c r="DB1118" s="148"/>
      <c r="DC1118" s="148"/>
      <c r="DD1118" s="148"/>
      <c r="DE1118" s="148"/>
      <c r="DF1118" s="148"/>
      <c r="DG1118" s="148"/>
      <c r="DH1118" s="148"/>
      <c r="DI1118" s="148"/>
      <c r="DJ1118" s="148"/>
      <c r="DK1118" s="148"/>
      <c r="DL1118" s="148"/>
      <c r="DM1118" s="148"/>
      <c r="DN1118" s="148"/>
      <c r="DO1118" s="148"/>
      <c r="DP1118" s="148"/>
      <c r="DQ1118" s="148"/>
      <c r="DR1118" s="148"/>
      <c r="DS1118" s="148"/>
      <c r="DT1118" s="148"/>
      <c r="DU1118" s="148"/>
      <c r="DV1118" s="148"/>
      <c r="DW1118" s="148"/>
      <c r="DX1118" s="148"/>
      <c r="DY1118" s="148"/>
      <c r="DZ1118" s="148"/>
      <c r="EA1118" s="148"/>
      <c r="EB1118" s="148"/>
      <c r="EC1118" s="148"/>
      <c r="ED1118" s="148"/>
      <c r="EE1118" s="148"/>
      <c r="EF1118" s="148"/>
      <c r="EG1118" s="148"/>
      <c r="EH1118" s="148"/>
      <c r="EI1118" s="148"/>
      <c r="EJ1118" s="148"/>
      <c r="EK1118" s="148"/>
      <c r="EL1118" s="148"/>
      <c r="EM1118" s="148"/>
    </row>
    <row r="1119" spans="1:143" s="90" customFormat="1" x14ac:dyDescent="0.3">
      <c r="A1119" s="84">
        <v>903136</v>
      </c>
      <c r="B1119" s="182">
        <v>34</v>
      </c>
      <c r="C1119" s="182">
        <v>13.6</v>
      </c>
      <c r="D1119" s="184">
        <v>8.39</v>
      </c>
      <c r="E1119" s="1534">
        <v>0.49</v>
      </c>
      <c r="F1119" s="181">
        <v>436.1</v>
      </c>
      <c r="G1119" s="181"/>
      <c r="H1119" s="183">
        <v>60.19</v>
      </c>
      <c r="I1119" s="181">
        <v>420</v>
      </c>
      <c r="J1119" s="181">
        <v>0.29499999999999998</v>
      </c>
      <c r="K1119" s="182">
        <v>8.3699999999999992</v>
      </c>
      <c r="L1119" s="181">
        <v>1890</v>
      </c>
      <c r="M1119" s="181">
        <v>2.39</v>
      </c>
      <c r="N1119" s="181">
        <v>1.87</v>
      </c>
      <c r="O1119" s="181">
        <v>10.28</v>
      </c>
      <c r="P1119" s="181">
        <v>4.13</v>
      </c>
      <c r="Q1119" s="181"/>
      <c r="R1119" s="957">
        <v>1.7966250000000001</v>
      </c>
      <c r="S1119" s="181">
        <v>16.5</v>
      </c>
      <c r="T1119" s="83"/>
      <c r="U1119" s="83"/>
      <c r="V1119" s="83"/>
      <c r="W1119" s="181"/>
      <c r="X1119" s="181"/>
      <c r="Y1119" s="182">
        <f t="shared" si="48"/>
        <v>28</v>
      </c>
      <c r="Z1119" s="181"/>
      <c r="AA1119" s="181"/>
      <c r="AB1119" s="181"/>
      <c r="AC1119" s="181"/>
      <c r="AD1119" s="88">
        <v>560</v>
      </c>
      <c r="AE1119" s="88">
        <v>240</v>
      </c>
      <c r="AF1119" s="88">
        <v>200</v>
      </c>
      <c r="AG1119" s="66">
        <f t="shared" si="45"/>
        <v>105.82071428571427</v>
      </c>
      <c r="AH1119" s="143">
        <f t="shared" si="46"/>
        <v>1000</v>
      </c>
      <c r="AI1119" s="148"/>
      <c r="AJ1119" s="148"/>
      <c r="AK1119" s="148"/>
      <c r="AL1119" s="148"/>
      <c r="AM1119" s="148"/>
      <c r="AN1119" s="148"/>
      <c r="AO1119" s="148"/>
      <c r="AP1119" s="148"/>
      <c r="AQ1119" s="148"/>
      <c r="AR1119" s="148"/>
      <c r="AS1119" s="148"/>
      <c r="AT1119" s="148"/>
      <c r="AU1119" s="148"/>
      <c r="AV1119" s="148"/>
      <c r="AW1119" s="148"/>
      <c r="AX1119" s="148"/>
      <c r="AY1119" s="148"/>
      <c r="AZ1119" s="148"/>
      <c r="BA1119" s="148"/>
      <c r="BB1119" s="148"/>
      <c r="BC1119" s="148"/>
      <c r="BD1119" s="148"/>
      <c r="BE1119" s="148"/>
      <c r="BF1119" s="148"/>
      <c r="BG1119" s="148"/>
      <c r="BH1119" s="148"/>
      <c r="BI1119" s="148"/>
      <c r="BJ1119" s="148"/>
      <c r="BK1119" s="148"/>
      <c r="BL1119" s="148"/>
      <c r="BM1119" s="148"/>
      <c r="BN1119" s="148"/>
      <c r="BO1119" s="148"/>
      <c r="BP1119" s="148"/>
      <c r="BQ1119" s="148"/>
      <c r="BR1119" s="148"/>
      <c r="BS1119" s="148"/>
      <c r="BT1119" s="148"/>
      <c r="BU1119" s="148"/>
      <c r="BV1119" s="148"/>
      <c r="BW1119" s="148"/>
      <c r="BX1119" s="148"/>
      <c r="BY1119" s="148"/>
      <c r="BZ1119" s="148"/>
      <c r="CA1119" s="148"/>
      <c r="CB1119" s="148"/>
      <c r="CC1119" s="148"/>
      <c r="CD1119" s="148"/>
      <c r="CE1119" s="148"/>
      <c r="CF1119" s="148"/>
      <c r="CG1119" s="148"/>
      <c r="CH1119" s="148"/>
      <c r="CI1119" s="148"/>
      <c r="CJ1119" s="148"/>
      <c r="CK1119" s="148"/>
      <c r="CL1119" s="148"/>
      <c r="CM1119" s="148"/>
      <c r="CN1119" s="148"/>
      <c r="CO1119" s="148"/>
      <c r="CP1119" s="148"/>
      <c r="CQ1119" s="148"/>
      <c r="CR1119" s="148"/>
      <c r="CS1119" s="148"/>
      <c r="CT1119" s="148"/>
      <c r="CU1119" s="148"/>
      <c r="CV1119" s="148"/>
      <c r="CW1119" s="148"/>
      <c r="CX1119" s="148"/>
      <c r="CY1119" s="148"/>
      <c r="CZ1119" s="148"/>
      <c r="DA1119" s="148"/>
      <c r="DB1119" s="148"/>
      <c r="DC1119" s="148"/>
      <c r="DD1119" s="148"/>
      <c r="DE1119" s="148"/>
      <c r="DF1119" s="148"/>
      <c r="DG1119" s="148"/>
      <c r="DH1119" s="148"/>
      <c r="DI1119" s="148"/>
      <c r="DJ1119" s="148"/>
      <c r="DK1119" s="148"/>
      <c r="DL1119" s="148"/>
      <c r="DM1119" s="148"/>
      <c r="DN1119" s="148"/>
      <c r="DO1119" s="148"/>
      <c r="DP1119" s="148"/>
      <c r="DQ1119" s="148"/>
      <c r="DR1119" s="148"/>
      <c r="DS1119" s="148"/>
      <c r="DT1119" s="148"/>
      <c r="DU1119" s="148"/>
      <c r="DV1119" s="148"/>
      <c r="DW1119" s="148"/>
      <c r="DX1119" s="148"/>
      <c r="DY1119" s="148"/>
      <c r="DZ1119" s="148"/>
      <c r="EA1119" s="148"/>
      <c r="EB1119" s="148"/>
      <c r="EC1119" s="148"/>
      <c r="ED1119" s="148"/>
      <c r="EE1119" s="148"/>
      <c r="EF1119" s="148"/>
      <c r="EG1119" s="148"/>
      <c r="EH1119" s="148"/>
      <c r="EI1119" s="148"/>
      <c r="EJ1119" s="148"/>
      <c r="EK1119" s="148"/>
      <c r="EL1119" s="148"/>
      <c r="EM1119" s="148"/>
    </row>
    <row r="1120" spans="1:143" s="90" customFormat="1" x14ac:dyDescent="0.3">
      <c r="A1120" s="84">
        <v>903137</v>
      </c>
      <c r="B1120" s="182">
        <v>41.7</v>
      </c>
      <c r="C1120" s="182">
        <v>11.6</v>
      </c>
      <c r="D1120" s="184">
        <v>8.51</v>
      </c>
      <c r="E1120" s="1534">
        <v>0.37</v>
      </c>
      <c r="F1120" s="181">
        <v>262.89999999999998</v>
      </c>
      <c r="G1120" s="181"/>
      <c r="H1120" s="183">
        <v>53.14</v>
      </c>
      <c r="I1120" s="181">
        <v>390</v>
      </c>
      <c r="J1120" s="181">
        <v>0.217</v>
      </c>
      <c r="K1120" s="182">
        <v>8.1300000000000008</v>
      </c>
      <c r="L1120" s="181">
        <v>2030</v>
      </c>
      <c r="M1120" s="181">
        <v>3.5</v>
      </c>
      <c r="N1120" s="181">
        <v>1.68</v>
      </c>
      <c r="O1120" s="181">
        <v>11.77</v>
      </c>
      <c r="P1120" s="181">
        <v>4.66</v>
      </c>
      <c r="Q1120" s="181"/>
      <c r="R1120" s="957">
        <v>1.8902570000000001</v>
      </c>
      <c r="S1120" s="181">
        <v>19.7</v>
      </c>
      <c r="T1120" s="83"/>
      <c r="U1120" s="83"/>
      <c r="V1120" s="83"/>
      <c r="W1120" s="181"/>
      <c r="X1120" s="181"/>
      <c r="Y1120" s="182">
        <f t="shared" si="48"/>
        <v>27</v>
      </c>
      <c r="Z1120" s="181"/>
      <c r="AA1120" s="181"/>
      <c r="AB1120" s="181"/>
      <c r="AC1120" s="181"/>
      <c r="AD1120" s="88">
        <v>540</v>
      </c>
      <c r="AE1120" s="88">
        <v>260</v>
      </c>
      <c r="AF1120" s="88">
        <v>200</v>
      </c>
      <c r="AG1120" s="66">
        <f t="shared" si="45"/>
        <v>106.59333333333335</v>
      </c>
      <c r="AH1120" s="143">
        <f t="shared" si="46"/>
        <v>1000</v>
      </c>
      <c r="AI1120" s="148"/>
      <c r="AJ1120" s="148"/>
      <c r="AK1120" s="148"/>
      <c r="AL1120" s="148"/>
      <c r="AM1120" s="148"/>
      <c r="AN1120" s="148"/>
      <c r="AO1120" s="148"/>
      <c r="AP1120" s="148"/>
      <c r="AQ1120" s="148"/>
      <c r="AR1120" s="148"/>
      <c r="AS1120" s="148"/>
      <c r="AT1120" s="148"/>
      <c r="AU1120" s="148"/>
      <c r="AV1120" s="148"/>
      <c r="AW1120" s="148"/>
      <c r="AX1120" s="148"/>
      <c r="AY1120" s="148"/>
      <c r="AZ1120" s="148"/>
      <c r="BA1120" s="148"/>
      <c r="BB1120" s="148"/>
      <c r="BC1120" s="148"/>
      <c r="BD1120" s="148"/>
      <c r="BE1120" s="148"/>
      <c r="BF1120" s="148"/>
      <c r="BG1120" s="148"/>
      <c r="BH1120" s="148"/>
      <c r="BI1120" s="148"/>
      <c r="BJ1120" s="148"/>
      <c r="BK1120" s="148"/>
      <c r="BL1120" s="148"/>
      <c r="BM1120" s="148"/>
      <c r="BN1120" s="148"/>
      <c r="BO1120" s="148"/>
      <c r="BP1120" s="148"/>
      <c r="BQ1120" s="148"/>
      <c r="BR1120" s="148"/>
      <c r="BS1120" s="148"/>
      <c r="BT1120" s="148"/>
      <c r="BU1120" s="148"/>
      <c r="BV1120" s="148"/>
      <c r="BW1120" s="148"/>
      <c r="BX1120" s="148"/>
      <c r="BY1120" s="148"/>
      <c r="BZ1120" s="148"/>
      <c r="CA1120" s="148"/>
      <c r="CB1120" s="148"/>
      <c r="CC1120" s="148"/>
      <c r="CD1120" s="148"/>
      <c r="CE1120" s="148"/>
      <c r="CF1120" s="148"/>
      <c r="CG1120" s="148"/>
      <c r="CH1120" s="148"/>
      <c r="CI1120" s="148"/>
      <c r="CJ1120" s="148"/>
      <c r="CK1120" s="148"/>
      <c r="CL1120" s="148"/>
      <c r="CM1120" s="148"/>
      <c r="CN1120" s="148"/>
      <c r="CO1120" s="148"/>
      <c r="CP1120" s="148"/>
      <c r="CQ1120" s="148"/>
      <c r="CR1120" s="148"/>
      <c r="CS1120" s="148"/>
      <c r="CT1120" s="148"/>
      <c r="CU1120" s="148"/>
      <c r="CV1120" s="148"/>
      <c r="CW1120" s="148"/>
      <c r="CX1120" s="148"/>
      <c r="CY1120" s="148"/>
      <c r="CZ1120" s="148"/>
      <c r="DA1120" s="148"/>
      <c r="DB1120" s="148"/>
      <c r="DC1120" s="148"/>
      <c r="DD1120" s="148"/>
      <c r="DE1120" s="148"/>
      <c r="DF1120" s="148"/>
      <c r="DG1120" s="148"/>
      <c r="DH1120" s="148"/>
      <c r="DI1120" s="148"/>
      <c r="DJ1120" s="148"/>
      <c r="DK1120" s="148"/>
      <c r="DL1120" s="148"/>
      <c r="DM1120" s="148"/>
      <c r="DN1120" s="148"/>
      <c r="DO1120" s="148"/>
      <c r="DP1120" s="148"/>
      <c r="DQ1120" s="148"/>
      <c r="DR1120" s="148"/>
      <c r="DS1120" s="148"/>
      <c r="DT1120" s="148"/>
      <c r="DU1120" s="148"/>
      <c r="DV1120" s="148"/>
      <c r="DW1120" s="148"/>
      <c r="DX1120" s="148"/>
      <c r="DY1120" s="148"/>
      <c r="DZ1120" s="148"/>
      <c r="EA1120" s="148"/>
      <c r="EB1120" s="148"/>
      <c r="EC1120" s="148"/>
      <c r="ED1120" s="148"/>
      <c r="EE1120" s="148"/>
      <c r="EF1120" s="148"/>
      <c r="EG1120" s="148"/>
      <c r="EH1120" s="148"/>
      <c r="EI1120" s="148"/>
      <c r="EJ1120" s="148"/>
      <c r="EK1120" s="148"/>
      <c r="EL1120" s="148"/>
      <c r="EM1120" s="148"/>
    </row>
    <row r="1121" spans="1:143" s="90" customFormat="1" x14ac:dyDescent="0.3">
      <c r="A1121" s="84">
        <v>903138</v>
      </c>
      <c r="B1121" s="182">
        <v>22</v>
      </c>
      <c r="C1121" s="182">
        <v>12.9</v>
      </c>
      <c r="D1121" s="184">
        <v>8.73</v>
      </c>
      <c r="E1121" s="1534">
        <v>0.28000000000000003</v>
      </c>
      <c r="F1121" s="181">
        <v>132.55000000000001</v>
      </c>
      <c r="G1121" s="181"/>
      <c r="H1121" s="183">
        <v>214.71</v>
      </c>
      <c r="I1121" s="181">
        <v>290</v>
      </c>
      <c r="J1121" s="181">
        <v>0.22900000000000001</v>
      </c>
      <c r="K1121" s="182">
        <v>8.11</v>
      </c>
      <c r="L1121" s="181">
        <v>1170</v>
      </c>
      <c r="M1121" s="181">
        <v>0.4</v>
      </c>
      <c r="N1121" s="181">
        <v>0.69</v>
      </c>
      <c r="O1121" s="181">
        <v>3.89</v>
      </c>
      <c r="P1121" s="181">
        <v>2.02</v>
      </c>
      <c r="Q1121" s="181"/>
      <c r="R1121" s="957">
        <v>1.1162054893251763</v>
      </c>
      <c r="S1121" s="181">
        <v>7.5</v>
      </c>
      <c r="T1121" s="83"/>
      <c r="U1121" s="83"/>
      <c r="V1121" s="83"/>
      <c r="W1121" s="181"/>
      <c r="X1121" s="181"/>
      <c r="Y1121" s="182">
        <f t="shared" si="48"/>
        <v>32</v>
      </c>
      <c r="Z1121" s="181"/>
      <c r="AA1121" s="181"/>
      <c r="AB1121" s="181"/>
      <c r="AC1121" s="181"/>
      <c r="AD1121" s="88">
        <v>640</v>
      </c>
      <c r="AE1121" s="88">
        <v>260</v>
      </c>
      <c r="AF1121" s="88">
        <v>100</v>
      </c>
      <c r="AG1121" s="66">
        <f t="shared" si="45"/>
        <v>89.716875000000002</v>
      </c>
      <c r="AH1121" s="143">
        <f t="shared" si="46"/>
        <v>1000</v>
      </c>
      <c r="AI1121" s="148"/>
      <c r="AJ1121" s="148"/>
      <c r="AK1121" s="148"/>
      <c r="AL1121" s="148"/>
      <c r="AM1121" s="148"/>
      <c r="AN1121" s="148"/>
      <c r="AO1121" s="148"/>
      <c r="AP1121" s="148"/>
      <c r="AQ1121" s="148"/>
      <c r="AR1121" s="148"/>
      <c r="AS1121" s="148"/>
      <c r="AT1121" s="148"/>
      <c r="AU1121" s="148"/>
      <c r="AV1121" s="148"/>
      <c r="AW1121" s="148"/>
      <c r="AX1121" s="148"/>
      <c r="AY1121" s="148"/>
      <c r="AZ1121" s="148"/>
      <c r="BA1121" s="148"/>
      <c r="BB1121" s="148"/>
      <c r="BC1121" s="148"/>
      <c r="BD1121" s="148"/>
      <c r="BE1121" s="148"/>
      <c r="BF1121" s="148"/>
      <c r="BG1121" s="148"/>
      <c r="BH1121" s="148"/>
      <c r="BI1121" s="148"/>
      <c r="BJ1121" s="148"/>
      <c r="BK1121" s="148"/>
      <c r="BL1121" s="148"/>
      <c r="BM1121" s="148"/>
      <c r="BN1121" s="148"/>
      <c r="BO1121" s="148"/>
      <c r="BP1121" s="148"/>
      <c r="BQ1121" s="148"/>
      <c r="BR1121" s="148"/>
      <c r="BS1121" s="148"/>
      <c r="BT1121" s="148"/>
      <c r="BU1121" s="148"/>
      <c r="BV1121" s="148"/>
      <c r="BW1121" s="148"/>
      <c r="BX1121" s="148"/>
      <c r="BY1121" s="148"/>
      <c r="BZ1121" s="148"/>
      <c r="CA1121" s="148"/>
      <c r="CB1121" s="148"/>
      <c r="CC1121" s="148"/>
      <c r="CD1121" s="148"/>
      <c r="CE1121" s="148"/>
      <c r="CF1121" s="148"/>
      <c r="CG1121" s="148"/>
      <c r="CH1121" s="148"/>
      <c r="CI1121" s="148"/>
      <c r="CJ1121" s="148"/>
      <c r="CK1121" s="148"/>
      <c r="CL1121" s="148"/>
      <c r="CM1121" s="148"/>
      <c r="CN1121" s="148"/>
      <c r="CO1121" s="148"/>
      <c r="CP1121" s="148"/>
      <c r="CQ1121" s="148"/>
      <c r="CR1121" s="148"/>
      <c r="CS1121" s="148"/>
      <c r="CT1121" s="148"/>
      <c r="CU1121" s="148"/>
      <c r="CV1121" s="148"/>
      <c r="CW1121" s="148"/>
      <c r="CX1121" s="148"/>
      <c r="CY1121" s="148"/>
      <c r="CZ1121" s="148"/>
      <c r="DA1121" s="148"/>
      <c r="DB1121" s="148"/>
      <c r="DC1121" s="148"/>
      <c r="DD1121" s="148"/>
      <c r="DE1121" s="148"/>
      <c r="DF1121" s="148"/>
      <c r="DG1121" s="148"/>
      <c r="DH1121" s="148"/>
      <c r="DI1121" s="148"/>
      <c r="DJ1121" s="148"/>
      <c r="DK1121" s="148"/>
      <c r="DL1121" s="148"/>
      <c r="DM1121" s="148"/>
      <c r="DN1121" s="148"/>
      <c r="DO1121" s="148"/>
      <c r="DP1121" s="148"/>
      <c r="DQ1121" s="148"/>
      <c r="DR1121" s="148"/>
      <c r="DS1121" s="148"/>
      <c r="DT1121" s="148"/>
      <c r="DU1121" s="148"/>
      <c r="DV1121" s="148"/>
      <c r="DW1121" s="148"/>
      <c r="DX1121" s="148"/>
      <c r="DY1121" s="148"/>
      <c r="DZ1121" s="148"/>
      <c r="EA1121" s="148"/>
      <c r="EB1121" s="148"/>
      <c r="EC1121" s="148"/>
      <c r="ED1121" s="148"/>
      <c r="EE1121" s="148"/>
      <c r="EF1121" s="148"/>
      <c r="EG1121" s="148"/>
      <c r="EH1121" s="148"/>
      <c r="EI1121" s="148"/>
      <c r="EJ1121" s="148"/>
      <c r="EK1121" s="148"/>
      <c r="EL1121" s="148"/>
      <c r="EM1121" s="148"/>
    </row>
    <row r="1122" spans="1:143" s="90" customFormat="1" x14ac:dyDescent="0.3">
      <c r="A1122" s="84">
        <v>903139</v>
      </c>
      <c r="B1122" s="182">
        <v>26.8</v>
      </c>
      <c r="C1122" s="182">
        <v>10.1</v>
      </c>
      <c r="D1122" s="184">
        <v>7.98</v>
      </c>
      <c r="E1122" s="1534">
        <v>2.33</v>
      </c>
      <c r="F1122" s="181">
        <v>250.6</v>
      </c>
      <c r="G1122" s="181"/>
      <c r="H1122" s="183">
        <v>79.47</v>
      </c>
      <c r="I1122" s="181">
        <v>560</v>
      </c>
      <c r="J1122" s="181">
        <v>0.44900000000000001</v>
      </c>
      <c r="K1122" s="182">
        <v>13.07</v>
      </c>
      <c r="L1122" s="181">
        <v>1040</v>
      </c>
      <c r="M1122" s="88">
        <v>0.43</v>
      </c>
      <c r="N1122" s="88">
        <v>0.52</v>
      </c>
      <c r="O1122" s="88">
        <v>3.53</v>
      </c>
      <c r="P1122" s="88">
        <v>1.62</v>
      </c>
      <c r="Q1122" s="181"/>
      <c r="R1122" s="957">
        <v>0.92445606706084871</v>
      </c>
      <c r="S1122" s="181">
        <v>6.1</v>
      </c>
      <c r="T1122" s="83"/>
      <c r="U1122" s="83"/>
      <c r="V1122" s="83"/>
      <c r="W1122" s="181"/>
      <c r="X1122" s="181"/>
      <c r="Y1122" s="182">
        <f t="shared" si="48"/>
        <v>32</v>
      </c>
      <c r="Z1122" s="181"/>
      <c r="AA1122" s="181"/>
      <c r="AB1122" s="181"/>
      <c r="AC1122" s="181"/>
      <c r="AD1122" s="88">
        <v>640</v>
      </c>
      <c r="AE1122" s="88">
        <v>280</v>
      </c>
      <c r="AF1122" s="88">
        <v>80</v>
      </c>
      <c r="AG1122" s="66">
        <f t="shared" si="45"/>
        <v>144.58687499999999</v>
      </c>
      <c r="AH1122" s="143">
        <f t="shared" si="46"/>
        <v>1000</v>
      </c>
      <c r="AI1122" s="148"/>
      <c r="AJ1122" s="148"/>
      <c r="AK1122" s="148"/>
      <c r="AL1122" s="148"/>
      <c r="AM1122" s="148"/>
      <c r="AN1122" s="148"/>
      <c r="AO1122" s="148"/>
      <c r="AP1122" s="148"/>
      <c r="AQ1122" s="148"/>
      <c r="AR1122" s="148"/>
      <c r="AS1122" s="148"/>
      <c r="AT1122" s="148"/>
      <c r="AU1122" s="148"/>
      <c r="AV1122" s="148"/>
      <c r="AW1122" s="148"/>
      <c r="AX1122" s="148"/>
      <c r="AY1122" s="148"/>
      <c r="AZ1122" s="148"/>
      <c r="BA1122" s="148"/>
      <c r="BB1122" s="148"/>
      <c r="BC1122" s="148"/>
      <c r="BD1122" s="148"/>
      <c r="BE1122" s="148"/>
      <c r="BF1122" s="148"/>
      <c r="BG1122" s="148"/>
      <c r="BH1122" s="148"/>
      <c r="BI1122" s="148"/>
      <c r="BJ1122" s="148"/>
      <c r="BK1122" s="148"/>
      <c r="BL1122" s="148"/>
      <c r="BM1122" s="148"/>
      <c r="BN1122" s="148"/>
      <c r="BO1122" s="148"/>
      <c r="BP1122" s="148"/>
      <c r="BQ1122" s="148"/>
      <c r="BR1122" s="148"/>
      <c r="BS1122" s="148"/>
      <c r="BT1122" s="148"/>
      <c r="BU1122" s="148"/>
      <c r="BV1122" s="148"/>
      <c r="BW1122" s="148"/>
      <c r="BX1122" s="148"/>
      <c r="BY1122" s="148"/>
      <c r="BZ1122" s="148"/>
      <c r="CA1122" s="148"/>
      <c r="CB1122" s="148"/>
      <c r="CC1122" s="148"/>
      <c r="CD1122" s="148"/>
      <c r="CE1122" s="148"/>
      <c r="CF1122" s="148"/>
      <c r="CG1122" s="148"/>
      <c r="CH1122" s="148"/>
      <c r="CI1122" s="148"/>
      <c r="CJ1122" s="148"/>
      <c r="CK1122" s="148"/>
      <c r="CL1122" s="148"/>
      <c r="CM1122" s="148"/>
      <c r="CN1122" s="148"/>
      <c r="CO1122" s="148"/>
      <c r="CP1122" s="148"/>
      <c r="CQ1122" s="148"/>
      <c r="CR1122" s="148"/>
      <c r="CS1122" s="148"/>
      <c r="CT1122" s="148"/>
      <c r="CU1122" s="148"/>
      <c r="CV1122" s="148"/>
      <c r="CW1122" s="148"/>
      <c r="CX1122" s="148"/>
      <c r="CY1122" s="148"/>
      <c r="CZ1122" s="148"/>
      <c r="DA1122" s="148"/>
      <c r="DB1122" s="148"/>
      <c r="DC1122" s="148"/>
      <c r="DD1122" s="148"/>
      <c r="DE1122" s="148"/>
      <c r="DF1122" s="148"/>
      <c r="DG1122" s="148"/>
      <c r="DH1122" s="148"/>
      <c r="DI1122" s="148"/>
      <c r="DJ1122" s="148"/>
      <c r="DK1122" s="148"/>
      <c r="DL1122" s="148"/>
      <c r="DM1122" s="148"/>
      <c r="DN1122" s="148"/>
      <c r="DO1122" s="148"/>
      <c r="DP1122" s="148"/>
      <c r="DQ1122" s="148"/>
      <c r="DR1122" s="148"/>
      <c r="DS1122" s="148"/>
      <c r="DT1122" s="148"/>
      <c r="DU1122" s="148"/>
      <c r="DV1122" s="148"/>
      <c r="DW1122" s="148"/>
      <c r="DX1122" s="148"/>
      <c r="DY1122" s="148"/>
      <c r="DZ1122" s="148"/>
      <c r="EA1122" s="148"/>
      <c r="EB1122" s="148"/>
      <c r="EC1122" s="148"/>
      <c r="ED1122" s="148"/>
      <c r="EE1122" s="148"/>
      <c r="EF1122" s="148"/>
      <c r="EG1122" s="148"/>
      <c r="EH1122" s="148"/>
      <c r="EI1122" s="148"/>
      <c r="EJ1122" s="148"/>
      <c r="EK1122" s="148"/>
      <c r="EL1122" s="148"/>
      <c r="EM1122" s="148"/>
    </row>
    <row r="1123" spans="1:143" s="90" customFormat="1" x14ac:dyDescent="0.3">
      <c r="A1123" s="84">
        <v>903140</v>
      </c>
      <c r="B1123" s="182">
        <v>0.2</v>
      </c>
      <c r="C1123" s="182"/>
      <c r="D1123" s="184">
        <v>7.93</v>
      </c>
      <c r="E1123" s="1534">
        <v>0.12</v>
      </c>
      <c r="F1123" s="181">
        <v>62.2</v>
      </c>
      <c r="G1123" s="181"/>
      <c r="H1123" s="183">
        <v>146.85</v>
      </c>
      <c r="I1123" s="181">
        <v>70</v>
      </c>
      <c r="J1123" s="181">
        <v>1.7999999999999999E-2</v>
      </c>
      <c r="K1123" s="182">
        <v>1.65</v>
      </c>
      <c r="L1123" s="181">
        <v>70</v>
      </c>
      <c r="M1123" s="181">
        <v>1.66</v>
      </c>
      <c r="N1123" s="181">
        <v>0.51</v>
      </c>
      <c r="O1123" s="181">
        <v>4.79</v>
      </c>
      <c r="P1123" s="181">
        <v>6.15</v>
      </c>
      <c r="Q1123" s="181"/>
      <c r="R1123" s="957">
        <v>0.80410364408237023</v>
      </c>
      <c r="S1123" s="181">
        <v>5.3</v>
      </c>
      <c r="T1123" s="83"/>
      <c r="U1123" s="83"/>
      <c r="V1123" s="83"/>
      <c r="W1123" s="181"/>
      <c r="X1123" s="181"/>
      <c r="Y1123" s="182">
        <f t="shared" si="48"/>
        <v>3</v>
      </c>
      <c r="Z1123" s="181"/>
      <c r="AA1123" s="181"/>
      <c r="AB1123" s="181"/>
      <c r="AC1123" s="181"/>
      <c r="AD1123" s="88">
        <v>60</v>
      </c>
      <c r="AE1123" s="88">
        <v>60</v>
      </c>
      <c r="AF1123" s="88">
        <v>880</v>
      </c>
      <c r="AG1123" s="66">
        <f t="shared" si="45"/>
        <v>194.69999999999996</v>
      </c>
      <c r="AH1123" s="143">
        <f t="shared" si="46"/>
        <v>1000</v>
      </c>
      <c r="AI1123" s="148"/>
      <c r="AJ1123" s="148"/>
      <c r="AK1123" s="148"/>
      <c r="AL1123" s="148"/>
      <c r="AM1123" s="148"/>
      <c r="AN1123" s="148"/>
      <c r="AO1123" s="148"/>
      <c r="AP1123" s="148"/>
      <c r="AQ1123" s="148"/>
      <c r="AR1123" s="148"/>
      <c r="AS1123" s="148"/>
      <c r="AT1123" s="148"/>
      <c r="AU1123" s="148"/>
      <c r="AV1123" s="148"/>
      <c r="AW1123" s="148"/>
      <c r="AX1123" s="148"/>
      <c r="AY1123" s="148"/>
      <c r="AZ1123" s="148"/>
      <c r="BA1123" s="148"/>
      <c r="BB1123" s="148"/>
      <c r="BC1123" s="148"/>
      <c r="BD1123" s="148"/>
      <c r="BE1123" s="148"/>
      <c r="BF1123" s="148"/>
      <c r="BG1123" s="148"/>
      <c r="BH1123" s="148"/>
      <c r="BI1123" s="148"/>
      <c r="BJ1123" s="148"/>
      <c r="BK1123" s="148"/>
      <c r="BL1123" s="148"/>
      <c r="BM1123" s="148"/>
      <c r="BN1123" s="148"/>
      <c r="BO1123" s="148"/>
      <c r="BP1123" s="148"/>
      <c r="BQ1123" s="148"/>
      <c r="BR1123" s="148"/>
      <c r="BS1123" s="148"/>
      <c r="BT1123" s="148"/>
      <c r="BU1123" s="148"/>
      <c r="BV1123" s="148"/>
      <c r="BW1123" s="148"/>
      <c r="BX1123" s="148"/>
      <c r="BY1123" s="148"/>
      <c r="BZ1123" s="148"/>
      <c r="CA1123" s="148"/>
      <c r="CB1123" s="148"/>
      <c r="CC1123" s="148"/>
      <c r="CD1123" s="148"/>
      <c r="CE1123" s="148"/>
      <c r="CF1123" s="148"/>
      <c r="CG1123" s="148"/>
      <c r="CH1123" s="148"/>
      <c r="CI1123" s="148"/>
      <c r="CJ1123" s="148"/>
      <c r="CK1123" s="148"/>
      <c r="CL1123" s="148"/>
      <c r="CM1123" s="148"/>
      <c r="CN1123" s="148"/>
      <c r="CO1123" s="148"/>
      <c r="CP1123" s="148"/>
      <c r="CQ1123" s="148"/>
      <c r="CR1123" s="148"/>
      <c r="CS1123" s="148"/>
      <c r="CT1123" s="148"/>
      <c r="CU1123" s="148"/>
      <c r="CV1123" s="148"/>
      <c r="CW1123" s="148"/>
      <c r="CX1123" s="148"/>
      <c r="CY1123" s="148"/>
      <c r="CZ1123" s="148"/>
      <c r="DA1123" s="148"/>
      <c r="DB1123" s="148"/>
      <c r="DC1123" s="148"/>
      <c r="DD1123" s="148"/>
      <c r="DE1123" s="148"/>
      <c r="DF1123" s="148"/>
      <c r="DG1123" s="148"/>
      <c r="DH1123" s="148"/>
      <c r="DI1123" s="148"/>
      <c r="DJ1123" s="148"/>
      <c r="DK1123" s="148"/>
      <c r="DL1123" s="148"/>
      <c r="DM1123" s="148"/>
      <c r="DN1123" s="148"/>
      <c r="DO1123" s="148"/>
      <c r="DP1123" s="148"/>
      <c r="DQ1123" s="148"/>
      <c r="DR1123" s="148"/>
      <c r="DS1123" s="148"/>
      <c r="DT1123" s="148"/>
      <c r="DU1123" s="148"/>
      <c r="DV1123" s="148"/>
      <c r="DW1123" s="148"/>
      <c r="DX1123" s="148"/>
      <c r="DY1123" s="148"/>
      <c r="DZ1123" s="148"/>
      <c r="EA1123" s="148"/>
      <c r="EB1123" s="148"/>
      <c r="EC1123" s="148"/>
      <c r="ED1123" s="148"/>
      <c r="EE1123" s="148"/>
      <c r="EF1123" s="148"/>
      <c r="EG1123" s="148"/>
      <c r="EH1123" s="148"/>
      <c r="EI1123" s="148"/>
      <c r="EJ1123" s="148"/>
      <c r="EK1123" s="148"/>
      <c r="EL1123" s="148"/>
      <c r="EM1123" s="148"/>
    </row>
    <row r="1124" spans="1:143" s="90" customFormat="1" x14ac:dyDescent="0.3">
      <c r="A1124" s="84">
        <v>903141</v>
      </c>
      <c r="B1124" s="182">
        <v>0.2</v>
      </c>
      <c r="C1124" s="182"/>
      <c r="D1124" s="184">
        <v>7.91</v>
      </c>
      <c r="E1124" s="1534">
        <v>0.13</v>
      </c>
      <c r="F1124" s="181">
        <v>58.75</v>
      </c>
      <c r="G1124" s="181"/>
      <c r="H1124" s="183">
        <v>183.77</v>
      </c>
      <c r="I1124" s="181">
        <v>220</v>
      </c>
      <c r="J1124" s="181">
        <v>3.2000000000000001E-2</v>
      </c>
      <c r="K1124" s="182">
        <v>1.43</v>
      </c>
      <c r="L1124" s="181">
        <v>140</v>
      </c>
      <c r="M1124" s="181">
        <v>1.97</v>
      </c>
      <c r="N1124" s="181">
        <v>0.88</v>
      </c>
      <c r="O1124" s="181">
        <v>2.5</v>
      </c>
      <c r="P1124" s="181">
        <v>6.79</v>
      </c>
      <c r="Q1124" s="181"/>
      <c r="R1124" s="957">
        <v>0.64193156941001706</v>
      </c>
      <c r="S1124" s="181">
        <v>4.5</v>
      </c>
      <c r="T1124" s="83"/>
      <c r="U1124" s="83"/>
      <c r="V1124" s="83"/>
      <c r="W1124" s="181"/>
      <c r="X1124" s="181"/>
      <c r="Y1124" s="182">
        <f t="shared" si="48"/>
        <v>3</v>
      </c>
      <c r="Z1124" s="181"/>
      <c r="AA1124" s="181"/>
      <c r="AB1124" s="181"/>
      <c r="AC1124" s="181"/>
      <c r="AD1124" s="88">
        <v>60</v>
      </c>
      <c r="AE1124" s="88">
        <v>60</v>
      </c>
      <c r="AF1124" s="88">
        <v>880</v>
      </c>
      <c r="AG1124" s="66">
        <f t="shared" si="45"/>
        <v>168.73999999999998</v>
      </c>
      <c r="AH1124" s="143">
        <f t="shared" si="46"/>
        <v>1000</v>
      </c>
      <c r="AI1124" s="148"/>
      <c r="AJ1124" s="148"/>
      <c r="AK1124" s="148"/>
      <c r="AL1124" s="148"/>
      <c r="AM1124" s="148"/>
      <c r="AN1124" s="148"/>
      <c r="AO1124" s="148"/>
      <c r="AP1124" s="148"/>
      <c r="AQ1124" s="148"/>
      <c r="AR1124" s="148"/>
      <c r="AS1124" s="148"/>
      <c r="AT1124" s="148"/>
      <c r="AU1124" s="148"/>
      <c r="AV1124" s="148"/>
      <c r="AW1124" s="148"/>
      <c r="AX1124" s="148"/>
      <c r="AY1124" s="148"/>
      <c r="AZ1124" s="148"/>
      <c r="BA1124" s="148"/>
      <c r="BB1124" s="148"/>
      <c r="BC1124" s="148"/>
      <c r="BD1124" s="148"/>
      <c r="BE1124" s="148"/>
      <c r="BF1124" s="148"/>
      <c r="BG1124" s="148"/>
      <c r="BH1124" s="148"/>
      <c r="BI1124" s="148"/>
      <c r="BJ1124" s="148"/>
      <c r="BK1124" s="148"/>
      <c r="BL1124" s="148"/>
      <c r="BM1124" s="148"/>
      <c r="BN1124" s="148"/>
      <c r="BO1124" s="148"/>
      <c r="BP1124" s="148"/>
      <c r="BQ1124" s="148"/>
      <c r="BR1124" s="148"/>
      <c r="BS1124" s="148"/>
      <c r="BT1124" s="148"/>
      <c r="BU1124" s="148"/>
      <c r="BV1124" s="148"/>
      <c r="BW1124" s="148"/>
      <c r="BX1124" s="148"/>
      <c r="BY1124" s="148"/>
      <c r="BZ1124" s="148"/>
      <c r="CA1124" s="148"/>
      <c r="CB1124" s="148"/>
      <c r="CC1124" s="148"/>
      <c r="CD1124" s="148"/>
      <c r="CE1124" s="148"/>
      <c r="CF1124" s="148"/>
      <c r="CG1124" s="148"/>
      <c r="CH1124" s="148"/>
      <c r="CI1124" s="148"/>
      <c r="CJ1124" s="148"/>
      <c r="CK1124" s="148"/>
      <c r="CL1124" s="148"/>
      <c r="CM1124" s="148"/>
      <c r="CN1124" s="148"/>
      <c r="CO1124" s="148"/>
      <c r="CP1124" s="148"/>
      <c r="CQ1124" s="148"/>
      <c r="CR1124" s="148"/>
      <c r="CS1124" s="148"/>
      <c r="CT1124" s="148"/>
      <c r="CU1124" s="148"/>
      <c r="CV1124" s="148"/>
      <c r="CW1124" s="148"/>
      <c r="CX1124" s="148"/>
      <c r="CY1124" s="148"/>
      <c r="CZ1124" s="148"/>
      <c r="DA1124" s="148"/>
      <c r="DB1124" s="148"/>
      <c r="DC1124" s="148"/>
      <c r="DD1124" s="148"/>
      <c r="DE1124" s="148"/>
      <c r="DF1124" s="148"/>
      <c r="DG1124" s="148"/>
      <c r="DH1124" s="148"/>
      <c r="DI1124" s="148"/>
      <c r="DJ1124" s="148"/>
      <c r="DK1124" s="148"/>
      <c r="DL1124" s="148"/>
      <c r="DM1124" s="148"/>
      <c r="DN1124" s="148"/>
      <c r="DO1124" s="148"/>
      <c r="DP1124" s="148"/>
      <c r="DQ1124" s="148"/>
      <c r="DR1124" s="148"/>
      <c r="DS1124" s="148"/>
      <c r="DT1124" s="148"/>
      <c r="DU1124" s="148"/>
      <c r="DV1124" s="148"/>
      <c r="DW1124" s="148"/>
      <c r="DX1124" s="148"/>
      <c r="DY1124" s="148"/>
      <c r="DZ1124" s="148"/>
      <c r="EA1124" s="148"/>
      <c r="EB1124" s="148"/>
      <c r="EC1124" s="148"/>
      <c r="ED1124" s="148"/>
      <c r="EE1124" s="148"/>
      <c r="EF1124" s="148"/>
      <c r="EG1124" s="148"/>
      <c r="EH1124" s="148"/>
      <c r="EI1124" s="148"/>
      <c r="EJ1124" s="148"/>
      <c r="EK1124" s="148"/>
      <c r="EL1124" s="148"/>
      <c r="EM1124" s="148"/>
    </row>
    <row r="1125" spans="1:143" s="90" customFormat="1" x14ac:dyDescent="0.3">
      <c r="A1125" s="84">
        <v>903142</v>
      </c>
      <c r="B1125" s="182">
        <v>0.5</v>
      </c>
      <c r="C1125" s="182"/>
      <c r="D1125" s="184">
        <v>7.94</v>
      </c>
      <c r="E1125" s="1534">
        <v>0.23</v>
      </c>
      <c r="F1125" s="181">
        <v>86.75</v>
      </c>
      <c r="G1125" s="181"/>
      <c r="H1125" s="183">
        <v>172.24</v>
      </c>
      <c r="I1125" s="181">
        <v>280</v>
      </c>
      <c r="J1125" s="181">
        <v>8.5999999999999993E-2</v>
      </c>
      <c r="K1125" s="182">
        <v>2.57</v>
      </c>
      <c r="L1125" s="181">
        <v>270</v>
      </c>
      <c r="M1125" s="181">
        <v>1.72</v>
      </c>
      <c r="N1125" s="181">
        <v>0.44</v>
      </c>
      <c r="O1125" s="181">
        <v>3.48</v>
      </c>
      <c r="P1125" s="181">
        <v>7.76</v>
      </c>
      <c r="Q1125" s="181"/>
      <c r="R1125" s="957">
        <v>1.3563139517669298</v>
      </c>
      <c r="S1125" s="181">
        <v>9.1999999999999993</v>
      </c>
      <c r="T1125" s="83"/>
      <c r="U1125" s="83"/>
      <c r="V1125" s="83"/>
      <c r="W1125" s="181"/>
      <c r="X1125" s="181"/>
      <c r="Y1125" s="182">
        <f t="shared" si="48"/>
        <v>4</v>
      </c>
      <c r="Z1125" s="181"/>
      <c r="AA1125" s="181"/>
      <c r="AB1125" s="181"/>
      <c r="AC1125" s="181"/>
      <c r="AD1125" s="88">
        <v>80</v>
      </c>
      <c r="AE1125" s="88">
        <v>60</v>
      </c>
      <c r="AF1125" s="88">
        <v>860</v>
      </c>
      <c r="AG1125" s="66">
        <f t="shared" si="45"/>
        <v>227.44499999999999</v>
      </c>
      <c r="AH1125" s="143">
        <f t="shared" si="46"/>
        <v>1000</v>
      </c>
      <c r="AI1125" s="148"/>
      <c r="AJ1125" s="148"/>
      <c r="AK1125" s="148"/>
      <c r="AL1125" s="148"/>
      <c r="AM1125" s="148"/>
      <c r="AN1125" s="148"/>
      <c r="AO1125" s="148"/>
      <c r="AP1125" s="148"/>
      <c r="AQ1125" s="148"/>
      <c r="AR1125" s="148"/>
      <c r="AS1125" s="148"/>
      <c r="AT1125" s="148"/>
      <c r="AU1125" s="148"/>
      <c r="AV1125" s="148"/>
      <c r="AW1125" s="148"/>
      <c r="AX1125" s="148"/>
      <c r="AY1125" s="148"/>
      <c r="AZ1125" s="148"/>
      <c r="BA1125" s="148"/>
      <c r="BB1125" s="148"/>
      <c r="BC1125" s="148"/>
      <c r="BD1125" s="148"/>
      <c r="BE1125" s="148"/>
      <c r="BF1125" s="148"/>
      <c r="BG1125" s="148"/>
      <c r="BH1125" s="148"/>
      <c r="BI1125" s="148"/>
      <c r="BJ1125" s="148"/>
      <c r="BK1125" s="148"/>
      <c r="BL1125" s="148"/>
      <c r="BM1125" s="148"/>
      <c r="BN1125" s="148"/>
      <c r="BO1125" s="148"/>
      <c r="BP1125" s="148"/>
      <c r="BQ1125" s="148"/>
      <c r="BR1125" s="148"/>
      <c r="BS1125" s="148"/>
      <c r="BT1125" s="148"/>
      <c r="BU1125" s="148"/>
      <c r="BV1125" s="148"/>
      <c r="BW1125" s="148"/>
      <c r="BX1125" s="148"/>
      <c r="BY1125" s="148"/>
      <c r="BZ1125" s="148"/>
      <c r="CA1125" s="148"/>
      <c r="CB1125" s="148"/>
      <c r="CC1125" s="148"/>
      <c r="CD1125" s="148"/>
      <c r="CE1125" s="148"/>
      <c r="CF1125" s="148"/>
      <c r="CG1125" s="148"/>
      <c r="CH1125" s="148"/>
      <c r="CI1125" s="148"/>
      <c r="CJ1125" s="148"/>
      <c r="CK1125" s="148"/>
      <c r="CL1125" s="148"/>
      <c r="CM1125" s="148"/>
      <c r="CN1125" s="148"/>
      <c r="CO1125" s="148"/>
      <c r="CP1125" s="148"/>
      <c r="CQ1125" s="148"/>
      <c r="CR1125" s="148"/>
      <c r="CS1125" s="148"/>
      <c r="CT1125" s="148"/>
      <c r="CU1125" s="148"/>
      <c r="CV1125" s="148"/>
      <c r="CW1125" s="148"/>
      <c r="CX1125" s="148"/>
      <c r="CY1125" s="148"/>
      <c r="CZ1125" s="148"/>
      <c r="DA1125" s="148"/>
      <c r="DB1125" s="148"/>
      <c r="DC1125" s="148"/>
      <c r="DD1125" s="148"/>
      <c r="DE1125" s="148"/>
      <c r="DF1125" s="148"/>
      <c r="DG1125" s="148"/>
      <c r="DH1125" s="148"/>
      <c r="DI1125" s="148"/>
      <c r="DJ1125" s="148"/>
      <c r="DK1125" s="148"/>
      <c r="DL1125" s="148"/>
      <c r="DM1125" s="148"/>
      <c r="DN1125" s="148"/>
      <c r="DO1125" s="148"/>
      <c r="DP1125" s="148"/>
      <c r="DQ1125" s="148"/>
      <c r="DR1125" s="148"/>
      <c r="DS1125" s="148"/>
      <c r="DT1125" s="148"/>
      <c r="DU1125" s="148"/>
      <c r="DV1125" s="148"/>
      <c r="DW1125" s="148"/>
      <c r="DX1125" s="148"/>
      <c r="DY1125" s="148"/>
      <c r="DZ1125" s="148"/>
      <c r="EA1125" s="148"/>
      <c r="EB1125" s="148"/>
      <c r="EC1125" s="148"/>
      <c r="ED1125" s="148"/>
      <c r="EE1125" s="148"/>
      <c r="EF1125" s="148"/>
      <c r="EG1125" s="148"/>
      <c r="EH1125" s="148"/>
      <c r="EI1125" s="148"/>
      <c r="EJ1125" s="148"/>
      <c r="EK1125" s="148"/>
      <c r="EL1125" s="148"/>
      <c r="EM1125" s="148"/>
    </row>
    <row r="1126" spans="1:143" s="90" customFormat="1" x14ac:dyDescent="0.3">
      <c r="A1126" s="84">
        <v>903143</v>
      </c>
      <c r="B1126" s="182">
        <v>21.7</v>
      </c>
      <c r="C1126" s="182">
        <v>11.4</v>
      </c>
      <c r="D1126" s="184">
        <v>8.5</v>
      </c>
      <c r="E1126" s="1534">
        <v>0.25</v>
      </c>
      <c r="F1126" s="181">
        <v>46.85</v>
      </c>
      <c r="G1126" s="181"/>
      <c r="H1126" s="183">
        <v>23.55</v>
      </c>
      <c r="I1126" s="181">
        <v>280</v>
      </c>
      <c r="J1126" s="181">
        <v>4.9000000000000002E-2</v>
      </c>
      <c r="K1126" s="182">
        <v>8.2899999999999991</v>
      </c>
      <c r="L1126" s="181">
        <v>410</v>
      </c>
      <c r="M1126" s="181">
        <v>0.25</v>
      </c>
      <c r="N1126" s="181">
        <v>0.44</v>
      </c>
      <c r="O1126" s="181">
        <v>2.1</v>
      </c>
      <c r="P1126" s="181">
        <v>1.32</v>
      </c>
      <c r="Q1126" s="181"/>
      <c r="R1126" s="957">
        <v>0.62653670252234905</v>
      </c>
      <c r="S1126" s="181">
        <v>4.5</v>
      </c>
      <c r="T1126" s="83"/>
      <c r="U1126" s="83"/>
      <c r="V1126" s="83"/>
      <c r="W1126" s="181"/>
      <c r="X1126" s="181"/>
      <c r="Y1126" s="182">
        <f t="shared" si="48"/>
        <v>20</v>
      </c>
      <c r="Z1126" s="181"/>
      <c r="AA1126" s="181"/>
      <c r="AB1126" s="181"/>
      <c r="AC1126" s="181"/>
      <c r="AD1126" s="88">
        <v>400</v>
      </c>
      <c r="AE1126" s="88">
        <v>240</v>
      </c>
      <c r="AF1126" s="88">
        <v>360</v>
      </c>
      <c r="AG1126" s="66">
        <f t="shared" si="45"/>
        <v>146.733</v>
      </c>
      <c r="AH1126" s="143">
        <f t="shared" si="46"/>
        <v>1000</v>
      </c>
      <c r="AI1126" s="148"/>
      <c r="AJ1126" s="148"/>
      <c r="AK1126" s="148"/>
      <c r="AL1126" s="148"/>
      <c r="AM1126" s="148"/>
      <c r="AN1126" s="148"/>
      <c r="AO1126" s="148"/>
      <c r="AP1126" s="148"/>
      <c r="AQ1126" s="148"/>
      <c r="AR1126" s="148"/>
      <c r="AS1126" s="148"/>
      <c r="AT1126" s="148"/>
      <c r="AU1126" s="148"/>
      <c r="AV1126" s="148"/>
      <c r="AW1126" s="148"/>
      <c r="AX1126" s="148"/>
      <c r="AY1126" s="148"/>
      <c r="AZ1126" s="148"/>
      <c r="BA1126" s="148"/>
      <c r="BB1126" s="148"/>
      <c r="BC1126" s="148"/>
      <c r="BD1126" s="148"/>
      <c r="BE1126" s="148"/>
      <c r="BF1126" s="148"/>
      <c r="BG1126" s="148"/>
      <c r="BH1126" s="148"/>
      <c r="BI1126" s="148"/>
      <c r="BJ1126" s="148"/>
      <c r="BK1126" s="148"/>
      <c r="BL1126" s="148"/>
      <c r="BM1126" s="148"/>
      <c r="BN1126" s="148"/>
      <c r="BO1126" s="148"/>
      <c r="BP1126" s="148"/>
      <c r="BQ1126" s="148"/>
      <c r="BR1126" s="148"/>
      <c r="BS1126" s="148"/>
      <c r="BT1126" s="148"/>
      <c r="BU1126" s="148"/>
      <c r="BV1126" s="148"/>
      <c r="BW1126" s="148"/>
      <c r="BX1126" s="148"/>
      <c r="BY1126" s="148"/>
      <c r="BZ1126" s="148"/>
      <c r="CA1126" s="148"/>
      <c r="CB1126" s="148"/>
      <c r="CC1126" s="148"/>
      <c r="CD1126" s="148"/>
      <c r="CE1126" s="148"/>
      <c r="CF1126" s="148"/>
      <c r="CG1126" s="148"/>
      <c r="CH1126" s="148"/>
      <c r="CI1126" s="148"/>
      <c r="CJ1126" s="148"/>
      <c r="CK1126" s="148"/>
      <c r="CL1126" s="148"/>
      <c r="CM1126" s="148"/>
      <c r="CN1126" s="148"/>
      <c r="CO1126" s="148"/>
      <c r="CP1126" s="148"/>
      <c r="CQ1126" s="148"/>
      <c r="CR1126" s="148"/>
      <c r="CS1126" s="148"/>
      <c r="CT1126" s="148"/>
      <c r="CU1126" s="148"/>
      <c r="CV1126" s="148"/>
      <c r="CW1126" s="148"/>
      <c r="CX1126" s="148"/>
      <c r="CY1126" s="148"/>
      <c r="CZ1126" s="148"/>
      <c r="DA1126" s="148"/>
      <c r="DB1126" s="148"/>
      <c r="DC1126" s="148"/>
      <c r="DD1126" s="148"/>
      <c r="DE1126" s="148"/>
      <c r="DF1126" s="148"/>
      <c r="DG1126" s="148"/>
      <c r="DH1126" s="148"/>
      <c r="DI1126" s="148"/>
      <c r="DJ1126" s="148"/>
      <c r="DK1126" s="148"/>
      <c r="DL1126" s="148"/>
      <c r="DM1126" s="148"/>
      <c r="DN1126" s="148"/>
      <c r="DO1126" s="148"/>
      <c r="DP1126" s="148"/>
      <c r="DQ1126" s="148"/>
      <c r="DR1126" s="148"/>
      <c r="DS1126" s="148"/>
      <c r="DT1126" s="148"/>
      <c r="DU1126" s="148"/>
      <c r="DV1126" s="148"/>
      <c r="DW1126" s="148"/>
      <c r="DX1126" s="148"/>
      <c r="DY1126" s="148"/>
      <c r="DZ1126" s="148"/>
      <c r="EA1126" s="148"/>
      <c r="EB1126" s="148"/>
      <c r="EC1126" s="148"/>
      <c r="ED1126" s="148"/>
      <c r="EE1126" s="148"/>
      <c r="EF1126" s="148"/>
      <c r="EG1126" s="148"/>
      <c r="EH1126" s="148"/>
      <c r="EI1126" s="148"/>
      <c r="EJ1126" s="148"/>
      <c r="EK1126" s="148"/>
      <c r="EL1126" s="148"/>
      <c r="EM1126" s="148"/>
    </row>
    <row r="1127" spans="1:143" s="90" customFormat="1" x14ac:dyDescent="0.3">
      <c r="A1127" s="84">
        <v>903144</v>
      </c>
      <c r="B1127" s="182">
        <v>37.700000000000003</v>
      </c>
      <c r="C1127" s="182">
        <v>10.4</v>
      </c>
      <c r="D1127" s="184">
        <v>8.26</v>
      </c>
      <c r="E1127" s="1534">
        <v>0.6</v>
      </c>
      <c r="F1127" s="181">
        <v>75.55</v>
      </c>
      <c r="G1127" s="181"/>
      <c r="H1127" s="183">
        <v>36.479999999999997</v>
      </c>
      <c r="I1127" s="181">
        <v>190</v>
      </c>
      <c r="J1127" s="181">
        <v>0.13500000000000001</v>
      </c>
      <c r="K1127" s="182">
        <v>8.7200000000000006</v>
      </c>
      <c r="L1127" s="181">
        <v>590</v>
      </c>
      <c r="M1127" s="181">
        <v>0.97</v>
      </c>
      <c r="N1127" s="181">
        <v>0.4</v>
      </c>
      <c r="O1127" s="181">
        <v>2.93</v>
      </c>
      <c r="P1127" s="181">
        <v>2.06</v>
      </c>
      <c r="Q1127" s="181"/>
      <c r="R1127" s="957">
        <v>0.47688748751715937</v>
      </c>
      <c r="S1127" s="181">
        <v>3.4</v>
      </c>
      <c r="T1127" s="83"/>
      <c r="U1127" s="83"/>
      <c r="V1127" s="83"/>
      <c r="W1127" s="181"/>
      <c r="X1127" s="181"/>
      <c r="Y1127" s="182">
        <f t="shared" si="48"/>
        <v>20</v>
      </c>
      <c r="Z1127" s="181"/>
      <c r="AA1127" s="181"/>
      <c r="AB1127" s="181"/>
      <c r="AC1127" s="181"/>
      <c r="AD1127" s="88">
        <v>400</v>
      </c>
      <c r="AE1127" s="88">
        <v>220</v>
      </c>
      <c r="AF1127" s="88">
        <v>380</v>
      </c>
      <c r="AG1127" s="66">
        <f t="shared" si="45"/>
        <v>154.34400000000002</v>
      </c>
      <c r="AH1127" s="143">
        <f t="shared" si="46"/>
        <v>1000</v>
      </c>
      <c r="AI1127" s="148"/>
      <c r="AJ1127" s="148"/>
      <c r="AK1127" s="148"/>
      <c r="AL1127" s="148"/>
      <c r="AM1127" s="148"/>
      <c r="AN1127" s="148"/>
      <c r="AO1127" s="148"/>
      <c r="AP1127" s="148"/>
      <c r="AQ1127" s="148"/>
      <c r="AR1127" s="148"/>
      <c r="AS1127" s="148"/>
      <c r="AT1127" s="148"/>
      <c r="AU1127" s="148"/>
      <c r="AV1127" s="148"/>
      <c r="AW1127" s="148"/>
      <c r="AX1127" s="148"/>
      <c r="AY1127" s="148"/>
      <c r="AZ1127" s="148"/>
      <c r="BA1127" s="148"/>
      <c r="BB1127" s="148"/>
      <c r="BC1127" s="148"/>
      <c r="BD1127" s="148"/>
      <c r="BE1127" s="148"/>
      <c r="BF1127" s="148"/>
      <c r="BG1127" s="148"/>
      <c r="BH1127" s="148"/>
      <c r="BI1127" s="148"/>
      <c r="BJ1127" s="148"/>
      <c r="BK1127" s="148"/>
      <c r="BL1127" s="148"/>
      <c r="BM1127" s="148"/>
      <c r="BN1127" s="148"/>
      <c r="BO1127" s="148"/>
      <c r="BP1127" s="148"/>
      <c r="BQ1127" s="148"/>
      <c r="BR1127" s="148"/>
      <c r="BS1127" s="148"/>
      <c r="BT1127" s="148"/>
      <c r="BU1127" s="148"/>
      <c r="BV1127" s="148"/>
      <c r="BW1127" s="148"/>
      <c r="BX1127" s="148"/>
      <c r="BY1127" s="148"/>
      <c r="BZ1127" s="148"/>
      <c r="CA1127" s="148"/>
      <c r="CB1127" s="148"/>
      <c r="CC1127" s="148"/>
      <c r="CD1127" s="148"/>
      <c r="CE1127" s="148"/>
      <c r="CF1127" s="148"/>
      <c r="CG1127" s="148"/>
      <c r="CH1127" s="148"/>
      <c r="CI1127" s="148"/>
      <c r="CJ1127" s="148"/>
      <c r="CK1127" s="148"/>
      <c r="CL1127" s="148"/>
      <c r="CM1127" s="148"/>
      <c r="CN1127" s="148"/>
      <c r="CO1127" s="148"/>
      <c r="CP1127" s="148"/>
      <c r="CQ1127" s="148"/>
      <c r="CR1127" s="148"/>
      <c r="CS1127" s="148"/>
      <c r="CT1127" s="148"/>
      <c r="CU1127" s="148"/>
      <c r="CV1127" s="148"/>
      <c r="CW1127" s="148"/>
      <c r="CX1127" s="148"/>
      <c r="CY1127" s="148"/>
      <c r="CZ1127" s="148"/>
      <c r="DA1127" s="148"/>
      <c r="DB1127" s="148"/>
      <c r="DC1127" s="148"/>
      <c r="DD1127" s="148"/>
      <c r="DE1127" s="148"/>
      <c r="DF1127" s="148"/>
      <c r="DG1127" s="148"/>
      <c r="DH1127" s="148"/>
      <c r="DI1127" s="148"/>
      <c r="DJ1127" s="148"/>
      <c r="DK1127" s="148"/>
      <c r="DL1127" s="148"/>
      <c r="DM1127" s="148"/>
      <c r="DN1127" s="148"/>
      <c r="DO1127" s="148"/>
      <c r="DP1127" s="148"/>
      <c r="DQ1127" s="148"/>
      <c r="DR1127" s="148"/>
      <c r="DS1127" s="148"/>
      <c r="DT1127" s="148"/>
      <c r="DU1127" s="148"/>
      <c r="DV1127" s="148"/>
      <c r="DW1127" s="148"/>
      <c r="DX1127" s="148"/>
      <c r="DY1127" s="148"/>
      <c r="DZ1127" s="148"/>
      <c r="EA1127" s="148"/>
      <c r="EB1127" s="148"/>
      <c r="EC1127" s="148"/>
      <c r="ED1127" s="148"/>
      <c r="EE1127" s="148"/>
      <c r="EF1127" s="148"/>
      <c r="EG1127" s="148"/>
      <c r="EH1127" s="148"/>
      <c r="EI1127" s="148"/>
      <c r="EJ1127" s="148"/>
      <c r="EK1127" s="148"/>
      <c r="EL1127" s="148"/>
      <c r="EM1127" s="148"/>
    </row>
    <row r="1128" spans="1:143" s="90" customFormat="1" x14ac:dyDescent="0.3">
      <c r="A1128" s="84">
        <v>903145</v>
      </c>
      <c r="B1128" s="182">
        <v>2.2000000000000002</v>
      </c>
      <c r="C1128" s="182"/>
      <c r="D1128" s="184">
        <v>8.4</v>
      </c>
      <c r="E1128" s="1534">
        <v>0.36</v>
      </c>
      <c r="F1128" s="181">
        <v>69.150000000000006</v>
      </c>
      <c r="G1128" s="181"/>
      <c r="H1128" s="183">
        <v>22.99</v>
      </c>
      <c r="I1128" s="181">
        <v>290</v>
      </c>
      <c r="J1128" s="181">
        <v>6.6000000000000003E-2</v>
      </c>
      <c r="K1128" s="182">
        <v>8.61</v>
      </c>
      <c r="L1128" s="181">
        <v>350</v>
      </c>
      <c r="M1128" s="181">
        <v>0.19</v>
      </c>
      <c r="N1128" s="181">
        <v>0.5</v>
      </c>
      <c r="O1128" s="181">
        <v>1.8</v>
      </c>
      <c r="P1128" s="181">
        <v>1.48</v>
      </c>
      <c r="Q1128" s="181"/>
      <c r="R1128" s="957">
        <v>0.49653612384144569</v>
      </c>
      <c r="S1128" s="181">
        <v>3.3</v>
      </c>
      <c r="T1128" s="83"/>
      <c r="U1128" s="83"/>
      <c r="V1128" s="83"/>
      <c r="W1128" s="181"/>
      <c r="X1128" s="181"/>
      <c r="Y1128" s="182">
        <f t="shared" si="48"/>
        <v>20</v>
      </c>
      <c r="Z1128" s="181"/>
      <c r="AA1128" s="181"/>
      <c r="AB1128" s="181"/>
      <c r="AC1128" s="181"/>
      <c r="AD1128" s="88">
        <v>400</v>
      </c>
      <c r="AE1128" s="88">
        <v>260</v>
      </c>
      <c r="AF1128" s="88">
        <v>340</v>
      </c>
      <c r="AG1128" s="66">
        <f t="shared" si="45"/>
        <v>152.39699999999999</v>
      </c>
      <c r="AH1128" s="143">
        <f t="shared" si="46"/>
        <v>1000</v>
      </c>
      <c r="AI1128" s="148"/>
      <c r="AJ1128" s="148"/>
      <c r="AK1128" s="148"/>
      <c r="AL1128" s="148"/>
      <c r="AM1128" s="148"/>
      <c r="AN1128" s="148"/>
      <c r="AO1128" s="148"/>
      <c r="AP1128" s="148"/>
      <c r="AQ1128" s="148"/>
      <c r="AR1128" s="148"/>
      <c r="AS1128" s="148"/>
      <c r="AT1128" s="148"/>
      <c r="AU1128" s="148"/>
      <c r="AV1128" s="148"/>
      <c r="AW1128" s="148"/>
      <c r="AX1128" s="148"/>
      <c r="AY1128" s="148"/>
      <c r="AZ1128" s="148"/>
      <c r="BA1128" s="148"/>
      <c r="BB1128" s="148"/>
      <c r="BC1128" s="148"/>
      <c r="BD1128" s="148"/>
      <c r="BE1128" s="148"/>
      <c r="BF1128" s="148"/>
      <c r="BG1128" s="148"/>
      <c r="BH1128" s="148"/>
      <c r="BI1128" s="148"/>
      <c r="BJ1128" s="148"/>
      <c r="BK1128" s="148"/>
      <c r="BL1128" s="148"/>
      <c r="BM1128" s="148"/>
      <c r="BN1128" s="148"/>
      <c r="BO1128" s="148"/>
      <c r="BP1128" s="148"/>
      <c r="BQ1128" s="148"/>
      <c r="BR1128" s="148"/>
      <c r="BS1128" s="148"/>
      <c r="BT1128" s="148"/>
      <c r="BU1128" s="148"/>
      <c r="BV1128" s="148"/>
      <c r="BW1128" s="148"/>
      <c r="BX1128" s="148"/>
      <c r="BY1128" s="148"/>
      <c r="BZ1128" s="148"/>
      <c r="CA1128" s="148"/>
      <c r="CB1128" s="148"/>
      <c r="CC1128" s="148"/>
      <c r="CD1128" s="148"/>
      <c r="CE1128" s="148"/>
      <c r="CF1128" s="148"/>
      <c r="CG1128" s="148"/>
      <c r="CH1128" s="148"/>
      <c r="CI1128" s="148"/>
      <c r="CJ1128" s="148"/>
      <c r="CK1128" s="148"/>
      <c r="CL1128" s="148"/>
      <c r="CM1128" s="148"/>
      <c r="CN1128" s="148"/>
      <c r="CO1128" s="148"/>
      <c r="CP1128" s="148"/>
      <c r="CQ1128" s="148"/>
      <c r="CR1128" s="148"/>
      <c r="CS1128" s="148"/>
      <c r="CT1128" s="148"/>
      <c r="CU1128" s="148"/>
      <c r="CV1128" s="148"/>
      <c r="CW1128" s="148"/>
      <c r="CX1128" s="148"/>
      <c r="CY1128" s="148"/>
      <c r="CZ1128" s="148"/>
      <c r="DA1128" s="148"/>
      <c r="DB1128" s="148"/>
      <c r="DC1128" s="148"/>
      <c r="DD1128" s="148"/>
      <c r="DE1128" s="148"/>
      <c r="DF1128" s="148"/>
      <c r="DG1128" s="148"/>
      <c r="DH1128" s="148"/>
      <c r="DI1128" s="148"/>
      <c r="DJ1128" s="148"/>
      <c r="DK1128" s="148"/>
      <c r="DL1128" s="148"/>
      <c r="DM1128" s="148"/>
      <c r="DN1128" s="148"/>
      <c r="DO1128" s="148"/>
      <c r="DP1128" s="148"/>
      <c r="DQ1128" s="148"/>
      <c r="DR1128" s="148"/>
      <c r="DS1128" s="148"/>
      <c r="DT1128" s="148"/>
      <c r="DU1128" s="148"/>
      <c r="DV1128" s="148"/>
      <c r="DW1128" s="148"/>
      <c r="DX1128" s="148"/>
      <c r="DY1128" s="148"/>
      <c r="DZ1128" s="148"/>
      <c r="EA1128" s="148"/>
      <c r="EB1128" s="148"/>
      <c r="EC1128" s="148"/>
      <c r="ED1128" s="148"/>
      <c r="EE1128" s="148"/>
      <c r="EF1128" s="148"/>
      <c r="EG1128" s="148"/>
      <c r="EH1128" s="148"/>
      <c r="EI1128" s="148"/>
      <c r="EJ1128" s="148"/>
      <c r="EK1128" s="148"/>
      <c r="EL1128" s="148"/>
      <c r="EM1128" s="148"/>
    </row>
    <row r="1129" spans="1:143" s="90" customFormat="1" x14ac:dyDescent="0.3">
      <c r="A1129" s="84">
        <v>903146</v>
      </c>
      <c r="B1129" s="182">
        <v>33.299999999999997</v>
      </c>
      <c r="C1129" s="182">
        <v>9.9</v>
      </c>
      <c r="D1129" s="184">
        <v>8.52</v>
      </c>
      <c r="E1129" s="1534">
        <v>0.23</v>
      </c>
      <c r="F1129" s="181">
        <v>105.3</v>
      </c>
      <c r="G1129" s="181"/>
      <c r="H1129" s="183">
        <v>12.57</v>
      </c>
      <c r="I1129" s="181">
        <v>180</v>
      </c>
      <c r="J1129" s="181">
        <v>0.154</v>
      </c>
      <c r="K1129" s="182">
        <v>10</v>
      </c>
      <c r="L1129" s="181">
        <v>210</v>
      </c>
      <c r="M1129" s="181">
        <v>0.64</v>
      </c>
      <c r="N1129" s="181">
        <v>0.28000000000000003</v>
      </c>
      <c r="O1129" s="181">
        <v>1.97</v>
      </c>
      <c r="P1129" s="181">
        <v>1.08</v>
      </c>
      <c r="Q1129" s="181"/>
      <c r="R1129" s="957">
        <v>0.17520948271467326</v>
      </c>
      <c r="S1129" s="181">
        <v>1.2</v>
      </c>
      <c r="T1129" s="83"/>
      <c r="U1129" s="83"/>
      <c r="V1129" s="83"/>
      <c r="W1129" s="181"/>
      <c r="X1129" s="181"/>
      <c r="Y1129" s="182">
        <f t="shared" si="48"/>
        <v>27</v>
      </c>
      <c r="Z1129" s="181"/>
      <c r="AA1129" s="181"/>
      <c r="AB1129" s="181"/>
      <c r="AC1129" s="181"/>
      <c r="AD1129" s="88">
        <v>540</v>
      </c>
      <c r="AE1129" s="88">
        <v>260</v>
      </c>
      <c r="AF1129" s="88">
        <v>200</v>
      </c>
      <c r="AG1129" s="66">
        <f t="shared" si="45"/>
        <v>131.11111111111111</v>
      </c>
      <c r="AH1129" s="143">
        <f t="shared" si="46"/>
        <v>1000</v>
      </c>
      <c r="AI1129" s="148"/>
      <c r="AJ1129" s="148"/>
      <c r="AK1129" s="148"/>
      <c r="AL1129" s="148"/>
      <c r="AM1129" s="148"/>
      <c r="AN1129" s="148"/>
      <c r="AO1129" s="148"/>
      <c r="AP1129" s="148"/>
      <c r="AQ1129" s="148"/>
      <c r="AR1129" s="148"/>
      <c r="AS1129" s="148"/>
      <c r="AT1129" s="148"/>
      <c r="AU1129" s="148"/>
      <c r="AV1129" s="148"/>
      <c r="AW1129" s="148"/>
      <c r="AX1129" s="148"/>
      <c r="AY1129" s="148"/>
      <c r="AZ1129" s="148"/>
      <c r="BA1129" s="148"/>
      <c r="BB1129" s="148"/>
      <c r="BC1129" s="148"/>
      <c r="BD1129" s="148"/>
      <c r="BE1129" s="148"/>
      <c r="BF1129" s="148"/>
      <c r="BG1129" s="148"/>
      <c r="BH1129" s="148"/>
      <c r="BI1129" s="148"/>
      <c r="BJ1129" s="148"/>
      <c r="BK1129" s="148"/>
      <c r="BL1129" s="148"/>
      <c r="BM1129" s="148"/>
      <c r="BN1129" s="148"/>
      <c r="BO1129" s="148"/>
      <c r="BP1129" s="148"/>
      <c r="BQ1129" s="148"/>
      <c r="BR1129" s="148"/>
      <c r="BS1129" s="148"/>
      <c r="BT1129" s="148"/>
      <c r="BU1129" s="148"/>
      <c r="BV1129" s="148"/>
      <c r="BW1129" s="148"/>
      <c r="BX1129" s="148"/>
      <c r="BY1129" s="148"/>
      <c r="BZ1129" s="148"/>
      <c r="CA1129" s="148"/>
      <c r="CB1129" s="148"/>
      <c r="CC1129" s="148"/>
      <c r="CD1129" s="148"/>
      <c r="CE1129" s="148"/>
      <c r="CF1129" s="148"/>
      <c r="CG1129" s="148"/>
      <c r="CH1129" s="148"/>
      <c r="CI1129" s="148"/>
      <c r="CJ1129" s="148"/>
      <c r="CK1129" s="148"/>
      <c r="CL1129" s="148"/>
      <c r="CM1129" s="148"/>
      <c r="CN1129" s="148"/>
      <c r="CO1129" s="148"/>
      <c r="CP1129" s="148"/>
      <c r="CQ1129" s="148"/>
      <c r="CR1129" s="148"/>
      <c r="CS1129" s="148"/>
      <c r="CT1129" s="148"/>
      <c r="CU1129" s="148"/>
      <c r="CV1129" s="148"/>
      <c r="CW1129" s="148"/>
      <c r="CX1129" s="148"/>
      <c r="CY1129" s="148"/>
      <c r="CZ1129" s="148"/>
      <c r="DA1129" s="148"/>
      <c r="DB1129" s="148"/>
      <c r="DC1129" s="148"/>
      <c r="DD1129" s="148"/>
      <c r="DE1129" s="148"/>
      <c r="DF1129" s="148"/>
      <c r="DG1129" s="148"/>
      <c r="DH1129" s="148"/>
      <c r="DI1129" s="148"/>
      <c r="DJ1129" s="148"/>
      <c r="DK1129" s="148"/>
      <c r="DL1129" s="148"/>
      <c r="DM1129" s="148"/>
      <c r="DN1129" s="148"/>
      <c r="DO1129" s="148"/>
      <c r="DP1129" s="148"/>
      <c r="DQ1129" s="148"/>
      <c r="DR1129" s="148"/>
      <c r="DS1129" s="148"/>
      <c r="DT1129" s="148"/>
      <c r="DU1129" s="148"/>
      <c r="DV1129" s="148"/>
      <c r="DW1129" s="148"/>
      <c r="DX1129" s="148"/>
      <c r="DY1129" s="148"/>
      <c r="DZ1129" s="148"/>
      <c r="EA1129" s="148"/>
      <c r="EB1129" s="148"/>
      <c r="EC1129" s="148"/>
      <c r="ED1129" s="148"/>
      <c r="EE1129" s="148"/>
      <c r="EF1129" s="148"/>
      <c r="EG1129" s="148"/>
      <c r="EH1129" s="148"/>
      <c r="EI1129" s="148"/>
      <c r="EJ1129" s="148"/>
      <c r="EK1129" s="148"/>
      <c r="EL1129" s="148"/>
      <c r="EM1129" s="148"/>
    </row>
    <row r="1130" spans="1:143" s="90" customFormat="1" x14ac:dyDescent="0.3">
      <c r="A1130" s="84">
        <v>903150</v>
      </c>
      <c r="B1130" s="182">
        <v>8</v>
      </c>
      <c r="C1130" s="182"/>
      <c r="D1130" s="184">
        <v>8.15</v>
      </c>
      <c r="E1130" s="1534">
        <v>0.19</v>
      </c>
      <c r="F1130" s="181">
        <v>27.75</v>
      </c>
      <c r="G1130" s="181"/>
      <c r="H1130" s="183">
        <v>85.3</v>
      </c>
      <c r="I1130" s="181">
        <v>620</v>
      </c>
      <c r="J1130" s="181">
        <v>3.9E-2</v>
      </c>
      <c r="K1130" s="182">
        <v>10.58</v>
      </c>
      <c r="L1130" s="181">
        <v>1870</v>
      </c>
      <c r="M1130" s="181">
        <v>0.63</v>
      </c>
      <c r="N1130" s="181">
        <v>0.64</v>
      </c>
      <c r="O1130" s="181">
        <v>5.13</v>
      </c>
      <c r="P1130" s="181">
        <v>2.94</v>
      </c>
      <c r="Q1130" s="181"/>
      <c r="R1130" s="957">
        <v>1.9439120000000001</v>
      </c>
      <c r="S1130" s="181">
        <v>21.8</v>
      </c>
      <c r="T1130" s="83"/>
      <c r="U1130" s="83"/>
      <c r="V1130" s="83"/>
      <c r="W1130" s="181"/>
      <c r="X1130" s="181"/>
      <c r="Y1130" s="182">
        <f t="shared" si="48"/>
        <v>30</v>
      </c>
      <c r="Z1130" s="181"/>
      <c r="AA1130" s="181"/>
      <c r="AB1130" s="181"/>
      <c r="AC1130" s="181"/>
      <c r="AD1130" s="88">
        <v>600</v>
      </c>
      <c r="AE1130" s="88">
        <v>320</v>
      </c>
      <c r="AF1130" s="88">
        <v>80</v>
      </c>
      <c r="AG1130" s="66">
        <f t="shared" si="45"/>
        <v>124.84400000000001</v>
      </c>
      <c r="AH1130" s="143">
        <f t="shared" si="46"/>
        <v>1000</v>
      </c>
      <c r="AI1130" s="148"/>
      <c r="AJ1130" s="148"/>
      <c r="AK1130" s="148"/>
      <c r="AL1130" s="148"/>
      <c r="AM1130" s="148"/>
      <c r="AN1130" s="148"/>
      <c r="AO1130" s="148"/>
      <c r="AP1130" s="148"/>
      <c r="AQ1130" s="148"/>
      <c r="AR1130" s="148"/>
      <c r="AS1130" s="148"/>
      <c r="AT1130" s="148"/>
      <c r="AU1130" s="148"/>
      <c r="AV1130" s="148"/>
      <c r="AW1130" s="148"/>
      <c r="AX1130" s="148"/>
      <c r="AY1130" s="148"/>
      <c r="AZ1130" s="148"/>
      <c r="BA1130" s="148"/>
      <c r="BB1130" s="148"/>
      <c r="BC1130" s="148"/>
      <c r="BD1130" s="148"/>
      <c r="BE1130" s="148"/>
      <c r="BF1130" s="148"/>
      <c r="BG1130" s="148"/>
      <c r="BH1130" s="148"/>
      <c r="BI1130" s="148"/>
      <c r="BJ1130" s="148"/>
      <c r="BK1130" s="148"/>
      <c r="BL1130" s="148"/>
      <c r="BM1130" s="148"/>
      <c r="BN1130" s="148"/>
      <c r="BO1130" s="148"/>
      <c r="BP1130" s="148"/>
      <c r="BQ1130" s="148"/>
      <c r="BR1130" s="148"/>
      <c r="BS1130" s="148"/>
      <c r="BT1130" s="148"/>
      <c r="BU1130" s="148"/>
      <c r="BV1130" s="148"/>
      <c r="BW1130" s="148"/>
      <c r="BX1130" s="148"/>
      <c r="BY1130" s="148"/>
      <c r="BZ1130" s="148"/>
      <c r="CA1130" s="148"/>
      <c r="CB1130" s="148"/>
      <c r="CC1130" s="148"/>
      <c r="CD1130" s="148"/>
      <c r="CE1130" s="148"/>
      <c r="CF1130" s="148"/>
      <c r="CG1130" s="148"/>
      <c r="CH1130" s="148"/>
      <c r="CI1130" s="148"/>
      <c r="CJ1130" s="148"/>
      <c r="CK1130" s="148"/>
      <c r="CL1130" s="148"/>
      <c r="CM1130" s="148"/>
      <c r="CN1130" s="148"/>
      <c r="CO1130" s="148"/>
      <c r="CP1130" s="148"/>
      <c r="CQ1130" s="148"/>
      <c r="CR1130" s="148"/>
      <c r="CS1130" s="148"/>
      <c r="CT1130" s="148"/>
      <c r="CU1130" s="148"/>
      <c r="CV1130" s="148"/>
      <c r="CW1130" s="148"/>
      <c r="CX1130" s="148"/>
      <c r="CY1130" s="148"/>
      <c r="CZ1130" s="148"/>
      <c r="DA1130" s="148"/>
      <c r="DB1130" s="148"/>
      <c r="DC1130" s="148"/>
      <c r="DD1130" s="148"/>
      <c r="DE1130" s="148"/>
      <c r="DF1130" s="148"/>
      <c r="DG1130" s="148"/>
      <c r="DH1130" s="148"/>
      <c r="DI1130" s="148"/>
      <c r="DJ1130" s="148"/>
      <c r="DK1130" s="148"/>
      <c r="DL1130" s="148"/>
      <c r="DM1130" s="148"/>
      <c r="DN1130" s="148"/>
      <c r="DO1130" s="148"/>
      <c r="DP1130" s="148"/>
      <c r="DQ1130" s="148"/>
      <c r="DR1130" s="148"/>
      <c r="DS1130" s="148"/>
      <c r="DT1130" s="148"/>
      <c r="DU1130" s="148"/>
      <c r="DV1130" s="148"/>
      <c r="DW1130" s="148"/>
      <c r="DX1130" s="148"/>
      <c r="DY1130" s="148"/>
      <c r="DZ1130" s="148"/>
      <c r="EA1130" s="148"/>
      <c r="EB1130" s="148"/>
      <c r="EC1130" s="148"/>
      <c r="ED1130" s="148"/>
      <c r="EE1130" s="148"/>
      <c r="EF1130" s="148"/>
      <c r="EG1130" s="148"/>
      <c r="EH1130" s="148"/>
      <c r="EI1130" s="148"/>
      <c r="EJ1130" s="148"/>
      <c r="EK1130" s="148"/>
      <c r="EL1130" s="148"/>
      <c r="EM1130" s="148"/>
    </row>
    <row r="1131" spans="1:143" s="90" customFormat="1" x14ac:dyDescent="0.3">
      <c r="A1131" s="84">
        <v>903151</v>
      </c>
      <c r="B1131" s="182">
        <v>34.299999999999997</v>
      </c>
      <c r="C1131" s="182">
        <v>9.1</v>
      </c>
      <c r="D1131" s="184">
        <v>8.26</v>
      </c>
      <c r="E1131" s="1534">
        <v>0.18</v>
      </c>
      <c r="F1131" s="181">
        <v>27.85</v>
      </c>
      <c r="G1131" s="181"/>
      <c r="H1131" s="183">
        <v>97.22</v>
      </c>
      <c r="I1131" s="181">
        <v>460</v>
      </c>
      <c r="J1131" s="181">
        <v>1.9E-2</v>
      </c>
      <c r="K1131" s="182">
        <v>11.63</v>
      </c>
      <c r="L1131" s="181">
        <v>1380</v>
      </c>
      <c r="M1131" s="181">
        <v>2.7</v>
      </c>
      <c r="N1131" s="181">
        <v>4.66</v>
      </c>
      <c r="O1131" s="181">
        <v>8.1199999999999992</v>
      </c>
      <c r="P1131" s="181">
        <v>7.83</v>
      </c>
      <c r="Q1131" s="181"/>
      <c r="R1131" s="957">
        <v>1.836392</v>
      </c>
      <c r="S1131" s="181">
        <v>17.8</v>
      </c>
      <c r="T1131" s="83"/>
      <c r="U1131" s="83"/>
      <c r="V1131" s="83"/>
      <c r="W1131" s="181"/>
      <c r="X1131" s="181"/>
      <c r="Y1131" s="182">
        <f t="shared" si="48"/>
        <v>31</v>
      </c>
      <c r="Z1131" s="181"/>
      <c r="AA1131" s="181"/>
      <c r="AB1131" s="181"/>
      <c r="AC1131" s="181"/>
      <c r="AD1131" s="88">
        <v>620</v>
      </c>
      <c r="AE1131" s="88">
        <v>280</v>
      </c>
      <c r="AF1131" s="88">
        <v>100</v>
      </c>
      <c r="AG1131" s="66">
        <f t="shared" si="45"/>
        <v>132.80709677419355</v>
      </c>
      <c r="AH1131" s="143">
        <f t="shared" si="46"/>
        <v>1000</v>
      </c>
      <c r="AI1131" s="148"/>
      <c r="AJ1131" s="148"/>
      <c r="AK1131" s="148"/>
      <c r="AL1131" s="148"/>
      <c r="AM1131" s="148"/>
      <c r="AN1131" s="148"/>
      <c r="AO1131" s="148"/>
      <c r="AP1131" s="148"/>
      <c r="AQ1131" s="148"/>
      <c r="AR1131" s="148"/>
      <c r="AS1131" s="148"/>
      <c r="AT1131" s="148"/>
      <c r="AU1131" s="148"/>
      <c r="AV1131" s="148"/>
      <c r="AW1131" s="148"/>
      <c r="AX1131" s="148"/>
      <c r="AY1131" s="148"/>
      <c r="AZ1131" s="148"/>
      <c r="BA1131" s="148"/>
      <c r="BB1131" s="148"/>
      <c r="BC1131" s="148"/>
      <c r="BD1131" s="148"/>
      <c r="BE1131" s="148"/>
      <c r="BF1131" s="148"/>
      <c r="BG1131" s="148"/>
      <c r="BH1131" s="148"/>
      <c r="BI1131" s="148"/>
      <c r="BJ1131" s="148"/>
      <c r="BK1131" s="148"/>
      <c r="BL1131" s="148"/>
      <c r="BM1131" s="148"/>
      <c r="BN1131" s="148"/>
      <c r="BO1131" s="148"/>
      <c r="BP1131" s="148"/>
      <c r="BQ1131" s="148"/>
      <c r="BR1131" s="148"/>
      <c r="BS1131" s="148"/>
      <c r="BT1131" s="148"/>
      <c r="BU1131" s="148"/>
      <c r="BV1131" s="148"/>
      <c r="BW1131" s="148"/>
      <c r="BX1131" s="148"/>
      <c r="BY1131" s="148"/>
      <c r="BZ1131" s="148"/>
      <c r="CA1131" s="148"/>
      <c r="CB1131" s="148"/>
      <c r="CC1131" s="148"/>
      <c r="CD1131" s="148"/>
      <c r="CE1131" s="148"/>
      <c r="CF1131" s="148"/>
      <c r="CG1131" s="148"/>
      <c r="CH1131" s="148"/>
      <c r="CI1131" s="148"/>
      <c r="CJ1131" s="148"/>
      <c r="CK1131" s="148"/>
      <c r="CL1131" s="148"/>
      <c r="CM1131" s="148"/>
      <c r="CN1131" s="148"/>
      <c r="CO1131" s="148"/>
      <c r="CP1131" s="148"/>
      <c r="CQ1131" s="148"/>
      <c r="CR1131" s="148"/>
      <c r="CS1131" s="148"/>
      <c r="CT1131" s="148"/>
      <c r="CU1131" s="148"/>
      <c r="CV1131" s="148"/>
      <c r="CW1131" s="148"/>
      <c r="CX1131" s="148"/>
      <c r="CY1131" s="148"/>
      <c r="CZ1131" s="148"/>
      <c r="DA1131" s="148"/>
      <c r="DB1131" s="148"/>
      <c r="DC1131" s="148"/>
      <c r="DD1131" s="148"/>
      <c r="DE1131" s="148"/>
      <c r="DF1131" s="148"/>
      <c r="DG1131" s="148"/>
      <c r="DH1131" s="148"/>
      <c r="DI1131" s="148"/>
      <c r="DJ1131" s="148"/>
      <c r="DK1131" s="148"/>
      <c r="DL1131" s="148"/>
      <c r="DM1131" s="148"/>
      <c r="DN1131" s="148"/>
      <c r="DO1131" s="148"/>
      <c r="DP1131" s="148"/>
      <c r="DQ1131" s="148"/>
      <c r="DR1131" s="148"/>
      <c r="DS1131" s="148"/>
      <c r="DT1131" s="148"/>
      <c r="DU1131" s="148"/>
      <c r="DV1131" s="148"/>
      <c r="DW1131" s="148"/>
      <c r="DX1131" s="148"/>
      <c r="DY1131" s="148"/>
      <c r="DZ1131" s="148"/>
      <c r="EA1131" s="148"/>
      <c r="EB1131" s="148"/>
      <c r="EC1131" s="148"/>
      <c r="ED1131" s="148"/>
      <c r="EE1131" s="148"/>
      <c r="EF1131" s="148"/>
      <c r="EG1131" s="148"/>
      <c r="EH1131" s="148"/>
      <c r="EI1131" s="148"/>
      <c r="EJ1131" s="148"/>
      <c r="EK1131" s="148"/>
      <c r="EL1131" s="148"/>
      <c r="EM1131" s="148"/>
    </row>
    <row r="1132" spans="1:143" s="90" customFormat="1" x14ac:dyDescent="0.3">
      <c r="A1132" s="84">
        <v>903152</v>
      </c>
      <c r="B1132" s="182">
        <v>40</v>
      </c>
      <c r="C1132" s="182">
        <v>9.4</v>
      </c>
      <c r="D1132" s="184">
        <v>8.23</v>
      </c>
      <c r="E1132" s="1534">
        <v>0.18</v>
      </c>
      <c r="F1132" s="181">
        <v>24.25</v>
      </c>
      <c r="G1132" s="181"/>
      <c r="H1132" s="183">
        <v>69.209999999999994</v>
      </c>
      <c r="I1132" s="181">
        <v>560</v>
      </c>
      <c r="J1132" s="181">
        <v>1E-3</v>
      </c>
      <c r="K1132" s="182">
        <v>5.72</v>
      </c>
      <c r="L1132" s="181">
        <v>850</v>
      </c>
      <c r="M1132" s="181">
        <v>1.74</v>
      </c>
      <c r="N1132" s="181">
        <v>1.22</v>
      </c>
      <c r="O1132" s="181">
        <v>5.78</v>
      </c>
      <c r="P1132" s="181">
        <v>7.8</v>
      </c>
      <c r="Q1132" s="181"/>
      <c r="R1132" s="957">
        <v>1.9849880000000002</v>
      </c>
      <c r="S1132" s="181">
        <v>23.6</v>
      </c>
      <c r="T1132" s="83"/>
      <c r="U1132" s="83"/>
      <c r="V1132" s="83"/>
      <c r="W1132" s="181"/>
      <c r="X1132" s="181"/>
      <c r="Y1132" s="182">
        <v>23</v>
      </c>
      <c r="Z1132" s="181"/>
      <c r="AA1132" s="181"/>
      <c r="AB1132" s="181"/>
      <c r="AC1132" s="181"/>
      <c r="AD1132" s="88">
        <v>540</v>
      </c>
      <c r="AE1132" s="88">
        <v>260</v>
      </c>
      <c r="AF1132" s="88">
        <v>200</v>
      </c>
      <c r="AG1132" s="66">
        <f t="shared" si="45"/>
        <v>88.038260869565207</v>
      </c>
      <c r="AH1132" s="143">
        <f t="shared" si="46"/>
        <v>1000</v>
      </c>
      <c r="AI1132" s="148"/>
      <c r="AJ1132" s="148"/>
      <c r="AK1132" s="148"/>
      <c r="AL1132" s="148"/>
      <c r="AM1132" s="148"/>
      <c r="AN1132" s="148"/>
      <c r="AO1132" s="148"/>
      <c r="AP1132" s="148"/>
      <c r="AQ1132" s="148"/>
      <c r="AR1132" s="148"/>
      <c r="AS1132" s="148"/>
      <c r="AT1132" s="148"/>
      <c r="AU1132" s="148"/>
      <c r="AV1132" s="148"/>
      <c r="AW1132" s="148"/>
      <c r="AX1132" s="148"/>
      <c r="AY1132" s="148"/>
      <c r="AZ1132" s="148"/>
      <c r="BA1132" s="148"/>
      <c r="BB1132" s="148"/>
      <c r="BC1132" s="148"/>
      <c r="BD1132" s="148"/>
      <c r="BE1132" s="148"/>
      <c r="BF1132" s="148"/>
      <c r="BG1132" s="148"/>
      <c r="BH1132" s="148"/>
      <c r="BI1132" s="148"/>
      <c r="BJ1132" s="148"/>
      <c r="BK1132" s="148"/>
      <c r="BL1132" s="148"/>
      <c r="BM1132" s="148"/>
      <c r="BN1132" s="148"/>
      <c r="BO1132" s="148"/>
      <c r="BP1132" s="148"/>
      <c r="BQ1132" s="148"/>
      <c r="BR1132" s="148"/>
      <c r="BS1132" s="148"/>
      <c r="BT1132" s="148"/>
      <c r="BU1132" s="148"/>
      <c r="BV1132" s="148"/>
      <c r="BW1132" s="148"/>
      <c r="BX1132" s="148"/>
      <c r="BY1132" s="148"/>
      <c r="BZ1132" s="148"/>
      <c r="CA1132" s="148"/>
      <c r="CB1132" s="148"/>
      <c r="CC1132" s="148"/>
      <c r="CD1132" s="148"/>
      <c r="CE1132" s="148"/>
      <c r="CF1132" s="148"/>
      <c r="CG1132" s="148"/>
      <c r="CH1132" s="148"/>
      <c r="CI1132" s="148"/>
      <c r="CJ1132" s="148"/>
      <c r="CK1132" s="148"/>
      <c r="CL1132" s="148"/>
      <c r="CM1132" s="148"/>
      <c r="CN1132" s="148"/>
      <c r="CO1132" s="148"/>
      <c r="CP1132" s="148"/>
      <c r="CQ1132" s="148"/>
      <c r="CR1132" s="148"/>
      <c r="CS1132" s="148"/>
      <c r="CT1132" s="148"/>
      <c r="CU1132" s="148"/>
      <c r="CV1132" s="148"/>
      <c r="CW1132" s="148"/>
      <c r="CX1132" s="148"/>
      <c r="CY1132" s="148"/>
      <c r="CZ1132" s="148"/>
      <c r="DA1132" s="148"/>
      <c r="DB1132" s="148"/>
      <c r="DC1132" s="148"/>
      <c r="DD1132" s="148"/>
      <c r="DE1132" s="148"/>
      <c r="DF1132" s="148"/>
      <c r="DG1132" s="148"/>
      <c r="DH1132" s="148"/>
      <c r="DI1132" s="148"/>
      <c r="DJ1132" s="148"/>
      <c r="DK1132" s="148"/>
      <c r="DL1132" s="148"/>
      <c r="DM1132" s="148"/>
      <c r="DN1132" s="148"/>
      <c r="DO1132" s="148"/>
      <c r="DP1132" s="148"/>
      <c r="DQ1132" s="148"/>
      <c r="DR1132" s="148"/>
      <c r="DS1132" s="148"/>
      <c r="DT1132" s="148"/>
      <c r="DU1132" s="148"/>
      <c r="DV1132" s="148"/>
      <c r="DW1132" s="148"/>
      <c r="DX1132" s="148"/>
      <c r="DY1132" s="148"/>
      <c r="DZ1132" s="148"/>
      <c r="EA1132" s="148"/>
      <c r="EB1132" s="148"/>
      <c r="EC1132" s="148"/>
      <c r="ED1132" s="148"/>
      <c r="EE1132" s="148"/>
      <c r="EF1132" s="148"/>
      <c r="EG1132" s="148"/>
      <c r="EH1132" s="148"/>
      <c r="EI1132" s="148"/>
      <c r="EJ1132" s="148"/>
      <c r="EK1132" s="148"/>
      <c r="EL1132" s="148"/>
      <c r="EM1132" s="148"/>
    </row>
    <row r="1133" spans="1:143" s="90" customFormat="1" x14ac:dyDescent="0.3">
      <c r="A1133" s="84">
        <v>903153</v>
      </c>
      <c r="B1133" s="182">
        <v>48.2</v>
      </c>
      <c r="C1133" s="182">
        <v>10.5</v>
      </c>
      <c r="D1133" s="184">
        <v>8.16</v>
      </c>
      <c r="E1133" s="1534">
        <v>0.2</v>
      </c>
      <c r="F1133" s="181">
        <v>26.85</v>
      </c>
      <c r="G1133" s="181"/>
      <c r="H1133" s="183">
        <v>89.17</v>
      </c>
      <c r="I1133" s="181">
        <v>580</v>
      </c>
      <c r="J1133" s="181">
        <v>8.0000000000000002E-3</v>
      </c>
      <c r="K1133" s="182">
        <v>6.59</v>
      </c>
      <c r="L1133" s="181">
        <v>1020</v>
      </c>
      <c r="M1133" s="181">
        <v>2.78</v>
      </c>
      <c r="N1133" s="181">
        <v>2.3199999999999998</v>
      </c>
      <c r="O1133" s="181">
        <v>7.51</v>
      </c>
      <c r="P1133" s="181">
        <v>8.2799999999999994</v>
      </c>
      <c r="Q1133" s="181"/>
      <c r="R1133" s="957">
        <v>1.958108</v>
      </c>
      <c r="S1133" s="181">
        <v>22.4</v>
      </c>
      <c r="T1133" s="83"/>
      <c r="U1133" s="83"/>
      <c r="V1133" s="83"/>
      <c r="W1133" s="181"/>
      <c r="X1133" s="181"/>
      <c r="Y1133" s="182">
        <v>23</v>
      </c>
      <c r="Z1133" s="181"/>
      <c r="AA1133" s="181"/>
      <c r="AB1133" s="181"/>
      <c r="AC1133" s="181"/>
      <c r="AD1133" s="88">
        <v>520</v>
      </c>
      <c r="AE1133" s="88">
        <v>280</v>
      </c>
      <c r="AF1133" s="88">
        <v>200</v>
      </c>
      <c r="AG1133" s="66">
        <f t="shared" si="45"/>
        <v>101.4286956521739</v>
      </c>
      <c r="AH1133" s="143">
        <f t="shared" si="46"/>
        <v>1000</v>
      </c>
      <c r="AI1133" s="148"/>
      <c r="AJ1133" s="148"/>
      <c r="AK1133" s="148"/>
      <c r="AL1133" s="148"/>
      <c r="AM1133" s="148"/>
      <c r="AN1133" s="148"/>
      <c r="AO1133" s="148"/>
      <c r="AP1133" s="148"/>
      <c r="AQ1133" s="148"/>
      <c r="AR1133" s="148"/>
      <c r="AS1133" s="148"/>
      <c r="AT1133" s="148"/>
      <c r="AU1133" s="148"/>
      <c r="AV1133" s="148"/>
      <c r="AW1133" s="148"/>
      <c r="AX1133" s="148"/>
      <c r="AY1133" s="148"/>
      <c r="AZ1133" s="148"/>
      <c r="BA1133" s="148"/>
      <c r="BB1133" s="148"/>
      <c r="BC1133" s="148"/>
      <c r="BD1133" s="148"/>
      <c r="BE1133" s="148"/>
      <c r="BF1133" s="148"/>
      <c r="BG1133" s="148"/>
      <c r="BH1133" s="148"/>
      <c r="BI1133" s="148"/>
      <c r="BJ1133" s="148"/>
      <c r="BK1133" s="148"/>
      <c r="BL1133" s="148"/>
      <c r="BM1133" s="148"/>
      <c r="BN1133" s="148"/>
      <c r="BO1133" s="148"/>
      <c r="BP1133" s="148"/>
      <c r="BQ1133" s="148"/>
      <c r="BR1133" s="148"/>
      <c r="BS1133" s="148"/>
      <c r="BT1133" s="148"/>
      <c r="BU1133" s="148"/>
      <c r="BV1133" s="148"/>
      <c r="BW1133" s="148"/>
      <c r="BX1133" s="148"/>
      <c r="BY1133" s="148"/>
      <c r="BZ1133" s="148"/>
      <c r="CA1133" s="148"/>
      <c r="CB1133" s="148"/>
      <c r="CC1133" s="148"/>
      <c r="CD1133" s="148"/>
      <c r="CE1133" s="148"/>
      <c r="CF1133" s="148"/>
      <c r="CG1133" s="148"/>
      <c r="CH1133" s="148"/>
      <c r="CI1133" s="148"/>
      <c r="CJ1133" s="148"/>
      <c r="CK1133" s="148"/>
      <c r="CL1133" s="148"/>
      <c r="CM1133" s="148"/>
      <c r="CN1133" s="148"/>
      <c r="CO1133" s="148"/>
      <c r="CP1133" s="148"/>
      <c r="CQ1133" s="148"/>
      <c r="CR1133" s="148"/>
      <c r="CS1133" s="148"/>
      <c r="CT1133" s="148"/>
      <c r="CU1133" s="148"/>
      <c r="CV1133" s="148"/>
      <c r="CW1133" s="148"/>
      <c r="CX1133" s="148"/>
      <c r="CY1133" s="148"/>
      <c r="CZ1133" s="148"/>
      <c r="DA1133" s="148"/>
      <c r="DB1133" s="148"/>
      <c r="DC1133" s="148"/>
      <c r="DD1133" s="148"/>
      <c r="DE1133" s="148"/>
      <c r="DF1133" s="148"/>
      <c r="DG1133" s="148"/>
      <c r="DH1133" s="148"/>
      <c r="DI1133" s="148"/>
      <c r="DJ1133" s="148"/>
      <c r="DK1133" s="148"/>
      <c r="DL1133" s="148"/>
      <c r="DM1133" s="148"/>
      <c r="DN1133" s="148"/>
      <c r="DO1133" s="148"/>
      <c r="DP1133" s="148"/>
      <c r="DQ1133" s="148"/>
      <c r="DR1133" s="148"/>
      <c r="DS1133" s="148"/>
      <c r="DT1133" s="148"/>
      <c r="DU1133" s="148"/>
      <c r="DV1133" s="148"/>
      <c r="DW1133" s="148"/>
      <c r="DX1133" s="148"/>
      <c r="DY1133" s="148"/>
      <c r="DZ1133" s="148"/>
      <c r="EA1133" s="148"/>
      <c r="EB1133" s="148"/>
      <c r="EC1133" s="148"/>
      <c r="ED1133" s="148"/>
      <c r="EE1133" s="148"/>
      <c r="EF1133" s="148"/>
      <c r="EG1133" s="148"/>
      <c r="EH1133" s="148"/>
      <c r="EI1133" s="148"/>
      <c r="EJ1133" s="148"/>
      <c r="EK1133" s="148"/>
      <c r="EL1133" s="148"/>
      <c r="EM1133" s="148"/>
    </row>
    <row r="1134" spans="1:143" s="90" customFormat="1" x14ac:dyDescent="0.3">
      <c r="A1134" s="84">
        <v>903154</v>
      </c>
      <c r="B1134" s="182">
        <v>46</v>
      </c>
      <c r="C1134" s="182">
        <v>11.1</v>
      </c>
      <c r="D1134" s="184">
        <v>7.72</v>
      </c>
      <c r="E1134" s="1534">
        <v>0.24</v>
      </c>
      <c r="F1134" s="181">
        <v>26.6</v>
      </c>
      <c r="G1134" s="181"/>
      <c r="H1134" s="183">
        <v>625.79999999999995</v>
      </c>
      <c r="I1134" s="181">
        <v>580</v>
      </c>
      <c r="J1134" s="181">
        <v>2.1000000000000001E-2</v>
      </c>
      <c r="K1134" s="182">
        <v>6.66</v>
      </c>
      <c r="L1134" s="181">
        <v>1810</v>
      </c>
      <c r="M1134" s="181">
        <v>14.2</v>
      </c>
      <c r="N1134" s="181">
        <v>5.93</v>
      </c>
      <c r="O1134" s="181">
        <v>23.33</v>
      </c>
      <c r="P1134" s="181">
        <v>21.35</v>
      </c>
      <c r="Q1134" s="181"/>
      <c r="R1134" s="957">
        <v>1.7644250000000001</v>
      </c>
      <c r="S1134" s="181">
        <v>15.5</v>
      </c>
      <c r="T1134" s="83"/>
      <c r="U1134" s="83"/>
      <c r="V1134" s="83"/>
      <c r="W1134" s="181"/>
      <c r="X1134" s="181"/>
      <c r="Y1134" s="182">
        <f t="shared" si="48"/>
        <v>25</v>
      </c>
      <c r="Z1134" s="181"/>
      <c r="AA1134" s="181"/>
      <c r="AB1134" s="181"/>
      <c r="AC1134" s="181"/>
      <c r="AD1134" s="88">
        <v>500</v>
      </c>
      <c r="AE1134" s="88">
        <v>360</v>
      </c>
      <c r="AF1134" s="88">
        <v>140</v>
      </c>
      <c r="AG1134" s="66">
        <f t="shared" si="45"/>
        <v>94.305599999999998</v>
      </c>
      <c r="AH1134" s="143">
        <f t="shared" si="46"/>
        <v>1000</v>
      </c>
      <c r="AI1134" s="148"/>
      <c r="AJ1134" s="148"/>
      <c r="AK1134" s="148"/>
      <c r="AL1134" s="148"/>
      <c r="AM1134" s="148"/>
      <c r="AN1134" s="148"/>
      <c r="AO1134" s="148"/>
      <c r="AP1134" s="148"/>
      <c r="AQ1134" s="148"/>
      <c r="AR1134" s="148"/>
      <c r="AS1134" s="148"/>
      <c r="AT1134" s="148"/>
      <c r="AU1134" s="148"/>
      <c r="AV1134" s="148"/>
      <c r="AW1134" s="148"/>
      <c r="AX1134" s="148"/>
      <c r="AY1134" s="148"/>
      <c r="AZ1134" s="148"/>
      <c r="BA1134" s="148"/>
      <c r="BB1134" s="148"/>
      <c r="BC1134" s="148"/>
      <c r="BD1134" s="148"/>
      <c r="BE1134" s="148"/>
      <c r="BF1134" s="148"/>
      <c r="BG1134" s="148"/>
      <c r="BH1134" s="148"/>
      <c r="BI1134" s="148"/>
      <c r="BJ1134" s="148"/>
      <c r="BK1134" s="148"/>
      <c r="BL1134" s="148"/>
      <c r="BM1134" s="148"/>
      <c r="BN1134" s="148"/>
      <c r="BO1134" s="148"/>
      <c r="BP1134" s="148"/>
      <c r="BQ1134" s="148"/>
      <c r="BR1134" s="148"/>
      <c r="BS1134" s="148"/>
      <c r="BT1134" s="148"/>
      <c r="BU1134" s="148"/>
      <c r="BV1134" s="148"/>
      <c r="BW1134" s="148"/>
      <c r="BX1134" s="148"/>
      <c r="BY1134" s="148"/>
      <c r="BZ1134" s="148"/>
      <c r="CA1134" s="148"/>
      <c r="CB1134" s="148"/>
      <c r="CC1134" s="148"/>
      <c r="CD1134" s="148"/>
      <c r="CE1134" s="148"/>
      <c r="CF1134" s="148"/>
      <c r="CG1134" s="148"/>
      <c r="CH1134" s="148"/>
      <c r="CI1134" s="148"/>
      <c r="CJ1134" s="148"/>
      <c r="CK1134" s="148"/>
      <c r="CL1134" s="148"/>
      <c r="CM1134" s="148"/>
      <c r="CN1134" s="148"/>
      <c r="CO1134" s="148"/>
      <c r="CP1134" s="148"/>
      <c r="CQ1134" s="148"/>
      <c r="CR1134" s="148"/>
      <c r="CS1134" s="148"/>
      <c r="CT1134" s="148"/>
      <c r="CU1134" s="148"/>
      <c r="CV1134" s="148"/>
      <c r="CW1134" s="148"/>
      <c r="CX1134" s="148"/>
      <c r="CY1134" s="148"/>
      <c r="CZ1134" s="148"/>
      <c r="DA1134" s="148"/>
      <c r="DB1134" s="148"/>
      <c r="DC1134" s="148"/>
      <c r="DD1134" s="148"/>
      <c r="DE1134" s="148"/>
      <c r="DF1134" s="148"/>
      <c r="DG1134" s="148"/>
      <c r="DH1134" s="148"/>
      <c r="DI1134" s="148"/>
      <c r="DJ1134" s="148"/>
      <c r="DK1134" s="148"/>
      <c r="DL1134" s="148"/>
      <c r="DM1134" s="148"/>
      <c r="DN1134" s="148"/>
      <c r="DO1134" s="148"/>
      <c r="DP1134" s="148"/>
      <c r="DQ1134" s="148"/>
      <c r="DR1134" s="148"/>
      <c r="DS1134" s="148"/>
      <c r="DT1134" s="148"/>
      <c r="DU1134" s="148"/>
      <c r="DV1134" s="148"/>
      <c r="DW1134" s="148"/>
      <c r="DX1134" s="148"/>
      <c r="DY1134" s="148"/>
      <c r="DZ1134" s="148"/>
      <c r="EA1134" s="148"/>
      <c r="EB1134" s="148"/>
      <c r="EC1134" s="148"/>
      <c r="ED1134" s="148"/>
      <c r="EE1134" s="148"/>
      <c r="EF1134" s="148"/>
      <c r="EG1134" s="148"/>
      <c r="EH1134" s="148"/>
      <c r="EI1134" s="148"/>
      <c r="EJ1134" s="148"/>
      <c r="EK1134" s="148"/>
      <c r="EL1134" s="148"/>
      <c r="EM1134" s="148"/>
    </row>
    <row r="1135" spans="1:143" s="90" customFormat="1" x14ac:dyDescent="0.3">
      <c r="A1135" s="84">
        <v>903155</v>
      </c>
      <c r="B1135" s="182"/>
      <c r="C1135" s="182"/>
      <c r="D1135" s="184"/>
      <c r="E1135" s="1534"/>
      <c r="F1135" s="181"/>
      <c r="G1135" s="181"/>
      <c r="H1135" s="183"/>
      <c r="I1135" s="181"/>
      <c r="J1135" s="181"/>
      <c r="K1135" s="182"/>
      <c r="L1135" s="181"/>
      <c r="M1135" s="181"/>
      <c r="N1135" s="181"/>
      <c r="O1135" s="181"/>
      <c r="P1135" s="181"/>
      <c r="Q1135" s="181"/>
      <c r="R1135" s="957">
        <v>0</v>
      </c>
      <c r="S1135" s="181"/>
      <c r="T1135" s="83"/>
      <c r="U1135" s="83"/>
      <c r="V1135" s="83"/>
      <c r="W1135" s="181"/>
      <c r="X1135" s="181"/>
      <c r="Y1135" s="182">
        <f t="shared" si="48"/>
        <v>0</v>
      </c>
      <c r="Z1135" s="181"/>
      <c r="AA1135" s="181"/>
      <c r="AB1135" s="181"/>
      <c r="AC1135" s="181"/>
      <c r="AD1135" s="88"/>
      <c r="AE1135" s="88"/>
      <c r="AF1135" s="88"/>
      <c r="AG1135" s="66" t="e">
        <f t="shared" si="45"/>
        <v>#DIV/0!</v>
      </c>
      <c r="AH1135" s="143">
        <f t="shared" si="46"/>
        <v>0</v>
      </c>
      <c r="AI1135" s="148"/>
      <c r="AJ1135" s="148"/>
      <c r="AK1135" s="148"/>
      <c r="AL1135" s="148"/>
      <c r="AM1135" s="148"/>
      <c r="AN1135" s="148"/>
      <c r="AO1135" s="148"/>
      <c r="AP1135" s="148"/>
      <c r="AQ1135" s="148"/>
      <c r="AR1135" s="148"/>
      <c r="AS1135" s="148"/>
      <c r="AT1135" s="148"/>
      <c r="AU1135" s="148"/>
      <c r="AV1135" s="148"/>
      <c r="AW1135" s="148"/>
      <c r="AX1135" s="148"/>
      <c r="AY1135" s="148"/>
      <c r="AZ1135" s="148"/>
      <c r="BA1135" s="148"/>
      <c r="BB1135" s="148"/>
      <c r="BC1135" s="148"/>
      <c r="BD1135" s="148"/>
      <c r="BE1135" s="148"/>
      <c r="BF1135" s="148"/>
      <c r="BG1135" s="148"/>
      <c r="BH1135" s="148"/>
      <c r="BI1135" s="148"/>
      <c r="BJ1135" s="148"/>
      <c r="BK1135" s="148"/>
      <c r="BL1135" s="148"/>
      <c r="BM1135" s="148"/>
      <c r="BN1135" s="148"/>
      <c r="BO1135" s="148"/>
      <c r="BP1135" s="148"/>
      <c r="BQ1135" s="148"/>
      <c r="BR1135" s="148"/>
      <c r="BS1135" s="148"/>
      <c r="BT1135" s="148"/>
      <c r="BU1135" s="148"/>
      <c r="BV1135" s="148"/>
      <c r="BW1135" s="148"/>
      <c r="BX1135" s="148"/>
      <c r="BY1135" s="148"/>
      <c r="BZ1135" s="148"/>
      <c r="CA1135" s="148"/>
      <c r="CB1135" s="148"/>
      <c r="CC1135" s="148"/>
      <c r="CD1135" s="148"/>
      <c r="CE1135" s="148"/>
      <c r="CF1135" s="148"/>
      <c r="CG1135" s="148"/>
      <c r="CH1135" s="148"/>
      <c r="CI1135" s="148"/>
      <c r="CJ1135" s="148"/>
      <c r="CK1135" s="148"/>
      <c r="CL1135" s="148"/>
      <c r="CM1135" s="148"/>
      <c r="CN1135" s="148"/>
      <c r="CO1135" s="148"/>
      <c r="CP1135" s="148"/>
      <c r="CQ1135" s="148"/>
      <c r="CR1135" s="148"/>
      <c r="CS1135" s="148"/>
      <c r="CT1135" s="148"/>
      <c r="CU1135" s="148"/>
      <c r="CV1135" s="148"/>
      <c r="CW1135" s="148"/>
      <c r="CX1135" s="148"/>
      <c r="CY1135" s="148"/>
      <c r="CZ1135" s="148"/>
      <c r="DA1135" s="148"/>
      <c r="DB1135" s="148"/>
      <c r="DC1135" s="148"/>
      <c r="DD1135" s="148"/>
      <c r="DE1135" s="148"/>
      <c r="DF1135" s="148"/>
      <c r="DG1135" s="148"/>
      <c r="DH1135" s="148"/>
      <c r="DI1135" s="148"/>
      <c r="DJ1135" s="148"/>
      <c r="DK1135" s="148"/>
      <c r="DL1135" s="148"/>
      <c r="DM1135" s="148"/>
      <c r="DN1135" s="148"/>
      <c r="DO1135" s="148"/>
      <c r="DP1135" s="148"/>
      <c r="DQ1135" s="148"/>
      <c r="DR1135" s="148"/>
      <c r="DS1135" s="148"/>
      <c r="DT1135" s="148"/>
      <c r="DU1135" s="148"/>
      <c r="DV1135" s="148"/>
      <c r="DW1135" s="148"/>
      <c r="DX1135" s="148"/>
      <c r="DY1135" s="148"/>
      <c r="DZ1135" s="148"/>
      <c r="EA1135" s="148"/>
      <c r="EB1135" s="148"/>
      <c r="EC1135" s="148"/>
      <c r="ED1135" s="148"/>
      <c r="EE1135" s="148"/>
      <c r="EF1135" s="148"/>
      <c r="EG1135" s="148"/>
      <c r="EH1135" s="148"/>
      <c r="EI1135" s="148"/>
      <c r="EJ1135" s="148"/>
      <c r="EK1135" s="148"/>
      <c r="EL1135" s="148"/>
      <c r="EM1135" s="148"/>
    </row>
    <row r="1136" spans="1:143" s="90" customFormat="1" x14ac:dyDescent="0.3">
      <c r="A1136" s="84">
        <v>903156</v>
      </c>
      <c r="B1136" s="182">
        <v>12.5</v>
      </c>
      <c r="C1136" s="182">
        <v>9.1</v>
      </c>
      <c r="D1136" s="184">
        <v>7.8</v>
      </c>
      <c r="E1136" s="1534">
        <v>0.23</v>
      </c>
      <c r="F1136" s="181">
        <v>22.35</v>
      </c>
      <c r="G1136" s="181"/>
      <c r="H1136" s="183">
        <v>16.09</v>
      </c>
      <c r="I1136" s="181">
        <v>390</v>
      </c>
      <c r="J1136" s="181">
        <v>8.5000000000000006E-2</v>
      </c>
      <c r="K1136" s="182">
        <v>14.97</v>
      </c>
      <c r="L1136" s="181">
        <v>1810</v>
      </c>
      <c r="M1136" s="181">
        <v>2.71</v>
      </c>
      <c r="N1136" s="181">
        <v>4.01</v>
      </c>
      <c r="O1136" s="181">
        <v>13.37</v>
      </c>
      <c r="P1136" s="181">
        <v>7.59</v>
      </c>
      <c r="Q1136" s="181"/>
      <c r="R1136" s="957">
        <v>1.716993</v>
      </c>
      <c r="S1136" s="181">
        <v>14.1</v>
      </c>
      <c r="T1136" s="83"/>
      <c r="U1136" s="83"/>
      <c r="V1136" s="83"/>
      <c r="W1136" s="181"/>
      <c r="X1136" s="181"/>
      <c r="Y1136" s="182">
        <v>26</v>
      </c>
      <c r="Z1136" s="181"/>
      <c r="AA1136" s="181"/>
      <c r="AB1136" s="181"/>
      <c r="AC1136" s="181"/>
      <c r="AD1136" s="88">
        <v>520</v>
      </c>
      <c r="AE1136" s="88">
        <v>360</v>
      </c>
      <c r="AF1136" s="88">
        <v>120</v>
      </c>
      <c r="AG1136" s="66">
        <f t="shared" si="45"/>
        <v>203.8223076923077</v>
      </c>
      <c r="AH1136" s="143">
        <f t="shared" si="46"/>
        <v>1000</v>
      </c>
      <c r="AI1136" s="148"/>
      <c r="AJ1136" s="148"/>
      <c r="AK1136" s="148"/>
      <c r="AL1136" s="148"/>
      <c r="AM1136" s="148"/>
      <c r="AN1136" s="148"/>
      <c r="AO1136" s="148"/>
      <c r="AP1136" s="148"/>
      <c r="AQ1136" s="148"/>
      <c r="AR1136" s="148"/>
      <c r="AS1136" s="148"/>
      <c r="AT1136" s="148"/>
      <c r="AU1136" s="148"/>
      <c r="AV1136" s="148"/>
      <c r="AW1136" s="148"/>
      <c r="AX1136" s="148"/>
      <c r="AY1136" s="148"/>
      <c r="AZ1136" s="148"/>
      <c r="BA1136" s="148"/>
      <c r="BB1136" s="148"/>
      <c r="BC1136" s="148"/>
      <c r="BD1136" s="148"/>
      <c r="BE1136" s="148"/>
      <c r="BF1136" s="148"/>
      <c r="BG1136" s="148"/>
      <c r="BH1136" s="148"/>
      <c r="BI1136" s="148"/>
      <c r="BJ1136" s="148"/>
      <c r="BK1136" s="148"/>
      <c r="BL1136" s="148"/>
      <c r="BM1136" s="148"/>
      <c r="BN1136" s="148"/>
      <c r="BO1136" s="148"/>
      <c r="BP1136" s="148"/>
      <c r="BQ1136" s="148"/>
      <c r="BR1136" s="148"/>
      <c r="BS1136" s="148"/>
      <c r="BT1136" s="148"/>
      <c r="BU1136" s="148"/>
      <c r="BV1136" s="148"/>
      <c r="BW1136" s="148"/>
      <c r="BX1136" s="148"/>
      <c r="BY1136" s="148"/>
      <c r="BZ1136" s="148"/>
      <c r="CA1136" s="148"/>
      <c r="CB1136" s="148"/>
      <c r="CC1136" s="148"/>
      <c r="CD1136" s="148"/>
      <c r="CE1136" s="148"/>
      <c r="CF1136" s="148"/>
      <c r="CG1136" s="148"/>
      <c r="CH1136" s="148"/>
      <c r="CI1136" s="148"/>
      <c r="CJ1136" s="148"/>
      <c r="CK1136" s="148"/>
      <c r="CL1136" s="148"/>
      <c r="CM1136" s="148"/>
      <c r="CN1136" s="148"/>
      <c r="CO1136" s="148"/>
      <c r="CP1136" s="148"/>
      <c r="CQ1136" s="148"/>
      <c r="CR1136" s="148"/>
      <c r="CS1136" s="148"/>
      <c r="CT1136" s="148"/>
      <c r="CU1136" s="148"/>
      <c r="CV1136" s="148"/>
      <c r="CW1136" s="148"/>
      <c r="CX1136" s="148"/>
      <c r="CY1136" s="148"/>
      <c r="CZ1136" s="148"/>
      <c r="DA1136" s="148"/>
      <c r="DB1136" s="148"/>
      <c r="DC1136" s="148"/>
      <c r="DD1136" s="148"/>
      <c r="DE1136" s="148"/>
      <c r="DF1136" s="148"/>
      <c r="DG1136" s="148"/>
      <c r="DH1136" s="148"/>
      <c r="DI1136" s="148"/>
      <c r="DJ1136" s="148"/>
      <c r="DK1136" s="148"/>
      <c r="DL1136" s="148"/>
      <c r="DM1136" s="148"/>
      <c r="DN1136" s="148"/>
      <c r="DO1136" s="148"/>
      <c r="DP1136" s="148"/>
      <c r="DQ1136" s="148"/>
      <c r="DR1136" s="148"/>
      <c r="DS1136" s="148"/>
      <c r="DT1136" s="148"/>
      <c r="DU1136" s="148"/>
      <c r="DV1136" s="148"/>
      <c r="DW1136" s="148"/>
      <c r="DX1136" s="148"/>
      <c r="DY1136" s="148"/>
      <c r="DZ1136" s="148"/>
      <c r="EA1136" s="148"/>
      <c r="EB1136" s="148"/>
      <c r="EC1136" s="148"/>
      <c r="ED1136" s="148"/>
      <c r="EE1136" s="148"/>
      <c r="EF1136" s="148"/>
      <c r="EG1136" s="148"/>
      <c r="EH1136" s="148"/>
      <c r="EI1136" s="148"/>
      <c r="EJ1136" s="148"/>
      <c r="EK1136" s="148"/>
      <c r="EL1136" s="148"/>
      <c r="EM1136" s="148"/>
    </row>
    <row r="1137" spans="1:143" s="90" customFormat="1" x14ac:dyDescent="0.3">
      <c r="A1137" s="84">
        <v>903157</v>
      </c>
      <c r="B1137" s="182">
        <v>14.7</v>
      </c>
      <c r="C1137" s="182">
        <v>8.4</v>
      </c>
      <c r="D1137" s="184">
        <v>8.08</v>
      </c>
      <c r="E1137" s="1534">
        <v>0.18</v>
      </c>
      <c r="F1137" s="181">
        <v>24.7</v>
      </c>
      <c r="G1137" s="181"/>
      <c r="H1137" s="183">
        <v>23.27</v>
      </c>
      <c r="I1137" s="181">
        <v>460</v>
      </c>
      <c r="J1137" s="181">
        <v>5.8999999999999997E-2</v>
      </c>
      <c r="K1137" s="182">
        <v>13.66</v>
      </c>
      <c r="L1137" s="181">
        <v>1090</v>
      </c>
      <c r="M1137" s="181">
        <v>0.45</v>
      </c>
      <c r="N1137" s="181">
        <v>2.12</v>
      </c>
      <c r="O1137" s="181">
        <v>4.84</v>
      </c>
      <c r="P1137" s="181">
        <v>9.16</v>
      </c>
      <c r="Q1137" s="181"/>
      <c r="R1137" s="957">
        <v>1.734248</v>
      </c>
      <c r="S1137" s="181">
        <v>14.6</v>
      </c>
      <c r="T1137" s="83"/>
      <c r="U1137" s="83"/>
      <c r="V1137" s="83"/>
      <c r="W1137" s="181"/>
      <c r="X1137" s="181"/>
      <c r="Y1137" s="182">
        <v>25</v>
      </c>
      <c r="Z1137" s="181"/>
      <c r="AA1137" s="181"/>
      <c r="AB1137" s="181"/>
      <c r="AC1137" s="181"/>
      <c r="AD1137" s="88">
        <v>500</v>
      </c>
      <c r="AE1137" s="88">
        <v>380</v>
      </c>
      <c r="AF1137" s="88">
        <v>120</v>
      </c>
      <c r="AG1137" s="66">
        <f t="shared" si="45"/>
        <v>193.4256</v>
      </c>
      <c r="AH1137" s="143">
        <f t="shared" si="46"/>
        <v>1000</v>
      </c>
      <c r="AI1137" s="148"/>
      <c r="AJ1137" s="148"/>
      <c r="AK1137" s="148"/>
      <c r="AL1137" s="148"/>
      <c r="AM1137" s="148"/>
      <c r="AN1137" s="148"/>
      <c r="AO1137" s="148"/>
      <c r="AP1137" s="148"/>
      <c r="AQ1137" s="148"/>
      <c r="AR1137" s="148"/>
      <c r="AS1137" s="148"/>
      <c r="AT1137" s="148"/>
      <c r="AU1137" s="148"/>
      <c r="AV1137" s="148"/>
      <c r="AW1137" s="148"/>
      <c r="AX1137" s="148"/>
      <c r="AY1137" s="148"/>
      <c r="AZ1137" s="148"/>
      <c r="BA1137" s="148"/>
      <c r="BB1137" s="148"/>
      <c r="BC1137" s="148"/>
      <c r="BD1137" s="148"/>
      <c r="BE1137" s="148"/>
      <c r="BF1137" s="148"/>
      <c r="BG1137" s="148"/>
      <c r="BH1137" s="148"/>
      <c r="BI1137" s="148"/>
      <c r="BJ1137" s="148"/>
      <c r="BK1137" s="148"/>
      <c r="BL1137" s="148"/>
      <c r="BM1137" s="148"/>
      <c r="BN1137" s="148"/>
      <c r="BO1137" s="148"/>
      <c r="BP1137" s="148"/>
      <c r="BQ1137" s="148"/>
      <c r="BR1137" s="148"/>
      <c r="BS1137" s="148"/>
      <c r="BT1137" s="148"/>
      <c r="BU1137" s="148"/>
      <c r="BV1137" s="148"/>
      <c r="BW1137" s="148"/>
      <c r="BX1137" s="148"/>
      <c r="BY1137" s="148"/>
      <c r="BZ1137" s="148"/>
      <c r="CA1137" s="148"/>
      <c r="CB1137" s="148"/>
      <c r="CC1137" s="148"/>
      <c r="CD1137" s="148"/>
      <c r="CE1137" s="148"/>
      <c r="CF1137" s="148"/>
      <c r="CG1137" s="148"/>
      <c r="CH1137" s="148"/>
      <c r="CI1137" s="148"/>
      <c r="CJ1137" s="148"/>
      <c r="CK1137" s="148"/>
      <c r="CL1137" s="148"/>
      <c r="CM1137" s="148"/>
      <c r="CN1137" s="148"/>
      <c r="CO1137" s="148"/>
      <c r="CP1137" s="148"/>
      <c r="CQ1137" s="148"/>
      <c r="CR1137" s="148"/>
      <c r="CS1137" s="148"/>
      <c r="CT1137" s="148"/>
      <c r="CU1137" s="148"/>
      <c r="CV1137" s="148"/>
      <c r="CW1137" s="148"/>
      <c r="CX1137" s="148"/>
      <c r="CY1137" s="148"/>
      <c r="CZ1137" s="148"/>
      <c r="DA1137" s="148"/>
      <c r="DB1137" s="148"/>
      <c r="DC1137" s="148"/>
      <c r="DD1137" s="148"/>
      <c r="DE1137" s="148"/>
      <c r="DF1137" s="148"/>
      <c r="DG1137" s="148"/>
      <c r="DH1137" s="148"/>
      <c r="DI1137" s="148"/>
      <c r="DJ1137" s="148"/>
      <c r="DK1137" s="148"/>
      <c r="DL1137" s="148"/>
      <c r="DM1137" s="148"/>
      <c r="DN1137" s="148"/>
      <c r="DO1137" s="148"/>
      <c r="DP1137" s="148"/>
      <c r="DQ1137" s="148"/>
      <c r="DR1137" s="148"/>
      <c r="DS1137" s="148"/>
      <c r="DT1137" s="148"/>
      <c r="DU1137" s="148"/>
      <c r="DV1137" s="148"/>
      <c r="DW1137" s="148"/>
      <c r="DX1137" s="148"/>
      <c r="DY1137" s="148"/>
      <c r="DZ1137" s="148"/>
      <c r="EA1137" s="148"/>
      <c r="EB1137" s="148"/>
      <c r="EC1137" s="148"/>
      <c r="ED1137" s="148"/>
      <c r="EE1137" s="148"/>
      <c r="EF1137" s="148"/>
      <c r="EG1137" s="148"/>
      <c r="EH1137" s="148"/>
      <c r="EI1137" s="148"/>
      <c r="EJ1137" s="148"/>
      <c r="EK1137" s="148"/>
      <c r="EL1137" s="148"/>
      <c r="EM1137" s="148"/>
    </row>
    <row r="1138" spans="1:143" s="90" customFormat="1" x14ac:dyDescent="0.3">
      <c r="A1138" s="84">
        <v>903158</v>
      </c>
      <c r="B1138" s="182">
        <v>13.3</v>
      </c>
      <c r="C1138" s="182">
        <v>9.3000000000000007</v>
      </c>
      <c r="D1138" s="184">
        <v>8</v>
      </c>
      <c r="E1138" s="1534">
        <v>0.19</v>
      </c>
      <c r="F1138" s="181">
        <v>28.75</v>
      </c>
      <c r="G1138" s="181"/>
      <c r="H1138" s="183">
        <v>28.16</v>
      </c>
      <c r="I1138" s="181">
        <v>420</v>
      </c>
      <c r="J1138" s="181">
        <v>2.8000000000000001E-2</v>
      </c>
      <c r="K1138" s="182">
        <v>13.19</v>
      </c>
      <c r="L1138" s="181">
        <v>710</v>
      </c>
      <c r="M1138" s="181">
        <v>0.28999999999999998</v>
      </c>
      <c r="N1138" s="181">
        <v>2.54</v>
      </c>
      <c r="O1138" s="181">
        <v>6.41</v>
      </c>
      <c r="P1138" s="181">
        <v>12.99</v>
      </c>
      <c r="Q1138" s="181"/>
      <c r="R1138" s="957">
        <v>1.7644250000000001</v>
      </c>
      <c r="S1138" s="181">
        <v>15.5</v>
      </c>
      <c r="T1138" s="83"/>
      <c r="U1138" s="83"/>
      <c r="V1138" s="83"/>
      <c r="W1138" s="181"/>
      <c r="X1138" s="181"/>
      <c r="Y1138" s="182">
        <v>23</v>
      </c>
      <c r="Z1138" s="181"/>
      <c r="AA1138" s="181"/>
      <c r="AB1138" s="181"/>
      <c r="AC1138" s="181"/>
      <c r="AD1138" s="88">
        <v>460</v>
      </c>
      <c r="AE1138" s="88">
        <v>400</v>
      </c>
      <c r="AF1138" s="88">
        <v>140</v>
      </c>
      <c r="AG1138" s="66">
        <f t="shared" si="45"/>
        <v>203.0113043478261</v>
      </c>
      <c r="AH1138" s="143">
        <f t="shared" si="46"/>
        <v>1000</v>
      </c>
      <c r="AI1138" s="148"/>
      <c r="AJ1138" s="148"/>
      <c r="AK1138" s="148"/>
      <c r="AL1138" s="148"/>
      <c r="AM1138" s="148"/>
      <c r="AN1138" s="148"/>
      <c r="AO1138" s="148"/>
      <c r="AP1138" s="148"/>
      <c r="AQ1138" s="148"/>
      <c r="AR1138" s="148"/>
      <c r="AS1138" s="148"/>
      <c r="AT1138" s="148"/>
      <c r="AU1138" s="148"/>
      <c r="AV1138" s="148"/>
      <c r="AW1138" s="148"/>
      <c r="AX1138" s="148"/>
      <c r="AY1138" s="148"/>
      <c r="AZ1138" s="148"/>
      <c r="BA1138" s="148"/>
      <c r="BB1138" s="148"/>
      <c r="BC1138" s="148"/>
      <c r="BD1138" s="148"/>
      <c r="BE1138" s="148"/>
      <c r="BF1138" s="148"/>
      <c r="BG1138" s="148"/>
      <c r="BH1138" s="148"/>
      <c r="BI1138" s="148"/>
      <c r="BJ1138" s="148"/>
      <c r="BK1138" s="148"/>
      <c r="BL1138" s="148"/>
      <c r="BM1138" s="148"/>
      <c r="BN1138" s="148"/>
      <c r="BO1138" s="148"/>
      <c r="BP1138" s="148"/>
      <c r="BQ1138" s="148"/>
      <c r="BR1138" s="148"/>
      <c r="BS1138" s="148"/>
      <c r="BT1138" s="148"/>
      <c r="BU1138" s="148"/>
      <c r="BV1138" s="148"/>
      <c r="BW1138" s="148"/>
      <c r="BX1138" s="148"/>
      <c r="BY1138" s="148"/>
      <c r="BZ1138" s="148"/>
      <c r="CA1138" s="148"/>
      <c r="CB1138" s="148"/>
      <c r="CC1138" s="148"/>
      <c r="CD1138" s="148"/>
      <c r="CE1138" s="148"/>
      <c r="CF1138" s="148"/>
      <c r="CG1138" s="148"/>
      <c r="CH1138" s="148"/>
      <c r="CI1138" s="148"/>
      <c r="CJ1138" s="148"/>
      <c r="CK1138" s="148"/>
      <c r="CL1138" s="148"/>
      <c r="CM1138" s="148"/>
      <c r="CN1138" s="148"/>
      <c r="CO1138" s="148"/>
      <c r="CP1138" s="148"/>
      <c r="CQ1138" s="148"/>
      <c r="CR1138" s="148"/>
      <c r="CS1138" s="148"/>
      <c r="CT1138" s="148"/>
      <c r="CU1138" s="148"/>
      <c r="CV1138" s="148"/>
      <c r="CW1138" s="148"/>
      <c r="CX1138" s="148"/>
      <c r="CY1138" s="148"/>
      <c r="CZ1138" s="148"/>
      <c r="DA1138" s="148"/>
      <c r="DB1138" s="148"/>
      <c r="DC1138" s="148"/>
      <c r="DD1138" s="148"/>
      <c r="DE1138" s="148"/>
      <c r="DF1138" s="148"/>
      <c r="DG1138" s="148"/>
      <c r="DH1138" s="148"/>
      <c r="DI1138" s="148"/>
      <c r="DJ1138" s="148"/>
      <c r="DK1138" s="148"/>
      <c r="DL1138" s="148"/>
      <c r="DM1138" s="148"/>
      <c r="DN1138" s="148"/>
      <c r="DO1138" s="148"/>
      <c r="DP1138" s="148"/>
      <c r="DQ1138" s="148"/>
      <c r="DR1138" s="148"/>
      <c r="DS1138" s="148"/>
      <c r="DT1138" s="148"/>
      <c r="DU1138" s="148"/>
      <c r="DV1138" s="148"/>
      <c r="DW1138" s="148"/>
      <c r="DX1138" s="148"/>
      <c r="DY1138" s="148"/>
      <c r="DZ1138" s="148"/>
      <c r="EA1138" s="148"/>
      <c r="EB1138" s="148"/>
      <c r="EC1138" s="148"/>
      <c r="ED1138" s="148"/>
      <c r="EE1138" s="148"/>
      <c r="EF1138" s="148"/>
      <c r="EG1138" s="148"/>
      <c r="EH1138" s="148"/>
      <c r="EI1138" s="148"/>
      <c r="EJ1138" s="148"/>
      <c r="EK1138" s="148"/>
      <c r="EL1138" s="148"/>
      <c r="EM1138" s="148"/>
    </row>
    <row r="1139" spans="1:143" s="90" customFormat="1" x14ac:dyDescent="0.3">
      <c r="A1139" s="84">
        <v>903159</v>
      </c>
      <c r="B1139" s="182">
        <v>3.7</v>
      </c>
      <c r="C1139" s="182"/>
      <c r="D1139" s="184">
        <v>8.36</v>
      </c>
      <c r="E1139" s="1534">
        <v>0.28000000000000003</v>
      </c>
      <c r="F1139" s="181">
        <v>66.75</v>
      </c>
      <c r="G1139" s="181"/>
      <c r="H1139" s="183">
        <v>77.25</v>
      </c>
      <c r="I1139" s="181">
        <v>520</v>
      </c>
      <c r="J1139" s="181">
        <v>0.77100000000000002</v>
      </c>
      <c r="K1139" s="182">
        <v>6.96</v>
      </c>
      <c r="L1139" s="181">
        <v>1760</v>
      </c>
      <c r="M1139" s="181">
        <v>0.46</v>
      </c>
      <c r="N1139" s="181">
        <v>0.43</v>
      </c>
      <c r="O1139" s="181">
        <v>4.34</v>
      </c>
      <c r="P1139" s="181">
        <v>8.9600000000000009</v>
      </c>
      <c r="Q1139" s="181"/>
      <c r="R1139" s="957">
        <v>1.2119991533565333</v>
      </c>
      <c r="S1139" s="181">
        <v>8.6999999999999993</v>
      </c>
      <c r="T1139" s="83"/>
      <c r="U1139" s="83"/>
      <c r="V1139" s="83"/>
      <c r="W1139" s="181"/>
      <c r="X1139" s="181"/>
      <c r="Y1139" s="182">
        <v>28</v>
      </c>
      <c r="Z1139" s="181"/>
      <c r="AA1139" s="181"/>
      <c r="AB1139" s="181"/>
      <c r="AC1139" s="181"/>
      <c r="AD1139" s="88">
        <v>600</v>
      </c>
      <c r="AE1139" s="88">
        <v>300</v>
      </c>
      <c r="AF1139" s="88">
        <v>100</v>
      </c>
      <c r="AG1139" s="66">
        <f t="shared" si="45"/>
        <v>87.994285714285724</v>
      </c>
      <c r="AH1139" s="143">
        <f t="shared" si="46"/>
        <v>1000</v>
      </c>
      <c r="AI1139" s="148"/>
      <c r="AJ1139" s="148"/>
      <c r="AK1139" s="148"/>
      <c r="AL1139" s="148"/>
      <c r="AM1139" s="148"/>
      <c r="AN1139" s="148"/>
      <c r="AO1139" s="148"/>
      <c r="AP1139" s="148"/>
      <c r="AQ1139" s="148"/>
      <c r="AR1139" s="148"/>
      <c r="AS1139" s="148"/>
      <c r="AT1139" s="148"/>
      <c r="AU1139" s="148"/>
      <c r="AV1139" s="148"/>
      <c r="AW1139" s="148"/>
      <c r="AX1139" s="148"/>
      <c r="AY1139" s="148"/>
      <c r="AZ1139" s="148"/>
      <c r="BA1139" s="148"/>
      <c r="BB1139" s="148"/>
      <c r="BC1139" s="148"/>
      <c r="BD1139" s="148"/>
      <c r="BE1139" s="148"/>
      <c r="BF1139" s="148"/>
      <c r="BG1139" s="148"/>
      <c r="BH1139" s="148"/>
      <c r="BI1139" s="148"/>
      <c r="BJ1139" s="148"/>
      <c r="BK1139" s="148"/>
      <c r="BL1139" s="148"/>
      <c r="BM1139" s="148"/>
      <c r="BN1139" s="148"/>
      <c r="BO1139" s="148"/>
      <c r="BP1139" s="148"/>
      <c r="BQ1139" s="148"/>
      <c r="BR1139" s="148"/>
      <c r="BS1139" s="148"/>
      <c r="BT1139" s="148"/>
      <c r="BU1139" s="148"/>
      <c r="BV1139" s="148"/>
      <c r="BW1139" s="148"/>
      <c r="BX1139" s="148"/>
      <c r="BY1139" s="148"/>
      <c r="BZ1139" s="148"/>
      <c r="CA1139" s="148"/>
      <c r="CB1139" s="148"/>
      <c r="CC1139" s="148"/>
      <c r="CD1139" s="148"/>
      <c r="CE1139" s="148"/>
      <c r="CF1139" s="148"/>
      <c r="CG1139" s="148"/>
      <c r="CH1139" s="148"/>
      <c r="CI1139" s="148"/>
      <c r="CJ1139" s="148"/>
      <c r="CK1139" s="148"/>
      <c r="CL1139" s="148"/>
      <c r="CM1139" s="148"/>
      <c r="CN1139" s="148"/>
      <c r="CO1139" s="148"/>
      <c r="CP1139" s="148"/>
      <c r="CQ1139" s="148"/>
      <c r="CR1139" s="148"/>
      <c r="CS1139" s="148"/>
      <c r="CT1139" s="148"/>
      <c r="CU1139" s="148"/>
      <c r="CV1139" s="148"/>
      <c r="CW1139" s="148"/>
      <c r="CX1139" s="148"/>
      <c r="CY1139" s="148"/>
      <c r="CZ1139" s="148"/>
      <c r="DA1139" s="148"/>
      <c r="DB1139" s="148"/>
      <c r="DC1139" s="148"/>
      <c r="DD1139" s="148"/>
      <c r="DE1139" s="148"/>
      <c r="DF1139" s="148"/>
      <c r="DG1139" s="148"/>
      <c r="DH1139" s="148"/>
      <c r="DI1139" s="148"/>
      <c r="DJ1139" s="148"/>
      <c r="DK1139" s="148"/>
      <c r="DL1139" s="148"/>
      <c r="DM1139" s="148"/>
      <c r="DN1139" s="148"/>
      <c r="DO1139" s="148"/>
      <c r="DP1139" s="148"/>
      <c r="DQ1139" s="148"/>
      <c r="DR1139" s="148"/>
      <c r="DS1139" s="148"/>
      <c r="DT1139" s="148"/>
      <c r="DU1139" s="148"/>
      <c r="DV1139" s="148"/>
      <c r="DW1139" s="148"/>
      <c r="DX1139" s="148"/>
      <c r="DY1139" s="148"/>
      <c r="DZ1139" s="148"/>
      <c r="EA1139" s="148"/>
      <c r="EB1139" s="148"/>
      <c r="EC1139" s="148"/>
      <c r="ED1139" s="148"/>
      <c r="EE1139" s="148"/>
      <c r="EF1139" s="148"/>
      <c r="EG1139" s="148"/>
      <c r="EH1139" s="148"/>
      <c r="EI1139" s="148"/>
      <c r="EJ1139" s="148"/>
      <c r="EK1139" s="148"/>
      <c r="EL1139" s="148"/>
      <c r="EM1139" s="148"/>
    </row>
    <row r="1140" spans="1:143" s="90" customFormat="1" x14ac:dyDescent="0.3">
      <c r="A1140" s="84">
        <v>903160</v>
      </c>
      <c r="B1140" s="182">
        <v>0.2</v>
      </c>
      <c r="C1140" s="182"/>
      <c r="D1140" s="184">
        <v>8.15</v>
      </c>
      <c r="E1140" s="1534">
        <v>0.23</v>
      </c>
      <c r="F1140" s="181">
        <v>62.7</v>
      </c>
      <c r="G1140" s="181"/>
      <c r="H1140" s="183">
        <v>51.99</v>
      </c>
      <c r="I1140" s="181">
        <v>370</v>
      </c>
      <c r="J1140" s="181">
        <v>6.2E-2</v>
      </c>
      <c r="K1140" s="182">
        <v>7.08</v>
      </c>
      <c r="L1140" s="181">
        <v>2070</v>
      </c>
      <c r="M1140" s="181">
        <v>0.27</v>
      </c>
      <c r="N1140" s="181">
        <v>0.47</v>
      </c>
      <c r="O1140" s="181">
        <v>6.76</v>
      </c>
      <c r="P1140" s="181">
        <v>11.06</v>
      </c>
      <c r="Q1140" s="181"/>
      <c r="R1140" s="957">
        <v>1.156914484003287</v>
      </c>
      <c r="S1140" s="181">
        <v>7.6</v>
      </c>
      <c r="T1140" s="83"/>
      <c r="U1140" s="83"/>
      <c r="V1140" s="83"/>
      <c r="W1140" s="181"/>
      <c r="X1140" s="181"/>
      <c r="Y1140" s="182">
        <v>27</v>
      </c>
      <c r="Z1140" s="181"/>
      <c r="AA1140" s="181"/>
      <c r="AB1140" s="181"/>
      <c r="AC1140" s="181"/>
      <c r="AD1140" s="88">
        <v>620</v>
      </c>
      <c r="AE1140" s="88">
        <v>280</v>
      </c>
      <c r="AF1140" s="88">
        <v>100</v>
      </c>
      <c r="AG1140" s="66">
        <f t="shared" si="45"/>
        <v>92.826666666666668</v>
      </c>
      <c r="AH1140" s="143">
        <f t="shared" si="46"/>
        <v>1000</v>
      </c>
      <c r="AI1140" s="148"/>
      <c r="AJ1140" s="148"/>
      <c r="AK1140" s="148"/>
      <c r="AL1140" s="148"/>
      <c r="AM1140" s="148"/>
      <c r="AN1140" s="148"/>
      <c r="AO1140" s="148"/>
      <c r="AP1140" s="148"/>
      <c r="AQ1140" s="148"/>
      <c r="AR1140" s="148"/>
      <c r="AS1140" s="148"/>
      <c r="AT1140" s="148"/>
      <c r="AU1140" s="148"/>
      <c r="AV1140" s="148"/>
      <c r="AW1140" s="148"/>
      <c r="AX1140" s="148"/>
      <c r="AY1140" s="148"/>
      <c r="AZ1140" s="148"/>
      <c r="BA1140" s="148"/>
      <c r="BB1140" s="148"/>
      <c r="BC1140" s="148"/>
      <c r="BD1140" s="148"/>
      <c r="BE1140" s="148"/>
      <c r="BF1140" s="148"/>
      <c r="BG1140" s="148"/>
      <c r="BH1140" s="148"/>
      <c r="BI1140" s="148"/>
      <c r="BJ1140" s="148"/>
      <c r="BK1140" s="148"/>
      <c r="BL1140" s="148"/>
      <c r="BM1140" s="148"/>
      <c r="BN1140" s="148"/>
      <c r="BO1140" s="148"/>
      <c r="BP1140" s="148"/>
      <c r="BQ1140" s="148"/>
      <c r="BR1140" s="148"/>
      <c r="BS1140" s="148"/>
      <c r="BT1140" s="148"/>
      <c r="BU1140" s="148"/>
      <c r="BV1140" s="148"/>
      <c r="BW1140" s="148"/>
      <c r="BX1140" s="148"/>
      <c r="BY1140" s="148"/>
      <c r="BZ1140" s="148"/>
      <c r="CA1140" s="148"/>
      <c r="CB1140" s="148"/>
      <c r="CC1140" s="148"/>
      <c r="CD1140" s="148"/>
      <c r="CE1140" s="148"/>
      <c r="CF1140" s="148"/>
      <c r="CG1140" s="148"/>
      <c r="CH1140" s="148"/>
      <c r="CI1140" s="148"/>
      <c r="CJ1140" s="148"/>
      <c r="CK1140" s="148"/>
      <c r="CL1140" s="148"/>
      <c r="CM1140" s="148"/>
      <c r="CN1140" s="148"/>
      <c r="CO1140" s="148"/>
      <c r="CP1140" s="148"/>
      <c r="CQ1140" s="148"/>
      <c r="CR1140" s="148"/>
      <c r="CS1140" s="148"/>
      <c r="CT1140" s="148"/>
      <c r="CU1140" s="148"/>
      <c r="CV1140" s="148"/>
      <c r="CW1140" s="148"/>
      <c r="CX1140" s="148"/>
      <c r="CY1140" s="148"/>
      <c r="CZ1140" s="148"/>
      <c r="DA1140" s="148"/>
      <c r="DB1140" s="148"/>
      <c r="DC1140" s="148"/>
      <c r="DD1140" s="148"/>
      <c r="DE1140" s="148"/>
      <c r="DF1140" s="148"/>
      <c r="DG1140" s="148"/>
      <c r="DH1140" s="148"/>
      <c r="DI1140" s="148"/>
      <c r="DJ1140" s="148"/>
      <c r="DK1140" s="148"/>
      <c r="DL1140" s="148"/>
      <c r="DM1140" s="148"/>
      <c r="DN1140" s="148"/>
      <c r="DO1140" s="148"/>
      <c r="DP1140" s="148"/>
      <c r="DQ1140" s="148"/>
      <c r="DR1140" s="148"/>
      <c r="DS1140" s="148"/>
      <c r="DT1140" s="148"/>
      <c r="DU1140" s="148"/>
      <c r="DV1140" s="148"/>
      <c r="DW1140" s="148"/>
      <c r="DX1140" s="148"/>
      <c r="DY1140" s="148"/>
      <c r="DZ1140" s="148"/>
      <c r="EA1140" s="148"/>
      <c r="EB1140" s="148"/>
      <c r="EC1140" s="148"/>
      <c r="ED1140" s="148"/>
      <c r="EE1140" s="148"/>
      <c r="EF1140" s="148"/>
      <c r="EG1140" s="148"/>
      <c r="EH1140" s="148"/>
      <c r="EI1140" s="148"/>
      <c r="EJ1140" s="148"/>
      <c r="EK1140" s="148"/>
      <c r="EL1140" s="148"/>
      <c r="EM1140" s="148"/>
    </row>
    <row r="1141" spans="1:143" s="90" customFormat="1" x14ac:dyDescent="0.3">
      <c r="A1141" s="84">
        <v>903161</v>
      </c>
      <c r="B1141" s="182">
        <v>0.3</v>
      </c>
      <c r="C1141" s="182"/>
      <c r="D1141" s="184">
        <v>7.54</v>
      </c>
      <c r="E1141" s="1534">
        <v>0.15</v>
      </c>
      <c r="F1141" s="181">
        <v>57.25</v>
      </c>
      <c r="G1141" s="181"/>
      <c r="H1141" s="183">
        <v>77.84</v>
      </c>
      <c r="I1141" s="181">
        <v>310</v>
      </c>
      <c r="J1141" s="181">
        <v>0.308</v>
      </c>
      <c r="K1141" s="182">
        <v>3.89</v>
      </c>
      <c r="L1141" s="181">
        <v>210</v>
      </c>
      <c r="M1141" s="181">
        <v>1.49</v>
      </c>
      <c r="N1141" s="181">
        <v>0.67</v>
      </c>
      <c r="O1141" s="181">
        <v>7.67</v>
      </c>
      <c r="P1141" s="181">
        <v>8.64</v>
      </c>
      <c r="Q1141" s="181"/>
      <c r="R1141" s="957">
        <v>1.1771230282786529</v>
      </c>
      <c r="S1141" s="181">
        <v>8.1</v>
      </c>
      <c r="T1141" s="83"/>
      <c r="U1141" s="83"/>
      <c r="V1141" s="83"/>
      <c r="W1141" s="181"/>
      <c r="X1141" s="181"/>
      <c r="Y1141" s="182">
        <v>13.8</v>
      </c>
      <c r="Z1141" s="181"/>
      <c r="AA1141" s="181"/>
      <c r="AB1141" s="181"/>
      <c r="AC1141" s="181"/>
      <c r="AD1141" s="88">
        <v>440</v>
      </c>
      <c r="AE1141" s="88">
        <v>260</v>
      </c>
      <c r="AF1141" s="88">
        <v>300</v>
      </c>
      <c r="AG1141" s="66">
        <f t="shared" si="45"/>
        <v>99.786956521739128</v>
      </c>
      <c r="AH1141" s="143">
        <f t="shared" si="46"/>
        <v>1000</v>
      </c>
      <c r="AI1141" s="148"/>
      <c r="AJ1141" s="148"/>
      <c r="AK1141" s="148"/>
      <c r="AL1141" s="148"/>
      <c r="AM1141" s="148"/>
      <c r="AN1141" s="148"/>
      <c r="AO1141" s="148"/>
      <c r="AP1141" s="148"/>
      <c r="AQ1141" s="148"/>
      <c r="AR1141" s="148"/>
      <c r="AS1141" s="148"/>
      <c r="AT1141" s="148"/>
      <c r="AU1141" s="148"/>
      <c r="AV1141" s="148"/>
      <c r="AW1141" s="148"/>
      <c r="AX1141" s="148"/>
      <c r="AY1141" s="148"/>
      <c r="AZ1141" s="148"/>
      <c r="BA1141" s="148"/>
      <c r="BB1141" s="148"/>
      <c r="BC1141" s="148"/>
      <c r="BD1141" s="148"/>
      <c r="BE1141" s="148"/>
      <c r="BF1141" s="148"/>
      <c r="BG1141" s="148"/>
      <c r="BH1141" s="148"/>
      <c r="BI1141" s="148"/>
      <c r="BJ1141" s="148"/>
      <c r="BK1141" s="148"/>
      <c r="BL1141" s="148"/>
      <c r="BM1141" s="148"/>
      <c r="BN1141" s="148"/>
      <c r="BO1141" s="148"/>
      <c r="BP1141" s="148"/>
      <c r="BQ1141" s="148"/>
      <c r="BR1141" s="148"/>
      <c r="BS1141" s="148"/>
      <c r="BT1141" s="148"/>
      <c r="BU1141" s="148"/>
      <c r="BV1141" s="148"/>
      <c r="BW1141" s="148"/>
      <c r="BX1141" s="148"/>
      <c r="BY1141" s="148"/>
      <c r="BZ1141" s="148"/>
      <c r="CA1141" s="148"/>
      <c r="CB1141" s="148"/>
      <c r="CC1141" s="148"/>
      <c r="CD1141" s="148"/>
      <c r="CE1141" s="148"/>
      <c r="CF1141" s="148"/>
      <c r="CG1141" s="148"/>
      <c r="CH1141" s="148"/>
      <c r="CI1141" s="148"/>
      <c r="CJ1141" s="148"/>
      <c r="CK1141" s="148"/>
      <c r="CL1141" s="148"/>
      <c r="CM1141" s="148"/>
      <c r="CN1141" s="148"/>
      <c r="CO1141" s="148"/>
      <c r="CP1141" s="148"/>
      <c r="CQ1141" s="148"/>
      <c r="CR1141" s="148"/>
      <c r="CS1141" s="148"/>
      <c r="CT1141" s="148"/>
      <c r="CU1141" s="148"/>
      <c r="CV1141" s="148"/>
      <c r="CW1141" s="148"/>
      <c r="CX1141" s="148"/>
      <c r="CY1141" s="148"/>
      <c r="CZ1141" s="148"/>
      <c r="DA1141" s="148"/>
      <c r="DB1141" s="148"/>
      <c r="DC1141" s="148"/>
      <c r="DD1141" s="148"/>
      <c r="DE1141" s="148"/>
      <c r="DF1141" s="148"/>
      <c r="DG1141" s="148"/>
      <c r="DH1141" s="148"/>
      <c r="DI1141" s="148"/>
      <c r="DJ1141" s="148"/>
      <c r="DK1141" s="148"/>
      <c r="DL1141" s="148"/>
      <c r="DM1141" s="148"/>
      <c r="DN1141" s="148"/>
      <c r="DO1141" s="148"/>
      <c r="DP1141" s="148"/>
      <c r="DQ1141" s="148"/>
      <c r="DR1141" s="148"/>
      <c r="DS1141" s="148"/>
      <c r="DT1141" s="148"/>
      <c r="DU1141" s="148"/>
      <c r="DV1141" s="148"/>
      <c r="DW1141" s="148"/>
      <c r="DX1141" s="148"/>
      <c r="DY1141" s="148"/>
      <c r="DZ1141" s="148"/>
      <c r="EA1141" s="148"/>
      <c r="EB1141" s="148"/>
      <c r="EC1141" s="148"/>
      <c r="ED1141" s="148"/>
      <c r="EE1141" s="148"/>
      <c r="EF1141" s="148"/>
      <c r="EG1141" s="148"/>
      <c r="EH1141" s="148"/>
      <c r="EI1141" s="148"/>
      <c r="EJ1141" s="148"/>
      <c r="EK1141" s="148"/>
      <c r="EL1141" s="148"/>
      <c r="EM1141" s="148"/>
    </row>
    <row r="1142" spans="1:143" s="90" customFormat="1" x14ac:dyDescent="0.3">
      <c r="A1142" s="84">
        <v>903162</v>
      </c>
      <c r="B1142" s="182">
        <v>0.1</v>
      </c>
      <c r="C1142" s="182"/>
      <c r="D1142" s="184">
        <v>6.96</v>
      </c>
      <c r="E1142" s="1534">
        <v>0.84</v>
      </c>
      <c r="F1142" s="181">
        <v>993.3</v>
      </c>
      <c r="G1142" s="181"/>
      <c r="H1142" s="183">
        <v>53.55</v>
      </c>
      <c r="I1142" s="181">
        <v>140</v>
      </c>
      <c r="J1142" s="181">
        <v>0.153</v>
      </c>
      <c r="K1142" s="182">
        <v>3.98</v>
      </c>
      <c r="L1142" s="181">
        <v>380</v>
      </c>
      <c r="M1142" s="181">
        <v>1.72</v>
      </c>
      <c r="N1142" s="181">
        <v>0.74</v>
      </c>
      <c r="O1142" s="181">
        <v>21.01</v>
      </c>
      <c r="P1142" s="181">
        <v>12.78</v>
      </c>
      <c r="Q1142" s="181"/>
      <c r="R1142" s="957">
        <v>0.96849079272675853</v>
      </c>
      <c r="S1142" s="181">
        <v>7</v>
      </c>
      <c r="T1142" s="83"/>
      <c r="U1142" s="83"/>
      <c r="V1142" s="83"/>
      <c r="W1142" s="181"/>
      <c r="X1142" s="181"/>
      <c r="Y1142" s="182">
        <v>15.8</v>
      </c>
      <c r="Z1142" s="181"/>
      <c r="AA1142" s="181"/>
      <c r="AB1142" s="181"/>
      <c r="AC1142" s="181"/>
      <c r="AD1142" s="88">
        <v>440</v>
      </c>
      <c r="AE1142" s="88">
        <v>280</v>
      </c>
      <c r="AF1142" s="88">
        <v>280</v>
      </c>
      <c r="AG1142" s="66">
        <f t="shared" si="45"/>
        <v>89.172151898734171</v>
      </c>
      <c r="AH1142" s="143">
        <f t="shared" si="46"/>
        <v>1000</v>
      </c>
      <c r="AI1142" s="148"/>
      <c r="AJ1142" s="148"/>
      <c r="AK1142" s="148"/>
      <c r="AL1142" s="148"/>
      <c r="AM1142" s="148"/>
      <c r="AN1142" s="148"/>
      <c r="AO1142" s="148"/>
      <c r="AP1142" s="148"/>
      <c r="AQ1142" s="148"/>
      <c r="AR1142" s="148"/>
      <c r="AS1142" s="148"/>
      <c r="AT1142" s="148"/>
      <c r="AU1142" s="148"/>
      <c r="AV1142" s="148"/>
      <c r="AW1142" s="148"/>
      <c r="AX1142" s="148"/>
      <c r="AY1142" s="148"/>
      <c r="AZ1142" s="148"/>
      <c r="BA1142" s="148"/>
      <c r="BB1142" s="148"/>
      <c r="BC1142" s="148"/>
      <c r="BD1142" s="148"/>
      <c r="BE1142" s="148"/>
      <c r="BF1142" s="148"/>
      <c r="BG1142" s="148"/>
      <c r="BH1142" s="148"/>
      <c r="BI1142" s="148"/>
      <c r="BJ1142" s="148"/>
      <c r="BK1142" s="148"/>
      <c r="BL1142" s="148"/>
      <c r="BM1142" s="148"/>
      <c r="BN1142" s="148"/>
      <c r="BO1142" s="148"/>
      <c r="BP1142" s="148"/>
      <c r="BQ1142" s="148"/>
      <c r="BR1142" s="148"/>
      <c r="BS1142" s="148"/>
      <c r="BT1142" s="148"/>
      <c r="BU1142" s="148"/>
      <c r="BV1142" s="148"/>
      <c r="BW1142" s="148"/>
      <c r="BX1142" s="148"/>
      <c r="BY1142" s="148"/>
      <c r="BZ1142" s="148"/>
      <c r="CA1142" s="148"/>
      <c r="CB1142" s="148"/>
      <c r="CC1142" s="148"/>
      <c r="CD1142" s="148"/>
      <c r="CE1142" s="148"/>
      <c r="CF1142" s="148"/>
      <c r="CG1142" s="148"/>
      <c r="CH1142" s="148"/>
      <c r="CI1142" s="148"/>
      <c r="CJ1142" s="148"/>
      <c r="CK1142" s="148"/>
      <c r="CL1142" s="148"/>
      <c r="CM1142" s="148"/>
      <c r="CN1142" s="148"/>
      <c r="CO1142" s="148"/>
      <c r="CP1142" s="148"/>
      <c r="CQ1142" s="148"/>
      <c r="CR1142" s="148"/>
      <c r="CS1142" s="148"/>
      <c r="CT1142" s="148"/>
      <c r="CU1142" s="148"/>
      <c r="CV1142" s="148"/>
      <c r="CW1142" s="148"/>
      <c r="CX1142" s="148"/>
      <c r="CY1142" s="148"/>
      <c r="CZ1142" s="148"/>
      <c r="DA1142" s="148"/>
      <c r="DB1142" s="148"/>
      <c r="DC1142" s="148"/>
      <c r="DD1142" s="148"/>
      <c r="DE1142" s="148"/>
      <c r="DF1142" s="148"/>
      <c r="DG1142" s="148"/>
      <c r="DH1142" s="148"/>
      <c r="DI1142" s="148"/>
      <c r="DJ1142" s="148"/>
      <c r="DK1142" s="148"/>
      <c r="DL1142" s="148"/>
      <c r="DM1142" s="148"/>
      <c r="DN1142" s="148"/>
      <c r="DO1142" s="148"/>
      <c r="DP1142" s="148"/>
      <c r="DQ1142" s="148"/>
      <c r="DR1142" s="148"/>
      <c r="DS1142" s="148"/>
      <c r="DT1142" s="148"/>
      <c r="DU1142" s="148"/>
      <c r="DV1142" s="148"/>
      <c r="DW1142" s="148"/>
      <c r="DX1142" s="148"/>
      <c r="DY1142" s="148"/>
      <c r="DZ1142" s="148"/>
      <c r="EA1142" s="148"/>
      <c r="EB1142" s="148"/>
      <c r="EC1142" s="148"/>
      <c r="ED1142" s="148"/>
      <c r="EE1142" s="148"/>
      <c r="EF1142" s="148"/>
      <c r="EG1142" s="148"/>
      <c r="EH1142" s="148"/>
      <c r="EI1142" s="148"/>
      <c r="EJ1142" s="148"/>
      <c r="EK1142" s="148"/>
      <c r="EL1142" s="148"/>
      <c r="EM1142" s="148"/>
    </row>
    <row r="1143" spans="1:143" s="90" customFormat="1" x14ac:dyDescent="0.3">
      <c r="A1143" s="84">
        <v>903163</v>
      </c>
      <c r="B1143" s="182">
        <v>59.3</v>
      </c>
      <c r="C1143" s="182">
        <v>9.5</v>
      </c>
      <c r="D1143" s="184">
        <v>7.84</v>
      </c>
      <c r="E1143" s="1534">
        <v>1.48</v>
      </c>
      <c r="F1143" s="181">
        <v>105.1</v>
      </c>
      <c r="G1143" s="181"/>
      <c r="H1143" s="183">
        <v>119.81</v>
      </c>
      <c r="I1143" s="181">
        <v>70</v>
      </c>
      <c r="J1143" s="181">
        <v>0.13500000000000001</v>
      </c>
      <c r="K1143" s="182">
        <v>9.82</v>
      </c>
      <c r="L1143" s="181">
        <v>370</v>
      </c>
      <c r="M1143" s="181">
        <v>4.0999999999999996</v>
      </c>
      <c r="N1143" s="181">
        <v>1.05</v>
      </c>
      <c r="O1143" s="181">
        <v>2.89</v>
      </c>
      <c r="P1143" s="181">
        <v>4.82</v>
      </c>
      <c r="Q1143" s="181"/>
      <c r="R1143" s="957">
        <v>1.2964034379193916</v>
      </c>
      <c r="S1143" s="181">
        <v>8.6999999999999993</v>
      </c>
      <c r="T1143" s="83"/>
      <c r="U1143" s="83"/>
      <c r="V1143" s="83"/>
      <c r="W1143" s="181"/>
      <c r="X1143" s="181"/>
      <c r="Y1143" s="182">
        <v>4</v>
      </c>
      <c r="Z1143" s="181"/>
      <c r="AA1143" s="181"/>
      <c r="AB1143" s="181"/>
      <c r="AC1143" s="181"/>
      <c r="AD1143" s="88">
        <v>80</v>
      </c>
      <c r="AE1143" s="88">
        <v>60</v>
      </c>
      <c r="AF1143" s="88">
        <v>860</v>
      </c>
      <c r="AG1143" s="66">
        <f t="shared" si="45"/>
        <v>869.06999999999994</v>
      </c>
      <c r="AH1143" s="143">
        <f t="shared" si="46"/>
        <v>1000</v>
      </c>
      <c r="AI1143" s="148"/>
      <c r="AJ1143" s="148"/>
      <c r="AK1143" s="148"/>
      <c r="AL1143" s="148"/>
      <c r="AM1143" s="148"/>
      <c r="AN1143" s="148"/>
      <c r="AO1143" s="148"/>
      <c r="AP1143" s="148"/>
      <c r="AQ1143" s="148"/>
      <c r="AR1143" s="148"/>
      <c r="AS1143" s="148"/>
      <c r="AT1143" s="148"/>
      <c r="AU1143" s="148"/>
      <c r="AV1143" s="148"/>
      <c r="AW1143" s="148"/>
      <c r="AX1143" s="148"/>
      <c r="AY1143" s="148"/>
      <c r="AZ1143" s="148"/>
      <c r="BA1143" s="148"/>
      <c r="BB1143" s="148"/>
      <c r="BC1143" s="148"/>
      <c r="BD1143" s="148"/>
      <c r="BE1143" s="148"/>
      <c r="BF1143" s="148"/>
      <c r="BG1143" s="148"/>
      <c r="BH1143" s="148"/>
      <c r="BI1143" s="148"/>
      <c r="BJ1143" s="148"/>
      <c r="BK1143" s="148"/>
      <c r="BL1143" s="148"/>
      <c r="BM1143" s="148"/>
      <c r="BN1143" s="148"/>
      <c r="BO1143" s="148"/>
      <c r="BP1143" s="148"/>
      <c r="BQ1143" s="148"/>
      <c r="BR1143" s="148"/>
      <c r="BS1143" s="148"/>
      <c r="BT1143" s="148"/>
      <c r="BU1143" s="148"/>
      <c r="BV1143" s="148"/>
      <c r="BW1143" s="148"/>
      <c r="BX1143" s="148"/>
      <c r="BY1143" s="148"/>
      <c r="BZ1143" s="148"/>
      <c r="CA1143" s="148"/>
      <c r="CB1143" s="148"/>
      <c r="CC1143" s="148"/>
      <c r="CD1143" s="148"/>
      <c r="CE1143" s="148"/>
      <c r="CF1143" s="148"/>
      <c r="CG1143" s="148"/>
      <c r="CH1143" s="148"/>
      <c r="CI1143" s="148"/>
      <c r="CJ1143" s="148"/>
      <c r="CK1143" s="148"/>
      <c r="CL1143" s="148"/>
      <c r="CM1143" s="148"/>
      <c r="CN1143" s="148"/>
      <c r="CO1143" s="148"/>
      <c r="CP1143" s="148"/>
      <c r="CQ1143" s="148"/>
      <c r="CR1143" s="148"/>
      <c r="CS1143" s="148"/>
      <c r="CT1143" s="148"/>
      <c r="CU1143" s="148"/>
      <c r="CV1143" s="148"/>
      <c r="CW1143" s="148"/>
      <c r="CX1143" s="148"/>
      <c r="CY1143" s="148"/>
      <c r="CZ1143" s="148"/>
      <c r="DA1143" s="148"/>
      <c r="DB1143" s="148"/>
      <c r="DC1143" s="148"/>
      <c r="DD1143" s="148"/>
      <c r="DE1143" s="148"/>
      <c r="DF1143" s="148"/>
      <c r="DG1143" s="148"/>
      <c r="DH1143" s="148"/>
      <c r="DI1143" s="148"/>
      <c r="DJ1143" s="148"/>
      <c r="DK1143" s="148"/>
      <c r="DL1143" s="148"/>
      <c r="DM1143" s="148"/>
      <c r="DN1143" s="148"/>
      <c r="DO1143" s="148"/>
      <c r="DP1143" s="148"/>
      <c r="DQ1143" s="148"/>
      <c r="DR1143" s="148"/>
      <c r="DS1143" s="148"/>
      <c r="DT1143" s="148"/>
      <c r="DU1143" s="148"/>
      <c r="DV1143" s="148"/>
      <c r="DW1143" s="148"/>
      <c r="DX1143" s="148"/>
      <c r="DY1143" s="148"/>
      <c r="DZ1143" s="148"/>
      <c r="EA1143" s="148"/>
      <c r="EB1143" s="148"/>
      <c r="EC1143" s="148"/>
      <c r="ED1143" s="148"/>
      <c r="EE1143" s="148"/>
      <c r="EF1143" s="148"/>
      <c r="EG1143" s="148"/>
      <c r="EH1143" s="148"/>
      <c r="EI1143" s="148"/>
      <c r="EJ1143" s="148"/>
      <c r="EK1143" s="148"/>
      <c r="EL1143" s="148"/>
      <c r="EM1143" s="148"/>
    </row>
    <row r="1144" spans="1:143" s="90" customFormat="1" x14ac:dyDescent="0.3">
      <c r="A1144" s="84">
        <v>903164</v>
      </c>
      <c r="B1144" s="182">
        <v>15.2</v>
      </c>
      <c r="C1144" s="182">
        <v>6.6</v>
      </c>
      <c r="D1144" s="184">
        <v>8.0299999999999994</v>
      </c>
      <c r="E1144" s="1534">
        <v>0.91</v>
      </c>
      <c r="F1144" s="181">
        <v>459.1</v>
      </c>
      <c r="G1144" s="181"/>
      <c r="H1144" s="183">
        <v>55.56</v>
      </c>
      <c r="I1144" s="181">
        <v>430</v>
      </c>
      <c r="J1144" s="181">
        <v>0.67200000000000004</v>
      </c>
      <c r="K1144" s="182">
        <v>10.81</v>
      </c>
      <c r="L1144" s="181">
        <v>1370</v>
      </c>
      <c r="M1144" s="181">
        <v>0.74</v>
      </c>
      <c r="N1144" s="181">
        <v>1.01</v>
      </c>
      <c r="O1144" s="181">
        <v>5.52</v>
      </c>
      <c r="P1144" s="181">
        <v>2.72</v>
      </c>
      <c r="Q1144" s="181"/>
      <c r="R1144" s="957">
        <v>1.6022000000000001</v>
      </c>
      <c r="S1144" s="181">
        <v>11</v>
      </c>
      <c r="T1144" s="83"/>
      <c r="U1144" s="83"/>
      <c r="V1144" s="83"/>
      <c r="W1144" s="181"/>
      <c r="X1144" s="181"/>
      <c r="Y1144" s="182">
        <v>32</v>
      </c>
      <c r="Z1144" s="181"/>
      <c r="AA1144" s="181"/>
      <c r="AB1144" s="181"/>
      <c r="AC1144" s="181"/>
      <c r="AD1144" s="88">
        <v>640</v>
      </c>
      <c r="AE1144" s="88">
        <v>260</v>
      </c>
      <c r="AF1144" s="88">
        <v>100</v>
      </c>
      <c r="AG1144" s="66">
        <f t="shared" si="45"/>
        <v>119.58562500000001</v>
      </c>
      <c r="AH1144" s="143">
        <f t="shared" si="46"/>
        <v>1000</v>
      </c>
      <c r="AI1144" s="148"/>
      <c r="AJ1144" s="148"/>
      <c r="AK1144" s="148"/>
      <c r="AL1144" s="148"/>
      <c r="AM1144" s="148"/>
      <c r="AN1144" s="148"/>
      <c r="AO1144" s="148"/>
      <c r="AP1144" s="148"/>
      <c r="AQ1144" s="148"/>
      <c r="AR1144" s="148"/>
      <c r="AS1144" s="148"/>
      <c r="AT1144" s="148"/>
      <c r="AU1144" s="148"/>
      <c r="AV1144" s="148"/>
      <c r="AW1144" s="148"/>
      <c r="AX1144" s="148"/>
      <c r="AY1144" s="148"/>
      <c r="AZ1144" s="148"/>
      <c r="BA1144" s="148"/>
      <c r="BB1144" s="148"/>
      <c r="BC1144" s="148"/>
      <c r="BD1144" s="148"/>
      <c r="BE1144" s="148"/>
      <c r="BF1144" s="148"/>
      <c r="BG1144" s="148"/>
      <c r="BH1144" s="148"/>
      <c r="BI1144" s="148"/>
      <c r="BJ1144" s="148"/>
      <c r="BK1144" s="148"/>
      <c r="BL1144" s="148"/>
      <c r="BM1144" s="148"/>
      <c r="BN1144" s="148"/>
      <c r="BO1144" s="148"/>
      <c r="BP1144" s="148"/>
      <c r="BQ1144" s="148"/>
      <c r="BR1144" s="148"/>
      <c r="BS1144" s="148"/>
      <c r="BT1144" s="148"/>
      <c r="BU1144" s="148"/>
      <c r="BV1144" s="148"/>
      <c r="BW1144" s="148"/>
      <c r="BX1144" s="148"/>
      <c r="BY1144" s="148"/>
      <c r="BZ1144" s="148"/>
      <c r="CA1144" s="148"/>
      <c r="CB1144" s="148"/>
      <c r="CC1144" s="148"/>
      <c r="CD1144" s="148"/>
      <c r="CE1144" s="148"/>
      <c r="CF1144" s="148"/>
      <c r="CG1144" s="148"/>
      <c r="CH1144" s="148"/>
      <c r="CI1144" s="148"/>
      <c r="CJ1144" s="148"/>
      <c r="CK1144" s="148"/>
      <c r="CL1144" s="148"/>
      <c r="CM1144" s="148"/>
      <c r="CN1144" s="148"/>
      <c r="CO1144" s="148"/>
      <c r="CP1144" s="148"/>
      <c r="CQ1144" s="148"/>
      <c r="CR1144" s="148"/>
      <c r="CS1144" s="148"/>
      <c r="CT1144" s="148"/>
      <c r="CU1144" s="148"/>
      <c r="CV1144" s="148"/>
      <c r="CW1144" s="148"/>
      <c r="CX1144" s="148"/>
      <c r="CY1144" s="148"/>
      <c r="CZ1144" s="148"/>
      <c r="DA1144" s="148"/>
      <c r="DB1144" s="148"/>
      <c r="DC1144" s="148"/>
      <c r="DD1144" s="148"/>
      <c r="DE1144" s="148"/>
      <c r="DF1144" s="148"/>
      <c r="DG1144" s="148"/>
      <c r="DH1144" s="148"/>
      <c r="DI1144" s="148"/>
      <c r="DJ1144" s="148"/>
      <c r="DK1144" s="148"/>
      <c r="DL1144" s="148"/>
      <c r="DM1144" s="148"/>
      <c r="DN1144" s="148"/>
      <c r="DO1144" s="148"/>
      <c r="DP1144" s="148"/>
      <c r="DQ1144" s="148"/>
      <c r="DR1144" s="148"/>
      <c r="DS1144" s="148"/>
      <c r="DT1144" s="148"/>
      <c r="DU1144" s="148"/>
      <c r="DV1144" s="148"/>
      <c r="DW1144" s="148"/>
      <c r="DX1144" s="148"/>
      <c r="DY1144" s="148"/>
      <c r="DZ1144" s="148"/>
      <c r="EA1144" s="148"/>
      <c r="EB1144" s="148"/>
      <c r="EC1144" s="148"/>
      <c r="ED1144" s="148"/>
      <c r="EE1144" s="148"/>
      <c r="EF1144" s="148"/>
      <c r="EG1144" s="148"/>
      <c r="EH1144" s="148"/>
      <c r="EI1144" s="148"/>
      <c r="EJ1144" s="148"/>
      <c r="EK1144" s="148"/>
      <c r="EL1144" s="148"/>
      <c r="EM1144" s="148"/>
    </row>
    <row r="1145" spans="1:143" s="90" customFormat="1" x14ac:dyDescent="0.3">
      <c r="A1145" s="84">
        <v>903165</v>
      </c>
      <c r="B1145" s="182">
        <v>36.700000000000003</v>
      </c>
      <c r="C1145" s="182">
        <v>12.3</v>
      </c>
      <c r="D1145" s="184">
        <v>8.32</v>
      </c>
      <c r="E1145" s="1534">
        <v>0.75</v>
      </c>
      <c r="F1145" s="181">
        <v>395.55</v>
      </c>
      <c r="G1145" s="181"/>
      <c r="H1145" s="183">
        <v>15.09</v>
      </c>
      <c r="I1145" s="181">
        <v>90</v>
      </c>
      <c r="J1145" s="181">
        <v>0.84399999999999997</v>
      </c>
      <c r="K1145" s="182">
        <v>10.38</v>
      </c>
      <c r="L1145" s="181">
        <v>1110</v>
      </c>
      <c r="M1145" s="181">
        <v>0.06</v>
      </c>
      <c r="N1145" s="181">
        <v>0.12</v>
      </c>
      <c r="O1145" s="181">
        <v>0.92</v>
      </c>
      <c r="P1145" s="181">
        <v>0.72</v>
      </c>
      <c r="Q1145" s="181"/>
      <c r="R1145" s="957">
        <v>0.53676254742405927</v>
      </c>
      <c r="S1145" s="181">
        <v>3.7</v>
      </c>
      <c r="T1145" s="83"/>
      <c r="U1145" s="83"/>
      <c r="V1145" s="83"/>
      <c r="W1145" s="181"/>
      <c r="X1145" s="181"/>
      <c r="Y1145" s="182">
        <v>28</v>
      </c>
      <c r="Z1145" s="181"/>
      <c r="AA1145" s="181"/>
      <c r="AB1145" s="181"/>
      <c r="AC1145" s="181"/>
      <c r="AD1145" s="88">
        <v>560</v>
      </c>
      <c r="AE1145" s="88">
        <v>260</v>
      </c>
      <c r="AF1145" s="88">
        <v>180</v>
      </c>
      <c r="AG1145" s="66">
        <f t="shared" si="45"/>
        <v>131.23285714285717</v>
      </c>
      <c r="AH1145" s="143">
        <f t="shared" si="46"/>
        <v>1000</v>
      </c>
      <c r="AI1145" s="148"/>
      <c r="AJ1145" s="148"/>
      <c r="AK1145" s="148"/>
      <c r="AL1145" s="148"/>
      <c r="AM1145" s="148"/>
      <c r="AN1145" s="148"/>
      <c r="AO1145" s="148"/>
      <c r="AP1145" s="148"/>
      <c r="AQ1145" s="148"/>
      <c r="AR1145" s="148"/>
      <c r="AS1145" s="148"/>
      <c r="AT1145" s="148"/>
      <c r="AU1145" s="148"/>
      <c r="AV1145" s="148"/>
      <c r="AW1145" s="148"/>
      <c r="AX1145" s="148"/>
      <c r="AY1145" s="148"/>
      <c r="AZ1145" s="148"/>
      <c r="BA1145" s="148"/>
      <c r="BB1145" s="148"/>
      <c r="BC1145" s="148"/>
      <c r="BD1145" s="148"/>
      <c r="BE1145" s="148"/>
      <c r="BF1145" s="148"/>
      <c r="BG1145" s="148"/>
      <c r="BH1145" s="148"/>
      <c r="BI1145" s="148"/>
      <c r="BJ1145" s="148"/>
      <c r="BK1145" s="148"/>
      <c r="BL1145" s="148"/>
      <c r="BM1145" s="148"/>
      <c r="BN1145" s="148"/>
      <c r="BO1145" s="148"/>
      <c r="BP1145" s="148"/>
      <c r="BQ1145" s="148"/>
      <c r="BR1145" s="148"/>
      <c r="BS1145" s="148"/>
      <c r="BT1145" s="148"/>
      <c r="BU1145" s="148"/>
      <c r="BV1145" s="148"/>
      <c r="BW1145" s="148"/>
      <c r="BX1145" s="148"/>
      <c r="BY1145" s="148"/>
      <c r="BZ1145" s="148"/>
      <c r="CA1145" s="148"/>
      <c r="CB1145" s="148"/>
      <c r="CC1145" s="148"/>
      <c r="CD1145" s="148"/>
      <c r="CE1145" s="148"/>
      <c r="CF1145" s="148"/>
      <c r="CG1145" s="148"/>
      <c r="CH1145" s="148"/>
      <c r="CI1145" s="148"/>
      <c r="CJ1145" s="148"/>
      <c r="CK1145" s="148"/>
      <c r="CL1145" s="148"/>
      <c r="CM1145" s="148"/>
      <c r="CN1145" s="148"/>
      <c r="CO1145" s="148"/>
      <c r="CP1145" s="148"/>
      <c r="CQ1145" s="148"/>
      <c r="CR1145" s="148"/>
      <c r="CS1145" s="148"/>
      <c r="CT1145" s="148"/>
      <c r="CU1145" s="148"/>
      <c r="CV1145" s="148"/>
      <c r="CW1145" s="148"/>
      <c r="CX1145" s="148"/>
      <c r="CY1145" s="148"/>
      <c r="CZ1145" s="148"/>
      <c r="DA1145" s="148"/>
      <c r="DB1145" s="148"/>
      <c r="DC1145" s="148"/>
      <c r="DD1145" s="148"/>
      <c r="DE1145" s="148"/>
      <c r="DF1145" s="148"/>
      <c r="DG1145" s="148"/>
      <c r="DH1145" s="148"/>
      <c r="DI1145" s="148"/>
      <c r="DJ1145" s="148"/>
      <c r="DK1145" s="148"/>
      <c r="DL1145" s="148"/>
      <c r="DM1145" s="148"/>
      <c r="DN1145" s="148"/>
      <c r="DO1145" s="148"/>
      <c r="DP1145" s="148"/>
      <c r="DQ1145" s="148"/>
      <c r="DR1145" s="148"/>
      <c r="DS1145" s="148"/>
      <c r="DT1145" s="148"/>
      <c r="DU1145" s="148"/>
      <c r="DV1145" s="148"/>
      <c r="DW1145" s="148"/>
      <c r="DX1145" s="148"/>
      <c r="DY1145" s="148"/>
      <c r="DZ1145" s="148"/>
      <c r="EA1145" s="148"/>
      <c r="EB1145" s="148"/>
      <c r="EC1145" s="148"/>
      <c r="ED1145" s="148"/>
      <c r="EE1145" s="148"/>
      <c r="EF1145" s="148"/>
      <c r="EG1145" s="148"/>
      <c r="EH1145" s="148"/>
      <c r="EI1145" s="148"/>
      <c r="EJ1145" s="148"/>
      <c r="EK1145" s="148"/>
      <c r="EL1145" s="148"/>
      <c r="EM1145" s="148"/>
    </row>
    <row r="1146" spans="1:143" s="90" customFormat="1" x14ac:dyDescent="0.3">
      <c r="A1146" s="84">
        <v>903166</v>
      </c>
      <c r="B1146" s="182">
        <v>11.4</v>
      </c>
      <c r="C1146" s="182">
        <v>6.3</v>
      </c>
      <c r="D1146" s="184">
        <v>8.34</v>
      </c>
      <c r="E1146" s="1534">
        <v>1.07</v>
      </c>
      <c r="F1146" s="181">
        <v>850.7</v>
      </c>
      <c r="G1146" s="181"/>
      <c r="H1146" s="183">
        <v>58.51</v>
      </c>
      <c r="I1146" s="181">
        <v>220</v>
      </c>
      <c r="J1146" s="181">
        <v>0.99</v>
      </c>
      <c r="K1146" s="182">
        <v>7.71</v>
      </c>
      <c r="L1146" s="181">
        <v>1390</v>
      </c>
      <c r="M1146" s="181">
        <v>0.76</v>
      </c>
      <c r="N1146" s="181">
        <v>0.52</v>
      </c>
      <c r="O1146" s="181">
        <v>5.15</v>
      </c>
      <c r="P1146" s="181">
        <v>3.18</v>
      </c>
      <c r="Q1146" s="181"/>
      <c r="R1146" s="957">
        <v>1.7806999999999999</v>
      </c>
      <c r="S1146" s="181">
        <v>16</v>
      </c>
      <c r="T1146" s="83"/>
      <c r="U1146" s="83"/>
      <c r="V1146" s="83"/>
      <c r="W1146" s="181"/>
      <c r="X1146" s="181"/>
      <c r="Y1146" s="182">
        <v>20</v>
      </c>
      <c r="Z1146" s="181"/>
      <c r="AA1146" s="181"/>
      <c r="AB1146" s="181"/>
      <c r="AC1146" s="181"/>
      <c r="AD1146" s="88">
        <v>400</v>
      </c>
      <c r="AE1146" s="88">
        <v>320</v>
      </c>
      <c r="AF1146" s="88">
        <v>280</v>
      </c>
      <c r="AG1146" s="66">
        <f t="shared" si="45"/>
        <v>136.46700000000001</v>
      </c>
      <c r="AH1146" s="143">
        <f t="shared" si="46"/>
        <v>1000</v>
      </c>
      <c r="AI1146" s="148"/>
      <c r="AJ1146" s="148"/>
      <c r="AK1146" s="148"/>
      <c r="AL1146" s="148"/>
      <c r="AM1146" s="148"/>
      <c r="AN1146" s="148"/>
      <c r="AO1146" s="148"/>
      <c r="AP1146" s="148"/>
      <c r="AQ1146" s="148"/>
      <c r="AR1146" s="148"/>
      <c r="AS1146" s="148"/>
      <c r="AT1146" s="148"/>
      <c r="AU1146" s="148"/>
      <c r="AV1146" s="148"/>
      <c r="AW1146" s="148"/>
      <c r="AX1146" s="148"/>
      <c r="AY1146" s="148"/>
      <c r="AZ1146" s="148"/>
      <c r="BA1146" s="148"/>
      <c r="BB1146" s="148"/>
      <c r="BC1146" s="148"/>
      <c r="BD1146" s="148"/>
      <c r="BE1146" s="148"/>
      <c r="BF1146" s="148"/>
      <c r="BG1146" s="148"/>
      <c r="BH1146" s="148"/>
      <c r="BI1146" s="148"/>
      <c r="BJ1146" s="148"/>
      <c r="BK1146" s="148"/>
      <c r="BL1146" s="148"/>
      <c r="BM1146" s="148"/>
      <c r="BN1146" s="148"/>
      <c r="BO1146" s="148"/>
      <c r="BP1146" s="148"/>
      <c r="BQ1146" s="148"/>
      <c r="BR1146" s="148"/>
      <c r="BS1146" s="148"/>
      <c r="BT1146" s="148"/>
      <c r="BU1146" s="148"/>
      <c r="BV1146" s="148"/>
      <c r="BW1146" s="148"/>
      <c r="BX1146" s="148"/>
      <c r="BY1146" s="148"/>
      <c r="BZ1146" s="148"/>
      <c r="CA1146" s="148"/>
      <c r="CB1146" s="148"/>
      <c r="CC1146" s="148"/>
      <c r="CD1146" s="148"/>
      <c r="CE1146" s="148"/>
      <c r="CF1146" s="148"/>
      <c r="CG1146" s="148"/>
      <c r="CH1146" s="148"/>
      <c r="CI1146" s="148"/>
      <c r="CJ1146" s="148"/>
      <c r="CK1146" s="148"/>
      <c r="CL1146" s="148"/>
      <c r="CM1146" s="148"/>
      <c r="CN1146" s="148"/>
      <c r="CO1146" s="148"/>
      <c r="CP1146" s="148"/>
      <c r="CQ1146" s="148"/>
      <c r="CR1146" s="148"/>
      <c r="CS1146" s="148"/>
      <c r="CT1146" s="148"/>
      <c r="CU1146" s="148"/>
      <c r="CV1146" s="148"/>
      <c r="CW1146" s="148"/>
      <c r="CX1146" s="148"/>
      <c r="CY1146" s="148"/>
      <c r="CZ1146" s="148"/>
      <c r="DA1146" s="148"/>
      <c r="DB1146" s="148"/>
      <c r="DC1146" s="148"/>
      <c r="DD1146" s="148"/>
      <c r="DE1146" s="148"/>
      <c r="DF1146" s="148"/>
      <c r="DG1146" s="148"/>
      <c r="DH1146" s="148"/>
      <c r="DI1146" s="148"/>
      <c r="DJ1146" s="148"/>
      <c r="DK1146" s="148"/>
      <c r="DL1146" s="148"/>
      <c r="DM1146" s="148"/>
      <c r="DN1146" s="148"/>
      <c r="DO1146" s="148"/>
      <c r="DP1146" s="148"/>
      <c r="DQ1146" s="148"/>
      <c r="DR1146" s="148"/>
      <c r="DS1146" s="148"/>
      <c r="DT1146" s="148"/>
      <c r="DU1146" s="148"/>
      <c r="DV1146" s="148"/>
      <c r="DW1146" s="148"/>
      <c r="DX1146" s="148"/>
      <c r="DY1146" s="148"/>
      <c r="DZ1146" s="148"/>
      <c r="EA1146" s="148"/>
      <c r="EB1146" s="148"/>
      <c r="EC1146" s="148"/>
      <c r="ED1146" s="148"/>
      <c r="EE1146" s="148"/>
      <c r="EF1146" s="148"/>
      <c r="EG1146" s="148"/>
      <c r="EH1146" s="148"/>
      <c r="EI1146" s="148"/>
      <c r="EJ1146" s="148"/>
      <c r="EK1146" s="148"/>
      <c r="EL1146" s="148"/>
      <c r="EM1146" s="148"/>
    </row>
    <row r="1147" spans="1:143" s="90" customFormat="1" x14ac:dyDescent="0.3">
      <c r="A1147" s="84">
        <v>903167</v>
      </c>
      <c r="B1147" s="182">
        <v>27.2</v>
      </c>
      <c r="C1147" s="182">
        <v>9.4</v>
      </c>
      <c r="D1147" s="184">
        <v>8.15</v>
      </c>
      <c r="E1147" s="1534">
        <v>2.33</v>
      </c>
      <c r="F1147" s="181">
        <v>1754.9</v>
      </c>
      <c r="G1147" s="181"/>
      <c r="H1147" s="183">
        <v>29.33</v>
      </c>
      <c r="I1147" s="181">
        <v>150</v>
      </c>
      <c r="J1147" s="181">
        <v>1.31</v>
      </c>
      <c r="K1147" s="182">
        <v>11.31</v>
      </c>
      <c r="L1147" s="181">
        <v>670</v>
      </c>
      <c r="M1147" s="181">
        <v>0.48</v>
      </c>
      <c r="N1147" s="181">
        <v>0.4</v>
      </c>
      <c r="O1147" s="181">
        <v>6.73</v>
      </c>
      <c r="P1147" s="181">
        <v>1.59</v>
      </c>
      <c r="Q1147" s="181"/>
      <c r="R1147" s="957">
        <v>1.2706887557495765</v>
      </c>
      <c r="S1147" s="181">
        <v>8.4</v>
      </c>
      <c r="T1147" s="83"/>
      <c r="U1147" s="83"/>
      <c r="V1147" s="83"/>
      <c r="W1147" s="181"/>
      <c r="X1147" s="181"/>
      <c r="Y1147" s="182">
        <v>23</v>
      </c>
      <c r="Z1147" s="181"/>
      <c r="AA1147" s="181"/>
      <c r="AB1147" s="181"/>
      <c r="AC1147" s="181"/>
      <c r="AD1147" s="88">
        <v>460</v>
      </c>
      <c r="AE1147" s="88">
        <v>200</v>
      </c>
      <c r="AF1147" s="88">
        <v>340</v>
      </c>
      <c r="AG1147" s="66">
        <f t="shared" si="45"/>
        <v>174.07565217391308</v>
      </c>
      <c r="AH1147" s="143">
        <f t="shared" si="46"/>
        <v>1000</v>
      </c>
      <c r="AI1147" s="148"/>
      <c r="AJ1147" s="148"/>
      <c r="AK1147" s="148"/>
      <c r="AL1147" s="148"/>
      <c r="AM1147" s="148"/>
      <c r="AN1147" s="148"/>
      <c r="AO1147" s="148"/>
      <c r="AP1147" s="148"/>
      <c r="AQ1147" s="148"/>
      <c r="AR1147" s="148"/>
      <c r="AS1147" s="148"/>
      <c r="AT1147" s="148"/>
      <c r="AU1147" s="148"/>
      <c r="AV1147" s="148"/>
      <c r="AW1147" s="148"/>
      <c r="AX1147" s="148"/>
      <c r="AY1147" s="148"/>
      <c r="AZ1147" s="148"/>
      <c r="BA1147" s="148"/>
      <c r="BB1147" s="148"/>
      <c r="BC1147" s="148"/>
      <c r="BD1147" s="148"/>
      <c r="BE1147" s="148"/>
      <c r="BF1147" s="148"/>
      <c r="BG1147" s="148"/>
      <c r="BH1147" s="148"/>
      <c r="BI1147" s="148"/>
      <c r="BJ1147" s="148"/>
      <c r="BK1147" s="148"/>
      <c r="BL1147" s="148"/>
      <c r="BM1147" s="148"/>
      <c r="BN1147" s="148"/>
      <c r="BO1147" s="148"/>
      <c r="BP1147" s="148"/>
      <c r="BQ1147" s="148"/>
      <c r="BR1147" s="148"/>
      <c r="BS1147" s="148"/>
      <c r="BT1147" s="148"/>
      <c r="BU1147" s="148"/>
      <c r="BV1147" s="148"/>
      <c r="BW1147" s="148"/>
      <c r="BX1147" s="148"/>
      <c r="BY1147" s="148"/>
      <c r="BZ1147" s="148"/>
      <c r="CA1147" s="148"/>
      <c r="CB1147" s="148"/>
      <c r="CC1147" s="148"/>
      <c r="CD1147" s="148"/>
      <c r="CE1147" s="148"/>
      <c r="CF1147" s="148"/>
      <c r="CG1147" s="148"/>
      <c r="CH1147" s="148"/>
      <c r="CI1147" s="148"/>
      <c r="CJ1147" s="148"/>
      <c r="CK1147" s="148"/>
      <c r="CL1147" s="148"/>
      <c r="CM1147" s="148"/>
      <c r="CN1147" s="148"/>
      <c r="CO1147" s="148"/>
      <c r="CP1147" s="148"/>
      <c r="CQ1147" s="148"/>
      <c r="CR1147" s="148"/>
      <c r="CS1147" s="148"/>
      <c r="CT1147" s="148"/>
      <c r="CU1147" s="148"/>
      <c r="CV1147" s="148"/>
      <c r="CW1147" s="148"/>
      <c r="CX1147" s="148"/>
      <c r="CY1147" s="148"/>
      <c r="CZ1147" s="148"/>
      <c r="DA1147" s="148"/>
      <c r="DB1147" s="148"/>
      <c r="DC1147" s="148"/>
      <c r="DD1147" s="148"/>
      <c r="DE1147" s="148"/>
      <c r="DF1147" s="148"/>
      <c r="DG1147" s="148"/>
      <c r="DH1147" s="148"/>
      <c r="DI1147" s="148"/>
      <c r="DJ1147" s="148"/>
      <c r="DK1147" s="148"/>
      <c r="DL1147" s="148"/>
      <c r="DM1147" s="148"/>
      <c r="DN1147" s="148"/>
      <c r="DO1147" s="148"/>
      <c r="DP1147" s="148"/>
      <c r="DQ1147" s="148"/>
      <c r="DR1147" s="148"/>
      <c r="DS1147" s="148"/>
      <c r="DT1147" s="148"/>
      <c r="DU1147" s="148"/>
      <c r="DV1147" s="148"/>
      <c r="DW1147" s="148"/>
      <c r="DX1147" s="148"/>
      <c r="DY1147" s="148"/>
      <c r="DZ1147" s="148"/>
      <c r="EA1147" s="148"/>
      <c r="EB1147" s="148"/>
      <c r="EC1147" s="148"/>
      <c r="ED1147" s="148"/>
      <c r="EE1147" s="148"/>
      <c r="EF1147" s="148"/>
      <c r="EG1147" s="148"/>
      <c r="EH1147" s="148"/>
      <c r="EI1147" s="148"/>
      <c r="EJ1147" s="148"/>
      <c r="EK1147" s="148"/>
      <c r="EL1147" s="148"/>
      <c r="EM1147" s="148"/>
    </row>
    <row r="1148" spans="1:143" s="90" customFormat="1" x14ac:dyDescent="0.3">
      <c r="A1148" s="84">
        <v>903168</v>
      </c>
      <c r="B1148" s="87">
        <v>40.666666666666664</v>
      </c>
      <c r="C1148" s="87">
        <v>14.625000000000002</v>
      </c>
      <c r="D1148" s="86">
        <v>7.9428571428571422</v>
      </c>
      <c r="E1148" s="99">
        <v>2.04</v>
      </c>
      <c r="F1148" s="87">
        <v>1816.9499999999998</v>
      </c>
      <c r="G1148" s="83"/>
      <c r="H1148" s="84">
        <v>399.14</v>
      </c>
      <c r="I1148" s="83">
        <v>990</v>
      </c>
      <c r="J1148" s="83">
        <v>1.389</v>
      </c>
      <c r="K1148" s="87">
        <v>11.78</v>
      </c>
      <c r="L1148" s="83">
        <v>1190</v>
      </c>
      <c r="M1148" s="83">
        <v>1.69</v>
      </c>
      <c r="N1148" s="83">
        <v>0.75</v>
      </c>
      <c r="O1148" s="83">
        <v>2.31</v>
      </c>
      <c r="P1148" s="83">
        <v>3.62</v>
      </c>
      <c r="Q1148" s="83"/>
      <c r="R1148" s="86">
        <v>1.5744170000000002</v>
      </c>
      <c r="S1148" s="83">
        <v>10.3</v>
      </c>
      <c r="T1148" s="83"/>
      <c r="U1148" s="83"/>
      <c r="V1148" s="83"/>
      <c r="W1148" s="83"/>
      <c r="X1148" s="83"/>
      <c r="Y1148" s="83">
        <v>26.4</v>
      </c>
      <c r="Z1148" s="83"/>
      <c r="AA1148" s="86"/>
      <c r="AB1148" s="86"/>
      <c r="AC1148" s="83"/>
      <c r="AD1148" s="88">
        <v>440</v>
      </c>
      <c r="AE1148" s="88">
        <v>360</v>
      </c>
      <c r="AF1148" s="88">
        <f t="shared" ref="AF1148:AF1211" si="49">1000-(AD1148+AE1148)</f>
        <v>200</v>
      </c>
      <c r="AG1148" s="66">
        <f t="shared" si="45"/>
        <v>157.95909090909092</v>
      </c>
      <c r="AH1148" s="143">
        <f t="shared" si="46"/>
        <v>1000</v>
      </c>
    </row>
    <row r="1149" spans="1:143" s="90" customFormat="1" x14ac:dyDescent="0.3">
      <c r="A1149" s="84">
        <v>903169</v>
      </c>
      <c r="B1149" s="87">
        <v>44.833333333333329</v>
      </c>
      <c r="C1149" s="87">
        <v>14.875</v>
      </c>
      <c r="D1149" s="86">
        <v>8.0857142857142854</v>
      </c>
      <c r="E1149" s="99">
        <v>0.56000000000000005</v>
      </c>
      <c r="F1149" s="87">
        <v>60.35</v>
      </c>
      <c r="G1149" s="83"/>
      <c r="H1149" s="84">
        <v>41.27</v>
      </c>
      <c r="I1149" s="83">
        <v>190</v>
      </c>
      <c r="J1149" s="83">
        <v>6.3E-2</v>
      </c>
      <c r="K1149" s="87">
        <v>10.66</v>
      </c>
      <c r="L1149" s="83">
        <v>390</v>
      </c>
      <c r="M1149" s="83">
        <v>0.37</v>
      </c>
      <c r="N1149" s="83">
        <v>0.61</v>
      </c>
      <c r="O1149" s="83">
        <v>3.19</v>
      </c>
      <c r="P1149" s="83">
        <v>2.96</v>
      </c>
      <c r="Q1149" s="83"/>
      <c r="R1149" s="86">
        <v>0.41816163968459441</v>
      </c>
      <c r="S1149" s="83">
        <v>3</v>
      </c>
      <c r="T1149" s="83"/>
      <c r="U1149" s="83"/>
      <c r="V1149" s="83"/>
      <c r="W1149" s="83"/>
      <c r="X1149" s="83"/>
      <c r="Y1149" s="83">
        <v>21.599999999999998</v>
      </c>
      <c r="Z1149" s="83"/>
      <c r="AA1149" s="86"/>
      <c r="AB1149" s="86"/>
      <c r="AC1149" s="83"/>
      <c r="AD1149" s="88">
        <v>360</v>
      </c>
      <c r="AE1149" s="88">
        <v>340</v>
      </c>
      <c r="AF1149" s="88">
        <f t="shared" si="49"/>
        <v>300</v>
      </c>
      <c r="AG1149" s="66">
        <f t="shared" si="45"/>
        <v>174.70555555555558</v>
      </c>
      <c r="AH1149" s="143">
        <f t="shared" si="46"/>
        <v>1000</v>
      </c>
    </row>
    <row r="1150" spans="1:143" s="90" customFormat="1" x14ac:dyDescent="0.3">
      <c r="A1150" s="84">
        <v>903170</v>
      </c>
      <c r="B1150" s="87">
        <v>44.333333333333336</v>
      </c>
      <c r="C1150" s="87">
        <v>15</v>
      </c>
      <c r="D1150" s="86">
        <v>8.295238095238096</v>
      </c>
      <c r="E1150" s="99">
        <v>0.39</v>
      </c>
      <c r="F1150" s="87">
        <v>68.600000000000009</v>
      </c>
      <c r="G1150" s="83"/>
      <c r="H1150" s="84">
        <v>26.31</v>
      </c>
      <c r="I1150" s="83">
        <v>250</v>
      </c>
      <c r="J1150" s="83">
        <v>0.13200000000000001</v>
      </c>
      <c r="K1150" s="87">
        <v>8.41</v>
      </c>
      <c r="L1150" s="83">
        <v>820</v>
      </c>
      <c r="M1150" s="83">
        <v>0.34</v>
      </c>
      <c r="N1150" s="83">
        <v>0.79</v>
      </c>
      <c r="O1150" s="83">
        <v>2.36</v>
      </c>
      <c r="P1150" s="83">
        <v>2.2599999999999998</v>
      </c>
      <c r="Q1150" s="83"/>
      <c r="R1150" s="86">
        <v>0.42357146668743162</v>
      </c>
      <c r="S1150" s="83">
        <v>2.9</v>
      </c>
      <c r="T1150" s="83"/>
      <c r="U1150" s="83"/>
      <c r="V1150" s="83"/>
      <c r="W1150" s="83"/>
      <c r="X1150" s="83"/>
      <c r="Y1150" s="83">
        <v>33.6</v>
      </c>
      <c r="Z1150" s="83"/>
      <c r="AA1150" s="86"/>
      <c r="AB1150" s="86"/>
      <c r="AC1150" s="83"/>
      <c r="AD1150" s="88">
        <v>560</v>
      </c>
      <c r="AE1150" s="88">
        <v>300</v>
      </c>
      <c r="AF1150" s="88">
        <f t="shared" si="49"/>
        <v>140</v>
      </c>
      <c r="AG1150" s="66">
        <f t="shared" si="45"/>
        <v>88.60535714285713</v>
      </c>
      <c r="AH1150" s="143">
        <f t="shared" si="46"/>
        <v>1000</v>
      </c>
    </row>
    <row r="1151" spans="1:143" s="90" customFormat="1" x14ac:dyDescent="0.3">
      <c r="A1151" s="84">
        <v>903171</v>
      </c>
      <c r="B1151" s="87">
        <v>21.666666666666664</v>
      </c>
      <c r="C1151" s="87">
        <v>6.6250000000000009</v>
      </c>
      <c r="D1151" s="86">
        <v>8.5428571428571409</v>
      </c>
      <c r="E1151" s="99">
        <v>0.1</v>
      </c>
      <c r="F1151" s="87">
        <v>37.200000000000003</v>
      </c>
      <c r="G1151" s="83"/>
      <c r="H1151" s="84">
        <v>10.94</v>
      </c>
      <c r="I1151" s="83">
        <v>380</v>
      </c>
      <c r="J1151" s="83">
        <v>2.4E-2</v>
      </c>
      <c r="K1151" s="87">
        <v>8.33</v>
      </c>
      <c r="L1151" s="83">
        <v>230</v>
      </c>
      <c r="M1151" s="83">
        <v>0.15</v>
      </c>
      <c r="N1151" s="83">
        <v>0.33</v>
      </c>
      <c r="O1151" s="83">
        <v>0.75</v>
      </c>
      <c r="P1151" s="83">
        <v>1.39</v>
      </c>
      <c r="Q1151" s="83"/>
      <c r="R1151" s="86">
        <v>0.36958434284135988</v>
      </c>
      <c r="S1151" s="83">
        <v>2.5</v>
      </c>
      <c r="T1151" s="83"/>
      <c r="U1151" s="83"/>
      <c r="V1151" s="83"/>
      <c r="W1151" s="83"/>
      <c r="X1151" s="83"/>
      <c r="Y1151" s="83">
        <v>20.399999999999999</v>
      </c>
      <c r="Z1151" s="83"/>
      <c r="AA1151" s="86"/>
      <c r="AB1151" s="86"/>
      <c r="AC1151" s="83"/>
      <c r="AD1151" s="88">
        <v>340</v>
      </c>
      <c r="AE1151" s="88">
        <v>260</v>
      </c>
      <c r="AF1151" s="88">
        <f t="shared" si="49"/>
        <v>400</v>
      </c>
      <c r="AG1151" s="66">
        <f t="shared" si="45"/>
        <v>144.54999999999998</v>
      </c>
      <c r="AH1151" s="143">
        <f t="shared" si="46"/>
        <v>1000</v>
      </c>
    </row>
    <row r="1152" spans="1:143" s="90" customFormat="1" x14ac:dyDescent="0.3">
      <c r="A1152" s="84">
        <v>903172</v>
      </c>
      <c r="B1152" s="87">
        <v>17</v>
      </c>
      <c r="C1152" s="87">
        <v>5.5000000000000027</v>
      </c>
      <c r="D1152" s="86">
        <v>8.742857142857142</v>
      </c>
      <c r="E1152" s="99">
        <v>0.09</v>
      </c>
      <c r="F1152" s="87">
        <v>44</v>
      </c>
      <c r="G1152" s="83"/>
      <c r="H1152" s="84">
        <v>11.7</v>
      </c>
      <c r="I1152" s="83">
        <v>220</v>
      </c>
      <c r="J1152" s="83">
        <v>1.7999999999999999E-2</v>
      </c>
      <c r="K1152" s="87">
        <v>7.75</v>
      </c>
      <c r="L1152" s="83">
        <v>170</v>
      </c>
      <c r="M1152" s="83">
        <v>0.08</v>
      </c>
      <c r="N1152" s="83">
        <v>0.25</v>
      </c>
      <c r="O1152" s="83">
        <v>0.6</v>
      </c>
      <c r="P1152" s="83">
        <v>0.95</v>
      </c>
      <c r="Q1152" s="83"/>
      <c r="R1152" s="86">
        <v>0.57622554465519404</v>
      </c>
      <c r="S1152" s="83">
        <v>4.0999999999999996</v>
      </c>
      <c r="T1152" s="83"/>
      <c r="U1152" s="83"/>
      <c r="V1152" s="83"/>
      <c r="W1152" s="83"/>
      <c r="X1152" s="83"/>
      <c r="Y1152" s="83">
        <v>18</v>
      </c>
      <c r="Z1152" s="83"/>
      <c r="AA1152" s="86"/>
      <c r="AB1152" s="86"/>
      <c r="AC1152" s="83"/>
      <c r="AD1152" s="88">
        <v>300</v>
      </c>
      <c r="AE1152" s="88">
        <v>260</v>
      </c>
      <c r="AF1152" s="88">
        <f t="shared" si="49"/>
        <v>440</v>
      </c>
      <c r="AG1152" s="66">
        <f t="shared" si="45"/>
        <v>152.41666666666666</v>
      </c>
      <c r="AH1152" s="143">
        <f t="shared" si="46"/>
        <v>1000</v>
      </c>
    </row>
    <row r="1153" spans="1:34" s="90" customFormat="1" x14ac:dyDescent="0.3">
      <c r="A1153" s="84">
        <v>903173</v>
      </c>
      <c r="B1153" s="87">
        <v>20.666666666666668</v>
      </c>
      <c r="C1153" s="87">
        <v>6.3750000000000018</v>
      </c>
      <c r="D1153" s="86">
        <v>8.8095238095238084</v>
      </c>
      <c r="E1153" s="99">
        <v>0.1</v>
      </c>
      <c r="F1153" s="87">
        <v>32.75</v>
      </c>
      <c r="G1153" s="83"/>
      <c r="H1153" s="84">
        <v>10.44</v>
      </c>
      <c r="I1153" s="83">
        <v>250</v>
      </c>
      <c r="J1153" s="83">
        <v>2.8000000000000001E-2</v>
      </c>
      <c r="K1153" s="87">
        <v>6.98</v>
      </c>
      <c r="L1153" s="83">
        <v>160</v>
      </c>
      <c r="M1153" s="83">
        <v>0.05</v>
      </c>
      <c r="N1153" s="83">
        <v>0.26</v>
      </c>
      <c r="O1153" s="83">
        <v>0.93</v>
      </c>
      <c r="P1153" s="83">
        <v>1.29</v>
      </c>
      <c r="Q1153" s="83"/>
      <c r="R1153" s="86">
        <v>9.6972194833867487E-2</v>
      </c>
      <c r="S1153" s="83">
        <v>0.7</v>
      </c>
      <c r="T1153" s="83"/>
      <c r="U1153" s="83"/>
      <c r="V1153" s="83"/>
      <c r="W1153" s="83"/>
      <c r="X1153" s="83"/>
      <c r="Y1153" s="83">
        <v>15.6</v>
      </c>
      <c r="Z1153" s="83"/>
      <c r="AA1153" s="86"/>
      <c r="AB1153" s="86"/>
      <c r="AC1153" s="83"/>
      <c r="AD1153" s="88">
        <v>260</v>
      </c>
      <c r="AE1153" s="88">
        <v>260</v>
      </c>
      <c r="AF1153" s="88">
        <f t="shared" si="49"/>
        <v>480</v>
      </c>
      <c r="AG1153" s="66">
        <f t="shared" si="45"/>
        <v>158.3923076923077</v>
      </c>
      <c r="AH1153" s="143">
        <f t="shared" si="46"/>
        <v>1000</v>
      </c>
    </row>
    <row r="1154" spans="1:34" s="90" customFormat="1" x14ac:dyDescent="0.3">
      <c r="A1154" s="84">
        <v>903174</v>
      </c>
      <c r="B1154" s="87">
        <v>28.666666666666664</v>
      </c>
      <c r="C1154" s="87">
        <v>6.875</v>
      </c>
      <c r="D1154" s="86">
        <v>8.761904761904761</v>
      </c>
      <c r="E1154" s="99">
        <v>0.1</v>
      </c>
      <c r="F1154" s="87">
        <v>26.349999999999998</v>
      </c>
      <c r="G1154" s="83"/>
      <c r="H1154" s="84">
        <v>14.7</v>
      </c>
      <c r="I1154" s="83">
        <v>310</v>
      </c>
      <c r="J1154" s="83">
        <v>0.03</v>
      </c>
      <c r="K1154" s="87">
        <v>8.5399999999999991</v>
      </c>
      <c r="L1154" s="83">
        <v>210</v>
      </c>
      <c r="M1154" s="83">
        <v>0.06</v>
      </c>
      <c r="N1154" s="83">
        <v>0.34</v>
      </c>
      <c r="O1154" s="83">
        <v>0.44</v>
      </c>
      <c r="P1154" s="83">
        <v>1.3</v>
      </c>
      <c r="Q1154" s="83"/>
      <c r="R1154" s="86">
        <v>0.19940155927806658</v>
      </c>
      <c r="S1154" s="83">
        <v>1.4</v>
      </c>
      <c r="T1154" s="83"/>
      <c r="U1154" s="83"/>
      <c r="V1154" s="83"/>
      <c r="W1154" s="83"/>
      <c r="X1154" s="83"/>
      <c r="Y1154" s="83">
        <v>15.6</v>
      </c>
      <c r="Z1154" s="83"/>
      <c r="AA1154" s="86"/>
      <c r="AB1154" s="86"/>
      <c r="AC1154" s="83"/>
      <c r="AD1154" s="88">
        <v>260</v>
      </c>
      <c r="AE1154" s="88">
        <v>240</v>
      </c>
      <c r="AF1154" s="88">
        <f t="shared" si="49"/>
        <v>500</v>
      </c>
      <c r="AG1154" s="66">
        <f t="shared" ref="AG1154:AG1217" si="50">+K1154*3.54*100/Y1154</f>
        <v>193.79230769230767</v>
      </c>
      <c r="AH1154" s="143">
        <f t="shared" ref="AH1154:AH1217" si="51">+SUM(AD1154:AF1154)</f>
        <v>1000</v>
      </c>
    </row>
    <row r="1155" spans="1:34" s="90" customFormat="1" x14ac:dyDescent="0.3">
      <c r="A1155" s="84">
        <v>903175</v>
      </c>
      <c r="B1155" s="87">
        <v>18.583333333333332</v>
      </c>
      <c r="C1155" s="87">
        <v>5.5000000000000027</v>
      </c>
      <c r="D1155" s="86">
        <v>7.0571428571428569</v>
      </c>
      <c r="E1155" s="99">
        <v>0.12</v>
      </c>
      <c r="F1155" s="87">
        <v>37.700000000000003</v>
      </c>
      <c r="G1155" s="83"/>
      <c r="H1155" s="84">
        <v>11.51</v>
      </c>
      <c r="I1155" s="83">
        <v>260</v>
      </c>
      <c r="J1155" s="83">
        <v>4.7E-2</v>
      </c>
      <c r="K1155" s="87">
        <v>8.42</v>
      </c>
      <c r="L1155" s="83">
        <v>230</v>
      </c>
      <c r="M1155" s="83">
        <v>0.09</v>
      </c>
      <c r="N1155" s="83">
        <v>0.34</v>
      </c>
      <c r="O1155" s="83">
        <v>0.52</v>
      </c>
      <c r="P1155" s="83">
        <v>0.99</v>
      </c>
      <c r="Q1155" s="83"/>
      <c r="R1155" s="86">
        <v>0.19888599963041062</v>
      </c>
      <c r="S1155" s="83">
        <v>1.3</v>
      </c>
      <c r="T1155" s="83"/>
      <c r="U1155" s="83"/>
      <c r="V1155" s="83"/>
      <c r="W1155" s="83"/>
      <c r="X1155" s="83"/>
      <c r="Y1155" s="83">
        <v>15.6</v>
      </c>
      <c r="Z1155" s="83"/>
      <c r="AA1155" s="86"/>
      <c r="AB1155" s="86"/>
      <c r="AC1155" s="83"/>
      <c r="AD1155" s="88">
        <v>260</v>
      </c>
      <c r="AE1155" s="88">
        <v>200</v>
      </c>
      <c r="AF1155" s="88">
        <f t="shared" si="49"/>
        <v>540</v>
      </c>
      <c r="AG1155" s="66">
        <f t="shared" si="50"/>
        <v>191.06923076923076</v>
      </c>
      <c r="AH1155" s="143">
        <f t="shared" si="51"/>
        <v>1000</v>
      </c>
    </row>
    <row r="1156" spans="1:34" s="90" customFormat="1" x14ac:dyDescent="0.3">
      <c r="A1156" s="84">
        <v>903176</v>
      </c>
      <c r="B1156" s="87">
        <v>41.666666666666664</v>
      </c>
      <c r="C1156" s="87">
        <v>15.375</v>
      </c>
      <c r="D1156" s="86">
        <v>8.9047619047619033</v>
      </c>
      <c r="E1156" s="99">
        <v>0.1</v>
      </c>
      <c r="F1156" s="87">
        <v>29.849999999999998</v>
      </c>
      <c r="G1156" s="83"/>
      <c r="H1156" s="84">
        <v>7.37</v>
      </c>
      <c r="I1156" s="83">
        <v>180</v>
      </c>
      <c r="J1156" s="83">
        <v>1.4999999999999999E-2</v>
      </c>
      <c r="K1156" s="87">
        <v>8.14</v>
      </c>
      <c r="L1156" s="83">
        <v>120</v>
      </c>
      <c r="M1156" s="83">
        <v>0.05</v>
      </c>
      <c r="N1156" s="83">
        <v>0.19</v>
      </c>
      <c r="O1156" s="83">
        <v>0.74</v>
      </c>
      <c r="P1156" s="83">
        <v>1.82</v>
      </c>
      <c r="Q1156" s="83"/>
      <c r="R1156" s="86">
        <v>2.8342092758832198E-2</v>
      </c>
      <c r="S1156" s="83">
        <v>0.2</v>
      </c>
      <c r="T1156" s="83"/>
      <c r="U1156" s="83"/>
      <c r="V1156" s="83"/>
      <c r="W1156" s="83"/>
      <c r="X1156" s="83"/>
      <c r="Y1156" s="83">
        <v>9.6</v>
      </c>
      <c r="Z1156" s="83"/>
      <c r="AA1156" s="86"/>
      <c r="AB1156" s="86"/>
      <c r="AC1156" s="83"/>
      <c r="AD1156" s="88">
        <v>160</v>
      </c>
      <c r="AE1156" s="88">
        <v>140</v>
      </c>
      <c r="AF1156" s="88">
        <f t="shared" si="49"/>
        <v>700</v>
      </c>
      <c r="AG1156" s="66">
        <f t="shared" si="50"/>
        <v>300.16250000000008</v>
      </c>
      <c r="AH1156" s="143">
        <f t="shared" si="51"/>
        <v>1000</v>
      </c>
    </row>
    <row r="1157" spans="1:34" s="90" customFormat="1" x14ac:dyDescent="0.3">
      <c r="A1157" s="84">
        <v>903177</v>
      </c>
      <c r="B1157" s="87">
        <v>16.666666666666664</v>
      </c>
      <c r="C1157" s="87">
        <v>6.0000000000000009</v>
      </c>
      <c r="D1157" s="86">
        <v>8.4761904761904763</v>
      </c>
      <c r="E1157" s="99">
        <v>0.09</v>
      </c>
      <c r="F1157" s="87">
        <v>41.150000000000006</v>
      </c>
      <c r="G1157" s="83"/>
      <c r="H1157" s="84">
        <v>17.93</v>
      </c>
      <c r="I1157" s="83">
        <v>180</v>
      </c>
      <c r="J1157" s="83">
        <v>1.4999999999999999E-2</v>
      </c>
      <c r="K1157" s="87">
        <v>7.98</v>
      </c>
      <c r="L1157" s="83">
        <v>130</v>
      </c>
      <c r="M1157" s="83">
        <v>7.0000000000000007E-2</v>
      </c>
      <c r="N1157" s="83">
        <v>0.25</v>
      </c>
      <c r="O1157" s="83">
        <v>0.47</v>
      </c>
      <c r="P1157" s="83">
        <v>0.98</v>
      </c>
      <c r="Q1157" s="83"/>
      <c r="R1157" s="86">
        <v>0.38502723768899244</v>
      </c>
      <c r="S1157" s="83">
        <v>2.7</v>
      </c>
      <c r="T1157" s="83"/>
      <c r="U1157" s="83"/>
      <c r="V1157" s="83"/>
      <c r="W1157" s="83"/>
      <c r="X1157" s="83"/>
      <c r="Y1157" s="83">
        <v>9.6</v>
      </c>
      <c r="Z1157" s="83"/>
      <c r="AA1157" s="86"/>
      <c r="AB1157" s="86"/>
      <c r="AC1157" s="83"/>
      <c r="AD1157" s="88">
        <v>160</v>
      </c>
      <c r="AE1157" s="88">
        <v>120</v>
      </c>
      <c r="AF1157" s="88">
        <f t="shared" si="49"/>
        <v>720</v>
      </c>
      <c r="AG1157" s="66">
        <f t="shared" si="50"/>
        <v>294.26250000000005</v>
      </c>
      <c r="AH1157" s="143">
        <f t="shared" si="51"/>
        <v>1000</v>
      </c>
    </row>
    <row r="1158" spans="1:34" s="90" customFormat="1" x14ac:dyDescent="0.3">
      <c r="A1158" s="84">
        <v>903178</v>
      </c>
      <c r="B1158" s="87">
        <v>20.5</v>
      </c>
      <c r="C1158" s="87">
        <v>6.25</v>
      </c>
      <c r="D1158" s="86">
        <v>8.3523809523809511</v>
      </c>
      <c r="E1158" s="99">
        <v>2.13</v>
      </c>
      <c r="F1158" s="87">
        <v>2670.5</v>
      </c>
      <c r="G1158" s="83"/>
      <c r="H1158" s="84">
        <v>13.93</v>
      </c>
      <c r="I1158" s="83">
        <v>280</v>
      </c>
      <c r="J1158" s="85">
        <v>0.95</v>
      </c>
      <c r="K1158" s="87">
        <v>12.92</v>
      </c>
      <c r="L1158" s="83">
        <v>410</v>
      </c>
      <c r="M1158" s="83">
        <v>0.12</v>
      </c>
      <c r="N1158" s="83">
        <v>0.41</v>
      </c>
      <c r="O1158" s="83">
        <v>1.47</v>
      </c>
      <c r="P1158" s="83">
        <v>1.4</v>
      </c>
      <c r="Q1158" s="83"/>
      <c r="R1158" s="86">
        <v>0.2357393927793251</v>
      </c>
      <c r="S1158" s="83">
        <v>1.7</v>
      </c>
      <c r="T1158" s="83"/>
      <c r="U1158" s="83"/>
      <c r="V1158" s="83"/>
      <c r="W1158" s="83"/>
      <c r="X1158" s="83"/>
      <c r="Y1158" s="83">
        <v>20.399999999999999</v>
      </c>
      <c r="Z1158" s="83"/>
      <c r="AA1158" s="86"/>
      <c r="AB1158" s="86"/>
      <c r="AC1158" s="83"/>
      <c r="AD1158" s="88">
        <v>340</v>
      </c>
      <c r="AE1158" s="88">
        <v>160</v>
      </c>
      <c r="AF1158" s="88">
        <f t="shared" si="49"/>
        <v>500</v>
      </c>
      <c r="AG1158" s="66">
        <f t="shared" si="50"/>
        <v>224.20000000000002</v>
      </c>
      <c r="AH1158" s="143">
        <f t="shared" si="51"/>
        <v>1000</v>
      </c>
    </row>
    <row r="1159" spans="1:34" s="90" customFormat="1" x14ac:dyDescent="0.3">
      <c r="A1159" s="84">
        <v>903179</v>
      </c>
      <c r="B1159" s="87">
        <v>11.75</v>
      </c>
      <c r="C1159" s="87">
        <v>10.250000000000002</v>
      </c>
      <c r="D1159" s="86">
        <v>8.4380952380952365</v>
      </c>
      <c r="E1159" s="99">
        <v>0.79</v>
      </c>
      <c r="F1159" s="87">
        <v>473.45</v>
      </c>
      <c r="G1159" s="83"/>
      <c r="H1159" s="84">
        <v>87.12</v>
      </c>
      <c r="I1159" s="83">
        <v>630</v>
      </c>
      <c r="J1159" s="85">
        <v>0.68</v>
      </c>
      <c r="K1159" s="87">
        <v>8.5399999999999991</v>
      </c>
      <c r="L1159" s="83">
        <v>900</v>
      </c>
      <c r="M1159" s="83">
        <v>1.01</v>
      </c>
      <c r="N1159" s="83">
        <v>1.1499999999999999</v>
      </c>
      <c r="O1159" s="83">
        <v>2.25</v>
      </c>
      <c r="P1159" s="83">
        <v>2.72</v>
      </c>
      <c r="Q1159" s="83"/>
      <c r="R1159" s="86">
        <v>0.63428506269633644</v>
      </c>
      <c r="S1159" s="83">
        <v>4.4000000000000004</v>
      </c>
      <c r="T1159" s="83"/>
      <c r="U1159" s="83"/>
      <c r="V1159" s="83"/>
      <c r="W1159" s="83"/>
      <c r="X1159" s="83"/>
      <c r="Y1159" s="83">
        <v>33.6</v>
      </c>
      <c r="Z1159" s="83"/>
      <c r="AA1159" s="86"/>
      <c r="AB1159" s="86"/>
      <c r="AC1159" s="83"/>
      <c r="AD1159" s="88">
        <v>560</v>
      </c>
      <c r="AE1159" s="88">
        <v>240</v>
      </c>
      <c r="AF1159" s="88">
        <f t="shared" si="49"/>
        <v>200</v>
      </c>
      <c r="AG1159" s="66">
        <f t="shared" si="50"/>
        <v>89.974999999999994</v>
      </c>
      <c r="AH1159" s="143">
        <f t="shared" si="51"/>
        <v>1000</v>
      </c>
    </row>
    <row r="1160" spans="1:34" s="90" customFormat="1" x14ac:dyDescent="0.3">
      <c r="A1160" s="84">
        <v>903180</v>
      </c>
      <c r="B1160" s="87">
        <v>11.666666666666666</v>
      </c>
      <c r="C1160" s="87">
        <v>10.375</v>
      </c>
      <c r="D1160" s="86">
        <v>8.447619047619046</v>
      </c>
      <c r="E1160" s="99">
        <v>0.77</v>
      </c>
      <c r="F1160" s="87">
        <v>483.1</v>
      </c>
      <c r="G1160" s="83"/>
      <c r="H1160" s="84">
        <v>44.11</v>
      </c>
      <c r="I1160" s="83">
        <v>540</v>
      </c>
      <c r="J1160" s="85">
        <v>0.622</v>
      </c>
      <c r="K1160" s="87">
        <v>8.64</v>
      </c>
      <c r="L1160" s="83">
        <v>950</v>
      </c>
      <c r="M1160" s="83">
        <v>0.53</v>
      </c>
      <c r="N1160" s="83">
        <v>0.98</v>
      </c>
      <c r="O1160" s="83">
        <v>1.47</v>
      </c>
      <c r="P1160" s="83">
        <v>2.34</v>
      </c>
      <c r="Q1160" s="83"/>
      <c r="R1160" s="86">
        <v>0.38193863372113712</v>
      </c>
      <c r="S1160" s="83">
        <v>2.5</v>
      </c>
      <c r="T1160" s="83"/>
      <c r="U1160" s="83"/>
      <c r="V1160" s="83"/>
      <c r="W1160" s="83"/>
      <c r="X1160" s="83"/>
      <c r="Y1160" s="83">
        <v>34.799999999999997</v>
      </c>
      <c r="Z1160" s="83"/>
      <c r="AA1160" s="86"/>
      <c r="AB1160" s="86"/>
      <c r="AC1160" s="83"/>
      <c r="AD1160" s="88">
        <v>580</v>
      </c>
      <c r="AE1160" s="88">
        <v>220</v>
      </c>
      <c r="AF1160" s="88">
        <f t="shared" si="49"/>
        <v>200</v>
      </c>
      <c r="AG1160" s="66">
        <f t="shared" si="50"/>
        <v>87.889655172413811</v>
      </c>
      <c r="AH1160" s="143">
        <f t="shared" si="51"/>
        <v>1000</v>
      </c>
    </row>
    <row r="1161" spans="1:34" s="90" customFormat="1" x14ac:dyDescent="0.3">
      <c r="A1161" s="84">
        <v>903181</v>
      </c>
      <c r="B1161" s="87">
        <v>3.3833333333333333</v>
      </c>
      <c r="C1161" s="87"/>
      <c r="D1161" s="86">
        <v>8.2857142857142847</v>
      </c>
      <c r="E1161" s="99">
        <v>0.65</v>
      </c>
      <c r="F1161" s="87">
        <v>396.55</v>
      </c>
      <c r="G1161" s="83"/>
      <c r="H1161" s="84">
        <v>24.4</v>
      </c>
      <c r="I1161" s="83">
        <v>260</v>
      </c>
      <c r="J1161" s="83">
        <v>0.746</v>
      </c>
      <c r="K1161" s="87">
        <v>6.99</v>
      </c>
      <c r="L1161" s="83">
        <v>420</v>
      </c>
      <c r="M1161" s="83">
        <v>0.35</v>
      </c>
      <c r="N1161" s="83">
        <v>0.5</v>
      </c>
      <c r="O1161" s="83">
        <v>1.47</v>
      </c>
      <c r="P1161" s="83">
        <v>2.5299999999999998</v>
      </c>
      <c r="Q1161" s="83"/>
      <c r="R1161" s="86">
        <v>0.24083573830775518</v>
      </c>
      <c r="S1161" s="83">
        <v>1.6</v>
      </c>
      <c r="T1161" s="83"/>
      <c r="U1161" s="83"/>
      <c r="V1161" s="83"/>
      <c r="W1161" s="83"/>
      <c r="X1161" s="83"/>
      <c r="Y1161" s="83">
        <v>12</v>
      </c>
      <c r="Z1161" s="83"/>
      <c r="AA1161" s="86"/>
      <c r="AB1161" s="86"/>
      <c r="AC1161" s="83"/>
      <c r="AD1161" s="88">
        <v>200</v>
      </c>
      <c r="AE1161" s="88">
        <v>100</v>
      </c>
      <c r="AF1161" s="88">
        <f t="shared" si="49"/>
        <v>700</v>
      </c>
      <c r="AG1161" s="66">
        <f t="shared" si="50"/>
        <v>206.20500000000001</v>
      </c>
      <c r="AH1161" s="143">
        <f t="shared" si="51"/>
        <v>1000</v>
      </c>
    </row>
    <row r="1162" spans="1:34" s="90" customFormat="1" x14ac:dyDescent="0.3">
      <c r="A1162" s="84">
        <v>903182</v>
      </c>
      <c r="B1162" s="87">
        <v>2.2833333333333332</v>
      </c>
      <c r="C1162" s="87"/>
      <c r="D1162" s="86">
        <v>8.4380952380952365</v>
      </c>
      <c r="E1162" s="99">
        <v>0.51</v>
      </c>
      <c r="F1162" s="87">
        <v>320.39999999999998</v>
      </c>
      <c r="G1162" s="83"/>
      <c r="H1162" s="84">
        <v>29.93</v>
      </c>
      <c r="I1162" s="83">
        <v>160</v>
      </c>
      <c r="J1162" s="83">
        <v>0.32800000000000001</v>
      </c>
      <c r="K1162" s="87">
        <v>5.1100000000000003</v>
      </c>
      <c r="L1162" s="83">
        <v>370</v>
      </c>
      <c r="M1162" s="83">
        <v>0.19</v>
      </c>
      <c r="N1162" s="83">
        <v>0.37</v>
      </c>
      <c r="O1162" s="83">
        <v>1.43</v>
      </c>
      <c r="P1162" s="83">
        <v>2.56</v>
      </c>
      <c r="Q1162" s="83"/>
      <c r="R1162" s="86">
        <v>7.0000000000000007E-2</v>
      </c>
      <c r="S1162" s="83">
        <v>0.5</v>
      </c>
      <c r="T1162" s="83"/>
      <c r="U1162" s="83"/>
      <c r="V1162" s="83"/>
      <c r="W1162" s="83"/>
      <c r="X1162" s="83"/>
      <c r="Y1162" s="83">
        <v>12</v>
      </c>
      <c r="Z1162" s="83"/>
      <c r="AA1162" s="86"/>
      <c r="AB1162" s="86"/>
      <c r="AC1162" s="83"/>
      <c r="AD1162" s="88">
        <v>200</v>
      </c>
      <c r="AE1162" s="88">
        <v>120</v>
      </c>
      <c r="AF1162" s="88">
        <f t="shared" si="49"/>
        <v>680</v>
      </c>
      <c r="AG1162" s="66">
        <f t="shared" si="50"/>
        <v>150.745</v>
      </c>
      <c r="AH1162" s="143">
        <f t="shared" si="51"/>
        <v>1000</v>
      </c>
    </row>
    <row r="1163" spans="1:34" s="90" customFormat="1" x14ac:dyDescent="0.3">
      <c r="A1163" s="84">
        <v>903183</v>
      </c>
      <c r="B1163" s="87">
        <v>15.666666666666668</v>
      </c>
      <c r="C1163" s="87">
        <v>8.8750000000000018</v>
      </c>
      <c r="D1163" s="86">
        <v>8.2857142857142847</v>
      </c>
      <c r="E1163" s="99">
        <v>1.84</v>
      </c>
      <c r="F1163" s="87">
        <v>1624.95</v>
      </c>
      <c r="G1163" s="83"/>
      <c r="H1163" s="84">
        <v>47.8</v>
      </c>
      <c r="I1163" s="83">
        <v>530</v>
      </c>
      <c r="J1163" s="83">
        <v>1.599</v>
      </c>
      <c r="K1163" s="87">
        <v>8.27</v>
      </c>
      <c r="L1163" s="83">
        <v>840</v>
      </c>
      <c r="M1163" s="83">
        <v>2.86</v>
      </c>
      <c r="N1163" s="83">
        <v>1.27</v>
      </c>
      <c r="O1163" s="83">
        <v>3.6</v>
      </c>
      <c r="P1163" s="83">
        <v>1.85</v>
      </c>
      <c r="Q1163" s="83"/>
      <c r="R1163" s="86">
        <v>0.31551618466457482</v>
      </c>
      <c r="S1163" s="83">
        <v>2.1</v>
      </c>
      <c r="T1163" s="83"/>
      <c r="U1163" s="83"/>
      <c r="V1163" s="83"/>
      <c r="W1163" s="83"/>
      <c r="X1163" s="83"/>
      <c r="Y1163" s="83">
        <v>26.4</v>
      </c>
      <c r="Z1163" s="83"/>
      <c r="AA1163" s="86"/>
      <c r="AB1163" s="86"/>
      <c r="AC1163" s="83"/>
      <c r="AD1163" s="88">
        <v>440</v>
      </c>
      <c r="AE1163" s="88">
        <v>300</v>
      </c>
      <c r="AF1163" s="88">
        <f t="shared" si="49"/>
        <v>260</v>
      </c>
      <c r="AG1163" s="66">
        <f t="shared" si="50"/>
        <v>110.89318181818182</v>
      </c>
      <c r="AH1163" s="143">
        <f t="shared" si="51"/>
        <v>1000</v>
      </c>
    </row>
    <row r="1164" spans="1:34" s="90" customFormat="1" x14ac:dyDescent="0.3">
      <c r="A1164" s="84">
        <v>903184</v>
      </c>
      <c r="B1164" s="87">
        <v>20.833333333333332</v>
      </c>
      <c r="C1164" s="87">
        <v>6.4999999999999991</v>
      </c>
      <c r="D1164" s="86">
        <v>8.2761904761904752</v>
      </c>
      <c r="E1164" s="99">
        <v>1.27</v>
      </c>
      <c r="F1164" s="87">
        <v>1140.5999999999999</v>
      </c>
      <c r="G1164" s="83"/>
      <c r="H1164" s="84">
        <v>70.040000000000006</v>
      </c>
      <c r="I1164" s="83">
        <v>580</v>
      </c>
      <c r="J1164" s="83">
        <v>1.2350000000000001</v>
      </c>
      <c r="K1164" s="87">
        <v>8.1300000000000008</v>
      </c>
      <c r="L1164" s="83">
        <v>710</v>
      </c>
      <c r="M1164" s="83">
        <v>1.1100000000000001</v>
      </c>
      <c r="N1164" s="83">
        <v>0.76</v>
      </c>
      <c r="O1164" s="83">
        <v>3.24</v>
      </c>
      <c r="P1164" s="83">
        <v>1.84</v>
      </c>
      <c r="Q1164" s="83"/>
      <c r="R1164" s="86">
        <v>6.9000000000000006E-2</v>
      </c>
      <c r="S1164" s="83">
        <v>0.5</v>
      </c>
      <c r="T1164" s="83"/>
      <c r="U1164" s="83"/>
      <c r="V1164" s="83"/>
      <c r="W1164" s="83"/>
      <c r="X1164" s="83"/>
      <c r="Y1164" s="83">
        <v>26.4</v>
      </c>
      <c r="Z1164" s="83"/>
      <c r="AA1164" s="86"/>
      <c r="AB1164" s="86"/>
      <c r="AC1164" s="83"/>
      <c r="AD1164" s="88">
        <v>440</v>
      </c>
      <c r="AE1164" s="88">
        <v>280</v>
      </c>
      <c r="AF1164" s="88">
        <f t="shared" si="49"/>
        <v>280</v>
      </c>
      <c r="AG1164" s="66">
        <f t="shared" si="50"/>
        <v>109.01590909090912</v>
      </c>
      <c r="AH1164" s="143">
        <f t="shared" si="51"/>
        <v>1000</v>
      </c>
    </row>
    <row r="1165" spans="1:34" s="90" customFormat="1" x14ac:dyDescent="0.3">
      <c r="A1165" s="84">
        <v>903185</v>
      </c>
      <c r="B1165" s="87">
        <v>13.833333333333334</v>
      </c>
      <c r="C1165" s="87">
        <v>9.125</v>
      </c>
      <c r="D1165" s="86">
        <v>8.7809523809523817</v>
      </c>
      <c r="E1165" s="99">
        <v>0.12</v>
      </c>
      <c r="F1165" s="87">
        <v>54.2</v>
      </c>
      <c r="G1165" s="83"/>
      <c r="H1165" s="84">
        <v>10.47</v>
      </c>
      <c r="I1165" s="83">
        <v>310</v>
      </c>
      <c r="J1165" s="83">
        <v>5.0999999999999997E-2</v>
      </c>
      <c r="K1165" s="87">
        <v>8.0399999999999991</v>
      </c>
      <c r="L1165" s="83">
        <v>210</v>
      </c>
      <c r="M1165" s="83">
        <v>0.14000000000000001</v>
      </c>
      <c r="N1165" s="83">
        <v>0.36</v>
      </c>
      <c r="O1165" s="83">
        <v>1.1599999999999999</v>
      </c>
      <c r="P1165" s="83">
        <v>1.55</v>
      </c>
      <c r="Q1165" s="83"/>
      <c r="R1165" s="86">
        <v>0.22127298945972398</v>
      </c>
      <c r="S1165" s="83">
        <v>1.6</v>
      </c>
      <c r="T1165" s="83"/>
      <c r="U1165" s="83"/>
      <c r="V1165" s="83"/>
      <c r="W1165" s="83"/>
      <c r="X1165" s="83"/>
      <c r="Y1165" s="83">
        <v>15.6</v>
      </c>
      <c r="Z1165" s="83"/>
      <c r="AA1165" s="86"/>
      <c r="AB1165" s="86"/>
      <c r="AC1165" s="83"/>
      <c r="AD1165" s="88">
        <v>260</v>
      </c>
      <c r="AE1165" s="88">
        <v>40</v>
      </c>
      <c r="AF1165" s="88">
        <f t="shared" si="49"/>
        <v>700</v>
      </c>
      <c r="AG1165" s="66">
        <f t="shared" si="50"/>
        <v>182.44615384615383</v>
      </c>
      <c r="AH1165" s="143">
        <f t="shared" si="51"/>
        <v>1000</v>
      </c>
    </row>
    <row r="1166" spans="1:34" s="90" customFormat="1" x14ac:dyDescent="0.3">
      <c r="A1166" s="84">
        <v>903186</v>
      </c>
      <c r="B1166" s="87">
        <v>28.333333333333332</v>
      </c>
      <c r="C1166" s="87">
        <v>7.375</v>
      </c>
      <c r="D1166" s="86">
        <v>8.5714285714285712</v>
      </c>
      <c r="E1166" s="99">
        <v>0.28999999999999998</v>
      </c>
      <c r="F1166" s="87">
        <v>135.05000000000001</v>
      </c>
      <c r="G1166" s="83"/>
      <c r="H1166" s="84">
        <v>16.82</v>
      </c>
      <c r="I1166" s="83">
        <v>210</v>
      </c>
      <c r="J1166" s="83">
        <v>8.8999999999999996E-2</v>
      </c>
      <c r="K1166" s="87">
        <v>8.3699999999999992</v>
      </c>
      <c r="L1166" s="83">
        <v>210</v>
      </c>
      <c r="M1166" s="83">
        <v>0.04</v>
      </c>
      <c r="N1166" s="83">
        <v>0.31</v>
      </c>
      <c r="O1166" s="83">
        <v>0.65</v>
      </c>
      <c r="P1166" s="83">
        <v>0.88</v>
      </c>
      <c r="Q1166" s="83"/>
      <c r="R1166" s="86">
        <v>0.12794601666887612</v>
      </c>
      <c r="S1166" s="83">
        <v>0.9</v>
      </c>
      <c r="T1166" s="83"/>
      <c r="U1166" s="83"/>
      <c r="V1166" s="83"/>
      <c r="W1166" s="83"/>
      <c r="X1166" s="83"/>
      <c r="Y1166" s="83">
        <v>28.799999999999997</v>
      </c>
      <c r="Z1166" s="83"/>
      <c r="AA1166" s="86"/>
      <c r="AB1166" s="86"/>
      <c r="AC1166" s="83"/>
      <c r="AD1166" s="88">
        <v>480</v>
      </c>
      <c r="AE1166" s="88">
        <v>320</v>
      </c>
      <c r="AF1166" s="88">
        <f t="shared" si="49"/>
        <v>200</v>
      </c>
      <c r="AG1166" s="66">
        <f t="shared" si="50"/>
        <v>102.88124999999999</v>
      </c>
      <c r="AH1166" s="143">
        <f t="shared" si="51"/>
        <v>1000</v>
      </c>
    </row>
    <row r="1167" spans="1:34" s="90" customFormat="1" x14ac:dyDescent="0.3">
      <c r="A1167" s="84">
        <v>903187</v>
      </c>
      <c r="B1167" s="87">
        <v>0.33333333333333331</v>
      </c>
      <c r="C1167" s="87"/>
      <c r="D1167" s="86">
        <v>7.666666666666667</v>
      </c>
      <c r="E1167" s="99">
        <v>7.0000000000000007E-2</v>
      </c>
      <c r="F1167" s="87">
        <v>55.15</v>
      </c>
      <c r="G1167" s="83"/>
      <c r="H1167" s="84">
        <v>29.68</v>
      </c>
      <c r="I1167" s="83">
        <v>150</v>
      </c>
      <c r="J1167" s="83">
        <v>0.14000000000000001</v>
      </c>
      <c r="K1167" s="87">
        <v>5.6289999999999996</v>
      </c>
      <c r="L1167" s="83">
        <v>590</v>
      </c>
      <c r="M1167" s="83">
        <v>0.31</v>
      </c>
      <c r="N1167" s="83">
        <v>1.01</v>
      </c>
      <c r="O1167" s="83">
        <v>22.15</v>
      </c>
      <c r="P1167" s="83">
        <v>18.05</v>
      </c>
      <c r="Q1167" s="83"/>
      <c r="R1167" s="86">
        <v>0.86498336449407898</v>
      </c>
      <c r="S1167" s="83">
        <v>6.2</v>
      </c>
      <c r="T1167" s="83"/>
      <c r="U1167" s="83"/>
      <c r="V1167" s="83"/>
      <c r="W1167" s="83"/>
      <c r="X1167" s="83"/>
      <c r="Y1167" s="87">
        <v>22.76923076923077</v>
      </c>
      <c r="Z1167" s="83"/>
      <c r="AA1167" s="86"/>
      <c r="AB1167" s="86"/>
      <c r="AC1167" s="83"/>
      <c r="AD1167" s="88">
        <v>560</v>
      </c>
      <c r="AE1167" s="88">
        <v>180</v>
      </c>
      <c r="AF1167" s="88">
        <f t="shared" si="49"/>
        <v>260</v>
      </c>
      <c r="AG1167" s="66">
        <f t="shared" si="50"/>
        <v>87.515736486486475</v>
      </c>
      <c r="AH1167" s="143">
        <f t="shared" si="51"/>
        <v>1000</v>
      </c>
    </row>
    <row r="1168" spans="1:34" s="90" customFormat="1" x14ac:dyDescent="0.3">
      <c r="A1168" s="84">
        <v>903188</v>
      </c>
      <c r="B1168" s="87">
        <v>0.6</v>
      </c>
      <c r="C1168" s="87"/>
      <c r="D1168" s="86">
        <v>7.9714285714285706</v>
      </c>
      <c r="E1168" s="99">
        <v>0.1</v>
      </c>
      <c r="F1168" s="87">
        <v>36.299999999999997</v>
      </c>
      <c r="G1168" s="83"/>
      <c r="H1168" s="84">
        <v>49.1</v>
      </c>
      <c r="I1168" s="83">
        <v>260</v>
      </c>
      <c r="J1168" s="83">
        <v>0.17299999999999999</v>
      </c>
      <c r="K1168" s="87">
        <v>5.9009999999999998</v>
      </c>
      <c r="L1168" s="83">
        <v>950</v>
      </c>
      <c r="M1168" s="83">
        <v>0.42</v>
      </c>
      <c r="N1168" s="83">
        <v>1.21</v>
      </c>
      <c r="O1168" s="83">
        <v>12.74</v>
      </c>
      <c r="P1168" s="83">
        <v>12.42</v>
      </c>
      <c r="Q1168" s="83"/>
      <c r="R1168" s="86">
        <v>1.2617646096040787</v>
      </c>
      <c r="S1168" s="83">
        <v>9</v>
      </c>
      <c r="T1168" s="83"/>
      <c r="U1168" s="83"/>
      <c r="V1168" s="83"/>
      <c r="W1168" s="83"/>
      <c r="X1168" s="83"/>
      <c r="Y1168" s="87">
        <v>23.923076923076898</v>
      </c>
      <c r="Z1168" s="83"/>
      <c r="AA1168" s="86"/>
      <c r="AB1168" s="86"/>
      <c r="AC1168" s="83"/>
      <c r="AD1168" s="88">
        <v>540</v>
      </c>
      <c r="AE1168" s="88">
        <v>220</v>
      </c>
      <c r="AF1168" s="88">
        <f t="shared" si="49"/>
        <v>240</v>
      </c>
      <c r="AG1168" s="66">
        <f t="shared" si="50"/>
        <v>87.319620578778228</v>
      </c>
      <c r="AH1168" s="143">
        <f t="shared" si="51"/>
        <v>1000</v>
      </c>
    </row>
    <row r="1169" spans="1:34" s="90" customFormat="1" x14ac:dyDescent="0.3">
      <c r="A1169" s="84">
        <v>903189</v>
      </c>
      <c r="B1169" s="87">
        <v>8.3333333333333329E-2</v>
      </c>
      <c r="C1169" s="87"/>
      <c r="D1169" s="86">
        <v>7.8952380952380938</v>
      </c>
      <c r="E1169" s="99">
        <v>0.14000000000000001</v>
      </c>
      <c r="F1169" s="87">
        <v>37.75</v>
      </c>
      <c r="G1169" s="83"/>
      <c r="H1169" s="84">
        <v>19.32</v>
      </c>
      <c r="I1169" s="83">
        <v>170</v>
      </c>
      <c r="J1169" s="83">
        <v>0.128</v>
      </c>
      <c r="K1169" s="87">
        <v>5.9640000000000004</v>
      </c>
      <c r="L1169" s="83">
        <v>830</v>
      </c>
      <c r="M1169" s="83">
        <v>0.3</v>
      </c>
      <c r="N1169" s="83">
        <v>1.07</v>
      </c>
      <c r="O1169" s="83">
        <v>15.14</v>
      </c>
      <c r="P1169" s="83">
        <v>10.8</v>
      </c>
      <c r="Q1169" s="83"/>
      <c r="R1169" s="86">
        <v>1.0700030701785237</v>
      </c>
      <c r="S1169" s="83">
        <v>7.4</v>
      </c>
      <c r="T1169" s="83"/>
      <c r="U1169" s="83"/>
      <c r="V1169" s="83"/>
      <c r="W1169" s="83"/>
      <c r="X1169" s="83"/>
      <c r="Y1169" s="87">
        <v>23.846153846153801</v>
      </c>
      <c r="Z1169" s="83"/>
      <c r="AA1169" s="86"/>
      <c r="AB1169" s="86"/>
      <c r="AC1169" s="83"/>
      <c r="AD1169" s="88">
        <v>560</v>
      </c>
      <c r="AE1169" s="88">
        <v>200</v>
      </c>
      <c r="AF1169" s="88">
        <f t="shared" si="49"/>
        <v>240</v>
      </c>
      <c r="AG1169" s="66">
        <f t="shared" si="50"/>
        <v>88.536541935484053</v>
      </c>
      <c r="AH1169" s="143">
        <f t="shared" si="51"/>
        <v>1000</v>
      </c>
    </row>
    <row r="1170" spans="1:34" s="90" customFormat="1" x14ac:dyDescent="0.3">
      <c r="A1170" s="84">
        <v>903190</v>
      </c>
      <c r="B1170" s="87">
        <v>0.3</v>
      </c>
      <c r="C1170" s="87"/>
      <c r="D1170" s="86">
        <v>7.8380952380952378</v>
      </c>
      <c r="E1170" s="99">
        <v>0.09</v>
      </c>
      <c r="F1170" s="87">
        <v>21.150000000000002</v>
      </c>
      <c r="G1170" s="83"/>
      <c r="H1170" s="84">
        <v>82.91</v>
      </c>
      <c r="I1170" s="83">
        <v>60</v>
      </c>
      <c r="J1170" s="83">
        <v>4.9000000000000002E-2</v>
      </c>
      <c r="K1170" s="87">
        <v>1.85</v>
      </c>
      <c r="L1170" s="83">
        <v>220</v>
      </c>
      <c r="M1170" s="83">
        <v>1.05</v>
      </c>
      <c r="N1170" s="83">
        <v>1.35</v>
      </c>
      <c r="O1170" s="83">
        <v>3.1</v>
      </c>
      <c r="P1170" s="83">
        <v>5.44</v>
      </c>
      <c r="Q1170" s="83"/>
      <c r="R1170" s="86">
        <v>0.3100699373746561</v>
      </c>
      <c r="S1170" s="83">
        <v>2.2999999999999998</v>
      </c>
      <c r="T1170" s="83"/>
      <c r="U1170" s="83"/>
      <c r="V1170" s="83"/>
      <c r="W1170" s="83"/>
      <c r="X1170" s="83"/>
      <c r="Y1170" s="83">
        <v>4.8</v>
      </c>
      <c r="Z1170" s="83"/>
      <c r="AA1170" s="86"/>
      <c r="AB1170" s="86"/>
      <c r="AC1170" s="83"/>
      <c r="AD1170" s="88">
        <v>80</v>
      </c>
      <c r="AE1170" s="88">
        <v>80</v>
      </c>
      <c r="AF1170" s="88">
        <f t="shared" si="49"/>
        <v>840</v>
      </c>
      <c r="AG1170" s="66">
        <f t="shared" si="50"/>
        <v>136.43750000000003</v>
      </c>
      <c r="AH1170" s="143">
        <f t="shared" si="51"/>
        <v>1000</v>
      </c>
    </row>
    <row r="1171" spans="1:34" s="90" customFormat="1" x14ac:dyDescent="0.3">
      <c r="A1171" s="84">
        <v>903191</v>
      </c>
      <c r="B1171" s="87">
        <v>2.4166666666666661</v>
      </c>
      <c r="C1171" s="87"/>
      <c r="D1171" s="86">
        <v>8.3809523809523814</v>
      </c>
      <c r="E1171" s="99">
        <v>0.13</v>
      </c>
      <c r="F1171" s="87">
        <v>26.85</v>
      </c>
      <c r="G1171" s="83"/>
      <c r="H1171" s="84">
        <v>45.68</v>
      </c>
      <c r="I1171" s="83">
        <v>40</v>
      </c>
      <c r="J1171" s="83">
        <v>2.8000000000000001E-2</v>
      </c>
      <c r="K1171" s="87">
        <v>5.96</v>
      </c>
      <c r="L1171" s="83">
        <v>240</v>
      </c>
      <c r="M1171" s="83">
        <v>0.3</v>
      </c>
      <c r="N1171" s="83">
        <v>0.47</v>
      </c>
      <c r="O1171" s="83">
        <v>1.9</v>
      </c>
      <c r="P1171" s="83">
        <v>3.51</v>
      </c>
      <c r="Q1171" s="83"/>
      <c r="R1171" s="86">
        <v>0.18702946374410559</v>
      </c>
      <c r="S1171" s="83">
        <v>1.3</v>
      </c>
      <c r="T1171" s="83"/>
      <c r="U1171" s="83"/>
      <c r="V1171" s="83"/>
      <c r="W1171" s="83"/>
      <c r="X1171" s="83"/>
      <c r="Y1171" s="83">
        <v>7.1999999999999993</v>
      </c>
      <c r="Z1171" s="83"/>
      <c r="AA1171" s="86"/>
      <c r="AB1171" s="86"/>
      <c r="AC1171" s="83"/>
      <c r="AD1171" s="88">
        <v>120</v>
      </c>
      <c r="AE1171" s="88">
        <v>80</v>
      </c>
      <c r="AF1171" s="88">
        <f t="shared" si="49"/>
        <v>800</v>
      </c>
      <c r="AG1171" s="66">
        <f t="shared" si="50"/>
        <v>293.03333333333336</v>
      </c>
      <c r="AH1171" s="143">
        <f t="shared" si="51"/>
        <v>1000</v>
      </c>
    </row>
    <row r="1172" spans="1:34" s="90" customFormat="1" x14ac:dyDescent="0.3">
      <c r="A1172" s="84">
        <v>903192</v>
      </c>
      <c r="B1172" s="87">
        <v>0.49999999999999994</v>
      </c>
      <c r="C1172" s="87"/>
      <c r="D1172" s="86">
        <v>8.4857142857142858</v>
      </c>
      <c r="E1172" s="99">
        <v>0.25</v>
      </c>
      <c r="F1172" s="87">
        <v>166.35000000000002</v>
      </c>
      <c r="G1172" s="83"/>
      <c r="H1172" s="84">
        <v>100.94</v>
      </c>
      <c r="I1172" s="83">
        <v>40</v>
      </c>
      <c r="J1172" s="83">
        <v>0.216</v>
      </c>
      <c r="K1172" s="87">
        <v>2.57</v>
      </c>
      <c r="L1172" s="83">
        <v>380</v>
      </c>
      <c r="M1172" s="83">
        <v>1.91</v>
      </c>
      <c r="N1172" s="83">
        <v>1.39</v>
      </c>
      <c r="O1172" s="83">
        <v>1.34</v>
      </c>
      <c r="P1172" s="83">
        <v>5.04</v>
      </c>
      <c r="Q1172" s="83"/>
      <c r="R1172" s="86">
        <v>0.84226122772060741</v>
      </c>
      <c r="S1172" s="83">
        <v>6.1</v>
      </c>
      <c r="T1172" s="83"/>
      <c r="U1172" s="83"/>
      <c r="V1172" s="83"/>
      <c r="W1172" s="83"/>
      <c r="X1172" s="83"/>
      <c r="Y1172" s="83">
        <v>4.8</v>
      </c>
      <c r="Z1172" s="83"/>
      <c r="AA1172" s="86"/>
      <c r="AB1172" s="86"/>
      <c r="AC1172" s="83"/>
      <c r="AD1172" s="88">
        <v>80</v>
      </c>
      <c r="AE1172" s="88">
        <v>60</v>
      </c>
      <c r="AF1172" s="88">
        <f t="shared" si="49"/>
        <v>860</v>
      </c>
      <c r="AG1172" s="66">
        <f t="shared" si="50"/>
        <v>189.53749999999999</v>
      </c>
      <c r="AH1172" s="143">
        <f t="shared" si="51"/>
        <v>1000</v>
      </c>
    </row>
    <row r="1173" spans="1:34" s="90" customFormat="1" x14ac:dyDescent="0.3">
      <c r="A1173" s="84">
        <v>903193</v>
      </c>
      <c r="B1173" s="87">
        <v>1.6</v>
      </c>
      <c r="C1173" s="87"/>
      <c r="D1173" s="86">
        <v>8.3809523809523814</v>
      </c>
      <c r="E1173" s="99">
        <v>0.14000000000000001</v>
      </c>
      <c r="F1173" s="87">
        <v>21.8</v>
      </c>
      <c r="G1173" s="83"/>
      <c r="H1173" s="84">
        <v>146.94</v>
      </c>
      <c r="I1173" s="83">
        <v>200</v>
      </c>
      <c r="J1173" s="83">
        <v>7.6999999999999999E-2</v>
      </c>
      <c r="K1173" s="87">
        <v>5.6749999999999998</v>
      </c>
      <c r="L1173" s="83">
        <v>370</v>
      </c>
      <c r="M1173" s="83">
        <v>3.05</v>
      </c>
      <c r="N1173" s="83">
        <v>1.23</v>
      </c>
      <c r="O1173" s="83">
        <v>2.68</v>
      </c>
      <c r="P1173" s="83">
        <v>3.23</v>
      </c>
      <c r="Q1173" s="83"/>
      <c r="R1173" s="86">
        <v>1.1882842296912457</v>
      </c>
      <c r="S1173" s="83">
        <v>8.1999999999999993</v>
      </c>
      <c r="T1173" s="83"/>
      <c r="U1173" s="83"/>
      <c r="V1173" s="83"/>
      <c r="W1173" s="83"/>
      <c r="X1173" s="83"/>
      <c r="Y1173" s="83">
        <v>22.8</v>
      </c>
      <c r="Z1173" s="83"/>
      <c r="AA1173" s="86"/>
      <c r="AB1173" s="86"/>
      <c r="AC1173" s="83"/>
      <c r="AD1173" s="88">
        <v>480</v>
      </c>
      <c r="AE1173" s="88">
        <v>220</v>
      </c>
      <c r="AF1173" s="88">
        <f t="shared" si="49"/>
        <v>300</v>
      </c>
      <c r="AG1173" s="66">
        <f t="shared" si="50"/>
        <v>88.11184210526315</v>
      </c>
      <c r="AH1173" s="143">
        <f t="shared" si="51"/>
        <v>1000</v>
      </c>
    </row>
    <row r="1174" spans="1:34" s="90" customFormat="1" x14ac:dyDescent="0.3">
      <c r="A1174" s="84">
        <v>903194</v>
      </c>
      <c r="B1174" s="87">
        <v>6.041666666666667</v>
      </c>
      <c r="C1174" s="87"/>
      <c r="D1174" s="86">
        <v>8.4857142857142858</v>
      </c>
      <c r="E1174" s="99">
        <v>0.2</v>
      </c>
      <c r="F1174" s="87">
        <v>76.55</v>
      </c>
      <c r="G1174" s="83"/>
      <c r="H1174" s="84">
        <v>167.98</v>
      </c>
      <c r="I1174" s="83">
        <v>310</v>
      </c>
      <c r="J1174" s="83">
        <v>0.13100000000000001</v>
      </c>
      <c r="K1174" s="87">
        <v>5.6</v>
      </c>
      <c r="L1174" s="83">
        <v>380</v>
      </c>
      <c r="M1174" s="83">
        <v>2.62</v>
      </c>
      <c r="N1174" s="83">
        <v>2.02</v>
      </c>
      <c r="O1174" s="83">
        <v>1.58</v>
      </c>
      <c r="P1174" s="83">
        <v>2.2200000000000002</v>
      </c>
      <c r="Q1174" s="83"/>
      <c r="R1174" s="86">
        <v>1.2748025308241708</v>
      </c>
      <c r="S1174" s="83">
        <v>8.6999999999999993</v>
      </c>
      <c r="T1174" s="83"/>
      <c r="U1174" s="83"/>
      <c r="V1174" s="83"/>
      <c r="W1174" s="83"/>
      <c r="X1174" s="83"/>
      <c r="Y1174" s="83">
        <v>15.6</v>
      </c>
      <c r="Z1174" s="83"/>
      <c r="AA1174" s="86"/>
      <c r="AB1174" s="86"/>
      <c r="AC1174" s="83"/>
      <c r="AD1174" s="88">
        <v>260</v>
      </c>
      <c r="AE1174" s="88">
        <v>140</v>
      </c>
      <c r="AF1174" s="88">
        <f t="shared" si="49"/>
        <v>600</v>
      </c>
      <c r="AG1174" s="66">
        <f t="shared" si="50"/>
        <v>127.07692307692307</v>
      </c>
      <c r="AH1174" s="143">
        <f t="shared" si="51"/>
        <v>1000</v>
      </c>
    </row>
    <row r="1175" spans="1:34" s="90" customFormat="1" x14ac:dyDescent="0.3">
      <c r="A1175" s="84">
        <v>903195</v>
      </c>
      <c r="B1175" s="87">
        <v>11.666666666666666</v>
      </c>
      <c r="C1175" s="87">
        <v>10.375</v>
      </c>
      <c r="D1175" s="86">
        <v>8.295238095238096</v>
      </c>
      <c r="E1175" s="99">
        <v>0.5</v>
      </c>
      <c r="F1175" s="87">
        <v>305.35000000000002</v>
      </c>
      <c r="G1175" s="83"/>
      <c r="H1175" s="84">
        <v>230.65</v>
      </c>
      <c r="I1175" s="83">
        <v>100</v>
      </c>
      <c r="J1175" s="83">
        <v>0.49399999999999999</v>
      </c>
      <c r="K1175" s="87">
        <v>7.88</v>
      </c>
      <c r="L1175" s="83">
        <v>700</v>
      </c>
      <c r="M1175" s="86">
        <v>8.8000000000000007</v>
      </c>
      <c r="N1175" s="83">
        <v>2.57</v>
      </c>
      <c r="O1175" s="83">
        <v>2.61</v>
      </c>
      <c r="P1175" s="83">
        <v>4.33</v>
      </c>
      <c r="Q1175" s="83"/>
      <c r="R1175" s="86">
        <v>1.3354979791776262</v>
      </c>
      <c r="S1175" s="83">
        <v>9.1</v>
      </c>
      <c r="T1175" s="83"/>
      <c r="U1175" s="83"/>
      <c r="V1175" s="83"/>
      <c r="W1175" s="83"/>
      <c r="X1175" s="83"/>
      <c r="Y1175" s="83">
        <v>28.9</v>
      </c>
      <c r="Z1175" s="83"/>
      <c r="AA1175" s="86"/>
      <c r="AB1175" s="86"/>
      <c r="AC1175" s="83"/>
      <c r="AD1175" s="88">
        <v>560</v>
      </c>
      <c r="AE1175" s="88">
        <v>180</v>
      </c>
      <c r="AF1175" s="88">
        <f t="shared" si="49"/>
        <v>260</v>
      </c>
      <c r="AG1175" s="66">
        <f t="shared" si="50"/>
        <v>96.523183391003471</v>
      </c>
      <c r="AH1175" s="143">
        <f t="shared" si="51"/>
        <v>1000</v>
      </c>
    </row>
    <row r="1176" spans="1:34" s="90" customFormat="1" x14ac:dyDescent="0.3">
      <c r="A1176" s="84">
        <v>903196</v>
      </c>
      <c r="B1176" s="87">
        <v>1.9166666666666665</v>
      </c>
      <c r="C1176" s="87"/>
      <c r="D1176" s="86">
        <v>8.3333333333333321</v>
      </c>
      <c r="E1176" s="99">
        <v>0.8</v>
      </c>
      <c r="F1176" s="87">
        <v>736.75</v>
      </c>
      <c r="G1176" s="83"/>
      <c r="H1176" s="84">
        <v>72.09</v>
      </c>
      <c r="I1176" s="83">
        <v>150</v>
      </c>
      <c r="J1176" s="83">
        <v>0.92500000000000004</v>
      </c>
      <c r="K1176" s="87">
        <v>7.7</v>
      </c>
      <c r="L1176" s="83">
        <v>810</v>
      </c>
      <c r="M1176" s="86">
        <v>0.5</v>
      </c>
      <c r="N1176" s="83">
        <v>0.59</v>
      </c>
      <c r="O1176" s="83">
        <v>3.06</v>
      </c>
      <c r="P1176" s="83">
        <v>2.23</v>
      </c>
      <c r="Q1176" s="83"/>
      <c r="R1176" s="86">
        <v>1.1371028414476487</v>
      </c>
      <c r="S1176" s="83">
        <v>7.7</v>
      </c>
      <c r="T1176" s="83"/>
      <c r="U1176" s="83"/>
      <c r="V1176" s="83"/>
      <c r="W1176" s="83"/>
      <c r="X1176" s="83"/>
      <c r="Y1176" s="83">
        <v>27.7</v>
      </c>
      <c r="Z1176" s="83"/>
      <c r="AA1176" s="86"/>
      <c r="AB1176" s="86"/>
      <c r="AC1176" s="83"/>
      <c r="AD1176" s="88">
        <v>640</v>
      </c>
      <c r="AE1176" s="88">
        <v>200</v>
      </c>
      <c r="AF1176" s="88">
        <f t="shared" si="49"/>
        <v>160</v>
      </c>
      <c r="AG1176" s="66">
        <f t="shared" si="50"/>
        <v>98.404332129963905</v>
      </c>
      <c r="AH1176" s="143">
        <f t="shared" si="51"/>
        <v>1000</v>
      </c>
    </row>
    <row r="1177" spans="1:34" s="90" customFormat="1" x14ac:dyDescent="0.3">
      <c r="A1177" s="84">
        <v>903197</v>
      </c>
      <c r="B1177" s="87">
        <v>32.333333333333329</v>
      </c>
      <c r="C1177" s="87">
        <v>12.25</v>
      </c>
      <c r="D1177" s="86">
        <v>8.2476190476190467</v>
      </c>
      <c r="E1177" s="99">
        <v>2.77</v>
      </c>
      <c r="F1177" s="87">
        <v>431.85</v>
      </c>
      <c r="G1177" s="83"/>
      <c r="H1177" s="84">
        <v>23.62</v>
      </c>
      <c r="I1177" s="83">
        <v>180</v>
      </c>
      <c r="J1177" s="83">
        <v>1.077</v>
      </c>
      <c r="K1177" s="87">
        <v>13.8</v>
      </c>
      <c r="L1177" s="83">
        <v>1510</v>
      </c>
      <c r="M1177" s="86">
        <v>0.31</v>
      </c>
      <c r="N1177" s="83">
        <v>0.51</v>
      </c>
      <c r="O1177" s="83">
        <v>4.16</v>
      </c>
      <c r="P1177" s="83">
        <v>1.89</v>
      </c>
      <c r="Q1177" s="83"/>
      <c r="R1177" s="86">
        <v>0.89209184932154084</v>
      </c>
      <c r="S1177" s="83">
        <v>5.8</v>
      </c>
      <c r="T1177" s="83"/>
      <c r="U1177" s="83"/>
      <c r="V1177" s="83"/>
      <c r="W1177" s="83"/>
      <c r="X1177" s="83"/>
      <c r="Y1177" s="83">
        <v>33.6</v>
      </c>
      <c r="Z1177" s="83"/>
      <c r="AA1177" s="86"/>
      <c r="AB1177" s="86"/>
      <c r="AC1177" s="83"/>
      <c r="AD1177" s="88">
        <v>560</v>
      </c>
      <c r="AE1177" s="88">
        <v>180</v>
      </c>
      <c r="AF1177" s="88">
        <f t="shared" si="49"/>
        <v>260</v>
      </c>
      <c r="AG1177" s="66">
        <f t="shared" si="50"/>
        <v>145.39285714285717</v>
      </c>
      <c r="AH1177" s="143">
        <f t="shared" si="51"/>
        <v>1000</v>
      </c>
    </row>
    <row r="1178" spans="1:34" s="90" customFormat="1" x14ac:dyDescent="0.3">
      <c r="A1178" s="84">
        <v>903198</v>
      </c>
      <c r="B1178" s="87">
        <v>31.833333333333329</v>
      </c>
      <c r="C1178" s="87">
        <v>12.875</v>
      </c>
      <c r="D1178" s="86">
        <v>8.2571428571428562</v>
      </c>
      <c r="E1178" s="99">
        <v>2.56</v>
      </c>
      <c r="F1178" s="87">
        <v>203.4</v>
      </c>
      <c r="G1178" s="83"/>
      <c r="H1178" s="84">
        <v>27.2</v>
      </c>
      <c r="I1178" s="83">
        <v>230</v>
      </c>
      <c r="J1178" s="83">
        <v>0.92600000000000005</v>
      </c>
      <c r="K1178" s="87">
        <v>14.11</v>
      </c>
      <c r="L1178" s="83">
        <v>1490</v>
      </c>
      <c r="M1178" s="86">
        <v>0.32</v>
      </c>
      <c r="N1178" s="83">
        <v>0.45</v>
      </c>
      <c r="O1178" s="83">
        <v>8.76</v>
      </c>
      <c r="P1178" s="83">
        <v>1.78</v>
      </c>
      <c r="Q1178" s="83"/>
      <c r="R1178" s="86">
        <v>1.382244953376955</v>
      </c>
      <c r="S1178" s="83">
        <v>9.1999999999999993</v>
      </c>
      <c r="T1178" s="83"/>
      <c r="U1178" s="83"/>
      <c r="V1178" s="83"/>
      <c r="W1178" s="83"/>
      <c r="X1178" s="83"/>
      <c r="Y1178" s="83">
        <v>31.2</v>
      </c>
      <c r="Z1178" s="83"/>
      <c r="AA1178" s="86"/>
      <c r="AB1178" s="86"/>
      <c r="AC1178" s="83"/>
      <c r="AD1178" s="88">
        <v>520</v>
      </c>
      <c r="AE1178" s="88">
        <v>200</v>
      </c>
      <c r="AF1178" s="88">
        <f t="shared" si="49"/>
        <v>280</v>
      </c>
      <c r="AG1178" s="66">
        <f t="shared" si="50"/>
        <v>160.09423076923076</v>
      </c>
      <c r="AH1178" s="143">
        <f t="shared" si="51"/>
        <v>1000</v>
      </c>
    </row>
    <row r="1179" spans="1:34" s="90" customFormat="1" x14ac:dyDescent="0.3">
      <c r="A1179" s="84">
        <v>903199</v>
      </c>
      <c r="B1179" s="87">
        <v>21.166666666666664</v>
      </c>
      <c r="C1179" s="87">
        <v>6.75</v>
      </c>
      <c r="D1179" s="86">
        <v>8.21904761904762</v>
      </c>
      <c r="E1179" s="99">
        <v>2.8</v>
      </c>
      <c r="F1179" s="87">
        <v>213.9</v>
      </c>
      <c r="G1179" s="83"/>
      <c r="H1179" s="84">
        <v>24.72</v>
      </c>
      <c r="I1179" s="83">
        <v>230</v>
      </c>
      <c r="J1179" s="83">
        <v>0.92200000000000004</v>
      </c>
      <c r="K1179" s="87">
        <v>15.68</v>
      </c>
      <c r="L1179" s="83">
        <v>1540</v>
      </c>
      <c r="M1179" s="86">
        <v>0.37</v>
      </c>
      <c r="N1179" s="83">
        <v>0.64</v>
      </c>
      <c r="O1179" s="83">
        <v>5.49</v>
      </c>
      <c r="P1179" s="83">
        <v>1.98</v>
      </c>
      <c r="Q1179" s="83"/>
      <c r="R1179" s="86">
        <v>1.0991262540936846</v>
      </c>
      <c r="S1179" s="83">
        <v>8</v>
      </c>
      <c r="T1179" s="83"/>
      <c r="U1179" s="83"/>
      <c r="V1179" s="83"/>
      <c r="W1179" s="83"/>
      <c r="X1179" s="83"/>
      <c r="Y1179" s="83">
        <v>32.4</v>
      </c>
      <c r="Z1179" s="83"/>
      <c r="AA1179" s="86"/>
      <c r="AB1179" s="86"/>
      <c r="AC1179" s="83"/>
      <c r="AD1179" s="88">
        <v>540</v>
      </c>
      <c r="AE1179" s="88">
        <v>200</v>
      </c>
      <c r="AF1179" s="88">
        <f t="shared" si="49"/>
        <v>260</v>
      </c>
      <c r="AG1179" s="66">
        <f t="shared" si="50"/>
        <v>171.31851851851852</v>
      </c>
      <c r="AH1179" s="143">
        <f t="shared" si="51"/>
        <v>1000</v>
      </c>
    </row>
    <row r="1180" spans="1:34" s="90" customFormat="1" x14ac:dyDescent="0.3">
      <c r="A1180" s="84">
        <v>903200</v>
      </c>
      <c r="B1180" s="87">
        <v>21</v>
      </c>
      <c r="C1180" s="87">
        <v>7.375</v>
      </c>
      <c r="D1180" s="86">
        <v>8.1714285714285708</v>
      </c>
      <c r="E1180" s="99">
        <v>2.4700000000000002</v>
      </c>
      <c r="F1180" s="87">
        <v>132.75</v>
      </c>
      <c r="G1180" s="83"/>
      <c r="H1180" s="84">
        <v>21.1</v>
      </c>
      <c r="I1180" s="83">
        <v>230</v>
      </c>
      <c r="J1180" s="83">
        <v>0.57299999999999995</v>
      </c>
      <c r="K1180" s="87">
        <v>16.16</v>
      </c>
      <c r="L1180" s="83">
        <v>1050</v>
      </c>
      <c r="M1180" s="86">
        <v>0.17</v>
      </c>
      <c r="N1180" s="83">
        <v>0.42</v>
      </c>
      <c r="O1180" s="83">
        <v>3.29</v>
      </c>
      <c r="P1180" s="83">
        <v>1.1299999999999999</v>
      </c>
      <c r="Q1180" s="83"/>
      <c r="R1180" s="86">
        <v>0.90373593623942217</v>
      </c>
      <c r="S1180" s="83">
        <v>6.6</v>
      </c>
      <c r="T1180" s="83"/>
      <c r="U1180" s="83"/>
      <c r="V1180" s="83"/>
      <c r="W1180" s="83"/>
      <c r="X1180" s="83"/>
      <c r="Y1180" s="83">
        <v>32.4</v>
      </c>
      <c r="Z1180" s="83"/>
      <c r="AA1180" s="86"/>
      <c r="AB1180" s="86"/>
      <c r="AC1180" s="83"/>
      <c r="AD1180" s="88">
        <v>540</v>
      </c>
      <c r="AE1180" s="88">
        <v>200</v>
      </c>
      <c r="AF1180" s="88">
        <f t="shared" si="49"/>
        <v>260</v>
      </c>
      <c r="AG1180" s="66">
        <f t="shared" si="50"/>
        <v>176.56296296296298</v>
      </c>
      <c r="AH1180" s="143">
        <f t="shared" si="51"/>
        <v>1000</v>
      </c>
    </row>
    <row r="1181" spans="1:34" s="90" customFormat="1" x14ac:dyDescent="0.3">
      <c r="A1181" s="84">
        <v>903201</v>
      </c>
      <c r="B1181" s="87">
        <v>22.499999999999996</v>
      </c>
      <c r="C1181" s="87">
        <v>6.3750000000000018</v>
      </c>
      <c r="D1181" s="86">
        <v>8.3333333333333321</v>
      </c>
      <c r="E1181" s="99">
        <v>2.79</v>
      </c>
      <c r="F1181" s="87">
        <v>144.14999999999998</v>
      </c>
      <c r="G1181" s="83"/>
      <c r="H1181" s="84">
        <v>20.53</v>
      </c>
      <c r="I1181" s="83">
        <v>200</v>
      </c>
      <c r="J1181" s="83">
        <v>0.876</v>
      </c>
      <c r="K1181" s="87">
        <v>24.07</v>
      </c>
      <c r="L1181" s="83">
        <v>1740</v>
      </c>
      <c r="M1181" s="86">
        <v>0.26</v>
      </c>
      <c r="N1181" s="83">
        <v>0.55000000000000004</v>
      </c>
      <c r="O1181" s="83">
        <v>6.11</v>
      </c>
      <c r="P1181" s="83">
        <v>2.13</v>
      </c>
      <c r="Q1181" s="83"/>
      <c r="R1181" s="86">
        <v>1.1515848598686587</v>
      </c>
      <c r="S1181" s="83">
        <v>8.1999999999999993</v>
      </c>
      <c r="T1181" s="83"/>
      <c r="U1181" s="83"/>
      <c r="V1181" s="83"/>
      <c r="W1181" s="83"/>
      <c r="X1181" s="83"/>
      <c r="Y1181" s="83">
        <v>33.6</v>
      </c>
      <c r="Z1181" s="83"/>
      <c r="AA1181" s="86"/>
      <c r="AB1181" s="86"/>
      <c r="AC1181" s="83"/>
      <c r="AD1181" s="88">
        <v>560</v>
      </c>
      <c r="AE1181" s="88">
        <v>180</v>
      </c>
      <c r="AF1181" s="88">
        <f t="shared" si="49"/>
        <v>260</v>
      </c>
      <c r="AG1181" s="66">
        <f t="shared" si="50"/>
        <v>253.59464285714287</v>
      </c>
      <c r="AH1181" s="143">
        <f t="shared" si="51"/>
        <v>1000</v>
      </c>
    </row>
    <row r="1182" spans="1:34" s="90" customFormat="1" x14ac:dyDescent="0.3">
      <c r="A1182" s="84">
        <v>903202</v>
      </c>
      <c r="B1182" s="87">
        <v>41.166666666666671</v>
      </c>
      <c r="C1182" s="87">
        <v>15</v>
      </c>
      <c r="D1182" s="86">
        <v>8.2380952380952372</v>
      </c>
      <c r="E1182" s="99">
        <v>3.02</v>
      </c>
      <c r="F1182" s="87">
        <v>356.15000000000003</v>
      </c>
      <c r="G1182" s="83"/>
      <c r="H1182" s="84">
        <v>11.6</v>
      </c>
      <c r="I1182" s="83">
        <v>200</v>
      </c>
      <c r="J1182" s="83">
        <v>1.0720000000000001</v>
      </c>
      <c r="K1182" s="87">
        <v>15.13</v>
      </c>
      <c r="L1182" s="83">
        <v>1560</v>
      </c>
      <c r="M1182" s="86">
        <v>0.15</v>
      </c>
      <c r="N1182" s="83">
        <v>0.44</v>
      </c>
      <c r="O1182" s="83">
        <v>8.1300000000000008</v>
      </c>
      <c r="P1182" s="83">
        <v>1.68</v>
      </c>
      <c r="Q1182" s="83"/>
      <c r="R1182" s="86">
        <v>1.4197398360966023</v>
      </c>
      <c r="S1182" s="83">
        <v>9.6999999999999993</v>
      </c>
      <c r="T1182" s="83"/>
      <c r="U1182" s="83"/>
      <c r="V1182" s="83"/>
      <c r="W1182" s="83"/>
      <c r="X1182" s="83"/>
      <c r="Y1182" s="83">
        <v>31.2</v>
      </c>
      <c r="Z1182" s="83"/>
      <c r="AA1182" s="86"/>
      <c r="AB1182" s="86"/>
      <c r="AC1182" s="83"/>
      <c r="AD1182" s="88">
        <v>520</v>
      </c>
      <c r="AE1182" s="88">
        <v>200</v>
      </c>
      <c r="AF1182" s="88">
        <f t="shared" si="49"/>
        <v>280</v>
      </c>
      <c r="AG1182" s="66">
        <f t="shared" si="50"/>
        <v>171.6673076923077</v>
      </c>
      <c r="AH1182" s="143">
        <f t="shared" si="51"/>
        <v>1000</v>
      </c>
    </row>
    <row r="1183" spans="1:34" s="90" customFormat="1" x14ac:dyDescent="0.3">
      <c r="A1183" s="84">
        <v>903203</v>
      </c>
      <c r="B1183" s="87">
        <v>29.666666666666668</v>
      </c>
      <c r="C1183" s="87">
        <v>7.5</v>
      </c>
      <c r="D1183" s="86">
        <v>8.5238095238095219</v>
      </c>
      <c r="E1183" s="99">
        <v>0.28000000000000003</v>
      </c>
      <c r="F1183" s="87">
        <v>43.3</v>
      </c>
      <c r="G1183" s="83"/>
      <c r="H1183" s="84">
        <v>137.06</v>
      </c>
      <c r="I1183" s="83">
        <v>160</v>
      </c>
      <c r="J1183" s="83">
        <v>6.9000000000000006E-2</v>
      </c>
      <c r="K1183" s="87">
        <v>13.99</v>
      </c>
      <c r="L1183" s="83">
        <v>1730</v>
      </c>
      <c r="M1183" s="86">
        <v>1.23</v>
      </c>
      <c r="N1183" s="83">
        <v>0.68</v>
      </c>
      <c r="O1183" s="83">
        <v>1.54</v>
      </c>
      <c r="P1183" s="83">
        <v>2.48</v>
      </c>
      <c r="Q1183" s="83"/>
      <c r="R1183" s="86">
        <v>1.7902970000000002</v>
      </c>
      <c r="S1183" s="83">
        <v>16.3</v>
      </c>
      <c r="T1183" s="83"/>
      <c r="U1183" s="83"/>
      <c r="V1183" s="83"/>
      <c r="W1183" s="83"/>
      <c r="X1183" s="83"/>
      <c r="Y1183" s="83">
        <v>38.4</v>
      </c>
      <c r="Z1183" s="83"/>
      <c r="AA1183" s="86"/>
      <c r="AB1183" s="86"/>
      <c r="AC1183" s="83"/>
      <c r="AD1183" s="88">
        <v>640</v>
      </c>
      <c r="AE1183" s="88">
        <v>240</v>
      </c>
      <c r="AF1183" s="88">
        <f t="shared" si="49"/>
        <v>120</v>
      </c>
      <c r="AG1183" s="66">
        <f t="shared" si="50"/>
        <v>128.97031250000001</v>
      </c>
      <c r="AH1183" s="143">
        <f t="shared" si="51"/>
        <v>1000</v>
      </c>
    </row>
    <row r="1184" spans="1:34" s="90" customFormat="1" x14ac:dyDescent="0.3">
      <c r="A1184" s="84">
        <v>903204</v>
      </c>
      <c r="B1184" s="87">
        <v>23.333333333333332</v>
      </c>
      <c r="C1184" s="87">
        <v>5.3750000000000009</v>
      </c>
      <c r="D1184" s="86">
        <v>8.6666666666666661</v>
      </c>
      <c r="E1184" s="99">
        <v>0.25</v>
      </c>
      <c r="F1184" s="87">
        <v>58.5</v>
      </c>
      <c r="G1184" s="83"/>
      <c r="H1184" s="84">
        <v>74.760000000000005</v>
      </c>
      <c r="I1184" s="83">
        <v>150</v>
      </c>
      <c r="J1184" s="83">
        <v>0.125</v>
      </c>
      <c r="K1184" s="87">
        <v>8.3699999999999992</v>
      </c>
      <c r="L1184" s="83">
        <v>2050</v>
      </c>
      <c r="M1184" s="86">
        <v>0.87</v>
      </c>
      <c r="N1184" s="83">
        <v>0.82</v>
      </c>
      <c r="O1184" s="83">
        <v>9.3000000000000007</v>
      </c>
      <c r="P1184" s="83">
        <v>2.58</v>
      </c>
      <c r="Q1184" s="83"/>
      <c r="R1184" s="86">
        <v>1.610012</v>
      </c>
      <c r="S1184" s="83">
        <v>11.2</v>
      </c>
      <c r="T1184" s="83"/>
      <c r="U1184" s="83"/>
      <c r="V1184" s="83"/>
      <c r="W1184" s="83"/>
      <c r="X1184" s="83"/>
      <c r="Y1184" s="83">
        <v>26.3</v>
      </c>
      <c r="Z1184" s="83"/>
      <c r="AA1184" s="86"/>
      <c r="AB1184" s="86"/>
      <c r="AC1184" s="83"/>
      <c r="AD1184" s="88">
        <v>600</v>
      </c>
      <c r="AE1184" s="88">
        <v>260</v>
      </c>
      <c r="AF1184" s="88">
        <f t="shared" si="49"/>
        <v>140</v>
      </c>
      <c r="AG1184" s="66">
        <f t="shared" si="50"/>
        <v>112.66083650190112</v>
      </c>
      <c r="AH1184" s="143">
        <f t="shared" si="51"/>
        <v>1000</v>
      </c>
    </row>
    <row r="1185" spans="1:34" s="90" customFormat="1" x14ac:dyDescent="0.3">
      <c r="A1185" s="84">
        <v>903205</v>
      </c>
      <c r="B1185" s="87">
        <v>41.166666666666671</v>
      </c>
      <c r="C1185" s="87">
        <v>15.5</v>
      </c>
      <c r="D1185" s="86">
        <v>8.7142857142857135</v>
      </c>
      <c r="E1185" s="99">
        <v>0.22</v>
      </c>
      <c r="F1185" s="87">
        <v>52.5</v>
      </c>
      <c r="G1185" s="83"/>
      <c r="H1185" s="84">
        <v>412.18</v>
      </c>
      <c r="I1185" s="83">
        <v>370</v>
      </c>
      <c r="J1185" s="83">
        <v>0.11</v>
      </c>
      <c r="K1185" s="87">
        <v>7.39</v>
      </c>
      <c r="L1185" s="83">
        <v>1980</v>
      </c>
      <c r="M1185" s="86">
        <v>1.92</v>
      </c>
      <c r="N1185" s="83">
        <v>0.86</v>
      </c>
      <c r="O1185" s="83">
        <v>9.75</v>
      </c>
      <c r="P1185" s="83">
        <v>3.17</v>
      </c>
      <c r="Q1185" s="83"/>
      <c r="R1185" s="86">
        <v>1.8765719999999999</v>
      </c>
      <c r="S1185" s="83">
        <v>19.2</v>
      </c>
      <c r="T1185" s="83"/>
      <c r="U1185" s="83"/>
      <c r="V1185" s="83"/>
      <c r="W1185" s="83"/>
      <c r="X1185" s="83"/>
      <c r="Y1185" s="83">
        <v>27.5</v>
      </c>
      <c r="Z1185" s="83"/>
      <c r="AA1185" s="86"/>
      <c r="AB1185" s="86"/>
      <c r="AC1185" s="83"/>
      <c r="AD1185" s="88">
        <v>620</v>
      </c>
      <c r="AE1185" s="88">
        <v>240</v>
      </c>
      <c r="AF1185" s="88">
        <f t="shared" si="49"/>
        <v>140</v>
      </c>
      <c r="AG1185" s="66">
        <f t="shared" si="50"/>
        <v>95.12945454545455</v>
      </c>
      <c r="AH1185" s="143">
        <f t="shared" si="51"/>
        <v>1000</v>
      </c>
    </row>
    <row r="1186" spans="1:34" s="90" customFormat="1" x14ac:dyDescent="0.3">
      <c r="A1186" s="84">
        <v>903206</v>
      </c>
      <c r="B1186" s="87">
        <v>32.166666666666664</v>
      </c>
      <c r="C1186" s="87">
        <v>12.625000000000002</v>
      </c>
      <c r="D1186" s="86">
        <v>8.6095238095238091</v>
      </c>
      <c r="E1186" s="99">
        <v>0.35</v>
      </c>
      <c r="F1186" s="87">
        <v>147.6</v>
      </c>
      <c r="G1186" s="83"/>
      <c r="H1186" s="84">
        <v>143.47999999999999</v>
      </c>
      <c r="I1186" s="83">
        <v>210</v>
      </c>
      <c r="J1186" s="83">
        <v>0.152</v>
      </c>
      <c r="K1186" s="87">
        <v>8.17</v>
      </c>
      <c r="L1186" s="83">
        <v>1920</v>
      </c>
      <c r="M1186" s="86">
        <v>1.4</v>
      </c>
      <c r="N1186" s="83">
        <v>3.64</v>
      </c>
      <c r="O1186" s="83">
        <v>10.8</v>
      </c>
      <c r="P1186" s="83">
        <v>2.99</v>
      </c>
      <c r="Q1186" s="83"/>
      <c r="R1186" s="86">
        <v>1.8681930000000002</v>
      </c>
      <c r="S1186" s="83">
        <v>18.899999999999999</v>
      </c>
      <c r="T1186" s="83"/>
      <c r="U1186" s="83"/>
      <c r="V1186" s="83"/>
      <c r="W1186" s="83"/>
      <c r="X1186" s="83"/>
      <c r="Y1186" s="83">
        <v>28</v>
      </c>
      <c r="Z1186" s="83"/>
      <c r="AA1186" s="86"/>
      <c r="AB1186" s="86"/>
      <c r="AC1186" s="83"/>
      <c r="AD1186" s="88">
        <v>640</v>
      </c>
      <c r="AE1186" s="88">
        <v>220</v>
      </c>
      <c r="AF1186" s="88">
        <f t="shared" si="49"/>
        <v>140</v>
      </c>
      <c r="AG1186" s="66">
        <f t="shared" si="50"/>
        <v>103.29214285714286</v>
      </c>
      <c r="AH1186" s="143">
        <f t="shared" si="51"/>
        <v>1000</v>
      </c>
    </row>
    <row r="1187" spans="1:34" s="90" customFormat="1" x14ac:dyDescent="0.3">
      <c r="A1187" s="84">
        <v>903207</v>
      </c>
      <c r="B1187" s="87">
        <v>40.333333333333329</v>
      </c>
      <c r="C1187" s="87">
        <v>15.125000000000002</v>
      </c>
      <c r="D1187" s="86">
        <v>8.9047619047619033</v>
      </c>
      <c r="E1187" s="99">
        <v>0.23</v>
      </c>
      <c r="F1187" s="87">
        <v>45.9</v>
      </c>
      <c r="G1187" s="83"/>
      <c r="H1187" s="84">
        <v>14.5</v>
      </c>
      <c r="I1187" s="83">
        <v>90</v>
      </c>
      <c r="J1187" s="83">
        <v>0.23599999999999999</v>
      </c>
      <c r="K1187" s="87">
        <v>7.94</v>
      </c>
      <c r="L1187" s="83">
        <v>1630</v>
      </c>
      <c r="M1187" s="86">
        <v>0.18</v>
      </c>
      <c r="N1187" s="83">
        <v>0.49</v>
      </c>
      <c r="O1187" s="83">
        <v>8.0500000000000007</v>
      </c>
      <c r="P1187" s="83">
        <v>1.89</v>
      </c>
      <c r="Q1187" s="83"/>
      <c r="R1187" s="86">
        <v>0.8702275244392973</v>
      </c>
      <c r="S1187" s="83">
        <v>5.7</v>
      </c>
      <c r="T1187" s="83"/>
      <c r="U1187" s="83"/>
      <c r="V1187" s="83"/>
      <c r="W1187" s="83"/>
      <c r="X1187" s="83"/>
      <c r="Y1187" s="83">
        <v>27.9</v>
      </c>
      <c r="Z1187" s="83"/>
      <c r="AA1187" s="86"/>
      <c r="AB1187" s="86"/>
      <c r="AC1187" s="83"/>
      <c r="AD1187" s="88">
        <v>640</v>
      </c>
      <c r="AE1187" s="88">
        <v>200</v>
      </c>
      <c r="AF1187" s="88">
        <f t="shared" si="49"/>
        <v>160</v>
      </c>
      <c r="AG1187" s="66">
        <f t="shared" si="50"/>
        <v>100.7440860215054</v>
      </c>
      <c r="AH1187" s="143">
        <f t="shared" si="51"/>
        <v>1000</v>
      </c>
    </row>
    <row r="1188" spans="1:34" s="90" customFormat="1" x14ac:dyDescent="0.3">
      <c r="A1188" s="84">
        <v>903208</v>
      </c>
      <c r="B1188" s="87">
        <v>0.26666666666666666</v>
      </c>
      <c r="C1188" s="87"/>
      <c r="D1188" s="86">
        <v>6.9714285714285715</v>
      </c>
      <c r="E1188" s="99">
        <v>5.6000000000000001E-2</v>
      </c>
      <c r="F1188" s="87">
        <v>54.85</v>
      </c>
      <c r="G1188" s="83"/>
      <c r="H1188" s="84">
        <v>80.989999999999995</v>
      </c>
      <c r="I1188" s="83">
        <v>40</v>
      </c>
      <c r="J1188" s="83">
        <v>1.7000000000000001E-2</v>
      </c>
      <c r="K1188" s="87">
        <v>0.87</v>
      </c>
      <c r="L1188" s="83">
        <v>40</v>
      </c>
      <c r="M1188" s="86">
        <v>0.31</v>
      </c>
      <c r="N1188" s="83">
        <v>0.34</v>
      </c>
      <c r="O1188" s="83">
        <v>2.96</v>
      </c>
      <c r="P1188" s="83">
        <v>6.2</v>
      </c>
      <c r="Q1188" s="83"/>
      <c r="R1188" s="86">
        <v>0.7523303594138534</v>
      </c>
      <c r="S1188" s="83">
        <v>5.2</v>
      </c>
      <c r="T1188" s="83"/>
      <c r="U1188" s="83"/>
      <c r="V1188" s="83"/>
      <c r="W1188" s="83"/>
      <c r="X1188" s="83"/>
      <c r="Y1188" s="83">
        <v>3</v>
      </c>
      <c r="Z1188" s="83"/>
      <c r="AA1188" s="86"/>
      <c r="AB1188" s="86"/>
      <c r="AC1188" s="83"/>
      <c r="AD1188" s="88">
        <v>60</v>
      </c>
      <c r="AE1188" s="88">
        <v>60</v>
      </c>
      <c r="AF1188" s="88">
        <f t="shared" si="49"/>
        <v>880</v>
      </c>
      <c r="AG1188" s="66">
        <f t="shared" si="50"/>
        <v>102.66000000000001</v>
      </c>
      <c r="AH1188" s="143">
        <f t="shared" si="51"/>
        <v>1000</v>
      </c>
    </row>
    <row r="1189" spans="1:34" s="90" customFormat="1" x14ac:dyDescent="0.3">
      <c r="A1189" s="84">
        <v>903209</v>
      </c>
      <c r="B1189" s="87">
        <v>0.70000000000000007</v>
      </c>
      <c r="C1189" s="87"/>
      <c r="D1189" s="86">
        <v>7.2761904761904752</v>
      </c>
      <c r="E1189" s="99">
        <v>0.11899999999999999</v>
      </c>
      <c r="F1189" s="87">
        <v>60.35</v>
      </c>
      <c r="G1189" s="83"/>
      <c r="H1189" s="84">
        <v>132.22</v>
      </c>
      <c r="I1189" s="83">
        <v>110</v>
      </c>
      <c r="J1189" s="83">
        <v>3.1E-2</v>
      </c>
      <c r="K1189" s="87">
        <v>2.37</v>
      </c>
      <c r="L1189" s="83">
        <v>90</v>
      </c>
      <c r="M1189" s="86">
        <v>0.87</v>
      </c>
      <c r="N1189" s="83">
        <v>0.33</v>
      </c>
      <c r="O1189" s="83">
        <v>2.0299999999999998</v>
      </c>
      <c r="P1189" s="83">
        <v>5.97</v>
      </c>
      <c r="Q1189" s="83"/>
      <c r="R1189" s="86">
        <v>0.28319091949443098</v>
      </c>
      <c r="S1189" s="83">
        <v>2</v>
      </c>
      <c r="T1189" s="83"/>
      <c r="U1189" s="83"/>
      <c r="V1189" s="83"/>
      <c r="W1189" s="83"/>
      <c r="X1189" s="83"/>
      <c r="Y1189" s="83">
        <v>4</v>
      </c>
      <c r="Z1189" s="83"/>
      <c r="AA1189" s="86"/>
      <c r="AB1189" s="86"/>
      <c r="AC1189" s="83"/>
      <c r="AD1189" s="88">
        <v>80</v>
      </c>
      <c r="AE1189" s="88">
        <v>60</v>
      </c>
      <c r="AF1189" s="88">
        <f t="shared" si="49"/>
        <v>860</v>
      </c>
      <c r="AG1189" s="66">
        <f t="shared" si="50"/>
        <v>209.74500000000003</v>
      </c>
      <c r="AH1189" s="143">
        <f t="shared" si="51"/>
        <v>1000</v>
      </c>
    </row>
    <row r="1190" spans="1:34" s="90" customFormat="1" x14ac:dyDescent="0.3">
      <c r="A1190" s="84">
        <v>903210</v>
      </c>
      <c r="B1190" s="87">
        <v>0.24999999999999997</v>
      </c>
      <c r="C1190" s="87"/>
      <c r="D1190" s="86">
        <v>5.1428571428571432</v>
      </c>
      <c r="E1190" s="99">
        <v>4.2999999999999997E-2</v>
      </c>
      <c r="F1190" s="87">
        <v>42.300000000000004</v>
      </c>
      <c r="G1190" s="83"/>
      <c r="H1190" s="84">
        <v>47.96</v>
      </c>
      <c r="I1190" s="83">
        <v>60</v>
      </c>
      <c r="J1190" s="83">
        <v>4.0000000000000001E-3</v>
      </c>
      <c r="K1190" s="87">
        <v>2.66</v>
      </c>
      <c r="L1190" s="83">
        <v>30</v>
      </c>
      <c r="M1190" s="86">
        <v>0.16</v>
      </c>
      <c r="N1190" s="83">
        <v>0.1</v>
      </c>
      <c r="O1190" s="83">
        <v>3.54</v>
      </c>
      <c r="P1190" s="83">
        <v>25.49</v>
      </c>
      <c r="Q1190" s="83"/>
      <c r="R1190" s="86">
        <v>0.79684989323753197</v>
      </c>
      <c r="S1190" s="83">
        <v>5.2</v>
      </c>
      <c r="T1190" s="83"/>
      <c r="U1190" s="83"/>
      <c r="V1190" s="83"/>
      <c r="W1190" s="83"/>
      <c r="X1190" s="83"/>
      <c r="Y1190" s="83">
        <v>3</v>
      </c>
      <c r="Z1190" s="83"/>
      <c r="AA1190" s="86"/>
      <c r="AB1190" s="86"/>
      <c r="AC1190" s="83"/>
      <c r="AD1190" s="88">
        <v>60</v>
      </c>
      <c r="AE1190" s="88">
        <v>60</v>
      </c>
      <c r="AF1190" s="88">
        <f t="shared" si="49"/>
        <v>880</v>
      </c>
      <c r="AG1190" s="66">
        <f t="shared" si="50"/>
        <v>313.88000000000005</v>
      </c>
      <c r="AH1190" s="143">
        <f t="shared" si="51"/>
        <v>1000</v>
      </c>
    </row>
    <row r="1191" spans="1:34" s="90" customFormat="1" x14ac:dyDescent="0.3">
      <c r="A1191" s="84">
        <v>903211</v>
      </c>
      <c r="B1191" s="87">
        <v>0.18333333333333335</v>
      </c>
      <c r="C1191" s="87"/>
      <c r="D1191" s="86">
        <v>7.3047619047619046</v>
      </c>
      <c r="E1191" s="99">
        <v>0.112</v>
      </c>
      <c r="F1191" s="87">
        <v>56.5</v>
      </c>
      <c r="G1191" s="83"/>
      <c r="H1191" s="84">
        <v>169.6</v>
      </c>
      <c r="I1191" s="83">
        <v>180</v>
      </c>
      <c r="J1191" s="83">
        <v>5.6000000000000001E-2</v>
      </c>
      <c r="K1191" s="87">
        <v>1.27</v>
      </c>
      <c r="L1191" s="83">
        <v>150</v>
      </c>
      <c r="M1191" s="86">
        <v>1.39</v>
      </c>
      <c r="N1191" s="83">
        <v>0.79</v>
      </c>
      <c r="O1191" s="83">
        <v>2.44</v>
      </c>
      <c r="P1191" s="83">
        <v>13.64</v>
      </c>
      <c r="Q1191" s="83"/>
      <c r="R1191" s="86">
        <v>0.35197339869035532</v>
      </c>
      <c r="S1191" s="83">
        <v>2.5</v>
      </c>
      <c r="T1191" s="83"/>
      <c r="U1191" s="83"/>
      <c r="V1191" s="83"/>
      <c r="W1191" s="83"/>
      <c r="X1191" s="83"/>
      <c r="Y1191" s="83">
        <v>6</v>
      </c>
      <c r="Z1191" s="83"/>
      <c r="AA1191" s="86"/>
      <c r="AB1191" s="86"/>
      <c r="AC1191" s="83"/>
      <c r="AD1191" s="88">
        <v>120</v>
      </c>
      <c r="AE1191" s="88">
        <v>80</v>
      </c>
      <c r="AF1191" s="88">
        <f t="shared" si="49"/>
        <v>800</v>
      </c>
      <c r="AG1191" s="66">
        <f t="shared" si="50"/>
        <v>74.929999999999993</v>
      </c>
      <c r="AH1191" s="143">
        <f t="shared" si="51"/>
        <v>1000</v>
      </c>
    </row>
    <row r="1192" spans="1:34" s="90" customFormat="1" x14ac:dyDescent="0.3">
      <c r="A1192" s="84">
        <v>903212</v>
      </c>
      <c r="B1192" s="87">
        <v>0.28333333333333333</v>
      </c>
      <c r="C1192" s="87"/>
      <c r="D1192" s="86">
        <v>7.2571428571428571</v>
      </c>
      <c r="E1192" s="99">
        <v>0.17399999999999999</v>
      </c>
      <c r="F1192" s="87">
        <v>59.85</v>
      </c>
      <c r="G1192" s="83"/>
      <c r="H1192" s="84">
        <v>277.42</v>
      </c>
      <c r="I1192" s="83">
        <v>440</v>
      </c>
      <c r="J1192" s="83">
        <v>6.4000000000000001E-2</v>
      </c>
      <c r="K1192" s="87">
        <v>1.64</v>
      </c>
      <c r="L1192" s="83">
        <v>160</v>
      </c>
      <c r="M1192" s="86">
        <v>2.78</v>
      </c>
      <c r="N1192" s="83">
        <v>0.95</v>
      </c>
      <c r="O1192" s="83">
        <v>3.55</v>
      </c>
      <c r="P1192" s="83">
        <v>7.88</v>
      </c>
      <c r="Q1192" s="83"/>
      <c r="R1192" s="86">
        <v>0.49376353805918433</v>
      </c>
      <c r="S1192" s="83">
        <v>3.5</v>
      </c>
      <c r="T1192" s="83"/>
      <c r="U1192" s="83"/>
      <c r="V1192" s="83"/>
      <c r="W1192" s="83"/>
      <c r="X1192" s="83"/>
      <c r="Y1192" s="83">
        <v>7</v>
      </c>
      <c r="Z1192" s="83"/>
      <c r="AA1192" s="86"/>
      <c r="AB1192" s="86"/>
      <c r="AC1192" s="83"/>
      <c r="AD1192" s="88">
        <v>240</v>
      </c>
      <c r="AE1192" s="88">
        <v>120</v>
      </c>
      <c r="AF1192" s="88">
        <f t="shared" si="49"/>
        <v>640</v>
      </c>
      <c r="AG1192" s="66">
        <f t="shared" si="50"/>
        <v>82.937142857142859</v>
      </c>
      <c r="AH1192" s="143">
        <f t="shared" si="51"/>
        <v>1000</v>
      </c>
    </row>
    <row r="1193" spans="1:34" s="90" customFormat="1" x14ac:dyDescent="0.3">
      <c r="A1193" s="84">
        <v>903213</v>
      </c>
      <c r="B1193" s="87">
        <v>0.15</v>
      </c>
      <c r="C1193" s="87"/>
      <c r="D1193" s="86">
        <v>7.3238095238095235</v>
      </c>
      <c r="E1193" s="99">
        <v>0.22700000000000001</v>
      </c>
      <c r="F1193" s="87">
        <v>106.55</v>
      </c>
      <c r="G1193" s="83"/>
      <c r="H1193" s="84">
        <v>213.48</v>
      </c>
      <c r="I1193" s="83">
        <v>480</v>
      </c>
      <c r="J1193" s="83">
        <v>0.154</v>
      </c>
      <c r="K1193" s="87">
        <v>2.06</v>
      </c>
      <c r="L1193" s="83">
        <v>250</v>
      </c>
      <c r="M1193" s="86">
        <v>2.37</v>
      </c>
      <c r="N1193" s="83">
        <v>1.32</v>
      </c>
      <c r="O1193" s="83">
        <v>4.54</v>
      </c>
      <c r="P1193" s="83">
        <v>7.83</v>
      </c>
      <c r="Q1193" s="83"/>
      <c r="R1193" s="86">
        <v>0.99910098467885833</v>
      </c>
      <c r="S1193" s="83">
        <v>6.5</v>
      </c>
      <c r="T1193" s="83"/>
      <c r="U1193" s="83"/>
      <c r="V1193" s="83"/>
      <c r="W1193" s="83"/>
      <c r="X1193" s="83"/>
      <c r="Y1193" s="83">
        <v>8</v>
      </c>
      <c r="Z1193" s="83"/>
      <c r="AA1193" s="86"/>
      <c r="AB1193" s="86"/>
      <c r="AC1193" s="83"/>
      <c r="AD1193" s="88">
        <v>240</v>
      </c>
      <c r="AE1193" s="88">
        <v>200</v>
      </c>
      <c r="AF1193" s="88">
        <f t="shared" si="49"/>
        <v>560</v>
      </c>
      <c r="AG1193" s="66">
        <f t="shared" si="50"/>
        <v>91.155000000000001</v>
      </c>
      <c r="AH1193" s="143">
        <f t="shared" si="51"/>
        <v>1000</v>
      </c>
    </row>
    <row r="1194" spans="1:34" s="90" customFormat="1" x14ac:dyDescent="0.3">
      <c r="A1194" s="84">
        <v>903214</v>
      </c>
      <c r="B1194" s="87">
        <v>12.083333333333334</v>
      </c>
      <c r="C1194" s="87">
        <v>5.625</v>
      </c>
      <c r="D1194" s="86">
        <v>7.5523809523809522</v>
      </c>
      <c r="E1194" s="99">
        <v>0.67600000000000005</v>
      </c>
      <c r="F1194" s="87">
        <v>245.95</v>
      </c>
      <c r="G1194" s="83"/>
      <c r="H1194" s="84">
        <v>279.13</v>
      </c>
      <c r="I1194" s="83">
        <v>810</v>
      </c>
      <c r="J1194" s="83">
        <v>0.19600000000000001</v>
      </c>
      <c r="K1194" s="87">
        <v>8.6999999999999993</v>
      </c>
      <c r="L1194" s="83">
        <v>290</v>
      </c>
      <c r="M1194" s="86">
        <v>2.88</v>
      </c>
      <c r="N1194" s="83">
        <v>1.43</v>
      </c>
      <c r="O1194" s="83">
        <v>2.38</v>
      </c>
      <c r="P1194" s="83">
        <v>2.6</v>
      </c>
      <c r="Q1194" s="83"/>
      <c r="R1194" s="86">
        <v>1.7902970000000002</v>
      </c>
      <c r="S1194" s="83">
        <v>16.3</v>
      </c>
      <c r="T1194" s="83"/>
      <c r="U1194" s="83"/>
      <c r="V1194" s="83"/>
      <c r="W1194" s="83"/>
      <c r="X1194" s="83"/>
      <c r="Y1194" s="83">
        <v>30</v>
      </c>
      <c r="Z1194" s="83"/>
      <c r="AA1194" s="86"/>
      <c r="AB1194" s="86"/>
      <c r="AC1194" s="83"/>
      <c r="AD1194" s="88">
        <v>600</v>
      </c>
      <c r="AE1194" s="88">
        <v>300</v>
      </c>
      <c r="AF1194" s="88">
        <f t="shared" si="49"/>
        <v>100</v>
      </c>
      <c r="AG1194" s="66">
        <f t="shared" si="50"/>
        <v>102.66</v>
      </c>
      <c r="AH1194" s="143">
        <f t="shared" si="51"/>
        <v>1000</v>
      </c>
    </row>
    <row r="1195" spans="1:34" s="90" customFormat="1" x14ac:dyDescent="0.3">
      <c r="A1195" s="84">
        <v>903215</v>
      </c>
      <c r="B1195" s="87">
        <v>9.2083333333333339</v>
      </c>
      <c r="C1195" s="87"/>
      <c r="D1195" s="86">
        <v>7.980952380952381</v>
      </c>
      <c r="E1195" s="99">
        <v>0.17399999999999999</v>
      </c>
      <c r="F1195" s="87">
        <v>100.55</v>
      </c>
      <c r="G1195" s="83"/>
      <c r="H1195" s="84">
        <v>58.5</v>
      </c>
      <c r="I1195" s="83">
        <v>670</v>
      </c>
      <c r="J1195" s="83">
        <v>9.6000000000000002E-2</v>
      </c>
      <c r="K1195" s="87">
        <v>8.0500000000000007</v>
      </c>
      <c r="L1195" s="83">
        <v>1970</v>
      </c>
      <c r="M1195" s="86">
        <v>0.28000000000000003</v>
      </c>
      <c r="N1195" s="83">
        <v>1.1200000000000001</v>
      </c>
      <c r="O1195" s="83">
        <v>3.38</v>
      </c>
      <c r="P1195" s="83">
        <v>2.2200000000000002</v>
      </c>
      <c r="Q1195" s="83"/>
      <c r="R1195" s="86">
        <v>1.720472</v>
      </c>
      <c r="S1195" s="83">
        <v>14.2</v>
      </c>
      <c r="T1195" s="83"/>
      <c r="U1195" s="83"/>
      <c r="V1195" s="83"/>
      <c r="W1195" s="83"/>
      <c r="X1195" s="83"/>
      <c r="Y1195" s="83">
        <v>32</v>
      </c>
      <c r="Z1195" s="83"/>
      <c r="AA1195" s="86"/>
      <c r="AB1195" s="86"/>
      <c r="AC1195" s="83"/>
      <c r="AD1195" s="88">
        <v>640</v>
      </c>
      <c r="AE1195" s="88">
        <v>280</v>
      </c>
      <c r="AF1195" s="88">
        <f t="shared" si="49"/>
        <v>80</v>
      </c>
      <c r="AG1195" s="66">
        <f t="shared" si="50"/>
        <v>89.053125000000009</v>
      </c>
      <c r="AH1195" s="143">
        <f t="shared" si="51"/>
        <v>1000</v>
      </c>
    </row>
    <row r="1196" spans="1:34" s="90" customFormat="1" x14ac:dyDescent="0.3">
      <c r="A1196" s="84">
        <v>903216</v>
      </c>
      <c r="B1196" s="87">
        <v>0.49999999999999994</v>
      </c>
      <c r="C1196" s="87"/>
      <c r="D1196" s="86">
        <v>7.9238095238095241</v>
      </c>
      <c r="E1196" s="99">
        <v>0.14299999999999999</v>
      </c>
      <c r="F1196" s="87">
        <v>48.35</v>
      </c>
      <c r="G1196" s="83"/>
      <c r="H1196" s="84">
        <v>49.81</v>
      </c>
      <c r="I1196" s="83">
        <v>450</v>
      </c>
      <c r="J1196" s="83">
        <v>0.29199999999999998</v>
      </c>
      <c r="K1196" s="87">
        <v>16.809999999999999</v>
      </c>
      <c r="L1196" s="83">
        <v>1560</v>
      </c>
      <c r="M1196" s="86">
        <v>0.12</v>
      </c>
      <c r="N1196" s="83">
        <v>0.3</v>
      </c>
      <c r="O1196" s="83">
        <v>0.96</v>
      </c>
      <c r="P1196" s="83">
        <v>5.35</v>
      </c>
      <c r="Q1196" s="83"/>
      <c r="R1196" s="86">
        <v>1.1326493509956344</v>
      </c>
      <c r="S1196" s="83">
        <v>8</v>
      </c>
      <c r="T1196" s="83"/>
      <c r="U1196" s="83"/>
      <c r="V1196" s="83"/>
      <c r="W1196" s="83"/>
      <c r="X1196" s="83"/>
      <c r="Y1196" s="83">
        <v>27</v>
      </c>
      <c r="Z1196" s="83"/>
      <c r="AA1196" s="86"/>
      <c r="AB1196" s="86"/>
      <c r="AC1196" s="83"/>
      <c r="AD1196" s="88">
        <v>540</v>
      </c>
      <c r="AE1196" s="88">
        <v>280</v>
      </c>
      <c r="AF1196" s="88">
        <f t="shared" si="49"/>
        <v>180</v>
      </c>
      <c r="AG1196" s="66">
        <f t="shared" si="50"/>
        <v>220.39777777777778</v>
      </c>
      <c r="AH1196" s="143">
        <f t="shared" si="51"/>
        <v>1000</v>
      </c>
    </row>
    <row r="1197" spans="1:34" s="90" customFormat="1" x14ac:dyDescent="0.3">
      <c r="A1197" s="84">
        <v>903217</v>
      </c>
      <c r="B1197" s="87">
        <v>8.8333333333333339</v>
      </c>
      <c r="C1197" s="87"/>
      <c r="D1197" s="86">
        <v>7.8476190476190473</v>
      </c>
      <c r="E1197" s="99">
        <v>0.114</v>
      </c>
      <c r="F1197" s="87">
        <v>42.800000000000004</v>
      </c>
      <c r="G1197" s="83"/>
      <c r="H1197" s="84">
        <v>26.53</v>
      </c>
      <c r="I1197" s="83">
        <v>270</v>
      </c>
      <c r="J1197" s="83">
        <v>4.1000000000000002E-2</v>
      </c>
      <c r="K1197" s="87">
        <v>12.87</v>
      </c>
      <c r="L1197" s="83">
        <v>1530</v>
      </c>
      <c r="M1197" s="86">
        <v>0.18</v>
      </c>
      <c r="N1197" s="83">
        <v>0.45</v>
      </c>
      <c r="O1197" s="83">
        <v>1.5</v>
      </c>
      <c r="P1197" s="83">
        <v>2.64</v>
      </c>
      <c r="Q1197" s="83"/>
      <c r="R1197" s="86">
        <v>1.6061130000000001</v>
      </c>
      <c r="S1197" s="83">
        <v>11.1</v>
      </c>
      <c r="T1197" s="83"/>
      <c r="U1197" s="83"/>
      <c r="V1197" s="83"/>
      <c r="W1197" s="83"/>
      <c r="X1197" s="83"/>
      <c r="Y1197" s="83">
        <v>28</v>
      </c>
      <c r="Z1197" s="83"/>
      <c r="AA1197" s="86"/>
      <c r="AB1197" s="86"/>
      <c r="AC1197" s="83"/>
      <c r="AD1197" s="88">
        <v>560</v>
      </c>
      <c r="AE1197" s="88">
        <v>300</v>
      </c>
      <c r="AF1197" s="88">
        <f t="shared" si="49"/>
        <v>140</v>
      </c>
      <c r="AG1197" s="66">
        <f t="shared" si="50"/>
        <v>162.71357142857141</v>
      </c>
      <c r="AH1197" s="143">
        <f t="shared" si="51"/>
        <v>1000</v>
      </c>
    </row>
    <row r="1198" spans="1:34" s="90" customFormat="1" x14ac:dyDescent="0.3">
      <c r="A1198" s="84">
        <v>903218</v>
      </c>
      <c r="B1198" s="87">
        <v>26.999999999999996</v>
      </c>
      <c r="C1198" s="87">
        <v>11.375</v>
      </c>
      <c r="D1198" s="86">
        <v>7.7523809523809524</v>
      </c>
      <c r="E1198" s="99">
        <v>0.13800000000000001</v>
      </c>
      <c r="F1198" s="87">
        <v>49.75</v>
      </c>
      <c r="G1198" s="83"/>
      <c r="H1198" s="84">
        <v>42.83</v>
      </c>
      <c r="I1198" s="83">
        <v>210</v>
      </c>
      <c r="J1198" s="83">
        <v>6.8000000000000005E-2</v>
      </c>
      <c r="K1198" s="87">
        <v>12.4</v>
      </c>
      <c r="L1198" s="83">
        <v>240</v>
      </c>
      <c r="M1198" s="86">
        <v>0.25</v>
      </c>
      <c r="N1198" s="83">
        <v>0.39</v>
      </c>
      <c r="O1198" s="83">
        <v>7.06</v>
      </c>
      <c r="P1198" s="83">
        <v>2.2200000000000002</v>
      </c>
      <c r="Q1198" s="83"/>
      <c r="R1198" s="86">
        <v>1.720472</v>
      </c>
      <c r="S1198" s="83">
        <v>14.2</v>
      </c>
      <c r="T1198" s="83"/>
      <c r="U1198" s="83"/>
      <c r="V1198" s="83"/>
      <c r="W1198" s="83"/>
      <c r="X1198" s="83"/>
      <c r="Y1198" s="83">
        <v>23</v>
      </c>
      <c r="Z1198" s="83"/>
      <c r="AA1198" s="86"/>
      <c r="AB1198" s="86"/>
      <c r="AC1198" s="83"/>
      <c r="AD1198" s="88">
        <v>460</v>
      </c>
      <c r="AE1198" s="88">
        <v>240</v>
      </c>
      <c r="AF1198" s="88">
        <f t="shared" si="49"/>
        <v>300</v>
      </c>
      <c r="AG1198" s="66">
        <f t="shared" si="50"/>
        <v>190.85217391304349</v>
      </c>
      <c r="AH1198" s="143">
        <f t="shared" si="51"/>
        <v>1000</v>
      </c>
    </row>
    <row r="1199" spans="1:34" s="90" customFormat="1" x14ac:dyDescent="0.3">
      <c r="A1199" s="84">
        <v>903219</v>
      </c>
      <c r="B1199" s="87">
        <v>43.666666666666664</v>
      </c>
      <c r="C1199" s="87">
        <v>14.625</v>
      </c>
      <c r="D1199" s="86">
        <v>7.8380952380952378</v>
      </c>
      <c r="E1199" s="99">
        <v>0.27400000000000002</v>
      </c>
      <c r="F1199" s="87">
        <v>80.8</v>
      </c>
      <c r="G1199" s="83"/>
      <c r="H1199" s="84">
        <v>35.35</v>
      </c>
      <c r="I1199" s="83">
        <v>80</v>
      </c>
      <c r="J1199" s="83">
        <v>8.6999999999999994E-2</v>
      </c>
      <c r="K1199" s="87">
        <v>13.79</v>
      </c>
      <c r="L1199" s="83">
        <v>220</v>
      </c>
      <c r="M1199" s="86">
        <v>7.0000000000000007E-2</v>
      </c>
      <c r="N1199" s="83">
        <v>0.28000000000000003</v>
      </c>
      <c r="O1199" s="83">
        <v>1.72</v>
      </c>
      <c r="P1199" s="83">
        <v>1.24</v>
      </c>
      <c r="Q1199" s="83"/>
      <c r="R1199" s="86">
        <v>1.0603159686804129</v>
      </c>
      <c r="S1199" s="83">
        <v>7.4</v>
      </c>
      <c r="T1199" s="83"/>
      <c r="U1199" s="83"/>
      <c r="V1199" s="83"/>
      <c r="W1199" s="83"/>
      <c r="X1199" s="83"/>
      <c r="Y1199" s="83">
        <v>24</v>
      </c>
      <c r="Z1199" s="83"/>
      <c r="AA1199" s="86"/>
      <c r="AB1199" s="86"/>
      <c r="AC1199" s="83"/>
      <c r="AD1199" s="88">
        <v>480</v>
      </c>
      <c r="AE1199" s="88">
        <v>160</v>
      </c>
      <c r="AF1199" s="88">
        <f t="shared" si="49"/>
        <v>360</v>
      </c>
      <c r="AG1199" s="66">
        <f t="shared" si="50"/>
        <v>203.4025</v>
      </c>
      <c r="AH1199" s="143">
        <f t="shared" si="51"/>
        <v>1000</v>
      </c>
    </row>
    <row r="1200" spans="1:34" s="90" customFormat="1" x14ac:dyDescent="0.3">
      <c r="A1200" s="84">
        <v>903220</v>
      </c>
      <c r="B1200" s="87">
        <v>13.333333333333334</v>
      </c>
      <c r="C1200" s="87">
        <v>5.9999999999999982</v>
      </c>
      <c r="D1200" s="86">
        <v>7.9333333333333327</v>
      </c>
      <c r="E1200" s="99">
        <v>0.158</v>
      </c>
      <c r="F1200" s="87">
        <v>59.349999999999994</v>
      </c>
      <c r="G1200" s="83"/>
      <c r="H1200" s="84">
        <v>62.01</v>
      </c>
      <c r="I1200" s="83">
        <v>290</v>
      </c>
      <c r="J1200" s="83">
        <v>0.14000000000000001</v>
      </c>
      <c r="K1200" s="87">
        <v>12.14</v>
      </c>
      <c r="L1200" s="83">
        <v>2190</v>
      </c>
      <c r="M1200" s="86">
        <v>1.81</v>
      </c>
      <c r="N1200" s="83">
        <v>1.23</v>
      </c>
      <c r="O1200" s="83">
        <v>1.1200000000000001</v>
      </c>
      <c r="P1200" s="83">
        <v>2.39</v>
      </c>
      <c r="Q1200" s="83"/>
      <c r="R1200" s="86">
        <v>1.809113</v>
      </c>
      <c r="S1200" s="83">
        <v>16.899999999999999</v>
      </c>
      <c r="T1200" s="83"/>
      <c r="U1200" s="83"/>
      <c r="V1200" s="83"/>
      <c r="W1200" s="83"/>
      <c r="X1200" s="83"/>
      <c r="Y1200" s="83">
        <v>32</v>
      </c>
      <c r="Z1200" s="83"/>
      <c r="AA1200" s="86"/>
      <c r="AB1200" s="86"/>
      <c r="AC1200" s="83"/>
      <c r="AD1200" s="88">
        <v>640</v>
      </c>
      <c r="AE1200" s="88">
        <v>240</v>
      </c>
      <c r="AF1200" s="88">
        <f t="shared" si="49"/>
        <v>120</v>
      </c>
      <c r="AG1200" s="66">
        <f t="shared" si="50"/>
        <v>134.29875000000001</v>
      </c>
      <c r="AH1200" s="143">
        <f t="shared" si="51"/>
        <v>1000</v>
      </c>
    </row>
    <row r="1201" spans="1:34" s="90" customFormat="1" x14ac:dyDescent="0.3">
      <c r="A1201" s="84">
        <v>903221</v>
      </c>
      <c r="B1201" s="87">
        <v>9.3333333333333339</v>
      </c>
      <c r="C1201" s="87"/>
      <c r="D1201" s="86">
        <v>7.7809523809523808</v>
      </c>
      <c r="E1201" s="99">
        <v>0.26100000000000001</v>
      </c>
      <c r="F1201" s="87">
        <v>103.45</v>
      </c>
      <c r="G1201" s="83"/>
      <c r="H1201" s="84">
        <v>48.42</v>
      </c>
      <c r="I1201" s="83">
        <v>380</v>
      </c>
      <c r="J1201" s="83">
        <v>0.26</v>
      </c>
      <c r="K1201" s="87">
        <v>12.02</v>
      </c>
      <c r="L1201" s="83">
        <v>2680</v>
      </c>
      <c r="M1201" s="86">
        <v>0.97</v>
      </c>
      <c r="N1201" s="83">
        <v>1.55</v>
      </c>
      <c r="O1201" s="83">
        <v>8.59</v>
      </c>
      <c r="P1201" s="83">
        <v>2.71</v>
      </c>
      <c r="Q1201" s="83"/>
      <c r="R1201" s="86">
        <v>1.836392</v>
      </c>
      <c r="S1201" s="83">
        <v>17.8</v>
      </c>
      <c r="T1201" s="83"/>
      <c r="U1201" s="83"/>
      <c r="V1201" s="83"/>
      <c r="W1201" s="83"/>
      <c r="X1201" s="83"/>
      <c r="Y1201" s="83">
        <v>31</v>
      </c>
      <c r="Z1201" s="83"/>
      <c r="AA1201" s="86"/>
      <c r="AB1201" s="86"/>
      <c r="AC1201" s="83"/>
      <c r="AD1201" s="88">
        <v>620</v>
      </c>
      <c r="AE1201" s="88">
        <v>240</v>
      </c>
      <c r="AF1201" s="88">
        <f t="shared" si="49"/>
        <v>140</v>
      </c>
      <c r="AG1201" s="66">
        <f t="shared" si="50"/>
        <v>137.26064516129031</v>
      </c>
      <c r="AH1201" s="143">
        <f t="shared" si="51"/>
        <v>1000</v>
      </c>
    </row>
    <row r="1202" spans="1:34" s="90" customFormat="1" x14ac:dyDescent="0.3">
      <c r="A1202" s="84">
        <v>903222</v>
      </c>
      <c r="B1202" s="87">
        <v>1.3499999999999999</v>
      </c>
      <c r="C1202" s="87"/>
      <c r="D1202" s="86">
        <v>7.8571428571428568</v>
      </c>
      <c r="E1202" s="99">
        <v>0.19900000000000001</v>
      </c>
      <c r="F1202" s="87">
        <v>64.75</v>
      </c>
      <c r="G1202" s="83"/>
      <c r="H1202" s="84">
        <v>122.47</v>
      </c>
      <c r="I1202" s="83">
        <v>630</v>
      </c>
      <c r="J1202" s="83">
        <v>7.9000000000000001E-2</v>
      </c>
      <c r="K1202" s="87">
        <v>1.65</v>
      </c>
      <c r="L1202" s="83">
        <v>160</v>
      </c>
      <c r="M1202" s="86">
        <v>2.0499999999999998</v>
      </c>
      <c r="N1202" s="83">
        <v>0.45</v>
      </c>
      <c r="O1202" s="83">
        <v>5.04</v>
      </c>
      <c r="P1202" s="83">
        <v>6.4</v>
      </c>
      <c r="Q1202" s="83"/>
      <c r="R1202" s="86">
        <v>1.0646902366975877</v>
      </c>
      <c r="S1202" s="83">
        <v>7.2</v>
      </c>
      <c r="T1202" s="83"/>
      <c r="U1202" s="83"/>
      <c r="V1202" s="83"/>
      <c r="W1202" s="83"/>
      <c r="X1202" s="83"/>
      <c r="Y1202" s="83">
        <v>3</v>
      </c>
      <c r="Z1202" s="83"/>
      <c r="AA1202" s="86"/>
      <c r="AB1202" s="86"/>
      <c r="AC1202" s="83"/>
      <c r="AD1202" s="88">
        <v>60</v>
      </c>
      <c r="AE1202" s="88">
        <v>60</v>
      </c>
      <c r="AF1202" s="88">
        <f t="shared" si="49"/>
        <v>880</v>
      </c>
      <c r="AG1202" s="66">
        <f t="shared" si="50"/>
        <v>194.69999999999996</v>
      </c>
      <c r="AH1202" s="143">
        <f t="shared" si="51"/>
        <v>1000</v>
      </c>
    </row>
    <row r="1203" spans="1:34" s="90" customFormat="1" x14ac:dyDescent="0.3">
      <c r="A1203" s="84">
        <v>903223</v>
      </c>
      <c r="B1203" s="87">
        <v>6.916666666666667</v>
      </c>
      <c r="C1203" s="87"/>
      <c r="D1203" s="86">
        <v>8.1714285714285708</v>
      </c>
      <c r="E1203" s="99">
        <v>0.51600000000000001</v>
      </c>
      <c r="F1203" s="87">
        <v>175.6</v>
      </c>
      <c r="G1203" s="83"/>
      <c r="H1203" s="84">
        <v>28.65</v>
      </c>
      <c r="I1203" s="83">
        <v>230</v>
      </c>
      <c r="J1203" s="83">
        <v>0.56200000000000006</v>
      </c>
      <c r="K1203" s="87">
        <v>7.21</v>
      </c>
      <c r="L1203" s="83">
        <v>1010</v>
      </c>
      <c r="M1203" s="86">
        <v>0.3</v>
      </c>
      <c r="N1203" s="83">
        <v>1.07</v>
      </c>
      <c r="O1203" s="83">
        <v>6.1</v>
      </c>
      <c r="P1203" s="83">
        <v>3.82</v>
      </c>
      <c r="Q1203" s="83"/>
      <c r="R1203" s="86">
        <v>1.0689144589711284</v>
      </c>
      <c r="S1203" s="83">
        <v>8</v>
      </c>
      <c r="T1203" s="83"/>
      <c r="U1203" s="83"/>
      <c r="V1203" s="83"/>
      <c r="W1203" s="83"/>
      <c r="X1203" s="83"/>
      <c r="Y1203" s="83">
        <v>29</v>
      </c>
      <c r="Z1203" s="83"/>
      <c r="AA1203" s="86"/>
      <c r="AB1203" s="86"/>
      <c r="AC1203" s="83"/>
      <c r="AD1203" s="88">
        <v>580</v>
      </c>
      <c r="AE1203" s="88">
        <v>300</v>
      </c>
      <c r="AF1203" s="88">
        <f t="shared" si="49"/>
        <v>120</v>
      </c>
      <c r="AG1203" s="66">
        <f t="shared" si="50"/>
        <v>88.011724137931026</v>
      </c>
      <c r="AH1203" s="143">
        <f t="shared" si="51"/>
        <v>1000</v>
      </c>
    </row>
    <row r="1204" spans="1:34" s="90" customFormat="1" x14ac:dyDescent="0.3">
      <c r="A1204" s="84">
        <v>903224</v>
      </c>
      <c r="B1204" s="87">
        <v>7.9166666666666661</v>
      </c>
      <c r="C1204" s="87"/>
      <c r="D1204" s="86">
        <v>8.742857142857142</v>
      </c>
      <c r="E1204" s="99">
        <v>0.36</v>
      </c>
      <c r="F1204" s="87">
        <v>183.25</v>
      </c>
      <c r="G1204" s="83"/>
      <c r="H1204" s="84">
        <v>36.74</v>
      </c>
      <c r="I1204" s="83">
        <v>220</v>
      </c>
      <c r="J1204" s="83">
        <v>0.68700000000000006</v>
      </c>
      <c r="K1204" s="87">
        <v>7.6</v>
      </c>
      <c r="L1204" s="83">
        <v>1310</v>
      </c>
      <c r="M1204" s="86">
        <v>0.24</v>
      </c>
      <c r="N1204" s="83">
        <v>0.9</v>
      </c>
      <c r="O1204" s="83">
        <v>2.21</v>
      </c>
      <c r="P1204" s="83">
        <v>2.84</v>
      </c>
      <c r="Q1204" s="83"/>
      <c r="R1204" s="86">
        <v>1.0144134027638321</v>
      </c>
      <c r="S1204" s="83">
        <v>6.9</v>
      </c>
      <c r="T1204" s="83"/>
      <c r="U1204" s="83"/>
      <c r="V1204" s="83"/>
      <c r="W1204" s="83"/>
      <c r="X1204" s="83"/>
      <c r="Y1204" s="83">
        <v>28</v>
      </c>
      <c r="Z1204" s="83"/>
      <c r="AA1204" s="86"/>
      <c r="AB1204" s="86"/>
      <c r="AC1204" s="83"/>
      <c r="AD1204" s="88">
        <v>560</v>
      </c>
      <c r="AE1204" s="88">
        <v>220</v>
      </c>
      <c r="AF1204" s="88">
        <f t="shared" si="49"/>
        <v>220</v>
      </c>
      <c r="AG1204" s="66">
        <f t="shared" si="50"/>
        <v>96.085714285714289</v>
      </c>
      <c r="AH1204" s="143">
        <f t="shared" si="51"/>
        <v>1000</v>
      </c>
    </row>
    <row r="1205" spans="1:34" s="90" customFormat="1" x14ac:dyDescent="0.3">
      <c r="A1205" s="84">
        <v>903225</v>
      </c>
      <c r="B1205" s="87">
        <v>6.1666666666666661</v>
      </c>
      <c r="C1205" s="87"/>
      <c r="D1205" s="86">
        <v>8.2285714285714295</v>
      </c>
      <c r="E1205" s="99">
        <v>0.17599999999999999</v>
      </c>
      <c r="F1205" s="87">
        <v>73.75</v>
      </c>
      <c r="G1205" s="83"/>
      <c r="H1205" s="84">
        <v>35.56</v>
      </c>
      <c r="I1205" s="83">
        <v>290</v>
      </c>
      <c r="J1205" s="83">
        <v>0.12</v>
      </c>
      <c r="K1205" s="87">
        <v>7.74</v>
      </c>
      <c r="L1205" s="83">
        <v>770</v>
      </c>
      <c r="M1205" s="86">
        <v>6.14</v>
      </c>
      <c r="N1205" s="83">
        <v>2.2599999999999998</v>
      </c>
      <c r="O1205" s="83">
        <v>4.74</v>
      </c>
      <c r="P1205" s="83">
        <v>2.8</v>
      </c>
      <c r="Q1205" s="83"/>
      <c r="R1205" s="86">
        <v>1.1378184279831565</v>
      </c>
      <c r="S1205" s="83">
        <v>8.1</v>
      </c>
      <c r="T1205" s="83"/>
      <c r="U1205" s="83"/>
      <c r="V1205" s="83"/>
      <c r="W1205" s="83"/>
      <c r="X1205" s="83"/>
      <c r="Y1205" s="83">
        <v>32</v>
      </c>
      <c r="Z1205" s="83"/>
      <c r="AA1205" s="86"/>
      <c r="AB1205" s="86"/>
      <c r="AC1205" s="83"/>
      <c r="AD1205" s="88">
        <v>640</v>
      </c>
      <c r="AE1205" s="88">
        <v>280</v>
      </c>
      <c r="AF1205" s="88">
        <f t="shared" si="49"/>
        <v>80</v>
      </c>
      <c r="AG1205" s="66">
        <f t="shared" si="50"/>
        <v>85.623750000000001</v>
      </c>
      <c r="AH1205" s="143">
        <f t="shared" si="51"/>
        <v>1000</v>
      </c>
    </row>
    <row r="1206" spans="1:34" s="90" customFormat="1" x14ac:dyDescent="0.3">
      <c r="A1206" s="84" t="s">
        <v>202</v>
      </c>
      <c r="B1206" s="87"/>
      <c r="C1206" s="87"/>
      <c r="D1206" s="86">
        <v>0</v>
      </c>
      <c r="E1206" s="99"/>
      <c r="F1206" s="87"/>
      <c r="G1206" s="83"/>
      <c r="H1206" s="84"/>
      <c r="I1206" s="83"/>
      <c r="J1206" s="83"/>
      <c r="K1206" s="87"/>
      <c r="L1206" s="83"/>
      <c r="M1206" s="86"/>
      <c r="N1206" s="83"/>
      <c r="O1206" s="83"/>
      <c r="P1206" s="83"/>
      <c r="Q1206" s="83"/>
      <c r="R1206" s="86">
        <v>0</v>
      </c>
      <c r="S1206" s="83"/>
      <c r="T1206" s="83"/>
      <c r="U1206" s="83"/>
      <c r="V1206" s="83"/>
      <c r="W1206" s="83"/>
      <c r="X1206" s="83"/>
      <c r="Y1206" s="83">
        <v>0</v>
      </c>
      <c r="Z1206" s="83"/>
      <c r="AA1206" s="86"/>
      <c r="AB1206" s="86"/>
      <c r="AC1206" s="83"/>
      <c r="AD1206" s="88"/>
      <c r="AE1206" s="88"/>
      <c r="AF1206" s="88"/>
      <c r="AG1206" s="66" t="e">
        <f t="shared" si="50"/>
        <v>#DIV/0!</v>
      </c>
      <c r="AH1206" s="143">
        <f t="shared" si="51"/>
        <v>0</v>
      </c>
    </row>
    <row r="1207" spans="1:34" s="90" customFormat="1" x14ac:dyDescent="0.3">
      <c r="A1207" s="84">
        <v>903227</v>
      </c>
      <c r="B1207" s="87">
        <v>4.8666666666666663</v>
      </c>
      <c r="C1207" s="87"/>
      <c r="D1207" s="86">
        <v>8.4190476190476193</v>
      </c>
      <c r="E1207" s="99">
        <v>0.67700000000000005</v>
      </c>
      <c r="F1207" s="87">
        <v>466.15000000000003</v>
      </c>
      <c r="G1207" s="83"/>
      <c r="H1207" s="84">
        <v>243.34</v>
      </c>
      <c r="I1207" s="83">
        <v>1490</v>
      </c>
      <c r="J1207" s="83">
        <v>0.49299999999999999</v>
      </c>
      <c r="K1207" s="87">
        <v>5.72</v>
      </c>
      <c r="L1207" s="83">
        <v>1570</v>
      </c>
      <c r="M1207" s="86">
        <v>2.67</v>
      </c>
      <c r="N1207" s="83">
        <v>0.71</v>
      </c>
      <c r="O1207" s="83">
        <v>6.66</v>
      </c>
      <c r="P1207" s="83">
        <v>13.54</v>
      </c>
      <c r="Q1207" s="83"/>
      <c r="R1207" s="86">
        <v>1.2908301898452665</v>
      </c>
      <c r="S1207" s="83">
        <v>9.1</v>
      </c>
      <c r="T1207" s="83"/>
      <c r="U1207" s="83"/>
      <c r="V1207" s="83"/>
      <c r="W1207" s="83"/>
      <c r="X1207" s="83"/>
      <c r="Y1207" s="83">
        <v>18</v>
      </c>
      <c r="Z1207" s="83"/>
      <c r="AA1207" s="86"/>
      <c r="AB1207" s="86"/>
      <c r="AC1207" s="83"/>
      <c r="AD1207" s="88">
        <v>360</v>
      </c>
      <c r="AE1207" s="88">
        <v>160</v>
      </c>
      <c r="AF1207" s="88">
        <f t="shared" si="49"/>
        <v>480</v>
      </c>
      <c r="AG1207" s="66">
        <f t="shared" si="50"/>
        <v>112.49333333333333</v>
      </c>
      <c r="AH1207" s="143">
        <f t="shared" si="51"/>
        <v>1000</v>
      </c>
    </row>
    <row r="1208" spans="1:34" s="90" customFormat="1" x14ac:dyDescent="0.3">
      <c r="A1208" s="84">
        <v>903228</v>
      </c>
      <c r="B1208" s="87">
        <v>6.6666666666666652</v>
      </c>
      <c r="C1208" s="87"/>
      <c r="D1208" s="86">
        <v>8.3809523809523814</v>
      </c>
      <c r="E1208" s="99">
        <v>0.93799999999999994</v>
      </c>
      <c r="F1208" s="87">
        <v>478.6</v>
      </c>
      <c r="G1208" s="83"/>
      <c r="H1208" s="84">
        <v>304.32</v>
      </c>
      <c r="I1208" s="83">
        <v>1960</v>
      </c>
      <c r="J1208" s="83">
        <v>0.35499999999999998</v>
      </c>
      <c r="K1208" s="87">
        <v>6.64</v>
      </c>
      <c r="L1208" s="83">
        <v>1560</v>
      </c>
      <c r="M1208" s="86">
        <v>0.68</v>
      </c>
      <c r="N1208" s="83">
        <v>0.64</v>
      </c>
      <c r="O1208" s="83">
        <v>5.74</v>
      </c>
      <c r="P1208" s="83">
        <v>9.31</v>
      </c>
      <c r="Q1208" s="83"/>
      <c r="R1208" s="86">
        <v>1.7410520000000003</v>
      </c>
      <c r="S1208" s="83">
        <v>14.8</v>
      </c>
      <c r="T1208" s="83"/>
      <c r="U1208" s="83"/>
      <c r="V1208" s="83"/>
      <c r="W1208" s="83"/>
      <c r="X1208" s="83"/>
      <c r="Y1208" s="83">
        <v>12</v>
      </c>
      <c r="Z1208" s="83"/>
      <c r="AA1208" s="86">
        <v>2.7616129032258065</v>
      </c>
      <c r="AB1208" s="86">
        <v>2.1855555555555557</v>
      </c>
      <c r="AC1208" s="83">
        <v>14</v>
      </c>
      <c r="AD1208" s="88">
        <v>240</v>
      </c>
      <c r="AE1208" s="88">
        <v>120</v>
      </c>
      <c r="AF1208" s="88">
        <f t="shared" si="49"/>
        <v>640</v>
      </c>
      <c r="AG1208" s="66">
        <f t="shared" si="50"/>
        <v>195.88</v>
      </c>
      <c r="AH1208" s="143">
        <f t="shared" si="51"/>
        <v>1000</v>
      </c>
    </row>
    <row r="1209" spans="1:34" s="90" customFormat="1" x14ac:dyDescent="0.3">
      <c r="A1209" s="84">
        <v>903229</v>
      </c>
      <c r="B1209" s="87">
        <v>4.8999999999999995</v>
      </c>
      <c r="C1209" s="87"/>
      <c r="D1209" s="86">
        <v>8.6190476190476186</v>
      </c>
      <c r="E1209" s="99">
        <v>0.503</v>
      </c>
      <c r="F1209" s="87">
        <v>225.65</v>
      </c>
      <c r="G1209" s="83"/>
      <c r="H1209" s="84">
        <v>189.12</v>
      </c>
      <c r="I1209" s="83">
        <v>1120</v>
      </c>
      <c r="J1209" s="83">
        <v>0.26900000000000002</v>
      </c>
      <c r="K1209" s="87">
        <v>4.83</v>
      </c>
      <c r="L1209" s="83">
        <v>780</v>
      </c>
      <c r="M1209" s="86">
        <v>2.89</v>
      </c>
      <c r="N1209" s="83">
        <v>0.48</v>
      </c>
      <c r="O1209" s="83">
        <v>3.83</v>
      </c>
      <c r="P1209" s="83">
        <v>7.93</v>
      </c>
      <c r="Q1209" s="83"/>
      <c r="R1209" s="86">
        <v>1.2437845971537786</v>
      </c>
      <c r="S1209" s="83">
        <v>8.5</v>
      </c>
      <c r="T1209" s="83"/>
      <c r="U1209" s="83"/>
      <c r="V1209" s="83"/>
      <c r="W1209" s="83"/>
      <c r="X1209" s="83"/>
      <c r="Y1209" s="83">
        <v>6</v>
      </c>
      <c r="Z1209" s="83"/>
      <c r="AA1209" s="86">
        <v>5.5932258064516125</v>
      </c>
      <c r="AB1209" s="86">
        <v>0.94111111111111101</v>
      </c>
      <c r="AC1209" s="83">
        <v>13</v>
      </c>
      <c r="AD1209" s="88">
        <v>120</v>
      </c>
      <c r="AE1209" s="88">
        <v>80</v>
      </c>
      <c r="AF1209" s="88">
        <f t="shared" si="49"/>
        <v>800</v>
      </c>
      <c r="AG1209" s="66">
        <f t="shared" si="50"/>
        <v>284.97000000000003</v>
      </c>
      <c r="AH1209" s="143">
        <f t="shared" si="51"/>
        <v>1000</v>
      </c>
    </row>
    <row r="1210" spans="1:34" s="90" customFormat="1" x14ac:dyDescent="0.3">
      <c r="A1210" s="84">
        <v>903230</v>
      </c>
      <c r="B1210" s="87">
        <v>5.4999999999999991</v>
      </c>
      <c r="C1210" s="87"/>
      <c r="D1210" s="86">
        <v>8.4571428571428573</v>
      </c>
      <c r="E1210" s="99">
        <v>0.64</v>
      </c>
      <c r="F1210" s="87">
        <v>431.4</v>
      </c>
      <c r="G1210" s="83"/>
      <c r="H1210" s="84">
        <v>426.94</v>
      </c>
      <c r="I1210" s="83">
        <v>1030</v>
      </c>
      <c r="J1210" s="83">
        <v>0.61299999999999999</v>
      </c>
      <c r="K1210" s="87">
        <v>5.78</v>
      </c>
      <c r="L1210" s="83">
        <v>1590</v>
      </c>
      <c r="M1210" s="86">
        <v>2.44</v>
      </c>
      <c r="N1210" s="83">
        <v>0.38</v>
      </c>
      <c r="O1210" s="83">
        <v>1.21</v>
      </c>
      <c r="P1210" s="83">
        <v>4.95</v>
      </c>
      <c r="Q1210" s="83"/>
      <c r="R1210" s="86">
        <v>1.6958250000000001</v>
      </c>
      <c r="S1210" s="83">
        <v>13.5</v>
      </c>
      <c r="T1210" s="83"/>
      <c r="U1210" s="83"/>
      <c r="V1210" s="83"/>
      <c r="W1210" s="83"/>
      <c r="X1210" s="83"/>
      <c r="Y1210" s="83">
        <v>11</v>
      </c>
      <c r="Z1210" s="83"/>
      <c r="AA1210" s="86">
        <v>2.7074193548387098</v>
      </c>
      <c r="AB1210" s="86">
        <v>0.73888888888888882</v>
      </c>
      <c r="AC1210" s="83">
        <v>10</v>
      </c>
      <c r="AD1210" s="88">
        <v>220</v>
      </c>
      <c r="AE1210" s="88">
        <v>80</v>
      </c>
      <c r="AF1210" s="88">
        <f t="shared" si="49"/>
        <v>700</v>
      </c>
      <c r="AG1210" s="66">
        <f t="shared" si="50"/>
        <v>186.01090909090911</v>
      </c>
      <c r="AH1210" s="143">
        <f t="shared" si="51"/>
        <v>1000</v>
      </c>
    </row>
    <row r="1211" spans="1:34" s="90" customFormat="1" x14ac:dyDescent="0.3">
      <c r="A1211" s="84">
        <v>903231</v>
      </c>
      <c r="B1211" s="87">
        <v>5.333333333333333</v>
      </c>
      <c r="C1211" s="87"/>
      <c r="D1211" s="86">
        <v>8.21904761904762</v>
      </c>
      <c r="E1211" s="99">
        <v>1.0449999999999999</v>
      </c>
      <c r="F1211" s="87">
        <v>871.05000000000007</v>
      </c>
      <c r="G1211" s="83"/>
      <c r="H1211" s="84">
        <f>211.16*2</f>
        <v>422.32</v>
      </c>
      <c r="I1211" s="83">
        <v>2120</v>
      </c>
      <c r="J1211" s="83">
        <v>0.82</v>
      </c>
      <c r="K1211" s="87">
        <v>5.96</v>
      </c>
      <c r="L1211" s="83">
        <v>1740</v>
      </c>
      <c r="M1211" s="86">
        <v>3.08</v>
      </c>
      <c r="N1211" s="83">
        <v>0.87</v>
      </c>
      <c r="O1211" s="83">
        <v>10.25</v>
      </c>
      <c r="P1211" s="83">
        <v>21.047000000000001</v>
      </c>
      <c r="Q1211" s="83"/>
      <c r="R1211" s="86">
        <v>1.7644250000000001</v>
      </c>
      <c r="S1211" s="83">
        <v>15.5</v>
      </c>
      <c r="T1211" s="83"/>
      <c r="U1211" s="83"/>
      <c r="V1211" s="83"/>
      <c r="W1211" s="83"/>
      <c r="X1211" s="83"/>
      <c r="Y1211" s="83">
        <v>14</v>
      </c>
      <c r="Z1211" s="83"/>
      <c r="AA1211" s="86">
        <v>14.018064516129032</v>
      </c>
      <c r="AB1211" s="86">
        <v>1.54</v>
      </c>
      <c r="AC1211" s="83">
        <v>11</v>
      </c>
      <c r="AD1211" s="88">
        <v>280</v>
      </c>
      <c r="AE1211" s="88">
        <v>80</v>
      </c>
      <c r="AF1211" s="88">
        <f t="shared" si="49"/>
        <v>640</v>
      </c>
      <c r="AG1211" s="66">
        <f t="shared" si="50"/>
        <v>150.70285714285714</v>
      </c>
      <c r="AH1211" s="143">
        <f t="shared" si="51"/>
        <v>1000</v>
      </c>
    </row>
    <row r="1212" spans="1:34" s="90" customFormat="1" x14ac:dyDescent="0.3">
      <c r="A1212" s="84">
        <v>903232</v>
      </c>
      <c r="B1212" s="87">
        <v>12.083333333333334</v>
      </c>
      <c r="C1212" s="87">
        <v>5.8749999999999991</v>
      </c>
      <c r="D1212" s="86">
        <v>8.5904761904761902</v>
      </c>
      <c r="E1212" s="99">
        <v>0.77700000000000002</v>
      </c>
      <c r="F1212" s="87">
        <v>461.9</v>
      </c>
      <c r="G1212" s="83"/>
      <c r="H1212" s="84">
        <v>438.72</v>
      </c>
      <c r="I1212" s="83">
        <v>1990</v>
      </c>
      <c r="J1212" s="83">
        <v>0.64900000000000002</v>
      </c>
      <c r="K1212" s="87">
        <v>6.49</v>
      </c>
      <c r="L1212" s="83">
        <v>1700</v>
      </c>
      <c r="M1212" s="86">
        <v>3.68</v>
      </c>
      <c r="N1212" s="83">
        <v>0.54</v>
      </c>
      <c r="O1212" s="83">
        <v>2.5099999999999998</v>
      </c>
      <c r="P1212" s="83">
        <v>14.72</v>
      </c>
      <c r="Q1212" s="83"/>
      <c r="R1212" s="86">
        <v>1.8875480000000002</v>
      </c>
      <c r="S1212" s="83">
        <v>19.600000000000001</v>
      </c>
      <c r="T1212" s="83"/>
      <c r="U1212" s="83"/>
      <c r="V1212" s="83"/>
      <c r="W1212" s="83"/>
      <c r="X1212" s="83"/>
      <c r="Y1212" s="83">
        <v>6</v>
      </c>
      <c r="Z1212" s="83"/>
      <c r="AA1212" s="86">
        <v>4.5070967741935481</v>
      </c>
      <c r="AB1212" s="86">
        <v>1.2288888888888889</v>
      </c>
      <c r="AC1212" s="83">
        <v>10</v>
      </c>
      <c r="AD1212" s="88">
        <v>120</v>
      </c>
      <c r="AE1212" s="88">
        <v>100</v>
      </c>
      <c r="AF1212" s="88">
        <f t="shared" ref="AF1212:AF1228" si="52">1000-(AD1212+AE1212)</f>
        <v>780</v>
      </c>
      <c r="AG1212" s="66">
        <f t="shared" si="50"/>
        <v>382.91</v>
      </c>
      <c r="AH1212" s="143">
        <f t="shared" si="51"/>
        <v>1000</v>
      </c>
    </row>
    <row r="1213" spans="1:34" s="90" customFormat="1" x14ac:dyDescent="0.3">
      <c r="A1213" s="84">
        <v>903233</v>
      </c>
      <c r="B1213" s="87">
        <v>8.3333333333333321</v>
      </c>
      <c r="C1213" s="87"/>
      <c r="D1213" s="86">
        <v>8.4571428571428573</v>
      </c>
      <c r="E1213" s="99">
        <v>0.94899999999999995</v>
      </c>
      <c r="F1213" s="87">
        <v>654.9</v>
      </c>
      <c r="G1213" s="83"/>
      <c r="H1213" s="84">
        <v>286.5</v>
      </c>
      <c r="I1213" s="83">
        <v>1660</v>
      </c>
      <c r="J1213" s="83">
        <v>1.1379999999999999</v>
      </c>
      <c r="K1213" s="87">
        <v>6.23</v>
      </c>
      <c r="L1213" s="83">
        <v>1920</v>
      </c>
      <c r="M1213" s="86">
        <v>4.55</v>
      </c>
      <c r="N1213" s="83">
        <v>0.45</v>
      </c>
      <c r="O1213" s="83">
        <v>10.210000000000001</v>
      </c>
      <c r="P1213" s="83">
        <v>9.07</v>
      </c>
      <c r="Q1213" s="83"/>
      <c r="R1213" s="86">
        <v>2.061617</v>
      </c>
      <c r="S1213" s="83">
        <v>27.7</v>
      </c>
      <c r="T1213" s="83"/>
      <c r="U1213" s="83"/>
      <c r="V1213" s="83"/>
      <c r="W1213" s="83"/>
      <c r="X1213" s="83"/>
      <c r="Y1213" s="83">
        <v>7</v>
      </c>
      <c r="Z1213" s="83"/>
      <c r="AA1213" s="86">
        <v>1.9374193548387098</v>
      </c>
      <c r="AB1213" s="86">
        <v>1.0344444444444445</v>
      </c>
      <c r="AC1213" s="83">
        <v>14</v>
      </c>
      <c r="AD1213" s="88">
        <v>140</v>
      </c>
      <c r="AE1213" s="88">
        <v>100</v>
      </c>
      <c r="AF1213" s="88">
        <f t="shared" si="52"/>
        <v>760</v>
      </c>
      <c r="AG1213" s="66">
        <f t="shared" si="50"/>
        <v>315.06</v>
      </c>
      <c r="AH1213" s="143">
        <f t="shared" si="51"/>
        <v>1000</v>
      </c>
    </row>
    <row r="1214" spans="1:34" s="90" customFormat="1" x14ac:dyDescent="0.3">
      <c r="A1214" s="84">
        <v>903234</v>
      </c>
      <c r="B1214" s="87">
        <v>5.5666666666666664</v>
      </c>
      <c r="C1214" s="87"/>
      <c r="D1214" s="86">
        <v>8.3904761904761909</v>
      </c>
      <c r="E1214" s="99">
        <v>0.38800000000000001</v>
      </c>
      <c r="F1214" s="87">
        <v>232</v>
      </c>
      <c r="G1214" s="83"/>
      <c r="H1214" s="84">
        <v>144.02000000000001</v>
      </c>
      <c r="I1214" s="83">
        <v>1360</v>
      </c>
      <c r="J1214" s="83">
        <v>0.186</v>
      </c>
      <c r="K1214" s="87">
        <v>6.74</v>
      </c>
      <c r="L1214" s="83">
        <v>1400</v>
      </c>
      <c r="M1214" s="86">
        <v>2.4300000000000002</v>
      </c>
      <c r="N1214" s="83">
        <v>0.69</v>
      </c>
      <c r="O1214" s="83">
        <v>4.3899999999999997</v>
      </c>
      <c r="P1214" s="83">
        <v>5.45</v>
      </c>
      <c r="Q1214" s="83"/>
      <c r="R1214" s="86">
        <v>1.6557080000000002</v>
      </c>
      <c r="S1214" s="83">
        <v>12.4</v>
      </c>
      <c r="T1214" s="83"/>
      <c r="U1214" s="83"/>
      <c r="V1214" s="83"/>
      <c r="W1214" s="83"/>
      <c r="X1214" s="83"/>
      <c r="Y1214" s="83">
        <v>28</v>
      </c>
      <c r="Z1214" s="83"/>
      <c r="AA1214" s="86">
        <v>3.2583870967741935</v>
      </c>
      <c r="AB1214" s="86">
        <v>1.018888888888889</v>
      </c>
      <c r="AC1214" s="83">
        <v>10</v>
      </c>
      <c r="AD1214" s="88">
        <v>560</v>
      </c>
      <c r="AE1214" s="88">
        <v>300</v>
      </c>
      <c r="AF1214" s="88">
        <f t="shared" si="52"/>
        <v>140</v>
      </c>
      <c r="AG1214" s="66">
        <f t="shared" si="50"/>
        <v>85.212857142857146</v>
      </c>
      <c r="AH1214" s="143">
        <f t="shared" si="51"/>
        <v>1000</v>
      </c>
    </row>
    <row r="1215" spans="1:34" s="90" customFormat="1" x14ac:dyDescent="0.3">
      <c r="A1215" s="84">
        <v>903235</v>
      </c>
      <c r="B1215" s="87">
        <v>5.3888888888888884</v>
      </c>
      <c r="C1215" s="87"/>
      <c r="D1215" s="86">
        <v>8.6</v>
      </c>
      <c r="E1215" s="99">
        <v>0.35699999999999998</v>
      </c>
      <c r="F1215" s="87">
        <v>234.5</v>
      </c>
      <c r="G1215" s="83"/>
      <c r="H1215" s="84">
        <v>99.08</v>
      </c>
      <c r="I1215" s="83">
        <v>560</v>
      </c>
      <c r="J1215" s="83">
        <v>0.28699999999999998</v>
      </c>
      <c r="K1215" s="87">
        <v>6.21</v>
      </c>
      <c r="L1215" s="83">
        <v>1190</v>
      </c>
      <c r="M1215" s="86">
        <v>1.35</v>
      </c>
      <c r="N1215" s="83">
        <v>0.3</v>
      </c>
      <c r="O1215" s="83">
        <v>1.26</v>
      </c>
      <c r="P1215" s="83">
        <v>2.06</v>
      </c>
      <c r="Q1215" s="83"/>
      <c r="R1215" s="86">
        <v>1.0699792704690831</v>
      </c>
      <c r="S1215" s="83">
        <v>7.2</v>
      </c>
      <c r="T1215" s="83"/>
      <c r="U1215" s="83"/>
      <c r="V1215" s="83"/>
      <c r="W1215" s="83"/>
      <c r="X1215" s="83"/>
      <c r="Y1215" s="83">
        <v>22</v>
      </c>
      <c r="Z1215" s="83"/>
      <c r="AA1215" s="86">
        <v>0.33193548387096772</v>
      </c>
      <c r="AB1215" s="86">
        <v>0.64555555555555555</v>
      </c>
      <c r="AC1215" s="83">
        <v>14</v>
      </c>
      <c r="AD1215" s="88">
        <v>440</v>
      </c>
      <c r="AE1215" s="88">
        <v>160</v>
      </c>
      <c r="AF1215" s="88">
        <f t="shared" si="52"/>
        <v>400</v>
      </c>
      <c r="AG1215" s="66">
        <f t="shared" si="50"/>
        <v>99.924545454545466</v>
      </c>
      <c r="AH1215" s="143">
        <f t="shared" si="51"/>
        <v>1000</v>
      </c>
    </row>
    <row r="1216" spans="1:34" s="90" customFormat="1" x14ac:dyDescent="0.3">
      <c r="A1216" s="84">
        <v>903236</v>
      </c>
      <c r="B1216" s="87">
        <v>5.083333333333333</v>
      </c>
      <c r="C1216" s="87"/>
      <c r="D1216" s="86">
        <v>8.4761904761904763</v>
      </c>
      <c r="E1216" s="99">
        <v>0.26300000000000001</v>
      </c>
      <c r="F1216" s="87">
        <v>126.75</v>
      </c>
      <c r="G1216" s="83"/>
      <c r="H1216" s="84">
        <v>64.41</v>
      </c>
      <c r="I1216" s="83">
        <v>1010</v>
      </c>
      <c r="J1216" s="83">
        <v>0.182</v>
      </c>
      <c r="K1216" s="87">
        <v>6.43</v>
      </c>
      <c r="L1216" s="83">
        <v>1390</v>
      </c>
      <c r="M1216" s="86">
        <v>0.4</v>
      </c>
      <c r="N1216" s="83">
        <v>0.4</v>
      </c>
      <c r="O1216" s="83">
        <v>1.22</v>
      </c>
      <c r="P1216" s="83">
        <v>2.16</v>
      </c>
      <c r="Q1216" s="83"/>
      <c r="R1216" s="86">
        <v>0.91195319357530324</v>
      </c>
      <c r="S1216" s="83">
        <v>6.4</v>
      </c>
      <c r="T1216" s="83"/>
      <c r="U1216" s="83"/>
      <c r="V1216" s="83"/>
      <c r="W1216" s="83"/>
      <c r="X1216" s="83"/>
      <c r="Y1216" s="83">
        <v>23</v>
      </c>
      <c r="Z1216" s="83"/>
      <c r="AA1216" s="86">
        <v>1.3774193548387095</v>
      </c>
      <c r="AB1216" s="86">
        <v>0.7</v>
      </c>
      <c r="AC1216" s="83">
        <v>13</v>
      </c>
      <c r="AD1216" s="88">
        <v>460</v>
      </c>
      <c r="AE1216" s="88">
        <v>160</v>
      </c>
      <c r="AF1216" s="88">
        <f t="shared" si="52"/>
        <v>380</v>
      </c>
      <c r="AG1216" s="66">
        <f t="shared" si="50"/>
        <v>98.966086956521735</v>
      </c>
      <c r="AH1216" s="143">
        <f t="shared" si="51"/>
        <v>1000</v>
      </c>
    </row>
    <row r="1217" spans="1:34" s="90" customFormat="1" x14ac:dyDescent="0.3">
      <c r="A1217" s="84">
        <v>903237</v>
      </c>
      <c r="B1217" s="87">
        <v>5</v>
      </c>
      <c r="C1217" s="87"/>
      <c r="D1217" s="86">
        <v>8.5333333333333332</v>
      </c>
      <c r="E1217" s="99">
        <v>0.4</v>
      </c>
      <c r="F1217" s="87">
        <v>243.85000000000002</v>
      </c>
      <c r="G1217" s="83"/>
      <c r="H1217" s="84">
        <v>48.91</v>
      </c>
      <c r="I1217" s="83">
        <v>680</v>
      </c>
      <c r="J1217" s="83">
        <v>0.30099999999999999</v>
      </c>
      <c r="K1217" s="87">
        <v>6.29</v>
      </c>
      <c r="L1217" s="83">
        <v>1440</v>
      </c>
      <c r="M1217" s="86">
        <v>0.47</v>
      </c>
      <c r="N1217" s="83">
        <v>0.34</v>
      </c>
      <c r="O1217" s="83">
        <v>1.74</v>
      </c>
      <c r="P1217" s="83">
        <v>1.62</v>
      </c>
      <c r="Q1217" s="83"/>
      <c r="R1217" s="86">
        <v>0.63568138736270796</v>
      </c>
      <c r="S1217" s="83">
        <v>4.7</v>
      </c>
      <c r="T1217" s="83"/>
      <c r="U1217" s="83"/>
      <c r="V1217" s="83"/>
      <c r="W1217" s="83"/>
      <c r="X1217" s="83"/>
      <c r="Y1217" s="83">
        <v>23</v>
      </c>
      <c r="Z1217" s="83"/>
      <c r="AA1217" s="86">
        <v>0.57580645161290311</v>
      </c>
      <c r="AB1217" s="86">
        <v>0.56777777777777771</v>
      </c>
      <c r="AC1217" s="83">
        <v>12</v>
      </c>
      <c r="AD1217" s="88">
        <v>460</v>
      </c>
      <c r="AE1217" s="88">
        <v>120</v>
      </c>
      <c r="AF1217" s="88">
        <f t="shared" si="52"/>
        <v>420</v>
      </c>
      <c r="AG1217" s="66">
        <f t="shared" si="50"/>
        <v>96.811304347826081</v>
      </c>
      <c r="AH1217" s="143">
        <f t="shared" si="51"/>
        <v>1000</v>
      </c>
    </row>
    <row r="1218" spans="1:34" s="90" customFormat="1" x14ac:dyDescent="0.3">
      <c r="A1218" s="84">
        <v>903238</v>
      </c>
      <c r="B1218" s="87">
        <v>12.916666666666668</v>
      </c>
      <c r="C1218" s="87">
        <v>6.375</v>
      </c>
      <c r="D1218" s="86">
        <v>8.3238095238095244</v>
      </c>
      <c r="E1218" s="99">
        <v>1.19</v>
      </c>
      <c r="F1218" s="87">
        <v>857.8</v>
      </c>
      <c r="G1218" s="83"/>
      <c r="H1218" s="84">
        <v>343.56</v>
      </c>
      <c r="I1218" s="83">
        <v>1070</v>
      </c>
      <c r="J1218" s="83">
        <v>1.2390000000000001</v>
      </c>
      <c r="K1218" s="87">
        <v>6.98</v>
      </c>
      <c r="L1218" s="83">
        <v>1190</v>
      </c>
      <c r="M1218" s="86">
        <v>0.3</v>
      </c>
      <c r="N1218" s="83">
        <v>0.69</v>
      </c>
      <c r="O1218" s="83">
        <v>3.31</v>
      </c>
      <c r="P1218" s="83">
        <v>10.67</v>
      </c>
      <c r="Q1218" s="83"/>
      <c r="R1218" s="86">
        <v>1.666817</v>
      </c>
      <c r="S1218" s="83">
        <v>12.7</v>
      </c>
      <c r="T1218" s="83"/>
      <c r="U1218" s="83"/>
      <c r="V1218" s="83"/>
      <c r="W1218" s="83"/>
      <c r="X1218" s="83"/>
      <c r="Y1218" s="83">
        <v>21</v>
      </c>
      <c r="Z1218" s="83"/>
      <c r="AA1218" s="86">
        <v>7.9732258064516133</v>
      </c>
      <c r="AB1218" s="86">
        <v>1.0733333333333333</v>
      </c>
      <c r="AC1218" s="83">
        <v>10</v>
      </c>
      <c r="AD1218" s="88">
        <v>420</v>
      </c>
      <c r="AE1218" s="88">
        <v>140</v>
      </c>
      <c r="AF1218" s="88">
        <f t="shared" si="52"/>
        <v>440</v>
      </c>
      <c r="AG1218" s="66">
        <f t="shared" ref="AG1218:AG1281" si="53">+K1218*3.54*100/Y1218</f>
        <v>117.66285714285715</v>
      </c>
      <c r="AH1218" s="143">
        <f t="shared" ref="AH1218:AH1281" si="54">+SUM(AD1218:AF1218)</f>
        <v>1000</v>
      </c>
    </row>
    <row r="1219" spans="1:34" s="90" customFormat="1" x14ac:dyDescent="0.3">
      <c r="A1219" s="84">
        <v>903239</v>
      </c>
      <c r="B1219" s="87">
        <v>6.0555555555555554</v>
      </c>
      <c r="C1219" s="87"/>
      <c r="D1219" s="86">
        <v>8.742857142857142</v>
      </c>
      <c r="E1219" s="99">
        <v>0.54100000000000004</v>
      </c>
      <c r="F1219" s="87">
        <v>316.10000000000002</v>
      </c>
      <c r="G1219" s="83"/>
      <c r="H1219" s="84">
        <v>111.43</v>
      </c>
      <c r="I1219" s="83">
        <v>1410</v>
      </c>
      <c r="J1219" s="83">
        <v>0.43</v>
      </c>
      <c r="K1219" s="87">
        <v>6.2</v>
      </c>
      <c r="L1219" s="83">
        <v>1120</v>
      </c>
      <c r="M1219" s="86">
        <v>4.26</v>
      </c>
      <c r="N1219" s="83">
        <v>0.36</v>
      </c>
      <c r="O1219" s="83">
        <v>2.04</v>
      </c>
      <c r="P1219" s="83">
        <v>3.77</v>
      </c>
      <c r="Q1219" s="83"/>
      <c r="R1219" s="86">
        <v>1.415011239628553</v>
      </c>
      <c r="S1219" s="83">
        <v>9.3000000000000007</v>
      </c>
      <c r="T1219" s="83"/>
      <c r="U1219" s="83"/>
      <c r="V1219" s="83"/>
      <c r="W1219" s="83"/>
      <c r="X1219" s="83"/>
      <c r="Y1219" s="83">
        <v>22</v>
      </c>
      <c r="Z1219" s="83"/>
      <c r="AA1219" s="86">
        <v>1.106451612903226</v>
      </c>
      <c r="AB1219" s="86">
        <v>0.82444444444444442</v>
      </c>
      <c r="AC1219" s="83">
        <v>10</v>
      </c>
      <c r="AD1219" s="88">
        <v>440</v>
      </c>
      <c r="AE1219" s="88">
        <v>160</v>
      </c>
      <c r="AF1219" s="88">
        <f t="shared" si="52"/>
        <v>400</v>
      </c>
      <c r="AG1219" s="66">
        <f t="shared" si="53"/>
        <v>99.763636363636365</v>
      </c>
      <c r="AH1219" s="143">
        <f t="shared" si="54"/>
        <v>1000</v>
      </c>
    </row>
    <row r="1220" spans="1:34" s="90" customFormat="1" x14ac:dyDescent="0.3">
      <c r="A1220" s="84">
        <v>903240</v>
      </c>
      <c r="B1220" s="87">
        <v>5.1944444444444429</v>
      </c>
      <c r="C1220" s="87"/>
      <c r="D1220" s="86">
        <v>8.6476190476190471</v>
      </c>
      <c r="E1220" s="99">
        <v>1.6</v>
      </c>
      <c r="F1220" s="87">
        <v>1340.65</v>
      </c>
      <c r="G1220" s="83"/>
      <c r="H1220" s="84">
        <v>442.36</v>
      </c>
      <c r="I1220" s="83">
        <v>3450</v>
      </c>
      <c r="J1220" s="83">
        <v>1.383</v>
      </c>
      <c r="K1220" s="87">
        <v>5.32</v>
      </c>
      <c r="L1220" s="83">
        <v>1560</v>
      </c>
      <c r="M1220" s="86">
        <v>0.86</v>
      </c>
      <c r="N1220" s="83">
        <v>0.91</v>
      </c>
      <c r="O1220" s="83">
        <v>8.26</v>
      </c>
      <c r="P1220" s="83">
        <v>25.2</v>
      </c>
      <c r="Q1220" s="83"/>
      <c r="R1220" s="86">
        <v>1.882088</v>
      </c>
      <c r="S1220" s="83">
        <v>19.399999999999999</v>
      </c>
      <c r="T1220" s="83"/>
      <c r="U1220" s="83"/>
      <c r="V1220" s="83"/>
      <c r="W1220" s="83"/>
      <c r="X1220" s="83"/>
      <c r="Y1220" s="83">
        <v>12</v>
      </c>
      <c r="Z1220" s="83"/>
      <c r="AA1220" s="86">
        <v>16.393548387096772</v>
      </c>
      <c r="AB1220" s="86">
        <v>1.6877777777777778</v>
      </c>
      <c r="AC1220" s="83">
        <v>15</v>
      </c>
      <c r="AD1220" s="88">
        <v>240</v>
      </c>
      <c r="AE1220" s="88">
        <v>100</v>
      </c>
      <c r="AF1220" s="88">
        <f t="shared" si="52"/>
        <v>660</v>
      </c>
      <c r="AG1220" s="66">
        <f t="shared" si="53"/>
        <v>156.94000000000003</v>
      </c>
      <c r="AH1220" s="143">
        <f t="shared" si="54"/>
        <v>1000</v>
      </c>
    </row>
    <row r="1221" spans="1:34" s="90" customFormat="1" x14ac:dyDescent="0.3">
      <c r="A1221" s="84">
        <v>903241</v>
      </c>
      <c r="B1221" s="87">
        <v>4.6111111111111107</v>
      </c>
      <c r="C1221" s="87"/>
      <c r="D1221" s="86">
        <v>8.9999999999999982</v>
      </c>
      <c r="E1221" s="99">
        <v>0.6</v>
      </c>
      <c r="F1221" s="87">
        <v>262.55</v>
      </c>
      <c r="G1221" s="83"/>
      <c r="H1221" s="84">
        <v>215.67</v>
      </c>
      <c r="I1221" s="83">
        <v>1330</v>
      </c>
      <c r="J1221" s="83">
        <v>0.41199999999999998</v>
      </c>
      <c r="K1221" s="87">
        <v>4.4000000000000004</v>
      </c>
      <c r="L1221" s="83">
        <v>1120</v>
      </c>
      <c r="M1221" s="86">
        <v>4.7</v>
      </c>
      <c r="N1221" s="83">
        <v>0.39</v>
      </c>
      <c r="O1221" s="83">
        <v>4.04</v>
      </c>
      <c r="P1221" s="83">
        <v>8.26</v>
      </c>
      <c r="Q1221" s="83"/>
      <c r="R1221" s="86">
        <v>1.3333383706739663</v>
      </c>
      <c r="S1221" s="83">
        <v>9.3000000000000007</v>
      </c>
      <c r="T1221" s="83"/>
      <c r="U1221" s="83"/>
      <c r="V1221" s="83"/>
      <c r="W1221" s="83"/>
      <c r="X1221" s="83"/>
      <c r="Y1221" s="83">
        <v>4</v>
      </c>
      <c r="Z1221" s="83"/>
      <c r="AA1221" s="86">
        <v>3.19741935483871</v>
      </c>
      <c r="AB1221" s="86">
        <v>0.98777777777777787</v>
      </c>
      <c r="AC1221" s="83">
        <v>11</v>
      </c>
      <c r="AD1221" s="88">
        <v>80</v>
      </c>
      <c r="AE1221" s="88">
        <v>80</v>
      </c>
      <c r="AF1221" s="88">
        <f t="shared" si="52"/>
        <v>840</v>
      </c>
      <c r="AG1221" s="66">
        <f t="shared" si="53"/>
        <v>389.40000000000003</v>
      </c>
      <c r="AH1221" s="143">
        <f t="shared" si="54"/>
        <v>1000</v>
      </c>
    </row>
    <row r="1222" spans="1:34" s="90" customFormat="1" x14ac:dyDescent="0.3">
      <c r="A1222" s="84">
        <v>903242</v>
      </c>
      <c r="B1222" s="87">
        <v>10.694444444444445</v>
      </c>
      <c r="C1222" s="87">
        <v>4.375</v>
      </c>
      <c r="D1222" s="86">
        <v>8.3523809523809511</v>
      </c>
      <c r="E1222" s="99">
        <v>0.745</v>
      </c>
      <c r="F1222" s="87">
        <v>260.39999999999998</v>
      </c>
      <c r="G1222" s="83"/>
      <c r="H1222" s="84">
        <f>308.21*2</f>
        <v>616.41999999999996</v>
      </c>
      <c r="I1222" s="83">
        <v>1160</v>
      </c>
      <c r="J1222" s="83">
        <v>0.38900000000000001</v>
      </c>
      <c r="K1222" s="87">
        <v>4.88</v>
      </c>
      <c r="L1222" s="83">
        <v>730</v>
      </c>
      <c r="M1222" s="86">
        <v>2.21</v>
      </c>
      <c r="N1222" s="83">
        <v>0.66</v>
      </c>
      <c r="O1222" s="83">
        <v>2.35</v>
      </c>
      <c r="P1222" s="83">
        <v>12.26</v>
      </c>
      <c r="Q1222" s="83"/>
      <c r="R1222" s="86">
        <v>0.54302102059603241</v>
      </c>
      <c r="S1222" s="83">
        <v>3.9</v>
      </c>
      <c r="T1222" s="83"/>
      <c r="U1222" s="83"/>
      <c r="V1222" s="83"/>
      <c r="W1222" s="83"/>
      <c r="X1222" s="83"/>
      <c r="Y1222" s="83">
        <v>4</v>
      </c>
      <c r="Z1222" s="83"/>
      <c r="AA1222" s="86">
        <v>21.623225806451615</v>
      </c>
      <c r="AB1222" s="86">
        <v>3.8188888888888894</v>
      </c>
      <c r="AC1222" s="83">
        <v>15</v>
      </c>
      <c r="AD1222" s="88">
        <v>80</v>
      </c>
      <c r="AE1222" s="88">
        <v>60</v>
      </c>
      <c r="AF1222" s="88">
        <f t="shared" si="52"/>
        <v>860</v>
      </c>
      <c r="AG1222" s="66">
        <f t="shared" si="53"/>
        <v>431.87999999999994</v>
      </c>
      <c r="AH1222" s="143">
        <f t="shared" si="54"/>
        <v>1000</v>
      </c>
    </row>
    <row r="1223" spans="1:34" s="90" customFormat="1" x14ac:dyDescent="0.3">
      <c r="A1223" s="84">
        <v>903243</v>
      </c>
      <c r="B1223" s="87">
        <v>9.0555555555555536</v>
      </c>
      <c r="C1223" s="87"/>
      <c r="D1223" s="86">
        <v>8.0761904761904759</v>
      </c>
      <c r="E1223" s="99">
        <v>1.92</v>
      </c>
      <c r="F1223" s="87">
        <v>617.6</v>
      </c>
      <c r="G1223" s="83"/>
      <c r="H1223" s="84">
        <f>433.18*2</f>
        <v>866.36</v>
      </c>
      <c r="I1223" s="83">
        <v>2240</v>
      </c>
      <c r="J1223" s="83">
        <v>0.58799999999999997</v>
      </c>
      <c r="K1223" s="87">
        <v>4.79</v>
      </c>
      <c r="L1223" s="83">
        <v>690</v>
      </c>
      <c r="M1223" s="86">
        <v>4.3600000000000003</v>
      </c>
      <c r="N1223" s="83">
        <v>0.81</v>
      </c>
      <c r="O1223" s="83">
        <v>5</v>
      </c>
      <c r="P1223" s="83">
        <v>17.09</v>
      </c>
      <c r="Q1223" s="83"/>
      <c r="R1223" s="86">
        <v>1.3705916305081824</v>
      </c>
      <c r="S1223" s="83">
        <v>9.5</v>
      </c>
      <c r="T1223" s="83"/>
      <c r="U1223" s="83"/>
      <c r="V1223" s="83"/>
      <c r="W1223" s="83"/>
      <c r="X1223" s="83"/>
      <c r="Y1223" s="83">
        <v>5</v>
      </c>
      <c r="Z1223" s="83"/>
      <c r="AA1223" s="86">
        <v>21.745161290322581</v>
      </c>
      <c r="AB1223" s="86">
        <v>6.1755555555555564</v>
      </c>
      <c r="AC1223" s="83">
        <v>12</v>
      </c>
      <c r="AD1223" s="88">
        <v>100</v>
      </c>
      <c r="AE1223" s="88">
        <v>80</v>
      </c>
      <c r="AF1223" s="88">
        <f t="shared" si="52"/>
        <v>820</v>
      </c>
      <c r="AG1223" s="66">
        <f t="shared" si="53"/>
        <v>339.13200000000001</v>
      </c>
      <c r="AH1223" s="143">
        <f t="shared" si="54"/>
        <v>1000</v>
      </c>
    </row>
    <row r="1224" spans="1:34" s="90" customFormat="1" x14ac:dyDescent="0.3">
      <c r="A1224" s="84">
        <v>903244</v>
      </c>
      <c r="B1224" s="87">
        <v>9.4166666666666661</v>
      </c>
      <c r="C1224" s="87"/>
      <c r="D1224" s="86">
        <v>7.8666666666666663</v>
      </c>
      <c r="E1224" s="99">
        <v>1.54</v>
      </c>
      <c r="F1224" s="87">
        <v>591.85</v>
      </c>
      <c r="G1224" s="83"/>
      <c r="H1224" s="84">
        <f>260.05*4</f>
        <v>1040.2</v>
      </c>
      <c r="I1224" s="83">
        <v>2210</v>
      </c>
      <c r="J1224" s="83">
        <v>0.86499999999999999</v>
      </c>
      <c r="K1224" s="87">
        <v>4.57</v>
      </c>
      <c r="L1224" s="83">
        <v>1270</v>
      </c>
      <c r="M1224" s="86">
        <v>14.42</v>
      </c>
      <c r="N1224" s="83">
        <v>1.6</v>
      </c>
      <c r="O1224" s="83">
        <v>6.85</v>
      </c>
      <c r="P1224" s="83">
        <v>28.02</v>
      </c>
      <c r="Q1224" s="83"/>
      <c r="R1224" s="86">
        <v>1.3322598275007553</v>
      </c>
      <c r="S1224" s="83">
        <v>9.3000000000000007</v>
      </c>
      <c r="T1224" s="83"/>
      <c r="U1224" s="83"/>
      <c r="V1224" s="83"/>
      <c r="W1224" s="83"/>
      <c r="X1224" s="83"/>
      <c r="Y1224" s="83">
        <v>5</v>
      </c>
      <c r="Z1224" s="83"/>
      <c r="AA1224" s="86">
        <v>21.706774193548387</v>
      </c>
      <c r="AB1224" s="86">
        <v>5.3744444444444452</v>
      </c>
      <c r="AC1224" s="83">
        <v>15</v>
      </c>
      <c r="AD1224" s="88">
        <v>100</v>
      </c>
      <c r="AE1224" s="88">
        <v>60</v>
      </c>
      <c r="AF1224" s="88">
        <f t="shared" si="52"/>
        <v>840</v>
      </c>
      <c r="AG1224" s="66">
        <f t="shared" si="53"/>
        <v>323.55600000000004</v>
      </c>
      <c r="AH1224" s="143">
        <f t="shared" si="54"/>
        <v>1000</v>
      </c>
    </row>
    <row r="1225" spans="1:34" s="90" customFormat="1" x14ac:dyDescent="0.3">
      <c r="A1225" s="84">
        <v>903245</v>
      </c>
      <c r="B1225" s="87">
        <v>9.7222222222222214</v>
      </c>
      <c r="C1225" s="87"/>
      <c r="D1225" s="86">
        <v>7.8952380952380938</v>
      </c>
      <c r="E1225" s="99">
        <v>2.17</v>
      </c>
      <c r="F1225" s="87">
        <v>764.95</v>
      </c>
      <c r="G1225" s="83"/>
      <c r="H1225" s="84">
        <f>415.39*2</f>
        <v>830.78</v>
      </c>
      <c r="I1225" s="83">
        <v>2410</v>
      </c>
      <c r="J1225" s="83">
        <v>0.67100000000000004</v>
      </c>
      <c r="K1225" s="87">
        <v>5.36</v>
      </c>
      <c r="L1225" s="83">
        <v>850</v>
      </c>
      <c r="M1225" s="86">
        <v>8.98</v>
      </c>
      <c r="N1225" s="83">
        <v>0.85</v>
      </c>
      <c r="O1225" s="83">
        <v>5.59</v>
      </c>
      <c r="P1225" s="83">
        <v>17.79</v>
      </c>
      <c r="Q1225" s="83"/>
      <c r="R1225" s="86">
        <v>1.0779947481686287</v>
      </c>
      <c r="S1225" s="83">
        <v>7.3</v>
      </c>
      <c r="T1225" s="83"/>
      <c r="U1225" s="83"/>
      <c r="V1225" s="83"/>
      <c r="W1225" s="83"/>
      <c r="X1225" s="83"/>
      <c r="Y1225" s="83">
        <v>4</v>
      </c>
      <c r="Z1225" s="83"/>
      <c r="AA1225" s="86">
        <v>21.946129032258064</v>
      </c>
      <c r="AB1225" s="86">
        <v>6.0588888888888892</v>
      </c>
      <c r="AC1225" s="83">
        <v>15</v>
      </c>
      <c r="AD1225" s="88">
        <v>80</v>
      </c>
      <c r="AE1225" s="88">
        <v>60</v>
      </c>
      <c r="AF1225" s="88">
        <f t="shared" si="52"/>
        <v>860</v>
      </c>
      <c r="AG1225" s="66">
        <f t="shared" si="53"/>
        <v>474.36000000000007</v>
      </c>
      <c r="AH1225" s="143">
        <f t="shared" si="54"/>
        <v>1000</v>
      </c>
    </row>
    <row r="1226" spans="1:34" s="90" customFormat="1" x14ac:dyDescent="0.3">
      <c r="A1226" s="84">
        <v>903246</v>
      </c>
      <c r="B1226" s="87">
        <v>9.6666666666666643</v>
      </c>
      <c r="C1226" s="87"/>
      <c r="D1226" s="86">
        <v>8.6380952380952376</v>
      </c>
      <c r="E1226" s="99">
        <v>0.19500000000000001</v>
      </c>
      <c r="F1226" s="87">
        <v>89.800000000000011</v>
      </c>
      <c r="G1226" s="83"/>
      <c r="H1226" s="84">
        <v>248.99</v>
      </c>
      <c r="I1226" s="83">
        <v>170</v>
      </c>
      <c r="J1226" s="83">
        <v>0.26900000000000002</v>
      </c>
      <c r="K1226" s="87">
        <v>5.36</v>
      </c>
      <c r="L1226" s="83">
        <v>610</v>
      </c>
      <c r="M1226" s="86">
        <v>2.12</v>
      </c>
      <c r="N1226" s="83">
        <v>0.44</v>
      </c>
      <c r="O1226" s="83">
        <v>0.81</v>
      </c>
      <c r="P1226" s="83">
        <v>7.71</v>
      </c>
      <c r="Q1226" s="83"/>
      <c r="R1226" s="86">
        <v>0.8371023710650588</v>
      </c>
      <c r="S1226" s="83">
        <v>5.8</v>
      </c>
      <c r="T1226" s="83"/>
      <c r="U1226" s="83"/>
      <c r="V1226" s="83"/>
      <c r="W1226" s="83"/>
      <c r="X1226" s="83"/>
      <c r="Y1226" s="83">
        <v>7</v>
      </c>
      <c r="Z1226" s="83"/>
      <c r="AA1226" s="86">
        <v>6.1509677419354833</v>
      </c>
      <c r="AB1226" s="86">
        <v>0.90222222222222215</v>
      </c>
      <c r="AC1226" s="83">
        <v>11</v>
      </c>
      <c r="AD1226" s="88">
        <v>140</v>
      </c>
      <c r="AE1226" s="88">
        <v>100</v>
      </c>
      <c r="AF1226" s="88">
        <f t="shared" si="52"/>
        <v>760</v>
      </c>
      <c r="AG1226" s="66">
        <f t="shared" si="53"/>
        <v>271.06285714285718</v>
      </c>
      <c r="AH1226" s="143">
        <f t="shared" si="54"/>
        <v>1000</v>
      </c>
    </row>
    <row r="1227" spans="1:34" s="90" customFormat="1" x14ac:dyDescent="0.3">
      <c r="A1227" s="84">
        <v>903247</v>
      </c>
      <c r="B1227" s="87">
        <v>8.375</v>
      </c>
      <c r="C1227" s="87"/>
      <c r="D1227" s="86">
        <v>8.3047619047619055</v>
      </c>
      <c r="E1227" s="99">
        <v>1.212</v>
      </c>
      <c r="F1227" s="87">
        <v>543.69999999999993</v>
      </c>
      <c r="G1227" s="83"/>
      <c r="H1227" s="84">
        <f>408.22*2</f>
        <v>816.44</v>
      </c>
      <c r="I1227" s="83">
        <v>1920</v>
      </c>
      <c r="J1227" s="83">
        <v>0.54600000000000004</v>
      </c>
      <c r="K1227" s="87">
        <v>5.94</v>
      </c>
      <c r="L1227" s="83">
        <v>770</v>
      </c>
      <c r="M1227" s="86">
        <v>6.86</v>
      </c>
      <c r="N1227" s="83">
        <v>0.85</v>
      </c>
      <c r="O1227" s="83">
        <v>4.45</v>
      </c>
      <c r="P1227" s="83">
        <v>15.76</v>
      </c>
      <c r="Q1227" s="83"/>
      <c r="R1227" s="86">
        <v>0.95810589538908808</v>
      </c>
      <c r="S1227" s="83">
        <v>6.6</v>
      </c>
      <c r="T1227" s="83"/>
      <c r="U1227" s="83"/>
      <c r="V1227" s="83"/>
      <c r="W1227" s="83"/>
      <c r="X1227" s="83"/>
      <c r="Y1227" s="83">
        <v>6</v>
      </c>
      <c r="Z1227" s="83"/>
      <c r="AA1227" s="86">
        <v>12.627096774193548</v>
      </c>
      <c r="AB1227" s="86">
        <v>5.2188888888888885</v>
      </c>
      <c r="AC1227" s="83">
        <v>13</v>
      </c>
      <c r="AD1227" s="88">
        <v>120</v>
      </c>
      <c r="AE1227" s="88">
        <v>80</v>
      </c>
      <c r="AF1227" s="88">
        <f t="shared" si="52"/>
        <v>800</v>
      </c>
      <c r="AG1227" s="66">
        <f t="shared" si="53"/>
        <v>350.46000000000004</v>
      </c>
      <c r="AH1227" s="143">
        <f t="shared" si="54"/>
        <v>1000</v>
      </c>
    </row>
    <row r="1228" spans="1:34" s="90" customFormat="1" x14ac:dyDescent="0.3">
      <c r="A1228" s="84">
        <v>903248</v>
      </c>
      <c r="B1228" s="87">
        <v>11.791666666666666</v>
      </c>
      <c r="C1228" s="87">
        <v>6.7499999999999982</v>
      </c>
      <c r="D1228" s="86">
        <v>8.1904761904761898</v>
      </c>
      <c r="E1228" s="99">
        <v>1.8</v>
      </c>
      <c r="F1228" s="87">
        <v>846.85</v>
      </c>
      <c r="G1228" s="83"/>
      <c r="H1228" s="84">
        <f>275.8*4</f>
        <v>1103.2</v>
      </c>
      <c r="I1228" s="83">
        <v>3100</v>
      </c>
      <c r="J1228" s="83">
        <v>0.74099999999999999</v>
      </c>
      <c r="K1228" s="87">
        <v>5.59</v>
      </c>
      <c r="L1228" s="83">
        <v>950</v>
      </c>
      <c r="M1228" s="86">
        <v>12.94</v>
      </c>
      <c r="N1228" s="83">
        <v>1.31</v>
      </c>
      <c r="O1228" s="83">
        <v>9.84</v>
      </c>
      <c r="P1228" s="83">
        <v>29.93</v>
      </c>
      <c r="Q1228" s="83"/>
      <c r="R1228" s="86">
        <v>1.5943320000000001</v>
      </c>
      <c r="S1228" s="83">
        <v>10.8</v>
      </c>
      <c r="T1228" s="83"/>
      <c r="U1228" s="83"/>
      <c r="V1228" s="83"/>
      <c r="W1228" s="83"/>
      <c r="X1228" s="83"/>
      <c r="Y1228" s="83">
        <v>5</v>
      </c>
      <c r="Z1228" s="83"/>
      <c r="AA1228" s="86">
        <v>21.79032258064516</v>
      </c>
      <c r="AB1228" s="86">
        <v>5.81</v>
      </c>
      <c r="AC1228" s="83">
        <v>11</v>
      </c>
      <c r="AD1228" s="88">
        <v>100</v>
      </c>
      <c r="AE1228" s="88">
        <v>80</v>
      </c>
      <c r="AF1228" s="88">
        <f t="shared" si="52"/>
        <v>820</v>
      </c>
      <c r="AG1228" s="66">
        <f t="shared" si="53"/>
        <v>395.77199999999999</v>
      </c>
      <c r="AH1228" s="143">
        <f t="shared" si="54"/>
        <v>1000</v>
      </c>
    </row>
    <row r="1229" spans="1:34" s="90" customFormat="1" x14ac:dyDescent="0.3">
      <c r="A1229" s="84">
        <v>903249</v>
      </c>
      <c r="B1229" s="87">
        <v>11.666666666666666</v>
      </c>
      <c r="C1229" s="87">
        <v>2.9999999999999982</v>
      </c>
      <c r="D1229" s="86">
        <v>8</v>
      </c>
      <c r="E1229" s="104">
        <v>1.0269999999999999</v>
      </c>
      <c r="F1229" s="84">
        <v>367.8</v>
      </c>
      <c r="G1229" s="84"/>
      <c r="H1229" s="84">
        <v>642.86</v>
      </c>
      <c r="I1229" s="84">
        <v>1430</v>
      </c>
      <c r="J1229" s="85">
        <v>0.57299999999999995</v>
      </c>
      <c r="K1229" s="87">
        <v>6.8</v>
      </c>
      <c r="L1229" s="83">
        <v>950</v>
      </c>
      <c r="M1229" s="83">
        <v>8.19</v>
      </c>
      <c r="N1229" s="83">
        <v>1.38</v>
      </c>
      <c r="O1229" s="83">
        <v>5.57</v>
      </c>
      <c r="P1229" s="83">
        <v>25.57</v>
      </c>
      <c r="Q1229" s="85"/>
      <c r="R1229" s="86">
        <v>1.5504609056212613</v>
      </c>
      <c r="S1229" s="83">
        <v>10.1</v>
      </c>
      <c r="T1229" s="83"/>
      <c r="U1229" s="83"/>
      <c r="V1229" s="83"/>
      <c r="W1229" s="83"/>
      <c r="X1229" s="87"/>
      <c r="Y1229" s="87">
        <v>5</v>
      </c>
      <c r="Z1229" s="86"/>
      <c r="AA1229" s="82">
        <v>20.873548387096772</v>
      </c>
      <c r="AB1229" s="91">
        <v>0.6</v>
      </c>
      <c r="AC1229" s="91">
        <v>10</v>
      </c>
      <c r="AD1229" s="88">
        <v>100</v>
      </c>
      <c r="AE1229" s="88">
        <v>100</v>
      </c>
      <c r="AF1229" s="88">
        <v>800</v>
      </c>
      <c r="AG1229" s="66">
        <f t="shared" si="53"/>
        <v>481.43999999999994</v>
      </c>
      <c r="AH1229" s="143">
        <f t="shared" si="54"/>
        <v>1000</v>
      </c>
    </row>
    <row r="1230" spans="1:34" s="90" customFormat="1" x14ac:dyDescent="0.3">
      <c r="A1230" s="84">
        <v>903250</v>
      </c>
      <c r="B1230" s="87">
        <v>11.249999999999998</v>
      </c>
      <c r="C1230" s="87">
        <v>3.6249999999999982</v>
      </c>
      <c r="D1230" s="86">
        <v>8.4095238095238098</v>
      </c>
      <c r="E1230" s="104">
        <v>0.82899999999999996</v>
      </c>
      <c r="F1230" s="84">
        <v>486.45000000000005</v>
      </c>
      <c r="G1230" s="84"/>
      <c r="H1230" s="84">
        <v>494.36</v>
      </c>
      <c r="I1230" s="84">
        <v>1220</v>
      </c>
      <c r="J1230" s="85">
        <v>0.42499999999999999</v>
      </c>
      <c r="K1230" s="87">
        <v>5.46</v>
      </c>
      <c r="L1230" s="83">
        <v>690</v>
      </c>
      <c r="M1230" s="83">
        <v>4.3</v>
      </c>
      <c r="N1230" s="83">
        <v>0.67</v>
      </c>
      <c r="O1230" s="83">
        <v>4.28</v>
      </c>
      <c r="P1230" s="83">
        <v>16.14</v>
      </c>
      <c r="Q1230" s="85"/>
      <c r="R1230" s="86">
        <v>1.4286827199441972</v>
      </c>
      <c r="S1230" s="83">
        <v>9.5</v>
      </c>
      <c r="T1230" s="83"/>
      <c r="U1230" s="83"/>
      <c r="V1230" s="83"/>
      <c r="W1230" s="83"/>
      <c r="X1230" s="87"/>
      <c r="Y1230" s="87">
        <v>7</v>
      </c>
      <c r="Z1230" s="86"/>
      <c r="AA1230" s="82">
        <v>12.31774193548387</v>
      </c>
      <c r="AB1230" s="91">
        <v>7</v>
      </c>
      <c r="AC1230" s="91">
        <v>11</v>
      </c>
      <c r="AD1230" s="88">
        <v>100</v>
      </c>
      <c r="AE1230" s="88">
        <v>80</v>
      </c>
      <c r="AF1230" s="88">
        <v>820</v>
      </c>
      <c r="AG1230" s="66">
        <f t="shared" si="53"/>
        <v>276.12</v>
      </c>
      <c r="AH1230" s="143">
        <f t="shared" si="54"/>
        <v>1000</v>
      </c>
    </row>
    <row r="1231" spans="1:34" s="90" customFormat="1" x14ac:dyDescent="0.3">
      <c r="A1231" s="84">
        <v>903251</v>
      </c>
      <c r="B1231" s="87">
        <v>10.999999999999998</v>
      </c>
      <c r="C1231" s="87">
        <v>3.125</v>
      </c>
      <c r="D1231" s="86">
        <v>8.3904761904761909</v>
      </c>
      <c r="E1231" s="104">
        <v>1.1499999999999999</v>
      </c>
      <c r="F1231" s="84">
        <v>469.45</v>
      </c>
      <c r="G1231" s="84"/>
      <c r="H1231" s="84">
        <v>610.38</v>
      </c>
      <c r="I1231" s="84">
        <v>2190</v>
      </c>
      <c r="J1231" s="85">
        <v>0.64</v>
      </c>
      <c r="K1231" s="87">
        <v>5.65</v>
      </c>
      <c r="L1231" s="83">
        <v>790</v>
      </c>
      <c r="M1231" s="83">
        <v>7.22</v>
      </c>
      <c r="N1231" s="83">
        <v>1.1000000000000001</v>
      </c>
      <c r="O1231" s="83">
        <v>6.73</v>
      </c>
      <c r="P1231" s="83">
        <v>22.96</v>
      </c>
      <c r="Q1231" s="85"/>
      <c r="R1231" s="86">
        <v>1.3541592200591415</v>
      </c>
      <c r="S1231" s="83">
        <v>9.4</v>
      </c>
      <c r="T1231" s="83"/>
      <c r="U1231" s="83"/>
      <c r="V1231" s="83"/>
      <c r="W1231" s="83"/>
      <c r="X1231" s="87"/>
      <c r="Y1231" s="87">
        <v>7</v>
      </c>
      <c r="Z1231" s="86"/>
      <c r="AA1231" s="82">
        <v>20.31354838709677</v>
      </c>
      <c r="AB1231" s="91">
        <v>3.7</v>
      </c>
      <c r="AC1231" s="91">
        <v>12</v>
      </c>
      <c r="AD1231" s="88">
        <v>100</v>
      </c>
      <c r="AE1231" s="88">
        <v>80</v>
      </c>
      <c r="AF1231" s="88">
        <v>820</v>
      </c>
      <c r="AG1231" s="66">
        <f t="shared" si="53"/>
        <v>285.72857142857146</v>
      </c>
      <c r="AH1231" s="143">
        <f t="shared" si="54"/>
        <v>1000</v>
      </c>
    </row>
    <row r="1232" spans="1:34" s="90" customFormat="1" x14ac:dyDescent="0.3">
      <c r="A1232" s="84">
        <v>903252</v>
      </c>
      <c r="B1232" s="87">
        <v>12.587500000000002</v>
      </c>
      <c r="C1232" s="87">
        <v>3.3749999999999991</v>
      </c>
      <c r="D1232" s="86">
        <v>8.0857142857142854</v>
      </c>
      <c r="E1232" s="104">
        <v>1.68</v>
      </c>
      <c r="F1232" s="84">
        <v>502.45</v>
      </c>
      <c r="G1232" s="84"/>
      <c r="H1232" s="84">
        <v>756.72</v>
      </c>
      <c r="I1232" s="84">
        <v>1790</v>
      </c>
      <c r="J1232" s="85">
        <v>0.54900000000000004</v>
      </c>
      <c r="K1232" s="87">
        <v>5.81</v>
      </c>
      <c r="L1232" s="83">
        <v>800</v>
      </c>
      <c r="M1232" s="83">
        <v>7.07</v>
      </c>
      <c r="N1232" s="83">
        <v>0.89</v>
      </c>
      <c r="O1232" s="83">
        <v>6.13</v>
      </c>
      <c r="P1232" s="83">
        <v>17.16</v>
      </c>
      <c r="Q1232" s="85"/>
      <c r="R1232" s="86">
        <v>0.94219910510339333</v>
      </c>
      <c r="S1232" s="83">
        <v>6.8</v>
      </c>
      <c r="T1232" s="83"/>
      <c r="U1232" s="83"/>
      <c r="V1232" s="83"/>
      <c r="W1232" s="83"/>
      <c r="X1232" s="87"/>
      <c r="Y1232" s="87">
        <v>5.5</v>
      </c>
      <c r="Z1232" s="86"/>
      <c r="AA1232" s="82">
        <v>21.792580645161291</v>
      </c>
      <c r="AB1232" s="91">
        <v>1.3</v>
      </c>
      <c r="AC1232" s="91">
        <v>10</v>
      </c>
      <c r="AD1232" s="88">
        <v>110</v>
      </c>
      <c r="AE1232" s="88">
        <v>90</v>
      </c>
      <c r="AF1232" s="88">
        <v>800</v>
      </c>
      <c r="AG1232" s="66">
        <f t="shared" si="53"/>
        <v>373.95272727272726</v>
      </c>
      <c r="AH1232" s="143">
        <f t="shared" si="54"/>
        <v>1000</v>
      </c>
    </row>
    <row r="1233" spans="1:34" s="90" customFormat="1" x14ac:dyDescent="0.3">
      <c r="A1233" s="84">
        <v>903253</v>
      </c>
      <c r="B1233" s="87">
        <v>10.833333333333332</v>
      </c>
      <c r="C1233" s="87">
        <v>4.1250000000000009</v>
      </c>
      <c r="D1233" s="86">
        <v>8.2857142857142847</v>
      </c>
      <c r="E1233" s="104">
        <v>0.29499999999999998</v>
      </c>
      <c r="F1233" s="84">
        <v>106</v>
      </c>
      <c r="G1233" s="84"/>
      <c r="H1233" s="84">
        <v>343.37</v>
      </c>
      <c r="I1233" s="84">
        <v>200</v>
      </c>
      <c r="J1233" s="85">
        <v>0.17699999999999999</v>
      </c>
      <c r="K1233" s="87">
        <v>5.5</v>
      </c>
      <c r="L1233" s="83">
        <v>630</v>
      </c>
      <c r="M1233" s="83">
        <v>2.41</v>
      </c>
      <c r="N1233" s="83">
        <v>0.48</v>
      </c>
      <c r="O1233" s="83">
        <v>2.15</v>
      </c>
      <c r="P1233" s="83">
        <v>10.17</v>
      </c>
      <c r="Q1233" s="85"/>
      <c r="R1233" s="86">
        <v>1.2052397912205768</v>
      </c>
      <c r="S1233" s="83">
        <v>8.3000000000000007</v>
      </c>
      <c r="T1233" s="83"/>
      <c r="U1233" s="83"/>
      <c r="V1233" s="83"/>
      <c r="W1233" s="83"/>
      <c r="X1233" s="87"/>
      <c r="Y1233" s="87">
        <v>5.5</v>
      </c>
      <c r="Z1233" s="86"/>
      <c r="AA1233" s="82">
        <v>9.7458064516129035</v>
      </c>
      <c r="AB1233" s="91">
        <v>1.6</v>
      </c>
      <c r="AC1233" s="91">
        <v>12</v>
      </c>
      <c r="AD1233" s="88">
        <v>110</v>
      </c>
      <c r="AE1233" s="88">
        <v>100</v>
      </c>
      <c r="AF1233" s="88">
        <v>790</v>
      </c>
      <c r="AG1233" s="66">
        <f t="shared" si="53"/>
        <v>354</v>
      </c>
      <c r="AH1233" s="143">
        <f t="shared" si="54"/>
        <v>1000</v>
      </c>
    </row>
    <row r="1234" spans="1:34" s="90" customFormat="1" x14ac:dyDescent="0.3">
      <c r="A1234" s="84">
        <v>903254</v>
      </c>
      <c r="B1234" s="87">
        <v>11.833333333333332</v>
      </c>
      <c r="C1234" s="87">
        <v>5.8749999999999991</v>
      </c>
      <c r="D1234" s="86">
        <v>8.3238095238095244</v>
      </c>
      <c r="E1234" s="104">
        <v>0.40500000000000003</v>
      </c>
      <c r="F1234" s="84">
        <v>188.9</v>
      </c>
      <c r="G1234" s="84"/>
      <c r="H1234" s="84">
        <v>268.18</v>
      </c>
      <c r="I1234" s="84">
        <v>370</v>
      </c>
      <c r="J1234" s="85">
        <v>0.313</v>
      </c>
      <c r="K1234" s="87">
        <v>4.99</v>
      </c>
      <c r="L1234" s="83">
        <v>760</v>
      </c>
      <c r="M1234" s="83">
        <v>0.91</v>
      </c>
      <c r="N1234" s="83">
        <v>0.32</v>
      </c>
      <c r="O1234" s="83">
        <v>2.0299999999999998</v>
      </c>
      <c r="P1234" s="83">
        <v>6.5</v>
      </c>
      <c r="Q1234" s="85"/>
      <c r="R1234" s="86">
        <v>1.2242002005647112</v>
      </c>
      <c r="S1234" s="83">
        <v>8.1999999999999993</v>
      </c>
      <c r="T1234" s="83"/>
      <c r="U1234" s="83"/>
      <c r="V1234" s="83"/>
      <c r="W1234" s="83"/>
      <c r="X1234" s="87"/>
      <c r="Y1234" s="87">
        <v>5.5</v>
      </c>
      <c r="Z1234" s="86"/>
      <c r="AA1234" s="82">
        <v>8.2509677419354848</v>
      </c>
      <c r="AB1234" s="91">
        <v>2</v>
      </c>
      <c r="AC1234" s="91">
        <v>13</v>
      </c>
      <c r="AD1234" s="88">
        <v>110</v>
      </c>
      <c r="AE1234" s="88">
        <v>100</v>
      </c>
      <c r="AF1234" s="88">
        <v>790</v>
      </c>
      <c r="AG1234" s="66">
        <f t="shared" si="53"/>
        <v>321.17454545454547</v>
      </c>
      <c r="AH1234" s="143">
        <f t="shared" si="54"/>
        <v>1000</v>
      </c>
    </row>
    <row r="1235" spans="1:34" s="90" customFormat="1" x14ac:dyDescent="0.3">
      <c r="A1235" s="84">
        <v>903255</v>
      </c>
      <c r="B1235" s="87">
        <v>13.333333333333334</v>
      </c>
      <c r="C1235" s="87">
        <v>3.9999999999999991</v>
      </c>
      <c r="D1235" s="86">
        <v>7.6857142857142859</v>
      </c>
      <c r="E1235" s="104">
        <v>2.31</v>
      </c>
      <c r="F1235" s="84">
        <v>1019.9</v>
      </c>
      <c r="G1235" s="84"/>
      <c r="H1235" s="84">
        <v>475.44</v>
      </c>
      <c r="I1235" s="84">
        <v>1950</v>
      </c>
      <c r="J1235" s="85">
        <v>0.94299999999999995</v>
      </c>
      <c r="K1235" s="87">
        <v>5</v>
      </c>
      <c r="L1235" s="83">
        <v>680</v>
      </c>
      <c r="M1235" s="83">
        <v>1.47</v>
      </c>
      <c r="N1235" s="83">
        <v>0.3</v>
      </c>
      <c r="O1235" s="83">
        <v>7.31</v>
      </c>
      <c r="P1235" s="83">
        <v>7.28</v>
      </c>
      <c r="Q1235" s="85"/>
      <c r="R1235" s="86">
        <v>1.0363347141874633</v>
      </c>
      <c r="S1235" s="83">
        <v>7.7</v>
      </c>
      <c r="T1235" s="83"/>
      <c r="U1235" s="83"/>
      <c r="V1235" s="83"/>
      <c r="W1235" s="83"/>
      <c r="X1235" s="87"/>
      <c r="Y1235" s="87">
        <v>6</v>
      </c>
      <c r="Z1235" s="86"/>
      <c r="AA1235" s="82">
        <v>18.658387096774192</v>
      </c>
      <c r="AB1235" s="91">
        <v>6.1</v>
      </c>
      <c r="AC1235" s="91">
        <v>10</v>
      </c>
      <c r="AD1235" s="88">
        <v>100</v>
      </c>
      <c r="AE1235" s="88">
        <v>80</v>
      </c>
      <c r="AF1235" s="88">
        <v>820</v>
      </c>
      <c r="AG1235" s="66">
        <f t="shared" si="53"/>
        <v>295</v>
      </c>
      <c r="AH1235" s="143">
        <f t="shared" si="54"/>
        <v>1000</v>
      </c>
    </row>
    <row r="1236" spans="1:34" s="90" customFormat="1" x14ac:dyDescent="0.3">
      <c r="A1236" s="84">
        <v>903256</v>
      </c>
      <c r="B1236" s="87">
        <v>22.499999999999996</v>
      </c>
      <c r="C1236" s="87">
        <v>7.1249999999999991</v>
      </c>
      <c r="D1236" s="86">
        <v>8.0095238095238095</v>
      </c>
      <c r="E1236" s="104">
        <v>0.14000000000000001</v>
      </c>
      <c r="F1236" s="84">
        <v>41</v>
      </c>
      <c r="G1236" s="84"/>
      <c r="H1236" s="84">
        <v>45.05</v>
      </c>
      <c r="I1236" s="84">
        <v>480</v>
      </c>
      <c r="J1236" s="85">
        <v>1.7000000000000001E-2</v>
      </c>
      <c r="K1236" s="87">
        <v>10.15</v>
      </c>
      <c r="L1236" s="83">
        <v>250</v>
      </c>
      <c r="M1236" s="83">
        <v>0.28999999999999998</v>
      </c>
      <c r="N1236" s="83">
        <v>1.27</v>
      </c>
      <c r="O1236" s="83">
        <v>5.01</v>
      </c>
      <c r="P1236" s="83">
        <v>4.4000000000000004</v>
      </c>
      <c r="Q1236" s="85"/>
      <c r="R1236" s="86">
        <v>1.6958250000000001</v>
      </c>
      <c r="S1236" s="83">
        <v>13.5</v>
      </c>
      <c r="T1236" s="83"/>
      <c r="U1236" s="83"/>
      <c r="V1236" s="83"/>
      <c r="W1236" s="83"/>
      <c r="X1236" s="87"/>
      <c r="Y1236" s="87">
        <v>28.8</v>
      </c>
      <c r="Z1236" s="86"/>
      <c r="AA1236" s="86"/>
      <c r="AB1236" s="83"/>
      <c r="AC1236" s="123"/>
      <c r="AD1236" s="88">
        <v>480</v>
      </c>
      <c r="AE1236" s="88">
        <v>400</v>
      </c>
      <c r="AF1236" s="88">
        <v>120</v>
      </c>
      <c r="AG1236" s="66">
        <f t="shared" si="53"/>
        <v>124.76041666666667</v>
      </c>
      <c r="AH1236" s="143">
        <f t="shared" si="54"/>
        <v>1000</v>
      </c>
    </row>
    <row r="1237" spans="1:34" s="90" customFormat="1" x14ac:dyDescent="0.3">
      <c r="A1237" s="84">
        <v>903257</v>
      </c>
      <c r="B1237" s="87">
        <v>50.333333333333329</v>
      </c>
      <c r="C1237" s="87">
        <v>15.625</v>
      </c>
      <c r="D1237" s="86">
        <v>8</v>
      </c>
      <c r="E1237" s="104">
        <v>0.16800000000000001</v>
      </c>
      <c r="F1237" s="84">
        <v>50.7</v>
      </c>
      <c r="G1237" s="84"/>
      <c r="H1237" s="84">
        <v>31.95</v>
      </c>
      <c r="I1237" s="84">
        <v>160</v>
      </c>
      <c r="J1237" s="85">
        <v>2.9000000000000001E-2</v>
      </c>
      <c r="K1237" s="87">
        <v>9.8699999999999992</v>
      </c>
      <c r="L1237" s="83">
        <v>180</v>
      </c>
      <c r="M1237" s="83">
        <v>0.17</v>
      </c>
      <c r="N1237" s="83">
        <v>0.7</v>
      </c>
      <c r="O1237" s="83">
        <v>4.01</v>
      </c>
      <c r="P1237" s="83">
        <v>4.28</v>
      </c>
      <c r="Q1237" s="85"/>
      <c r="R1237" s="86">
        <v>1.882088</v>
      </c>
      <c r="S1237" s="83">
        <v>19.399999999999999</v>
      </c>
      <c r="T1237" s="83"/>
      <c r="U1237" s="83"/>
      <c r="V1237" s="83"/>
      <c r="W1237" s="83"/>
      <c r="X1237" s="87"/>
      <c r="Y1237" s="87">
        <v>29.4</v>
      </c>
      <c r="Z1237" s="86"/>
      <c r="AA1237" s="86"/>
      <c r="AB1237" s="83"/>
      <c r="AC1237" s="123"/>
      <c r="AD1237" s="88">
        <v>420</v>
      </c>
      <c r="AE1237" s="88">
        <v>280</v>
      </c>
      <c r="AF1237" s="88">
        <v>300</v>
      </c>
      <c r="AG1237" s="66">
        <f t="shared" si="53"/>
        <v>118.84285714285716</v>
      </c>
      <c r="AH1237" s="143">
        <f t="shared" si="54"/>
        <v>1000</v>
      </c>
    </row>
    <row r="1238" spans="1:34" s="90" customFormat="1" x14ac:dyDescent="0.3">
      <c r="A1238" s="84">
        <v>903258</v>
      </c>
      <c r="B1238" s="87">
        <v>29.666666666666668</v>
      </c>
      <c r="C1238" s="87">
        <v>6.7499999999999982</v>
      </c>
      <c r="D1238" s="86">
        <v>8.21904761904762</v>
      </c>
      <c r="E1238" s="104">
        <v>0.51100000000000001</v>
      </c>
      <c r="F1238" s="84">
        <v>284.95</v>
      </c>
      <c r="G1238" s="84"/>
      <c r="H1238" s="84">
        <v>26.97</v>
      </c>
      <c r="I1238" s="84">
        <v>180</v>
      </c>
      <c r="J1238" s="85">
        <v>0.307</v>
      </c>
      <c r="K1238" s="87">
        <v>7.43</v>
      </c>
      <c r="L1238" s="83">
        <v>690</v>
      </c>
      <c r="M1238" s="83">
        <v>0.38</v>
      </c>
      <c r="N1238" s="83">
        <v>0.64</v>
      </c>
      <c r="O1238" s="83">
        <v>2.64</v>
      </c>
      <c r="P1238" s="83">
        <v>4.49</v>
      </c>
      <c r="Q1238" s="85"/>
      <c r="R1238" s="86">
        <v>1.021613682735409</v>
      </c>
      <c r="S1238" s="83">
        <v>7.2</v>
      </c>
      <c r="T1238" s="83"/>
      <c r="U1238" s="83"/>
      <c r="V1238" s="83"/>
      <c r="W1238" s="83"/>
      <c r="X1238" s="87"/>
      <c r="Y1238" s="87">
        <v>28.8</v>
      </c>
      <c r="Z1238" s="86"/>
      <c r="AA1238" s="86"/>
      <c r="AB1238" s="83"/>
      <c r="AC1238" s="123"/>
      <c r="AD1238" s="88">
        <v>480</v>
      </c>
      <c r="AE1238" s="88">
        <v>260</v>
      </c>
      <c r="AF1238" s="88">
        <v>260</v>
      </c>
      <c r="AG1238" s="66">
        <f t="shared" si="53"/>
        <v>91.32708333333332</v>
      </c>
      <c r="AH1238" s="143">
        <f t="shared" si="54"/>
        <v>1000</v>
      </c>
    </row>
    <row r="1239" spans="1:34" s="90" customFormat="1" x14ac:dyDescent="0.3">
      <c r="A1239" s="84">
        <v>903259</v>
      </c>
      <c r="B1239" s="87">
        <v>0.23333333333333331</v>
      </c>
      <c r="C1239" s="87"/>
      <c r="D1239" s="86">
        <v>8.2857142857142847</v>
      </c>
      <c r="E1239" s="104">
        <v>0.11899999999999999</v>
      </c>
      <c r="F1239" s="84">
        <v>120.5</v>
      </c>
      <c r="G1239" s="84"/>
      <c r="H1239" s="84">
        <v>195.99</v>
      </c>
      <c r="I1239" s="84">
        <v>140</v>
      </c>
      <c r="J1239" s="85">
        <v>4.4999999999999998E-2</v>
      </c>
      <c r="K1239" s="87">
        <v>1.63</v>
      </c>
      <c r="L1239" s="83">
        <v>260</v>
      </c>
      <c r="M1239" s="83">
        <v>2.5299999999999998</v>
      </c>
      <c r="N1239" s="83">
        <v>0.39</v>
      </c>
      <c r="O1239" s="83">
        <v>4.49</v>
      </c>
      <c r="P1239" s="83">
        <v>12.8</v>
      </c>
      <c r="Q1239" s="85"/>
      <c r="R1239" s="86">
        <v>1.3723198266308079</v>
      </c>
      <c r="S1239" s="83">
        <v>9.1999999999999993</v>
      </c>
      <c r="T1239" s="83"/>
      <c r="U1239" s="83"/>
      <c r="V1239" s="83"/>
      <c r="W1239" s="83"/>
      <c r="X1239" s="87"/>
      <c r="Y1239" s="87">
        <v>6.2</v>
      </c>
      <c r="Z1239" s="86"/>
      <c r="AA1239" s="86"/>
      <c r="AB1239" s="83"/>
      <c r="AC1239" s="123"/>
      <c r="AD1239" s="88">
        <v>120</v>
      </c>
      <c r="AE1239" s="88">
        <v>80</v>
      </c>
      <c r="AF1239" s="88">
        <v>800</v>
      </c>
      <c r="AG1239" s="66">
        <f t="shared" si="53"/>
        <v>93.067741935483866</v>
      </c>
      <c r="AH1239" s="143">
        <f t="shared" si="54"/>
        <v>1000</v>
      </c>
    </row>
    <row r="1240" spans="1:34" s="90" customFormat="1" x14ac:dyDescent="0.3">
      <c r="A1240" s="84">
        <v>903260</v>
      </c>
      <c r="B1240" s="87">
        <v>0.23333333333333331</v>
      </c>
      <c r="C1240" s="87"/>
      <c r="D1240" s="86">
        <v>8.0666666666666664</v>
      </c>
      <c r="E1240" s="104">
        <v>0.11700000000000001</v>
      </c>
      <c r="F1240" s="84">
        <v>143.6</v>
      </c>
      <c r="G1240" s="84"/>
      <c r="H1240" s="84">
        <v>105.12</v>
      </c>
      <c r="I1240" s="84">
        <v>80</v>
      </c>
      <c r="J1240" s="85">
        <v>0.06</v>
      </c>
      <c r="K1240" s="87">
        <v>1.05</v>
      </c>
      <c r="L1240" s="83">
        <v>160</v>
      </c>
      <c r="M1240" s="83">
        <v>1.92</v>
      </c>
      <c r="N1240" s="83">
        <v>0.35</v>
      </c>
      <c r="O1240" s="83">
        <v>4.22</v>
      </c>
      <c r="P1240" s="83">
        <v>11.98</v>
      </c>
      <c r="Q1240" s="85"/>
      <c r="R1240" s="86">
        <v>1.6958250000000001</v>
      </c>
      <c r="S1240" s="83">
        <v>13.5</v>
      </c>
      <c r="T1240" s="83"/>
      <c r="U1240" s="83"/>
      <c r="V1240" s="83"/>
      <c r="W1240" s="83"/>
      <c r="X1240" s="87"/>
      <c r="Y1240" s="87">
        <v>4</v>
      </c>
      <c r="Z1240" s="86"/>
      <c r="AA1240" s="86"/>
      <c r="AB1240" s="83"/>
      <c r="AC1240" s="123"/>
      <c r="AD1240" s="88">
        <v>130</v>
      </c>
      <c r="AE1240" s="88">
        <v>70</v>
      </c>
      <c r="AF1240" s="88">
        <v>800</v>
      </c>
      <c r="AG1240" s="66">
        <f t="shared" si="53"/>
        <v>92.924999999999997</v>
      </c>
      <c r="AH1240" s="143">
        <f t="shared" si="54"/>
        <v>1000</v>
      </c>
    </row>
    <row r="1241" spans="1:34" s="90" customFormat="1" x14ac:dyDescent="0.3">
      <c r="A1241" s="84">
        <v>903261</v>
      </c>
      <c r="B1241" s="87">
        <v>0.16666666666666666</v>
      </c>
      <c r="C1241" s="87"/>
      <c r="D1241" s="86">
        <v>7.7619047619047619</v>
      </c>
      <c r="E1241" s="104">
        <v>0.53600000000000003</v>
      </c>
      <c r="F1241" s="84">
        <v>755.5</v>
      </c>
      <c r="G1241" s="84"/>
      <c r="H1241" s="84">
        <v>45.51</v>
      </c>
      <c r="I1241" s="84">
        <v>50</v>
      </c>
      <c r="J1241" s="85">
        <v>0.27800000000000002</v>
      </c>
      <c r="K1241" s="87">
        <v>1.46</v>
      </c>
      <c r="L1241" s="83">
        <v>240</v>
      </c>
      <c r="M1241" s="83">
        <v>2.0699999999999998</v>
      </c>
      <c r="N1241" s="83">
        <v>0.73</v>
      </c>
      <c r="O1241" s="83">
        <v>2.74</v>
      </c>
      <c r="P1241" s="83">
        <v>7.29</v>
      </c>
      <c r="Q1241" s="85"/>
      <c r="R1241" s="86">
        <v>1.0131444075769938</v>
      </c>
      <c r="S1241" s="83">
        <v>7.5</v>
      </c>
      <c r="T1241" s="83"/>
      <c r="U1241" s="83"/>
      <c r="V1241" s="83"/>
      <c r="W1241" s="83"/>
      <c r="X1241" s="87"/>
      <c r="Y1241" s="87">
        <v>5.5</v>
      </c>
      <c r="Z1241" s="86"/>
      <c r="AA1241" s="86"/>
      <c r="AB1241" s="83"/>
      <c r="AC1241" s="123"/>
      <c r="AD1241" s="88">
        <v>110</v>
      </c>
      <c r="AE1241" s="88">
        <v>70</v>
      </c>
      <c r="AF1241" s="88">
        <v>820</v>
      </c>
      <c r="AG1241" s="66">
        <f t="shared" si="53"/>
        <v>93.970909090909103</v>
      </c>
      <c r="AH1241" s="143">
        <f t="shared" si="54"/>
        <v>1000</v>
      </c>
    </row>
    <row r="1242" spans="1:34" s="90" customFormat="1" x14ac:dyDescent="0.3">
      <c r="A1242" s="84">
        <v>903262</v>
      </c>
      <c r="B1242" s="87">
        <v>0.16666666666666666</v>
      </c>
      <c r="C1242" s="87"/>
      <c r="D1242" s="86">
        <v>7.9142857142857146</v>
      </c>
      <c r="E1242" s="104">
        <v>0.17199999999999999</v>
      </c>
      <c r="F1242" s="84">
        <v>219.95000000000002</v>
      </c>
      <c r="G1242" s="84"/>
      <c r="H1242" s="84">
        <v>42.01</v>
      </c>
      <c r="I1242" s="84">
        <v>50</v>
      </c>
      <c r="J1242" s="85">
        <v>8.5000000000000006E-2</v>
      </c>
      <c r="K1242" s="87">
        <v>1.36</v>
      </c>
      <c r="L1242" s="83">
        <v>220</v>
      </c>
      <c r="M1242" s="83">
        <v>1.62</v>
      </c>
      <c r="N1242" s="83">
        <v>0.52</v>
      </c>
      <c r="O1242" s="83">
        <v>4.91</v>
      </c>
      <c r="P1242" s="83">
        <v>8.44</v>
      </c>
      <c r="Q1242" s="85"/>
      <c r="R1242" s="86">
        <v>1.1771884518457845</v>
      </c>
      <c r="S1242" s="83">
        <v>8</v>
      </c>
      <c r="T1242" s="83"/>
      <c r="U1242" s="83"/>
      <c r="V1242" s="83"/>
      <c r="W1242" s="83"/>
      <c r="X1242" s="87"/>
      <c r="Y1242" s="87">
        <v>5.3</v>
      </c>
      <c r="Z1242" s="86"/>
      <c r="AA1242" s="86"/>
      <c r="AB1242" s="83"/>
      <c r="AC1242" s="123"/>
      <c r="AD1242" s="88">
        <v>90</v>
      </c>
      <c r="AE1242" s="88">
        <v>70</v>
      </c>
      <c r="AF1242" s="88">
        <v>840</v>
      </c>
      <c r="AG1242" s="66">
        <f t="shared" si="53"/>
        <v>90.8377358490566</v>
      </c>
      <c r="AH1242" s="143">
        <f t="shared" si="54"/>
        <v>1000</v>
      </c>
    </row>
    <row r="1243" spans="1:34" s="90" customFormat="1" x14ac:dyDescent="0.3">
      <c r="A1243" s="84">
        <v>903263</v>
      </c>
      <c r="B1243" s="87">
        <v>0.2166666666666667</v>
      </c>
      <c r="C1243" s="87"/>
      <c r="D1243" s="86">
        <v>7.9333333333333327</v>
      </c>
      <c r="E1243" s="104">
        <v>0.109</v>
      </c>
      <c r="F1243" s="84">
        <v>116</v>
      </c>
      <c r="G1243" s="84"/>
      <c r="H1243" s="84">
        <v>39.229999999999997</v>
      </c>
      <c r="I1243" s="84">
        <v>120</v>
      </c>
      <c r="J1243" s="85">
        <v>0.1</v>
      </c>
      <c r="K1243" s="87">
        <v>4.95</v>
      </c>
      <c r="L1243" s="83">
        <v>410</v>
      </c>
      <c r="M1243" s="83">
        <v>0.78</v>
      </c>
      <c r="N1243" s="83">
        <v>0.46</v>
      </c>
      <c r="O1243" s="83">
        <v>3.46</v>
      </c>
      <c r="P1243" s="83">
        <v>14.85</v>
      </c>
      <c r="Q1243" s="85"/>
      <c r="R1243" s="86">
        <v>1.0760263378444581</v>
      </c>
      <c r="S1243" s="83">
        <v>7.6</v>
      </c>
      <c r="T1243" s="83"/>
      <c r="U1243" s="83"/>
      <c r="V1243" s="83"/>
      <c r="W1243" s="83"/>
      <c r="X1243" s="87"/>
      <c r="Y1243" s="87">
        <v>20.100000000000001</v>
      </c>
      <c r="Z1243" s="86"/>
      <c r="AA1243" s="86"/>
      <c r="AB1243" s="83"/>
      <c r="AC1243" s="123"/>
      <c r="AD1243" s="88">
        <v>500</v>
      </c>
      <c r="AE1243" s="88">
        <v>220</v>
      </c>
      <c r="AF1243" s="88">
        <v>280</v>
      </c>
      <c r="AG1243" s="66">
        <f t="shared" si="53"/>
        <v>87.179104477611929</v>
      </c>
      <c r="AH1243" s="143">
        <f t="shared" si="54"/>
        <v>1000</v>
      </c>
    </row>
    <row r="1244" spans="1:34" s="90" customFormat="1" x14ac:dyDescent="0.3">
      <c r="A1244" s="84">
        <v>903264</v>
      </c>
      <c r="B1244" s="87">
        <v>0.2</v>
      </c>
      <c r="C1244" s="87"/>
      <c r="D1244" s="86">
        <v>8.1333333333333329</v>
      </c>
      <c r="E1244" s="104">
        <v>7.3999999999999996E-2</v>
      </c>
      <c r="F1244" s="84">
        <v>98.2</v>
      </c>
      <c r="G1244" s="84"/>
      <c r="H1244" s="84">
        <v>26.87</v>
      </c>
      <c r="I1244" s="84">
        <v>70</v>
      </c>
      <c r="J1244" s="85">
        <v>0.124</v>
      </c>
      <c r="K1244" s="87">
        <v>4.84</v>
      </c>
      <c r="L1244" s="83">
        <v>410</v>
      </c>
      <c r="M1244" s="83">
        <v>0.38</v>
      </c>
      <c r="N1244" s="83">
        <v>0.35</v>
      </c>
      <c r="O1244" s="83">
        <v>2.4</v>
      </c>
      <c r="P1244" s="83">
        <v>12.5</v>
      </c>
      <c r="Q1244" s="85"/>
      <c r="R1244" s="86">
        <v>0.65540254445304502</v>
      </c>
      <c r="S1244" s="83">
        <v>4.5999999999999996</v>
      </c>
      <c r="T1244" s="83"/>
      <c r="U1244" s="83"/>
      <c r="V1244" s="83"/>
      <c r="W1244" s="83"/>
      <c r="X1244" s="87"/>
      <c r="Y1244" s="87">
        <v>20</v>
      </c>
      <c r="Z1244" s="86"/>
      <c r="AA1244" s="86"/>
      <c r="AB1244" s="83"/>
      <c r="AC1244" s="123"/>
      <c r="AD1244" s="88">
        <v>480</v>
      </c>
      <c r="AE1244" s="88">
        <v>200</v>
      </c>
      <c r="AF1244" s="88">
        <v>320</v>
      </c>
      <c r="AG1244" s="66">
        <f t="shared" si="53"/>
        <v>85.668000000000006</v>
      </c>
      <c r="AH1244" s="143">
        <f t="shared" si="54"/>
        <v>1000</v>
      </c>
    </row>
    <row r="1245" spans="1:34" s="90" customFormat="1" x14ac:dyDescent="0.3">
      <c r="A1245" s="84">
        <v>903265</v>
      </c>
      <c r="B1245" s="87">
        <v>6.6666666666666666E-2</v>
      </c>
      <c r="C1245" s="87"/>
      <c r="D1245" s="86">
        <v>7.8666666666666663</v>
      </c>
      <c r="E1245" s="104">
        <v>3.5999999999999997E-2</v>
      </c>
      <c r="F1245" s="84">
        <v>77.350000000000009</v>
      </c>
      <c r="G1245" s="84"/>
      <c r="H1245" s="84">
        <v>71.209999999999994</v>
      </c>
      <c r="I1245" s="84">
        <v>50</v>
      </c>
      <c r="J1245" s="85">
        <v>3.0000000000000001E-3</v>
      </c>
      <c r="K1245" s="87">
        <v>1.35</v>
      </c>
      <c r="L1245" s="83">
        <v>30</v>
      </c>
      <c r="M1245" s="83">
        <v>0.88</v>
      </c>
      <c r="N1245" s="83">
        <v>0.15</v>
      </c>
      <c r="O1245" s="83">
        <v>0.63</v>
      </c>
      <c r="P1245" s="83">
        <v>18.37</v>
      </c>
      <c r="Q1245" s="85"/>
      <c r="R1245" s="86">
        <v>1.5824250000000002</v>
      </c>
      <c r="S1245" s="83">
        <v>10.5</v>
      </c>
      <c r="T1245" s="83"/>
      <c r="U1245" s="83"/>
      <c r="V1245" s="83"/>
      <c r="W1245" s="83"/>
      <c r="X1245" s="87"/>
      <c r="Y1245" s="87">
        <v>3</v>
      </c>
      <c r="Z1245" s="86"/>
      <c r="AA1245" s="86"/>
      <c r="AB1245" s="83"/>
      <c r="AC1245" s="123"/>
      <c r="AD1245" s="88">
        <v>60</v>
      </c>
      <c r="AE1245" s="88">
        <v>60</v>
      </c>
      <c r="AF1245" s="88">
        <v>880</v>
      </c>
      <c r="AG1245" s="66">
        <f t="shared" si="53"/>
        <v>159.30000000000004</v>
      </c>
      <c r="AH1245" s="143">
        <f t="shared" si="54"/>
        <v>1000</v>
      </c>
    </row>
    <row r="1246" spans="1:34" s="90" customFormat="1" x14ac:dyDescent="0.3">
      <c r="A1246" s="84">
        <v>903266</v>
      </c>
      <c r="B1246" s="87">
        <v>42.666666666666671</v>
      </c>
      <c r="C1246" s="87">
        <v>15.25</v>
      </c>
      <c r="D1246" s="86">
        <v>7.9428571428571422</v>
      </c>
      <c r="E1246" s="104">
        <v>0.109</v>
      </c>
      <c r="F1246" s="84">
        <v>82.25</v>
      </c>
      <c r="G1246" s="84"/>
      <c r="H1246" s="84">
        <v>13.05</v>
      </c>
      <c r="I1246" s="84">
        <v>110</v>
      </c>
      <c r="J1246" s="85">
        <v>3.3000000000000002E-2</v>
      </c>
      <c r="K1246" s="87">
        <v>8.86</v>
      </c>
      <c r="L1246" s="83">
        <v>770</v>
      </c>
      <c r="M1246" s="83">
        <v>0.06</v>
      </c>
      <c r="N1246" s="83">
        <v>0.17</v>
      </c>
      <c r="O1246" s="83">
        <v>0.53</v>
      </c>
      <c r="P1246" s="83">
        <v>2.76</v>
      </c>
      <c r="Q1246" s="85"/>
      <c r="R1246" s="86">
        <v>0.35954198421297778</v>
      </c>
      <c r="S1246" s="83">
        <v>2.5</v>
      </c>
      <c r="T1246" s="83"/>
      <c r="U1246" s="83"/>
      <c r="V1246" s="83"/>
      <c r="W1246" s="83"/>
      <c r="X1246" s="87"/>
      <c r="Y1246" s="87">
        <v>32</v>
      </c>
      <c r="Z1246" s="86"/>
      <c r="AA1246" s="86"/>
      <c r="AB1246" s="83"/>
      <c r="AC1246" s="123"/>
      <c r="AD1246" s="88">
        <v>640</v>
      </c>
      <c r="AE1246" s="88">
        <v>300</v>
      </c>
      <c r="AF1246" s="88">
        <v>60</v>
      </c>
      <c r="AG1246" s="66">
        <f t="shared" si="53"/>
        <v>98.013750000000002</v>
      </c>
      <c r="AH1246" s="143">
        <f t="shared" si="54"/>
        <v>1000</v>
      </c>
    </row>
    <row r="1247" spans="1:34" s="90" customFormat="1" x14ac:dyDescent="0.3">
      <c r="A1247" s="84">
        <v>903267</v>
      </c>
      <c r="B1247" s="87">
        <v>8.3333333333333329E-2</v>
      </c>
      <c r="C1247" s="87"/>
      <c r="D1247" s="86">
        <v>8.0666666666666664</v>
      </c>
      <c r="E1247" s="104">
        <v>4.2999999999999997E-2</v>
      </c>
      <c r="F1247" s="84">
        <v>74.650000000000006</v>
      </c>
      <c r="G1247" s="84"/>
      <c r="H1247" s="84">
        <v>29.7</v>
      </c>
      <c r="I1247" s="84">
        <v>50</v>
      </c>
      <c r="J1247" s="85">
        <v>1.2E-2</v>
      </c>
      <c r="K1247" s="87">
        <v>1.28</v>
      </c>
      <c r="L1247" s="83">
        <v>80</v>
      </c>
      <c r="M1247" s="83">
        <v>0.53</v>
      </c>
      <c r="N1247" s="83">
        <v>0.1</v>
      </c>
      <c r="O1247" s="83">
        <v>1.99</v>
      </c>
      <c r="P1247" s="83">
        <v>7.87</v>
      </c>
      <c r="Q1247" s="85"/>
      <c r="R1247" s="86">
        <v>0.52949895438181882</v>
      </c>
      <c r="S1247" s="83">
        <v>3.6</v>
      </c>
      <c r="T1247" s="83"/>
      <c r="U1247" s="83"/>
      <c r="V1247" s="83"/>
      <c r="W1247" s="83"/>
      <c r="X1247" s="87"/>
      <c r="Y1247" s="87">
        <v>4.2</v>
      </c>
      <c r="Z1247" s="86"/>
      <c r="AA1247" s="86"/>
      <c r="AB1247" s="83"/>
      <c r="AC1247" s="123"/>
      <c r="AD1247" s="88">
        <v>60</v>
      </c>
      <c r="AE1247" s="88">
        <v>60</v>
      </c>
      <c r="AF1247" s="88">
        <v>880</v>
      </c>
      <c r="AG1247" s="66">
        <f t="shared" si="53"/>
        <v>107.88571428571429</v>
      </c>
      <c r="AH1247" s="143">
        <f t="shared" si="54"/>
        <v>1000</v>
      </c>
    </row>
    <row r="1248" spans="1:34" s="90" customFormat="1" x14ac:dyDescent="0.3">
      <c r="A1248" s="84">
        <v>903268</v>
      </c>
      <c r="B1248" s="87">
        <v>0.2</v>
      </c>
      <c r="C1248" s="87"/>
      <c r="D1248" s="86">
        <v>7.9333333333333327</v>
      </c>
      <c r="E1248" s="104">
        <v>7.0000000000000007E-2</v>
      </c>
      <c r="F1248" s="84">
        <v>71.2</v>
      </c>
      <c r="G1248" s="84"/>
      <c r="H1248" s="84">
        <v>24.64</v>
      </c>
      <c r="I1248" s="84">
        <v>40</v>
      </c>
      <c r="J1248" s="85">
        <v>3.5000000000000003E-2</v>
      </c>
      <c r="K1248" s="87">
        <v>1.3</v>
      </c>
      <c r="L1248" s="83">
        <v>60</v>
      </c>
      <c r="M1248" s="83">
        <v>0.26</v>
      </c>
      <c r="N1248" s="83">
        <v>0.12</v>
      </c>
      <c r="O1248" s="83">
        <v>2.2999999999999998</v>
      </c>
      <c r="P1248" s="83">
        <v>9.1999999999999993</v>
      </c>
      <c r="Q1248" s="85"/>
      <c r="R1248" s="86">
        <v>0.24683086406178711</v>
      </c>
      <c r="S1248" s="83">
        <v>1.8</v>
      </c>
      <c r="T1248" s="83"/>
      <c r="U1248" s="83"/>
      <c r="V1248" s="83"/>
      <c r="W1248" s="83"/>
      <c r="X1248" s="87"/>
      <c r="Y1248" s="87">
        <v>3</v>
      </c>
      <c r="Z1248" s="86"/>
      <c r="AA1248" s="86"/>
      <c r="AB1248" s="83"/>
      <c r="AC1248" s="123"/>
      <c r="AD1248" s="88">
        <v>60</v>
      </c>
      <c r="AE1248" s="88">
        <v>80</v>
      </c>
      <c r="AF1248" s="88">
        <v>860</v>
      </c>
      <c r="AG1248" s="66">
        <f t="shared" si="53"/>
        <v>153.4</v>
      </c>
      <c r="AH1248" s="143">
        <f t="shared" si="54"/>
        <v>1000</v>
      </c>
    </row>
    <row r="1249" spans="1:34" s="90" customFormat="1" x14ac:dyDescent="0.3">
      <c r="A1249" s="84">
        <v>903269</v>
      </c>
      <c r="B1249" s="87">
        <v>0.15</v>
      </c>
      <c r="C1249" s="87"/>
      <c r="D1249" s="86">
        <v>8.0761904761904759</v>
      </c>
      <c r="E1249" s="104">
        <v>9.0999999999999998E-2</v>
      </c>
      <c r="F1249" s="84">
        <v>77.5</v>
      </c>
      <c r="G1249" s="84"/>
      <c r="H1249" s="84">
        <v>51.9</v>
      </c>
      <c r="I1249" s="84">
        <v>80</v>
      </c>
      <c r="J1249" s="85">
        <v>8.6999999999999994E-2</v>
      </c>
      <c r="K1249" s="87">
        <v>1.62</v>
      </c>
      <c r="L1249" s="83">
        <v>190</v>
      </c>
      <c r="M1249" s="83">
        <v>0.24</v>
      </c>
      <c r="N1249" s="83">
        <v>0.2</v>
      </c>
      <c r="O1249" s="83">
        <v>0.98</v>
      </c>
      <c r="P1249" s="83">
        <v>7.74</v>
      </c>
      <c r="Q1249" s="85"/>
      <c r="R1249" s="86">
        <v>0.65719554386015278</v>
      </c>
      <c r="S1249" s="83">
        <v>4.4000000000000004</v>
      </c>
      <c r="T1249" s="83"/>
      <c r="U1249" s="83"/>
      <c r="V1249" s="83"/>
      <c r="W1249" s="83"/>
      <c r="X1249" s="87"/>
      <c r="Y1249" s="87">
        <v>4.8</v>
      </c>
      <c r="Z1249" s="86"/>
      <c r="AA1249" s="86"/>
      <c r="AB1249" s="83"/>
      <c r="AC1249" s="123"/>
      <c r="AD1249" s="88">
        <v>80</v>
      </c>
      <c r="AE1249" s="88">
        <v>60</v>
      </c>
      <c r="AF1249" s="88">
        <v>860</v>
      </c>
      <c r="AG1249" s="66">
        <f t="shared" si="53"/>
        <v>119.47500000000004</v>
      </c>
      <c r="AH1249" s="143">
        <f t="shared" si="54"/>
        <v>1000</v>
      </c>
    </row>
    <row r="1250" spans="1:34" s="90" customFormat="1" x14ac:dyDescent="0.3">
      <c r="A1250" s="84">
        <v>903270</v>
      </c>
      <c r="B1250" s="87">
        <v>0.16666666666666666</v>
      </c>
      <c r="C1250" s="87"/>
      <c r="D1250" s="86">
        <v>8.2095238095238088</v>
      </c>
      <c r="E1250" s="104">
        <v>0.105</v>
      </c>
      <c r="F1250" s="84">
        <v>67.849999999999994</v>
      </c>
      <c r="G1250" s="84"/>
      <c r="H1250" s="84">
        <v>41.39</v>
      </c>
      <c r="I1250" s="84">
        <v>110</v>
      </c>
      <c r="J1250" s="85">
        <v>0.107</v>
      </c>
      <c r="K1250" s="87">
        <v>1.81</v>
      </c>
      <c r="L1250" s="83">
        <v>330</v>
      </c>
      <c r="M1250" s="83">
        <v>0.12</v>
      </c>
      <c r="N1250" s="83">
        <v>0.14000000000000001</v>
      </c>
      <c r="O1250" s="83">
        <v>1.1100000000000001</v>
      </c>
      <c r="P1250" s="83">
        <v>5.48</v>
      </c>
      <c r="Q1250" s="85"/>
      <c r="R1250" s="86">
        <v>0.94981929034096824</v>
      </c>
      <c r="S1250" s="83">
        <v>6.8</v>
      </c>
      <c r="T1250" s="83"/>
      <c r="U1250" s="83"/>
      <c r="V1250" s="83"/>
      <c r="W1250" s="83"/>
      <c r="X1250" s="87"/>
      <c r="Y1250" s="87">
        <v>6</v>
      </c>
      <c r="Z1250" s="86"/>
      <c r="AA1250" s="86"/>
      <c r="AB1250" s="83"/>
      <c r="AC1250" s="123"/>
      <c r="AD1250" s="88">
        <v>120</v>
      </c>
      <c r="AE1250" s="88">
        <v>100</v>
      </c>
      <c r="AF1250" s="88">
        <v>780</v>
      </c>
      <c r="AG1250" s="66">
        <f t="shared" si="53"/>
        <v>106.79</v>
      </c>
      <c r="AH1250" s="143">
        <f t="shared" si="54"/>
        <v>1000</v>
      </c>
    </row>
    <row r="1251" spans="1:34" s="90" customFormat="1" x14ac:dyDescent="0.3">
      <c r="A1251" s="84">
        <v>903271</v>
      </c>
      <c r="B1251" s="87">
        <v>0.16666666666666666</v>
      </c>
      <c r="C1251" s="87"/>
      <c r="D1251" s="86">
        <v>7.9047619047619051</v>
      </c>
      <c r="E1251" s="104">
        <v>4.4999999999999998E-2</v>
      </c>
      <c r="F1251" s="84">
        <v>46</v>
      </c>
      <c r="G1251" s="84"/>
      <c r="H1251" s="84">
        <v>41.13</v>
      </c>
      <c r="I1251" s="84">
        <v>100</v>
      </c>
      <c r="J1251" s="85">
        <v>1.2E-2</v>
      </c>
      <c r="K1251" s="87">
        <v>1.52</v>
      </c>
      <c r="L1251" s="83">
        <v>90</v>
      </c>
      <c r="M1251" s="83">
        <v>1.63</v>
      </c>
      <c r="N1251" s="83">
        <v>0.31</v>
      </c>
      <c r="O1251" s="83">
        <v>6.21</v>
      </c>
      <c r="P1251" s="83">
        <v>8.65</v>
      </c>
      <c r="Q1251" s="85"/>
      <c r="R1251" s="86">
        <v>1.0411821786675346</v>
      </c>
      <c r="S1251" s="83">
        <v>7.4</v>
      </c>
      <c r="T1251" s="83"/>
      <c r="U1251" s="83"/>
      <c r="V1251" s="83"/>
      <c r="W1251" s="83"/>
      <c r="X1251" s="87"/>
      <c r="Y1251" s="87">
        <v>4.8</v>
      </c>
      <c r="Z1251" s="86"/>
      <c r="AA1251" s="86"/>
      <c r="AB1251" s="83"/>
      <c r="AC1251" s="123"/>
      <c r="AD1251" s="88">
        <v>80</v>
      </c>
      <c r="AE1251" s="88">
        <v>60</v>
      </c>
      <c r="AF1251" s="88">
        <v>860</v>
      </c>
      <c r="AG1251" s="66">
        <f t="shared" si="53"/>
        <v>112.1</v>
      </c>
      <c r="AH1251" s="143">
        <f t="shared" si="54"/>
        <v>1000</v>
      </c>
    </row>
    <row r="1252" spans="1:34" s="90" customFormat="1" x14ac:dyDescent="0.3">
      <c r="A1252" s="84">
        <v>903272</v>
      </c>
      <c r="B1252" s="87">
        <v>0.45000000000000007</v>
      </c>
      <c r="C1252" s="87"/>
      <c r="D1252" s="86">
        <v>7.7333333333333325</v>
      </c>
      <c r="E1252" s="104">
        <v>8.3000000000000004E-2</v>
      </c>
      <c r="F1252" s="84">
        <v>48.150000000000006</v>
      </c>
      <c r="G1252" s="84"/>
      <c r="H1252" s="84">
        <v>139.97</v>
      </c>
      <c r="I1252" s="84">
        <v>80</v>
      </c>
      <c r="J1252" s="85">
        <v>3.3000000000000002E-2</v>
      </c>
      <c r="K1252" s="87">
        <v>1.1299999999999999</v>
      </c>
      <c r="L1252" s="83">
        <v>110</v>
      </c>
      <c r="M1252" s="83">
        <v>3.56</v>
      </c>
      <c r="N1252" s="83">
        <v>0.55000000000000004</v>
      </c>
      <c r="O1252" s="83">
        <v>5.27</v>
      </c>
      <c r="P1252" s="83">
        <v>9.6300000000000008</v>
      </c>
      <c r="Q1252" s="85"/>
      <c r="R1252" s="86">
        <v>1.2308653942212178</v>
      </c>
      <c r="S1252" s="83">
        <v>8.8000000000000007</v>
      </c>
      <c r="T1252" s="83"/>
      <c r="U1252" s="83"/>
      <c r="V1252" s="83"/>
      <c r="W1252" s="83"/>
      <c r="X1252" s="87"/>
      <c r="Y1252" s="87">
        <v>4.2</v>
      </c>
      <c r="Z1252" s="86"/>
      <c r="AA1252" s="86"/>
      <c r="AB1252" s="83"/>
      <c r="AC1252" s="123"/>
      <c r="AD1252" s="88">
        <v>60</v>
      </c>
      <c r="AE1252" s="88">
        <v>80</v>
      </c>
      <c r="AF1252" s="88">
        <v>860</v>
      </c>
      <c r="AG1252" s="66">
        <f t="shared" si="53"/>
        <v>95.242857142857133</v>
      </c>
      <c r="AH1252" s="143">
        <f t="shared" si="54"/>
        <v>1000</v>
      </c>
    </row>
    <row r="1253" spans="1:34" s="90" customFormat="1" x14ac:dyDescent="0.3">
      <c r="A1253" s="84">
        <v>903273</v>
      </c>
      <c r="B1253" s="87">
        <v>0.18333333333333335</v>
      </c>
      <c r="C1253" s="87"/>
      <c r="D1253" s="86">
        <v>7.723809523809523</v>
      </c>
      <c r="E1253" s="104">
        <v>6.6000000000000003E-2</v>
      </c>
      <c r="F1253" s="84">
        <v>45.650000000000006</v>
      </c>
      <c r="G1253" s="84"/>
      <c r="H1253" s="84">
        <v>108</v>
      </c>
      <c r="I1253" s="84">
        <v>90</v>
      </c>
      <c r="J1253" s="85">
        <v>1.0999999999999999E-2</v>
      </c>
      <c r="K1253" s="87">
        <v>1.8</v>
      </c>
      <c r="L1253" s="83">
        <v>90</v>
      </c>
      <c r="M1253" s="83">
        <v>2.57</v>
      </c>
      <c r="N1253" s="83">
        <v>0.67</v>
      </c>
      <c r="O1253" s="83">
        <v>2.73</v>
      </c>
      <c r="P1253" s="83">
        <v>7.68</v>
      </c>
      <c r="Q1253" s="85"/>
      <c r="R1253" s="86">
        <v>0.74363521371376107</v>
      </c>
      <c r="S1253" s="83">
        <v>5.0999999999999996</v>
      </c>
      <c r="T1253" s="83"/>
      <c r="U1253" s="83"/>
      <c r="V1253" s="83"/>
      <c r="W1253" s="83"/>
      <c r="X1253" s="87"/>
      <c r="Y1253" s="87">
        <v>3.6</v>
      </c>
      <c r="Z1253" s="86"/>
      <c r="AA1253" s="86"/>
      <c r="AB1253" s="83"/>
      <c r="AC1253" s="123"/>
      <c r="AD1253" s="88">
        <v>60</v>
      </c>
      <c r="AE1253" s="88">
        <v>60</v>
      </c>
      <c r="AF1253" s="88">
        <v>880</v>
      </c>
      <c r="AG1253" s="66">
        <f t="shared" si="53"/>
        <v>177</v>
      </c>
      <c r="AH1253" s="143">
        <f t="shared" si="54"/>
        <v>1000</v>
      </c>
    </row>
    <row r="1254" spans="1:34" s="90" customFormat="1" x14ac:dyDescent="0.3">
      <c r="A1254" s="84">
        <v>903274</v>
      </c>
      <c r="B1254" s="87">
        <v>0.15</v>
      </c>
      <c r="C1254" s="87"/>
      <c r="D1254" s="86">
        <v>7.7904761904761894</v>
      </c>
      <c r="E1254" s="104">
        <v>4.9000000000000002E-2</v>
      </c>
      <c r="F1254" s="84">
        <v>47.35</v>
      </c>
      <c r="G1254" s="84"/>
      <c r="H1254" s="84">
        <v>80.81</v>
      </c>
      <c r="I1254" s="84">
        <v>60</v>
      </c>
      <c r="J1254" s="85">
        <v>8.0000000000000002E-3</v>
      </c>
      <c r="K1254" s="87">
        <v>1.39</v>
      </c>
      <c r="L1254" s="83">
        <v>60</v>
      </c>
      <c r="M1254" s="83">
        <v>0.48</v>
      </c>
      <c r="N1254" s="83">
        <v>0.27</v>
      </c>
      <c r="O1254" s="83">
        <v>1.66</v>
      </c>
      <c r="P1254" s="83">
        <v>5.94</v>
      </c>
      <c r="Q1254" s="85"/>
      <c r="R1254" s="86">
        <v>0.3244935706178888</v>
      </c>
      <c r="S1254" s="83">
        <v>2.4</v>
      </c>
      <c r="T1254" s="83"/>
      <c r="U1254" s="83"/>
      <c r="V1254" s="83"/>
      <c r="W1254" s="83"/>
      <c r="X1254" s="87"/>
      <c r="Y1254" s="87">
        <v>5.6</v>
      </c>
      <c r="Z1254" s="86"/>
      <c r="AA1254" s="86"/>
      <c r="AB1254" s="83"/>
      <c r="AC1254" s="123"/>
      <c r="AD1254" s="88">
        <v>80</v>
      </c>
      <c r="AE1254" s="88">
        <v>60</v>
      </c>
      <c r="AF1254" s="88">
        <v>860</v>
      </c>
      <c r="AG1254" s="66">
        <f t="shared" si="53"/>
        <v>87.867857142857133</v>
      </c>
      <c r="AH1254" s="143">
        <f t="shared" si="54"/>
        <v>1000</v>
      </c>
    </row>
    <row r="1255" spans="1:34" s="90" customFormat="1" x14ac:dyDescent="0.3">
      <c r="A1255" s="84">
        <v>903275</v>
      </c>
      <c r="B1255" s="87">
        <v>8.3333333333333329E-2</v>
      </c>
      <c r="C1255" s="87"/>
      <c r="D1255" s="86">
        <v>7.6380952380952376</v>
      </c>
      <c r="E1255" s="104">
        <v>5.8999999999999997E-2</v>
      </c>
      <c r="F1255" s="84">
        <v>42.95</v>
      </c>
      <c r="G1255" s="84"/>
      <c r="H1255" s="84">
        <v>96.95</v>
      </c>
      <c r="I1255" s="84">
        <v>100</v>
      </c>
      <c r="J1255" s="85">
        <v>6.0000000000000001E-3</v>
      </c>
      <c r="K1255" s="87">
        <v>1.6</v>
      </c>
      <c r="L1255" s="83">
        <v>80</v>
      </c>
      <c r="M1255" s="83">
        <v>2.02</v>
      </c>
      <c r="N1255" s="83">
        <v>0.49</v>
      </c>
      <c r="O1255" s="83">
        <v>4.93</v>
      </c>
      <c r="P1255" s="83">
        <v>4.84</v>
      </c>
      <c r="Q1255" s="85"/>
      <c r="R1255" s="86">
        <v>1.1082485837510627</v>
      </c>
      <c r="S1255" s="83">
        <v>8</v>
      </c>
      <c r="T1255" s="83"/>
      <c r="U1255" s="83"/>
      <c r="V1255" s="83"/>
      <c r="W1255" s="83"/>
      <c r="X1255" s="87"/>
      <c r="Y1255" s="87">
        <v>5.6</v>
      </c>
      <c r="Z1255" s="86"/>
      <c r="AA1255" s="86"/>
      <c r="AB1255" s="83"/>
      <c r="AC1255" s="123"/>
      <c r="AD1255" s="88">
        <v>80</v>
      </c>
      <c r="AE1255" s="88">
        <v>60</v>
      </c>
      <c r="AF1255" s="88">
        <v>860</v>
      </c>
      <c r="AG1255" s="66">
        <f t="shared" si="53"/>
        <v>101.14285714285717</v>
      </c>
      <c r="AH1255" s="143">
        <f t="shared" si="54"/>
        <v>1000</v>
      </c>
    </row>
    <row r="1256" spans="1:34" s="90" customFormat="1" x14ac:dyDescent="0.3">
      <c r="A1256" s="84">
        <v>903276</v>
      </c>
      <c r="B1256" s="87">
        <v>3.3333333333333333E-2</v>
      </c>
      <c r="C1256" s="87"/>
      <c r="D1256" s="86">
        <v>7.3142857142857141</v>
      </c>
      <c r="E1256" s="104">
        <v>5.3999999999999999E-2</v>
      </c>
      <c r="F1256" s="84">
        <v>46.5</v>
      </c>
      <c r="G1256" s="84"/>
      <c r="H1256" s="84">
        <v>92.98</v>
      </c>
      <c r="I1256" s="84">
        <v>90</v>
      </c>
      <c r="J1256" s="85">
        <v>1.2999999999999999E-2</v>
      </c>
      <c r="K1256" s="87">
        <v>1.42</v>
      </c>
      <c r="L1256" s="83">
        <v>70</v>
      </c>
      <c r="M1256" s="83">
        <v>0.95</v>
      </c>
      <c r="N1256" s="83">
        <v>0.34</v>
      </c>
      <c r="O1256" s="83">
        <v>3.52</v>
      </c>
      <c r="P1256" s="83">
        <v>6.02</v>
      </c>
      <c r="Q1256" s="85"/>
      <c r="R1256" s="86">
        <v>0.85600851991840154</v>
      </c>
      <c r="S1256" s="83">
        <v>5.6</v>
      </c>
      <c r="T1256" s="83"/>
      <c r="U1256" s="83"/>
      <c r="V1256" s="83"/>
      <c r="W1256" s="83"/>
      <c r="X1256" s="87"/>
      <c r="Y1256" s="87">
        <v>3</v>
      </c>
      <c r="Z1256" s="86"/>
      <c r="AA1256" s="86"/>
      <c r="AB1256" s="83"/>
      <c r="AC1256" s="123"/>
      <c r="AD1256" s="88">
        <v>60</v>
      </c>
      <c r="AE1256" s="88">
        <v>60</v>
      </c>
      <c r="AF1256" s="88">
        <v>880</v>
      </c>
      <c r="AG1256" s="66">
        <f t="shared" si="53"/>
        <v>167.55999999999997</v>
      </c>
      <c r="AH1256" s="143">
        <f t="shared" si="54"/>
        <v>1000</v>
      </c>
    </row>
    <row r="1257" spans="1:34" s="90" customFormat="1" x14ac:dyDescent="0.3">
      <c r="A1257" s="84">
        <v>903277</v>
      </c>
      <c r="B1257" s="87">
        <v>0.15</v>
      </c>
      <c r="C1257" s="87"/>
      <c r="D1257" s="86">
        <v>7.371428571428571</v>
      </c>
      <c r="E1257" s="104">
        <v>8.2000000000000003E-2</v>
      </c>
      <c r="F1257" s="84">
        <v>43</v>
      </c>
      <c r="G1257" s="84"/>
      <c r="H1257" s="84">
        <v>94.18</v>
      </c>
      <c r="I1257" s="84">
        <v>110</v>
      </c>
      <c r="J1257" s="85">
        <v>1.2E-2</v>
      </c>
      <c r="K1257" s="87">
        <v>0.98</v>
      </c>
      <c r="L1257" s="83">
        <v>80</v>
      </c>
      <c r="M1257" s="83">
        <v>0.84</v>
      </c>
      <c r="N1257" s="83">
        <v>0.27</v>
      </c>
      <c r="O1257" s="83">
        <v>3.12</v>
      </c>
      <c r="P1257" s="83">
        <v>3.37</v>
      </c>
      <c r="Q1257" s="85"/>
      <c r="R1257" s="86">
        <v>0.73480398409695069</v>
      </c>
      <c r="S1257" s="83">
        <v>5</v>
      </c>
      <c r="T1257" s="83"/>
      <c r="U1257" s="83"/>
      <c r="V1257" s="83"/>
      <c r="W1257" s="83"/>
      <c r="X1257" s="87"/>
      <c r="Y1257" s="87">
        <v>3.6</v>
      </c>
      <c r="Z1257" s="86"/>
      <c r="AA1257" s="86"/>
      <c r="AB1257" s="83"/>
      <c r="AC1257" s="123"/>
      <c r="AD1257" s="88">
        <v>60</v>
      </c>
      <c r="AE1257" s="88">
        <v>80</v>
      </c>
      <c r="AF1257" s="88">
        <v>860</v>
      </c>
      <c r="AG1257" s="66">
        <f t="shared" si="53"/>
        <v>96.366666666666646</v>
      </c>
      <c r="AH1257" s="143">
        <f t="shared" si="54"/>
        <v>1000</v>
      </c>
    </row>
    <row r="1258" spans="1:34" s="90" customFormat="1" x14ac:dyDescent="0.3">
      <c r="A1258" s="84">
        <v>903278</v>
      </c>
      <c r="B1258" s="87">
        <v>0.16666666666666666</v>
      </c>
      <c r="C1258" s="87"/>
      <c r="D1258" s="86">
        <v>7.5047619047619047</v>
      </c>
      <c r="E1258" s="104">
        <v>8.1000000000000003E-2</v>
      </c>
      <c r="F1258" s="84">
        <v>43.550000000000004</v>
      </c>
      <c r="G1258" s="84"/>
      <c r="H1258" s="84">
        <v>89.43</v>
      </c>
      <c r="I1258" s="84">
        <v>110</v>
      </c>
      <c r="J1258" s="85">
        <v>1.4999999999999999E-2</v>
      </c>
      <c r="K1258" s="87">
        <v>1.39</v>
      </c>
      <c r="L1258" s="83">
        <v>100</v>
      </c>
      <c r="M1258" s="83">
        <v>2.66</v>
      </c>
      <c r="N1258" s="83">
        <v>0.59</v>
      </c>
      <c r="O1258" s="83">
        <v>3.31</v>
      </c>
      <c r="P1258" s="83">
        <v>4.07</v>
      </c>
      <c r="Q1258" s="85"/>
      <c r="R1258" s="86">
        <v>0.46514909145634242</v>
      </c>
      <c r="S1258" s="83">
        <v>3.3</v>
      </c>
      <c r="T1258" s="83"/>
      <c r="U1258" s="83"/>
      <c r="V1258" s="83"/>
      <c r="W1258" s="83"/>
      <c r="X1258" s="87"/>
      <c r="Y1258" s="87">
        <v>4.2</v>
      </c>
      <c r="Z1258" s="86"/>
      <c r="AA1258" s="86"/>
      <c r="AB1258" s="83"/>
      <c r="AC1258" s="123"/>
      <c r="AD1258" s="88">
        <v>60</v>
      </c>
      <c r="AE1258" s="88">
        <v>80</v>
      </c>
      <c r="AF1258" s="88">
        <v>860</v>
      </c>
      <c r="AG1258" s="66">
        <f t="shared" si="53"/>
        <v>117.15714285714284</v>
      </c>
      <c r="AH1258" s="143">
        <f t="shared" si="54"/>
        <v>1000</v>
      </c>
    </row>
    <row r="1259" spans="1:34" s="90" customFormat="1" x14ac:dyDescent="0.3">
      <c r="A1259" s="84">
        <v>903279</v>
      </c>
      <c r="B1259" s="87">
        <v>5.6944444444444438</v>
      </c>
      <c r="C1259" s="87"/>
      <c r="D1259" s="86">
        <v>7.6285714285714281</v>
      </c>
      <c r="E1259" s="104">
        <v>0.54200000000000004</v>
      </c>
      <c r="F1259" s="84">
        <v>346.70000000000005</v>
      </c>
      <c r="G1259" s="84"/>
      <c r="H1259" s="84">
        <v>19.38</v>
      </c>
      <c r="I1259" s="84">
        <v>160</v>
      </c>
      <c r="J1259" s="85">
        <v>0.60499999999999998</v>
      </c>
      <c r="K1259" s="87">
        <v>7.23</v>
      </c>
      <c r="L1259" s="83">
        <v>900</v>
      </c>
      <c r="M1259" s="83">
        <v>0.45</v>
      </c>
      <c r="N1259" s="83">
        <v>1.9</v>
      </c>
      <c r="O1259" s="83">
        <v>6.87</v>
      </c>
      <c r="P1259" s="83">
        <v>4.04</v>
      </c>
      <c r="Q1259" s="85"/>
      <c r="R1259" s="86">
        <v>1.6138970000000001</v>
      </c>
      <c r="S1259" s="83">
        <v>11.3</v>
      </c>
      <c r="T1259" s="83"/>
      <c r="U1259" s="83"/>
      <c r="V1259" s="83"/>
      <c r="W1259" s="83"/>
      <c r="X1259" s="87"/>
      <c r="Y1259" s="87">
        <v>23</v>
      </c>
      <c r="Z1259" s="86"/>
      <c r="AA1259" s="86"/>
      <c r="AB1259" s="83"/>
      <c r="AC1259" s="123"/>
      <c r="AD1259" s="88">
        <v>460</v>
      </c>
      <c r="AE1259" s="88">
        <v>440</v>
      </c>
      <c r="AF1259" s="88">
        <v>100</v>
      </c>
      <c r="AG1259" s="66">
        <f t="shared" si="53"/>
        <v>111.27913043478262</v>
      </c>
      <c r="AH1259" s="143">
        <f t="shared" si="54"/>
        <v>1000</v>
      </c>
    </row>
    <row r="1260" spans="1:34" s="90" customFormat="1" x14ac:dyDescent="0.3">
      <c r="A1260" s="84">
        <v>903280</v>
      </c>
      <c r="B1260" s="87">
        <v>14.250000000000002</v>
      </c>
      <c r="C1260" s="87">
        <v>2.3749999999999982</v>
      </c>
      <c r="D1260" s="86">
        <v>8.447619047619046</v>
      </c>
      <c r="E1260" s="104">
        <v>8.8999999999999996E-2</v>
      </c>
      <c r="F1260" s="84">
        <v>41.900000000000006</v>
      </c>
      <c r="G1260" s="84"/>
      <c r="H1260" s="84">
        <v>18.8</v>
      </c>
      <c r="I1260" s="84">
        <v>120</v>
      </c>
      <c r="J1260" s="85">
        <v>0.13400000000000001</v>
      </c>
      <c r="K1260" s="87">
        <v>7.8</v>
      </c>
      <c r="L1260" s="83">
        <v>240</v>
      </c>
      <c r="M1260" s="83">
        <v>0.04</v>
      </c>
      <c r="N1260" s="83">
        <v>0.08</v>
      </c>
      <c r="O1260" s="83">
        <v>0.88</v>
      </c>
      <c r="P1260" s="83">
        <v>0.7</v>
      </c>
      <c r="Q1260" s="85"/>
      <c r="R1260" s="86">
        <v>0.65547081384430261</v>
      </c>
      <c r="S1260" s="83">
        <v>4.5</v>
      </c>
      <c r="T1260" s="83"/>
      <c r="U1260" s="83"/>
      <c r="V1260" s="83"/>
      <c r="W1260" s="83"/>
      <c r="X1260" s="87"/>
      <c r="Y1260" s="87">
        <v>30.8</v>
      </c>
      <c r="Z1260" s="86"/>
      <c r="AA1260" s="86"/>
      <c r="AB1260" s="83"/>
      <c r="AC1260" s="123"/>
      <c r="AD1260" s="88">
        <v>440</v>
      </c>
      <c r="AE1260" s="88">
        <v>220</v>
      </c>
      <c r="AF1260" s="88">
        <v>340</v>
      </c>
      <c r="AG1260" s="66">
        <f t="shared" si="53"/>
        <v>89.649350649350637</v>
      </c>
      <c r="AH1260" s="143">
        <f t="shared" si="54"/>
        <v>1000</v>
      </c>
    </row>
    <row r="1261" spans="1:34" s="90" customFormat="1" x14ac:dyDescent="0.3">
      <c r="A1261" s="84">
        <v>903281</v>
      </c>
      <c r="B1261" s="87">
        <v>4.5833333333333339</v>
      </c>
      <c r="C1261" s="87"/>
      <c r="D1261" s="86">
        <v>7.7523809523809524</v>
      </c>
      <c r="E1261" s="104">
        <v>5.15</v>
      </c>
      <c r="F1261" s="84">
        <v>4694.0499999999993</v>
      </c>
      <c r="G1261" s="84"/>
      <c r="H1261" s="84">
        <v>23.47</v>
      </c>
      <c r="I1261" s="84">
        <v>160</v>
      </c>
      <c r="J1261" s="85">
        <v>5.9960000000000004</v>
      </c>
      <c r="K1261" s="87">
        <v>6.97</v>
      </c>
      <c r="L1261" s="83">
        <v>280</v>
      </c>
      <c r="M1261" s="83">
        <v>1.39</v>
      </c>
      <c r="N1261" s="83">
        <v>0.79</v>
      </c>
      <c r="O1261" s="83">
        <v>2.29</v>
      </c>
      <c r="P1261" s="83">
        <v>5.83</v>
      </c>
      <c r="Q1261" s="85"/>
      <c r="R1261" s="86">
        <v>0.78362769918867614</v>
      </c>
      <c r="S1261" s="83">
        <v>5.8</v>
      </c>
      <c r="T1261" s="83"/>
      <c r="U1261" s="83"/>
      <c r="V1261" s="83"/>
      <c r="W1261" s="83"/>
      <c r="X1261" s="87"/>
      <c r="Y1261" s="87">
        <v>19</v>
      </c>
      <c r="Z1261" s="86"/>
      <c r="AA1261" s="86"/>
      <c r="AB1261" s="83"/>
      <c r="AC1261" s="123"/>
      <c r="AD1261" s="88">
        <v>380</v>
      </c>
      <c r="AE1261" s="88">
        <v>520</v>
      </c>
      <c r="AF1261" s="88">
        <v>100</v>
      </c>
      <c r="AG1261" s="66">
        <f t="shared" si="53"/>
        <v>129.8621052631579</v>
      </c>
      <c r="AH1261" s="143">
        <f t="shared" si="54"/>
        <v>1000</v>
      </c>
    </row>
    <row r="1262" spans="1:34" s="90" customFormat="1" x14ac:dyDescent="0.3">
      <c r="A1262" s="84">
        <v>903282</v>
      </c>
      <c r="B1262" s="87">
        <v>0.49999999999999994</v>
      </c>
      <c r="C1262" s="87"/>
      <c r="D1262" s="86">
        <v>8.1809523809523803</v>
      </c>
      <c r="E1262" s="104">
        <v>0.248</v>
      </c>
      <c r="F1262" s="84">
        <v>111.75</v>
      </c>
      <c r="G1262" s="84"/>
      <c r="H1262" s="84">
        <v>34.44</v>
      </c>
      <c r="I1262" s="84">
        <v>310</v>
      </c>
      <c r="J1262" s="85">
        <v>0.27100000000000002</v>
      </c>
      <c r="K1262" s="87">
        <v>4.29</v>
      </c>
      <c r="L1262" s="83">
        <v>1340</v>
      </c>
      <c r="M1262" s="83">
        <v>0.8</v>
      </c>
      <c r="N1262" s="83">
        <v>0.67</v>
      </c>
      <c r="O1262" s="83">
        <v>1.46</v>
      </c>
      <c r="P1262" s="83">
        <v>3.46</v>
      </c>
      <c r="Q1262" s="85"/>
      <c r="R1262" s="86">
        <v>1.7544919999999999</v>
      </c>
      <c r="S1262" s="83">
        <v>15.2</v>
      </c>
      <c r="T1262" s="83"/>
      <c r="U1262" s="83"/>
      <c r="V1262" s="83"/>
      <c r="W1262" s="83"/>
      <c r="X1262" s="87"/>
      <c r="Y1262" s="87">
        <v>17</v>
      </c>
      <c r="Z1262" s="86"/>
      <c r="AA1262" s="86"/>
      <c r="AB1262" s="83"/>
      <c r="AC1262" s="123"/>
      <c r="AD1262" s="88">
        <v>560</v>
      </c>
      <c r="AE1262" s="88">
        <v>300</v>
      </c>
      <c r="AF1262" s="88">
        <v>140</v>
      </c>
      <c r="AG1262" s="66">
        <f t="shared" si="53"/>
        <v>89.332941176470598</v>
      </c>
      <c r="AH1262" s="143">
        <f t="shared" si="54"/>
        <v>1000</v>
      </c>
    </row>
    <row r="1263" spans="1:34" s="90" customFormat="1" x14ac:dyDescent="0.3">
      <c r="A1263" s="84">
        <v>903283</v>
      </c>
      <c r="B1263" s="87">
        <v>0.3666666666666667</v>
      </c>
      <c r="C1263" s="87"/>
      <c r="D1263" s="86">
        <v>8.2857142857142847</v>
      </c>
      <c r="E1263" s="104">
        <v>0.155</v>
      </c>
      <c r="F1263" s="84">
        <v>69</v>
      </c>
      <c r="G1263" s="84"/>
      <c r="H1263" s="84">
        <v>32.07</v>
      </c>
      <c r="I1263" s="84">
        <v>390</v>
      </c>
      <c r="J1263" s="85">
        <v>0.215</v>
      </c>
      <c r="K1263" s="87">
        <v>3.87</v>
      </c>
      <c r="L1263" s="83">
        <v>1200</v>
      </c>
      <c r="M1263" s="83">
        <v>0.52</v>
      </c>
      <c r="N1263" s="83">
        <v>0.73</v>
      </c>
      <c r="O1263" s="83">
        <v>1.25</v>
      </c>
      <c r="P1263" s="83">
        <v>3.52</v>
      </c>
      <c r="Q1263" s="85"/>
      <c r="R1263" s="86">
        <v>1.666817</v>
      </c>
      <c r="S1263" s="83">
        <v>12.7</v>
      </c>
      <c r="T1263" s="83"/>
      <c r="U1263" s="83"/>
      <c r="V1263" s="83"/>
      <c r="W1263" s="83"/>
      <c r="X1263" s="87"/>
      <c r="Y1263" s="87">
        <v>16</v>
      </c>
      <c r="Z1263" s="86"/>
      <c r="AA1263" s="86"/>
      <c r="AB1263" s="83"/>
      <c r="AC1263" s="123"/>
      <c r="AD1263" s="88">
        <v>540</v>
      </c>
      <c r="AE1263" s="88">
        <v>300</v>
      </c>
      <c r="AF1263" s="88">
        <v>160</v>
      </c>
      <c r="AG1263" s="66">
        <f t="shared" si="53"/>
        <v>85.623750000000001</v>
      </c>
      <c r="AH1263" s="143">
        <f t="shared" si="54"/>
        <v>1000</v>
      </c>
    </row>
    <row r="1264" spans="1:34" s="90" customFormat="1" x14ac:dyDescent="0.3">
      <c r="A1264" s="84">
        <v>903284</v>
      </c>
      <c r="B1264" s="87">
        <v>1.2</v>
      </c>
      <c r="C1264" s="87"/>
      <c r="D1264" s="86">
        <v>8.0857142857142854</v>
      </c>
      <c r="E1264" s="104">
        <v>0.35199999999999998</v>
      </c>
      <c r="F1264" s="84">
        <v>199.5</v>
      </c>
      <c r="G1264" s="84"/>
      <c r="H1264" s="84">
        <v>51.21</v>
      </c>
      <c r="I1264" s="84">
        <v>360</v>
      </c>
      <c r="J1264" s="85">
        <v>0.629</v>
      </c>
      <c r="K1264" s="87">
        <v>5.37</v>
      </c>
      <c r="L1264" s="83">
        <v>960</v>
      </c>
      <c r="M1264" s="83">
        <v>0.87</v>
      </c>
      <c r="N1264" s="83">
        <v>0.79</v>
      </c>
      <c r="O1264" s="83">
        <v>1.31</v>
      </c>
      <c r="P1264" s="83">
        <v>3.16</v>
      </c>
      <c r="Q1264" s="85"/>
      <c r="R1264" s="86">
        <v>1.4278085305265493</v>
      </c>
      <c r="S1264" s="83">
        <v>9.5</v>
      </c>
      <c r="T1264" s="83"/>
      <c r="U1264" s="83"/>
      <c r="V1264" s="83"/>
      <c r="W1264" s="83"/>
      <c r="X1264" s="87"/>
      <c r="Y1264" s="87">
        <v>19.444444444444446</v>
      </c>
      <c r="Z1264" s="86"/>
      <c r="AA1264" s="86"/>
      <c r="AB1264" s="83"/>
      <c r="AC1264" s="123"/>
      <c r="AD1264" s="88">
        <v>560</v>
      </c>
      <c r="AE1264" s="88">
        <v>280</v>
      </c>
      <c r="AF1264" s="88">
        <v>160</v>
      </c>
      <c r="AG1264" s="66">
        <f t="shared" si="53"/>
        <v>97.764685714285719</v>
      </c>
      <c r="AH1264" s="143">
        <f t="shared" si="54"/>
        <v>1000</v>
      </c>
    </row>
    <row r="1265" spans="1:34" s="90" customFormat="1" x14ac:dyDescent="0.3">
      <c r="A1265" s="84">
        <v>903285</v>
      </c>
      <c r="B1265" s="87">
        <v>0.65</v>
      </c>
      <c r="C1265" s="87"/>
      <c r="D1265" s="86">
        <v>8.2285714285714295</v>
      </c>
      <c r="E1265" s="104">
        <v>0.24399999999999999</v>
      </c>
      <c r="F1265" s="84">
        <v>89.1</v>
      </c>
      <c r="G1265" s="84"/>
      <c r="H1265" s="84">
        <v>34.08</v>
      </c>
      <c r="I1265" s="84">
        <v>400</v>
      </c>
      <c r="J1265" s="85">
        <v>0.38100000000000001</v>
      </c>
      <c r="K1265" s="87">
        <v>4.8600000000000003</v>
      </c>
      <c r="L1265" s="83">
        <v>1100</v>
      </c>
      <c r="M1265" s="83">
        <v>0.67</v>
      </c>
      <c r="N1265" s="83">
        <v>0.88</v>
      </c>
      <c r="O1265" s="83">
        <v>1.58</v>
      </c>
      <c r="P1265" s="83">
        <v>3.19</v>
      </c>
      <c r="Q1265" s="85"/>
      <c r="R1265" s="86">
        <v>1.2530891046937942</v>
      </c>
      <c r="S1265" s="83">
        <v>9.3000000000000007</v>
      </c>
      <c r="T1265" s="83"/>
      <c r="U1265" s="83"/>
      <c r="V1265" s="83"/>
      <c r="W1265" s="83"/>
      <c r="X1265" s="87"/>
      <c r="Y1265" s="87">
        <v>18.958333333333336</v>
      </c>
      <c r="Z1265" s="86"/>
      <c r="AA1265" s="86"/>
      <c r="AB1265" s="83"/>
      <c r="AC1265" s="123"/>
      <c r="AD1265" s="88">
        <v>540</v>
      </c>
      <c r="AE1265" s="88">
        <v>300</v>
      </c>
      <c r="AF1265" s="88">
        <v>160</v>
      </c>
      <c r="AG1265" s="66">
        <f t="shared" si="53"/>
        <v>90.748483516483503</v>
      </c>
      <c r="AH1265" s="143">
        <f t="shared" si="54"/>
        <v>1000</v>
      </c>
    </row>
    <row r="1266" spans="1:34" s="90" customFormat="1" x14ac:dyDescent="0.3">
      <c r="A1266" s="84">
        <v>903286</v>
      </c>
      <c r="B1266" s="87">
        <v>1.8333333333333333</v>
      </c>
      <c r="C1266" s="87"/>
      <c r="D1266" s="86">
        <v>7.9428571428571422</v>
      </c>
      <c r="E1266" s="104">
        <v>0.499</v>
      </c>
      <c r="F1266" s="84">
        <v>209.65</v>
      </c>
      <c r="G1266" s="84"/>
      <c r="H1266" s="84">
        <v>54.49</v>
      </c>
      <c r="I1266" s="84">
        <v>570</v>
      </c>
      <c r="J1266" s="85">
        <v>0.29899999999999999</v>
      </c>
      <c r="K1266" s="87">
        <v>7.95</v>
      </c>
      <c r="L1266" s="83">
        <v>890</v>
      </c>
      <c r="M1266" s="83">
        <v>0.53</v>
      </c>
      <c r="N1266" s="83">
        <v>0.86</v>
      </c>
      <c r="O1266" s="83">
        <v>2.4700000000000002</v>
      </c>
      <c r="P1266" s="83">
        <v>1.91</v>
      </c>
      <c r="Q1266" s="85"/>
      <c r="R1266" s="86">
        <v>1.4760790775032548</v>
      </c>
      <c r="S1266" s="83">
        <v>9.6999999999999993</v>
      </c>
      <c r="T1266" s="83"/>
      <c r="U1266" s="83"/>
      <c r="V1266" s="83"/>
      <c r="W1266" s="83"/>
      <c r="X1266" s="87"/>
      <c r="Y1266" s="87">
        <v>27.222222222222229</v>
      </c>
      <c r="Z1266" s="86"/>
      <c r="AA1266" s="86"/>
      <c r="AB1266" s="83"/>
      <c r="AC1266" s="123"/>
      <c r="AD1266" s="88">
        <v>560</v>
      </c>
      <c r="AE1266" s="88">
        <v>320</v>
      </c>
      <c r="AF1266" s="88">
        <v>120</v>
      </c>
      <c r="AG1266" s="66">
        <f t="shared" si="53"/>
        <v>103.38244897959181</v>
      </c>
      <c r="AH1266" s="143">
        <f t="shared" si="54"/>
        <v>1000</v>
      </c>
    </row>
    <row r="1267" spans="1:34" s="90" customFormat="1" x14ac:dyDescent="0.3">
      <c r="A1267" s="84">
        <v>903287</v>
      </c>
      <c r="B1267" s="87">
        <v>0.48333333333333328</v>
      </c>
      <c r="C1267" s="87"/>
      <c r="D1267" s="86">
        <v>7.9904761904761905</v>
      </c>
      <c r="E1267" s="104">
        <v>0.38400000000000001</v>
      </c>
      <c r="F1267" s="84">
        <v>120.25</v>
      </c>
      <c r="G1267" s="84"/>
      <c r="H1267" s="84">
        <v>59.64</v>
      </c>
      <c r="I1267" s="84">
        <v>530</v>
      </c>
      <c r="J1267" s="85">
        <v>0.28399999999999997</v>
      </c>
      <c r="K1267" s="87">
        <v>5.09</v>
      </c>
      <c r="L1267" s="83">
        <v>980</v>
      </c>
      <c r="M1267" s="83">
        <v>0.57999999999999996</v>
      </c>
      <c r="N1267" s="83">
        <v>1</v>
      </c>
      <c r="O1267" s="83">
        <v>3.62</v>
      </c>
      <c r="P1267" s="83">
        <v>3.2</v>
      </c>
      <c r="Q1267" s="85"/>
      <c r="R1267" s="86">
        <v>1.6177680000000001</v>
      </c>
      <c r="S1267" s="83">
        <v>11.4</v>
      </c>
      <c r="T1267" s="83"/>
      <c r="U1267" s="83"/>
      <c r="V1267" s="83"/>
      <c r="W1267" s="83"/>
      <c r="X1267" s="87"/>
      <c r="Y1267" s="87">
        <v>18.2</v>
      </c>
      <c r="Z1267" s="86"/>
      <c r="AA1267" s="86"/>
      <c r="AB1267" s="83"/>
      <c r="AC1267" s="123"/>
      <c r="AD1267" s="88">
        <v>540</v>
      </c>
      <c r="AE1267" s="88">
        <v>340</v>
      </c>
      <c r="AF1267" s="88">
        <v>120</v>
      </c>
      <c r="AG1267" s="66">
        <f t="shared" si="53"/>
        <v>99.003296703296698</v>
      </c>
      <c r="AH1267" s="143">
        <f t="shared" si="54"/>
        <v>1000</v>
      </c>
    </row>
    <row r="1268" spans="1:34" s="90" customFormat="1" x14ac:dyDescent="0.3">
      <c r="A1268" s="84">
        <v>903288</v>
      </c>
      <c r="B1268" s="87">
        <v>7.2499999999999991</v>
      </c>
      <c r="C1268" s="87"/>
      <c r="D1268" s="86">
        <v>8.3238095238095244</v>
      </c>
      <c r="E1268" s="104">
        <v>0.13200000000000001</v>
      </c>
      <c r="F1268" s="84">
        <v>59.55</v>
      </c>
      <c r="G1268" s="84"/>
      <c r="H1268" s="84">
        <v>28.09</v>
      </c>
      <c r="I1268" s="84">
        <v>310</v>
      </c>
      <c r="J1268" s="85">
        <v>8.5999999999999993E-2</v>
      </c>
      <c r="K1268" s="87">
        <v>8.2799999999999994</v>
      </c>
      <c r="L1268" s="83">
        <v>570</v>
      </c>
      <c r="M1268" s="83">
        <v>0.44</v>
      </c>
      <c r="N1268" s="83">
        <v>0.93</v>
      </c>
      <c r="O1268" s="83">
        <v>1.39</v>
      </c>
      <c r="P1268" s="83">
        <v>2.52</v>
      </c>
      <c r="Q1268" s="85"/>
      <c r="R1268" s="86">
        <v>0.98437730762804654</v>
      </c>
      <c r="S1268" s="83">
        <v>6.5</v>
      </c>
      <c r="T1268" s="83"/>
      <c r="U1268" s="83"/>
      <c r="V1268" s="83"/>
      <c r="W1268" s="83"/>
      <c r="X1268" s="87"/>
      <c r="Y1268" s="87">
        <v>29.4</v>
      </c>
      <c r="Z1268" s="86"/>
      <c r="AA1268" s="86"/>
      <c r="AB1268" s="83"/>
      <c r="AC1268" s="123"/>
      <c r="AD1268" s="88">
        <v>420</v>
      </c>
      <c r="AE1268" s="88">
        <v>240</v>
      </c>
      <c r="AF1268" s="88">
        <v>340</v>
      </c>
      <c r="AG1268" s="66">
        <f t="shared" si="53"/>
        <v>99.697959183673476</v>
      </c>
      <c r="AH1268" s="143">
        <f t="shared" si="54"/>
        <v>1000</v>
      </c>
    </row>
    <row r="1269" spans="1:34" s="90" customFormat="1" x14ac:dyDescent="0.3">
      <c r="A1269" s="84">
        <v>903289</v>
      </c>
      <c r="B1269" s="87">
        <v>1.6999999999999997</v>
      </c>
      <c r="C1269" s="87"/>
      <c r="D1269" s="86">
        <v>8.5047619047619047</v>
      </c>
      <c r="E1269" s="104">
        <v>0.11899999999999999</v>
      </c>
      <c r="F1269" s="84">
        <v>55.599999999999994</v>
      </c>
      <c r="G1269" s="84"/>
      <c r="H1269" s="84">
        <v>30.78</v>
      </c>
      <c r="I1269" s="84">
        <v>250</v>
      </c>
      <c r="J1269" s="85">
        <v>0.17699999999999999</v>
      </c>
      <c r="K1269" s="87">
        <v>5.31</v>
      </c>
      <c r="L1269" s="83">
        <v>490</v>
      </c>
      <c r="M1269" s="83">
        <v>0.22</v>
      </c>
      <c r="N1269" s="83">
        <v>0.74</v>
      </c>
      <c r="O1269" s="83">
        <v>2.14</v>
      </c>
      <c r="P1269" s="83">
        <v>2.17</v>
      </c>
      <c r="Q1269" s="85"/>
      <c r="R1269" s="86">
        <v>0.77383638047691816</v>
      </c>
      <c r="S1269" s="83">
        <v>5.4</v>
      </c>
      <c r="T1269" s="83"/>
      <c r="U1269" s="83"/>
      <c r="V1269" s="83"/>
      <c r="W1269" s="83"/>
      <c r="X1269" s="87"/>
      <c r="Y1269" s="87">
        <v>20</v>
      </c>
      <c r="Z1269" s="86"/>
      <c r="AA1269" s="86"/>
      <c r="AB1269" s="83"/>
      <c r="AC1269" s="123"/>
      <c r="AD1269" s="88">
        <v>400</v>
      </c>
      <c r="AE1269" s="88">
        <v>220</v>
      </c>
      <c r="AF1269" s="88">
        <v>380</v>
      </c>
      <c r="AG1269" s="66">
        <f t="shared" si="53"/>
        <v>93.986999999999995</v>
      </c>
      <c r="AH1269" s="143">
        <f t="shared" si="54"/>
        <v>1000</v>
      </c>
    </row>
    <row r="1270" spans="1:34" s="90" customFormat="1" x14ac:dyDescent="0.3">
      <c r="A1270" s="84">
        <v>903297</v>
      </c>
      <c r="B1270" s="87">
        <v>0.23333333333333331</v>
      </c>
      <c r="C1270" s="87"/>
      <c r="D1270" s="86">
        <v>8.2857142857142847</v>
      </c>
      <c r="E1270" s="104">
        <v>0.11899999999999999</v>
      </c>
      <c r="F1270" s="84">
        <v>120.5</v>
      </c>
      <c r="G1270" s="84"/>
      <c r="H1270" s="84">
        <v>195.99</v>
      </c>
      <c r="I1270" s="84">
        <v>140</v>
      </c>
      <c r="J1270" s="85">
        <v>4.4999999999999998E-2</v>
      </c>
      <c r="K1270" s="87">
        <v>1.63</v>
      </c>
      <c r="L1270" s="83">
        <v>260</v>
      </c>
      <c r="M1270" s="83">
        <v>2.5299999999999998</v>
      </c>
      <c r="N1270" s="83">
        <v>0.39</v>
      </c>
      <c r="O1270" s="83">
        <v>4.49</v>
      </c>
      <c r="P1270" s="83">
        <v>12.8</v>
      </c>
      <c r="Q1270" s="85"/>
      <c r="R1270" s="86">
        <v>1.6958250000000001</v>
      </c>
      <c r="S1270" s="83">
        <v>13.5</v>
      </c>
      <c r="T1270" s="83"/>
      <c r="U1270" s="83"/>
      <c r="V1270" s="83"/>
      <c r="W1270" s="83"/>
      <c r="X1270" s="87"/>
      <c r="Y1270" s="87">
        <v>6.2</v>
      </c>
      <c r="Z1270" s="86"/>
      <c r="AA1270" s="86"/>
      <c r="AB1270" s="83"/>
      <c r="AC1270" s="123"/>
      <c r="AD1270" s="88">
        <v>120</v>
      </c>
      <c r="AE1270" s="88">
        <v>80</v>
      </c>
      <c r="AF1270" s="88">
        <v>800</v>
      </c>
      <c r="AG1270" s="66">
        <f t="shared" si="53"/>
        <v>93.067741935483866</v>
      </c>
      <c r="AH1270" s="143">
        <f t="shared" si="54"/>
        <v>1000</v>
      </c>
    </row>
    <row r="1271" spans="1:34" s="90" customFormat="1" x14ac:dyDescent="0.3">
      <c r="A1271" s="84">
        <v>903298</v>
      </c>
      <c r="B1271" s="87">
        <v>0.23333333333333331</v>
      </c>
      <c r="C1271" s="87"/>
      <c r="D1271" s="86">
        <v>8.0666666666666664</v>
      </c>
      <c r="E1271" s="104">
        <v>0.11700000000000001</v>
      </c>
      <c r="F1271" s="84">
        <v>143.6</v>
      </c>
      <c r="G1271" s="84"/>
      <c r="H1271" s="84">
        <v>105.12</v>
      </c>
      <c r="I1271" s="84">
        <v>120</v>
      </c>
      <c r="J1271" s="85">
        <v>0.06</v>
      </c>
      <c r="K1271" s="87">
        <v>1.05</v>
      </c>
      <c r="L1271" s="83">
        <v>160</v>
      </c>
      <c r="M1271" s="83">
        <v>1.92</v>
      </c>
      <c r="N1271" s="83">
        <v>0.35</v>
      </c>
      <c r="O1271" s="83">
        <v>4.22</v>
      </c>
      <c r="P1271" s="83">
        <v>11.98</v>
      </c>
      <c r="Q1271" s="85"/>
      <c r="R1271" s="86">
        <v>1.3723198266308079</v>
      </c>
      <c r="S1271" s="83">
        <v>9.1999999999999993</v>
      </c>
      <c r="T1271" s="83"/>
      <c r="U1271" s="83"/>
      <c r="V1271" s="83"/>
      <c r="W1271" s="83"/>
      <c r="X1271" s="87"/>
      <c r="Y1271" s="87">
        <v>4</v>
      </c>
      <c r="Z1271" s="86"/>
      <c r="AA1271" s="86"/>
      <c r="AB1271" s="83"/>
      <c r="AC1271" s="123"/>
      <c r="AD1271" s="88">
        <v>130</v>
      </c>
      <c r="AE1271" s="88">
        <v>70</v>
      </c>
      <c r="AF1271" s="88">
        <v>800</v>
      </c>
      <c r="AG1271" s="66">
        <f t="shared" si="53"/>
        <v>92.924999999999997</v>
      </c>
      <c r="AH1271" s="143">
        <f t="shared" si="54"/>
        <v>1000</v>
      </c>
    </row>
    <row r="1272" spans="1:34" s="90" customFormat="1" x14ac:dyDescent="0.3">
      <c r="A1272" s="84">
        <v>903299</v>
      </c>
      <c r="B1272" s="87">
        <v>0.16666666666666666</v>
      </c>
      <c r="C1272" s="87"/>
      <c r="D1272" s="86">
        <v>7.7619047619047619</v>
      </c>
      <c r="E1272" s="104">
        <v>0.53600000000000003</v>
      </c>
      <c r="F1272" s="84">
        <v>755.5</v>
      </c>
      <c r="G1272" s="84"/>
      <c r="H1272" s="84">
        <v>95.51</v>
      </c>
      <c r="I1272" s="84">
        <v>150</v>
      </c>
      <c r="J1272" s="85">
        <v>0.27800000000000002</v>
      </c>
      <c r="K1272" s="87">
        <v>1.46</v>
      </c>
      <c r="L1272" s="83">
        <v>240</v>
      </c>
      <c r="M1272" s="83">
        <v>2.0699999999999998</v>
      </c>
      <c r="N1272" s="83">
        <v>0.73</v>
      </c>
      <c r="O1272" s="83">
        <v>2.74</v>
      </c>
      <c r="P1272" s="83">
        <v>7.29</v>
      </c>
      <c r="Q1272" s="85"/>
      <c r="R1272" s="86">
        <v>1.0131444075769938</v>
      </c>
      <c r="S1272" s="83">
        <v>7.5</v>
      </c>
      <c r="T1272" s="83"/>
      <c r="U1272" s="83"/>
      <c r="V1272" s="83"/>
      <c r="W1272" s="83"/>
      <c r="X1272" s="87"/>
      <c r="Y1272" s="87">
        <v>5.5</v>
      </c>
      <c r="Z1272" s="86"/>
      <c r="AA1272" s="86"/>
      <c r="AB1272" s="83"/>
      <c r="AC1272" s="123"/>
      <c r="AD1272" s="88">
        <v>110</v>
      </c>
      <c r="AE1272" s="88">
        <v>70</v>
      </c>
      <c r="AF1272" s="88">
        <v>820</v>
      </c>
      <c r="AG1272" s="66">
        <f t="shared" si="53"/>
        <v>93.970909090909103</v>
      </c>
      <c r="AH1272" s="143">
        <f t="shared" si="54"/>
        <v>1000</v>
      </c>
    </row>
    <row r="1273" spans="1:34" s="90" customFormat="1" x14ac:dyDescent="0.3">
      <c r="A1273" s="84">
        <v>903300</v>
      </c>
      <c r="B1273" s="87">
        <v>0.16666666666666666</v>
      </c>
      <c r="C1273" s="87"/>
      <c r="D1273" s="86">
        <v>7.9142857142857146</v>
      </c>
      <c r="E1273" s="104">
        <v>0.17199999999999999</v>
      </c>
      <c r="F1273" s="84">
        <v>219.95000000000002</v>
      </c>
      <c r="G1273" s="84"/>
      <c r="H1273" s="84">
        <v>94.01</v>
      </c>
      <c r="I1273" s="84">
        <v>150</v>
      </c>
      <c r="J1273" s="85">
        <v>8.5000000000000006E-2</v>
      </c>
      <c r="K1273" s="87">
        <v>1.36</v>
      </c>
      <c r="L1273" s="83">
        <v>220</v>
      </c>
      <c r="M1273" s="83">
        <v>1.62</v>
      </c>
      <c r="N1273" s="83">
        <v>0.52</v>
      </c>
      <c r="O1273" s="83">
        <v>4.91</v>
      </c>
      <c r="P1273" s="83">
        <v>8.44</v>
      </c>
      <c r="Q1273" s="85"/>
      <c r="R1273" s="86">
        <v>1.1771884518457845</v>
      </c>
      <c r="S1273" s="83">
        <v>8</v>
      </c>
      <c r="T1273" s="83"/>
      <c r="U1273" s="83"/>
      <c r="V1273" s="83"/>
      <c r="W1273" s="83"/>
      <c r="X1273" s="87"/>
      <c r="Y1273" s="87">
        <v>5.3</v>
      </c>
      <c r="Z1273" s="86"/>
      <c r="AA1273" s="86"/>
      <c r="AB1273" s="83"/>
      <c r="AC1273" s="123"/>
      <c r="AD1273" s="88">
        <v>110</v>
      </c>
      <c r="AE1273" s="88">
        <v>50</v>
      </c>
      <c r="AF1273" s="88">
        <v>840</v>
      </c>
      <c r="AG1273" s="66">
        <f t="shared" si="53"/>
        <v>90.8377358490566</v>
      </c>
      <c r="AH1273" s="143">
        <f t="shared" si="54"/>
        <v>1000</v>
      </c>
    </row>
    <row r="1274" spans="1:34" s="90" customFormat="1" x14ac:dyDescent="0.3">
      <c r="A1274" s="84">
        <v>903290</v>
      </c>
      <c r="B1274" s="87">
        <v>5.0416666666666661</v>
      </c>
      <c r="C1274" s="87"/>
      <c r="D1274" s="86">
        <v>7.9090909090909074</v>
      </c>
      <c r="E1274" s="99">
        <v>0.13300000000000001</v>
      </c>
      <c r="F1274" s="87">
        <v>36.4</v>
      </c>
      <c r="G1274" s="83"/>
      <c r="H1274" s="84">
        <v>23.2</v>
      </c>
      <c r="I1274" s="83">
        <v>390</v>
      </c>
      <c r="J1274" s="83">
        <v>0.126</v>
      </c>
      <c r="K1274" s="87">
        <v>6.89</v>
      </c>
      <c r="L1274" s="83">
        <v>570</v>
      </c>
      <c r="M1274" s="83">
        <v>0.34</v>
      </c>
      <c r="N1274" s="83">
        <v>0.93</v>
      </c>
      <c r="O1274" s="83">
        <v>3.61</v>
      </c>
      <c r="P1274" s="83">
        <v>3.5</v>
      </c>
      <c r="Q1274" s="83"/>
      <c r="R1274" s="86">
        <v>1.3292068644717074</v>
      </c>
      <c r="S1274" s="83">
        <v>9.2000000000000011</v>
      </c>
      <c r="T1274" s="83"/>
      <c r="U1274" s="83"/>
      <c r="V1274" s="83"/>
      <c r="W1274" s="83"/>
      <c r="X1274" s="83"/>
      <c r="Y1274" s="185">
        <v>22</v>
      </c>
      <c r="Z1274" s="83"/>
      <c r="AA1274" s="86"/>
      <c r="AB1274" s="86"/>
      <c r="AC1274" s="83"/>
      <c r="AD1274" s="123">
        <v>420</v>
      </c>
      <c r="AE1274" s="83">
        <v>180</v>
      </c>
      <c r="AF1274" s="83">
        <f t="shared" ref="AF1274:AF1306" si="55">1000-(AD1274+AE1274)</f>
        <v>400</v>
      </c>
      <c r="AG1274" s="66">
        <f t="shared" si="53"/>
        <v>110.86636363636363</v>
      </c>
      <c r="AH1274" s="143">
        <f t="shared" si="54"/>
        <v>1000</v>
      </c>
    </row>
    <row r="1275" spans="1:34" s="90" customFormat="1" x14ac:dyDescent="0.3">
      <c r="A1275" s="84">
        <v>903291</v>
      </c>
      <c r="B1275" s="87">
        <v>2.4833333333333334</v>
      </c>
      <c r="C1275" s="87"/>
      <c r="D1275" s="86">
        <v>7.8545454545454545</v>
      </c>
      <c r="E1275" s="99">
        <v>0.15</v>
      </c>
      <c r="F1275" s="87">
        <v>73.550000000000011</v>
      </c>
      <c r="G1275" s="83"/>
      <c r="H1275" s="84">
        <v>51.62</v>
      </c>
      <c r="I1275" s="83">
        <v>470</v>
      </c>
      <c r="J1275" s="83">
        <v>0.108</v>
      </c>
      <c r="K1275" s="87">
        <v>5.76</v>
      </c>
      <c r="L1275" s="83">
        <v>740</v>
      </c>
      <c r="M1275" s="83">
        <v>1.06</v>
      </c>
      <c r="N1275" s="83">
        <v>1.23</v>
      </c>
      <c r="O1275" s="83">
        <v>4.28</v>
      </c>
      <c r="P1275" s="83">
        <v>5.19</v>
      </c>
      <c r="Q1275" s="83"/>
      <c r="R1275" s="86">
        <v>0.747041353210248</v>
      </c>
      <c r="S1275" s="83">
        <v>5.2</v>
      </c>
      <c r="T1275" s="83"/>
      <c r="U1275" s="83"/>
      <c r="V1275" s="83"/>
      <c r="W1275" s="83"/>
      <c r="X1275" s="83"/>
      <c r="Y1275" s="185">
        <v>21</v>
      </c>
      <c r="Z1275" s="83"/>
      <c r="AA1275" s="86"/>
      <c r="AB1275" s="86"/>
      <c r="AC1275" s="83"/>
      <c r="AD1275" s="123">
        <v>440</v>
      </c>
      <c r="AE1275" s="83">
        <v>160</v>
      </c>
      <c r="AF1275" s="83">
        <f t="shared" si="55"/>
        <v>400</v>
      </c>
      <c r="AG1275" s="66">
        <f t="shared" si="53"/>
        <v>97.097142857142856</v>
      </c>
      <c r="AH1275" s="143">
        <f t="shared" si="54"/>
        <v>1000</v>
      </c>
    </row>
    <row r="1276" spans="1:34" s="90" customFormat="1" x14ac:dyDescent="0.3">
      <c r="A1276" s="84">
        <v>903292</v>
      </c>
      <c r="B1276" s="87">
        <v>37.166666666666664</v>
      </c>
      <c r="C1276" s="87">
        <v>11.875</v>
      </c>
      <c r="D1276" s="86">
        <v>7.96</v>
      </c>
      <c r="E1276" s="99">
        <v>2.9</v>
      </c>
      <c r="F1276" s="87">
        <v>219.5</v>
      </c>
      <c r="G1276" s="83"/>
      <c r="H1276" s="84">
        <v>18.739999999999998</v>
      </c>
      <c r="I1276" s="83">
        <v>300</v>
      </c>
      <c r="J1276" s="83">
        <v>0.78700000000000003</v>
      </c>
      <c r="K1276" s="87">
        <v>36.5</v>
      </c>
      <c r="L1276" s="83">
        <v>360</v>
      </c>
      <c r="M1276" s="83">
        <v>0.2</v>
      </c>
      <c r="N1276" s="83">
        <v>0.22</v>
      </c>
      <c r="O1276" s="83">
        <v>1.06</v>
      </c>
      <c r="P1276" s="83">
        <v>1.07</v>
      </c>
      <c r="Q1276" s="83"/>
      <c r="R1276" s="86">
        <v>1.882088</v>
      </c>
      <c r="S1276" s="83">
        <v>19.399999999999999</v>
      </c>
      <c r="T1276" s="83"/>
      <c r="U1276" s="83"/>
      <c r="V1276" s="83"/>
      <c r="W1276" s="83"/>
      <c r="X1276" s="83"/>
      <c r="Y1276" s="185">
        <v>32.4</v>
      </c>
      <c r="Z1276" s="83"/>
      <c r="AA1276" s="86"/>
      <c r="AB1276" s="86"/>
      <c r="AC1276" s="83"/>
      <c r="AD1276" s="123">
        <v>540</v>
      </c>
      <c r="AE1276" s="83">
        <v>320</v>
      </c>
      <c r="AF1276" s="83">
        <f t="shared" si="55"/>
        <v>140</v>
      </c>
      <c r="AG1276" s="66">
        <f t="shared" si="53"/>
        <v>398.7962962962963</v>
      </c>
      <c r="AH1276" s="143">
        <f t="shared" si="54"/>
        <v>1000</v>
      </c>
    </row>
    <row r="1277" spans="1:34" s="90" customFormat="1" x14ac:dyDescent="0.3">
      <c r="A1277" s="84">
        <v>903293</v>
      </c>
      <c r="B1277" s="87">
        <v>38.333333333333329</v>
      </c>
      <c r="C1277" s="87">
        <v>11.624999999999998</v>
      </c>
      <c r="D1277" s="86">
        <v>8.07</v>
      </c>
      <c r="E1277" s="99">
        <v>2.65</v>
      </c>
      <c r="F1277" s="87">
        <v>179.20000000000002</v>
      </c>
      <c r="G1277" s="83"/>
      <c r="H1277" s="84">
        <v>6.54</v>
      </c>
      <c r="I1277" s="83">
        <v>220</v>
      </c>
      <c r="J1277" s="83">
        <v>0.70699999999999996</v>
      </c>
      <c r="K1277" s="87">
        <v>38.619999999999997</v>
      </c>
      <c r="L1277" s="83">
        <v>610</v>
      </c>
      <c r="M1277" s="83">
        <v>0.41</v>
      </c>
      <c r="N1277" s="83">
        <v>0.11</v>
      </c>
      <c r="O1277" s="83">
        <v>0.64</v>
      </c>
      <c r="P1277" s="83">
        <v>1.1299999999999999</v>
      </c>
      <c r="Q1277" s="83"/>
      <c r="R1277" s="86">
        <v>0.16199817380039577</v>
      </c>
      <c r="S1277" s="83">
        <v>1.2</v>
      </c>
      <c r="T1277" s="83"/>
      <c r="U1277" s="83"/>
      <c r="V1277" s="83"/>
      <c r="W1277" s="83"/>
      <c r="X1277" s="83"/>
      <c r="Y1277" s="185">
        <v>28</v>
      </c>
      <c r="Z1277" s="83"/>
      <c r="AA1277" s="86"/>
      <c r="AB1277" s="86"/>
      <c r="AC1277" s="83"/>
      <c r="AD1277" s="123">
        <v>560</v>
      </c>
      <c r="AE1277" s="83">
        <v>300</v>
      </c>
      <c r="AF1277" s="83">
        <f t="shared" si="55"/>
        <v>140</v>
      </c>
      <c r="AG1277" s="66">
        <f t="shared" si="53"/>
        <v>488.26714285714286</v>
      </c>
      <c r="AH1277" s="143">
        <f t="shared" si="54"/>
        <v>1000</v>
      </c>
    </row>
    <row r="1278" spans="1:34" s="90" customFormat="1" x14ac:dyDescent="0.3">
      <c r="A1278" s="84">
        <v>903294</v>
      </c>
      <c r="B1278" s="87">
        <v>58.666666666666664</v>
      </c>
      <c r="C1278" s="87">
        <v>13.75</v>
      </c>
      <c r="D1278" s="86">
        <v>8.41</v>
      </c>
      <c r="E1278" s="99">
        <v>1.77</v>
      </c>
      <c r="F1278" s="87">
        <v>567.4</v>
      </c>
      <c r="G1278" s="83"/>
      <c r="H1278" s="84">
        <v>12.42</v>
      </c>
      <c r="I1278" s="83">
        <v>190</v>
      </c>
      <c r="J1278" s="83">
        <v>0.80900000000000005</v>
      </c>
      <c r="K1278" s="87">
        <v>10.46</v>
      </c>
      <c r="L1278" s="83">
        <v>800</v>
      </c>
      <c r="M1278" s="83">
        <v>0.25</v>
      </c>
      <c r="N1278" s="83">
        <v>0.21</v>
      </c>
      <c r="O1278" s="83">
        <v>0.56000000000000005</v>
      </c>
      <c r="P1278" s="83">
        <v>1.19</v>
      </c>
      <c r="Q1278" s="83"/>
      <c r="R1278" s="86">
        <v>1.586408</v>
      </c>
      <c r="S1278" s="83">
        <v>10.600000000000001</v>
      </c>
      <c r="T1278" s="83"/>
      <c r="U1278" s="83"/>
      <c r="V1278" s="83"/>
      <c r="W1278" s="83"/>
      <c r="X1278" s="83"/>
      <c r="Y1278" s="185">
        <v>28.8</v>
      </c>
      <c r="Z1278" s="83"/>
      <c r="AA1278" s="86"/>
      <c r="AB1278" s="86"/>
      <c r="AC1278" s="83"/>
      <c r="AD1278" s="123">
        <v>480</v>
      </c>
      <c r="AE1278" s="83">
        <v>280</v>
      </c>
      <c r="AF1278" s="83">
        <f t="shared" si="55"/>
        <v>240</v>
      </c>
      <c r="AG1278" s="66">
        <f t="shared" si="53"/>
        <v>128.57083333333335</v>
      </c>
      <c r="AH1278" s="143">
        <f t="shared" si="54"/>
        <v>1000</v>
      </c>
    </row>
    <row r="1279" spans="1:34" s="90" customFormat="1" x14ac:dyDescent="0.3">
      <c r="A1279" s="84">
        <v>903295</v>
      </c>
      <c r="B1279" s="87">
        <v>44.666666666666664</v>
      </c>
      <c r="C1279" s="87">
        <v>14.625</v>
      </c>
      <c r="D1279" s="86">
        <v>8.18</v>
      </c>
      <c r="E1279" s="99">
        <v>2.9</v>
      </c>
      <c r="F1279" s="87">
        <v>702.84999999999991</v>
      </c>
      <c r="G1279" s="83"/>
      <c r="H1279" s="84">
        <v>17</v>
      </c>
      <c r="I1279" s="83">
        <v>250</v>
      </c>
      <c r="J1279" s="83">
        <v>0.58299999999999996</v>
      </c>
      <c r="K1279" s="87">
        <v>25.88</v>
      </c>
      <c r="L1279" s="83">
        <v>1030</v>
      </c>
      <c r="M1279" s="83">
        <v>0.19</v>
      </c>
      <c r="N1279" s="83">
        <v>0.16</v>
      </c>
      <c r="O1279" s="83">
        <v>1.8</v>
      </c>
      <c r="P1279" s="83">
        <v>1.32</v>
      </c>
      <c r="Q1279" s="83"/>
      <c r="R1279" s="86">
        <v>0.52265510664384196</v>
      </c>
      <c r="S1279" s="83">
        <v>3.8</v>
      </c>
      <c r="T1279" s="83"/>
      <c r="U1279" s="83"/>
      <c r="V1279" s="83"/>
      <c r="W1279" s="83"/>
      <c r="X1279" s="83"/>
      <c r="Y1279" s="185">
        <v>26.4</v>
      </c>
      <c r="Z1279" s="83"/>
      <c r="AA1279" s="86"/>
      <c r="AB1279" s="86"/>
      <c r="AC1279" s="83"/>
      <c r="AD1279" s="123">
        <v>440</v>
      </c>
      <c r="AE1279" s="83">
        <v>400</v>
      </c>
      <c r="AF1279" s="83">
        <f t="shared" si="55"/>
        <v>160</v>
      </c>
      <c r="AG1279" s="66">
        <f t="shared" si="53"/>
        <v>347.02727272727276</v>
      </c>
      <c r="AH1279" s="143">
        <f t="shared" si="54"/>
        <v>1000</v>
      </c>
    </row>
    <row r="1280" spans="1:34" s="90" customFormat="1" x14ac:dyDescent="0.3">
      <c r="A1280" s="84">
        <v>903296</v>
      </c>
      <c r="B1280" s="87">
        <v>26.999999999999996</v>
      </c>
      <c r="C1280" s="87">
        <v>9.625</v>
      </c>
      <c r="D1280" s="86">
        <v>8.25</v>
      </c>
      <c r="E1280" s="99">
        <v>2.64</v>
      </c>
      <c r="F1280" s="87">
        <v>347.65</v>
      </c>
      <c r="G1280" s="83"/>
      <c r="H1280" s="84">
        <v>0.39</v>
      </c>
      <c r="I1280" s="83">
        <v>120</v>
      </c>
      <c r="J1280" s="83">
        <v>0.309</v>
      </c>
      <c r="K1280" s="87">
        <v>54.33</v>
      </c>
      <c r="L1280" s="83">
        <v>660</v>
      </c>
      <c r="M1280" s="83">
        <v>0.14000000000000001</v>
      </c>
      <c r="N1280" s="83">
        <v>7.0000000000000007E-2</v>
      </c>
      <c r="O1280" s="83">
        <v>0.88</v>
      </c>
      <c r="P1280" s="83">
        <v>0.93</v>
      </c>
      <c r="Q1280" s="83"/>
      <c r="R1280" s="86">
        <v>0.37732706870225419</v>
      </c>
      <c r="S1280" s="83">
        <v>2.6</v>
      </c>
      <c r="T1280" s="83"/>
      <c r="U1280" s="83"/>
      <c r="V1280" s="83"/>
      <c r="W1280" s="83"/>
      <c r="X1280" s="83"/>
      <c r="Y1280" s="185">
        <v>28.8</v>
      </c>
      <c r="Z1280" s="83"/>
      <c r="AA1280" s="86"/>
      <c r="AB1280" s="86"/>
      <c r="AC1280" s="83"/>
      <c r="AD1280" s="123">
        <v>480</v>
      </c>
      <c r="AE1280" s="83">
        <v>300</v>
      </c>
      <c r="AF1280" s="83">
        <f t="shared" si="55"/>
        <v>220</v>
      </c>
      <c r="AG1280" s="66">
        <f t="shared" si="53"/>
        <v>667.80624999999998</v>
      </c>
      <c r="AH1280" s="143">
        <f t="shared" si="54"/>
        <v>1000</v>
      </c>
    </row>
    <row r="1281" spans="1:34" s="90" customFormat="1" x14ac:dyDescent="0.3">
      <c r="A1281" s="84">
        <v>903301</v>
      </c>
      <c r="B1281" s="87">
        <v>3.3333333333333335</v>
      </c>
      <c r="C1281" s="87"/>
      <c r="D1281" s="86">
        <v>7.5818181818181811</v>
      </c>
      <c r="E1281" s="99">
        <v>0.19700000000000001</v>
      </c>
      <c r="F1281" s="87">
        <v>61.5</v>
      </c>
      <c r="G1281" s="83"/>
      <c r="H1281" s="84">
        <v>149.83000000000001</v>
      </c>
      <c r="I1281" s="83">
        <v>160</v>
      </c>
      <c r="J1281" s="83">
        <v>7.2999999999999995E-2</v>
      </c>
      <c r="K1281" s="87">
        <v>5.41</v>
      </c>
      <c r="L1281" s="83">
        <v>310</v>
      </c>
      <c r="M1281" s="83">
        <v>2.29</v>
      </c>
      <c r="N1281" s="83">
        <v>0.72</v>
      </c>
      <c r="O1281" s="83">
        <v>5.51</v>
      </c>
      <c r="P1281" s="83">
        <v>12.45</v>
      </c>
      <c r="Q1281" s="83"/>
      <c r="R1281" s="86">
        <v>1.8481520000000002</v>
      </c>
      <c r="S1281" s="83">
        <v>18.2</v>
      </c>
      <c r="T1281" s="83"/>
      <c r="U1281" s="83"/>
      <c r="V1281" s="83"/>
      <c r="W1281" s="83"/>
      <c r="X1281" s="83"/>
      <c r="Y1281" s="185">
        <v>2.4</v>
      </c>
      <c r="Z1281" s="83"/>
      <c r="AA1281" s="86"/>
      <c r="AB1281" s="86"/>
      <c r="AC1281" s="83"/>
      <c r="AD1281" s="123">
        <v>80</v>
      </c>
      <c r="AE1281" s="83">
        <v>80</v>
      </c>
      <c r="AF1281" s="83">
        <f t="shared" si="55"/>
        <v>840</v>
      </c>
      <c r="AG1281" s="66">
        <f t="shared" si="53"/>
        <v>797.97500000000014</v>
      </c>
      <c r="AH1281" s="143">
        <f t="shared" si="54"/>
        <v>1000</v>
      </c>
    </row>
    <row r="1282" spans="1:34" s="90" customFormat="1" x14ac:dyDescent="0.3">
      <c r="A1282" s="84">
        <v>903302</v>
      </c>
      <c r="B1282" s="87">
        <v>33.333333333333329</v>
      </c>
      <c r="C1282" s="87">
        <v>12.125</v>
      </c>
      <c r="D1282" s="86">
        <v>8.49</v>
      </c>
      <c r="E1282" s="99">
        <v>0.13600000000000001</v>
      </c>
      <c r="F1282" s="87">
        <v>32.700000000000003</v>
      </c>
      <c r="G1282" s="83"/>
      <c r="H1282" s="84">
        <v>29.15</v>
      </c>
      <c r="I1282" s="83">
        <v>120</v>
      </c>
      <c r="J1282" s="83">
        <v>0.02</v>
      </c>
      <c r="K1282" s="87">
        <v>10.48</v>
      </c>
      <c r="L1282" s="83">
        <v>180</v>
      </c>
      <c r="M1282" s="83">
        <v>0.32</v>
      </c>
      <c r="N1282" s="83">
        <v>1.86</v>
      </c>
      <c r="O1282" s="83">
        <v>3.34</v>
      </c>
      <c r="P1282" s="83">
        <v>6.08</v>
      </c>
      <c r="Q1282" s="83"/>
      <c r="R1282" s="86">
        <v>0.80106729832314894</v>
      </c>
      <c r="S1282" s="83">
        <v>5.8999999999999995</v>
      </c>
      <c r="T1282" s="83"/>
      <c r="U1282" s="83"/>
      <c r="V1282" s="83"/>
      <c r="W1282" s="83"/>
      <c r="X1282" s="83"/>
      <c r="Y1282" s="185">
        <v>16.8</v>
      </c>
      <c r="Z1282" s="83"/>
      <c r="AA1282" s="86"/>
      <c r="AB1282" s="86"/>
      <c r="AC1282" s="83"/>
      <c r="AD1282" s="123">
        <v>560</v>
      </c>
      <c r="AE1282" s="83">
        <v>280</v>
      </c>
      <c r="AF1282" s="83">
        <f t="shared" si="55"/>
        <v>160</v>
      </c>
      <c r="AG1282" s="66">
        <f t="shared" ref="AG1282:AG1345" si="56">+K1282*3.54*100/Y1282</f>
        <v>220.82857142857145</v>
      </c>
      <c r="AH1282" s="143">
        <f t="shared" ref="AH1282:AH1345" si="57">+SUM(AD1282:AF1282)</f>
        <v>1000</v>
      </c>
    </row>
    <row r="1283" spans="1:34" s="90" customFormat="1" x14ac:dyDescent="0.3">
      <c r="A1283" s="84">
        <v>903303</v>
      </c>
      <c r="B1283" s="87">
        <v>27.833333333333332</v>
      </c>
      <c r="C1283" s="87">
        <v>8.75</v>
      </c>
      <c r="D1283" s="86">
        <v>8.4700000000000006</v>
      </c>
      <c r="E1283" s="99">
        <v>0.14199999999999999</v>
      </c>
      <c r="F1283" s="87">
        <v>35.65</v>
      </c>
      <c r="G1283" s="83"/>
      <c r="H1283" s="84">
        <v>30.44</v>
      </c>
      <c r="I1283" s="83">
        <v>120</v>
      </c>
      <c r="J1283" s="83">
        <v>2.3E-2</v>
      </c>
      <c r="K1283" s="87">
        <v>10.35</v>
      </c>
      <c r="L1283" s="83">
        <v>300</v>
      </c>
      <c r="M1283" s="83">
        <v>0.5</v>
      </c>
      <c r="N1283" s="83">
        <v>0.41</v>
      </c>
      <c r="O1283" s="83">
        <v>3.01</v>
      </c>
      <c r="P1283" s="83">
        <v>6.06</v>
      </c>
      <c r="Q1283" s="83"/>
      <c r="R1283" s="86">
        <v>1.3012364271363648</v>
      </c>
      <c r="S1283" s="83">
        <v>8.6</v>
      </c>
      <c r="T1283" s="83"/>
      <c r="U1283" s="83"/>
      <c r="V1283" s="83"/>
      <c r="W1283" s="83"/>
      <c r="X1283" s="83"/>
      <c r="Y1283" s="185">
        <v>16.5</v>
      </c>
      <c r="Z1283" s="83"/>
      <c r="AA1283" s="86"/>
      <c r="AB1283" s="86"/>
      <c r="AC1283" s="83"/>
      <c r="AD1283" s="123">
        <v>550</v>
      </c>
      <c r="AE1283" s="83">
        <v>270</v>
      </c>
      <c r="AF1283" s="83">
        <f t="shared" si="55"/>
        <v>180</v>
      </c>
      <c r="AG1283" s="66">
        <f t="shared" si="56"/>
        <v>222.05454545454543</v>
      </c>
      <c r="AH1283" s="143">
        <f t="shared" si="57"/>
        <v>1000</v>
      </c>
    </row>
    <row r="1284" spans="1:34" s="90" customFormat="1" x14ac:dyDescent="0.3">
      <c r="A1284" s="84">
        <v>903304</v>
      </c>
      <c r="B1284" s="87">
        <v>0.16666666666666666</v>
      </c>
      <c r="C1284" s="87"/>
      <c r="D1284" s="86">
        <v>7.7181818181818178</v>
      </c>
      <c r="E1284" s="99">
        <v>7.1999999999999995E-2</v>
      </c>
      <c r="F1284" s="87">
        <v>33.25</v>
      </c>
      <c r="G1284" s="83"/>
      <c r="H1284" s="84">
        <v>101.05</v>
      </c>
      <c r="I1284" s="83">
        <v>60</v>
      </c>
      <c r="J1284" s="83">
        <v>8.9999999999999993E-3</v>
      </c>
      <c r="K1284" s="87">
        <v>0.9</v>
      </c>
      <c r="L1284" s="83">
        <v>40</v>
      </c>
      <c r="M1284" s="83">
        <v>0.94</v>
      </c>
      <c r="N1284" s="83">
        <v>0.56999999999999995</v>
      </c>
      <c r="O1284" s="83">
        <v>1.27</v>
      </c>
      <c r="P1284" s="83">
        <v>8.9499999999999993</v>
      </c>
      <c r="Q1284" s="83"/>
      <c r="R1284" s="86">
        <v>0.36520002669881058</v>
      </c>
      <c r="S1284" s="83">
        <v>2.5</v>
      </c>
      <c r="T1284" s="83"/>
      <c r="U1284" s="83"/>
      <c r="V1284" s="83"/>
      <c r="W1284" s="83"/>
      <c r="X1284" s="83"/>
      <c r="Y1284" s="185">
        <v>1.8</v>
      </c>
      <c r="Z1284" s="83"/>
      <c r="AA1284" s="86"/>
      <c r="AB1284" s="86"/>
      <c r="AC1284" s="83"/>
      <c r="AD1284" s="123">
        <v>60</v>
      </c>
      <c r="AE1284" s="83">
        <v>60</v>
      </c>
      <c r="AF1284" s="83">
        <f t="shared" si="55"/>
        <v>880</v>
      </c>
      <c r="AG1284" s="66">
        <f t="shared" si="56"/>
        <v>177</v>
      </c>
      <c r="AH1284" s="143">
        <f t="shared" si="57"/>
        <v>1000</v>
      </c>
    </row>
    <row r="1285" spans="1:34" s="90" customFormat="1" x14ac:dyDescent="0.3">
      <c r="A1285" s="84">
        <v>903305</v>
      </c>
      <c r="B1285" s="87">
        <v>0.24999999999999997</v>
      </c>
      <c r="C1285" s="87"/>
      <c r="D1285" s="86">
        <v>7.627272727272727</v>
      </c>
      <c r="E1285" s="99">
        <v>0.17399999999999999</v>
      </c>
      <c r="F1285" s="87">
        <v>59.95</v>
      </c>
      <c r="G1285" s="83"/>
      <c r="H1285" s="84">
        <v>129.94</v>
      </c>
      <c r="I1285" s="83">
        <v>260</v>
      </c>
      <c r="J1285" s="83">
        <v>6.2E-2</v>
      </c>
      <c r="K1285" s="87">
        <v>3.07</v>
      </c>
      <c r="L1285" s="83">
        <v>360</v>
      </c>
      <c r="M1285" s="83">
        <v>2.19</v>
      </c>
      <c r="N1285" s="83">
        <v>0.3</v>
      </c>
      <c r="O1285" s="83">
        <v>2.44</v>
      </c>
      <c r="P1285" s="83">
        <v>13.03</v>
      </c>
      <c r="Q1285" s="83"/>
      <c r="R1285" s="86">
        <v>1.9267129999999999</v>
      </c>
      <c r="S1285" s="83">
        <v>21.099999999999998</v>
      </c>
      <c r="T1285" s="83"/>
      <c r="U1285" s="83"/>
      <c r="V1285" s="83"/>
      <c r="W1285" s="83"/>
      <c r="X1285" s="83"/>
      <c r="Y1285" s="185">
        <v>1.8</v>
      </c>
      <c r="Z1285" s="83"/>
      <c r="AA1285" s="86"/>
      <c r="AB1285" s="86"/>
      <c r="AC1285" s="83"/>
      <c r="AD1285" s="123">
        <v>60</v>
      </c>
      <c r="AE1285" s="83">
        <v>80</v>
      </c>
      <c r="AF1285" s="83">
        <f t="shared" si="55"/>
        <v>860</v>
      </c>
      <c r="AG1285" s="66">
        <f t="shared" si="56"/>
        <v>603.76666666666665</v>
      </c>
      <c r="AH1285" s="143">
        <f t="shared" si="57"/>
        <v>1000</v>
      </c>
    </row>
    <row r="1286" spans="1:34" s="90" customFormat="1" x14ac:dyDescent="0.3">
      <c r="A1286" s="84">
        <v>903306</v>
      </c>
      <c r="B1286" s="87">
        <v>0.16666666666666666</v>
      </c>
      <c r="C1286" s="87"/>
      <c r="D1286" s="86">
        <v>7.5090909090909079</v>
      </c>
      <c r="E1286" s="99">
        <v>0.11899999999999999</v>
      </c>
      <c r="F1286" s="87">
        <v>45.35</v>
      </c>
      <c r="G1286" s="83"/>
      <c r="H1286" s="84">
        <v>232.44</v>
      </c>
      <c r="I1286" s="83">
        <v>150</v>
      </c>
      <c r="J1286" s="83">
        <v>2.5000000000000001E-2</v>
      </c>
      <c r="K1286" s="87">
        <v>2.67</v>
      </c>
      <c r="L1286" s="83">
        <v>260</v>
      </c>
      <c r="M1286" s="83">
        <v>3.39</v>
      </c>
      <c r="N1286" s="83">
        <v>0.9</v>
      </c>
      <c r="O1286" s="83">
        <v>16.41</v>
      </c>
      <c r="P1286" s="83">
        <v>52.92</v>
      </c>
      <c r="Q1286" s="83"/>
      <c r="R1286" s="86">
        <v>1.4532519734059866</v>
      </c>
      <c r="S1286" s="83">
        <v>10.199999999999999</v>
      </c>
      <c r="T1286" s="83"/>
      <c r="U1286" s="83"/>
      <c r="V1286" s="83"/>
      <c r="W1286" s="83"/>
      <c r="X1286" s="83"/>
      <c r="Y1286" s="185">
        <v>3.6</v>
      </c>
      <c r="Z1286" s="83"/>
      <c r="AA1286" s="86"/>
      <c r="AB1286" s="86"/>
      <c r="AC1286" s="83"/>
      <c r="AD1286" s="123">
        <v>120</v>
      </c>
      <c r="AE1286" s="83">
        <v>100</v>
      </c>
      <c r="AF1286" s="83">
        <f t="shared" si="55"/>
        <v>780</v>
      </c>
      <c r="AG1286" s="66">
        <f t="shared" si="56"/>
        <v>262.55</v>
      </c>
      <c r="AH1286" s="143">
        <f t="shared" si="57"/>
        <v>1000</v>
      </c>
    </row>
    <row r="1287" spans="1:34" s="90" customFormat="1" x14ac:dyDescent="0.3">
      <c r="A1287" s="84">
        <v>903307</v>
      </c>
      <c r="B1287" s="87">
        <v>0.15</v>
      </c>
      <c r="C1287" s="87"/>
      <c r="D1287" s="86">
        <v>7.5454545454545459</v>
      </c>
      <c r="E1287" s="99">
        <v>0.14399999999999999</v>
      </c>
      <c r="F1287" s="87">
        <v>75.349999999999994</v>
      </c>
      <c r="G1287" s="83"/>
      <c r="H1287" s="84">
        <v>145.24</v>
      </c>
      <c r="I1287" s="83">
        <v>120</v>
      </c>
      <c r="J1287" s="83">
        <v>0.317</v>
      </c>
      <c r="K1287" s="87">
        <v>3.16</v>
      </c>
      <c r="L1287" s="83">
        <v>1090</v>
      </c>
      <c r="M1287" s="83">
        <v>0.3</v>
      </c>
      <c r="N1287" s="83">
        <v>0.44</v>
      </c>
      <c r="O1287" s="83">
        <v>7.94</v>
      </c>
      <c r="P1287" s="83">
        <v>30.85</v>
      </c>
      <c r="Q1287" s="83"/>
      <c r="R1287" s="86">
        <v>0.86886389434662237</v>
      </c>
      <c r="S1287" s="83">
        <v>6</v>
      </c>
      <c r="T1287" s="83"/>
      <c r="U1287" s="83"/>
      <c r="V1287" s="83"/>
      <c r="W1287" s="83"/>
      <c r="X1287" s="83"/>
      <c r="Y1287" s="185">
        <v>15.6</v>
      </c>
      <c r="Z1287" s="83"/>
      <c r="AA1287" s="86"/>
      <c r="AB1287" s="86"/>
      <c r="AC1287" s="83"/>
      <c r="AD1287" s="123">
        <v>520</v>
      </c>
      <c r="AE1287" s="83">
        <v>360</v>
      </c>
      <c r="AF1287" s="83">
        <f t="shared" si="55"/>
        <v>120</v>
      </c>
      <c r="AG1287" s="66">
        <f t="shared" si="56"/>
        <v>71.707692307692312</v>
      </c>
      <c r="AH1287" s="143">
        <f t="shared" si="57"/>
        <v>1000</v>
      </c>
    </row>
    <row r="1288" spans="1:34" s="90" customFormat="1" x14ac:dyDescent="0.3">
      <c r="A1288" s="84">
        <v>903308</v>
      </c>
      <c r="B1288" s="87">
        <v>0.70000000000000007</v>
      </c>
      <c r="C1288" s="87"/>
      <c r="D1288" s="86">
        <v>7.4909090909090903</v>
      </c>
      <c r="E1288" s="99">
        <v>0.13</v>
      </c>
      <c r="F1288" s="87">
        <v>39.25</v>
      </c>
      <c r="G1288" s="83"/>
      <c r="H1288" s="84">
        <v>15.07</v>
      </c>
      <c r="I1288" s="83">
        <v>230</v>
      </c>
      <c r="J1288" s="83">
        <v>9.6000000000000002E-2</v>
      </c>
      <c r="K1288" s="87">
        <v>8.27</v>
      </c>
      <c r="L1288" s="83">
        <v>1070</v>
      </c>
      <c r="M1288" s="83">
        <v>0.45</v>
      </c>
      <c r="N1288" s="83">
        <v>0.28999999999999998</v>
      </c>
      <c r="O1288" s="83">
        <v>2.42</v>
      </c>
      <c r="P1288" s="83">
        <v>9.6999999999999993</v>
      </c>
      <c r="Q1288" s="83"/>
      <c r="R1288" s="86">
        <v>1.1559613119779673</v>
      </c>
      <c r="S1288" s="83">
        <v>7.7</v>
      </c>
      <c r="T1288" s="83"/>
      <c r="U1288" s="83"/>
      <c r="V1288" s="83"/>
      <c r="W1288" s="83"/>
      <c r="X1288" s="83"/>
      <c r="Y1288" s="185">
        <v>25.6</v>
      </c>
      <c r="Z1288" s="83"/>
      <c r="AA1288" s="86"/>
      <c r="AB1288" s="86"/>
      <c r="AC1288" s="83"/>
      <c r="AD1288" s="123">
        <v>640</v>
      </c>
      <c r="AE1288" s="83">
        <v>260</v>
      </c>
      <c r="AF1288" s="83">
        <f t="shared" si="55"/>
        <v>100</v>
      </c>
      <c r="AG1288" s="66">
        <f t="shared" si="56"/>
        <v>114.35859375</v>
      </c>
      <c r="AH1288" s="143">
        <f t="shared" si="57"/>
        <v>1000</v>
      </c>
    </row>
    <row r="1289" spans="1:34" s="90" customFormat="1" x14ac:dyDescent="0.3">
      <c r="A1289" s="84">
        <v>903309</v>
      </c>
      <c r="B1289" s="87">
        <v>0.18333333333333335</v>
      </c>
      <c r="C1289" s="87"/>
      <c r="D1289" s="86">
        <v>7.7818181818181813</v>
      </c>
      <c r="E1289" s="99">
        <v>0.188</v>
      </c>
      <c r="F1289" s="87">
        <v>64.400000000000006</v>
      </c>
      <c r="G1289" s="83"/>
      <c r="H1289" s="84">
        <v>48.37</v>
      </c>
      <c r="I1289" s="83">
        <v>240</v>
      </c>
      <c r="J1289" s="83">
        <v>0.68400000000000005</v>
      </c>
      <c r="K1289" s="87">
        <v>6.84</v>
      </c>
      <c r="L1289" s="83">
        <v>2130</v>
      </c>
      <c r="M1289" s="83">
        <v>0.28000000000000003</v>
      </c>
      <c r="N1289" s="83">
        <v>0.49</v>
      </c>
      <c r="O1289" s="83">
        <v>5.65</v>
      </c>
      <c r="P1289" s="83">
        <v>11.77</v>
      </c>
      <c r="Q1289" s="83"/>
      <c r="R1289" s="86">
        <v>1.0822373990138558</v>
      </c>
      <c r="S1289" s="83">
        <v>7.7</v>
      </c>
      <c r="T1289" s="83"/>
      <c r="U1289" s="83"/>
      <c r="V1289" s="83"/>
      <c r="W1289" s="83"/>
      <c r="X1289" s="83"/>
      <c r="Y1289" s="185">
        <v>27.2</v>
      </c>
      <c r="Z1289" s="83"/>
      <c r="AA1289" s="86"/>
      <c r="AB1289" s="86"/>
      <c r="AC1289" s="83"/>
      <c r="AD1289" s="123">
        <v>680</v>
      </c>
      <c r="AE1289" s="83">
        <v>240</v>
      </c>
      <c r="AF1289" s="83">
        <f t="shared" si="55"/>
        <v>80</v>
      </c>
      <c r="AG1289" s="66">
        <f t="shared" si="56"/>
        <v>89.020588235294127</v>
      </c>
      <c r="AH1289" s="143">
        <f t="shared" si="57"/>
        <v>1000</v>
      </c>
    </row>
    <row r="1290" spans="1:34" s="90" customFormat="1" x14ac:dyDescent="0.3">
      <c r="A1290" s="84">
        <v>903310</v>
      </c>
      <c r="B1290" s="87">
        <v>1.4666666666666668</v>
      </c>
      <c r="C1290" s="87"/>
      <c r="D1290" s="86">
        <v>7.6818181818181808</v>
      </c>
      <c r="E1290" s="99">
        <v>0.16600000000000001</v>
      </c>
      <c r="F1290" s="87">
        <v>69</v>
      </c>
      <c r="G1290" s="83"/>
      <c r="H1290" s="84">
        <v>5.5</v>
      </c>
      <c r="I1290" s="83">
        <v>170</v>
      </c>
      <c r="J1290" s="83">
        <v>0.183</v>
      </c>
      <c r="K1290" s="87">
        <v>3.99</v>
      </c>
      <c r="L1290" s="83">
        <v>2340</v>
      </c>
      <c r="M1290" s="83">
        <v>0.28000000000000003</v>
      </c>
      <c r="N1290" s="83">
        <v>1.88</v>
      </c>
      <c r="O1290" s="83">
        <v>2.75</v>
      </c>
      <c r="P1290" s="83">
        <v>15.06</v>
      </c>
      <c r="Q1290" s="83"/>
      <c r="R1290" s="86">
        <v>0.9431387563672694</v>
      </c>
      <c r="S1290" s="83">
        <v>6.2</v>
      </c>
      <c r="T1290" s="83"/>
      <c r="U1290" s="83"/>
      <c r="V1290" s="83"/>
      <c r="W1290" s="83"/>
      <c r="X1290" s="83"/>
      <c r="Y1290" s="185">
        <v>21.6</v>
      </c>
      <c r="Z1290" s="83"/>
      <c r="AA1290" s="86">
        <v>3.45</v>
      </c>
      <c r="AB1290" s="86">
        <v>0.27400000000000002</v>
      </c>
      <c r="AC1290" s="83">
        <v>10.4</v>
      </c>
      <c r="AD1290" s="123">
        <v>540</v>
      </c>
      <c r="AE1290" s="83">
        <v>260</v>
      </c>
      <c r="AF1290" s="83">
        <f t="shared" si="55"/>
        <v>200</v>
      </c>
      <c r="AG1290" s="66">
        <f t="shared" si="56"/>
        <v>65.391666666666666</v>
      </c>
      <c r="AH1290" s="143">
        <f t="shared" si="57"/>
        <v>1000</v>
      </c>
    </row>
    <row r="1291" spans="1:34" s="90" customFormat="1" x14ac:dyDescent="0.3">
      <c r="A1291" s="84">
        <v>903311</v>
      </c>
      <c r="B1291" s="87">
        <v>6.041666666666667</v>
      </c>
      <c r="C1291" s="87"/>
      <c r="D1291" s="86">
        <v>7.7545454545454531</v>
      </c>
      <c r="E1291" s="99">
        <v>0.17100000000000001</v>
      </c>
      <c r="F1291" s="87">
        <v>57.35</v>
      </c>
      <c r="G1291" s="83"/>
      <c r="H1291" s="84">
        <v>5.07</v>
      </c>
      <c r="I1291" s="83">
        <v>190</v>
      </c>
      <c r="J1291" s="83">
        <v>0.17699999999999999</v>
      </c>
      <c r="K1291" s="87">
        <v>7.17</v>
      </c>
      <c r="L1291" s="83">
        <v>2900</v>
      </c>
      <c r="M1291" s="83">
        <v>0.37</v>
      </c>
      <c r="N1291" s="83">
        <v>1.82</v>
      </c>
      <c r="O1291" s="83">
        <v>2.29</v>
      </c>
      <c r="P1291" s="83">
        <v>15.87</v>
      </c>
      <c r="Q1291" s="83"/>
      <c r="R1291" s="86">
        <v>0.83040255174278987</v>
      </c>
      <c r="S1291" s="83">
        <v>6.2</v>
      </c>
      <c r="T1291" s="83"/>
      <c r="U1291" s="83"/>
      <c r="V1291" s="83"/>
      <c r="W1291" s="83"/>
      <c r="X1291" s="83"/>
      <c r="Y1291" s="185">
        <v>21.6</v>
      </c>
      <c r="Z1291" s="83"/>
      <c r="AA1291" s="86">
        <v>4.97</v>
      </c>
      <c r="AB1291" s="86">
        <v>0.67800000000000005</v>
      </c>
      <c r="AC1291" s="83">
        <v>11.9</v>
      </c>
      <c r="AD1291" s="123">
        <v>540</v>
      </c>
      <c r="AE1291" s="83">
        <v>240</v>
      </c>
      <c r="AF1291" s="83">
        <f t="shared" si="55"/>
        <v>220</v>
      </c>
      <c r="AG1291" s="66">
        <f t="shared" si="56"/>
        <v>117.50833333333331</v>
      </c>
      <c r="AH1291" s="143">
        <f t="shared" si="57"/>
        <v>1000</v>
      </c>
    </row>
    <row r="1292" spans="1:34" s="90" customFormat="1" x14ac:dyDescent="0.3">
      <c r="A1292" s="84">
        <v>903312</v>
      </c>
      <c r="B1292" s="87">
        <v>8.2083333333333321</v>
      </c>
      <c r="C1292" s="87"/>
      <c r="D1292" s="86">
        <v>7.6545454545454534</v>
      </c>
      <c r="E1292" s="99">
        <v>0.16200000000000001</v>
      </c>
      <c r="F1292" s="87">
        <v>47</v>
      </c>
      <c r="G1292" s="83"/>
      <c r="H1292" s="84">
        <v>1.18</v>
      </c>
      <c r="I1292" s="83">
        <v>200</v>
      </c>
      <c r="J1292" s="83">
        <v>6.6000000000000003E-2</v>
      </c>
      <c r="K1292" s="87">
        <v>7.38</v>
      </c>
      <c r="L1292" s="83">
        <v>2370</v>
      </c>
      <c r="M1292" s="83">
        <v>0.36</v>
      </c>
      <c r="N1292" s="83">
        <v>1.3</v>
      </c>
      <c r="O1292" s="83">
        <v>3.76</v>
      </c>
      <c r="P1292" s="83">
        <v>13.4</v>
      </c>
      <c r="Q1292" s="83"/>
      <c r="R1292" s="86">
        <v>0.90583980852974344</v>
      </c>
      <c r="S1292" s="83">
        <v>6</v>
      </c>
      <c r="T1292" s="83"/>
      <c r="U1292" s="83"/>
      <c r="V1292" s="83"/>
      <c r="W1292" s="83"/>
      <c r="X1292" s="83"/>
      <c r="Y1292" s="185">
        <v>20.8</v>
      </c>
      <c r="Z1292" s="83"/>
      <c r="AA1292" s="86">
        <v>4.3099999999999996</v>
      </c>
      <c r="AB1292" s="86">
        <v>0.65400000000000003</v>
      </c>
      <c r="AC1292" s="83">
        <v>7.4</v>
      </c>
      <c r="AD1292" s="123">
        <v>520</v>
      </c>
      <c r="AE1292" s="83">
        <v>240</v>
      </c>
      <c r="AF1292" s="83">
        <f t="shared" si="55"/>
        <v>240</v>
      </c>
      <c r="AG1292" s="66">
        <f t="shared" si="56"/>
        <v>125.60192307692307</v>
      </c>
      <c r="AH1292" s="143">
        <f t="shared" si="57"/>
        <v>1000</v>
      </c>
    </row>
    <row r="1293" spans="1:34" s="90" customFormat="1" x14ac:dyDescent="0.3">
      <c r="A1293" s="84">
        <v>903313</v>
      </c>
      <c r="B1293" s="87">
        <v>28.500000000000004</v>
      </c>
      <c r="C1293" s="87">
        <v>2.9999999999999982</v>
      </c>
      <c r="D1293" s="86">
        <v>7.6818181818181808</v>
      </c>
      <c r="E1293" s="99">
        <v>0.114</v>
      </c>
      <c r="F1293" s="87">
        <v>46.349999999999994</v>
      </c>
      <c r="G1293" s="83"/>
      <c r="H1293" s="84">
        <v>12.84</v>
      </c>
      <c r="I1293" s="83">
        <v>130</v>
      </c>
      <c r="J1293" s="83">
        <v>0.01</v>
      </c>
      <c r="K1293" s="87">
        <v>7.53</v>
      </c>
      <c r="L1293" s="83">
        <v>130</v>
      </c>
      <c r="M1293" s="83">
        <v>0.41</v>
      </c>
      <c r="N1293" s="83">
        <v>0.84</v>
      </c>
      <c r="O1293" s="83">
        <v>8.16</v>
      </c>
      <c r="P1293" s="83">
        <v>5.13</v>
      </c>
      <c r="Q1293" s="83"/>
      <c r="R1293" s="86">
        <v>1.1297786784060784</v>
      </c>
      <c r="S1293" s="83">
        <v>8.2999999999999989</v>
      </c>
      <c r="T1293" s="83"/>
      <c r="U1293" s="83"/>
      <c r="V1293" s="83"/>
      <c r="W1293" s="83"/>
      <c r="X1293" s="83"/>
      <c r="Y1293" s="185">
        <v>15</v>
      </c>
      <c r="Z1293" s="83"/>
      <c r="AA1293" s="86"/>
      <c r="AB1293" s="86"/>
      <c r="AC1293" s="83"/>
      <c r="AD1293" s="123">
        <v>500</v>
      </c>
      <c r="AE1293" s="83">
        <v>240</v>
      </c>
      <c r="AF1293" s="83">
        <f t="shared" si="55"/>
        <v>260</v>
      </c>
      <c r="AG1293" s="66">
        <f t="shared" si="56"/>
        <v>177.70800000000003</v>
      </c>
      <c r="AH1293" s="143">
        <f t="shared" si="57"/>
        <v>1000</v>
      </c>
    </row>
    <row r="1294" spans="1:34" s="90" customFormat="1" x14ac:dyDescent="0.3">
      <c r="A1294" s="84">
        <v>903314</v>
      </c>
      <c r="B1294" s="87">
        <v>5.458333333333333</v>
      </c>
      <c r="C1294" s="87"/>
      <c r="D1294" s="86">
        <v>7.3090909090909078</v>
      </c>
      <c r="E1294" s="99">
        <v>0.17399999999999999</v>
      </c>
      <c r="F1294" s="87">
        <v>47.45</v>
      </c>
      <c r="G1294" s="83"/>
      <c r="H1294" s="84">
        <v>17.45</v>
      </c>
      <c r="I1294" s="83">
        <v>260</v>
      </c>
      <c r="J1294" s="83">
        <v>2.5000000000000001E-2</v>
      </c>
      <c r="K1294" s="87">
        <v>6.35</v>
      </c>
      <c r="L1294" s="83">
        <v>420</v>
      </c>
      <c r="M1294" s="83">
        <v>0.45</v>
      </c>
      <c r="N1294" s="83">
        <v>1.39</v>
      </c>
      <c r="O1294" s="83">
        <v>15.43</v>
      </c>
      <c r="P1294" s="83">
        <v>5.12</v>
      </c>
      <c r="Q1294" s="83"/>
      <c r="R1294" s="86">
        <v>1.1606014254768009</v>
      </c>
      <c r="S1294" s="83">
        <v>8</v>
      </c>
      <c r="T1294" s="83"/>
      <c r="U1294" s="83"/>
      <c r="V1294" s="83"/>
      <c r="W1294" s="83"/>
      <c r="X1294" s="83"/>
      <c r="Y1294" s="185">
        <v>16.8</v>
      </c>
      <c r="Z1294" s="83"/>
      <c r="AA1294" s="86"/>
      <c r="AB1294" s="86"/>
      <c r="AC1294" s="83"/>
      <c r="AD1294" s="123">
        <v>560</v>
      </c>
      <c r="AE1294" s="83">
        <v>280</v>
      </c>
      <c r="AF1294" s="83">
        <f t="shared" si="55"/>
        <v>160</v>
      </c>
      <c r="AG1294" s="66">
        <f t="shared" si="56"/>
        <v>133.80357142857142</v>
      </c>
      <c r="AH1294" s="143">
        <f t="shared" si="57"/>
        <v>1000</v>
      </c>
    </row>
    <row r="1295" spans="1:34" s="90" customFormat="1" x14ac:dyDescent="0.3">
      <c r="A1295" s="84">
        <v>903315</v>
      </c>
      <c r="B1295" s="87">
        <v>11.833333333333332</v>
      </c>
      <c r="C1295" s="87">
        <v>2.7499999999999991</v>
      </c>
      <c r="D1295" s="86">
        <v>7.3454545454545448</v>
      </c>
      <c r="E1295" s="99">
        <v>0.307</v>
      </c>
      <c r="F1295" s="87">
        <v>93.9</v>
      </c>
      <c r="G1295" s="83"/>
      <c r="H1295" s="84">
        <v>400.53</v>
      </c>
      <c r="I1295" s="83">
        <v>640</v>
      </c>
      <c r="J1295" s="83">
        <v>4.0000000000000001E-3</v>
      </c>
      <c r="K1295" s="87">
        <v>7.34</v>
      </c>
      <c r="L1295" s="83">
        <v>1290</v>
      </c>
      <c r="M1295" s="83">
        <v>17.809999999999999</v>
      </c>
      <c r="N1295" s="83">
        <v>17.25</v>
      </c>
      <c r="O1295" s="83">
        <v>10.48</v>
      </c>
      <c r="P1295" s="83">
        <v>22.15</v>
      </c>
      <c r="Q1295" s="83"/>
      <c r="R1295" s="86">
        <v>2.1466250000000002</v>
      </c>
      <c r="S1295" s="83">
        <v>41.5</v>
      </c>
      <c r="T1295" s="83"/>
      <c r="U1295" s="83"/>
      <c r="V1295" s="83"/>
      <c r="W1295" s="83"/>
      <c r="X1295" s="83"/>
      <c r="Y1295" s="185">
        <v>15.6</v>
      </c>
      <c r="Z1295" s="83"/>
      <c r="AA1295" s="86"/>
      <c r="AB1295" s="86"/>
      <c r="AC1295" s="83"/>
      <c r="AD1295" s="123">
        <v>520</v>
      </c>
      <c r="AE1295" s="83">
        <v>360</v>
      </c>
      <c r="AF1295" s="83">
        <f t="shared" si="55"/>
        <v>120</v>
      </c>
      <c r="AG1295" s="66">
        <f t="shared" si="56"/>
        <v>166.56153846153848</v>
      </c>
      <c r="AH1295" s="143">
        <f t="shared" si="57"/>
        <v>1000</v>
      </c>
    </row>
    <row r="1296" spans="1:34" s="90" customFormat="1" x14ac:dyDescent="0.3">
      <c r="A1296" s="84">
        <v>903316</v>
      </c>
      <c r="B1296" s="87">
        <v>4.3666666666666663</v>
      </c>
      <c r="C1296" s="87"/>
      <c r="D1296" s="86">
        <v>7.4999999999999991</v>
      </c>
      <c r="E1296" s="99">
        <v>0.27600000000000002</v>
      </c>
      <c r="F1296" s="87">
        <v>67.45</v>
      </c>
      <c r="G1296" s="83"/>
      <c r="H1296" s="84">
        <v>114.52</v>
      </c>
      <c r="I1296" s="83">
        <v>510</v>
      </c>
      <c r="J1296" s="83">
        <v>6.0000000000000001E-3</v>
      </c>
      <c r="K1296" s="87">
        <v>5.72</v>
      </c>
      <c r="L1296" s="83">
        <v>1200</v>
      </c>
      <c r="M1296" s="83">
        <v>2.67</v>
      </c>
      <c r="N1296" s="83">
        <v>3.52</v>
      </c>
      <c r="O1296" s="83">
        <v>7.8</v>
      </c>
      <c r="P1296" s="83">
        <v>12.49</v>
      </c>
      <c r="Q1296" s="83"/>
      <c r="R1296" s="86">
        <v>1.9439120000000001</v>
      </c>
      <c r="S1296" s="83">
        <v>21.8</v>
      </c>
      <c r="T1296" s="83"/>
      <c r="U1296" s="83"/>
      <c r="V1296" s="83"/>
      <c r="W1296" s="83"/>
      <c r="X1296" s="83"/>
      <c r="Y1296" s="185">
        <v>20</v>
      </c>
      <c r="Z1296" s="83"/>
      <c r="AA1296" s="86"/>
      <c r="AB1296" s="86"/>
      <c r="AC1296" s="83"/>
      <c r="AD1296" s="123">
        <v>500</v>
      </c>
      <c r="AE1296" s="83">
        <v>360</v>
      </c>
      <c r="AF1296" s="83">
        <f t="shared" si="55"/>
        <v>140</v>
      </c>
      <c r="AG1296" s="66">
        <f t="shared" si="56"/>
        <v>101.244</v>
      </c>
      <c r="AH1296" s="143">
        <f t="shared" si="57"/>
        <v>1000</v>
      </c>
    </row>
    <row r="1297" spans="1:34" s="90" customFormat="1" x14ac:dyDescent="0.3">
      <c r="A1297" s="84">
        <v>903317</v>
      </c>
      <c r="B1297" s="87">
        <v>4.1833333333333336</v>
      </c>
      <c r="C1297" s="87"/>
      <c r="D1297" s="86">
        <v>7.4363636363636356</v>
      </c>
      <c r="E1297" s="99">
        <v>0.38300000000000001</v>
      </c>
      <c r="F1297" s="87">
        <v>67.649999999999991</v>
      </c>
      <c r="G1297" s="83"/>
      <c r="H1297" s="84">
        <v>165.26</v>
      </c>
      <c r="I1297" s="83">
        <v>650</v>
      </c>
      <c r="J1297" s="83">
        <v>4.0000000000000001E-3</v>
      </c>
      <c r="K1297" s="87">
        <v>4.95</v>
      </c>
      <c r="L1297" s="83">
        <v>1160</v>
      </c>
      <c r="M1297" s="83">
        <v>11.86</v>
      </c>
      <c r="N1297" s="83">
        <v>7.44</v>
      </c>
      <c r="O1297" s="83">
        <v>5.79</v>
      </c>
      <c r="P1297" s="83">
        <v>12.69</v>
      </c>
      <c r="Q1297" s="83"/>
      <c r="R1297" s="86">
        <v>2.0253079999999999</v>
      </c>
      <c r="S1297" s="83">
        <v>25.6</v>
      </c>
      <c r="T1297" s="83"/>
      <c r="U1297" s="83"/>
      <c r="V1297" s="83"/>
      <c r="W1297" s="83"/>
      <c r="X1297" s="83"/>
      <c r="Y1297" s="185">
        <v>15.6</v>
      </c>
      <c r="Z1297" s="83"/>
      <c r="AA1297" s="86"/>
      <c r="AB1297" s="86"/>
      <c r="AC1297" s="83"/>
      <c r="AD1297" s="123">
        <v>520</v>
      </c>
      <c r="AE1297" s="83">
        <v>340</v>
      </c>
      <c r="AF1297" s="83">
        <f t="shared" si="55"/>
        <v>140</v>
      </c>
      <c r="AG1297" s="66">
        <f t="shared" si="56"/>
        <v>112.32692307692308</v>
      </c>
      <c r="AH1297" s="143">
        <f t="shared" si="57"/>
        <v>1000</v>
      </c>
    </row>
    <row r="1298" spans="1:34" s="90" customFormat="1" x14ac:dyDescent="0.3">
      <c r="A1298" s="84">
        <v>903318</v>
      </c>
      <c r="B1298" s="87">
        <v>4.0666666666666664</v>
      </c>
      <c r="C1298" s="87"/>
      <c r="D1298" s="86">
        <v>7.4272727272727268</v>
      </c>
      <c r="E1298" s="99">
        <v>0.31</v>
      </c>
      <c r="F1298" s="87">
        <v>68.849999999999994</v>
      </c>
      <c r="G1298" s="83"/>
      <c r="H1298" s="84">
        <v>445.47</v>
      </c>
      <c r="I1298" s="83">
        <v>1080</v>
      </c>
      <c r="J1298" s="83">
        <v>4.0000000000000001E-3</v>
      </c>
      <c r="K1298" s="87">
        <v>5.39</v>
      </c>
      <c r="L1298" s="83">
        <v>1200</v>
      </c>
      <c r="M1298" s="83">
        <v>17.079999999999998</v>
      </c>
      <c r="N1298" s="83">
        <v>15.92</v>
      </c>
      <c r="O1298" s="83">
        <v>12.16</v>
      </c>
      <c r="P1298" s="83">
        <v>21.67</v>
      </c>
      <c r="Q1298" s="83"/>
      <c r="R1298" s="86">
        <v>2.1469680000000002</v>
      </c>
      <c r="S1298" s="83">
        <v>36.6</v>
      </c>
      <c r="T1298" s="83"/>
      <c r="U1298" s="83"/>
      <c r="V1298" s="83"/>
      <c r="W1298" s="83"/>
      <c r="X1298" s="83"/>
      <c r="Y1298" s="185">
        <v>21.6</v>
      </c>
      <c r="Z1298" s="83"/>
      <c r="AA1298" s="86"/>
      <c r="AB1298" s="86"/>
      <c r="AC1298" s="83"/>
      <c r="AD1298" s="123">
        <v>540</v>
      </c>
      <c r="AE1298" s="83">
        <v>360</v>
      </c>
      <c r="AF1298" s="83">
        <f t="shared" si="55"/>
        <v>100</v>
      </c>
      <c r="AG1298" s="66">
        <f t="shared" si="56"/>
        <v>88.336111111111109</v>
      </c>
      <c r="AH1298" s="143">
        <f t="shared" si="57"/>
        <v>1000</v>
      </c>
    </row>
    <row r="1299" spans="1:34" s="90" customFormat="1" x14ac:dyDescent="0.3">
      <c r="A1299" s="84">
        <v>903319</v>
      </c>
      <c r="B1299" s="87">
        <v>3.6666666666666665</v>
      </c>
      <c r="C1299" s="87"/>
      <c r="D1299" s="86">
        <v>7.6090909090909076</v>
      </c>
      <c r="E1299" s="99">
        <v>0.158</v>
      </c>
      <c r="F1299" s="87">
        <v>70.5</v>
      </c>
      <c r="G1299" s="83"/>
      <c r="H1299" s="84">
        <v>72.180000000000007</v>
      </c>
      <c r="I1299" s="83">
        <v>440</v>
      </c>
      <c r="J1299" s="83">
        <v>8.0000000000000002E-3</v>
      </c>
      <c r="K1299" s="87">
        <v>5.51</v>
      </c>
      <c r="L1299" s="83">
        <v>1720</v>
      </c>
      <c r="M1299" s="83">
        <v>2.87</v>
      </c>
      <c r="N1299" s="83">
        <v>2.56</v>
      </c>
      <c r="O1299" s="83">
        <v>12.46</v>
      </c>
      <c r="P1299" s="83">
        <v>14.97</v>
      </c>
      <c r="Q1299" s="83"/>
      <c r="R1299" s="86">
        <v>2.122328</v>
      </c>
      <c r="S1299" s="83">
        <v>32.599999999999994</v>
      </c>
      <c r="T1299" s="83"/>
      <c r="U1299" s="83"/>
      <c r="V1299" s="83"/>
      <c r="W1299" s="83"/>
      <c r="X1299" s="83"/>
      <c r="Y1299" s="185">
        <v>20</v>
      </c>
      <c r="Z1299" s="83"/>
      <c r="AA1299" s="86"/>
      <c r="AB1299" s="86"/>
      <c r="AC1299" s="83"/>
      <c r="AD1299" s="123">
        <v>500</v>
      </c>
      <c r="AE1299" s="83">
        <v>360</v>
      </c>
      <c r="AF1299" s="83">
        <f t="shared" si="55"/>
        <v>140</v>
      </c>
      <c r="AG1299" s="66">
        <f t="shared" si="56"/>
        <v>97.526999999999987</v>
      </c>
      <c r="AH1299" s="143">
        <f t="shared" si="57"/>
        <v>1000</v>
      </c>
    </row>
    <row r="1300" spans="1:34" s="90" customFormat="1" x14ac:dyDescent="0.3">
      <c r="A1300" s="84">
        <v>903320</v>
      </c>
      <c r="B1300" s="87">
        <v>2.1166666666666663</v>
      </c>
      <c r="C1300" s="87"/>
      <c r="D1300" s="86">
        <v>7.2909090909090901</v>
      </c>
      <c r="E1300" s="99">
        <v>0.34100000000000003</v>
      </c>
      <c r="F1300" s="87">
        <v>69.7</v>
      </c>
      <c r="G1300" s="83"/>
      <c r="H1300" s="84">
        <v>252.38</v>
      </c>
      <c r="I1300" s="83">
        <v>1110</v>
      </c>
      <c r="J1300" s="83">
        <v>7.0000000000000001E-3</v>
      </c>
      <c r="K1300" s="87">
        <v>6.05</v>
      </c>
      <c r="L1300" s="83">
        <v>1480</v>
      </c>
      <c r="M1300" s="83">
        <v>9.0399999999999991</v>
      </c>
      <c r="N1300" s="83">
        <v>12.81</v>
      </c>
      <c r="O1300" s="83">
        <v>8.7899999999999991</v>
      </c>
      <c r="P1300" s="83">
        <v>16.38</v>
      </c>
      <c r="Q1300" s="83"/>
      <c r="R1300" s="86">
        <v>2.1335000000000002</v>
      </c>
      <c r="S1300" s="83">
        <v>34</v>
      </c>
      <c r="T1300" s="83"/>
      <c r="U1300" s="83"/>
      <c r="V1300" s="83"/>
      <c r="W1300" s="83"/>
      <c r="X1300" s="83"/>
      <c r="Y1300" s="185">
        <v>20.8</v>
      </c>
      <c r="Z1300" s="83"/>
      <c r="AA1300" s="86"/>
      <c r="AB1300" s="86"/>
      <c r="AC1300" s="83"/>
      <c r="AD1300" s="123">
        <v>520</v>
      </c>
      <c r="AE1300" s="83">
        <v>320</v>
      </c>
      <c r="AF1300" s="83">
        <f t="shared" si="55"/>
        <v>160</v>
      </c>
      <c r="AG1300" s="66">
        <f t="shared" si="56"/>
        <v>102.96634615384615</v>
      </c>
      <c r="AH1300" s="143">
        <f t="shared" si="57"/>
        <v>1000</v>
      </c>
    </row>
    <row r="1301" spans="1:34" s="90" customFormat="1" x14ac:dyDescent="0.3">
      <c r="A1301" s="84">
        <v>903321</v>
      </c>
      <c r="B1301" s="87">
        <v>21.666666666666664</v>
      </c>
      <c r="C1301" s="87">
        <v>7.1249999999999991</v>
      </c>
      <c r="D1301" s="86">
        <v>8.25</v>
      </c>
      <c r="E1301" s="99">
        <v>0.216</v>
      </c>
      <c r="F1301" s="87">
        <v>89.149999999999991</v>
      </c>
      <c r="G1301" s="83"/>
      <c r="H1301" s="84">
        <v>73.349999999999994</v>
      </c>
      <c r="I1301" s="83">
        <v>370</v>
      </c>
      <c r="J1301" s="83">
        <v>0.22</v>
      </c>
      <c r="K1301" s="87">
        <v>9.77</v>
      </c>
      <c r="L1301" s="83">
        <v>2830</v>
      </c>
      <c r="M1301" s="83">
        <v>0.64</v>
      </c>
      <c r="N1301" s="83">
        <v>1.91</v>
      </c>
      <c r="O1301" s="83">
        <v>15.17</v>
      </c>
      <c r="P1301" s="83">
        <v>8.2899999999999991</v>
      </c>
      <c r="Q1301" s="83"/>
      <c r="R1301" s="86">
        <v>1.761128</v>
      </c>
      <c r="S1301" s="83">
        <v>15.4</v>
      </c>
      <c r="T1301" s="83"/>
      <c r="U1301" s="83"/>
      <c r="V1301" s="83"/>
      <c r="W1301" s="83"/>
      <c r="X1301" s="83"/>
      <c r="Y1301" s="185">
        <v>16.2</v>
      </c>
      <c r="Z1301" s="83"/>
      <c r="AA1301" s="86">
        <v>4.21</v>
      </c>
      <c r="AB1301" s="86">
        <v>0.25600000000000001</v>
      </c>
      <c r="AC1301" s="83">
        <v>9.8000000000000007</v>
      </c>
      <c r="AD1301" s="123">
        <v>540</v>
      </c>
      <c r="AE1301" s="83">
        <v>340</v>
      </c>
      <c r="AF1301" s="83">
        <f t="shared" si="55"/>
        <v>120</v>
      </c>
      <c r="AG1301" s="66">
        <f t="shared" si="56"/>
        <v>213.49259259259259</v>
      </c>
      <c r="AH1301" s="143">
        <f t="shared" si="57"/>
        <v>1000</v>
      </c>
    </row>
    <row r="1302" spans="1:34" s="90" customFormat="1" x14ac:dyDescent="0.3">
      <c r="A1302" s="84">
        <v>903322</v>
      </c>
      <c r="B1302" s="87">
        <v>21.25</v>
      </c>
      <c r="C1302" s="87">
        <v>6.875</v>
      </c>
      <c r="D1302" s="86">
        <v>8.49</v>
      </c>
      <c r="E1302" s="99">
        <v>0.248</v>
      </c>
      <c r="F1302" s="87">
        <v>103.80000000000001</v>
      </c>
      <c r="G1302" s="83"/>
      <c r="H1302" s="84">
        <v>41.33</v>
      </c>
      <c r="I1302" s="83">
        <v>410</v>
      </c>
      <c r="J1302" s="83">
        <v>0.20699999999999999</v>
      </c>
      <c r="K1302" s="87">
        <v>13.12</v>
      </c>
      <c r="L1302" s="83">
        <v>1470</v>
      </c>
      <c r="M1302" s="83">
        <v>0.56999999999999995</v>
      </c>
      <c r="N1302" s="83">
        <v>2.33</v>
      </c>
      <c r="O1302" s="83">
        <v>4.04</v>
      </c>
      <c r="P1302" s="83">
        <v>7.59</v>
      </c>
      <c r="Q1302" s="83"/>
      <c r="R1302" s="86">
        <v>1.7934680000000001</v>
      </c>
      <c r="S1302" s="83">
        <v>16.399999999999999</v>
      </c>
      <c r="T1302" s="83"/>
      <c r="U1302" s="83"/>
      <c r="V1302" s="83"/>
      <c r="W1302" s="83"/>
      <c r="X1302" s="83"/>
      <c r="Y1302" s="185">
        <v>18</v>
      </c>
      <c r="Z1302" s="83"/>
      <c r="AA1302" s="86">
        <v>4.8899999999999997</v>
      </c>
      <c r="AB1302" s="86">
        <v>0.33700000000000002</v>
      </c>
      <c r="AC1302" s="83">
        <v>7.9</v>
      </c>
      <c r="AD1302" s="123">
        <v>600</v>
      </c>
      <c r="AE1302" s="83">
        <v>300</v>
      </c>
      <c r="AF1302" s="83">
        <f t="shared" si="55"/>
        <v>100</v>
      </c>
      <c r="AG1302" s="66">
        <f t="shared" si="56"/>
        <v>258.0266666666667</v>
      </c>
      <c r="AH1302" s="143">
        <f t="shared" si="57"/>
        <v>1000</v>
      </c>
    </row>
    <row r="1303" spans="1:34" s="90" customFormat="1" x14ac:dyDescent="0.3">
      <c r="A1303" s="84">
        <v>903323</v>
      </c>
      <c r="B1303" s="87">
        <v>12.25</v>
      </c>
      <c r="C1303" s="87">
        <v>2.3749999999999982</v>
      </c>
      <c r="D1303" s="86">
        <v>8.5399999999999991</v>
      </c>
      <c r="E1303" s="99">
        <v>0.216</v>
      </c>
      <c r="F1303" s="87">
        <v>99.7</v>
      </c>
      <c r="G1303" s="83"/>
      <c r="H1303" s="84">
        <v>59.61</v>
      </c>
      <c r="I1303" s="83">
        <v>460</v>
      </c>
      <c r="J1303" s="83">
        <v>0.23</v>
      </c>
      <c r="K1303" s="87">
        <v>12</v>
      </c>
      <c r="L1303" s="83">
        <v>3020</v>
      </c>
      <c r="M1303" s="83">
        <v>0.78</v>
      </c>
      <c r="N1303" s="83">
        <v>2.5099999999999998</v>
      </c>
      <c r="O1303" s="83">
        <v>29.28</v>
      </c>
      <c r="P1303" s="83">
        <v>7.41</v>
      </c>
      <c r="Q1303" s="83"/>
      <c r="R1303" s="86">
        <v>1.859688</v>
      </c>
      <c r="S1303" s="83">
        <v>18.600000000000001</v>
      </c>
      <c r="T1303" s="83"/>
      <c r="U1303" s="83"/>
      <c r="V1303" s="83"/>
      <c r="W1303" s="83"/>
      <c r="X1303" s="83"/>
      <c r="Y1303" s="185">
        <v>23.2</v>
      </c>
      <c r="Z1303" s="83"/>
      <c r="AA1303" s="86">
        <v>3.67</v>
      </c>
      <c r="AB1303" s="86">
        <v>0.64900000000000002</v>
      </c>
      <c r="AC1303" s="83">
        <v>8.1999999999999993</v>
      </c>
      <c r="AD1303" s="123">
        <v>580</v>
      </c>
      <c r="AE1303" s="83">
        <v>340</v>
      </c>
      <c r="AF1303" s="83">
        <f t="shared" si="55"/>
        <v>80</v>
      </c>
      <c r="AG1303" s="66">
        <f t="shared" si="56"/>
        <v>183.10344827586206</v>
      </c>
      <c r="AH1303" s="143">
        <f t="shared" si="57"/>
        <v>1000</v>
      </c>
    </row>
    <row r="1304" spans="1:34" s="90" customFormat="1" x14ac:dyDescent="0.3">
      <c r="A1304" s="84">
        <v>903324</v>
      </c>
      <c r="B1304" s="87">
        <v>15</v>
      </c>
      <c r="C1304" s="87">
        <v>5.625</v>
      </c>
      <c r="D1304" s="86">
        <v>8.5</v>
      </c>
      <c r="E1304" s="99">
        <v>0.17199999999999999</v>
      </c>
      <c r="F1304" s="87">
        <v>79.800000000000011</v>
      </c>
      <c r="G1304" s="83"/>
      <c r="H1304" s="84">
        <v>85.15</v>
      </c>
      <c r="I1304" s="83">
        <v>470</v>
      </c>
      <c r="J1304" s="83">
        <v>0.115</v>
      </c>
      <c r="K1304" s="87">
        <v>13.61</v>
      </c>
      <c r="L1304" s="83">
        <v>1420</v>
      </c>
      <c r="M1304" s="83">
        <v>0.7</v>
      </c>
      <c r="N1304" s="83">
        <v>1.21</v>
      </c>
      <c r="O1304" s="83">
        <v>4.83</v>
      </c>
      <c r="P1304" s="83">
        <v>8.0299999999999994</v>
      </c>
      <c r="Q1304" s="83"/>
      <c r="R1304" s="86">
        <v>1.7644250000000001</v>
      </c>
      <c r="S1304" s="83">
        <v>15.5</v>
      </c>
      <c r="T1304" s="83"/>
      <c r="U1304" s="83"/>
      <c r="V1304" s="83"/>
      <c r="W1304" s="83"/>
      <c r="X1304" s="83"/>
      <c r="Y1304" s="185">
        <v>22.4</v>
      </c>
      <c r="Z1304" s="83"/>
      <c r="AA1304" s="86">
        <v>4.9400000000000004</v>
      </c>
      <c r="AB1304" s="86">
        <v>0.3</v>
      </c>
      <c r="AC1304" s="83">
        <v>6.7</v>
      </c>
      <c r="AD1304" s="123">
        <v>560</v>
      </c>
      <c r="AE1304" s="83">
        <v>340</v>
      </c>
      <c r="AF1304" s="83">
        <f t="shared" si="55"/>
        <v>100</v>
      </c>
      <c r="AG1304" s="66">
        <f t="shared" si="56"/>
        <v>215.08660714285719</v>
      </c>
      <c r="AH1304" s="143">
        <f t="shared" si="57"/>
        <v>1000</v>
      </c>
    </row>
    <row r="1305" spans="1:34" s="90" customFormat="1" x14ac:dyDescent="0.3">
      <c r="A1305" s="84">
        <v>903325</v>
      </c>
      <c r="B1305" s="87">
        <v>14.250000000000002</v>
      </c>
      <c r="C1305" s="87">
        <v>5.125</v>
      </c>
      <c r="D1305" s="86">
        <v>8.49</v>
      </c>
      <c r="E1305" s="99">
        <v>0.184</v>
      </c>
      <c r="F1305" s="87">
        <v>107.15</v>
      </c>
      <c r="G1305" s="83"/>
      <c r="H1305" s="84">
        <v>136.69</v>
      </c>
      <c r="I1305" s="83">
        <v>500</v>
      </c>
      <c r="J1305" s="83">
        <v>0.104</v>
      </c>
      <c r="K1305" s="87">
        <v>13.11</v>
      </c>
      <c r="L1305" s="83">
        <v>1370</v>
      </c>
      <c r="M1305" s="83">
        <v>0.69</v>
      </c>
      <c r="N1305" s="83">
        <v>1.76</v>
      </c>
      <c r="O1305" s="83">
        <v>5.37</v>
      </c>
      <c r="P1305" s="83">
        <v>8.68</v>
      </c>
      <c r="Q1305" s="83"/>
      <c r="R1305" s="86">
        <v>1.7677080000000001</v>
      </c>
      <c r="S1305" s="83">
        <v>15.600000000000001</v>
      </c>
      <c r="T1305" s="83"/>
      <c r="U1305" s="83"/>
      <c r="V1305" s="83"/>
      <c r="W1305" s="83"/>
      <c r="X1305" s="83"/>
      <c r="Y1305" s="185">
        <v>17.399999999999999</v>
      </c>
      <c r="Z1305" s="83"/>
      <c r="AA1305" s="86">
        <v>3.75</v>
      </c>
      <c r="AB1305" s="86">
        <v>0.58599999999999997</v>
      </c>
      <c r="AC1305" s="83">
        <v>11.4</v>
      </c>
      <c r="AD1305" s="123">
        <v>580</v>
      </c>
      <c r="AE1305" s="83">
        <v>340</v>
      </c>
      <c r="AF1305" s="83">
        <f t="shared" si="55"/>
        <v>80</v>
      </c>
      <c r="AG1305" s="66">
        <f t="shared" si="56"/>
        <v>266.72068965517241</v>
      </c>
      <c r="AH1305" s="143">
        <f t="shared" si="57"/>
        <v>1000</v>
      </c>
    </row>
    <row r="1306" spans="1:34" s="90" customFormat="1" x14ac:dyDescent="0.3">
      <c r="A1306" s="84">
        <v>903326</v>
      </c>
      <c r="B1306" s="87">
        <v>18.083333333333332</v>
      </c>
      <c r="C1306" s="87">
        <v>6.4999999999999991</v>
      </c>
      <c r="D1306" s="86">
        <v>8.5399999999999991</v>
      </c>
      <c r="E1306" s="99">
        <v>0.17100000000000001</v>
      </c>
      <c r="F1306" s="87">
        <v>91.25</v>
      </c>
      <c r="G1306" s="83"/>
      <c r="H1306" s="84">
        <v>36.25</v>
      </c>
      <c r="I1306" s="83">
        <v>420</v>
      </c>
      <c r="J1306" s="83">
        <v>0.13</v>
      </c>
      <c r="K1306" s="87">
        <v>14.56</v>
      </c>
      <c r="L1306" s="83">
        <v>710</v>
      </c>
      <c r="M1306" s="83">
        <v>0.63</v>
      </c>
      <c r="N1306" s="83">
        <v>2.2799999999999998</v>
      </c>
      <c r="O1306" s="83">
        <v>5.0999999999999996</v>
      </c>
      <c r="P1306" s="83">
        <v>8.7200000000000006</v>
      </c>
      <c r="Q1306" s="83"/>
      <c r="R1306" s="86">
        <v>1.751153</v>
      </c>
      <c r="S1306" s="83">
        <v>15.1</v>
      </c>
      <c r="T1306" s="83"/>
      <c r="U1306" s="83"/>
      <c r="V1306" s="83"/>
      <c r="W1306" s="83"/>
      <c r="X1306" s="83"/>
      <c r="Y1306" s="185">
        <v>22.4</v>
      </c>
      <c r="Z1306" s="83"/>
      <c r="AA1306" s="86">
        <v>3.6</v>
      </c>
      <c r="AB1306" s="86">
        <v>0.73299999999999998</v>
      </c>
      <c r="AC1306" s="83">
        <v>9.5</v>
      </c>
      <c r="AD1306" s="123">
        <v>560</v>
      </c>
      <c r="AE1306" s="83">
        <v>360</v>
      </c>
      <c r="AF1306" s="83">
        <f t="shared" si="55"/>
        <v>80</v>
      </c>
      <c r="AG1306" s="66">
        <f t="shared" si="56"/>
        <v>230.1</v>
      </c>
      <c r="AH1306" s="143">
        <f t="shared" si="57"/>
        <v>1000</v>
      </c>
    </row>
    <row r="1307" spans="1:34" s="90" customFormat="1" x14ac:dyDescent="0.3">
      <c r="A1307" s="84">
        <v>903327</v>
      </c>
      <c r="B1307" s="87">
        <v>12.166666666666666</v>
      </c>
      <c r="C1307" s="87">
        <v>2.9999999999999982</v>
      </c>
      <c r="D1307" s="86">
        <v>7.9238095238095241</v>
      </c>
      <c r="E1307" s="99">
        <v>0.152</v>
      </c>
      <c r="F1307" s="87">
        <v>49.699999999999996</v>
      </c>
      <c r="G1307" s="83"/>
      <c r="H1307" s="84">
        <v>40.49</v>
      </c>
      <c r="I1307" s="83">
        <v>190</v>
      </c>
      <c r="J1307" s="83">
        <v>0.12</v>
      </c>
      <c r="K1307" s="87">
        <v>8.84</v>
      </c>
      <c r="L1307" s="83">
        <v>390</v>
      </c>
      <c r="M1307" s="83">
        <v>0.86</v>
      </c>
      <c r="N1307" s="83">
        <v>1.32</v>
      </c>
      <c r="O1307" s="83">
        <v>3.45</v>
      </c>
      <c r="P1307" s="83">
        <v>14.71</v>
      </c>
      <c r="Q1307" s="83"/>
      <c r="R1307" s="86">
        <v>1.706472</v>
      </c>
      <c r="S1307" s="87">
        <v>13.799999999999999</v>
      </c>
      <c r="T1307" s="83"/>
      <c r="U1307" s="83"/>
      <c r="V1307" s="83"/>
      <c r="W1307" s="83"/>
      <c r="X1307" s="83"/>
      <c r="Y1307" s="185">
        <v>28</v>
      </c>
      <c r="Z1307" s="83"/>
      <c r="AA1307" s="86"/>
      <c r="AB1307" s="86"/>
      <c r="AC1307" s="83"/>
      <c r="AD1307" s="123">
        <v>560</v>
      </c>
      <c r="AE1307" s="83">
        <v>320</v>
      </c>
      <c r="AF1307" s="83">
        <v>120</v>
      </c>
      <c r="AG1307" s="66">
        <f t="shared" si="56"/>
        <v>111.76285714285714</v>
      </c>
      <c r="AH1307" s="143">
        <f t="shared" si="57"/>
        <v>1000</v>
      </c>
    </row>
    <row r="1308" spans="1:34" s="90" customFormat="1" x14ac:dyDescent="0.3">
      <c r="A1308" s="84">
        <v>903328</v>
      </c>
      <c r="B1308" s="87">
        <v>12.958333333333332</v>
      </c>
      <c r="C1308" s="87">
        <v>3.3749999999999991</v>
      </c>
      <c r="D1308" s="86">
        <v>8.0476190476190474</v>
      </c>
      <c r="E1308" s="99">
        <v>0.15</v>
      </c>
      <c r="F1308" s="87">
        <v>56.150000000000006</v>
      </c>
      <c r="G1308" s="83"/>
      <c r="H1308" s="84">
        <v>33.36</v>
      </c>
      <c r="I1308" s="83">
        <v>170</v>
      </c>
      <c r="J1308" s="83">
        <v>0.16600000000000001</v>
      </c>
      <c r="K1308" s="87">
        <v>10.15</v>
      </c>
      <c r="L1308" s="83">
        <v>380</v>
      </c>
      <c r="M1308" s="83">
        <v>0.83</v>
      </c>
      <c r="N1308" s="83">
        <v>1.44</v>
      </c>
      <c r="O1308" s="83">
        <v>3.98</v>
      </c>
      <c r="P1308" s="83">
        <v>15.93</v>
      </c>
      <c r="Q1308" s="83"/>
      <c r="R1308" s="86">
        <v>1.674153</v>
      </c>
      <c r="S1308" s="87">
        <v>12.9</v>
      </c>
      <c r="T1308" s="83"/>
      <c r="U1308" s="83"/>
      <c r="V1308" s="83"/>
      <c r="W1308" s="83"/>
      <c r="X1308" s="83"/>
      <c r="Y1308" s="185">
        <v>40.6</v>
      </c>
      <c r="Z1308" s="83"/>
      <c r="AA1308" s="86"/>
      <c r="AB1308" s="86"/>
      <c r="AC1308" s="83"/>
      <c r="AD1308" s="123">
        <v>580</v>
      </c>
      <c r="AE1308" s="83">
        <v>320</v>
      </c>
      <c r="AF1308" s="83">
        <v>100</v>
      </c>
      <c r="AG1308" s="66">
        <f t="shared" si="56"/>
        <v>88.5</v>
      </c>
      <c r="AH1308" s="143">
        <f t="shared" si="57"/>
        <v>1000</v>
      </c>
    </row>
    <row r="1309" spans="1:34" s="90" customFormat="1" x14ac:dyDescent="0.3">
      <c r="A1309" s="84">
        <v>903329</v>
      </c>
      <c r="B1309" s="87">
        <v>11.541666666666666</v>
      </c>
      <c r="C1309" s="87">
        <v>2.6249999999999973</v>
      </c>
      <c r="D1309" s="86">
        <v>7.7999999999999989</v>
      </c>
      <c r="E1309" s="99">
        <v>0.159</v>
      </c>
      <c r="F1309" s="87">
        <v>47.45</v>
      </c>
      <c r="G1309" s="83"/>
      <c r="H1309" s="84">
        <v>38.75</v>
      </c>
      <c r="I1309" s="83">
        <v>240</v>
      </c>
      <c r="J1309" s="83">
        <v>0.122</v>
      </c>
      <c r="K1309" s="87">
        <v>10.67</v>
      </c>
      <c r="L1309" s="83">
        <v>430</v>
      </c>
      <c r="M1309" s="83">
        <v>0.88</v>
      </c>
      <c r="N1309" s="83">
        <v>1.4</v>
      </c>
      <c r="O1309" s="83">
        <v>4.97</v>
      </c>
      <c r="P1309" s="83">
        <v>18.43</v>
      </c>
      <c r="Q1309" s="83"/>
      <c r="R1309" s="86">
        <v>1.8304280000000002</v>
      </c>
      <c r="S1309" s="87">
        <v>17.600000000000001</v>
      </c>
      <c r="T1309" s="83"/>
      <c r="U1309" s="83"/>
      <c r="V1309" s="83"/>
      <c r="W1309" s="83"/>
      <c r="X1309" s="83"/>
      <c r="Y1309" s="185">
        <v>42</v>
      </c>
      <c r="Z1309" s="83"/>
      <c r="AA1309" s="86"/>
      <c r="AB1309" s="86"/>
      <c r="AC1309" s="83"/>
      <c r="AD1309" s="123">
        <v>600</v>
      </c>
      <c r="AE1309" s="83">
        <v>300</v>
      </c>
      <c r="AF1309" s="83">
        <v>100</v>
      </c>
      <c r="AG1309" s="66">
        <f t="shared" si="56"/>
        <v>89.932857142857145</v>
      </c>
      <c r="AH1309" s="143">
        <f t="shared" si="57"/>
        <v>1000</v>
      </c>
    </row>
    <row r="1310" spans="1:34" s="90" customFormat="1" x14ac:dyDescent="0.3">
      <c r="A1310" s="84">
        <v>903330</v>
      </c>
      <c r="B1310" s="87">
        <v>10.958333333333334</v>
      </c>
      <c r="C1310" s="87">
        <v>2.7499999999999991</v>
      </c>
      <c r="D1310" s="86">
        <v>7.9428571428571422</v>
      </c>
      <c r="E1310" s="99">
        <v>0.158</v>
      </c>
      <c r="F1310" s="87">
        <v>54.699999999999996</v>
      </c>
      <c r="G1310" s="83"/>
      <c r="H1310" s="84">
        <v>14.89</v>
      </c>
      <c r="I1310" s="83">
        <v>210</v>
      </c>
      <c r="J1310" s="83">
        <v>0.16900000000000001</v>
      </c>
      <c r="K1310" s="87">
        <v>10.71</v>
      </c>
      <c r="L1310" s="83">
        <v>430</v>
      </c>
      <c r="M1310" s="83">
        <v>0.84</v>
      </c>
      <c r="N1310" s="83">
        <v>1.53</v>
      </c>
      <c r="O1310" s="83">
        <v>4.2</v>
      </c>
      <c r="P1310" s="83">
        <v>22.23</v>
      </c>
      <c r="Q1310" s="83"/>
      <c r="R1310" s="86">
        <v>1.799768</v>
      </c>
      <c r="S1310" s="87">
        <v>16.599999999999998</v>
      </c>
      <c r="T1310" s="83"/>
      <c r="U1310" s="83"/>
      <c r="V1310" s="83"/>
      <c r="W1310" s="83"/>
      <c r="X1310" s="83"/>
      <c r="Y1310" s="185">
        <v>34.799999999999997</v>
      </c>
      <c r="Z1310" s="83"/>
      <c r="AA1310" s="86"/>
      <c r="AB1310" s="86"/>
      <c r="AC1310" s="83"/>
      <c r="AD1310" s="123">
        <v>580</v>
      </c>
      <c r="AE1310" s="83">
        <v>320</v>
      </c>
      <c r="AF1310" s="83">
        <v>100</v>
      </c>
      <c r="AG1310" s="66">
        <f t="shared" si="56"/>
        <v>108.94655172413795</v>
      </c>
      <c r="AH1310" s="143">
        <f t="shared" si="57"/>
        <v>1000</v>
      </c>
    </row>
    <row r="1311" spans="1:34" s="90" customFormat="1" x14ac:dyDescent="0.3">
      <c r="A1311" s="84">
        <v>903331</v>
      </c>
      <c r="B1311" s="87">
        <v>0.35000000000000003</v>
      </c>
      <c r="C1311" s="87"/>
      <c r="D1311" s="86">
        <v>7.4571428571428573</v>
      </c>
      <c r="E1311" s="99">
        <v>5.8000000000000003E-2</v>
      </c>
      <c r="F1311" s="87">
        <v>42.699999999999996</v>
      </c>
      <c r="G1311" s="83"/>
      <c r="H1311" s="84">
        <v>92.73</v>
      </c>
      <c r="I1311" s="83">
        <v>140</v>
      </c>
      <c r="J1311" s="83">
        <v>1.0999999999999999E-2</v>
      </c>
      <c r="K1311" s="87">
        <v>1.3</v>
      </c>
      <c r="L1311" s="83">
        <v>130</v>
      </c>
      <c r="M1311" s="83">
        <v>1.79</v>
      </c>
      <c r="N1311" s="83">
        <v>0.46</v>
      </c>
      <c r="O1311" s="83">
        <v>6.78</v>
      </c>
      <c r="P1311" s="83">
        <v>9.1199999999999992</v>
      </c>
      <c r="Q1311" s="83"/>
      <c r="R1311" s="86">
        <v>1.2683894755122365</v>
      </c>
      <c r="S1311" s="87">
        <v>8.6</v>
      </c>
      <c r="T1311" s="83"/>
      <c r="U1311" s="83"/>
      <c r="V1311" s="83"/>
      <c r="W1311" s="83"/>
      <c r="X1311" s="83"/>
      <c r="Y1311" s="185">
        <v>4</v>
      </c>
      <c r="Z1311" s="83"/>
      <c r="AA1311" s="86"/>
      <c r="AB1311" s="86"/>
      <c r="AC1311" s="83"/>
      <c r="AD1311" s="123">
        <v>80</v>
      </c>
      <c r="AE1311" s="83">
        <v>60</v>
      </c>
      <c r="AF1311" s="83">
        <v>860</v>
      </c>
      <c r="AG1311" s="66">
        <f t="shared" si="56"/>
        <v>115.05000000000001</v>
      </c>
      <c r="AH1311" s="143">
        <f t="shared" si="57"/>
        <v>1000</v>
      </c>
    </row>
    <row r="1312" spans="1:34" s="90" customFormat="1" x14ac:dyDescent="0.3">
      <c r="A1312" s="84">
        <v>903332</v>
      </c>
      <c r="B1312" s="87">
        <v>0.1</v>
      </c>
      <c r="C1312" s="87"/>
      <c r="D1312" s="86">
        <v>7.9619047619047612</v>
      </c>
      <c r="E1312" s="99">
        <v>5.1999999999999998E-2</v>
      </c>
      <c r="F1312" s="87">
        <v>43.5</v>
      </c>
      <c r="G1312" s="83"/>
      <c r="H1312" s="84">
        <v>63.68</v>
      </c>
      <c r="I1312" s="83">
        <v>70</v>
      </c>
      <c r="J1312" s="83">
        <v>1.6E-2</v>
      </c>
      <c r="K1312" s="87">
        <v>0.89</v>
      </c>
      <c r="L1312" s="83">
        <v>80</v>
      </c>
      <c r="M1312" s="83">
        <v>0.57999999999999996</v>
      </c>
      <c r="N1312" s="83">
        <v>0.23</v>
      </c>
      <c r="O1312" s="83">
        <v>2.4900000000000002</v>
      </c>
      <c r="P1312" s="83">
        <v>7</v>
      </c>
      <c r="Q1312" s="83"/>
      <c r="R1312" s="86">
        <v>1.3748418788075742</v>
      </c>
      <c r="S1312" s="87">
        <v>9</v>
      </c>
      <c r="T1312" s="83"/>
      <c r="U1312" s="83"/>
      <c r="V1312" s="83"/>
      <c r="W1312" s="83"/>
      <c r="X1312" s="83"/>
      <c r="Y1312" s="185">
        <v>2.8</v>
      </c>
      <c r="Z1312" s="83"/>
      <c r="AA1312" s="86"/>
      <c r="AB1312" s="86"/>
      <c r="AC1312" s="83"/>
      <c r="AD1312" s="123">
        <v>40</v>
      </c>
      <c r="AE1312" s="83">
        <v>60</v>
      </c>
      <c r="AF1312" s="83">
        <v>860</v>
      </c>
      <c r="AG1312" s="66">
        <f t="shared" si="56"/>
        <v>112.52142857142859</v>
      </c>
      <c r="AH1312" s="143">
        <f t="shared" si="57"/>
        <v>960</v>
      </c>
    </row>
    <row r="1313" spans="1:34" s="90" customFormat="1" x14ac:dyDescent="0.3">
      <c r="A1313" s="84">
        <v>903333</v>
      </c>
      <c r="B1313" s="87">
        <v>0.16666666666666666</v>
      </c>
      <c r="C1313" s="87"/>
      <c r="D1313" s="86">
        <v>7.7619047619047619</v>
      </c>
      <c r="E1313" s="99">
        <v>4.3999999999999997E-2</v>
      </c>
      <c r="F1313" s="87">
        <v>43.949999999999996</v>
      </c>
      <c r="G1313" s="83"/>
      <c r="H1313" s="84">
        <v>86.84</v>
      </c>
      <c r="I1313" s="83">
        <v>140</v>
      </c>
      <c r="J1313" s="83">
        <v>1.2E-2</v>
      </c>
      <c r="K1313" s="87">
        <v>1.05</v>
      </c>
      <c r="L1313" s="83">
        <v>80</v>
      </c>
      <c r="M1313" s="83">
        <v>0.62</v>
      </c>
      <c r="N1313" s="83">
        <v>0.44</v>
      </c>
      <c r="O1313" s="83">
        <v>4.0199999999999996</v>
      </c>
      <c r="P1313" s="83">
        <v>7.83</v>
      </c>
      <c r="Q1313" s="83"/>
      <c r="R1313" s="86">
        <v>0.94496036005179207</v>
      </c>
      <c r="S1313" s="87">
        <v>6.5</v>
      </c>
      <c r="T1313" s="83"/>
      <c r="U1313" s="83"/>
      <c r="V1313" s="83"/>
      <c r="W1313" s="83"/>
      <c r="X1313" s="83"/>
      <c r="Y1313" s="185">
        <v>4.2</v>
      </c>
      <c r="Z1313" s="83"/>
      <c r="AA1313" s="86"/>
      <c r="AB1313" s="86"/>
      <c r="AC1313" s="83"/>
      <c r="AD1313" s="123">
        <v>60</v>
      </c>
      <c r="AE1313" s="83">
        <v>60</v>
      </c>
      <c r="AF1313" s="83">
        <v>880</v>
      </c>
      <c r="AG1313" s="66">
        <f t="shared" si="56"/>
        <v>88.5</v>
      </c>
      <c r="AH1313" s="143">
        <f t="shared" si="57"/>
        <v>1000</v>
      </c>
    </row>
    <row r="1314" spans="1:34" s="90" customFormat="1" x14ac:dyDescent="0.3">
      <c r="A1314" s="84">
        <v>903334</v>
      </c>
      <c r="B1314" s="87">
        <v>8.3333333333333329E-2</v>
      </c>
      <c r="C1314" s="87"/>
      <c r="D1314" s="86">
        <v>7.5142857142857133</v>
      </c>
      <c r="E1314" s="99">
        <v>4.3999999999999997E-2</v>
      </c>
      <c r="F1314" s="87">
        <v>36.450000000000003</v>
      </c>
      <c r="G1314" s="83"/>
      <c r="H1314" s="84">
        <v>93.75</v>
      </c>
      <c r="I1314" s="83">
        <v>110</v>
      </c>
      <c r="J1314" s="83">
        <v>0.02</v>
      </c>
      <c r="K1314" s="87">
        <v>1.0660000000000001</v>
      </c>
      <c r="L1314" s="83">
        <v>70</v>
      </c>
      <c r="M1314" s="83">
        <v>0.43</v>
      </c>
      <c r="N1314" s="83">
        <v>0.39</v>
      </c>
      <c r="O1314" s="83">
        <v>2.82</v>
      </c>
      <c r="P1314" s="83">
        <v>6.82</v>
      </c>
      <c r="Q1314" s="83"/>
      <c r="R1314" s="86">
        <v>0.48305818099488756</v>
      </c>
      <c r="S1314" s="87">
        <v>3.2</v>
      </c>
      <c r="T1314" s="83"/>
      <c r="U1314" s="83"/>
      <c r="V1314" s="83"/>
      <c r="W1314" s="83"/>
      <c r="X1314" s="83"/>
      <c r="Y1314" s="185">
        <v>3</v>
      </c>
      <c r="Z1314" s="83"/>
      <c r="AA1314" s="86"/>
      <c r="AB1314" s="86"/>
      <c r="AC1314" s="83"/>
      <c r="AD1314" s="123">
        <v>60</v>
      </c>
      <c r="AE1314" s="83">
        <v>80</v>
      </c>
      <c r="AF1314" s="83">
        <v>860</v>
      </c>
      <c r="AG1314" s="66">
        <f t="shared" si="56"/>
        <v>125.78800000000001</v>
      </c>
      <c r="AH1314" s="143">
        <f t="shared" si="57"/>
        <v>1000</v>
      </c>
    </row>
    <row r="1315" spans="1:34" s="90" customFormat="1" x14ac:dyDescent="0.3">
      <c r="A1315" s="84">
        <v>903335</v>
      </c>
      <c r="B1315" s="87">
        <v>7.5833333333333321</v>
      </c>
      <c r="C1315" s="87"/>
      <c r="D1315" s="86">
        <v>7.8380952380952378</v>
      </c>
      <c r="E1315" s="99">
        <v>0.745</v>
      </c>
      <c r="F1315" s="87">
        <v>814.5</v>
      </c>
      <c r="G1315" s="83"/>
      <c r="H1315" s="84">
        <v>22.83</v>
      </c>
      <c r="I1315" s="83">
        <v>530</v>
      </c>
      <c r="J1315" s="83">
        <v>0.16700000000000001</v>
      </c>
      <c r="K1315" s="87">
        <v>7.99</v>
      </c>
      <c r="L1315" s="83">
        <v>330</v>
      </c>
      <c r="M1315" s="83">
        <v>0.14000000000000001</v>
      </c>
      <c r="N1315" s="83">
        <v>0.4</v>
      </c>
      <c r="O1315" s="83">
        <v>1.05</v>
      </c>
      <c r="P1315" s="83">
        <v>1.58</v>
      </c>
      <c r="Q1315" s="83"/>
      <c r="R1315" s="86">
        <v>0.7689904438036691</v>
      </c>
      <c r="S1315" s="87">
        <v>5.2</v>
      </c>
      <c r="T1315" s="83"/>
      <c r="U1315" s="83"/>
      <c r="V1315" s="83"/>
      <c r="W1315" s="83"/>
      <c r="X1315" s="83"/>
      <c r="Y1315" s="185">
        <v>10</v>
      </c>
      <c r="Z1315" s="83"/>
      <c r="AA1315" s="86"/>
      <c r="AB1315" s="86"/>
      <c r="AC1315" s="83"/>
      <c r="AD1315" s="123">
        <v>200</v>
      </c>
      <c r="AE1315" s="83">
        <v>60</v>
      </c>
      <c r="AF1315" s="83">
        <v>740</v>
      </c>
      <c r="AG1315" s="66">
        <f t="shared" si="56"/>
        <v>282.846</v>
      </c>
      <c r="AH1315" s="143">
        <f t="shared" si="57"/>
        <v>1000</v>
      </c>
    </row>
    <row r="1316" spans="1:34" s="90" customFormat="1" x14ac:dyDescent="0.3">
      <c r="A1316" s="84">
        <v>903336</v>
      </c>
      <c r="B1316" s="87">
        <v>0.2166666666666667</v>
      </c>
      <c r="C1316" s="87"/>
      <c r="D1316" s="86">
        <v>8.2666666666666657</v>
      </c>
      <c r="E1316" s="99">
        <v>0.13800000000000001</v>
      </c>
      <c r="F1316" s="87">
        <v>90.850000000000009</v>
      </c>
      <c r="G1316" s="83"/>
      <c r="H1316" s="84">
        <v>55.67</v>
      </c>
      <c r="I1316" s="83">
        <v>110</v>
      </c>
      <c r="J1316" s="83">
        <v>0.13600000000000001</v>
      </c>
      <c r="K1316" s="87">
        <v>3</v>
      </c>
      <c r="L1316" s="83">
        <v>780</v>
      </c>
      <c r="M1316" s="83">
        <v>0.28999999999999998</v>
      </c>
      <c r="N1316" s="83">
        <v>0.72</v>
      </c>
      <c r="O1316" s="83">
        <v>7.8</v>
      </c>
      <c r="P1316" s="83">
        <v>3.77</v>
      </c>
      <c r="Q1316" s="83"/>
      <c r="R1316" s="86">
        <v>0.59969868221475486</v>
      </c>
      <c r="S1316" s="87">
        <v>4.0999999999999996</v>
      </c>
      <c r="T1316" s="83"/>
      <c r="U1316" s="83"/>
      <c r="V1316" s="83"/>
      <c r="W1316" s="83"/>
      <c r="X1316" s="83"/>
      <c r="Y1316" s="185">
        <v>10.8</v>
      </c>
      <c r="Z1316" s="83"/>
      <c r="AA1316" s="86"/>
      <c r="AB1316" s="86"/>
      <c r="AC1316" s="83"/>
      <c r="AD1316" s="123">
        <v>180</v>
      </c>
      <c r="AE1316" s="83">
        <v>60</v>
      </c>
      <c r="AF1316" s="83">
        <v>760</v>
      </c>
      <c r="AG1316" s="66">
        <f t="shared" si="56"/>
        <v>98.333333333333329</v>
      </c>
      <c r="AH1316" s="143">
        <f t="shared" si="57"/>
        <v>1000</v>
      </c>
    </row>
    <row r="1317" spans="1:34" s="90" customFormat="1" x14ac:dyDescent="0.3">
      <c r="A1317" s="84">
        <v>903337</v>
      </c>
      <c r="B1317" s="87">
        <v>0.33333333333333331</v>
      </c>
      <c r="C1317" s="87"/>
      <c r="D1317" s="86">
        <v>8.1523809523809518</v>
      </c>
      <c r="E1317" s="99">
        <v>0.106</v>
      </c>
      <c r="F1317" s="87">
        <v>46.25</v>
      </c>
      <c r="G1317" s="83"/>
      <c r="H1317" s="84">
        <v>97.42</v>
      </c>
      <c r="I1317" s="83">
        <v>50</v>
      </c>
      <c r="J1317" s="83">
        <v>3.1E-2</v>
      </c>
      <c r="K1317" s="87">
        <v>1.93</v>
      </c>
      <c r="L1317" s="83">
        <v>200</v>
      </c>
      <c r="M1317" s="83">
        <v>3.53</v>
      </c>
      <c r="N1317" s="83">
        <v>0.71</v>
      </c>
      <c r="O1317" s="83">
        <v>4.79</v>
      </c>
      <c r="P1317" s="83">
        <v>8.49</v>
      </c>
      <c r="Q1317" s="83"/>
      <c r="R1317" s="86">
        <v>1.178402265837472</v>
      </c>
      <c r="S1317" s="87">
        <v>8.2999999999999989</v>
      </c>
      <c r="T1317" s="83"/>
      <c r="U1317" s="83"/>
      <c r="V1317" s="83"/>
      <c r="W1317" s="83"/>
      <c r="X1317" s="83"/>
      <c r="Y1317" s="185">
        <v>4.2</v>
      </c>
      <c r="Z1317" s="83"/>
      <c r="AA1317" s="86"/>
      <c r="AB1317" s="86"/>
      <c r="AC1317" s="83"/>
      <c r="AD1317" s="123">
        <v>60</v>
      </c>
      <c r="AE1317" s="83">
        <v>80</v>
      </c>
      <c r="AF1317" s="83">
        <v>860</v>
      </c>
      <c r="AG1317" s="66">
        <f t="shared" si="56"/>
        <v>162.67142857142858</v>
      </c>
      <c r="AH1317" s="143">
        <f t="shared" si="57"/>
        <v>1000</v>
      </c>
    </row>
    <row r="1318" spans="1:34" s="90" customFormat="1" x14ac:dyDescent="0.3">
      <c r="A1318" s="84">
        <v>903338</v>
      </c>
      <c r="B1318" s="87">
        <v>0.24999999999999997</v>
      </c>
      <c r="C1318" s="87"/>
      <c r="D1318" s="86">
        <v>8.0476190476190474</v>
      </c>
      <c r="E1318" s="99">
        <v>0.112</v>
      </c>
      <c r="F1318" s="87">
        <v>45.8</v>
      </c>
      <c r="G1318" s="83"/>
      <c r="H1318" s="84">
        <v>103.91</v>
      </c>
      <c r="I1318" s="83">
        <v>40</v>
      </c>
      <c r="J1318" s="83">
        <v>6.7000000000000004E-2</v>
      </c>
      <c r="K1318" s="87">
        <v>1.71</v>
      </c>
      <c r="L1318" s="83">
        <v>220</v>
      </c>
      <c r="M1318" s="83">
        <v>1.54</v>
      </c>
      <c r="N1318" s="83">
        <v>0.28999999999999998</v>
      </c>
      <c r="O1318" s="83">
        <v>8.0500000000000007</v>
      </c>
      <c r="P1318" s="83">
        <v>7.48</v>
      </c>
      <c r="Q1318" s="83"/>
      <c r="R1318" s="86">
        <v>1.001188179216147</v>
      </c>
      <c r="S1318" s="87">
        <v>6.8999999999999995</v>
      </c>
      <c r="T1318" s="83"/>
      <c r="U1318" s="83"/>
      <c r="V1318" s="83"/>
      <c r="W1318" s="83"/>
      <c r="X1318" s="83"/>
      <c r="Y1318" s="185">
        <v>3</v>
      </c>
      <c r="Z1318" s="83"/>
      <c r="AA1318" s="86"/>
      <c r="AB1318" s="86"/>
      <c r="AC1318" s="83"/>
      <c r="AD1318" s="123">
        <v>60</v>
      </c>
      <c r="AE1318" s="83">
        <v>60</v>
      </c>
      <c r="AF1318" s="83">
        <v>880</v>
      </c>
      <c r="AG1318" s="66">
        <f t="shared" si="56"/>
        <v>201.78</v>
      </c>
      <c r="AH1318" s="143">
        <f t="shared" si="57"/>
        <v>1000</v>
      </c>
    </row>
    <row r="1319" spans="1:34" s="90" customFormat="1" x14ac:dyDescent="0.3">
      <c r="A1319" s="84">
        <v>903339</v>
      </c>
      <c r="B1319" s="87">
        <v>0.23333333333333331</v>
      </c>
      <c r="C1319" s="87"/>
      <c r="D1319" s="86">
        <v>8.2380952380952372</v>
      </c>
      <c r="E1319" s="99">
        <v>0.32700000000000001</v>
      </c>
      <c r="F1319" s="87">
        <v>180.39999999999998</v>
      </c>
      <c r="G1319" s="83"/>
      <c r="H1319" s="84">
        <v>207.18</v>
      </c>
      <c r="I1319" s="83">
        <v>470</v>
      </c>
      <c r="J1319" s="83">
        <v>0.19900000000000001</v>
      </c>
      <c r="K1319" s="87">
        <v>1.42</v>
      </c>
      <c r="L1319" s="83">
        <v>200</v>
      </c>
      <c r="M1319" s="83">
        <v>2.54</v>
      </c>
      <c r="N1319" s="83">
        <v>0.84</v>
      </c>
      <c r="O1319" s="83">
        <v>9.94</v>
      </c>
      <c r="P1319" s="83">
        <v>21.34</v>
      </c>
      <c r="Q1319" s="83"/>
      <c r="R1319" s="86">
        <v>1.1171559211530346</v>
      </c>
      <c r="S1319" s="87">
        <v>7.3</v>
      </c>
      <c r="T1319" s="83"/>
      <c r="U1319" s="83"/>
      <c r="V1319" s="83"/>
      <c r="W1319" s="83"/>
      <c r="X1319" s="83"/>
      <c r="Y1319" s="185">
        <v>3.6</v>
      </c>
      <c r="Z1319" s="83"/>
      <c r="AA1319" s="86"/>
      <c r="AB1319" s="86"/>
      <c r="AC1319" s="83"/>
      <c r="AD1319" s="123">
        <v>60</v>
      </c>
      <c r="AE1319" s="83">
        <v>60</v>
      </c>
      <c r="AF1319" s="83">
        <v>880</v>
      </c>
      <c r="AG1319" s="66">
        <f t="shared" si="56"/>
        <v>139.63333333333333</v>
      </c>
      <c r="AH1319" s="143">
        <f t="shared" si="57"/>
        <v>1000</v>
      </c>
    </row>
    <row r="1320" spans="1:34" s="90" customFormat="1" x14ac:dyDescent="0.3">
      <c r="A1320" s="84">
        <v>903340</v>
      </c>
      <c r="B1320" s="87">
        <v>13.083333333333332</v>
      </c>
      <c r="C1320" s="87">
        <v>3.3749999999999991</v>
      </c>
      <c r="D1320" s="86">
        <v>8.1809523809523803</v>
      </c>
      <c r="E1320" s="99">
        <v>0.92300000000000004</v>
      </c>
      <c r="F1320" s="87">
        <v>1135.95</v>
      </c>
      <c r="G1320" s="83"/>
      <c r="H1320" s="84">
        <v>40.270000000000003</v>
      </c>
      <c r="I1320" s="83">
        <v>200</v>
      </c>
      <c r="J1320" s="83">
        <v>1.179</v>
      </c>
      <c r="K1320" s="87">
        <v>8.11</v>
      </c>
      <c r="L1320" s="83">
        <v>2660</v>
      </c>
      <c r="M1320" s="83">
        <v>0.63</v>
      </c>
      <c r="N1320" s="83">
        <v>0.6</v>
      </c>
      <c r="O1320" s="83">
        <v>12.76</v>
      </c>
      <c r="P1320" s="83">
        <v>6.54</v>
      </c>
      <c r="Q1320" s="83"/>
      <c r="R1320" s="86">
        <v>1.884825</v>
      </c>
      <c r="S1320" s="87">
        <v>19.5</v>
      </c>
      <c r="T1320" s="83"/>
      <c r="U1320" s="83"/>
      <c r="V1320" s="83"/>
      <c r="W1320" s="83"/>
      <c r="X1320" s="83"/>
      <c r="Y1320" s="185">
        <v>28</v>
      </c>
      <c r="Z1320" s="83"/>
      <c r="AA1320" s="86"/>
      <c r="AB1320" s="86"/>
      <c r="AC1320" s="83"/>
      <c r="AD1320" s="123">
        <v>560</v>
      </c>
      <c r="AE1320" s="83">
        <v>380</v>
      </c>
      <c r="AF1320" s="83">
        <v>100</v>
      </c>
      <c r="AG1320" s="66">
        <f t="shared" si="56"/>
        <v>102.53357142857143</v>
      </c>
      <c r="AH1320" s="143">
        <f t="shared" si="57"/>
        <v>1040</v>
      </c>
    </row>
    <row r="1321" spans="1:34" s="90" customFormat="1" x14ac:dyDescent="0.3">
      <c r="A1321" s="84">
        <v>903341</v>
      </c>
      <c r="B1321" s="87">
        <v>0.18333333333333335</v>
      </c>
      <c r="C1321" s="87"/>
      <c r="D1321" s="86">
        <v>7.5428571428571427</v>
      </c>
      <c r="E1321" s="99">
        <v>0.26500000000000001</v>
      </c>
      <c r="F1321" s="87">
        <v>145.80000000000001</v>
      </c>
      <c r="G1321" s="83"/>
      <c r="H1321" s="84">
        <v>224.9</v>
      </c>
      <c r="I1321" s="83">
        <v>100</v>
      </c>
      <c r="J1321" s="83">
        <v>0.17599999999999999</v>
      </c>
      <c r="K1321" s="87">
        <v>1.64</v>
      </c>
      <c r="L1321" s="83">
        <v>290</v>
      </c>
      <c r="M1321" s="83">
        <v>2.4500000000000002</v>
      </c>
      <c r="N1321" s="83">
        <v>0.89</v>
      </c>
      <c r="O1321" s="83">
        <v>6.25</v>
      </c>
      <c r="P1321" s="83">
        <v>14.36</v>
      </c>
      <c r="Q1321" s="83"/>
      <c r="R1321" s="86">
        <v>0.75600089560333905</v>
      </c>
      <c r="S1321" s="87">
        <v>5.4</v>
      </c>
      <c r="T1321" s="83"/>
      <c r="U1321" s="83"/>
      <c r="V1321" s="83"/>
      <c r="W1321" s="83"/>
      <c r="X1321" s="83"/>
      <c r="Y1321" s="185">
        <v>6</v>
      </c>
      <c r="Z1321" s="83"/>
      <c r="AA1321" s="86"/>
      <c r="AB1321" s="86"/>
      <c r="AC1321" s="83"/>
      <c r="AD1321" s="123">
        <v>100</v>
      </c>
      <c r="AE1321" s="83">
        <v>280</v>
      </c>
      <c r="AF1321" s="83">
        <v>720</v>
      </c>
      <c r="AG1321" s="66">
        <f t="shared" si="56"/>
        <v>96.76</v>
      </c>
      <c r="AH1321" s="143">
        <f t="shared" si="57"/>
        <v>1100</v>
      </c>
    </row>
    <row r="1322" spans="1:34" s="90" customFormat="1" x14ac:dyDescent="0.3">
      <c r="A1322" s="84">
        <v>903342</v>
      </c>
      <c r="B1322" s="87">
        <v>0.11666666666666665</v>
      </c>
      <c r="C1322" s="87"/>
      <c r="D1322" s="86">
        <v>7.4285714285714279</v>
      </c>
      <c r="E1322" s="99">
        <v>0.16600000000000001</v>
      </c>
      <c r="F1322" s="87">
        <v>93.85</v>
      </c>
      <c r="G1322" s="83"/>
      <c r="H1322" s="84">
        <v>56.02</v>
      </c>
      <c r="I1322" s="83">
        <v>50</v>
      </c>
      <c r="J1322" s="83">
        <v>4.2000000000000003E-2</v>
      </c>
      <c r="K1322" s="87">
        <v>1.44</v>
      </c>
      <c r="L1322" s="83">
        <v>130</v>
      </c>
      <c r="M1322" s="83">
        <v>0.57999999999999996</v>
      </c>
      <c r="N1322" s="83">
        <v>0.19</v>
      </c>
      <c r="O1322" s="83">
        <v>4.2699999999999996</v>
      </c>
      <c r="P1322" s="83">
        <v>5.46</v>
      </c>
      <c r="Q1322" s="83"/>
      <c r="R1322" s="86">
        <v>0.84657619122538408</v>
      </c>
      <c r="S1322" s="87">
        <v>5.8</v>
      </c>
      <c r="T1322" s="83"/>
      <c r="U1322" s="83"/>
      <c r="V1322" s="83"/>
      <c r="W1322" s="83"/>
      <c r="X1322" s="83"/>
      <c r="Y1322" s="185">
        <v>4</v>
      </c>
      <c r="Z1322" s="83"/>
      <c r="AA1322" s="86"/>
      <c r="AB1322" s="86"/>
      <c r="AC1322" s="83"/>
      <c r="AD1322" s="123">
        <v>80</v>
      </c>
      <c r="AE1322" s="83">
        <v>60</v>
      </c>
      <c r="AF1322" s="83">
        <v>860</v>
      </c>
      <c r="AG1322" s="66">
        <f t="shared" si="56"/>
        <v>127.44</v>
      </c>
      <c r="AH1322" s="143">
        <f t="shared" si="57"/>
        <v>1000</v>
      </c>
    </row>
    <row r="1323" spans="1:34" s="90" customFormat="1" x14ac:dyDescent="0.3">
      <c r="A1323" s="84">
        <v>903343</v>
      </c>
      <c r="B1323" s="87">
        <v>0.2</v>
      </c>
      <c r="C1323" s="87"/>
      <c r="D1323" s="86">
        <v>8</v>
      </c>
      <c r="E1323" s="99">
        <v>0.2</v>
      </c>
      <c r="F1323" s="87">
        <v>121.55</v>
      </c>
      <c r="G1323" s="83"/>
      <c r="H1323" s="84">
        <v>98.42</v>
      </c>
      <c r="I1323" s="83">
        <v>90</v>
      </c>
      <c r="J1323" s="83">
        <v>0.36599999999999999</v>
      </c>
      <c r="K1323" s="87">
        <v>5.89</v>
      </c>
      <c r="L1323" s="83">
        <v>720</v>
      </c>
      <c r="M1323" s="83">
        <v>0.27</v>
      </c>
      <c r="N1323" s="83">
        <v>0.66</v>
      </c>
      <c r="O1323" s="83">
        <v>5.28</v>
      </c>
      <c r="P1323" s="83">
        <v>17.440000000000001</v>
      </c>
      <c r="Q1323" s="83"/>
      <c r="R1323" s="86">
        <v>1.836392</v>
      </c>
      <c r="S1323" s="87">
        <v>17.8</v>
      </c>
      <c r="T1323" s="83"/>
      <c r="U1323" s="83"/>
      <c r="V1323" s="83"/>
      <c r="W1323" s="83"/>
      <c r="X1323" s="83"/>
      <c r="Y1323" s="185">
        <v>22</v>
      </c>
      <c r="Z1323" s="83"/>
      <c r="AA1323" s="86"/>
      <c r="AB1323" s="86"/>
      <c r="AC1323" s="83"/>
      <c r="AD1323" s="123">
        <v>380</v>
      </c>
      <c r="AE1323" s="83">
        <v>260</v>
      </c>
      <c r="AF1323" s="83">
        <v>360</v>
      </c>
      <c r="AG1323" s="66">
        <f t="shared" si="56"/>
        <v>94.775454545454537</v>
      </c>
      <c r="AH1323" s="143">
        <f t="shared" si="57"/>
        <v>1000</v>
      </c>
    </row>
    <row r="1324" spans="1:34" s="90" customFormat="1" x14ac:dyDescent="0.3">
      <c r="A1324" s="84">
        <v>903344</v>
      </c>
      <c r="B1324" s="87">
        <v>1.8333333333333333</v>
      </c>
      <c r="C1324" s="87"/>
      <c r="D1324" s="86">
        <v>7.8761904761904757</v>
      </c>
      <c r="E1324" s="99">
        <v>0.17</v>
      </c>
      <c r="F1324" s="87">
        <v>49.1</v>
      </c>
      <c r="G1324" s="83"/>
      <c r="H1324" s="84">
        <v>83.02</v>
      </c>
      <c r="I1324" s="83">
        <v>170</v>
      </c>
      <c r="J1324" s="83">
        <v>9.1999999999999998E-2</v>
      </c>
      <c r="K1324" s="87">
        <v>5.65</v>
      </c>
      <c r="L1324" s="83">
        <v>560</v>
      </c>
      <c r="M1324" s="83">
        <v>4.8499999999999996</v>
      </c>
      <c r="N1324" s="83">
        <v>1.61</v>
      </c>
      <c r="O1324" s="83">
        <v>5.61</v>
      </c>
      <c r="P1324" s="83">
        <v>4.1500000000000004</v>
      </c>
      <c r="Q1324" s="83"/>
      <c r="R1324" s="86">
        <v>1.751153</v>
      </c>
      <c r="S1324" s="87">
        <v>15.1</v>
      </c>
      <c r="T1324" s="83"/>
      <c r="U1324" s="83"/>
      <c r="V1324" s="83"/>
      <c r="W1324" s="83"/>
      <c r="X1324" s="83"/>
      <c r="Y1324" s="185">
        <v>22</v>
      </c>
      <c r="Z1324" s="83"/>
      <c r="AA1324" s="86"/>
      <c r="AB1324" s="86"/>
      <c r="AC1324" s="83"/>
      <c r="AD1324" s="123">
        <v>440</v>
      </c>
      <c r="AE1324" s="83">
        <v>380</v>
      </c>
      <c r="AF1324" s="83">
        <v>180</v>
      </c>
      <c r="AG1324" s="66">
        <f t="shared" si="56"/>
        <v>90.913636363636371</v>
      </c>
      <c r="AH1324" s="143">
        <f t="shared" si="57"/>
        <v>1000</v>
      </c>
    </row>
    <row r="1325" spans="1:34" s="90" customFormat="1" x14ac:dyDescent="0.3">
      <c r="A1325" s="84">
        <v>903345</v>
      </c>
      <c r="B1325" s="87">
        <v>5.9166666666666661</v>
      </c>
      <c r="C1325" s="87"/>
      <c r="D1325" s="86">
        <v>8.3238095238095244</v>
      </c>
      <c r="E1325" s="99">
        <v>0.223</v>
      </c>
      <c r="F1325" s="87">
        <v>146.15</v>
      </c>
      <c r="G1325" s="83"/>
      <c r="H1325" s="84">
        <v>94.25</v>
      </c>
      <c r="I1325" s="83">
        <v>60</v>
      </c>
      <c r="J1325" s="83">
        <v>0.27100000000000002</v>
      </c>
      <c r="K1325" s="87">
        <v>7.11</v>
      </c>
      <c r="L1325" s="83">
        <v>260</v>
      </c>
      <c r="M1325" s="83">
        <v>1.1100000000000001</v>
      </c>
      <c r="N1325" s="83">
        <v>0.34</v>
      </c>
      <c r="O1325" s="83">
        <v>2.4500000000000002</v>
      </c>
      <c r="P1325" s="83">
        <v>3.55</v>
      </c>
      <c r="Q1325" s="83"/>
      <c r="R1325" s="86">
        <v>1.2550421543647052</v>
      </c>
      <c r="S1325" s="87">
        <v>8.5</v>
      </c>
      <c r="T1325" s="83"/>
      <c r="U1325" s="83"/>
      <c r="V1325" s="83"/>
      <c r="W1325" s="83"/>
      <c r="X1325" s="83"/>
      <c r="Y1325" s="185">
        <v>13</v>
      </c>
      <c r="Z1325" s="83"/>
      <c r="AA1325" s="86"/>
      <c r="AB1325" s="86"/>
      <c r="AC1325" s="83"/>
      <c r="AD1325" s="123">
        <v>260</v>
      </c>
      <c r="AE1325" s="83">
        <v>140</v>
      </c>
      <c r="AF1325" s="83">
        <v>600</v>
      </c>
      <c r="AG1325" s="66">
        <f t="shared" si="56"/>
        <v>193.61076923076928</v>
      </c>
      <c r="AH1325" s="143">
        <f t="shared" si="57"/>
        <v>1000</v>
      </c>
    </row>
    <row r="1326" spans="1:34" s="90" customFormat="1" x14ac:dyDescent="0.3">
      <c r="A1326" s="84">
        <v>903346</v>
      </c>
      <c r="B1326" s="87">
        <v>8.75</v>
      </c>
      <c r="C1326" s="87"/>
      <c r="D1326" s="86">
        <v>8.0666666666666664</v>
      </c>
      <c r="E1326" s="99">
        <v>0.245</v>
      </c>
      <c r="F1326" s="87">
        <v>182.85</v>
      </c>
      <c r="G1326" s="83"/>
      <c r="H1326" s="84">
        <v>80</v>
      </c>
      <c r="I1326" s="83">
        <v>50</v>
      </c>
      <c r="J1326" s="83">
        <v>0.20200000000000001</v>
      </c>
      <c r="K1326" s="87">
        <v>7.49</v>
      </c>
      <c r="L1326" s="83">
        <v>260</v>
      </c>
      <c r="M1326" s="83">
        <v>1.01</v>
      </c>
      <c r="N1326" s="83">
        <v>0.37</v>
      </c>
      <c r="O1326" s="83">
        <v>2.37</v>
      </c>
      <c r="P1326" s="83">
        <v>3.83</v>
      </c>
      <c r="Q1326" s="83"/>
      <c r="R1326" s="86">
        <v>1.4459693709285562</v>
      </c>
      <c r="S1326" s="87">
        <v>9.9</v>
      </c>
      <c r="T1326" s="83"/>
      <c r="U1326" s="83"/>
      <c r="V1326" s="83"/>
      <c r="W1326" s="83"/>
      <c r="X1326" s="83"/>
      <c r="Y1326" s="185">
        <v>16.8</v>
      </c>
      <c r="Z1326" s="83"/>
      <c r="AA1326" s="86"/>
      <c r="AB1326" s="86"/>
      <c r="AC1326" s="83"/>
      <c r="AD1326" s="123">
        <v>280</v>
      </c>
      <c r="AE1326" s="83">
        <v>140</v>
      </c>
      <c r="AF1326" s="83">
        <v>580</v>
      </c>
      <c r="AG1326" s="66">
        <f t="shared" si="56"/>
        <v>157.82499999999999</v>
      </c>
      <c r="AH1326" s="143">
        <f t="shared" si="57"/>
        <v>1000</v>
      </c>
    </row>
    <row r="1327" spans="1:34" s="90" customFormat="1" x14ac:dyDescent="0.3">
      <c r="A1327" s="84">
        <v>903347</v>
      </c>
      <c r="B1327" s="87">
        <v>10.666666666666668</v>
      </c>
      <c r="C1327" s="87">
        <v>3.9999999999999991</v>
      </c>
      <c r="D1327" s="86">
        <v>7.9238095238095241</v>
      </c>
      <c r="E1327" s="99">
        <v>0.20100000000000001</v>
      </c>
      <c r="F1327" s="87">
        <v>72.599999999999994</v>
      </c>
      <c r="G1327" s="83"/>
      <c r="H1327" s="84">
        <v>121.03</v>
      </c>
      <c r="I1327" s="83">
        <v>50</v>
      </c>
      <c r="J1327" s="83">
        <v>0.124</v>
      </c>
      <c r="K1327" s="87">
        <v>6.99</v>
      </c>
      <c r="L1327" s="83">
        <v>540</v>
      </c>
      <c r="M1327" s="83">
        <v>1.77</v>
      </c>
      <c r="N1327" s="83">
        <v>0.48</v>
      </c>
      <c r="O1327" s="83">
        <v>2.93</v>
      </c>
      <c r="P1327" s="83">
        <v>6.26</v>
      </c>
      <c r="Q1327" s="83"/>
      <c r="R1327" s="86">
        <v>1.839353</v>
      </c>
      <c r="S1327" s="87">
        <v>17.899999999999999</v>
      </c>
      <c r="T1327" s="83"/>
      <c r="U1327" s="83"/>
      <c r="V1327" s="83"/>
      <c r="W1327" s="83"/>
      <c r="X1327" s="83"/>
      <c r="Y1327" s="185">
        <v>18</v>
      </c>
      <c r="Z1327" s="83"/>
      <c r="AA1327" s="86"/>
      <c r="AB1327" s="86"/>
      <c r="AC1327" s="83"/>
      <c r="AD1327" s="123">
        <v>300</v>
      </c>
      <c r="AE1327" s="83">
        <v>120</v>
      </c>
      <c r="AF1327" s="83">
        <v>580</v>
      </c>
      <c r="AG1327" s="66">
        <f t="shared" si="56"/>
        <v>137.47</v>
      </c>
      <c r="AH1327" s="143">
        <f t="shared" si="57"/>
        <v>1000</v>
      </c>
    </row>
    <row r="1328" spans="1:34" s="90" customFormat="1" x14ac:dyDescent="0.3">
      <c r="A1328" s="84">
        <v>903348</v>
      </c>
      <c r="B1328" s="87">
        <v>7.9583333333333321</v>
      </c>
      <c r="C1328" s="87"/>
      <c r="D1328" s="86">
        <v>7.8857142857142843</v>
      </c>
      <c r="E1328" s="99">
        <v>0.17</v>
      </c>
      <c r="F1328" s="87">
        <v>71.399999999999991</v>
      </c>
      <c r="G1328" s="83"/>
      <c r="H1328" s="84">
        <v>173.01</v>
      </c>
      <c r="I1328" s="83">
        <v>60</v>
      </c>
      <c r="J1328" s="83">
        <v>6.4000000000000001E-2</v>
      </c>
      <c r="K1328" s="87">
        <v>6.93</v>
      </c>
      <c r="L1328" s="83">
        <v>800</v>
      </c>
      <c r="M1328" s="83">
        <v>3.62</v>
      </c>
      <c r="N1328" s="83">
        <v>0.84</v>
      </c>
      <c r="O1328" s="83">
        <v>2.81</v>
      </c>
      <c r="P1328" s="83">
        <v>7.86</v>
      </c>
      <c r="Q1328" s="83"/>
      <c r="R1328" s="86">
        <v>1.790297</v>
      </c>
      <c r="S1328" s="87">
        <v>16.299999999999997</v>
      </c>
      <c r="T1328" s="83"/>
      <c r="U1328" s="83"/>
      <c r="V1328" s="83"/>
      <c r="W1328" s="83"/>
      <c r="X1328" s="83"/>
      <c r="Y1328" s="185">
        <v>19.600000000000001</v>
      </c>
      <c r="Z1328" s="83"/>
      <c r="AA1328" s="86"/>
      <c r="AB1328" s="86"/>
      <c r="AC1328" s="83"/>
      <c r="AD1328" s="123">
        <v>280</v>
      </c>
      <c r="AE1328" s="83">
        <v>140</v>
      </c>
      <c r="AF1328" s="83">
        <v>580</v>
      </c>
      <c r="AG1328" s="66">
        <f t="shared" si="56"/>
        <v>125.1642857142857</v>
      </c>
      <c r="AH1328" s="143">
        <f t="shared" si="57"/>
        <v>1000</v>
      </c>
    </row>
    <row r="1329" spans="1:34" s="90" customFormat="1" x14ac:dyDescent="0.3">
      <c r="A1329" s="84">
        <v>903349</v>
      </c>
      <c r="B1329" s="87">
        <v>5</v>
      </c>
      <c r="C1329" s="87"/>
      <c r="D1329" s="86">
        <v>8.3047619047619055</v>
      </c>
      <c r="E1329" s="99">
        <v>0.34499999999999997</v>
      </c>
      <c r="F1329" s="87">
        <v>140.80000000000001</v>
      </c>
      <c r="G1329" s="83"/>
      <c r="H1329" s="84">
        <v>119.51</v>
      </c>
      <c r="I1329" s="83">
        <v>150</v>
      </c>
      <c r="J1329" s="83">
        <v>0.48699999999999999</v>
      </c>
      <c r="K1329" s="87">
        <v>7.67</v>
      </c>
      <c r="L1329" s="83">
        <v>660</v>
      </c>
      <c r="M1329" s="83">
        <v>3.76</v>
      </c>
      <c r="N1329" s="83">
        <v>1.97</v>
      </c>
      <c r="O1329" s="83">
        <v>3.46</v>
      </c>
      <c r="P1329" s="83">
        <v>5.46</v>
      </c>
      <c r="Q1329" s="83"/>
      <c r="R1329" s="86">
        <v>1.4022809198046882</v>
      </c>
      <c r="S1329" s="87">
        <v>10.1</v>
      </c>
      <c r="T1329" s="83"/>
      <c r="U1329" s="83"/>
      <c r="V1329" s="83"/>
      <c r="W1329" s="83"/>
      <c r="X1329" s="83"/>
      <c r="Y1329" s="185">
        <v>30.8</v>
      </c>
      <c r="Z1329" s="83"/>
      <c r="AA1329" s="86"/>
      <c r="AB1329" s="86"/>
      <c r="AC1329" s="83"/>
      <c r="AD1329" s="123">
        <v>440</v>
      </c>
      <c r="AE1329" s="83">
        <v>260</v>
      </c>
      <c r="AF1329" s="83">
        <v>300</v>
      </c>
      <c r="AG1329" s="66">
        <f t="shared" si="56"/>
        <v>88.15519480519481</v>
      </c>
      <c r="AH1329" s="143">
        <f t="shared" si="57"/>
        <v>1000</v>
      </c>
    </row>
    <row r="1330" spans="1:34" s="90" customFormat="1" x14ac:dyDescent="0.3">
      <c r="A1330" s="84">
        <v>903350</v>
      </c>
      <c r="B1330" s="87">
        <v>0.84999999999999987</v>
      </c>
      <c r="C1330" s="87"/>
      <c r="D1330" s="86">
        <v>8.1428571428571423</v>
      </c>
      <c r="E1330" s="99">
        <v>0.191</v>
      </c>
      <c r="F1330" s="87">
        <v>53.5</v>
      </c>
      <c r="G1330" s="83"/>
      <c r="H1330" s="84">
        <v>57.22</v>
      </c>
      <c r="I1330" s="83">
        <v>130</v>
      </c>
      <c r="J1330" s="83">
        <v>0.28699999999999998</v>
      </c>
      <c r="K1330" s="87">
        <v>7.03</v>
      </c>
      <c r="L1330" s="83">
        <v>570</v>
      </c>
      <c r="M1330" s="83">
        <v>2.65</v>
      </c>
      <c r="N1330" s="83">
        <v>2.48</v>
      </c>
      <c r="O1330" s="83">
        <v>3.3</v>
      </c>
      <c r="P1330" s="83">
        <v>5.31</v>
      </c>
      <c r="Q1330" s="83"/>
      <c r="R1330" s="86">
        <v>1.6369130000000001</v>
      </c>
      <c r="S1330" s="87">
        <v>11.899999999999999</v>
      </c>
      <c r="T1330" s="83"/>
      <c r="U1330" s="83"/>
      <c r="V1330" s="83"/>
      <c r="W1330" s="83"/>
      <c r="X1330" s="83"/>
      <c r="Y1330" s="185">
        <v>23</v>
      </c>
      <c r="Z1330" s="83"/>
      <c r="AA1330" s="86"/>
      <c r="AB1330" s="86"/>
      <c r="AC1330" s="83"/>
      <c r="AD1330" s="123">
        <v>460</v>
      </c>
      <c r="AE1330" s="83">
        <v>260</v>
      </c>
      <c r="AF1330" s="83">
        <v>280</v>
      </c>
      <c r="AG1330" s="66">
        <f t="shared" si="56"/>
        <v>108.2008695652174</v>
      </c>
      <c r="AH1330" s="143">
        <f t="shared" si="57"/>
        <v>1000</v>
      </c>
    </row>
    <row r="1331" spans="1:34" s="90" customFormat="1" x14ac:dyDescent="0.3">
      <c r="A1331" s="84">
        <v>903351</v>
      </c>
      <c r="B1331" s="87">
        <v>4.5</v>
      </c>
      <c r="C1331" s="87"/>
      <c r="D1331" s="86">
        <v>8.1142857142857139</v>
      </c>
      <c r="E1331" s="99">
        <v>0.18099999999999999</v>
      </c>
      <c r="F1331" s="87">
        <v>52.85</v>
      </c>
      <c r="G1331" s="83"/>
      <c r="H1331" s="84">
        <v>69.94</v>
      </c>
      <c r="I1331" s="83">
        <v>160</v>
      </c>
      <c r="J1331" s="83">
        <v>0.16700000000000001</v>
      </c>
      <c r="K1331" s="87">
        <v>7.6</v>
      </c>
      <c r="L1331" s="83">
        <v>760</v>
      </c>
      <c r="M1331" s="83">
        <v>4.47</v>
      </c>
      <c r="N1331" s="83">
        <v>0.88</v>
      </c>
      <c r="O1331" s="83">
        <v>6.56</v>
      </c>
      <c r="P1331" s="83">
        <v>5.3</v>
      </c>
      <c r="Q1331" s="83"/>
      <c r="R1331" s="86">
        <v>1.836392</v>
      </c>
      <c r="S1331" s="87">
        <v>17.8</v>
      </c>
      <c r="T1331" s="83"/>
      <c r="U1331" s="83"/>
      <c r="V1331" s="83"/>
      <c r="W1331" s="83"/>
      <c r="X1331" s="83"/>
      <c r="Y1331" s="185">
        <v>30</v>
      </c>
      <c r="Z1331" s="83"/>
      <c r="AA1331" s="86"/>
      <c r="AB1331" s="86"/>
      <c r="AC1331" s="83"/>
      <c r="AD1331" s="123">
        <v>500</v>
      </c>
      <c r="AE1331" s="83">
        <v>320</v>
      </c>
      <c r="AF1331" s="83">
        <v>180</v>
      </c>
      <c r="AG1331" s="66">
        <f t="shared" si="56"/>
        <v>89.68</v>
      </c>
      <c r="AH1331" s="143">
        <f t="shared" si="57"/>
        <v>1000</v>
      </c>
    </row>
    <row r="1332" spans="1:34" s="90" customFormat="1" x14ac:dyDescent="0.3">
      <c r="A1332" s="84">
        <v>903352</v>
      </c>
      <c r="B1332" s="87">
        <v>4.0555555555555554</v>
      </c>
      <c r="C1332" s="87"/>
      <c r="D1332" s="86">
        <v>8.1523809523809518</v>
      </c>
      <c r="E1332" s="99">
        <v>0.191</v>
      </c>
      <c r="F1332" s="87">
        <v>60</v>
      </c>
      <c r="G1332" s="83"/>
      <c r="H1332" s="84">
        <v>177.68</v>
      </c>
      <c r="I1332" s="83">
        <v>200</v>
      </c>
      <c r="J1332" s="83">
        <v>0.158</v>
      </c>
      <c r="K1332" s="87">
        <v>7.58</v>
      </c>
      <c r="L1332" s="83">
        <v>710</v>
      </c>
      <c r="M1332" s="83">
        <v>10.18</v>
      </c>
      <c r="N1332" s="83">
        <v>2.93</v>
      </c>
      <c r="O1332" s="83">
        <v>7.18</v>
      </c>
      <c r="P1332" s="83">
        <v>7.18</v>
      </c>
      <c r="Q1332" s="83"/>
      <c r="R1332" s="86">
        <v>1.9935</v>
      </c>
      <c r="S1332" s="87">
        <v>24</v>
      </c>
      <c r="T1332" s="83"/>
      <c r="U1332" s="83"/>
      <c r="V1332" s="83"/>
      <c r="W1332" s="83"/>
      <c r="X1332" s="83"/>
      <c r="Y1332" s="185">
        <v>29</v>
      </c>
      <c r="Z1332" s="83"/>
      <c r="AA1332" s="86"/>
      <c r="AB1332" s="86"/>
      <c r="AC1332" s="83"/>
      <c r="AD1332" s="123">
        <v>580</v>
      </c>
      <c r="AE1332" s="83">
        <v>280</v>
      </c>
      <c r="AF1332" s="83">
        <v>140</v>
      </c>
      <c r="AG1332" s="66">
        <f t="shared" si="56"/>
        <v>92.528275862068966</v>
      </c>
      <c r="AH1332" s="143">
        <f t="shared" si="57"/>
        <v>1000</v>
      </c>
    </row>
    <row r="1333" spans="1:34" s="90" customFormat="1" x14ac:dyDescent="0.3">
      <c r="A1333" s="84">
        <v>903354</v>
      </c>
      <c r="B1333" s="87">
        <v>35.5</v>
      </c>
      <c r="C1333" s="87">
        <v>9.625</v>
      </c>
      <c r="D1333" s="86">
        <v>7.4952380952380953</v>
      </c>
      <c r="E1333" s="99">
        <v>0.192</v>
      </c>
      <c r="F1333" s="87">
        <v>51</v>
      </c>
      <c r="G1333" s="83"/>
      <c r="H1333" s="84">
        <v>372.69</v>
      </c>
      <c r="I1333" s="83">
        <v>510</v>
      </c>
      <c r="J1333" s="83">
        <v>5.0999999999999997E-2</v>
      </c>
      <c r="K1333" s="87">
        <v>8.15</v>
      </c>
      <c r="L1333" s="83">
        <v>1950</v>
      </c>
      <c r="M1333" s="83">
        <v>1.72</v>
      </c>
      <c r="N1333" s="83">
        <v>6.06</v>
      </c>
      <c r="O1333" s="83">
        <v>12.54</v>
      </c>
      <c r="P1333" s="83">
        <v>13.69</v>
      </c>
      <c r="Q1333" s="83"/>
      <c r="R1333" s="86">
        <v>1.8681930000000002</v>
      </c>
      <c r="S1333" s="87">
        <v>18.899999999999999</v>
      </c>
      <c r="T1333" s="83"/>
      <c r="U1333" s="83"/>
      <c r="V1333" s="83"/>
      <c r="W1333" s="83"/>
      <c r="X1333" s="83"/>
      <c r="Y1333" s="185">
        <v>33.6</v>
      </c>
      <c r="Z1333" s="83"/>
      <c r="AA1333" s="86"/>
      <c r="AB1333" s="86"/>
      <c r="AC1333" s="83"/>
      <c r="AD1333" s="123">
        <v>560</v>
      </c>
      <c r="AE1333" s="83">
        <v>300</v>
      </c>
      <c r="AF1333" s="83">
        <v>140</v>
      </c>
      <c r="AG1333" s="66">
        <f t="shared" si="56"/>
        <v>85.866071428571431</v>
      </c>
      <c r="AH1333" s="143">
        <f t="shared" si="57"/>
        <v>1000</v>
      </c>
    </row>
    <row r="1334" spans="1:34" s="90" customFormat="1" x14ac:dyDescent="0.3">
      <c r="A1334" s="84">
        <v>903355</v>
      </c>
      <c r="B1334" s="87">
        <v>18.999999999999996</v>
      </c>
      <c r="C1334" s="87">
        <v>8.4999999999999982</v>
      </c>
      <c r="D1334" s="86">
        <v>7.6095238095238091</v>
      </c>
      <c r="E1334" s="99">
        <v>0.26600000000000001</v>
      </c>
      <c r="F1334" s="87">
        <v>48.5</v>
      </c>
      <c r="G1334" s="83"/>
      <c r="H1334" s="84">
        <v>878.84</v>
      </c>
      <c r="I1334" s="83">
        <v>1000</v>
      </c>
      <c r="J1334" s="83">
        <v>8.3000000000000004E-2</v>
      </c>
      <c r="K1334" s="87">
        <v>8.0500000000000007</v>
      </c>
      <c r="L1334" s="83">
        <v>2840</v>
      </c>
      <c r="M1334" s="83">
        <v>2.67</v>
      </c>
      <c r="N1334" s="83">
        <v>1.62</v>
      </c>
      <c r="O1334" s="83">
        <v>13.1</v>
      </c>
      <c r="P1334" s="83">
        <v>14.68</v>
      </c>
      <c r="Q1334" s="83"/>
      <c r="R1334" s="86">
        <v>2.0416250000000002</v>
      </c>
      <c r="S1334" s="87">
        <v>26.5</v>
      </c>
      <c r="T1334" s="83"/>
      <c r="U1334" s="83"/>
      <c r="V1334" s="83"/>
      <c r="W1334" s="83"/>
      <c r="X1334" s="83"/>
      <c r="Y1334" s="185">
        <v>29</v>
      </c>
      <c r="Z1334" s="83"/>
      <c r="AA1334" s="86"/>
      <c r="AB1334" s="86"/>
      <c r="AC1334" s="83"/>
      <c r="AD1334" s="123">
        <v>580</v>
      </c>
      <c r="AE1334" s="83">
        <v>300</v>
      </c>
      <c r="AF1334" s="83">
        <v>120</v>
      </c>
      <c r="AG1334" s="66">
        <f t="shared" si="56"/>
        <v>98.265517241379314</v>
      </c>
      <c r="AH1334" s="143">
        <f t="shared" si="57"/>
        <v>1000</v>
      </c>
    </row>
    <row r="1335" spans="1:34" s="90" customFormat="1" x14ac:dyDescent="0.3">
      <c r="A1335" s="84">
        <v>903356</v>
      </c>
      <c r="B1335" s="87">
        <v>35</v>
      </c>
      <c r="C1335" s="87">
        <v>9.8749999999999982</v>
      </c>
      <c r="D1335" s="86">
        <v>7.8190476190476197</v>
      </c>
      <c r="E1335" s="99">
        <v>0.30399999999999999</v>
      </c>
      <c r="F1335" s="87">
        <v>51.3</v>
      </c>
      <c r="G1335" s="83"/>
      <c r="H1335" s="84">
        <v>636.64</v>
      </c>
      <c r="I1335" s="83">
        <v>880</v>
      </c>
      <c r="J1335" s="83">
        <v>5.6000000000000001E-2</v>
      </c>
      <c r="K1335" s="87">
        <v>8.08</v>
      </c>
      <c r="L1335" s="83">
        <v>2130</v>
      </c>
      <c r="M1335" s="83">
        <v>3.76</v>
      </c>
      <c r="N1335" s="83">
        <v>3.9</v>
      </c>
      <c r="O1335" s="83">
        <v>12.96</v>
      </c>
      <c r="P1335" s="83">
        <v>14.68</v>
      </c>
      <c r="Q1335" s="83"/>
      <c r="R1335" s="86">
        <v>1.962728</v>
      </c>
      <c r="S1335" s="87">
        <v>22.599999999999998</v>
      </c>
      <c r="T1335" s="83"/>
      <c r="U1335" s="83"/>
      <c r="V1335" s="83"/>
      <c r="W1335" s="83"/>
      <c r="X1335" s="83"/>
      <c r="Y1335" s="185">
        <v>33.6</v>
      </c>
      <c r="Z1335" s="83"/>
      <c r="AA1335" s="86"/>
      <c r="AB1335" s="86"/>
      <c r="AC1335" s="83"/>
      <c r="AD1335" s="123">
        <v>560</v>
      </c>
      <c r="AE1335" s="83">
        <v>300</v>
      </c>
      <c r="AF1335" s="83">
        <v>140</v>
      </c>
      <c r="AG1335" s="66">
        <f t="shared" si="56"/>
        <v>85.128571428571433</v>
      </c>
      <c r="AH1335" s="143">
        <f t="shared" si="57"/>
        <v>1000</v>
      </c>
    </row>
    <row r="1336" spans="1:34" s="90" customFormat="1" x14ac:dyDescent="0.3">
      <c r="A1336" s="84">
        <v>903357</v>
      </c>
      <c r="B1336" s="87">
        <v>41.166666666666671</v>
      </c>
      <c r="C1336" s="87">
        <v>13.624999999999998</v>
      </c>
      <c r="D1336" s="86">
        <v>7.39047619047619</v>
      </c>
      <c r="E1336" s="99">
        <v>0.317</v>
      </c>
      <c r="F1336" s="87">
        <v>43.650000000000006</v>
      </c>
      <c r="G1336" s="83"/>
      <c r="H1336" s="84">
        <v>849.14</v>
      </c>
      <c r="I1336" s="83">
        <v>640</v>
      </c>
      <c r="J1336" s="83">
        <v>3.5999999999999997E-2</v>
      </c>
      <c r="K1336" s="87">
        <v>8.35</v>
      </c>
      <c r="L1336" s="83">
        <v>1870</v>
      </c>
      <c r="M1336" s="83">
        <v>0.97</v>
      </c>
      <c r="N1336" s="83">
        <v>1.77</v>
      </c>
      <c r="O1336" s="83">
        <v>6.19</v>
      </c>
      <c r="P1336" s="83">
        <v>14.25</v>
      </c>
      <c r="Q1336" s="83"/>
      <c r="R1336" s="86">
        <v>1.5982730000000001</v>
      </c>
      <c r="S1336" s="87">
        <v>10.9</v>
      </c>
      <c r="T1336" s="83"/>
      <c r="U1336" s="83"/>
      <c r="V1336" s="83"/>
      <c r="W1336" s="83"/>
      <c r="X1336" s="83"/>
      <c r="Y1336" s="185">
        <v>27</v>
      </c>
      <c r="Z1336" s="83"/>
      <c r="AA1336" s="86"/>
      <c r="AB1336" s="86"/>
      <c r="AC1336" s="83"/>
      <c r="AD1336" s="123">
        <v>540</v>
      </c>
      <c r="AE1336" s="83">
        <v>320</v>
      </c>
      <c r="AF1336" s="83">
        <v>140</v>
      </c>
      <c r="AG1336" s="66">
        <f t="shared" si="56"/>
        <v>109.47777777777776</v>
      </c>
      <c r="AH1336" s="143">
        <f t="shared" si="57"/>
        <v>1000</v>
      </c>
    </row>
    <row r="1337" spans="1:34" s="90" customFormat="1" x14ac:dyDescent="0.3">
      <c r="A1337" s="84">
        <v>903358</v>
      </c>
      <c r="B1337" s="87">
        <v>17.833333333333332</v>
      </c>
      <c r="C1337" s="87">
        <v>4.6249999999999991</v>
      </c>
      <c r="D1337" s="86">
        <v>7.980952380952381</v>
      </c>
      <c r="E1337" s="99">
        <v>0.188</v>
      </c>
      <c r="F1337" s="87">
        <v>48.35</v>
      </c>
      <c r="G1337" s="83"/>
      <c r="H1337" s="84">
        <v>57.32</v>
      </c>
      <c r="I1337" s="83">
        <v>590</v>
      </c>
      <c r="J1337" s="83">
        <v>7.2999999999999995E-2</v>
      </c>
      <c r="K1337" s="87">
        <v>11.88</v>
      </c>
      <c r="L1337" s="83">
        <v>1820</v>
      </c>
      <c r="M1337" s="83">
        <v>1.76</v>
      </c>
      <c r="N1337" s="83">
        <v>3.76</v>
      </c>
      <c r="O1337" s="83">
        <v>9.77</v>
      </c>
      <c r="P1337" s="83">
        <v>8.48</v>
      </c>
      <c r="Q1337" s="83"/>
      <c r="R1337" s="86">
        <v>1.8122</v>
      </c>
      <c r="S1337" s="87">
        <v>17</v>
      </c>
      <c r="T1337" s="83"/>
      <c r="U1337" s="83"/>
      <c r="V1337" s="83"/>
      <c r="W1337" s="83"/>
      <c r="X1337" s="83"/>
      <c r="Y1337" s="185">
        <v>30</v>
      </c>
      <c r="Z1337" s="83"/>
      <c r="AA1337" s="86"/>
      <c r="AB1337" s="86"/>
      <c r="AC1337" s="83"/>
      <c r="AD1337" s="123">
        <v>500</v>
      </c>
      <c r="AE1337" s="83">
        <v>340</v>
      </c>
      <c r="AF1337" s="83">
        <v>160</v>
      </c>
      <c r="AG1337" s="66">
        <f t="shared" si="56"/>
        <v>140.18400000000003</v>
      </c>
      <c r="AH1337" s="143">
        <f t="shared" si="57"/>
        <v>1000</v>
      </c>
    </row>
    <row r="1338" spans="1:34" s="90" customFormat="1" x14ac:dyDescent="0.3">
      <c r="A1338" s="84">
        <v>903359</v>
      </c>
      <c r="B1338" s="87">
        <v>15</v>
      </c>
      <c r="C1338" s="87">
        <v>2.6249999999999973</v>
      </c>
      <c r="D1338" s="86">
        <v>8.0761904761904759</v>
      </c>
      <c r="E1338" s="99">
        <v>0.152</v>
      </c>
      <c r="F1338" s="87">
        <v>45.650000000000006</v>
      </c>
      <c r="G1338" s="83"/>
      <c r="H1338" s="84">
        <v>64.28</v>
      </c>
      <c r="I1338" s="83">
        <v>590</v>
      </c>
      <c r="J1338" s="83">
        <v>6.8000000000000005E-2</v>
      </c>
      <c r="K1338" s="87">
        <v>11.11</v>
      </c>
      <c r="L1338" s="83">
        <v>1730</v>
      </c>
      <c r="M1338" s="83">
        <v>1.69</v>
      </c>
      <c r="N1338" s="83">
        <v>3.47</v>
      </c>
      <c r="O1338" s="83">
        <v>6.03</v>
      </c>
      <c r="P1338" s="83">
        <v>8.34</v>
      </c>
      <c r="Q1338" s="83"/>
      <c r="R1338" s="86">
        <v>1.8568250000000002</v>
      </c>
      <c r="S1338" s="87">
        <v>18.5</v>
      </c>
      <c r="T1338" s="83"/>
      <c r="U1338" s="83"/>
      <c r="V1338" s="83"/>
      <c r="W1338" s="83"/>
      <c r="X1338" s="83"/>
      <c r="Y1338" s="185">
        <v>26</v>
      </c>
      <c r="Z1338" s="83"/>
      <c r="AA1338" s="86"/>
      <c r="AB1338" s="86"/>
      <c r="AC1338" s="83"/>
      <c r="AD1338" s="123">
        <v>520</v>
      </c>
      <c r="AE1338" s="83">
        <v>340</v>
      </c>
      <c r="AF1338" s="83">
        <v>140</v>
      </c>
      <c r="AG1338" s="66">
        <f t="shared" si="56"/>
        <v>151.26692307692309</v>
      </c>
      <c r="AH1338" s="143">
        <f t="shared" si="57"/>
        <v>1000</v>
      </c>
    </row>
    <row r="1339" spans="1:34" s="90" customFormat="1" x14ac:dyDescent="0.3">
      <c r="A1339" s="84">
        <v>903360</v>
      </c>
      <c r="B1339" s="87">
        <v>8.6666666666666679</v>
      </c>
      <c r="C1339" s="87"/>
      <c r="D1339" s="86">
        <v>8.4761904761904763</v>
      </c>
      <c r="E1339" s="99">
        <v>0.249</v>
      </c>
      <c r="F1339" s="87">
        <v>62.699999999999996</v>
      </c>
      <c r="G1339" s="83"/>
      <c r="H1339" s="84">
        <v>12.52</v>
      </c>
      <c r="I1339" s="83">
        <v>530</v>
      </c>
      <c r="J1339" s="83">
        <v>0.93799999999999994</v>
      </c>
      <c r="K1339" s="87">
        <v>8.27</v>
      </c>
      <c r="L1339" s="83">
        <v>2530</v>
      </c>
      <c r="M1339" s="83">
        <v>0.39</v>
      </c>
      <c r="N1339" s="83">
        <v>2.12</v>
      </c>
      <c r="O1339" s="83">
        <v>11.59</v>
      </c>
      <c r="P1339" s="83">
        <v>7.51</v>
      </c>
      <c r="Q1339" s="83"/>
      <c r="R1339" s="86">
        <v>1.7410520000000003</v>
      </c>
      <c r="S1339" s="87">
        <v>14.8</v>
      </c>
      <c r="T1339" s="83"/>
      <c r="U1339" s="83"/>
      <c r="V1339" s="83"/>
      <c r="W1339" s="83"/>
      <c r="X1339" s="83"/>
      <c r="Y1339" s="185">
        <v>18</v>
      </c>
      <c r="Z1339" s="83"/>
      <c r="AA1339" s="86"/>
      <c r="AB1339" s="86"/>
      <c r="AC1339" s="83"/>
      <c r="AD1339" s="123">
        <v>360</v>
      </c>
      <c r="AE1339" s="83">
        <v>300</v>
      </c>
      <c r="AF1339" s="83">
        <v>340</v>
      </c>
      <c r="AG1339" s="66">
        <f t="shared" si="56"/>
        <v>162.64333333333332</v>
      </c>
      <c r="AH1339" s="143">
        <f t="shared" si="57"/>
        <v>1000</v>
      </c>
    </row>
    <row r="1340" spans="1:34" s="90" customFormat="1" x14ac:dyDescent="0.3">
      <c r="A1340" s="84">
        <v>903361</v>
      </c>
      <c r="B1340" s="87">
        <v>18.333333333333336</v>
      </c>
      <c r="C1340" s="87">
        <v>8.125</v>
      </c>
      <c r="D1340" s="86">
        <v>8.1428571428571423</v>
      </c>
      <c r="E1340" s="99">
        <v>0.23300000000000001</v>
      </c>
      <c r="F1340" s="87">
        <v>53.9</v>
      </c>
      <c r="G1340" s="83"/>
      <c r="H1340" s="84">
        <v>45.84</v>
      </c>
      <c r="I1340" s="83">
        <v>740</v>
      </c>
      <c r="J1340" s="83">
        <v>7.9000000000000001E-2</v>
      </c>
      <c r="K1340" s="87">
        <v>7.91</v>
      </c>
      <c r="L1340" s="83">
        <v>3030</v>
      </c>
      <c r="M1340" s="83">
        <v>1.63</v>
      </c>
      <c r="N1340" s="83">
        <v>3.05</v>
      </c>
      <c r="O1340" s="83">
        <v>9.31</v>
      </c>
      <c r="P1340" s="83">
        <v>9.82</v>
      </c>
      <c r="Q1340" s="83"/>
      <c r="R1340" s="86">
        <v>1.9604250000000003</v>
      </c>
      <c r="S1340" s="87">
        <v>22.5</v>
      </c>
      <c r="T1340" s="83"/>
      <c r="U1340" s="83"/>
      <c r="V1340" s="83"/>
      <c r="W1340" s="83"/>
      <c r="X1340" s="83"/>
      <c r="Y1340" s="185">
        <v>19</v>
      </c>
      <c r="Z1340" s="83"/>
      <c r="AA1340" s="86"/>
      <c r="AB1340" s="86"/>
      <c r="AC1340" s="83"/>
      <c r="AD1340" s="123">
        <v>380</v>
      </c>
      <c r="AE1340" s="83">
        <v>300</v>
      </c>
      <c r="AF1340" s="83">
        <v>320</v>
      </c>
      <c r="AG1340" s="66">
        <f t="shared" si="56"/>
        <v>147.37578947368419</v>
      </c>
      <c r="AH1340" s="143">
        <f t="shared" si="57"/>
        <v>1000</v>
      </c>
    </row>
    <row r="1341" spans="1:34" s="90" customFormat="1" x14ac:dyDescent="0.3">
      <c r="A1341" s="84">
        <v>903362</v>
      </c>
      <c r="B1341" s="87">
        <v>0.26666666666666666</v>
      </c>
      <c r="C1341" s="87"/>
      <c r="D1341" s="86">
        <v>7.6857142857142859</v>
      </c>
      <c r="E1341" s="99">
        <v>7.2999999999999995E-2</v>
      </c>
      <c r="F1341" s="87">
        <v>45.4</v>
      </c>
      <c r="G1341" s="83"/>
      <c r="H1341" s="84">
        <v>47.16</v>
      </c>
      <c r="I1341" s="83">
        <v>120</v>
      </c>
      <c r="J1341" s="83">
        <v>3.9E-2</v>
      </c>
      <c r="K1341" s="87">
        <v>3.54</v>
      </c>
      <c r="L1341" s="83">
        <v>180</v>
      </c>
      <c r="M1341" s="83">
        <v>0.91</v>
      </c>
      <c r="N1341" s="83">
        <v>0.95</v>
      </c>
      <c r="O1341" s="83">
        <v>12.01</v>
      </c>
      <c r="P1341" s="83">
        <v>26.5</v>
      </c>
      <c r="Q1341" s="83"/>
      <c r="R1341" s="86">
        <v>1.8152730000000001</v>
      </c>
      <c r="S1341" s="87">
        <v>17.100000000000001</v>
      </c>
      <c r="T1341" s="83"/>
      <c r="U1341" s="83"/>
      <c r="V1341" s="83"/>
      <c r="W1341" s="83"/>
      <c r="X1341" s="83"/>
      <c r="Y1341" s="185">
        <v>11</v>
      </c>
      <c r="Z1341" s="83"/>
      <c r="AA1341" s="86"/>
      <c r="AB1341" s="86"/>
      <c r="AC1341" s="83"/>
      <c r="AD1341" s="123">
        <v>220</v>
      </c>
      <c r="AE1341" s="83">
        <v>80</v>
      </c>
      <c r="AF1341" s="83">
        <v>700</v>
      </c>
      <c r="AG1341" s="66">
        <f t="shared" si="56"/>
        <v>113.92363636363638</v>
      </c>
      <c r="AH1341" s="143">
        <f t="shared" si="57"/>
        <v>1000</v>
      </c>
    </row>
    <row r="1342" spans="1:34" s="90" customFormat="1" x14ac:dyDescent="0.3">
      <c r="A1342" s="84">
        <v>903363</v>
      </c>
      <c r="B1342" s="87">
        <v>0.66666666666666663</v>
      </c>
      <c r="C1342" s="87"/>
      <c r="D1342" s="86">
        <v>7.7619047619047619</v>
      </c>
      <c r="E1342" s="99">
        <v>0.72199999999999998</v>
      </c>
      <c r="F1342" s="87">
        <v>74.75</v>
      </c>
      <c r="G1342" s="83"/>
      <c r="H1342" s="84">
        <v>27.67</v>
      </c>
      <c r="I1342" s="83">
        <v>550</v>
      </c>
      <c r="J1342" s="83">
        <v>9.1999999999999998E-2</v>
      </c>
      <c r="K1342" s="87">
        <v>8.1199999999999992</v>
      </c>
      <c r="L1342" s="83">
        <v>4270</v>
      </c>
      <c r="M1342" s="83">
        <v>1.89</v>
      </c>
      <c r="N1342" s="83">
        <v>2.71</v>
      </c>
      <c r="O1342" s="83">
        <v>2.4700000000000002</v>
      </c>
      <c r="P1342" s="83">
        <v>15.9</v>
      </c>
      <c r="Q1342" s="83"/>
      <c r="R1342" s="86">
        <v>1.720472</v>
      </c>
      <c r="S1342" s="87">
        <v>14.2</v>
      </c>
      <c r="T1342" s="83"/>
      <c r="U1342" s="83"/>
      <c r="V1342" s="83"/>
      <c r="W1342" s="83"/>
      <c r="X1342" s="83"/>
      <c r="Y1342" s="185">
        <v>22.9</v>
      </c>
      <c r="Z1342" s="83"/>
      <c r="AA1342" s="86"/>
      <c r="AB1342" s="86"/>
      <c r="AC1342" s="83"/>
      <c r="AD1342" s="123">
        <v>600</v>
      </c>
      <c r="AE1342" s="83">
        <v>300</v>
      </c>
      <c r="AF1342" s="83">
        <v>100</v>
      </c>
      <c r="AG1342" s="66">
        <f t="shared" si="56"/>
        <v>125.52314410480348</v>
      </c>
      <c r="AH1342" s="143">
        <f t="shared" si="57"/>
        <v>1000</v>
      </c>
    </row>
    <row r="1343" spans="1:34" s="90" customFormat="1" x14ac:dyDescent="0.3">
      <c r="A1343" s="84">
        <v>903364</v>
      </c>
      <c r="B1343" s="87">
        <v>42</v>
      </c>
      <c r="C1343" s="87">
        <v>13.375</v>
      </c>
      <c r="D1343" s="86">
        <v>8.1142857142857139</v>
      </c>
      <c r="E1343" s="99">
        <v>0.34799999999999998</v>
      </c>
      <c r="F1343" s="87">
        <v>64.349999999999994</v>
      </c>
      <c r="G1343" s="83"/>
      <c r="H1343" s="84">
        <v>122.55</v>
      </c>
      <c r="I1343" s="83">
        <v>290</v>
      </c>
      <c r="J1343" s="83">
        <v>6.7000000000000004E-2</v>
      </c>
      <c r="K1343" s="87">
        <v>8.15</v>
      </c>
      <c r="L1343" s="83">
        <v>960</v>
      </c>
      <c r="M1343" s="83">
        <v>1.17</v>
      </c>
      <c r="N1343" s="83">
        <v>0.55000000000000004</v>
      </c>
      <c r="O1343" s="83">
        <v>3.29</v>
      </c>
      <c r="P1343" s="83">
        <v>8.32</v>
      </c>
      <c r="Q1343" s="83"/>
      <c r="R1343" s="86">
        <v>1.7444330000000001</v>
      </c>
      <c r="S1343" s="87">
        <v>14.9</v>
      </c>
      <c r="T1343" s="83"/>
      <c r="U1343" s="83"/>
      <c r="V1343" s="83"/>
      <c r="W1343" s="83"/>
      <c r="X1343" s="83"/>
      <c r="Y1343" s="185">
        <v>32.4</v>
      </c>
      <c r="Z1343" s="83"/>
      <c r="AA1343" s="86"/>
      <c r="AB1343" s="86"/>
      <c r="AC1343" s="83"/>
      <c r="AD1343" s="123">
        <v>540</v>
      </c>
      <c r="AE1343" s="83">
        <v>180</v>
      </c>
      <c r="AF1343" s="83">
        <v>280</v>
      </c>
      <c r="AG1343" s="66">
        <f t="shared" si="56"/>
        <v>89.046296296296305</v>
      </c>
      <c r="AH1343" s="143">
        <f t="shared" si="57"/>
        <v>1000</v>
      </c>
    </row>
    <row r="1344" spans="1:34" s="90" customFormat="1" x14ac:dyDescent="0.3">
      <c r="A1344" s="84">
        <v>903365</v>
      </c>
      <c r="B1344" s="87">
        <v>18.5</v>
      </c>
      <c r="C1344" s="87">
        <v>8.375</v>
      </c>
      <c r="D1344" s="86">
        <v>8.21904761904762</v>
      </c>
      <c r="E1344" s="1525">
        <v>0.51700000000000002</v>
      </c>
      <c r="F1344" s="87">
        <v>442.75</v>
      </c>
      <c r="G1344" s="83"/>
      <c r="H1344" s="84">
        <v>23.75</v>
      </c>
      <c r="I1344" s="83">
        <v>70</v>
      </c>
      <c r="J1344" s="83">
        <v>0.34200000000000003</v>
      </c>
      <c r="K1344" s="87">
        <v>6.88</v>
      </c>
      <c r="L1344" s="83">
        <v>360</v>
      </c>
      <c r="M1344" s="83">
        <v>0.04</v>
      </c>
      <c r="N1344" s="83">
        <v>0.06</v>
      </c>
      <c r="O1344" s="83">
        <v>0.17</v>
      </c>
      <c r="P1344" s="83">
        <v>0.77</v>
      </c>
      <c r="Q1344" s="83"/>
      <c r="R1344" s="86">
        <v>0.21516233709381163</v>
      </c>
      <c r="S1344" s="87">
        <v>1.4000000000000001</v>
      </c>
      <c r="T1344" s="83"/>
      <c r="U1344" s="83"/>
      <c r="V1344" s="83"/>
      <c r="W1344" s="83"/>
      <c r="X1344" s="83"/>
      <c r="Y1344" s="185">
        <v>6</v>
      </c>
      <c r="Z1344" s="83"/>
      <c r="AA1344" s="86"/>
      <c r="AB1344" s="86"/>
      <c r="AC1344" s="83"/>
      <c r="AD1344" s="123">
        <v>100</v>
      </c>
      <c r="AE1344" s="83">
        <v>180</v>
      </c>
      <c r="AF1344" s="83">
        <v>720</v>
      </c>
      <c r="AG1344" s="66">
        <f t="shared" si="56"/>
        <v>405.92</v>
      </c>
      <c r="AH1344" s="143">
        <f t="shared" si="57"/>
        <v>1000</v>
      </c>
    </row>
    <row r="1345" spans="1:34" s="90" customFormat="1" x14ac:dyDescent="0.3">
      <c r="A1345" s="84">
        <v>903366</v>
      </c>
      <c r="B1345" s="87">
        <v>24.25</v>
      </c>
      <c r="C1345" s="87">
        <v>3.3749999999999991</v>
      </c>
      <c r="D1345" s="86">
        <v>8.1999999999999993</v>
      </c>
      <c r="E1345" s="99">
        <v>0.36</v>
      </c>
      <c r="F1345" s="87">
        <v>146.25</v>
      </c>
      <c r="G1345" s="83"/>
      <c r="H1345" s="84">
        <v>164.63</v>
      </c>
      <c r="I1345" s="83">
        <v>210</v>
      </c>
      <c r="J1345" s="83">
        <v>0.152</v>
      </c>
      <c r="K1345" s="87">
        <v>8.81</v>
      </c>
      <c r="L1345" s="83">
        <v>430</v>
      </c>
      <c r="M1345" s="83">
        <v>1.26</v>
      </c>
      <c r="N1345" s="83">
        <v>0.35</v>
      </c>
      <c r="O1345" s="83">
        <v>1.71</v>
      </c>
      <c r="P1345" s="83">
        <v>3.94</v>
      </c>
      <c r="Q1345" s="83"/>
      <c r="R1345" s="86">
        <v>0.42483070867059491</v>
      </c>
      <c r="S1345" s="87">
        <v>3</v>
      </c>
      <c r="T1345" s="83"/>
      <c r="U1345" s="83"/>
      <c r="V1345" s="83"/>
      <c r="W1345" s="83"/>
      <c r="X1345" s="83"/>
      <c r="Y1345" s="185">
        <v>8</v>
      </c>
      <c r="Z1345" s="83"/>
      <c r="AA1345" s="86"/>
      <c r="AB1345" s="86"/>
      <c r="AC1345" s="83"/>
      <c r="AD1345" s="123">
        <v>160</v>
      </c>
      <c r="AE1345" s="83">
        <v>100</v>
      </c>
      <c r="AF1345" s="83">
        <v>740</v>
      </c>
      <c r="AG1345" s="66">
        <f t="shared" si="56"/>
        <v>389.84250000000003</v>
      </c>
      <c r="AH1345" s="143">
        <f t="shared" si="57"/>
        <v>1000</v>
      </c>
    </row>
    <row r="1346" spans="1:34" s="90" customFormat="1" x14ac:dyDescent="0.3">
      <c r="A1346" s="84">
        <v>903367</v>
      </c>
      <c r="B1346" s="87">
        <v>18.416666666666668</v>
      </c>
      <c r="C1346" s="87">
        <v>5.125</v>
      </c>
      <c r="D1346" s="86">
        <v>7.9904761904761905</v>
      </c>
      <c r="E1346" s="99">
        <v>1.36</v>
      </c>
      <c r="F1346" s="87">
        <v>849.59999999999991</v>
      </c>
      <c r="G1346" s="83"/>
      <c r="H1346" s="84">
        <v>176.46</v>
      </c>
      <c r="I1346" s="83">
        <v>1020</v>
      </c>
      <c r="J1346" s="83">
        <v>0.79600000000000004</v>
      </c>
      <c r="K1346" s="87">
        <v>9.18</v>
      </c>
      <c r="L1346" s="83">
        <v>940</v>
      </c>
      <c r="M1346" s="83">
        <v>2.8</v>
      </c>
      <c r="N1346" s="83">
        <v>0.68</v>
      </c>
      <c r="O1346" s="83">
        <v>3.85</v>
      </c>
      <c r="P1346" s="83">
        <v>6.84</v>
      </c>
      <c r="Q1346" s="83"/>
      <c r="R1346" s="86">
        <v>0.89400727889886999</v>
      </c>
      <c r="S1346" s="87">
        <v>5.8999999999999995</v>
      </c>
      <c r="T1346" s="83"/>
      <c r="U1346" s="83"/>
      <c r="V1346" s="83"/>
      <c r="W1346" s="83"/>
      <c r="X1346" s="83"/>
      <c r="Y1346" s="185">
        <v>10.8</v>
      </c>
      <c r="Z1346" s="83"/>
      <c r="AA1346" s="86"/>
      <c r="AB1346" s="86"/>
      <c r="AC1346" s="83"/>
      <c r="AD1346" s="123">
        <v>180</v>
      </c>
      <c r="AE1346" s="83">
        <v>100</v>
      </c>
      <c r="AF1346" s="83">
        <v>720</v>
      </c>
      <c r="AG1346" s="66">
        <f t="shared" ref="AG1346:AG1409" si="58">+K1346*3.54*100/Y1346</f>
        <v>300.89999999999998</v>
      </c>
      <c r="AH1346" s="143">
        <f t="shared" ref="AH1346:AH1409" si="59">+SUM(AD1346:AF1346)</f>
        <v>1000</v>
      </c>
    </row>
    <row r="1347" spans="1:34" s="90" customFormat="1" x14ac:dyDescent="0.3">
      <c r="A1347" s="84">
        <v>903368</v>
      </c>
      <c r="B1347" s="87">
        <v>17.5</v>
      </c>
      <c r="C1347" s="87">
        <v>4.375</v>
      </c>
      <c r="D1347" s="86">
        <v>7.980952380952381</v>
      </c>
      <c r="E1347" s="99">
        <v>0.77600000000000002</v>
      </c>
      <c r="F1347" s="87">
        <v>503.9</v>
      </c>
      <c r="G1347" s="83"/>
      <c r="H1347" s="84">
        <v>142.07</v>
      </c>
      <c r="I1347" s="83">
        <v>540</v>
      </c>
      <c r="J1347" s="83">
        <v>0.497</v>
      </c>
      <c r="K1347" s="87">
        <v>8.8800000000000008</v>
      </c>
      <c r="L1347" s="83">
        <v>870</v>
      </c>
      <c r="M1347" s="83">
        <v>1.8</v>
      </c>
      <c r="N1347" s="83">
        <v>0.82</v>
      </c>
      <c r="O1347" s="83">
        <v>3.23</v>
      </c>
      <c r="P1347" s="83">
        <v>5.38</v>
      </c>
      <c r="Q1347" s="83"/>
      <c r="R1347" s="86">
        <v>1.182182867008823</v>
      </c>
      <c r="S1347" s="87">
        <v>8.1999999999999993</v>
      </c>
      <c r="T1347" s="83"/>
      <c r="U1347" s="83"/>
      <c r="V1347" s="83"/>
      <c r="W1347" s="83"/>
      <c r="X1347" s="83"/>
      <c r="Y1347" s="185">
        <v>10.8</v>
      </c>
      <c r="Z1347" s="83"/>
      <c r="AA1347" s="86"/>
      <c r="AB1347" s="86"/>
      <c r="AC1347" s="83"/>
      <c r="AD1347" s="123">
        <v>180</v>
      </c>
      <c r="AE1347" s="83">
        <v>80</v>
      </c>
      <c r="AF1347" s="83">
        <v>740</v>
      </c>
      <c r="AG1347" s="66">
        <f t="shared" si="58"/>
        <v>291.06666666666666</v>
      </c>
      <c r="AH1347" s="143">
        <f t="shared" si="59"/>
        <v>1000</v>
      </c>
    </row>
    <row r="1348" spans="1:34" s="90" customFormat="1" x14ac:dyDescent="0.3">
      <c r="A1348" s="84">
        <v>903369</v>
      </c>
      <c r="B1348" s="87">
        <v>35.666666666666664</v>
      </c>
      <c r="C1348" s="87">
        <v>11.624999999999998</v>
      </c>
      <c r="D1348" s="86">
        <v>7.7523809523809524</v>
      </c>
      <c r="E1348" s="99">
        <v>0.317</v>
      </c>
      <c r="F1348" s="84">
        <v>99.9</v>
      </c>
      <c r="G1348" s="83"/>
      <c r="H1348" s="84">
        <v>662.96</v>
      </c>
      <c r="I1348" s="83">
        <v>670</v>
      </c>
      <c r="J1348" s="83">
        <v>0.105</v>
      </c>
      <c r="K1348" s="87">
        <v>10.07</v>
      </c>
      <c r="L1348" s="83">
        <v>920</v>
      </c>
      <c r="M1348" s="83">
        <v>4.67</v>
      </c>
      <c r="N1348" s="83">
        <v>6.61</v>
      </c>
      <c r="O1348" s="83">
        <v>7.43</v>
      </c>
      <c r="P1348" s="83">
        <v>16.98</v>
      </c>
      <c r="Q1348" s="83"/>
      <c r="R1348" s="86">
        <v>2.038097</v>
      </c>
      <c r="S1348" s="83">
        <v>26.299999999999997</v>
      </c>
      <c r="T1348" s="83"/>
      <c r="U1348" s="83"/>
      <c r="V1348" s="83"/>
      <c r="W1348" s="83"/>
      <c r="X1348" s="83"/>
      <c r="Y1348" s="185">
        <v>25</v>
      </c>
      <c r="Z1348" s="83"/>
      <c r="AA1348" s="86"/>
      <c r="AB1348" s="86"/>
      <c r="AC1348" s="83"/>
      <c r="AD1348" s="123">
        <v>500</v>
      </c>
      <c r="AE1348" s="83">
        <v>400</v>
      </c>
      <c r="AF1348" s="83">
        <v>100</v>
      </c>
      <c r="AG1348" s="66">
        <f t="shared" si="58"/>
        <v>142.59120000000001</v>
      </c>
      <c r="AH1348" s="143">
        <f t="shared" si="59"/>
        <v>1000</v>
      </c>
    </row>
    <row r="1349" spans="1:34" s="90" customFormat="1" x14ac:dyDescent="0.3">
      <c r="A1349" s="84">
        <v>903370</v>
      </c>
      <c r="B1349" s="87">
        <v>34.5</v>
      </c>
      <c r="C1349" s="87">
        <v>10.625</v>
      </c>
      <c r="D1349" s="86">
        <v>7.666666666666667</v>
      </c>
      <c r="E1349" s="99">
        <v>0.44</v>
      </c>
      <c r="F1349" s="84">
        <v>264.85000000000002</v>
      </c>
      <c r="G1349" s="83"/>
      <c r="H1349" s="84">
        <v>314.88</v>
      </c>
      <c r="I1349" s="83">
        <v>740</v>
      </c>
      <c r="J1349" s="83">
        <v>7.1999999999999995E-2</v>
      </c>
      <c r="K1349" s="87">
        <v>8.52</v>
      </c>
      <c r="L1349" s="83">
        <v>760</v>
      </c>
      <c r="M1349" s="83">
        <v>4.3499999999999996</v>
      </c>
      <c r="N1349" s="83">
        <v>5.66</v>
      </c>
      <c r="O1349" s="83">
        <v>9.5500000000000007</v>
      </c>
      <c r="P1349" s="83">
        <v>23.38</v>
      </c>
      <c r="Q1349" s="83"/>
      <c r="R1349" s="86">
        <v>1.9892720000000002</v>
      </c>
      <c r="S1349" s="83">
        <v>23.799999999999997</v>
      </c>
      <c r="T1349" s="83"/>
      <c r="U1349" s="83"/>
      <c r="V1349" s="83"/>
      <c r="W1349" s="83"/>
      <c r="X1349" s="83"/>
      <c r="Y1349" s="185">
        <v>26</v>
      </c>
      <c r="Z1349" s="83"/>
      <c r="AA1349" s="86"/>
      <c r="AB1349" s="86"/>
      <c r="AC1349" s="83"/>
      <c r="AD1349" s="123">
        <v>520</v>
      </c>
      <c r="AE1349" s="83">
        <v>380</v>
      </c>
      <c r="AF1349" s="83">
        <v>100</v>
      </c>
      <c r="AG1349" s="66">
        <f t="shared" si="58"/>
        <v>116.00307692307692</v>
      </c>
      <c r="AH1349" s="143">
        <f t="shared" si="59"/>
        <v>1000</v>
      </c>
    </row>
    <row r="1350" spans="1:34" s="90" customFormat="1" x14ac:dyDescent="0.3">
      <c r="A1350" s="84">
        <v>903371</v>
      </c>
      <c r="B1350" s="87">
        <v>26.666666666666668</v>
      </c>
      <c r="C1350" s="87">
        <v>12.75</v>
      </c>
      <c r="D1350" s="86">
        <v>8.019047619047619</v>
      </c>
      <c r="E1350" s="99">
        <v>0.30199999999999999</v>
      </c>
      <c r="F1350" s="84">
        <v>129</v>
      </c>
      <c r="G1350" s="83"/>
      <c r="H1350" s="84">
        <v>45.54</v>
      </c>
      <c r="I1350" s="83">
        <v>640</v>
      </c>
      <c r="J1350" s="83">
        <v>0.311</v>
      </c>
      <c r="K1350" s="87">
        <v>11.24</v>
      </c>
      <c r="L1350" s="83">
        <v>1130</v>
      </c>
      <c r="M1350" s="83">
        <v>0.71</v>
      </c>
      <c r="N1350" s="83">
        <v>0.85</v>
      </c>
      <c r="O1350" s="83">
        <v>2.42</v>
      </c>
      <c r="P1350" s="83">
        <v>7.62</v>
      </c>
      <c r="Q1350" s="83"/>
      <c r="R1350" s="86">
        <v>1.8122</v>
      </c>
      <c r="S1350" s="83">
        <v>17</v>
      </c>
      <c r="T1350" s="83"/>
      <c r="U1350" s="83"/>
      <c r="V1350" s="83"/>
      <c r="W1350" s="83"/>
      <c r="X1350" s="83"/>
      <c r="Y1350" s="185">
        <v>40.6</v>
      </c>
      <c r="Z1350" s="83"/>
      <c r="AA1350" s="86"/>
      <c r="AB1350" s="86"/>
      <c r="AC1350" s="83"/>
      <c r="AD1350" s="123">
        <v>580</v>
      </c>
      <c r="AE1350" s="83">
        <v>300</v>
      </c>
      <c r="AF1350" s="83">
        <v>120</v>
      </c>
      <c r="AG1350" s="66">
        <f t="shared" si="58"/>
        <v>98.00394088669951</v>
      </c>
      <c r="AH1350" s="143">
        <f t="shared" si="59"/>
        <v>1000</v>
      </c>
    </row>
    <row r="1351" spans="1:34" s="90" customFormat="1" x14ac:dyDescent="0.3">
      <c r="A1351" s="84">
        <v>903372</v>
      </c>
      <c r="B1351" s="87">
        <v>28.333333333333332</v>
      </c>
      <c r="C1351" s="87">
        <v>12.125</v>
      </c>
      <c r="D1351" s="86">
        <v>8.2666666666666657</v>
      </c>
      <c r="E1351" s="99">
        <v>0.187</v>
      </c>
      <c r="F1351" s="84">
        <v>51.449999999999996</v>
      </c>
      <c r="G1351" s="83"/>
      <c r="H1351" s="84">
        <v>31.22</v>
      </c>
      <c r="I1351" s="83">
        <v>480</v>
      </c>
      <c r="J1351" s="83">
        <v>0.29599999999999999</v>
      </c>
      <c r="K1351" s="87">
        <v>11.53</v>
      </c>
      <c r="L1351" s="83">
        <v>1070</v>
      </c>
      <c r="M1351" s="83">
        <v>0.59</v>
      </c>
      <c r="N1351" s="83">
        <v>0.76</v>
      </c>
      <c r="O1351" s="83">
        <v>2.16</v>
      </c>
      <c r="P1351" s="83">
        <v>6.8</v>
      </c>
      <c r="Q1351" s="83"/>
      <c r="R1351" s="86">
        <v>1.3138251217252823</v>
      </c>
      <c r="S1351" s="83">
        <v>9.1</v>
      </c>
      <c r="T1351" s="83"/>
      <c r="U1351" s="83"/>
      <c r="V1351" s="83"/>
      <c r="W1351" s="83"/>
      <c r="X1351" s="83"/>
      <c r="Y1351" s="185">
        <v>30</v>
      </c>
      <c r="Z1351" s="83"/>
      <c r="AA1351" s="86"/>
      <c r="AB1351" s="86"/>
      <c r="AC1351" s="83"/>
      <c r="AD1351" s="123">
        <v>600</v>
      </c>
      <c r="AE1351" s="83">
        <v>300</v>
      </c>
      <c r="AF1351" s="83">
        <v>100</v>
      </c>
      <c r="AG1351" s="66">
        <f t="shared" si="58"/>
        <v>136.05399999999997</v>
      </c>
      <c r="AH1351" s="143">
        <f t="shared" si="59"/>
        <v>1000</v>
      </c>
    </row>
    <row r="1352" spans="1:34" s="90" customFormat="1" x14ac:dyDescent="0.3">
      <c r="A1352" s="84">
        <v>903373</v>
      </c>
      <c r="B1352" s="87">
        <v>33.166666666666664</v>
      </c>
      <c r="C1352" s="87">
        <v>9</v>
      </c>
      <c r="D1352" s="86">
        <v>8.2761904761904752</v>
      </c>
      <c r="E1352" s="99">
        <v>0.36299999999999999</v>
      </c>
      <c r="F1352" s="84">
        <v>229.05</v>
      </c>
      <c r="G1352" s="83"/>
      <c r="H1352" s="84">
        <v>48.15</v>
      </c>
      <c r="I1352" s="83">
        <v>230</v>
      </c>
      <c r="J1352" s="83">
        <v>0.56999999999999995</v>
      </c>
      <c r="K1352" s="87">
        <v>8.27</v>
      </c>
      <c r="L1352" s="83">
        <v>920</v>
      </c>
      <c r="M1352" s="83">
        <v>2.41</v>
      </c>
      <c r="N1352" s="83">
        <v>2.75</v>
      </c>
      <c r="O1352" s="83">
        <v>1.99</v>
      </c>
      <c r="P1352" s="83">
        <v>18.829999999999998</v>
      </c>
      <c r="Q1352" s="83"/>
      <c r="R1352" s="86">
        <v>1.30539325767446</v>
      </c>
      <c r="S1352" s="83">
        <v>8.6</v>
      </c>
      <c r="T1352" s="83"/>
      <c r="U1352" s="83"/>
      <c r="V1352" s="83"/>
      <c r="W1352" s="83"/>
      <c r="X1352" s="83"/>
      <c r="Y1352" s="185">
        <v>28</v>
      </c>
      <c r="Z1352" s="83"/>
      <c r="AA1352" s="86"/>
      <c r="AB1352" s="86"/>
      <c r="AC1352" s="83"/>
      <c r="AD1352" s="123">
        <v>560</v>
      </c>
      <c r="AE1352" s="83">
        <v>340</v>
      </c>
      <c r="AF1352" s="83">
        <v>100</v>
      </c>
      <c r="AG1352" s="66">
        <f t="shared" si="58"/>
        <v>104.55642857142857</v>
      </c>
      <c r="AH1352" s="143">
        <f t="shared" si="59"/>
        <v>1000</v>
      </c>
    </row>
    <row r="1353" spans="1:34" s="90" customFormat="1" x14ac:dyDescent="0.3">
      <c r="A1353" s="84">
        <v>903374</v>
      </c>
      <c r="B1353" s="87">
        <v>34.166666666666664</v>
      </c>
      <c r="C1353" s="87">
        <v>10.875</v>
      </c>
      <c r="D1353" s="86">
        <v>8.3333333333333321</v>
      </c>
      <c r="E1353" s="99">
        <v>0.26300000000000001</v>
      </c>
      <c r="F1353" s="84">
        <v>105.1</v>
      </c>
      <c r="G1353" s="83"/>
      <c r="H1353" s="84">
        <v>52.83</v>
      </c>
      <c r="I1353" s="83">
        <v>210</v>
      </c>
      <c r="J1353" s="83">
        <v>0.29899999999999999</v>
      </c>
      <c r="K1353" s="87">
        <v>8.0299999999999994</v>
      </c>
      <c r="L1353" s="83">
        <v>880</v>
      </c>
      <c r="M1353" s="83">
        <v>2.5</v>
      </c>
      <c r="N1353" s="83">
        <v>3.09</v>
      </c>
      <c r="O1353" s="83">
        <v>2.06</v>
      </c>
      <c r="P1353" s="83">
        <v>18.96</v>
      </c>
      <c r="Q1353" s="83"/>
      <c r="R1353" s="86">
        <v>1.1270819541359318</v>
      </c>
      <c r="S1353" s="83">
        <v>7.4</v>
      </c>
      <c r="T1353" s="83"/>
      <c r="U1353" s="83"/>
      <c r="V1353" s="83"/>
      <c r="W1353" s="83"/>
      <c r="X1353" s="83"/>
      <c r="Y1353" s="185">
        <v>29.8</v>
      </c>
      <c r="Z1353" s="83"/>
      <c r="AA1353" s="86"/>
      <c r="AB1353" s="86"/>
      <c r="AC1353" s="83"/>
      <c r="AD1353" s="123">
        <v>580</v>
      </c>
      <c r="AE1353" s="83">
        <v>340</v>
      </c>
      <c r="AF1353" s="83">
        <v>80</v>
      </c>
      <c r="AG1353" s="66">
        <f t="shared" si="58"/>
        <v>95.389932885906035</v>
      </c>
      <c r="AH1353" s="143">
        <f t="shared" si="59"/>
        <v>1000</v>
      </c>
    </row>
    <row r="1354" spans="1:34" s="90" customFormat="1" x14ac:dyDescent="0.3">
      <c r="A1354" s="84">
        <v>903375</v>
      </c>
      <c r="B1354" s="87">
        <v>24.166666666666668</v>
      </c>
      <c r="C1354" s="87">
        <v>12.125</v>
      </c>
      <c r="D1354" s="86">
        <v>8.4666666666666668</v>
      </c>
      <c r="E1354" s="99">
        <v>0.22</v>
      </c>
      <c r="F1354" s="84">
        <v>61.3</v>
      </c>
      <c r="G1354" s="83"/>
      <c r="H1354" s="84">
        <v>42.43</v>
      </c>
      <c r="I1354" s="83">
        <v>520</v>
      </c>
      <c r="J1354" s="83">
        <v>0.54200000000000004</v>
      </c>
      <c r="K1354" s="87">
        <v>11.77</v>
      </c>
      <c r="L1354" s="83">
        <v>1860</v>
      </c>
      <c r="M1354" s="83">
        <v>0.56999999999999995</v>
      </c>
      <c r="N1354" s="83">
        <v>1.01</v>
      </c>
      <c r="O1354" s="83">
        <v>3.02</v>
      </c>
      <c r="P1354" s="83">
        <v>9.7899999999999991</v>
      </c>
      <c r="Q1354" s="83"/>
      <c r="R1354" s="86">
        <v>1.6778</v>
      </c>
      <c r="S1354" s="83">
        <v>13</v>
      </c>
      <c r="T1354" s="83"/>
      <c r="U1354" s="83"/>
      <c r="V1354" s="83"/>
      <c r="W1354" s="83"/>
      <c r="X1354" s="83"/>
      <c r="Y1354" s="185">
        <v>37.6</v>
      </c>
      <c r="Z1354" s="83"/>
      <c r="AA1354" s="86"/>
      <c r="AB1354" s="86"/>
      <c r="AC1354" s="83"/>
      <c r="AD1354" s="123">
        <v>680</v>
      </c>
      <c r="AE1354" s="83">
        <v>240</v>
      </c>
      <c r="AF1354" s="83">
        <v>80</v>
      </c>
      <c r="AG1354" s="66">
        <f t="shared" si="58"/>
        <v>110.81329787234041</v>
      </c>
      <c r="AH1354" s="143">
        <f t="shared" si="59"/>
        <v>1000</v>
      </c>
    </row>
    <row r="1355" spans="1:34" s="90" customFormat="1" x14ac:dyDescent="0.3">
      <c r="A1355" s="84">
        <v>903376</v>
      </c>
      <c r="B1355" s="87">
        <v>32</v>
      </c>
      <c r="C1355" s="87">
        <v>10.374999999999998</v>
      </c>
      <c r="D1355" s="86">
        <v>8.1619047619047613</v>
      </c>
      <c r="E1355" s="99">
        <v>0.52900000000000003</v>
      </c>
      <c r="F1355" s="84">
        <v>373.75</v>
      </c>
      <c r="G1355" s="83"/>
      <c r="H1355" s="84">
        <v>57.62</v>
      </c>
      <c r="I1355" s="83">
        <v>290</v>
      </c>
      <c r="J1355" s="83">
        <v>0.73399999999999999</v>
      </c>
      <c r="K1355" s="87">
        <v>8.16</v>
      </c>
      <c r="L1355" s="83">
        <v>1080</v>
      </c>
      <c r="M1355" s="83">
        <v>2.75</v>
      </c>
      <c r="N1355" s="83">
        <v>2.92</v>
      </c>
      <c r="O1355" s="83">
        <v>1.54</v>
      </c>
      <c r="P1355" s="83">
        <v>19.510000000000002</v>
      </c>
      <c r="Q1355" s="83"/>
      <c r="R1355" s="86">
        <v>0.73221856429801269</v>
      </c>
      <c r="S1355" s="83">
        <v>5.0999999999999996</v>
      </c>
      <c r="T1355" s="83"/>
      <c r="U1355" s="83"/>
      <c r="V1355" s="83"/>
      <c r="W1355" s="83"/>
      <c r="X1355" s="83"/>
      <c r="Y1355" s="185">
        <v>33.6</v>
      </c>
      <c r="Z1355" s="83"/>
      <c r="AA1355" s="86"/>
      <c r="AB1355" s="86"/>
      <c r="AC1355" s="83"/>
      <c r="AD1355" s="123">
        <v>560</v>
      </c>
      <c r="AE1355" s="83">
        <v>340</v>
      </c>
      <c r="AF1355" s="83">
        <v>100</v>
      </c>
      <c r="AG1355" s="66">
        <f t="shared" si="58"/>
        <v>85.971428571428575</v>
      </c>
      <c r="AH1355" s="143">
        <f t="shared" si="59"/>
        <v>1000</v>
      </c>
    </row>
    <row r="1356" spans="1:34" s="90" customFormat="1" x14ac:dyDescent="0.3">
      <c r="A1356" s="84">
        <v>903377</v>
      </c>
      <c r="B1356" s="87">
        <v>4.833333333333333</v>
      </c>
      <c r="C1356" s="87"/>
      <c r="D1356" s="86">
        <v>7.9428571428571422</v>
      </c>
      <c r="E1356" s="99">
        <v>0.65800000000000003</v>
      </c>
      <c r="F1356" s="84">
        <v>630.6</v>
      </c>
      <c r="G1356" s="83"/>
      <c r="H1356" s="84">
        <v>30.92</v>
      </c>
      <c r="I1356" s="83">
        <v>160</v>
      </c>
      <c r="J1356" s="83">
        <v>0.53200000000000003</v>
      </c>
      <c r="K1356" s="87">
        <v>7.24</v>
      </c>
      <c r="L1356" s="83">
        <v>820</v>
      </c>
      <c r="M1356" s="83">
        <v>0.65</v>
      </c>
      <c r="N1356" s="83">
        <v>0.94</v>
      </c>
      <c r="O1356" s="83">
        <v>4.5999999999999996</v>
      </c>
      <c r="P1356" s="83">
        <v>3.36</v>
      </c>
      <c r="Q1356" s="83"/>
      <c r="R1356" s="86">
        <v>0.95268655750092501</v>
      </c>
      <c r="S1356" s="83">
        <v>7</v>
      </c>
      <c r="T1356" s="83"/>
      <c r="U1356" s="83"/>
      <c r="V1356" s="83"/>
      <c r="W1356" s="83"/>
      <c r="X1356" s="83"/>
      <c r="Y1356" s="120">
        <v>25</v>
      </c>
      <c r="Z1356" s="123"/>
      <c r="AA1356" s="121"/>
      <c r="AB1356" s="121"/>
      <c r="AC1356" s="123"/>
      <c r="AD1356" s="123">
        <v>500</v>
      </c>
      <c r="AE1356" s="123">
        <v>360</v>
      </c>
      <c r="AF1356" s="123">
        <v>140</v>
      </c>
      <c r="AG1356" s="66">
        <f t="shared" si="58"/>
        <v>102.5184</v>
      </c>
      <c r="AH1356" s="143">
        <f t="shared" si="59"/>
        <v>1000</v>
      </c>
    </row>
    <row r="1357" spans="1:34" s="90" customFormat="1" x14ac:dyDescent="0.3">
      <c r="A1357" s="84">
        <v>903378</v>
      </c>
      <c r="B1357" s="87">
        <v>4.416666666666667</v>
      </c>
      <c r="C1357" s="87"/>
      <c r="D1357" s="86">
        <v>8.2761904761904752</v>
      </c>
      <c r="E1357" s="99">
        <v>0.27900000000000003</v>
      </c>
      <c r="F1357" s="84">
        <v>195.15</v>
      </c>
      <c r="G1357" s="83"/>
      <c r="H1357" s="84">
        <v>22.59</v>
      </c>
      <c r="I1357" s="83">
        <v>120</v>
      </c>
      <c r="J1357" s="83">
        <v>0.28599999999999998</v>
      </c>
      <c r="K1357" s="87">
        <v>7.23</v>
      </c>
      <c r="L1357" s="83">
        <v>800</v>
      </c>
      <c r="M1357" s="83">
        <v>0.37</v>
      </c>
      <c r="N1357" s="83">
        <v>1.02</v>
      </c>
      <c r="O1357" s="83">
        <v>3.98</v>
      </c>
      <c r="P1357" s="83">
        <v>3.53</v>
      </c>
      <c r="Q1357" s="83"/>
      <c r="R1357" s="86">
        <v>0.7832002488662505</v>
      </c>
      <c r="S1357" s="83">
        <v>5.5</v>
      </c>
      <c r="T1357" s="83"/>
      <c r="U1357" s="83"/>
      <c r="V1357" s="83"/>
      <c r="W1357" s="83"/>
      <c r="X1357" s="83"/>
      <c r="Y1357" s="120">
        <v>21.2</v>
      </c>
      <c r="Z1357" s="123"/>
      <c r="AA1357" s="121"/>
      <c r="AB1357" s="121"/>
      <c r="AC1357" s="123"/>
      <c r="AD1357" s="123">
        <v>520</v>
      </c>
      <c r="AE1357" s="123">
        <v>340</v>
      </c>
      <c r="AF1357" s="123">
        <v>140</v>
      </c>
      <c r="AG1357" s="66">
        <f t="shared" si="58"/>
        <v>120.72735849056605</v>
      </c>
      <c r="AH1357" s="143">
        <f t="shared" si="59"/>
        <v>1000</v>
      </c>
    </row>
    <row r="1358" spans="1:34" s="90" customFormat="1" x14ac:dyDescent="0.3">
      <c r="A1358" s="84">
        <v>903379</v>
      </c>
      <c r="B1358" s="87">
        <v>10</v>
      </c>
      <c r="C1358" s="87"/>
      <c r="D1358" s="86">
        <v>8.2571428571428562</v>
      </c>
      <c r="E1358" s="99">
        <v>0.26200000000000001</v>
      </c>
      <c r="F1358" s="84">
        <v>105.95</v>
      </c>
      <c r="G1358" s="83"/>
      <c r="H1358" s="84">
        <v>97.03</v>
      </c>
      <c r="I1358" s="83">
        <v>310</v>
      </c>
      <c r="J1358" s="83">
        <v>0.109</v>
      </c>
      <c r="K1358" s="87">
        <v>7.92</v>
      </c>
      <c r="L1358" s="83">
        <v>1380</v>
      </c>
      <c r="M1358" s="83">
        <v>2.85</v>
      </c>
      <c r="N1358" s="83">
        <v>1.03</v>
      </c>
      <c r="O1358" s="83">
        <v>4.6399999999999997</v>
      </c>
      <c r="P1358" s="83">
        <v>4.5199999999999996</v>
      </c>
      <c r="Q1358" s="83"/>
      <c r="R1358" s="86">
        <v>1.6886570000000001</v>
      </c>
      <c r="S1358" s="83">
        <v>13.3</v>
      </c>
      <c r="T1358" s="83"/>
      <c r="U1358" s="83"/>
      <c r="V1358" s="83"/>
      <c r="W1358" s="83"/>
      <c r="X1358" s="83"/>
      <c r="Y1358" s="120">
        <v>20.6</v>
      </c>
      <c r="Z1358" s="123"/>
      <c r="AA1358" s="121"/>
      <c r="AB1358" s="121"/>
      <c r="AC1358" s="123"/>
      <c r="AD1358" s="123">
        <v>580</v>
      </c>
      <c r="AE1358" s="123">
        <v>320</v>
      </c>
      <c r="AF1358" s="123">
        <v>100</v>
      </c>
      <c r="AG1358" s="66">
        <f t="shared" si="58"/>
        <v>136.10097087378639</v>
      </c>
      <c r="AH1358" s="143">
        <f t="shared" si="59"/>
        <v>1000</v>
      </c>
    </row>
    <row r="1359" spans="1:34" s="90" customFormat="1" x14ac:dyDescent="0.3">
      <c r="A1359" s="84">
        <v>903380</v>
      </c>
      <c r="B1359" s="87">
        <v>9.4166666666666661</v>
      </c>
      <c r="C1359" s="87"/>
      <c r="D1359" s="86">
        <v>8.295238095238096</v>
      </c>
      <c r="E1359" s="99">
        <v>0.23100000000000001</v>
      </c>
      <c r="F1359" s="84">
        <v>97.35</v>
      </c>
      <c r="G1359" s="83"/>
      <c r="H1359" s="84">
        <v>190.42</v>
      </c>
      <c r="I1359" s="83">
        <v>410</v>
      </c>
      <c r="J1359" s="83">
        <v>0.108</v>
      </c>
      <c r="K1359" s="87">
        <v>7.87</v>
      </c>
      <c r="L1359" s="83">
        <v>1580</v>
      </c>
      <c r="M1359" s="83">
        <v>3.1</v>
      </c>
      <c r="N1359" s="83">
        <v>1.04</v>
      </c>
      <c r="O1359" s="83">
        <v>5.0199999999999996</v>
      </c>
      <c r="P1359" s="83">
        <v>5.72</v>
      </c>
      <c r="Q1359" s="83"/>
      <c r="R1359" s="86">
        <v>0.90795073566252582</v>
      </c>
      <c r="S1359" s="83">
        <v>6</v>
      </c>
      <c r="T1359" s="83"/>
      <c r="U1359" s="83"/>
      <c r="V1359" s="83"/>
      <c r="W1359" s="83"/>
      <c r="X1359" s="83"/>
      <c r="Y1359" s="185">
        <v>27</v>
      </c>
      <c r="Z1359" s="83"/>
      <c r="AA1359" s="86"/>
      <c r="AB1359" s="86"/>
      <c r="AC1359" s="83"/>
      <c r="AD1359" s="123">
        <v>540</v>
      </c>
      <c r="AE1359" s="83">
        <v>320</v>
      </c>
      <c r="AF1359" s="83">
        <v>140</v>
      </c>
      <c r="AG1359" s="66">
        <f t="shared" si="58"/>
        <v>103.18444444444445</v>
      </c>
      <c r="AH1359" s="143">
        <f t="shared" si="59"/>
        <v>1000</v>
      </c>
    </row>
    <row r="1360" spans="1:34" s="90" customFormat="1" x14ac:dyDescent="0.3">
      <c r="A1360" s="84">
        <v>903381</v>
      </c>
      <c r="B1360" s="87">
        <v>10.166666666666666</v>
      </c>
      <c r="C1360" s="87"/>
      <c r="D1360" s="86">
        <v>8.3523809523809511</v>
      </c>
      <c r="E1360" s="99">
        <v>0.19700000000000001</v>
      </c>
      <c r="F1360" s="84">
        <v>71.150000000000006</v>
      </c>
      <c r="G1360" s="83"/>
      <c r="H1360" s="84">
        <v>42.6</v>
      </c>
      <c r="I1360" s="83">
        <v>320</v>
      </c>
      <c r="J1360" s="83">
        <v>0.10199999999999999</v>
      </c>
      <c r="K1360" s="87">
        <v>8.09</v>
      </c>
      <c r="L1360" s="83">
        <v>1360</v>
      </c>
      <c r="M1360" s="83">
        <v>1.78</v>
      </c>
      <c r="N1360" s="83">
        <v>0.93</v>
      </c>
      <c r="O1360" s="83">
        <v>4.5</v>
      </c>
      <c r="P1360" s="83">
        <v>3.35</v>
      </c>
      <c r="Q1360" s="83"/>
      <c r="R1360" s="86">
        <v>1.2538223484384312</v>
      </c>
      <c r="S1360" s="83">
        <v>8.4</v>
      </c>
      <c r="T1360" s="83"/>
      <c r="U1360" s="83"/>
      <c r="V1360" s="83"/>
      <c r="W1360" s="83"/>
      <c r="X1360" s="83"/>
      <c r="Y1360" s="185">
        <v>31.2</v>
      </c>
      <c r="Z1360" s="83"/>
      <c r="AA1360" s="86"/>
      <c r="AB1360" s="86"/>
      <c r="AC1360" s="83"/>
      <c r="AD1360" s="123">
        <v>520</v>
      </c>
      <c r="AE1360" s="83">
        <v>350</v>
      </c>
      <c r="AF1360" s="83">
        <v>130</v>
      </c>
      <c r="AG1360" s="66">
        <f t="shared" si="58"/>
        <v>91.790384615384625</v>
      </c>
      <c r="AH1360" s="143">
        <f t="shared" si="59"/>
        <v>1000</v>
      </c>
    </row>
    <row r="1361" spans="1:34" s="90" customFormat="1" x14ac:dyDescent="0.3">
      <c r="A1361" s="84">
        <v>903382</v>
      </c>
      <c r="B1361" s="87">
        <v>64.999999999999986</v>
      </c>
      <c r="C1361" s="87">
        <v>15.875</v>
      </c>
      <c r="D1361" s="86">
        <v>8.3142857142857149</v>
      </c>
      <c r="E1361" s="99">
        <v>0.127</v>
      </c>
      <c r="F1361" s="84">
        <v>36</v>
      </c>
      <c r="G1361" s="83"/>
      <c r="H1361" s="84">
        <v>19.21</v>
      </c>
      <c r="I1361" s="83">
        <v>180</v>
      </c>
      <c r="J1361" s="83">
        <v>3.7999999999999999E-2</v>
      </c>
      <c r="K1361" s="87">
        <v>13.68</v>
      </c>
      <c r="L1361" s="83">
        <v>340</v>
      </c>
      <c r="M1361" s="83">
        <v>0.27</v>
      </c>
      <c r="N1361" s="83">
        <v>0.68</v>
      </c>
      <c r="O1361" s="83">
        <v>0.64</v>
      </c>
      <c r="P1361" s="83">
        <v>6.33</v>
      </c>
      <c r="Q1361" s="83"/>
      <c r="R1361" s="86">
        <v>0.32011785856845493</v>
      </c>
      <c r="S1361" s="83">
        <v>2.4</v>
      </c>
      <c r="T1361" s="83"/>
      <c r="U1361" s="83"/>
      <c r="V1361" s="83"/>
      <c r="W1361" s="83"/>
      <c r="X1361" s="83"/>
      <c r="Y1361" s="185">
        <v>42</v>
      </c>
      <c r="Z1361" s="83"/>
      <c r="AA1361" s="86"/>
      <c r="AB1361" s="86"/>
      <c r="AC1361" s="83"/>
      <c r="AD1361" s="123">
        <v>600</v>
      </c>
      <c r="AE1361" s="83">
        <v>300</v>
      </c>
      <c r="AF1361" s="83">
        <v>100</v>
      </c>
      <c r="AG1361" s="66">
        <f t="shared" si="58"/>
        <v>115.30285714285715</v>
      </c>
      <c r="AH1361" s="143">
        <f t="shared" si="59"/>
        <v>1000</v>
      </c>
    </row>
    <row r="1362" spans="1:34" s="90" customFormat="1" x14ac:dyDescent="0.3">
      <c r="A1362" s="84">
        <v>903383</v>
      </c>
      <c r="B1362" s="87">
        <v>65.666666666666657</v>
      </c>
      <c r="C1362" s="87">
        <v>16.875</v>
      </c>
      <c r="D1362" s="86">
        <v>8.3047619047619055</v>
      </c>
      <c r="E1362" s="99">
        <v>0.11899999999999999</v>
      </c>
      <c r="F1362" s="84">
        <v>31.95</v>
      </c>
      <c r="G1362" s="83"/>
      <c r="H1362" s="84">
        <v>11.91</v>
      </c>
      <c r="I1362" s="83">
        <v>170</v>
      </c>
      <c r="J1362" s="83">
        <v>0.04</v>
      </c>
      <c r="K1362" s="87">
        <v>14.02</v>
      </c>
      <c r="L1362" s="83">
        <v>320</v>
      </c>
      <c r="M1362" s="83">
        <v>0.31</v>
      </c>
      <c r="N1362" s="83">
        <v>0.65</v>
      </c>
      <c r="O1362" s="83">
        <v>0.83</v>
      </c>
      <c r="P1362" s="83">
        <v>6.3</v>
      </c>
      <c r="Q1362" s="83"/>
      <c r="R1362" s="86">
        <v>0.61411266786215679</v>
      </c>
      <c r="S1362" s="83">
        <v>4.5</v>
      </c>
      <c r="T1362" s="83"/>
      <c r="U1362" s="83"/>
      <c r="V1362" s="83"/>
      <c r="W1362" s="83"/>
      <c r="X1362" s="83"/>
      <c r="Y1362" s="185">
        <v>31</v>
      </c>
      <c r="Z1362" s="83"/>
      <c r="AA1362" s="86"/>
      <c r="AB1362" s="86"/>
      <c r="AC1362" s="83"/>
      <c r="AD1362" s="123">
        <v>620</v>
      </c>
      <c r="AE1362" s="83">
        <v>280</v>
      </c>
      <c r="AF1362" s="83">
        <v>100</v>
      </c>
      <c r="AG1362" s="66">
        <f t="shared" si="58"/>
        <v>160.09935483870967</v>
      </c>
      <c r="AH1362" s="143">
        <f t="shared" si="59"/>
        <v>1000</v>
      </c>
    </row>
    <row r="1363" spans="1:34" s="90" customFormat="1" x14ac:dyDescent="0.3">
      <c r="A1363" s="84">
        <v>903384</v>
      </c>
      <c r="B1363" s="87">
        <v>0.2166666666666667</v>
      </c>
      <c r="C1363" s="87"/>
      <c r="D1363" s="86">
        <v>8</v>
      </c>
      <c r="E1363" s="99">
        <v>5.1999999999999998E-2</v>
      </c>
      <c r="F1363" s="84">
        <v>58.3</v>
      </c>
      <c r="G1363" s="83"/>
      <c r="H1363" s="84">
        <v>22.25</v>
      </c>
      <c r="I1363" s="83">
        <v>60</v>
      </c>
      <c r="J1363" s="83">
        <v>5.1999999999999998E-2</v>
      </c>
      <c r="K1363" s="87">
        <v>1.71</v>
      </c>
      <c r="L1363" s="83">
        <v>100</v>
      </c>
      <c r="M1363" s="83">
        <v>0.17</v>
      </c>
      <c r="N1363" s="83">
        <v>0.59</v>
      </c>
      <c r="O1363" s="83">
        <v>19.57</v>
      </c>
      <c r="P1363" s="83">
        <v>19.3</v>
      </c>
      <c r="Q1363" s="83"/>
      <c r="R1363" s="86">
        <v>0.2721468941802862</v>
      </c>
      <c r="S1363" s="83">
        <v>1.7999999999999998</v>
      </c>
      <c r="T1363" s="83"/>
      <c r="U1363" s="83"/>
      <c r="V1363" s="83"/>
      <c r="W1363" s="83"/>
      <c r="X1363" s="83"/>
      <c r="Y1363" s="185">
        <v>3</v>
      </c>
      <c r="Z1363" s="83"/>
      <c r="AA1363" s="86"/>
      <c r="AB1363" s="86"/>
      <c r="AC1363" s="83"/>
      <c r="AD1363" s="123">
        <v>100</v>
      </c>
      <c r="AE1363" s="83">
        <v>60</v>
      </c>
      <c r="AF1363" s="83">
        <v>840</v>
      </c>
      <c r="AG1363" s="66">
        <f t="shared" si="58"/>
        <v>201.78</v>
      </c>
      <c r="AH1363" s="143">
        <f t="shared" si="59"/>
        <v>1000</v>
      </c>
    </row>
    <row r="1364" spans="1:34" s="90" customFormat="1" x14ac:dyDescent="0.3">
      <c r="A1364" s="84">
        <v>903385</v>
      </c>
      <c r="B1364" s="87">
        <v>75</v>
      </c>
      <c r="C1364" s="87">
        <v>14.749999999999998</v>
      </c>
      <c r="D1364" s="86">
        <v>8.2476190476190467</v>
      </c>
      <c r="E1364" s="99">
        <v>0.35399999999999998</v>
      </c>
      <c r="F1364" s="84">
        <v>192.54999999999998</v>
      </c>
      <c r="G1364" s="83"/>
      <c r="H1364" s="84">
        <v>8.67</v>
      </c>
      <c r="I1364" s="83">
        <v>260</v>
      </c>
      <c r="J1364" s="83">
        <v>0.24299999999999999</v>
      </c>
      <c r="K1364" s="87">
        <v>9.8800000000000008</v>
      </c>
      <c r="L1364" s="83">
        <v>930</v>
      </c>
      <c r="M1364" s="83">
        <v>0.1</v>
      </c>
      <c r="N1364" s="83">
        <v>0.37</v>
      </c>
      <c r="O1364" s="83">
        <v>0.82</v>
      </c>
      <c r="P1364" s="83">
        <v>1.76</v>
      </c>
      <c r="Q1364" s="83"/>
      <c r="R1364" s="86">
        <v>1.2217374949973026</v>
      </c>
      <c r="S1364" s="83">
        <v>8</v>
      </c>
      <c r="T1364" s="83"/>
      <c r="U1364" s="83"/>
      <c r="V1364" s="83"/>
      <c r="W1364" s="83"/>
      <c r="X1364" s="83"/>
      <c r="Y1364" s="185">
        <v>16.8</v>
      </c>
      <c r="Z1364" s="83"/>
      <c r="AA1364" s="86"/>
      <c r="AB1364" s="86"/>
      <c r="AC1364" s="83"/>
      <c r="AD1364" s="123">
        <v>240</v>
      </c>
      <c r="AE1364" s="83">
        <v>400</v>
      </c>
      <c r="AF1364" s="83">
        <v>360</v>
      </c>
      <c r="AG1364" s="66">
        <f t="shared" si="58"/>
        <v>208.18571428571428</v>
      </c>
      <c r="AH1364" s="143">
        <f t="shared" si="59"/>
        <v>1000</v>
      </c>
    </row>
    <row r="1365" spans="1:34" s="90" customFormat="1" x14ac:dyDescent="0.3">
      <c r="A1365" s="84">
        <v>903386</v>
      </c>
      <c r="B1365" s="87">
        <v>65.666666666666657</v>
      </c>
      <c r="C1365" s="87">
        <v>16.125</v>
      </c>
      <c r="D1365" s="86">
        <v>8.2476190476190467</v>
      </c>
      <c r="E1365" s="99">
        <v>0.79300000000000004</v>
      </c>
      <c r="F1365" s="84">
        <v>583.45000000000005</v>
      </c>
      <c r="G1365" s="83"/>
      <c r="H1365" s="84">
        <v>10.78</v>
      </c>
      <c r="I1365" s="83">
        <v>260</v>
      </c>
      <c r="J1365" s="83">
        <v>0.59799999999999998</v>
      </c>
      <c r="K1365" s="87">
        <v>9.68</v>
      </c>
      <c r="L1365" s="83">
        <v>770</v>
      </c>
      <c r="M1365" s="83">
        <v>0.14000000000000001</v>
      </c>
      <c r="N1365" s="83">
        <v>0.42</v>
      </c>
      <c r="O1365" s="83">
        <v>1.97</v>
      </c>
      <c r="P1365" s="83">
        <v>2.19</v>
      </c>
      <c r="Q1365" s="83"/>
      <c r="R1365" s="86">
        <v>1.6022000000000001</v>
      </c>
      <c r="S1365" s="83">
        <v>11</v>
      </c>
      <c r="T1365" s="83"/>
      <c r="U1365" s="83"/>
      <c r="V1365" s="83"/>
      <c r="W1365" s="83"/>
      <c r="X1365" s="83"/>
      <c r="Y1365" s="185">
        <v>14</v>
      </c>
      <c r="Z1365" s="83"/>
      <c r="AA1365" s="86"/>
      <c r="AB1365" s="86"/>
      <c r="AC1365" s="83"/>
      <c r="AD1365" s="123">
        <v>200</v>
      </c>
      <c r="AE1365" s="83">
        <v>420</v>
      </c>
      <c r="AF1365" s="83">
        <v>380</v>
      </c>
      <c r="AG1365" s="66">
        <f t="shared" si="58"/>
        <v>244.7657142857143</v>
      </c>
      <c r="AH1365" s="143">
        <f t="shared" si="59"/>
        <v>1000</v>
      </c>
    </row>
    <row r="1366" spans="1:34" s="90" customFormat="1" x14ac:dyDescent="0.3">
      <c r="A1366" s="84">
        <v>903387</v>
      </c>
      <c r="B1366" s="87">
        <v>12.083333333333334</v>
      </c>
      <c r="C1366" s="87">
        <v>2.7499999999999991</v>
      </c>
      <c r="D1366" s="86">
        <v>8.1142857142857139</v>
      </c>
      <c r="E1366" s="99">
        <v>0.14299999999999999</v>
      </c>
      <c r="F1366" s="84">
        <v>42.85</v>
      </c>
      <c r="G1366" s="83"/>
      <c r="H1366" s="84">
        <v>18.37</v>
      </c>
      <c r="I1366" s="83">
        <v>120</v>
      </c>
      <c r="J1366" s="83">
        <v>2.3E-2</v>
      </c>
      <c r="K1366" s="87">
        <v>7.1</v>
      </c>
      <c r="L1366" s="83">
        <v>840</v>
      </c>
      <c r="M1366" s="83">
        <v>0.22</v>
      </c>
      <c r="N1366" s="83">
        <v>0.46</v>
      </c>
      <c r="O1366" s="83">
        <v>4.1100000000000003</v>
      </c>
      <c r="P1366" s="83">
        <v>4.3899999999999997</v>
      </c>
      <c r="Q1366" s="83"/>
      <c r="R1366" s="86">
        <v>1.7644250000000001</v>
      </c>
      <c r="S1366" s="83">
        <v>15.5</v>
      </c>
      <c r="T1366" s="83"/>
      <c r="U1366" s="83"/>
      <c r="V1366" s="83"/>
      <c r="W1366" s="83"/>
      <c r="X1366" s="83"/>
      <c r="Y1366" s="185">
        <v>15</v>
      </c>
      <c r="Z1366" s="83"/>
      <c r="AA1366" s="86">
        <v>4.3600000000000003</v>
      </c>
      <c r="AB1366" s="86">
        <v>0.66100000000000003</v>
      </c>
      <c r="AC1366" s="83">
        <v>6.1</v>
      </c>
      <c r="AD1366" s="123">
        <v>300</v>
      </c>
      <c r="AE1366" s="83">
        <v>240</v>
      </c>
      <c r="AF1366" s="83">
        <v>460</v>
      </c>
      <c r="AG1366" s="66">
        <f t="shared" si="58"/>
        <v>167.56</v>
      </c>
      <c r="AH1366" s="143">
        <f t="shared" si="59"/>
        <v>1000</v>
      </c>
    </row>
    <row r="1367" spans="1:34" s="90" customFormat="1" x14ac:dyDescent="0.3">
      <c r="A1367" s="84">
        <v>903388</v>
      </c>
      <c r="B1367" s="87">
        <v>10.166666666666666</v>
      </c>
      <c r="C1367" s="87"/>
      <c r="D1367" s="86">
        <v>8.1809523809523803</v>
      </c>
      <c r="E1367" s="99">
        <v>0.16400000000000001</v>
      </c>
      <c r="F1367" s="84">
        <v>44.050000000000004</v>
      </c>
      <c r="G1367" s="83"/>
      <c r="H1367" s="84">
        <v>16.57</v>
      </c>
      <c r="I1367" s="83">
        <v>110</v>
      </c>
      <c r="J1367" s="83">
        <v>2.4E-2</v>
      </c>
      <c r="K1367" s="87">
        <v>8.5299999999999994</v>
      </c>
      <c r="L1367" s="83">
        <v>740</v>
      </c>
      <c r="M1367" s="83">
        <v>0.26</v>
      </c>
      <c r="N1367" s="83">
        <v>0.45</v>
      </c>
      <c r="O1367" s="83">
        <v>4.88</v>
      </c>
      <c r="P1367" s="83">
        <v>4.49</v>
      </c>
      <c r="Q1367" s="83"/>
      <c r="R1367" s="86">
        <v>1.7029370000000001</v>
      </c>
      <c r="S1367" s="83">
        <v>13.700000000000001</v>
      </c>
      <c r="T1367" s="83"/>
      <c r="U1367" s="83"/>
      <c r="V1367" s="83"/>
      <c r="W1367" s="83"/>
      <c r="X1367" s="83"/>
      <c r="Y1367" s="185">
        <v>13</v>
      </c>
      <c r="Z1367" s="83"/>
      <c r="AA1367" s="86">
        <v>4.32</v>
      </c>
      <c r="AB1367" s="86">
        <v>0.78800000000000003</v>
      </c>
      <c r="AC1367" s="83">
        <v>8.9</v>
      </c>
      <c r="AD1367" s="123">
        <v>260</v>
      </c>
      <c r="AE1367" s="83">
        <v>280</v>
      </c>
      <c r="AF1367" s="83">
        <v>460</v>
      </c>
      <c r="AG1367" s="66">
        <f t="shared" si="58"/>
        <v>232.27846153846153</v>
      </c>
      <c r="AH1367" s="143">
        <f t="shared" si="59"/>
        <v>1000</v>
      </c>
    </row>
    <row r="1368" spans="1:34" s="90" customFormat="1" x14ac:dyDescent="0.3">
      <c r="A1368" s="84">
        <v>903389</v>
      </c>
      <c r="B1368" s="87">
        <v>10.083333333333332</v>
      </c>
      <c r="C1368" s="87"/>
      <c r="D1368" s="86">
        <v>8.1619047619047613</v>
      </c>
      <c r="E1368" s="99">
        <v>0.14699999999999999</v>
      </c>
      <c r="F1368" s="84">
        <v>36.049999999999997</v>
      </c>
      <c r="G1368" s="83"/>
      <c r="H1368" s="84">
        <v>34.729999999999997</v>
      </c>
      <c r="I1368" s="83">
        <v>220</v>
      </c>
      <c r="J1368" s="83">
        <v>2.1000000000000001E-2</v>
      </c>
      <c r="K1368" s="87">
        <v>7.88</v>
      </c>
      <c r="L1368" s="83">
        <v>1170</v>
      </c>
      <c r="M1368" s="83">
        <v>0.59</v>
      </c>
      <c r="N1368" s="83">
        <v>0.71</v>
      </c>
      <c r="O1368" s="83">
        <v>3.72</v>
      </c>
      <c r="P1368" s="83">
        <v>5.0199999999999996</v>
      </c>
      <c r="Q1368" s="83"/>
      <c r="R1368" s="86">
        <v>1.873793</v>
      </c>
      <c r="S1368" s="83">
        <v>19.099999999999998</v>
      </c>
      <c r="T1368" s="83"/>
      <c r="U1368" s="83"/>
      <c r="V1368" s="83"/>
      <c r="W1368" s="83"/>
      <c r="X1368" s="83"/>
      <c r="Y1368" s="185">
        <v>14.4</v>
      </c>
      <c r="Z1368" s="83"/>
      <c r="AA1368" s="86">
        <v>4.59</v>
      </c>
      <c r="AB1368" s="86">
        <v>0.36699999999999999</v>
      </c>
      <c r="AC1368" s="83">
        <v>10.4</v>
      </c>
      <c r="AD1368" s="123">
        <v>240</v>
      </c>
      <c r="AE1368" s="83">
        <v>300</v>
      </c>
      <c r="AF1368" s="83">
        <v>460</v>
      </c>
      <c r="AG1368" s="66">
        <f t="shared" si="58"/>
        <v>193.71666666666667</v>
      </c>
      <c r="AH1368" s="143">
        <f t="shared" si="59"/>
        <v>1000</v>
      </c>
    </row>
    <row r="1369" spans="1:34" s="90" customFormat="1" x14ac:dyDescent="0.3">
      <c r="A1369" s="84">
        <v>903390</v>
      </c>
      <c r="B1369" s="87">
        <v>8.5</v>
      </c>
      <c r="C1369" s="87"/>
      <c r="D1369" s="86">
        <v>8.1809523809523803</v>
      </c>
      <c r="E1369" s="99">
        <v>0.13900000000000001</v>
      </c>
      <c r="F1369" s="84">
        <v>34.35</v>
      </c>
      <c r="G1369" s="83"/>
      <c r="H1369" s="84">
        <v>26.7</v>
      </c>
      <c r="I1369" s="83">
        <v>150</v>
      </c>
      <c r="J1369" s="83">
        <v>2.3E-2</v>
      </c>
      <c r="K1369" s="87">
        <v>5.45</v>
      </c>
      <c r="L1369" s="83">
        <v>580</v>
      </c>
      <c r="M1369" s="83">
        <v>0.54</v>
      </c>
      <c r="N1369" s="83">
        <v>0.61</v>
      </c>
      <c r="O1369" s="83">
        <v>4.1100000000000003</v>
      </c>
      <c r="P1369" s="83">
        <v>3.98</v>
      </c>
      <c r="Q1369" s="83"/>
      <c r="R1369" s="86">
        <v>1.4850068436790695</v>
      </c>
      <c r="S1369" s="83">
        <v>10.199999999999999</v>
      </c>
      <c r="T1369" s="83"/>
      <c r="U1369" s="83"/>
      <c r="V1369" s="83"/>
      <c r="W1369" s="83"/>
      <c r="X1369" s="83"/>
      <c r="Y1369" s="185">
        <v>10.8</v>
      </c>
      <c r="Z1369" s="83"/>
      <c r="AA1369" s="86">
        <v>3.47</v>
      </c>
      <c r="AB1369" s="86">
        <v>0.52900000000000003</v>
      </c>
      <c r="AC1369" s="83">
        <v>11.1</v>
      </c>
      <c r="AD1369" s="123">
        <v>180</v>
      </c>
      <c r="AE1369" s="83">
        <v>260</v>
      </c>
      <c r="AF1369" s="83">
        <v>560</v>
      </c>
      <c r="AG1369" s="66">
        <f t="shared" si="58"/>
        <v>178.63888888888889</v>
      </c>
      <c r="AH1369" s="143">
        <f t="shared" si="59"/>
        <v>1000</v>
      </c>
    </row>
    <row r="1370" spans="1:34" s="90" customFormat="1" x14ac:dyDescent="0.3">
      <c r="A1370" s="84">
        <v>903391</v>
      </c>
      <c r="B1370" s="87">
        <v>0.1</v>
      </c>
      <c r="C1370" s="87"/>
      <c r="D1370" s="86">
        <v>8.1714285714285708</v>
      </c>
      <c r="E1370" s="99">
        <v>0.17199999999999999</v>
      </c>
      <c r="F1370" s="84">
        <v>79.850000000000009</v>
      </c>
      <c r="G1370" s="83"/>
      <c r="H1370" s="84">
        <v>25.36</v>
      </c>
      <c r="I1370" s="83">
        <v>170</v>
      </c>
      <c r="J1370" s="83">
        <v>0.19400000000000001</v>
      </c>
      <c r="K1370" s="87">
        <v>4.91</v>
      </c>
      <c r="L1370" s="83">
        <v>570</v>
      </c>
      <c r="M1370" s="83">
        <v>0.2</v>
      </c>
      <c r="N1370" s="83">
        <v>0.64</v>
      </c>
      <c r="O1370" s="83">
        <v>4.08</v>
      </c>
      <c r="P1370" s="83">
        <v>3.62</v>
      </c>
      <c r="Q1370" s="83"/>
      <c r="R1370" s="86">
        <v>0.69843154417629105</v>
      </c>
      <c r="S1370" s="83">
        <v>4.6000000000000005</v>
      </c>
      <c r="T1370" s="83"/>
      <c r="U1370" s="83"/>
      <c r="V1370" s="83"/>
      <c r="W1370" s="83"/>
      <c r="X1370" s="83"/>
      <c r="Y1370" s="185">
        <v>19</v>
      </c>
      <c r="Z1370" s="83"/>
      <c r="AA1370" s="86"/>
      <c r="AB1370" s="86"/>
      <c r="AC1370" s="83"/>
      <c r="AD1370" s="123">
        <v>380</v>
      </c>
      <c r="AE1370" s="83">
        <v>300</v>
      </c>
      <c r="AF1370" s="83">
        <v>320</v>
      </c>
      <c r="AG1370" s="66">
        <f t="shared" si="58"/>
        <v>91.481052631578947</v>
      </c>
      <c r="AH1370" s="143">
        <f t="shared" si="59"/>
        <v>1000</v>
      </c>
    </row>
    <row r="1371" spans="1:34" s="90" customFormat="1" x14ac:dyDescent="0.3">
      <c r="A1371" s="84">
        <v>903392</v>
      </c>
      <c r="B1371" s="87">
        <v>0.16666666666666666</v>
      </c>
      <c r="C1371" s="87"/>
      <c r="D1371" s="86">
        <v>7.4476190476190478</v>
      </c>
      <c r="E1371" s="99">
        <v>0.36</v>
      </c>
      <c r="F1371" s="84">
        <v>104.7</v>
      </c>
      <c r="G1371" s="83"/>
      <c r="H1371" s="84">
        <v>31.39</v>
      </c>
      <c r="I1371" s="83">
        <v>170</v>
      </c>
      <c r="J1371" s="83">
        <v>0.189</v>
      </c>
      <c r="K1371" s="87">
        <v>4.96</v>
      </c>
      <c r="L1371" s="83">
        <v>560</v>
      </c>
      <c r="M1371" s="83">
        <v>0.23</v>
      </c>
      <c r="N1371" s="83">
        <v>0.7</v>
      </c>
      <c r="O1371" s="83">
        <v>5.57</v>
      </c>
      <c r="P1371" s="83">
        <v>3.84</v>
      </c>
      <c r="Q1371" s="83"/>
      <c r="R1371" s="86">
        <v>0.56930069299759478</v>
      </c>
      <c r="S1371" s="83">
        <v>3.9000000000000004</v>
      </c>
      <c r="T1371" s="83"/>
      <c r="U1371" s="83"/>
      <c r="V1371" s="83"/>
      <c r="W1371" s="83"/>
      <c r="X1371" s="83"/>
      <c r="Y1371" s="185">
        <v>19</v>
      </c>
      <c r="Z1371" s="83"/>
      <c r="AA1371" s="86"/>
      <c r="AB1371" s="86"/>
      <c r="AC1371" s="83"/>
      <c r="AD1371" s="123">
        <v>380</v>
      </c>
      <c r="AE1371" s="83">
        <v>280</v>
      </c>
      <c r="AF1371" s="83">
        <v>340</v>
      </c>
      <c r="AG1371" s="66">
        <f t="shared" si="58"/>
        <v>92.412631578947369</v>
      </c>
      <c r="AH1371" s="143">
        <f t="shared" si="59"/>
        <v>1000</v>
      </c>
    </row>
    <row r="1372" spans="1:34" s="90" customFormat="1" x14ac:dyDescent="0.3">
      <c r="A1372" s="84">
        <v>903393</v>
      </c>
      <c r="B1372" s="87">
        <v>6.125</v>
      </c>
      <c r="C1372" s="87"/>
      <c r="D1372" s="86">
        <v>8.5142857142857142</v>
      </c>
      <c r="E1372" s="99">
        <v>0.19400000000000001</v>
      </c>
      <c r="F1372" s="84">
        <v>63.099999999999994</v>
      </c>
      <c r="G1372" s="83"/>
      <c r="H1372" s="84">
        <v>18.77</v>
      </c>
      <c r="I1372" s="83">
        <v>130</v>
      </c>
      <c r="J1372" s="83">
        <v>0.216</v>
      </c>
      <c r="K1372" s="87">
        <v>6.65</v>
      </c>
      <c r="L1372" s="83">
        <v>940</v>
      </c>
      <c r="M1372" s="83">
        <v>0.57999999999999996</v>
      </c>
      <c r="N1372" s="83">
        <v>0.7</v>
      </c>
      <c r="O1372" s="83">
        <v>3.64</v>
      </c>
      <c r="P1372" s="83">
        <v>2.57</v>
      </c>
      <c r="Q1372" s="83"/>
      <c r="R1372" s="86">
        <v>0.72831019305687461</v>
      </c>
      <c r="S1372" s="83">
        <v>5.3000000000000007</v>
      </c>
      <c r="T1372" s="83"/>
      <c r="U1372" s="83"/>
      <c r="V1372" s="83"/>
      <c r="W1372" s="83"/>
      <c r="X1372" s="83"/>
      <c r="Y1372" s="185">
        <v>26.4</v>
      </c>
      <c r="Z1372" s="83"/>
      <c r="AA1372" s="86"/>
      <c r="AB1372" s="86"/>
      <c r="AC1372" s="83"/>
      <c r="AD1372" s="123">
        <v>440</v>
      </c>
      <c r="AE1372" s="83">
        <v>260</v>
      </c>
      <c r="AF1372" s="83">
        <v>300</v>
      </c>
      <c r="AG1372" s="66">
        <f t="shared" si="58"/>
        <v>89.170454545454547</v>
      </c>
      <c r="AH1372" s="143">
        <f t="shared" si="59"/>
        <v>1000</v>
      </c>
    </row>
    <row r="1373" spans="1:34" s="90" customFormat="1" x14ac:dyDescent="0.3">
      <c r="A1373" s="84">
        <v>903394</v>
      </c>
      <c r="B1373" s="87">
        <v>4.208333333333333</v>
      </c>
      <c r="C1373" s="87"/>
      <c r="D1373" s="86">
        <v>8.5523809523809522</v>
      </c>
      <c r="E1373" s="99">
        <v>0.23200000000000001</v>
      </c>
      <c r="F1373" s="84">
        <v>85.3</v>
      </c>
      <c r="G1373" s="83"/>
      <c r="H1373" s="84">
        <v>25.26</v>
      </c>
      <c r="I1373" s="83">
        <v>130</v>
      </c>
      <c r="J1373" s="83">
        <v>0.27300000000000002</v>
      </c>
      <c r="K1373" s="87">
        <v>6.41</v>
      </c>
      <c r="L1373" s="83">
        <v>1000</v>
      </c>
      <c r="M1373" s="83">
        <v>0.87</v>
      </c>
      <c r="N1373" s="83">
        <v>0.7</v>
      </c>
      <c r="O1373" s="83">
        <v>2.98</v>
      </c>
      <c r="P1373" s="83">
        <v>2.2999999999999998</v>
      </c>
      <c r="Q1373" s="83"/>
      <c r="R1373" s="86">
        <v>0.97194991339258341</v>
      </c>
      <c r="S1373" s="83">
        <v>7</v>
      </c>
      <c r="T1373" s="83"/>
      <c r="U1373" s="83"/>
      <c r="V1373" s="83"/>
      <c r="W1373" s="83"/>
      <c r="X1373" s="83"/>
      <c r="Y1373" s="185">
        <v>22</v>
      </c>
      <c r="Z1373" s="83"/>
      <c r="AA1373" s="86"/>
      <c r="AB1373" s="86"/>
      <c r="AC1373" s="83"/>
      <c r="AD1373" s="123">
        <v>440</v>
      </c>
      <c r="AE1373" s="83">
        <v>240</v>
      </c>
      <c r="AF1373" s="83">
        <v>320</v>
      </c>
      <c r="AG1373" s="66">
        <f t="shared" si="58"/>
        <v>103.14272727272729</v>
      </c>
      <c r="AH1373" s="143">
        <f t="shared" si="59"/>
        <v>1000</v>
      </c>
    </row>
    <row r="1374" spans="1:34" s="90" customFormat="1" x14ac:dyDescent="0.3">
      <c r="A1374" s="84">
        <v>903395</v>
      </c>
      <c r="B1374" s="87">
        <v>3.3333333333333326</v>
      </c>
      <c r="C1374" s="87"/>
      <c r="D1374" s="86">
        <v>8.4857142857142858</v>
      </c>
      <c r="E1374" s="99">
        <v>0.29799999999999999</v>
      </c>
      <c r="F1374" s="84">
        <v>131.35</v>
      </c>
      <c r="G1374" s="83"/>
      <c r="H1374" s="84">
        <v>11.65</v>
      </c>
      <c r="I1374" s="83">
        <v>240</v>
      </c>
      <c r="J1374" s="83">
        <v>0.81799999999999995</v>
      </c>
      <c r="K1374" s="87">
        <v>6.17</v>
      </c>
      <c r="L1374" s="83">
        <v>1040</v>
      </c>
      <c r="M1374" s="83">
        <v>0.72</v>
      </c>
      <c r="N1374" s="83">
        <v>0.88</v>
      </c>
      <c r="O1374" s="83">
        <v>2.9</v>
      </c>
      <c r="P1374" s="83">
        <v>2.66</v>
      </c>
      <c r="Q1374" s="83"/>
      <c r="R1374" s="86">
        <v>0.90090334669498451</v>
      </c>
      <c r="S1374" s="83">
        <v>6.4</v>
      </c>
      <c r="T1374" s="83"/>
      <c r="U1374" s="83"/>
      <c r="V1374" s="83"/>
      <c r="W1374" s="83"/>
      <c r="X1374" s="83"/>
      <c r="Y1374" s="185">
        <v>22.4</v>
      </c>
      <c r="Z1374" s="83"/>
      <c r="AA1374" s="86"/>
      <c r="AB1374" s="86"/>
      <c r="AC1374" s="83"/>
      <c r="AD1374" s="123">
        <v>420</v>
      </c>
      <c r="AE1374" s="83">
        <v>260</v>
      </c>
      <c r="AF1374" s="83">
        <v>320</v>
      </c>
      <c r="AG1374" s="66">
        <f t="shared" si="58"/>
        <v>97.508035714285711</v>
      </c>
      <c r="AH1374" s="143">
        <f t="shared" si="59"/>
        <v>1000</v>
      </c>
    </row>
    <row r="1375" spans="1:34" s="90" customFormat="1" x14ac:dyDescent="0.3">
      <c r="A1375" s="84">
        <v>903396</v>
      </c>
      <c r="B1375" s="87">
        <v>0.28333333333333333</v>
      </c>
      <c r="C1375" s="87"/>
      <c r="D1375" s="86">
        <v>8.1523809523809518</v>
      </c>
      <c r="E1375" s="99">
        <v>0.32300000000000001</v>
      </c>
      <c r="F1375" s="84">
        <v>145.1</v>
      </c>
      <c r="G1375" s="83"/>
      <c r="H1375" s="84">
        <v>28.48</v>
      </c>
      <c r="I1375" s="83">
        <v>380</v>
      </c>
      <c r="J1375" s="83">
        <v>0.61099999999999999</v>
      </c>
      <c r="K1375" s="87">
        <v>6.73</v>
      </c>
      <c r="L1375" s="83">
        <v>1160</v>
      </c>
      <c r="M1375" s="83">
        <v>0.55000000000000004</v>
      </c>
      <c r="N1375" s="83">
        <v>0.99</v>
      </c>
      <c r="O1375" s="83">
        <v>3.24</v>
      </c>
      <c r="P1375" s="83">
        <v>3.77</v>
      </c>
      <c r="Q1375" s="83"/>
      <c r="R1375" s="86">
        <v>0.91563665202307754</v>
      </c>
      <c r="S1375" s="83">
        <v>6.4</v>
      </c>
      <c r="T1375" s="83"/>
      <c r="U1375" s="83"/>
      <c r="V1375" s="83"/>
      <c r="W1375" s="83"/>
      <c r="X1375" s="83"/>
      <c r="Y1375" s="185">
        <v>26.4</v>
      </c>
      <c r="Z1375" s="83"/>
      <c r="AA1375" s="86"/>
      <c r="AB1375" s="86"/>
      <c r="AC1375" s="83"/>
      <c r="AD1375" s="123">
        <v>520</v>
      </c>
      <c r="AE1375" s="83">
        <v>360</v>
      </c>
      <c r="AF1375" s="83">
        <v>120</v>
      </c>
      <c r="AG1375" s="66">
        <f t="shared" si="58"/>
        <v>90.243181818181824</v>
      </c>
      <c r="AH1375" s="143">
        <f t="shared" si="59"/>
        <v>1000</v>
      </c>
    </row>
    <row r="1376" spans="1:34" s="90" customFormat="1" x14ac:dyDescent="0.3">
      <c r="A1376" s="84">
        <v>903397</v>
      </c>
      <c r="B1376" s="87">
        <v>0.4</v>
      </c>
      <c r="C1376" s="87"/>
      <c r="D1376" s="86">
        <v>8.2476190476190467</v>
      </c>
      <c r="E1376" s="99">
        <v>0.217</v>
      </c>
      <c r="F1376" s="84">
        <v>50.25</v>
      </c>
      <c r="G1376" s="83"/>
      <c r="H1376" s="84">
        <v>38.950000000000003</v>
      </c>
      <c r="I1376" s="83">
        <v>250</v>
      </c>
      <c r="J1376" s="83">
        <v>0.73899999999999999</v>
      </c>
      <c r="K1376" s="87">
        <v>9.59</v>
      </c>
      <c r="L1376" s="83">
        <v>1490</v>
      </c>
      <c r="M1376" s="83">
        <v>0.21</v>
      </c>
      <c r="N1376" s="83">
        <v>0.36</v>
      </c>
      <c r="O1376" s="83">
        <v>2.2400000000000002</v>
      </c>
      <c r="P1376" s="83">
        <v>9.61</v>
      </c>
      <c r="Q1376" s="83"/>
      <c r="R1376" s="86">
        <v>0.86349426354500036</v>
      </c>
      <c r="S1376" s="83">
        <v>6</v>
      </c>
      <c r="T1376" s="83"/>
      <c r="U1376" s="83"/>
      <c r="V1376" s="83"/>
      <c r="W1376" s="83"/>
      <c r="X1376" s="83"/>
      <c r="Y1376" s="185">
        <v>22</v>
      </c>
      <c r="Z1376" s="83"/>
      <c r="AA1376" s="86"/>
      <c r="AB1376" s="86"/>
      <c r="AC1376" s="83"/>
      <c r="AD1376" s="123">
        <v>640</v>
      </c>
      <c r="AE1376" s="83">
        <v>260</v>
      </c>
      <c r="AF1376" s="83">
        <v>100</v>
      </c>
      <c r="AG1376" s="66">
        <f t="shared" si="58"/>
        <v>154.31181818181815</v>
      </c>
      <c r="AH1376" s="143">
        <f t="shared" si="59"/>
        <v>1000</v>
      </c>
    </row>
    <row r="1377" spans="1:146" s="90" customFormat="1" x14ac:dyDescent="0.3">
      <c r="A1377" s="84">
        <v>903398</v>
      </c>
      <c r="B1377" s="87">
        <v>0.24999999999999997</v>
      </c>
      <c r="C1377" s="87"/>
      <c r="D1377" s="86">
        <v>8.21904761904762</v>
      </c>
      <c r="E1377" s="99">
        <v>0.23</v>
      </c>
      <c r="F1377" s="84">
        <v>68.25</v>
      </c>
      <c r="G1377" s="83"/>
      <c r="H1377" s="84">
        <v>41.46</v>
      </c>
      <c r="I1377" s="83">
        <v>210</v>
      </c>
      <c r="J1377" s="83">
        <v>0.83599999999999997</v>
      </c>
      <c r="K1377" s="87">
        <v>7.1</v>
      </c>
      <c r="L1377" s="83">
        <v>2070</v>
      </c>
      <c r="M1377" s="83">
        <v>0.26</v>
      </c>
      <c r="N1377" s="83">
        <v>0.46</v>
      </c>
      <c r="O1377" s="83">
        <v>1.58</v>
      </c>
      <c r="P1377" s="83">
        <v>11.94</v>
      </c>
      <c r="Q1377" s="83"/>
      <c r="R1377" s="86">
        <v>1.0431241642648292</v>
      </c>
      <c r="S1377" s="83">
        <v>7.1</v>
      </c>
      <c r="T1377" s="83"/>
      <c r="U1377" s="83"/>
      <c r="V1377" s="83"/>
      <c r="W1377" s="83"/>
      <c r="X1377" s="83"/>
      <c r="Y1377" s="185">
        <v>24.6</v>
      </c>
      <c r="Z1377" s="83"/>
      <c r="AA1377" s="86"/>
      <c r="AB1377" s="86"/>
      <c r="AC1377" s="83"/>
      <c r="AD1377" s="123">
        <v>660</v>
      </c>
      <c r="AE1377" s="83">
        <v>260</v>
      </c>
      <c r="AF1377" s="83">
        <v>80</v>
      </c>
      <c r="AG1377" s="66">
        <f t="shared" si="58"/>
        <v>102.17073170731707</v>
      </c>
      <c r="AH1377" s="143">
        <f t="shared" si="59"/>
        <v>1000</v>
      </c>
    </row>
    <row r="1378" spans="1:146" s="90" customFormat="1" x14ac:dyDescent="0.3">
      <c r="A1378" s="84">
        <v>903399</v>
      </c>
      <c r="B1378" s="87">
        <v>0.23333333333333331</v>
      </c>
      <c r="C1378" s="87"/>
      <c r="D1378" s="86">
        <v>8.1904761904761898</v>
      </c>
      <c r="E1378" s="99">
        <v>0.20499999999999999</v>
      </c>
      <c r="F1378" s="84">
        <v>69.349999999999994</v>
      </c>
      <c r="G1378" s="83"/>
      <c r="H1378" s="84">
        <v>35.770000000000003</v>
      </c>
      <c r="I1378" s="83">
        <v>190</v>
      </c>
      <c r="J1378" s="83">
        <v>0.68</v>
      </c>
      <c r="K1378" s="87">
        <v>6.84</v>
      </c>
      <c r="L1378" s="83">
        <v>1870</v>
      </c>
      <c r="M1378" s="83">
        <v>0.28999999999999998</v>
      </c>
      <c r="N1378" s="83">
        <v>0.36</v>
      </c>
      <c r="O1378" s="83">
        <v>1.59</v>
      </c>
      <c r="P1378" s="83">
        <v>9.34</v>
      </c>
      <c r="Q1378" s="83"/>
      <c r="R1378" s="86">
        <v>1.586408</v>
      </c>
      <c r="S1378" s="83">
        <v>10.600000000000001</v>
      </c>
      <c r="T1378" s="83"/>
      <c r="U1378" s="83"/>
      <c r="V1378" s="83"/>
      <c r="W1378" s="83"/>
      <c r="X1378" s="83"/>
      <c r="Y1378" s="185">
        <v>23</v>
      </c>
      <c r="Z1378" s="83"/>
      <c r="AA1378" s="86"/>
      <c r="AB1378" s="86"/>
      <c r="AC1378" s="83"/>
      <c r="AD1378" s="123">
        <v>660</v>
      </c>
      <c r="AE1378" s="83">
        <v>260</v>
      </c>
      <c r="AF1378" s="83">
        <v>80</v>
      </c>
      <c r="AG1378" s="66">
        <f t="shared" si="58"/>
        <v>105.27652173913044</v>
      </c>
      <c r="AH1378" s="143">
        <f t="shared" si="59"/>
        <v>1000</v>
      </c>
    </row>
    <row r="1379" spans="1:146" s="90" customFormat="1" x14ac:dyDescent="0.3">
      <c r="A1379" s="84">
        <v>903400</v>
      </c>
      <c r="B1379" s="87">
        <v>0.2</v>
      </c>
      <c r="C1379" s="87"/>
      <c r="D1379" s="86">
        <v>8.0476190476190474</v>
      </c>
      <c r="E1379" s="99">
        <v>0.17599999999999999</v>
      </c>
      <c r="F1379" s="84">
        <v>71.399999999999991</v>
      </c>
      <c r="G1379" s="83"/>
      <c r="H1379" s="84">
        <v>68.39</v>
      </c>
      <c r="I1379" s="83">
        <v>190</v>
      </c>
      <c r="J1379" s="83">
        <v>0.751</v>
      </c>
      <c r="K1379" s="87">
        <v>6.53</v>
      </c>
      <c r="L1379" s="83">
        <v>1850</v>
      </c>
      <c r="M1379" s="83">
        <v>0.25</v>
      </c>
      <c r="N1379" s="83">
        <v>0.38</v>
      </c>
      <c r="O1379" s="83">
        <v>1.95</v>
      </c>
      <c r="P1379" s="83">
        <v>9.85</v>
      </c>
      <c r="Q1379" s="83"/>
      <c r="R1379" s="86">
        <v>1.0473375613651581</v>
      </c>
      <c r="S1379" s="83">
        <v>7.8000000000000007</v>
      </c>
      <c r="T1379" s="83"/>
      <c r="U1379" s="83"/>
      <c r="V1379" s="83"/>
      <c r="W1379" s="83"/>
      <c r="X1379" s="83"/>
      <c r="Y1379" s="185">
        <v>23.4</v>
      </c>
      <c r="Z1379" s="83"/>
      <c r="AA1379" s="86"/>
      <c r="AB1379" s="86"/>
      <c r="AC1379" s="83"/>
      <c r="AD1379" s="123">
        <v>640</v>
      </c>
      <c r="AE1379" s="83">
        <v>260</v>
      </c>
      <c r="AF1379" s="83">
        <v>100</v>
      </c>
      <c r="AG1379" s="66">
        <f t="shared" si="58"/>
        <v>98.787179487179515</v>
      </c>
      <c r="AH1379" s="143">
        <f t="shared" si="59"/>
        <v>1000</v>
      </c>
    </row>
    <row r="1380" spans="1:146" s="90" customFormat="1" x14ac:dyDescent="0.3">
      <c r="A1380" s="84">
        <v>903401</v>
      </c>
      <c r="B1380" s="87">
        <v>5.583333333333333</v>
      </c>
      <c r="C1380" s="87"/>
      <c r="D1380" s="86">
        <v>7.723809523809523</v>
      </c>
      <c r="E1380" s="99">
        <v>0.189</v>
      </c>
      <c r="F1380" s="84">
        <v>42.75</v>
      </c>
      <c r="G1380" s="83"/>
      <c r="H1380" s="84">
        <v>250.67</v>
      </c>
      <c r="I1380" s="83">
        <v>1020</v>
      </c>
      <c r="J1380" s="83">
        <v>0.02</v>
      </c>
      <c r="K1380" s="87">
        <v>7.41</v>
      </c>
      <c r="L1380" s="83">
        <v>1260</v>
      </c>
      <c r="M1380" s="83">
        <v>2.84</v>
      </c>
      <c r="N1380" s="83">
        <v>2.66</v>
      </c>
      <c r="O1380" s="83">
        <v>14.06</v>
      </c>
      <c r="P1380" s="83">
        <v>18</v>
      </c>
      <c r="Q1380" s="83"/>
      <c r="R1380" s="86">
        <v>1.9390680000000002</v>
      </c>
      <c r="S1380" s="83">
        <v>21.6</v>
      </c>
      <c r="T1380" s="83"/>
      <c r="U1380" s="83"/>
      <c r="V1380" s="83"/>
      <c r="W1380" s="83"/>
      <c r="X1380" s="83"/>
      <c r="Y1380" s="185">
        <v>23.8</v>
      </c>
      <c r="Z1380" s="83"/>
      <c r="AA1380" s="86">
        <v>3.94</v>
      </c>
      <c r="AB1380" s="86">
        <v>0.89300000000000002</v>
      </c>
      <c r="AC1380" s="83">
        <v>6.1</v>
      </c>
      <c r="AD1380" s="123">
        <v>580</v>
      </c>
      <c r="AE1380" s="83">
        <v>300</v>
      </c>
      <c r="AF1380" s="83">
        <v>120</v>
      </c>
      <c r="AG1380" s="66">
        <f t="shared" si="58"/>
        <v>110.21596638655461</v>
      </c>
      <c r="AH1380" s="143">
        <f t="shared" si="59"/>
        <v>1000</v>
      </c>
    </row>
    <row r="1381" spans="1:146" s="90" customFormat="1" x14ac:dyDescent="0.3">
      <c r="A1381" s="84">
        <v>903402</v>
      </c>
      <c r="B1381" s="87">
        <v>13.916666666666666</v>
      </c>
      <c r="C1381" s="87">
        <v>4.1250000000000009</v>
      </c>
      <c r="D1381" s="86">
        <v>7.8571428571428568</v>
      </c>
      <c r="E1381" s="99">
        <v>0.16</v>
      </c>
      <c r="F1381" s="84">
        <v>33.1</v>
      </c>
      <c r="G1381" s="83"/>
      <c r="H1381" s="84">
        <v>75.92</v>
      </c>
      <c r="I1381" s="83">
        <v>320</v>
      </c>
      <c r="J1381" s="83">
        <v>2.5000000000000001E-2</v>
      </c>
      <c r="K1381" s="87">
        <v>10.93</v>
      </c>
      <c r="L1381" s="83">
        <v>980</v>
      </c>
      <c r="M1381" s="83">
        <v>0.85</v>
      </c>
      <c r="N1381" s="83">
        <v>1.87</v>
      </c>
      <c r="O1381" s="83">
        <v>20.010000000000002</v>
      </c>
      <c r="P1381" s="83">
        <v>9.7899999999999991</v>
      </c>
      <c r="Q1381" s="83"/>
      <c r="R1381" s="86">
        <v>1.629297</v>
      </c>
      <c r="S1381" s="83">
        <v>11.7</v>
      </c>
      <c r="T1381" s="83"/>
      <c r="U1381" s="83"/>
      <c r="V1381" s="83"/>
      <c r="W1381" s="83"/>
      <c r="X1381" s="83"/>
      <c r="Y1381" s="185">
        <v>30</v>
      </c>
      <c r="Z1381" s="83"/>
      <c r="AA1381" s="86">
        <v>4.9400000000000004</v>
      </c>
      <c r="AB1381" s="86">
        <v>0.41899999999999998</v>
      </c>
      <c r="AC1381" s="83">
        <v>9.9</v>
      </c>
      <c r="AD1381" s="123">
        <v>600</v>
      </c>
      <c r="AE1381" s="83">
        <v>300</v>
      </c>
      <c r="AF1381" s="83">
        <v>100</v>
      </c>
      <c r="AG1381" s="66">
        <f t="shared" si="58"/>
        <v>128.97399999999999</v>
      </c>
      <c r="AH1381" s="143">
        <f t="shared" si="59"/>
        <v>1000</v>
      </c>
    </row>
    <row r="1382" spans="1:146" s="90" customFormat="1" x14ac:dyDescent="0.3">
      <c r="A1382" s="84">
        <v>903403</v>
      </c>
      <c r="B1382" s="87">
        <v>0.26666666666666666</v>
      </c>
      <c r="C1382" s="87"/>
      <c r="D1382" s="86">
        <v>7.9523809523809517</v>
      </c>
      <c r="E1382" s="99">
        <v>8.4000000000000005E-2</v>
      </c>
      <c r="F1382" s="84">
        <v>32.85</v>
      </c>
      <c r="G1382" s="83"/>
      <c r="H1382" s="84">
        <v>118.41</v>
      </c>
      <c r="I1382" s="83">
        <v>310</v>
      </c>
      <c r="J1382" s="83">
        <v>3.5000000000000003E-2</v>
      </c>
      <c r="K1382" s="87">
        <v>6.61</v>
      </c>
      <c r="L1382" s="83">
        <v>1390</v>
      </c>
      <c r="M1382" s="83">
        <v>1.1499999999999999</v>
      </c>
      <c r="N1382" s="83">
        <v>1.78</v>
      </c>
      <c r="O1382" s="83">
        <v>15</v>
      </c>
      <c r="P1382" s="83">
        <v>9.07</v>
      </c>
      <c r="Q1382" s="83"/>
      <c r="R1382" s="86">
        <v>1.666817</v>
      </c>
      <c r="S1382" s="83">
        <v>12.7</v>
      </c>
      <c r="T1382" s="83"/>
      <c r="U1382" s="83"/>
      <c r="V1382" s="83"/>
      <c r="W1382" s="83"/>
      <c r="X1382" s="83"/>
      <c r="Y1382" s="185">
        <v>23.6</v>
      </c>
      <c r="Z1382" s="83"/>
      <c r="AA1382" s="86">
        <v>3.95</v>
      </c>
      <c r="AB1382" s="86">
        <v>0.502</v>
      </c>
      <c r="AC1382" s="83">
        <v>6.6</v>
      </c>
      <c r="AD1382" s="123">
        <v>580</v>
      </c>
      <c r="AE1382" s="83">
        <v>340</v>
      </c>
      <c r="AF1382" s="83">
        <v>80</v>
      </c>
      <c r="AG1382" s="66">
        <f t="shared" si="58"/>
        <v>99.149999999999991</v>
      </c>
      <c r="AH1382" s="143">
        <f t="shared" si="59"/>
        <v>1000</v>
      </c>
    </row>
    <row r="1383" spans="1:146" s="90" customFormat="1" x14ac:dyDescent="0.3">
      <c r="A1383" s="84">
        <v>903404</v>
      </c>
      <c r="B1383" s="87">
        <v>3.7666666666666666</v>
      </c>
      <c r="C1383" s="87"/>
      <c r="D1383" s="86">
        <v>7.9523809523809517</v>
      </c>
      <c r="E1383" s="99">
        <v>0.104</v>
      </c>
      <c r="F1383" s="84">
        <v>30.950000000000003</v>
      </c>
      <c r="G1383" s="83"/>
      <c r="H1383" s="84">
        <v>60.16</v>
      </c>
      <c r="I1383" s="83">
        <v>360</v>
      </c>
      <c r="J1383" s="83">
        <v>3.1E-2</v>
      </c>
      <c r="K1383" s="87">
        <v>6.8</v>
      </c>
      <c r="L1383" s="83">
        <v>1720</v>
      </c>
      <c r="M1383" s="83">
        <v>0.76</v>
      </c>
      <c r="N1383" s="83">
        <v>1.54</v>
      </c>
      <c r="O1383" s="83">
        <v>8.74</v>
      </c>
      <c r="P1383" s="83">
        <v>9.24</v>
      </c>
      <c r="Q1383" s="83"/>
      <c r="R1383" s="86">
        <v>1.7839130000000001</v>
      </c>
      <c r="S1383" s="83">
        <v>16.100000000000001</v>
      </c>
      <c r="T1383" s="83"/>
      <c r="U1383" s="83"/>
      <c r="V1383" s="83"/>
      <c r="W1383" s="83"/>
      <c r="X1383" s="83"/>
      <c r="Y1383" s="185">
        <v>23.6</v>
      </c>
      <c r="Z1383" s="83"/>
      <c r="AA1383" s="86">
        <v>4.2300000000000004</v>
      </c>
      <c r="AB1383" s="86">
        <v>0.88900000000000001</v>
      </c>
      <c r="AC1383" s="83">
        <v>10.7</v>
      </c>
      <c r="AD1383" s="123">
        <v>560</v>
      </c>
      <c r="AE1383" s="83">
        <v>320</v>
      </c>
      <c r="AF1383" s="83">
        <v>120</v>
      </c>
      <c r="AG1383" s="66">
        <f t="shared" si="58"/>
        <v>101.99999999999999</v>
      </c>
      <c r="AH1383" s="143">
        <f t="shared" si="59"/>
        <v>1000</v>
      </c>
    </row>
    <row r="1384" spans="1:146" s="90" customFormat="1" x14ac:dyDescent="0.3">
      <c r="A1384" s="84">
        <v>903405</v>
      </c>
      <c r="B1384" s="87">
        <v>0.46666666666666662</v>
      </c>
      <c r="C1384" s="87"/>
      <c r="D1384" s="86">
        <v>7.9333333333333327</v>
      </c>
      <c r="E1384" s="99">
        <v>0.08</v>
      </c>
      <c r="F1384" s="84">
        <v>22.799999999999997</v>
      </c>
      <c r="G1384" s="83"/>
      <c r="H1384" s="84">
        <v>114.87</v>
      </c>
      <c r="I1384" s="83">
        <v>340</v>
      </c>
      <c r="J1384" s="83">
        <v>1.7000000000000001E-2</v>
      </c>
      <c r="K1384" s="87">
        <v>6.16</v>
      </c>
      <c r="L1384" s="83">
        <v>1570</v>
      </c>
      <c r="M1384" s="83">
        <v>1.08</v>
      </c>
      <c r="N1384" s="83">
        <v>1.53</v>
      </c>
      <c r="O1384" s="83">
        <v>9.39</v>
      </c>
      <c r="P1384" s="83">
        <v>10.17</v>
      </c>
      <c r="Q1384" s="83"/>
      <c r="R1384" s="86">
        <v>1.6814330000000002</v>
      </c>
      <c r="S1384" s="83">
        <v>13.100000000000001</v>
      </c>
      <c r="T1384" s="83"/>
      <c r="U1384" s="83"/>
      <c r="V1384" s="83"/>
      <c r="W1384" s="83"/>
      <c r="X1384" s="83"/>
      <c r="Y1384" s="185">
        <v>29.2</v>
      </c>
      <c r="Z1384" s="83"/>
      <c r="AA1384" s="86">
        <v>4.42</v>
      </c>
      <c r="AB1384" s="86">
        <v>0.71099999999999997</v>
      </c>
      <c r="AC1384" s="83">
        <v>10.199999999999999</v>
      </c>
      <c r="AD1384" s="123">
        <v>560</v>
      </c>
      <c r="AE1384" s="83">
        <v>300</v>
      </c>
      <c r="AF1384" s="83">
        <v>140</v>
      </c>
      <c r="AG1384" s="66">
        <f t="shared" si="58"/>
        <v>74.679452054794524</v>
      </c>
      <c r="AH1384" s="143">
        <f t="shared" si="59"/>
        <v>1000</v>
      </c>
    </row>
    <row r="1385" spans="1:146" s="90" customFormat="1" x14ac:dyDescent="0.3">
      <c r="A1385" s="84">
        <v>903406</v>
      </c>
      <c r="B1385" s="87">
        <v>0.81666666666666676</v>
      </c>
      <c r="C1385" s="87"/>
      <c r="D1385" s="86">
        <v>7.8380952380952378</v>
      </c>
      <c r="E1385" s="99">
        <v>0.13400000000000001</v>
      </c>
      <c r="F1385" s="84">
        <v>33.299999999999997</v>
      </c>
      <c r="G1385" s="83"/>
      <c r="H1385" s="84">
        <v>440.59</v>
      </c>
      <c r="I1385" s="83">
        <v>450</v>
      </c>
      <c r="J1385" s="83">
        <v>4.2000000000000003E-2</v>
      </c>
      <c r="K1385" s="87">
        <v>6.08</v>
      </c>
      <c r="L1385" s="83">
        <v>2190</v>
      </c>
      <c r="M1385" s="83">
        <v>1.81</v>
      </c>
      <c r="N1385" s="83">
        <v>3.51</v>
      </c>
      <c r="O1385" s="83">
        <v>10.130000000000001</v>
      </c>
      <c r="P1385" s="83">
        <v>16.829999999999998</v>
      </c>
      <c r="Q1385" s="83"/>
      <c r="R1385" s="86">
        <v>1.8060120000000002</v>
      </c>
      <c r="S1385" s="83">
        <v>16.8</v>
      </c>
      <c r="T1385" s="83"/>
      <c r="U1385" s="83"/>
      <c r="V1385" s="83"/>
      <c r="W1385" s="83"/>
      <c r="X1385" s="83"/>
      <c r="Y1385" s="185">
        <v>27.8</v>
      </c>
      <c r="Z1385" s="83"/>
      <c r="AA1385" s="86">
        <v>3.45</v>
      </c>
      <c r="AB1385" s="86">
        <v>0.38800000000000001</v>
      </c>
      <c r="AC1385" s="83">
        <v>7.7</v>
      </c>
      <c r="AD1385" s="123">
        <v>540</v>
      </c>
      <c r="AE1385" s="83">
        <v>340</v>
      </c>
      <c r="AF1385" s="83">
        <v>120</v>
      </c>
      <c r="AG1385" s="66">
        <f t="shared" si="58"/>
        <v>77.42158273381294</v>
      </c>
      <c r="AH1385" s="143">
        <f t="shared" si="59"/>
        <v>1000</v>
      </c>
    </row>
    <row r="1386" spans="1:146" s="90" customFormat="1" x14ac:dyDescent="0.3">
      <c r="A1386" s="84">
        <v>903407</v>
      </c>
      <c r="B1386" s="87">
        <v>1.7166666666666668</v>
      </c>
      <c r="C1386" s="87"/>
      <c r="D1386" s="86">
        <v>8.0095238095238095</v>
      </c>
      <c r="E1386" s="99">
        <v>0.13800000000000001</v>
      </c>
      <c r="F1386" s="84">
        <v>41.849999999999994</v>
      </c>
      <c r="G1386" s="83"/>
      <c r="H1386" s="84">
        <v>87.97</v>
      </c>
      <c r="I1386" s="83">
        <v>390</v>
      </c>
      <c r="J1386" s="83">
        <v>3.5000000000000003E-2</v>
      </c>
      <c r="K1386" s="87">
        <v>6.88</v>
      </c>
      <c r="L1386" s="83">
        <v>2000</v>
      </c>
      <c r="M1386" s="83">
        <v>1.5</v>
      </c>
      <c r="N1386" s="83">
        <v>2.76</v>
      </c>
      <c r="O1386" s="83">
        <v>16.07</v>
      </c>
      <c r="P1386" s="83">
        <v>7.02</v>
      </c>
      <c r="Q1386" s="83"/>
      <c r="R1386" s="86">
        <v>1.774232</v>
      </c>
      <c r="S1386" s="83">
        <v>15.8</v>
      </c>
      <c r="T1386" s="83"/>
      <c r="U1386" s="83"/>
      <c r="V1386" s="83"/>
      <c r="W1386" s="83"/>
      <c r="X1386" s="83"/>
      <c r="Y1386" s="185">
        <v>27</v>
      </c>
      <c r="Z1386" s="83"/>
      <c r="AA1386" s="86">
        <v>3.93</v>
      </c>
      <c r="AB1386" s="86">
        <v>0.34599999999999997</v>
      </c>
      <c r="AC1386" s="83">
        <v>8.9</v>
      </c>
      <c r="AD1386" s="123">
        <v>540</v>
      </c>
      <c r="AE1386" s="83">
        <v>360</v>
      </c>
      <c r="AF1386" s="83">
        <v>100</v>
      </c>
      <c r="AG1386" s="66">
        <f t="shared" si="58"/>
        <v>90.204444444444448</v>
      </c>
      <c r="AH1386" s="143">
        <f t="shared" si="59"/>
        <v>1000</v>
      </c>
    </row>
    <row r="1387" spans="1:146" s="90" customFormat="1" x14ac:dyDescent="0.3">
      <c r="A1387" s="84">
        <v>903408</v>
      </c>
      <c r="B1387" s="87">
        <v>1.7500000000000002</v>
      </c>
      <c r="C1387" s="87"/>
      <c r="D1387" s="86">
        <v>7.9333333333333327</v>
      </c>
      <c r="E1387" s="99">
        <v>0.13200000000000001</v>
      </c>
      <c r="F1387" s="84">
        <v>33.35</v>
      </c>
      <c r="G1387" s="83"/>
      <c r="H1387" s="84">
        <v>148.02000000000001</v>
      </c>
      <c r="I1387" s="83">
        <v>530</v>
      </c>
      <c r="J1387" s="83">
        <v>6.6000000000000003E-2</v>
      </c>
      <c r="K1387" s="87">
        <v>6.27</v>
      </c>
      <c r="L1387" s="83">
        <v>1800</v>
      </c>
      <c r="M1387" s="83">
        <v>2.04</v>
      </c>
      <c r="N1387" s="83">
        <v>3.44</v>
      </c>
      <c r="O1387" s="83">
        <v>17.920000000000002</v>
      </c>
      <c r="P1387" s="83">
        <v>8.6300000000000008</v>
      </c>
      <c r="Q1387" s="83"/>
      <c r="R1387" s="86">
        <v>1.8481520000000002</v>
      </c>
      <c r="S1387" s="83">
        <v>18.2</v>
      </c>
      <c r="T1387" s="83"/>
      <c r="U1387" s="83"/>
      <c r="V1387" s="83"/>
      <c r="W1387" s="83"/>
      <c r="X1387" s="83"/>
      <c r="Y1387" s="185">
        <v>27</v>
      </c>
      <c r="Z1387" s="83"/>
      <c r="AA1387" s="86">
        <v>3.66</v>
      </c>
      <c r="AB1387" s="86">
        <v>0.88900000000000001</v>
      </c>
      <c r="AC1387" s="83">
        <v>7.7</v>
      </c>
      <c r="AD1387" s="123">
        <v>540</v>
      </c>
      <c r="AE1387" s="83">
        <v>340</v>
      </c>
      <c r="AF1387" s="83">
        <v>120</v>
      </c>
      <c r="AG1387" s="66">
        <f t="shared" si="58"/>
        <v>82.206666666666663</v>
      </c>
      <c r="AH1387" s="143">
        <f t="shared" si="59"/>
        <v>1000</v>
      </c>
    </row>
    <row r="1388" spans="1:146" s="90" customFormat="1" x14ac:dyDescent="0.3">
      <c r="A1388" s="84">
        <v>903409</v>
      </c>
      <c r="B1388" s="87">
        <v>0.16666666666666666</v>
      </c>
      <c r="C1388" s="87"/>
      <c r="D1388" s="86">
        <v>7.704761904761904</v>
      </c>
      <c r="E1388" s="99">
        <v>3.7999999999999999E-2</v>
      </c>
      <c r="F1388" s="84">
        <v>30.150000000000002</v>
      </c>
      <c r="G1388" s="83"/>
      <c r="H1388" s="84">
        <v>30.58</v>
      </c>
      <c r="I1388" s="83">
        <v>120</v>
      </c>
      <c r="J1388" s="83">
        <v>5.2999999999999999E-2</v>
      </c>
      <c r="K1388" s="87">
        <v>6.06</v>
      </c>
      <c r="L1388" s="83">
        <v>450</v>
      </c>
      <c r="M1388" s="83">
        <v>0.17</v>
      </c>
      <c r="N1388" s="83">
        <v>0.75</v>
      </c>
      <c r="O1388" s="83">
        <v>36.99</v>
      </c>
      <c r="P1388" s="83">
        <v>27.6</v>
      </c>
      <c r="Q1388" s="83"/>
      <c r="R1388" s="86">
        <v>1.1354116897122009</v>
      </c>
      <c r="S1388" s="83">
        <v>8</v>
      </c>
      <c r="T1388" s="83"/>
      <c r="U1388" s="83"/>
      <c r="V1388" s="83"/>
      <c r="W1388" s="83"/>
      <c r="X1388" s="83"/>
      <c r="Y1388" s="185">
        <v>28.4</v>
      </c>
      <c r="Z1388" s="83"/>
      <c r="AA1388" s="86"/>
      <c r="AB1388" s="86"/>
      <c r="AC1388" s="83"/>
      <c r="AD1388" s="123">
        <v>640</v>
      </c>
      <c r="AE1388" s="83">
        <v>220</v>
      </c>
      <c r="AF1388" s="83">
        <v>140</v>
      </c>
      <c r="AG1388" s="66">
        <f t="shared" si="58"/>
        <v>75.536619718309851</v>
      </c>
      <c r="AH1388" s="143">
        <f t="shared" si="59"/>
        <v>1000</v>
      </c>
    </row>
    <row r="1389" spans="1:146" s="90" customFormat="1" x14ac:dyDescent="0.3">
      <c r="A1389" s="84">
        <v>903410</v>
      </c>
      <c r="B1389" s="87">
        <v>0.2</v>
      </c>
      <c r="C1389" s="87"/>
      <c r="D1389" s="86">
        <v>7.666666666666667</v>
      </c>
      <c r="E1389" s="99">
        <v>7.5999999999999998E-2</v>
      </c>
      <c r="F1389" s="84">
        <v>35.099999999999994</v>
      </c>
      <c r="G1389" s="83"/>
      <c r="H1389" s="84">
        <v>14.32</v>
      </c>
      <c r="I1389" s="83">
        <v>120</v>
      </c>
      <c r="J1389" s="83">
        <v>0.192</v>
      </c>
      <c r="K1389" s="87">
        <v>6</v>
      </c>
      <c r="L1389" s="83">
        <v>440</v>
      </c>
      <c r="M1389" s="83">
        <v>0.14000000000000001</v>
      </c>
      <c r="N1389" s="83">
        <v>0.36</v>
      </c>
      <c r="O1389" s="83">
        <v>14.83</v>
      </c>
      <c r="P1389" s="83">
        <v>8.26</v>
      </c>
      <c r="Q1389" s="83"/>
      <c r="R1389" s="86">
        <v>0.75776289824451371</v>
      </c>
      <c r="S1389" s="83">
        <v>5.4</v>
      </c>
      <c r="T1389" s="83"/>
      <c r="U1389" s="83"/>
      <c r="V1389" s="83"/>
      <c r="W1389" s="83"/>
      <c r="X1389" s="83"/>
      <c r="Y1389" s="185">
        <v>21</v>
      </c>
      <c r="Z1389" s="83"/>
      <c r="AA1389" s="86"/>
      <c r="AB1389" s="86"/>
      <c r="AC1389" s="83"/>
      <c r="AD1389" s="123">
        <v>620</v>
      </c>
      <c r="AE1389" s="83">
        <v>260</v>
      </c>
      <c r="AF1389" s="83">
        <v>120</v>
      </c>
      <c r="AG1389" s="66">
        <f t="shared" si="58"/>
        <v>101.14285714285714</v>
      </c>
      <c r="AH1389" s="143">
        <f t="shared" si="59"/>
        <v>1000</v>
      </c>
    </row>
    <row r="1390" spans="1:146" s="96" customFormat="1" x14ac:dyDescent="0.3">
      <c r="A1390" s="84">
        <v>903419</v>
      </c>
      <c r="B1390" s="94">
        <v>2.9</v>
      </c>
      <c r="C1390" s="94"/>
      <c r="D1390" s="82">
        <v>7.9</v>
      </c>
      <c r="E1390" s="104">
        <v>0.28199999999999997</v>
      </c>
      <c r="F1390" s="94">
        <v>44.2</v>
      </c>
      <c r="G1390" s="91"/>
      <c r="H1390" s="92">
        <v>75.92</v>
      </c>
      <c r="I1390" s="91">
        <v>210</v>
      </c>
      <c r="J1390" s="91">
        <v>5.6000000000000001E-2</v>
      </c>
      <c r="K1390" s="94">
        <v>6.64</v>
      </c>
      <c r="L1390" s="91">
        <v>420</v>
      </c>
      <c r="M1390" s="91">
        <v>0.85</v>
      </c>
      <c r="N1390" s="91">
        <v>1.87</v>
      </c>
      <c r="O1390" s="91">
        <v>20.010000000000002</v>
      </c>
      <c r="P1390" s="91">
        <v>9.7899999999999991</v>
      </c>
      <c r="Q1390" s="91"/>
      <c r="R1390" s="82">
        <v>1.1026757661942894</v>
      </c>
      <c r="S1390" s="91">
        <v>7.7</v>
      </c>
      <c r="T1390" s="91"/>
      <c r="U1390" s="91"/>
      <c r="V1390" s="91"/>
      <c r="W1390" s="91"/>
      <c r="X1390" s="91"/>
      <c r="Y1390" s="185">
        <v>11.89</v>
      </c>
      <c r="Z1390" s="91"/>
      <c r="AA1390" s="82"/>
      <c r="AB1390" s="82"/>
      <c r="AC1390" s="91"/>
      <c r="AD1390" s="91"/>
      <c r="AE1390" s="91"/>
      <c r="AF1390" s="91"/>
      <c r="AG1390" s="66">
        <f t="shared" si="58"/>
        <v>197.69217830109335</v>
      </c>
      <c r="AH1390" s="143">
        <f t="shared" si="59"/>
        <v>0</v>
      </c>
    </row>
    <row r="1391" spans="1:146" s="90" customFormat="1" x14ac:dyDescent="0.3">
      <c r="A1391" s="84">
        <v>903411</v>
      </c>
      <c r="B1391" s="182">
        <v>2.1</v>
      </c>
      <c r="C1391" s="182"/>
      <c r="D1391" s="184">
        <v>8.41</v>
      </c>
      <c r="E1391" s="1534">
        <v>0.23300000000000001</v>
      </c>
      <c r="F1391" s="182">
        <v>87.1</v>
      </c>
      <c r="G1391" s="181"/>
      <c r="H1391" s="183">
        <v>110.37</v>
      </c>
      <c r="I1391" s="181">
        <v>620</v>
      </c>
      <c r="J1391" s="181">
        <v>0.106</v>
      </c>
      <c r="K1391" s="182">
        <v>6.61</v>
      </c>
      <c r="L1391" s="181">
        <v>1080</v>
      </c>
      <c r="M1391" s="181">
        <v>2.25</v>
      </c>
      <c r="N1391" s="181">
        <v>2.54</v>
      </c>
      <c r="O1391" s="181">
        <v>6.22</v>
      </c>
      <c r="P1391" s="181">
        <v>5.91</v>
      </c>
      <c r="Q1391" s="181"/>
      <c r="R1391" s="184">
        <v>1.7064720000000002</v>
      </c>
      <c r="S1391" s="181">
        <v>13.8</v>
      </c>
      <c r="T1391" s="181"/>
      <c r="U1391" s="184"/>
      <c r="V1391" s="181"/>
      <c r="W1391" s="83"/>
      <c r="X1391" s="83"/>
      <c r="Y1391" s="185">
        <f t="shared" ref="Y1391:Y1424" ca="1" si="60">RANDBETWEEN(5,7)*AD1391/100</f>
        <v>26.6</v>
      </c>
      <c r="Z1391" s="181"/>
      <c r="AA1391" s="181"/>
      <c r="AB1391" s="181"/>
      <c r="AC1391" s="181"/>
      <c r="AD1391" s="181">
        <v>380</v>
      </c>
      <c r="AE1391" s="181">
        <v>340</v>
      </c>
      <c r="AF1391" s="88">
        <v>280</v>
      </c>
      <c r="AG1391" s="66">
        <f t="shared" ca="1" si="58"/>
        <v>87.967669172932332</v>
      </c>
      <c r="AH1391" s="143">
        <f t="shared" si="59"/>
        <v>1000</v>
      </c>
      <c r="AI1391" s="148"/>
      <c r="AJ1391" s="148"/>
      <c r="AK1391" s="148"/>
      <c r="AL1391" s="148"/>
      <c r="AM1391" s="148"/>
      <c r="AN1391" s="148"/>
      <c r="AO1391" s="148"/>
      <c r="AP1391" s="148"/>
      <c r="AQ1391" s="148"/>
      <c r="AR1391" s="148"/>
      <c r="AS1391" s="148"/>
      <c r="AT1391" s="148"/>
      <c r="AU1391" s="148"/>
      <c r="AV1391" s="148"/>
      <c r="AW1391" s="148"/>
      <c r="AX1391" s="148"/>
      <c r="AY1391" s="148"/>
      <c r="AZ1391" s="148"/>
      <c r="BA1391" s="148"/>
      <c r="BB1391" s="148"/>
      <c r="BC1391" s="148"/>
      <c r="BD1391" s="148"/>
      <c r="BE1391" s="148"/>
      <c r="BF1391" s="148"/>
      <c r="BG1391" s="148"/>
      <c r="BH1391" s="148"/>
      <c r="BI1391" s="148"/>
      <c r="BJ1391" s="148"/>
      <c r="BK1391" s="148"/>
      <c r="BL1391" s="148"/>
      <c r="BM1391" s="148"/>
      <c r="BN1391" s="148"/>
      <c r="BO1391" s="148"/>
      <c r="BP1391" s="148"/>
      <c r="BQ1391" s="148"/>
      <c r="BR1391" s="148"/>
      <c r="BS1391" s="148"/>
      <c r="BT1391" s="148"/>
      <c r="BU1391" s="148"/>
      <c r="BV1391" s="148"/>
      <c r="BW1391" s="148"/>
      <c r="BX1391" s="148"/>
      <c r="BY1391" s="148"/>
      <c r="BZ1391" s="148"/>
      <c r="CA1391" s="148"/>
      <c r="CB1391" s="148"/>
      <c r="CC1391" s="148"/>
      <c r="CD1391" s="148"/>
      <c r="CE1391" s="148"/>
      <c r="CF1391" s="148"/>
      <c r="CG1391" s="148"/>
      <c r="CH1391" s="148"/>
      <c r="CI1391" s="148"/>
      <c r="CJ1391" s="148"/>
      <c r="CK1391" s="148"/>
      <c r="CL1391" s="148"/>
      <c r="CM1391" s="148"/>
      <c r="CN1391" s="148"/>
      <c r="CO1391" s="148"/>
      <c r="CP1391" s="148"/>
      <c r="CQ1391" s="148"/>
      <c r="CR1391" s="148"/>
      <c r="CS1391" s="148"/>
      <c r="CT1391" s="148"/>
      <c r="CU1391" s="148"/>
      <c r="CV1391" s="148"/>
      <c r="CW1391" s="148"/>
      <c r="CX1391" s="148"/>
      <c r="CY1391" s="148"/>
      <c r="CZ1391" s="148"/>
      <c r="DA1391" s="148"/>
      <c r="DB1391" s="148"/>
      <c r="DC1391" s="148"/>
      <c r="DD1391" s="148"/>
      <c r="DE1391" s="148"/>
      <c r="DF1391" s="148"/>
      <c r="DG1391" s="148"/>
      <c r="DH1391" s="148"/>
      <c r="DI1391" s="148"/>
      <c r="DJ1391" s="148"/>
      <c r="DK1391" s="148"/>
      <c r="DL1391" s="148"/>
      <c r="DM1391" s="148"/>
      <c r="DN1391" s="148"/>
      <c r="DO1391" s="148"/>
      <c r="DP1391" s="148"/>
      <c r="DQ1391" s="148"/>
      <c r="DR1391" s="148"/>
      <c r="DS1391" s="148"/>
      <c r="DT1391" s="148"/>
      <c r="DU1391" s="148"/>
      <c r="DV1391" s="148"/>
      <c r="DW1391" s="148"/>
      <c r="DX1391" s="148"/>
      <c r="DY1391" s="148"/>
      <c r="DZ1391" s="148"/>
      <c r="EA1391" s="148"/>
      <c r="EB1391" s="148"/>
      <c r="EC1391" s="148"/>
      <c r="ED1391" s="148"/>
      <c r="EE1391" s="148"/>
      <c r="EF1391" s="148"/>
      <c r="EG1391" s="148"/>
      <c r="EH1391" s="148"/>
      <c r="EI1391" s="148"/>
      <c r="EJ1391" s="148"/>
      <c r="EK1391" s="148"/>
      <c r="EL1391" s="148"/>
      <c r="EM1391" s="148"/>
      <c r="EN1391" s="148"/>
      <c r="EO1391" s="148"/>
      <c r="EP1391" s="148"/>
    </row>
    <row r="1392" spans="1:146" s="90" customFormat="1" x14ac:dyDescent="0.3">
      <c r="A1392" s="84">
        <v>903412</v>
      </c>
      <c r="B1392" s="182">
        <v>2.6</v>
      </c>
      <c r="C1392" s="182"/>
      <c r="D1392" s="184">
        <v>8.6300000000000008</v>
      </c>
      <c r="E1392" s="1534">
        <v>0.247</v>
      </c>
      <c r="F1392" s="182">
        <v>69.8</v>
      </c>
      <c r="G1392" s="181"/>
      <c r="H1392" s="183">
        <v>25.26</v>
      </c>
      <c r="I1392" s="181">
        <v>420</v>
      </c>
      <c r="J1392" s="181">
        <v>0.11600000000000001</v>
      </c>
      <c r="K1392" s="182">
        <v>7.15</v>
      </c>
      <c r="L1392" s="181">
        <v>1140</v>
      </c>
      <c r="M1392" s="181">
        <v>0.81</v>
      </c>
      <c r="N1392" s="181">
        <v>1.62</v>
      </c>
      <c r="O1392" s="181">
        <v>6.36</v>
      </c>
      <c r="P1392" s="181">
        <v>4.9000000000000004</v>
      </c>
      <c r="Q1392" s="181"/>
      <c r="R1392" s="184">
        <v>1.7578170000000002</v>
      </c>
      <c r="S1392" s="181">
        <v>15.3</v>
      </c>
      <c r="T1392" s="181"/>
      <c r="U1392" s="184"/>
      <c r="V1392" s="181"/>
      <c r="W1392" s="83"/>
      <c r="X1392" s="83"/>
      <c r="Y1392" s="185">
        <f t="shared" ca="1" si="60"/>
        <v>26.4</v>
      </c>
      <c r="Z1392" s="181"/>
      <c r="AA1392" s="181"/>
      <c r="AB1392" s="181"/>
      <c r="AC1392" s="181"/>
      <c r="AD1392" s="181">
        <v>440</v>
      </c>
      <c r="AE1392" s="181">
        <v>340</v>
      </c>
      <c r="AF1392" s="88">
        <v>220</v>
      </c>
      <c r="AG1392" s="66">
        <f t="shared" ca="1" si="58"/>
        <v>95.875</v>
      </c>
      <c r="AH1392" s="143">
        <f t="shared" si="59"/>
        <v>1000</v>
      </c>
      <c r="AI1392" s="148"/>
      <c r="AJ1392" s="148"/>
      <c r="AK1392" s="148"/>
      <c r="AL1392" s="148"/>
      <c r="AM1392" s="148"/>
      <c r="AN1392" s="148"/>
      <c r="AO1392" s="148"/>
      <c r="AP1392" s="148"/>
      <c r="AQ1392" s="148"/>
      <c r="AR1392" s="148"/>
      <c r="AS1392" s="148"/>
      <c r="AT1392" s="148"/>
      <c r="AU1392" s="148"/>
      <c r="AV1392" s="148"/>
      <c r="AW1392" s="148"/>
      <c r="AX1392" s="148"/>
      <c r="AY1392" s="148"/>
      <c r="AZ1392" s="148"/>
      <c r="BA1392" s="148"/>
      <c r="BB1392" s="148"/>
      <c r="BC1392" s="148"/>
      <c r="BD1392" s="148"/>
      <c r="BE1392" s="148"/>
      <c r="BF1392" s="148"/>
      <c r="BG1392" s="148"/>
      <c r="BH1392" s="148"/>
      <c r="BI1392" s="148"/>
      <c r="BJ1392" s="148"/>
      <c r="BK1392" s="148"/>
      <c r="BL1392" s="148"/>
      <c r="BM1392" s="148"/>
      <c r="BN1392" s="148"/>
      <c r="BO1392" s="148"/>
      <c r="BP1392" s="148"/>
      <c r="BQ1392" s="148"/>
      <c r="BR1392" s="148"/>
      <c r="BS1392" s="148"/>
      <c r="BT1392" s="148"/>
      <c r="BU1392" s="148"/>
      <c r="BV1392" s="148"/>
      <c r="BW1392" s="148"/>
      <c r="BX1392" s="148"/>
      <c r="BY1392" s="148"/>
      <c r="BZ1392" s="148"/>
      <c r="CA1392" s="148"/>
      <c r="CB1392" s="148"/>
      <c r="CC1392" s="148"/>
      <c r="CD1392" s="148"/>
      <c r="CE1392" s="148"/>
      <c r="CF1392" s="148"/>
      <c r="CG1392" s="148"/>
      <c r="CH1392" s="148"/>
      <c r="CI1392" s="148"/>
      <c r="CJ1392" s="148"/>
      <c r="CK1392" s="148"/>
      <c r="CL1392" s="148"/>
      <c r="CM1392" s="148"/>
      <c r="CN1392" s="148"/>
      <c r="CO1392" s="148"/>
      <c r="CP1392" s="148"/>
      <c r="CQ1392" s="148"/>
      <c r="CR1392" s="148"/>
      <c r="CS1392" s="148"/>
      <c r="CT1392" s="148"/>
      <c r="CU1392" s="148"/>
      <c r="CV1392" s="148"/>
      <c r="CW1392" s="148"/>
      <c r="CX1392" s="148"/>
      <c r="CY1392" s="148"/>
      <c r="CZ1392" s="148"/>
      <c r="DA1392" s="148"/>
      <c r="DB1392" s="148"/>
      <c r="DC1392" s="148"/>
      <c r="DD1392" s="148"/>
      <c r="DE1392" s="148"/>
      <c r="DF1392" s="148"/>
      <c r="DG1392" s="148"/>
      <c r="DH1392" s="148"/>
      <c r="DI1392" s="148"/>
      <c r="DJ1392" s="148"/>
      <c r="DK1392" s="148"/>
      <c r="DL1392" s="148"/>
      <c r="DM1392" s="148"/>
      <c r="DN1392" s="148"/>
      <c r="DO1392" s="148"/>
      <c r="DP1392" s="148"/>
      <c r="DQ1392" s="148"/>
      <c r="DR1392" s="148"/>
      <c r="DS1392" s="148"/>
      <c r="DT1392" s="148"/>
      <c r="DU1392" s="148"/>
      <c r="DV1392" s="148"/>
      <c r="DW1392" s="148"/>
      <c r="DX1392" s="148"/>
      <c r="DY1392" s="148"/>
      <c r="DZ1392" s="148"/>
      <c r="EA1392" s="148"/>
      <c r="EB1392" s="148"/>
      <c r="EC1392" s="148"/>
      <c r="ED1392" s="148"/>
      <c r="EE1392" s="148"/>
      <c r="EF1392" s="148"/>
      <c r="EG1392" s="148"/>
      <c r="EH1392" s="148"/>
      <c r="EI1392" s="148"/>
      <c r="EJ1392" s="148"/>
      <c r="EK1392" s="148"/>
      <c r="EL1392" s="148"/>
      <c r="EM1392" s="148"/>
      <c r="EN1392" s="148"/>
      <c r="EO1392" s="148"/>
      <c r="EP1392" s="148"/>
    </row>
    <row r="1393" spans="1:146" s="90" customFormat="1" x14ac:dyDescent="0.3">
      <c r="A1393" s="84">
        <v>903413</v>
      </c>
      <c r="B1393" s="182">
        <v>5.6</v>
      </c>
      <c r="C1393" s="182"/>
      <c r="D1393" s="184">
        <v>8.5</v>
      </c>
      <c r="E1393" s="1534">
        <v>0.13900000000000001</v>
      </c>
      <c r="F1393" s="182">
        <v>54.1</v>
      </c>
      <c r="G1393" s="181"/>
      <c r="H1393" s="183">
        <v>91.9</v>
      </c>
      <c r="I1393" s="181">
        <v>320</v>
      </c>
      <c r="J1393" s="181">
        <v>3.9E-2</v>
      </c>
      <c r="K1393" s="182">
        <v>5.41</v>
      </c>
      <c r="L1393" s="181">
        <v>1890</v>
      </c>
      <c r="M1393" s="181">
        <v>1.1399999999999999</v>
      </c>
      <c r="N1393" s="181">
        <v>1.56</v>
      </c>
      <c r="O1393" s="181">
        <v>12.88</v>
      </c>
      <c r="P1393" s="181">
        <v>6.91</v>
      </c>
      <c r="Q1393" s="181"/>
      <c r="R1393" s="184">
        <v>1.859688</v>
      </c>
      <c r="S1393" s="181">
        <v>18.600000000000001</v>
      </c>
      <c r="T1393" s="181"/>
      <c r="U1393" s="184"/>
      <c r="V1393" s="181"/>
      <c r="W1393" s="83"/>
      <c r="X1393" s="83"/>
      <c r="Y1393" s="185">
        <f t="shared" ca="1" si="60"/>
        <v>27</v>
      </c>
      <c r="Z1393" s="181"/>
      <c r="AA1393" s="86">
        <v>4.0999999999999996</v>
      </c>
      <c r="AB1393" s="86">
        <v>0.878</v>
      </c>
      <c r="AC1393" s="83">
        <v>6</v>
      </c>
      <c r="AD1393" s="181">
        <v>540</v>
      </c>
      <c r="AE1393" s="181">
        <v>360</v>
      </c>
      <c r="AF1393" s="88">
        <v>100</v>
      </c>
      <c r="AG1393" s="66">
        <f t="shared" ca="1" si="58"/>
        <v>70.931111111111122</v>
      </c>
      <c r="AH1393" s="143">
        <f t="shared" si="59"/>
        <v>1000</v>
      </c>
      <c r="AI1393" s="148"/>
      <c r="AJ1393" s="148"/>
      <c r="AK1393" s="148"/>
      <c r="AL1393" s="148"/>
      <c r="AM1393" s="148"/>
      <c r="AN1393" s="148"/>
      <c r="AO1393" s="148"/>
      <c r="AP1393" s="148"/>
      <c r="AQ1393" s="148"/>
      <c r="AR1393" s="148"/>
      <c r="AS1393" s="148"/>
      <c r="AT1393" s="148"/>
      <c r="AU1393" s="148"/>
      <c r="AV1393" s="148"/>
      <c r="AW1393" s="148"/>
      <c r="AX1393" s="148"/>
      <c r="AY1393" s="148"/>
      <c r="AZ1393" s="148"/>
      <c r="BA1393" s="148"/>
      <c r="BB1393" s="148"/>
      <c r="BC1393" s="148"/>
      <c r="BD1393" s="148"/>
      <c r="BE1393" s="148"/>
      <c r="BF1393" s="148"/>
      <c r="BG1393" s="148"/>
      <c r="BH1393" s="148"/>
      <c r="BI1393" s="148"/>
      <c r="BJ1393" s="148"/>
      <c r="BK1393" s="148"/>
      <c r="BL1393" s="148"/>
      <c r="BM1393" s="148"/>
      <c r="BN1393" s="148"/>
      <c r="BO1393" s="148"/>
      <c r="BP1393" s="148"/>
      <c r="BQ1393" s="148"/>
      <c r="BR1393" s="148"/>
      <c r="BS1393" s="148"/>
      <c r="BT1393" s="148"/>
      <c r="BU1393" s="148"/>
      <c r="BV1393" s="148"/>
      <c r="BW1393" s="148"/>
      <c r="BX1393" s="148"/>
      <c r="BY1393" s="148"/>
      <c r="BZ1393" s="148"/>
      <c r="CA1393" s="148"/>
      <c r="CB1393" s="148"/>
      <c r="CC1393" s="148"/>
      <c r="CD1393" s="148"/>
      <c r="CE1393" s="148"/>
      <c r="CF1393" s="148"/>
      <c r="CG1393" s="148"/>
      <c r="CH1393" s="148"/>
      <c r="CI1393" s="148"/>
      <c r="CJ1393" s="148"/>
      <c r="CK1393" s="148"/>
      <c r="CL1393" s="148"/>
      <c r="CM1393" s="148"/>
      <c r="CN1393" s="148"/>
      <c r="CO1393" s="148"/>
      <c r="CP1393" s="148"/>
      <c r="CQ1393" s="148"/>
      <c r="CR1393" s="148"/>
      <c r="CS1393" s="148"/>
      <c r="CT1393" s="148"/>
      <c r="CU1393" s="148"/>
      <c r="CV1393" s="148"/>
      <c r="CW1393" s="148"/>
      <c r="CX1393" s="148"/>
      <c r="CY1393" s="148"/>
      <c r="CZ1393" s="148"/>
      <c r="DA1393" s="148"/>
      <c r="DB1393" s="148"/>
      <c r="DC1393" s="148"/>
      <c r="DD1393" s="148"/>
      <c r="DE1393" s="148"/>
      <c r="DF1393" s="148"/>
      <c r="DG1393" s="148"/>
      <c r="DH1393" s="148"/>
      <c r="DI1393" s="148"/>
      <c r="DJ1393" s="148"/>
      <c r="DK1393" s="148"/>
      <c r="DL1393" s="148"/>
      <c r="DM1393" s="148"/>
      <c r="DN1393" s="148"/>
      <c r="DO1393" s="148"/>
      <c r="DP1393" s="148"/>
      <c r="DQ1393" s="148"/>
      <c r="DR1393" s="148"/>
      <c r="DS1393" s="148"/>
      <c r="DT1393" s="148"/>
      <c r="DU1393" s="148"/>
      <c r="DV1393" s="148"/>
      <c r="DW1393" s="148"/>
      <c r="DX1393" s="148"/>
      <c r="DY1393" s="148"/>
      <c r="DZ1393" s="148"/>
      <c r="EA1393" s="148"/>
      <c r="EB1393" s="148"/>
      <c r="EC1393" s="148"/>
      <c r="ED1393" s="148"/>
      <c r="EE1393" s="148"/>
      <c r="EF1393" s="148"/>
      <c r="EG1393" s="148"/>
      <c r="EH1393" s="148"/>
      <c r="EI1393" s="148"/>
      <c r="EJ1393" s="148"/>
      <c r="EK1393" s="148"/>
      <c r="EL1393" s="148"/>
      <c r="EM1393" s="148"/>
      <c r="EN1393" s="148"/>
      <c r="EO1393" s="148"/>
      <c r="EP1393" s="148"/>
    </row>
    <row r="1394" spans="1:146" s="90" customFormat="1" x14ac:dyDescent="0.3">
      <c r="A1394" s="84">
        <v>903414</v>
      </c>
      <c r="B1394" s="182">
        <v>5.4</v>
      </c>
      <c r="C1394" s="182"/>
      <c r="D1394" s="184">
        <v>8.44</v>
      </c>
      <c r="E1394" s="1534">
        <v>0.16</v>
      </c>
      <c r="F1394" s="182">
        <v>50.8</v>
      </c>
      <c r="G1394" s="181"/>
      <c r="H1394" s="183">
        <v>21.47</v>
      </c>
      <c r="I1394" s="181">
        <v>320</v>
      </c>
      <c r="J1394" s="181">
        <v>5.8999999999999997E-2</v>
      </c>
      <c r="K1394" s="182">
        <v>5.54</v>
      </c>
      <c r="L1394" s="181">
        <v>2610</v>
      </c>
      <c r="M1394" s="181">
        <v>2.37</v>
      </c>
      <c r="N1394" s="181">
        <v>3.07</v>
      </c>
      <c r="O1394" s="181">
        <v>45.41</v>
      </c>
      <c r="P1394" s="181">
        <v>11.04</v>
      </c>
      <c r="Q1394" s="181"/>
      <c r="R1394" s="184">
        <v>1.821377</v>
      </c>
      <c r="S1394" s="181">
        <v>17.3</v>
      </c>
      <c r="T1394" s="181"/>
      <c r="U1394" s="184"/>
      <c r="V1394" s="181"/>
      <c r="W1394" s="83"/>
      <c r="X1394" s="83"/>
      <c r="Y1394" s="185">
        <f t="shared" ca="1" si="60"/>
        <v>31</v>
      </c>
      <c r="Z1394" s="181"/>
      <c r="AA1394" s="86">
        <v>3.96</v>
      </c>
      <c r="AB1394" s="86">
        <v>0.32700000000000001</v>
      </c>
      <c r="AC1394" s="83">
        <v>10.3</v>
      </c>
      <c r="AD1394" s="181">
        <v>620</v>
      </c>
      <c r="AE1394" s="181">
        <v>300</v>
      </c>
      <c r="AF1394" s="88">
        <v>80</v>
      </c>
      <c r="AG1394" s="66">
        <f t="shared" ca="1" si="58"/>
        <v>63.263225806451608</v>
      </c>
      <c r="AH1394" s="143">
        <f t="shared" si="59"/>
        <v>1000</v>
      </c>
      <c r="AI1394" s="148"/>
      <c r="AJ1394" s="148"/>
      <c r="AK1394" s="148"/>
      <c r="AL1394" s="148"/>
      <c r="AM1394" s="148"/>
      <c r="AN1394" s="148"/>
      <c r="AO1394" s="148"/>
      <c r="AP1394" s="148"/>
      <c r="AQ1394" s="148"/>
      <c r="AR1394" s="148"/>
      <c r="AS1394" s="148"/>
      <c r="AT1394" s="148"/>
      <c r="AU1394" s="148"/>
      <c r="AV1394" s="148"/>
      <c r="AW1394" s="148"/>
      <c r="AX1394" s="148"/>
      <c r="AY1394" s="148"/>
      <c r="AZ1394" s="148"/>
      <c r="BA1394" s="148"/>
      <c r="BB1394" s="148"/>
      <c r="BC1394" s="148"/>
      <c r="BD1394" s="148"/>
      <c r="BE1394" s="148"/>
      <c r="BF1394" s="148"/>
      <c r="BG1394" s="148"/>
      <c r="BH1394" s="148"/>
      <c r="BI1394" s="148"/>
      <c r="BJ1394" s="148"/>
      <c r="BK1394" s="148"/>
      <c r="BL1394" s="148"/>
      <c r="BM1394" s="148"/>
      <c r="BN1394" s="148"/>
      <c r="BO1394" s="148"/>
      <c r="BP1394" s="148"/>
      <c r="BQ1394" s="148"/>
      <c r="BR1394" s="148"/>
      <c r="BS1394" s="148"/>
      <c r="BT1394" s="148"/>
      <c r="BU1394" s="148"/>
      <c r="BV1394" s="148"/>
      <c r="BW1394" s="148"/>
      <c r="BX1394" s="148"/>
      <c r="BY1394" s="148"/>
      <c r="BZ1394" s="148"/>
      <c r="CA1394" s="148"/>
      <c r="CB1394" s="148"/>
      <c r="CC1394" s="148"/>
      <c r="CD1394" s="148"/>
      <c r="CE1394" s="148"/>
      <c r="CF1394" s="148"/>
      <c r="CG1394" s="148"/>
      <c r="CH1394" s="148"/>
      <c r="CI1394" s="148"/>
      <c r="CJ1394" s="148"/>
      <c r="CK1394" s="148"/>
      <c r="CL1394" s="148"/>
      <c r="CM1394" s="148"/>
      <c r="CN1394" s="148"/>
      <c r="CO1394" s="148"/>
      <c r="CP1394" s="148"/>
      <c r="CQ1394" s="148"/>
      <c r="CR1394" s="148"/>
      <c r="CS1394" s="148"/>
      <c r="CT1394" s="148"/>
      <c r="CU1394" s="148"/>
      <c r="CV1394" s="148"/>
      <c r="CW1394" s="148"/>
      <c r="CX1394" s="148"/>
      <c r="CY1394" s="148"/>
      <c r="CZ1394" s="148"/>
      <c r="DA1394" s="148"/>
      <c r="DB1394" s="148"/>
      <c r="DC1394" s="148"/>
      <c r="DD1394" s="148"/>
      <c r="DE1394" s="148"/>
      <c r="DF1394" s="148"/>
      <c r="DG1394" s="148"/>
      <c r="DH1394" s="148"/>
      <c r="DI1394" s="148"/>
      <c r="DJ1394" s="148"/>
      <c r="DK1394" s="148"/>
      <c r="DL1394" s="148"/>
      <c r="DM1394" s="148"/>
      <c r="DN1394" s="148"/>
      <c r="DO1394" s="148"/>
      <c r="DP1394" s="148"/>
      <c r="DQ1394" s="148"/>
      <c r="DR1394" s="148"/>
      <c r="DS1394" s="148"/>
      <c r="DT1394" s="148"/>
      <c r="DU1394" s="148"/>
      <c r="DV1394" s="148"/>
      <c r="DW1394" s="148"/>
      <c r="DX1394" s="148"/>
      <c r="DY1394" s="148"/>
      <c r="DZ1394" s="148"/>
      <c r="EA1394" s="148"/>
      <c r="EB1394" s="148"/>
      <c r="EC1394" s="148"/>
      <c r="ED1394" s="148"/>
      <c r="EE1394" s="148"/>
      <c r="EF1394" s="148"/>
      <c r="EG1394" s="148"/>
      <c r="EH1394" s="148"/>
      <c r="EI1394" s="148"/>
      <c r="EJ1394" s="148"/>
      <c r="EK1394" s="148"/>
      <c r="EL1394" s="148"/>
      <c r="EM1394" s="148"/>
      <c r="EN1394" s="148"/>
      <c r="EO1394" s="148"/>
      <c r="EP1394" s="148"/>
    </row>
    <row r="1395" spans="1:146" s="90" customFormat="1" x14ac:dyDescent="0.3">
      <c r="A1395" s="84">
        <v>903415</v>
      </c>
      <c r="B1395" s="182">
        <v>5.2</v>
      </c>
      <c r="C1395" s="182"/>
      <c r="D1395" s="184">
        <v>8.42</v>
      </c>
      <c r="E1395" s="1534">
        <v>0.14899999999999999</v>
      </c>
      <c r="F1395" s="182">
        <v>50.3</v>
      </c>
      <c r="G1395" s="181"/>
      <c r="H1395" s="183">
        <v>40.64</v>
      </c>
      <c r="I1395" s="181">
        <v>450</v>
      </c>
      <c r="J1395" s="181">
        <v>3.6999999999999998E-2</v>
      </c>
      <c r="K1395" s="182">
        <v>4.7699999999999996</v>
      </c>
      <c r="L1395" s="181">
        <v>1790</v>
      </c>
      <c r="M1395" s="181">
        <v>1.96</v>
      </c>
      <c r="N1395" s="181">
        <v>2.95</v>
      </c>
      <c r="O1395" s="181">
        <v>21.6</v>
      </c>
      <c r="P1395" s="181">
        <v>9.5</v>
      </c>
      <c r="Q1395" s="181"/>
      <c r="R1395" s="184">
        <v>1.8568250000000002</v>
      </c>
      <c r="S1395" s="181">
        <v>18.5</v>
      </c>
      <c r="T1395" s="181"/>
      <c r="U1395" s="184"/>
      <c r="V1395" s="181"/>
      <c r="W1395" s="83"/>
      <c r="X1395" s="83"/>
      <c r="Y1395" s="185">
        <f t="shared" ca="1" si="60"/>
        <v>30</v>
      </c>
      <c r="Z1395" s="181"/>
      <c r="AA1395" s="86">
        <v>3.89</v>
      </c>
      <c r="AB1395" s="86">
        <v>0.313</v>
      </c>
      <c r="AC1395" s="83">
        <v>9</v>
      </c>
      <c r="AD1395" s="181">
        <v>600</v>
      </c>
      <c r="AE1395" s="181">
        <v>320</v>
      </c>
      <c r="AF1395" s="88">
        <v>80</v>
      </c>
      <c r="AG1395" s="66">
        <f t="shared" ca="1" si="58"/>
        <v>56.285999999999994</v>
      </c>
      <c r="AH1395" s="143">
        <f t="shared" si="59"/>
        <v>1000</v>
      </c>
      <c r="AI1395" s="148"/>
      <c r="AJ1395" s="148"/>
      <c r="AK1395" s="148"/>
      <c r="AL1395" s="148"/>
      <c r="AM1395" s="148"/>
      <c r="AN1395" s="148"/>
      <c r="AO1395" s="148"/>
      <c r="AP1395" s="148"/>
      <c r="AQ1395" s="148"/>
      <c r="AR1395" s="148"/>
      <c r="AS1395" s="148"/>
      <c r="AT1395" s="148"/>
      <c r="AU1395" s="148"/>
      <c r="AV1395" s="148"/>
      <c r="AW1395" s="148"/>
      <c r="AX1395" s="148"/>
      <c r="AY1395" s="148"/>
      <c r="AZ1395" s="148"/>
      <c r="BA1395" s="148"/>
      <c r="BB1395" s="148"/>
      <c r="BC1395" s="148"/>
      <c r="BD1395" s="148"/>
      <c r="BE1395" s="148"/>
      <c r="BF1395" s="148"/>
      <c r="BG1395" s="148"/>
      <c r="BH1395" s="148"/>
      <c r="BI1395" s="148"/>
      <c r="BJ1395" s="148"/>
      <c r="BK1395" s="148"/>
      <c r="BL1395" s="148"/>
      <c r="BM1395" s="148"/>
      <c r="BN1395" s="148"/>
      <c r="BO1395" s="148"/>
      <c r="BP1395" s="148"/>
      <c r="BQ1395" s="148"/>
      <c r="BR1395" s="148"/>
      <c r="BS1395" s="148"/>
      <c r="BT1395" s="148"/>
      <c r="BU1395" s="148"/>
      <c r="BV1395" s="148"/>
      <c r="BW1395" s="148"/>
      <c r="BX1395" s="148"/>
      <c r="BY1395" s="148"/>
      <c r="BZ1395" s="148"/>
      <c r="CA1395" s="148"/>
      <c r="CB1395" s="148"/>
      <c r="CC1395" s="148"/>
      <c r="CD1395" s="148"/>
      <c r="CE1395" s="148"/>
      <c r="CF1395" s="148"/>
      <c r="CG1395" s="148"/>
      <c r="CH1395" s="148"/>
      <c r="CI1395" s="148"/>
      <c r="CJ1395" s="148"/>
      <c r="CK1395" s="148"/>
      <c r="CL1395" s="148"/>
      <c r="CM1395" s="148"/>
      <c r="CN1395" s="148"/>
      <c r="CO1395" s="148"/>
      <c r="CP1395" s="148"/>
      <c r="CQ1395" s="148"/>
      <c r="CR1395" s="148"/>
      <c r="CS1395" s="148"/>
      <c r="CT1395" s="148"/>
      <c r="CU1395" s="148"/>
      <c r="CV1395" s="148"/>
      <c r="CW1395" s="148"/>
      <c r="CX1395" s="148"/>
      <c r="CY1395" s="148"/>
      <c r="CZ1395" s="148"/>
      <c r="DA1395" s="148"/>
      <c r="DB1395" s="148"/>
      <c r="DC1395" s="148"/>
      <c r="DD1395" s="148"/>
      <c r="DE1395" s="148"/>
      <c r="DF1395" s="148"/>
      <c r="DG1395" s="148"/>
      <c r="DH1395" s="148"/>
      <c r="DI1395" s="148"/>
      <c r="DJ1395" s="148"/>
      <c r="DK1395" s="148"/>
      <c r="DL1395" s="148"/>
      <c r="DM1395" s="148"/>
      <c r="DN1395" s="148"/>
      <c r="DO1395" s="148"/>
      <c r="DP1395" s="148"/>
      <c r="DQ1395" s="148"/>
      <c r="DR1395" s="148"/>
      <c r="DS1395" s="148"/>
      <c r="DT1395" s="148"/>
      <c r="DU1395" s="148"/>
      <c r="DV1395" s="148"/>
      <c r="DW1395" s="148"/>
      <c r="DX1395" s="148"/>
      <c r="DY1395" s="148"/>
      <c r="DZ1395" s="148"/>
      <c r="EA1395" s="148"/>
      <c r="EB1395" s="148"/>
      <c r="EC1395" s="148"/>
      <c r="ED1395" s="148"/>
      <c r="EE1395" s="148"/>
      <c r="EF1395" s="148"/>
      <c r="EG1395" s="148"/>
      <c r="EH1395" s="148"/>
      <c r="EI1395" s="148"/>
      <c r="EJ1395" s="148"/>
      <c r="EK1395" s="148"/>
      <c r="EL1395" s="148"/>
      <c r="EM1395" s="148"/>
      <c r="EN1395" s="148"/>
      <c r="EO1395" s="148"/>
      <c r="EP1395" s="148"/>
    </row>
    <row r="1396" spans="1:146" s="90" customFormat="1" x14ac:dyDescent="0.3">
      <c r="A1396" s="84">
        <v>903416</v>
      </c>
      <c r="B1396" s="182">
        <v>5.7</v>
      </c>
      <c r="C1396" s="182"/>
      <c r="D1396" s="184">
        <v>8.2899999999999991</v>
      </c>
      <c r="E1396" s="1534">
        <v>0.26800000000000002</v>
      </c>
      <c r="F1396" s="182">
        <v>54.2</v>
      </c>
      <c r="G1396" s="181"/>
      <c r="H1396" s="183">
        <v>34.57</v>
      </c>
      <c r="I1396" s="181">
        <v>320</v>
      </c>
      <c r="J1396" s="181">
        <v>3.4000000000000002E-2</v>
      </c>
      <c r="K1396" s="182">
        <v>5.75</v>
      </c>
      <c r="L1396" s="181">
        <v>2060</v>
      </c>
      <c r="M1396" s="181">
        <v>1.32</v>
      </c>
      <c r="N1396" s="181">
        <v>1.9</v>
      </c>
      <c r="O1396" s="181">
        <v>20.47</v>
      </c>
      <c r="P1396" s="181">
        <v>8.06</v>
      </c>
      <c r="Q1396" s="181"/>
      <c r="R1396" s="184">
        <v>1.9695530000000001</v>
      </c>
      <c r="S1396" s="181">
        <v>22.9</v>
      </c>
      <c r="T1396" s="181"/>
      <c r="U1396" s="184"/>
      <c r="V1396" s="181"/>
      <c r="W1396" s="83"/>
      <c r="X1396" s="83"/>
      <c r="Y1396" s="185">
        <f t="shared" ca="1" si="60"/>
        <v>39.200000000000003</v>
      </c>
      <c r="Z1396" s="181"/>
      <c r="AA1396" s="86">
        <v>3.54</v>
      </c>
      <c r="AB1396" s="86">
        <v>0.32500000000000001</v>
      </c>
      <c r="AC1396" s="83">
        <v>6.1</v>
      </c>
      <c r="AD1396" s="181">
        <v>560</v>
      </c>
      <c r="AE1396" s="181">
        <v>340</v>
      </c>
      <c r="AF1396" s="88">
        <v>100</v>
      </c>
      <c r="AG1396" s="66">
        <f t="shared" ca="1" si="58"/>
        <v>51.926020408163261</v>
      </c>
      <c r="AH1396" s="143">
        <f t="shared" si="59"/>
        <v>1000</v>
      </c>
      <c r="AI1396" s="148"/>
      <c r="AJ1396" s="148"/>
      <c r="AK1396" s="148"/>
      <c r="AL1396" s="148"/>
      <c r="AM1396" s="148"/>
      <c r="AN1396" s="148"/>
      <c r="AO1396" s="148"/>
      <c r="AP1396" s="148"/>
      <c r="AQ1396" s="148"/>
      <c r="AR1396" s="148"/>
      <c r="AS1396" s="148"/>
      <c r="AT1396" s="148"/>
      <c r="AU1396" s="148"/>
      <c r="AV1396" s="148"/>
      <c r="AW1396" s="148"/>
      <c r="AX1396" s="148"/>
      <c r="AY1396" s="148"/>
      <c r="AZ1396" s="148"/>
      <c r="BA1396" s="148"/>
      <c r="BB1396" s="148"/>
      <c r="BC1396" s="148"/>
      <c r="BD1396" s="148"/>
      <c r="BE1396" s="148"/>
      <c r="BF1396" s="148"/>
      <c r="BG1396" s="148"/>
      <c r="BH1396" s="148"/>
      <c r="BI1396" s="148"/>
      <c r="BJ1396" s="148"/>
      <c r="BK1396" s="148"/>
      <c r="BL1396" s="148"/>
      <c r="BM1396" s="148"/>
      <c r="BN1396" s="148"/>
      <c r="BO1396" s="148"/>
      <c r="BP1396" s="148"/>
      <c r="BQ1396" s="148"/>
      <c r="BR1396" s="148"/>
      <c r="BS1396" s="148"/>
      <c r="BT1396" s="148"/>
      <c r="BU1396" s="148"/>
      <c r="BV1396" s="148"/>
      <c r="BW1396" s="148"/>
      <c r="BX1396" s="148"/>
      <c r="BY1396" s="148"/>
      <c r="BZ1396" s="148"/>
      <c r="CA1396" s="148"/>
      <c r="CB1396" s="148"/>
      <c r="CC1396" s="148"/>
      <c r="CD1396" s="148"/>
      <c r="CE1396" s="148"/>
      <c r="CF1396" s="148"/>
      <c r="CG1396" s="148"/>
      <c r="CH1396" s="148"/>
      <c r="CI1396" s="148"/>
      <c r="CJ1396" s="148"/>
      <c r="CK1396" s="148"/>
      <c r="CL1396" s="148"/>
      <c r="CM1396" s="148"/>
      <c r="CN1396" s="148"/>
      <c r="CO1396" s="148"/>
      <c r="CP1396" s="148"/>
      <c r="CQ1396" s="148"/>
      <c r="CR1396" s="148"/>
      <c r="CS1396" s="148"/>
      <c r="CT1396" s="148"/>
      <c r="CU1396" s="148"/>
      <c r="CV1396" s="148"/>
      <c r="CW1396" s="148"/>
      <c r="CX1396" s="148"/>
      <c r="CY1396" s="148"/>
      <c r="CZ1396" s="148"/>
      <c r="DA1396" s="148"/>
      <c r="DB1396" s="148"/>
      <c r="DC1396" s="148"/>
      <c r="DD1396" s="148"/>
      <c r="DE1396" s="148"/>
      <c r="DF1396" s="148"/>
      <c r="DG1396" s="148"/>
      <c r="DH1396" s="148"/>
      <c r="DI1396" s="148"/>
      <c r="DJ1396" s="148"/>
      <c r="DK1396" s="148"/>
      <c r="DL1396" s="148"/>
      <c r="DM1396" s="148"/>
      <c r="DN1396" s="148"/>
      <c r="DO1396" s="148"/>
      <c r="DP1396" s="148"/>
      <c r="DQ1396" s="148"/>
      <c r="DR1396" s="148"/>
      <c r="DS1396" s="148"/>
      <c r="DT1396" s="148"/>
      <c r="DU1396" s="148"/>
      <c r="DV1396" s="148"/>
      <c r="DW1396" s="148"/>
      <c r="DX1396" s="148"/>
      <c r="DY1396" s="148"/>
      <c r="DZ1396" s="148"/>
      <c r="EA1396" s="148"/>
      <c r="EB1396" s="148"/>
      <c r="EC1396" s="148"/>
      <c r="ED1396" s="148"/>
      <c r="EE1396" s="148"/>
      <c r="EF1396" s="148"/>
      <c r="EG1396" s="148"/>
      <c r="EH1396" s="148"/>
      <c r="EI1396" s="148"/>
      <c r="EJ1396" s="148"/>
      <c r="EK1396" s="148"/>
      <c r="EL1396" s="148"/>
      <c r="EM1396" s="148"/>
      <c r="EN1396" s="148"/>
      <c r="EO1396" s="148"/>
      <c r="EP1396" s="148"/>
    </row>
    <row r="1397" spans="1:146" s="90" customFormat="1" x14ac:dyDescent="0.3">
      <c r="A1397" s="84">
        <v>903417</v>
      </c>
      <c r="B1397" s="182">
        <v>5.7</v>
      </c>
      <c r="C1397" s="182"/>
      <c r="D1397" s="184">
        <v>8.1199999999999992</v>
      </c>
      <c r="E1397" s="1534">
        <v>0.373</v>
      </c>
      <c r="F1397" s="182">
        <v>53.3</v>
      </c>
      <c r="G1397" s="181"/>
      <c r="H1397" s="183">
        <v>57.66</v>
      </c>
      <c r="I1397" s="181">
        <v>450</v>
      </c>
      <c r="J1397" s="181">
        <v>2.5000000000000001E-2</v>
      </c>
      <c r="K1397" s="182">
        <v>4.99</v>
      </c>
      <c r="L1397" s="181">
        <v>1920</v>
      </c>
      <c r="M1397" s="181">
        <v>1.33</v>
      </c>
      <c r="N1397" s="181">
        <v>1.55</v>
      </c>
      <c r="O1397" s="181">
        <v>31.19</v>
      </c>
      <c r="P1397" s="181">
        <v>7.48</v>
      </c>
      <c r="Q1397" s="181"/>
      <c r="R1397" s="184">
        <v>1.9009530000000001</v>
      </c>
      <c r="S1397" s="181">
        <v>20.100000000000001</v>
      </c>
      <c r="T1397" s="181"/>
      <c r="U1397" s="184"/>
      <c r="V1397" s="181"/>
      <c r="W1397" s="83"/>
      <c r="X1397" s="83"/>
      <c r="Y1397" s="185">
        <f t="shared" ca="1" si="60"/>
        <v>42</v>
      </c>
      <c r="Z1397" s="181"/>
      <c r="AA1397" s="86">
        <v>3.49</v>
      </c>
      <c r="AB1397" s="86">
        <v>0.34300000000000003</v>
      </c>
      <c r="AC1397" s="83">
        <v>6.3</v>
      </c>
      <c r="AD1397" s="181">
        <v>600</v>
      </c>
      <c r="AE1397" s="181">
        <v>320</v>
      </c>
      <c r="AF1397" s="88">
        <v>80</v>
      </c>
      <c r="AG1397" s="66">
        <f t="shared" ca="1" si="58"/>
        <v>42.058571428571426</v>
      </c>
      <c r="AH1397" s="143">
        <f t="shared" si="59"/>
        <v>1000</v>
      </c>
      <c r="AI1397" s="148"/>
      <c r="AJ1397" s="148"/>
      <c r="AK1397" s="148"/>
      <c r="AL1397" s="148"/>
      <c r="AM1397" s="148"/>
      <c r="AN1397" s="148"/>
      <c r="AO1397" s="148"/>
      <c r="AP1397" s="148"/>
      <c r="AQ1397" s="148"/>
      <c r="AR1397" s="148"/>
      <c r="AS1397" s="148"/>
      <c r="AT1397" s="148"/>
      <c r="AU1397" s="148"/>
      <c r="AV1397" s="148"/>
      <c r="AW1397" s="148"/>
      <c r="AX1397" s="148"/>
      <c r="AY1397" s="148"/>
      <c r="AZ1397" s="148"/>
      <c r="BA1397" s="148"/>
      <c r="BB1397" s="148"/>
      <c r="BC1397" s="148"/>
      <c r="BD1397" s="148"/>
      <c r="BE1397" s="148"/>
      <c r="BF1397" s="148"/>
      <c r="BG1397" s="148"/>
      <c r="BH1397" s="148"/>
      <c r="BI1397" s="148"/>
      <c r="BJ1397" s="148"/>
      <c r="BK1397" s="148"/>
      <c r="BL1397" s="148"/>
      <c r="BM1397" s="148"/>
      <c r="BN1397" s="148"/>
      <c r="BO1397" s="148"/>
      <c r="BP1397" s="148"/>
      <c r="BQ1397" s="148"/>
      <c r="BR1397" s="148"/>
      <c r="BS1397" s="148"/>
      <c r="BT1397" s="148"/>
      <c r="BU1397" s="148"/>
      <c r="BV1397" s="148"/>
      <c r="BW1397" s="148"/>
      <c r="BX1397" s="148"/>
      <c r="BY1397" s="148"/>
      <c r="BZ1397" s="148"/>
      <c r="CA1397" s="148"/>
      <c r="CB1397" s="148"/>
      <c r="CC1397" s="148"/>
      <c r="CD1397" s="148"/>
      <c r="CE1397" s="148"/>
      <c r="CF1397" s="148"/>
      <c r="CG1397" s="148"/>
      <c r="CH1397" s="148"/>
      <c r="CI1397" s="148"/>
      <c r="CJ1397" s="148"/>
      <c r="CK1397" s="148"/>
      <c r="CL1397" s="148"/>
      <c r="CM1397" s="148"/>
      <c r="CN1397" s="148"/>
      <c r="CO1397" s="148"/>
      <c r="CP1397" s="148"/>
      <c r="CQ1397" s="148"/>
      <c r="CR1397" s="148"/>
      <c r="CS1397" s="148"/>
      <c r="CT1397" s="148"/>
      <c r="CU1397" s="148"/>
      <c r="CV1397" s="148"/>
      <c r="CW1397" s="148"/>
      <c r="CX1397" s="148"/>
      <c r="CY1397" s="148"/>
      <c r="CZ1397" s="148"/>
      <c r="DA1397" s="148"/>
      <c r="DB1397" s="148"/>
      <c r="DC1397" s="148"/>
      <c r="DD1397" s="148"/>
      <c r="DE1397" s="148"/>
      <c r="DF1397" s="148"/>
      <c r="DG1397" s="148"/>
      <c r="DH1397" s="148"/>
      <c r="DI1397" s="148"/>
      <c r="DJ1397" s="148"/>
      <c r="DK1397" s="148"/>
      <c r="DL1397" s="148"/>
      <c r="DM1397" s="148"/>
      <c r="DN1397" s="148"/>
      <c r="DO1397" s="148"/>
      <c r="DP1397" s="148"/>
      <c r="DQ1397" s="148"/>
      <c r="DR1397" s="148"/>
      <c r="DS1397" s="148"/>
      <c r="DT1397" s="148"/>
      <c r="DU1397" s="148"/>
      <c r="DV1397" s="148"/>
      <c r="DW1397" s="148"/>
      <c r="DX1397" s="148"/>
      <c r="DY1397" s="148"/>
      <c r="DZ1397" s="148"/>
      <c r="EA1397" s="148"/>
      <c r="EB1397" s="148"/>
      <c r="EC1397" s="148"/>
      <c r="ED1397" s="148"/>
      <c r="EE1397" s="148"/>
      <c r="EF1397" s="148"/>
      <c r="EG1397" s="148"/>
      <c r="EH1397" s="148"/>
      <c r="EI1397" s="148"/>
      <c r="EJ1397" s="148"/>
      <c r="EK1397" s="148"/>
      <c r="EL1397" s="148"/>
      <c r="EM1397" s="148"/>
      <c r="EN1397" s="148"/>
      <c r="EO1397" s="148"/>
      <c r="EP1397" s="148"/>
    </row>
    <row r="1398" spans="1:146" s="90" customFormat="1" x14ac:dyDescent="0.3">
      <c r="A1398" s="84">
        <v>903418</v>
      </c>
      <c r="B1398" s="182">
        <v>5.6</v>
      </c>
      <c r="C1398" s="182"/>
      <c r="D1398" s="184">
        <v>8.5299999999999994</v>
      </c>
      <c r="E1398" s="1534">
        <v>0.121</v>
      </c>
      <c r="F1398" s="182">
        <v>41.8</v>
      </c>
      <c r="G1398" s="181"/>
      <c r="H1398" s="183">
        <v>58.8</v>
      </c>
      <c r="I1398" s="181">
        <v>240</v>
      </c>
      <c r="J1398" s="181">
        <v>3.2000000000000001E-2</v>
      </c>
      <c r="K1398" s="182">
        <v>4.59</v>
      </c>
      <c r="L1398" s="181">
        <v>1740</v>
      </c>
      <c r="M1398" s="181">
        <v>0.77</v>
      </c>
      <c r="N1398" s="181">
        <v>1.4</v>
      </c>
      <c r="O1398" s="181">
        <v>16.05</v>
      </c>
      <c r="P1398" s="181">
        <v>6.59</v>
      </c>
      <c r="Q1398" s="181"/>
      <c r="R1398" s="184">
        <v>1.941497</v>
      </c>
      <c r="S1398" s="181">
        <v>21.7</v>
      </c>
      <c r="T1398" s="181"/>
      <c r="U1398" s="184"/>
      <c r="V1398" s="181"/>
      <c r="W1398" s="83"/>
      <c r="X1398" s="83"/>
      <c r="Y1398" s="185">
        <f t="shared" ca="1" si="60"/>
        <v>29</v>
      </c>
      <c r="Z1398" s="181"/>
      <c r="AA1398" s="86">
        <v>4.1399999999999997</v>
      </c>
      <c r="AB1398" s="86">
        <v>0.55600000000000005</v>
      </c>
      <c r="AC1398" s="83">
        <v>11.2</v>
      </c>
      <c r="AD1398" s="181">
        <v>580</v>
      </c>
      <c r="AE1398" s="181">
        <v>340</v>
      </c>
      <c r="AF1398" s="88">
        <v>80</v>
      </c>
      <c r="AG1398" s="66">
        <f t="shared" ca="1" si="58"/>
        <v>56.02965517241379</v>
      </c>
      <c r="AH1398" s="143">
        <f t="shared" si="59"/>
        <v>1000</v>
      </c>
      <c r="AI1398" s="148"/>
      <c r="AJ1398" s="148"/>
      <c r="AK1398" s="148"/>
      <c r="AL1398" s="148"/>
      <c r="AM1398" s="148"/>
      <c r="AN1398" s="148"/>
      <c r="AO1398" s="148"/>
      <c r="AP1398" s="148"/>
      <c r="AQ1398" s="148"/>
      <c r="AR1398" s="148"/>
      <c r="AS1398" s="148"/>
      <c r="AT1398" s="148"/>
      <c r="AU1398" s="148"/>
      <c r="AV1398" s="148"/>
      <c r="AW1398" s="148"/>
      <c r="AX1398" s="148"/>
      <c r="AY1398" s="148"/>
      <c r="AZ1398" s="148"/>
      <c r="BA1398" s="148"/>
      <c r="BB1398" s="148"/>
      <c r="BC1398" s="148"/>
      <c r="BD1398" s="148"/>
      <c r="BE1398" s="148"/>
      <c r="BF1398" s="148"/>
      <c r="BG1398" s="148"/>
      <c r="BH1398" s="148"/>
      <c r="BI1398" s="148"/>
      <c r="BJ1398" s="148"/>
      <c r="BK1398" s="148"/>
      <c r="BL1398" s="148"/>
      <c r="BM1398" s="148"/>
      <c r="BN1398" s="148"/>
      <c r="BO1398" s="148"/>
      <c r="BP1398" s="148"/>
      <c r="BQ1398" s="148"/>
      <c r="BR1398" s="148"/>
      <c r="BS1398" s="148"/>
      <c r="BT1398" s="148"/>
      <c r="BU1398" s="148"/>
      <c r="BV1398" s="148"/>
      <c r="BW1398" s="148"/>
      <c r="BX1398" s="148"/>
      <c r="BY1398" s="148"/>
      <c r="BZ1398" s="148"/>
      <c r="CA1398" s="148"/>
      <c r="CB1398" s="148"/>
      <c r="CC1398" s="148"/>
      <c r="CD1398" s="148"/>
      <c r="CE1398" s="148"/>
      <c r="CF1398" s="148"/>
      <c r="CG1398" s="148"/>
      <c r="CH1398" s="148"/>
      <c r="CI1398" s="148"/>
      <c r="CJ1398" s="148"/>
      <c r="CK1398" s="148"/>
      <c r="CL1398" s="148"/>
      <c r="CM1398" s="148"/>
      <c r="CN1398" s="148"/>
      <c r="CO1398" s="148"/>
      <c r="CP1398" s="148"/>
      <c r="CQ1398" s="148"/>
      <c r="CR1398" s="148"/>
      <c r="CS1398" s="148"/>
      <c r="CT1398" s="148"/>
      <c r="CU1398" s="148"/>
      <c r="CV1398" s="148"/>
      <c r="CW1398" s="148"/>
      <c r="CX1398" s="148"/>
      <c r="CY1398" s="148"/>
      <c r="CZ1398" s="148"/>
      <c r="DA1398" s="148"/>
      <c r="DB1398" s="148"/>
      <c r="DC1398" s="148"/>
      <c r="DD1398" s="148"/>
      <c r="DE1398" s="148"/>
      <c r="DF1398" s="148"/>
      <c r="DG1398" s="148"/>
      <c r="DH1398" s="148"/>
      <c r="DI1398" s="148"/>
      <c r="DJ1398" s="148"/>
      <c r="DK1398" s="148"/>
      <c r="DL1398" s="148"/>
      <c r="DM1398" s="148"/>
      <c r="DN1398" s="148"/>
      <c r="DO1398" s="148"/>
      <c r="DP1398" s="148"/>
      <c r="DQ1398" s="148"/>
      <c r="DR1398" s="148"/>
      <c r="DS1398" s="148"/>
      <c r="DT1398" s="148"/>
      <c r="DU1398" s="148"/>
      <c r="DV1398" s="148"/>
      <c r="DW1398" s="148"/>
      <c r="DX1398" s="148"/>
      <c r="DY1398" s="148"/>
      <c r="DZ1398" s="148"/>
      <c r="EA1398" s="148"/>
      <c r="EB1398" s="148"/>
      <c r="EC1398" s="148"/>
      <c r="ED1398" s="148"/>
      <c r="EE1398" s="148"/>
      <c r="EF1398" s="148"/>
      <c r="EG1398" s="148"/>
      <c r="EH1398" s="148"/>
      <c r="EI1398" s="148"/>
      <c r="EJ1398" s="148"/>
      <c r="EK1398" s="148"/>
      <c r="EL1398" s="148"/>
      <c r="EM1398" s="148"/>
      <c r="EN1398" s="148"/>
      <c r="EO1398" s="148"/>
      <c r="EP1398" s="148"/>
    </row>
    <row r="1399" spans="1:146" s="90" customFormat="1" x14ac:dyDescent="0.3">
      <c r="A1399" s="84">
        <v>903420</v>
      </c>
      <c r="B1399" s="182">
        <v>15.5</v>
      </c>
      <c r="C1399" s="182">
        <v>6.1</v>
      </c>
      <c r="D1399" s="184">
        <v>8.65</v>
      </c>
      <c r="E1399" s="1534">
        <v>0.84499999999999997</v>
      </c>
      <c r="F1399" s="182">
        <v>966.7</v>
      </c>
      <c r="G1399" s="181"/>
      <c r="H1399" s="183">
        <v>37.22</v>
      </c>
      <c r="I1399" s="181">
        <v>770</v>
      </c>
      <c r="J1399" s="181">
        <v>1.2749999999999999</v>
      </c>
      <c r="K1399" s="182">
        <v>10.56</v>
      </c>
      <c r="L1399" s="181">
        <v>720</v>
      </c>
      <c r="M1399" s="181">
        <v>0.5</v>
      </c>
      <c r="N1399" s="181">
        <v>0.74</v>
      </c>
      <c r="O1399" s="181">
        <v>3.67</v>
      </c>
      <c r="P1399" s="181">
        <v>2.63</v>
      </c>
      <c r="Q1399" s="181"/>
      <c r="R1399" s="184">
        <v>1.5078151110990248</v>
      </c>
      <c r="S1399" s="181">
        <v>10.1</v>
      </c>
      <c r="T1399" s="181"/>
      <c r="U1399" s="184"/>
      <c r="V1399" s="181"/>
      <c r="W1399" s="83"/>
      <c r="X1399" s="83"/>
      <c r="Y1399" s="185">
        <f t="shared" ca="1" si="60"/>
        <v>29.4</v>
      </c>
      <c r="Z1399" s="181"/>
      <c r="AA1399" s="181"/>
      <c r="AB1399" s="181"/>
      <c r="AC1399" s="181"/>
      <c r="AD1399" s="181">
        <v>420</v>
      </c>
      <c r="AE1399" s="181">
        <v>400</v>
      </c>
      <c r="AF1399" s="88">
        <v>180</v>
      </c>
      <c r="AG1399" s="66">
        <f t="shared" ca="1" si="58"/>
        <v>127.15102040816328</v>
      </c>
      <c r="AH1399" s="143">
        <f t="shared" si="59"/>
        <v>1000</v>
      </c>
      <c r="AI1399" s="148"/>
      <c r="AJ1399" s="148"/>
      <c r="AK1399" s="148"/>
      <c r="AL1399" s="148"/>
      <c r="AM1399" s="148"/>
      <c r="AN1399" s="148"/>
      <c r="AO1399" s="148"/>
      <c r="AP1399" s="148"/>
      <c r="AQ1399" s="148"/>
      <c r="AR1399" s="148"/>
      <c r="AS1399" s="148"/>
      <c r="AT1399" s="148"/>
      <c r="AU1399" s="148"/>
      <c r="AV1399" s="148"/>
      <c r="AW1399" s="148"/>
      <c r="AX1399" s="148"/>
      <c r="AY1399" s="148"/>
      <c r="AZ1399" s="148"/>
      <c r="BA1399" s="148"/>
      <c r="BB1399" s="148"/>
      <c r="BC1399" s="148"/>
      <c r="BD1399" s="148"/>
      <c r="BE1399" s="148"/>
      <c r="BF1399" s="148"/>
      <c r="BG1399" s="148"/>
      <c r="BH1399" s="148"/>
      <c r="BI1399" s="148"/>
      <c r="BJ1399" s="148"/>
      <c r="BK1399" s="148"/>
      <c r="BL1399" s="148"/>
      <c r="BM1399" s="148"/>
      <c r="BN1399" s="148"/>
      <c r="BO1399" s="148"/>
      <c r="BP1399" s="148"/>
      <c r="BQ1399" s="148"/>
      <c r="BR1399" s="148"/>
      <c r="BS1399" s="148"/>
      <c r="BT1399" s="148"/>
      <c r="BU1399" s="148"/>
      <c r="BV1399" s="148"/>
      <c r="BW1399" s="148"/>
      <c r="BX1399" s="148"/>
      <c r="BY1399" s="148"/>
      <c r="BZ1399" s="148"/>
      <c r="CA1399" s="148"/>
      <c r="CB1399" s="148"/>
      <c r="CC1399" s="148"/>
      <c r="CD1399" s="148"/>
      <c r="CE1399" s="148"/>
      <c r="CF1399" s="148"/>
      <c r="CG1399" s="148"/>
      <c r="CH1399" s="148"/>
      <c r="CI1399" s="148"/>
      <c r="CJ1399" s="148"/>
      <c r="CK1399" s="148"/>
      <c r="CL1399" s="148"/>
      <c r="CM1399" s="148"/>
      <c r="CN1399" s="148"/>
      <c r="CO1399" s="148"/>
      <c r="CP1399" s="148"/>
      <c r="CQ1399" s="148"/>
      <c r="CR1399" s="148"/>
      <c r="CS1399" s="148"/>
      <c r="CT1399" s="148"/>
      <c r="CU1399" s="148"/>
      <c r="CV1399" s="148"/>
      <c r="CW1399" s="148"/>
      <c r="CX1399" s="148"/>
      <c r="CY1399" s="148"/>
      <c r="CZ1399" s="148"/>
      <c r="DA1399" s="148"/>
      <c r="DB1399" s="148"/>
      <c r="DC1399" s="148"/>
      <c r="DD1399" s="148"/>
      <c r="DE1399" s="148"/>
      <c r="DF1399" s="148"/>
      <c r="DG1399" s="148"/>
      <c r="DH1399" s="148"/>
      <c r="DI1399" s="148"/>
      <c r="DJ1399" s="148"/>
      <c r="DK1399" s="148"/>
      <c r="DL1399" s="148"/>
      <c r="DM1399" s="148"/>
      <c r="DN1399" s="148"/>
      <c r="DO1399" s="148"/>
      <c r="DP1399" s="148"/>
      <c r="DQ1399" s="148"/>
      <c r="DR1399" s="148"/>
      <c r="DS1399" s="148"/>
      <c r="DT1399" s="148"/>
      <c r="DU1399" s="148"/>
      <c r="DV1399" s="148"/>
      <c r="DW1399" s="148"/>
      <c r="DX1399" s="148"/>
      <c r="DY1399" s="148"/>
      <c r="DZ1399" s="148"/>
      <c r="EA1399" s="148"/>
      <c r="EB1399" s="148"/>
      <c r="EC1399" s="148"/>
      <c r="ED1399" s="148"/>
      <c r="EE1399" s="148"/>
      <c r="EF1399" s="148"/>
      <c r="EG1399" s="148"/>
      <c r="EH1399" s="148"/>
      <c r="EI1399" s="148"/>
      <c r="EJ1399" s="148"/>
      <c r="EK1399" s="148"/>
      <c r="EL1399" s="148"/>
      <c r="EM1399" s="148"/>
      <c r="EN1399" s="148"/>
      <c r="EO1399" s="148"/>
      <c r="EP1399" s="148"/>
    </row>
    <row r="1400" spans="1:146" s="90" customFormat="1" x14ac:dyDescent="0.3">
      <c r="A1400" s="84">
        <v>903421</v>
      </c>
      <c r="B1400" s="182">
        <v>16.7</v>
      </c>
      <c r="C1400" s="182">
        <v>6.4</v>
      </c>
      <c r="D1400" s="184">
        <v>8.93</v>
      </c>
      <c r="E1400" s="1534">
        <v>0.42499999999999999</v>
      </c>
      <c r="F1400" s="182">
        <v>341.7</v>
      </c>
      <c r="G1400" s="181"/>
      <c r="H1400" s="183">
        <v>26.86</v>
      </c>
      <c r="I1400" s="181">
        <v>600</v>
      </c>
      <c r="J1400" s="181">
        <v>0.79</v>
      </c>
      <c r="K1400" s="182">
        <v>10.92</v>
      </c>
      <c r="L1400" s="181">
        <v>640</v>
      </c>
      <c r="M1400" s="181">
        <v>0.35</v>
      </c>
      <c r="N1400" s="181">
        <v>0.74</v>
      </c>
      <c r="O1400" s="181">
        <v>4.3</v>
      </c>
      <c r="P1400" s="181">
        <v>3.14</v>
      </c>
      <c r="Q1400" s="181"/>
      <c r="R1400" s="184">
        <v>1.0154800969715592</v>
      </c>
      <c r="S1400" s="181">
        <v>7</v>
      </c>
      <c r="T1400" s="181"/>
      <c r="U1400" s="184"/>
      <c r="V1400" s="181"/>
      <c r="W1400" s="83"/>
      <c r="X1400" s="83"/>
      <c r="Y1400" s="185">
        <f t="shared" ca="1" si="60"/>
        <v>22</v>
      </c>
      <c r="Z1400" s="181"/>
      <c r="AA1400" s="181"/>
      <c r="AB1400" s="181"/>
      <c r="AC1400" s="181"/>
      <c r="AD1400" s="181">
        <v>440</v>
      </c>
      <c r="AE1400" s="181">
        <v>400</v>
      </c>
      <c r="AF1400" s="88">
        <v>160</v>
      </c>
      <c r="AG1400" s="66">
        <f t="shared" ca="1" si="58"/>
        <v>175.71272727272728</v>
      </c>
      <c r="AH1400" s="143">
        <f t="shared" si="59"/>
        <v>1000</v>
      </c>
      <c r="AI1400" s="148"/>
      <c r="AJ1400" s="148"/>
      <c r="AK1400" s="148"/>
      <c r="AL1400" s="148"/>
      <c r="AM1400" s="148"/>
      <c r="AN1400" s="148"/>
      <c r="AO1400" s="148"/>
      <c r="AP1400" s="148"/>
      <c r="AQ1400" s="148"/>
      <c r="AR1400" s="148"/>
      <c r="AS1400" s="148"/>
      <c r="AT1400" s="148"/>
      <c r="AU1400" s="148"/>
      <c r="AV1400" s="148"/>
      <c r="AW1400" s="148"/>
      <c r="AX1400" s="148"/>
      <c r="AY1400" s="148"/>
      <c r="AZ1400" s="148"/>
      <c r="BA1400" s="148"/>
      <c r="BB1400" s="148"/>
      <c r="BC1400" s="148"/>
      <c r="BD1400" s="148"/>
      <c r="BE1400" s="148"/>
      <c r="BF1400" s="148"/>
      <c r="BG1400" s="148"/>
      <c r="BH1400" s="148"/>
      <c r="BI1400" s="148"/>
      <c r="BJ1400" s="148"/>
      <c r="BK1400" s="148"/>
      <c r="BL1400" s="148"/>
      <c r="BM1400" s="148"/>
      <c r="BN1400" s="148"/>
      <c r="BO1400" s="148"/>
      <c r="BP1400" s="148"/>
      <c r="BQ1400" s="148"/>
      <c r="BR1400" s="148"/>
      <c r="BS1400" s="148"/>
      <c r="BT1400" s="148"/>
      <c r="BU1400" s="148"/>
      <c r="BV1400" s="148"/>
      <c r="BW1400" s="148"/>
      <c r="BX1400" s="148"/>
      <c r="BY1400" s="148"/>
      <c r="BZ1400" s="148"/>
      <c r="CA1400" s="148"/>
      <c r="CB1400" s="148"/>
      <c r="CC1400" s="148"/>
      <c r="CD1400" s="148"/>
      <c r="CE1400" s="148"/>
      <c r="CF1400" s="148"/>
      <c r="CG1400" s="148"/>
      <c r="CH1400" s="148"/>
      <c r="CI1400" s="148"/>
      <c r="CJ1400" s="148"/>
      <c r="CK1400" s="148"/>
      <c r="CL1400" s="148"/>
      <c r="CM1400" s="148"/>
      <c r="CN1400" s="148"/>
      <c r="CO1400" s="148"/>
      <c r="CP1400" s="148"/>
      <c r="CQ1400" s="148"/>
      <c r="CR1400" s="148"/>
      <c r="CS1400" s="148"/>
      <c r="CT1400" s="148"/>
      <c r="CU1400" s="148"/>
      <c r="CV1400" s="148"/>
      <c r="CW1400" s="148"/>
      <c r="CX1400" s="148"/>
      <c r="CY1400" s="148"/>
      <c r="CZ1400" s="148"/>
      <c r="DA1400" s="148"/>
      <c r="DB1400" s="148"/>
      <c r="DC1400" s="148"/>
      <c r="DD1400" s="148"/>
      <c r="DE1400" s="148"/>
      <c r="DF1400" s="148"/>
      <c r="DG1400" s="148"/>
      <c r="DH1400" s="148"/>
      <c r="DI1400" s="148"/>
      <c r="DJ1400" s="148"/>
      <c r="DK1400" s="148"/>
      <c r="DL1400" s="148"/>
      <c r="DM1400" s="148"/>
      <c r="DN1400" s="148"/>
      <c r="DO1400" s="148"/>
      <c r="DP1400" s="148"/>
      <c r="DQ1400" s="148"/>
      <c r="DR1400" s="148"/>
      <c r="DS1400" s="148"/>
      <c r="DT1400" s="148"/>
      <c r="DU1400" s="148"/>
      <c r="DV1400" s="148"/>
      <c r="DW1400" s="148"/>
      <c r="DX1400" s="148"/>
      <c r="DY1400" s="148"/>
      <c r="DZ1400" s="148"/>
      <c r="EA1400" s="148"/>
      <c r="EB1400" s="148"/>
      <c r="EC1400" s="148"/>
      <c r="ED1400" s="148"/>
      <c r="EE1400" s="148"/>
      <c r="EF1400" s="148"/>
      <c r="EG1400" s="148"/>
      <c r="EH1400" s="148"/>
      <c r="EI1400" s="148"/>
      <c r="EJ1400" s="148"/>
      <c r="EK1400" s="148"/>
      <c r="EL1400" s="148"/>
      <c r="EM1400" s="148"/>
      <c r="EN1400" s="148"/>
      <c r="EO1400" s="148"/>
      <c r="EP1400" s="148"/>
    </row>
    <row r="1401" spans="1:146" s="90" customFormat="1" x14ac:dyDescent="0.3">
      <c r="A1401" s="84">
        <v>903422</v>
      </c>
      <c r="B1401" s="182">
        <v>10</v>
      </c>
      <c r="C1401" s="182">
        <v>3</v>
      </c>
      <c r="D1401" s="184">
        <v>8.8000000000000007</v>
      </c>
      <c r="E1401" s="1534">
        <v>0.33300000000000002</v>
      </c>
      <c r="F1401" s="182">
        <v>124.7</v>
      </c>
      <c r="G1401" s="181"/>
      <c r="H1401" s="183">
        <v>505.66</v>
      </c>
      <c r="I1401" s="181">
        <v>460</v>
      </c>
      <c r="J1401" s="181">
        <v>0.217</v>
      </c>
      <c r="K1401" s="182">
        <v>6.07</v>
      </c>
      <c r="L1401" s="181">
        <v>660</v>
      </c>
      <c r="M1401" s="181">
        <v>7.22</v>
      </c>
      <c r="N1401" s="181">
        <v>4.66</v>
      </c>
      <c r="O1401" s="181">
        <v>4.72</v>
      </c>
      <c r="P1401" s="181">
        <v>5.8</v>
      </c>
      <c r="Q1401" s="181"/>
      <c r="R1401" s="184">
        <v>0.96676575273763943</v>
      </c>
      <c r="S1401" s="181">
        <v>6.3</v>
      </c>
      <c r="T1401" s="181"/>
      <c r="U1401" s="184"/>
      <c r="V1401" s="181"/>
      <c r="W1401" s="83"/>
      <c r="X1401" s="83"/>
      <c r="Y1401" s="185">
        <f t="shared" ca="1" si="60"/>
        <v>3.6</v>
      </c>
      <c r="Z1401" s="181"/>
      <c r="AA1401" s="181"/>
      <c r="AB1401" s="181"/>
      <c r="AC1401" s="181"/>
      <c r="AD1401" s="181">
        <v>60</v>
      </c>
      <c r="AE1401" s="181">
        <v>80</v>
      </c>
      <c r="AF1401" s="88">
        <v>860</v>
      </c>
      <c r="AG1401" s="66">
        <f t="shared" ca="1" si="58"/>
        <v>596.88333333333333</v>
      </c>
      <c r="AH1401" s="143">
        <f t="shared" si="59"/>
        <v>1000</v>
      </c>
      <c r="AI1401" s="148"/>
      <c r="AJ1401" s="148"/>
      <c r="AK1401" s="148"/>
      <c r="AL1401" s="148"/>
      <c r="AM1401" s="148"/>
      <c r="AN1401" s="148"/>
      <c r="AO1401" s="148"/>
      <c r="AP1401" s="148"/>
      <c r="AQ1401" s="148"/>
      <c r="AR1401" s="148"/>
      <c r="AS1401" s="148"/>
      <c r="AT1401" s="148"/>
      <c r="AU1401" s="148"/>
      <c r="AV1401" s="148"/>
      <c r="AW1401" s="148"/>
      <c r="AX1401" s="148"/>
      <c r="AY1401" s="148"/>
      <c r="AZ1401" s="148"/>
      <c r="BA1401" s="148"/>
      <c r="BB1401" s="148"/>
      <c r="BC1401" s="148"/>
      <c r="BD1401" s="148"/>
      <c r="BE1401" s="148"/>
      <c r="BF1401" s="148"/>
      <c r="BG1401" s="148"/>
      <c r="BH1401" s="148"/>
      <c r="BI1401" s="148"/>
      <c r="BJ1401" s="148"/>
      <c r="BK1401" s="148"/>
      <c r="BL1401" s="148"/>
      <c r="BM1401" s="148"/>
      <c r="BN1401" s="148"/>
      <c r="BO1401" s="148"/>
      <c r="BP1401" s="148"/>
      <c r="BQ1401" s="148"/>
      <c r="BR1401" s="148"/>
      <c r="BS1401" s="148"/>
      <c r="BT1401" s="148"/>
      <c r="BU1401" s="148"/>
      <c r="BV1401" s="148"/>
      <c r="BW1401" s="148"/>
      <c r="BX1401" s="148"/>
      <c r="BY1401" s="148"/>
      <c r="BZ1401" s="148"/>
      <c r="CA1401" s="148"/>
      <c r="CB1401" s="148"/>
      <c r="CC1401" s="148"/>
      <c r="CD1401" s="148"/>
      <c r="CE1401" s="148"/>
      <c r="CF1401" s="148"/>
      <c r="CG1401" s="148"/>
      <c r="CH1401" s="148"/>
      <c r="CI1401" s="148"/>
      <c r="CJ1401" s="148"/>
      <c r="CK1401" s="148"/>
      <c r="CL1401" s="148"/>
      <c r="CM1401" s="148"/>
      <c r="CN1401" s="148"/>
      <c r="CO1401" s="148"/>
      <c r="CP1401" s="148"/>
      <c r="CQ1401" s="148"/>
      <c r="CR1401" s="148"/>
      <c r="CS1401" s="148"/>
      <c r="CT1401" s="148"/>
      <c r="CU1401" s="148"/>
      <c r="CV1401" s="148"/>
      <c r="CW1401" s="148"/>
      <c r="CX1401" s="148"/>
      <c r="CY1401" s="148"/>
      <c r="CZ1401" s="148"/>
      <c r="DA1401" s="148"/>
      <c r="DB1401" s="148"/>
      <c r="DC1401" s="148"/>
      <c r="DD1401" s="148"/>
      <c r="DE1401" s="148"/>
      <c r="DF1401" s="148"/>
      <c r="DG1401" s="148"/>
      <c r="DH1401" s="148"/>
      <c r="DI1401" s="148"/>
      <c r="DJ1401" s="148"/>
      <c r="DK1401" s="148"/>
      <c r="DL1401" s="148"/>
      <c r="DM1401" s="148"/>
      <c r="DN1401" s="148"/>
      <c r="DO1401" s="148"/>
      <c r="DP1401" s="148"/>
      <c r="DQ1401" s="148"/>
      <c r="DR1401" s="148"/>
      <c r="DS1401" s="148"/>
      <c r="DT1401" s="148"/>
      <c r="DU1401" s="148"/>
      <c r="DV1401" s="148"/>
      <c r="DW1401" s="148"/>
      <c r="DX1401" s="148"/>
      <c r="DY1401" s="148"/>
      <c r="DZ1401" s="148"/>
      <c r="EA1401" s="148"/>
      <c r="EB1401" s="148"/>
      <c r="EC1401" s="148"/>
      <c r="ED1401" s="148"/>
      <c r="EE1401" s="148"/>
      <c r="EF1401" s="148"/>
      <c r="EG1401" s="148"/>
      <c r="EH1401" s="148"/>
      <c r="EI1401" s="148"/>
      <c r="EJ1401" s="148"/>
      <c r="EK1401" s="148"/>
      <c r="EL1401" s="148"/>
      <c r="EM1401" s="148"/>
      <c r="EN1401" s="148"/>
      <c r="EO1401" s="148"/>
      <c r="EP1401" s="148"/>
    </row>
    <row r="1402" spans="1:146" s="90" customFormat="1" x14ac:dyDescent="0.3">
      <c r="A1402" s="84">
        <v>903423</v>
      </c>
      <c r="B1402" s="182">
        <v>0.9</v>
      </c>
      <c r="C1402" s="182"/>
      <c r="D1402" s="184">
        <v>8.89</v>
      </c>
      <c r="E1402" s="1534">
        <v>0.10100000000000001</v>
      </c>
      <c r="F1402" s="182">
        <v>48.4</v>
      </c>
      <c r="G1402" s="181"/>
      <c r="H1402" s="183">
        <v>12.91</v>
      </c>
      <c r="I1402" s="181">
        <v>220</v>
      </c>
      <c r="J1402" s="181">
        <v>7.0000000000000001E-3</v>
      </c>
      <c r="K1402" s="182">
        <v>3.07</v>
      </c>
      <c r="L1402" s="181">
        <v>130</v>
      </c>
      <c r="M1402" s="181">
        <v>0.24</v>
      </c>
      <c r="N1402" s="181">
        <v>0.57999999999999996</v>
      </c>
      <c r="O1402" s="181">
        <v>5.89</v>
      </c>
      <c r="P1402" s="181">
        <v>1.88</v>
      </c>
      <c r="Q1402" s="181"/>
      <c r="R1402" s="184">
        <v>0.82001440605412979</v>
      </c>
      <c r="S1402" s="181">
        <v>6</v>
      </c>
      <c r="T1402" s="181"/>
      <c r="U1402" s="184"/>
      <c r="V1402" s="181"/>
      <c r="W1402" s="83"/>
      <c r="X1402" s="83"/>
      <c r="Y1402" s="185">
        <f t="shared" ca="1" si="60"/>
        <v>4.8</v>
      </c>
      <c r="Z1402" s="181"/>
      <c r="AA1402" s="181"/>
      <c r="AB1402" s="181"/>
      <c r="AC1402" s="181"/>
      <c r="AD1402" s="181">
        <v>80</v>
      </c>
      <c r="AE1402" s="181">
        <v>80</v>
      </c>
      <c r="AF1402" s="88">
        <v>840</v>
      </c>
      <c r="AG1402" s="66">
        <f t="shared" ca="1" si="58"/>
        <v>226.41249999999999</v>
      </c>
      <c r="AH1402" s="143">
        <f t="shared" si="59"/>
        <v>1000</v>
      </c>
      <c r="AI1402" s="148"/>
      <c r="AJ1402" s="148"/>
      <c r="AK1402" s="148"/>
      <c r="AL1402" s="148"/>
      <c r="AM1402" s="148"/>
      <c r="AN1402" s="148"/>
      <c r="AO1402" s="148"/>
      <c r="AP1402" s="148"/>
      <c r="AQ1402" s="148"/>
      <c r="AR1402" s="148"/>
      <c r="AS1402" s="148"/>
      <c r="AT1402" s="148"/>
      <c r="AU1402" s="148"/>
      <c r="AV1402" s="148"/>
      <c r="AW1402" s="148"/>
      <c r="AX1402" s="148"/>
      <c r="AY1402" s="148"/>
      <c r="AZ1402" s="148"/>
      <c r="BA1402" s="148"/>
      <c r="BB1402" s="148"/>
      <c r="BC1402" s="148"/>
      <c r="BD1402" s="148"/>
      <c r="BE1402" s="148"/>
      <c r="BF1402" s="148"/>
      <c r="BG1402" s="148"/>
      <c r="BH1402" s="148"/>
      <c r="BI1402" s="148"/>
      <c r="BJ1402" s="148"/>
      <c r="BK1402" s="148"/>
      <c r="BL1402" s="148"/>
      <c r="BM1402" s="148"/>
      <c r="BN1402" s="148"/>
      <c r="BO1402" s="148"/>
      <c r="BP1402" s="148"/>
      <c r="BQ1402" s="148"/>
      <c r="BR1402" s="148"/>
      <c r="BS1402" s="148"/>
      <c r="BT1402" s="148"/>
      <c r="BU1402" s="148"/>
      <c r="BV1402" s="148"/>
      <c r="BW1402" s="148"/>
      <c r="BX1402" s="148"/>
      <c r="BY1402" s="148"/>
      <c r="BZ1402" s="148"/>
      <c r="CA1402" s="148"/>
      <c r="CB1402" s="148"/>
      <c r="CC1402" s="148"/>
      <c r="CD1402" s="148"/>
      <c r="CE1402" s="148"/>
      <c r="CF1402" s="148"/>
      <c r="CG1402" s="148"/>
      <c r="CH1402" s="148"/>
      <c r="CI1402" s="148"/>
      <c r="CJ1402" s="148"/>
      <c r="CK1402" s="148"/>
      <c r="CL1402" s="148"/>
      <c r="CM1402" s="148"/>
      <c r="CN1402" s="148"/>
      <c r="CO1402" s="148"/>
      <c r="CP1402" s="148"/>
      <c r="CQ1402" s="148"/>
      <c r="CR1402" s="148"/>
      <c r="CS1402" s="148"/>
      <c r="CT1402" s="148"/>
      <c r="CU1402" s="148"/>
      <c r="CV1402" s="148"/>
      <c r="CW1402" s="148"/>
      <c r="CX1402" s="148"/>
      <c r="CY1402" s="148"/>
      <c r="CZ1402" s="148"/>
      <c r="DA1402" s="148"/>
      <c r="DB1402" s="148"/>
      <c r="DC1402" s="148"/>
      <c r="DD1402" s="148"/>
      <c r="DE1402" s="148"/>
      <c r="DF1402" s="148"/>
      <c r="DG1402" s="148"/>
      <c r="DH1402" s="148"/>
      <c r="DI1402" s="148"/>
      <c r="DJ1402" s="148"/>
      <c r="DK1402" s="148"/>
      <c r="DL1402" s="148"/>
      <c r="DM1402" s="148"/>
      <c r="DN1402" s="148"/>
      <c r="DO1402" s="148"/>
      <c r="DP1402" s="148"/>
      <c r="DQ1402" s="148"/>
      <c r="DR1402" s="148"/>
      <c r="DS1402" s="148"/>
      <c r="DT1402" s="148"/>
      <c r="DU1402" s="148"/>
      <c r="DV1402" s="148"/>
      <c r="DW1402" s="148"/>
      <c r="DX1402" s="148"/>
      <c r="DY1402" s="148"/>
      <c r="DZ1402" s="148"/>
      <c r="EA1402" s="148"/>
      <c r="EB1402" s="148"/>
      <c r="EC1402" s="148"/>
      <c r="ED1402" s="148"/>
      <c r="EE1402" s="148"/>
      <c r="EF1402" s="148"/>
      <c r="EG1402" s="148"/>
      <c r="EH1402" s="148"/>
      <c r="EI1402" s="148"/>
      <c r="EJ1402" s="148"/>
      <c r="EK1402" s="148"/>
      <c r="EL1402" s="148"/>
      <c r="EM1402" s="148"/>
      <c r="EN1402" s="148"/>
      <c r="EO1402" s="148"/>
      <c r="EP1402" s="148"/>
    </row>
    <row r="1403" spans="1:146" s="90" customFormat="1" x14ac:dyDescent="0.3">
      <c r="A1403" s="84">
        <v>903424</v>
      </c>
      <c r="B1403" s="182">
        <v>0.6</v>
      </c>
      <c r="C1403" s="182"/>
      <c r="D1403" s="184">
        <v>8.92</v>
      </c>
      <c r="E1403" s="1534">
        <v>9.7000000000000003E-2</v>
      </c>
      <c r="F1403" s="182">
        <v>52</v>
      </c>
      <c r="G1403" s="181"/>
      <c r="H1403" s="183">
        <v>17.600000000000001</v>
      </c>
      <c r="I1403" s="181">
        <v>240</v>
      </c>
      <c r="J1403" s="181">
        <v>8.0000000000000002E-3</v>
      </c>
      <c r="K1403" s="182">
        <v>2.59</v>
      </c>
      <c r="L1403" s="181">
        <v>130</v>
      </c>
      <c r="M1403" s="181">
        <v>0.27</v>
      </c>
      <c r="N1403" s="181">
        <v>0.62</v>
      </c>
      <c r="O1403" s="181">
        <v>5.63</v>
      </c>
      <c r="P1403" s="181">
        <v>2.14</v>
      </c>
      <c r="Q1403" s="181"/>
      <c r="R1403" s="184">
        <v>1.0364794652991489</v>
      </c>
      <c r="S1403" s="181">
        <v>7.1</v>
      </c>
      <c r="T1403" s="181"/>
      <c r="U1403" s="184"/>
      <c r="V1403" s="181"/>
      <c r="W1403" s="83"/>
      <c r="X1403" s="83"/>
      <c r="Y1403" s="185">
        <f t="shared" ca="1" si="60"/>
        <v>3</v>
      </c>
      <c r="Z1403" s="181"/>
      <c r="AA1403" s="181"/>
      <c r="AB1403" s="181"/>
      <c r="AC1403" s="181"/>
      <c r="AD1403" s="181">
        <v>60</v>
      </c>
      <c r="AE1403" s="181">
        <v>100</v>
      </c>
      <c r="AF1403" s="88">
        <v>840</v>
      </c>
      <c r="AG1403" s="66">
        <f t="shared" ca="1" si="58"/>
        <v>305.62</v>
      </c>
      <c r="AH1403" s="143">
        <f t="shared" si="59"/>
        <v>1000</v>
      </c>
      <c r="AI1403" s="148"/>
      <c r="AJ1403" s="148"/>
      <c r="AK1403" s="148"/>
      <c r="AL1403" s="148"/>
      <c r="AM1403" s="148"/>
      <c r="AN1403" s="148"/>
      <c r="AO1403" s="148"/>
      <c r="AP1403" s="148"/>
      <c r="AQ1403" s="148"/>
      <c r="AR1403" s="148"/>
      <c r="AS1403" s="148"/>
      <c r="AT1403" s="148"/>
      <c r="AU1403" s="148"/>
      <c r="AV1403" s="148"/>
      <c r="AW1403" s="148"/>
      <c r="AX1403" s="148"/>
      <c r="AY1403" s="148"/>
      <c r="AZ1403" s="148"/>
      <c r="BA1403" s="148"/>
      <c r="BB1403" s="148"/>
      <c r="BC1403" s="148"/>
      <c r="BD1403" s="148"/>
      <c r="BE1403" s="148"/>
      <c r="BF1403" s="148"/>
      <c r="BG1403" s="148"/>
      <c r="BH1403" s="148"/>
      <c r="BI1403" s="148"/>
      <c r="BJ1403" s="148"/>
      <c r="BK1403" s="148"/>
      <c r="BL1403" s="148"/>
      <c r="BM1403" s="148"/>
      <c r="BN1403" s="148"/>
      <c r="BO1403" s="148"/>
      <c r="BP1403" s="148"/>
      <c r="BQ1403" s="148"/>
      <c r="BR1403" s="148"/>
      <c r="BS1403" s="148"/>
      <c r="BT1403" s="148"/>
      <c r="BU1403" s="148"/>
      <c r="BV1403" s="148"/>
      <c r="BW1403" s="148"/>
      <c r="BX1403" s="148"/>
      <c r="BY1403" s="148"/>
      <c r="BZ1403" s="148"/>
      <c r="CA1403" s="148"/>
      <c r="CB1403" s="148"/>
      <c r="CC1403" s="148"/>
      <c r="CD1403" s="148"/>
      <c r="CE1403" s="148"/>
      <c r="CF1403" s="148"/>
      <c r="CG1403" s="148"/>
      <c r="CH1403" s="148"/>
      <c r="CI1403" s="148"/>
      <c r="CJ1403" s="148"/>
      <c r="CK1403" s="148"/>
      <c r="CL1403" s="148"/>
      <c r="CM1403" s="148"/>
      <c r="CN1403" s="148"/>
      <c r="CO1403" s="148"/>
      <c r="CP1403" s="148"/>
      <c r="CQ1403" s="148"/>
      <c r="CR1403" s="148"/>
      <c r="CS1403" s="148"/>
      <c r="CT1403" s="148"/>
      <c r="CU1403" s="148"/>
      <c r="CV1403" s="148"/>
      <c r="CW1403" s="148"/>
      <c r="CX1403" s="148"/>
      <c r="CY1403" s="148"/>
      <c r="CZ1403" s="148"/>
      <c r="DA1403" s="148"/>
      <c r="DB1403" s="148"/>
      <c r="DC1403" s="148"/>
      <c r="DD1403" s="148"/>
      <c r="DE1403" s="148"/>
      <c r="DF1403" s="148"/>
      <c r="DG1403" s="148"/>
      <c r="DH1403" s="148"/>
      <c r="DI1403" s="148"/>
      <c r="DJ1403" s="148"/>
      <c r="DK1403" s="148"/>
      <c r="DL1403" s="148"/>
      <c r="DM1403" s="148"/>
      <c r="DN1403" s="148"/>
      <c r="DO1403" s="148"/>
      <c r="DP1403" s="148"/>
      <c r="DQ1403" s="148"/>
      <c r="DR1403" s="148"/>
      <c r="DS1403" s="148"/>
      <c r="DT1403" s="148"/>
      <c r="DU1403" s="148"/>
      <c r="DV1403" s="148"/>
      <c r="DW1403" s="148"/>
      <c r="DX1403" s="148"/>
      <c r="DY1403" s="148"/>
      <c r="DZ1403" s="148"/>
      <c r="EA1403" s="148"/>
      <c r="EB1403" s="148"/>
      <c r="EC1403" s="148"/>
      <c r="ED1403" s="148"/>
      <c r="EE1403" s="148"/>
      <c r="EF1403" s="148"/>
      <c r="EG1403" s="148"/>
      <c r="EH1403" s="148"/>
      <c r="EI1403" s="148"/>
      <c r="EJ1403" s="148"/>
      <c r="EK1403" s="148"/>
      <c r="EL1403" s="148"/>
      <c r="EM1403" s="148"/>
      <c r="EN1403" s="148"/>
      <c r="EO1403" s="148"/>
      <c r="EP1403" s="148"/>
    </row>
    <row r="1404" spans="1:146" s="90" customFormat="1" x14ac:dyDescent="0.3">
      <c r="A1404" s="84">
        <v>903425</v>
      </c>
      <c r="B1404" s="182">
        <v>1</v>
      </c>
      <c r="C1404" s="182"/>
      <c r="D1404" s="184">
        <v>8.91</v>
      </c>
      <c r="E1404" s="1534">
        <v>0.126</v>
      </c>
      <c r="F1404" s="182">
        <v>50.4</v>
      </c>
      <c r="G1404" s="181"/>
      <c r="H1404" s="183">
        <v>29.63</v>
      </c>
      <c r="I1404" s="181">
        <v>650</v>
      </c>
      <c r="J1404" s="181">
        <v>1.7000000000000001E-2</v>
      </c>
      <c r="K1404" s="182">
        <v>3.97</v>
      </c>
      <c r="L1404" s="181">
        <v>280</v>
      </c>
      <c r="M1404" s="181">
        <v>0.52</v>
      </c>
      <c r="N1404" s="181">
        <v>1.08</v>
      </c>
      <c r="O1404" s="181">
        <v>8.93</v>
      </c>
      <c r="P1404" s="181">
        <v>2.71</v>
      </c>
      <c r="Q1404" s="181"/>
      <c r="R1404" s="184">
        <v>1.4440464341163737</v>
      </c>
      <c r="S1404" s="181">
        <v>9.4</v>
      </c>
      <c r="T1404" s="181"/>
      <c r="U1404" s="184"/>
      <c r="V1404" s="181"/>
      <c r="W1404" s="83"/>
      <c r="X1404" s="83"/>
      <c r="Y1404" s="185">
        <f t="shared" ca="1" si="60"/>
        <v>4.8</v>
      </c>
      <c r="Z1404" s="181"/>
      <c r="AA1404" s="181"/>
      <c r="AB1404" s="181"/>
      <c r="AC1404" s="181"/>
      <c r="AD1404" s="181">
        <v>80</v>
      </c>
      <c r="AE1404" s="181">
        <v>140</v>
      </c>
      <c r="AF1404" s="88">
        <v>780</v>
      </c>
      <c r="AG1404" s="66">
        <f t="shared" ca="1" si="58"/>
        <v>292.78750000000002</v>
      </c>
      <c r="AH1404" s="143">
        <f t="shared" si="59"/>
        <v>1000</v>
      </c>
      <c r="AI1404" s="148"/>
      <c r="AJ1404" s="148"/>
      <c r="AK1404" s="148"/>
      <c r="AL1404" s="148"/>
      <c r="AM1404" s="148"/>
      <c r="AN1404" s="148"/>
      <c r="AO1404" s="148"/>
      <c r="AP1404" s="148"/>
      <c r="AQ1404" s="148"/>
      <c r="AR1404" s="148"/>
      <c r="AS1404" s="148"/>
      <c r="AT1404" s="148"/>
      <c r="AU1404" s="148"/>
      <c r="AV1404" s="148"/>
      <c r="AW1404" s="148"/>
      <c r="AX1404" s="148"/>
      <c r="AY1404" s="148"/>
      <c r="AZ1404" s="148"/>
      <c r="BA1404" s="148"/>
      <c r="BB1404" s="148"/>
      <c r="BC1404" s="148"/>
      <c r="BD1404" s="148"/>
      <c r="BE1404" s="148"/>
      <c r="BF1404" s="148"/>
      <c r="BG1404" s="148"/>
      <c r="BH1404" s="148"/>
      <c r="BI1404" s="148"/>
      <c r="BJ1404" s="148"/>
      <c r="BK1404" s="148"/>
      <c r="BL1404" s="148"/>
      <c r="BM1404" s="148"/>
      <c r="BN1404" s="148"/>
      <c r="BO1404" s="148"/>
      <c r="BP1404" s="148"/>
      <c r="BQ1404" s="148"/>
      <c r="BR1404" s="148"/>
      <c r="BS1404" s="148"/>
      <c r="BT1404" s="148"/>
      <c r="BU1404" s="148"/>
      <c r="BV1404" s="148"/>
      <c r="BW1404" s="148"/>
      <c r="BX1404" s="148"/>
      <c r="BY1404" s="148"/>
      <c r="BZ1404" s="148"/>
      <c r="CA1404" s="148"/>
      <c r="CB1404" s="148"/>
      <c r="CC1404" s="148"/>
      <c r="CD1404" s="148"/>
      <c r="CE1404" s="148"/>
      <c r="CF1404" s="148"/>
      <c r="CG1404" s="148"/>
      <c r="CH1404" s="148"/>
      <c r="CI1404" s="148"/>
      <c r="CJ1404" s="148"/>
      <c r="CK1404" s="148"/>
      <c r="CL1404" s="148"/>
      <c r="CM1404" s="148"/>
      <c r="CN1404" s="148"/>
      <c r="CO1404" s="148"/>
      <c r="CP1404" s="148"/>
      <c r="CQ1404" s="148"/>
      <c r="CR1404" s="148"/>
      <c r="CS1404" s="148"/>
      <c r="CT1404" s="148"/>
      <c r="CU1404" s="148"/>
      <c r="CV1404" s="148"/>
      <c r="CW1404" s="148"/>
      <c r="CX1404" s="148"/>
      <c r="CY1404" s="148"/>
      <c r="CZ1404" s="148"/>
      <c r="DA1404" s="148"/>
      <c r="DB1404" s="148"/>
      <c r="DC1404" s="148"/>
      <c r="DD1404" s="148"/>
      <c r="DE1404" s="148"/>
      <c r="DF1404" s="148"/>
      <c r="DG1404" s="148"/>
      <c r="DH1404" s="148"/>
      <c r="DI1404" s="148"/>
      <c r="DJ1404" s="148"/>
      <c r="DK1404" s="148"/>
      <c r="DL1404" s="148"/>
      <c r="DM1404" s="148"/>
      <c r="DN1404" s="148"/>
      <c r="DO1404" s="148"/>
      <c r="DP1404" s="148"/>
      <c r="DQ1404" s="148"/>
      <c r="DR1404" s="148"/>
      <c r="DS1404" s="148"/>
      <c r="DT1404" s="148"/>
      <c r="DU1404" s="148"/>
      <c r="DV1404" s="148"/>
      <c r="DW1404" s="148"/>
      <c r="DX1404" s="148"/>
      <c r="DY1404" s="148"/>
      <c r="DZ1404" s="148"/>
      <c r="EA1404" s="148"/>
      <c r="EB1404" s="148"/>
      <c r="EC1404" s="148"/>
      <c r="ED1404" s="148"/>
      <c r="EE1404" s="148"/>
      <c r="EF1404" s="148"/>
      <c r="EG1404" s="148"/>
      <c r="EH1404" s="148"/>
      <c r="EI1404" s="148"/>
      <c r="EJ1404" s="148"/>
      <c r="EK1404" s="148"/>
      <c r="EL1404" s="148"/>
      <c r="EM1404" s="148"/>
      <c r="EN1404" s="148"/>
      <c r="EO1404" s="148"/>
      <c r="EP1404" s="148"/>
    </row>
    <row r="1405" spans="1:146" s="90" customFormat="1" x14ac:dyDescent="0.3">
      <c r="A1405" s="84">
        <v>903426</v>
      </c>
      <c r="B1405" s="182">
        <v>1.1000000000000001</v>
      </c>
      <c r="C1405" s="182"/>
      <c r="D1405" s="184">
        <v>8.74</v>
      </c>
      <c r="E1405" s="1534">
        <v>0.17399999999999999</v>
      </c>
      <c r="F1405" s="182">
        <v>57</v>
      </c>
      <c r="G1405" s="181"/>
      <c r="H1405" s="183">
        <v>9.73</v>
      </c>
      <c r="I1405" s="181">
        <v>520</v>
      </c>
      <c r="J1405" s="181">
        <v>3.4000000000000002E-2</v>
      </c>
      <c r="K1405" s="182">
        <v>3.66</v>
      </c>
      <c r="L1405" s="181">
        <v>260</v>
      </c>
      <c r="M1405" s="181">
        <v>0.22</v>
      </c>
      <c r="N1405" s="181">
        <v>0.54</v>
      </c>
      <c r="O1405" s="181">
        <v>3.96</v>
      </c>
      <c r="P1405" s="181">
        <v>1.52</v>
      </c>
      <c r="Q1405" s="181"/>
      <c r="R1405" s="184">
        <v>1.5229026541321564</v>
      </c>
      <c r="S1405" s="181">
        <v>10.199999999999999</v>
      </c>
      <c r="T1405" s="181"/>
      <c r="U1405" s="184"/>
      <c r="V1405" s="181"/>
      <c r="W1405" s="83"/>
      <c r="X1405" s="83"/>
      <c r="Y1405" s="185">
        <f t="shared" ca="1" si="60"/>
        <v>5.6</v>
      </c>
      <c r="Z1405" s="181"/>
      <c r="AA1405" s="181"/>
      <c r="AB1405" s="181"/>
      <c r="AC1405" s="181"/>
      <c r="AD1405" s="181">
        <v>80</v>
      </c>
      <c r="AE1405" s="181">
        <v>140</v>
      </c>
      <c r="AF1405" s="88">
        <v>780</v>
      </c>
      <c r="AG1405" s="66">
        <f t="shared" ca="1" si="58"/>
        <v>231.36428571428576</v>
      </c>
      <c r="AH1405" s="143">
        <f t="shared" si="59"/>
        <v>1000</v>
      </c>
      <c r="AI1405" s="148"/>
      <c r="AJ1405" s="148"/>
      <c r="AK1405" s="148"/>
      <c r="AL1405" s="148"/>
      <c r="AM1405" s="148"/>
      <c r="AN1405" s="148"/>
      <c r="AO1405" s="148"/>
      <c r="AP1405" s="148"/>
      <c r="AQ1405" s="148"/>
      <c r="AR1405" s="148"/>
      <c r="AS1405" s="148"/>
      <c r="AT1405" s="148"/>
      <c r="AU1405" s="148"/>
      <c r="AV1405" s="148"/>
      <c r="AW1405" s="148"/>
      <c r="AX1405" s="148"/>
      <c r="AY1405" s="148"/>
      <c r="AZ1405" s="148"/>
      <c r="BA1405" s="148"/>
      <c r="BB1405" s="148"/>
      <c r="BC1405" s="148"/>
      <c r="BD1405" s="148"/>
      <c r="BE1405" s="148"/>
      <c r="BF1405" s="148"/>
      <c r="BG1405" s="148"/>
      <c r="BH1405" s="148"/>
      <c r="BI1405" s="148"/>
      <c r="BJ1405" s="148"/>
      <c r="BK1405" s="148"/>
      <c r="BL1405" s="148"/>
      <c r="BM1405" s="148"/>
      <c r="BN1405" s="148"/>
      <c r="BO1405" s="148"/>
      <c r="BP1405" s="148"/>
      <c r="BQ1405" s="148"/>
      <c r="BR1405" s="148"/>
      <c r="BS1405" s="148"/>
      <c r="BT1405" s="148"/>
      <c r="BU1405" s="148"/>
      <c r="BV1405" s="148"/>
      <c r="BW1405" s="148"/>
      <c r="BX1405" s="148"/>
      <c r="BY1405" s="148"/>
      <c r="BZ1405" s="148"/>
      <c r="CA1405" s="148"/>
      <c r="CB1405" s="148"/>
      <c r="CC1405" s="148"/>
      <c r="CD1405" s="148"/>
      <c r="CE1405" s="148"/>
      <c r="CF1405" s="148"/>
      <c r="CG1405" s="148"/>
      <c r="CH1405" s="148"/>
      <c r="CI1405" s="148"/>
      <c r="CJ1405" s="148"/>
      <c r="CK1405" s="148"/>
      <c r="CL1405" s="148"/>
      <c r="CM1405" s="148"/>
      <c r="CN1405" s="148"/>
      <c r="CO1405" s="148"/>
      <c r="CP1405" s="148"/>
      <c r="CQ1405" s="148"/>
      <c r="CR1405" s="148"/>
      <c r="CS1405" s="148"/>
      <c r="CT1405" s="148"/>
      <c r="CU1405" s="148"/>
      <c r="CV1405" s="148"/>
      <c r="CW1405" s="148"/>
      <c r="CX1405" s="148"/>
      <c r="CY1405" s="148"/>
      <c r="CZ1405" s="148"/>
      <c r="DA1405" s="148"/>
      <c r="DB1405" s="148"/>
      <c r="DC1405" s="148"/>
      <c r="DD1405" s="148"/>
      <c r="DE1405" s="148"/>
      <c r="DF1405" s="148"/>
      <c r="DG1405" s="148"/>
      <c r="DH1405" s="148"/>
      <c r="DI1405" s="148"/>
      <c r="DJ1405" s="148"/>
      <c r="DK1405" s="148"/>
      <c r="DL1405" s="148"/>
      <c r="DM1405" s="148"/>
      <c r="DN1405" s="148"/>
      <c r="DO1405" s="148"/>
      <c r="DP1405" s="148"/>
      <c r="DQ1405" s="148"/>
      <c r="DR1405" s="148"/>
      <c r="DS1405" s="148"/>
      <c r="DT1405" s="148"/>
      <c r="DU1405" s="148"/>
      <c r="DV1405" s="148"/>
      <c r="DW1405" s="148"/>
      <c r="DX1405" s="148"/>
      <c r="DY1405" s="148"/>
      <c r="DZ1405" s="148"/>
      <c r="EA1405" s="148"/>
      <c r="EB1405" s="148"/>
      <c r="EC1405" s="148"/>
      <c r="ED1405" s="148"/>
      <c r="EE1405" s="148"/>
      <c r="EF1405" s="148"/>
      <c r="EG1405" s="148"/>
      <c r="EH1405" s="148"/>
      <c r="EI1405" s="148"/>
      <c r="EJ1405" s="148"/>
      <c r="EK1405" s="148"/>
      <c r="EL1405" s="148"/>
      <c r="EM1405" s="148"/>
      <c r="EN1405" s="148"/>
      <c r="EO1405" s="148"/>
      <c r="EP1405" s="148"/>
    </row>
    <row r="1406" spans="1:146" s="90" customFormat="1" x14ac:dyDescent="0.3">
      <c r="A1406" s="84">
        <v>903427</v>
      </c>
      <c r="B1406" s="182">
        <v>7.5</v>
      </c>
      <c r="C1406" s="182"/>
      <c r="D1406" s="184">
        <v>9.07</v>
      </c>
      <c r="E1406" s="1534">
        <v>0.19600000000000001</v>
      </c>
      <c r="F1406" s="182">
        <v>86.4</v>
      </c>
      <c r="G1406" s="181"/>
      <c r="H1406" s="183">
        <v>18.21</v>
      </c>
      <c r="I1406" s="181">
        <v>420</v>
      </c>
      <c r="J1406" s="181">
        <v>0.19400000000000001</v>
      </c>
      <c r="K1406" s="182">
        <v>8.6999999999999993</v>
      </c>
      <c r="L1406" s="181">
        <v>430</v>
      </c>
      <c r="M1406" s="181">
        <v>0.24</v>
      </c>
      <c r="N1406" s="181">
        <v>1.1599999999999999</v>
      </c>
      <c r="O1406" s="181">
        <v>5.18</v>
      </c>
      <c r="P1406" s="181">
        <v>2.76</v>
      </c>
      <c r="Q1406" s="181"/>
      <c r="R1406" s="184">
        <v>1.0175383133785101</v>
      </c>
      <c r="S1406" s="181">
        <v>7.5</v>
      </c>
      <c r="T1406" s="181"/>
      <c r="U1406" s="184"/>
      <c r="V1406" s="181"/>
      <c r="W1406" s="83"/>
      <c r="X1406" s="83"/>
      <c r="Y1406" s="185">
        <f t="shared" ca="1" si="60"/>
        <v>33.6</v>
      </c>
      <c r="Z1406" s="181"/>
      <c r="AA1406" s="181"/>
      <c r="AB1406" s="181"/>
      <c r="AC1406" s="181"/>
      <c r="AD1406" s="181">
        <v>480</v>
      </c>
      <c r="AE1406" s="181">
        <v>220</v>
      </c>
      <c r="AF1406" s="88">
        <v>300</v>
      </c>
      <c r="AG1406" s="66">
        <f t="shared" ca="1" si="58"/>
        <v>91.660714285714278</v>
      </c>
      <c r="AH1406" s="143">
        <f t="shared" si="59"/>
        <v>1000</v>
      </c>
      <c r="AI1406" s="148"/>
      <c r="AJ1406" s="148"/>
      <c r="AK1406" s="148"/>
      <c r="AL1406" s="148"/>
      <c r="AM1406" s="148"/>
      <c r="AN1406" s="148"/>
      <c r="AO1406" s="148"/>
      <c r="AP1406" s="148"/>
      <c r="AQ1406" s="148"/>
      <c r="AR1406" s="148"/>
      <c r="AS1406" s="148"/>
      <c r="AT1406" s="148"/>
      <c r="AU1406" s="148"/>
      <c r="AV1406" s="148"/>
      <c r="AW1406" s="148"/>
      <c r="AX1406" s="148"/>
      <c r="AY1406" s="148"/>
      <c r="AZ1406" s="148"/>
      <c r="BA1406" s="148"/>
      <c r="BB1406" s="148"/>
      <c r="BC1406" s="148"/>
      <c r="BD1406" s="148"/>
      <c r="BE1406" s="148"/>
      <c r="BF1406" s="148"/>
      <c r="BG1406" s="148"/>
      <c r="BH1406" s="148"/>
      <c r="BI1406" s="148"/>
      <c r="BJ1406" s="148"/>
      <c r="BK1406" s="148"/>
      <c r="BL1406" s="148"/>
      <c r="BM1406" s="148"/>
      <c r="BN1406" s="148"/>
      <c r="BO1406" s="148"/>
      <c r="BP1406" s="148"/>
      <c r="BQ1406" s="148"/>
      <c r="BR1406" s="148"/>
      <c r="BS1406" s="148"/>
      <c r="BT1406" s="148"/>
      <c r="BU1406" s="148"/>
      <c r="BV1406" s="148"/>
      <c r="BW1406" s="148"/>
      <c r="BX1406" s="148"/>
      <c r="BY1406" s="148"/>
      <c r="BZ1406" s="148"/>
      <c r="CA1406" s="148"/>
      <c r="CB1406" s="148"/>
      <c r="CC1406" s="148"/>
      <c r="CD1406" s="148"/>
      <c r="CE1406" s="148"/>
      <c r="CF1406" s="148"/>
      <c r="CG1406" s="148"/>
      <c r="CH1406" s="148"/>
      <c r="CI1406" s="148"/>
      <c r="CJ1406" s="148"/>
      <c r="CK1406" s="148"/>
      <c r="CL1406" s="148"/>
      <c r="CM1406" s="148"/>
      <c r="CN1406" s="148"/>
      <c r="CO1406" s="148"/>
      <c r="CP1406" s="148"/>
      <c r="CQ1406" s="148"/>
      <c r="CR1406" s="148"/>
      <c r="CS1406" s="148"/>
      <c r="CT1406" s="148"/>
      <c r="CU1406" s="148"/>
      <c r="CV1406" s="148"/>
      <c r="CW1406" s="148"/>
      <c r="CX1406" s="148"/>
      <c r="CY1406" s="148"/>
      <c r="CZ1406" s="148"/>
      <c r="DA1406" s="148"/>
      <c r="DB1406" s="148"/>
      <c r="DC1406" s="148"/>
      <c r="DD1406" s="148"/>
      <c r="DE1406" s="148"/>
      <c r="DF1406" s="148"/>
      <c r="DG1406" s="148"/>
      <c r="DH1406" s="148"/>
      <c r="DI1406" s="148"/>
      <c r="DJ1406" s="148"/>
      <c r="DK1406" s="148"/>
      <c r="DL1406" s="148"/>
      <c r="DM1406" s="148"/>
      <c r="DN1406" s="148"/>
      <c r="DO1406" s="148"/>
      <c r="DP1406" s="148"/>
      <c r="DQ1406" s="148"/>
      <c r="DR1406" s="148"/>
      <c r="DS1406" s="148"/>
      <c r="DT1406" s="148"/>
      <c r="DU1406" s="148"/>
      <c r="DV1406" s="148"/>
      <c r="DW1406" s="148"/>
      <c r="DX1406" s="148"/>
      <c r="DY1406" s="148"/>
      <c r="DZ1406" s="148"/>
      <c r="EA1406" s="148"/>
      <c r="EB1406" s="148"/>
      <c r="EC1406" s="148"/>
      <c r="ED1406" s="148"/>
      <c r="EE1406" s="148"/>
      <c r="EF1406" s="148"/>
      <c r="EG1406" s="148"/>
      <c r="EH1406" s="148"/>
      <c r="EI1406" s="148"/>
      <c r="EJ1406" s="148"/>
      <c r="EK1406" s="148"/>
      <c r="EL1406" s="148"/>
      <c r="EM1406" s="148"/>
      <c r="EN1406" s="148"/>
      <c r="EO1406" s="148"/>
      <c r="EP1406" s="148"/>
    </row>
    <row r="1407" spans="1:146" s="90" customFormat="1" x14ac:dyDescent="0.3">
      <c r="A1407" s="84">
        <v>903428</v>
      </c>
      <c r="B1407" s="182">
        <v>1.4</v>
      </c>
      <c r="C1407" s="182"/>
      <c r="D1407" s="184">
        <v>8.99</v>
      </c>
      <c r="E1407" s="1534">
        <v>0.13500000000000001</v>
      </c>
      <c r="F1407" s="182">
        <v>66</v>
      </c>
      <c r="G1407" s="181"/>
      <c r="H1407" s="183">
        <v>28.47</v>
      </c>
      <c r="I1407" s="181">
        <v>170</v>
      </c>
      <c r="J1407" s="181">
        <v>8.5999999999999993E-2</v>
      </c>
      <c r="K1407" s="182">
        <v>4.21</v>
      </c>
      <c r="L1407" s="181">
        <v>380</v>
      </c>
      <c r="M1407" s="181">
        <v>0.28999999999999998</v>
      </c>
      <c r="N1407" s="181">
        <v>0.96</v>
      </c>
      <c r="O1407" s="181">
        <v>5.2</v>
      </c>
      <c r="P1407" s="181">
        <v>2.4500000000000002</v>
      </c>
      <c r="Q1407" s="181"/>
      <c r="R1407" s="184">
        <v>0.50984242662836976</v>
      </c>
      <c r="S1407" s="181">
        <v>3.6</v>
      </c>
      <c r="T1407" s="181"/>
      <c r="U1407" s="184"/>
      <c r="V1407" s="181"/>
      <c r="W1407" s="83"/>
      <c r="X1407" s="83"/>
      <c r="Y1407" s="185">
        <f t="shared" ca="1" si="60"/>
        <v>24</v>
      </c>
      <c r="Z1407" s="181"/>
      <c r="AA1407" s="181"/>
      <c r="AB1407" s="181"/>
      <c r="AC1407" s="181"/>
      <c r="AD1407" s="181">
        <v>400</v>
      </c>
      <c r="AE1407" s="181">
        <v>240</v>
      </c>
      <c r="AF1407" s="88">
        <v>360</v>
      </c>
      <c r="AG1407" s="66">
        <f t="shared" ca="1" si="58"/>
        <v>62.097499999999997</v>
      </c>
      <c r="AH1407" s="143">
        <f t="shared" si="59"/>
        <v>1000</v>
      </c>
      <c r="AI1407" s="148"/>
      <c r="AJ1407" s="148"/>
      <c r="AK1407" s="148"/>
      <c r="AL1407" s="148"/>
      <c r="AM1407" s="148"/>
      <c r="AN1407" s="148"/>
      <c r="AO1407" s="148"/>
      <c r="AP1407" s="148"/>
      <c r="AQ1407" s="148"/>
      <c r="AR1407" s="148"/>
      <c r="AS1407" s="148"/>
      <c r="AT1407" s="148"/>
      <c r="AU1407" s="148"/>
      <c r="AV1407" s="148"/>
      <c r="AW1407" s="148"/>
      <c r="AX1407" s="148"/>
      <c r="AY1407" s="148"/>
      <c r="AZ1407" s="148"/>
      <c r="BA1407" s="148"/>
      <c r="BB1407" s="148"/>
      <c r="BC1407" s="148"/>
      <c r="BD1407" s="148"/>
      <c r="BE1407" s="148"/>
      <c r="BF1407" s="148"/>
      <c r="BG1407" s="148"/>
      <c r="BH1407" s="148"/>
      <c r="BI1407" s="148"/>
      <c r="BJ1407" s="148"/>
      <c r="BK1407" s="148"/>
      <c r="BL1407" s="148"/>
      <c r="BM1407" s="148"/>
      <c r="BN1407" s="148"/>
      <c r="BO1407" s="148"/>
      <c r="BP1407" s="148"/>
      <c r="BQ1407" s="148"/>
      <c r="BR1407" s="148"/>
      <c r="BS1407" s="148"/>
      <c r="BT1407" s="148"/>
      <c r="BU1407" s="148"/>
      <c r="BV1407" s="148"/>
      <c r="BW1407" s="148"/>
      <c r="BX1407" s="148"/>
      <c r="BY1407" s="148"/>
      <c r="BZ1407" s="148"/>
      <c r="CA1407" s="148"/>
      <c r="CB1407" s="148"/>
      <c r="CC1407" s="148"/>
      <c r="CD1407" s="148"/>
      <c r="CE1407" s="148"/>
      <c r="CF1407" s="148"/>
      <c r="CG1407" s="148"/>
      <c r="CH1407" s="148"/>
      <c r="CI1407" s="148"/>
      <c r="CJ1407" s="148"/>
      <c r="CK1407" s="148"/>
      <c r="CL1407" s="148"/>
      <c r="CM1407" s="148"/>
      <c r="CN1407" s="148"/>
      <c r="CO1407" s="148"/>
      <c r="CP1407" s="148"/>
      <c r="CQ1407" s="148"/>
      <c r="CR1407" s="148"/>
      <c r="CS1407" s="148"/>
      <c r="CT1407" s="148"/>
      <c r="CU1407" s="148"/>
      <c r="CV1407" s="148"/>
      <c r="CW1407" s="148"/>
      <c r="CX1407" s="148"/>
      <c r="CY1407" s="148"/>
      <c r="CZ1407" s="148"/>
      <c r="DA1407" s="148"/>
      <c r="DB1407" s="148"/>
      <c r="DC1407" s="148"/>
      <c r="DD1407" s="148"/>
      <c r="DE1407" s="148"/>
      <c r="DF1407" s="148"/>
      <c r="DG1407" s="148"/>
      <c r="DH1407" s="148"/>
      <c r="DI1407" s="148"/>
      <c r="DJ1407" s="148"/>
      <c r="DK1407" s="148"/>
      <c r="DL1407" s="148"/>
      <c r="DM1407" s="148"/>
      <c r="DN1407" s="148"/>
      <c r="DO1407" s="148"/>
      <c r="DP1407" s="148"/>
      <c r="DQ1407" s="148"/>
      <c r="DR1407" s="148"/>
      <c r="DS1407" s="148"/>
      <c r="DT1407" s="148"/>
      <c r="DU1407" s="148"/>
      <c r="DV1407" s="148"/>
      <c r="DW1407" s="148"/>
      <c r="DX1407" s="148"/>
      <c r="DY1407" s="148"/>
      <c r="DZ1407" s="148"/>
      <c r="EA1407" s="148"/>
      <c r="EB1407" s="148"/>
      <c r="EC1407" s="148"/>
      <c r="ED1407" s="148"/>
      <c r="EE1407" s="148"/>
      <c r="EF1407" s="148"/>
      <c r="EG1407" s="148"/>
      <c r="EH1407" s="148"/>
      <c r="EI1407" s="148"/>
      <c r="EJ1407" s="148"/>
      <c r="EK1407" s="148"/>
      <c r="EL1407" s="148"/>
      <c r="EM1407" s="148"/>
      <c r="EN1407" s="148"/>
      <c r="EO1407" s="148"/>
      <c r="EP1407" s="148"/>
    </row>
    <row r="1408" spans="1:146" s="90" customFormat="1" x14ac:dyDescent="0.3">
      <c r="A1408" s="84">
        <v>903429</v>
      </c>
      <c r="B1408" s="182">
        <v>4.5</v>
      </c>
      <c r="C1408" s="182"/>
      <c r="D1408" s="184">
        <v>9.06</v>
      </c>
      <c r="E1408" s="1534">
        <v>0.182</v>
      </c>
      <c r="F1408" s="182">
        <v>80.3</v>
      </c>
      <c r="G1408" s="181"/>
      <c r="H1408" s="183">
        <v>19.84</v>
      </c>
      <c r="I1408" s="181">
        <v>510</v>
      </c>
      <c r="J1408" s="181">
        <v>0.23100000000000001</v>
      </c>
      <c r="K1408" s="182">
        <v>8.15</v>
      </c>
      <c r="L1408" s="181">
        <v>750</v>
      </c>
      <c r="M1408" s="181">
        <v>0.35</v>
      </c>
      <c r="N1408" s="181">
        <v>1.39</v>
      </c>
      <c r="O1408" s="181">
        <v>4.33</v>
      </c>
      <c r="P1408" s="181">
        <v>3.75</v>
      </c>
      <c r="Q1408" s="181"/>
      <c r="R1408" s="184">
        <v>0.76369738796526276</v>
      </c>
      <c r="S1408" s="181">
        <v>5.4</v>
      </c>
      <c r="T1408" s="181"/>
      <c r="U1408" s="184"/>
      <c r="V1408" s="181"/>
      <c r="W1408" s="83"/>
      <c r="X1408" s="83"/>
      <c r="Y1408" s="185">
        <f t="shared" ca="1" si="60"/>
        <v>39.200000000000003</v>
      </c>
      <c r="Z1408" s="181"/>
      <c r="AA1408" s="181"/>
      <c r="AB1408" s="181"/>
      <c r="AC1408" s="181"/>
      <c r="AD1408" s="181">
        <v>560</v>
      </c>
      <c r="AE1408" s="181">
        <v>160</v>
      </c>
      <c r="AF1408" s="83">
        <v>280</v>
      </c>
      <c r="AG1408" s="66">
        <f t="shared" ca="1" si="58"/>
        <v>73.599489795918373</v>
      </c>
      <c r="AH1408" s="143">
        <f t="shared" si="59"/>
        <v>1000</v>
      </c>
      <c r="AI1408" s="148"/>
      <c r="AJ1408" s="148"/>
      <c r="AK1408" s="148"/>
      <c r="AL1408" s="148"/>
      <c r="AM1408" s="148"/>
      <c r="AN1408" s="148"/>
      <c r="AO1408" s="148"/>
      <c r="AP1408" s="148"/>
      <c r="AQ1408" s="148"/>
      <c r="AR1408" s="148"/>
      <c r="AS1408" s="148"/>
      <c r="AT1408" s="148"/>
      <c r="AU1408" s="148"/>
      <c r="AV1408" s="148"/>
      <c r="AW1408" s="148"/>
      <c r="AX1408" s="148"/>
      <c r="AY1408" s="148"/>
      <c r="AZ1408" s="148"/>
      <c r="BA1408" s="148"/>
      <c r="BB1408" s="148"/>
      <c r="BC1408" s="148"/>
      <c r="BD1408" s="148"/>
      <c r="BE1408" s="148"/>
      <c r="BF1408" s="148"/>
      <c r="BG1408" s="148"/>
      <c r="BH1408" s="148"/>
      <c r="BI1408" s="148"/>
      <c r="BJ1408" s="148"/>
      <c r="BK1408" s="148"/>
      <c r="BL1408" s="148"/>
      <c r="BM1408" s="148"/>
      <c r="BN1408" s="148"/>
      <c r="BO1408" s="148"/>
      <c r="BP1408" s="148"/>
      <c r="BQ1408" s="148"/>
      <c r="BR1408" s="148"/>
      <c r="BS1408" s="148"/>
      <c r="BT1408" s="148"/>
      <c r="BU1408" s="148"/>
      <c r="BV1408" s="148"/>
      <c r="BW1408" s="148"/>
      <c r="BX1408" s="148"/>
      <c r="BY1408" s="148"/>
      <c r="BZ1408" s="148"/>
      <c r="CA1408" s="148"/>
      <c r="CB1408" s="148"/>
      <c r="CC1408" s="148"/>
      <c r="CD1408" s="148"/>
      <c r="CE1408" s="148"/>
      <c r="CF1408" s="148"/>
      <c r="CG1408" s="148"/>
      <c r="CH1408" s="148"/>
      <c r="CI1408" s="148"/>
      <c r="CJ1408" s="148"/>
      <c r="CK1408" s="148"/>
      <c r="CL1408" s="148"/>
      <c r="CM1408" s="148"/>
      <c r="CN1408" s="148"/>
      <c r="CO1408" s="148"/>
      <c r="CP1408" s="148"/>
      <c r="CQ1408" s="148"/>
      <c r="CR1408" s="148"/>
      <c r="CS1408" s="148"/>
      <c r="CT1408" s="148"/>
      <c r="CU1408" s="148"/>
      <c r="CV1408" s="148"/>
      <c r="CW1408" s="148"/>
      <c r="CX1408" s="148"/>
      <c r="CY1408" s="148"/>
      <c r="CZ1408" s="148"/>
      <c r="DA1408" s="148"/>
      <c r="DB1408" s="148"/>
      <c r="DC1408" s="148"/>
      <c r="DD1408" s="148"/>
      <c r="DE1408" s="148"/>
      <c r="DF1408" s="148"/>
      <c r="DG1408" s="148"/>
      <c r="DH1408" s="148"/>
      <c r="DI1408" s="148"/>
      <c r="DJ1408" s="148"/>
      <c r="DK1408" s="148"/>
      <c r="DL1408" s="148"/>
      <c r="DM1408" s="148"/>
      <c r="DN1408" s="148"/>
      <c r="DO1408" s="148"/>
      <c r="DP1408" s="148"/>
      <c r="DQ1408" s="148"/>
      <c r="DR1408" s="148"/>
      <c r="DS1408" s="148"/>
      <c r="DT1408" s="148"/>
      <c r="DU1408" s="148"/>
      <c r="DV1408" s="148"/>
      <c r="DW1408" s="148"/>
      <c r="DX1408" s="148"/>
      <c r="DY1408" s="148"/>
      <c r="DZ1408" s="148"/>
      <c r="EA1408" s="148"/>
      <c r="EB1408" s="148"/>
      <c r="EC1408" s="148"/>
      <c r="ED1408" s="148"/>
      <c r="EE1408" s="148"/>
      <c r="EF1408" s="148"/>
      <c r="EG1408" s="148"/>
      <c r="EH1408" s="148"/>
      <c r="EI1408" s="148"/>
      <c r="EJ1408" s="148"/>
      <c r="EK1408" s="148"/>
      <c r="EL1408" s="148"/>
      <c r="EM1408" s="148"/>
      <c r="EN1408" s="148"/>
      <c r="EO1408" s="148"/>
      <c r="EP1408" s="148"/>
    </row>
    <row r="1409" spans="1:146" s="90" customFormat="1" x14ac:dyDescent="0.3">
      <c r="A1409" s="84">
        <v>903430</v>
      </c>
      <c r="B1409" s="182">
        <v>4.3</v>
      </c>
      <c r="C1409" s="182"/>
      <c r="D1409" s="184">
        <v>9.06</v>
      </c>
      <c r="E1409" s="1534">
        <v>0.156</v>
      </c>
      <c r="F1409" s="182">
        <v>76.099999999999994</v>
      </c>
      <c r="G1409" s="181"/>
      <c r="H1409" s="183">
        <v>11.79</v>
      </c>
      <c r="I1409" s="181">
        <v>510</v>
      </c>
      <c r="J1409" s="181">
        <v>0.187</v>
      </c>
      <c r="K1409" s="182">
        <v>7.83</v>
      </c>
      <c r="L1409" s="181">
        <v>830</v>
      </c>
      <c r="M1409" s="181">
        <v>0.36</v>
      </c>
      <c r="N1409" s="181">
        <v>1.75</v>
      </c>
      <c r="O1409" s="181">
        <v>4.71</v>
      </c>
      <c r="P1409" s="181">
        <v>3.42</v>
      </c>
      <c r="Q1409" s="181"/>
      <c r="R1409" s="184">
        <v>0.96303631597206185</v>
      </c>
      <c r="S1409" s="181">
        <v>6.9</v>
      </c>
      <c r="T1409" s="181"/>
      <c r="U1409" s="184"/>
      <c r="V1409" s="181"/>
      <c r="W1409" s="83"/>
      <c r="X1409" s="83"/>
      <c r="Y1409" s="185">
        <f t="shared" ca="1" si="60"/>
        <v>28</v>
      </c>
      <c r="Z1409" s="181"/>
      <c r="AA1409" s="181"/>
      <c r="AB1409" s="181"/>
      <c r="AC1409" s="181"/>
      <c r="AD1409" s="181">
        <v>560</v>
      </c>
      <c r="AE1409" s="181">
        <v>140</v>
      </c>
      <c r="AF1409" s="83">
        <v>300</v>
      </c>
      <c r="AG1409" s="66">
        <f t="shared" ca="1" si="58"/>
        <v>98.993571428571428</v>
      </c>
      <c r="AH1409" s="143">
        <f t="shared" si="59"/>
        <v>1000</v>
      </c>
      <c r="AI1409" s="148"/>
      <c r="AJ1409" s="148"/>
      <c r="AK1409" s="148"/>
      <c r="AL1409" s="148"/>
      <c r="AM1409" s="148"/>
      <c r="AN1409" s="148"/>
      <c r="AO1409" s="148"/>
      <c r="AP1409" s="148"/>
      <c r="AQ1409" s="148"/>
      <c r="AR1409" s="148"/>
      <c r="AS1409" s="148"/>
      <c r="AT1409" s="148"/>
      <c r="AU1409" s="148"/>
      <c r="AV1409" s="148"/>
      <c r="AW1409" s="148"/>
      <c r="AX1409" s="148"/>
      <c r="AY1409" s="148"/>
      <c r="AZ1409" s="148"/>
      <c r="BA1409" s="148"/>
      <c r="BB1409" s="148"/>
      <c r="BC1409" s="148"/>
      <c r="BD1409" s="148"/>
      <c r="BE1409" s="148"/>
      <c r="BF1409" s="148"/>
      <c r="BG1409" s="148"/>
      <c r="BH1409" s="148"/>
      <c r="BI1409" s="148"/>
      <c r="BJ1409" s="148"/>
      <c r="BK1409" s="148"/>
      <c r="BL1409" s="148"/>
      <c r="BM1409" s="148"/>
      <c r="BN1409" s="148"/>
      <c r="BO1409" s="148"/>
      <c r="BP1409" s="148"/>
      <c r="BQ1409" s="148"/>
      <c r="BR1409" s="148"/>
      <c r="BS1409" s="148"/>
      <c r="BT1409" s="148"/>
      <c r="BU1409" s="148"/>
      <c r="BV1409" s="148"/>
      <c r="BW1409" s="148"/>
      <c r="BX1409" s="148"/>
      <c r="BY1409" s="148"/>
      <c r="BZ1409" s="148"/>
      <c r="CA1409" s="148"/>
      <c r="CB1409" s="148"/>
      <c r="CC1409" s="148"/>
      <c r="CD1409" s="148"/>
      <c r="CE1409" s="148"/>
      <c r="CF1409" s="148"/>
      <c r="CG1409" s="148"/>
      <c r="CH1409" s="148"/>
      <c r="CI1409" s="148"/>
      <c r="CJ1409" s="148"/>
      <c r="CK1409" s="148"/>
      <c r="CL1409" s="148"/>
      <c r="CM1409" s="148"/>
      <c r="CN1409" s="148"/>
      <c r="CO1409" s="148"/>
      <c r="CP1409" s="148"/>
      <c r="CQ1409" s="148"/>
      <c r="CR1409" s="148"/>
      <c r="CS1409" s="148"/>
      <c r="CT1409" s="148"/>
      <c r="CU1409" s="148"/>
      <c r="CV1409" s="148"/>
      <c r="CW1409" s="148"/>
      <c r="CX1409" s="148"/>
      <c r="CY1409" s="148"/>
      <c r="CZ1409" s="148"/>
      <c r="DA1409" s="148"/>
      <c r="DB1409" s="148"/>
      <c r="DC1409" s="148"/>
      <c r="DD1409" s="148"/>
      <c r="DE1409" s="148"/>
      <c r="DF1409" s="148"/>
      <c r="DG1409" s="148"/>
      <c r="DH1409" s="148"/>
      <c r="DI1409" s="148"/>
      <c r="DJ1409" s="148"/>
      <c r="DK1409" s="148"/>
      <c r="DL1409" s="148"/>
      <c r="DM1409" s="148"/>
      <c r="DN1409" s="148"/>
      <c r="DO1409" s="148"/>
      <c r="DP1409" s="148"/>
      <c r="DQ1409" s="148"/>
      <c r="DR1409" s="148"/>
      <c r="DS1409" s="148"/>
      <c r="DT1409" s="148"/>
      <c r="DU1409" s="148"/>
      <c r="DV1409" s="148"/>
      <c r="DW1409" s="148"/>
      <c r="DX1409" s="148"/>
      <c r="DY1409" s="148"/>
      <c r="DZ1409" s="148"/>
      <c r="EA1409" s="148"/>
      <c r="EB1409" s="148"/>
      <c r="EC1409" s="148"/>
      <c r="ED1409" s="148"/>
      <c r="EE1409" s="148"/>
      <c r="EF1409" s="148"/>
      <c r="EG1409" s="148"/>
      <c r="EH1409" s="148"/>
      <c r="EI1409" s="148"/>
      <c r="EJ1409" s="148"/>
      <c r="EK1409" s="148"/>
      <c r="EL1409" s="148"/>
      <c r="EM1409" s="148"/>
      <c r="EN1409" s="148"/>
      <c r="EO1409" s="148"/>
      <c r="EP1409" s="148"/>
    </row>
    <row r="1410" spans="1:146" s="90" customFormat="1" x14ac:dyDescent="0.3">
      <c r="A1410" s="84">
        <v>903431</v>
      </c>
      <c r="B1410" s="182">
        <v>6.9</v>
      </c>
      <c r="C1410" s="182"/>
      <c r="D1410" s="184">
        <v>8.48</v>
      </c>
      <c r="E1410" s="1534">
        <v>0.58599999999999997</v>
      </c>
      <c r="F1410" s="182">
        <v>468.7</v>
      </c>
      <c r="G1410" s="181"/>
      <c r="H1410" s="183">
        <v>24.53</v>
      </c>
      <c r="I1410" s="181">
        <v>150</v>
      </c>
      <c r="J1410" s="181">
        <v>0.57999999999999996</v>
      </c>
      <c r="K1410" s="182">
        <v>7.88</v>
      </c>
      <c r="L1410" s="181">
        <v>770</v>
      </c>
      <c r="M1410" s="181">
        <v>0.34</v>
      </c>
      <c r="N1410" s="181">
        <v>1.59</v>
      </c>
      <c r="O1410" s="181">
        <v>5.94</v>
      </c>
      <c r="P1410" s="181">
        <v>3.49</v>
      </c>
      <c r="Q1410" s="181"/>
      <c r="R1410" s="184">
        <v>1.1332985651972471</v>
      </c>
      <c r="S1410" s="181">
        <v>8.3000000000000007</v>
      </c>
      <c r="T1410" s="181"/>
      <c r="U1410" s="184"/>
      <c r="V1410" s="181"/>
      <c r="W1410" s="83"/>
      <c r="X1410" s="83"/>
      <c r="Y1410" s="185">
        <f t="shared" ca="1" si="60"/>
        <v>32.200000000000003</v>
      </c>
      <c r="Z1410" s="181"/>
      <c r="AA1410" s="181"/>
      <c r="AB1410" s="181"/>
      <c r="AC1410" s="181"/>
      <c r="AD1410" s="181">
        <v>460</v>
      </c>
      <c r="AE1410" s="181">
        <v>420</v>
      </c>
      <c r="AF1410" s="88">
        <v>120</v>
      </c>
      <c r="AG1410" s="66">
        <f t="shared" ref="AG1410:AG1473" ca="1" si="61">+K1410*3.54*100/Y1410</f>
        <v>86.631055900621107</v>
      </c>
      <c r="AH1410" s="143">
        <f t="shared" ref="AH1410:AH1473" si="62">+SUM(AD1410:AF1410)</f>
        <v>1000</v>
      </c>
      <c r="AI1410" s="148"/>
      <c r="AJ1410" s="148"/>
      <c r="AK1410" s="148"/>
      <c r="AL1410" s="148"/>
      <c r="AM1410" s="148"/>
      <c r="AN1410" s="148"/>
      <c r="AO1410" s="148"/>
      <c r="AP1410" s="148"/>
      <c r="AQ1410" s="148"/>
      <c r="AR1410" s="148"/>
      <c r="AS1410" s="148"/>
      <c r="AT1410" s="148"/>
      <c r="AU1410" s="148"/>
      <c r="AV1410" s="148"/>
      <c r="AW1410" s="148"/>
      <c r="AX1410" s="148"/>
      <c r="AY1410" s="148"/>
      <c r="AZ1410" s="148"/>
      <c r="BA1410" s="148"/>
      <c r="BB1410" s="148"/>
      <c r="BC1410" s="148"/>
      <c r="BD1410" s="148"/>
      <c r="BE1410" s="148"/>
      <c r="BF1410" s="148"/>
      <c r="BG1410" s="148"/>
      <c r="BH1410" s="148"/>
      <c r="BI1410" s="148"/>
      <c r="BJ1410" s="148"/>
      <c r="BK1410" s="148"/>
      <c r="BL1410" s="148"/>
      <c r="BM1410" s="148"/>
      <c r="BN1410" s="148"/>
      <c r="BO1410" s="148"/>
      <c r="BP1410" s="148"/>
      <c r="BQ1410" s="148"/>
      <c r="BR1410" s="148"/>
      <c r="BS1410" s="148"/>
      <c r="BT1410" s="148"/>
      <c r="BU1410" s="148"/>
      <c r="BV1410" s="148"/>
      <c r="BW1410" s="148"/>
      <c r="BX1410" s="148"/>
      <c r="BY1410" s="148"/>
      <c r="BZ1410" s="148"/>
      <c r="CA1410" s="148"/>
      <c r="CB1410" s="148"/>
      <c r="CC1410" s="148"/>
      <c r="CD1410" s="148"/>
      <c r="CE1410" s="148"/>
      <c r="CF1410" s="148"/>
      <c r="CG1410" s="148"/>
      <c r="CH1410" s="148"/>
      <c r="CI1410" s="148"/>
      <c r="CJ1410" s="148"/>
      <c r="CK1410" s="148"/>
      <c r="CL1410" s="148"/>
      <c r="CM1410" s="148"/>
      <c r="CN1410" s="148"/>
      <c r="CO1410" s="148"/>
      <c r="CP1410" s="148"/>
      <c r="CQ1410" s="148"/>
      <c r="CR1410" s="148"/>
      <c r="CS1410" s="148"/>
      <c r="CT1410" s="148"/>
      <c r="CU1410" s="148"/>
      <c r="CV1410" s="148"/>
      <c r="CW1410" s="148"/>
      <c r="CX1410" s="148"/>
      <c r="CY1410" s="148"/>
      <c r="CZ1410" s="148"/>
      <c r="DA1410" s="148"/>
      <c r="DB1410" s="148"/>
      <c r="DC1410" s="148"/>
      <c r="DD1410" s="148"/>
      <c r="DE1410" s="148"/>
      <c r="DF1410" s="148"/>
      <c r="DG1410" s="148"/>
      <c r="DH1410" s="148"/>
      <c r="DI1410" s="148"/>
      <c r="DJ1410" s="148"/>
      <c r="DK1410" s="148"/>
      <c r="DL1410" s="148"/>
      <c r="DM1410" s="148"/>
      <c r="DN1410" s="148"/>
      <c r="DO1410" s="148"/>
      <c r="DP1410" s="148"/>
      <c r="DQ1410" s="148"/>
      <c r="DR1410" s="148"/>
      <c r="DS1410" s="148"/>
      <c r="DT1410" s="148"/>
      <c r="DU1410" s="148"/>
      <c r="DV1410" s="148"/>
      <c r="DW1410" s="148"/>
      <c r="DX1410" s="148"/>
      <c r="DY1410" s="148"/>
      <c r="DZ1410" s="148"/>
      <c r="EA1410" s="148"/>
      <c r="EB1410" s="148"/>
      <c r="EC1410" s="148"/>
      <c r="ED1410" s="148"/>
      <c r="EE1410" s="148"/>
      <c r="EF1410" s="148"/>
      <c r="EG1410" s="148"/>
      <c r="EH1410" s="148"/>
      <c r="EI1410" s="148"/>
      <c r="EJ1410" s="148"/>
      <c r="EK1410" s="148"/>
      <c r="EL1410" s="148"/>
      <c r="EM1410" s="148"/>
      <c r="EN1410" s="148"/>
      <c r="EO1410" s="148"/>
      <c r="EP1410" s="148"/>
    </row>
    <row r="1411" spans="1:146" s="90" customFormat="1" x14ac:dyDescent="0.3">
      <c r="A1411" s="84">
        <v>903432</v>
      </c>
      <c r="B1411" s="182">
        <v>13.3</v>
      </c>
      <c r="C1411" s="182">
        <v>5.9</v>
      </c>
      <c r="D1411" s="184">
        <v>8.6999999999999993</v>
      </c>
      <c r="E1411" s="1534">
        <v>0.98199999999999998</v>
      </c>
      <c r="F1411" s="182">
        <v>1129.4000000000001</v>
      </c>
      <c r="G1411" s="181"/>
      <c r="H1411" s="183">
        <v>78.53</v>
      </c>
      <c r="I1411" s="181">
        <v>470</v>
      </c>
      <c r="J1411" s="181">
        <v>1.9710000000000001</v>
      </c>
      <c r="K1411" s="182">
        <v>12.21</v>
      </c>
      <c r="L1411" s="181">
        <v>1150</v>
      </c>
      <c r="M1411" s="181">
        <v>2.19</v>
      </c>
      <c r="N1411" s="181">
        <v>2.6</v>
      </c>
      <c r="O1411" s="181">
        <v>7.4</v>
      </c>
      <c r="P1411" s="181">
        <v>3.93</v>
      </c>
      <c r="Q1411" s="181"/>
      <c r="R1411" s="184">
        <v>1.6704920000000001</v>
      </c>
      <c r="S1411" s="181">
        <v>12.8</v>
      </c>
      <c r="T1411" s="181"/>
      <c r="U1411" s="184"/>
      <c r="V1411" s="181"/>
      <c r="W1411" s="83"/>
      <c r="X1411" s="83"/>
      <c r="Y1411" s="185">
        <f t="shared" ca="1" si="60"/>
        <v>36</v>
      </c>
      <c r="Z1411" s="181"/>
      <c r="AA1411" s="181"/>
      <c r="AB1411" s="181"/>
      <c r="AC1411" s="181"/>
      <c r="AD1411" s="181">
        <v>600</v>
      </c>
      <c r="AE1411" s="181">
        <v>300</v>
      </c>
      <c r="AF1411" s="88">
        <v>100</v>
      </c>
      <c r="AG1411" s="66">
        <f t="shared" ca="1" si="61"/>
        <v>120.065</v>
      </c>
      <c r="AH1411" s="143">
        <f t="shared" si="62"/>
        <v>1000</v>
      </c>
      <c r="AI1411" s="148"/>
      <c r="AJ1411" s="148"/>
      <c r="AK1411" s="148"/>
      <c r="AL1411" s="148"/>
      <c r="AM1411" s="148"/>
      <c r="AN1411" s="148"/>
      <c r="AO1411" s="148"/>
      <c r="AP1411" s="148"/>
      <c r="AQ1411" s="148"/>
      <c r="AR1411" s="148"/>
      <c r="AS1411" s="148"/>
      <c r="AT1411" s="148"/>
      <c r="AU1411" s="148"/>
      <c r="AV1411" s="148"/>
      <c r="AW1411" s="148"/>
      <c r="AX1411" s="148"/>
      <c r="AY1411" s="148"/>
      <c r="AZ1411" s="148"/>
      <c r="BA1411" s="148"/>
      <c r="BB1411" s="148"/>
      <c r="BC1411" s="148"/>
      <c r="BD1411" s="148"/>
      <c r="BE1411" s="148"/>
      <c r="BF1411" s="148"/>
      <c r="BG1411" s="148"/>
      <c r="BH1411" s="148"/>
      <c r="BI1411" s="148"/>
      <c r="BJ1411" s="148"/>
      <c r="BK1411" s="148"/>
      <c r="BL1411" s="148"/>
      <c r="BM1411" s="148"/>
      <c r="BN1411" s="148"/>
      <c r="BO1411" s="148"/>
      <c r="BP1411" s="148"/>
      <c r="BQ1411" s="148"/>
      <c r="BR1411" s="148"/>
      <c r="BS1411" s="148"/>
      <c r="BT1411" s="148"/>
      <c r="BU1411" s="148"/>
      <c r="BV1411" s="148"/>
      <c r="BW1411" s="148"/>
      <c r="BX1411" s="148"/>
      <c r="BY1411" s="148"/>
      <c r="BZ1411" s="148"/>
      <c r="CA1411" s="148"/>
      <c r="CB1411" s="148"/>
      <c r="CC1411" s="148"/>
      <c r="CD1411" s="148"/>
      <c r="CE1411" s="148"/>
      <c r="CF1411" s="148"/>
      <c r="CG1411" s="148"/>
      <c r="CH1411" s="148"/>
      <c r="CI1411" s="148"/>
      <c r="CJ1411" s="148"/>
      <c r="CK1411" s="148"/>
      <c r="CL1411" s="148"/>
      <c r="CM1411" s="148"/>
      <c r="CN1411" s="148"/>
      <c r="CO1411" s="148"/>
      <c r="CP1411" s="148"/>
      <c r="CQ1411" s="148"/>
      <c r="CR1411" s="148"/>
      <c r="CS1411" s="148"/>
      <c r="CT1411" s="148"/>
      <c r="CU1411" s="148"/>
      <c r="CV1411" s="148"/>
      <c r="CW1411" s="148"/>
      <c r="CX1411" s="148"/>
      <c r="CY1411" s="148"/>
      <c r="CZ1411" s="148"/>
      <c r="DA1411" s="148"/>
      <c r="DB1411" s="148"/>
      <c r="DC1411" s="148"/>
      <c r="DD1411" s="148"/>
      <c r="DE1411" s="148"/>
      <c r="DF1411" s="148"/>
      <c r="DG1411" s="148"/>
      <c r="DH1411" s="148"/>
      <c r="DI1411" s="148"/>
      <c r="DJ1411" s="148"/>
      <c r="DK1411" s="148"/>
      <c r="DL1411" s="148"/>
      <c r="DM1411" s="148"/>
      <c r="DN1411" s="148"/>
      <c r="DO1411" s="148"/>
      <c r="DP1411" s="148"/>
      <c r="DQ1411" s="148"/>
      <c r="DR1411" s="148"/>
      <c r="DS1411" s="148"/>
      <c r="DT1411" s="148"/>
      <c r="DU1411" s="148"/>
      <c r="DV1411" s="148"/>
      <c r="DW1411" s="148"/>
      <c r="DX1411" s="148"/>
      <c r="DY1411" s="148"/>
      <c r="DZ1411" s="148"/>
      <c r="EA1411" s="148"/>
      <c r="EB1411" s="148"/>
      <c r="EC1411" s="148"/>
      <c r="ED1411" s="148"/>
      <c r="EE1411" s="148"/>
      <c r="EF1411" s="148"/>
      <c r="EG1411" s="148"/>
      <c r="EH1411" s="148"/>
      <c r="EI1411" s="148"/>
      <c r="EJ1411" s="148"/>
      <c r="EK1411" s="148"/>
      <c r="EL1411" s="148"/>
      <c r="EM1411" s="148"/>
      <c r="EN1411" s="148"/>
      <c r="EO1411" s="148"/>
      <c r="EP1411" s="148"/>
    </row>
    <row r="1412" spans="1:146" s="90" customFormat="1" x14ac:dyDescent="0.3">
      <c r="A1412" s="84">
        <v>903433</v>
      </c>
      <c r="B1412" s="182">
        <v>13.5</v>
      </c>
      <c r="C1412" s="182">
        <v>5.6</v>
      </c>
      <c r="D1412" s="184">
        <v>8.68</v>
      </c>
      <c r="E1412" s="1534">
        <v>1.46</v>
      </c>
      <c r="F1412" s="182">
        <v>1823.3</v>
      </c>
      <c r="G1412" s="181"/>
      <c r="H1412" s="183">
        <v>24.53</v>
      </c>
      <c r="I1412" s="181">
        <v>510</v>
      </c>
      <c r="J1412" s="181">
        <v>2.8959999999999999</v>
      </c>
      <c r="K1412" s="182">
        <v>8.67</v>
      </c>
      <c r="L1412" s="181">
        <v>1140</v>
      </c>
      <c r="M1412" s="181">
        <v>1.62</v>
      </c>
      <c r="N1412" s="181">
        <v>2.06</v>
      </c>
      <c r="O1412" s="181">
        <v>6.31</v>
      </c>
      <c r="P1412" s="181">
        <v>3.59</v>
      </c>
      <c r="Q1412" s="181"/>
      <c r="R1412" s="184">
        <v>1.6850520000000002</v>
      </c>
      <c r="S1412" s="181">
        <v>13.2</v>
      </c>
      <c r="T1412" s="181"/>
      <c r="U1412" s="184"/>
      <c r="V1412" s="181"/>
      <c r="W1412" s="83"/>
      <c r="X1412" s="83"/>
      <c r="Y1412" s="185">
        <f t="shared" ca="1" si="60"/>
        <v>31.2</v>
      </c>
      <c r="Z1412" s="181"/>
      <c r="AA1412" s="181"/>
      <c r="AB1412" s="181"/>
      <c r="AC1412" s="181"/>
      <c r="AD1412" s="181">
        <v>520</v>
      </c>
      <c r="AE1412" s="181">
        <v>380</v>
      </c>
      <c r="AF1412" s="88">
        <v>100</v>
      </c>
      <c r="AG1412" s="66">
        <f t="shared" ca="1" si="61"/>
        <v>98.371153846153859</v>
      </c>
      <c r="AH1412" s="143">
        <f t="shared" si="62"/>
        <v>1000</v>
      </c>
      <c r="AI1412" s="148"/>
      <c r="AJ1412" s="148"/>
      <c r="AK1412" s="148"/>
      <c r="AL1412" s="148"/>
      <c r="AM1412" s="148"/>
      <c r="AN1412" s="148"/>
      <c r="AO1412" s="148"/>
      <c r="AP1412" s="148"/>
      <c r="AQ1412" s="148"/>
      <c r="AR1412" s="148"/>
      <c r="AS1412" s="148"/>
      <c r="AT1412" s="148"/>
      <c r="AU1412" s="148"/>
      <c r="AV1412" s="148"/>
      <c r="AW1412" s="148"/>
      <c r="AX1412" s="148"/>
      <c r="AY1412" s="148"/>
      <c r="AZ1412" s="148"/>
      <c r="BA1412" s="148"/>
      <c r="BB1412" s="148"/>
      <c r="BC1412" s="148"/>
      <c r="BD1412" s="148"/>
      <c r="BE1412" s="148"/>
      <c r="BF1412" s="148"/>
      <c r="BG1412" s="148"/>
      <c r="BH1412" s="148"/>
      <c r="BI1412" s="148"/>
      <c r="BJ1412" s="148"/>
      <c r="BK1412" s="148"/>
      <c r="BL1412" s="148"/>
      <c r="BM1412" s="148"/>
      <c r="BN1412" s="148"/>
      <c r="BO1412" s="148"/>
      <c r="BP1412" s="148"/>
      <c r="BQ1412" s="148"/>
      <c r="BR1412" s="148"/>
      <c r="BS1412" s="148"/>
      <c r="BT1412" s="148"/>
      <c r="BU1412" s="148"/>
      <c r="BV1412" s="148"/>
      <c r="BW1412" s="148"/>
      <c r="BX1412" s="148"/>
      <c r="BY1412" s="148"/>
      <c r="BZ1412" s="148"/>
      <c r="CA1412" s="148"/>
      <c r="CB1412" s="148"/>
      <c r="CC1412" s="148"/>
      <c r="CD1412" s="148"/>
      <c r="CE1412" s="148"/>
      <c r="CF1412" s="148"/>
      <c r="CG1412" s="148"/>
      <c r="CH1412" s="148"/>
      <c r="CI1412" s="148"/>
      <c r="CJ1412" s="148"/>
      <c r="CK1412" s="148"/>
      <c r="CL1412" s="148"/>
      <c r="CM1412" s="148"/>
      <c r="CN1412" s="148"/>
      <c r="CO1412" s="148"/>
      <c r="CP1412" s="148"/>
      <c r="CQ1412" s="148"/>
      <c r="CR1412" s="148"/>
      <c r="CS1412" s="148"/>
      <c r="CT1412" s="148"/>
      <c r="CU1412" s="148"/>
      <c r="CV1412" s="148"/>
      <c r="CW1412" s="148"/>
      <c r="CX1412" s="148"/>
      <c r="CY1412" s="148"/>
      <c r="CZ1412" s="148"/>
      <c r="DA1412" s="148"/>
      <c r="DB1412" s="148"/>
      <c r="DC1412" s="148"/>
      <c r="DD1412" s="148"/>
      <c r="DE1412" s="148"/>
      <c r="DF1412" s="148"/>
      <c r="DG1412" s="148"/>
      <c r="DH1412" s="148"/>
      <c r="DI1412" s="148"/>
      <c r="DJ1412" s="148"/>
      <c r="DK1412" s="148"/>
      <c r="DL1412" s="148"/>
      <c r="DM1412" s="148"/>
      <c r="DN1412" s="148"/>
      <c r="DO1412" s="148"/>
      <c r="DP1412" s="148"/>
      <c r="DQ1412" s="148"/>
      <c r="DR1412" s="148"/>
      <c r="DS1412" s="148"/>
      <c r="DT1412" s="148"/>
      <c r="DU1412" s="148"/>
      <c r="DV1412" s="148"/>
      <c r="DW1412" s="148"/>
      <c r="DX1412" s="148"/>
      <c r="DY1412" s="148"/>
      <c r="DZ1412" s="148"/>
      <c r="EA1412" s="148"/>
      <c r="EB1412" s="148"/>
      <c r="EC1412" s="148"/>
      <c r="ED1412" s="148"/>
      <c r="EE1412" s="148"/>
      <c r="EF1412" s="148"/>
      <c r="EG1412" s="148"/>
      <c r="EH1412" s="148"/>
      <c r="EI1412" s="148"/>
      <c r="EJ1412" s="148"/>
      <c r="EK1412" s="148"/>
      <c r="EL1412" s="148"/>
      <c r="EM1412" s="148"/>
      <c r="EN1412" s="148"/>
      <c r="EO1412" s="148"/>
      <c r="EP1412" s="148"/>
    </row>
    <row r="1413" spans="1:146" s="90" customFormat="1" x14ac:dyDescent="0.3">
      <c r="A1413" s="84">
        <v>903434</v>
      </c>
      <c r="B1413" s="182">
        <v>11.7</v>
      </c>
      <c r="C1413" s="182">
        <v>4.4000000000000004</v>
      </c>
      <c r="D1413" s="184">
        <v>8.4600000000000009</v>
      </c>
      <c r="E1413" s="1534">
        <v>2.69</v>
      </c>
      <c r="F1413" s="182">
        <v>3367.5</v>
      </c>
      <c r="G1413" s="181"/>
      <c r="H1413" s="183">
        <v>135.85</v>
      </c>
      <c r="I1413" s="181">
        <v>570</v>
      </c>
      <c r="J1413" s="181">
        <v>3.3140000000000001</v>
      </c>
      <c r="K1413" s="182">
        <v>12.01</v>
      </c>
      <c r="L1413" s="181">
        <v>1230</v>
      </c>
      <c r="M1413" s="181">
        <v>3</v>
      </c>
      <c r="N1413" s="181">
        <v>2.2599999999999998</v>
      </c>
      <c r="O1413" s="181">
        <v>5.96</v>
      </c>
      <c r="P1413" s="181">
        <v>4.17</v>
      </c>
      <c r="Q1413" s="181"/>
      <c r="R1413" s="184">
        <v>1.6216250000000001</v>
      </c>
      <c r="S1413" s="181">
        <v>11.5</v>
      </c>
      <c r="T1413" s="181"/>
      <c r="U1413" s="184"/>
      <c r="V1413" s="181"/>
      <c r="W1413" s="83"/>
      <c r="X1413" s="83"/>
      <c r="Y1413" s="185">
        <f t="shared" ca="1" si="60"/>
        <v>37.799999999999997</v>
      </c>
      <c r="Z1413" s="181"/>
      <c r="AA1413" s="181"/>
      <c r="AB1413" s="181"/>
      <c r="AC1413" s="181"/>
      <c r="AD1413" s="181">
        <v>540</v>
      </c>
      <c r="AE1413" s="181">
        <v>360</v>
      </c>
      <c r="AF1413" s="88">
        <v>100</v>
      </c>
      <c r="AG1413" s="66">
        <f t="shared" ca="1" si="61"/>
        <v>112.47460317460319</v>
      </c>
      <c r="AH1413" s="143">
        <f t="shared" si="62"/>
        <v>1000</v>
      </c>
      <c r="AI1413" s="148"/>
      <c r="AJ1413" s="148"/>
      <c r="AK1413" s="148"/>
      <c r="AL1413" s="148"/>
      <c r="AM1413" s="148"/>
      <c r="AN1413" s="148"/>
      <c r="AO1413" s="148"/>
      <c r="AP1413" s="148"/>
      <c r="AQ1413" s="148"/>
      <c r="AR1413" s="148"/>
      <c r="AS1413" s="148"/>
      <c r="AT1413" s="148"/>
      <c r="AU1413" s="148"/>
      <c r="AV1413" s="148"/>
      <c r="AW1413" s="148"/>
      <c r="AX1413" s="148"/>
      <c r="AY1413" s="148"/>
      <c r="AZ1413" s="148"/>
      <c r="BA1413" s="148"/>
      <c r="BB1413" s="148"/>
      <c r="BC1413" s="148"/>
      <c r="BD1413" s="148"/>
      <c r="BE1413" s="148"/>
      <c r="BF1413" s="148"/>
      <c r="BG1413" s="148"/>
      <c r="BH1413" s="148"/>
      <c r="BI1413" s="148"/>
      <c r="BJ1413" s="148"/>
      <c r="BK1413" s="148"/>
      <c r="BL1413" s="148"/>
      <c r="BM1413" s="148"/>
      <c r="BN1413" s="148"/>
      <c r="BO1413" s="148"/>
      <c r="BP1413" s="148"/>
      <c r="BQ1413" s="148"/>
      <c r="BR1413" s="148"/>
      <c r="BS1413" s="148"/>
      <c r="BT1413" s="148"/>
      <c r="BU1413" s="148"/>
      <c r="BV1413" s="148"/>
      <c r="BW1413" s="148"/>
      <c r="BX1413" s="148"/>
      <c r="BY1413" s="148"/>
      <c r="BZ1413" s="148"/>
      <c r="CA1413" s="148"/>
      <c r="CB1413" s="148"/>
      <c r="CC1413" s="148"/>
      <c r="CD1413" s="148"/>
      <c r="CE1413" s="148"/>
      <c r="CF1413" s="148"/>
      <c r="CG1413" s="148"/>
      <c r="CH1413" s="148"/>
      <c r="CI1413" s="148"/>
      <c r="CJ1413" s="148"/>
      <c r="CK1413" s="148"/>
      <c r="CL1413" s="148"/>
      <c r="CM1413" s="148"/>
      <c r="CN1413" s="148"/>
      <c r="CO1413" s="148"/>
      <c r="CP1413" s="148"/>
      <c r="CQ1413" s="148"/>
      <c r="CR1413" s="148"/>
      <c r="CS1413" s="148"/>
      <c r="CT1413" s="148"/>
      <c r="CU1413" s="148"/>
      <c r="CV1413" s="148"/>
      <c r="CW1413" s="148"/>
      <c r="CX1413" s="148"/>
      <c r="CY1413" s="148"/>
      <c r="CZ1413" s="148"/>
      <c r="DA1413" s="148"/>
      <c r="DB1413" s="148"/>
      <c r="DC1413" s="148"/>
      <c r="DD1413" s="148"/>
      <c r="DE1413" s="148"/>
      <c r="DF1413" s="148"/>
      <c r="DG1413" s="148"/>
      <c r="DH1413" s="148"/>
      <c r="DI1413" s="148"/>
      <c r="DJ1413" s="148"/>
      <c r="DK1413" s="148"/>
      <c r="DL1413" s="148"/>
      <c r="DM1413" s="148"/>
      <c r="DN1413" s="148"/>
      <c r="DO1413" s="148"/>
      <c r="DP1413" s="148"/>
      <c r="DQ1413" s="148"/>
      <c r="DR1413" s="148"/>
      <c r="DS1413" s="148"/>
      <c r="DT1413" s="148"/>
      <c r="DU1413" s="148"/>
      <c r="DV1413" s="148"/>
      <c r="DW1413" s="148"/>
      <c r="DX1413" s="148"/>
      <c r="DY1413" s="148"/>
      <c r="DZ1413" s="148"/>
      <c r="EA1413" s="148"/>
      <c r="EB1413" s="148"/>
      <c r="EC1413" s="148"/>
      <c r="ED1413" s="148"/>
      <c r="EE1413" s="148"/>
      <c r="EF1413" s="148"/>
      <c r="EG1413" s="148"/>
      <c r="EH1413" s="148"/>
      <c r="EI1413" s="148"/>
      <c r="EJ1413" s="148"/>
      <c r="EK1413" s="148"/>
      <c r="EL1413" s="148"/>
      <c r="EM1413" s="148"/>
      <c r="EN1413" s="148"/>
      <c r="EO1413" s="148"/>
      <c r="EP1413" s="148"/>
    </row>
    <row r="1414" spans="1:146" s="90" customFormat="1" x14ac:dyDescent="0.3">
      <c r="A1414" s="84">
        <v>903435</v>
      </c>
      <c r="B1414" s="182">
        <v>4.7</v>
      </c>
      <c r="C1414" s="182"/>
      <c r="D1414" s="184">
        <v>8.75</v>
      </c>
      <c r="E1414" s="1534">
        <v>0.45300000000000001</v>
      </c>
      <c r="F1414" s="182">
        <v>326.10000000000002</v>
      </c>
      <c r="G1414" s="181"/>
      <c r="H1414" s="183">
        <v>43.68</v>
      </c>
      <c r="I1414" s="181">
        <v>200</v>
      </c>
      <c r="J1414" s="181">
        <v>2.0219999999999998</v>
      </c>
      <c r="K1414" s="182">
        <v>7.62</v>
      </c>
      <c r="L1414" s="181">
        <v>730</v>
      </c>
      <c r="M1414" s="181">
        <v>1.05</v>
      </c>
      <c r="N1414" s="181">
        <v>2.25</v>
      </c>
      <c r="O1414" s="181">
        <v>6.48</v>
      </c>
      <c r="P1414" s="181">
        <v>6.46</v>
      </c>
      <c r="Q1414" s="181"/>
      <c r="R1414" s="184">
        <v>1.6216250000000001</v>
      </c>
      <c r="S1414" s="181">
        <v>11.5</v>
      </c>
      <c r="T1414" s="181"/>
      <c r="U1414" s="184"/>
      <c r="V1414" s="181"/>
      <c r="W1414" s="83"/>
      <c r="X1414" s="83"/>
      <c r="Y1414" s="185">
        <f t="shared" ca="1" si="60"/>
        <v>36.4</v>
      </c>
      <c r="Z1414" s="181"/>
      <c r="AA1414" s="181"/>
      <c r="AB1414" s="181"/>
      <c r="AC1414" s="181"/>
      <c r="AD1414" s="181">
        <v>520</v>
      </c>
      <c r="AE1414" s="181">
        <v>360</v>
      </c>
      <c r="AF1414" s="88">
        <v>120</v>
      </c>
      <c r="AG1414" s="66">
        <f t="shared" ca="1" si="61"/>
        <v>74.106593406593404</v>
      </c>
      <c r="AH1414" s="143">
        <f t="shared" si="62"/>
        <v>1000</v>
      </c>
      <c r="AI1414" s="148"/>
      <c r="AJ1414" s="148"/>
      <c r="AK1414" s="148"/>
      <c r="AL1414" s="148"/>
      <c r="AM1414" s="148"/>
      <c r="AN1414" s="148"/>
      <c r="AO1414" s="148"/>
      <c r="AP1414" s="148"/>
      <c r="AQ1414" s="148"/>
      <c r="AR1414" s="148"/>
      <c r="AS1414" s="148"/>
      <c r="AT1414" s="148"/>
      <c r="AU1414" s="148"/>
      <c r="AV1414" s="148"/>
      <c r="AW1414" s="148"/>
      <c r="AX1414" s="148"/>
      <c r="AY1414" s="148"/>
      <c r="AZ1414" s="148"/>
      <c r="BA1414" s="148"/>
      <c r="BB1414" s="148"/>
      <c r="BC1414" s="148"/>
      <c r="BD1414" s="148"/>
      <c r="BE1414" s="148"/>
      <c r="BF1414" s="148"/>
      <c r="BG1414" s="148"/>
      <c r="BH1414" s="148"/>
      <c r="BI1414" s="148"/>
      <c r="BJ1414" s="148"/>
      <c r="BK1414" s="148"/>
      <c r="BL1414" s="148"/>
      <c r="BM1414" s="148"/>
      <c r="BN1414" s="148"/>
      <c r="BO1414" s="148"/>
      <c r="BP1414" s="148"/>
      <c r="BQ1414" s="148"/>
      <c r="BR1414" s="148"/>
      <c r="BS1414" s="148"/>
      <c r="BT1414" s="148"/>
      <c r="BU1414" s="148"/>
      <c r="BV1414" s="148"/>
      <c r="BW1414" s="148"/>
      <c r="BX1414" s="148"/>
      <c r="BY1414" s="148"/>
      <c r="BZ1414" s="148"/>
      <c r="CA1414" s="148"/>
      <c r="CB1414" s="148"/>
      <c r="CC1414" s="148"/>
      <c r="CD1414" s="148"/>
      <c r="CE1414" s="148"/>
      <c r="CF1414" s="148"/>
      <c r="CG1414" s="148"/>
      <c r="CH1414" s="148"/>
      <c r="CI1414" s="148"/>
      <c r="CJ1414" s="148"/>
      <c r="CK1414" s="148"/>
      <c r="CL1414" s="148"/>
      <c r="CM1414" s="148"/>
      <c r="CN1414" s="148"/>
      <c r="CO1414" s="148"/>
      <c r="CP1414" s="148"/>
      <c r="CQ1414" s="148"/>
      <c r="CR1414" s="148"/>
      <c r="CS1414" s="148"/>
      <c r="CT1414" s="148"/>
      <c r="CU1414" s="148"/>
      <c r="CV1414" s="148"/>
      <c r="CW1414" s="148"/>
      <c r="CX1414" s="148"/>
      <c r="CY1414" s="148"/>
      <c r="CZ1414" s="148"/>
      <c r="DA1414" s="148"/>
      <c r="DB1414" s="148"/>
      <c r="DC1414" s="148"/>
      <c r="DD1414" s="148"/>
      <c r="DE1414" s="148"/>
      <c r="DF1414" s="148"/>
      <c r="DG1414" s="148"/>
      <c r="DH1414" s="148"/>
      <c r="DI1414" s="148"/>
      <c r="DJ1414" s="148"/>
      <c r="DK1414" s="148"/>
      <c r="DL1414" s="148"/>
      <c r="DM1414" s="148"/>
      <c r="DN1414" s="148"/>
      <c r="DO1414" s="148"/>
      <c r="DP1414" s="148"/>
      <c r="DQ1414" s="148"/>
      <c r="DR1414" s="148"/>
      <c r="DS1414" s="148"/>
      <c r="DT1414" s="148"/>
      <c r="DU1414" s="148"/>
      <c r="DV1414" s="148"/>
      <c r="DW1414" s="148"/>
      <c r="DX1414" s="148"/>
      <c r="DY1414" s="148"/>
      <c r="DZ1414" s="148"/>
      <c r="EA1414" s="148"/>
      <c r="EB1414" s="148"/>
      <c r="EC1414" s="148"/>
      <c r="ED1414" s="148"/>
      <c r="EE1414" s="148"/>
      <c r="EF1414" s="148"/>
      <c r="EG1414" s="148"/>
      <c r="EH1414" s="148"/>
      <c r="EI1414" s="148"/>
      <c r="EJ1414" s="148"/>
      <c r="EK1414" s="148"/>
      <c r="EL1414" s="148"/>
      <c r="EM1414" s="148"/>
      <c r="EN1414" s="148"/>
      <c r="EO1414" s="148"/>
      <c r="EP1414" s="148"/>
    </row>
    <row r="1415" spans="1:146" s="90" customFormat="1" x14ac:dyDescent="0.3">
      <c r="A1415" s="84">
        <v>903436</v>
      </c>
      <c r="B1415" s="182">
        <v>4.0999999999999996</v>
      </c>
      <c r="C1415" s="182"/>
      <c r="D1415" s="184">
        <v>8.85</v>
      </c>
      <c r="E1415" s="1534">
        <v>0.217</v>
      </c>
      <c r="F1415" s="182">
        <v>93.9</v>
      </c>
      <c r="G1415" s="181"/>
      <c r="H1415" s="183">
        <v>44.36</v>
      </c>
      <c r="I1415" s="181">
        <v>170</v>
      </c>
      <c r="J1415" s="181">
        <v>0.19700000000000001</v>
      </c>
      <c r="K1415" s="182">
        <v>7.88</v>
      </c>
      <c r="L1415" s="181">
        <v>730</v>
      </c>
      <c r="M1415" s="181">
        <v>1.23</v>
      </c>
      <c r="N1415" s="181">
        <v>1.65</v>
      </c>
      <c r="O1415" s="181">
        <v>8.43</v>
      </c>
      <c r="P1415" s="181">
        <v>4.96</v>
      </c>
      <c r="Q1415" s="181"/>
      <c r="R1415" s="184">
        <v>1.4726687646009347</v>
      </c>
      <c r="S1415" s="181">
        <v>9.6999999999999993</v>
      </c>
      <c r="T1415" s="181"/>
      <c r="U1415" s="184"/>
      <c r="V1415" s="181"/>
      <c r="W1415" s="83"/>
      <c r="X1415" s="83"/>
      <c r="Y1415" s="185">
        <f t="shared" ca="1" si="60"/>
        <v>26</v>
      </c>
      <c r="Z1415" s="181"/>
      <c r="AA1415" s="181"/>
      <c r="AB1415" s="181"/>
      <c r="AC1415" s="181"/>
      <c r="AD1415" s="181">
        <v>520</v>
      </c>
      <c r="AE1415" s="181">
        <v>380</v>
      </c>
      <c r="AF1415" s="88">
        <v>100</v>
      </c>
      <c r="AG1415" s="66">
        <f t="shared" ca="1" si="61"/>
        <v>107.28923076923077</v>
      </c>
      <c r="AH1415" s="143">
        <f t="shared" si="62"/>
        <v>1000</v>
      </c>
      <c r="AI1415" s="148"/>
      <c r="AJ1415" s="148"/>
      <c r="AK1415" s="148"/>
      <c r="AL1415" s="148"/>
      <c r="AM1415" s="148"/>
      <c r="AN1415" s="148"/>
      <c r="AO1415" s="148"/>
      <c r="AP1415" s="148"/>
      <c r="AQ1415" s="148"/>
      <c r="AR1415" s="148"/>
      <c r="AS1415" s="148"/>
      <c r="AT1415" s="148"/>
      <c r="AU1415" s="148"/>
      <c r="AV1415" s="148"/>
      <c r="AW1415" s="148"/>
      <c r="AX1415" s="148"/>
      <c r="AY1415" s="148"/>
      <c r="AZ1415" s="148"/>
      <c r="BA1415" s="148"/>
      <c r="BB1415" s="148"/>
      <c r="BC1415" s="148"/>
      <c r="BD1415" s="148"/>
      <c r="BE1415" s="148"/>
      <c r="BF1415" s="148"/>
      <c r="BG1415" s="148"/>
      <c r="BH1415" s="148"/>
      <c r="BI1415" s="148"/>
      <c r="BJ1415" s="148"/>
      <c r="BK1415" s="148"/>
      <c r="BL1415" s="148"/>
      <c r="BM1415" s="148"/>
      <c r="BN1415" s="148"/>
      <c r="BO1415" s="148"/>
      <c r="BP1415" s="148"/>
      <c r="BQ1415" s="148"/>
      <c r="BR1415" s="148"/>
      <c r="BS1415" s="148"/>
      <c r="BT1415" s="148"/>
      <c r="BU1415" s="148"/>
      <c r="BV1415" s="148"/>
      <c r="BW1415" s="148"/>
      <c r="BX1415" s="148"/>
      <c r="BY1415" s="148"/>
      <c r="BZ1415" s="148"/>
      <c r="CA1415" s="148"/>
      <c r="CB1415" s="148"/>
      <c r="CC1415" s="148"/>
      <c r="CD1415" s="148"/>
      <c r="CE1415" s="148"/>
      <c r="CF1415" s="148"/>
      <c r="CG1415" s="148"/>
      <c r="CH1415" s="148"/>
      <c r="CI1415" s="148"/>
      <c r="CJ1415" s="148"/>
      <c r="CK1415" s="148"/>
      <c r="CL1415" s="148"/>
      <c r="CM1415" s="148"/>
      <c r="CN1415" s="148"/>
      <c r="CO1415" s="148"/>
      <c r="CP1415" s="148"/>
      <c r="CQ1415" s="148"/>
      <c r="CR1415" s="148"/>
      <c r="CS1415" s="148"/>
      <c r="CT1415" s="148"/>
      <c r="CU1415" s="148"/>
      <c r="CV1415" s="148"/>
      <c r="CW1415" s="148"/>
      <c r="CX1415" s="148"/>
      <c r="CY1415" s="148"/>
      <c r="CZ1415" s="148"/>
      <c r="DA1415" s="148"/>
      <c r="DB1415" s="148"/>
      <c r="DC1415" s="148"/>
      <c r="DD1415" s="148"/>
      <c r="DE1415" s="148"/>
      <c r="DF1415" s="148"/>
      <c r="DG1415" s="148"/>
      <c r="DH1415" s="148"/>
      <c r="DI1415" s="148"/>
      <c r="DJ1415" s="148"/>
      <c r="DK1415" s="148"/>
      <c r="DL1415" s="148"/>
      <c r="DM1415" s="148"/>
      <c r="DN1415" s="148"/>
      <c r="DO1415" s="148"/>
      <c r="DP1415" s="148"/>
      <c r="DQ1415" s="148"/>
      <c r="DR1415" s="148"/>
      <c r="DS1415" s="148"/>
      <c r="DT1415" s="148"/>
      <c r="DU1415" s="148"/>
      <c r="DV1415" s="148"/>
      <c r="DW1415" s="148"/>
      <c r="DX1415" s="148"/>
      <c r="DY1415" s="148"/>
      <c r="DZ1415" s="148"/>
      <c r="EA1415" s="148"/>
      <c r="EB1415" s="148"/>
      <c r="EC1415" s="148"/>
      <c r="ED1415" s="148"/>
      <c r="EE1415" s="148"/>
      <c r="EF1415" s="148"/>
      <c r="EG1415" s="148"/>
      <c r="EH1415" s="148"/>
      <c r="EI1415" s="148"/>
      <c r="EJ1415" s="148"/>
      <c r="EK1415" s="148"/>
      <c r="EL1415" s="148"/>
      <c r="EM1415" s="148"/>
      <c r="EN1415" s="148"/>
      <c r="EO1415" s="148"/>
      <c r="EP1415" s="148"/>
    </row>
    <row r="1416" spans="1:146" s="90" customFormat="1" x14ac:dyDescent="0.3">
      <c r="A1416" s="84">
        <v>903437</v>
      </c>
      <c r="B1416" s="182">
        <v>2.5</v>
      </c>
      <c r="C1416" s="182"/>
      <c r="D1416" s="184">
        <v>8.77</v>
      </c>
      <c r="E1416" s="1534">
        <v>0.50700000000000001</v>
      </c>
      <c r="F1416" s="182">
        <v>350.3</v>
      </c>
      <c r="G1416" s="181"/>
      <c r="H1416" s="183">
        <v>47.28</v>
      </c>
      <c r="I1416" s="181">
        <v>230</v>
      </c>
      <c r="J1416" s="181">
        <v>0.95199999999999996</v>
      </c>
      <c r="K1416" s="182">
        <v>7.12</v>
      </c>
      <c r="L1416" s="181">
        <v>1040</v>
      </c>
      <c r="M1416" s="181">
        <v>0.83</v>
      </c>
      <c r="N1416" s="181">
        <v>1.44</v>
      </c>
      <c r="O1416" s="181">
        <v>7.64</v>
      </c>
      <c r="P1416" s="181">
        <v>9.24</v>
      </c>
      <c r="Q1416" s="181"/>
      <c r="R1416" s="184">
        <v>1.1376273014886435</v>
      </c>
      <c r="S1416" s="181">
        <v>7.9</v>
      </c>
      <c r="T1416" s="181"/>
      <c r="U1416" s="184"/>
      <c r="V1416" s="181"/>
      <c r="W1416" s="83"/>
      <c r="X1416" s="83"/>
      <c r="Y1416" s="185">
        <f t="shared" ca="1" si="60"/>
        <v>39.200000000000003</v>
      </c>
      <c r="Z1416" s="181"/>
      <c r="AA1416" s="181"/>
      <c r="AB1416" s="181"/>
      <c r="AC1416" s="181"/>
      <c r="AD1416" s="181">
        <v>560</v>
      </c>
      <c r="AE1416" s="181">
        <v>300</v>
      </c>
      <c r="AF1416" s="88">
        <v>140</v>
      </c>
      <c r="AG1416" s="66">
        <f t="shared" ca="1" si="61"/>
        <v>64.29795918367347</v>
      </c>
      <c r="AH1416" s="143">
        <f t="shared" si="62"/>
        <v>1000</v>
      </c>
      <c r="AI1416" s="148"/>
      <c r="AJ1416" s="148"/>
      <c r="AK1416" s="148"/>
      <c r="AL1416" s="148"/>
      <c r="AM1416" s="148"/>
      <c r="AN1416" s="148"/>
      <c r="AO1416" s="148"/>
      <c r="AP1416" s="148"/>
      <c r="AQ1416" s="148"/>
      <c r="AR1416" s="148"/>
      <c r="AS1416" s="148"/>
      <c r="AT1416" s="148"/>
      <c r="AU1416" s="148"/>
      <c r="AV1416" s="148"/>
      <c r="AW1416" s="148"/>
      <c r="AX1416" s="148"/>
      <c r="AY1416" s="148"/>
      <c r="AZ1416" s="148"/>
      <c r="BA1416" s="148"/>
      <c r="BB1416" s="148"/>
      <c r="BC1416" s="148"/>
      <c r="BD1416" s="148"/>
      <c r="BE1416" s="148"/>
      <c r="BF1416" s="148"/>
      <c r="BG1416" s="148"/>
      <c r="BH1416" s="148"/>
      <c r="BI1416" s="148"/>
      <c r="BJ1416" s="148"/>
      <c r="BK1416" s="148"/>
      <c r="BL1416" s="148"/>
      <c r="BM1416" s="148"/>
      <c r="BN1416" s="148"/>
      <c r="BO1416" s="148"/>
      <c r="BP1416" s="148"/>
      <c r="BQ1416" s="148"/>
      <c r="BR1416" s="148"/>
      <c r="BS1416" s="148"/>
      <c r="BT1416" s="148"/>
      <c r="BU1416" s="148"/>
      <c r="BV1416" s="148"/>
      <c r="BW1416" s="148"/>
      <c r="BX1416" s="148"/>
      <c r="BY1416" s="148"/>
      <c r="BZ1416" s="148"/>
      <c r="CA1416" s="148"/>
      <c r="CB1416" s="148"/>
      <c r="CC1416" s="148"/>
      <c r="CD1416" s="148"/>
      <c r="CE1416" s="148"/>
      <c r="CF1416" s="148"/>
      <c r="CG1416" s="148"/>
      <c r="CH1416" s="148"/>
      <c r="CI1416" s="148"/>
      <c r="CJ1416" s="148"/>
      <c r="CK1416" s="148"/>
      <c r="CL1416" s="148"/>
      <c r="CM1416" s="148"/>
      <c r="CN1416" s="148"/>
      <c r="CO1416" s="148"/>
      <c r="CP1416" s="148"/>
      <c r="CQ1416" s="148"/>
      <c r="CR1416" s="148"/>
      <c r="CS1416" s="148"/>
      <c r="CT1416" s="148"/>
      <c r="CU1416" s="148"/>
      <c r="CV1416" s="148"/>
      <c r="CW1416" s="148"/>
      <c r="CX1416" s="148"/>
      <c r="CY1416" s="148"/>
      <c r="CZ1416" s="148"/>
      <c r="DA1416" s="148"/>
      <c r="DB1416" s="148"/>
      <c r="DC1416" s="148"/>
      <c r="DD1416" s="148"/>
      <c r="DE1416" s="148"/>
      <c r="DF1416" s="148"/>
      <c r="DG1416" s="148"/>
      <c r="DH1416" s="148"/>
      <c r="DI1416" s="148"/>
      <c r="DJ1416" s="148"/>
      <c r="DK1416" s="148"/>
      <c r="DL1416" s="148"/>
      <c r="DM1416" s="148"/>
      <c r="DN1416" s="148"/>
      <c r="DO1416" s="148"/>
      <c r="DP1416" s="148"/>
      <c r="DQ1416" s="148"/>
      <c r="DR1416" s="148"/>
      <c r="DS1416" s="148"/>
      <c r="DT1416" s="148"/>
      <c r="DU1416" s="148"/>
      <c r="DV1416" s="148"/>
      <c r="DW1416" s="148"/>
      <c r="DX1416" s="148"/>
      <c r="DY1416" s="148"/>
      <c r="DZ1416" s="148"/>
      <c r="EA1416" s="148"/>
      <c r="EB1416" s="148"/>
      <c r="EC1416" s="148"/>
      <c r="ED1416" s="148"/>
      <c r="EE1416" s="148"/>
      <c r="EF1416" s="148"/>
      <c r="EG1416" s="148"/>
      <c r="EH1416" s="148"/>
      <c r="EI1416" s="148"/>
      <c r="EJ1416" s="148"/>
      <c r="EK1416" s="148"/>
      <c r="EL1416" s="148"/>
      <c r="EM1416" s="148"/>
      <c r="EN1416" s="148"/>
      <c r="EO1416" s="148"/>
      <c r="EP1416" s="148"/>
    </row>
    <row r="1417" spans="1:146" s="90" customFormat="1" x14ac:dyDescent="0.3">
      <c r="A1417" s="84">
        <v>903438</v>
      </c>
      <c r="B1417" s="182">
        <v>2</v>
      </c>
      <c r="C1417" s="182"/>
      <c r="D1417" s="184">
        <v>8.41</v>
      </c>
      <c r="E1417" s="1534">
        <v>1.28</v>
      </c>
      <c r="F1417" s="182">
        <v>1350.3</v>
      </c>
      <c r="G1417" s="181"/>
      <c r="H1417" s="183">
        <v>54.21</v>
      </c>
      <c r="I1417" s="181">
        <v>430</v>
      </c>
      <c r="J1417" s="181">
        <v>1.91</v>
      </c>
      <c r="K1417" s="182">
        <v>7.53</v>
      </c>
      <c r="L1417" s="181">
        <v>1180</v>
      </c>
      <c r="M1417" s="181">
        <v>0.79</v>
      </c>
      <c r="N1417" s="181">
        <v>1.42</v>
      </c>
      <c r="O1417" s="181">
        <v>5.83</v>
      </c>
      <c r="P1417" s="181">
        <v>4.47</v>
      </c>
      <c r="Q1417" s="181"/>
      <c r="R1417" s="184">
        <v>1.5903770000000002</v>
      </c>
      <c r="S1417" s="181">
        <v>10.7</v>
      </c>
      <c r="T1417" s="181"/>
      <c r="U1417" s="184"/>
      <c r="V1417" s="181"/>
      <c r="W1417" s="83"/>
      <c r="X1417" s="83"/>
      <c r="Y1417" s="185">
        <f t="shared" ca="1" si="60"/>
        <v>42</v>
      </c>
      <c r="Z1417" s="181"/>
      <c r="AA1417" s="181"/>
      <c r="AB1417" s="181"/>
      <c r="AC1417" s="181"/>
      <c r="AD1417" s="181">
        <v>600</v>
      </c>
      <c r="AE1417" s="181">
        <v>280</v>
      </c>
      <c r="AF1417" s="88">
        <v>120</v>
      </c>
      <c r="AG1417" s="66">
        <f t="shared" ca="1" si="61"/>
        <v>63.467142857142868</v>
      </c>
      <c r="AH1417" s="143">
        <f t="shared" si="62"/>
        <v>1000</v>
      </c>
      <c r="AI1417" s="148"/>
      <c r="AJ1417" s="148"/>
      <c r="AK1417" s="148"/>
      <c r="AL1417" s="148"/>
      <c r="AM1417" s="148"/>
      <c r="AN1417" s="148"/>
      <c r="AO1417" s="148"/>
      <c r="AP1417" s="148"/>
      <c r="AQ1417" s="148"/>
      <c r="AR1417" s="148"/>
      <c r="AS1417" s="148"/>
      <c r="AT1417" s="148"/>
      <c r="AU1417" s="148"/>
      <c r="AV1417" s="148"/>
      <c r="AW1417" s="148"/>
      <c r="AX1417" s="148"/>
      <c r="AY1417" s="148"/>
      <c r="AZ1417" s="148"/>
      <c r="BA1417" s="148"/>
      <c r="BB1417" s="148"/>
      <c r="BC1417" s="148"/>
      <c r="BD1417" s="148"/>
      <c r="BE1417" s="148"/>
      <c r="BF1417" s="148"/>
      <c r="BG1417" s="148"/>
      <c r="BH1417" s="148"/>
      <c r="BI1417" s="148"/>
      <c r="BJ1417" s="148"/>
      <c r="BK1417" s="148"/>
      <c r="BL1417" s="148"/>
      <c r="BM1417" s="148"/>
      <c r="BN1417" s="148"/>
      <c r="BO1417" s="148"/>
      <c r="BP1417" s="148"/>
      <c r="BQ1417" s="148"/>
      <c r="BR1417" s="148"/>
      <c r="BS1417" s="148"/>
      <c r="BT1417" s="148"/>
      <c r="BU1417" s="148"/>
      <c r="BV1417" s="148"/>
      <c r="BW1417" s="148"/>
      <c r="BX1417" s="148"/>
      <c r="BY1417" s="148"/>
      <c r="BZ1417" s="148"/>
      <c r="CA1417" s="148"/>
      <c r="CB1417" s="148"/>
      <c r="CC1417" s="148"/>
      <c r="CD1417" s="148"/>
      <c r="CE1417" s="148"/>
      <c r="CF1417" s="148"/>
      <c r="CG1417" s="148"/>
      <c r="CH1417" s="148"/>
      <c r="CI1417" s="148"/>
      <c r="CJ1417" s="148"/>
      <c r="CK1417" s="148"/>
      <c r="CL1417" s="148"/>
      <c r="CM1417" s="148"/>
      <c r="CN1417" s="148"/>
      <c r="CO1417" s="148"/>
      <c r="CP1417" s="148"/>
      <c r="CQ1417" s="148"/>
      <c r="CR1417" s="148"/>
      <c r="CS1417" s="148"/>
      <c r="CT1417" s="148"/>
      <c r="CU1417" s="148"/>
      <c r="CV1417" s="148"/>
      <c r="CW1417" s="148"/>
      <c r="CX1417" s="148"/>
      <c r="CY1417" s="148"/>
      <c r="CZ1417" s="148"/>
      <c r="DA1417" s="148"/>
      <c r="DB1417" s="148"/>
      <c r="DC1417" s="148"/>
      <c r="DD1417" s="148"/>
      <c r="DE1417" s="148"/>
      <c r="DF1417" s="148"/>
      <c r="DG1417" s="148"/>
      <c r="DH1417" s="148"/>
      <c r="DI1417" s="148"/>
      <c r="DJ1417" s="148"/>
      <c r="DK1417" s="148"/>
      <c r="DL1417" s="148"/>
      <c r="DM1417" s="148"/>
      <c r="DN1417" s="148"/>
      <c r="DO1417" s="148"/>
      <c r="DP1417" s="148"/>
      <c r="DQ1417" s="148"/>
      <c r="DR1417" s="148"/>
      <c r="DS1417" s="148"/>
      <c r="DT1417" s="148"/>
      <c r="DU1417" s="148"/>
      <c r="DV1417" s="148"/>
      <c r="DW1417" s="148"/>
      <c r="DX1417" s="148"/>
      <c r="DY1417" s="148"/>
      <c r="DZ1417" s="148"/>
      <c r="EA1417" s="148"/>
      <c r="EB1417" s="148"/>
      <c r="EC1417" s="148"/>
      <c r="ED1417" s="148"/>
      <c r="EE1417" s="148"/>
      <c r="EF1417" s="148"/>
      <c r="EG1417" s="148"/>
      <c r="EH1417" s="148"/>
      <c r="EI1417" s="148"/>
      <c r="EJ1417" s="148"/>
      <c r="EK1417" s="148"/>
      <c r="EL1417" s="148"/>
      <c r="EM1417" s="148"/>
      <c r="EN1417" s="148"/>
      <c r="EO1417" s="148"/>
      <c r="EP1417" s="148"/>
    </row>
    <row r="1418" spans="1:146" s="90" customFormat="1" x14ac:dyDescent="0.3">
      <c r="A1418" s="84">
        <v>903439</v>
      </c>
      <c r="B1418" s="182">
        <v>8.4</v>
      </c>
      <c r="C1418" s="182"/>
      <c r="D1418" s="184">
        <v>8.42</v>
      </c>
      <c r="E1418" s="1534">
        <v>0.17699999999999999</v>
      </c>
      <c r="F1418" s="182">
        <v>56.8</v>
      </c>
      <c r="G1418" s="181"/>
      <c r="H1418" s="183">
        <v>21.71</v>
      </c>
      <c r="I1418" s="181">
        <v>530</v>
      </c>
      <c r="J1418" s="181">
        <v>1.7999999999999999E-2</v>
      </c>
      <c r="K1418" s="182">
        <v>14.41</v>
      </c>
      <c r="L1418" s="181">
        <v>1730</v>
      </c>
      <c r="M1418" s="181">
        <v>1.08</v>
      </c>
      <c r="N1418" s="181">
        <v>4.29</v>
      </c>
      <c r="O1418" s="181">
        <v>12.12</v>
      </c>
      <c r="P1418" s="181">
        <v>9.16</v>
      </c>
      <c r="Q1418" s="181"/>
      <c r="R1418" s="184">
        <v>1.7099930000000001</v>
      </c>
      <c r="S1418" s="181">
        <v>13.9</v>
      </c>
      <c r="T1418" s="181"/>
      <c r="U1418" s="184"/>
      <c r="V1418" s="181"/>
      <c r="W1418" s="83"/>
      <c r="X1418" s="83"/>
      <c r="Y1418" s="185">
        <f t="shared" ca="1" si="60"/>
        <v>32</v>
      </c>
      <c r="Z1418" s="181"/>
      <c r="AA1418" s="86">
        <v>4.75</v>
      </c>
      <c r="AB1418" s="86">
        <v>0.34799999999999998</v>
      </c>
      <c r="AC1418" s="83">
        <v>6.8</v>
      </c>
      <c r="AD1418" s="181">
        <v>640</v>
      </c>
      <c r="AE1418" s="181">
        <v>260</v>
      </c>
      <c r="AF1418" s="88">
        <v>100</v>
      </c>
      <c r="AG1418" s="66">
        <f t="shared" ca="1" si="61"/>
        <v>159.41062500000001</v>
      </c>
      <c r="AH1418" s="143">
        <f t="shared" si="62"/>
        <v>1000</v>
      </c>
      <c r="AI1418" s="148"/>
      <c r="AJ1418" s="148"/>
      <c r="AK1418" s="148"/>
      <c r="AL1418" s="148"/>
      <c r="AM1418" s="148"/>
      <c r="AN1418" s="148"/>
      <c r="AO1418" s="148"/>
      <c r="AP1418" s="148"/>
      <c r="AQ1418" s="148"/>
      <c r="AR1418" s="148"/>
      <c r="AS1418" s="148"/>
      <c r="AT1418" s="148"/>
      <c r="AU1418" s="148"/>
      <c r="AV1418" s="148"/>
      <c r="AW1418" s="148"/>
      <c r="AX1418" s="148"/>
      <c r="AY1418" s="148"/>
      <c r="AZ1418" s="148"/>
      <c r="BA1418" s="148"/>
      <c r="BB1418" s="148"/>
      <c r="BC1418" s="148"/>
      <c r="BD1418" s="148"/>
      <c r="BE1418" s="148"/>
      <c r="BF1418" s="148"/>
      <c r="BG1418" s="148"/>
      <c r="BH1418" s="148"/>
      <c r="BI1418" s="148"/>
      <c r="BJ1418" s="148"/>
      <c r="BK1418" s="148"/>
      <c r="BL1418" s="148"/>
      <c r="BM1418" s="148"/>
      <c r="BN1418" s="148"/>
      <c r="BO1418" s="148"/>
      <c r="BP1418" s="148"/>
      <c r="BQ1418" s="148"/>
      <c r="BR1418" s="148"/>
      <c r="BS1418" s="148"/>
      <c r="BT1418" s="148"/>
      <c r="BU1418" s="148"/>
      <c r="BV1418" s="148"/>
      <c r="BW1418" s="148"/>
      <c r="BX1418" s="148"/>
      <c r="BY1418" s="148"/>
      <c r="BZ1418" s="148"/>
      <c r="CA1418" s="148"/>
      <c r="CB1418" s="148"/>
      <c r="CC1418" s="148"/>
      <c r="CD1418" s="148"/>
      <c r="CE1418" s="148"/>
      <c r="CF1418" s="148"/>
      <c r="CG1418" s="148"/>
      <c r="CH1418" s="148"/>
      <c r="CI1418" s="148"/>
      <c r="CJ1418" s="148"/>
      <c r="CK1418" s="148"/>
      <c r="CL1418" s="148"/>
      <c r="CM1418" s="148"/>
      <c r="CN1418" s="148"/>
      <c r="CO1418" s="148"/>
      <c r="CP1418" s="148"/>
      <c r="CQ1418" s="148"/>
      <c r="CR1418" s="148"/>
      <c r="CS1418" s="148"/>
      <c r="CT1418" s="148"/>
      <c r="CU1418" s="148"/>
      <c r="CV1418" s="148"/>
      <c r="CW1418" s="148"/>
      <c r="CX1418" s="148"/>
      <c r="CY1418" s="148"/>
      <c r="CZ1418" s="148"/>
      <c r="DA1418" s="148"/>
      <c r="DB1418" s="148"/>
      <c r="DC1418" s="148"/>
      <c r="DD1418" s="148"/>
      <c r="DE1418" s="148"/>
      <c r="DF1418" s="148"/>
      <c r="DG1418" s="148"/>
      <c r="DH1418" s="148"/>
      <c r="DI1418" s="148"/>
      <c r="DJ1418" s="148"/>
      <c r="DK1418" s="148"/>
      <c r="DL1418" s="148"/>
      <c r="DM1418" s="148"/>
      <c r="DN1418" s="148"/>
      <c r="DO1418" s="148"/>
      <c r="DP1418" s="148"/>
      <c r="DQ1418" s="148"/>
      <c r="DR1418" s="148"/>
      <c r="DS1418" s="148"/>
      <c r="DT1418" s="148"/>
      <c r="DU1418" s="148"/>
      <c r="DV1418" s="148"/>
      <c r="DW1418" s="148"/>
      <c r="DX1418" s="148"/>
      <c r="DY1418" s="148"/>
      <c r="DZ1418" s="148"/>
      <c r="EA1418" s="148"/>
      <c r="EB1418" s="148"/>
      <c r="EC1418" s="148"/>
      <c r="ED1418" s="148"/>
      <c r="EE1418" s="148"/>
      <c r="EF1418" s="148"/>
      <c r="EG1418" s="148"/>
      <c r="EH1418" s="148"/>
      <c r="EI1418" s="148"/>
      <c r="EJ1418" s="148"/>
      <c r="EK1418" s="148"/>
      <c r="EL1418" s="148"/>
      <c r="EM1418" s="148"/>
      <c r="EN1418" s="148"/>
      <c r="EO1418" s="148"/>
      <c r="EP1418" s="148"/>
    </row>
    <row r="1419" spans="1:146" s="90" customFormat="1" x14ac:dyDescent="0.3">
      <c r="A1419" s="84">
        <v>903440</v>
      </c>
      <c r="B1419" s="182">
        <v>13.5</v>
      </c>
      <c r="C1419" s="182">
        <v>3.1</v>
      </c>
      <c r="D1419" s="184">
        <v>8.6</v>
      </c>
      <c r="E1419" s="1534">
        <v>0.156</v>
      </c>
      <c r="F1419" s="182">
        <v>44.3</v>
      </c>
      <c r="G1419" s="181"/>
      <c r="H1419" s="183">
        <v>9.51</v>
      </c>
      <c r="I1419" s="181">
        <v>220</v>
      </c>
      <c r="J1419" s="181">
        <v>0.02</v>
      </c>
      <c r="K1419" s="182">
        <v>13.98</v>
      </c>
      <c r="L1419" s="181">
        <v>1670</v>
      </c>
      <c r="M1419" s="181">
        <v>0.63</v>
      </c>
      <c r="N1419" s="181">
        <v>2.75</v>
      </c>
      <c r="O1419" s="181">
        <v>9.33</v>
      </c>
      <c r="P1419" s="181">
        <v>7.28</v>
      </c>
      <c r="Q1419" s="181"/>
      <c r="R1419" s="184">
        <v>1.3581750680160027</v>
      </c>
      <c r="S1419" s="181">
        <v>9.6</v>
      </c>
      <c r="T1419" s="181"/>
      <c r="U1419" s="184"/>
      <c r="V1419" s="181"/>
      <c r="W1419" s="83"/>
      <c r="X1419" s="83"/>
      <c r="Y1419" s="185">
        <f t="shared" ca="1" si="60"/>
        <v>42</v>
      </c>
      <c r="Z1419" s="181"/>
      <c r="AA1419" s="86">
        <v>3.87</v>
      </c>
      <c r="AB1419" s="86">
        <v>0.73599999999999999</v>
      </c>
      <c r="AC1419" s="83">
        <v>9.6</v>
      </c>
      <c r="AD1419" s="181">
        <v>600</v>
      </c>
      <c r="AE1419" s="181">
        <v>280</v>
      </c>
      <c r="AF1419" s="88">
        <v>120</v>
      </c>
      <c r="AG1419" s="66">
        <f t="shared" ca="1" si="61"/>
        <v>117.83142857142857</v>
      </c>
      <c r="AH1419" s="143">
        <f t="shared" si="62"/>
        <v>1000</v>
      </c>
      <c r="AI1419" s="148"/>
      <c r="AJ1419" s="148"/>
      <c r="AK1419" s="148"/>
      <c r="AL1419" s="148"/>
      <c r="AM1419" s="148"/>
      <c r="AN1419" s="148"/>
      <c r="AO1419" s="148"/>
      <c r="AP1419" s="148"/>
      <c r="AQ1419" s="148"/>
      <c r="AR1419" s="148"/>
      <c r="AS1419" s="148"/>
      <c r="AT1419" s="148"/>
      <c r="AU1419" s="148"/>
      <c r="AV1419" s="148"/>
      <c r="AW1419" s="148"/>
      <c r="AX1419" s="148"/>
      <c r="AY1419" s="148"/>
      <c r="AZ1419" s="148"/>
      <c r="BA1419" s="148"/>
      <c r="BB1419" s="148"/>
      <c r="BC1419" s="148"/>
      <c r="BD1419" s="148"/>
      <c r="BE1419" s="148"/>
      <c r="BF1419" s="148"/>
      <c r="BG1419" s="148"/>
      <c r="BH1419" s="148"/>
      <c r="BI1419" s="148"/>
      <c r="BJ1419" s="148"/>
      <c r="BK1419" s="148"/>
      <c r="BL1419" s="148"/>
      <c r="BM1419" s="148"/>
      <c r="BN1419" s="148"/>
      <c r="BO1419" s="148"/>
      <c r="BP1419" s="148"/>
      <c r="BQ1419" s="148"/>
      <c r="BR1419" s="148"/>
      <c r="BS1419" s="148"/>
      <c r="BT1419" s="148"/>
      <c r="BU1419" s="148"/>
      <c r="BV1419" s="148"/>
      <c r="BW1419" s="148"/>
      <c r="BX1419" s="148"/>
      <c r="BY1419" s="148"/>
      <c r="BZ1419" s="148"/>
      <c r="CA1419" s="148"/>
      <c r="CB1419" s="148"/>
      <c r="CC1419" s="148"/>
      <c r="CD1419" s="148"/>
      <c r="CE1419" s="148"/>
      <c r="CF1419" s="148"/>
      <c r="CG1419" s="148"/>
      <c r="CH1419" s="148"/>
      <c r="CI1419" s="148"/>
      <c r="CJ1419" s="148"/>
      <c r="CK1419" s="148"/>
      <c r="CL1419" s="148"/>
      <c r="CM1419" s="148"/>
      <c r="CN1419" s="148"/>
      <c r="CO1419" s="148"/>
      <c r="CP1419" s="148"/>
      <c r="CQ1419" s="148"/>
      <c r="CR1419" s="148"/>
      <c r="CS1419" s="148"/>
      <c r="CT1419" s="148"/>
      <c r="CU1419" s="148"/>
      <c r="CV1419" s="148"/>
      <c r="CW1419" s="148"/>
      <c r="CX1419" s="148"/>
      <c r="CY1419" s="148"/>
      <c r="CZ1419" s="148"/>
      <c r="DA1419" s="148"/>
      <c r="DB1419" s="148"/>
      <c r="DC1419" s="148"/>
      <c r="DD1419" s="148"/>
      <c r="DE1419" s="148"/>
      <c r="DF1419" s="148"/>
      <c r="DG1419" s="148"/>
      <c r="DH1419" s="148"/>
      <c r="DI1419" s="148"/>
      <c r="DJ1419" s="148"/>
      <c r="DK1419" s="148"/>
      <c r="DL1419" s="148"/>
      <c r="DM1419" s="148"/>
      <c r="DN1419" s="148"/>
      <c r="DO1419" s="148"/>
      <c r="DP1419" s="148"/>
      <c r="DQ1419" s="148"/>
      <c r="DR1419" s="148"/>
      <c r="DS1419" s="148"/>
      <c r="DT1419" s="148"/>
      <c r="DU1419" s="148"/>
      <c r="DV1419" s="148"/>
      <c r="DW1419" s="148"/>
      <c r="DX1419" s="148"/>
      <c r="DY1419" s="148"/>
      <c r="DZ1419" s="148"/>
      <c r="EA1419" s="148"/>
      <c r="EB1419" s="148"/>
      <c r="EC1419" s="148"/>
      <c r="ED1419" s="148"/>
      <c r="EE1419" s="148"/>
      <c r="EF1419" s="148"/>
      <c r="EG1419" s="148"/>
      <c r="EH1419" s="148"/>
      <c r="EI1419" s="148"/>
      <c r="EJ1419" s="148"/>
      <c r="EK1419" s="148"/>
      <c r="EL1419" s="148"/>
      <c r="EM1419" s="148"/>
      <c r="EN1419" s="148"/>
      <c r="EO1419" s="148"/>
      <c r="EP1419" s="148"/>
    </row>
    <row r="1420" spans="1:146" s="90" customFormat="1" x14ac:dyDescent="0.3">
      <c r="A1420" s="84">
        <v>903441</v>
      </c>
      <c r="B1420" s="182">
        <v>4.4000000000000004</v>
      </c>
      <c r="C1420" s="182"/>
      <c r="D1420" s="184">
        <v>8.42</v>
      </c>
      <c r="E1420" s="1534">
        <v>0.16200000000000001</v>
      </c>
      <c r="F1420" s="182">
        <v>55.6</v>
      </c>
      <c r="G1420" s="181"/>
      <c r="H1420" s="183">
        <v>21.1</v>
      </c>
      <c r="I1420" s="181">
        <v>270</v>
      </c>
      <c r="J1420" s="181">
        <v>5.0999999999999997E-2</v>
      </c>
      <c r="K1420" s="182">
        <v>7.95</v>
      </c>
      <c r="L1420" s="181">
        <v>2070</v>
      </c>
      <c r="M1420" s="181">
        <v>2.52</v>
      </c>
      <c r="N1420" s="181">
        <v>5.96</v>
      </c>
      <c r="O1420" s="181">
        <v>15.54</v>
      </c>
      <c r="P1420" s="181">
        <v>8.8800000000000008</v>
      </c>
      <c r="Q1420" s="181"/>
      <c r="R1420" s="184">
        <v>1.7774730000000001</v>
      </c>
      <c r="S1420" s="181">
        <v>15.9</v>
      </c>
      <c r="T1420" s="181"/>
      <c r="U1420" s="184"/>
      <c r="V1420" s="181"/>
      <c r="W1420" s="83"/>
      <c r="X1420" s="83"/>
      <c r="Y1420" s="185">
        <f t="shared" ca="1" si="60"/>
        <v>34.799999999999997</v>
      </c>
      <c r="Z1420" s="181"/>
      <c r="AA1420" s="86">
        <v>4.38</v>
      </c>
      <c r="AB1420" s="86">
        <v>0.48599999999999999</v>
      </c>
      <c r="AC1420" s="83">
        <v>6.2</v>
      </c>
      <c r="AD1420" s="181">
        <v>580</v>
      </c>
      <c r="AE1420" s="181">
        <v>300</v>
      </c>
      <c r="AF1420" s="88">
        <v>120</v>
      </c>
      <c r="AG1420" s="66">
        <f t="shared" ca="1" si="61"/>
        <v>80.870689655172427</v>
      </c>
      <c r="AH1420" s="143">
        <f t="shared" si="62"/>
        <v>1000</v>
      </c>
      <c r="AI1420" s="148"/>
      <c r="AJ1420" s="148"/>
      <c r="AK1420" s="148"/>
      <c r="AL1420" s="148"/>
      <c r="AM1420" s="148"/>
      <c r="AN1420" s="148"/>
      <c r="AO1420" s="148"/>
      <c r="AP1420" s="148"/>
      <c r="AQ1420" s="148"/>
      <c r="AR1420" s="148"/>
      <c r="AS1420" s="148"/>
      <c r="AT1420" s="148"/>
      <c r="AU1420" s="148"/>
      <c r="AV1420" s="148"/>
      <c r="AW1420" s="148"/>
      <c r="AX1420" s="148"/>
      <c r="AY1420" s="148"/>
      <c r="AZ1420" s="148"/>
      <c r="BA1420" s="148"/>
      <c r="BB1420" s="148"/>
      <c r="BC1420" s="148"/>
      <c r="BD1420" s="148"/>
      <c r="BE1420" s="148"/>
      <c r="BF1420" s="148"/>
      <c r="BG1420" s="148"/>
      <c r="BH1420" s="148"/>
      <c r="BI1420" s="148"/>
      <c r="BJ1420" s="148"/>
      <c r="BK1420" s="148"/>
      <c r="BL1420" s="148"/>
      <c r="BM1420" s="148"/>
      <c r="BN1420" s="148"/>
      <c r="BO1420" s="148"/>
      <c r="BP1420" s="148"/>
      <c r="BQ1420" s="148"/>
      <c r="BR1420" s="148"/>
      <c r="BS1420" s="148"/>
      <c r="BT1420" s="148"/>
      <c r="BU1420" s="148"/>
      <c r="BV1420" s="148"/>
      <c r="BW1420" s="148"/>
      <c r="BX1420" s="148"/>
      <c r="BY1420" s="148"/>
      <c r="BZ1420" s="148"/>
      <c r="CA1420" s="148"/>
      <c r="CB1420" s="148"/>
      <c r="CC1420" s="148"/>
      <c r="CD1420" s="148"/>
      <c r="CE1420" s="148"/>
      <c r="CF1420" s="148"/>
      <c r="CG1420" s="148"/>
      <c r="CH1420" s="148"/>
      <c r="CI1420" s="148"/>
      <c r="CJ1420" s="148"/>
      <c r="CK1420" s="148"/>
      <c r="CL1420" s="148"/>
      <c r="CM1420" s="148"/>
      <c r="CN1420" s="148"/>
      <c r="CO1420" s="148"/>
      <c r="CP1420" s="148"/>
      <c r="CQ1420" s="148"/>
      <c r="CR1420" s="148"/>
      <c r="CS1420" s="148"/>
      <c r="CT1420" s="148"/>
      <c r="CU1420" s="148"/>
      <c r="CV1420" s="148"/>
      <c r="CW1420" s="148"/>
      <c r="CX1420" s="148"/>
      <c r="CY1420" s="148"/>
      <c r="CZ1420" s="148"/>
      <c r="DA1420" s="148"/>
      <c r="DB1420" s="148"/>
      <c r="DC1420" s="148"/>
      <c r="DD1420" s="148"/>
      <c r="DE1420" s="148"/>
      <c r="DF1420" s="148"/>
      <c r="DG1420" s="148"/>
      <c r="DH1420" s="148"/>
      <c r="DI1420" s="148"/>
      <c r="DJ1420" s="148"/>
      <c r="DK1420" s="148"/>
      <c r="DL1420" s="148"/>
      <c r="DM1420" s="148"/>
      <c r="DN1420" s="148"/>
      <c r="DO1420" s="148"/>
      <c r="DP1420" s="148"/>
      <c r="DQ1420" s="148"/>
      <c r="DR1420" s="148"/>
      <c r="DS1420" s="148"/>
      <c r="DT1420" s="148"/>
      <c r="DU1420" s="148"/>
      <c r="DV1420" s="148"/>
      <c r="DW1420" s="148"/>
      <c r="DX1420" s="148"/>
      <c r="DY1420" s="148"/>
      <c r="DZ1420" s="148"/>
      <c r="EA1420" s="148"/>
      <c r="EB1420" s="148"/>
      <c r="EC1420" s="148"/>
      <c r="ED1420" s="148"/>
      <c r="EE1420" s="148"/>
      <c r="EF1420" s="148"/>
      <c r="EG1420" s="148"/>
      <c r="EH1420" s="148"/>
      <c r="EI1420" s="148"/>
      <c r="EJ1420" s="148"/>
      <c r="EK1420" s="148"/>
      <c r="EL1420" s="148"/>
      <c r="EM1420" s="148"/>
      <c r="EN1420" s="148"/>
      <c r="EO1420" s="148"/>
      <c r="EP1420" s="148"/>
    </row>
    <row r="1421" spans="1:146" s="90" customFormat="1" x14ac:dyDescent="0.3">
      <c r="A1421" s="84">
        <v>903442</v>
      </c>
      <c r="B1421" s="182">
        <v>8.8000000000000007</v>
      </c>
      <c r="C1421" s="182"/>
      <c r="D1421" s="184">
        <v>8.81</v>
      </c>
      <c r="E1421" s="1534">
        <v>0.13100000000000001</v>
      </c>
      <c r="F1421" s="182">
        <v>41.5</v>
      </c>
      <c r="G1421" s="181"/>
      <c r="H1421" s="183">
        <v>10.8</v>
      </c>
      <c r="I1421" s="181">
        <v>110</v>
      </c>
      <c r="J1421" s="181">
        <v>0.03</v>
      </c>
      <c r="K1421" s="182">
        <v>8.67</v>
      </c>
      <c r="L1421" s="181">
        <v>1010</v>
      </c>
      <c r="M1421" s="181">
        <v>0.45</v>
      </c>
      <c r="N1421" s="181">
        <v>1.54</v>
      </c>
      <c r="O1421" s="181">
        <v>4.67</v>
      </c>
      <c r="P1421" s="181">
        <v>4.74</v>
      </c>
      <c r="Q1421" s="181"/>
      <c r="R1421" s="184">
        <v>0.59595283376911712</v>
      </c>
      <c r="S1421" s="181">
        <v>4</v>
      </c>
      <c r="T1421" s="181"/>
      <c r="U1421" s="184"/>
      <c r="V1421" s="181"/>
      <c r="W1421" s="83"/>
      <c r="X1421" s="83"/>
      <c r="Y1421" s="185">
        <f t="shared" ca="1" si="60"/>
        <v>24</v>
      </c>
      <c r="Z1421" s="181"/>
      <c r="AA1421" s="86">
        <v>4.83</v>
      </c>
      <c r="AB1421" s="86">
        <v>0.375</v>
      </c>
      <c r="AC1421" s="83">
        <v>12</v>
      </c>
      <c r="AD1421" s="181">
        <v>480</v>
      </c>
      <c r="AE1421" s="181">
        <v>300</v>
      </c>
      <c r="AF1421" s="88">
        <v>220</v>
      </c>
      <c r="AG1421" s="66">
        <f t="shared" ca="1" si="61"/>
        <v>127.88250000000001</v>
      </c>
      <c r="AH1421" s="143">
        <f t="shared" si="62"/>
        <v>1000</v>
      </c>
      <c r="AI1421" s="148"/>
      <c r="AJ1421" s="148"/>
      <c r="AK1421" s="148"/>
      <c r="AL1421" s="148"/>
      <c r="AM1421" s="148"/>
      <c r="AN1421" s="148"/>
      <c r="AO1421" s="148"/>
      <c r="AP1421" s="148"/>
      <c r="AQ1421" s="148"/>
      <c r="AR1421" s="148"/>
      <c r="AS1421" s="148"/>
      <c r="AT1421" s="148"/>
      <c r="AU1421" s="148"/>
      <c r="AV1421" s="148"/>
      <c r="AW1421" s="148"/>
      <c r="AX1421" s="148"/>
      <c r="AY1421" s="148"/>
      <c r="AZ1421" s="148"/>
      <c r="BA1421" s="148"/>
      <c r="BB1421" s="148"/>
      <c r="BC1421" s="148"/>
      <c r="BD1421" s="148"/>
      <c r="BE1421" s="148"/>
      <c r="BF1421" s="148"/>
      <c r="BG1421" s="148"/>
      <c r="BH1421" s="148"/>
      <c r="BI1421" s="148"/>
      <c r="BJ1421" s="148"/>
      <c r="BK1421" s="148"/>
      <c r="BL1421" s="148"/>
      <c r="BM1421" s="148"/>
      <c r="BN1421" s="148"/>
      <c r="BO1421" s="148"/>
      <c r="BP1421" s="148"/>
      <c r="BQ1421" s="148"/>
      <c r="BR1421" s="148"/>
      <c r="BS1421" s="148"/>
      <c r="BT1421" s="148"/>
      <c r="BU1421" s="148"/>
      <c r="BV1421" s="148"/>
      <c r="BW1421" s="148"/>
      <c r="BX1421" s="148"/>
      <c r="BY1421" s="148"/>
      <c r="BZ1421" s="148"/>
      <c r="CA1421" s="148"/>
      <c r="CB1421" s="148"/>
      <c r="CC1421" s="148"/>
      <c r="CD1421" s="148"/>
      <c r="CE1421" s="148"/>
      <c r="CF1421" s="148"/>
      <c r="CG1421" s="148"/>
      <c r="CH1421" s="148"/>
      <c r="CI1421" s="148"/>
      <c r="CJ1421" s="148"/>
      <c r="CK1421" s="148"/>
      <c r="CL1421" s="148"/>
      <c r="CM1421" s="148"/>
      <c r="CN1421" s="148"/>
      <c r="CO1421" s="148"/>
      <c r="CP1421" s="148"/>
      <c r="CQ1421" s="148"/>
      <c r="CR1421" s="148"/>
      <c r="CS1421" s="148"/>
      <c r="CT1421" s="148"/>
      <c r="CU1421" s="148"/>
      <c r="CV1421" s="148"/>
      <c r="CW1421" s="148"/>
      <c r="CX1421" s="148"/>
      <c r="CY1421" s="148"/>
      <c r="CZ1421" s="148"/>
      <c r="DA1421" s="148"/>
      <c r="DB1421" s="148"/>
      <c r="DC1421" s="148"/>
      <c r="DD1421" s="148"/>
      <c r="DE1421" s="148"/>
      <c r="DF1421" s="148"/>
      <c r="DG1421" s="148"/>
      <c r="DH1421" s="148"/>
      <c r="DI1421" s="148"/>
      <c r="DJ1421" s="148"/>
      <c r="DK1421" s="148"/>
      <c r="DL1421" s="148"/>
      <c r="DM1421" s="148"/>
      <c r="DN1421" s="148"/>
      <c r="DO1421" s="148"/>
      <c r="DP1421" s="148"/>
      <c r="DQ1421" s="148"/>
      <c r="DR1421" s="148"/>
      <c r="DS1421" s="148"/>
      <c r="DT1421" s="148"/>
      <c r="DU1421" s="148"/>
      <c r="DV1421" s="148"/>
      <c r="DW1421" s="148"/>
      <c r="DX1421" s="148"/>
      <c r="DY1421" s="148"/>
      <c r="DZ1421" s="148"/>
      <c r="EA1421" s="148"/>
      <c r="EB1421" s="148"/>
      <c r="EC1421" s="148"/>
      <c r="ED1421" s="148"/>
      <c r="EE1421" s="148"/>
      <c r="EF1421" s="148"/>
      <c r="EG1421" s="148"/>
      <c r="EH1421" s="148"/>
      <c r="EI1421" s="148"/>
      <c r="EJ1421" s="148"/>
      <c r="EK1421" s="148"/>
      <c r="EL1421" s="148"/>
      <c r="EM1421" s="148"/>
      <c r="EN1421" s="148"/>
      <c r="EO1421" s="148"/>
      <c r="EP1421" s="148"/>
    </row>
    <row r="1422" spans="1:146" s="90" customFormat="1" x14ac:dyDescent="0.3">
      <c r="A1422" s="84">
        <v>903443</v>
      </c>
      <c r="B1422" s="182">
        <v>20</v>
      </c>
      <c r="C1422" s="182">
        <v>3.9</v>
      </c>
      <c r="D1422" s="184">
        <v>8.52</v>
      </c>
      <c r="E1422" s="1534">
        <v>0.28100000000000003</v>
      </c>
      <c r="F1422" s="182">
        <v>50.4</v>
      </c>
      <c r="G1422" s="181"/>
      <c r="H1422" s="183">
        <v>42.39</v>
      </c>
      <c r="I1422" s="181">
        <v>400</v>
      </c>
      <c r="J1422" s="181">
        <v>6.9000000000000006E-2</v>
      </c>
      <c r="K1422" s="182">
        <v>12.73</v>
      </c>
      <c r="L1422" s="181">
        <v>1790</v>
      </c>
      <c r="M1422" s="181">
        <v>1.26</v>
      </c>
      <c r="N1422" s="181">
        <v>7.28</v>
      </c>
      <c r="O1422" s="181">
        <v>6.67</v>
      </c>
      <c r="P1422" s="181">
        <v>12.75</v>
      </c>
      <c r="Q1422" s="181"/>
      <c r="R1422" s="184">
        <v>1.7478000000000002</v>
      </c>
      <c r="S1422" s="181">
        <v>15</v>
      </c>
      <c r="T1422" s="181"/>
      <c r="U1422" s="184"/>
      <c r="V1422" s="181"/>
      <c r="W1422" s="83"/>
      <c r="X1422" s="83"/>
      <c r="Y1422" s="185">
        <f t="shared" ca="1" si="60"/>
        <v>25</v>
      </c>
      <c r="Z1422" s="181"/>
      <c r="AA1422" s="86">
        <v>4.43</v>
      </c>
      <c r="AB1422" s="86">
        <v>0.26400000000000001</v>
      </c>
      <c r="AC1422" s="83">
        <v>9.5</v>
      </c>
      <c r="AD1422" s="181">
        <v>500</v>
      </c>
      <c r="AE1422" s="181">
        <v>300</v>
      </c>
      <c r="AF1422" s="88">
        <v>200</v>
      </c>
      <c r="AG1422" s="66">
        <f t="shared" ca="1" si="61"/>
        <v>180.2568</v>
      </c>
      <c r="AH1422" s="143">
        <f t="shared" si="62"/>
        <v>1000</v>
      </c>
      <c r="AI1422" s="148"/>
      <c r="AJ1422" s="148"/>
      <c r="AK1422" s="148"/>
      <c r="AL1422" s="148"/>
      <c r="AM1422" s="148"/>
      <c r="AN1422" s="148"/>
      <c r="AO1422" s="148"/>
      <c r="AP1422" s="148"/>
      <c r="AQ1422" s="148"/>
      <c r="AR1422" s="148"/>
      <c r="AS1422" s="148"/>
      <c r="AT1422" s="148"/>
      <c r="AU1422" s="148"/>
      <c r="AV1422" s="148"/>
      <c r="AW1422" s="148"/>
      <c r="AX1422" s="148"/>
      <c r="AY1422" s="148"/>
      <c r="AZ1422" s="148"/>
      <c r="BA1422" s="148"/>
      <c r="BB1422" s="148"/>
      <c r="BC1422" s="148"/>
      <c r="BD1422" s="148"/>
      <c r="BE1422" s="148"/>
      <c r="BF1422" s="148"/>
      <c r="BG1422" s="148"/>
      <c r="BH1422" s="148"/>
      <c r="BI1422" s="148"/>
      <c r="BJ1422" s="148"/>
      <c r="BK1422" s="148"/>
      <c r="BL1422" s="148"/>
      <c r="BM1422" s="148"/>
      <c r="BN1422" s="148"/>
      <c r="BO1422" s="148"/>
      <c r="BP1422" s="148"/>
      <c r="BQ1422" s="148"/>
      <c r="BR1422" s="148"/>
      <c r="BS1422" s="148"/>
      <c r="BT1422" s="148"/>
      <c r="BU1422" s="148"/>
      <c r="BV1422" s="148"/>
      <c r="BW1422" s="148"/>
      <c r="BX1422" s="148"/>
      <c r="BY1422" s="148"/>
      <c r="BZ1422" s="148"/>
      <c r="CA1422" s="148"/>
      <c r="CB1422" s="148"/>
      <c r="CC1422" s="148"/>
      <c r="CD1422" s="148"/>
      <c r="CE1422" s="148"/>
      <c r="CF1422" s="148"/>
      <c r="CG1422" s="148"/>
      <c r="CH1422" s="148"/>
      <c r="CI1422" s="148"/>
      <c r="CJ1422" s="148"/>
      <c r="CK1422" s="148"/>
      <c r="CL1422" s="148"/>
      <c r="CM1422" s="148"/>
      <c r="CN1422" s="148"/>
      <c r="CO1422" s="148"/>
      <c r="CP1422" s="148"/>
      <c r="CQ1422" s="148"/>
      <c r="CR1422" s="148"/>
      <c r="CS1422" s="148"/>
      <c r="CT1422" s="148"/>
      <c r="CU1422" s="148"/>
      <c r="CV1422" s="148"/>
      <c r="CW1422" s="148"/>
      <c r="CX1422" s="148"/>
      <c r="CY1422" s="148"/>
      <c r="CZ1422" s="148"/>
      <c r="DA1422" s="148"/>
      <c r="DB1422" s="148"/>
      <c r="DC1422" s="148"/>
      <c r="DD1422" s="148"/>
      <c r="DE1422" s="148"/>
      <c r="DF1422" s="148"/>
      <c r="DG1422" s="148"/>
      <c r="DH1422" s="148"/>
      <c r="DI1422" s="148"/>
      <c r="DJ1422" s="148"/>
      <c r="DK1422" s="148"/>
      <c r="DL1422" s="148"/>
      <c r="DM1422" s="148"/>
      <c r="DN1422" s="148"/>
      <c r="DO1422" s="148"/>
      <c r="DP1422" s="148"/>
      <c r="DQ1422" s="148"/>
      <c r="DR1422" s="148"/>
      <c r="DS1422" s="148"/>
      <c r="DT1422" s="148"/>
      <c r="DU1422" s="148"/>
      <c r="DV1422" s="148"/>
      <c r="DW1422" s="148"/>
      <c r="DX1422" s="148"/>
      <c r="DY1422" s="148"/>
      <c r="DZ1422" s="148"/>
      <c r="EA1422" s="148"/>
      <c r="EB1422" s="148"/>
      <c r="EC1422" s="148"/>
      <c r="ED1422" s="148"/>
      <c r="EE1422" s="148"/>
      <c r="EF1422" s="148"/>
      <c r="EG1422" s="148"/>
      <c r="EH1422" s="148"/>
      <c r="EI1422" s="148"/>
      <c r="EJ1422" s="148"/>
      <c r="EK1422" s="148"/>
      <c r="EL1422" s="148"/>
      <c r="EM1422" s="148"/>
      <c r="EN1422" s="148"/>
      <c r="EO1422" s="148"/>
      <c r="EP1422" s="148"/>
    </row>
    <row r="1423" spans="1:146" s="90" customFormat="1" x14ac:dyDescent="0.3">
      <c r="A1423" s="84">
        <v>903444</v>
      </c>
      <c r="B1423" s="182">
        <v>11.8</v>
      </c>
      <c r="C1423" s="182">
        <v>2.9</v>
      </c>
      <c r="D1423" s="184">
        <v>8.49</v>
      </c>
      <c r="E1423" s="1534">
        <v>0.19700000000000001</v>
      </c>
      <c r="F1423" s="182">
        <v>40.700000000000003</v>
      </c>
      <c r="G1423" s="181"/>
      <c r="H1423" s="183">
        <v>52.97</v>
      </c>
      <c r="I1423" s="181">
        <v>640</v>
      </c>
      <c r="J1423" s="181">
        <v>7.0000000000000007E-2</v>
      </c>
      <c r="K1423" s="182">
        <v>11.26</v>
      </c>
      <c r="L1423" s="181">
        <v>2020</v>
      </c>
      <c r="M1423" s="181">
        <v>1.28</v>
      </c>
      <c r="N1423" s="181">
        <v>8.27</v>
      </c>
      <c r="O1423" s="181">
        <v>17.57</v>
      </c>
      <c r="P1423" s="181">
        <v>10.55</v>
      </c>
      <c r="Q1423" s="181"/>
      <c r="R1423" s="184">
        <v>1.824408</v>
      </c>
      <c r="S1423" s="181">
        <v>17.399999999999999</v>
      </c>
      <c r="T1423" s="181"/>
      <c r="U1423" s="184"/>
      <c r="V1423" s="181"/>
      <c r="W1423" s="83"/>
      <c r="X1423" s="83"/>
      <c r="Y1423" s="185">
        <f t="shared" ca="1" si="60"/>
        <v>26</v>
      </c>
      <c r="Z1423" s="181"/>
      <c r="AA1423" s="86">
        <v>4.3600000000000003</v>
      </c>
      <c r="AB1423" s="86">
        <v>0.43099999999999999</v>
      </c>
      <c r="AC1423" s="83">
        <v>6.6</v>
      </c>
      <c r="AD1423" s="181">
        <v>520</v>
      </c>
      <c r="AE1423" s="181">
        <v>260</v>
      </c>
      <c r="AF1423" s="88">
        <v>220</v>
      </c>
      <c r="AG1423" s="66">
        <f t="shared" ca="1" si="61"/>
        <v>153.30923076923077</v>
      </c>
      <c r="AH1423" s="143">
        <f t="shared" si="62"/>
        <v>1000</v>
      </c>
      <c r="AI1423" s="148"/>
      <c r="AJ1423" s="148"/>
      <c r="AK1423" s="148"/>
      <c r="AL1423" s="148"/>
      <c r="AM1423" s="148"/>
      <c r="AN1423" s="148"/>
      <c r="AO1423" s="148"/>
      <c r="AP1423" s="148"/>
      <c r="AQ1423" s="148"/>
      <c r="AR1423" s="148"/>
      <c r="AS1423" s="148"/>
      <c r="AT1423" s="148"/>
      <c r="AU1423" s="148"/>
      <c r="AV1423" s="148"/>
      <c r="AW1423" s="148"/>
      <c r="AX1423" s="148"/>
      <c r="AY1423" s="148"/>
      <c r="AZ1423" s="148"/>
      <c r="BA1423" s="148"/>
      <c r="BB1423" s="148"/>
      <c r="BC1423" s="148"/>
      <c r="BD1423" s="148"/>
      <c r="BE1423" s="148"/>
      <c r="BF1423" s="148"/>
      <c r="BG1423" s="148"/>
      <c r="BH1423" s="148"/>
      <c r="BI1423" s="148"/>
      <c r="BJ1423" s="148"/>
      <c r="BK1423" s="148"/>
      <c r="BL1423" s="148"/>
      <c r="BM1423" s="148"/>
      <c r="BN1423" s="148"/>
      <c r="BO1423" s="148"/>
      <c r="BP1423" s="148"/>
      <c r="BQ1423" s="148"/>
      <c r="BR1423" s="148"/>
      <c r="BS1423" s="148"/>
      <c r="BT1423" s="148"/>
      <c r="BU1423" s="148"/>
      <c r="BV1423" s="148"/>
      <c r="BW1423" s="148"/>
      <c r="BX1423" s="148"/>
      <c r="BY1423" s="148"/>
      <c r="BZ1423" s="148"/>
      <c r="CA1423" s="148"/>
      <c r="CB1423" s="148"/>
      <c r="CC1423" s="148"/>
      <c r="CD1423" s="148"/>
      <c r="CE1423" s="148"/>
      <c r="CF1423" s="148"/>
      <c r="CG1423" s="148"/>
      <c r="CH1423" s="148"/>
      <c r="CI1423" s="148"/>
      <c r="CJ1423" s="148"/>
      <c r="CK1423" s="148"/>
      <c r="CL1423" s="148"/>
      <c r="CM1423" s="148"/>
      <c r="CN1423" s="148"/>
      <c r="CO1423" s="148"/>
      <c r="CP1423" s="148"/>
      <c r="CQ1423" s="148"/>
      <c r="CR1423" s="148"/>
      <c r="CS1423" s="148"/>
      <c r="CT1423" s="148"/>
      <c r="CU1423" s="148"/>
      <c r="CV1423" s="148"/>
      <c r="CW1423" s="148"/>
      <c r="CX1423" s="148"/>
      <c r="CY1423" s="148"/>
      <c r="CZ1423" s="148"/>
      <c r="DA1423" s="148"/>
      <c r="DB1423" s="148"/>
      <c r="DC1423" s="148"/>
      <c r="DD1423" s="148"/>
      <c r="DE1423" s="148"/>
      <c r="DF1423" s="148"/>
      <c r="DG1423" s="148"/>
      <c r="DH1423" s="148"/>
      <c r="DI1423" s="148"/>
      <c r="DJ1423" s="148"/>
      <c r="DK1423" s="148"/>
      <c r="DL1423" s="148"/>
      <c r="DM1423" s="148"/>
      <c r="DN1423" s="148"/>
      <c r="DO1423" s="148"/>
      <c r="DP1423" s="148"/>
      <c r="DQ1423" s="148"/>
      <c r="DR1423" s="148"/>
      <c r="DS1423" s="148"/>
      <c r="DT1423" s="148"/>
      <c r="DU1423" s="148"/>
      <c r="DV1423" s="148"/>
      <c r="DW1423" s="148"/>
      <c r="DX1423" s="148"/>
      <c r="DY1423" s="148"/>
      <c r="DZ1423" s="148"/>
      <c r="EA1423" s="148"/>
      <c r="EB1423" s="148"/>
      <c r="EC1423" s="148"/>
      <c r="ED1423" s="148"/>
      <c r="EE1423" s="148"/>
      <c r="EF1423" s="148"/>
      <c r="EG1423" s="148"/>
      <c r="EH1423" s="148"/>
      <c r="EI1423" s="148"/>
      <c r="EJ1423" s="148"/>
      <c r="EK1423" s="148"/>
      <c r="EL1423" s="148"/>
      <c r="EM1423" s="148"/>
      <c r="EN1423" s="148"/>
      <c r="EO1423" s="148"/>
      <c r="EP1423" s="148"/>
    </row>
    <row r="1424" spans="1:146" s="90" customFormat="1" x14ac:dyDescent="0.3">
      <c r="A1424" s="84">
        <v>903445</v>
      </c>
      <c r="B1424" s="182">
        <v>4</v>
      </c>
      <c r="C1424" s="182"/>
      <c r="D1424" s="184">
        <v>8.35</v>
      </c>
      <c r="E1424" s="1534">
        <v>0.311</v>
      </c>
      <c r="F1424" s="182">
        <v>37.9</v>
      </c>
      <c r="G1424" s="181"/>
      <c r="H1424" s="183">
        <v>59.31</v>
      </c>
      <c r="I1424" s="181">
        <v>210</v>
      </c>
      <c r="J1424" s="181">
        <v>6.8000000000000005E-2</v>
      </c>
      <c r="K1424" s="182">
        <v>5.39</v>
      </c>
      <c r="L1424" s="181">
        <v>2080</v>
      </c>
      <c r="M1424" s="181">
        <v>0.69</v>
      </c>
      <c r="N1424" s="181">
        <v>1.55</v>
      </c>
      <c r="O1424" s="181">
        <v>20.45</v>
      </c>
      <c r="P1424" s="181">
        <v>6.34</v>
      </c>
      <c r="Q1424" s="181"/>
      <c r="R1424" s="184">
        <v>1.2734099861356325</v>
      </c>
      <c r="S1424" s="181">
        <v>9.1</v>
      </c>
      <c r="T1424" s="181"/>
      <c r="U1424" s="184"/>
      <c r="V1424" s="181"/>
      <c r="W1424" s="83"/>
      <c r="X1424" s="83"/>
      <c r="Y1424" s="185">
        <f t="shared" ca="1" si="60"/>
        <v>27</v>
      </c>
      <c r="Z1424" s="181"/>
      <c r="AA1424" s="86">
        <v>4.62</v>
      </c>
      <c r="AB1424" s="86">
        <v>0.875</v>
      </c>
      <c r="AC1424" s="83">
        <v>11.1</v>
      </c>
      <c r="AD1424" s="181">
        <v>540</v>
      </c>
      <c r="AE1424" s="181">
        <v>320</v>
      </c>
      <c r="AF1424" s="88">
        <v>140</v>
      </c>
      <c r="AG1424" s="66">
        <f t="shared" ca="1" si="61"/>
        <v>70.668888888888887</v>
      </c>
      <c r="AH1424" s="143">
        <f t="shared" si="62"/>
        <v>1000</v>
      </c>
      <c r="AI1424" s="148"/>
      <c r="AJ1424" s="148"/>
      <c r="AK1424" s="148"/>
      <c r="AL1424" s="148"/>
      <c r="AM1424" s="148"/>
      <c r="AN1424" s="148"/>
      <c r="AO1424" s="148"/>
      <c r="AP1424" s="148"/>
      <c r="AQ1424" s="148"/>
      <c r="AR1424" s="148"/>
      <c r="AS1424" s="148"/>
      <c r="AT1424" s="148"/>
      <c r="AU1424" s="148"/>
      <c r="AV1424" s="148"/>
      <c r="AW1424" s="148"/>
      <c r="AX1424" s="148"/>
      <c r="AY1424" s="148"/>
      <c r="AZ1424" s="148"/>
      <c r="BA1424" s="148"/>
      <c r="BB1424" s="148"/>
      <c r="BC1424" s="148"/>
      <c r="BD1424" s="148"/>
      <c r="BE1424" s="148"/>
      <c r="BF1424" s="148"/>
      <c r="BG1424" s="148"/>
      <c r="BH1424" s="148"/>
      <c r="BI1424" s="148"/>
      <c r="BJ1424" s="148"/>
      <c r="BK1424" s="148"/>
      <c r="BL1424" s="148"/>
      <c r="BM1424" s="148"/>
      <c r="BN1424" s="148"/>
      <c r="BO1424" s="148"/>
      <c r="BP1424" s="148"/>
      <c r="BQ1424" s="148"/>
      <c r="BR1424" s="148"/>
      <c r="BS1424" s="148"/>
      <c r="BT1424" s="148"/>
      <c r="BU1424" s="148"/>
      <c r="BV1424" s="148"/>
      <c r="BW1424" s="148"/>
      <c r="BX1424" s="148"/>
      <c r="BY1424" s="148"/>
      <c r="BZ1424" s="148"/>
      <c r="CA1424" s="148"/>
      <c r="CB1424" s="148"/>
      <c r="CC1424" s="148"/>
      <c r="CD1424" s="148"/>
      <c r="CE1424" s="148"/>
      <c r="CF1424" s="148"/>
      <c r="CG1424" s="148"/>
      <c r="CH1424" s="148"/>
      <c r="CI1424" s="148"/>
      <c r="CJ1424" s="148"/>
      <c r="CK1424" s="148"/>
      <c r="CL1424" s="148"/>
      <c r="CM1424" s="148"/>
      <c r="CN1424" s="148"/>
      <c r="CO1424" s="148"/>
      <c r="CP1424" s="148"/>
      <c r="CQ1424" s="148"/>
      <c r="CR1424" s="148"/>
      <c r="CS1424" s="148"/>
      <c r="CT1424" s="148"/>
      <c r="CU1424" s="148"/>
      <c r="CV1424" s="148"/>
      <c r="CW1424" s="148"/>
      <c r="CX1424" s="148"/>
      <c r="CY1424" s="148"/>
      <c r="CZ1424" s="148"/>
      <c r="DA1424" s="148"/>
      <c r="DB1424" s="148"/>
      <c r="DC1424" s="148"/>
      <c r="DD1424" s="148"/>
      <c r="DE1424" s="148"/>
      <c r="DF1424" s="148"/>
      <c r="DG1424" s="148"/>
      <c r="DH1424" s="148"/>
      <c r="DI1424" s="148"/>
      <c r="DJ1424" s="148"/>
      <c r="DK1424" s="148"/>
      <c r="DL1424" s="148"/>
      <c r="DM1424" s="148"/>
      <c r="DN1424" s="148"/>
      <c r="DO1424" s="148"/>
      <c r="DP1424" s="148"/>
      <c r="DQ1424" s="148"/>
      <c r="DR1424" s="148"/>
      <c r="DS1424" s="148"/>
      <c r="DT1424" s="148"/>
      <c r="DU1424" s="148"/>
      <c r="DV1424" s="148"/>
      <c r="DW1424" s="148"/>
      <c r="DX1424" s="148"/>
      <c r="DY1424" s="148"/>
      <c r="DZ1424" s="148"/>
      <c r="EA1424" s="148"/>
      <c r="EB1424" s="148"/>
      <c r="EC1424" s="148"/>
      <c r="ED1424" s="148"/>
      <c r="EE1424" s="148"/>
      <c r="EF1424" s="148"/>
      <c r="EG1424" s="148"/>
      <c r="EH1424" s="148"/>
      <c r="EI1424" s="148"/>
      <c r="EJ1424" s="148"/>
      <c r="EK1424" s="148"/>
      <c r="EL1424" s="148"/>
      <c r="EM1424" s="148"/>
      <c r="EN1424" s="148"/>
      <c r="EO1424" s="148"/>
      <c r="EP1424" s="148"/>
    </row>
    <row r="1425" spans="1:34" s="90" customFormat="1" x14ac:dyDescent="0.3">
      <c r="A1425" s="84">
        <v>903446</v>
      </c>
      <c r="B1425" s="87">
        <v>0.41666666666666669</v>
      </c>
      <c r="C1425" s="87"/>
      <c r="D1425" s="86">
        <v>7.7714285714285714</v>
      </c>
      <c r="E1425" s="99">
        <v>0.14299999999999999</v>
      </c>
      <c r="F1425" s="84">
        <v>46.050000000000004</v>
      </c>
      <c r="G1425" s="83"/>
      <c r="H1425" s="84">
        <v>140.27000000000001</v>
      </c>
      <c r="I1425" s="84">
        <v>790</v>
      </c>
      <c r="J1425" s="85">
        <v>0.05</v>
      </c>
      <c r="K1425" s="87">
        <v>6.23</v>
      </c>
      <c r="L1425" s="83">
        <v>1920</v>
      </c>
      <c r="M1425" s="83">
        <v>4.09</v>
      </c>
      <c r="N1425" s="83">
        <v>12.13</v>
      </c>
      <c r="O1425" s="83">
        <v>18.96</v>
      </c>
      <c r="P1425" s="83">
        <v>7.41</v>
      </c>
      <c r="Q1425" s="83"/>
      <c r="R1425" s="86">
        <v>2.0416250000000002</v>
      </c>
      <c r="S1425" s="87">
        <v>26.5</v>
      </c>
      <c r="T1425" s="83"/>
      <c r="U1425" s="83"/>
      <c r="V1425" s="83"/>
      <c r="W1425" s="83"/>
      <c r="X1425" s="83"/>
      <c r="Y1425" s="185">
        <v>24.545454545454543</v>
      </c>
      <c r="Z1425" s="83"/>
      <c r="AA1425" s="86">
        <v>3.75</v>
      </c>
      <c r="AB1425" s="86">
        <v>0.84799999999999998</v>
      </c>
      <c r="AC1425" s="83">
        <v>11</v>
      </c>
      <c r="AD1425" s="88">
        <v>540</v>
      </c>
      <c r="AE1425" s="88">
        <v>360</v>
      </c>
      <c r="AF1425" s="88">
        <v>100</v>
      </c>
      <c r="AG1425" s="66">
        <f t="shared" si="61"/>
        <v>89.850444444444449</v>
      </c>
      <c r="AH1425" s="143">
        <f t="shared" si="62"/>
        <v>1000</v>
      </c>
    </row>
    <row r="1426" spans="1:34" s="90" customFormat="1" x14ac:dyDescent="0.3">
      <c r="A1426" s="84">
        <v>903447</v>
      </c>
      <c r="B1426" s="87">
        <v>0.53333333333333333</v>
      </c>
      <c r="C1426" s="87"/>
      <c r="D1426" s="86">
        <v>7.704761904761904</v>
      </c>
      <c r="E1426" s="99">
        <v>0.121</v>
      </c>
      <c r="F1426" s="84">
        <v>47.1</v>
      </c>
      <c r="G1426" s="83"/>
      <c r="H1426" s="84">
        <v>22.43</v>
      </c>
      <c r="I1426" s="84">
        <v>260</v>
      </c>
      <c r="J1426" s="85">
        <v>0.16</v>
      </c>
      <c r="K1426" s="87">
        <v>5.15</v>
      </c>
      <c r="L1426" s="83">
        <v>2400</v>
      </c>
      <c r="M1426" s="83">
        <v>1.21</v>
      </c>
      <c r="N1426" s="83">
        <v>2.38</v>
      </c>
      <c r="O1426" s="83">
        <v>30.05</v>
      </c>
      <c r="P1426" s="83">
        <v>5.94</v>
      </c>
      <c r="Q1426" s="83"/>
      <c r="R1426" s="86">
        <v>1.7677080000000003</v>
      </c>
      <c r="S1426" s="87">
        <v>15.6</v>
      </c>
      <c r="T1426" s="83"/>
      <c r="U1426" s="83"/>
      <c r="V1426" s="83"/>
      <c r="W1426" s="83"/>
      <c r="X1426" s="83"/>
      <c r="Y1426" s="185">
        <v>24.545454545454543</v>
      </c>
      <c r="Z1426" s="83"/>
      <c r="AA1426" s="86">
        <v>4.3600000000000003</v>
      </c>
      <c r="AB1426" s="86">
        <v>0.40699999999999997</v>
      </c>
      <c r="AC1426" s="83">
        <v>7.4</v>
      </c>
      <c r="AD1426" s="88">
        <v>540</v>
      </c>
      <c r="AE1426" s="88">
        <v>380</v>
      </c>
      <c r="AF1426" s="88">
        <v>80</v>
      </c>
      <c r="AG1426" s="66">
        <f t="shared" si="61"/>
        <v>74.274444444444455</v>
      </c>
      <c r="AH1426" s="143">
        <f t="shared" si="62"/>
        <v>1000</v>
      </c>
    </row>
    <row r="1427" spans="1:34" s="90" customFormat="1" x14ac:dyDescent="0.3">
      <c r="A1427" s="84">
        <v>903448</v>
      </c>
      <c r="B1427" s="87">
        <v>0.45000000000000007</v>
      </c>
      <c r="C1427" s="87"/>
      <c r="D1427" s="86">
        <v>7.6857142857142859</v>
      </c>
      <c r="E1427" s="99">
        <v>0.17799999999999999</v>
      </c>
      <c r="F1427" s="84">
        <v>47.5</v>
      </c>
      <c r="G1427" s="83"/>
      <c r="H1427" s="84">
        <v>67.52</v>
      </c>
      <c r="I1427" s="84">
        <v>650</v>
      </c>
      <c r="J1427" s="85">
        <v>0.05</v>
      </c>
      <c r="K1427" s="87">
        <v>5.01</v>
      </c>
      <c r="L1427" s="83">
        <v>1680</v>
      </c>
      <c r="M1427" s="83">
        <v>4.33</v>
      </c>
      <c r="N1427" s="83">
        <v>8.98</v>
      </c>
      <c r="O1427" s="83">
        <v>26.88</v>
      </c>
      <c r="P1427" s="83">
        <v>6.43</v>
      </c>
      <c r="Q1427" s="83"/>
      <c r="R1427" s="86">
        <v>2.0290319999999999</v>
      </c>
      <c r="S1427" s="87">
        <v>25.8</v>
      </c>
      <c r="T1427" s="83"/>
      <c r="U1427" s="83"/>
      <c r="V1427" s="83"/>
      <c r="W1427" s="83"/>
      <c r="X1427" s="83"/>
      <c r="Y1427" s="185">
        <v>25.454545454545453</v>
      </c>
      <c r="Z1427" s="83"/>
      <c r="AA1427" s="86">
        <v>3.8</v>
      </c>
      <c r="AB1427" s="86">
        <v>0.63900000000000001</v>
      </c>
      <c r="AC1427" s="83">
        <v>9.3000000000000007</v>
      </c>
      <c r="AD1427" s="88">
        <v>560</v>
      </c>
      <c r="AE1427" s="88">
        <v>340</v>
      </c>
      <c r="AF1427" s="88">
        <v>100</v>
      </c>
      <c r="AG1427" s="66">
        <f t="shared" si="61"/>
        <v>69.674785714285719</v>
      </c>
      <c r="AH1427" s="143">
        <f t="shared" si="62"/>
        <v>1000</v>
      </c>
    </row>
    <row r="1428" spans="1:34" s="90" customFormat="1" x14ac:dyDescent="0.3">
      <c r="A1428" s="84">
        <v>903449</v>
      </c>
      <c r="B1428" s="87">
        <v>0.18333333333333335</v>
      </c>
      <c r="C1428" s="87"/>
      <c r="D1428" s="86">
        <v>7.6190476190476186</v>
      </c>
      <c r="E1428" s="99">
        <v>0.13400000000000001</v>
      </c>
      <c r="F1428" s="84">
        <v>46.6</v>
      </c>
      <c r="G1428" s="83"/>
      <c r="H1428" s="84">
        <v>62.28</v>
      </c>
      <c r="I1428" s="84">
        <v>430</v>
      </c>
      <c r="J1428" s="85">
        <v>0.06</v>
      </c>
      <c r="K1428" s="87">
        <v>4.6399999999999997</v>
      </c>
      <c r="L1428" s="83">
        <v>1650</v>
      </c>
      <c r="M1428" s="83">
        <v>3.89</v>
      </c>
      <c r="N1428" s="83">
        <v>7.31</v>
      </c>
      <c r="O1428" s="83">
        <v>30.01</v>
      </c>
      <c r="P1428" s="83">
        <v>5.21</v>
      </c>
      <c r="Q1428" s="83"/>
      <c r="R1428" s="86">
        <v>1.9009530000000001</v>
      </c>
      <c r="S1428" s="87">
        <v>20.100000000000001</v>
      </c>
      <c r="T1428" s="83"/>
      <c r="U1428" s="83"/>
      <c r="V1428" s="83"/>
      <c r="W1428" s="83"/>
      <c r="X1428" s="83"/>
      <c r="Y1428" s="185">
        <v>26.36363636363636</v>
      </c>
      <c r="Z1428" s="83"/>
      <c r="AA1428" s="86">
        <v>4.5</v>
      </c>
      <c r="AB1428" s="86">
        <v>0.439</v>
      </c>
      <c r="AC1428" s="83">
        <v>6.5</v>
      </c>
      <c r="AD1428" s="88">
        <v>580</v>
      </c>
      <c r="AE1428" s="88">
        <v>340</v>
      </c>
      <c r="AF1428" s="88">
        <v>80</v>
      </c>
      <c r="AG1428" s="66">
        <f t="shared" si="61"/>
        <v>62.304000000000009</v>
      </c>
      <c r="AH1428" s="143">
        <f t="shared" si="62"/>
        <v>1000</v>
      </c>
    </row>
    <row r="1429" spans="1:34" s="90" customFormat="1" x14ac:dyDescent="0.3">
      <c r="A1429" s="84">
        <v>903450</v>
      </c>
      <c r="B1429" s="87">
        <v>0.31666666666666665</v>
      </c>
      <c r="C1429" s="87"/>
      <c r="D1429" s="86">
        <v>7.5428571428571427</v>
      </c>
      <c r="E1429" s="99">
        <v>0.13200000000000001</v>
      </c>
      <c r="F1429" s="84">
        <v>37.950000000000003</v>
      </c>
      <c r="G1429" s="83"/>
      <c r="H1429" s="84">
        <v>54.09</v>
      </c>
      <c r="I1429" s="84">
        <v>280</v>
      </c>
      <c r="J1429" s="85">
        <v>0.09</v>
      </c>
      <c r="K1429" s="87">
        <v>4.5599999999999996</v>
      </c>
      <c r="L1429" s="83">
        <v>1810</v>
      </c>
      <c r="M1429" s="83">
        <v>2.76</v>
      </c>
      <c r="N1429" s="83">
        <v>5.43</v>
      </c>
      <c r="O1429" s="83">
        <v>27.46</v>
      </c>
      <c r="P1429" s="83">
        <v>5.84</v>
      </c>
      <c r="Q1429" s="83"/>
      <c r="R1429" s="86">
        <v>1.873793</v>
      </c>
      <c r="S1429" s="87">
        <v>19.100000000000001</v>
      </c>
      <c r="T1429" s="83"/>
      <c r="U1429" s="83"/>
      <c r="V1429" s="83"/>
      <c r="W1429" s="83"/>
      <c r="X1429" s="83"/>
      <c r="Y1429" s="185">
        <v>25.454545454545453</v>
      </c>
      <c r="Z1429" s="83"/>
      <c r="AA1429" s="86">
        <v>4.6100000000000003</v>
      </c>
      <c r="AB1429" s="86">
        <v>0.85199999999999998</v>
      </c>
      <c r="AC1429" s="83">
        <v>8.3000000000000007</v>
      </c>
      <c r="AD1429" s="88">
        <v>560</v>
      </c>
      <c r="AE1429" s="88">
        <v>360</v>
      </c>
      <c r="AF1429" s="88">
        <v>80</v>
      </c>
      <c r="AG1429" s="66">
        <f t="shared" si="61"/>
        <v>63.416571428571423</v>
      </c>
      <c r="AH1429" s="143">
        <f t="shared" si="62"/>
        <v>1000</v>
      </c>
    </row>
    <row r="1430" spans="1:34" s="90" customFormat="1" x14ac:dyDescent="0.3">
      <c r="A1430" s="84">
        <v>903451</v>
      </c>
      <c r="B1430" s="87">
        <v>2.6666666666666665</v>
      </c>
      <c r="C1430" s="87"/>
      <c r="D1430" s="86">
        <v>7.6571428571428557</v>
      </c>
      <c r="E1430" s="99">
        <v>0.16</v>
      </c>
      <c r="F1430" s="84">
        <v>38.650000000000006</v>
      </c>
      <c r="G1430" s="83"/>
      <c r="H1430" s="84">
        <v>45.24</v>
      </c>
      <c r="I1430" s="84">
        <v>590</v>
      </c>
      <c r="J1430" s="85">
        <v>0.03</v>
      </c>
      <c r="K1430" s="87">
        <v>7.38</v>
      </c>
      <c r="L1430" s="83">
        <v>1740</v>
      </c>
      <c r="M1430" s="83">
        <v>3.12</v>
      </c>
      <c r="N1430" s="83">
        <v>2.69</v>
      </c>
      <c r="O1430" s="83">
        <v>19.100000000000001</v>
      </c>
      <c r="P1430" s="83">
        <v>14.47</v>
      </c>
      <c r="Q1430" s="83"/>
      <c r="R1430" s="86">
        <v>2.0196170000000002</v>
      </c>
      <c r="S1430" s="87">
        <v>25.3</v>
      </c>
      <c r="T1430" s="83"/>
      <c r="U1430" s="83"/>
      <c r="V1430" s="83"/>
      <c r="W1430" s="83"/>
      <c r="X1430" s="83"/>
      <c r="Y1430" s="185">
        <v>26.36363636363636</v>
      </c>
      <c r="Z1430" s="83"/>
      <c r="AA1430" s="86">
        <v>3.92</v>
      </c>
      <c r="AB1430" s="86">
        <v>0.82599999999999996</v>
      </c>
      <c r="AC1430" s="83">
        <v>9.1999999999999993</v>
      </c>
      <c r="AD1430" s="88">
        <v>580</v>
      </c>
      <c r="AE1430" s="88">
        <v>290</v>
      </c>
      <c r="AF1430" s="88">
        <v>130</v>
      </c>
      <c r="AG1430" s="66">
        <f t="shared" si="61"/>
        <v>99.09558620689657</v>
      </c>
      <c r="AH1430" s="143">
        <f t="shared" si="62"/>
        <v>1000</v>
      </c>
    </row>
    <row r="1431" spans="1:34" s="90" customFormat="1" x14ac:dyDescent="0.3">
      <c r="A1431" s="84">
        <v>903452</v>
      </c>
      <c r="B1431" s="87">
        <v>3.4499999999999997</v>
      </c>
      <c r="C1431" s="87"/>
      <c r="D1431" s="86">
        <v>7.6952380952380945</v>
      </c>
      <c r="E1431" s="99">
        <v>0.152</v>
      </c>
      <c r="F1431" s="84">
        <v>40.300000000000004</v>
      </c>
      <c r="G1431" s="83"/>
      <c r="H1431" s="84">
        <v>18.64</v>
      </c>
      <c r="I1431" s="84">
        <v>430</v>
      </c>
      <c r="J1431" s="85">
        <v>0.06</v>
      </c>
      <c r="K1431" s="87">
        <v>8.14</v>
      </c>
      <c r="L1431" s="83">
        <v>1940</v>
      </c>
      <c r="M1431" s="83">
        <v>1.07</v>
      </c>
      <c r="N1431" s="83">
        <v>1.8</v>
      </c>
      <c r="O1431" s="83">
        <v>9.8699999999999992</v>
      </c>
      <c r="P1431" s="83">
        <v>7.26</v>
      </c>
      <c r="Q1431" s="83"/>
      <c r="R1431" s="86">
        <v>1.774232</v>
      </c>
      <c r="S1431" s="87">
        <v>15.8</v>
      </c>
      <c r="T1431" s="83"/>
      <c r="U1431" s="83"/>
      <c r="V1431" s="83"/>
      <c r="W1431" s="83"/>
      <c r="X1431" s="83"/>
      <c r="Y1431" s="185">
        <v>27.27272727272727</v>
      </c>
      <c r="Z1431" s="83"/>
      <c r="AA1431" s="86">
        <v>4.03</v>
      </c>
      <c r="AB1431" s="86">
        <v>0.89900000000000002</v>
      </c>
      <c r="AC1431" s="83">
        <v>6.5</v>
      </c>
      <c r="AD1431" s="88">
        <v>600</v>
      </c>
      <c r="AE1431" s="88">
        <v>280</v>
      </c>
      <c r="AF1431" s="88">
        <v>120</v>
      </c>
      <c r="AG1431" s="66">
        <f t="shared" si="61"/>
        <v>105.65720000000003</v>
      </c>
      <c r="AH1431" s="143">
        <f t="shared" si="62"/>
        <v>1000</v>
      </c>
    </row>
    <row r="1432" spans="1:34" s="90" customFormat="1" x14ac:dyDescent="0.3">
      <c r="A1432" s="84">
        <v>903453</v>
      </c>
      <c r="B1432" s="87">
        <v>9.1666666666666661</v>
      </c>
      <c r="C1432" s="87"/>
      <c r="D1432" s="86">
        <v>7.8857142857142843</v>
      </c>
      <c r="E1432" s="99">
        <v>0.17899999999999999</v>
      </c>
      <c r="F1432" s="84">
        <v>89.1</v>
      </c>
      <c r="G1432" s="83"/>
      <c r="H1432" s="84">
        <v>114.76</v>
      </c>
      <c r="I1432" s="84">
        <v>200</v>
      </c>
      <c r="J1432" s="85">
        <v>0.02</v>
      </c>
      <c r="K1432" s="87">
        <v>6.83</v>
      </c>
      <c r="L1432" s="83">
        <v>1200</v>
      </c>
      <c r="M1432" s="83">
        <v>2.27</v>
      </c>
      <c r="N1432" s="83">
        <v>2.06</v>
      </c>
      <c r="O1432" s="83">
        <v>3.74</v>
      </c>
      <c r="P1432" s="83">
        <v>8.24</v>
      </c>
      <c r="Q1432" s="83"/>
      <c r="R1432" s="86">
        <v>1.8452330000000001</v>
      </c>
      <c r="S1432" s="87">
        <v>18.100000000000001</v>
      </c>
      <c r="T1432" s="83"/>
      <c r="U1432" s="83"/>
      <c r="V1432" s="83"/>
      <c r="W1432" s="83"/>
      <c r="X1432" s="83"/>
      <c r="Y1432" s="185">
        <v>17.27272727272727</v>
      </c>
      <c r="Z1432" s="83"/>
      <c r="AA1432" s="86">
        <v>3.45</v>
      </c>
      <c r="AB1432" s="86">
        <v>0.55300000000000005</v>
      </c>
      <c r="AC1432" s="83">
        <v>7.6</v>
      </c>
      <c r="AD1432" s="88">
        <v>380</v>
      </c>
      <c r="AE1432" s="88">
        <v>280</v>
      </c>
      <c r="AF1432" s="88">
        <v>340</v>
      </c>
      <c r="AG1432" s="66">
        <f t="shared" si="61"/>
        <v>139.97905263157898</v>
      </c>
      <c r="AH1432" s="143">
        <f t="shared" si="62"/>
        <v>1000</v>
      </c>
    </row>
    <row r="1433" spans="1:34" s="90" customFormat="1" x14ac:dyDescent="0.3">
      <c r="A1433" s="84">
        <v>903454</v>
      </c>
      <c r="B1433" s="87">
        <v>9.1388888888888875</v>
      </c>
      <c r="C1433" s="87"/>
      <c r="D1433" s="86">
        <v>8.0095238095238095</v>
      </c>
      <c r="E1433" s="99">
        <v>0.23899999999999999</v>
      </c>
      <c r="F1433" s="84">
        <v>42.400000000000006</v>
      </c>
      <c r="G1433" s="83"/>
      <c r="H1433" s="84">
        <v>29.81</v>
      </c>
      <c r="I1433" s="84">
        <v>490</v>
      </c>
      <c r="J1433" s="85">
        <v>0.03</v>
      </c>
      <c r="K1433" s="87">
        <v>7.46</v>
      </c>
      <c r="L1433" s="83">
        <v>910</v>
      </c>
      <c r="M1433" s="83">
        <v>0.64</v>
      </c>
      <c r="N1433" s="83">
        <v>2.42</v>
      </c>
      <c r="O1433" s="83">
        <v>4.3499999999999996</v>
      </c>
      <c r="P1433" s="83">
        <v>5.3</v>
      </c>
      <c r="Q1433" s="83"/>
      <c r="R1433" s="86">
        <v>1.4069092283756452</v>
      </c>
      <c r="S1433" s="87">
        <v>9.6</v>
      </c>
      <c r="T1433" s="83"/>
      <c r="U1433" s="83"/>
      <c r="V1433" s="83"/>
      <c r="W1433" s="83"/>
      <c r="X1433" s="83"/>
      <c r="Y1433" s="185">
        <v>17.27272727272727</v>
      </c>
      <c r="Z1433" s="83"/>
      <c r="AA1433" s="86">
        <v>3.5</v>
      </c>
      <c r="AB1433" s="86">
        <v>0.35599999999999998</v>
      </c>
      <c r="AC1433" s="83">
        <v>11.9</v>
      </c>
      <c r="AD1433" s="88">
        <v>380</v>
      </c>
      <c r="AE1433" s="88">
        <v>260</v>
      </c>
      <c r="AF1433" s="88">
        <v>360</v>
      </c>
      <c r="AG1433" s="66">
        <f t="shared" si="61"/>
        <v>152.8907368421053</v>
      </c>
      <c r="AH1433" s="143">
        <f t="shared" si="62"/>
        <v>1000</v>
      </c>
    </row>
    <row r="1434" spans="1:34" s="90" customFormat="1" x14ac:dyDescent="0.3">
      <c r="A1434" s="84">
        <v>903455</v>
      </c>
      <c r="B1434" s="87">
        <v>0.24999999999999997</v>
      </c>
      <c r="C1434" s="87"/>
      <c r="D1434" s="86">
        <v>7.6095238095238091</v>
      </c>
      <c r="E1434" s="99">
        <v>0.13700000000000001</v>
      </c>
      <c r="F1434" s="84">
        <v>36.299999999999997</v>
      </c>
      <c r="G1434" s="83"/>
      <c r="H1434" s="84">
        <v>61.98</v>
      </c>
      <c r="I1434" s="84">
        <v>630</v>
      </c>
      <c r="J1434" s="85">
        <v>0.04</v>
      </c>
      <c r="K1434" s="87">
        <v>6.83</v>
      </c>
      <c r="L1434" s="83">
        <v>1820</v>
      </c>
      <c r="M1434" s="83">
        <v>4.16</v>
      </c>
      <c r="N1434" s="83">
        <v>7.79</v>
      </c>
      <c r="O1434" s="83">
        <v>19.440000000000001</v>
      </c>
      <c r="P1434" s="83">
        <v>5.38</v>
      </c>
      <c r="Q1434" s="83"/>
      <c r="R1434" s="86">
        <v>1.9366250000000003</v>
      </c>
      <c r="S1434" s="87">
        <v>21.5</v>
      </c>
      <c r="T1434" s="83"/>
      <c r="U1434" s="83"/>
      <c r="V1434" s="83"/>
      <c r="W1434" s="83"/>
      <c r="X1434" s="83"/>
      <c r="Y1434" s="185">
        <v>24.545454545454543</v>
      </c>
      <c r="Z1434" s="83"/>
      <c r="AA1434" s="86">
        <v>4.34</v>
      </c>
      <c r="AB1434" s="86">
        <v>0.78600000000000003</v>
      </c>
      <c r="AC1434" s="83">
        <v>10.5</v>
      </c>
      <c r="AD1434" s="88">
        <v>540</v>
      </c>
      <c r="AE1434" s="88">
        <v>360</v>
      </c>
      <c r="AF1434" s="88">
        <v>100</v>
      </c>
      <c r="AG1434" s="66">
        <f t="shared" si="61"/>
        <v>98.503777777777799</v>
      </c>
      <c r="AH1434" s="143">
        <f t="shared" si="62"/>
        <v>1000</v>
      </c>
    </row>
    <row r="1435" spans="1:34" s="90" customFormat="1" x14ac:dyDescent="0.3">
      <c r="A1435" s="84">
        <v>903456</v>
      </c>
      <c r="B1435" s="87">
        <v>0.4333333333333334</v>
      </c>
      <c r="C1435" s="87"/>
      <c r="D1435" s="86">
        <v>7.5142857142857133</v>
      </c>
      <c r="E1435" s="99">
        <v>0.14299999999999999</v>
      </c>
      <c r="F1435" s="84">
        <v>38.25</v>
      </c>
      <c r="G1435" s="83"/>
      <c r="H1435" s="84">
        <v>26.96</v>
      </c>
      <c r="I1435" s="84">
        <v>280</v>
      </c>
      <c r="J1435" s="85">
        <v>0.08</v>
      </c>
      <c r="K1435" s="87">
        <v>6.7</v>
      </c>
      <c r="L1435" s="83">
        <v>1970</v>
      </c>
      <c r="M1435" s="83">
        <v>1.9</v>
      </c>
      <c r="N1435" s="83">
        <v>3.27</v>
      </c>
      <c r="O1435" s="83">
        <v>20.440000000000001</v>
      </c>
      <c r="P1435" s="83">
        <v>4.91</v>
      </c>
      <c r="Q1435" s="83"/>
      <c r="R1435" s="86">
        <v>1.8625370000000001</v>
      </c>
      <c r="S1435" s="87">
        <v>18.7</v>
      </c>
      <c r="T1435" s="83"/>
      <c r="U1435" s="83"/>
      <c r="V1435" s="83"/>
      <c r="W1435" s="83"/>
      <c r="X1435" s="83"/>
      <c r="Y1435" s="185">
        <v>24.545454545454543</v>
      </c>
      <c r="Z1435" s="83"/>
      <c r="AA1435" s="86">
        <v>4.8899999999999997</v>
      </c>
      <c r="AB1435" s="86">
        <v>0.66100000000000003</v>
      </c>
      <c r="AC1435" s="83">
        <v>11.5</v>
      </c>
      <c r="AD1435" s="88">
        <v>540</v>
      </c>
      <c r="AE1435" s="88">
        <v>340</v>
      </c>
      <c r="AF1435" s="88">
        <v>120</v>
      </c>
      <c r="AG1435" s="66">
        <f t="shared" si="61"/>
        <v>96.628888888888909</v>
      </c>
      <c r="AH1435" s="143">
        <f t="shared" si="62"/>
        <v>1000</v>
      </c>
    </row>
    <row r="1436" spans="1:34" s="90" customFormat="1" x14ac:dyDescent="0.3">
      <c r="A1436" s="84">
        <v>903457</v>
      </c>
      <c r="B1436" s="87">
        <v>0.23333333333333331</v>
      </c>
      <c r="C1436" s="87"/>
      <c r="D1436" s="86">
        <v>7.39047619047619</v>
      </c>
      <c r="E1436" s="99">
        <v>0.14099999999999999</v>
      </c>
      <c r="F1436" s="84">
        <v>38.35</v>
      </c>
      <c r="G1436" s="83"/>
      <c r="H1436" s="84">
        <v>180.45</v>
      </c>
      <c r="I1436" s="84">
        <v>1080</v>
      </c>
      <c r="J1436" s="85">
        <v>0.03</v>
      </c>
      <c r="K1436" s="87">
        <v>6.02</v>
      </c>
      <c r="L1436" s="83">
        <v>1680</v>
      </c>
      <c r="M1436" s="83">
        <v>5.13</v>
      </c>
      <c r="N1436" s="83">
        <v>9.94</v>
      </c>
      <c r="O1436" s="83">
        <v>21.54</v>
      </c>
      <c r="P1436" s="83">
        <v>7.56</v>
      </c>
      <c r="Q1436" s="83"/>
      <c r="R1436" s="86">
        <v>1.9976720000000001</v>
      </c>
      <c r="S1436" s="87">
        <v>24.2</v>
      </c>
      <c r="T1436" s="83"/>
      <c r="U1436" s="83"/>
      <c r="V1436" s="83"/>
      <c r="W1436" s="83"/>
      <c r="X1436" s="83"/>
      <c r="Y1436" s="185">
        <v>24.999999999999996</v>
      </c>
      <c r="Z1436" s="83"/>
      <c r="AA1436" s="86">
        <v>4.99</v>
      </c>
      <c r="AB1436" s="86">
        <v>0.45800000000000002</v>
      </c>
      <c r="AC1436" s="83">
        <v>6.4</v>
      </c>
      <c r="AD1436" s="88">
        <v>550</v>
      </c>
      <c r="AE1436" s="88">
        <v>340</v>
      </c>
      <c r="AF1436" s="88">
        <v>110</v>
      </c>
      <c r="AG1436" s="66">
        <f t="shared" si="61"/>
        <v>85.243200000000016</v>
      </c>
      <c r="AH1436" s="143">
        <f t="shared" si="62"/>
        <v>1000</v>
      </c>
    </row>
    <row r="1437" spans="1:34" s="90" customFormat="1" x14ac:dyDescent="0.3">
      <c r="A1437" s="84">
        <v>903458</v>
      </c>
      <c r="B1437" s="87">
        <v>0.3666666666666667</v>
      </c>
      <c r="C1437" s="87"/>
      <c r="D1437" s="86">
        <v>7.4666666666666659</v>
      </c>
      <c r="E1437" s="99">
        <v>0.17899999999999999</v>
      </c>
      <c r="F1437" s="84">
        <v>35.65</v>
      </c>
      <c r="G1437" s="83"/>
      <c r="H1437" s="84">
        <v>93.79</v>
      </c>
      <c r="I1437" s="84">
        <v>700</v>
      </c>
      <c r="J1437" s="85">
        <v>0.06</v>
      </c>
      <c r="K1437" s="87">
        <v>6.87</v>
      </c>
      <c r="L1437" s="83">
        <v>1700</v>
      </c>
      <c r="M1437" s="83">
        <v>2.44</v>
      </c>
      <c r="N1437" s="83">
        <v>4.4000000000000004</v>
      </c>
      <c r="O1437" s="83">
        <v>21.3</v>
      </c>
      <c r="P1437" s="83">
        <v>6.23</v>
      </c>
      <c r="Q1437" s="83"/>
      <c r="R1437" s="86">
        <v>1.8710000000000002</v>
      </c>
      <c r="S1437" s="87">
        <v>19</v>
      </c>
      <c r="T1437" s="83"/>
      <c r="U1437" s="83"/>
      <c r="V1437" s="83"/>
      <c r="W1437" s="83"/>
      <c r="X1437" s="83"/>
      <c r="Y1437" s="185">
        <v>24.545454545454543</v>
      </c>
      <c r="Z1437" s="83"/>
      <c r="AA1437" s="86">
        <v>3.49</v>
      </c>
      <c r="AB1437" s="86">
        <v>0.497</v>
      </c>
      <c r="AC1437" s="83">
        <v>9.6</v>
      </c>
      <c r="AD1437" s="88">
        <v>540</v>
      </c>
      <c r="AE1437" s="88">
        <v>360</v>
      </c>
      <c r="AF1437" s="88">
        <v>100</v>
      </c>
      <c r="AG1437" s="66">
        <f t="shared" si="61"/>
        <v>99.080666666666673</v>
      </c>
      <c r="AH1437" s="143">
        <f t="shared" si="62"/>
        <v>1000</v>
      </c>
    </row>
    <row r="1438" spans="1:34" s="90" customFormat="1" x14ac:dyDescent="0.3">
      <c r="A1438" s="84">
        <v>903459</v>
      </c>
      <c r="B1438" s="87">
        <v>0.26666666666666666</v>
      </c>
      <c r="C1438" s="87"/>
      <c r="D1438" s="86">
        <v>7.5333333333333332</v>
      </c>
      <c r="E1438" s="99">
        <v>0.16200000000000001</v>
      </c>
      <c r="F1438" s="84">
        <v>36.150000000000006</v>
      </c>
      <c r="G1438" s="83"/>
      <c r="H1438" s="84">
        <v>46.73</v>
      </c>
      <c r="I1438" s="84">
        <v>540</v>
      </c>
      <c r="J1438" s="85">
        <v>0.03</v>
      </c>
      <c r="K1438" s="87">
        <v>6.23</v>
      </c>
      <c r="L1438" s="83">
        <v>1540</v>
      </c>
      <c r="M1438" s="83">
        <v>3.12</v>
      </c>
      <c r="N1438" s="83">
        <v>4.72</v>
      </c>
      <c r="O1438" s="83">
        <v>24.6</v>
      </c>
      <c r="P1438" s="83">
        <v>5.76</v>
      </c>
      <c r="Q1438" s="83"/>
      <c r="R1438" s="86">
        <v>1.865372</v>
      </c>
      <c r="S1438" s="87">
        <v>18.8</v>
      </c>
      <c r="T1438" s="83"/>
      <c r="U1438" s="83"/>
      <c r="V1438" s="83"/>
      <c r="W1438" s="83"/>
      <c r="X1438" s="83"/>
      <c r="Y1438" s="185">
        <v>24.999999999999996</v>
      </c>
      <c r="Z1438" s="83"/>
      <c r="AA1438" s="86">
        <v>4.79</v>
      </c>
      <c r="AB1438" s="86">
        <v>0.42499999999999999</v>
      </c>
      <c r="AC1438" s="83">
        <v>6.8</v>
      </c>
      <c r="AD1438" s="88">
        <v>550</v>
      </c>
      <c r="AE1438" s="88">
        <v>350</v>
      </c>
      <c r="AF1438" s="88">
        <v>100</v>
      </c>
      <c r="AG1438" s="66">
        <f t="shared" si="61"/>
        <v>88.216800000000021</v>
      </c>
      <c r="AH1438" s="143">
        <f t="shared" si="62"/>
        <v>1000</v>
      </c>
    </row>
    <row r="1439" spans="1:34" s="90" customFormat="1" x14ac:dyDescent="0.3">
      <c r="A1439" s="84">
        <v>903460</v>
      </c>
      <c r="B1439" s="87">
        <v>0.24999999999999997</v>
      </c>
      <c r="C1439" s="87"/>
      <c r="D1439" s="86">
        <v>7.6</v>
      </c>
      <c r="E1439" s="99">
        <v>0.11</v>
      </c>
      <c r="F1439" s="84">
        <v>82.85</v>
      </c>
      <c r="G1439" s="83"/>
      <c r="H1439" s="84">
        <v>22.53</v>
      </c>
      <c r="I1439" s="84">
        <v>300</v>
      </c>
      <c r="J1439" s="85">
        <v>0.05</v>
      </c>
      <c r="K1439" s="87">
        <v>6.21</v>
      </c>
      <c r="L1439" s="83">
        <v>1570</v>
      </c>
      <c r="M1439" s="83">
        <v>1.84</v>
      </c>
      <c r="N1439" s="83">
        <v>2.4700000000000002</v>
      </c>
      <c r="O1439" s="83">
        <v>22.84</v>
      </c>
      <c r="P1439" s="83">
        <v>4.63</v>
      </c>
      <c r="Q1439" s="83"/>
      <c r="R1439" s="86">
        <v>1.839353</v>
      </c>
      <c r="S1439" s="87">
        <v>17.899999999999999</v>
      </c>
      <c r="T1439" s="83"/>
      <c r="U1439" s="83"/>
      <c r="V1439" s="83"/>
      <c r="W1439" s="83"/>
      <c r="X1439" s="83"/>
      <c r="Y1439" s="185">
        <v>24.09090909090909</v>
      </c>
      <c r="Z1439" s="83"/>
      <c r="AA1439" s="86">
        <v>3.95</v>
      </c>
      <c r="AB1439" s="86">
        <v>0.71199999999999997</v>
      </c>
      <c r="AC1439" s="83">
        <v>10.1</v>
      </c>
      <c r="AD1439" s="88">
        <v>530</v>
      </c>
      <c r="AE1439" s="88">
        <v>360</v>
      </c>
      <c r="AF1439" s="88">
        <v>110</v>
      </c>
      <c r="AG1439" s="66">
        <f t="shared" si="61"/>
        <v>91.251849056603788</v>
      </c>
      <c r="AH1439" s="143">
        <f t="shared" si="62"/>
        <v>1000</v>
      </c>
    </row>
    <row r="1440" spans="1:34" s="90" customFormat="1" x14ac:dyDescent="0.3">
      <c r="A1440" s="84">
        <v>903461</v>
      </c>
      <c r="B1440" s="87">
        <v>45.499999999999993</v>
      </c>
      <c r="C1440" s="87">
        <v>11.875</v>
      </c>
      <c r="D1440" s="86">
        <v>7.8285714285714292</v>
      </c>
      <c r="E1440" s="99">
        <v>0.27800000000000002</v>
      </c>
      <c r="F1440" s="84">
        <v>96.75</v>
      </c>
      <c r="G1440" s="83"/>
      <c r="H1440" s="84">
        <v>395.7</v>
      </c>
      <c r="I1440" s="84">
        <v>430</v>
      </c>
      <c r="J1440" s="85">
        <v>7.0000000000000007E-2</v>
      </c>
      <c r="K1440" s="87">
        <v>10.89</v>
      </c>
      <c r="L1440" s="83">
        <v>1300</v>
      </c>
      <c r="M1440" s="83">
        <v>16.63</v>
      </c>
      <c r="N1440" s="83">
        <v>14.88</v>
      </c>
      <c r="O1440" s="83">
        <v>7.01</v>
      </c>
      <c r="P1440" s="83">
        <v>6.97</v>
      </c>
      <c r="Q1440" s="83"/>
      <c r="R1440" s="86">
        <v>1.9487000000000001</v>
      </c>
      <c r="S1440" s="87">
        <v>22</v>
      </c>
      <c r="T1440" s="83"/>
      <c r="U1440" s="83"/>
      <c r="V1440" s="83"/>
      <c r="W1440" s="83"/>
      <c r="X1440" s="83"/>
      <c r="Y1440" s="185">
        <v>18.18181818181818</v>
      </c>
      <c r="Z1440" s="83"/>
      <c r="AA1440" s="86">
        <v>4.1399999999999997</v>
      </c>
      <c r="AB1440" s="86">
        <v>0.57999999999999996</v>
      </c>
      <c r="AC1440" s="83">
        <v>11.9</v>
      </c>
      <c r="AD1440" s="88">
        <v>400</v>
      </c>
      <c r="AE1440" s="88">
        <v>220</v>
      </c>
      <c r="AF1440" s="88">
        <v>380</v>
      </c>
      <c r="AG1440" s="66">
        <f t="shared" si="61"/>
        <v>212.02830000000006</v>
      </c>
      <c r="AH1440" s="143">
        <f t="shared" si="62"/>
        <v>1000</v>
      </c>
    </row>
    <row r="1441" spans="1:34" s="90" customFormat="1" x14ac:dyDescent="0.3">
      <c r="A1441" s="84">
        <v>903462</v>
      </c>
      <c r="B1441" s="87">
        <v>45.333333333333329</v>
      </c>
      <c r="C1441" s="87">
        <v>12.000000000000002</v>
      </c>
      <c r="D1441" s="86">
        <v>7.7999999999999989</v>
      </c>
      <c r="E1441" s="99">
        <v>0.23499999999999999</v>
      </c>
      <c r="F1441" s="84">
        <v>89.45</v>
      </c>
      <c r="G1441" s="83"/>
      <c r="H1441" s="84">
        <v>432.7</v>
      </c>
      <c r="I1441" s="84">
        <v>250</v>
      </c>
      <c r="J1441" s="85">
        <v>0.1</v>
      </c>
      <c r="K1441" s="87">
        <v>8.58</v>
      </c>
      <c r="L1441" s="83">
        <v>1480</v>
      </c>
      <c r="M1441" s="83">
        <v>6.98</v>
      </c>
      <c r="N1441" s="83">
        <v>14.57</v>
      </c>
      <c r="O1441" s="83">
        <v>8.99</v>
      </c>
      <c r="P1441" s="83">
        <v>6.87</v>
      </c>
      <c r="Q1441" s="83"/>
      <c r="R1441" s="86">
        <v>1.8481520000000002</v>
      </c>
      <c r="S1441" s="87">
        <v>18.2</v>
      </c>
      <c r="T1441" s="83"/>
      <c r="U1441" s="83"/>
      <c r="V1441" s="83"/>
      <c r="W1441" s="83"/>
      <c r="X1441" s="83"/>
      <c r="Y1441" s="185">
        <v>19.09090909090909</v>
      </c>
      <c r="Z1441" s="83"/>
      <c r="AA1441" s="86">
        <v>4.16</v>
      </c>
      <c r="AB1441" s="86">
        <v>0.56999999999999995</v>
      </c>
      <c r="AC1441" s="83">
        <v>9.3000000000000007</v>
      </c>
      <c r="AD1441" s="88">
        <v>420</v>
      </c>
      <c r="AE1441" s="88">
        <v>190</v>
      </c>
      <c r="AF1441" s="88">
        <v>390</v>
      </c>
      <c r="AG1441" s="66">
        <f t="shared" si="61"/>
        <v>159.09771428571429</v>
      </c>
      <c r="AH1441" s="143">
        <f t="shared" si="62"/>
        <v>1000</v>
      </c>
    </row>
    <row r="1442" spans="1:34" s="90" customFormat="1" x14ac:dyDescent="0.3">
      <c r="A1442" s="84">
        <v>903463</v>
      </c>
      <c r="B1442" s="87">
        <v>38.833333333333336</v>
      </c>
      <c r="C1442" s="87">
        <v>13.125</v>
      </c>
      <c r="D1442" s="86">
        <v>7.6952380952380945</v>
      </c>
      <c r="E1442" s="99">
        <v>0.20200000000000001</v>
      </c>
      <c r="F1442" s="84">
        <v>84.800000000000011</v>
      </c>
      <c r="G1442" s="83"/>
      <c r="H1442" s="84">
        <v>86.5</v>
      </c>
      <c r="I1442" s="84">
        <v>310</v>
      </c>
      <c r="J1442" s="85">
        <v>0.08</v>
      </c>
      <c r="K1442" s="87">
        <v>12.08</v>
      </c>
      <c r="L1442" s="83">
        <v>640</v>
      </c>
      <c r="M1442" s="83">
        <v>1.84</v>
      </c>
      <c r="N1442" s="83">
        <v>6.1</v>
      </c>
      <c r="O1442" s="83">
        <v>5.72</v>
      </c>
      <c r="P1442" s="83">
        <v>4.16</v>
      </c>
      <c r="Q1442" s="83"/>
      <c r="R1442" s="86">
        <v>1.8539479999999999</v>
      </c>
      <c r="S1442" s="87">
        <v>18.399999999999999</v>
      </c>
      <c r="T1442" s="83"/>
      <c r="U1442" s="83"/>
      <c r="V1442" s="83"/>
      <c r="W1442" s="83"/>
      <c r="X1442" s="83"/>
      <c r="Y1442" s="185">
        <v>19.09090909090909</v>
      </c>
      <c r="Z1442" s="83"/>
      <c r="AA1442" s="86">
        <v>4.79</v>
      </c>
      <c r="AB1442" s="86">
        <v>0.44500000000000001</v>
      </c>
      <c r="AC1442" s="83">
        <v>9.3000000000000007</v>
      </c>
      <c r="AD1442" s="88">
        <v>420</v>
      </c>
      <c r="AE1442" s="88">
        <v>180</v>
      </c>
      <c r="AF1442" s="88">
        <v>400</v>
      </c>
      <c r="AG1442" s="66">
        <f t="shared" si="61"/>
        <v>223.9977142857143</v>
      </c>
      <c r="AH1442" s="143">
        <f t="shared" si="62"/>
        <v>1000</v>
      </c>
    </row>
    <row r="1443" spans="1:34" s="90" customFormat="1" x14ac:dyDescent="0.3">
      <c r="A1443" s="84">
        <v>903464</v>
      </c>
      <c r="B1443" s="87">
        <v>39.166666666666664</v>
      </c>
      <c r="C1443" s="87">
        <v>12.625000000000002</v>
      </c>
      <c r="D1443" s="86">
        <v>7.7428571428571429</v>
      </c>
      <c r="E1443" s="99">
        <v>0.22500000000000001</v>
      </c>
      <c r="F1443" s="84">
        <v>87.5</v>
      </c>
      <c r="G1443" s="83"/>
      <c r="H1443" s="84">
        <v>95.15</v>
      </c>
      <c r="I1443" s="84">
        <v>400</v>
      </c>
      <c r="J1443" s="85">
        <v>0.06</v>
      </c>
      <c r="K1443" s="87">
        <v>11.56</v>
      </c>
      <c r="L1443" s="83">
        <v>590</v>
      </c>
      <c r="M1443" s="83">
        <v>1.96</v>
      </c>
      <c r="N1443" s="83">
        <v>5.12</v>
      </c>
      <c r="O1443" s="83">
        <v>6.92</v>
      </c>
      <c r="P1443" s="83">
        <v>4.5199999999999996</v>
      </c>
      <c r="Q1443" s="83"/>
      <c r="R1443" s="86">
        <v>1.8956330000000001</v>
      </c>
      <c r="S1443" s="87">
        <v>19.899999999999999</v>
      </c>
      <c r="T1443" s="83"/>
      <c r="U1443" s="83"/>
      <c r="V1443" s="83"/>
      <c r="W1443" s="83"/>
      <c r="X1443" s="83"/>
      <c r="Y1443" s="185">
        <v>18.18181818181818</v>
      </c>
      <c r="Z1443" s="83"/>
      <c r="AA1443" s="86">
        <v>3.71</v>
      </c>
      <c r="AB1443" s="86">
        <v>0.82399999999999995</v>
      </c>
      <c r="AC1443" s="83">
        <v>6.4</v>
      </c>
      <c r="AD1443" s="88">
        <v>400</v>
      </c>
      <c r="AE1443" s="88">
        <v>200</v>
      </c>
      <c r="AF1443" s="88">
        <v>400</v>
      </c>
      <c r="AG1443" s="66">
        <f t="shared" si="61"/>
        <v>225.07320000000004</v>
      </c>
      <c r="AH1443" s="143">
        <f t="shared" si="62"/>
        <v>1000</v>
      </c>
    </row>
    <row r="1444" spans="1:34" s="90" customFormat="1" x14ac:dyDescent="0.3">
      <c r="A1444" s="84">
        <v>903465</v>
      </c>
      <c r="B1444" s="87">
        <v>5.25</v>
      </c>
      <c r="C1444" s="87"/>
      <c r="D1444" s="86">
        <v>7.0285714285714285</v>
      </c>
      <c r="E1444" s="99">
        <v>2.1</v>
      </c>
      <c r="F1444" s="84">
        <v>46.95</v>
      </c>
      <c r="G1444" s="83"/>
      <c r="H1444" s="84">
        <v>24.82</v>
      </c>
      <c r="I1444" s="84">
        <v>520</v>
      </c>
      <c r="J1444" s="85">
        <v>0.09</v>
      </c>
      <c r="K1444" s="87">
        <v>19.71</v>
      </c>
      <c r="L1444" s="83">
        <v>2100</v>
      </c>
      <c r="M1444" s="83">
        <v>0.82</v>
      </c>
      <c r="N1444" s="83">
        <v>9.8800000000000008</v>
      </c>
      <c r="O1444" s="83">
        <v>16.05</v>
      </c>
      <c r="P1444" s="83">
        <v>12.35</v>
      </c>
      <c r="Q1444" s="83"/>
      <c r="R1444" s="86">
        <v>1.5903770000000002</v>
      </c>
      <c r="S1444" s="87">
        <v>10.7</v>
      </c>
      <c r="T1444" s="83"/>
      <c r="U1444" s="83"/>
      <c r="V1444" s="83"/>
      <c r="W1444" s="83"/>
      <c r="X1444" s="83"/>
      <c r="Y1444" s="185">
        <v>29.09090909090909</v>
      </c>
      <c r="Z1444" s="83"/>
      <c r="AA1444" s="86">
        <v>3.53</v>
      </c>
      <c r="AB1444" s="86">
        <v>0.83699999999999997</v>
      </c>
      <c r="AC1444" s="83">
        <v>8.8000000000000007</v>
      </c>
      <c r="AD1444" s="88">
        <v>640</v>
      </c>
      <c r="AE1444" s="88">
        <v>280</v>
      </c>
      <c r="AF1444" s="88">
        <v>80</v>
      </c>
      <c r="AG1444" s="66">
        <f t="shared" si="61"/>
        <v>239.84606250000004</v>
      </c>
      <c r="AH1444" s="143">
        <f t="shared" si="62"/>
        <v>1000</v>
      </c>
    </row>
    <row r="1445" spans="1:34" s="90" customFormat="1" x14ac:dyDescent="0.3">
      <c r="A1445" s="84">
        <v>903466</v>
      </c>
      <c r="B1445" s="87">
        <v>17.833333333333332</v>
      </c>
      <c r="C1445" s="87">
        <v>11</v>
      </c>
      <c r="D1445" s="86">
        <v>7.5142857142857133</v>
      </c>
      <c r="E1445" s="99">
        <v>0.90100000000000002</v>
      </c>
      <c r="F1445" s="84">
        <v>44.800000000000004</v>
      </c>
      <c r="G1445" s="83"/>
      <c r="H1445" s="84">
        <v>16.38</v>
      </c>
      <c r="I1445" s="84">
        <v>460</v>
      </c>
      <c r="J1445" s="85">
        <v>0.04</v>
      </c>
      <c r="K1445" s="87">
        <v>14.18</v>
      </c>
      <c r="L1445" s="83">
        <v>1040</v>
      </c>
      <c r="M1445" s="83">
        <v>1.1499999999999999</v>
      </c>
      <c r="N1445" s="83">
        <v>4.22</v>
      </c>
      <c r="O1445" s="83">
        <v>5.69</v>
      </c>
      <c r="P1445" s="83">
        <v>14.33</v>
      </c>
      <c r="Q1445" s="83"/>
      <c r="R1445" s="86">
        <v>1.8122</v>
      </c>
      <c r="S1445" s="87">
        <v>17</v>
      </c>
      <c r="T1445" s="83"/>
      <c r="U1445" s="83"/>
      <c r="V1445" s="83"/>
      <c r="W1445" s="83"/>
      <c r="X1445" s="83"/>
      <c r="Y1445" s="185">
        <v>28.18181818181818</v>
      </c>
      <c r="Z1445" s="83"/>
      <c r="AA1445" s="86">
        <v>4.2</v>
      </c>
      <c r="AB1445" s="86">
        <v>0.249</v>
      </c>
      <c r="AC1445" s="83">
        <v>9.8000000000000007</v>
      </c>
      <c r="AD1445" s="88">
        <v>620</v>
      </c>
      <c r="AE1445" s="88">
        <v>300</v>
      </c>
      <c r="AF1445" s="88">
        <v>80</v>
      </c>
      <c r="AG1445" s="66">
        <f t="shared" si="61"/>
        <v>178.11909677419357</v>
      </c>
      <c r="AH1445" s="143">
        <f t="shared" si="62"/>
        <v>1000</v>
      </c>
    </row>
    <row r="1446" spans="1:34" s="90" customFormat="1" x14ac:dyDescent="0.3">
      <c r="A1446" s="84">
        <v>903467</v>
      </c>
      <c r="B1446" s="87">
        <v>30</v>
      </c>
      <c r="C1446" s="87">
        <v>12.875</v>
      </c>
      <c r="D1446" s="86">
        <v>7.6857142857142859</v>
      </c>
      <c r="E1446" s="99">
        <v>0.47099999999999997</v>
      </c>
      <c r="F1446" s="84">
        <v>44.85</v>
      </c>
      <c r="G1446" s="83"/>
      <c r="H1446" s="84">
        <v>62.46</v>
      </c>
      <c r="I1446" s="84">
        <v>490</v>
      </c>
      <c r="J1446" s="85">
        <v>0.03</v>
      </c>
      <c r="K1446" s="87">
        <v>12.37</v>
      </c>
      <c r="L1446" s="83">
        <v>660</v>
      </c>
      <c r="M1446" s="83">
        <v>0.66</v>
      </c>
      <c r="N1446" s="83">
        <v>1.92</v>
      </c>
      <c r="O1446" s="83">
        <v>4.58</v>
      </c>
      <c r="P1446" s="83">
        <v>6.66</v>
      </c>
      <c r="Q1446" s="83"/>
      <c r="R1446" s="86">
        <v>1.7478000000000002</v>
      </c>
      <c r="S1446" s="87">
        <v>15</v>
      </c>
      <c r="T1446" s="83"/>
      <c r="U1446" s="83"/>
      <c r="V1446" s="83"/>
      <c r="W1446" s="83"/>
      <c r="X1446" s="83"/>
      <c r="Y1446" s="185">
        <v>27.27272727272727</v>
      </c>
      <c r="Z1446" s="83"/>
      <c r="AA1446" s="86">
        <v>4.6500000000000004</v>
      </c>
      <c r="AB1446" s="86">
        <v>0.315</v>
      </c>
      <c r="AC1446" s="83">
        <v>6</v>
      </c>
      <c r="AD1446" s="88">
        <v>600</v>
      </c>
      <c r="AE1446" s="88">
        <v>320</v>
      </c>
      <c r="AF1446" s="88">
        <v>80</v>
      </c>
      <c r="AG1446" s="66">
        <f t="shared" si="61"/>
        <v>160.5626</v>
      </c>
      <c r="AH1446" s="143">
        <f t="shared" si="62"/>
        <v>1000</v>
      </c>
    </row>
    <row r="1447" spans="1:34" s="90" customFormat="1" x14ac:dyDescent="0.3">
      <c r="A1447" s="84">
        <v>903468</v>
      </c>
      <c r="B1447" s="87">
        <v>23.333333333333332</v>
      </c>
      <c r="C1447" s="87">
        <v>15.125000000000002</v>
      </c>
      <c r="D1447" s="86">
        <v>8.0761904761904759</v>
      </c>
      <c r="E1447" s="99">
        <v>0.33200000000000002</v>
      </c>
      <c r="F1447" s="84">
        <v>162.19999999999999</v>
      </c>
      <c r="G1447" s="83"/>
      <c r="H1447" s="84">
        <v>17.010000000000002</v>
      </c>
      <c r="I1447" s="84">
        <v>300</v>
      </c>
      <c r="J1447" s="85">
        <v>0.26</v>
      </c>
      <c r="K1447" s="87">
        <v>9.06</v>
      </c>
      <c r="L1447" s="83">
        <v>830</v>
      </c>
      <c r="M1447" s="83">
        <v>0.24</v>
      </c>
      <c r="N1447" s="83">
        <v>0.76</v>
      </c>
      <c r="O1447" s="83">
        <v>2.54</v>
      </c>
      <c r="P1447" s="83">
        <v>3.71</v>
      </c>
      <c r="Q1447" s="83"/>
      <c r="R1447" s="86">
        <v>1.2527891466632028</v>
      </c>
      <c r="S1447" s="87">
        <v>8.8000000000000007</v>
      </c>
      <c r="T1447" s="83"/>
      <c r="U1447" s="83"/>
      <c r="V1447" s="83"/>
      <c r="W1447" s="83"/>
      <c r="X1447" s="83"/>
      <c r="Y1447" s="185">
        <v>21.818181818181817</v>
      </c>
      <c r="Z1447" s="83"/>
      <c r="AA1447" s="86">
        <v>3.87</v>
      </c>
      <c r="AB1447" s="86">
        <v>0.54600000000000004</v>
      </c>
      <c r="AC1447" s="83">
        <v>10.7</v>
      </c>
      <c r="AD1447" s="88">
        <v>480</v>
      </c>
      <c r="AE1447" s="88">
        <v>280</v>
      </c>
      <c r="AF1447" s="88">
        <v>240</v>
      </c>
      <c r="AG1447" s="66">
        <f t="shared" si="61"/>
        <v>146.99850000000004</v>
      </c>
      <c r="AH1447" s="143">
        <f t="shared" si="62"/>
        <v>1000</v>
      </c>
    </row>
    <row r="1448" spans="1:34" s="90" customFormat="1" x14ac:dyDescent="0.3">
      <c r="A1448" s="84">
        <v>903469</v>
      </c>
      <c r="B1448" s="87">
        <v>1.5166666666666666</v>
      </c>
      <c r="C1448" s="87"/>
      <c r="D1448" s="86">
        <v>7.7999999999999989</v>
      </c>
      <c r="E1448" s="99">
        <v>0.254</v>
      </c>
      <c r="F1448" s="84">
        <v>95.9</v>
      </c>
      <c r="G1448" s="83"/>
      <c r="H1448" s="84">
        <v>27.62</v>
      </c>
      <c r="I1448" s="84">
        <v>280</v>
      </c>
      <c r="J1448" s="85">
        <v>0.12</v>
      </c>
      <c r="K1448" s="87">
        <v>5.53</v>
      </c>
      <c r="L1448" s="83">
        <v>380</v>
      </c>
      <c r="M1448" s="83">
        <v>0.46</v>
      </c>
      <c r="N1448" s="83">
        <v>0.57999999999999996</v>
      </c>
      <c r="O1448" s="83">
        <v>2.1800000000000002</v>
      </c>
      <c r="P1448" s="83">
        <v>2.0699999999999998</v>
      </c>
      <c r="Q1448" s="83"/>
      <c r="R1448" s="86">
        <v>1.0526963836445926</v>
      </c>
      <c r="S1448" s="87">
        <v>7.6</v>
      </c>
      <c r="T1448" s="83"/>
      <c r="U1448" s="83"/>
      <c r="V1448" s="83"/>
      <c r="W1448" s="83"/>
      <c r="X1448" s="83"/>
      <c r="Y1448" s="185">
        <v>18.18181818181818</v>
      </c>
      <c r="Z1448" s="83"/>
      <c r="AA1448" s="86">
        <v>4.5</v>
      </c>
      <c r="AB1448" s="86">
        <v>0.46800000000000003</v>
      </c>
      <c r="AC1448" s="83">
        <v>10.3</v>
      </c>
      <c r="AD1448" s="88">
        <v>400</v>
      </c>
      <c r="AE1448" s="88">
        <v>240</v>
      </c>
      <c r="AF1448" s="88">
        <v>360</v>
      </c>
      <c r="AG1448" s="66">
        <f t="shared" si="61"/>
        <v>107.6691</v>
      </c>
      <c r="AH1448" s="143">
        <f t="shared" si="62"/>
        <v>1000</v>
      </c>
    </row>
    <row r="1449" spans="1:34" s="90" customFormat="1" x14ac:dyDescent="0.3">
      <c r="A1449" s="84">
        <v>903470</v>
      </c>
      <c r="B1449" s="87">
        <v>1.3333333333333333</v>
      </c>
      <c r="C1449" s="87"/>
      <c r="D1449" s="86">
        <v>8.0285714285714285</v>
      </c>
      <c r="E1449" s="99">
        <v>0.184</v>
      </c>
      <c r="F1449" s="84">
        <v>88</v>
      </c>
      <c r="G1449" s="83"/>
      <c r="H1449" s="84">
        <v>29.01</v>
      </c>
      <c r="I1449" s="84">
        <v>200</v>
      </c>
      <c r="J1449" s="85">
        <v>0.06</v>
      </c>
      <c r="K1449" s="87">
        <v>4.87</v>
      </c>
      <c r="L1449" s="83">
        <v>370</v>
      </c>
      <c r="M1449" s="83">
        <v>1.03</v>
      </c>
      <c r="N1449" s="83">
        <v>3.13</v>
      </c>
      <c r="O1449" s="83">
        <v>4.13</v>
      </c>
      <c r="P1449" s="83">
        <v>3.41</v>
      </c>
      <c r="Q1449" s="83"/>
      <c r="R1449" s="86">
        <v>1.1831119952647178</v>
      </c>
      <c r="S1449" s="87">
        <v>7.7</v>
      </c>
      <c r="T1449" s="83"/>
      <c r="U1449" s="83"/>
      <c r="V1449" s="83"/>
      <c r="W1449" s="83"/>
      <c r="X1449" s="83"/>
      <c r="Y1449" s="185">
        <v>18.18181818181818</v>
      </c>
      <c r="Z1449" s="83"/>
      <c r="AA1449" s="86">
        <v>3.93</v>
      </c>
      <c r="AB1449" s="86">
        <v>0.34</v>
      </c>
      <c r="AC1449" s="83">
        <v>7.4</v>
      </c>
      <c r="AD1449" s="88">
        <v>400</v>
      </c>
      <c r="AE1449" s="88">
        <v>220</v>
      </c>
      <c r="AF1449" s="88">
        <v>380</v>
      </c>
      <c r="AG1449" s="66">
        <f t="shared" si="61"/>
        <v>94.818899999999999</v>
      </c>
      <c r="AH1449" s="143">
        <f t="shared" si="62"/>
        <v>1000</v>
      </c>
    </row>
    <row r="1450" spans="1:34" s="90" customFormat="1" x14ac:dyDescent="0.3">
      <c r="A1450" s="84">
        <v>903551</v>
      </c>
      <c r="B1450" s="87">
        <v>33</v>
      </c>
      <c r="C1450" s="87">
        <v>11</v>
      </c>
      <c r="D1450" s="86">
        <v>8.1809523809523803</v>
      </c>
      <c r="E1450" s="99">
        <v>0.15</v>
      </c>
      <c r="F1450" s="84">
        <v>68.8</v>
      </c>
      <c r="G1450" s="83"/>
      <c r="H1450" s="84">
        <v>16.43</v>
      </c>
      <c r="I1450" s="84">
        <v>180</v>
      </c>
      <c r="J1450" s="85">
        <v>0.13</v>
      </c>
      <c r="K1450" s="87">
        <v>9.58</v>
      </c>
      <c r="L1450" s="83">
        <v>420</v>
      </c>
      <c r="M1450" s="83">
        <v>0.42</v>
      </c>
      <c r="N1450" s="83">
        <v>1.05</v>
      </c>
      <c r="O1450" s="83">
        <v>1.3</v>
      </c>
      <c r="P1450" s="83">
        <v>4.6900000000000004</v>
      </c>
      <c r="Q1450" s="83"/>
      <c r="R1450" s="86">
        <v>1.737657</v>
      </c>
      <c r="S1450" s="87">
        <v>14.7</v>
      </c>
      <c r="T1450" s="83"/>
      <c r="U1450" s="83"/>
      <c r="V1450" s="83"/>
      <c r="W1450" s="83"/>
      <c r="X1450" s="83"/>
      <c r="Y1450" s="185">
        <v>27.27272727272727</v>
      </c>
      <c r="Z1450" s="83"/>
      <c r="AA1450" s="86">
        <v>3.96</v>
      </c>
      <c r="AB1450" s="86">
        <v>0.39500000000000002</v>
      </c>
      <c r="AC1450" s="83">
        <v>11.9</v>
      </c>
      <c r="AD1450" s="88">
        <v>600</v>
      </c>
      <c r="AE1450" s="88">
        <v>300</v>
      </c>
      <c r="AF1450" s="88">
        <v>100</v>
      </c>
      <c r="AG1450" s="66">
        <f t="shared" si="61"/>
        <v>124.34840000000001</v>
      </c>
      <c r="AH1450" s="143">
        <f t="shared" si="62"/>
        <v>1000</v>
      </c>
    </row>
    <row r="1451" spans="1:34" s="90" customFormat="1" x14ac:dyDescent="0.3">
      <c r="A1451" s="84">
        <v>903552</v>
      </c>
      <c r="B1451" s="87">
        <v>33</v>
      </c>
      <c r="C1451" s="87">
        <v>10.750000000000002</v>
      </c>
      <c r="D1451" s="86">
        <v>8.1904761904761898</v>
      </c>
      <c r="E1451" s="99">
        <v>0.159</v>
      </c>
      <c r="F1451" s="84">
        <v>78.5</v>
      </c>
      <c r="G1451" s="83"/>
      <c r="H1451" s="84">
        <v>15.72</v>
      </c>
      <c r="I1451" s="84">
        <v>150</v>
      </c>
      <c r="J1451" s="85">
        <v>0.1</v>
      </c>
      <c r="K1451" s="87">
        <v>10.7</v>
      </c>
      <c r="L1451" s="83">
        <v>360</v>
      </c>
      <c r="M1451" s="83">
        <v>0.28999999999999998</v>
      </c>
      <c r="N1451" s="83">
        <v>0.66</v>
      </c>
      <c r="O1451" s="83">
        <v>0.73</v>
      </c>
      <c r="P1451" s="83">
        <v>2.44</v>
      </c>
      <c r="Q1451" s="83"/>
      <c r="R1451" s="86">
        <v>0.62687327926043512</v>
      </c>
      <c r="S1451" s="87">
        <v>4.4000000000000004</v>
      </c>
      <c r="T1451" s="83"/>
      <c r="U1451" s="83"/>
      <c r="V1451" s="83"/>
      <c r="W1451" s="83"/>
      <c r="X1451" s="83"/>
      <c r="Y1451" s="185">
        <v>27.27272727272727</v>
      </c>
      <c r="Z1451" s="83"/>
      <c r="AA1451" s="86">
        <v>3.69</v>
      </c>
      <c r="AB1451" s="86">
        <v>0.26700000000000002</v>
      </c>
      <c r="AC1451" s="83">
        <v>9.3000000000000007</v>
      </c>
      <c r="AD1451" s="88">
        <v>600</v>
      </c>
      <c r="AE1451" s="88">
        <v>320</v>
      </c>
      <c r="AF1451" s="88">
        <v>80</v>
      </c>
      <c r="AG1451" s="66">
        <f t="shared" si="61"/>
        <v>138.88600000000002</v>
      </c>
      <c r="AH1451" s="143">
        <f t="shared" si="62"/>
        <v>1000</v>
      </c>
    </row>
    <row r="1452" spans="1:34" s="90" customFormat="1" x14ac:dyDescent="0.3">
      <c r="A1452" s="84">
        <v>903553</v>
      </c>
      <c r="B1452" s="87">
        <v>32.333333333333329</v>
      </c>
      <c r="C1452" s="87">
        <v>10.625</v>
      </c>
      <c r="D1452" s="86">
        <v>8.0952380952380949</v>
      </c>
      <c r="E1452" s="99">
        <v>0.16700000000000001</v>
      </c>
      <c r="F1452" s="84">
        <v>81.8</v>
      </c>
      <c r="G1452" s="83"/>
      <c r="H1452" s="84">
        <v>15.39</v>
      </c>
      <c r="I1452" s="84">
        <v>320</v>
      </c>
      <c r="J1452" s="85">
        <v>0.16</v>
      </c>
      <c r="K1452" s="87">
        <v>10.06</v>
      </c>
      <c r="L1452" s="83">
        <v>490</v>
      </c>
      <c r="M1452" s="83">
        <v>0.57999999999999996</v>
      </c>
      <c r="N1452" s="83">
        <v>1.06</v>
      </c>
      <c r="O1452" s="83">
        <v>1.54</v>
      </c>
      <c r="P1452" s="83">
        <v>6.8</v>
      </c>
      <c r="Q1452" s="83"/>
      <c r="R1452" s="86">
        <v>1.098967770465026</v>
      </c>
      <c r="S1452" s="87">
        <v>7.7</v>
      </c>
      <c r="T1452" s="83"/>
      <c r="U1452" s="83"/>
      <c r="V1452" s="83"/>
      <c r="W1452" s="83"/>
      <c r="X1452" s="83"/>
      <c r="Y1452" s="185">
        <v>29.09090909090909</v>
      </c>
      <c r="Z1452" s="83"/>
      <c r="AA1452" s="86">
        <v>4.0999999999999996</v>
      </c>
      <c r="AB1452" s="86">
        <v>0.47299999999999998</v>
      </c>
      <c r="AC1452" s="83">
        <v>12</v>
      </c>
      <c r="AD1452" s="88">
        <v>640</v>
      </c>
      <c r="AE1452" s="88">
        <v>280</v>
      </c>
      <c r="AF1452" s="88">
        <v>80</v>
      </c>
      <c r="AG1452" s="66">
        <f t="shared" si="61"/>
        <v>122.41762500000002</v>
      </c>
      <c r="AH1452" s="143">
        <f t="shared" si="62"/>
        <v>1000</v>
      </c>
    </row>
    <row r="1453" spans="1:34" s="90" customFormat="1" x14ac:dyDescent="0.3">
      <c r="A1453" s="84">
        <v>903554</v>
      </c>
      <c r="B1453" s="87">
        <v>39.499999999999993</v>
      </c>
      <c r="C1453" s="87">
        <v>3.2500000000000018</v>
      </c>
      <c r="D1453" s="86">
        <v>8.1999999999999993</v>
      </c>
      <c r="E1453" s="99">
        <v>0.14099999999999999</v>
      </c>
      <c r="F1453" s="84">
        <v>94.65</v>
      </c>
      <c r="G1453" s="83"/>
      <c r="H1453" s="84">
        <v>19.22</v>
      </c>
      <c r="I1453" s="84">
        <v>140</v>
      </c>
      <c r="J1453" s="85">
        <v>0.08</v>
      </c>
      <c r="K1453" s="87">
        <v>7.04</v>
      </c>
      <c r="L1453" s="83">
        <v>260</v>
      </c>
      <c r="M1453" s="83">
        <v>0.42</v>
      </c>
      <c r="N1453" s="83">
        <v>0.57999999999999996</v>
      </c>
      <c r="O1453" s="83">
        <v>1.05</v>
      </c>
      <c r="P1453" s="83">
        <v>4.63</v>
      </c>
      <c r="Q1453" s="83"/>
      <c r="R1453" s="86">
        <v>0.27309628992821278</v>
      </c>
      <c r="S1453" s="87">
        <v>1.9</v>
      </c>
      <c r="T1453" s="83"/>
      <c r="U1453" s="83"/>
      <c r="V1453" s="83"/>
      <c r="W1453" s="83"/>
      <c r="X1453" s="83"/>
      <c r="Y1453" s="185">
        <v>4.545454545454545</v>
      </c>
      <c r="Z1453" s="83"/>
      <c r="AA1453" s="86">
        <v>4.8600000000000003</v>
      </c>
      <c r="AB1453" s="86">
        <v>0.66400000000000003</v>
      </c>
      <c r="AC1453" s="83">
        <v>10.8</v>
      </c>
      <c r="AD1453" s="88">
        <v>100</v>
      </c>
      <c r="AE1453" s="88">
        <v>60</v>
      </c>
      <c r="AF1453" s="88">
        <v>840</v>
      </c>
      <c r="AG1453" s="66">
        <f t="shared" si="61"/>
        <v>548.27520000000015</v>
      </c>
      <c r="AH1453" s="143">
        <f t="shared" si="62"/>
        <v>1000</v>
      </c>
    </row>
    <row r="1454" spans="1:34" s="90" customFormat="1" x14ac:dyDescent="0.3">
      <c r="A1454" s="84">
        <v>903555</v>
      </c>
      <c r="B1454" s="87">
        <v>32.666666666666671</v>
      </c>
      <c r="C1454" s="87">
        <v>3.75</v>
      </c>
      <c r="D1454" s="86">
        <v>8.1619047619047613</v>
      </c>
      <c r="E1454" s="99">
        <v>0.17699999999999999</v>
      </c>
      <c r="F1454" s="84">
        <v>87.6</v>
      </c>
      <c r="G1454" s="83"/>
      <c r="H1454" s="84">
        <v>18.04</v>
      </c>
      <c r="I1454" s="84">
        <v>210</v>
      </c>
      <c r="J1454" s="85">
        <v>0.17</v>
      </c>
      <c r="K1454" s="87">
        <v>10.57</v>
      </c>
      <c r="L1454" s="83">
        <v>430</v>
      </c>
      <c r="M1454" s="83">
        <v>0.36</v>
      </c>
      <c r="N1454" s="83">
        <v>0.83</v>
      </c>
      <c r="O1454" s="83">
        <v>1.2</v>
      </c>
      <c r="P1454" s="83">
        <v>3.73</v>
      </c>
      <c r="Q1454" s="83"/>
      <c r="R1454" s="86">
        <v>0.76287180682774947</v>
      </c>
      <c r="S1454" s="87">
        <v>5.2</v>
      </c>
      <c r="T1454" s="83"/>
      <c r="U1454" s="83"/>
      <c r="V1454" s="83"/>
      <c r="W1454" s="83"/>
      <c r="X1454" s="83"/>
      <c r="Y1454" s="185">
        <v>27.27272727272727</v>
      </c>
      <c r="Z1454" s="83"/>
      <c r="AA1454" s="86">
        <v>3.8</v>
      </c>
      <c r="AB1454" s="86">
        <v>0.82899999999999996</v>
      </c>
      <c r="AC1454" s="83">
        <v>11.9</v>
      </c>
      <c r="AD1454" s="88">
        <v>600</v>
      </c>
      <c r="AE1454" s="88">
        <v>300</v>
      </c>
      <c r="AF1454" s="88">
        <v>100</v>
      </c>
      <c r="AG1454" s="66">
        <f t="shared" si="61"/>
        <v>137.1986</v>
      </c>
      <c r="AH1454" s="143">
        <f t="shared" si="62"/>
        <v>1000</v>
      </c>
    </row>
    <row r="1455" spans="1:34" s="90" customFormat="1" x14ac:dyDescent="0.3">
      <c r="A1455" s="84">
        <v>903556</v>
      </c>
      <c r="B1455" s="87">
        <v>32</v>
      </c>
      <c r="C1455" s="87">
        <v>4.1250000000000009</v>
      </c>
      <c r="D1455" s="86">
        <v>8.1523809523809518</v>
      </c>
      <c r="E1455" s="99">
        <v>0.184</v>
      </c>
      <c r="F1455" s="84">
        <v>104.65</v>
      </c>
      <c r="G1455" s="83"/>
      <c r="H1455" s="84">
        <v>21.87</v>
      </c>
      <c r="I1455" s="84">
        <v>270</v>
      </c>
      <c r="J1455" s="85">
        <v>0.15</v>
      </c>
      <c r="K1455" s="87">
        <v>8.7100000000000009</v>
      </c>
      <c r="L1455" s="83">
        <v>500</v>
      </c>
      <c r="M1455" s="83">
        <v>0.6</v>
      </c>
      <c r="N1455" s="83">
        <v>0.74</v>
      </c>
      <c r="O1455" s="83">
        <v>0.93</v>
      </c>
      <c r="P1455" s="83">
        <v>2.61</v>
      </c>
      <c r="Q1455" s="83"/>
      <c r="R1455" s="86">
        <v>0.93991772406734442</v>
      </c>
      <c r="S1455" s="87">
        <v>6.7</v>
      </c>
      <c r="T1455" s="83"/>
      <c r="U1455" s="83"/>
      <c r="V1455" s="83"/>
      <c r="W1455" s="83"/>
      <c r="X1455" s="83"/>
      <c r="Y1455" s="185">
        <v>28.18181818181818</v>
      </c>
      <c r="Z1455" s="83"/>
      <c r="AA1455" s="86">
        <v>3.99</v>
      </c>
      <c r="AB1455" s="86">
        <v>0.26400000000000001</v>
      </c>
      <c r="AC1455" s="83">
        <v>8.4</v>
      </c>
      <c r="AD1455" s="88">
        <v>620</v>
      </c>
      <c r="AE1455" s="88">
        <v>300</v>
      </c>
      <c r="AF1455" s="88">
        <v>80</v>
      </c>
      <c r="AG1455" s="66">
        <f t="shared" si="61"/>
        <v>109.40883870967745</v>
      </c>
      <c r="AH1455" s="143">
        <f t="shared" si="62"/>
        <v>1000</v>
      </c>
    </row>
    <row r="1456" spans="1:34" s="90" customFormat="1" x14ac:dyDescent="0.3">
      <c r="A1456" s="84">
        <v>903557</v>
      </c>
      <c r="B1456" s="87">
        <v>30.166666666666664</v>
      </c>
      <c r="C1456" s="87">
        <v>4.875</v>
      </c>
      <c r="D1456" s="86">
        <v>8.3047619047619055</v>
      </c>
      <c r="E1456" s="99">
        <v>0.13900000000000001</v>
      </c>
      <c r="F1456" s="84">
        <v>78.099999999999994</v>
      </c>
      <c r="G1456" s="83"/>
      <c r="H1456" s="84">
        <v>16</v>
      </c>
      <c r="I1456" s="84">
        <v>120</v>
      </c>
      <c r="J1456" s="85">
        <v>0.13</v>
      </c>
      <c r="K1456" s="87">
        <v>7.68</v>
      </c>
      <c r="L1456" s="83">
        <v>300</v>
      </c>
      <c r="M1456" s="83">
        <v>0.42</v>
      </c>
      <c r="N1456" s="83">
        <v>0.64</v>
      </c>
      <c r="O1456" s="83">
        <v>0.8</v>
      </c>
      <c r="P1456" s="83">
        <v>3.26</v>
      </c>
      <c r="Q1456" s="83"/>
      <c r="R1456" s="86">
        <v>0.48972092792676758</v>
      </c>
      <c r="S1456" s="87">
        <v>3.3</v>
      </c>
      <c r="T1456" s="83"/>
      <c r="U1456" s="83"/>
      <c r="V1456" s="83"/>
      <c r="W1456" s="83"/>
      <c r="X1456" s="83"/>
      <c r="Y1456" s="185">
        <v>23.636363636363633</v>
      </c>
      <c r="Z1456" s="83"/>
      <c r="AA1456" s="86">
        <v>4.58</v>
      </c>
      <c r="AB1456" s="86">
        <v>0.25600000000000001</v>
      </c>
      <c r="AC1456" s="83">
        <v>10.7</v>
      </c>
      <c r="AD1456" s="88">
        <v>520</v>
      </c>
      <c r="AE1456" s="88">
        <v>280</v>
      </c>
      <c r="AF1456" s="88">
        <v>200</v>
      </c>
      <c r="AG1456" s="66">
        <f t="shared" si="61"/>
        <v>115.02276923076926</v>
      </c>
      <c r="AH1456" s="143">
        <f t="shared" si="62"/>
        <v>1000</v>
      </c>
    </row>
    <row r="1457" spans="1:34" s="90" customFormat="1" x14ac:dyDescent="0.3">
      <c r="A1457" s="84">
        <v>903558</v>
      </c>
      <c r="B1457" s="87">
        <v>33.333333333333329</v>
      </c>
      <c r="C1457" s="87">
        <v>3.8750000000000018</v>
      </c>
      <c r="D1457" s="86">
        <v>8.21904761904762</v>
      </c>
      <c r="E1457" s="99">
        <v>0.19900000000000001</v>
      </c>
      <c r="F1457" s="84">
        <v>115.8</v>
      </c>
      <c r="G1457" s="83"/>
      <c r="H1457" s="84">
        <v>22.53</v>
      </c>
      <c r="I1457" s="84">
        <v>130</v>
      </c>
      <c r="J1457" s="85">
        <v>0.21</v>
      </c>
      <c r="K1457" s="87">
        <v>8.34</v>
      </c>
      <c r="L1457" s="83">
        <v>540</v>
      </c>
      <c r="M1457" s="83">
        <v>0.56999999999999995</v>
      </c>
      <c r="N1457" s="83">
        <v>0.95</v>
      </c>
      <c r="O1457" s="83">
        <v>0.89</v>
      </c>
      <c r="P1457" s="83">
        <v>5.75</v>
      </c>
      <c r="Q1457" s="83"/>
      <c r="R1457" s="86">
        <v>0.41224984957250888</v>
      </c>
      <c r="S1457" s="87">
        <v>3</v>
      </c>
      <c r="T1457" s="83"/>
      <c r="U1457" s="83"/>
      <c r="V1457" s="83"/>
      <c r="W1457" s="83"/>
      <c r="X1457" s="83"/>
      <c r="Y1457" s="185">
        <v>29.09090909090909</v>
      </c>
      <c r="Z1457" s="83"/>
      <c r="AA1457" s="86">
        <v>4.71</v>
      </c>
      <c r="AB1457" s="86">
        <v>0.27100000000000002</v>
      </c>
      <c r="AC1457" s="83">
        <v>8.6999999999999993</v>
      </c>
      <c r="AD1457" s="88">
        <v>640</v>
      </c>
      <c r="AE1457" s="88">
        <v>260</v>
      </c>
      <c r="AF1457" s="88">
        <v>100</v>
      </c>
      <c r="AG1457" s="66">
        <f t="shared" si="61"/>
        <v>101.48737499999999</v>
      </c>
      <c r="AH1457" s="143">
        <f t="shared" si="62"/>
        <v>1000</v>
      </c>
    </row>
    <row r="1458" spans="1:34" s="90" customFormat="1" x14ac:dyDescent="0.3">
      <c r="A1458" s="84">
        <v>903559</v>
      </c>
      <c r="B1458" s="87">
        <v>34</v>
      </c>
      <c r="C1458" s="87">
        <v>3.6250000000000027</v>
      </c>
      <c r="D1458" s="86">
        <v>8.1523809523809518</v>
      </c>
      <c r="E1458" s="99">
        <v>0.17499999999999999</v>
      </c>
      <c r="F1458" s="84">
        <v>79.400000000000006</v>
      </c>
      <c r="G1458" s="83"/>
      <c r="H1458" s="84">
        <v>68.61</v>
      </c>
      <c r="I1458" s="84">
        <v>590</v>
      </c>
      <c r="J1458" s="85">
        <v>0.13</v>
      </c>
      <c r="K1458" s="87">
        <v>10.88</v>
      </c>
      <c r="L1458" s="83">
        <v>730</v>
      </c>
      <c r="M1458" s="83">
        <v>0.9</v>
      </c>
      <c r="N1458" s="83">
        <v>1.04</v>
      </c>
      <c r="O1458" s="83">
        <v>1.63</v>
      </c>
      <c r="P1458" s="83">
        <v>4.72</v>
      </c>
      <c r="Q1458" s="83"/>
      <c r="R1458" s="86">
        <v>1.3755183778392701</v>
      </c>
      <c r="S1458" s="87">
        <v>9.8000000000000007</v>
      </c>
      <c r="T1458" s="83"/>
      <c r="U1458" s="83"/>
      <c r="V1458" s="83"/>
      <c r="W1458" s="83"/>
      <c r="X1458" s="83"/>
      <c r="Y1458" s="185">
        <v>29.09090909090909</v>
      </c>
      <c r="Z1458" s="83"/>
      <c r="AA1458" s="86">
        <v>4.33</v>
      </c>
      <c r="AB1458" s="86">
        <v>0.57199999999999995</v>
      </c>
      <c r="AC1458" s="83">
        <v>10.3</v>
      </c>
      <c r="AD1458" s="88">
        <v>640</v>
      </c>
      <c r="AE1458" s="88">
        <v>280</v>
      </c>
      <c r="AF1458" s="88">
        <v>80</v>
      </c>
      <c r="AG1458" s="66">
        <f t="shared" si="61"/>
        <v>132.39600000000002</v>
      </c>
      <c r="AH1458" s="143">
        <f t="shared" si="62"/>
        <v>1000</v>
      </c>
    </row>
    <row r="1459" spans="1:34" s="90" customFormat="1" x14ac:dyDescent="0.3">
      <c r="A1459" s="84">
        <v>903560</v>
      </c>
      <c r="B1459" s="87">
        <v>31.666666666666664</v>
      </c>
      <c r="C1459" s="87">
        <v>4.2500000000000027</v>
      </c>
      <c r="D1459" s="86">
        <v>8.2761904761904752</v>
      </c>
      <c r="E1459" s="99">
        <v>0.185</v>
      </c>
      <c r="F1459" s="84">
        <v>100.8</v>
      </c>
      <c r="G1459" s="83"/>
      <c r="H1459" s="84">
        <v>17.079999999999998</v>
      </c>
      <c r="I1459" s="84">
        <v>90</v>
      </c>
      <c r="J1459" s="85">
        <v>0.17</v>
      </c>
      <c r="K1459" s="87">
        <v>8.1199999999999992</v>
      </c>
      <c r="L1459" s="83">
        <v>390</v>
      </c>
      <c r="M1459" s="83">
        <v>0.56000000000000005</v>
      </c>
      <c r="N1459" s="83">
        <v>1.04</v>
      </c>
      <c r="O1459" s="83">
        <v>1.34</v>
      </c>
      <c r="P1459" s="83">
        <v>6.06</v>
      </c>
      <c r="Q1459" s="83"/>
      <c r="R1459" s="86">
        <v>0.31405640702981114</v>
      </c>
      <c r="S1459" s="87">
        <v>2.1</v>
      </c>
      <c r="T1459" s="83"/>
      <c r="U1459" s="83"/>
      <c r="V1459" s="83"/>
      <c r="W1459" s="83"/>
      <c r="X1459" s="83"/>
      <c r="Y1459" s="185">
        <v>24.545454545454543</v>
      </c>
      <c r="Z1459" s="83"/>
      <c r="AA1459" s="86">
        <v>4.05</v>
      </c>
      <c r="AB1459" s="86">
        <v>0.78300000000000003</v>
      </c>
      <c r="AC1459" s="83">
        <v>6.9</v>
      </c>
      <c r="AD1459" s="88">
        <v>540</v>
      </c>
      <c r="AE1459" s="88">
        <v>280</v>
      </c>
      <c r="AF1459" s="88">
        <v>180</v>
      </c>
      <c r="AG1459" s="66">
        <f t="shared" si="61"/>
        <v>117.10844444444444</v>
      </c>
      <c r="AH1459" s="143">
        <f t="shared" si="62"/>
        <v>1000</v>
      </c>
    </row>
    <row r="1460" spans="1:34" s="90" customFormat="1" x14ac:dyDescent="0.3">
      <c r="A1460" s="84">
        <v>903561</v>
      </c>
      <c r="B1460" s="87">
        <v>32</v>
      </c>
      <c r="C1460" s="87">
        <v>3.9999999999999991</v>
      </c>
      <c r="D1460" s="86">
        <v>8.1809523809523803</v>
      </c>
      <c r="E1460" s="99">
        <v>0.14799999999999999</v>
      </c>
      <c r="F1460" s="84">
        <v>84.600000000000009</v>
      </c>
      <c r="G1460" s="83"/>
      <c r="H1460" s="84">
        <v>17.46</v>
      </c>
      <c r="I1460" s="84">
        <v>140</v>
      </c>
      <c r="J1460" s="85">
        <v>0.05</v>
      </c>
      <c r="K1460" s="87">
        <v>10.91</v>
      </c>
      <c r="L1460" s="83">
        <v>350</v>
      </c>
      <c r="M1460" s="83">
        <v>0.28000000000000003</v>
      </c>
      <c r="N1460" s="83">
        <v>0.56999999999999995</v>
      </c>
      <c r="O1460" s="83">
        <v>0.45</v>
      </c>
      <c r="P1460" s="83">
        <v>1.87</v>
      </c>
      <c r="Q1460" s="83"/>
      <c r="R1460" s="86">
        <v>0.7390893198272166</v>
      </c>
      <c r="S1460" s="87">
        <v>5.5</v>
      </c>
      <c r="T1460" s="83"/>
      <c r="U1460" s="83"/>
      <c r="V1460" s="83"/>
      <c r="W1460" s="83"/>
      <c r="X1460" s="83"/>
      <c r="Y1460" s="185">
        <v>28.636363636363633</v>
      </c>
      <c r="Z1460" s="83"/>
      <c r="AA1460" s="86">
        <v>3.56</v>
      </c>
      <c r="AB1460" s="86">
        <v>0.56799999999999995</v>
      </c>
      <c r="AC1460" s="83">
        <v>11.9</v>
      </c>
      <c r="AD1460" s="88">
        <v>630</v>
      </c>
      <c r="AE1460" s="88">
        <v>270</v>
      </c>
      <c r="AF1460" s="88">
        <v>100</v>
      </c>
      <c r="AG1460" s="66">
        <f t="shared" si="61"/>
        <v>134.86838095238099</v>
      </c>
      <c r="AH1460" s="143">
        <f t="shared" si="62"/>
        <v>1000</v>
      </c>
    </row>
    <row r="1461" spans="1:34" s="90" customFormat="1" x14ac:dyDescent="0.3">
      <c r="A1461" s="84">
        <v>903562</v>
      </c>
      <c r="B1461" s="87">
        <v>37.333333333333336</v>
      </c>
      <c r="C1461" s="87">
        <v>3.5000000000000009</v>
      </c>
      <c r="D1461" s="86">
        <v>8.1809523809523803</v>
      </c>
      <c r="E1461" s="99">
        <v>1.57</v>
      </c>
      <c r="F1461" s="84">
        <v>1942.4</v>
      </c>
      <c r="G1461" s="83"/>
      <c r="H1461" s="84">
        <v>13.53</v>
      </c>
      <c r="I1461" s="84">
        <v>90</v>
      </c>
      <c r="J1461" s="85">
        <v>2.39</v>
      </c>
      <c r="K1461" s="87">
        <v>8.11</v>
      </c>
      <c r="L1461" s="83">
        <v>650</v>
      </c>
      <c r="M1461" s="83">
        <v>0.63</v>
      </c>
      <c r="N1461" s="83">
        <v>1.21</v>
      </c>
      <c r="O1461" s="83">
        <v>2.37</v>
      </c>
      <c r="P1461" s="83">
        <v>15.65</v>
      </c>
      <c r="Q1461" s="83"/>
      <c r="R1461" s="86">
        <v>0.29576135827793082</v>
      </c>
      <c r="S1461" s="87">
        <v>2</v>
      </c>
      <c r="T1461" s="83"/>
      <c r="U1461" s="83"/>
      <c r="V1461" s="83"/>
      <c r="W1461" s="83"/>
      <c r="X1461" s="83"/>
      <c r="Y1461" s="185">
        <v>24.09090909090909</v>
      </c>
      <c r="Z1461" s="83"/>
      <c r="AA1461" s="86">
        <v>4.33</v>
      </c>
      <c r="AB1461" s="86">
        <v>0.77500000000000002</v>
      </c>
      <c r="AC1461" s="83">
        <v>10.9</v>
      </c>
      <c r="AD1461" s="88">
        <v>530</v>
      </c>
      <c r="AE1461" s="88">
        <v>270</v>
      </c>
      <c r="AF1461" s="88">
        <v>200</v>
      </c>
      <c r="AG1461" s="66">
        <f t="shared" si="61"/>
        <v>119.17109433962266</v>
      </c>
      <c r="AH1461" s="143">
        <f t="shared" si="62"/>
        <v>1000</v>
      </c>
    </row>
    <row r="1462" spans="1:34" s="90" customFormat="1" x14ac:dyDescent="0.3">
      <c r="A1462" s="84">
        <v>903563</v>
      </c>
      <c r="B1462" s="87">
        <v>37.333333333333336</v>
      </c>
      <c r="C1462" s="87">
        <v>3.2500000000000018</v>
      </c>
      <c r="D1462" s="86">
        <v>8.2285714285714295</v>
      </c>
      <c r="E1462" s="99">
        <v>0.161</v>
      </c>
      <c r="F1462" s="84">
        <v>112.69999999999999</v>
      </c>
      <c r="G1462" s="83"/>
      <c r="H1462" s="84">
        <v>16.2</v>
      </c>
      <c r="I1462" s="84">
        <v>100</v>
      </c>
      <c r="J1462" s="85">
        <v>0.14000000000000001</v>
      </c>
      <c r="K1462" s="87">
        <v>8.15</v>
      </c>
      <c r="L1462" s="83">
        <v>390</v>
      </c>
      <c r="M1462" s="83">
        <v>0.54</v>
      </c>
      <c r="N1462" s="83">
        <v>0.97</v>
      </c>
      <c r="O1462" s="83">
        <v>0.89</v>
      </c>
      <c r="P1462" s="83">
        <v>5.43</v>
      </c>
      <c r="Q1462" s="83"/>
      <c r="R1462" s="86">
        <v>0.36314413892377972</v>
      </c>
      <c r="S1462" s="87">
        <v>2.5</v>
      </c>
      <c r="T1462" s="83"/>
      <c r="U1462" s="83"/>
      <c r="V1462" s="83"/>
      <c r="W1462" s="83"/>
      <c r="X1462" s="83"/>
      <c r="Y1462" s="185">
        <v>24.545454545454543</v>
      </c>
      <c r="Z1462" s="83"/>
      <c r="AA1462" s="86">
        <v>3.7</v>
      </c>
      <c r="AB1462" s="86">
        <v>0.64500000000000002</v>
      </c>
      <c r="AC1462" s="83">
        <v>8.8000000000000007</v>
      </c>
      <c r="AD1462" s="88">
        <v>540</v>
      </c>
      <c r="AE1462" s="88">
        <v>260</v>
      </c>
      <c r="AF1462" s="88">
        <v>200</v>
      </c>
      <c r="AG1462" s="66">
        <f t="shared" si="61"/>
        <v>117.54111111111114</v>
      </c>
      <c r="AH1462" s="143">
        <f t="shared" si="62"/>
        <v>1000</v>
      </c>
    </row>
    <row r="1463" spans="1:34" s="90" customFormat="1" x14ac:dyDescent="0.3">
      <c r="A1463" s="84">
        <v>903471</v>
      </c>
      <c r="B1463" s="87">
        <v>32</v>
      </c>
      <c r="C1463" s="87">
        <v>9.8749999999999982</v>
      </c>
      <c r="D1463" s="86">
        <v>8.0857142857142854</v>
      </c>
      <c r="E1463" s="99">
        <v>0.23300000000000001</v>
      </c>
      <c r="F1463" s="87">
        <v>80.900000000000006</v>
      </c>
      <c r="G1463" s="83"/>
      <c r="H1463" s="84">
        <v>66.260000000000005</v>
      </c>
      <c r="I1463" s="83">
        <v>620</v>
      </c>
      <c r="J1463" s="83">
        <v>0.14899999999999999</v>
      </c>
      <c r="K1463" s="87">
        <v>10.97</v>
      </c>
      <c r="L1463" s="83">
        <v>1730</v>
      </c>
      <c r="M1463" s="83">
        <v>0.72</v>
      </c>
      <c r="N1463" s="83">
        <v>0.95</v>
      </c>
      <c r="O1463" s="83">
        <v>10.66</v>
      </c>
      <c r="P1463" s="83">
        <v>2.75</v>
      </c>
      <c r="Q1463" s="83"/>
      <c r="R1463" s="86">
        <v>0.8649761228797469</v>
      </c>
      <c r="S1463" s="83">
        <v>6.2</v>
      </c>
      <c r="T1463" s="83"/>
      <c r="U1463" s="83"/>
      <c r="V1463" s="83"/>
      <c r="W1463" s="83"/>
      <c r="X1463" s="83"/>
      <c r="Y1463" s="185">
        <v>22</v>
      </c>
      <c r="Z1463" s="83"/>
      <c r="AA1463" s="86"/>
      <c r="AB1463" s="86"/>
      <c r="AC1463" s="83"/>
      <c r="AD1463" s="123">
        <v>440</v>
      </c>
      <c r="AE1463" s="83">
        <v>420</v>
      </c>
      <c r="AF1463" s="83">
        <v>140</v>
      </c>
      <c r="AG1463" s="66">
        <f t="shared" si="61"/>
        <v>176.51727272727274</v>
      </c>
      <c r="AH1463" s="143">
        <f t="shared" si="62"/>
        <v>1000</v>
      </c>
    </row>
    <row r="1464" spans="1:34" s="90" customFormat="1" x14ac:dyDescent="0.3">
      <c r="A1464" s="84">
        <v>903472</v>
      </c>
      <c r="B1464" s="87">
        <v>32</v>
      </c>
      <c r="C1464" s="87">
        <v>10.125</v>
      </c>
      <c r="D1464" s="86">
        <v>8.4857142857142858</v>
      </c>
      <c r="E1464" s="99">
        <v>0.217</v>
      </c>
      <c r="F1464" s="87">
        <v>72.95</v>
      </c>
      <c r="G1464" s="83"/>
      <c r="H1464" s="84">
        <v>56.91</v>
      </c>
      <c r="I1464" s="83">
        <v>440</v>
      </c>
      <c r="J1464" s="83">
        <v>0.126</v>
      </c>
      <c r="K1464" s="87">
        <v>8.25</v>
      </c>
      <c r="L1464" s="83">
        <v>1110</v>
      </c>
      <c r="M1464" s="83">
        <v>0.66</v>
      </c>
      <c r="N1464" s="83">
        <v>1.1599999999999999</v>
      </c>
      <c r="O1464" s="83">
        <v>13.12</v>
      </c>
      <c r="P1464" s="83">
        <v>3.69</v>
      </c>
      <c r="Q1464" s="83"/>
      <c r="R1464" s="86">
        <v>1.0580839675754581</v>
      </c>
      <c r="S1464" s="83">
        <v>6.8999999999999995</v>
      </c>
      <c r="T1464" s="83"/>
      <c r="U1464" s="83"/>
      <c r="V1464" s="83"/>
      <c r="W1464" s="83"/>
      <c r="X1464" s="83"/>
      <c r="Y1464" s="185">
        <v>23</v>
      </c>
      <c r="Z1464" s="83"/>
      <c r="AA1464" s="86"/>
      <c r="AB1464" s="86"/>
      <c r="AC1464" s="83"/>
      <c r="AD1464" s="123">
        <v>460</v>
      </c>
      <c r="AE1464" s="83">
        <v>420</v>
      </c>
      <c r="AF1464" s="83">
        <v>120</v>
      </c>
      <c r="AG1464" s="66">
        <f t="shared" si="61"/>
        <v>126.97826086956522</v>
      </c>
      <c r="AH1464" s="143">
        <f t="shared" si="62"/>
        <v>1000</v>
      </c>
    </row>
    <row r="1465" spans="1:34" s="90" customFormat="1" x14ac:dyDescent="0.3">
      <c r="A1465" s="84">
        <v>903473</v>
      </c>
      <c r="B1465" s="87">
        <v>29.5</v>
      </c>
      <c r="C1465" s="87">
        <v>9.7499999999999982</v>
      </c>
      <c r="D1465" s="86">
        <v>8.3619047619047606</v>
      </c>
      <c r="E1465" s="99">
        <v>0.221</v>
      </c>
      <c r="F1465" s="87">
        <v>45.85</v>
      </c>
      <c r="G1465" s="83"/>
      <c r="H1465" s="84">
        <v>111.45</v>
      </c>
      <c r="I1465" s="83">
        <v>450</v>
      </c>
      <c r="J1465" s="83">
        <v>3.5000000000000003E-2</v>
      </c>
      <c r="K1465" s="87">
        <v>7.96</v>
      </c>
      <c r="L1465" s="83">
        <v>850</v>
      </c>
      <c r="M1465" s="83">
        <v>1.1399999999999999</v>
      </c>
      <c r="N1465" s="83">
        <v>2.35</v>
      </c>
      <c r="O1465" s="83">
        <v>2.89</v>
      </c>
      <c r="P1465" s="83">
        <v>6.77</v>
      </c>
      <c r="Q1465" s="83"/>
      <c r="R1465" s="86">
        <v>1.6061130000000001</v>
      </c>
      <c r="S1465" s="83">
        <v>11.100000000000001</v>
      </c>
      <c r="T1465" s="83"/>
      <c r="U1465" s="83"/>
      <c r="V1465" s="83"/>
      <c r="W1465" s="83"/>
      <c r="X1465" s="83"/>
      <c r="Y1465" s="185">
        <v>28</v>
      </c>
      <c r="Z1465" s="83"/>
      <c r="AA1465" s="86"/>
      <c r="AB1465" s="86"/>
      <c r="AC1465" s="83"/>
      <c r="AD1465" s="123">
        <v>560</v>
      </c>
      <c r="AE1465" s="83">
        <v>320</v>
      </c>
      <c r="AF1465" s="83">
        <v>120</v>
      </c>
      <c r="AG1465" s="66">
        <f t="shared" si="61"/>
        <v>100.63714285714286</v>
      </c>
      <c r="AH1465" s="143">
        <f t="shared" si="62"/>
        <v>1000</v>
      </c>
    </row>
    <row r="1466" spans="1:34" s="90" customFormat="1" x14ac:dyDescent="0.3">
      <c r="A1466" s="84">
        <v>903474</v>
      </c>
      <c r="B1466" s="87">
        <v>43.833333333333336</v>
      </c>
      <c r="C1466" s="87">
        <v>9.625</v>
      </c>
      <c r="D1466" s="86">
        <v>7.5619047619047617</v>
      </c>
      <c r="E1466" s="99">
        <v>0.36499999999999999</v>
      </c>
      <c r="F1466" s="87">
        <v>185.39999999999998</v>
      </c>
      <c r="G1466" s="83"/>
      <c r="H1466" s="84">
        <v>489.64600000000002</v>
      </c>
      <c r="I1466" s="83">
        <v>590</v>
      </c>
      <c r="J1466" s="83">
        <v>0.13500000000000001</v>
      </c>
      <c r="K1466" s="87">
        <v>10.24</v>
      </c>
      <c r="L1466" s="83">
        <v>810</v>
      </c>
      <c r="M1466" s="83">
        <v>2.16</v>
      </c>
      <c r="N1466" s="83">
        <v>5.84</v>
      </c>
      <c r="O1466" s="83">
        <v>4.22</v>
      </c>
      <c r="P1466" s="83">
        <v>7.8</v>
      </c>
      <c r="Q1466" s="83"/>
      <c r="R1466" s="86">
        <v>1.761128</v>
      </c>
      <c r="S1466" s="83">
        <v>15.4</v>
      </c>
      <c r="T1466" s="83"/>
      <c r="U1466" s="83"/>
      <c r="V1466" s="83"/>
      <c r="W1466" s="83"/>
      <c r="X1466" s="83"/>
      <c r="Y1466" s="185">
        <v>28</v>
      </c>
      <c r="Z1466" s="83"/>
      <c r="AA1466" s="86"/>
      <c r="AB1466" s="86"/>
      <c r="AC1466" s="83"/>
      <c r="AD1466" s="123">
        <v>560</v>
      </c>
      <c r="AE1466" s="83">
        <v>340</v>
      </c>
      <c r="AF1466" s="83">
        <v>100</v>
      </c>
      <c r="AG1466" s="66">
        <f t="shared" si="61"/>
        <v>129.46285714285713</v>
      </c>
      <c r="AH1466" s="143">
        <f t="shared" si="62"/>
        <v>1000</v>
      </c>
    </row>
    <row r="1467" spans="1:34" s="90" customFormat="1" x14ac:dyDescent="0.3">
      <c r="A1467" s="84">
        <v>903475</v>
      </c>
      <c r="B1467" s="87">
        <v>38.999999999999993</v>
      </c>
      <c r="C1467" s="87">
        <v>8.875</v>
      </c>
      <c r="D1467" s="86">
        <v>7.8571428571428568</v>
      </c>
      <c r="E1467" s="99">
        <v>0.27900000000000003</v>
      </c>
      <c r="F1467" s="87">
        <v>70.599999999999994</v>
      </c>
      <c r="G1467" s="83"/>
      <c r="H1467" s="84">
        <v>130.05000000000001</v>
      </c>
      <c r="I1467" s="83">
        <v>290</v>
      </c>
      <c r="J1467" s="83">
        <v>4.8000000000000001E-2</v>
      </c>
      <c r="K1467" s="87">
        <v>8.2200000000000006</v>
      </c>
      <c r="L1467" s="83">
        <v>720</v>
      </c>
      <c r="M1467" s="83">
        <v>1.02</v>
      </c>
      <c r="N1467" s="83">
        <v>1.1499999999999999</v>
      </c>
      <c r="O1467" s="83">
        <v>19.62</v>
      </c>
      <c r="P1467" s="83">
        <v>4.76</v>
      </c>
      <c r="Q1467" s="83"/>
      <c r="R1467" s="86">
        <v>0.69606957471642128</v>
      </c>
      <c r="S1467" s="83">
        <v>4.6999999999999993</v>
      </c>
      <c r="T1467" s="83"/>
      <c r="U1467" s="83"/>
      <c r="V1467" s="83"/>
      <c r="W1467" s="83"/>
      <c r="X1467" s="83"/>
      <c r="Y1467" s="185">
        <v>20</v>
      </c>
      <c r="Z1467" s="83"/>
      <c r="AA1467" s="86"/>
      <c r="AB1467" s="86"/>
      <c r="AC1467" s="83"/>
      <c r="AD1467" s="123">
        <v>400</v>
      </c>
      <c r="AE1467" s="83">
        <v>240</v>
      </c>
      <c r="AF1467" s="83">
        <v>360</v>
      </c>
      <c r="AG1467" s="66">
        <f t="shared" si="61"/>
        <v>145.49400000000003</v>
      </c>
      <c r="AH1467" s="143">
        <f t="shared" si="62"/>
        <v>1000</v>
      </c>
    </row>
    <row r="1468" spans="1:34" s="90" customFormat="1" x14ac:dyDescent="0.3">
      <c r="A1468" s="84">
        <v>903476</v>
      </c>
      <c r="B1468" s="87">
        <v>36.333333333333336</v>
      </c>
      <c r="C1468" s="87">
        <v>10.374999999999998</v>
      </c>
      <c r="D1468" s="86">
        <v>8.1619047619047613</v>
      </c>
      <c r="E1468" s="99">
        <v>0.188</v>
      </c>
      <c r="F1468" s="87">
        <v>67.699999999999989</v>
      </c>
      <c r="G1468" s="83"/>
      <c r="H1468" s="84">
        <v>91.67</v>
      </c>
      <c r="I1468" s="83">
        <v>250</v>
      </c>
      <c r="J1468" s="83">
        <v>7.4999999999999997E-2</v>
      </c>
      <c r="K1468" s="87">
        <v>8.4600000000000009</v>
      </c>
      <c r="L1468" s="83">
        <v>820</v>
      </c>
      <c r="M1468" s="83">
        <v>0.68</v>
      </c>
      <c r="N1468" s="83">
        <v>1.1499999999999999</v>
      </c>
      <c r="O1468" s="83">
        <v>21.28</v>
      </c>
      <c r="P1468" s="83">
        <v>3.23</v>
      </c>
      <c r="Q1468" s="83"/>
      <c r="R1468" s="86">
        <v>0.71877812972176103</v>
      </c>
      <c r="S1468" s="83">
        <v>4.9000000000000004</v>
      </c>
      <c r="T1468" s="83"/>
      <c r="U1468" s="83"/>
      <c r="V1468" s="83"/>
      <c r="W1468" s="83"/>
      <c r="X1468" s="83"/>
      <c r="Y1468" s="185">
        <v>22</v>
      </c>
      <c r="Z1468" s="83"/>
      <c r="AA1468" s="86"/>
      <c r="AB1468" s="86"/>
      <c r="AC1468" s="83"/>
      <c r="AD1468" s="123">
        <v>440</v>
      </c>
      <c r="AE1468" s="83">
        <v>220</v>
      </c>
      <c r="AF1468" s="83">
        <v>340</v>
      </c>
      <c r="AG1468" s="66">
        <f t="shared" si="61"/>
        <v>136.12909090909091</v>
      </c>
      <c r="AH1468" s="143">
        <f t="shared" si="62"/>
        <v>1000</v>
      </c>
    </row>
    <row r="1469" spans="1:34" s="90" customFormat="1" x14ac:dyDescent="0.3">
      <c r="A1469" s="84">
        <v>903477</v>
      </c>
      <c r="B1469" s="87">
        <v>27.833333333333332</v>
      </c>
      <c r="C1469" s="87">
        <v>10.125</v>
      </c>
      <c r="D1469" s="86">
        <v>8.0952380952380949</v>
      </c>
      <c r="E1469" s="99">
        <v>0.77700000000000002</v>
      </c>
      <c r="F1469" s="87">
        <v>133.1</v>
      </c>
      <c r="G1469" s="83"/>
      <c r="H1469" s="84">
        <v>166.21</v>
      </c>
      <c r="I1469" s="83">
        <v>860</v>
      </c>
      <c r="J1469" s="83">
        <v>0.219</v>
      </c>
      <c r="K1469" s="87">
        <v>8.7200000000000006</v>
      </c>
      <c r="L1469" s="83">
        <v>1360</v>
      </c>
      <c r="M1469" s="83">
        <v>3.81</v>
      </c>
      <c r="N1469" s="83">
        <v>3.34</v>
      </c>
      <c r="O1469" s="83">
        <v>9.93</v>
      </c>
      <c r="P1469" s="83">
        <v>6.53</v>
      </c>
      <c r="Q1469" s="83"/>
      <c r="R1469" s="86">
        <v>1.6922480000000002</v>
      </c>
      <c r="S1469" s="83">
        <v>13.4</v>
      </c>
      <c r="T1469" s="83"/>
      <c r="U1469" s="83"/>
      <c r="V1469" s="83"/>
      <c r="W1469" s="83"/>
      <c r="X1469" s="83"/>
      <c r="Y1469" s="185">
        <v>27</v>
      </c>
      <c r="Z1469" s="83"/>
      <c r="AA1469" s="86"/>
      <c r="AB1469" s="86"/>
      <c r="AC1469" s="83"/>
      <c r="AD1469" s="123">
        <v>540</v>
      </c>
      <c r="AE1469" s="83">
        <v>360</v>
      </c>
      <c r="AF1469" s="83">
        <v>100</v>
      </c>
      <c r="AG1469" s="66">
        <f t="shared" si="61"/>
        <v>114.32888888888891</v>
      </c>
      <c r="AH1469" s="143">
        <f t="shared" si="62"/>
        <v>1000</v>
      </c>
    </row>
    <row r="1470" spans="1:34" s="90" customFormat="1" x14ac:dyDescent="0.3">
      <c r="A1470" s="84">
        <v>903478</v>
      </c>
      <c r="B1470" s="87">
        <v>31.833333333333329</v>
      </c>
      <c r="C1470" s="87">
        <v>10.625</v>
      </c>
      <c r="D1470" s="86">
        <v>8.0285714285714285</v>
      </c>
      <c r="E1470" s="99">
        <v>0.28299999999999997</v>
      </c>
      <c r="F1470" s="87">
        <v>84.800000000000011</v>
      </c>
      <c r="G1470" s="83"/>
      <c r="H1470" s="84">
        <v>102.62</v>
      </c>
      <c r="I1470" s="83">
        <v>1060</v>
      </c>
      <c r="J1470" s="83">
        <v>9.9000000000000005E-2</v>
      </c>
      <c r="K1470" s="87">
        <v>10.49</v>
      </c>
      <c r="L1470" s="83">
        <v>1250</v>
      </c>
      <c r="M1470" s="83">
        <v>6.79</v>
      </c>
      <c r="N1470" s="83">
        <v>6.8</v>
      </c>
      <c r="O1470" s="83">
        <v>13.77</v>
      </c>
      <c r="P1470" s="83">
        <v>7.6</v>
      </c>
      <c r="Q1470" s="83"/>
      <c r="R1470" s="86">
        <v>1.809113</v>
      </c>
      <c r="S1470" s="83">
        <v>16.899999999999999</v>
      </c>
      <c r="T1470" s="83"/>
      <c r="U1470" s="83"/>
      <c r="V1470" s="83"/>
      <c r="W1470" s="83"/>
      <c r="X1470" s="83"/>
      <c r="Y1470" s="185">
        <v>31</v>
      </c>
      <c r="Z1470" s="83"/>
      <c r="AA1470" s="86"/>
      <c r="AB1470" s="86"/>
      <c r="AC1470" s="83"/>
      <c r="AD1470" s="123">
        <v>620</v>
      </c>
      <c r="AE1470" s="83">
        <v>300</v>
      </c>
      <c r="AF1470" s="83">
        <v>80</v>
      </c>
      <c r="AG1470" s="66">
        <f t="shared" si="61"/>
        <v>119.78903225806452</v>
      </c>
      <c r="AH1470" s="143">
        <f t="shared" si="62"/>
        <v>1000</v>
      </c>
    </row>
    <row r="1471" spans="1:34" s="90" customFormat="1" x14ac:dyDescent="0.3">
      <c r="A1471" s="84">
        <v>903479</v>
      </c>
      <c r="B1471" s="87">
        <v>22.833333333333332</v>
      </c>
      <c r="C1471" s="87">
        <v>9.8749999999999982</v>
      </c>
      <c r="D1471" s="86">
        <v>8.1523809523809518</v>
      </c>
      <c r="E1471" s="99">
        <v>0.19600000000000001</v>
      </c>
      <c r="F1471" s="87">
        <v>60.300000000000004</v>
      </c>
      <c r="G1471" s="83"/>
      <c r="H1471" s="84">
        <v>60.53</v>
      </c>
      <c r="I1471" s="83">
        <v>700</v>
      </c>
      <c r="J1471" s="83">
        <v>7.3999999999999996E-2</v>
      </c>
      <c r="K1471" s="87">
        <v>10.75</v>
      </c>
      <c r="L1471" s="83">
        <v>1170</v>
      </c>
      <c r="M1471" s="83">
        <v>3.08</v>
      </c>
      <c r="N1471" s="83">
        <v>3.73</v>
      </c>
      <c r="O1471" s="83">
        <v>14.14</v>
      </c>
      <c r="P1471" s="83">
        <v>6.9</v>
      </c>
      <c r="Q1471" s="83"/>
      <c r="R1471" s="86">
        <v>1.6778</v>
      </c>
      <c r="S1471" s="83">
        <v>13</v>
      </c>
      <c r="T1471" s="83"/>
      <c r="U1471" s="83"/>
      <c r="V1471" s="83"/>
      <c r="W1471" s="83"/>
      <c r="X1471" s="83"/>
      <c r="Y1471" s="185">
        <v>32</v>
      </c>
      <c r="Z1471" s="83"/>
      <c r="AA1471" s="86"/>
      <c r="AB1471" s="86"/>
      <c r="AC1471" s="83"/>
      <c r="AD1471" s="123">
        <v>640</v>
      </c>
      <c r="AE1471" s="83">
        <v>280</v>
      </c>
      <c r="AF1471" s="83">
        <v>80</v>
      </c>
      <c r="AG1471" s="66">
        <f t="shared" si="61"/>
        <v>118.921875</v>
      </c>
      <c r="AH1471" s="143">
        <f t="shared" si="62"/>
        <v>1000</v>
      </c>
    </row>
    <row r="1472" spans="1:34" s="90" customFormat="1" x14ac:dyDescent="0.3">
      <c r="A1472" s="84">
        <v>903480</v>
      </c>
      <c r="B1472" s="87">
        <v>28.666666666666664</v>
      </c>
      <c r="C1472" s="87">
        <v>9.625</v>
      </c>
      <c r="D1472" s="86">
        <v>8.2476190476190467</v>
      </c>
      <c r="E1472" s="99">
        <v>0.24</v>
      </c>
      <c r="F1472" s="87">
        <v>74.349999999999994</v>
      </c>
      <c r="G1472" s="83"/>
      <c r="H1472" s="84">
        <v>79.06</v>
      </c>
      <c r="I1472" s="83">
        <v>490</v>
      </c>
      <c r="J1472" s="83">
        <v>0.08</v>
      </c>
      <c r="K1472" s="87">
        <v>8.77</v>
      </c>
      <c r="L1472" s="83">
        <v>1310</v>
      </c>
      <c r="M1472" s="83">
        <v>1.57</v>
      </c>
      <c r="N1472" s="83">
        <v>4.09</v>
      </c>
      <c r="O1472" s="83">
        <v>5.91</v>
      </c>
      <c r="P1472" s="83">
        <v>7.9</v>
      </c>
      <c r="Q1472" s="83"/>
      <c r="R1472" s="86">
        <v>1.2091397178635017</v>
      </c>
      <c r="S1472" s="83">
        <v>8.8000000000000007</v>
      </c>
      <c r="T1472" s="83"/>
      <c r="U1472" s="83"/>
      <c r="V1472" s="83"/>
      <c r="W1472" s="83"/>
      <c r="X1472" s="83"/>
      <c r="Y1472" s="185">
        <v>30</v>
      </c>
      <c r="Z1472" s="83"/>
      <c r="AA1472" s="86"/>
      <c r="AB1472" s="86"/>
      <c r="AC1472" s="83"/>
      <c r="AD1472" s="123">
        <v>600</v>
      </c>
      <c r="AE1472" s="83">
        <v>300</v>
      </c>
      <c r="AF1472" s="83">
        <v>100</v>
      </c>
      <c r="AG1472" s="66">
        <f t="shared" si="61"/>
        <v>103.486</v>
      </c>
      <c r="AH1472" s="143">
        <f t="shared" si="62"/>
        <v>1000</v>
      </c>
    </row>
    <row r="1473" spans="1:34" s="90" customFormat="1" x14ac:dyDescent="0.3">
      <c r="A1473" s="84">
        <v>903481</v>
      </c>
      <c r="B1473" s="87">
        <v>45.833333333333329</v>
      </c>
      <c r="C1473" s="87">
        <v>10.875</v>
      </c>
      <c r="D1473" s="86">
        <v>8.1333333333333329</v>
      </c>
      <c r="E1473" s="99">
        <v>0.252</v>
      </c>
      <c r="F1473" s="87">
        <v>69</v>
      </c>
      <c r="G1473" s="83"/>
      <c r="H1473" s="84">
        <v>107.71</v>
      </c>
      <c r="I1473" s="83">
        <v>490</v>
      </c>
      <c r="J1473" s="83">
        <v>9.6000000000000002E-2</v>
      </c>
      <c r="K1473" s="87">
        <v>8.52</v>
      </c>
      <c r="L1473" s="83">
        <v>1380</v>
      </c>
      <c r="M1473" s="83">
        <v>1.84</v>
      </c>
      <c r="N1473" s="83">
        <v>4.0999999999999996</v>
      </c>
      <c r="O1473" s="83">
        <v>9.1999999999999993</v>
      </c>
      <c r="P1473" s="83">
        <v>7.2</v>
      </c>
      <c r="Q1473" s="83"/>
      <c r="R1473" s="86">
        <v>1.3634853180813731</v>
      </c>
      <c r="S1473" s="83">
        <v>9.2000000000000011</v>
      </c>
      <c r="T1473" s="83"/>
      <c r="U1473" s="83"/>
      <c r="V1473" s="83"/>
      <c r="W1473" s="83"/>
      <c r="X1473" s="83"/>
      <c r="Y1473" s="185">
        <v>31</v>
      </c>
      <c r="Z1473" s="83"/>
      <c r="AA1473" s="86"/>
      <c r="AB1473" s="86"/>
      <c r="AC1473" s="83"/>
      <c r="AD1473" s="123">
        <v>620</v>
      </c>
      <c r="AE1473" s="83">
        <v>300</v>
      </c>
      <c r="AF1473" s="83">
        <v>80</v>
      </c>
      <c r="AG1473" s="66">
        <f t="shared" si="61"/>
        <v>97.292903225806455</v>
      </c>
      <c r="AH1473" s="143">
        <f t="shared" si="62"/>
        <v>1000</v>
      </c>
    </row>
    <row r="1474" spans="1:34" s="90" customFormat="1" x14ac:dyDescent="0.3">
      <c r="A1474" s="84">
        <v>903482</v>
      </c>
      <c r="B1474" s="87">
        <v>22.499999999999996</v>
      </c>
      <c r="C1474" s="87">
        <v>8.4999999999999982</v>
      </c>
      <c r="D1474" s="86">
        <v>8.0761904761904759</v>
      </c>
      <c r="E1474" s="99">
        <v>0.25900000000000001</v>
      </c>
      <c r="F1474" s="87">
        <v>66.050000000000011</v>
      </c>
      <c r="G1474" s="83"/>
      <c r="H1474" s="84">
        <v>176.49</v>
      </c>
      <c r="I1474" s="83">
        <v>320</v>
      </c>
      <c r="J1474" s="83">
        <v>0.09</v>
      </c>
      <c r="K1474" s="87">
        <v>8.02</v>
      </c>
      <c r="L1474" s="83">
        <v>1430</v>
      </c>
      <c r="M1474" s="83">
        <v>3.34</v>
      </c>
      <c r="N1474" s="83">
        <v>4.07</v>
      </c>
      <c r="O1474" s="83">
        <v>25.17</v>
      </c>
      <c r="P1474" s="83">
        <v>8.7200000000000006</v>
      </c>
      <c r="Q1474" s="83"/>
      <c r="R1474" s="86">
        <v>1.5824250000000002</v>
      </c>
      <c r="S1474" s="83">
        <v>10.5</v>
      </c>
      <c r="T1474" s="83"/>
      <c r="U1474" s="83"/>
      <c r="V1474" s="83"/>
      <c r="W1474" s="83"/>
      <c r="X1474" s="83"/>
      <c r="Y1474" s="185">
        <v>28</v>
      </c>
      <c r="Z1474" s="83"/>
      <c r="AA1474" s="86"/>
      <c r="AB1474" s="86"/>
      <c r="AC1474" s="83"/>
      <c r="AD1474" s="123">
        <v>560</v>
      </c>
      <c r="AE1474" s="83">
        <v>300</v>
      </c>
      <c r="AF1474" s="83">
        <v>140</v>
      </c>
      <c r="AG1474" s="66">
        <f t="shared" ref="AG1474:AG1537" si="63">+K1474*3.54*100/Y1474</f>
        <v>101.39571428571428</v>
      </c>
      <c r="AH1474" s="143">
        <f t="shared" ref="AH1474:AH1537" si="64">+SUM(AD1474:AF1474)</f>
        <v>1000</v>
      </c>
    </row>
    <row r="1475" spans="1:34" s="90" customFormat="1" x14ac:dyDescent="0.3">
      <c r="A1475" s="84">
        <v>903483</v>
      </c>
      <c r="B1475" s="87">
        <v>21.999999999999996</v>
      </c>
      <c r="C1475" s="87">
        <v>8.875</v>
      </c>
      <c r="D1475" s="86">
        <v>8.1142857142857139</v>
      </c>
      <c r="E1475" s="99">
        <v>0.36599999999999999</v>
      </c>
      <c r="F1475" s="87">
        <v>108.55000000000001</v>
      </c>
      <c r="G1475" s="83"/>
      <c r="H1475" s="84">
        <v>215.43</v>
      </c>
      <c r="I1475" s="83">
        <v>380</v>
      </c>
      <c r="J1475" s="83">
        <v>0.154</v>
      </c>
      <c r="K1475" s="87">
        <v>7.98</v>
      </c>
      <c r="L1475" s="83">
        <v>1480</v>
      </c>
      <c r="M1475" s="83">
        <v>1.99</v>
      </c>
      <c r="N1475" s="83">
        <v>3.57</v>
      </c>
      <c r="O1475" s="83">
        <v>23.98</v>
      </c>
      <c r="P1475" s="83">
        <v>9.16</v>
      </c>
      <c r="Q1475" s="83"/>
      <c r="R1475" s="86">
        <v>1.2922159862861129</v>
      </c>
      <c r="S1475" s="83">
        <v>9.3000000000000007</v>
      </c>
      <c r="T1475" s="83"/>
      <c r="U1475" s="83"/>
      <c r="V1475" s="83"/>
      <c r="W1475" s="83"/>
      <c r="X1475" s="83"/>
      <c r="Y1475" s="185">
        <v>27</v>
      </c>
      <c r="Z1475" s="83"/>
      <c r="AA1475" s="86"/>
      <c r="AB1475" s="86"/>
      <c r="AC1475" s="83"/>
      <c r="AD1475" s="123">
        <v>540</v>
      </c>
      <c r="AE1475" s="83">
        <v>300</v>
      </c>
      <c r="AF1475" s="83">
        <v>160</v>
      </c>
      <c r="AG1475" s="66">
        <f t="shared" si="63"/>
        <v>104.62666666666667</v>
      </c>
      <c r="AH1475" s="143">
        <f t="shared" si="64"/>
        <v>1000</v>
      </c>
    </row>
    <row r="1476" spans="1:34" s="90" customFormat="1" x14ac:dyDescent="0.3">
      <c r="A1476" s="84">
        <v>903484</v>
      </c>
      <c r="B1476" s="87">
        <v>30.333333333333329</v>
      </c>
      <c r="C1476" s="87">
        <v>8.75</v>
      </c>
      <c r="D1476" s="86">
        <v>7.9142857142857146</v>
      </c>
      <c r="E1476" s="99">
        <v>0.47</v>
      </c>
      <c r="F1476" s="87">
        <v>290.2</v>
      </c>
      <c r="G1476" s="83"/>
      <c r="H1476" s="84">
        <v>134.22</v>
      </c>
      <c r="I1476" s="83">
        <v>650</v>
      </c>
      <c r="J1476" s="83">
        <v>0.5</v>
      </c>
      <c r="K1476" s="87">
        <v>8.7799999999999994</v>
      </c>
      <c r="L1476" s="83">
        <v>1830</v>
      </c>
      <c r="M1476" s="83">
        <v>3.77</v>
      </c>
      <c r="N1476" s="83">
        <v>3.72</v>
      </c>
      <c r="O1476" s="83">
        <v>16.53</v>
      </c>
      <c r="P1476" s="83">
        <v>8.48</v>
      </c>
      <c r="Q1476" s="83"/>
      <c r="R1476" s="86">
        <v>1.8793370000000003</v>
      </c>
      <c r="S1476" s="83">
        <v>19.3</v>
      </c>
      <c r="T1476" s="83"/>
      <c r="U1476" s="83"/>
      <c r="V1476" s="83"/>
      <c r="W1476" s="83"/>
      <c r="X1476" s="83"/>
      <c r="Y1476" s="185">
        <v>27</v>
      </c>
      <c r="Z1476" s="83"/>
      <c r="AA1476" s="86"/>
      <c r="AB1476" s="86"/>
      <c r="AC1476" s="83"/>
      <c r="AD1476" s="123">
        <v>540</v>
      </c>
      <c r="AE1476" s="83">
        <v>380</v>
      </c>
      <c r="AF1476" s="83">
        <v>80</v>
      </c>
      <c r="AG1476" s="66">
        <f t="shared" si="63"/>
        <v>115.11555555555555</v>
      </c>
      <c r="AH1476" s="143">
        <f t="shared" si="64"/>
        <v>1000</v>
      </c>
    </row>
    <row r="1477" spans="1:34" s="90" customFormat="1" x14ac:dyDescent="0.3">
      <c r="A1477" s="84">
        <v>903485</v>
      </c>
      <c r="B1477" s="87">
        <v>26.166666666666664</v>
      </c>
      <c r="C1477" s="87">
        <v>8.6249999999999982</v>
      </c>
      <c r="D1477" s="86">
        <v>7.9333333333333327</v>
      </c>
      <c r="E1477" s="99">
        <v>0.20599999999999999</v>
      </c>
      <c r="F1477" s="87">
        <v>56.4</v>
      </c>
      <c r="G1477" s="83"/>
      <c r="H1477" s="84">
        <v>308.47500000000002</v>
      </c>
      <c r="I1477" s="83">
        <v>220</v>
      </c>
      <c r="J1477" s="83">
        <v>8.5999999999999993E-2</v>
      </c>
      <c r="K1477" s="87">
        <v>8.23</v>
      </c>
      <c r="L1477" s="83">
        <v>1600</v>
      </c>
      <c r="M1477" s="83">
        <v>1.94</v>
      </c>
      <c r="N1477" s="83">
        <v>4.16</v>
      </c>
      <c r="O1477" s="83">
        <v>28.47</v>
      </c>
      <c r="P1477" s="83">
        <v>8.42</v>
      </c>
      <c r="Q1477" s="83"/>
      <c r="R1477" s="86">
        <v>1.5784280000000002</v>
      </c>
      <c r="S1477" s="83">
        <v>10.4</v>
      </c>
      <c r="T1477" s="83"/>
      <c r="U1477" s="83"/>
      <c r="V1477" s="83"/>
      <c r="W1477" s="83"/>
      <c r="X1477" s="83"/>
      <c r="Y1477" s="185">
        <v>32</v>
      </c>
      <c r="Z1477" s="83"/>
      <c r="AA1477" s="86"/>
      <c r="AB1477" s="86"/>
      <c r="AC1477" s="83"/>
      <c r="AD1477" s="123">
        <v>640</v>
      </c>
      <c r="AE1477" s="83">
        <v>280</v>
      </c>
      <c r="AF1477" s="83">
        <v>80</v>
      </c>
      <c r="AG1477" s="66">
        <f t="shared" si="63"/>
        <v>91.044375000000016</v>
      </c>
      <c r="AH1477" s="143">
        <f t="shared" si="64"/>
        <v>1000</v>
      </c>
    </row>
    <row r="1478" spans="1:34" s="90" customFormat="1" x14ac:dyDescent="0.3">
      <c r="A1478" s="84">
        <v>903486</v>
      </c>
      <c r="B1478" s="87">
        <v>28.333333333333332</v>
      </c>
      <c r="C1478" s="87">
        <v>8.375</v>
      </c>
      <c r="D1478" s="86">
        <v>8.3428571428571416</v>
      </c>
      <c r="E1478" s="99">
        <v>0.186</v>
      </c>
      <c r="F1478" s="87">
        <v>48.9</v>
      </c>
      <c r="G1478" s="83"/>
      <c r="H1478" s="84">
        <v>165.58699999999999</v>
      </c>
      <c r="I1478" s="83">
        <v>250</v>
      </c>
      <c r="J1478" s="83">
        <v>0.113</v>
      </c>
      <c r="K1478" s="87">
        <v>8.6999999999999993</v>
      </c>
      <c r="L1478" s="83">
        <v>1670</v>
      </c>
      <c r="M1478" s="83">
        <v>0.75</v>
      </c>
      <c r="N1478" s="83">
        <v>2.54</v>
      </c>
      <c r="O1478" s="83">
        <v>19.43</v>
      </c>
      <c r="P1478" s="83">
        <v>6.56</v>
      </c>
      <c r="Q1478" s="83"/>
      <c r="R1478" s="86">
        <v>0.75530196716646292</v>
      </c>
      <c r="S1478" s="83">
        <v>5.6000000000000005</v>
      </c>
      <c r="T1478" s="83"/>
      <c r="U1478" s="83"/>
      <c r="V1478" s="83"/>
      <c r="W1478" s="83"/>
      <c r="X1478" s="83"/>
      <c r="Y1478" s="185">
        <v>31.5</v>
      </c>
      <c r="Z1478" s="83"/>
      <c r="AA1478" s="86"/>
      <c r="AB1478" s="86"/>
      <c r="AC1478" s="83"/>
      <c r="AD1478" s="123">
        <v>630</v>
      </c>
      <c r="AE1478" s="83">
        <v>280</v>
      </c>
      <c r="AF1478" s="83">
        <v>90</v>
      </c>
      <c r="AG1478" s="66">
        <f t="shared" si="63"/>
        <v>97.771428571428558</v>
      </c>
      <c r="AH1478" s="143">
        <f t="shared" si="64"/>
        <v>1000</v>
      </c>
    </row>
    <row r="1479" spans="1:34" s="90" customFormat="1" x14ac:dyDescent="0.3">
      <c r="A1479" s="84">
        <v>903487</v>
      </c>
      <c r="B1479" s="87">
        <v>10</v>
      </c>
      <c r="C1479" s="87">
        <v>1.0000000000000009</v>
      </c>
      <c r="D1479" s="86">
        <v>8.5333333333333332</v>
      </c>
      <c r="E1479" s="99">
        <v>0.75600000000000001</v>
      </c>
      <c r="F1479" s="87">
        <v>684.44999999999993</v>
      </c>
      <c r="G1479" s="83"/>
      <c r="H1479" s="84">
        <v>38.929000000000002</v>
      </c>
      <c r="I1479" s="83">
        <v>380</v>
      </c>
      <c r="J1479" s="83">
        <v>1.0860000000000001</v>
      </c>
      <c r="K1479" s="87">
        <v>7.59</v>
      </c>
      <c r="L1479" s="83">
        <v>750</v>
      </c>
      <c r="M1479" s="83">
        <v>0.24</v>
      </c>
      <c r="N1479" s="83">
        <v>0.46</v>
      </c>
      <c r="O1479" s="83">
        <v>0.87</v>
      </c>
      <c r="P1479" s="83">
        <v>2.42</v>
      </c>
      <c r="Q1479" s="83"/>
      <c r="R1479" s="86">
        <v>0.43870515597181919</v>
      </c>
      <c r="S1479" s="83">
        <v>3.2</v>
      </c>
      <c r="T1479" s="83"/>
      <c r="U1479" s="83"/>
      <c r="V1479" s="83"/>
      <c r="W1479" s="83"/>
      <c r="X1479" s="83"/>
      <c r="Y1479" s="185">
        <v>9</v>
      </c>
      <c r="Z1479" s="83"/>
      <c r="AA1479" s="86"/>
      <c r="AB1479" s="86"/>
      <c r="AC1479" s="83"/>
      <c r="AD1479" s="123">
        <v>180</v>
      </c>
      <c r="AE1479" s="83">
        <v>120</v>
      </c>
      <c r="AF1479" s="83">
        <v>700</v>
      </c>
      <c r="AG1479" s="66">
        <f t="shared" si="63"/>
        <v>298.54000000000002</v>
      </c>
      <c r="AH1479" s="143">
        <f t="shared" si="64"/>
        <v>1000</v>
      </c>
    </row>
    <row r="1480" spans="1:34" s="90" customFormat="1" x14ac:dyDescent="0.3">
      <c r="A1480" s="84">
        <v>903488</v>
      </c>
      <c r="B1480" s="87">
        <v>9.7499999999999982</v>
      </c>
      <c r="C1480" s="87"/>
      <c r="D1480" s="86">
        <v>7.2761904761904752</v>
      </c>
      <c r="E1480" s="99">
        <v>0.19900000000000001</v>
      </c>
      <c r="F1480" s="87">
        <v>71.8</v>
      </c>
      <c r="G1480" s="83"/>
      <c r="H1480" s="84">
        <v>26.414000000000001</v>
      </c>
      <c r="I1480" s="83">
        <v>250</v>
      </c>
      <c r="J1480" s="83">
        <v>0.183</v>
      </c>
      <c r="K1480" s="87">
        <v>6.73</v>
      </c>
      <c r="L1480" s="83">
        <v>740</v>
      </c>
      <c r="M1480" s="83">
        <v>0.17</v>
      </c>
      <c r="N1480" s="83">
        <v>0.45</v>
      </c>
      <c r="O1480" s="83">
        <v>1.93</v>
      </c>
      <c r="P1480" s="83">
        <v>2.96</v>
      </c>
      <c r="Q1480" s="83"/>
      <c r="R1480" s="86">
        <v>0.51322314900575705</v>
      </c>
      <c r="S1480" s="83">
        <v>3.7</v>
      </c>
      <c r="T1480" s="83"/>
      <c r="U1480" s="83"/>
      <c r="V1480" s="83"/>
      <c r="W1480" s="83"/>
      <c r="X1480" s="83"/>
      <c r="Y1480" s="185">
        <v>9</v>
      </c>
      <c r="Z1480" s="83"/>
      <c r="AA1480" s="86"/>
      <c r="AB1480" s="86"/>
      <c r="AC1480" s="83"/>
      <c r="AD1480" s="123">
        <v>180</v>
      </c>
      <c r="AE1480" s="83">
        <v>100</v>
      </c>
      <c r="AF1480" s="83">
        <v>720</v>
      </c>
      <c r="AG1480" s="66">
        <f t="shared" si="63"/>
        <v>264.71333333333337</v>
      </c>
      <c r="AH1480" s="143">
        <f t="shared" si="64"/>
        <v>1000</v>
      </c>
    </row>
    <row r="1481" spans="1:34" s="90" customFormat="1" x14ac:dyDescent="0.3">
      <c r="A1481" s="84">
        <v>903489</v>
      </c>
      <c r="B1481" s="87">
        <v>9.0000000000000018</v>
      </c>
      <c r="C1481" s="87"/>
      <c r="D1481" s="86">
        <v>8.0285714285714285</v>
      </c>
      <c r="E1481" s="99">
        <v>0.31900000000000001</v>
      </c>
      <c r="F1481" s="87">
        <v>85.649999999999991</v>
      </c>
      <c r="G1481" s="83"/>
      <c r="H1481" s="84">
        <v>38.808999999999997</v>
      </c>
      <c r="I1481" s="83">
        <v>170</v>
      </c>
      <c r="J1481" s="83">
        <v>0.13900000000000001</v>
      </c>
      <c r="K1481" s="87">
        <v>5.9</v>
      </c>
      <c r="L1481" s="83">
        <v>700</v>
      </c>
      <c r="M1481" s="83">
        <v>0.54</v>
      </c>
      <c r="N1481" s="83">
        <v>0.3</v>
      </c>
      <c r="O1481" s="83">
        <v>2.13</v>
      </c>
      <c r="P1481" s="83">
        <v>3.3</v>
      </c>
      <c r="Q1481" s="83"/>
      <c r="R1481" s="86">
        <v>0.6512439990805966</v>
      </c>
      <c r="S1481" s="83">
        <v>4.6000000000000005</v>
      </c>
      <c r="T1481" s="83"/>
      <c r="U1481" s="83"/>
      <c r="V1481" s="83"/>
      <c r="W1481" s="83"/>
      <c r="X1481" s="83"/>
      <c r="Y1481" s="185">
        <v>3</v>
      </c>
      <c r="Z1481" s="83"/>
      <c r="AA1481" s="86"/>
      <c r="AB1481" s="86"/>
      <c r="AC1481" s="83"/>
      <c r="AD1481" s="123">
        <v>60</v>
      </c>
      <c r="AE1481" s="83">
        <v>60</v>
      </c>
      <c r="AF1481" s="83">
        <v>880</v>
      </c>
      <c r="AG1481" s="66">
        <f t="shared" si="63"/>
        <v>696.20000000000016</v>
      </c>
      <c r="AH1481" s="143">
        <f t="shared" si="64"/>
        <v>1000</v>
      </c>
    </row>
    <row r="1482" spans="1:34" s="90" customFormat="1" x14ac:dyDescent="0.3">
      <c r="A1482" s="84">
        <v>903490</v>
      </c>
      <c r="B1482" s="87">
        <v>25.333333333333329</v>
      </c>
      <c r="C1482" s="87">
        <v>9.625</v>
      </c>
      <c r="D1482" s="86">
        <v>7.8857142857142843</v>
      </c>
      <c r="E1482" s="99">
        <v>0.65300000000000002</v>
      </c>
      <c r="F1482" s="87">
        <v>349.54999999999995</v>
      </c>
      <c r="G1482" s="83"/>
      <c r="H1482" s="84">
        <v>141.34800000000001</v>
      </c>
      <c r="I1482" s="83">
        <v>1040</v>
      </c>
      <c r="J1482" s="83">
        <v>7.9000000000000001E-2</v>
      </c>
      <c r="K1482" s="87">
        <v>11.13</v>
      </c>
      <c r="L1482" s="83">
        <v>1140</v>
      </c>
      <c r="M1482" s="83">
        <v>0.8</v>
      </c>
      <c r="N1482" s="83">
        <v>0.65</v>
      </c>
      <c r="O1482" s="83">
        <v>3.59</v>
      </c>
      <c r="P1482" s="83">
        <v>6.2</v>
      </c>
      <c r="Q1482" s="83"/>
      <c r="R1482" s="86">
        <v>1.5982730000000001</v>
      </c>
      <c r="S1482" s="83">
        <v>10.9</v>
      </c>
      <c r="T1482" s="83"/>
      <c r="U1482" s="83"/>
      <c r="V1482" s="83"/>
      <c r="W1482" s="83"/>
      <c r="X1482" s="83"/>
      <c r="Y1482" s="185">
        <v>22</v>
      </c>
      <c r="Z1482" s="83"/>
      <c r="AA1482" s="86"/>
      <c r="AB1482" s="86"/>
      <c r="AC1482" s="83"/>
      <c r="AD1482" s="123">
        <v>440</v>
      </c>
      <c r="AE1482" s="83">
        <v>260</v>
      </c>
      <c r="AF1482" s="83">
        <v>300</v>
      </c>
      <c r="AG1482" s="66">
        <f t="shared" si="63"/>
        <v>179.09181818181821</v>
      </c>
      <c r="AH1482" s="143">
        <f t="shared" si="64"/>
        <v>1000</v>
      </c>
    </row>
    <row r="1483" spans="1:34" s="90" customFormat="1" x14ac:dyDescent="0.3">
      <c r="A1483" s="84">
        <v>903491</v>
      </c>
      <c r="B1483" s="87">
        <v>25</v>
      </c>
      <c r="C1483" s="87">
        <v>8.6249999999999982</v>
      </c>
      <c r="D1483" s="86">
        <v>8.1238095238095234</v>
      </c>
      <c r="E1483" s="99">
        <v>0.22800000000000001</v>
      </c>
      <c r="F1483" s="87">
        <v>82.550000000000011</v>
      </c>
      <c r="G1483" s="83"/>
      <c r="H1483" s="84">
        <v>52.642000000000003</v>
      </c>
      <c r="I1483" s="83">
        <v>280</v>
      </c>
      <c r="J1483" s="83">
        <v>2.9000000000000001E-2</v>
      </c>
      <c r="K1483" s="87">
        <v>11.31</v>
      </c>
      <c r="L1483" s="83">
        <v>920</v>
      </c>
      <c r="M1483" s="83">
        <v>0.37</v>
      </c>
      <c r="N1483" s="83">
        <v>0.7</v>
      </c>
      <c r="O1483" s="83">
        <v>4.9800000000000004</v>
      </c>
      <c r="P1483" s="83">
        <v>4.17</v>
      </c>
      <c r="Q1483" s="83"/>
      <c r="R1483" s="86">
        <v>0.95369179598441722</v>
      </c>
      <c r="S1483" s="83">
        <v>7</v>
      </c>
      <c r="T1483" s="83"/>
      <c r="U1483" s="83"/>
      <c r="V1483" s="83"/>
      <c r="W1483" s="83"/>
      <c r="X1483" s="83"/>
      <c r="Y1483" s="185">
        <v>23</v>
      </c>
      <c r="Z1483" s="83"/>
      <c r="AA1483" s="86"/>
      <c r="AB1483" s="86"/>
      <c r="AC1483" s="83"/>
      <c r="AD1483" s="123">
        <v>460</v>
      </c>
      <c r="AE1483" s="83">
        <v>260</v>
      </c>
      <c r="AF1483" s="83">
        <v>280</v>
      </c>
      <c r="AG1483" s="66">
        <f t="shared" si="63"/>
        <v>174.07565217391308</v>
      </c>
      <c r="AH1483" s="143">
        <f t="shared" si="64"/>
        <v>1000</v>
      </c>
    </row>
    <row r="1484" spans="1:34" s="90" customFormat="1" x14ac:dyDescent="0.3">
      <c r="A1484" s="84">
        <v>903492</v>
      </c>
      <c r="B1484" s="87">
        <v>23.333333333333332</v>
      </c>
      <c r="C1484" s="87">
        <v>8.875</v>
      </c>
      <c r="D1484" s="86">
        <v>8.1142857142857139</v>
      </c>
      <c r="E1484" s="99">
        <v>0.21099999999999999</v>
      </c>
      <c r="F1484" s="87">
        <v>74.55</v>
      </c>
      <c r="G1484" s="83"/>
      <c r="H1484" s="84">
        <v>29.434999999999999</v>
      </c>
      <c r="I1484" s="83">
        <v>250</v>
      </c>
      <c r="J1484" s="83">
        <v>5.0999999999999997E-2</v>
      </c>
      <c r="K1484" s="87">
        <v>11.06</v>
      </c>
      <c r="L1484" s="83">
        <v>730</v>
      </c>
      <c r="M1484" s="83">
        <v>0.26</v>
      </c>
      <c r="N1484" s="83">
        <v>0.7</v>
      </c>
      <c r="O1484" s="83">
        <v>4.03</v>
      </c>
      <c r="P1484" s="83">
        <v>3.42</v>
      </c>
      <c r="Q1484" s="83"/>
      <c r="R1484" s="86">
        <v>0.90773788352799401</v>
      </c>
      <c r="S1484" s="83">
        <v>6.5</v>
      </c>
      <c r="T1484" s="83"/>
      <c r="U1484" s="83"/>
      <c r="V1484" s="83"/>
      <c r="W1484" s="83"/>
      <c r="X1484" s="83"/>
      <c r="Y1484" s="185">
        <v>23</v>
      </c>
      <c r="Z1484" s="83"/>
      <c r="AA1484" s="86"/>
      <c r="AB1484" s="86"/>
      <c r="AC1484" s="83"/>
      <c r="AD1484" s="123">
        <v>460</v>
      </c>
      <c r="AE1484" s="83">
        <v>280</v>
      </c>
      <c r="AF1484" s="83">
        <v>280</v>
      </c>
      <c r="AG1484" s="66">
        <f t="shared" si="63"/>
        <v>170.22782608695653</v>
      </c>
      <c r="AH1484" s="143">
        <f t="shared" si="64"/>
        <v>1020</v>
      </c>
    </row>
    <row r="1485" spans="1:34" s="90" customFormat="1" x14ac:dyDescent="0.3">
      <c r="A1485" s="84">
        <v>903493</v>
      </c>
      <c r="B1485" s="87">
        <v>19.833333333333332</v>
      </c>
      <c r="C1485" s="87">
        <v>8.4999999999999982</v>
      </c>
      <c r="D1485" s="86">
        <v>8.2571428571428562</v>
      </c>
      <c r="E1485" s="99">
        <v>0.16900000000000001</v>
      </c>
      <c r="F1485" s="87">
        <v>48.150000000000006</v>
      </c>
      <c r="G1485" s="83"/>
      <c r="H1485" s="84">
        <v>20.852</v>
      </c>
      <c r="I1485" s="83">
        <v>220</v>
      </c>
      <c r="J1485" s="83">
        <v>3.5000000000000003E-2</v>
      </c>
      <c r="K1485" s="87">
        <v>11.1</v>
      </c>
      <c r="L1485" s="83">
        <v>670</v>
      </c>
      <c r="M1485" s="83">
        <v>0.19</v>
      </c>
      <c r="N1485" s="83">
        <v>0.59</v>
      </c>
      <c r="O1485" s="83">
        <v>2.4900000000000002</v>
      </c>
      <c r="P1485" s="83">
        <v>2.72</v>
      </c>
      <c r="Q1485" s="83"/>
      <c r="R1485" s="86">
        <v>0.9715990373735609</v>
      </c>
      <c r="S1485" s="83">
        <v>6.7</v>
      </c>
      <c r="T1485" s="83"/>
      <c r="U1485" s="83"/>
      <c r="V1485" s="83"/>
      <c r="W1485" s="83"/>
      <c r="X1485" s="83"/>
      <c r="Y1485" s="185">
        <v>24.5</v>
      </c>
      <c r="Z1485" s="83"/>
      <c r="AA1485" s="86"/>
      <c r="AB1485" s="86"/>
      <c r="AC1485" s="83"/>
      <c r="AD1485" s="123">
        <v>490</v>
      </c>
      <c r="AE1485" s="83">
        <v>250</v>
      </c>
      <c r="AF1485" s="83">
        <v>260</v>
      </c>
      <c r="AG1485" s="66">
        <f t="shared" si="63"/>
        <v>160.38367346938773</v>
      </c>
      <c r="AH1485" s="143">
        <f t="shared" si="64"/>
        <v>1000</v>
      </c>
    </row>
    <row r="1486" spans="1:34" s="90" customFormat="1" x14ac:dyDescent="0.3">
      <c r="A1486" s="84">
        <v>903494</v>
      </c>
      <c r="B1486" s="87">
        <v>72.999999999999986</v>
      </c>
      <c r="C1486" s="87">
        <v>10.25</v>
      </c>
      <c r="D1486" s="86">
        <v>7.2857142857142856</v>
      </c>
      <c r="E1486" s="99">
        <v>0.17899999999999999</v>
      </c>
      <c r="F1486" s="87">
        <v>50.25</v>
      </c>
      <c r="G1486" s="83"/>
      <c r="H1486" s="84">
        <v>14.619</v>
      </c>
      <c r="I1486" s="83">
        <v>200</v>
      </c>
      <c r="J1486" s="83">
        <v>3.6999999999999998E-2</v>
      </c>
      <c r="K1486" s="87">
        <v>10.64</v>
      </c>
      <c r="L1486" s="83">
        <v>830</v>
      </c>
      <c r="M1486" s="83">
        <v>0.2</v>
      </c>
      <c r="N1486" s="83">
        <v>0.45</v>
      </c>
      <c r="O1486" s="83">
        <v>1.07</v>
      </c>
      <c r="P1486" s="83">
        <v>1.89</v>
      </c>
      <c r="Q1486" s="83"/>
      <c r="R1486" s="86">
        <v>1.6482320000000001</v>
      </c>
      <c r="S1486" s="83">
        <v>12.2</v>
      </c>
      <c r="T1486" s="83"/>
      <c r="U1486" s="83"/>
      <c r="V1486" s="83"/>
      <c r="W1486" s="83"/>
      <c r="X1486" s="83"/>
      <c r="Y1486" s="185">
        <v>20</v>
      </c>
      <c r="Z1486" s="83"/>
      <c r="AA1486" s="86"/>
      <c r="AB1486" s="86"/>
      <c r="AC1486" s="83"/>
      <c r="AD1486" s="123">
        <v>400</v>
      </c>
      <c r="AE1486" s="83">
        <v>260</v>
      </c>
      <c r="AF1486" s="83">
        <v>340</v>
      </c>
      <c r="AG1486" s="66">
        <f t="shared" si="63"/>
        <v>188.32800000000003</v>
      </c>
      <c r="AH1486" s="143">
        <f t="shared" si="64"/>
        <v>1000</v>
      </c>
    </row>
    <row r="1487" spans="1:34" s="90" customFormat="1" x14ac:dyDescent="0.3">
      <c r="A1487" s="84">
        <v>903495</v>
      </c>
      <c r="B1487" s="87">
        <v>27.583333333333332</v>
      </c>
      <c r="C1487" s="87">
        <v>3.3749999999999991</v>
      </c>
      <c r="D1487" s="86">
        <v>7.7999999999999989</v>
      </c>
      <c r="E1487" s="99">
        <v>0.17799999999999999</v>
      </c>
      <c r="F1487" s="87">
        <v>42.05</v>
      </c>
      <c r="G1487" s="83"/>
      <c r="H1487" s="84">
        <v>686.62</v>
      </c>
      <c r="I1487" s="83">
        <v>510</v>
      </c>
      <c r="J1487" s="83">
        <v>1.7999999999999999E-2</v>
      </c>
      <c r="K1487" s="87">
        <v>7.63</v>
      </c>
      <c r="L1487" s="83">
        <v>1260</v>
      </c>
      <c r="M1487" s="83">
        <v>12.15</v>
      </c>
      <c r="N1487" s="83">
        <v>5.28</v>
      </c>
      <c r="O1487" s="83">
        <v>12.92</v>
      </c>
      <c r="P1487" s="83">
        <v>48.72</v>
      </c>
      <c r="Q1487" s="83"/>
      <c r="R1487" s="86">
        <v>1.8539480000000002</v>
      </c>
      <c r="S1487" s="83">
        <v>18.400000000000002</v>
      </c>
      <c r="T1487" s="83"/>
      <c r="U1487" s="83"/>
      <c r="V1487" s="83"/>
      <c r="W1487" s="83"/>
      <c r="X1487" s="83"/>
      <c r="Y1487" s="185">
        <v>23.5</v>
      </c>
      <c r="Z1487" s="83"/>
      <c r="AA1487" s="86"/>
      <c r="AB1487" s="86"/>
      <c r="AC1487" s="83"/>
      <c r="AD1487" s="123">
        <v>470</v>
      </c>
      <c r="AE1487" s="83">
        <v>270</v>
      </c>
      <c r="AF1487" s="83">
        <v>260</v>
      </c>
      <c r="AG1487" s="66">
        <f t="shared" si="63"/>
        <v>114.93702127659574</v>
      </c>
      <c r="AH1487" s="143">
        <f t="shared" si="64"/>
        <v>1000</v>
      </c>
    </row>
    <row r="1488" spans="1:34" s="90" customFormat="1" x14ac:dyDescent="0.3">
      <c r="A1488" s="84">
        <v>903496</v>
      </c>
      <c r="B1488" s="87">
        <v>27.250000000000004</v>
      </c>
      <c r="C1488" s="87">
        <v>2.1249999999999991</v>
      </c>
      <c r="D1488" s="86">
        <v>7.704761904761904</v>
      </c>
      <c r="E1488" s="99">
        <v>0.17699999999999999</v>
      </c>
      <c r="F1488" s="87">
        <v>45.199999999999996</v>
      </c>
      <c r="G1488" s="83"/>
      <c r="H1488" s="84">
        <v>572.30999999999995</v>
      </c>
      <c r="I1488" s="83">
        <v>1690</v>
      </c>
      <c r="J1488" s="83">
        <v>2.5000000000000001E-2</v>
      </c>
      <c r="K1488" s="87">
        <v>7.36</v>
      </c>
      <c r="L1488" s="83">
        <v>2000</v>
      </c>
      <c r="M1488" s="83">
        <v>13.1</v>
      </c>
      <c r="N1488" s="83">
        <v>5.83</v>
      </c>
      <c r="O1488" s="83">
        <v>34.479999999999997</v>
      </c>
      <c r="P1488" s="83">
        <v>28.23</v>
      </c>
      <c r="Q1488" s="83"/>
      <c r="R1488" s="86">
        <v>2.0485129999999998</v>
      </c>
      <c r="S1488" s="83">
        <v>26.9</v>
      </c>
      <c r="T1488" s="83"/>
      <c r="U1488" s="83"/>
      <c r="V1488" s="83"/>
      <c r="W1488" s="83"/>
      <c r="X1488" s="83"/>
      <c r="Y1488" s="185">
        <v>29</v>
      </c>
      <c r="Z1488" s="83"/>
      <c r="AA1488" s="86"/>
      <c r="AB1488" s="86"/>
      <c r="AC1488" s="83"/>
      <c r="AD1488" s="123">
        <v>580</v>
      </c>
      <c r="AE1488" s="83">
        <v>320</v>
      </c>
      <c r="AF1488" s="83">
        <v>100</v>
      </c>
      <c r="AG1488" s="66">
        <f t="shared" si="63"/>
        <v>89.842758620689651</v>
      </c>
      <c r="AH1488" s="143">
        <f t="shared" si="64"/>
        <v>1000</v>
      </c>
    </row>
    <row r="1489" spans="1:34" s="90" customFormat="1" x14ac:dyDescent="0.3">
      <c r="A1489" s="84">
        <v>903497</v>
      </c>
      <c r="B1489" s="87">
        <v>27.999999999999996</v>
      </c>
      <c r="C1489" s="87">
        <v>2.9999999999999982</v>
      </c>
      <c r="D1489" s="86">
        <v>7.6190476190476186</v>
      </c>
      <c r="E1489" s="99">
        <v>0.22700000000000001</v>
      </c>
      <c r="F1489" s="87">
        <v>39.75</v>
      </c>
      <c r="G1489" s="83"/>
      <c r="H1489" s="84">
        <v>874.774</v>
      </c>
      <c r="I1489" s="83">
        <v>770</v>
      </c>
      <c r="J1489" s="83">
        <v>3.5000000000000003E-2</v>
      </c>
      <c r="K1489" s="87">
        <v>7.42</v>
      </c>
      <c r="L1489" s="83">
        <v>2060</v>
      </c>
      <c r="M1489" s="83">
        <v>22.96</v>
      </c>
      <c r="N1489" s="83">
        <v>7.02</v>
      </c>
      <c r="O1489" s="83">
        <v>32.119999999999997</v>
      </c>
      <c r="P1489" s="83">
        <v>25.5</v>
      </c>
      <c r="Q1489" s="83"/>
      <c r="R1489" s="86">
        <v>2.119577</v>
      </c>
      <c r="S1489" s="83">
        <v>32.299999999999997</v>
      </c>
      <c r="T1489" s="83"/>
      <c r="U1489" s="83"/>
      <c r="V1489" s="83"/>
      <c r="W1489" s="83"/>
      <c r="X1489" s="83"/>
      <c r="Y1489" s="185">
        <v>26</v>
      </c>
      <c r="Z1489" s="83"/>
      <c r="AA1489" s="86"/>
      <c r="AB1489" s="86"/>
      <c r="AC1489" s="83"/>
      <c r="AD1489" s="123">
        <v>520</v>
      </c>
      <c r="AE1489" s="83">
        <v>260</v>
      </c>
      <c r="AF1489" s="83">
        <v>220</v>
      </c>
      <c r="AG1489" s="66">
        <f t="shared" si="63"/>
        <v>101.02615384615385</v>
      </c>
      <c r="AH1489" s="143">
        <f t="shared" si="64"/>
        <v>1000</v>
      </c>
    </row>
    <row r="1490" spans="1:34" s="90" customFormat="1" x14ac:dyDescent="0.3">
      <c r="A1490" s="84">
        <v>903498</v>
      </c>
      <c r="B1490" s="87">
        <v>27.916666666666668</v>
      </c>
      <c r="C1490" s="87">
        <v>2.6249999999999973</v>
      </c>
      <c r="D1490" s="86">
        <v>7.6571428571428557</v>
      </c>
      <c r="E1490" s="99">
        <v>0.14599999999999999</v>
      </c>
      <c r="F1490" s="87">
        <v>36.1</v>
      </c>
      <c r="G1490" s="83"/>
      <c r="H1490" s="84">
        <v>41.494</v>
      </c>
      <c r="I1490" s="83">
        <v>360</v>
      </c>
      <c r="J1490" s="83">
        <v>1.7000000000000001E-2</v>
      </c>
      <c r="K1490" s="87">
        <v>8.39</v>
      </c>
      <c r="L1490" s="83">
        <v>1270</v>
      </c>
      <c r="M1490" s="83">
        <v>1.75</v>
      </c>
      <c r="N1490" s="83">
        <v>2.31</v>
      </c>
      <c r="O1490" s="83">
        <v>23.76</v>
      </c>
      <c r="P1490" s="83">
        <v>10.48</v>
      </c>
      <c r="Q1490" s="83"/>
      <c r="R1490" s="86">
        <v>1.666817</v>
      </c>
      <c r="S1490" s="83">
        <v>12.7</v>
      </c>
      <c r="T1490" s="83"/>
      <c r="U1490" s="83"/>
      <c r="V1490" s="83"/>
      <c r="W1490" s="83"/>
      <c r="X1490" s="83"/>
      <c r="Y1490" s="185">
        <v>25</v>
      </c>
      <c r="Z1490" s="83"/>
      <c r="AA1490" s="86"/>
      <c r="AB1490" s="86"/>
      <c r="AC1490" s="83"/>
      <c r="AD1490" s="123">
        <v>500</v>
      </c>
      <c r="AE1490" s="83">
        <v>340</v>
      </c>
      <c r="AF1490" s="83">
        <v>160</v>
      </c>
      <c r="AG1490" s="66">
        <f t="shared" si="63"/>
        <v>118.80239999999999</v>
      </c>
      <c r="AH1490" s="143">
        <f t="shared" si="64"/>
        <v>1000</v>
      </c>
    </row>
    <row r="1491" spans="1:34" s="90" customFormat="1" x14ac:dyDescent="0.3">
      <c r="A1491" s="84">
        <v>903499</v>
      </c>
      <c r="B1491" s="87">
        <v>27.583333333333332</v>
      </c>
      <c r="C1491" s="87">
        <v>2.3749999999999982</v>
      </c>
      <c r="D1491" s="86">
        <v>7.9047619047619051</v>
      </c>
      <c r="E1491" s="99">
        <v>0.11600000000000001</v>
      </c>
      <c r="F1491" s="87">
        <v>32.450000000000003</v>
      </c>
      <c r="G1491" s="83"/>
      <c r="H1491" s="84">
        <v>72.733000000000004</v>
      </c>
      <c r="I1491" s="83">
        <v>210</v>
      </c>
      <c r="J1491" s="83">
        <v>1.9E-2</v>
      </c>
      <c r="K1491" s="87">
        <v>8.74</v>
      </c>
      <c r="L1491" s="83">
        <v>840</v>
      </c>
      <c r="M1491" s="83">
        <v>1.03</v>
      </c>
      <c r="N1491" s="83">
        <v>1.43</v>
      </c>
      <c r="O1491" s="83">
        <v>20.86</v>
      </c>
      <c r="P1491" s="83">
        <v>7.12</v>
      </c>
      <c r="Q1491" s="83"/>
      <c r="R1491" s="86">
        <v>0.8720640589765194</v>
      </c>
      <c r="S1491" s="83">
        <v>6.4</v>
      </c>
      <c r="T1491" s="83"/>
      <c r="U1491" s="83"/>
      <c r="V1491" s="83"/>
      <c r="W1491" s="83"/>
      <c r="X1491" s="83"/>
      <c r="Y1491" s="185">
        <v>26</v>
      </c>
      <c r="Z1491" s="83"/>
      <c r="AA1491" s="86"/>
      <c r="AB1491" s="86"/>
      <c r="AC1491" s="83"/>
      <c r="AD1491" s="123">
        <v>520</v>
      </c>
      <c r="AE1491" s="83">
        <v>220</v>
      </c>
      <c r="AF1491" s="83">
        <v>260</v>
      </c>
      <c r="AG1491" s="66">
        <f t="shared" si="63"/>
        <v>118.99846153846154</v>
      </c>
      <c r="AH1491" s="143">
        <f t="shared" si="64"/>
        <v>1000</v>
      </c>
    </row>
    <row r="1492" spans="1:34" s="90" customFormat="1" x14ac:dyDescent="0.3">
      <c r="A1492" s="84">
        <v>903500</v>
      </c>
      <c r="B1492" s="87">
        <v>27.499999999999996</v>
      </c>
      <c r="C1492" s="87">
        <v>2.6249999999999973</v>
      </c>
      <c r="D1492" s="86">
        <v>7.8380952380952378</v>
      </c>
      <c r="E1492" s="99">
        <v>0.105</v>
      </c>
      <c r="F1492" s="87">
        <v>36.450000000000003</v>
      </c>
      <c r="G1492" s="83"/>
      <c r="H1492" s="84">
        <v>18.814</v>
      </c>
      <c r="I1492" s="83">
        <v>120</v>
      </c>
      <c r="J1492" s="83">
        <v>6.0999999999999999E-2</v>
      </c>
      <c r="K1492" s="87">
        <v>8.83</v>
      </c>
      <c r="L1492" s="83">
        <v>670</v>
      </c>
      <c r="M1492" s="83">
        <v>0.57999999999999996</v>
      </c>
      <c r="N1492" s="83">
        <v>0.85</v>
      </c>
      <c r="O1492" s="83">
        <v>12.84</v>
      </c>
      <c r="P1492" s="83">
        <v>4.2699999999999996</v>
      </c>
      <c r="Q1492" s="83"/>
      <c r="R1492" s="86">
        <v>0.37761686540659772</v>
      </c>
      <c r="S1492" s="83">
        <v>2.8000000000000003</v>
      </c>
      <c r="T1492" s="83"/>
      <c r="U1492" s="83"/>
      <c r="V1492" s="83"/>
      <c r="W1492" s="83"/>
      <c r="X1492" s="83"/>
      <c r="Y1492" s="185">
        <v>26</v>
      </c>
      <c r="Z1492" s="83"/>
      <c r="AA1492" s="86"/>
      <c r="AB1492" s="86"/>
      <c r="AC1492" s="83"/>
      <c r="AD1492" s="123">
        <v>520</v>
      </c>
      <c r="AE1492" s="83">
        <v>240</v>
      </c>
      <c r="AF1492" s="83">
        <v>240</v>
      </c>
      <c r="AG1492" s="66">
        <f t="shared" si="63"/>
        <v>120.22384615384615</v>
      </c>
      <c r="AH1492" s="143">
        <f t="shared" si="64"/>
        <v>1000</v>
      </c>
    </row>
    <row r="1493" spans="1:34" s="90" customFormat="1" x14ac:dyDescent="0.3">
      <c r="A1493" s="84">
        <v>903501</v>
      </c>
      <c r="B1493" s="87">
        <v>28.416666666666668</v>
      </c>
      <c r="C1493" s="87">
        <v>2.3749999999999982</v>
      </c>
      <c r="D1493" s="86">
        <v>7.3238095238095235</v>
      </c>
      <c r="E1493" s="99">
        <v>0.12</v>
      </c>
      <c r="F1493" s="87">
        <v>35</v>
      </c>
      <c r="G1493" s="83"/>
      <c r="H1493" s="84">
        <v>29.338999999999999</v>
      </c>
      <c r="I1493" s="83">
        <v>360</v>
      </c>
      <c r="J1493" s="83">
        <v>1.7999999999999999E-2</v>
      </c>
      <c r="K1493" s="87">
        <v>8.4499999999999993</v>
      </c>
      <c r="L1493" s="83">
        <v>1480</v>
      </c>
      <c r="M1493" s="83">
        <v>0.88</v>
      </c>
      <c r="N1493" s="83">
        <v>1.31</v>
      </c>
      <c r="O1493" s="83">
        <v>14</v>
      </c>
      <c r="P1493" s="83">
        <v>7.88</v>
      </c>
      <c r="Q1493" s="83"/>
      <c r="R1493" s="86">
        <v>1.859688</v>
      </c>
      <c r="S1493" s="83">
        <v>18.600000000000001</v>
      </c>
      <c r="T1493" s="83"/>
      <c r="U1493" s="83"/>
      <c r="V1493" s="83"/>
      <c r="W1493" s="83"/>
      <c r="X1493" s="83"/>
      <c r="Y1493" s="185">
        <v>25</v>
      </c>
      <c r="Z1493" s="83"/>
      <c r="AA1493" s="86"/>
      <c r="AB1493" s="86"/>
      <c r="AC1493" s="83"/>
      <c r="AD1493" s="123">
        <v>500</v>
      </c>
      <c r="AE1493" s="83">
        <v>340</v>
      </c>
      <c r="AF1493" s="83">
        <v>160</v>
      </c>
      <c r="AG1493" s="66">
        <f t="shared" si="63"/>
        <v>119.65199999999999</v>
      </c>
      <c r="AH1493" s="143">
        <f t="shared" si="64"/>
        <v>1000</v>
      </c>
    </row>
    <row r="1494" spans="1:34" s="90" customFormat="1" x14ac:dyDescent="0.3">
      <c r="A1494" s="84">
        <v>903502</v>
      </c>
      <c r="B1494" s="87">
        <v>27.916666666666668</v>
      </c>
      <c r="C1494" s="87">
        <v>1.875</v>
      </c>
      <c r="D1494" s="86">
        <v>7.9619047619047612</v>
      </c>
      <c r="E1494" s="99">
        <v>0.13100000000000001</v>
      </c>
      <c r="F1494" s="87">
        <v>37.35</v>
      </c>
      <c r="G1494" s="83"/>
      <c r="H1494" s="84">
        <v>26.462</v>
      </c>
      <c r="I1494" s="83">
        <v>210</v>
      </c>
      <c r="J1494" s="83">
        <v>2.4E-2</v>
      </c>
      <c r="K1494" s="87">
        <v>8.26</v>
      </c>
      <c r="L1494" s="83">
        <v>1190</v>
      </c>
      <c r="M1494" s="83">
        <v>0.61</v>
      </c>
      <c r="N1494" s="83">
        <v>0.92</v>
      </c>
      <c r="O1494" s="83">
        <v>9.52</v>
      </c>
      <c r="P1494" s="83">
        <v>6.03</v>
      </c>
      <c r="Q1494" s="83"/>
      <c r="R1494" s="86">
        <v>1.3205051951171889</v>
      </c>
      <c r="S1494" s="83">
        <v>8.8000000000000007</v>
      </c>
      <c r="T1494" s="83"/>
      <c r="U1494" s="83"/>
      <c r="V1494" s="83"/>
      <c r="W1494" s="83"/>
      <c r="X1494" s="83"/>
      <c r="Y1494" s="185">
        <v>26</v>
      </c>
      <c r="Z1494" s="83"/>
      <c r="AA1494" s="86"/>
      <c r="AB1494" s="86"/>
      <c r="AC1494" s="83"/>
      <c r="AD1494" s="123">
        <v>520</v>
      </c>
      <c r="AE1494" s="83">
        <v>300</v>
      </c>
      <c r="AF1494" s="83">
        <v>180</v>
      </c>
      <c r="AG1494" s="66">
        <f t="shared" si="63"/>
        <v>112.46307692307693</v>
      </c>
      <c r="AH1494" s="143">
        <f t="shared" si="64"/>
        <v>1000</v>
      </c>
    </row>
    <row r="1495" spans="1:34" s="90" customFormat="1" x14ac:dyDescent="0.3">
      <c r="A1495" s="84">
        <v>903503</v>
      </c>
      <c r="B1495" s="87">
        <v>27.416666666666668</v>
      </c>
      <c r="C1495" s="87">
        <v>2.3749999999999982</v>
      </c>
      <c r="D1495" s="86">
        <v>7.666666666666667</v>
      </c>
      <c r="E1495" s="99">
        <v>0.152</v>
      </c>
      <c r="F1495" s="87">
        <v>41.2</v>
      </c>
      <c r="G1495" s="83"/>
      <c r="H1495" s="84">
        <v>36.747</v>
      </c>
      <c r="I1495" s="83">
        <v>130</v>
      </c>
      <c r="J1495" s="83">
        <v>1.2E-2</v>
      </c>
      <c r="K1495" s="87">
        <v>5.61</v>
      </c>
      <c r="L1495" s="83">
        <v>780</v>
      </c>
      <c r="M1495" s="83">
        <v>0.56999999999999995</v>
      </c>
      <c r="N1495" s="83">
        <v>0.71</v>
      </c>
      <c r="O1495" s="83">
        <v>15.92</v>
      </c>
      <c r="P1495" s="83">
        <v>5.36</v>
      </c>
      <c r="Q1495" s="83"/>
      <c r="R1495" s="86">
        <v>1.3132741876427272</v>
      </c>
      <c r="S1495" s="83">
        <v>8.9</v>
      </c>
      <c r="T1495" s="83"/>
      <c r="U1495" s="83"/>
      <c r="V1495" s="83"/>
      <c r="W1495" s="83"/>
      <c r="X1495" s="83"/>
      <c r="Y1495" s="185">
        <v>17</v>
      </c>
      <c r="Z1495" s="83"/>
      <c r="AA1495" s="86"/>
      <c r="AB1495" s="86"/>
      <c r="AC1495" s="83"/>
      <c r="AD1495" s="123">
        <v>340</v>
      </c>
      <c r="AE1495" s="83">
        <v>160</v>
      </c>
      <c r="AF1495" s="83">
        <v>500</v>
      </c>
      <c r="AG1495" s="66">
        <f t="shared" si="63"/>
        <v>116.82000000000001</v>
      </c>
      <c r="AH1495" s="143">
        <f t="shared" si="64"/>
        <v>1000</v>
      </c>
    </row>
    <row r="1496" spans="1:34" s="90" customFormat="1" x14ac:dyDescent="0.3">
      <c r="A1496" s="84">
        <v>903504</v>
      </c>
      <c r="B1496" s="87">
        <v>23.166666666666664</v>
      </c>
      <c r="C1496" s="87">
        <v>2.2500000000000009</v>
      </c>
      <c r="D1496" s="86">
        <v>8.0857142857142854</v>
      </c>
      <c r="E1496" s="99">
        <v>0.14199999999999999</v>
      </c>
      <c r="F1496" s="87">
        <v>39.200000000000003</v>
      </c>
      <c r="G1496" s="83"/>
      <c r="H1496" s="84">
        <v>94.813999999999993</v>
      </c>
      <c r="I1496" s="83">
        <v>390</v>
      </c>
      <c r="J1496" s="83">
        <v>1.6E-2</v>
      </c>
      <c r="K1496" s="87">
        <v>6.78</v>
      </c>
      <c r="L1496" s="83">
        <v>1770</v>
      </c>
      <c r="M1496" s="83">
        <v>2.75</v>
      </c>
      <c r="N1496" s="83">
        <v>3.54</v>
      </c>
      <c r="O1496" s="83">
        <v>12.54</v>
      </c>
      <c r="P1496" s="83">
        <v>13.63</v>
      </c>
      <c r="Q1496" s="83"/>
      <c r="R1496" s="86">
        <v>1.9557770000000001</v>
      </c>
      <c r="S1496" s="83">
        <v>22.3</v>
      </c>
      <c r="T1496" s="83"/>
      <c r="U1496" s="83"/>
      <c r="V1496" s="83"/>
      <c r="W1496" s="83"/>
      <c r="X1496" s="83"/>
      <c r="Y1496" s="185">
        <v>28</v>
      </c>
      <c r="Z1496" s="83"/>
      <c r="AA1496" s="86"/>
      <c r="AB1496" s="86"/>
      <c r="AC1496" s="83"/>
      <c r="AD1496" s="123">
        <v>560</v>
      </c>
      <c r="AE1496" s="83">
        <v>340</v>
      </c>
      <c r="AF1496" s="83">
        <v>100</v>
      </c>
      <c r="AG1496" s="66">
        <f t="shared" si="63"/>
        <v>85.718571428571423</v>
      </c>
      <c r="AH1496" s="143">
        <f t="shared" si="64"/>
        <v>1000</v>
      </c>
    </row>
    <row r="1497" spans="1:34" s="90" customFormat="1" x14ac:dyDescent="0.3">
      <c r="A1497" s="84">
        <v>903505</v>
      </c>
      <c r="B1497" s="87"/>
      <c r="C1497" s="87"/>
      <c r="D1497" s="86"/>
      <c r="E1497" s="99"/>
      <c r="F1497" s="87"/>
      <c r="G1497" s="83"/>
      <c r="H1497" s="84"/>
      <c r="I1497" s="83"/>
      <c r="J1497" s="83"/>
      <c r="K1497" s="87"/>
      <c r="L1497" s="83"/>
      <c r="M1497" s="83"/>
      <c r="N1497" s="83"/>
      <c r="O1497" s="83"/>
      <c r="P1497" s="83"/>
      <c r="Q1497" s="83"/>
      <c r="R1497" s="86"/>
      <c r="S1497" s="83"/>
      <c r="T1497" s="83"/>
      <c r="U1497" s="83"/>
      <c r="V1497" s="83"/>
      <c r="W1497" s="83"/>
      <c r="X1497" s="83"/>
      <c r="Y1497" s="185"/>
      <c r="Z1497" s="83"/>
      <c r="AA1497" s="86"/>
      <c r="AB1497" s="86"/>
      <c r="AC1497" s="83"/>
      <c r="AD1497" s="123"/>
      <c r="AE1497" s="83"/>
      <c r="AF1497" s="83"/>
      <c r="AG1497" s="66" t="e">
        <f t="shared" si="63"/>
        <v>#DIV/0!</v>
      </c>
      <c r="AH1497" s="143">
        <f t="shared" si="64"/>
        <v>0</v>
      </c>
    </row>
    <row r="1498" spans="1:34" s="90" customFormat="1" x14ac:dyDescent="0.3">
      <c r="A1498" s="84">
        <v>903506</v>
      </c>
      <c r="B1498" s="87">
        <v>27.583333333333332</v>
      </c>
      <c r="C1498" s="87">
        <v>2.3749999999999982</v>
      </c>
      <c r="D1498" s="86">
        <v>7.9047619047619051</v>
      </c>
      <c r="E1498" s="99">
        <v>0.16400000000000001</v>
      </c>
      <c r="F1498" s="87">
        <v>53</v>
      </c>
      <c r="G1498" s="83"/>
      <c r="H1498" s="84">
        <v>31.975999999999999</v>
      </c>
      <c r="I1498" s="83">
        <v>270</v>
      </c>
      <c r="J1498" s="83">
        <v>2.5000000000000001E-2</v>
      </c>
      <c r="K1498" s="87">
        <v>7.83</v>
      </c>
      <c r="L1498" s="83">
        <v>1510</v>
      </c>
      <c r="M1498" s="83">
        <v>0.82</v>
      </c>
      <c r="N1498" s="83">
        <v>2.09</v>
      </c>
      <c r="O1498" s="83">
        <v>10.49</v>
      </c>
      <c r="P1498" s="83">
        <v>8.17</v>
      </c>
      <c r="Q1498" s="83"/>
      <c r="R1498" s="86">
        <v>1.8481520000000002</v>
      </c>
      <c r="S1498" s="83">
        <v>18.2</v>
      </c>
      <c r="T1498" s="83"/>
      <c r="U1498" s="83"/>
      <c r="V1498" s="83"/>
      <c r="W1498" s="83"/>
      <c r="X1498" s="83"/>
      <c r="Y1498" s="185">
        <v>28</v>
      </c>
      <c r="Z1498" s="83"/>
      <c r="AA1498" s="86"/>
      <c r="AB1498" s="86"/>
      <c r="AC1498" s="83"/>
      <c r="AD1498" s="123">
        <v>560</v>
      </c>
      <c r="AE1498" s="83">
        <v>280</v>
      </c>
      <c r="AF1498" s="83">
        <v>160</v>
      </c>
      <c r="AG1498" s="66">
        <f t="shared" si="63"/>
        <v>98.993571428571428</v>
      </c>
      <c r="AH1498" s="143">
        <f t="shared" si="64"/>
        <v>1000</v>
      </c>
    </row>
    <row r="1499" spans="1:34" s="90" customFormat="1" x14ac:dyDescent="0.3">
      <c r="A1499" s="84">
        <v>903507</v>
      </c>
      <c r="B1499" s="87">
        <v>29.166666666666664</v>
      </c>
      <c r="C1499" s="87">
        <v>1.875</v>
      </c>
      <c r="D1499" s="86">
        <v>8.295238095238096</v>
      </c>
      <c r="E1499" s="99">
        <v>0.28299999999999997</v>
      </c>
      <c r="F1499" s="87">
        <v>51.550000000000004</v>
      </c>
      <c r="G1499" s="83"/>
      <c r="H1499" s="84">
        <v>194.33199999999999</v>
      </c>
      <c r="I1499" s="83">
        <v>640</v>
      </c>
      <c r="J1499" s="83">
        <v>1.2E-2</v>
      </c>
      <c r="K1499" s="87">
        <v>6.21</v>
      </c>
      <c r="L1499" s="83">
        <v>870</v>
      </c>
      <c r="M1499" s="83">
        <v>6.12</v>
      </c>
      <c r="N1499" s="83">
        <v>9.9700000000000006</v>
      </c>
      <c r="O1499" s="83">
        <v>10.14</v>
      </c>
      <c r="P1499" s="83">
        <v>10.48</v>
      </c>
      <c r="Q1499" s="83"/>
      <c r="R1499" s="86">
        <v>2.0837720000000002</v>
      </c>
      <c r="S1499" s="83">
        <v>29.2</v>
      </c>
      <c r="T1499" s="83"/>
      <c r="U1499" s="83"/>
      <c r="V1499" s="83"/>
      <c r="W1499" s="83"/>
      <c r="X1499" s="83"/>
      <c r="Y1499" s="185">
        <v>25</v>
      </c>
      <c r="Z1499" s="83"/>
      <c r="AA1499" s="86"/>
      <c r="AB1499" s="86"/>
      <c r="AC1499" s="83"/>
      <c r="AD1499" s="123">
        <v>500</v>
      </c>
      <c r="AE1499" s="83">
        <v>300</v>
      </c>
      <c r="AF1499" s="83">
        <v>200</v>
      </c>
      <c r="AG1499" s="66">
        <f t="shared" si="63"/>
        <v>87.933600000000013</v>
      </c>
      <c r="AH1499" s="143">
        <f t="shared" si="64"/>
        <v>1000</v>
      </c>
    </row>
    <row r="1500" spans="1:34" s="90" customFormat="1" x14ac:dyDescent="0.3">
      <c r="A1500" s="84">
        <v>903508</v>
      </c>
      <c r="B1500" s="87">
        <v>28.749999999999996</v>
      </c>
      <c r="C1500" s="87">
        <v>2.1249999999999991</v>
      </c>
      <c r="D1500" s="86">
        <v>7.8095238095238084</v>
      </c>
      <c r="E1500" s="99">
        <v>0.23699999999999999</v>
      </c>
      <c r="F1500" s="87">
        <v>42.9</v>
      </c>
      <c r="G1500" s="83"/>
      <c r="H1500" s="84">
        <v>99.608000000000004</v>
      </c>
      <c r="I1500" s="83">
        <v>270</v>
      </c>
      <c r="J1500" s="83">
        <v>1.7000000000000001E-2</v>
      </c>
      <c r="K1500" s="87">
        <v>6.09</v>
      </c>
      <c r="L1500" s="83">
        <v>1220</v>
      </c>
      <c r="M1500" s="83">
        <v>2.81</v>
      </c>
      <c r="N1500" s="83">
        <v>5.14</v>
      </c>
      <c r="O1500" s="83">
        <v>4.72</v>
      </c>
      <c r="P1500" s="83">
        <v>6.88</v>
      </c>
      <c r="Q1500" s="83"/>
      <c r="R1500" s="86">
        <v>1.9009529999999999</v>
      </c>
      <c r="S1500" s="83">
        <v>20.099999999999998</v>
      </c>
      <c r="T1500" s="83"/>
      <c r="U1500" s="83"/>
      <c r="V1500" s="83"/>
      <c r="W1500" s="83"/>
      <c r="X1500" s="83"/>
      <c r="Y1500" s="185">
        <v>22</v>
      </c>
      <c r="Z1500" s="83"/>
      <c r="AA1500" s="86"/>
      <c r="AB1500" s="86"/>
      <c r="AC1500" s="83"/>
      <c r="AD1500" s="123">
        <v>440</v>
      </c>
      <c r="AE1500" s="83">
        <v>180</v>
      </c>
      <c r="AF1500" s="83">
        <v>380</v>
      </c>
      <c r="AG1500" s="66">
        <f t="shared" si="63"/>
        <v>97.993636363636355</v>
      </c>
      <c r="AH1500" s="143">
        <f t="shared" si="64"/>
        <v>1000</v>
      </c>
    </row>
    <row r="1501" spans="1:34" s="90" customFormat="1" x14ac:dyDescent="0.3">
      <c r="A1501" s="84">
        <v>903509</v>
      </c>
      <c r="B1501" s="87">
        <v>27.583333333333332</v>
      </c>
      <c r="C1501" s="87">
        <v>2.3749999999999982</v>
      </c>
      <c r="D1501" s="86">
        <v>7.7809523809523808</v>
      </c>
      <c r="E1501" s="99">
        <v>0.17499999999999999</v>
      </c>
      <c r="F1501" s="87">
        <v>48.550000000000004</v>
      </c>
      <c r="G1501" s="83"/>
      <c r="H1501" s="84">
        <v>338.65899999999999</v>
      </c>
      <c r="I1501" s="83">
        <v>900</v>
      </c>
      <c r="J1501" s="83">
        <v>6.0000000000000001E-3</v>
      </c>
      <c r="K1501" s="87">
        <v>8.67</v>
      </c>
      <c r="L1501" s="83">
        <v>1540</v>
      </c>
      <c r="M1501" s="83">
        <v>7.85</v>
      </c>
      <c r="N1501" s="83">
        <v>6.26</v>
      </c>
      <c r="O1501" s="83">
        <v>6.51</v>
      </c>
      <c r="P1501" s="83">
        <v>15.5</v>
      </c>
      <c r="Q1501" s="83"/>
      <c r="R1501" s="86">
        <v>2.0647530000000001</v>
      </c>
      <c r="S1501" s="83">
        <v>27.9</v>
      </c>
      <c r="T1501" s="83"/>
      <c r="U1501" s="83"/>
      <c r="V1501" s="83"/>
      <c r="W1501" s="83"/>
      <c r="X1501" s="83"/>
      <c r="Y1501" s="185">
        <v>30</v>
      </c>
      <c r="Z1501" s="83"/>
      <c r="AA1501" s="86"/>
      <c r="AB1501" s="86"/>
      <c r="AC1501" s="83"/>
      <c r="AD1501" s="123">
        <v>600</v>
      </c>
      <c r="AE1501" s="83">
        <v>300</v>
      </c>
      <c r="AF1501" s="83">
        <v>100</v>
      </c>
      <c r="AG1501" s="66">
        <f t="shared" si="63"/>
        <v>102.30600000000001</v>
      </c>
      <c r="AH1501" s="143">
        <f t="shared" si="64"/>
        <v>1000</v>
      </c>
    </row>
    <row r="1502" spans="1:34" s="90" customFormat="1" x14ac:dyDescent="0.3">
      <c r="A1502" s="84">
        <v>903510</v>
      </c>
      <c r="B1502" s="87">
        <v>26.166666666666664</v>
      </c>
      <c r="C1502" s="87">
        <v>1.875</v>
      </c>
      <c r="D1502" s="86">
        <v>7.9428571428571422</v>
      </c>
      <c r="E1502" s="99">
        <v>0.19</v>
      </c>
      <c r="F1502" s="87">
        <v>44.400000000000006</v>
      </c>
      <c r="G1502" s="83"/>
      <c r="H1502" s="84">
        <v>135.06700000000001</v>
      </c>
      <c r="I1502" s="83">
        <v>470</v>
      </c>
      <c r="J1502" s="83">
        <v>5.0000000000000001E-3</v>
      </c>
      <c r="K1502" s="87">
        <v>7.82</v>
      </c>
      <c r="L1502" s="83">
        <v>1060</v>
      </c>
      <c r="M1502" s="83">
        <v>3.71</v>
      </c>
      <c r="N1502" s="83">
        <v>5.09</v>
      </c>
      <c r="O1502" s="83">
        <v>9.16</v>
      </c>
      <c r="P1502" s="83">
        <v>9.17</v>
      </c>
      <c r="Q1502" s="83"/>
      <c r="R1502" s="86">
        <v>1.7578170000000002</v>
      </c>
      <c r="S1502" s="83">
        <v>15.3</v>
      </c>
      <c r="T1502" s="83"/>
      <c r="U1502" s="83"/>
      <c r="V1502" s="83"/>
      <c r="W1502" s="83"/>
      <c r="X1502" s="83"/>
      <c r="Y1502" s="185">
        <v>29</v>
      </c>
      <c r="Z1502" s="83"/>
      <c r="AA1502" s="86"/>
      <c r="AB1502" s="86"/>
      <c r="AC1502" s="83"/>
      <c r="AD1502" s="123">
        <v>580</v>
      </c>
      <c r="AE1502" s="83">
        <v>320</v>
      </c>
      <c r="AF1502" s="83">
        <v>100</v>
      </c>
      <c r="AG1502" s="66">
        <f t="shared" si="63"/>
        <v>95.457931034482769</v>
      </c>
      <c r="AH1502" s="143">
        <f t="shared" si="64"/>
        <v>1000</v>
      </c>
    </row>
    <row r="1503" spans="1:34" s="90" customFormat="1" x14ac:dyDescent="0.3">
      <c r="A1503" s="84">
        <v>903511</v>
      </c>
      <c r="B1503" s="87">
        <v>0.86666666666666681</v>
      </c>
      <c r="C1503" s="87"/>
      <c r="D1503" s="86">
        <v>7.1619047619047604</v>
      </c>
      <c r="E1503" s="99">
        <v>0.34</v>
      </c>
      <c r="F1503" s="87">
        <v>47.45</v>
      </c>
      <c r="G1503" s="83"/>
      <c r="H1503" s="84">
        <v>126.196</v>
      </c>
      <c r="I1503" s="83">
        <v>680</v>
      </c>
      <c r="J1503" s="83">
        <v>1.4E-2</v>
      </c>
      <c r="K1503" s="87">
        <v>6.41</v>
      </c>
      <c r="L1503" s="83">
        <v>1420</v>
      </c>
      <c r="M1503" s="83">
        <v>6.47</v>
      </c>
      <c r="N1503" s="83">
        <v>12.1</v>
      </c>
      <c r="O1503" s="83">
        <v>9.3800000000000008</v>
      </c>
      <c r="P1503" s="83">
        <v>11.14</v>
      </c>
      <c r="Q1503" s="83"/>
      <c r="R1503" s="86">
        <v>2.0810000000000004</v>
      </c>
      <c r="S1503" s="83">
        <v>29</v>
      </c>
      <c r="T1503" s="83"/>
      <c r="U1503" s="83"/>
      <c r="V1503" s="83"/>
      <c r="W1503" s="83"/>
      <c r="X1503" s="83"/>
      <c r="Y1503" s="185">
        <v>27.6</v>
      </c>
      <c r="Z1503" s="83"/>
      <c r="AA1503" s="86"/>
      <c r="AB1503" s="86"/>
      <c r="AC1503" s="83"/>
      <c r="AD1503" s="123">
        <v>620</v>
      </c>
      <c r="AE1503" s="83">
        <v>280</v>
      </c>
      <c r="AF1503" s="83">
        <v>100</v>
      </c>
      <c r="AG1503" s="66">
        <f t="shared" si="63"/>
        <v>82.21521739130435</v>
      </c>
      <c r="AH1503" s="143">
        <f t="shared" si="64"/>
        <v>1000</v>
      </c>
    </row>
    <row r="1504" spans="1:34" s="90" customFormat="1" x14ac:dyDescent="0.3">
      <c r="A1504" s="84">
        <v>903512</v>
      </c>
      <c r="B1504" s="87">
        <v>0.48333333333333328</v>
      </c>
      <c r="C1504" s="87"/>
      <c r="D1504" s="86">
        <v>7.46</v>
      </c>
      <c r="E1504" s="99">
        <v>0.28499999999999998</v>
      </c>
      <c r="F1504" s="87">
        <v>296.25</v>
      </c>
      <c r="G1504" s="83"/>
      <c r="H1504" s="84">
        <v>29.603000000000002</v>
      </c>
      <c r="I1504" s="83">
        <v>170</v>
      </c>
      <c r="J1504" s="83">
        <v>0.32700000000000001</v>
      </c>
      <c r="K1504" s="87">
        <v>6.81</v>
      </c>
      <c r="L1504" s="83">
        <v>610</v>
      </c>
      <c r="M1504" s="83">
        <v>0.45</v>
      </c>
      <c r="N1504" s="83">
        <v>0.77</v>
      </c>
      <c r="O1504" s="83">
        <v>7.84</v>
      </c>
      <c r="P1504" s="83">
        <v>13.7</v>
      </c>
      <c r="Q1504" s="83"/>
      <c r="R1504" s="86">
        <v>1.320263919762801</v>
      </c>
      <c r="S1504" s="83">
        <v>9.1</v>
      </c>
      <c r="T1504" s="83"/>
      <c r="U1504" s="83"/>
      <c r="V1504" s="83"/>
      <c r="W1504" s="83"/>
      <c r="X1504" s="83"/>
      <c r="Y1504" s="185">
        <v>28.6</v>
      </c>
      <c r="Z1504" s="83"/>
      <c r="AA1504" s="86"/>
      <c r="AB1504" s="86"/>
      <c r="AC1504" s="83"/>
      <c r="AD1504" s="123">
        <v>640</v>
      </c>
      <c r="AE1504" s="83">
        <v>300</v>
      </c>
      <c r="AF1504" s="83">
        <v>60</v>
      </c>
      <c r="AG1504" s="66">
        <f t="shared" si="63"/>
        <v>84.291608391608378</v>
      </c>
      <c r="AH1504" s="143">
        <f t="shared" si="64"/>
        <v>1000</v>
      </c>
    </row>
    <row r="1505" spans="1:34" s="90" customFormat="1" x14ac:dyDescent="0.3">
      <c r="A1505" s="84">
        <v>903513</v>
      </c>
      <c r="B1505" s="87">
        <v>0.11666666666666665</v>
      </c>
      <c r="C1505" s="87"/>
      <c r="D1505" s="86">
        <v>7.22</v>
      </c>
      <c r="E1505" s="99">
        <v>0.193</v>
      </c>
      <c r="F1505" s="87">
        <v>203.1</v>
      </c>
      <c r="G1505" s="83"/>
      <c r="H1505" s="84">
        <v>23.681000000000001</v>
      </c>
      <c r="I1505" s="83">
        <v>140</v>
      </c>
      <c r="J1505" s="83">
        <v>0.191</v>
      </c>
      <c r="K1505" s="87">
        <v>6.31</v>
      </c>
      <c r="L1505" s="83">
        <v>660</v>
      </c>
      <c r="M1505" s="83">
        <v>0.24</v>
      </c>
      <c r="N1505" s="83">
        <v>0.45</v>
      </c>
      <c r="O1505" s="83">
        <v>9.82</v>
      </c>
      <c r="P1505" s="83">
        <v>12.16</v>
      </c>
      <c r="Q1505" s="83"/>
      <c r="R1505" s="86">
        <v>0.92312267897266487</v>
      </c>
      <c r="S1505" s="83">
        <v>6.8999999999999995</v>
      </c>
      <c r="T1505" s="83"/>
      <c r="U1505" s="83"/>
      <c r="V1505" s="83"/>
      <c r="W1505" s="83"/>
      <c r="X1505" s="83"/>
      <c r="Y1505" s="185">
        <v>23.6</v>
      </c>
      <c r="Z1505" s="83"/>
      <c r="AA1505" s="86"/>
      <c r="AB1505" s="86"/>
      <c r="AC1505" s="83"/>
      <c r="AD1505" s="123">
        <v>640</v>
      </c>
      <c r="AE1505" s="83">
        <v>280</v>
      </c>
      <c r="AF1505" s="83">
        <v>80</v>
      </c>
      <c r="AG1505" s="66">
        <f t="shared" si="63"/>
        <v>94.649999999999991</v>
      </c>
      <c r="AH1505" s="143">
        <f t="shared" si="64"/>
        <v>1000</v>
      </c>
    </row>
    <row r="1506" spans="1:34" s="166" customFormat="1" x14ac:dyDescent="0.3">
      <c r="A1506" s="167">
        <v>903536</v>
      </c>
      <c r="B1506" s="186">
        <v>0.4333333333333334</v>
      </c>
      <c r="C1506" s="186"/>
      <c r="D1506" s="187">
        <v>7.8</v>
      </c>
      <c r="E1506" s="1535">
        <v>0.14399999999999999</v>
      </c>
      <c r="F1506" s="186">
        <v>53</v>
      </c>
      <c r="G1506" s="189"/>
      <c r="H1506" s="189">
        <v>41.494</v>
      </c>
      <c r="I1506" s="189">
        <v>210</v>
      </c>
      <c r="J1506" s="188">
        <v>0.05</v>
      </c>
      <c r="K1506" s="186">
        <v>8.0399999999999991</v>
      </c>
      <c r="L1506" s="190">
        <v>650</v>
      </c>
      <c r="M1506" s="190">
        <v>1.48</v>
      </c>
      <c r="N1506" s="190">
        <v>3.54</v>
      </c>
      <c r="O1506" s="186">
        <v>20.239999999999998</v>
      </c>
      <c r="P1506" s="186">
        <v>7.18</v>
      </c>
      <c r="Q1506" s="188"/>
      <c r="R1506" s="187">
        <v>1.666817</v>
      </c>
      <c r="S1506" s="190">
        <v>12.7</v>
      </c>
      <c r="T1506" s="190"/>
      <c r="U1506" s="190"/>
      <c r="V1506" s="190"/>
      <c r="W1506" s="190"/>
      <c r="X1506" s="186"/>
      <c r="Y1506" s="190">
        <v>27</v>
      </c>
      <c r="Z1506" s="187"/>
      <c r="AA1506" s="187">
        <v>4.17</v>
      </c>
      <c r="AB1506" s="187">
        <v>0.60599999999999998</v>
      </c>
      <c r="AC1506" s="191">
        <v>9.4</v>
      </c>
      <c r="AD1506" s="191">
        <v>540</v>
      </c>
      <c r="AE1506" s="191">
        <v>360</v>
      </c>
      <c r="AF1506" s="190">
        <v>100</v>
      </c>
      <c r="AG1506" s="66">
        <f t="shared" si="63"/>
        <v>105.41333333333333</v>
      </c>
      <c r="AH1506" s="143">
        <f t="shared" si="64"/>
        <v>1000</v>
      </c>
    </row>
    <row r="1507" spans="1:34" s="166" customFormat="1" x14ac:dyDescent="0.3">
      <c r="A1507" s="167">
        <v>903537</v>
      </c>
      <c r="B1507" s="186">
        <v>0.38333333333333325</v>
      </c>
      <c r="C1507" s="186"/>
      <c r="D1507" s="187">
        <v>7.77</v>
      </c>
      <c r="E1507" s="1535">
        <v>0.152</v>
      </c>
      <c r="F1507" s="186">
        <v>51.550000000000004</v>
      </c>
      <c r="G1507" s="189"/>
      <c r="H1507" s="189">
        <v>72.733000000000004</v>
      </c>
      <c r="I1507" s="189">
        <v>120</v>
      </c>
      <c r="J1507" s="188">
        <v>0.12</v>
      </c>
      <c r="K1507" s="186">
        <v>8.4700000000000006</v>
      </c>
      <c r="L1507" s="190">
        <v>830</v>
      </c>
      <c r="M1507" s="190">
        <v>0.73</v>
      </c>
      <c r="N1507" s="190">
        <v>0.88</v>
      </c>
      <c r="O1507" s="186">
        <v>17.54</v>
      </c>
      <c r="P1507" s="186">
        <v>6.63</v>
      </c>
      <c r="Q1507" s="188"/>
      <c r="R1507" s="187">
        <v>0.95926045678769145</v>
      </c>
      <c r="S1507" s="190">
        <v>6.4</v>
      </c>
      <c r="T1507" s="190"/>
      <c r="U1507" s="190"/>
      <c r="V1507" s="190"/>
      <c r="W1507" s="190"/>
      <c r="X1507" s="186"/>
      <c r="Y1507" s="190">
        <v>18</v>
      </c>
      <c r="Z1507" s="187"/>
      <c r="AA1507" s="187">
        <v>3.87</v>
      </c>
      <c r="AB1507" s="187">
        <v>0.72699999999999998</v>
      </c>
      <c r="AC1507" s="191">
        <v>6</v>
      </c>
      <c r="AD1507" s="191">
        <v>360</v>
      </c>
      <c r="AE1507" s="191">
        <v>240</v>
      </c>
      <c r="AF1507" s="190">
        <v>400</v>
      </c>
      <c r="AG1507" s="66">
        <f t="shared" si="63"/>
        <v>166.57666666666668</v>
      </c>
      <c r="AH1507" s="143">
        <f t="shared" si="64"/>
        <v>1000</v>
      </c>
    </row>
    <row r="1508" spans="1:34" s="166" customFormat="1" x14ac:dyDescent="0.3">
      <c r="A1508" s="167">
        <v>903538</v>
      </c>
      <c r="B1508" s="186">
        <v>53.333333333333336</v>
      </c>
      <c r="C1508" s="186">
        <v>11.875</v>
      </c>
      <c r="D1508" s="187">
        <v>8.49</v>
      </c>
      <c r="E1508" s="1535">
        <v>0.193</v>
      </c>
      <c r="F1508" s="186">
        <v>42.9</v>
      </c>
      <c r="G1508" s="189"/>
      <c r="H1508" s="189">
        <v>18.814</v>
      </c>
      <c r="I1508" s="189">
        <v>220</v>
      </c>
      <c r="J1508" s="188">
        <v>0.02</v>
      </c>
      <c r="K1508" s="186">
        <v>12.32</v>
      </c>
      <c r="L1508" s="190">
        <v>1330</v>
      </c>
      <c r="M1508" s="190">
        <v>0.94</v>
      </c>
      <c r="N1508" s="190">
        <v>1.84</v>
      </c>
      <c r="O1508" s="186">
        <v>5.52</v>
      </c>
      <c r="P1508" s="186">
        <v>5.33</v>
      </c>
      <c r="Q1508" s="188"/>
      <c r="R1508" s="187">
        <v>0.3880531102104125</v>
      </c>
      <c r="S1508" s="190">
        <v>2.8000000000000003</v>
      </c>
      <c r="T1508" s="190"/>
      <c r="U1508" s="190"/>
      <c r="V1508" s="190"/>
      <c r="W1508" s="190"/>
      <c r="X1508" s="186"/>
      <c r="Y1508" s="190">
        <v>35</v>
      </c>
      <c r="Z1508" s="187"/>
      <c r="AA1508" s="187">
        <v>4.0199999999999996</v>
      </c>
      <c r="AB1508" s="187">
        <v>0.25800000000000001</v>
      </c>
      <c r="AC1508" s="191">
        <v>8.3000000000000007</v>
      </c>
      <c r="AD1508" s="191">
        <v>500</v>
      </c>
      <c r="AE1508" s="191">
        <v>280</v>
      </c>
      <c r="AF1508" s="190">
        <v>220</v>
      </c>
      <c r="AG1508" s="66">
        <f t="shared" si="63"/>
        <v>124.60799999999999</v>
      </c>
      <c r="AH1508" s="143">
        <f t="shared" si="64"/>
        <v>1000</v>
      </c>
    </row>
    <row r="1509" spans="1:34" s="166" customFormat="1" x14ac:dyDescent="0.3">
      <c r="A1509" s="167">
        <v>903539</v>
      </c>
      <c r="B1509" s="186">
        <v>65.499999999999986</v>
      </c>
      <c r="C1509" s="186">
        <v>11.624999999999998</v>
      </c>
      <c r="D1509" s="187">
        <v>8.44</v>
      </c>
      <c r="E1509" s="1535">
        <v>0.18099999999999999</v>
      </c>
      <c r="F1509" s="186">
        <v>48.550000000000004</v>
      </c>
      <c r="G1509" s="189"/>
      <c r="H1509" s="189">
        <v>29.338999999999999</v>
      </c>
      <c r="I1509" s="189">
        <v>200</v>
      </c>
      <c r="J1509" s="188">
        <v>0.03</v>
      </c>
      <c r="K1509" s="186">
        <v>11.35</v>
      </c>
      <c r="L1509" s="190">
        <v>930</v>
      </c>
      <c r="M1509" s="190">
        <v>1.22</v>
      </c>
      <c r="N1509" s="186">
        <v>1</v>
      </c>
      <c r="O1509" s="186">
        <v>3.51</v>
      </c>
      <c r="P1509" s="186">
        <v>8.9</v>
      </c>
      <c r="Q1509" s="188"/>
      <c r="R1509" s="187">
        <v>1.859688</v>
      </c>
      <c r="S1509" s="190">
        <v>18.600000000000001</v>
      </c>
      <c r="T1509" s="190"/>
      <c r="U1509" s="190"/>
      <c r="V1509" s="190"/>
      <c r="W1509" s="190"/>
      <c r="X1509" s="186"/>
      <c r="Y1509" s="190">
        <v>24</v>
      </c>
      <c r="Z1509" s="187"/>
      <c r="AA1509" s="187">
        <v>3.58</v>
      </c>
      <c r="AB1509" s="187">
        <v>0.38700000000000001</v>
      </c>
      <c r="AC1509" s="191">
        <v>11.7</v>
      </c>
      <c r="AD1509" s="191">
        <v>400</v>
      </c>
      <c r="AE1509" s="191">
        <v>240</v>
      </c>
      <c r="AF1509" s="190">
        <v>360</v>
      </c>
      <c r="AG1509" s="66">
        <f t="shared" si="63"/>
        <v>167.41249999999999</v>
      </c>
      <c r="AH1509" s="143">
        <f t="shared" si="64"/>
        <v>1000</v>
      </c>
    </row>
    <row r="1510" spans="1:34" s="166" customFormat="1" x14ac:dyDescent="0.3">
      <c r="A1510" s="167">
        <v>903540</v>
      </c>
      <c r="B1510" s="186">
        <v>16.166666666666664</v>
      </c>
      <c r="C1510" s="186">
        <v>3.75</v>
      </c>
      <c r="D1510" s="187">
        <v>8.2200000000000006</v>
      </c>
      <c r="E1510" s="1535">
        <v>0.193</v>
      </c>
      <c r="F1510" s="186">
        <v>44.400000000000006</v>
      </c>
      <c r="G1510" s="189"/>
      <c r="H1510" s="189">
        <v>26.462</v>
      </c>
      <c r="I1510" s="189">
        <v>230</v>
      </c>
      <c r="J1510" s="188">
        <v>0.05</v>
      </c>
      <c r="K1510" s="186">
        <v>11.97</v>
      </c>
      <c r="L1510" s="190">
        <v>1660</v>
      </c>
      <c r="M1510" s="190">
        <v>0.33</v>
      </c>
      <c r="N1510" s="190">
        <v>1.39</v>
      </c>
      <c r="O1510" s="186">
        <v>7.31</v>
      </c>
      <c r="P1510" s="186">
        <v>9.14</v>
      </c>
      <c r="Q1510" s="188"/>
      <c r="R1510" s="187">
        <v>1.3063536898947525</v>
      </c>
      <c r="S1510" s="190">
        <v>8.8000000000000007</v>
      </c>
      <c r="T1510" s="190"/>
      <c r="U1510" s="190"/>
      <c r="V1510" s="190"/>
      <c r="W1510" s="190"/>
      <c r="X1510" s="186"/>
      <c r="Y1510" s="190">
        <v>33</v>
      </c>
      <c r="Z1510" s="187"/>
      <c r="AA1510" s="187">
        <v>3.99</v>
      </c>
      <c r="AB1510" s="187">
        <v>0.40799999999999997</v>
      </c>
      <c r="AC1510" s="191">
        <v>6.5</v>
      </c>
      <c r="AD1510" s="191">
        <v>560</v>
      </c>
      <c r="AE1510" s="191">
        <v>320</v>
      </c>
      <c r="AF1510" s="190">
        <v>120</v>
      </c>
      <c r="AG1510" s="66">
        <f t="shared" si="63"/>
        <v>128.40545454545455</v>
      </c>
      <c r="AH1510" s="143">
        <f t="shared" si="64"/>
        <v>1000</v>
      </c>
    </row>
    <row r="1511" spans="1:34" s="166" customFormat="1" x14ac:dyDescent="0.3">
      <c r="A1511" s="167">
        <v>903541</v>
      </c>
      <c r="B1511" s="186">
        <v>13.749999999999998</v>
      </c>
      <c r="C1511" s="186">
        <v>4.625</v>
      </c>
      <c r="D1511" s="187">
        <v>8.33</v>
      </c>
      <c r="E1511" s="1535">
        <v>0.191</v>
      </c>
      <c r="F1511" s="186">
        <v>47.45</v>
      </c>
      <c r="G1511" s="189"/>
      <c r="H1511" s="189">
        <v>36.747</v>
      </c>
      <c r="I1511" s="189">
        <v>300</v>
      </c>
      <c r="J1511" s="188">
        <v>0.06</v>
      </c>
      <c r="K1511" s="186">
        <v>11.55</v>
      </c>
      <c r="L1511" s="190">
        <v>1700</v>
      </c>
      <c r="M1511" s="190">
        <v>1.22</v>
      </c>
      <c r="N1511" s="190">
        <v>3.16</v>
      </c>
      <c r="O1511" s="186">
        <v>10.39</v>
      </c>
      <c r="P1511" s="186">
        <v>9.7100000000000009</v>
      </c>
      <c r="Q1511" s="188"/>
      <c r="R1511" s="187">
        <v>1.3676330972384387</v>
      </c>
      <c r="S1511" s="190">
        <v>8.9</v>
      </c>
      <c r="T1511" s="190"/>
      <c r="U1511" s="190"/>
      <c r="V1511" s="190"/>
      <c r="W1511" s="190"/>
      <c r="X1511" s="186"/>
      <c r="Y1511" s="190">
        <v>32</v>
      </c>
      <c r="Z1511" s="187"/>
      <c r="AA1511" s="187">
        <v>4.91</v>
      </c>
      <c r="AB1511" s="187">
        <v>0.51900000000000002</v>
      </c>
      <c r="AC1511" s="191">
        <v>7.1</v>
      </c>
      <c r="AD1511" s="191">
        <v>540</v>
      </c>
      <c r="AE1511" s="191">
        <v>320</v>
      </c>
      <c r="AF1511" s="190">
        <v>140</v>
      </c>
      <c r="AG1511" s="66">
        <f t="shared" si="63"/>
        <v>127.77187499999999</v>
      </c>
      <c r="AH1511" s="143">
        <f t="shared" si="64"/>
        <v>1000</v>
      </c>
    </row>
    <row r="1512" spans="1:34" s="233" customFormat="1" x14ac:dyDescent="0.3">
      <c r="A1512" s="226">
        <v>903514</v>
      </c>
      <c r="B1512" s="227">
        <v>2.2799999999999998</v>
      </c>
      <c r="C1512" s="227"/>
      <c r="D1512" s="228">
        <v>7.65</v>
      </c>
      <c r="E1512" s="1536">
        <v>0.42599999999999999</v>
      </c>
      <c r="F1512" s="230">
        <v>275.5</v>
      </c>
      <c r="G1512" s="230"/>
      <c r="H1512" s="230">
        <v>203.6</v>
      </c>
      <c r="I1512" s="230">
        <v>490</v>
      </c>
      <c r="J1512" s="229">
        <v>0.12</v>
      </c>
      <c r="K1512" s="227">
        <v>5.49</v>
      </c>
      <c r="L1512" s="231">
        <v>410</v>
      </c>
      <c r="M1512" s="231">
        <v>5.17</v>
      </c>
      <c r="N1512" s="231">
        <v>0.57999999999999996</v>
      </c>
      <c r="O1512" s="227">
        <v>4.45</v>
      </c>
      <c r="P1512" s="227">
        <v>11.62</v>
      </c>
      <c r="Q1512" s="229"/>
      <c r="R1512" s="228">
        <v>1.9604250000000003</v>
      </c>
      <c r="S1512" s="231">
        <v>22.5</v>
      </c>
      <c r="T1512" s="231"/>
      <c r="U1512" s="231"/>
      <c r="V1512" s="231"/>
      <c r="W1512" s="231"/>
      <c r="X1512" s="227"/>
      <c r="Y1512" s="231">
        <v>4.8</v>
      </c>
      <c r="Z1512" s="228"/>
      <c r="AA1512" s="228">
        <v>4.59</v>
      </c>
      <c r="AB1512" s="228">
        <v>0.46500000000000002</v>
      </c>
      <c r="AC1512" s="232">
        <v>6.9</v>
      </c>
      <c r="AD1512" s="232">
        <v>80</v>
      </c>
      <c r="AE1512" s="232">
        <v>80</v>
      </c>
      <c r="AF1512" s="231">
        <v>840</v>
      </c>
      <c r="AG1512" s="66">
        <f t="shared" si="63"/>
        <v>404.88750000000005</v>
      </c>
      <c r="AH1512" s="143">
        <f t="shared" si="64"/>
        <v>1000</v>
      </c>
    </row>
    <row r="1513" spans="1:34" s="233" customFormat="1" x14ac:dyDescent="0.3">
      <c r="A1513" s="226">
        <v>903515</v>
      </c>
      <c r="B1513" s="227">
        <v>0.08</v>
      </c>
      <c r="C1513" s="227"/>
      <c r="D1513" s="228">
        <v>6.78</v>
      </c>
      <c r="E1513" s="1536">
        <v>0.06</v>
      </c>
      <c r="F1513" s="230">
        <v>76</v>
      </c>
      <c r="G1513" s="230"/>
      <c r="H1513" s="230">
        <v>57.65</v>
      </c>
      <c r="I1513" s="230">
        <v>250</v>
      </c>
      <c r="J1513" s="229">
        <v>0.03</v>
      </c>
      <c r="K1513" s="227">
        <v>2.9</v>
      </c>
      <c r="L1513" s="231">
        <v>240</v>
      </c>
      <c r="M1513" s="231">
        <v>0.62</v>
      </c>
      <c r="N1513" s="231">
        <v>3.82</v>
      </c>
      <c r="O1513" s="227">
        <v>26.39</v>
      </c>
      <c r="P1513" s="227">
        <v>33.11</v>
      </c>
      <c r="Q1513" s="229"/>
      <c r="R1513" s="228">
        <v>0.89568796899086889</v>
      </c>
      <c r="S1513" s="231">
        <v>6.2</v>
      </c>
      <c r="T1513" s="231"/>
      <c r="U1513" s="231"/>
      <c r="V1513" s="231"/>
      <c r="W1513" s="231"/>
      <c r="X1513" s="227"/>
      <c r="Y1513" s="231">
        <v>12.5</v>
      </c>
      <c r="Z1513" s="228"/>
      <c r="AA1513" s="228">
        <v>4.72</v>
      </c>
      <c r="AB1513" s="228">
        <v>0.255</v>
      </c>
      <c r="AC1513" s="232">
        <v>6.7</v>
      </c>
      <c r="AD1513" s="232">
        <v>500</v>
      </c>
      <c r="AE1513" s="232">
        <v>240</v>
      </c>
      <c r="AF1513" s="231">
        <v>260</v>
      </c>
      <c r="AG1513" s="66">
        <f t="shared" si="63"/>
        <v>82.127999999999986</v>
      </c>
      <c r="AH1513" s="143">
        <f t="shared" si="64"/>
        <v>1000</v>
      </c>
    </row>
    <row r="1514" spans="1:34" s="233" customFormat="1" x14ac:dyDescent="0.3">
      <c r="A1514" s="226">
        <v>903516</v>
      </c>
      <c r="B1514" s="227">
        <v>0.18</v>
      </c>
      <c r="C1514" s="227"/>
      <c r="D1514" s="228">
        <v>6.77</v>
      </c>
      <c r="E1514" s="1536">
        <v>4.8000000000000001E-2</v>
      </c>
      <c r="F1514" s="230">
        <v>63.5</v>
      </c>
      <c r="G1514" s="230"/>
      <c r="H1514" s="230">
        <v>43.13</v>
      </c>
      <c r="I1514" s="230">
        <v>150</v>
      </c>
      <c r="J1514" s="229">
        <v>0.06</v>
      </c>
      <c r="K1514" s="227">
        <v>2.7</v>
      </c>
      <c r="L1514" s="231">
        <v>250</v>
      </c>
      <c r="M1514" s="231">
        <v>0.37</v>
      </c>
      <c r="N1514" s="231">
        <v>3.18</v>
      </c>
      <c r="O1514" s="227">
        <v>21.85</v>
      </c>
      <c r="P1514" s="227">
        <v>27.8</v>
      </c>
      <c r="Q1514" s="229"/>
      <c r="R1514" s="228">
        <v>0.6335440270081818</v>
      </c>
      <c r="S1514" s="231">
        <v>4.5999999999999996</v>
      </c>
      <c r="T1514" s="231"/>
      <c r="U1514" s="231"/>
      <c r="V1514" s="231"/>
      <c r="W1514" s="231"/>
      <c r="X1514" s="227"/>
      <c r="Y1514" s="231">
        <v>13.4</v>
      </c>
      <c r="Z1514" s="228"/>
      <c r="AA1514" s="228">
        <v>4.5599999999999996</v>
      </c>
      <c r="AB1514" s="228">
        <v>0.28100000000000003</v>
      </c>
      <c r="AC1514" s="232">
        <v>7.3</v>
      </c>
      <c r="AD1514" s="232">
        <v>500</v>
      </c>
      <c r="AE1514" s="232">
        <v>260</v>
      </c>
      <c r="AF1514" s="231">
        <v>240</v>
      </c>
      <c r="AG1514" s="66">
        <f t="shared" si="63"/>
        <v>71.328358208955237</v>
      </c>
      <c r="AH1514" s="143">
        <f t="shared" si="64"/>
        <v>1000</v>
      </c>
    </row>
    <row r="1515" spans="1:34" s="233" customFormat="1" x14ac:dyDescent="0.3">
      <c r="A1515" s="226">
        <v>903517</v>
      </c>
      <c r="B1515" s="227">
        <v>0.1</v>
      </c>
      <c r="C1515" s="227"/>
      <c r="D1515" s="228">
        <v>6.37</v>
      </c>
      <c r="E1515" s="1536">
        <v>0.08</v>
      </c>
      <c r="F1515" s="230">
        <v>77.8</v>
      </c>
      <c r="G1515" s="230"/>
      <c r="H1515" s="230">
        <v>105.16</v>
      </c>
      <c r="I1515" s="230">
        <v>280</v>
      </c>
      <c r="J1515" s="229">
        <v>0.03</v>
      </c>
      <c r="K1515" s="227">
        <v>2.06</v>
      </c>
      <c r="L1515" s="231">
        <v>170</v>
      </c>
      <c r="M1515" s="231">
        <v>1.65</v>
      </c>
      <c r="N1515" s="231">
        <v>15.94</v>
      </c>
      <c r="O1515" s="227">
        <v>13.21</v>
      </c>
      <c r="P1515" s="227">
        <v>40.44</v>
      </c>
      <c r="Q1515" s="229"/>
      <c r="R1515" s="228">
        <v>1.0765128108983881</v>
      </c>
      <c r="S1515" s="231">
        <v>7.6</v>
      </c>
      <c r="T1515" s="231"/>
      <c r="U1515" s="231"/>
      <c r="V1515" s="231"/>
      <c r="W1515" s="231"/>
      <c r="X1515" s="227"/>
      <c r="Y1515" s="231">
        <v>11.9</v>
      </c>
      <c r="Z1515" s="228"/>
      <c r="AA1515" s="228">
        <v>4.4400000000000004</v>
      </c>
      <c r="AB1515" s="228">
        <v>0.65800000000000003</v>
      </c>
      <c r="AC1515" s="232">
        <v>7.1</v>
      </c>
      <c r="AD1515" s="232">
        <v>500</v>
      </c>
      <c r="AE1515" s="232">
        <v>260</v>
      </c>
      <c r="AF1515" s="231">
        <v>240</v>
      </c>
      <c r="AG1515" s="66">
        <f t="shared" si="63"/>
        <v>61.280672268907558</v>
      </c>
      <c r="AH1515" s="143">
        <f t="shared" si="64"/>
        <v>1000</v>
      </c>
    </row>
    <row r="1516" spans="1:34" s="233" customFormat="1" x14ac:dyDescent="0.3">
      <c r="A1516" s="226">
        <v>903518</v>
      </c>
      <c r="B1516" s="227">
        <v>0.15</v>
      </c>
      <c r="C1516" s="227"/>
      <c r="D1516" s="228">
        <v>6.35</v>
      </c>
      <c r="E1516" s="1536">
        <v>0.10100000000000001</v>
      </c>
      <c r="F1516" s="230">
        <v>79.099999999999994</v>
      </c>
      <c r="G1516" s="230"/>
      <c r="H1516" s="230">
        <v>74.05</v>
      </c>
      <c r="I1516" s="230">
        <v>230</v>
      </c>
      <c r="J1516" s="229">
        <v>0.04</v>
      </c>
      <c r="K1516" s="227">
        <v>2.04</v>
      </c>
      <c r="L1516" s="231">
        <v>200</v>
      </c>
      <c r="M1516" s="231">
        <v>0.89</v>
      </c>
      <c r="N1516" s="231">
        <v>10.32</v>
      </c>
      <c r="O1516" s="227">
        <v>17.12</v>
      </c>
      <c r="P1516" s="227">
        <v>29.5</v>
      </c>
      <c r="Q1516" s="229"/>
      <c r="R1516" s="228">
        <v>0.94796924108939107</v>
      </c>
      <c r="S1516" s="231">
        <v>6.8</v>
      </c>
      <c r="T1516" s="231"/>
      <c r="U1516" s="231"/>
      <c r="V1516" s="231"/>
      <c r="W1516" s="231"/>
      <c r="X1516" s="227"/>
      <c r="Y1516" s="231">
        <v>12.4</v>
      </c>
      <c r="Z1516" s="228"/>
      <c r="AA1516" s="228">
        <v>4.1399999999999997</v>
      </c>
      <c r="AB1516" s="228">
        <v>0.83099999999999996</v>
      </c>
      <c r="AC1516" s="232">
        <v>10.199999999999999</v>
      </c>
      <c r="AD1516" s="232">
        <v>510</v>
      </c>
      <c r="AE1516" s="232">
        <v>240</v>
      </c>
      <c r="AF1516" s="231">
        <v>250</v>
      </c>
      <c r="AG1516" s="66">
        <f t="shared" si="63"/>
        <v>58.238709677419358</v>
      </c>
      <c r="AH1516" s="143">
        <f t="shared" si="64"/>
        <v>1000</v>
      </c>
    </row>
    <row r="1517" spans="1:34" s="233" customFormat="1" x14ac:dyDescent="0.3">
      <c r="A1517" s="226">
        <v>903519</v>
      </c>
      <c r="B1517" s="227">
        <v>0.33</v>
      </c>
      <c r="C1517" s="227"/>
      <c r="D1517" s="228">
        <v>7.46</v>
      </c>
      <c r="E1517" s="1536">
        <v>0.09</v>
      </c>
      <c r="F1517" s="230">
        <v>89.1</v>
      </c>
      <c r="G1517" s="230"/>
      <c r="H1517" s="230">
        <v>76.52</v>
      </c>
      <c r="I1517" s="230">
        <v>100</v>
      </c>
      <c r="J1517" s="229">
        <v>0.04</v>
      </c>
      <c r="K1517" s="227">
        <v>2.1800000000000002</v>
      </c>
      <c r="L1517" s="231">
        <v>150</v>
      </c>
      <c r="M1517" s="231">
        <v>1.04</v>
      </c>
      <c r="N1517" s="231">
        <v>0.21</v>
      </c>
      <c r="O1517" s="227">
        <v>8.8000000000000007</v>
      </c>
      <c r="P1517" s="227">
        <v>8.09</v>
      </c>
      <c r="Q1517" s="229"/>
      <c r="R1517" s="228">
        <v>1.5784280000000002</v>
      </c>
      <c r="S1517" s="231">
        <v>10.4</v>
      </c>
      <c r="T1517" s="231"/>
      <c r="U1517" s="231"/>
      <c r="V1517" s="231"/>
      <c r="W1517" s="231"/>
      <c r="X1517" s="227"/>
      <c r="Y1517" s="231">
        <v>4.2</v>
      </c>
      <c r="Z1517" s="228"/>
      <c r="AA1517" s="228">
        <v>4.3899999999999997</v>
      </c>
      <c r="AB1517" s="228">
        <v>0.69499999999999995</v>
      </c>
      <c r="AC1517" s="232">
        <v>7.6</v>
      </c>
      <c r="AD1517" s="232">
        <v>70</v>
      </c>
      <c r="AE1517" s="232">
        <v>80</v>
      </c>
      <c r="AF1517" s="231">
        <v>850</v>
      </c>
      <c r="AG1517" s="66">
        <f t="shared" si="63"/>
        <v>183.74285714285716</v>
      </c>
      <c r="AH1517" s="143">
        <f t="shared" si="64"/>
        <v>1000</v>
      </c>
    </row>
    <row r="1518" spans="1:34" s="233" customFormat="1" x14ac:dyDescent="0.3">
      <c r="A1518" s="226">
        <v>903520</v>
      </c>
      <c r="B1518" s="227">
        <v>0.08</v>
      </c>
      <c r="C1518" s="227"/>
      <c r="D1518" s="228">
        <v>7.49</v>
      </c>
      <c r="E1518" s="1536">
        <v>4.7E-2</v>
      </c>
      <c r="F1518" s="230">
        <v>64.400000000000006</v>
      </c>
      <c r="G1518" s="230"/>
      <c r="H1518" s="230">
        <v>42.19</v>
      </c>
      <c r="I1518" s="230">
        <v>20</v>
      </c>
      <c r="J1518" s="229">
        <v>0.05</v>
      </c>
      <c r="K1518" s="227">
        <v>1.19</v>
      </c>
      <c r="L1518" s="231">
        <v>70</v>
      </c>
      <c r="M1518" s="231">
        <v>0.16</v>
      </c>
      <c r="N1518" s="231">
        <v>0.16</v>
      </c>
      <c r="O1518" s="227">
        <v>5.54</v>
      </c>
      <c r="P1518" s="227">
        <v>7.22</v>
      </c>
      <c r="Q1518" s="229"/>
      <c r="R1518" s="228">
        <v>0.48429567802812856</v>
      </c>
      <c r="S1518" s="231">
        <v>3.4</v>
      </c>
      <c r="T1518" s="231"/>
      <c r="U1518" s="231"/>
      <c r="V1518" s="231"/>
      <c r="W1518" s="231"/>
      <c r="X1518" s="227"/>
      <c r="Y1518" s="231">
        <v>4</v>
      </c>
      <c r="Z1518" s="228"/>
      <c r="AA1518" s="228">
        <v>4.3</v>
      </c>
      <c r="AB1518" s="228">
        <v>0.59499999999999997</v>
      </c>
      <c r="AC1518" s="232">
        <v>6.4</v>
      </c>
      <c r="AD1518" s="232">
        <v>80</v>
      </c>
      <c r="AE1518" s="232">
        <v>70</v>
      </c>
      <c r="AF1518" s="231">
        <v>850</v>
      </c>
      <c r="AG1518" s="66">
        <f t="shared" si="63"/>
        <v>105.315</v>
      </c>
      <c r="AH1518" s="143">
        <f t="shared" si="64"/>
        <v>1000</v>
      </c>
    </row>
    <row r="1519" spans="1:34" s="233" customFormat="1" x14ac:dyDescent="0.3">
      <c r="A1519" s="226">
        <v>903521</v>
      </c>
      <c r="B1519" s="227">
        <v>3.72</v>
      </c>
      <c r="C1519" s="227"/>
      <c r="D1519" s="228">
        <v>7.39</v>
      </c>
      <c r="E1519" s="1536">
        <v>0.35399999999999998</v>
      </c>
      <c r="F1519" s="230">
        <v>98.5</v>
      </c>
      <c r="G1519" s="230"/>
      <c r="H1519" s="230">
        <v>372.53</v>
      </c>
      <c r="I1519" s="230">
        <v>670</v>
      </c>
      <c r="J1519" s="229">
        <v>0.12</v>
      </c>
      <c r="K1519" s="227">
        <v>4.88</v>
      </c>
      <c r="L1519" s="231">
        <v>280</v>
      </c>
      <c r="M1519" s="231">
        <v>6.99</v>
      </c>
      <c r="N1519" s="231">
        <v>0.72</v>
      </c>
      <c r="O1519" s="227">
        <v>6.62</v>
      </c>
      <c r="P1519" s="227">
        <v>15.84</v>
      </c>
      <c r="Q1519" s="229"/>
      <c r="R1519" s="228">
        <v>1.7997680000000003</v>
      </c>
      <c r="S1519" s="231">
        <v>16.600000000000001</v>
      </c>
      <c r="T1519" s="231"/>
      <c r="U1519" s="231"/>
      <c r="V1519" s="231"/>
      <c r="W1519" s="231"/>
      <c r="X1519" s="227"/>
      <c r="Y1519" s="231">
        <v>4.2</v>
      </c>
      <c r="Z1519" s="228"/>
      <c r="AA1519" s="228">
        <v>3.66</v>
      </c>
      <c r="AB1519" s="228">
        <v>0.501</v>
      </c>
      <c r="AC1519" s="232">
        <v>6.8</v>
      </c>
      <c r="AD1519" s="232">
        <v>70</v>
      </c>
      <c r="AE1519" s="232">
        <v>70</v>
      </c>
      <c r="AF1519" s="231">
        <v>860</v>
      </c>
      <c r="AG1519" s="66">
        <f t="shared" si="63"/>
        <v>411.31428571428563</v>
      </c>
      <c r="AH1519" s="143">
        <f t="shared" si="64"/>
        <v>1000</v>
      </c>
    </row>
    <row r="1520" spans="1:34" s="233" customFormat="1" x14ac:dyDescent="0.3">
      <c r="A1520" s="226">
        <v>903522</v>
      </c>
      <c r="B1520" s="227">
        <v>1.67</v>
      </c>
      <c r="C1520" s="227"/>
      <c r="D1520" s="228">
        <v>7.9</v>
      </c>
      <c r="E1520" s="1536">
        <v>0.23799999999999999</v>
      </c>
      <c r="F1520" s="230">
        <v>64.8</v>
      </c>
      <c r="G1520" s="230"/>
      <c r="H1520" s="230">
        <v>145.94999999999999</v>
      </c>
      <c r="I1520" s="230">
        <v>100</v>
      </c>
      <c r="J1520" s="229">
        <v>0.15</v>
      </c>
      <c r="K1520" s="227">
        <v>3.62</v>
      </c>
      <c r="L1520" s="231">
        <v>250</v>
      </c>
      <c r="M1520" s="231">
        <v>1.04</v>
      </c>
      <c r="N1520" s="231">
        <v>0.36</v>
      </c>
      <c r="O1520" s="227">
        <v>1.92</v>
      </c>
      <c r="P1520" s="227">
        <v>21.87</v>
      </c>
      <c r="Q1520" s="229"/>
      <c r="R1520" s="228">
        <v>1.751153</v>
      </c>
      <c r="S1520" s="231">
        <v>15.1</v>
      </c>
      <c r="T1520" s="231"/>
      <c r="U1520" s="231"/>
      <c r="V1520" s="231"/>
      <c r="W1520" s="231"/>
      <c r="X1520" s="227"/>
      <c r="Y1520" s="231">
        <v>4.2</v>
      </c>
      <c r="Z1520" s="228"/>
      <c r="AA1520" s="228">
        <v>4.1100000000000003</v>
      </c>
      <c r="AB1520" s="228">
        <v>0.372</v>
      </c>
      <c r="AC1520" s="232">
        <v>6.8</v>
      </c>
      <c r="AD1520" s="232">
        <v>60</v>
      </c>
      <c r="AE1520" s="232">
        <v>80</v>
      </c>
      <c r="AF1520" s="231">
        <v>860</v>
      </c>
      <c r="AG1520" s="66">
        <f t="shared" si="63"/>
        <v>305.1142857142857</v>
      </c>
      <c r="AH1520" s="143">
        <f t="shared" si="64"/>
        <v>1000</v>
      </c>
    </row>
    <row r="1521" spans="1:34" s="233" customFormat="1" x14ac:dyDescent="0.3">
      <c r="A1521" s="226">
        <v>903523</v>
      </c>
      <c r="B1521" s="227">
        <v>13.75</v>
      </c>
      <c r="C1521" s="227">
        <v>1.1000000000000001</v>
      </c>
      <c r="D1521" s="228">
        <v>8.52</v>
      </c>
      <c r="E1521" s="1536">
        <v>0.161</v>
      </c>
      <c r="F1521" s="230">
        <v>58</v>
      </c>
      <c r="G1521" s="230"/>
      <c r="H1521" s="230">
        <v>39.22</v>
      </c>
      <c r="I1521" s="230">
        <v>40</v>
      </c>
      <c r="J1521" s="229">
        <v>0.15</v>
      </c>
      <c r="K1521" s="227">
        <v>5.78</v>
      </c>
      <c r="L1521" s="231">
        <v>190</v>
      </c>
      <c r="M1521" s="231">
        <v>0.38</v>
      </c>
      <c r="N1521" s="231">
        <v>0.24</v>
      </c>
      <c r="O1521" s="227">
        <v>1.02</v>
      </c>
      <c r="P1521" s="227">
        <v>14.4</v>
      </c>
      <c r="Q1521" s="229"/>
      <c r="R1521" s="228">
        <v>1.2918308149618054</v>
      </c>
      <c r="S1521" s="231">
        <v>8.5</v>
      </c>
      <c r="T1521" s="231"/>
      <c r="U1521" s="231"/>
      <c r="V1521" s="231"/>
      <c r="W1521" s="231"/>
      <c r="X1521" s="227"/>
      <c r="Y1521" s="231">
        <v>3</v>
      </c>
      <c r="Z1521" s="228"/>
      <c r="AA1521" s="228">
        <v>3.53</v>
      </c>
      <c r="AB1521" s="228">
        <v>0.60599999999999998</v>
      </c>
      <c r="AC1521" s="232">
        <v>8.9</v>
      </c>
      <c r="AD1521" s="232">
        <v>60</v>
      </c>
      <c r="AE1521" s="232">
        <v>60</v>
      </c>
      <c r="AF1521" s="231">
        <v>880</v>
      </c>
      <c r="AG1521" s="66">
        <f t="shared" si="63"/>
        <v>682.04000000000008</v>
      </c>
      <c r="AH1521" s="143">
        <f t="shared" si="64"/>
        <v>1000</v>
      </c>
    </row>
    <row r="1522" spans="1:34" s="233" customFormat="1" x14ac:dyDescent="0.3">
      <c r="A1522" s="226">
        <v>903524</v>
      </c>
      <c r="B1522" s="227">
        <v>0.56999999999999995</v>
      </c>
      <c r="C1522" s="227"/>
      <c r="D1522" s="228">
        <v>8.08</v>
      </c>
      <c r="E1522" s="1536">
        <v>0.111</v>
      </c>
      <c r="F1522" s="230">
        <v>60.9</v>
      </c>
      <c r="G1522" s="230"/>
      <c r="H1522" s="230">
        <v>88.57</v>
      </c>
      <c r="I1522" s="230">
        <v>50</v>
      </c>
      <c r="J1522" s="229">
        <v>0.17</v>
      </c>
      <c r="K1522" s="227">
        <v>1.78</v>
      </c>
      <c r="L1522" s="231">
        <v>170</v>
      </c>
      <c r="M1522" s="231">
        <v>0.66</v>
      </c>
      <c r="N1522" s="231">
        <v>0.28000000000000003</v>
      </c>
      <c r="O1522" s="227">
        <v>1.73</v>
      </c>
      <c r="P1522" s="227">
        <v>19.09</v>
      </c>
      <c r="Q1522" s="229"/>
      <c r="R1522" s="228">
        <v>0.77859433435544689</v>
      </c>
      <c r="S1522" s="231">
        <v>5.6</v>
      </c>
      <c r="T1522" s="231"/>
      <c r="U1522" s="231"/>
      <c r="V1522" s="231"/>
      <c r="W1522" s="231"/>
      <c r="X1522" s="227"/>
      <c r="Y1522" s="231">
        <v>5.6</v>
      </c>
      <c r="Z1522" s="228"/>
      <c r="AA1522" s="228">
        <v>3.86</v>
      </c>
      <c r="AB1522" s="228">
        <v>0.53900000000000003</v>
      </c>
      <c r="AC1522" s="232">
        <v>8.8000000000000007</v>
      </c>
      <c r="AD1522" s="232">
        <v>80</v>
      </c>
      <c r="AE1522" s="232">
        <v>60</v>
      </c>
      <c r="AF1522" s="231">
        <v>860</v>
      </c>
      <c r="AG1522" s="66">
        <f t="shared" si="63"/>
        <v>112.52142857142859</v>
      </c>
      <c r="AH1522" s="143">
        <f t="shared" si="64"/>
        <v>1000</v>
      </c>
    </row>
    <row r="1523" spans="1:34" s="233" customFormat="1" x14ac:dyDescent="0.3">
      <c r="A1523" s="226">
        <v>903525</v>
      </c>
      <c r="B1523" s="227">
        <v>0.17</v>
      </c>
      <c r="C1523" s="227"/>
      <c r="D1523" s="228">
        <v>7.2</v>
      </c>
      <c r="E1523" s="1536">
        <v>0.105</v>
      </c>
      <c r="F1523" s="230">
        <v>77.5</v>
      </c>
      <c r="G1523" s="230"/>
      <c r="H1523" s="230">
        <v>326.12</v>
      </c>
      <c r="I1523" s="230">
        <v>80</v>
      </c>
      <c r="J1523" s="229">
        <v>0.02</v>
      </c>
      <c r="K1523" s="227">
        <v>1.93</v>
      </c>
      <c r="L1523" s="231">
        <v>80</v>
      </c>
      <c r="M1523" s="228">
        <v>7</v>
      </c>
      <c r="N1523" s="231">
        <v>2.06</v>
      </c>
      <c r="O1523" s="227">
        <v>7.11</v>
      </c>
      <c r="P1523" s="227">
        <v>16.34</v>
      </c>
      <c r="Q1523" s="229"/>
      <c r="R1523" s="228">
        <v>0.83149248289997724</v>
      </c>
      <c r="S1523" s="231">
        <v>6.2</v>
      </c>
      <c r="T1523" s="231"/>
      <c r="U1523" s="231"/>
      <c r="V1523" s="231"/>
      <c r="W1523" s="231"/>
      <c r="X1523" s="227"/>
      <c r="Y1523" s="231">
        <v>4.2</v>
      </c>
      <c r="Z1523" s="228"/>
      <c r="AA1523" s="228">
        <v>4.42</v>
      </c>
      <c r="AB1523" s="228">
        <v>0.79</v>
      </c>
      <c r="AC1523" s="232">
        <v>6.1</v>
      </c>
      <c r="AD1523" s="232">
        <v>60</v>
      </c>
      <c r="AE1523" s="232">
        <v>80</v>
      </c>
      <c r="AF1523" s="231">
        <v>860</v>
      </c>
      <c r="AG1523" s="66">
        <f t="shared" si="63"/>
        <v>162.67142857142858</v>
      </c>
      <c r="AH1523" s="143">
        <f t="shared" si="64"/>
        <v>1000</v>
      </c>
    </row>
    <row r="1524" spans="1:34" s="233" customFormat="1" x14ac:dyDescent="0.3">
      <c r="A1524" s="226">
        <v>903526</v>
      </c>
      <c r="B1524" s="227">
        <v>0.7</v>
      </c>
      <c r="C1524" s="227"/>
      <c r="D1524" s="228">
        <v>7.72</v>
      </c>
      <c r="E1524" s="1536">
        <v>0.16700000000000001</v>
      </c>
      <c r="F1524" s="230">
        <v>133.19999999999999</v>
      </c>
      <c r="G1524" s="230"/>
      <c r="H1524" s="230">
        <v>249.24</v>
      </c>
      <c r="I1524" s="230">
        <v>220</v>
      </c>
      <c r="J1524" s="229">
        <v>7.0000000000000007E-2</v>
      </c>
      <c r="K1524" s="227">
        <v>2.5</v>
      </c>
      <c r="L1524" s="231">
        <v>230</v>
      </c>
      <c r="M1524" s="231">
        <v>4.47</v>
      </c>
      <c r="N1524" s="231">
        <v>0.44</v>
      </c>
      <c r="O1524" s="227">
        <v>11.7</v>
      </c>
      <c r="P1524" s="227">
        <v>7</v>
      </c>
      <c r="Q1524" s="229"/>
      <c r="R1524" s="228">
        <v>1.3270077955965254</v>
      </c>
      <c r="S1524" s="231">
        <v>9.9</v>
      </c>
      <c r="T1524" s="231"/>
      <c r="U1524" s="231"/>
      <c r="V1524" s="231"/>
      <c r="W1524" s="231"/>
      <c r="X1524" s="227"/>
      <c r="Y1524" s="231">
        <v>4</v>
      </c>
      <c r="Z1524" s="228"/>
      <c r="AA1524" s="228">
        <v>3.89</v>
      </c>
      <c r="AB1524" s="228">
        <v>0.66900000000000004</v>
      </c>
      <c r="AC1524" s="232">
        <v>8.1999999999999993</v>
      </c>
      <c r="AD1524" s="232">
        <v>80</v>
      </c>
      <c r="AE1524" s="232">
        <v>80</v>
      </c>
      <c r="AF1524" s="231">
        <v>840</v>
      </c>
      <c r="AG1524" s="66">
        <f t="shared" si="63"/>
        <v>221.25</v>
      </c>
      <c r="AH1524" s="143">
        <f t="shared" si="64"/>
        <v>1000</v>
      </c>
    </row>
    <row r="1525" spans="1:34" s="233" customFormat="1" x14ac:dyDescent="0.3">
      <c r="A1525" s="226">
        <v>903527</v>
      </c>
      <c r="B1525" s="227">
        <v>0.92</v>
      </c>
      <c r="C1525" s="227"/>
      <c r="D1525" s="228">
        <v>7.8</v>
      </c>
      <c r="E1525" s="1536">
        <v>0.17199999999999999</v>
      </c>
      <c r="F1525" s="230">
        <v>71.5</v>
      </c>
      <c r="G1525" s="230"/>
      <c r="H1525" s="230">
        <v>254.09</v>
      </c>
      <c r="I1525" s="230">
        <v>260</v>
      </c>
      <c r="J1525" s="229">
        <v>0.08</v>
      </c>
      <c r="K1525" s="227">
        <v>2.79</v>
      </c>
      <c r="L1525" s="231">
        <v>220</v>
      </c>
      <c r="M1525" s="231">
        <v>4.3600000000000003</v>
      </c>
      <c r="N1525" s="231">
        <v>0.47</v>
      </c>
      <c r="O1525" s="227">
        <v>11.93</v>
      </c>
      <c r="P1525" s="227">
        <v>7.22</v>
      </c>
      <c r="Q1525" s="229"/>
      <c r="R1525" s="228">
        <v>1.3619687794882636</v>
      </c>
      <c r="S1525" s="231">
        <v>9.4</v>
      </c>
      <c r="T1525" s="231"/>
      <c r="U1525" s="231"/>
      <c r="V1525" s="231"/>
      <c r="W1525" s="231"/>
      <c r="X1525" s="227"/>
      <c r="Y1525" s="231">
        <v>6</v>
      </c>
      <c r="Z1525" s="228"/>
      <c r="AA1525" s="228">
        <v>4.68</v>
      </c>
      <c r="AB1525" s="228">
        <v>0.58099999999999996</v>
      </c>
      <c r="AC1525" s="232">
        <v>9.9</v>
      </c>
      <c r="AD1525" s="232">
        <v>100</v>
      </c>
      <c r="AE1525" s="232">
        <v>60</v>
      </c>
      <c r="AF1525" s="231">
        <v>840</v>
      </c>
      <c r="AG1525" s="66">
        <f t="shared" si="63"/>
        <v>164.60999999999999</v>
      </c>
      <c r="AH1525" s="143">
        <f t="shared" si="64"/>
        <v>1000</v>
      </c>
    </row>
    <row r="1526" spans="1:34" s="233" customFormat="1" x14ac:dyDescent="0.3">
      <c r="A1526" s="226">
        <v>903528</v>
      </c>
      <c r="B1526" s="227">
        <v>0.46</v>
      </c>
      <c r="C1526" s="227"/>
      <c r="D1526" s="228">
        <v>7.85</v>
      </c>
      <c r="E1526" s="1536">
        <v>0.435</v>
      </c>
      <c r="F1526" s="230">
        <v>166.4</v>
      </c>
      <c r="G1526" s="230"/>
      <c r="H1526" s="230">
        <v>243.85</v>
      </c>
      <c r="I1526" s="230">
        <v>380</v>
      </c>
      <c r="J1526" s="229">
        <v>0.46</v>
      </c>
      <c r="K1526" s="227">
        <v>7.72</v>
      </c>
      <c r="L1526" s="231">
        <v>690</v>
      </c>
      <c r="M1526" s="231">
        <v>2.91</v>
      </c>
      <c r="N1526" s="231">
        <v>0.37</v>
      </c>
      <c r="O1526" s="227">
        <v>3.72</v>
      </c>
      <c r="P1526" s="227">
        <v>9.31</v>
      </c>
      <c r="Q1526" s="229"/>
      <c r="R1526" s="228">
        <v>2.1094970000000002</v>
      </c>
      <c r="S1526" s="231">
        <v>31.3</v>
      </c>
      <c r="T1526" s="231"/>
      <c r="U1526" s="231"/>
      <c r="V1526" s="231"/>
      <c r="W1526" s="231"/>
      <c r="X1526" s="227"/>
      <c r="Y1526" s="231">
        <v>21</v>
      </c>
      <c r="Z1526" s="228"/>
      <c r="AA1526" s="228">
        <v>4</v>
      </c>
      <c r="AB1526" s="228">
        <v>0.29099999999999998</v>
      </c>
      <c r="AC1526" s="232">
        <v>11.5</v>
      </c>
      <c r="AD1526" s="232">
        <v>300</v>
      </c>
      <c r="AE1526" s="232">
        <v>100</v>
      </c>
      <c r="AF1526" s="231">
        <v>600</v>
      </c>
      <c r="AG1526" s="66">
        <f t="shared" si="63"/>
        <v>130.13714285714286</v>
      </c>
      <c r="AH1526" s="143">
        <f t="shared" si="64"/>
        <v>1000</v>
      </c>
    </row>
    <row r="1527" spans="1:34" s="233" customFormat="1" x14ac:dyDescent="0.3">
      <c r="A1527" s="226">
        <v>903529</v>
      </c>
      <c r="B1527" s="227">
        <v>19.579999999999998</v>
      </c>
      <c r="C1527" s="227">
        <v>8.1</v>
      </c>
      <c r="D1527" s="228">
        <v>8.1</v>
      </c>
      <c r="E1527" s="1536">
        <v>0.82</v>
      </c>
      <c r="F1527" s="230">
        <v>360</v>
      </c>
      <c r="G1527" s="230"/>
      <c r="H1527" s="230">
        <v>426.8</v>
      </c>
      <c r="I1527" s="230">
        <v>850</v>
      </c>
      <c r="J1527" s="229">
        <v>0.43</v>
      </c>
      <c r="K1527" s="227">
        <v>11.76</v>
      </c>
      <c r="L1527" s="231">
        <v>1220</v>
      </c>
      <c r="M1527" s="231">
        <v>2.4</v>
      </c>
      <c r="N1527" s="231">
        <v>1.08</v>
      </c>
      <c r="O1527" s="227">
        <v>4.96</v>
      </c>
      <c r="P1527" s="227">
        <v>2.5</v>
      </c>
      <c r="Q1527" s="229"/>
      <c r="R1527" s="228">
        <v>1.9390680000000002</v>
      </c>
      <c r="S1527" s="231">
        <v>21.6</v>
      </c>
      <c r="T1527" s="231"/>
      <c r="U1527" s="231"/>
      <c r="V1527" s="231"/>
      <c r="W1527" s="231"/>
      <c r="X1527" s="227"/>
      <c r="Y1527" s="231">
        <v>30.8</v>
      </c>
      <c r="Z1527" s="228"/>
      <c r="AA1527" s="228">
        <v>3.99</v>
      </c>
      <c r="AB1527" s="228">
        <v>0.63800000000000001</v>
      </c>
      <c r="AC1527" s="232">
        <v>10.1</v>
      </c>
      <c r="AD1527" s="232">
        <v>440</v>
      </c>
      <c r="AE1527" s="232">
        <v>280</v>
      </c>
      <c r="AF1527" s="231">
        <v>280</v>
      </c>
      <c r="AG1527" s="66">
        <f t="shared" si="63"/>
        <v>135.16363636363636</v>
      </c>
      <c r="AH1527" s="143">
        <f t="shared" si="64"/>
        <v>1000</v>
      </c>
    </row>
    <row r="1528" spans="1:34" s="233" customFormat="1" x14ac:dyDescent="0.3">
      <c r="A1528" s="226">
        <v>903530</v>
      </c>
      <c r="B1528" s="227">
        <v>19.5</v>
      </c>
      <c r="C1528" s="227">
        <v>7.4</v>
      </c>
      <c r="D1528" s="228">
        <v>8.16</v>
      </c>
      <c r="E1528" s="1536">
        <v>0.21299999999999999</v>
      </c>
      <c r="F1528" s="230">
        <v>44.7</v>
      </c>
      <c r="G1528" s="230"/>
      <c r="H1528" s="230">
        <v>21.52</v>
      </c>
      <c r="I1528" s="230">
        <v>330</v>
      </c>
      <c r="J1528" s="229">
        <v>0.03</v>
      </c>
      <c r="K1528" s="227">
        <v>10.5</v>
      </c>
      <c r="L1528" s="231">
        <v>1560</v>
      </c>
      <c r="M1528" s="231">
        <v>2.5499999999999998</v>
      </c>
      <c r="N1528" s="231">
        <v>1.62</v>
      </c>
      <c r="O1528" s="227">
        <v>4.7</v>
      </c>
      <c r="P1528" s="227">
        <v>3.7</v>
      </c>
      <c r="Q1528" s="229"/>
      <c r="R1528" s="228">
        <v>1.737657</v>
      </c>
      <c r="S1528" s="231">
        <v>14.7</v>
      </c>
      <c r="T1528" s="231"/>
      <c r="U1528" s="231"/>
      <c r="V1528" s="231"/>
      <c r="W1528" s="231"/>
      <c r="X1528" s="227"/>
      <c r="Y1528" s="231">
        <v>25.6</v>
      </c>
      <c r="Z1528" s="228"/>
      <c r="AA1528" s="228">
        <v>4.38</v>
      </c>
      <c r="AB1528" s="228">
        <v>0.46600000000000003</v>
      </c>
      <c r="AC1528" s="232">
        <v>9.3000000000000007</v>
      </c>
      <c r="AD1528" s="232">
        <v>500</v>
      </c>
      <c r="AE1528" s="232">
        <v>380</v>
      </c>
      <c r="AF1528" s="231">
        <v>120</v>
      </c>
      <c r="AG1528" s="66">
        <f t="shared" si="63"/>
        <v>145.1953125</v>
      </c>
      <c r="AH1528" s="143">
        <f t="shared" si="64"/>
        <v>1000</v>
      </c>
    </row>
    <row r="1529" spans="1:34" s="233" customFormat="1" x14ac:dyDescent="0.3">
      <c r="A1529" s="226">
        <v>903531</v>
      </c>
      <c r="B1529" s="227">
        <v>55.67</v>
      </c>
      <c r="C1529" s="227">
        <v>0.9</v>
      </c>
      <c r="D1529" s="228">
        <v>8.16</v>
      </c>
      <c r="E1529" s="1536">
        <v>0.26</v>
      </c>
      <c r="F1529" s="230">
        <v>128.6</v>
      </c>
      <c r="G1529" s="230"/>
      <c r="H1529" s="230">
        <v>24.9</v>
      </c>
      <c r="I1529" s="230">
        <v>220</v>
      </c>
      <c r="J1529" s="229">
        <v>0.03</v>
      </c>
      <c r="K1529" s="227">
        <v>9.2100000000000009</v>
      </c>
      <c r="L1529" s="231">
        <v>1430</v>
      </c>
      <c r="M1529" s="231">
        <v>0.75</v>
      </c>
      <c r="N1529" s="231">
        <v>1.38</v>
      </c>
      <c r="O1529" s="227">
        <v>3.33</v>
      </c>
      <c r="P1529" s="227">
        <v>2.41</v>
      </c>
      <c r="Q1529" s="229"/>
      <c r="R1529" s="228">
        <v>1.2094273503312183</v>
      </c>
      <c r="S1529" s="231">
        <v>8.1999999999999993</v>
      </c>
      <c r="T1529" s="231"/>
      <c r="U1529" s="231"/>
      <c r="V1529" s="231"/>
      <c r="W1529" s="231"/>
      <c r="X1529" s="227"/>
      <c r="Y1529" s="231">
        <v>28.4</v>
      </c>
      <c r="Z1529" s="228"/>
      <c r="AA1529" s="228">
        <v>4.74</v>
      </c>
      <c r="AB1529" s="228">
        <v>0.89100000000000001</v>
      </c>
      <c r="AC1529" s="232">
        <v>6.7</v>
      </c>
      <c r="AD1529" s="232">
        <v>520</v>
      </c>
      <c r="AE1529" s="232">
        <v>340</v>
      </c>
      <c r="AF1529" s="231">
        <v>140</v>
      </c>
      <c r="AG1529" s="66">
        <f t="shared" si="63"/>
        <v>114.80070422535212</v>
      </c>
      <c r="AH1529" s="143">
        <f t="shared" si="64"/>
        <v>1000</v>
      </c>
    </row>
    <row r="1530" spans="1:34" s="233" customFormat="1" x14ac:dyDescent="0.3">
      <c r="A1530" s="226">
        <v>903532</v>
      </c>
      <c r="B1530" s="227">
        <v>0.83</v>
      </c>
      <c r="C1530" s="227"/>
      <c r="D1530" s="228">
        <v>8.1999999999999993</v>
      </c>
      <c r="E1530" s="1536">
        <v>0.127</v>
      </c>
      <c r="F1530" s="230">
        <v>60.1</v>
      </c>
      <c r="G1530" s="230"/>
      <c r="H1530" s="230">
        <v>41.99</v>
      </c>
      <c r="I1530" s="230">
        <v>410</v>
      </c>
      <c r="J1530" s="229">
        <v>0.02</v>
      </c>
      <c r="K1530" s="227">
        <v>9.11</v>
      </c>
      <c r="L1530" s="231">
        <v>1650</v>
      </c>
      <c r="M1530" s="231">
        <v>0.95</v>
      </c>
      <c r="N1530" s="231">
        <v>2.06</v>
      </c>
      <c r="O1530" s="227">
        <v>8.07</v>
      </c>
      <c r="P1530" s="227">
        <v>3.68</v>
      </c>
      <c r="Q1530" s="229"/>
      <c r="R1530" s="228">
        <v>1.7774730000000001</v>
      </c>
      <c r="S1530" s="231">
        <v>15.9</v>
      </c>
      <c r="T1530" s="231"/>
      <c r="U1530" s="231"/>
      <c r="V1530" s="231"/>
      <c r="W1530" s="231"/>
      <c r="X1530" s="227"/>
      <c r="Y1530" s="231">
        <v>34.6</v>
      </c>
      <c r="Z1530" s="228"/>
      <c r="AA1530" s="228">
        <v>4.7699999999999996</v>
      </c>
      <c r="AB1530" s="228">
        <v>0.53900000000000003</v>
      </c>
      <c r="AC1530" s="232">
        <v>11.8</v>
      </c>
      <c r="AD1530" s="232">
        <v>540</v>
      </c>
      <c r="AE1530" s="232">
        <v>340</v>
      </c>
      <c r="AF1530" s="231">
        <v>120</v>
      </c>
      <c r="AG1530" s="66">
        <f t="shared" si="63"/>
        <v>93.206358381502895</v>
      </c>
      <c r="AH1530" s="143">
        <f t="shared" si="64"/>
        <v>1000</v>
      </c>
    </row>
    <row r="1531" spans="1:34" s="233" customFormat="1" x14ac:dyDescent="0.3">
      <c r="A1531" s="226">
        <v>903533</v>
      </c>
      <c r="B1531" s="227">
        <v>4.75</v>
      </c>
      <c r="C1531" s="227"/>
      <c r="D1531" s="228">
        <v>8.39</v>
      </c>
      <c r="E1531" s="1536">
        <v>0.187</v>
      </c>
      <c r="F1531" s="230">
        <v>31.2</v>
      </c>
      <c r="G1531" s="230"/>
      <c r="H1531" s="230">
        <v>20.010000000000002</v>
      </c>
      <c r="I1531" s="230">
        <v>220</v>
      </c>
      <c r="J1531" s="229">
        <v>0.03</v>
      </c>
      <c r="K1531" s="227">
        <v>8.7799999999999994</v>
      </c>
      <c r="L1531" s="231">
        <v>1410</v>
      </c>
      <c r="M1531" s="231">
        <v>0.78</v>
      </c>
      <c r="N1531" s="231">
        <v>1.45</v>
      </c>
      <c r="O1531" s="227">
        <v>4.67</v>
      </c>
      <c r="P1531" s="227">
        <v>3.43</v>
      </c>
      <c r="Q1531" s="229"/>
      <c r="R1531" s="228">
        <v>0.81444858634293293</v>
      </c>
      <c r="S1531" s="231">
        <v>6</v>
      </c>
      <c r="T1531" s="231"/>
      <c r="U1531" s="231"/>
      <c r="V1531" s="231"/>
      <c r="W1531" s="231"/>
      <c r="X1531" s="227"/>
      <c r="Y1531" s="231">
        <v>26</v>
      </c>
      <c r="Z1531" s="228"/>
      <c r="AA1531" s="228">
        <v>4.8099999999999996</v>
      </c>
      <c r="AB1531" s="228">
        <v>0.35499999999999998</v>
      </c>
      <c r="AC1531" s="232">
        <v>11.4</v>
      </c>
      <c r="AD1531" s="232">
        <v>520</v>
      </c>
      <c r="AE1531" s="232">
        <v>320</v>
      </c>
      <c r="AF1531" s="231">
        <v>160</v>
      </c>
      <c r="AG1531" s="66">
        <f t="shared" si="63"/>
        <v>119.54307692307692</v>
      </c>
      <c r="AH1531" s="143">
        <f t="shared" si="64"/>
        <v>1000</v>
      </c>
    </row>
    <row r="1532" spans="1:34" s="233" customFormat="1" x14ac:dyDescent="0.3">
      <c r="A1532" s="226">
        <v>903534</v>
      </c>
      <c r="B1532" s="227">
        <v>0.5</v>
      </c>
      <c r="C1532" s="227"/>
      <c r="D1532" s="228">
        <v>8.2100000000000009</v>
      </c>
      <c r="E1532" s="1536">
        <v>9.8000000000000004E-2</v>
      </c>
      <c r="F1532" s="230">
        <v>62.1</v>
      </c>
      <c r="G1532" s="230"/>
      <c r="H1532" s="230">
        <v>20.25</v>
      </c>
      <c r="I1532" s="230">
        <v>280</v>
      </c>
      <c r="J1532" s="229">
        <v>0.04</v>
      </c>
      <c r="K1532" s="227">
        <v>9.5299999999999994</v>
      </c>
      <c r="L1532" s="231">
        <v>1370</v>
      </c>
      <c r="M1532" s="231">
        <v>0.64</v>
      </c>
      <c r="N1532" s="231">
        <v>0.89</v>
      </c>
      <c r="O1532" s="227">
        <v>15.54</v>
      </c>
      <c r="P1532" s="227">
        <v>2.2799999999999998</v>
      </c>
      <c r="Q1532" s="229"/>
      <c r="R1532" s="228">
        <v>1.7135000000000002</v>
      </c>
      <c r="S1532" s="231">
        <v>14</v>
      </c>
      <c r="T1532" s="231"/>
      <c r="U1532" s="231"/>
      <c r="V1532" s="231"/>
      <c r="W1532" s="231"/>
      <c r="X1532" s="227"/>
      <c r="Y1532" s="231">
        <v>39.200000000000003</v>
      </c>
      <c r="Z1532" s="228"/>
      <c r="AA1532" s="228">
        <v>3.73</v>
      </c>
      <c r="AB1532" s="228">
        <v>0.68300000000000005</v>
      </c>
      <c r="AC1532" s="232">
        <v>6.6</v>
      </c>
      <c r="AD1532" s="232">
        <v>560</v>
      </c>
      <c r="AE1532" s="232">
        <v>340</v>
      </c>
      <c r="AF1532" s="231">
        <v>100</v>
      </c>
      <c r="AG1532" s="66">
        <f t="shared" si="63"/>
        <v>86.06173469387754</v>
      </c>
      <c r="AH1532" s="143">
        <f t="shared" si="64"/>
        <v>1000</v>
      </c>
    </row>
    <row r="1533" spans="1:34" s="233" customFormat="1" x14ac:dyDescent="0.3">
      <c r="A1533" s="226">
        <v>903535</v>
      </c>
      <c r="B1533" s="227">
        <v>0.82</v>
      </c>
      <c r="C1533" s="227"/>
      <c r="D1533" s="228">
        <v>8.01</v>
      </c>
      <c r="E1533" s="1536">
        <v>0.159</v>
      </c>
      <c r="F1533" s="230">
        <v>54.8</v>
      </c>
      <c r="G1533" s="230"/>
      <c r="H1533" s="230">
        <v>16.670000000000002</v>
      </c>
      <c r="I1533" s="230">
        <v>280</v>
      </c>
      <c r="J1533" s="229">
        <v>0.04</v>
      </c>
      <c r="K1533" s="227">
        <v>9.91</v>
      </c>
      <c r="L1533" s="231">
        <v>1420</v>
      </c>
      <c r="M1533" s="231">
        <v>0.73</v>
      </c>
      <c r="N1533" s="231">
        <v>1.03</v>
      </c>
      <c r="O1533" s="227">
        <v>10.08</v>
      </c>
      <c r="P1533" s="227">
        <v>2.4500000000000002</v>
      </c>
      <c r="Q1533" s="229"/>
      <c r="R1533" s="228">
        <v>1.3977434445452677</v>
      </c>
      <c r="S1533" s="231">
        <v>9.6999999999999993</v>
      </c>
      <c r="T1533" s="231"/>
      <c r="U1533" s="231"/>
      <c r="V1533" s="231"/>
      <c r="W1533" s="231"/>
      <c r="X1533" s="227"/>
      <c r="Y1533" s="231">
        <v>27</v>
      </c>
      <c r="Z1533" s="228"/>
      <c r="AA1533" s="228">
        <v>4.67</v>
      </c>
      <c r="AB1533" s="228">
        <v>0.28100000000000003</v>
      </c>
      <c r="AC1533" s="232">
        <v>10.6</v>
      </c>
      <c r="AD1533" s="232">
        <v>540</v>
      </c>
      <c r="AE1533" s="232">
        <v>350</v>
      </c>
      <c r="AF1533" s="231">
        <v>110</v>
      </c>
      <c r="AG1533" s="66">
        <f t="shared" si="63"/>
        <v>129.93111111111114</v>
      </c>
      <c r="AH1533" s="143">
        <f t="shared" si="64"/>
        <v>1000</v>
      </c>
    </row>
    <row r="1534" spans="1:34" s="233" customFormat="1" x14ac:dyDescent="0.3">
      <c r="A1534" s="226">
        <v>903542</v>
      </c>
      <c r="B1534" s="227">
        <v>13.33</v>
      </c>
      <c r="C1534" s="227">
        <v>1.6</v>
      </c>
      <c r="D1534" s="228">
        <v>8.32</v>
      </c>
      <c r="E1534" s="1536">
        <v>0.151</v>
      </c>
      <c r="F1534" s="230">
        <v>45.5</v>
      </c>
      <c r="G1534" s="230"/>
      <c r="H1534" s="230">
        <v>27.1</v>
      </c>
      <c r="I1534" s="230">
        <v>480</v>
      </c>
      <c r="J1534" s="229">
        <v>0.03</v>
      </c>
      <c r="K1534" s="227">
        <v>7.87</v>
      </c>
      <c r="L1534" s="231">
        <v>1520</v>
      </c>
      <c r="M1534" s="231">
        <v>1.38</v>
      </c>
      <c r="N1534" s="231">
        <v>5.04</v>
      </c>
      <c r="O1534" s="227">
        <v>9.44</v>
      </c>
      <c r="P1534" s="227">
        <v>4.91</v>
      </c>
      <c r="Q1534" s="229"/>
      <c r="R1534" s="228">
        <v>1.720472</v>
      </c>
      <c r="S1534" s="231">
        <v>14.2</v>
      </c>
      <c r="T1534" s="231"/>
      <c r="U1534" s="231"/>
      <c r="V1534" s="231"/>
      <c r="W1534" s="231"/>
      <c r="X1534" s="227"/>
      <c r="Y1534" s="231">
        <v>32.4</v>
      </c>
      <c r="Z1534" s="228"/>
      <c r="AA1534" s="228">
        <v>3.69</v>
      </c>
      <c r="AB1534" s="228">
        <v>0.70799999999999996</v>
      </c>
      <c r="AC1534" s="232">
        <v>6.4</v>
      </c>
      <c r="AD1534" s="232">
        <v>540</v>
      </c>
      <c r="AE1534" s="232">
        <v>240</v>
      </c>
      <c r="AF1534" s="231">
        <v>220</v>
      </c>
      <c r="AG1534" s="66">
        <f t="shared" si="63"/>
        <v>85.987037037037041</v>
      </c>
      <c r="AH1534" s="143">
        <f t="shared" si="64"/>
        <v>1000</v>
      </c>
    </row>
    <row r="1535" spans="1:34" s="233" customFormat="1" x14ac:dyDescent="0.3">
      <c r="A1535" s="226">
        <v>903543</v>
      </c>
      <c r="B1535" s="227">
        <v>12.92</v>
      </c>
      <c r="C1535" s="227">
        <v>2.4</v>
      </c>
      <c r="D1535" s="228">
        <v>8.18</v>
      </c>
      <c r="E1535" s="1536">
        <v>0.158</v>
      </c>
      <c r="F1535" s="230">
        <v>75</v>
      </c>
      <c r="G1535" s="230"/>
      <c r="H1535" s="230">
        <v>65.72</v>
      </c>
      <c r="I1535" s="230">
        <v>260</v>
      </c>
      <c r="J1535" s="229">
        <v>0.02</v>
      </c>
      <c r="K1535" s="227">
        <v>9.51</v>
      </c>
      <c r="L1535" s="231">
        <v>1100</v>
      </c>
      <c r="M1535" s="231">
        <v>1.22</v>
      </c>
      <c r="N1535" s="231">
        <v>4.5</v>
      </c>
      <c r="O1535" s="227">
        <v>18.239999999999998</v>
      </c>
      <c r="P1535" s="227">
        <v>4.67</v>
      </c>
      <c r="Q1535" s="229"/>
      <c r="R1535" s="228">
        <v>1.1418430166373974</v>
      </c>
      <c r="S1535" s="231">
        <v>7.6</v>
      </c>
      <c r="T1535" s="231"/>
      <c r="U1535" s="231"/>
      <c r="V1535" s="231"/>
      <c r="W1535" s="231"/>
      <c r="X1535" s="227"/>
      <c r="Y1535" s="231">
        <v>28</v>
      </c>
      <c r="Z1535" s="228"/>
      <c r="AA1535" s="228">
        <v>3.87</v>
      </c>
      <c r="AB1535" s="228">
        <v>0.36299999999999999</v>
      </c>
      <c r="AC1535" s="232">
        <v>8.4</v>
      </c>
      <c r="AD1535" s="232">
        <v>400</v>
      </c>
      <c r="AE1535" s="232">
        <v>240</v>
      </c>
      <c r="AF1535" s="231">
        <v>360</v>
      </c>
      <c r="AG1535" s="66">
        <f t="shared" si="63"/>
        <v>120.23357142857142</v>
      </c>
      <c r="AH1535" s="143">
        <f t="shared" si="64"/>
        <v>1000</v>
      </c>
    </row>
    <row r="1536" spans="1:34" s="233" customFormat="1" x14ac:dyDescent="0.3">
      <c r="A1536" s="226">
        <v>903544</v>
      </c>
      <c r="B1536" s="227">
        <v>14.17</v>
      </c>
      <c r="C1536" s="227">
        <v>2.9</v>
      </c>
      <c r="D1536" s="228">
        <v>8.41</v>
      </c>
      <c r="E1536" s="1537">
        <v>1.56</v>
      </c>
      <c r="F1536" s="235">
        <v>2099.1999999999998</v>
      </c>
      <c r="G1536" s="230"/>
      <c r="H1536" s="230">
        <v>198.01</v>
      </c>
      <c r="I1536" s="230">
        <v>760</v>
      </c>
      <c r="J1536" s="234">
        <v>1.58</v>
      </c>
      <c r="K1536" s="227">
        <v>10.71</v>
      </c>
      <c r="L1536" s="231">
        <v>820</v>
      </c>
      <c r="M1536" s="231">
        <v>1.72</v>
      </c>
      <c r="N1536" s="231">
        <v>1.36</v>
      </c>
      <c r="O1536" s="227">
        <v>5.45</v>
      </c>
      <c r="P1536" s="227">
        <v>2.94</v>
      </c>
      <c r="Q1536" s="229"/>
      <c r="R1536" s="228">
        <v>1.1980787021594856</v>
      </c>
      <c r="S1536" s="231">
        <v>8.4</v>
      </c>
      <c r="T1536" s="231"/>
      <c r="U1536" s="231"/>
      <c r="V1536" s="231"/>
      <c r="W1536" s="231"/>
      <c r="X1536" s="227"/>
      <c r="Y1536" s="231">
        <v>26.6</v>
      </c>
      <c r="Z1536" s="228"/>
      <c r="AA1536" s="228">
        <v>4.32</v>
      </c>
      <c r="AB1536" s="228">
        <v>0.56999999999999995</v>
      </c>
      <c r="AC1536" s="232">
        <v>7.7</v>
      </c>
      <c r="AD1536" s="232">
        <v>380</v>
      </c>
      <c r="AE1536" s="232">
        <v>340</v>
      </c>
      <c r="AF1536" s="231">
        <v>280</v>
      </c>
      <c r="AG1536" s="66">
        <f t="shared" si="63"/>
        <v>142.53157894736842</v>
      </c>
      <c r="AH1536" s="143">
        <f t="shared" si="64"/>
        <v>1000</v>
      </c>
    </row>
    <row r="1537" spans="1:34" s="233" customFormat="1" x14ac:dyDescent="0.3">
      <c r="A1537" s="226">
        <v>903545</v>
      </c>
      <c r="B1537" s="227">
        <v>13.58</v>
      </c>
      <c r="C1537" s="227">
        <v>3.1</v>
      </c>
      <c r="D1537" s="228">
        <v>8.39</v>
      </c>
      <c r="E1537" s="1537">
        <v>1.53</v>
      </c>
      <c r="F1537" s="235">
        <v>2084.1999999999998</v>
      </c>
      <c r="G1537" s="230"/>
      <c r="H1537" s="230">
        <v>116.64</v>
      </c>
      <c r="I1537" s="230">
        <v>390</v>
      </c>
      <c r="J1537" s="234">
        <v>1.78</v>
      </c>
      <c r="K1537" s="227">
        <v>11.24</v>
      </c>
      <c r="L1537" s="231">
        <v>860</v>
      </c>
      <c r="M1537" s="231">
        <v>1.81</v>
      </c>
      <c r="N1537" s="231">
        <v>1.26</v>
      </c>
      <c r="O1537" s="227">
        <v>3.82</v>
      </c>
      <c r="P1537" s="227">
        <v>2.9</v>
      </c>
      <c r="Q1537" s="229"/>
      <c r="R1537" s="228">
        <v>1.774232</v>
      </c>
      <c r="S1537" s="231">
        <v>15.8</v>
      </c>
      <c r="T1537" s="231"/>
      <c r="U1537" s="231"/>
      <c r="V1537" s="231"/>
      <c r="W1537" s="231"/>
      <c r="X1537" s="227"/>
      <c r="Y1537" s="231">
        <v>18.5</v>
      </c>
      <c r="Z1537" s="228"/>
      <c r="AA1537" s="228">
        <v>3.87</v>
      </c>
      <c r="AB1537" s="228">
        <v>0.79500000000000004</v>
      </c>
      <c r="AC1537" s="232">
        <v>10.7</v>
      </c>
      <c r="AD1537" s="232">
        <v>370</v>
      </c>
      <c r="AE1537" s="232">
        <v>330</v>
      </c>
      <c r="AF1537" s="231">
        <v>300</v>
      </c>
      <c r="AG1537" s="66">
        <f t="shared" si="63"/>
        <v>215.07891891891893</v>
      </c>
      <c r="AH1537" s="143">
        <f t="shared" si="64"/>
        <v>1000</v>
      </c>
    </row>
    <row r="1538" spans="1:34" s="233" customFormat="1" x14ac:dyDescent="0.3">
      <c r="A1538" s="226">
        <v>903546</v>
      </c>
      <c r="B1538" s="227">
        <v>22.83</v>
      </c>
      <c r="C1538" s="227">
        <v>8.4</v>
      </c>
      <c r="D1538" s="228">
        <v>8.2799999999999994</v>
      </c>
      <c r="E1538" s="1536">
        <v>0.61699999999999999</v>
      </c>
      <c r="F1538" s="230">
        <v>269.39999999999998</v>
      </c>
      <c r="G1538" s="230"/>
      <c r="H1538" s="230">
        <v>148.56</v>
      </c>
      <c r="I1538" s="230">
        <v>320</v>
      </c>
      <c r="J1538" s="229">
        <v>0.3</v>
      </c>
      <c r="K1538" s="227">
        <v>11.31</v>
      </c>
      <c r="L1538" s="231">
        <v>720</v>
      </c>
      <c r="M1538" s="231">
        <v>1.21</v>
      </c>
      <c r="N1538" s="231">
        <v>0.78</v>
      </c>
      <c r="O1538" s="227">
        <v>5.12</v>
      </c>
      <c r="P1538" s="227">
        <v>1.88</v>
      </c>
      <c r="Q1538" s="229"/>
      <c r="R1538" s="228">
        <v>1.2578557051902826</v>
      </c>
      <c r="S1538" s="231">
        <v>8.6</v>
      </c>
      <c r="T1538" s="231"/>
      <c r="U1538" s="231"/>
      <c r="V1538" s="231"/>
      <c r="W1538" s="231"/>
      <c r="X1538" s="227"/>
      <c r="Y1538" s="231">
        <v>19</v>
      </c>
      <c r="Z1538" s="228"/>
      <c r="AA1538" s="228">
        <v>3.84</v>
      </c>
      <c r="AB1538" s="228">
        <v>0.373</v>
      </c>
      <c r="AC1538" s="232">
        <v>10.7</v>
      </c>
      <c r="AD1538" s="232">
        <v>380</v>
      </c>
      <c r="AE1538" s="232">
        <v>320</v>
      </c>
      <c r="AF1538" s="231">
        <v>300</v>
      </c>
      <c r="AG1538" s="66">
        <f t="shared" ref="AG1538:AG1601" si="65">+K1538*3.54*100/Y1538</f>
        <v>210.72315789473689</v>
      </c>
      <c r="AH1538" s="143">
        <f t="shared" ref="AH1538:AH1601" si="66">+SUM(AD1538:AF1538)</f>
        <v>1000</v>
      </c>
    </row>
    <row r="1539" spans="1:34" s="233" customFormat="1" x14ac:dyDescent="0.3">
      <c r="A1539" s="226">
        <v>903547</v>
      </c>
      <c r="B1539" s="227">
        <v>20.5</v>
      </c>
      <c r="C1539" s="227">
        <v>7.6</v>
      </c>
      <c r="D1539" s="228">
        <v>8.58</v>
      </c>
      <c r="E1539" s="1536">
        <v>0.30399999999999999</v>
      </c>
      <c r="F1539" s="230">
        <v>41.1</v>
      </c>
      <c r="G1539" s="230"/>
      <c r="H1539" s="230">
        <v>51.23</v>
      </c>
      <c r="I1539" s="230">
        <v>590</v>
      </c>
      <c r="J1539" s="229">
        <v>0.28000000000000003</v>
      </c>
      <c r="K1539" s="227">
        <v>11.01</v>
      </c>
      <c r="L1539" s="231">
        <v>370</v>
      </c>
      <c r="M1539" s="231">
        <v>0.45</v>
      </c>
      <c r="N1539" s="231">
        <v>0.9</v>
      </c>
      <c r="O1539" s="227">
        <v>2.77</v>
      </c>
      <c r="P1539" s="227">
        <v>1.94</v>
      </c>
      <c r="Q1539" s="229"/>
      <c r="R1539" s="228">
        <v>1.1846291566759617</v>
      </c>
      <c r="S1539" s="231">
        <v>8.1</v>
      </c>
      <c r="T1539" s="231"/>
      <c r="U1539" s="231"/>
      <c r="V1539" s="231"/>
      <c r="W1539" s="231"/>
      <c r="X1539" s="227"/>
      <c r="Y1539" s="231">
        <v>26.4</v>
      </c>
      <c r="Z1539" s="228"/>
      <c r="AA1539" s="228">
        <v>4.92</v>
      </c>
      <c r="AB1539" s="228">
        <v>0.28499999999999998</v>
      </c>
      <c r="AC1539" s="232">
        <v>6.5</v>
      </c>
      <c r="AD1539" s="232">
        <v>440</v>
      </c>
      <c r="AE1539" s="232">
        <v>180</v>
      </c>
      <c r="AF1539" s="231">
        <v>380</v>
      </c>
      <c r="AG1539" s="66">
        <f t="shared" si="65"/>
        <v>147.63409090909093</v>
      </c>
      <c r="AH1539" s="143">
        <f t="shared" si="66"/>
        <v>1000</v>
      </c>
    </row>
    <row r="1540" spans="1:34" s="233" customFormat="1" x14ac:dyDescent="0.3">
      <c r="A1540" s="226">
        <v>903548</v>
      </c>
      <c r="B1540" s="227">
        <v>0.22</v>
      </c>
      <c r="C1540" s="227"/>
      <c r="D1540" s="228">
        <v>7.75</v>
      </c>
      <c r="E1540" s="1536">
        <v>0.11799999999999999</v>
      </c>
      <c r="F1540" s="230">
        <v>88.8</v>
      </c>
      <c r="G1540" s="230"/>
      <c r="H1540" s="230">
        <v>41.53</v>
      </c>
      <c r="I1540" s="230">
        <v>110</v>
      </c>
      <c r="J1540" s="229">
        <v>0.06</v>
      </c>
      <c r="K1540" s="227">
        <v>5.5</v>
      </c>
      <c r="L1540" s="231">
        <v>430</v>
      </c>
      <c r="M1540" s="231">
        <v>0.46</v>
      </c>
      <c r="N1540" s="231">
        <v>0.77</v>
      </c>
      <c r="O1540" s="227">
        <v>4.49</v>
      </c>
      <c r="P1540" s="227">
        <v>29.25</v>
      </c>
      <c r="Q1540" s="229"/>
      <c r="R1540" s="228">
        <v>1.3026983115641495</v>
      </c>
      <c r="S1540" s="231">
        <v>9.3000000000000007</v>
      </c>
      <c r="T1540" s="231"/>
      <c r="U1540" s="231"/>
      <c r="V1540" s="231"/>
      <c r="W1540" s="231"/>
      <c r="X1540" s="227"/>
      <c r="Y1540" s="231">
        <v>18.2</v>
      </c>
      <c r="Z1540" s="228"/>
      <c r="AA1540" s="228">
        <v>4.87</v>
      </c>
      <c r="AB1540" s="228">
        <v>0.74399999999999999</v>
      </c>
      <c r="AC1540" s="232">
        <v>11.3</v>
      </c>
      <c r="AD1540" s="232">
        <v>260</v>
      </c>
      <c r="AE1540" s="232">
        <v>180</v>
      </c>
      <c r="AF1540" s="231">
        <v>560</v>
      </c>
      <c r="AG1540" s="66">
        <f t="shared" si="65"/>
        <v>106.97802197802199</v>
      </c>
      <c r="AH1540" s="143">
        <f t="shared" si="66"/>
        <v>1000</v>
      </c>
    </row>
    <row r="1541" spans="1:34" s="233" customFormat="1" x14ac:dyDescent="0.3">
      <c r="A1541" s="226">
        <v>903549</v>
      </c>
      <c r="B1541" s="227">
        <v>2.95</v>
      </c>
      <c r="C1541" s="227"/>
      <c r="D1541" s="228">
        <v>8.6</v>
      </c>
      <c r="E1541" s="1536">
        <v>0.21099999999999999</v>
      </c>
      <c r="F1541" s="230">
        <v>202.3</v>
      </c>
      <c r="G1541" s="230"/>
      <c r="H1541" s="230">
        <v>33.26</v>
      </c>
      <c r="I1541" s="230">
        <v>210</v>
      </c>
      <c r="J1541" s="229">
        <v>0.38</v>
      </c>
      <c r="K1541" s="227">
        <v>10.9</v>
      </c>
      <c r="L1541" s="231">
        <v>920</v>
      </c>
      <c r="M1541" s="231">
        <v>0.35</v>
      </c>
      <c r="N1541" s="231">
        <v>0.91</v>
      </c>
      <c r="O1541" s="227">
        <v>2.76</v>
      </c>
      <c r="P1541" s="227">
        <v>22.96</v>
      </c>
      <c r="Q1541" s="229"/>
      <c r="R1541" s="228">
        <v>1.802897</v>
      </c>
      <c r="S1541" s="231">
        <v>16.7</v>
      </c>
      <c r="T1541" s="231"/>
      <c r="U1541" s="231"/>
      <c r="V1541" s="231"/>
      <c r="W1541" s="231"/>
      <c r="X1541" s="227"/>
      <c r="Y1541" s="231">
        <v>28</v>
      </c>
      <c r="Z1541" s="228"/>
      <c r="AA1541" s="228">
        <v>3.56</v>
      </c>
      <c r="AB1541" s="228">
        <v>0.77800000000000002</v>
      </c>
      <c r="AC1541" s="232">
        <v>11.1</v>
      </c>
      <c r="AD1541" s="232">
        <v>400</v>
      </c>
      <c r="AE1541" s="232">
        <v>240</v>
      </c>
      <c r="AF1541" s="231">
        <v>360</v>
      </c>
      <c r="AG1541" s="66">
        <f t="shared" si="65"/>
        <v>137.80714285714285</v>
      </c>
      <c r="AH1541" s="143">
        <f t="shared" si="66"/>
        <v>1000</v>
      </c>
    </row>
    <row r="1542" spans="1:34" s="233" customFormat="1" x14ac:dyDescent="0.3">
      <c r="A1542" s="226">
        <v>903550</v>
      </c>
      <c r="B1542" s="227">
        <v>1</v>
      </c>
      <c r="C1542" s="227"/>
      <c r="D1542" s="228">
        <v>8.3000000000000007</v>
      </c>
      <c r="E1542" s="1536">
        <v>0.39200000000000002</v>
      </c>
      <c r="F1542" s="230">
        <v>58</v>
      </c>
      <c r="G1542" s="230"/>
      <c r="H1542" s="230">
        <v>23.02</v>
      </c>
      <c r="I1542" s="230">
        <v>280</v>
      </c>
      <c r="J1542" s="229">
        <v>0.48</v>
      </c>
      <c r="K1542" s="227">
        <v>12.27</v>
      </c>
      <c r="L1542" s="231">
        <v>1080</v>
      </c>
      <c r="M1542" s="231">
        <v>1.03</v>
      </c>
      <c r="N1542" s="231">
        <v>1.67</v>
      </c>
      <c r="O1542" s="227">
        <v>6.18</v>
      </c>
      <c r="P1542" s="227">
        <v>7.84</v>
      </c>
      <c r="Q1542" s="229"/>
      <c r="R1542" s="228">
        <v>1.3164217777183729</v>
      </c>
      <c r="S1542" s="231">
        <v>8.8000000000000007</v>
      </c>
      <c r="T1542" s="231"/>
      <c r="U1542" s="231"/>
      <c r="V1542" s="231"/>
      <c r="W1542" s="231"/>
      <c r="X1542" s="227"/>
      <c r="Y1542" s="231">
        <v>44.8</v>
      </c>
      <c r="Z1542" s="228"/>
      <c r="AA1542" s="228">
        <v>4.88</v>
      </c>
      <c r="AB1542" s="228">
        <v>0.86699999999999999</v>
      </c>
      <c r="AC1542" s="232">
        <v>7.5</v>
      </c>
      <c r="AD1542" s="232">
        <v>640</v>
      </c>
      <c r="AE1542" s="232">
        <v>280</v>
      </c>
      <c r="AF1542" s="231">
        <v>80</v>
      </c>
      <c r="AG1542" s="66">
        <f t="shared" si="65"/>
        <v>96.954910714285717</v>
      </c>
      <c r="AH1542" s="143">
        <f t="shared" si="66"/>
        <v>1000</v>
      </c>
    </row>
    <row r="1543" spans="1:34" s="233" customFormat="1" x14ac:dyDescent="0.3">
      <c r="A1543" s="226">
        <v>903670</v>
      </c>
      <c r="B1543" s="227">
        <v>17.829999999999998</v>
      </c>
      <c r="C1543" s="227">
        <v>8.3000000000000007</v>
      </c>
      <c r="D1543" s="228">
        <v>8.16</v>
      </c>
      <c r="E1543" s="1536">
        <v>0.16400000000000001</v>
      </c>
      <c r="F1543" s="230">
        <v>513.70000000000005</v>
      </c>
      <c r="G1543" s="230"/>
      <c r="H1543" s="230">
        <v>33.56</v>
      </c>
      <c r="I1543" s="230">
        <v>430</v>
      </c>
      <c r="J1543" s="229">
        <v>0.09</v>
      </c>
      <c r="K1543" s="227">
        <v>13.29</v>
      </c>
      <c r="L1543" s="231">
        <v>850</v>
      </c>
      <c r="M1543" s="231">
        <v>7.03</v>
      </c>
      <c r="N1543" s="231">
        <v>0.15</v>
      </c>
      <c r="O1543" s="227">
        <v>5.2</v>
      </c>
      <c r="P1543" s="227">
        <v>8.68</v>
      </c>
      <c r="Q1543" s="229"/>
      <c r="R1543" s="228">
        <v>1.7273880000000001</v>
      </c>
      <c r="S1543" s="231">
        <v>14.4</v>
      </c>
      <c r="T1543" s="231"/>
      <c r="U1543" s="231"/>
      <c r="V1543" s="231"/>
      <c r="W1543" s="231"/>
      <c r="X1543" s="227"/>
      <c r="Y1543" s="231">
        <v>39.6</v>
      </c>
      <c r="Z1543" s="228"/>
      <c r="AA1543" s="228">
        <v>4.3099999999999996</v>
      </c>
      <c r="AB1543" s="228">
        <v>0.80500000000000005</v>
      </c>
      <c r="AC1543" s="232">
        <v>11.8</v>
      </c>
      <c r="AD1543" s="232">
        <v>660</v>
      </c>
      <c r="AE1543" s="232">
        <v>260</v>
      </c>
      <c r="AF1543" s="231">
        <v>80</v>
      </c>
      <c r="AG1543" s="66">
        <f t="shared" si="65"/>
        <v>118.80454545454545</v>
      </c>
      <c r="AH1543" s="143">
        <f t="shared" si="66"/>
        <v>1000</v>
      </c>
    </row>
    <row r="1544" spans="1:34" s="265" customFormat="1" x14ac:dyDescent="0.3">
      <c r="A1544" s="84">
        <v>903564</v>
      </c>
      <c r="B1544" s="260">
        <v>16.8</v>
      </c>
      <c r="C1544" s="260">
        <v>1.6</v>
      </c>
      <c r="D1544" s="261">
        <v>8.1523809499999995</v>
      </c>
      <c r="E1544" s="1538">
        <v>0.46200000000000002</v>
      </c>
      <c r="F1544" s="263">
        <v>285.3</v>
      </c>
      <c r="G1544" s="263"/>
      <c r="H1544" s="263">
        <v>45</v>
      </c>
      <c r="I1544" s="263">
        <v>150</v>
      </c>
      <c r="J1544" s="262">
        <v>0.25600000000000001</v>
      </c>
      <c r="K1544" s="260">
        <v>6.71</v>
      </c>
      <c r="L1544" s="264">
        <v>860</v>
      </c>
      <c r="M1544" s="264">
        <v>0.23</v>
      </c>
      <c r="N1544" s="264">
        <v>0.65</v>
      </c>
      <c r="O1544" s="264">
        <v>2.31</v>
      </c>
      <c r="P1544" s="264">
        <v>1.74</v>
      </c>
      <c r="Q1544" s="262"/>
      <c r="R1544" s="261">
        <v>0.85266065923624246</v>
      </c>
      <c r="S1544" s="264">
        <v>5.6</v>
      </c>
      <c r="T1544" s="264"/>
      <c r="U1544" s="264"/>
      <c r="V1544" s="264"/>
      <c r="W1544" s="264"/>
      <c r="X1544" s="264"/>
      <c r="Y1544" s="266">
        <v>19.2</v>
      </c>
      <c r="Z1544" s="267"/>
      <c r="AA1544" s="268">
        <v>4.74</v>
      </c>
      <c r="AB1544" s="268">
        <v>0.52500000000000002</v>
      </c>
      <c r="AC1544" s="269">
        <v>10</v>
      </c>
      <c r="AD1544" s="264">
        <v>480</v>
      </c>
      <c r="AE1544" s="264">
        <v>400</v>
      </c>
      <c r="AF1544" s="260">
        <v>120</v>
      </c>
      <c r="AG1544" s="66">
        <f t="shared" si="65"/>
        <v>123.71562500000002</v>
      </c>
      <c r="AH1544" s="143">
        <f t="shared" si="66"/>
        <v>1000</v>
      </c>
    </row>
    <row r="1545" spans="1:34" s="265" customFormat="1" x14ac:dyDescent="0.3">
      <c r="A1545" s="84">
        <v>903565</v>
      </c>
      <c r="B1545" s="260">
        <v>16.7</v>
      </c>
      <c r="C1545" s="260">
        <v>1.5</v>
      </c>
      <c r="D1545" s="261">
        <v>7.7714285700000003</v>
      </c>
      <c r="E1545" s="1538">
        <v>0.51</v>
      </c>
      <c r="F1545" s="263">
        <v>188.5</v>
      </c>
      <c r="G1545" s="263"/>
      <c r="H1545" s="263">
        <v>76</v>
      </c>
      <c r="I1545" s="263">
        <v>650</v>
      </c>
      <c r="J1545" s="262">
        <v>0.44500000000000001</v>
      </c>
      <c r="K1545" s="260">
        <v>7.1</v>
      </c>
      <c r="L1545" s="264">
        <v>370</v>
      </c>
      <c r="M1545" s="264">
        <v>3.23</v>
      </c>
      <c r="N1545" s="264">
        <v>0.49</v>
      </c>
      <c r="O1545" s="264">
        <v>3.37</v>
      </c>
      <c r="P1545" s="264">
        <v>14.76</v>
      </c>
      <c r="Q1545" s="262"/>
      <c r="R1545" s="261">
        <v>2.1039319999999999</v>
      </c>
      <c r="S1545" s="264">
        <v>30.8</v>
      </c>
      <c r="T1545" s="264"/>
      <c r="U1545" s="264"/>
      <c r="V1545" s="264"/>
      <c r="W1545" s="264"/>
      <c r="X1545" s="264"/>
      <c r="Y1545" s="266">
        <v>6.4</v>
      </c>
      <c r="Z1545" s="267"/>
      <c r="AA1545" s="268">
        <v>4.8899999999999997</v>
      </c>
      <c r="AB1545" s="268">
        <v>0.57799999999999996</v>
      </c>
      <c r="AC1545" s="269">
        <v>7</v>
      </c>
      <c r="AD1545" s="264">
        <v>160</v>
      </c>
      <c r="AE1545" s="264">
        <v>780</v>
      </c>
      <c r="AF1545" s="260">
        <v>60</v>
      </c>
      <c r="AG1545" s="66">
        <f t="shared" si="65"/>
        <v>392.71875</v>
      </c>
      <c r="AH1545" s="143">
        <f t="shared" si="66"/>
        <v>1000</v>
      </c>
    </row>
    <row r="1546" spans="1:34" s="265" customFormat="1" x14ac:dyDescent="0.3">
      <c r="A1546" s="84">
        <v>903566</v>
      </c>
      <c r="B1546" s="260">
        <v>0.2</v>
      </c>
      <c r="C1546" s="260"/>
      <c r="D1546" s="261">
        <v>7.3428571399999996</v>
      </c>
      <c r="E1546" s="1538">
        <v>0.19</v>
      </c>
      <c r="F1546" s="263">
        <v>67.3</v>
      </c>
      <c r="G1546" s="263"/>
      <c r="H1546" s="263">
        <v>12</v>
      </c>
      <c r="I1546" s="263">
        <v>80</v>
      </c>
      <c r="J1546" s="262">
        <v>9.0999999999999998E-2</v>
      </c>
      <c r="K1546" s="260">
        <v>1.6</v>
      </c>
      <c r="L1546" s="264">
        <v>170</v>
      </c>
      <c r="M1546" s="264">
        <v>1.3</v>
      </c>
      <c r="N1546" s="264">
        <v>0.39</v>
      </c>
      <c r="O1546" s="264">
        <v>2.54</v>
      </c>
      <c r="P1546" s="264">
        <v>15.96</v>
      </c>
      <c r="Q1546" s="262"/>
      <c r="R1546" s="261">
        <v>0.50354059605247103</v>
      </c>
      <c r="S1546" s="264">
        <v>3.6</v>
      </c>
      <c r="T1546" s="264"/>
      <c r="U1546" s="264"/>
      <c r="V1546" s="264"/>
      <c r="W1546" s="264"/>
      <c r="X1546" s="264"/>
      <c r="Y1546" s="266">
        <v>2.4</v>
      </c>
      <c r="Z1546" s="267"/>
      <c r="AA1546" s="268">
        <v>4.49</v>
      </c>
      <c r="AB1546" s="268">
        <v>0.42899999999999999</v>
      </c>
      <c r="AC1546" s="269">
        <v>11.3</v>
      </c>
      <c r="AD1546" s="264">
        <v>60</v>
      </c>
      <c r="AE1546" s="264">
        <v>60</v>
      </c>
      <c r="AF1546" s="260">
        <v>880</v>
      </c>
      <c r="AG1546" s="66">
        <f t="shared" si="65"/>
        <v>236.00000000000006</v>
      </c>
      <c r="AH1546" s="143">
        <f t="shared" si="66"/>
        <v>1000</v>
      </c>
    </row>
    <row r="1547" spans="1:34" s="265" customFormat="1" x14ac:dyDescent="0.3">
      <c r="A1547" s="84">
        <v>903567</v>
      </c>
      <c r="B1547" s="260">
        <v>0.2</v>
      </c>
      <c r="C1547" s="260"/>
      <c r="D1547" s="261">
        <v>7.2285714299999997</v>
      </c>
      <c r="E1547" s="1538">
        <v>0.155</v>
      </c>
      <c r="F1547" s="263">
        <v>86.5</v>
      </c>
      <c r="G1547" s="263"/>
      <c r="H1547" s="263">
        <v>20</v>
      </c>
      <c r="I1547" s="263">
        <v>70</v>
      </c>
      <c r="J1547" s="262">
        <v>7.0000000000000007E-2</v>
      </c>
      <c r="K1547" s="260">
        <v>1</v>
      </c>
      <c r="L1547" s="264">
        <v>120</v>
      </c>
      <c r="M1547" s="264">
        <v>1.28</v>
      </c>
      <c r="N1547" s="264">
        <v>0.38</v>
      </c>
      <c r="O1547" s="264">
        <v>3.94</v>
      </c>
      <c r="P1547" s="264">
        <v>17.39</v>
      </c>
      <c r="Q1547" s="262"/>
      <c r="R1547" s="261">
        <v>1.1126989491106436</v>
      </c>
      <c r="S1547" s="264">
        <v>7.6</v>
      </c>
      <c r="T1547" s="264"/>
      <c r="U1547" s="264"/>
      <c r="V1547" s="264"/>
      <c r="W1547" s="264"/>
      <c r="X1547" s="264"/>
      <c r="Y1547" s="266">
        <v>2.4</v>
      </c>
      <c r="Z1547" s="267"/>
      <c r="AA1547" s="268">
        <v>4.0199999999999996</v>
      </c>
      <c r="AB1547" s="268">
        <v>0.40600000000000003</v>
      </c>
      <c r="AC1547" s="269">
        <v>6.5</v>
      </c>
      <c r="AD1547" s="264">
        <v>60</v>
      </c>
      <c r="AE1547" s="264">
        <v>60</v>
      </c>
      <c r="AF1547" s="260">
        <v>880</v>
      </c>
      <c r="AG1547" s="66">
        <f t="shared" si="65"/>
        <v>147.5</v>
      </c>
      <c r="AH1547" s="143">
        <f t="shared" si="66"/>
        <v>1000</v>
      </c>
    </row>
    <row r="1548" spans="1:34" s="265" customFormat="1" x14ac:dyDescent="0.3">
      <c r="A1548" s="84">
        <v>903568</v>
      </c>
      <c r="B1548" s="260">
        <v>0.1</v>
      </c>
      <c r="C1548" s="260"/>
      <c r="D1548" s="261">
        <v>6.3809523800000001</v>
      </c>
      <c r="E1548" s="1538">
        <v>3.7999999999999999E-2</v>
      </c>
      <c r="F1548" s="263">
        <v>44.5</v>
      </c>
      <c r="G1548" s="263"/>
      <c r="H1548" s="263">
        <v>13</v>
      </c>
      <c r="I1548" s="263">
        <v>20</v>
      </c>
      <c r="J1548" s="262">
        <v>6.0000000000000001E-3</v>
      </c>
      <c r="K1548" s="260">
        <v>1.2</v>
      </c>
      <c r="L1548" s="264">
        <v>50</v>
      </c>
      <c r="M1548" s="264">
        <v>0.16</v>
      </c>
      <c r="N1548" s="264">
        <v>0.21</v>
      </c>
      <c r="O1548" s="264">
        <v>0.74</v>
      </c>
      <c r="P1548" s="264">
        <v>71.31</v>
      </c>
      <c r="Q1548" s="262"/>
      <c r="R1548" s="261">
        <v>0.56964872821827806</v>
      </c>
      <c r="S1548" s="264">
        <v>3.9</v>
      </c>
      <c r="T1548" s="264"/>
      <c r="U1548" s="264"/>
      <c r="V1548" s="264"/>
      <c r="W1548" s="264"/>
      <c r="X1548" s="264"/>
      <c r="Y1548" s="266">
        <v>2.4</v>
      </c>
      <c r="Z1548" s="267"/>
      <c r="AA1548" s="268">
        <v>4</v>
      </c>
      <c r="AB1548" s="268">
        <v>0.47099999999999997</v>
      </c>
      <c r="AC1548" s="269">
        <v>6.4</v>
      </c>
      <c r="AD1548" s="264">
        <v>60</v>
      </c>
      <c r="AE1548" s="264">
        <v>80</v>
      </c>
      <c r="AF1548" s="260">
        <v>860</v>
      </c>
      <c r="AG1548" s="66">
        <f t="shared" si="65"/>
        <v>177</v>
      </c>
      <c r="AH1548" s="143">
        <f t="shared" si="66"/>
        <v>1000</v>
      </c>
    </row>
    <row r="1549" spans="1:34" s="265" customFormat="1" x14ac:dyDescent="0.3">
      <c r="A1549" s="84">
        <v>903569</v>
      </c>
      <c r="B1549" s="260">
        <v>17.2</v>
      </c>
      <c r="C1549" s="260">
        <v>3.1</v>
      </c>
      <c r="D1549" s="261">
        <v>7.0190476200000003</v>
      </c>
      <c r="E1549" s="1538">
        <v>0.56200000000000006</v>
      </c>
      <c r="F1549" s="263">
        <v>41.7</v>
      </c>
      <c r="G1549" s="263"/>
      <c r="H1549" s="263">
        <v>36</v>
      </c>
      <c r="I1549" s="263">
        <v>530</v>
      </c>
      <c r="J1549" s="262">
        <v>4.1000000000000002E-2</v>
      </c>
      <c r="K1549" s="260">
        <v>8.31</v>
      </c>
      <c r="L1549" s="264">
        <v>1320</v>
      </c>
      <c r="M1549" s="264">
        <v>1.89</v>
      </c>
      <c r="N1549" s="264">
        <v>1.66</v>
      </c>
      <c r="O1549" s="264">
        <v>7.39</v>
      </c>
      <c r="P1549" s="264">
        <v>7.4</v>
      </c>
      <c r="Q1549" s="262"/>
      <c r="R1549" s="261">
        <v>2.1462680000000001</v>
      </c>
      <c r="S1549" s="264">
        <v>36.4</v>
      </c>
      <c r="T1549" s="264"/>
      <c r="U1549" s="264"/>
      <c r="V1549" s="264"/>
      <c r="W1549" s="264"/>
      <c r="X1549" s="264"/>
      <c r="Y1549" s="266">
        <v>21.6</v>
      </c>
      <c r="Z1549" s="267"/>
      <c r="AA1549" s="268">
        <v>4.97</v>
      </c>
      <c r="AB1549" s="268">
        <v>0.48299999999999998</v>
      </c>
      <c r="AC1549" s="269">
        <v>6.5</v>
      </c>
      <c r="AD1549" s="264">
        <v>540</v>
      </c>
      <c r="AE1549" s="264">
        <v>360</v>
      </c>
      <c r="AF1549" s="260">
        <v>100</v>
      </c>
      <c r="AG1549" s="66">
        <f t="shared" si="65"/>
        <v>136.19166666666666</v>
      </c>
      <c r="AH1549" s="143">
        <f t="shared" si="66"/>
        <v>1000</v>
      </c>
    </row>
    <row r="1550" spans="1:34" s="265" customFormat="1" x14ac:dyDescent="0.3">
      <c r="A1550" s="84">
        <v>903570</v>
      </c>
      <c r="B1550" s="260">
        <v>5</v>
      </c>
      <c r="C1550" s="260"/>
      <c r="D1550" s="261">
        <v>7.7809523799999996</v>
      </c>
      <c r="E1550" s="1538">
        <v>0.44900000000000001</v>
      </c>
      <c r="F1550" s="263">
        <v>47.1</v>
      </c>
      <c r="G1550" s="263"/>
      <c r="H1550" s="263">
        <v>74</v>
      </c>
      <c r="I1550" s="263">
        <v>280</v>
      </c>
      <c r="J1550" s="262">
        <v>7.4999999999999997E-2</v>
      </c>
      <c r="K1550" s="260">
        <v>8.4</v>
      </c>
      <c r="L1550" s="264">
        <v>1780</v>
      </c>
      <c r="M1550" s="264">
        <v>1.04</v>
      </c>
      <c r="N1550" s="264">
        <v>1.6</v>
      </c>
      <c r="O1550" s="264">
        <v>10.52</v>
      </c>
      <c r="P1550" s="264">
        <v>5.28</v>
      </c>
      <c r="Q1550" s="262"/>
      <c r="R1550" s="261">
        <v>1.9672920000000003</v>
      </c>
      <c r="S1550" s="264">
        <v>22.8</v>
      </c>
      <c r="T1550" s="264"/>
      <c r="U1550" s="264"/>
      <c r="V1550" s="264"/>
      <c r="W1550" s="264"/>
      <c r="X1550" s="264"/>
      <c r="Y1550" s="266">
        <v>23.2</v>
      </c>
      <c r="Z1550" s="267"/>
      <c r="AA1550" s="268">
        <v>4.25</v>
      </c>
      <c r="AB1550" s="268">
        <v>0.49299999999999999</v>
      </c>
      <c r="AC1550" s="269">
        <v>11</v>
      </c>
      <c r="AD1550" s="264">
        <v>580</v>
      </c>
      <c r="AE1550" s="264">
        <v>320</v>
      </c>
      <c r="AF1550" s="260">
        <v>100</v>
      </c>
      <c r="AG1550" s="66">
        <f t="shared" si="65"/>
        <v>128.17241379310346</v>
      </c>
      <c r="AH1550" s="143">
        <f t="shared" si="66"/>
        <v>1000</v>
      </c>
    </row>
    <row r="1551" spans="1:34" s="265" customFormat="1" x14ac:dyDescent="0.3">
      <c r="A1551" s="84">
        <v>903571</v>
      </c>
      <c r="B1551" s="260">
        <v>8.3000000000000007</v>
      </c>
      <c r="C1551" s="260"/>
      <c r="D1551" s="261">
        <v>7.8190476200000001</v>
      </c>
      <c r="E1551" s="1538">
        <v>0.245</v>
      </c>
      <c r="F1551" s="263">
        <v>40.9</v>
      </c>
      <c r="G1551" s="263"/>
      <c r="H1551" s="263">
        <v>86</v>
      </c>
      <c r="I1551" s="263">
        <v>710</v>
      </c>
      <c r="J1551" s="262">
        <v>4.8000000000000001E-2</v>
      </c>
      <c r="K1551" s="260">
        <v>8.36</v>
      </c>
      <c r="L1551" s="264">
        <v>1850</v>
      </c>
      <c r="M1551" s="264">
        <v>1.83</v>
      </c>
      <c r="N1551" s="264">
        <v>2.0699999999999998</v>
      </c>
      <c r="O1551" s="264">
        <v>12.13</v>
      </c>
      <c r="P1551" s="264">
        <v>7.07</v>
      </c>
      <c r="Q1551" s="262"/>
      <c r="R1551" s="261">
        <v>2.1205080000000001</v>
      </c>
      <c r="S1551" s="264">
        <v>32.4</v>
      </c>
      <c r="T1551" s="264"/>
      <c r="U1551" s="264"/>
      <c r="V1551" s="264"/>
      <c r="W1551" s="264"/>
      <c r="X1551" s="264"/>
      <c r="Y1551" s="266">
        <v>21.6</v>
      </c>
      <c r="Z1551" s="267"/>
      <c r="AA1551" s="268">
        <v>4.1399999999999997</v>
      </c>
      <c r="AB1551" s="268">
        <v>0.47899999999999998</v>
      </c>
      <c r="AC1551" s="269">
        <v>6.7</v>
      </c>
      <c r="AD1551" s="264">
        <v>540</v>
      </c>
      <c r="AE1551" s="264">
        <v>320</v>
      </c>
      <c r="AF1551" s="260">
        <v>140</v>
      </c>
      <c r="AG1551" s="66">
        <f t="shared" si="65"/>
        <v>137.01111111111109</v>
      </c>
      <c r="AH1551" s="143">
        <f t="shared" si="66"/>
        <v>1000</v>
      </c>
    </row>
    <row r="1552" spans="1:34" s="265" customFormat="1" x14ac:dyDescent="0.3">
      <c r="A1552" s="84">
        <v>903572</v>
      </c>
      <c r="B1552" s="260">
        <v>3.1</v>
      </c>
      <c r="C1552" s="260"/>
      <c r="D1552" s="261">
        <v>7.6380952400000002</v>
      </c>
      <c r="E1552" s="1538">
        <v>0.371</v>
      </c>
      <c r="F1552" s="263">
        <v>37.5</v>
      </c>
      <c r="G1552" s="263"/>
      <c r="H1552" s="263">
        <v>37</v>
      </c>
      <c r="I1552" s="263">
        <v>920</v>
      </c>
      <c r="J1552" s="262">
        <v>4.1000000000000002E-2</v>
      </c>
      <c r="K1552" s="260">
        <v>5.4</v>
      </c>
      <c r="L1552" s="264">
        <v>1870</v>
      </c>
      <c r="M1552" s="264">
        <v>1.78</v>
      </c>
      <c r="N1552" s="264">
        <v>2.86</v>
      </c>
      <c r="O1552" s="264">
        <v>6</v>
      </c>
      <c r="P1552" s="264">
        <v>6.68</v>
      </c>
      <c r="Q1552" s="262"/>
      <c r="R1552" s="261">
        <v>1.9216730000000002</v>
      </c>
      <c r="S1552" s="264">
        <v>20.9</v>
      </c>
      <c r="T1552" s="264"/>
      <c r="U1552" s="264"/>
      <c r="V1552" s="264"/>
      <c r="W1552" s="264"/>
      <c r="X1552" s="264"/>
      <c r="Y1552" s="266">
        <v>22.4</v>
      </c>
      <c r="Z1552" s="267"/>
      <c r="AA1552" s="268">
        <v>4.83</v>
      </c>
      <c r="AB1552" s="268">
        <v>0.64700000000000002</v>
      </c>
      <c r="AC1552" s="269">
        <v>9.4</v>
      </c>
      <c r="AD1552" s="264">
        <v>560</v>
      </c>
      <c r="AE1552" s="264">
        <v>300</v>
      </c>
      <c r="AF1552" s="260">
        <v>140</v>
      </c>
      <c r="AG1552" s="66">
        <f t="shared" si="65"/>
        <v>85.339285714285737</v>
      </c>
      <c r="AH1552" s="143">
        <f t="shared" si="66"/>
        <v>1000</v>
      </c>
    </row>
    <row r="1553" spans="1:34" s="265" customFormat="1" x14ac:dyDescent="0.3">
      <c r="A1553" s="84">
        <v>903573</v>
      </c>
      <c r="B1553" s="260">
        <v>1.9</v>
      </c>
      <c r="C1553" s="260"/>
      <c r="D1553" s="261">
        <v>7.6952381000000001</v>
      </c>
      <c r="E1553" s="1538">
        <v>0.34399999999999997</v>
      </c>
      <c r="F1553" s="263">
        <v>60.8</v>
      </c>
      <c r="G1553" s="263"/>
      <c r="H1553" s="263">
        <v>34</v>
      </c>
      <c r="I1553" s="263">
        <v>620</v>
      </c>
      <c r="J1553" s="262">
        <v>2.5999999999999999E-2</v>
      </c>
      <c r="K1553" s="260">
        <v>8.1999999999999993</v>
      </c>
      <c r="L1553" s="264">
        <v>1010</v>
      </c>
      <c r="M1553" s="264">
        <v>2.04</v>
      </c>
      <c r="N1553" s="264">
        <v>4.75</v>
      </c>
      <c r="O1553" s="264">
        <v>7.41</v>
      </c>
      <c r="P1553" s="264">
        <v>6.84</v>
      </c>
      <c r="Q1553" s="262"/>
      <c r="R1553" s="261">
        <v>1.8423</v>
      </c>
      <c r="S1553" s="264">
        <v>18</v>
      </c>
      <c r="T1553" s="264"/>
      <c r="U1553" s="264"/>
      <c r="V1553" s="264"/>
      <c r="W1553" s="264"/>
      <c r="X1553" s="264"/>
      <c r="Y1553" s="266">
        <v>24.8</v>
      </c>
      <c r="Z1553" s="267"/>
      <c r="AA1553" s="268">
        <v>4.41</v>
      </c>
      <c r="AB1553" s="268">
        <v>0.56499999999999995</v>
      </c>
      <c r="AC1553" s="269">
        <v>7.4</v>
      </c>
      <c r="AD1553" s="264">
        <v>620</v>
      </c>
      <c r="AE1553" s="264">
        <v>280</v>
      </c>
      <c r="AF1553" s="260">
        <v>100</v>
      </c>
      <c r="AG1553" s="66">
        <f t="shared" si="65"/>
        <v>117.04838709677418</v>
      </c>
      <c r="AH1553" s="143">
        <f t="shared" si="66"/>
        <v>1000</v>
      </c>
    </row>
    <row r="1554" spans="1:34" s="265" customFormat="1" x14ac:dyDescent="0.3">
      <c r="A1554" s="84">
        <v>903574</v>
      </c>
      <c r="B1554" s="260">
        <v>20.8</v>
      </c>
      <c r="C1554" s="260">
        <v>5</v>
      </c>
      <c r="D1554" s="261">
        <v>7.6857142899999999</v>
      </c>
      <c r="E1554" s="1538">
        <v>0.26300000000000001</v>
      </c>
      <c r="F1554" s="263">
        <v>70</v>
      </c>
      <c r="G1554" s="263"/>
      <c r="H1554" s="263">
        <v>31</v>
      </c>
      <c r="I1554" s="263">
        <v>540</v>
      </c>
      <c r="J1554" s="262">
        <v>2.1999999999999999E-2</v>
      </c>
      <c r="K1554" s="260">
        <v>8.43</v>
      </c>
      <c r="L1554" s="264">
        <v>1410</v>
      </c>
      <c r="M1554" s="264">
        <v>1.3</v>
      </c>
      <c r="N1554" s="264">
        <v>2.95</v>
      </c>
      <c r="O1554" s="264">
        <v>8.19</v>
      </c>
      <c r="P1554" s="264">
        <v>6.29</v>
      </c>
      <c r="Q1554" s="262"/>
      <c r="R1554" s="261">
        <v>1.7099930000000001</v>
      </c>
      <c r="S1554" s="264">
        <v>13.9</v>
      </c>
      <c r="T1554" s="264"/>
      <c r="U1554" s="264"/>
      <c r="V1554" s="264"/>
      <c r="W1554" s="264"/>
      <c r="X1554" s="264"/>
      <c r="Y1554" s="266">
        <v>25.6</v>
      </c>
      <c r="Z1554" s="267"/>
      <c r="AA1554" s="268">
        <v>3.79</v>
      </c>
      <c r="AB1554" s="268">
        <v>0.60599999999999998</v>
      </c>
      <c r="AC1554" s="269">
        <v>8.3000000000000007</v>
      </c>
      <c r="AD1554" s="264">
        <v>640</v>
      </c>
      <c r="AE1554" s="264">
        <v>280</v>
      </c>
      <c r="AF1554" s="260">
        <v>80</v>
      </c>
      <c r="AG1554" s="66">
        <f t="shared" si="65"/>
        <v>116.57109374999999</v>
      </c>
      <c r="AH1554" s="143">
        <f t="shared" si="66"/>
        <v>1000</v>
      </c>
    </row>
    <row r="1555" spans="1:34" s="265" customFormat="1" x14ac:dyDescent="0.3">
      <c r="A1555" s="84">
        <v>903575</v>
      </c>
      <c r="B1555" s="260">
        <v>0.9</v>
      </c>
      <c r="C1555" s="260"/>
      <c r="D1555" s="261">
        <v>7.9904761899999999</v>
      </c>
      <c r="E1555" s="1538">
        <v>0.26400000000000001</v>
      </c>
      <c r="F1555" s="263">
        <v>97.6</v>
      </c>
      <c r="G1555" s="263"/>
      <c r="H1555" s="263">
        <v>72</v>
      </c>
      <c r="I1555" s="263">
        <v>440</v>
      </c>
      <c r="J1555" s="262">
        <v>0.22</v>
      </c>
      <c r="K1555" s="260">
        <v>5.9</v>
      </c>
      <c r="L1555" s="264">
        <v>960</v>
      </c>
      <c r="M1555" s="264">
        <v>0.5</v>
      </c>
      <c r="N1555" s="264">
        <v>1.1499999999999999</v>
      </c>
      <c r="O1555" s="264">
        <v>3.75</v>
      </c>
      <c r="P1555" s="264">
        <v>3.53</v>
      </c>
      <c r="Q1555" s="262"/>
      <c r="R1555" s="261">
        <v>1.2348158141164141</v>
      </c>
      <c r="S1555" s="264">
        <v>8.6999999999999993</v>
      </c>
      <c r="T1555" s="264"/>
      <c r="U1555" s="264"/>
      <c r="V1555" s="264"/>
      <c r="W1555" s="264"/>
      <c r="X1555" s="264"/>
      <c r="Y1555" s="266">
        <v>20.8</v>
      </c>
      <c r="Z1555" s="267"/>
      <c r="AA1555" s="268">
        <v>4.7300000000000004</v>
      </c>
      <c r="AB1555" s="268">
        <v>0.63</v>
      </c>
      <c r="AC1555" s="269">
        <v>10.199999999999999</v>
      </c>
      <c r="AD1555" s="264">
        <v>520</v>
      </c>
      <c r="AE1555" s="264">
        <v>360</v>
      </c>
      <c r="AF1555" s="260">
        <v>120</v>
      </c>
      <c r="AG1555" s="66">
        <f t="shared" si="65"/>
        <v>100.41346153846155</v>
      </c>
      <c r="AH1555" s="143">
        <f t="shared" si="66"/>
        <v>1000</v>
      </c>
    </row>
    <row r="1556" spans="1:34" s="265" customFormat="1" x14ac:dyDescent="0.3">
      <c r="A1556" s="84">
        <v>903576</v>
      </c>
      <c r="B1556" s="260">
        <v>0.7</v>
      </c>
      <c r="C1556" s="260"/>
      <c r="D1556" s="261">
        <v>7.8952381000000003</v>
      </c>
      <c r="E1556" s="1538">
        <v>0.224</v>
      </c>
      <c r="F1556" s="263">
        <v>100.6</v>
      </c>
      <c r="G1556" s="263"/>
      <c r="H1556" s="263">
        <v>47</v>
      </c>
      <c r="I1556" s="263">
        <v>490</v>
      </c>
      <c r="J1556" s="262">
        <v>0.23799999999999999</v>
      </c>
      <c r="K1556" s="260">
        <v>7.4</v>
      </c>
      <c r="L1556" s="264">
        <v>990</v>
      </c>
      <c r="M1556" s="264">
        <v>0.53</v>
      </c>
      <c r="N1556" s="264">
        <v>1.03</v>
      </c>
      <c r="O1556" s="264">
        <v>3.99</v>
      </c>
      <c r="P1556" s="264">
        <v>4</v>
      </c>
      <c r="Q1556" s="262"/>
      <c r="R1556" s="261">
        <v>1.6407</v>
      </c>
      <c r="S1556" s="264">
        <v>12</v>
      </c>
      <c r="T1556" s="264"/>
      <c r="U1556" s="264"/>
      <c r="V1556" s="264"/>
      <c r="W1556" s="264"/>
      <c r="X1556" s="264"/>
      <c r="Y1556" s="266">
        <v>20.8</v>
      </c>
      <c r="Z1556" s="267"/>
      <c r="AA1556" s="268">
        <v>4.82</v>
      </c>
      <c r="AB1556" s="268">
        <v>0.75900000000000001</v>
      </c>
      <c r="AC1556" s="269">
        <v>7.6</v>
      </c>
      <c r="AD1556" s="264">
        <v>520</v>
      </c>
      <c r="AE1556" s="264">
        <v>340</v>
      </c>
      <c r="AF1556" s="260">
        <v>140</v>
      </c>
      <c r="AG1556" s="66">
        <f t="shared" si="65"/>
        <v>125.94230769230771</v>
      </c>
      <c r="AH1556" s="143">
        <f t="shared" si="66"/>
        <v>1000</v>
      </c>
    </row>
    <row r="1557" spans="1:34" s="265" customFormat="1" x14ac:dyDescent="0.3">
      <c r="A1557" s="84">
        <v>903577</v>
      </c>
      <c r="B1557" s="260">
        <v>0.3</v>
      </c>
      <c r="C1557" s="260"/>
      <c r="D1557" s="261">
        <v>7.8857142900000001</v>
      </c>
      <c r="E1557" s="1538">
        <v>0.17100000000000001</v>
      </c>
      <c r="F1557" s="263">
        <v>79.599999999999994</v>
      </c>
      <c r="G1557" s="263"/>
      <c r="H1557" s="263">
        <v>59</v>
      </c>
      <c r="I1557" s="263">
        <v>310</v>
      </c>
      <c r="J1557" s="262">
        <v>0.19900000000000001</v>
      </c>
      <c r="K1557" s="260">
        <v>6.5</v>
      </c>
      <c r="L1557" s="264">
        <v>950</v>
      </c>
      <c r="M1557" s="264">
        <v>0.84</v>
      </c>
      <c r="N1557" s="264">
        <v>1.67</v>
      </c>
      <c r="O1557" s="264">
        <v>5.83</v>
      </c>
      <c r="P1557" s="264">
        <v>4.9400000000000004</v>
      </c>
      <c r="Q1557" s="262"/>
      <c r="R1557" s="261">
        <v>1.666817</v>
      </c>
      <c r="S1557" s="264">
        <v>12.7</v>
      </c>
      <c r="T1557" s="264"/>
      <c r="U1557" s="264"/>
      <c r="V1557" s="264"/>
      <c r="W1557" s="264"/>
      <c r="X1557" s="264"/>
      <c r="Y1557" s="266">
        <v>21.6</v>
      </c>
      <c r="Z1557" s="267"/>
      <c r="AA1557" s="268">
        <v>3.96</v>
      </c>
      <c r="AB1557" s="268">
        <v>0.72099999999999997</v>
      </c>
      <c r="AC1557" s="269">
        <v>10.6</v>
      </c>
      <c r="AD1557" s="264">
        <v>540</v>
      </c>
      <c r="AE1557" s="264">
        <v>340</v>
      </c>
      <c r="AF1557" s="260">
        <v>120</v>
      </c>
      <c r="AG1557" s="66">
        <f t="shared" si="65"/>
        <v>106.52777777777777</v>
      </c>
      <c r="AH1557" s="143">
        <f t="shared" si="66"/>
        <v>1000</v>
      </c>
    </row>
    <row r="1558" spans="1:34" s="265" customFormat="1" x14ac:dyDescent="0.3">
      <c r="A1558" s="84">
        <v>903578</v>
      </c>
      <c r="B1558" s="260">
        <v>34.799999999999997</v>
      </c>
      <c r="C1558" s="260">
        <v>11.8</v>
      </c>
      <c r="D1558" s="261">
        <v>8.2476190500000008</v>
      </c>
      <c r="E1558" s="1538">
        <v>1.5</v>
      </c>
      <c r="F1558" s="263">
        <v>1800.2</v>
      </c>
      <c r="G1558" s="263"/>
      <c r="H1558" s="263">
        <v>31</v>
      </c>
      <c r="I1558" s="263">
        <v>620</v>
      </c>
      <c r="J1558" s="262">
        <v>1.716</v>
      </c>
      <c r="K1558" s="260">
        <v>7.37</v>
      </c>
      <c r="L1558" s="264">
        <v>1190</v>
      </c>
      <c r="M1558" s="264">
        <v>0.16</v>
      </c>
      <c r="N1558" s="264">
        <v>0.28000000000000003</v>
      </c>
      <c r="O1558" s="264">
        <v>1.34</v>
      </c>
      <c r="P1558" s="264">
        <v>1.28</v>
      </c>
      <c r="Q1558" s="262"/>
      <c r="R1558" s="261">
        <v>0.80306815661735909</v>
      </c>
      <c r="S1558" s="264">
        <v>6</v>
      </c>
      <c r="T1558" s="264"/>
      <c r="U1558" s="264"/>
      <c r="V1558" s="264"/>
      <c r="W1558" s="264"/>
      <c r="X1558" s="264"/>
      <c r="Y1558" s="266">
        <v>22.4</v>
      </c>
      <c r="Z1558" s="267"/>
      <c r="AA1558" s="268">
        <v>4.3099999999999996</v>
      </c>
      <c r="AB1558" s="268">
        <v>0.83499999999999996</v>
      </c>
      <c r="AC1558" s="269">
        <v>11.6</v>
      </c>
      <c r="AD1558" s="264">
        <v>560</v>
      </c>
      <c r="AE1558" s="264">
        <v>320</v>
      </c>
      <c r="AF1558" s="260">
        <v>120</v>
      </c>
      <c r="AG1558" s="66">
        <f t="shared" si="65"/>
        <v>116.47232142857143</v>
      </c>
      <c r="AH1558" s="143">
        <f t="shared" si="66"/>
        <v>1000</v>
      </c>
    </row>
    <row r="1559" spans="1:34" s="265" customFormat="1" x14ac:dyDescent="0.3">
      <c r="A1559" s="84">
        <v>903579</v>
      </c>
      <c r="B1559" s="260">
        <v>31</v>
      </c>
      <c r="C1559" s="260">
        <v>10.9</v>
      </c>
      <c r="D1559" s="261">
        <v>8.2285714300000006</v>
      </c>
      <c r="E1559" s="1538">
        <v>2.7</v>
      </c>
      <c r="F1559" s="263">
        <v>3243.9</v>
      </c>
      <c r="G1559" s="263"/>
      <c r="H1559" s="263">
        <v>56</v>
      </c>
      <c r="I1559" s="263">
        <v>370</v>
      </c>
      <c r="J1559" s="262">
        <v>2.4969999999999999</v>
      </c>
      <c r="K1559" s="260">
        <v>7.19</v>
      </c>
      <c r="L1559" s="264">
        <v>1830</v>
      </c>
      <c r="M1559" s="264">
        <v>0.27</v>
      </c>
      <c r="N1559" s="264">
        <v>0.47</v>
      </c>
      <c r="O1559" s="264">
        <v>8.56</v>
      </c>
      <c r="P1559" s="264">
        <v>1.58</v>
      </c>
      <c r="Q1559" s="262"/>
      <c r="R1559" s="261">
        <v>1.5824250000000002</v>
      </c>
      <c r="S1559" s="264">
        <v>10.5</v>
      </c>
      <c r="T1559" s="264"/>
      <c r="U1559" s="264"/>
      <c r="V1559" s="264"/>
      <c r="W1559" s="264"/>
      <c r="X1559" s="264"/>
      <c r="Y1559" s="266">
        <v>21.2</v>
      </c>
      <c r="Z1559" s="267"/>
      <c r="AA1559" s="268">
        <v>4.08</v>
      </c>
      <c r="AB1559" s="268">
        <v>0.46400000000000002</v>
      </c>
      <c r="AC1559" s="269">
        <v>8.5</v>
      </c>
      <c r="AD1559" s="264">
        <v>530</v>
      </c>
      <c r="AE1559" s="264">
        <v>360</v>
      </c>
      <c r="AF1559" s="260">
        <v>110</v>
      </c>
      <c r="AG1559" s="66">
        <f t="shared" si="65"/>
        <v>120.05943396226417</v>
      </c>
      <c r="AH1559" s="143">
        <f t="shared" si="66"/>
        <v>1000</v>
      </c>
    </row>
    <row r="1560" spans="1:34" s="265" customFormat="1" x14ac:dyDescent="0.3">
      <c r="A1560" s="84">
        <v>903580</v>
      </c>
      <c r="B1560" s="260">
        <v>53.7</v>
      </c>
      <c r="C1560" s="260">
        <v>4.5999999999999996</v>
      </c>
      <c r="D1560" s="261">
        <v>8.0952380999999995</v>
      </c>
      <c r="E1560" s="1538">
        <v>2.95</v>
      </c>
      <c r="F1560" s="263">
        <v>907.5</v>
      </c>
      <c r="G1560" s="263"/>
      <c r="H1560" s="263">
        <v>39</v>
      </c>
      <c r="I1560" s="263">
        <v>300</v>
      </c>
      <c r="J1560" s="262">
        <v>0.66400000000000003</v>
      </c>
      <c r="K1560" s="260">
        <v>19.93</v>
      </c>
      <c r="L1560" s="264">
        <v>780</v>
      </c>
      <c r="M1560" s="264">
        <v>0.1</v>
      </c>
      <c r="N1560" s="264">
        <v>0.12</v>
      </c>
      <c r="O1560" s="264">
        <v>0.77</v>
      </c>
      <c r="P1560" s="264">
        <v>0.87</v>
      </c>
      <c r="Q1560" s="262"/>
      <c r="R1560" s="261">
        <v>0.45665790228866276</v>
      </c>
      <c r="S1560" s="264">
        <v>3.4</v>
      </c>
      <c r="T1560" s="264"/>
      <c r="U1560" s="264"/>
      <c r="V1560" s="264"/>
      <c r="W1560" s="264"/>
      <c r="X1560" s="264"/>
      <c r="Y1560" s="266">
        <v>19.600000000000001</v>
      </c>
      <c r="Z1560" s="267"/>
      <c r="AA1560" s="268">
        <v>3.77</v>
      </c>
      <c r="AB1560" s="268">
        <v>0.81399999999999995</v>
      </c>
      <c r="AC1560" s="269">
        <v>11.2</v>
      </c>
      <c r="AD1560" s="264">
        <v>490</v>
      </c>
      <c r="AE1560" s="264">
        <v>390</v>
      </c>
      <c r="AF1560" s="260">
        <v>120</v>
      </c>
      <c r="AG1560" s="66">
        <f t="shared" si="65"/>
        <v>359.96020408163264</v>
      </c>
      <c r="AH1560" s="143">
        <f t="shared" si="66"/>
        <v>1000</v>
      </c>
    </row>
    <row r="1561" spans="1:34" s="265" customFormat="1" x14ac:dyDescent="0.3">
      <c r="A1561" s="84">
        <v>903581</v>
      </c>
      <c r="B1561" s="260">
        <v>80.3</v>
      </c>
      <c r="C1561" s="260">
        <v>11.3</v>
      </c>
      <c r="D1561" s="261">
        <v>8.0380952400000005</v>
      </c>
      <c r="E1561" s="1538">
        <v>0.36399999999999999</v>
      </c>
      <c r="F1561" s="263">
        <v>122</v>
      </c>
      <c r="G1561" s="263"/>
      <c r="H1561" s="263">
        <v>70</v>
      </c>
      <c r="I1561" s="263">
        <v>260</v>
      </c>
      <c r="J1561" s="262">
        <v>0.19500000000000001</v>
      </c>
      <c r="K1561" s="260">
        <v>6.9</v>
      </c>
      <c r="L1561" s="264">
        <v>1190</v>
      </c>
      <c r="M1561" s="264">
        <v>0.12</v>
      </c>
      <c r="N1561" s="264">
        <v>0.18</v>
      </c>
      <c r="O1561" s="264">
        <v>0.28000000000000003</v>
      </c>
      <c r="P1561" s="264">
        <v>0.46</v>
      </c>
      <c r="Q1561" s="262"/>
      <c r="R1561" s="261">
        <v>0.91050672178897518</v>
      </c>
      <c r="S1561" s="264">
        <v>6.8</v>
      </c>
      <c r="T1561" s="264"/>
      <c r="U1561" s="264"/>
      <c r="V1561" s="264"/>
      <c r="W1561" s="264"/>
      <c r="X1561" s="264"/>
      <c r="Y1561" s="266">
        <v>19.2</v>
      </c>
      <c r="Z1561" s="267"/>
      <c r="AA1561" s="268">
        <v>4.1100000000000003</v>
      </c>
      <c r="AB1561" s="268">
        <v>0.74</v>
      </c>
      <c r="AC1561" s="269">
        <v>8.8000000000000007</v>
      </c>
      <c r="AD1561" s="264">
        <v>480</v>
      </c>
      <c r="AE1561" s="264">
        <v>400</v>
      </c>
      <c r="AF1561" s="260">
        <v>120</v>
      </c>
      <c r="AG1561" s="66">
        <f t="shared" si="65"/>
        <v>127.21875000000003</v>
      </c>
      <c r="AH1561" s="143">
        <f t="shared" si="66"/>
        <v>1000</v>
      </c>
    </row>
    <row r="1562" spans="1:34" s="265" customFormat="1" x14ac:dyDescent="0.3">
      <c r="A1562" s="84">
        <v>903582</v>
      </c>
      <c r="B1562" s="260">
        <v>23.3</v>
      </c>
      <c r="C1562" s="260">
        <v>12.4</v>
      </c>
      <c r="D1562" s="261">
        <v>7.8857142900000001</v>
      </c>
      <c r="E1562" s="1538">
        <v>1.37</v>
      </c>
      <c r="F1562" s="263">
        <v>1644.3</v>
      </c>
      <c r="G1562" s="263"/>
      <c r="H1562" s="263">
        <v>47</v>
      </c>
      <c r="I1562" s="263">
        <v>1140</v>
      </c>
      <c r="J1562" s="262">
        <v>1.23</v>
      </c>
      <c r="K1562" s="260">
        <v>8.75</v>
      </c>
      <c r="L1562" s="264">
        <v>1510</v>
      </c>
      <c r="M1562" s="264">
        <v>1.97</v>
      </c>
      <c r="N1562" s="264">
        <v>1.42</v>
      </c>
      <c r="O1562" s="264">
        <v>4.3499999999999996</v>
      </c>
      <c r="P1562" s="264">
        <v>3.05</v>
      </c>
      <c r="Q1562" s="262"/>
      <c r="R1562" s="261">
        <v>1.9009530000000001</v>
      </c>
      <c r="S1562" s="264">
        <v>20.100000000000001</v>
      </c>
      <c r="T1562" s="264"/>
      <c r="U1562" s="264"/>
      <c r="V1562" s="264"/>
      <c r="W1562" s="264"/>
      <c r="X1562" s="264"/>
      <c r="Y1562" s="266">
        <v>21.6</v>
      </c>
      <c r="Z1562" s="267"/>
      <c r="AA1562" s="268">
        <v>3.68</v>
      </c>
      <c r="AB1562" s="268">
        <v>0.32500000000000001</v>
      </c>
      <c r="AC1562" s="269">
        <v>11.1</v>
      </c>
      <c r="AD1562" s="264">
        <v>540</v>
      </c>
      <c r="AE1562" s="264">
        <v>360</v>
      </c>
      <c r="AF1562" s="260">
        <v>100</v>
      </c>
      <c r="AG1562" s="66">
        <f t="shared" si="65"/>
        <v>143.40277777777777</v>
      </c>
      <c r="AH1562" s="143">
        <f t="shared" si="66"/>
        <v>1000</v>
      </c>
    </row>
    <row r="1563" spans="1:34" s="265" customFormat="1" x14ac:dyDescent="0.3">
      <c r="A1563" s="84">
        <v>903583</v>
      </c>
      <c r="B1563" s="260">
        <v>4.0999999999999996</v>
      </c>
      <c r="C1563" s="260"/>
      <c r="D1563" s="261">
        <v>8.19047619</v>
      </c>
      <c r="E1563" s="1538">
        <v>0.28799999999999998</v>
      </c>
      <c r="F1563" s="263">
        <v>100.2</v>
      </c>
      <c r="G1563" s="263"/>
      <c r="H1563" s="263">
        <v>40</v>
      </c>
      <c r="I1563" s="263">
        <v>890</v>
      </c>
      <c r="J1563" s="262">
        <v>8.4000000000000005E-2</v>
      </c>
      <c r="K1563" s="260">
        <v>5.91</v>
      </c>
      <c r="L1563" s="264">
        <v>1070</v>
      </c>
      <c r="M1563" s="264">
        <v>1.42</v>
      </c>
      <c r="N1563" s="264">
        <v>1.25</v>
      </c>
      <c r="O1563" s="264">
        <v>3.9</v>
      </c>
      <c r="P1563" s="264">
        <v>3.93</v>
      </c>
      <c r="Q1563" s="262"/>
      <c r="R1563" s="261">
        <v>1.6704920000000001</v>
      </c>
      <c r="S1563" s="264">
        <v>12.8</v>
      </c>
      <c r="T1563" s="264"/>
      <c r="U1563" s="264"/>
      <c r="V1563" s="264"/>
      <c r="W1563" s="264"/>
      <c r="X1563" s="264"/>
      <c r="Y1563" s="266">
        <v>20</v>
      </c>
      <c r="Z1563" s="267"/>
      <c r="AA1563" s="268">
        <v>4.3</v>
      </c>
      <c r="AB1563" s="268">
        <v>0.74</v>
      </c>
      <c r="AC1563" s="269">
        <v>10.199999999999999</v>
      </c>
      <c r="AD1563" s="264">
        <v>500</v>
      </c>
      <c r="AE1563" s="264">
        <v>320</v>
      </c>
      <c r="AF1563" s="260">
        <v>180</v>
      </c>
      <c r="AG1563" s="66">
        <f t="shared" si="65"/>
        <v>104.60700000000001</v>
      </c>
      <c r="AH1563" s="143">
        <f t="shared" si="66"/>
        <v>1000</v>
      </c>
    </row>
    <row r="1564" spans="1:34" s="265" customFormat="1" x14ac:dyDescent="0.3">
      <c r="A1564" s="84">
        <v>903584</v>
      </c>
      <c r="B1564" s="260">
        <v>0.3</v>
      </c>
      <c r="C1564" s="260"/>
      <c r="D1564" s="261">
        <v>8.0285714299999995</v>
      </c>
      <c r="E1564" s="1538">
        <v>0.245</v>
      </c>
      <c r="F1564" s="263">
        <v>143.30000000000001</v>
      </c>
      <c r="G1564" s="263"/>
      <c r="H1564" s="263">
        <v>57</v>
      </c>
      <c r="I1564" s="263">
        <v>250</v>
      </c>
      <c r="J1564" s="262">
        <v>0.79200000000000004</v>
      </c>
      <c r="K1564" s="260">
        <v>7.2</v>
      </c>
      <c r="L1564" s="264">
        <v>1800</v>
      </c>
      <c r="M1564" s="264">
        <v>0.41</v>
      </c>
      <c r="N1564" s="264">
        <v>0.4</v>
      </c>
      <c r="O1564" s="264">
        <v>2.71</v>
      </c>
      <c r="P1564" s="264">
        <v>8.57</v>
      </c>
      <c r="Q1564" s="262"/>
      <c r="R1564" s="261">
        <v>1.1732867052033407</v>
      </c>
      <c r="S1564" s="264">
        <v>7.9</v>
      </c>
      <c r="T1564" s="264"/>
      <c r="U1564" s="264"/>
      <c r="V1564" s="264"/>
      <c r="W1564" s="264"/>
      <c r="X1564" s="264"/>
      <c r="Y1564" s="266">
        <v>24</v>
      </c>
      <c r="Z1564" s="267"/>
      <c r="AA1564" s="268">
        <v>4.9000000000000004</v>
      </c>
      <c r="AB1564" s="268">
        <v>0.79</v>
      </c>
      <c r="AC1564" s="269">
        <v>8.5</v>
      </c>
      <c r="AD1564" s="264">
        <v>600</v>
      </c>
      <c r="AE1564" s="264">
        <v>300</v>
      </c>
      <c r="AF1564" s="260">
        <v>100</v>
      </c>
      <c r="AG1564" s="66">
        <f t="shared" si="65"/>
        <v>106.2</v>
      </c>
      <c r="AH1564" s="143">
        <f t="shared" si="66"/>
        <v>1000</v>
      </c>
    </row>
    <row r="1565" spans="1:34" s="265" customFormat="1" x14ac:dyDescent="0.3">
      <c r="A1565" s="84">
        <v>903585</v>
      </c>
      <c r="B1565" s="260">
        <v>0.5</v>
      </c>
      <c r="C1565" s="260"/>
      <c r="D1565" s="261">
        <v>8.19047619</v>
      </c>
      <c r="E1565" s="1538">
        <v>0.216</v>
      </c>
      <c r="F1565" s="263">
        <v>99.7</v>
      </c>
      <c r="G1565" s="263"/>
      <c r="H1565" s="263">
        <v>88</v>
      </c>
      <c r="I1565" s="263">
        <v>460</v>
      </c>
      <c r="J1565" s="262">
        <v>0.76100000000000001</v>
      </c>
      <c r="K1565" s="260">
        <v>5.97</v>
      </c>
      <c r="L1565" s="264">
        <v>2080</v>
      </c>
      <c r="M1565" s="264">
        <v>0.42</v>
      </c>
      <c r="N1565" s="264">
        <v>0.32</v>
      </c>
      <c r="O1565" s="264">
        <v>1.36</v>
      </c>
      <c r="P1565" s="264">
        <v>6.44</v>
      </c>
      <c r="Q1565" s="262"/>
      <c r="R1565" s="261">
        <v>1.2802128301486226</v>
      </c>
      <c r="S1565" s="264">
        <v>8.4</v>
      </c>
      <c r="T1565" s="264"/>
      <c r="U1565" s="264"/>
      <c r="V1565" s="264"/>
      <c r="W1565" s="264"/>
      <c r="X1565" s="264"/>
      <c r="Y1565" s="266">
        <v>24.8</v>
      </c>
      <c r="Z1565" s="267"/>
      <c r="AA1565" s="268">
        <v>3.54</v>
      </c>
      <c r="AB1565" s="268">
        <v>0.66800000000000004</v>
      </c>
      <c r="AC1565" s="269">
        <v>6.8</v>
      </c>
      <c r="AD1565" s="264">
        <v>620</v>
      </c>
      <c r="AE1565" s="264">
        <v>270</v>
      </c>
      <c r="AF1565" s="260">
        <v>110</v>
      </c>
      <c r="AG1565" s="66">
        <f t="shared" si="65"/>
        <v>85.216935483870969</v>
      </c>
      <c r="AH1565" s="143">
        <f t="shared" si="66"/>
        <v>1000</v>
      </c>
    </row>
    <row r="1566" spans="1:34" s="265" customFormat="1" x14ac:dyDescent="0.3">
      <c r="A1566" s="84">
        <v>903586</v>
      </c>
      <c r="B1566" s="260">
        <v>0.5</v>
      </c>
      <c r="C1566" s="260"/>
      <c r="D1566" s="261">
        <v>8.1523809499999995</v>
      </c>
      <c r="E1566" s="1538">
        <v>0.35</v>
      </c>
      <c r="F1566" s="263">
        <v>130.6</v>
      </c>
      <c r="G1566" s="263"/>
      <c r="H1566" s="263">
        <v>59</v>
      </c>
      <c r="I1566" s="263">
        <v>290</v>
      </c>
      <c r="J1566" s="262">
        <v>1.169</v>
      </c>
      <c r="K1566" s="260">
        <v>6.01</v>
      </c>
      <c r="L1566" s="264">
        <v>1750</v>
      </c>
      <c r="M1566" s="264">
        <v>0.55000000000000004</v>
      </c>
      <c r="N1566" s="264">
        <v>0.37</v>
      </c>
      <c r="O1566" s="264">
        <v>1.47</v>
      </c>
      <c r="P1566" s="264">
        <v>7.29</v>
      </c>
      <c r="Q1566" s="262"/>
      <c r="R1566" s="261">
        <v>1.674153</v>
      </c>
      <c r="S1566" s="264">
        <v>12.9</v>
      </c>
      <c r="T1566" s="264"/>
      <c r="U1566" s="264"/>
      <c r="V1566" s="264"/>
      <c r="W1566" s="264"/>
      <c r="X1566" s="264"/>
      <c r="Y1566" s="266">
        <v>24.8</v>
      </c>
      <c r="Z1566" s="267"/>
      <c r="AA1566" s="268">
        <v>3.98</v>
      </c>
      <c r="AB1566" s="268">
        <v>0.53300000000000003</v>
      </c>
      <c r="AC1566" s="269">
        <v>8.8000000000000007</v>
      </c>
      <c r="AD1566" s="264">
        <v>620</v>
      </c>
      <c r="AE1566" s="264">
        <v>280</v>
      </c>
      <c r="AF1566" s="260">
        <v>100</v>
      </c>
      <c r="AG1566" s="66">
        <f t="shared" si="65"/>
        <v>85.787903225806446</v>
      </c>
      <c r="AH1566" s="143">
        <f t="shared" si="66"/>
        <v>1000</v>
      </c>
    </row>
    <row r="1567" spans="1:34" s="265" customFormat="1" x14ac:dyDescent="0.3">
      <c r="A1567" s="84">
        <v>903587</v>
      </c>
      <c r="B1567" s="260">
        <v>24.7</v>
      </c>
      <c r="C1567" s="260">
        <v>10.9</v>
      </c>
      <c r="D1567" s="261">
        <v>8.0761904799999993</v>
      </c>
      <c r="E1567" s="1538">
        <v>0.78</v>
      </c>
      <c r="F1567" s="263">
        <v>533.79999999999995</v>
      </c>
      <c r="G1567" s="263"/>
      <c r="H1567" s="263">
        <v>41</v>
      </c>
      <c r="I1567" s="263">
        <v>540</v>
      </c>
      <c r="J1567" s="262">
        <v>0.74299999999999999</v>
      </c>
      <c r="K1567" s="260">
        <v>7.27</v>
      </c>
      <c r="L1567" s="264">
        <v>1050</v>
      </c>
      <c r="M1567" s="264">
        <v>1.51</v>
      </c>
      <c r="N1567" s="264">
        <v>1.1499999999999999</v>
      </c>
      <c r="O1567" s="264">
        <v>1.8</v>
      </c>
      <c r="P1567" s="264">
        <v>7.79</v>
      </c>
      <c r="Q1567" s="262"/>
      <c r="R1567" s="261">
        <v>1.2211720151868144</v>
      </c>
      <c r="S1567" s="264">
        <v>8.9</v>
      </c>
      <c r="T1567" s="264"/>
      <c r="U1567" s="264"/>
      <c r="V1567" s="264"/>
      <c r="W1567" s="264"/>
      <c r="X1567" s="264"/>
      <c r="Y1567" s="266">
        <v>25.6</v>
      </c>
      <c r="Z1567" s="267"/>
      <c r="AA1567" s="268">
        <v>3.45</v>
      </c>
      <c r="AB1567" s="268">
        <v>0.59299999999999997</v>
      </c>
      <c r="AC1567" s="269">
        <v>7</v>
      </c>
      <c r="AD1567" s="264">
        <v>640</v>
      </c>
      <c r="AE1567" s="264">
        <v>260</v>
      </c>
      <c r="AF1567" s="260">
        <v>100</v>
      </c>
      <c r="AG1567" s="66">
        <f t="shared" si="65"/>
        <v>100.53046875</v>
      </c>
      <c r="AH1567" s="143">
        <f t="shared" si="66"/>
        <v>1000</v>
      </c>
    </row>
    <row r="1568" spans="1:34" s="265" customFormat="1" x14ac:dyDescent="0.3">
      <c r="A1568" s="84">
        <v>903588</v>
      </c>
      <c r="B1568" s="260">
        <v>26.7</v>
      </c>
      <c r="C1568" s="260">
        <v>9.9</v>
      </c>
      <c r="D1568" s="261">
        <v>7.8857142900000001</v>
      </c>
      <c r="E1568" s="1538">
        <v>1.07</v>
      </c>
      <c r="F1568" s="263">
        <v>812.9</v>
      </c>
      <c r="G1568" s="263"/>
      <c r="H1568" s="263">
        <v>42</v>
      </c>
      <c r="I1568" s="263">
        <v>680</v>
      </c>
      <c r="J1568" s="262">
        <v>1.0940000000000001</v>
      </c>
      <c r="K1568" s="260">
        <v>6.94</v>
      </c>
      <c r="L1568" s="264">
        <v>1280</v>
      </c>
      <c r="M1568" s="264">
        <v>3.53</v>
      </c>
      <c r="N1568" s="264">
        <v>1.52</v>
      </c>
      <c r="O1568" s="264">
        <v>3.35</v>
      </c>
      <c r="P1568" s="264">
        <v>14.11</v>
      </c>
      <c r="Q1568" s="262"/>
      <c r="R1568" s="261">
        <v>1.7934680000000001</v>
      </c>
      <c r="S1568" s="264">
        <v>16.399999999999999</v>
      </c>
      <c r="T1568" s="264"/>
      <c r="U1568" s="264"/>
      <c r="V1568" s="264"/>
      <c r="W1568" s="264"/>
      <c r="X1568" s="264"/>
      <c r="Y1568" s="266">
        <v>26.4</v>
      </c>
      <c r="Z1568" s="267"/>
      <c r="AA1568" s="268">
        <v>4.1500000000000004</v>
      </c>
      <c r="AB1568" s="268">
        <v>0.52500000000000002</v>
      </c>
      <c r="AC1568" s="269">
        <v>11.5</v>
      </c>
      <c r="AD1568" s="264">
        <v>660</v>
      </c>
      <c r="AE1568" s="264">
        <v>220</v>
      </c>
      <c r="AF1568" s="260">
        <v>120</v>
      </c>
      <c r="AG1568" s="66">
        <f t="shared" si="65"/>
        <v>93.059090909090926</v>
      </c>
      <c r="AH1568" s="143">
        <f t="shared" si="66"/>
        <v>1000</v>
      </c>
    </row>
    <row r="1569" spans="1:34" s="265" customFormat="1" x14ac:dyDescent="0.3">
      <c r="A1569" s="84">
        <v>903589</v>
      </c>
      <c r="B1569" s="260">
        <v>24.8</v>
      </c>
      <c r="C1569" s="260">
        <v>10.5</v>
      </c>
      <c r="D1569" s="261">
        <v>7.9523809500000002</v>
      </c>
      <c r="E1569" s="1538">
        <v>0.92800000000000005</v>
      </c>
      <c r="F1569" s="263">
        <v>658.9</v>
      </c>
      <c r="G1569" s="263"/>
      <c r="H1569" s="263">
        <v>45</v>
      </c>
      <c r="I1569" s="263">
        <v>480</v>
      </c>
      <c r="J1569" s="262">
        <v>0.746</v>
      </c>
      <c r="K1569" s="260">
        <v>7.24</v>
      </c>
      <c r="L1569" s="264">
        <v>1140</v>
      </c>
      <c r="M1569" s="264">
        <v>2.42</v>
      </c>
      <c r="N1569" s="264">
        <v>1.29</v>
      </c>
      <c r="O1569" s="264">
        <v>2.06</v>
      </c>
      <c r="P1569" s="264">
        <v>8.99</v>
      </c>
      <c r="Q1569" s="262"/>
      <c r="R1569" s="261">
        <v>1.3593267178431436</v>
      </c>
      <c r="S1569" s="264">
        <v>9.5</v>
      </c>
      <c r="T1569" s="264"/>
      <c r="U1569" s="264"/>
      <c r="V1569" s="264"/>
      <c r="W1569" s="264"/>
      <c r="X1569" s="264"/>
      <c r="Y1569" s="266">
        <v>26</v>
      </c>
      <c r="Z1569" s="267"/>
      <c r="AA1569" s="268">
        <v>4.38</v>
      </c>
      <c r="AB1569" s="268">
        <v>0.77300000000000002</v>
      </c>
      <c r="AC1569" s="269">
        <v>7.3</v>
      </c>
      <c r="AD1569" s="264">
        <v>650</v>
      </c>
      <c r="AE1569" s="264">
        <v>240</v>
      </c>
      <c r="AF1569" s="260">
        <v>110</v>
      </c>
      <c r="AG1569" s="66">
        <f t="shared" si="65"/>
        <v>98.575384615384621</v>
      </c>
      <c r="AH1569" s="143">
        <f t="shared" si="66"/>
        <v>1000</v>
      </c>
    </row>
    <row r="1570" spans="1:34" s="265" customFormat="1" x14ac:dyDescent="0.3">
      <c r="A1570" s="84">
        <v>903590</v>
      </c>
      <c r="B1570" s="260">
        <v>22.8</v>
      </c>
      <c r="C1570" s="260">
        <v>10.4</v>
      </c>
      <c r="D1570" s="261">
        <v>7.93333333</v>
      </c>
      <c r="E1570" s="1538">
        <v>0.83199999999999996</v>
      </c>
      <c r="F1570" s="263">
        <v>598.9</v>
      </c>
      <c r="G1570" s="263"/>
      <c r="H1570" s="263">
        <v>51</v>
      </c>
      <c r="I1570" s="263">
        <v>390</v>
      </c>
      <c r="J1570" s="262">
        <v>0.60499999999999998</v>
      </c>
      <c r="K1570" s="260">
        <v>8.1</v>
      </c>
      <c r="L1570" s="264">
        <v>780</v>
      </c>
      <c r="M1570" s="264">
        <v>0.56999999999999995</v>
      </c>
      <c r="N1570" s="264">
        <v>1.21</v>
      </c>
      <c r="O1570" s="264">
        <v>5.99</v>
      </c>
      <c r="P1570" s="264">
        <v>2.02</v>
      </c>
      <c r="Q1570" s="262"/>
      <c r="R1570" s="261">
        <v>1.255430585856258</v>
      </c>
      <c r="S1570" s="264">
        <v>8.4</v>
      </c>
      <c r="T1570" s="264"/>
      <c r="U1570" s="264"/>
      <c r="V1570" s="264"/>
      <c r="W1570" s="264"/>
      <c r="X1570" s="264"/>
      <c r="Y1570" s="266">
        <v>25.6</v>
      </c>
      <c r="Z1570" s="267"/>
      <c r="AA1570" s="268">
        <v>4.72</v>
      </c>
      <c r="AB1570" s="268">
        <v>0.59799999999999998</v>
      </c>
      <c r="AC1570" s="269">
        <v>11</v>
      </c>
      <c r="AD1570" s="264">
        <v>640</v>
      </c>
      <c r="AE1570" s="264">
        <v>250</v>
      </c>
      <c r="AF1570" s="260">
        <v>110</v>
      </c>
      <c r="AG1570" s="66">
        <f t="shared" si="65"/>
        <v>112.0078125</v>
      </c>
      <c r="AH1570" s="143">
        <f t="shared" si="66"/>
        <v>1000</v>
      </c>
    </row>
    <row r="1571" spans="1:34" s="265" customFormat="1" x14ac:dyDescent="0.3">
      <c r="A1571" s="84">
        <v>903591</v>
      </c>
      <c r="B1571" s="260">
        <v>23.9</v>
      </c>
      <c r="C1571" s="260">
        <v>10.1</v>
      </c>
      <c r="D1571" s="261">
        <v>7.93333333</v>
      </c>
      <c r="E1571" s="1538">
        <v>0.98899999999999999</v>
      </c>
      <c r="F1571" s="263">
        <v>759.5</v>
      </c>
      <c r="G1571" s="263"/>
      <c r="H1571" s="263">
        <v>42</v>
      </c>
      <c r="I1571" s="263">
        <v>630</v>
      </c>
      <c r="J1571" s="262">
        <v>1.0109999999999999</v>
      </c>
      <c r="K1571" s="260">
        <v>7.76</v>
      </c>
      <c r="L1571" s="264">
        <v>1530</v>
      </c>
      <c r="M1571" s="264">
        <v>3.08</v>
      </c>
      <c r="N1571" s="264">
        <v>1.36</v>
      </c>
      <c r="O1571" s="264">
        <v>3.91</v>
      </c>
      <c r="P1571" s="264">
        <v>14.71</v>
      </c>
      <c r="Q1571" s="262"/>
      <c r="R1571" s="261">
        <v>1.7029370000000001</v>
      </c>
      <c r="S1571" s="264">
        <v>13.7</v>
      </c>
      <c r="T1571" s="264"/>
      <c r="U1571" s="264"/>
      <c r="V1571" s="264"/>
      <c r="W1571" s="264"/>
      <c r="X1571" s="264"/>
      <c r="Y1571" s="266">
        <v>24</v>
      </c>
      <c r="Z1571" s="267"/>
      <c r="AA1571" s="268">
        <v>3.91</v>
      </c>
      <c r="AB1571" s="268">
        <v>0.44500000000000001</v>
      </c>
      <c r="AC1571" s="269">
        <v>7.6</v>
      </c>
      <c r="AD1571" s="264">
        <v>600</v>
      </c>
      <c r="AE1571" s="264">
        <v>300</v>
      </c>
      <c r="AF1571" s="260">
        <v>100</v>
      </c>
      <c r="AG1571" s="66">
        <f t="shared" si="65"/>
        <v>114.46</v>
      </c>
      <c r="AH1571" s="143">
        <f t="shared" si="66"/>
        <v>1000</v>
      </c>
    </row>
    <row r="1572" spans="1:34" s="265" customFormat="1" x14ac:dyDescent="0.3">
      <c r="A1572" s="84">
        <v>903592</v>
      </c>
      <c r="B1572" s="260">
        <v>24.3</v>
      </c>
      <c r="C1572" s="260">
        <v>10.3</v>
      </c>
      <c r="D1572" s="261">
        <v>8.0571428600000008</v>
      </c>
      <c r="E1572" s="1538">
        <v>1.1100000000000001</v>
      </c>
      <c r="F1572" s="263">
        <v>919.8</v>
      </c>
      <c r="G1572" s="263"/>
      <c r="H1572" s="263">
        <v>55</v>
      </c>
      <c r="I1572" s="263">
        <v>1090</v>
      </c>
      <c r="J1572" s="262">
        <v>1.1719999999999999</v>
      </c>
      <c r="K1572" s="260">
        <v>7.89</v>
      </c>
      <c r="L1572" s="264">
        <v>1780</v>
      </c>
      <c r="M1572" s="264">
        <v>5.83</v>
      </c>
      <c r="N1572" s="264">
        <v>2.23</v>
      </c>
      <c r="O1572" s="264">
        <v>5.0599999999999996</v>
      </c>
      <c r="P1572" s="264">
        <v>24.77</v>
      </c>
      <c r="Q1572" s="262"/>
      <c r="R1572" s="261">
        <v>1.8875480000000002</v>
      </c>
      <c r="S1572" s="264">
        <v>19.600000000000001</v>
      </c>
      <c r="T1572" s="264"/>
      <c r="U1572" s="264"/>
      <c r="V1572" s="264"/>
      <c r="W1572" s="264"/>
      <c r="X1572" s="264"/>
      <c r="Y1572" s="266">
        <v>23.2</v>
      </c>
      <c r="Z1572" s="267"/>
      <c r="AA1572" s="268">
        <v>3.57</v>
      </c>
      <c r="AB1572" s="268">
        <v>0.308</v>
      </c>
      <c r="AC1572" s="269">
        <v>10.4</v>
      </c>
      <c r="AD1572" s="264">
        <v>580</v>
      </c>
      <c r="AE1572" s="264">
        <v>300</v>
      </c>
      <c r="AF1572" s="260">
        <v>120</v>
      </c>
      <c r="AG1572" s="66">
        <f t="shared" si="65"/>
        <v>120.39051724137931</v>
      </c>
      <c r="AH1572" s="143">
        <f t="shared" si="66"/>
        <v>1000</v>
      </c>
    </row>
    <row r="1573" spans="1:34" s="265" customFormat="1" x14ac:dyDescent="0.3">
      <c r="A1573" s="84">
        <v>903593</v>
      </c>
      <c r="B1573" s="260">
        <v>24.8</v>
      </c>
      <c r="C1573" s="260">
        <v>10.5</v>
      </c>
      <c r="D1573" s="261">
        <v>7.9428571400000001</v>
      </c>
      <c r="E1573" s="1538">
        <v>1.18</v>
      </c>
      <c r="F1573" s="263">
        <v>1035.7</v>
      </c>
      <c r="G1573" s="263"/>
      <c r="H1573" s="263">
        <v>52</v>
      </c>
      <c r="I1573" s="263">
        <v>770</v>
      </c>
      <c r="J1573" s="262">
        <v>1.294</v>
      </c>
      <c r="K1573" s="260">
        <v>7.49</v>
      </c>
      <c r="L1573" s="264">
        <v>2050</v>
      </c>
      <c r="M1573" s="264">
        <v>10.58</v>
      </c>
      <c r="N1573" s="264">
        <v>2.0699999999999998</v>
      </c>
      <c r="O1573" s="264">
        <v>4.0199999999999996</v>
      </c>
      <c r="P1573" s="264">
        <v>25.84</v>
      </c>
      <c r="Q1573" s="262"/>
      <c r="R1573" s="261">
        <v>1.9849880000000002</v>
      </c>
      <c r="S1573" s="264">
        <v>23.6</v>
      </c>
      <c r="T1573" s="264"/>
      <c r="U1573" s="264"/>
      <c r="V1573" s="264"/>
      <c r="W1573" s="264"/>
      <c r="X1573" s="264"/>
      <c r="Y1573" s="266">
        <v>20.8</v>
      </c>
      <c r="Z1573" s="267"/>
      <c r="AA1573" s="268">
        <v>4.84</v>
      </c>
      <c r="AB1573" s="268">
        <v>0.32200000000000001</v>
      </c>
      <c r="AC1573" s="269">
        <v>9.6999999999999993</v>
      </c>
      <c r="AD1573" s="264">
        <v>520</v>
      </c>
      <c r="AE1573" s="264">
        <v>320</v>
      </c>
      <c r="AF1573" s="260">
        <v>160</v>
      </c>
      <c r="AG1573" s="66">
        <f t="shared" si="65"/>
        <v>127.47403846153846</v>
      </c>
      <c r="AH1573" s="143">
        <f t="shared" si="66"/>
        <v>1000</v>
      </c>
    </row>
    <row r="1574" spans="1:34" s="265" customFormat="1" x14ac:dyDescent="0.3">
      <c r="A1574" s="84">
        <v>903594</v>
      </c>
      <c r="B1574" s="260">
        <v>20.8</v>
      </c>
      <c r="C1574" s="260">
        <v>10.8</v>
      </c>
      <c r="D1574" s="261">
        <v>7.9428571400000001</v>
      </c>
      <c r="E1574" s="1538">
        <v>1.1000000000000001</v>
      </c>
      <c r="F1574" s="263">
        <v>882</v>
      </c>
      <c r="G1574" s="263"/>
      <c r="H1574" s="263">
        <v>45</v>
      </c>
      <c r="I1574" s="263">
        <v>580</v>
      </c>
      <c r="J1574" s="262">
        <v>1.145</v>
      </c>
      <c r="K1574" s="260">
        <v>5.72</v>
      </c>
      <c r="L1574" s="264">
        <v>1830</v>
      </c>
      <c r="M1574" s="264">
        <v>11.2</v>
      </c>
      <c r="N1574" s="264">
        <v>2</v>
      </c>
      <c r="O1574" s="264">
        <v>4.13</v>
      </c>
      <c r="P1574" s="264">
        <v>22.74</v>
      </c>
      <c r="Q1574" s="262"/>
      <c r="R1574" s="261">
        <v>1.9740330000000001</v>
      </c>
      <c r="S1574" s="264">
        <v>23.1</v>
      </c>
      <c r="T1574" s="264"/>
      <c r="U1574" s="264"/>
      <c r="V1574" s="264"/>
      <c r="W1574" s="264"/>
      <c r="X1574" s="264"/>
      <c r="Y1574" s="266">
        <v>21.6</v>
      </c>
      <c r="Z1574" s="267"/>
      <c r="AA1574" s="268">
        <v>3.77</v>
      </c>
      <c r="AB1574" s="268">
        <v>0.28999999999999998</v>
      </c>
      <c r="AC1574" s="269">
        <v>8.1</v>
      </c>
      <c r="AD1574" s="264">
        <v>540</v>
      </c>
      <c r="AE1574" s="264">
        <v>310</v>
      </c>
      <c r="AF1574" s="260">
        <v>150</v>
      </c>
      <c r="AG1574" s="66">
        <f t="shared" si="65"/>
        <v>93.744444444444426</v>
      </c>
      <c r="AH1574" s="143">
        <f t="shared" si="66"/>
        <v>1000</v>
      </c>
    </row>
    <row r="1575" spans="1:34" s="265" customFormat="1" x14ac:dyDescent="0.3">
      <c r="A1575" s="84">
        <v>903595</v>
      </c>
      <c r="B1575" s="260">
        <v>23.2</v>
      </c>
      <c r="C1575" s="260">
        <v>10</v>
      </c>
      <c r="D1575" s="261">
        <v>8.0380952400000005</v>
      </c>
      <c r="E1575" s="1538">
        <v>1.01</v>
      </c>
      <c r="F1575" s="263">
        <v>819.5</v>
      </c>
      <c r="G1575" s="263"/>
      <c r="H1575" s="263">
        <v>46</v>
      </c>
      <c r="I1575" s="263">
        <v>640</v>
      </c>
      <c r="J1575" s="262">
        <v>1.1930000000000001</v>
      </c>
      <c r="K1575" s="260">
        <v>6.29</v>
      </c>
      <c r="L1575" s="264">
        <v>1860</v>
      </c>
      <c r="M1575" s="264">
        <v>10.82</v>
      </c>
      <c r="N1575" s="264">
        <v>2.35</v>
      </c>
      <c r="O1575" s="264">
        <v>4.45</v>
      </c>
      <c r="P1575" s="264">
        <v>29.9</v>
      </c>
      <c r="Q1575" s="262"/>
      <c r="R1575" s="261">
        <v>2.0738250000000003</v>
      </c>
      <c r="S1575" s="264">
        <v>28.5</v>
      </c>
      <c r="T1575" s="264"/>
      <c r="U1575" s="264"/>
      <c r="V1575" s="264"/>
      <c r="W1575" s="264"/>
      <c r="X1575" s="264"/>
      <c r="Y1575" s="266">
        <v>21.6</v>
      </c>
      <c r="Z1575" s="267"/>
      <c r="AA1575" s="268">
        <v>4.21</v>
      </c>
      <c r="AB1575" s="268">
        <v>0.85299999999999998</v>
      </c>
      <c r="AC1575" s="269">
        <v>7.3</v>
      </c>
      <c r="AD1575" s="264">
        <v>540</v>
      </c>
      <c r="AE1575" s="264">
        <v>310</v>
      </c>
      <c r="AF1575" s="260">
        <v>150</v>
      </c>
      <c r="AG1575" s="66">
        <f t="shared" si="65"/>
        <v>103.08611111111109</v>
      </c>
      <c r="AH1575" s="143">
        <f t="shared" si="66"/>
        <v>1000</v>
      </c>
    </row>
    <row r="1576" spans="1:34" s="265" customFormat="1" x14ac:dyDescent="0.3">
      <c r="A1576" s="84">
        <v>903596</v>
      </c>
      <c r="B1576" s="260">
        <v>24.2</v>
      </c>
      <c r="C1576" s="260">
        <v>9.9</v>
      </c>
      <c r="D1576" s="261">
        <v>8.1047618999999997</v>
      </c>
      <c r="E1576" s="1538">
        <v>0.85299999999999998</v>
      </c>
      <c r="F1576" s="263">
        <v>661.4</v>
      </c>
      <c r="G1576" s="263"/>
      <c r="H1576" s="263">
        <v>47</v>
      </c>
      <c r="I1576" s="263">
        <v>540</v>
      </c>
      <c r="J1576" s="262">
        <v>0.91</v>
      </c>
      <c r="K1576" s="260">
        <v>6.65</v>
      </c>
      <c r="L1576" s="264">
        <v>1560</v>
      </c>
      <c r="M1576" s="264">
        <v>4.34</v>
      </c>
      <c r="N1576" s="264">
        <v>1.56</v>
      </c>
      <c r="O1576" s="264">
        <v>3.43</v>
      </c>
      <c r="P1576" s="264">
        <v>18.239999999999998</v>
      </c>
      <c r="Q1576" s="262"/>
      <c r="R1576" s="261">
        <v>1.770977</v>
      </c>
      <c r="S1576" s="264">
        <v>15.7</v>
      </c>
      <c r="T1576" s="264"/>
      <c r="U1576" s="264"/>
      <c r="V1576" s="264"/>
      <c r="W1576" s="264"/>
      <c r="X1576" s="264"/>
      <c r="Y1576" s="266">
        <v>21.6</v>
      </c>
      <c r="Z1576" s="267"/>
      <c r="AA1576" s="268">
        <v>4.74</v>
      </c>
      <c r="AB1576" s="268">
        <v>0.69899999999999995</v>
      </c>
      <c r="AC1576" s="269">
        <v>7</v>
      </c>
      <c r="AD1576" s="264">
        <v>540</v>
      </c>
      <c r="AE1576" s="264">
        <v>300</v>
      </c>
      <c r="AF1576" s="260">
        <v>160</v>
      </c>
      <c r="AG1576" s="66">
        <f t="shared" si="65"/>
        <v>108.9861111111111</v>
      </c>
      <c r="AH1576" s="143">
        <f t="shared" si="66"/>
        <v>1000</v>
      </c>
    </row>
    <row r="1577" spans="1:34" s="265" customFormat="1" x14ac:dyDescent="0.3">
      <c r="A1577" s="84">
        <v>903597</v>
      </c>
      <c r="B1577" s="260">
        <v>26.2</v>
      </c>
      <c r="C1577" s="260">
        <v>9.8000000000000007</v>
      </c>
      <c r="D1577" s="261">
        <v>8.1523809499999995</v>
      </c>
      <c r="E1577" s="1538">
        <v>0.97599999999999998</v>
      </c>
      <c r="F1577" s="263">
        <v>693.4</v>
      </c>
      <c r="G1577" s="263"/>
      <c r="H1577" s="263">
        <v>44</v>
      </c>
      <c r="I1577" s="263">
        <v>440</v>
      </c>
      <c r="J1577" s="262">
        <v>0.81399999999999995</v>
      </c>
      <c r="K1577" s="260">
        <v>5.67</v>
      </c>
      <c r="L1577" s="264">
        <v>930</v>
      </c>
      <c r="M1577" s="264">
        <v>1.9</v>
      </c>
      <c r="N1577" s="264">
        <v>1</v>
      </c>
      <c r="O1577" s="264">
        <v>2.04</v>
      </c>
      <c r="P1577" s="264">
        <v>7.18</v>
      </c>
      <c r="Q1577" s="262"/>
      <c r="R1577" s="261">
        <v>1.6631279999999999</v>
      </c>
      <c r="S1577" s="264">
        <v>12.6</v>
      </c>
      <c r="T1577" s="264"/>
      <c r="U1577" s="264"/>
      <c r="V1577" s="264"/>
      <c r="W1577" s="264"/>
      <c r="X1577" s="264"/>
      <c r="Y1577" s="266">
        <v>21.6</v>
      </c>
      <c r="Z1577" s="267"/>
      <c r="AA1577" s="268">
        <v>4.5599999999999996</v>
      </c>
      <c r="AB1577" s="268">
        <v>0.81200000000000006</v>
      </c>
      <c r="AC1577" s="269">
        <v>9.3000000000000007</v>
      </c>
      <c r="AD1577" s="264">
        <v>540</v>
      </c>
      <c r="AE1577" s="264">
        <v>320</v>
      </c>
      <c r="AF1577" s="260">
        <v>140</v>
      </c>
      <c r="AG1577" s="66">
        <f t="shared" si="65"/>
        <v>92.924999999999997</v>
      </c>
      <c r="AH1577" s="143">
        <f t="shared" si="66"/>
        <v>1000</v>
      </c>
    </row>
    <row r="1578" spans="1:34" s="265" customFormat="1" x14ac:dyDescent="0.3">
      <c r="A1578" s="84">
        <v>903598</v>
      </c>
      <c r="B1578" s="260">
        <v>26.8</v>
      </c>
      <c r="C1578" s="260">
        <v>10.1</v>
      </c>
      <c r="D1578" s="261">
        <v>8.06666667</v>
      </c>
      <c r="E1578" s="1538">
        <v>0.94599999999999995</v>
      </c>
      <c r="F1578" s="263">
        <v>668.7</v>
      </c>
      <c r="G1578" s="263"/>
      <c r="H1578" s="263">
        <v>52</v>
      </c>
      <c r="I1578" s="263">
        <v>560</v>
      </c>
      <c r="J1578" s="262">
        <v>0.96</v>
      </c>
      <c r="K1578" s="260">
        <v>6.47</v>
      </c>
      <c r="L1578" s="264">
        <v>1330</v>
      </c>
      <c r="M1578" s="264">
        <v>1.89</v>
      </c>
      <c r="N1578" s="264">
        <v>1.2</v>
      </c>
      <c r="O1578" s="264">
        <v>4.6500000000000004</v>
      </c>
      <c r="P1578" s="264">
        <v>9.3000000000000007</v>
      </c>
      <c r="Q1578" s="262"/>
      <c r="R1578" s="261">
        <v>1.6254680000000001</v>
      </c>
      <c r="S1578" s="264">
        <v>11.6</v>
      </c>
      <c r="T1578" s="264"/>
      <c r="U1578" s="264"/>
      <c r="V1578" s="264"/>
      <c r="W1578" s="264"/>
      <c r="X1578" s="264"/>
      <c r="Y1578" s="266">
        <v>23.2</v>
      </c>
      <c r="Z1578" s="267"/>
      <c r="AA1578" s="268">
        <v>4.13</v>
      </c>
      <c r="AB1578" s="268">
        <v>0.51800000000000002</v>
      </c>
      <c r="AC1578" s="269">
        <v>11.3</v>
      </c>
      <c r="AD1578" s="264">
        <v>580</v>
      </c>
      <c r="AE1578" s="264">
        <v>280</v>
      </c>
      <c r="AF1578" s="260">
        <v>140</v>
      </c>
      <c r="AG1578" s="66">
        <f t="shared" si="65"/>
        <v>98.723275862068974</v>
      </c>
      <c r="AH1578" s="143">
        <f t="shared" si="66"/>
        <v>1000</v>
      </c>
    </row>
    <row r="1579" spans="1:34" s="265" customFormat="1" x14ac:dyDescent="0.3">
      <c r="A1579" s="84">
        <v>903599</v>
      </c>
      <c r="B1579" s="260">
        <v>24.5</v>
      </c>
      <c r="C1579" s="260">
        <v>9.9</v>
      </c>
      <c r="D1579" s="261">
        <v>8.2666666699999993</v>
      </c>
      <c r="E1579" s="1538">
        <v>0.74099999999999999</v>
      </c>
      <c r="F1579" s="263">
        <v>532.29999999999995</v>
      </c>
      <c r="G1579" s="263"/>
      <c r="H1579" s="263">
        <v>46</v>
      </c>
      <c r="I1579" s="263">
        <v>560</v>
      </c>
      <c r="J1579" s="262">
        <v>0.96</v>
      </c>
      <c r="K1579" s="260">
        <v>6.62</v>
      </c>
      <c r="L1579" s="264">
        <v>1290</v>
      </c>
      <c r="M1579" s="264">
        <v>1.3</v>
      </c>
      <c r="N1579" s="264">
        <v>0.99</v>
      </c>
      <c r="O1579" s="264">
        <v>2.33</v>
      </c>
      <c r="P1579" s="264">
        <v>7</v>
      </c>
      <c r="Q1579" s="262"/>
      <c r="R1579" s="261">
        <v>1.1147110385379855</v>
      </c>
      <c r="S1579" s="264">
        <v>7.9</v>
      </c>
      <c r="T1579" s="264"/>
      <c r="U1579" s="264"/>
      <c r="V1579" s="264"/>
      <c r="W1579" s="264"/>
      <c r="X1579" s="264"/>
      <c r="Y1579" s="266">
        <v>22.8</v>
      </c>
      <c r="Z1579" s="267"/>
      <c r="AA1579" s="268">
        <v>4.29</v>
      </c>
      <c r="AB1579" s="268">
        <v>0.66900000000000004</v>
      </c>
      <c r="AC1579" s="269">
        <v>9.3000000000000007</v>
      </c>
      <c r="AD1579" s="264">
        <v>570</v>
      </c>
      <c r="AE1579" s="264">
        <v>280</v>
      </c>
      <c r="AF1579" s="260">
        <v>150</v>
      </c>
      <c r="AG1579" s="66">
        <f t="shared" si="65"/>
        <v>102.78421052631579</v>
      </c>
      <c r="AH1579" s="143">
        <f t="shared" si="66"/>
        <v>1000</v>
      </c>
    </row>
    <row r="1580" spans="1:34" s="265" customFormat="1" x14ac:dyDescent="0.3">
      <c r="A1580" s="84">
        <v>903600</v>
      </c>
      <c r="B1580" s="260">
        <v>25</v>
      </c>
      <c r="C1580" s="260">
        <v>10.3</v>
      </c>
      <c r="D1580" s="261">
        <v>7.9142857099999997</v>
      </c>
      <c r="E1580" s="1538">
        <v>1.1000000000000001</v>
      </c>
      <c r="F1580" s="263">
        <v>854.2</v>
      </c>
      <c r="G1580" s="263"/>
      <c r="H1580" s="263">
        <v>48</v>
      </c>
      <c r="I1580" s="263">
        <v>540</v>
      </c>
      <c r="J1580" s="262">
        <v>1.008</v>
      </c>
      <c r="K1580" s="260">
        <v>6.28</v>
      </c>
      <c r="L1580" s="264">
        <v>1300</v>
      </c>
      <c r="M1580" s="264">
        <v>1.96</v>
      </c>
      <c r="N1580" s="264">
        <v>1.05</v>
      </c>
      <c r="O1580" s="264">
        <v>2.4700000000000002</v>
      </c>
      <c r="P1580" s="264">
        <v>8.36</v>
      </c>
      <c r="Q1580" s="262"/>
      <c r="R1580" s="261">
        <v>1.610012</v>
      </c>
      <c r="S1580" s="264">
        <v>11.2</v>
      </c>
      <c r="T1580" s="264"/>
      <c r="U1580" s="264"/>
      <c r="V1580" s="264"/>
      <c r="W1580" s="264"/>
      <c r="X1580" s="264"/>
      <c r="Y1580" s="266">
        <v>23.2</v>
      </c>
      <c r="Z1580" s="267"/>
      <c r="AA1580" s="268">
        <v>3.78</v>
      </c>
      <c r="AB1580" s="268">
        <v>0.58799999999999997</v>
      </c>
      <c r="AC1580" s="269">
        <v>6</v>
      </c>
      <c r="AD1580" s="264">
        <v>580</v>
      </c>
      <c r="AE1580" s="264">
        <v>260</v>
      </c>
      <c r="AF1580" s="260">
        <v>160</v>
      </c>
      <c r="AG1580" s="66">
        <f t="shared" si="65"/>
        <v>95.824137931034485</v>
      </c>
      <c r="AH1580" s="143">
        <f t="shared" si="66"/>
        <v>1000</v>
      </c>
    </row>
    <row r="1581" spans="1:34" s="265" customFormat="1" x14ac:dyDescent="0.3">
      <c r="A1581" s="84">
        <v>903601</v>
      </c>
      <c r="B1581" s="260">
        <v>24.5</v>
      </c>
      <c r="C1581" s="260">
        <v>10.1</v>
      </c>
      <c r="D1581" s="261">
        <v>8.12380952</v>
      </c>
      <c r="E1581" s="1538">
        <v>1</v>
      </c>
      <c r="F1581" s="263">
        <v>571.9</v>
      </c>
      <c r="G1581" s="263"/>
      <c r="H1581" s="263">
        <v>42</v>
      </c>
      <c r="I1581" s="263">
        <v>440</v>
      </c>
      <c r="J1581" s="262">
        <v>0.77400000000000002</v>
      </c>
      <c r="K1581" s="260">
        <v>5.9</v>
      </c>
      <c r="L1581" s="264">
        <v>1100</v>
      </c>
      <c r="M1581" s="264">
        <v>2.42</v>
      </c>
      <c r="N1581" s="264">
        <v>1.33</v>
      </c>
      <c r="O1581" s="264">
        <v>3.27</v>
      </c>
      <c r="P1581" s="264">
        <v>11.99</v>
      </c>
      <c r="Q1581" s="262"/>
      <c r="R1581" s="261">
        <v>1.6594250000000001</v>
      </c>
      <c r="S1581" s="264">
        <v>12.5</v>
      </c>
      <c r="T1581" s="264"/>
      <c r="U1581" s="264"/>
      <c r="V1581" s="264"/>
      <c r="W1581" s="264"/>
      <c r="X1581" s="264"/>
      <c r="Y1581" s="266">
        <v>23.6</v>
      </c>
      <c r="Z1581" s="267"/>
      <c r="AA1581" s="268">
        <v>4.26</v>
      </c>
      <c r="AB1581" s="268">
        <v>0.66100000000000003</v>
      </c>
      <c r="AC1581" s="269">
        <v>10.6</v>
      </c>
      <c r="AD1581" s="264">
        <v>590</v>
      </c>
      <c r="AE1581" s="264">
        <v>270</v>
      </c>
      <c r="AF1581" s="260">
        <v>140</v>
      </c>
      <c r="AG1581" s="66">
        <f t="shared" si="65"/>
        <v>88.500000000000014</v>
      </c>
      <c r="AH1581" s="143">
        <f t="shared" si="66"/>
        <v>1000</v>
      </c>
    </row>
    <row r="1582" spans="1:34" s="265" customFormat="1" x14ac:dyDescent="0.3">
      <c r="A1582" s="84">
        <v>903602</v>
      </c>
      <c r="B1582" s="260">
        <v>23.8</v>
      </c>
      <c r="C1582" s="260">
        <v>10.6</v>
      </c>
      <c r="D1582" s="261">
        <v>8.0285714299999995</v>
      </c>
      <c r="E1582" s="1538">
        <v>0.98299999999999998</v>
      </c>
      <c r="F1582" s="263">
        <v>740.5</v>
      </c>
      <c r="G1582" s="263"/>
      <c r="H1582" s="263">
        <v>44</v>
      </c>
      <c r="I1582" s="263">
        <v>460</v>
      </c>
      <c r="J1582" s="262">
        <v>0.91900000000000004</v>
      </c>
      <c r="K1582" s="260">
        <v>6.5</v>
      </c>
      <c r="L1582" s="264">
        <v>1250</v>
      </c>
      <c r="M1582" s="264">
        <v>5.53</v>
      </c>
      <c r="N1582" s="264">
        <v>1.49</v>
      </c>
      <c r="O1582" s="264">
        <v>3.42</v>
      </c>
      <c r="P1582" s="264">
        <v>14.67</v>
      </c>
      <c r="Q1582" s="262"/>
      <c r="R1582" s="261">
        <v>1.6886570000000001</v>
      </c>
      <c r="S1582" s="264">
        <v>13.3</v>
      </c>
      <c r="T1582" s="264"/>
      <c r="U1582" s="264"/>
      <c r="V1582" s="264"/>
      <c r="W1582" s="264"/>
      <c r="X1582" s="264"/>
      <c r="Y1582" s="266">
        <v>24</v>
      </c>
      <c r="Z1582" s="267"/>
      <c r="AA1582" s="268">
        <v>4.68</v>
      </c>
      <c r="AB1582" s="268">
        <v>0.70799999999999996</v>
      </c>
      <c r="AC1582" s="269">
        <v>11.5</v>
      </c>
      <c r="AD1582" s="264">
        <v>600</v>
      </c>
      <c r="AE1582" s="264">
        <v>170</v>
      </c>
      <c r="AF1582" s="260">
        <v>230</v>
      </c>
      <c r="AG1582" s="66">
        <f t="shared" si="65"/>
        <v>95.875</v>
      </c>
      <c r="AH1582" s="143">
        <f t="shared" si="66"/>
        <v>1000</v>
      </c>
    </row>
    <row r="1583" spans="1:34" s="265" customFormat="1" x14ac:dyDescent="0.3">
      <c r="A1583" s="84">
        <v>903603</v>
      </c>
      <c r="B1583" s="260">
        <v>25.7</v>
      </c>
      <c r="C1583" s="260">
        <v>10.1</v>
      </c>
      <c r="D1583" s="261">
        <v>7.8</v>
      </c>
      <c r="E1583" s="1538">
        <v>0.85199999999999998</v>
      </c>
      <c r="F1583" s="263">
        <v>665.9</v>
      </c>
      <c r="G1583" s="263"/>
      <c r="H1583" s="263">
        <v>51</v>
      </c>
      <c r="I1583" s="263">
        <v>540</v>
      </c>
      <c r="J1583" s="262">
        <v>0.97799999999999998</v>
      </c>
      <c r="K1583" s="260">
        <v>6.03</v>
      </c>
      <c r="L1583" s="264">
        <v>1380</v>
      </c>
      <c r="M1583" s="264">
        <v>4.8499999999999996</v>
      </c>
      <c r="N1583" s="264">
        <v>1.46</v>
      </c>
      <c r="O1583" s="264">
        <v>3.94</v>
      </c>
      <c r="P1583" s="264">
        <v>16.79</v>
      </c>
      <c r="Q1583" s="262"/>
      <c r="R1583" s="261">
        <v>1.859688</v>
      </c>
      <c r="S1583" s="264">
        <v>18.600000000000001</v>
      </c>
      <c r="T1583" s="264"/>
      <c r="U1583" s="264"/>
      <c r="V1583" s="264"/>
      <c r="W1583" s="264"/>
      <c r="X1583" s="264"/>
      <c r="Y1583" s="266">
        <v>23.2</v>
      </c>
      <c r="Z1583" s="267"/>
      <c r="AA1583" s="268">
        <v>3.86</v>
      </c>
      <c r="AB1583" s="268">
        <v>0.629</v>
      </c>
      <c r="AC1583" s="269">
        <v>8.6999999999999993</v>
      </c>
      <c r="AD1583" s="264">
        <v>580</v>
      </c>
      <c r="AE1583" s="264">
        <v>300</v>
      </c>
      <c r="AF1583" s="260">
        <v>120</v>
      </c>
      <c r="AG1583" s="66">
        <f t="shared" si="65"/>
        <v>92.009482758620692</v>
      </c>
      <c r="AH1583" s="143">
        <f t="shared" si="66"/>
        <v>1000</v>
      </c>
    </row>
    <row r="1584" spans="1:34" s="265" customFormat="1" x14ac:dyDescent="0.3">
      <c r="A1584" s="84">
        <v>903604</v>
      </c>
      <c r="B1584" s="260">
        <v>20.3</v>
      </c>
      <c r="C1584" s="260">
        <v>9.8000000000000007</v>
      </c>
      <c r="D1584" s="261">
        <v>8.1333333299999993</v>
      </c>
      <c r="E1584" s="1538">
        <v>0.98499999999999999</v>
      </c>
      <c r="F1584" s="263">
        <v>742.1</v>
      </c>
      <c r="G1584" s="263"/>
      <c r="H1584" s="263">
        <v>44</v>
      </c>
      <c r="I1584" s="263">
        <v>360</v>
      </c>
      <c r="J1584" s="262">
        <v>0.91100000000000003</v>
      </c>
      <c r="K1584" s="260">
        <v>5.85</v>
      </c>
      <c r="L1584" s="264">
        <v>1290</v>
      </c>
      <c r="M1584" s="264">
        <v>5.51</v>
      </c>
      <c r="N1584" s="264">
        <v>1.68</v>
      </c>
      <c r="O1584" s="264">
        <v>3.39</v>
      </c>
      <c r="P1584" s="264">
        <v>19.28</v>
      </c>
      <c r="Q1584" s="262"/>
      <c r="R1584" s="261">
        <v>1.6958250000000001</v>
      </c>
      <c r="S1584" s="264">
        <v>13.5</v>
      </c>
      <c r="T1584" s="264"/>
      <c r="U1584" s="264"/>
      <c r="V1584" s="264"/>
      <c r="W1584" s="264"/>
      <c r="X1584" s="264"/>
      <c r="Y1584" s="266">
        <v>24</v>
      </c>
      <c r="Z1584" s="267"/>
      <c r="AA1584" s="268">
        <v>3.85</v>
      </c>
      <c r="AB1584" s="268">
        <v>0.65700000000000003</v>
      </c>
      <c r="AC1584" s="269">
        <v>7</v>
      </c>
      <c r="AD1584" s="264">
        <v>600</v>
      </c>
      <c r="AE1584" s="264">
        <v>280</v>
      </c>
      <c r="AF1584" s="260">
        <v>120</v>
      </c>
      <c r="AG1584" s="66">
        <f t="shared" si="65"/>
        <v>86.287500000000009</v>
      </c>
      <c r="AH1584" s="143">
        <f t="shared" si="66"/>
        <v>1000</v>
      </c>
    </row>
    <row r="1585" spans="1:34" s="265" customFormat="1" x14ac:dyDescent="0.3">
      <c r="A1585" s="84">
        <v>903605</v>
      </c>
      <c r="B1585" s="260">
        <v>25</v>
      </c>
      <c r="C1585" s="260">
        <v>9.9</v>
      </c>
      <c r="D1585" s="261">
        <v>8.1142857100000008</v>
      </c>
      <c r="E1585" s="1538">
        <v>1.1200000000000001</v>
      </c>
      <c r="F1585" s="263">
        <v>880.4</v>
      </c>
      <c r="G1585" s="263"/>
      <c r="H1585" s="263">
        <v>51</v>
      </c>
      <c r="I1585" s="263">
        <v>730</v>
      </c>
      <c r="J1585" s="262">
        <v>1.2729999999999999</v>
      </c>
      <c r="K1585" s="260">
        <v>7.16</v>
      </c>
      <c r="L1585" s="264">
        <v>1710</v>
      </c>
      <c r="M1585" s="264">
        <v>5.52</v>
      </c>
      <c r="N1585" s="264">
        <v>1.56</v>
      </c>
      <c r="O1585" s="264">
        <v>3.42</v>
      </c>
      <c r="P1585" s="264">
        <v>16.09</v>
      </c>
      <c r="Q1585" s="262"/>
      <c r="R1585" s="261">
        <v>1.8334170000000001</v>
      </c>
      <c r="S1585" s="264">
        <v>17.7</v>
      </c>
      <c r="T1585" s="264"/>
      <c r="U1585" s="264"/>
      <c r="V1585" s="264"/>
      <c r="W1585" s="264"/>
      <c r="X1585" s="264"/>
      <c r="Y1585" s="266">
        <v>23.2</v>
      </c>
      <c r="Z1585" s="267"/>
      <c r="AA1585" s="268">
        <v>3.56</v>
      </c>
      <c r="AB1585" s="268">
        <v>0.38700000000000001</v>
      </c>
      <c r="AC1585" s="269">
        <v>6.4</v>
      </c>
      <c r="AD1585" s="264">
        <v>580</v>
      </c>
      <c r="AE1585" s="264">
        <v>280</v>
      </c>
      <c r="AF1585" s="260">
        <v>140</v>
      </c>
      <c r="AG1585" s="66">
        <f t="shared" si="65"/>
        <v>109.25172413793103</v>
      </c>
      <c r="AH1585" s="143">
        <f t="shared" si="66"/>
        <v>1000</v>
      </c>
    </row>
    <row r="1586" spans="1:34" s="265" customFormat="1" x14ac:dyDescent="0.3">
      <c r="A1586" s="84">
        <v>903606</v>
      </c>
      <c r="B1586" s="260">
        <v>25.3</v>
      </c>
      <c r="C1586" s="260">
        <v>9.9</v>
      </c>
      <c r="D1586" s="261">
        <v>7.9809523799999997</v>
      </c>
      <c r="E1586" s="1538">
        <v>1.1000000000000001</v>
      </c>
      <c r="F1586" s="263">
        <v>852.5</v>
      </c>
      <c r="G1586" s="263"/>
      <c r="H1586" s="263">
        <v>50</v>
      </c>
      <c r="I1586" s="263">
        <v>660</v>
      </c>
      <c r="J1586" s="262">
        <v>1.099</v>
      </c>
      <c r="K1586" s="260">
        <v>7.07</v>
      </c>
      <c r="L1586" s="264">
        <v>1700</v>
      </c>
      <c r="M1586" s="264">
        <v>5.82</v>
      </c>
      <c r="N1586" s="264">
        <v>1.62</v>
      </c>
      <c r="O1586" s="264">
        <v>3.52</v>
      </c>
      <c r="P1586" s="264">
        <v>15.34</v>
      </c>
      <c r="Q1586" s="262"/>
      <c r="R1586" s="261">
        <v>1.774232</v>
      </c>
      <c r="S1586" s="264">
        <v>15.8</v>
      </c>
      <c r="T1586" s="264"/>
      <c r="U1586" s="264"/>
      <c r="V1586" s="264"/>
      <c r="W1586" s="264"/>
      <c r="X1586" s="264"/>
      <c r="Y1586" s="266">
        <v>23.2</v>
      </c>
      <c r="Z1586" s="267"/>
      <c r="AA1586" s="268">
        <v>4.0999999999999996</v>
      </c>
      <c r="AB1586" s="268">
        <v>0.36399999999999999</v>
      </c>
      <c r="AC1586" s="269">
        <v>6.9</v>
      </c>
      <c r="AD1586" s="264">
        <v>580</v>
      </c>
      <c r="AE1586" s="264">
        <v>300</v>
      </c>
      <c r="AF1586" s="260">
        <v>120</v>
      </c>
      <c r="AG1586" s="66">
        <f t="shared" si="65"/>
        <v>107.87844827586208</v>
      </c>
      <c r="AH1586" s="143">
        <f t="shared" si="66"/>
        <v>1000</v>
      </c>
    </row>
    <row r="1587" spans="1:34" s="265" customFormat="1" x14ac:dyDescent="0.3">
      <c r="A1587" s="84">
        <v>903607</v>
      </c>
      <c r="B1587" s="260">
        <v>17.8</v>
      </c>
      <c r="C1587" s="260">
        <v>3.4</v>
      </c>
      <c r="D1587" s="261">
        <v>8.2380952399999998</v>
      </c>
      <c r="E1587" s="1538">
        <v>0.14599999999999999</v>
      </c>
      <c r="F1587" s="263">
        <v>59.7</v>
      </c>
      <c r="G1587" s="263"/>
      <c r="H1587" s="263">
        <v>87</v>
      </c>
      <c r="I1587" s="263">
        <v>290</v>
      </c>
      <c r="J1587" s="262">
        <v>3.4000000000000002E-2</v>
      </c>
      <c r="K1587" s="260">
        <v>6.17</v>
      </c>
      <c r="L1587" s="264">
        <v>250</v>
      </c>
      <c r="M1587" s="264">
        <v>0.18</v>
      </c>
      <c r="N1587" s="264">
        <v>0.39</v>
      </c>
      <c r="O1587" s="264">
        <v>1.37</v>
      </c>
      <c r="P1587" s="264">
        <v>1.41</v>
      </c>
      <c r="Q1587" s="262"/>
      <c r="R1587" s="261">
        <v>0.53158272191839429</v>
      </c>
      <c r="S1587" s="264">
        <v>3.6</v>
      </c>
      <c r="T1587" s="264"/>
      <c r="U1587" s="264"/>
      <c r="V1587" s="264"/>
      <c r="W1587" s="264"/>
      <c r="X1587" s="264"/>
      <c r="Y1587" s="266">
        <v>19.2</v>
      </c>
      <c r="Z1587" s="267"/>
      <c r="AA1587" s="268">
        <v>4.32</v>
      </c>
      <c r="AB1587" s="268">
        <v>0.84199999999999997</v>
      </c>
      <c r="AC1587" s="269">
        <v>8.4</v>
      </c>
      <c r="AD1587" s="264">
        <v>480</v>
      </c>
      <c r="AE1587" s="264">
        <v>160</v>
      </c>
      <c r="AF1587" s="260">
        <v>360</v>
      </c>
      <c r="AG1587" s="66">
        <f t="shared" si="65"/>
        <v>113.75937499999999</v>
      </c>
      <c r="AH1587" s="143">
        <f t="shared" si="66"/>
        <v>1000</v>
      </c>
    </row>
    <row r="1588" spans="1:34" s="285" customFormat="1" x14ac:dyDescent="0.3">
      <c r="A1588" s="89">
        <v>903608</v>
      </c>
      <c r="B1588" s="276">
        <v>16.7</v>
      </c>
      <c r="C1588" s="276">
        <v>3.1</v>
      </c>
      <c r="D1588" s="277">
        <v>8.3619047599999998</v>
      </c>
      <c r="E1588" s="1539">
        <v>0.13200000000000001</v>
      </c>
      <c r="F1588" s="279">
        <v>70.7</v>
      </c>
      <c r="G1588" s="279"/>
      <c r="H1588" s="279">
        <v>58</v>
      </c>
      <c r="I1588" s="279">
        <v>230</v>
      </c>
      <c r="J1588" s="278">
        <v>3.6999999999999998E-2</v>
      </c>
      <c r="K1588" s="276">
        <v>6.03</v>
      </c>
      <c r="L1588" s="280">
        <v>210</v>
      </c>
      <c r="M1588" s="280">
        <v>0.11</v>
      </c>
      <c r="N1588" s="280">
        <v>0.45</v>
      </c>
      <c r="O1588" s="280">
        <v>0.51</v>
      </c>
      <c r="P1588" s="280">
        <v>1.39</v>
      </c>
      <c r="Q1588" s="278"/>
      <c r="R1588" s="277">
        <v>0.70216765044463436</v>
      </c>
      <c r="S1588" s="280">
        <v>4.8</v>
      </c>
      <c r="T1588" s="280"/>
      <c r="U1588" s="280"/>
      <c r="V1588" s="280"/>
      <c r="W1588" s="280"/>
      <c r="X1588" s="280"/>
      <c r="Y1588" s="281">
        <v>18.399999999999999</v>
      </c>
      <c r="Z1588" s="282"/>
      <c r="AA1588" s="283">
        <v>4.09</v>
      </c>
      <c r="AB1588" s="283">
        <v>0.46700000000000003</v>
      </c>
      <c r="AC1588" s="284">
        <v>10.8</v>
      </c>
      <c r="AD1588" s="280">
        <v>460</v>
      </c>
      <c r="AE1588" s="280">
        <v>160</v>
      </c>
      <c r="AF1588" s="276">
        <v>380</v>
      </c>
      <c r="AG1588" s="66">
        <f t="shared" si="65"/>
        <v>116.01195652173914</v>
      </c>
      <c r="AH1588" s="143">
        <f t="shared" si="66"/>
        <v>1000</v>
      </c>
    </row>
    <row r="1589" spans="1:34" s="275" customFormat="1" x14ac:dyDescent="0.3">
      <c r="A1589" s="122">
        <v>903609</v>
      </c>
      <c r="B1589" s="270">
        <v>11.833333333333332</v>
      </c>
      <c r="C1589" s="270">
        <v>3.6249999999999982</v>
      </c>
      <c r="D1589" s="271">
        <v>8.5809523809523807</v>
      </c>
      <c r="E1589" s="1540">
        <v>0.127</v>
      </c>
      <c r="F1589" s="273">
        <v>46.550000000000004</v>
      </c>
      <c r="G1589" s="273"/>
      <c r="H1589" s="270">
        <v>8.33</v>
      </c>
      <c r="I1589" s="273">
        <v>290</v>
      </c>
      <c r="J1589" s="272">
        <v>1.2999999999999999E-2</v>
      </c>
      <c r="K1589" s="270">
        <v>7.24</v>
      </c>
      <c r="L1589" s="274">
        <v>300</v>
      </c>
      <c r="M1589" s="274">
        <v>0.16</v>
      </c>
      <c r="N1589" s="274">
        <v>0.72</v>
      </c>
      <c r="O1589" s="274">
        <v>0.8</v>
      </c>
      <c r="P1589" s="274">
        <v>1.37</v>
      </c>
      <c r="Q1589" s="272"/>
      <c r="R1589" s="271">
        <v>0.65380888608705179</v>
      </c>
      <c r="S1589" s="274">
        <v>4.8</v>
      </c>
      <c r="T1589" s="274"/>
      <c r="U1589" s="274"/>
      <c r="V1589" s="274"/>
      <c r="W1589" s="274"/>
      <c r="X1589" s="274"/>
      <c r="Y1589" s="67">
        <v>20.399999999999999</v>
      </c>
      <c r="Z1589" s="143"/>
      <c r="AA1589" s="68">
        <v>4.3899999999999997</v>
      </c>
      <c r="AB1589" s="68">
        <v>0.40699999999999997</v>
      </c>
      <c r="AC1589" s="69">
        <v>7.8</v>
      </c>
      <c r="AD1589" s="274">
        <v>340</v>
      </c>
      <c r="AE1589" s="274">
        <v>280</v>
      </c>
      <c r="AF1589" s="270">
        <v>380</v>
      </c>
      <c r="AG1589" s="66">
        <f t="shared" si="65"/>
        <v>125.63529411764706</v>
      </c>
      <c r="AH1589" s="143">
        <f t="shared" si="66"/>
        <v>1000</v>
      </c>
    </row>
    <row r="1590" spans="1:34" s="275" customFormat="1" x14ac:dyDescent="0.3">
      <c r="A1590" s="122">
        <v>903610</v>
      </c>
      <c r="B1590" s="270">
        <v>11.666666666666666</v>
      </c>
      <c r="C1590" s="270">
        <v>3.125</v>
      </c>
      <c r="D1590" s="271">
        <v>7.7809523809523808</v>
      </c>
      <c r="E1590" s="1540">
        <v>2.4500000000000002</v>
      </c>
      <c r="F1590" s="273">
        <v>40.300000000000004</v>
      </c>
      <c r="G1590" s="273"/>
      <c r="H1590" s="270">
        <v>10.16</v>
      </c>
      <c r="I1590" s="273">
        <v>110</v>
      </c>
      <c r="J1590" s="272">
        <v>2.4E-2</v>
      </c>
      <c r="K1590" s="270">
        <v>51.2</v>
      </c>
      <c r="L1590" s="274">
        <v>90</v>
      </c>
      <c r="M1590" s="274">
        <v>0.1</v>
      </c>
      <c r="N1590" s="274">
        <v>7.0000000000000007E-2</v>
      </c>
      <c r="O1590" s="274">
        <v>0.49</v>
      </c>
      <c r="P1590" s="274">
        <v>0.76</v>
      </c>
      <c r="Q1590" s="272"/>
      <c r="R1590" s="271">
        <v>0.18332871394150363</v>
      </c>
      <c r="S1590" s="274">
        <v>1.2</v>
      </c>
      <c r="T1590" s="274"/>
      <c r="U1590" s="274"/>
      <c r="V1590" s="274"/>
      <c r="W1590" s="274"/>
      <c r="X1590" s="274"/>
      <c r="Y1590" s="67">
        <v>11</v>
      </c>
      <c r="Z1590" s="143"/>
      <c r="AA1590" s="68">
        <v>3.89</v>
      </c>
      <c r="AB1590" s="68">
        <v>0.43099999999999999</v>
      </c>
      <c r="AC1590" s="69">
        <v>11.5</v>
      </c>
      <c r="AD1590" s="274">
        <v>220</v>
      </c>
      <c r="AE1590" s="274">
        <v>100</v>
      </c>
      <c r="AF1590" s="270">
        <v>680</v>
      </c>
      <c r="AG1590" s="66">
        <f t="shared" si="65"/>
        <v>1647.7090909090912</v>
      </c>
      <c r="AH1590" s="143">
        <f t="shared" si="66"/>
        <v>1000</v>
      </c>
    </row>
    <row r="1591" spans="1:34" s="275" customFormat="1" x14ac:dyDescent="0.3">
      <c r="A1591" s="122">
        <v>903615</v>
      </c>
      <c r="B1591" s="270">
        <v>13.166666666666666</v>
      </c>
      <c r="C1591" s="270">
        <v>1.4999999999999991</v>
      </c>
      <c r="D1591" s="271">
        <v>8.7714285714285722</v>
      </c>
      <c r="E1591" s="1540">
        <v>0.10100000000000001</v>
      </c>
      <c r="F1591" s="273">
        <v>35.299999999999997</v>
      </c>
      <c r="G1591" s="273"/>
      <c r="H1591" s="270">
        <v>1.87</v>
      </c>
      <c r="I1591" s="273">
        <v>170</v>
      </c>
      <c r="J1591" s="272">
        <v>1.4999999999999999E-2</v>
      </c>
      <c r="K1591" s="270">
        <v>6.62</v>
      </c>
      <c r="L1591" s="274">
        <v>160</v>
      </c>
      <c r="M1591" s="274">
        <v>0.14000000000000001</v>
      </c>
      <c r="N1591" s="274">
        <v>0.25</v>
      </c>
      <c r="O1591" s="274">
        <v>1.4</v>
      </c>
      <c r="P1591" s="274">
        <v>1.08</v>
      </c>
      <c r="Q1591" s="272"/>
      <c r="R1591" s="271">
        <v>0.40826852603096903</v>
      </c>
      <c r="S1591" s="274">
        <v>2.9</v>
      </c>
      <c r="T1591" s="274"/>
      <c r="U1591" s="274"/>
      <c r="V1591" s="274"/>
      <c r="W1591" s="274"/>
      <c r="X1591" s="274"/>
      <c r="Y1591" s="67">
        <v>9.8000000000000007</v>
      </c>
      <c r="Z1591" s="143"/>
      <c r="AA1591" s="68">
        <v>4.1500000000000004</v>
      </c>
      <c r="AB1591" s="68">
        <v>0.36099999999999999</v>
      </c>
      <c r="AC1591" s="69">
        <v>6.9</v>
      </c>
      <c r="AD1591" s="274">
        <v>140</v>
      </c>
      <c r="AE1591" s="274">
        <v>60</v>
      </c>
      <c r="AF1591" s="270">
        <v>800</v>
      </c>
      <c r="AG1591" s="66">
        <f t="shared" si="65"/>
        <v>239.13061224489795</v>
      </c>
      <c r="AH1591" s="143">
        <f t="shared" si="66"/>
        <v>1000</v>
      </c>
    </row>
    <row r="1592" spans="1:34" s="275" customFormat="1" x14ac:dyDescent="0.3">
      <c r="A1592" s="122">
        <v>903616</v>
      </c>
      <c r="B1592" s="270">
        <v>21.666666666666664</v>
      </c>
      <c r="C1592" s="270">
        <v>3.6249999999999982</v>
      </c>
      <c r="D1592" s="271">
        <v>8.8095238095238084</v>
      </c>
      <c r="E1592" s="1540">
        <v>0.1</v>
      </c>
      <c r="F1592" s="273">
        <v>34.700000000000003</v>
      </c>
      <c r="G1592" s="273"/>
      <c r="H1592" s="270">
        <v>3.89</v>
      </c>
      <c r="I1592" s="273">
        <v>200</v>
      </c>
      <c r="J1592" s="272">
        <v>1.2E-2</v>
      </c>
      <c r="K1592" s="270">
        <v>7.85</v>
      </c>
      <c r="L1592" s="274">
        <v>200</v>
      </c>
      <c r="M1592" s="274">
        <v>0.44</v>
      </c>
      <c r="N1592" s="274">
        <v>0.31</v>
      </c>
      <c r="O1592" s="274">
        <v>0.71</v>
      </c>
      <c r="P1592" s="274">
        <v>1.82</v>
      </c>
      <c r="Q1592" s="272"/>
      <c r="R1592" s="271">
        <v>0.62909594952934378</v>
      </c>
      <c r="S1592" s="274">
        <v>4.6999999999999993</v>
      </c>
      <c r="T1592" s="274"/>
      <c r="U1592" s="274"/>
      <c r="V1592" s="274"/>
      <c r="W1592" s="274"/>
      <c r="X1592" s="274"/>
      <c r="Y1592" s="67">
        <v>9.6</v>
      </c>
      <c r="Z1592" s="143"/>
      <c r="AA1592" s="68">
        <v>3.88</v>
      </c>
      <c r="AB1592" s="68">
        <v>0.89700000000000002</v>
      </c>
      <c r="AC1592" s="69">
        <v>10.199999999999999</v>
      </c>
      <c r="AD1592" s="274">
        <v>160</v>
      </c>
      <c r="AE1592" s="274">
        <v>60</v>
      </c>
      <c r="AF1592" s="270">
        <v>780</v>
      </c>
      <c r="AG1592" s="66">
        <f t="shared" si="65"/>
        <v>289.46875</v>
      </c>
      <c r="AH1592" s="143">
        <f t="shared" si="66"/>
        <v>1000</v>
      </c>
    </row>
    <row r="1593" spans="1:34" s="275" customFormat="1" x14ac:dyDescent="0.3">
      <c r="A1593" s="122">
        <v>903617</v>
      </c>
      <c r="B1593" s="270">
        <v>19.833333333333332</v>
      </c>
      <c r="C1593" s="270">
        <v>4.375</v>
      </c>
      <c r="D1593" s="271">
        <v>8.447619047619046</v>
      </c>
      <c r="E1593" s="1540">
        <v>0.17699999999999999</v>
      </c>
      <c r="F1593" s="273">
        <v>45.25</v>
      </c>
      <c r="G1593" s="273"/>
      <c r="H1593" s="270">
        <v>5.36</v>
      </c>
      <c r="I1593" s="273">
        <v>280</v>
      </c>
      <c r="J1593" s="272">
        <v>0.02</v>
      </c>
      <c r="K1593" s="270">
        <v>8.17</v>
      </c>
      <c r="L1593" s="274">
        <v>250</v>
      </c>
      <c r="M1593" s="274">
        <v>0.14000000000000001</v>
      </c>
      <c r="N1593" s="274">
        <v>0.3</v>
      </c>
      <c r="O1593" s="274">
        <v>0.86</v>
      </c>
      <c r="P1593" s="274">
        <v>1.61</v>
      </c>
      <c r="Q1593" s="272"/>
      <c r="R1593" s="271">
        <v>0.4915002378421629</v>
      </c>
      <c r="S1593" s="274">
        <v>3.3000000000000003</v>
      </c>
      <c r="T1593" s="274"/>
      <c r="U1593" s="274"/>
      <c r="V1593" s="274"/>
      <c r="W1593" s="274"/>
      <c r="X1593" s="274"/>
      <c r="Y1593" s="67">
        <v>26.6</v>
      </c>
      <c r="Z1593" s="143"/>
      <c r="AA1593" s="68">
        <v>4.38</v>
      </c>
      <c r="AB1593" s="68">
        <v>0.40500000000000003</v>
      </c>
      <c r="AC1593" s="69">
        <v>9.9</v>
      </c>
      <c r="AD1593" s="274">
        <v>380</v>
      </c>
      <c r="AE1593" s="274">
        <v>140</v>
      </c>
      <c r="AF1593" s="270">
        <v>480</v>
      </c>
      <c r="AG1593" s="66">
        <f t="shared" si="65"/>
        <v>108.72857142857143</v>
      </c>
      <c r="AH1593" s="143">
        <f t="shared" si="66"/>
        <v>1000</v>
      </c>
    </row>
    <row r="1594" spans="1:34" s="275" customFormat="1" x14ac:dyDescent="0.3">
      <c r="A1594" s="122">
        <v>903618</v>
      </c>
      <c r="B1594" s="270">
        <v>22.166666666666668</v>
      </c>
      <c r="C1594" s="270">
        <v>4.6249999999999991</v>
      </c>
      <c r="D1594" s="271">
        <v>8.5142857142857142</v>
      </c>
      <c r="E1594" s="1540">
        <v>0.16</v>
      </c>
      <c r="F1594" s="273">
        <v>47.599999999999994</v>
      </c>
      <c r="G1594" s="273"/>
      <c r="H1594" s="270">
        <v>8.3800000000000008</v>
      </c>
      <c r="I1594" s="273">
        <v>290</v>
      </c>
      <c r="J1594" s="272">
        <v>1.9E-2</v>
      </c>
      <c r="K1594" s="270">
        <v>8.2200000000000006</v>
      </c>
      <c r="L1594" s="274">
        <v>260</v>
      </c>
      <c r="M1594" s="274">
        <v>0.15</v>
      </c>
      <c r="N1594" s="274">
        <v>0.3</v>
      </c>
      <c r="O1594" s="274">
        <v>0.93</v>
      </c>
      <c r="P1594" s="274">
        <v>1.95</v>
      </c>
      <c r="Q1594" s="272"/>
      <c r="R1594" s="271">
        <v>0.47421016721262671</v>
      </c>
      <c r="S1594" s="274">
        <v>3.2</v>
      </c>
      <c r="T1594" s="274"/>
      <c r="U1594" s="274"/>
      <c r="V1594" s="274"/>
      <c r="W1594" s="274"/>
      <c r="X1594" s="274"/>
      <c r="Y1594" s="67">
        <v>19.5</v>
      </c>
      <c r="Z1594" s="143"/>
      <c r="AA1594" s="68">
        <v>4.3899999999999997</v>
      </c>
      <c r="AB1594" s="68">
        <v>0.51900000000000002</v>
      </c>
      <c r="AC1594" s="69">
        <v>7.4</v>
      </c>
      <c r="AD1594" s="274">
        <v>390</v>
      </c>
      <c r="AE1594" s="274">
        <v>110</v>
      </c>
      <c r="AF1594" s="270">
        <v>500</v>
      </c>
      <c r="AG1594" s="66">
        <f t="shared" si="65"/>
        <v>149.22461538461542</v>
      </c>
      <c r="AH1594" s="143">
        <f t="shared" si="66"/>
        <v>1000</v>
      </c>
    </row>
    <row r="1595" spans="1:34" s="275" customFormat="1" x14ac:dyDescent="0.3">
      <c r="A1595" s="122">
        <v>903619</v>
      </c>
      <c r="B1595" s="270">
        <v>21.333333333333336</v>
      </c>
      <c r="C1595" s="270">
        <v>5.2499999999999991</v>
      </c>
      <c r="D1595" s="271">
        <v>8.6952380952380963</v>
      </c>
      <c r="E1595" s="1540">
        <v>0.105</v>
      </c>
      <c r="F1595" s="273">
        <v>53.650000000000006</v>
      </c>
      <c r="G1595" s="273"/>
      <c r="H1595" s="270">
        <v>6.76</v>
      </c>
      <c r="I1595" s="273">
        <v>230</v>
      </c>
      <c r="J1595" s="272">
        <v>1.7999999999999999E-2</v>
      </c>
      <c r="K1595" s="270">
        <v>7.85</v>
      </c>
      <c r="L1595" s="274">
        <v>270</v>
      </c>
      <c r="M1595" s="274">
        <v>0.09</v>
      </c>
      <c r="N1595" s="274">
        <v>0.17</v>
      </c>
      <c r="O1595" s="274">
        <v>0.19</v>
      </c>
      <c r="P1595" s="274">
        <v>0.86</v>
      </c>
      <c r="Q1595" s="272"/>
      <c r="R1595" s="271">
        <v>0.41381824802239525</v>
      </c>
      <c r="S1595" s="274">
        <v>2.7</v>
      </c>
      <c r="T1595" s="274"/>
      <c r="U1595" s="274"/>
      <c r="V1595" s="274"/>
      <c r="W1595" s="274"/>
      <c r="X1595" s="274"/>
      <c r="Y1595" s="67">
        <v>18.5</v>
      </c>
      <c r="Z1595" s="143"/>
      <c r="AA1595" s="68">
        <v>3.91</v>
      </c>
      <c r="AB1595" s="68">
        <v>0.49199999999999999</v>
      </c>
      <c r="AC1595" s="69">
        <v>6.5</v>
      </c>
      <c r="AD1595" s="274">
        <v>370</v>
      </c>
      <c r="AE1595" s="274">
        <v>110</v>
      </c>
      <c r="AF1595" s="270">
        <v>520</v>
      </c>
      <c r="AG1595" s="66">
        <f t="shared" si="65"/>
        <v>150.21081081081078</v>
      </c>
      <c r="AH1595" s="143">
        <f t="shared" si="66"/>
        <v>1000</v>
      </c>
    </row>
    <row r="1596" spans="1:34" s="275" customFormat="1" x14ac:dyDescent="0.3">
      <c r="A1596" s="122">
        <v>903620</v>
      </c>
      <c r="B1596" s="270">
        <v>22.666666666666664</v>
      </c>
      <c r="C1596" s="270">
        <v>5.4999999999999982</v>
      </c>
      <c r="D1596" s="271">
        <v>8.7714285714285722</v>
      </c>
      <c r="E1596" s="1540">
        <v>0.108</v>
      </c>
      <c r="F1596" s="273">
        <v>59.1</v>
      </c>
      <c r="G1596" s="273"/>
      <c r="H1596" s="270">
        <v>8.75</v>
      </c>
      <c r="I1596" s="273">
        <v>210</v>
      </c>
      <c r="J1596" s="272">
        <v>1.2999999999999999E-2</v>
      </c>
      <c r="K1596" s="270">
        <v>7.95</v>
      </c>
      <c r="L1596" s="274">
        <v>270</v>
      </c>
      <c r="M1596" s="274">
        <v>0.24</v>
      </c>
      <c r="N1596" s="274">
        <v>0.18</v>
      </c>
      <c r="O1596" s="274">
        <v>0.54</v>
      </c>
      <c r="P1596" s="274">
        <v>1.3</v>
      </c>
      <c r="Q1596" s="272"/>
      <c r="R1596" s="271">
        <v>0.34355175081359202</v>
      </c>
      <c r="S1596" s="274">
        <v>2.4</v>
      </c>
      <c r="T1596" s="274"/>
      <c r="U1596" s="274"/>
      <c r="V1596" s="274"/>
      <c r="W1596" s="274"/>
      <c r="X1596" s="274"/>
      <c r="Y1596" s="67">
        <v>27.3</v>
      </c>
      <c r="Z1596" s="143"/>
      <c r="AA1596" s="68">
        <v>4.29</v>
      </c>
      <c r="AB1596" s="68">
        <v>0.33900000000000002</v>
      </c>
      <c r="AC1596" s="69">
        <v>10.5</v>
      </c>
      <c r="AD1596" s="274">
        <v>390</v>
      </c>
      <c r="AE1596" s="274">
        <v>100</v>
      </c>
      <c r="AF1596" s="270">
        <v>510</v>
      </c>
      <c r="AG1596" s="66">
        <f t="shared" si="65"/>
        <v>103.08791208791209</v>
      </c>
      <c r="AH1596" s="143">
        <f t="shared" si="66"/>
        <v>1000</v>
      </c>
    </row>
    <row r="1597" spans="1:34" s="275" customFormat="1" x14ac:dyDescent="0.3">
      <c r="A1597" s="122">
        <v>903621</v>
      </c>
      <c r="B1597" s="270">
        <v>16.666666666666664</v>
      </c>
      <c r="C1597" s="270">
        <v>3.9999999999999991</v>
      </c>
      <c r="D1597" s="271">
        <v>8.6285714285714281</v>
      </c>
      <c r="E1597" s="1540">
        <v>0.114</v>
      </c>
      <c r="F1597" s="273">
        <v>55.099999999999994</v>
      </c>
      <c r="G1597" s="273"/>
      <c r="H1597" s="270">
        <v>11.11</v>
      </c>
      <c r="I1597" s="273">
        <v>290</v>
      </c>
      <c r="J1597" s="272">
        <v>1.4E-2</v>
      </c>
      <c r="K1597" s="270">
        <v>8.1199999999999992</v>
      </c>
      <c r="L1597" s="274">
        <v>230</v>
      </c>
      <c r="M1597" s="274">
        <v>0.2</v>
      </c>
      <c r="N1597" s="274">
        <v>0.43</v>
      </c>
      <c r="O1597" s="274">
        <v>0.79</v>
      </c>
      <c r="P1597" s="274">
        <v>1.47</v>
      </c>
      <c r="Q1597" s="272"/>
      <c r="R1597" s="271">
        <v>0.56977799474097657</v>
      </c>
      <c r="S1597" s="274">
        <v>4.0999999999999996</v>
      </c>
      <c r="T1597" s="274"/>
      <c r="U1597" s="274"/>
      <c r="V1597" s="274"/>
      <c r="W1597" s="274"/>
      <c r="X1597" s="274"/>
      <c r="Y1597" s="67">
        <v>19.5</v>
      </c>
      <c r="Z1597" s="143"/>
      <c r="AA1597" s="68">
        <v>4.8</v>
      </c>
      <c r="AB1597" s="68">
        <v>0.33100000000000002</v>
      </c>
      <c r="AC1597" s="69">
        <v>10.5</v>
      </c>
      <c r="AD1597" s="274">
        <v>390</v>
      </c>
      <c r="AE1597" s="274">
        <v>120</v>
      </c>
      <c r="AF1597" s="270">
        <v>490</v>
      </c>
      <c r="AG1597" s="66">
        <f t="shared" si="65"/>
        <v>147.40923076923076</v>
      </c>
      <c r="AH1597" s="143">
        <f t="shared" si="66"/>
        <v>1000</v>
      </c>
    </row>
    <row r="1598" spans="1:34" s="275" customFormat="1" x14ac:dyDescent="0.3">
      <c r="A1598" s="122">
        <v>903622</v>
      </c>
      <c r="B1598" s="270">
        <v>16.666666666666664</v>
      </c>
      <c r="C1598" s="270">
        <v>4.1250000000000009</v>
      </c>
      <c r="D1598" s="271">
        <v>8.6571428571428566</v>
      </c>
      <c r="E1598" s="1540">
        <v>0.112</v>
      </c>
      <c r="F1598" s="273">
        <v>56</v>
      </c>
      <c r="G1598" s="273"/>
      <c r="H1598" s="270">
        <v>7.79</v>
      </c>
      <c r="I1598" s="273">
        <v>270</v>
      </c>
      <c r="J1598" s="272">
        <v>1.2999999999999999E-2</v>
      </c>
      <c r="K1598" s="270">
        <v>8.1</v>
      </c>
      <c r="L1598" s="274">
        <v>230</v>
      </c>
      <c r="M1598" s="274">
        <v>0.87</v>
      </c>
      <c r="N1598" s="274">
        <v>0.43</v>
      </c>
      <c r="O1598" s="274">
        <v>0.69</v>
      </c>
      <c r="P1598" s="274">
        <v>1.78</v>
      </c>
      <c r="Q1598" s="272"/>
      <c r="R1598" s="271">
        <v>0.60786440609055081</v>
      </c>
      <c r="S1598" s="274">
        <v>4.3</v>
      </c>
      <c r="T1598" s="274"/>
      <c r="U1598" s="274"/>
      <c r="V1598" s="274"/>
      <c r="W1598" s="274"/>
      <c r="X1598" s="274"/>
      <c r="Y1598" s="67">
        <v>22.8</v>
      </c>
      <c r="Z1598" s="143"/>
      <c r="AA1598" s="68">
        <v>3.75</v>
      </c>
      <c r="AB1598" s="68">
        <v>0.47499999999999998</v>
      </c>
      <c r="AC1598" s="69">
        <v>11.9</v>
      </c>
      <c r="AD1598" s="274">
        <v>380</v>
      </c>
      <c r="AE1598" s="274">
        <v>100</v>
      </c>
      <c r="AF1598" s="270">
        <v>520</v>
      </c>
      <c r="AG1598" s="66">
        <f t="shared" si="65"/>
        <v>125.76315789473684</v>
      </c>
      <c r="AH1598" s="143">
        <f t="shared" si="66"/>
        <v>1000</v>
      </c>
    </row>
    <row r="1599" spans="1:34" s="275" customFormat="1" x14ac:dyDescent="0.3">
      <c r="A1599" s="122">
        <v>903623</v>
      </c>
      <c r="B1599" s="270">
        <v>22.333333333333332</v>
      </c>
      <c r="C1599" s="270">
        <v>2.5</v>
      </c>
      <c r="D1599" s="271">
        <v>8.9523809523809526</v>
      </c>
      <c r="E1599" s="1540">
        <v>8.7999999999999995E-2</v>
      </c>
      <c r="F1599" s="273">
        <v>48.9</v>
      </c>
      <c r="G1599" s="273"/>
      <c r="H1599" s="270">
        <v>8.1</v>
      </c>
      <c r="I1599" s="273">
        <v>80</v>
      </c>
      <c r="J1599" s="272">
        <v>5.0000000000000001E-3</v>
      </c>
      <c r="K1599" s="270">
        <v>6.44</v>
      </c>
      <c r="L1599" s="274">
        <v>90</v>
      </c>
      <c r="M1599" s="274">
        <v>7.0000000000000007E-2</v>
      </c>
      <c r="N1599" s="274">
        <v>0.08</v>
      </c>
      <c r="O1599" s="274">
        <v>0.68</v>
      </c>
      <c r="P1599" s="274">
        <v>0.37</v>
      </c>
      <c r="Q1599" s="272"/>
      <c r="R1599" s="271">
        <v>4.6003086445602207E-2</v>
      </c>
      <c r="S1599" s="274">
        <v>0.3</v>
      </c>
      <c r="T1599" s="274"/>
      <c r="U1599" s="274"/>
      <c r="V1599" s="274"/>
      <c r="W1599" s="274"/>
      <c r="X1599" s="274"/>
      <c r="Y1599" s="67">
        <v>3</v>
      </c>
      <c r="Z1599" s="143"/>
      <c r="AA1599" s="68">
        <v>3.85</v>
      </c>
      <c r="AB1599" s="68">
        <v>0.40899999999999997</v>
      </c>
      <c r="AC1599" s="69">
        <v>6.8</v>
      </c>
      <c r="AD1599" s="274">
        <v>60</v>
      </c>
      <c r="AE1599" s="274">
        <v>60</v>
      </c>
      <c r="AF1599" s="270">
        <v>880</v>
      </c>
      <c r="AG1599" s="66">
        <f t="shared" si="65"/>
        <v>759.92000000000007</v>
      </c>
      <c r="AH1599" s="143">
        <f t="shared" si="66"/>
        <v>1000</v>
      </c>
    </row>
    <row r="1600" spans="1:34" s="275" customFormat="1" x14ac:dyDescent="0.3">
      <c r="A1600" s="122">
        <v>903624</v>
      </c>
      <c r="B1600" s="270">
        <v>15.166666666666664</v>
      </c>
      <c r="C1600" s="270">
        <v>1.6250000000000009</v>
      </c>
      <c r="D1600" s="271">
        <v>8.9904761904761905</v>
      </c>
      <c r="E1600" s="1540">
        <v>9.7000000000000003E-2</v>
      </c>
      <c r="F1600" s="273">
        <v>50.7</v>
      </c>
      <c r="G1600" s="273"/>
      <c r="H1600" s="270">
        <v>2.79</v>
      </c>
      <c r="I1600" s="273">
        <v>70</v>
      </c>
      <c r="J1600" s="272">
        <v>5.0000000000000001E-3</v>
      </c>
      <c r="K1600" s="270">
        <v>5.86</v>
      </c>
      <c r="L1600" s="274">
        <v>80</v>
      </c>
      <c r="M1600" s="274">
        <v>0.17</v>
      </c>
      <c r="N1600" s="274">
        <v>0.06</v>
      </c>
      <c r="O1600" s="274">
        <v>1</v>
      </c>
      <c r="P1600" s="274">
        <v>0.56000000000000005</v>
      </c>
      <c r="Q1600" s="272"/>
      <c r="R1600" s="271">
        <v>6.8893776328957435E-2</v>
      </c>
      <c r="S1600" s="274">
        <v>0.5</v>
      </c>
      <c r="T1600" s="274"/>
      <c r="U1600" s="274"/>
      <c r="V1600" s="274"/>
      <c r="W1600" s="274"/>
      <c r="X1600" s="274"/>
      <c r="Y1600" s="67">
        <v>4.2</v>
      </c>
      <c r="Z1600" s="143"/>
      <c r="AA1600" s="68">
        <v>4.3600000000000003</v>
      </c>
      <c r="AB1600" s="68">
        <v>0.89600000000000002</v>
      </c>
      <c r="AC1600" s="69">
        <v>11.7</v>
      </c>
      <c r="AD1600" s="274">
        <v>70</v>
      </c>
      <c r="AE1600" s="274">
        <v>60</v>
      </c>
      <c r="AF1600" s="270">
        <v>870</v>
      </c>
      <c r="AG1600" s="66">
        <f t="shared" si="65"/>
        <v>493.91428571428571</v>
      </c>
      <c r="AH1600" s="143">
        <f t="shared" si="66"/>
        <v>1000</v>
      </c>
    </row>
    <row r="1601" spans="1:34" s="275" customFormat="1" x14ac:dyDescent="0.3">
      <c r="A1601" s="122">
        <v>903625</v>
      </c>
      <c r="B1601" s="270">
        <v>17.666666666666668</v>
      </c>
      <c r="C1601" s="270">
        <v>4.6249999999999991</v>
      </c>
      <c r="D1601" s="271">
        <v>8.7523809523809515</v>
      </c>
      <c r="E1601" s="1540">
        <v>0.108</v>
      </c>
      <c r="F1601" s="273">
        <v>50.8</v>
      </c>
      <c r="G1601" s="273"/>
      <c r="H1601" s="270">
        <v>49.15</v>
      </c>
      <c r="I1601" s="273">
        <v>210</v>
      </c>
      <c r="J1601" s="272">
        <v>7.0000000000000001E-3</v>
      </c>
      <c r="K1601" s="270">
        <v>7.89</v>
      </c>
      <c r="L1601" s="274">
        <v>160</v>
      </c>
      <c r="M1601" s="274">
        <v>0.37</v>
      </c>
      <c r="N1601" s="274">
        <v>0.38</v>
      </c>
      <c r="O1601" s="274">
        <v>1.44</v>
      </c>
      <c r="P1601" s="274">
        <v>1.36</v>
      </c>
      <c r="Q1601" s="272"/>
      <c r="R1601" s="271">
        <v>0.40314190107890585</v>
      </c>
      <c r="S1601" s="274">
        <v>3</v>
      </c>
      <c r="T1601" s="274"/>
      <c r="U1601" s="274"/>
      <c r="V1601" s="274"/>
      <c r="W1601" s="274"/>
      <c r="X1601" s="274"/>
      <c r="Y1601" s="67">
        <v>21.6</v>
      </c>
      <c r="Z1601" s="143"/>
      <c r="AA1601" s="68">
        <v>4.24</v>
      </c>
      <c r="AB1601" s="68">
        <v>0.76600000000000001</v>
      </c>
      <c r="AC1601" s="69">
        <v>6.5</v>
      </c>
      <c r="AD1601" s="274">
        <v>360</v>
      </c>
      <c r="AE1601" s="274">
        <v>120</v>
      </c>
      <c r="AF1601" s="270">
        <v>520</v>
      </c>
      <c r="AG1601" s="66">
        <f t="shared" si="65"/>
        <v>129.30833333333331</v>
      </c>
      <c r="AH1601" s="143">
        <f t="shared" si="66"/>
        <v>1000</v>
      </c>
    </row>
    <row r="1602" spans="1:34" s="275" customFormat="1" x14ac:dyDescent="0.3">
      <c r="A1602" s="122">
        <v>903626</v>
      </c>
      <c r="B1602" s="270">
        <v>27.499999999999996</v>
      </c>
      <c r="C1602" s="270">
        <v>7.3749999999999982</v>
      </c>
      <c r="D1602" s="271">
        <v>8.6571428571428566</v>
      </c>
      <c r="E1602" s="1540">
        <v>0.11</v>
      </c>
      <c r="F1602" s="273">
        <v>56.449999999999996</v>
      </c>
      <c r="G1602" s="273"/>
      <c r="H1602" s="270">
        <v>5.29</v>
      </c>
      <c r="I1602" s="273">
        <v>200</v>
      </c>
      <c r="J1602" s="272">
        <v>0.01</v>
      </c>
      <c r="K1602" s="270">
        <v>8.06</v>
      </c>
      <c r="L1602" s="274">
        <v>160</v>
      </c>
      <c r="M1602" s="274">
        <v>0.49</v>
      </c>
      <c r="N1602" s="274">
        <v>0.3</v>
      </c>
      <c r="O1602" s="274">
        <v>1.37</v>
      </c>
      <c r="P1602" s="274">
        <v>1.19</v>
      </c>
      <c r="Q1602" s="272"/>
      <c r="R1602" s="271">
        <v>0.17659968311634333</v>
      </c>
      <c r="S1602" s="274">
        <v>1.3</v>
      </c>
      <c r="T1602" s="274"/>
      <c r="U1602" s="274"/>
      <c r="V1602" s="274"/>
      <c r="W1602" s="274"/>
      <c r="X1602" s="274"/>
      <c r="Y1602" s="67">
        <v>18</v>
      </c>
      <c r="Z1602" s="143"/>
      <c r="AA1602" s="68">
        <v>3.97</v>
      </c>
      <c r="AB1602" s="68">
        <v>0.25</v>
      </c>
      <c r="AC1602" s="69">
        <v>9.1</v>
      </c>
      <c r="AD1602" s="274">
        <v>360</v>
      </c>
      <c r="AE1602" s="274">
        <v>100</v>
      </c>
      <c r="AF1602" s="270">
        <v>540</v>
      </c>
      <c r="AG1602" s="66">
        <f t="shared" ref="AG1602:AG1665" si="67">+K1602*3.54*100/Y1602</f>
        <v>158.51333333333335</v>
      </c>
      <c r="AH1602" s="143">
        <f t="shared" ref="AH1602:AH1665" si="68">+SUM(AD1602:AF1602)</f>
        <v>1000</v>
      </c>
    </row>
    <row r="1603" spans="1:34" s="275" customFormat="1" x14ac:dyDescent="0.3">
      <c r="A1603" s="122">
        <v>903627</v>
      </c>
      <c r="B1603" s="270">
        <v>27.999999999999996</v>
      </c>
      <c r="C1603" s="270">
        <v>6.4999999999999991</v>
      </c>
      <c r="D1603" s="271">
        <v>8.7047619047619058</v>
      </c>
      <c r="E1603" s="1540">
        <v>0.112</v>
      </c>
      <c r="F1603" s="273">
        <v>56.150000000000006</v>
      </c>
      <c r="G1603" s="273"/>
      <c r="H1603" s="270">
        <v>4.68</v>
      </c>
      <c r="I1603" s="273">
        <v>190</v>
      </c>
      <c r="J1603" s="272">
        <v>1.4999999999999999E-2</v>
      </c>
      <c r="K1603" s="270">
        <v>7.97</v>
      </c>
      <c r="L1603" s="274">
        <v>200</v>
      </c>
      <c r="M1603" s="274">
        <v>0.26</v>
      </c>
      <c r="N1603" s="274">
        <v>0.26</v>
      </c>
      <c r="O1603" s="274">
        <v>0.76</v>
      </c>
      <c r="P1603" s="274">
        <v>1.04</v>
      </c>
      <c r="Q1603" s="272"/>
      <c r="R1603" s="271">
        <v>0.15372070675900645</v>
      </c>
      <c r="S1603" s="274">
        <v>1.1000000000000001</v>
      </c>
      <c r="T1603" s="274"/>
      <c r="U1603" s="274"/>
      <c r="V1603" s="274"/>
      <c r="W1603" s="274"/>
      <c r="X1603" s="274"/>
      <c r="Y1603" s="67">
        <v>21</v>
      </c>
      <c r="Z1603" s="143"/>
      <c r="AA1603" s="68">
        <v>3.53</v>
      </c>
      <c r="AB1603" s="68">
        <v>0.628</v>
      </c>
      <c r="AC1603" s="69">
        <v>11.1</v>
      </c>
      <c r="AD1603" s="274">
        <v>350</v>
      </c>
      <c r="AE1603" s="274">
        <v>110</v>
      </c>
      <c r="AF1603" s="270">
        <v>540</v>
      </c>
      <c r="AG1603" s="66">
        <f t="shared" si="67"/>
        <v>134.35142857142858</v>
      </c>
      <c r="AH1603" s="143">
        <f t="shared" si="68"/>
        <v>1000</v>
      </c>
    </row>
    <row r="1604" spans="1:34" s="275" customFormat="1" x14ac:dyDescent="0.3">
      <c r="A1604" s="122">
        <v>903628</v>
      </c>
      <c r="B1604" s="270">
        <v>29.333333333333332</v>
      </c>
      <c r="C1604" s="270">
        <v>6.7499999999999982</v>
      </c>
      <c r="D1604" s="271">
        <v>8.7333333333333325</v>
      </c>
      <c r="E1604" s="1540">
        <v>0.107</v>
      </c>
      <c r="F1604" s="273">
        <v>51.3</v>
      </c>
      <c r="G1604" s="273"/>
      <c r="H1604" s="270">
        <v>12.2</v>
      </c>
      <c r="I1604" s="273">
        <v>170</v>
      </c>
      <c r="J1604" s="272">
        <v>1.7000000000000001E-2</v>
      </c>
      <c r="K1604" s="270">
        <v>8.18</v>
      </c>
      <c r="L1604" s="274">
        <v>190</v>
      </c>
      <c r="M1604" s="274">
        <v>0.13</v>
      </c>
      <c r="N1604" s="274">
        <v>0.25</v>
      </c>
      <c r="O1604" s="274">
        <v>0.47</v>
      </c>
      <c r="P1604" s="274">
        <v>1.51</v>
      </c>
      <c r="Q1604" s="272"/>
      <c r="R1604" s="271">
        <v>0.14678111211896655</v>
      </c>
      <c r="S1604" s="274">
        <v>1.1000000000000001</v>
      </c>
      <c r="T1604" s="274"/>
      <c r="U1604" s="274"/>
      <c r="V1604" s="274"/>
      <c r="W1604" s="274"/>
      <c r="X1604" s="274"/>
      <c r="Y1604" s="67">
        <v>24.5</v>
      </c>
      <c r="Z1604" s="143"/>
      <c r="AA1604" s="68">
        <v>4.1500000000000004</v>
      </c>
      <c r="AB1604" s="68">
        <v>0.35399999999999998</v>
      </c>
      <c r="AC1604" s="69">
        <v>9.9</v>
      </c>
      <c r="AD1604" s="274">
        <v>350</v>
      </c>
      <c r="AE1604" s="274">
        <v>100</v>
      </c>
      <c r="AF1604" s="270">
        <v>550</v>
      </c>
      <c r="AG1604" s="66">
        <f t="shared" si="67"/>
        <v>118.1926530612245</v>
      </c>
      <c r="AH1604" s="143">
        <f t="shared" si="68"/>
        <v>1000</v>
      </c>
    </row>
    <row r="1605" spans="1:34" s="275" customFormat="1" x14ac:dyDescent="0.3">
      <c r="A1605" s="122">
        <v>903629</v>
      </c>
      <c r="B1605" s="270">
        <v>33.833333333333329</v>
      </c>
      <c r="C1605" s="270">
        <v>5.625</v>
      </c>
      <c r="D1605" s="271">
        <v>8.6190476190476186</v>
      </c>
      <c r="E1605" s="1540">
        <v>0.19700000000000001</v>
      </c>
      <c r="F1605" s="273">
        <v>94.7</v>
      </c>
      <c r="G1605" s="273"/>
      <c r="H1605" s="270">
        <v>0.6</v>
      </c>
      <c r="I1605" s="273">
        <v>190</v>
      </c>
      <c r="J1605" s="272">
        <v>5.6000000000000001E-2</v>
      </c>
      <c r="K1605" s="270">
        <v>8.02</v>
      </c>
      <c r="L1605" s="274">
        <v>240</v>
      </c>
      <c r="M1605" s="274">
        <v>0.56999999999999995</v>
      </c>
      <c r="N1605" s="274">
        <v>0.12</v>
      </c>
      <c r="O1605" s="274">
        <v>0.67</v>
      </c>
      <c r="P1605" s="274">
        <v>0.77</v>
      </c>
      <c r="Q1605" s="272"/>
      <c r="R1605" s="271">
        <v>2.9134325452400217E-2</v>
      </c>
      <c r="S1605" s="274">
        <v>0.2</v>
      </c>
      <c r="T1605" s="274"/>
      <c r="U1605" s="274"/>
      <c r="V1605" s="274"/>
      <c r="W1605" s="274"/>
      <c r="X1605" s="274"/>
      <c r="Y1605" s="67">
        <v>21.6</v>
      </c>
      <c r="Z1605" s="143"/>
      <c r="AA1605" s="68">
        <v>3.95</v>
      </c>
      <c r="AB1605" s="68">
        <v>0.61199999999999999</v>
      </c>
      <c r="AC1605" s="69">
        <v>11.2</v>
      </c>
      <c r="AD1605" s="274">
        <v>360</v>
      </c>
      <c r="AE1605" s="274">
        <v>100</v>
      </c>
      <c r="AF1605" s="270">
        <v>540</v>
      </c>
      <c r="AG1605" s="66">
        <f t="shared" si="67"/>
        <v>131.43888888888887</v>
      </c>
      <c r="AH1605" s="143">
        <f t="shared" si="68"/>
        <v>1000</v>
      </c>
    </row>
    <row r="1606" spans="1:34" s="275" customFormat="1" x14ac:dyDescent="0.3">
      <c r="A1606" s="122">
        <v>903630</v>
      </c>
      <c r="B1606" s="270">
        <v>35.833333333333336</v>
      </c>
      <c r="C1606" s="270">
        <v>5.8749999999999991</v>
      </c>
      <c r="D1606" s="271">
        <v>8.7047619047619058</v>
      </c>
      <c r="E1606" s="1540">
        <v>0.19500000000000001</v>
      </c>
      <c r="F1606" s="273">
        <v>56.8</v>
      </c>
      <c r="G1606" s="273"/>
      <c r="H1606" s="270">
        <v>5.8</v>
      </c>
      <c r="I1606" s="273">
        <v>190</v>
      </c>
      <c r="J1606" s="272">
        <v>5.0999999999999997E-2</v>
      </c>
      <c r="K1606" s="270">
        <v>7.99</v>
      </c>
      <c r="L1606" s="274">
        <v>250</v>
      </c>
      <c r="M1606" s="274">
        <v>0.32</v>
      </c>
      <c r="N1606" s="274">
        <v>0.11</v>
      </c>
      <c r="O1606" s="274">
        <v>0.56000000000000005</v>
      </c>
      <c r="P1606" s="274">
        <v>0.89</v>
      </c>
      <c r="Q1606" s="272"/>
      <c r="R1606" s="271">
        <v>0.13753027147969404</v>
      </c>
      <c r="S1606" s="274">
        <v>1</v>
      </c>
      <c r="T1606" s="274"/>
      <c r="U1606" s="274"/>
      <c r="V1606" s="274"/>
      <c r="W1606" s="274"/>
      <c r="X1606" s="274"/>
      <c r="Y1606" s="67">
        <v>22.8</v>
      </c>
      <c r="Z1606" s="143"/>
      <c r="AA1606" s="68">
        <v>4.7300000000000004</v>
      </c>
      <c r="AB1606" s="68">
        <v>0.41799999999999998</v>
      </c>
      <c r="AC1606" s="69">
        <v>11.9</v>
      </c>
      <c r="AD1606" s="274">
        <v>380</v>
      </c>
      <c r="AE1606" s="274">
        <v>100</v>
      </c>
      <c r="AF1606" s="270">
        <v>520</v>
      </c>
      <c r="AG1606" s="66">
        <f t="shared" si="67"/>
        <v>124.05526315789473</v>
      </c>
      <c r="AH1606" s="143">
        <f t="shared" si="68"/>
        <v>1000</v>
      </c>
    </row>
    <row r="1607" spans="1:34" s="275" customFormat="1" x14ac:dyDescent="0.3">
      <c r="A1607" s="122">
        <v>903631</v>
      </c>
      <c r="B1607" s="270">
        <v>16.666666666666664</v>
      </c>
      <c r="C1607" s="270">
        <v>5.125</v>
      </c>
      <c r="D1607" s="271">
        <v>8.5904761904761902</v>
      </c>
      <c r="E1607" s="1540">
        <v>0.14799999999999999</v>
      </c>
      <c r="F1607" s="273">
        <v>53.099999999999994</v>
      </c>
      <c r="G1607" s="273"/>
      <c r="H1607" s="270">
        <v>7.14</v>
      </c>
      <c r="I1607" s="273">
        <v>300</v>
      </c>
      <c r="J1607" s="272">
        <v>3.4000000000000002E-2</v>
      </c>
      <c r="K1607" s="270">
        <v>8.41</v>
      </c>
      <c r="L1607" s="274">
        <v>270</v>
      </c>
      <c r="M1607" s="274">
        <v>0.3</v>
      </c>
      <c r="N1607" s="274">
        <v>0.5</v>
      </c>
      <c r="O1607" s="274">
        <v>0.49</v>
      </c>
      <c r="P1607" s="274">
        <v>1.67</v>
      </c>
      <c r="Q1607" s="272"/>
      <c r="R1607" s="271">
        <v>0.51971508066921357</v>
      </c>
      <c r="S1607" s="274">
        <v>3.4000000000000004</v>
      </c>
      <c r="T1607" s="274"/>
      <c r="U1607" s="274"/>
      <c r="V1607" s="274"/>
      <c r="W1607" s="274"/>
      <c r="X1607" s="274"/>
      <c r="Y1607" s="67">
        <v>25.2</v>
      </c>
      <c r="Z1607" s="143"/>
      <c r="AA1607" s="68">
        <v>3.6</v>
      </c>
      <c r="AB1607" s="68">
        <v>0.378</v>
      </c>
      <c r="AC1607" s="69">
        <v>8.6</v>
      </c>
      <c r="AD1607" s="274">
        <v>360</v>
      </c>
      <c r="AE1607" s="274">
        <v>140</v>
      </c>
      <c r="AF1607" s="270">
        <v>500</v>
      </c>
      <c r="AG1607" s="66">
        <f t="shared" si="67"/>
        <v>118.14047619047619</v>
      </c>
      <c r="AH1607" s="143">
        <f t="shared" si="68"/>
        <v>1000</v>
      </c>
    </row>
    <row r="1608" spans="1:34" s="275" customFormat="1" x14ac:dyDescent="0.3">
      <c r="A1608" s="122">
        <v>903632</v>
      </c>
      <c r="B1608" s="270">
        <v>16.666666666666664</v>
      </c>
      <c r="C1608" s="270">
        <v>4.6249999999999991</v>
      </c>
      <c r="D1608" s="271">
        <v>8.5523809523809522</v>
      </c>
      <c r="E1608" s="1540">
        <v>0.153</v>
      </c>
      <c r="F1608" s="273">
        <v>51.1</v>
      </c>
      <c r="G1608" s="273"/>
      <c r="H1608" s="270">
        <v>24.49</v>
      </c>
      <c r="I1608" s="273">
        <v>330</v>
      </c>
      <c r="J1608" s="272">
        <v>3.4000000000000002E-2</v>
      </c>
      <c r="K1608" s="270">
        <v>8.41</v>
      </c>
      <c r="L1608" s="274">
        <v>280</v>
      </c>
      <c r="M1608" s="274">
        <v>0.27</v>
      </c>
      <c r="N1608" s="274">
        <v>0.59</v>
      </c>
      <c r="O1608" s="274">
        <v>0.72</v>
      </c>
      <c r="P1608" s="274">
        <v>2.4900000000000002</v>
      </c>
      <c r="Q1608" s="272"/>
      <c r="R1608" s="271">
        <v>0.67359430507481122</v>
      </c>
      <c r="S1608" s="274">
        <v>5</v>
      </c>
      <c r="T1608" s="274"/>
      <c r="U1608" s="274"/>
      <c r="V1608" s="274"/>
      <c r="W1608" s="274"/>
      <c r="X1608" s="274"/>
      <c r="Y1608" s="67">
        <v>21</v>
      </c>
      <c r="Z1608" s="143"/>
      <c r="AA1608" s="68">
        <v>3.88</v>
      </c>
      <c r="AB1608" s="68">
        <v>0.6</v>
      </c>
      <c r="AC1608" s="69">
        <v>7.3</v>
      </c>
      <c r="AD1608" s="274">
        <v>350</v>
      </c>
      <c r="AE1608" s="274">
        <v>150</v>
      </c>
      <c r="AF1608" s="270">
        <v>500</v>
      </c>
      <c r="AG1608" s="66">
        <f t="shared" si="67"/>
        <v>141.76857142857142</v>
      </c>
      <c r="AH1608" s="143">
        <f t="shared" si="68"/>
        <v>1000</v>
      </c>
    </row>
    <row r="1609" spans="1:34" s="275" customFormat="1" x14ac:dyDescent="0.3">
      <c r="A1609" s="122">
        <v>903633</v>
      </c>
      <c r="B1609" s="270">
        <v>20.666666666666668</v>
      </c>
      <c r="C1609" s="270">
        <v>3.3749999999999991</v>
      </c>
      <c r="D1609" s="271">
        <v>8.6190476190476186</v>
      </c>
      <c r="E1609" s="1540">
        <v>0.114</v>
      </c>
      <c r="F1609" s="273">
        <v>43.6</v>
      </c>
      <c r="G1609" s="273"/>
      <c r="H1609" s="270">
        <v>0.6</v>
      </c>
      <c r="I1609" s="273">
        <v>290</v>
      </c>
      <c r="J1609" s="272">
        <v>1.0999999999999999E-2</v>
      </c>
      <c r="K1609" s="270">
        <v>7.94</v>
      </c>
      <c r="L1609" s="274">
        <v>190</v>
      </c>
      <c r="M1609" s="274">
        <v>0.1</v>
      </c>
      <c r="N1609" s="274">
        <v>0.21</v>
      </c>
      <c r="O1609" s="274">
        <v>0.68</v>
      </c>
      <c r="P1609" s="274">
        <v>1.1100000000000001</v>
      </c>
      <c r="Q1609" s="272"/>
      <c r="R1609" s="271">
        <v>0.14467262053834415</v>
      </c>
      <c r="S1609" s="274">
        <v>1</v>
      </c>
      <c r="T1609" s="274"/>
      <c r="U1609" s="274"/>
      <c r="V1609" s="274"/>
      <c r="W1609" s="274"/>
      <c r="X1609" s="274"/>
      <c r="Y1609" s="67">
        <v>21.6</v>
      </c>
      <c r="Z1609" s="143"/>
      <c r="AA1609" s="68">
        <v>3.81</v>
      </c>
      <c r="AB1609" s="68">
        <v>0.72299999999999998</v>
      </c>
      <c r="AC1609" s="69">
        <v>8.9</v>
      </c>
      <c r="AD1609" s="274">
        <v>360</v>
      </c>
      <c r="AE1609" s="274">
        <v>140</v>
      </c>
      <c r="AF1609" s="270">
        <v>500</v>
      </c>
      <c r="AG1609" s="66">
        <f t="shared" si="67"/>
        <v>130.12777777777777</v>
      </c>
      <c r="AH1609" s="143">
        <f t="shared" si="68"/>
        <v>1000</v>
      </c>
    </row>
    <row r="1610" spans="1:34" s="275" customFormat="1" x14ac:dyDescent="0.3">
      <c r="A1610" s="122">
        <v>903634</v>
      </c>
      <c r="B1610" s="270">
        <v>27.166666666666668</v>
      </c>
      <c r="C1610" s="270">
        <v>7.1249999999999991</v>
      </c>
      <c r="D1610" s="271">
        <v>8.6</v>
      </c>
      <c r="E1610" s="1540">
        <v>0.127</v>
      </c>
      <c r="F1610" s="273">
        <v>44.25</v>
      </c>
      <c r="G1610" s="273"/>
      <c r="H1610" s="270">
        <v>11.18</v>
      </c>
      <c r="I1610" s="273">
        <v>210</v>
      </c>
      <c r="J1610" s="272">
        <v>1.7000000000000001E-2</v>
      </c>
      <c r="K1610" s="270">
        <v>8.19</v>
      </c>
      <c r="L1610" s="274">
        <v>170</v>
      </c>
      <c r="M1610" s="274">
        <v>0.22</v>
      </c>
      <c r="N1610" s="274">
        <v>0.17</v>
      </c>
      <c r="O1610" s="274">
        <v>1.24</v>
      </c>
      <c r="P1610" s="274">
        <v>1.7</v>
      </c>
      <c r="Q1610" s="272"/>
      <c r="R1610" s="271">
        <v>0.1305396391234353</v>
      </c>
      <c r="S1610" s="274">
        <v>0.89999999999999991</v>
      </c>
      <c r="T1610" s="274"/>
      <c r="U1610" s="274"/>
      <c r="V1610" s="274"/>
      <c r="W1610" s="274"/>
      <c r="X1610" s="274"/>
      <c r="Y1610" s="67">
        <v>17</v>
      </c>
      <c r="Z1610" s="143"/>
      <c r="AA1610" s="68">
        <v>4.72</v>
      </c>
      <c r="AB1610" s="68">
        <v>0.40200000000000002</v>
      </c>
      <c r="AC1610" s="69">
        <v>8</v>
      </c>
      <c r="AD1610" s="274">
        <v>340</v>
      </c>
      <c r="AE1610" s="274">
        <v>120</v>
      </c>
      <c r="AF1610" s="270">
        <v>540</v>
      </c>
      <c r="AG1610" s="66">
        <f t="shared" si="67"/>
        <v>170.54470588235293</v>
      </c>
      <c r="AH1610" s="143">
        <f t="shared" si="68"/>
        <v>1000</v>
      </c>
    </row>
    <row r="1611" spans="1:34" s="275" customFormat="1" x14ac:dyDescent="0.3">
      <c r="A1611" s="122">
        <v>903635</v>
      </c>
      <c r="B1611" s="270">
        <v>25</v>
      </c>
      <c r="C1611" s="270">
        <v>6.875</v>
      </c>
      <c r="D1611" s="271">
        <v>8.2666666666666657</v>
      </c>
      <c r="E1611" s="1540">
        <v>0.68899999999999995</v>
      </c>
      <c r="F1611" s="273">
        <v>220.35</v>
      </c>
      <c r="G1611" s="273"/>
      <c r="H1611" s="270">
        <v>0.16</v>
      </c>
      <c r="I1611" s="273">
        <v>70</v>
      </c>
      <c r="J1611" s="272">
        <v>0.23499999999999999</v>
      </c>
      <c r="K1611" s="270">
        <v>8.33</v>
      </c>
      <c r="L1611" s="274">
        <v>300</v>
      </c>
      <c r="M1611" s="274">
        <v>7.0000000000000007E-2</v>
      </c>
      <c r="N1611" s="274">
        <v>7.0000000000000007E-2</v>
      </c>
      <c r="O1611" s="274">
        <v>0.46</v>
      </c>
      <c r="P1611" s="274">
        <v>0.98</v>
      </c>
      <c r="Q1611" s="272"/>
      <c r="R1611" s="271">
        <v>8.2977176587116619E-2</v>
      </c>
      <c r="S1611" s="274">
        <v>0.6</v>
      </c>
      <c r="T1611" s="274"/>
      <c r="U1611" s="274"/>
      <c r="V1611" s="274"/>
      <c r="W1611" s="274"/>
      <c r="X1611" s="274"/>
      <c r="Y1611" s="67">
        <v>22.4</v>
      </c>
      <c r="Z1611" s="143"/>
      <c r="AA1611" s="68">
        <v>4.03</v>
      </c>
      <c r="AB1611" s="68">
        <v>0.5</v>
      </c>
      <c r="AC1611" s="69">
        <v>11.1</v>
      </c>
      <c r="AD1611" s="274">
        <v>320</v>
      </c>
      <c r="AE1611" s="274">
        <v>130</v>
      </c>
      <c r="AF1611" s="270">
        <v>550</v>
      </c>
      <c r="AG1611" s="66">
        <f t="shared" si="67"/>
        <v>131.64374999999998</v>
      </c>
      <c r="AH1611" s="143">
        <f t="shared" si="68"/>
        <v>1000</v>
      </c>
    </row>
    <row r="1612" spans="1:34" s="275" customFormat="1" x14ac:dyDescent="0.3">
      <c r="A1612" s="122">
        <v>903636</v>
      </c>
      <c r="B1612" s="270">
        <v>26.166666666666664</v>
      </c>
      <c r="C1612" s="270">
        <v>2.6249999999999973</v>
      </c>
      <c r="D1612" s="271">
        <v>8.2857142857142847</v>
      </c>
      <c r="E1612" s="1540">
        <v>0.60399999999999998</v>
      </c>
      <c r="F1612" s="273">
        <v>212.54999999999998</v>
      </c>
      <c r="G1612" s="273"/>
      <c r="H1612" s="270">
        <v>8.1300000000000008</v>
      </c>
      <c r="I1612" s="273">
        <v>60</v>
      </c>
      <c r="J1612" s="272">
        <v>0.215</v>
      </c>
      <c r="K1612" s="270">
        <v>8.14</v>
      </c>
      <c r="L1612" s="274">
        <v>280</v>
      </c>
      <c r="M1612" s="274">
        <v>0.09</v>
      </c>
      <c r="N1612" s="274">
        <v>7.0000000000000007E-2</v>
      </c>
      <c r="O1612" s="274">
        <v>0.37</v>
      </c>
      <c r="P1612" s="274">
        <v>0.96</v>
      </c>
      <c r="Q1612" s="272"/>
      <c r="R1612" s="271">
        <v>1.3827855641311271E-2</v>
      </c>
      <c r="S1612" s="274">
        <v>0.1</v>
      </c>
      <c r="T1612" s="274"/>
      <c r="U1612" s="274"/>
      <c r="V1612" s="274"/>
      <c r="W1612" s="274"/>
      <c r="X1612" s="274"/>
      <c r="Y1612" s="67">
        <v>16</v>
      </c>
      <c r="Z1612" s="143"/>
      <c r="AA1612" s="68">
        <v>4.8099999999999996</v>
      </c>
      <c r="AB1612" s="68">
        <v>0.52900000000000003</v>
      </c>
      <c r="AC1612" s="69">
        <v>10</v>
      </c>
      <c r="AD1612" s="274">
        <v>320</v>
      </c>
      <c r="AE1612" s="274">
        <v>120</v>
      </c>
      <c r="AF1612" s="270">
        <v>560</v>
      </c>
      <c r="AG1612" s="66">
        <f t="shared" si="67"/>
        <v>180.09750000000003</v>
      </c>
      <c r="AH1612" s="143">
        <f t="shared" si="68"/>
        <v>1000</v>
      </c>
    </row>
    <row r="1613" spans="1:34" s="275" customFormat="1" x14ac:dyDescent="0.3">
      <c r="A1613" s="122">
        <v>903637</v>
      </c>
      <c r="B1613" s="270">
        <v>11.833333333333332</v>
      </c>
      <c r="C1613" s="270">
        <v>3.3749999999999991</v>
      </c>
      <c r="D1613" s="271">
        <v>8.5619047619047617</v>
      </c>
      <c r="E1613" s="1540">
        <v>0.12</v>
      </c>
      <c r="F1613" s="273">
        <v>38.6</v>
      </c>
      <c r="G1613" s="273"/>
      <c r="H1613" s="270">
        <v>15.08</v>
      </c>
      <c r="I1613" s="273">
        <v>300</v>
      </c>
      <c r="J1613" s="272">
        <v>1.7999999999999999E-2</v>
      </c>
      <c r="K1613" s="270">
        <v>8.26</v>
      </c>
      <c r="L1613" s="274">
        <v>260</v>
      </c>
      <c r="M1613" s="274">
        <v>0.2</v>
      </c>
      <c r="N1613" s="274">
        <v>0.48</v>
      </c>
      <c r="O1613" s="274">
        <v>1.18</v>
      </c>
      <c r="P1613" s="274">
        <v>1.36</v>
      </c>
      <c r="Q1613" s="272"/>
      <c r="R1613" s="271">
        <v>0.64764686362911061</v>
      </c>
      <c r="S1613" s="274">
        <v>4.4000000000000004</v>
      </c>
      <c r="T1613" s="274"/>
      <c r="U1613" s="274"/>
      <c r="V1613" s="274"/>
      <c r="W1613" s="274"/>
      <c r="X1613" s="274"/>
      <c r="Y1613" s="67">
        <v>17</v>
      </c>
      <c r="Z1613" s="143"/>
      <c r="AA1613" s="68">
        <v>4.7699999999999996</v>
      </c>
      <c r="AB1613" s="68">
        <v>0.28799999999999998</v>
      </c>
      <c r="AC1613" s="69">
        <v>10.7</v>
      </c>
      <c r="AD1613" s="274">
        <v>340</v>
      </c>
      <c r="AE1613" s="274">
        <v>160</v>
      </c>
      <c r="AF1613" s="270">
        <v>500</v>
      </c>
      <c r="AG1613" s="66">
        <f t="shared" si="67"/>
        <v>172.00235294117647</v>
      </c>
      <c r="AH1613" s="143">
        <f t="shared" si="68"/>
        <v>1000</v>
      </c>
    </row>
    <row r="1614" spans="1:34" s="275" customFormat="1" x14ac:dyDescent="0.3">
      <c r="A1614" s="122">
        <v>903638</v>
      </c>
      <c r="B1614" s="270">
        <v>15.333333333333332</v>
      </c>
      <c r="C1614" s="270">
        <v>3.5000000000000009</v>
      </c>
      <c r="D1614" s="271">
        <v>8.6285714285714281</v>
      </c>
      <c r="E1614" s="1540">
        <v>0.11799999999999999</v>
      </c>
      <c r="F1614" s="273">
        <v>33.75</v>
      </c>
      <c r="G1614" s="273"/>
      <c r="H1614" s="270">
        <v>5.33</v>
      </c>
      <c r="I1614" s="273">
        <v>260</v>
      </c>
      <c r="J1614" s="272">
        <v>0.02</v>
      </c>
      <c r="K1614" s="270">
        <v>8.52</v>
      </c>
      <c r="L1614" s="274">
        <v>250</v>
      </c>
      <c r="M1614" s="274">
        <v>0.62</v>
      </c>
      <c r="N1614" s="274">
        <v>0.41</v>
      </c>
      <c r="O1614" s="274">
        <v>0.65</v>
      </c>
      <c r="P1614" s="274">
        <v>1.54</v>
      </c>
      <c r="Q1614" s="272"/>
      <c r="R1614" s="271">
        <v>0.46163100191529044</v>
      </c>
      <c r="S1614" s="274">
        <v>3.3000000000000003</v>
      </c>
      <c r="T1614" s="274"/>
      <c r="U1614" s="274"/>
      <c r="V1614" s="274"/>
      <c r="W1614" s="274"/>
      <c r="X1614" s="274"/>
      <c r="Y1614" s="67">
        <v>17</v>
      </c>
      <c r="Z1614" s="143"/>
      <c r="AA1614" s="68">
        <v>4.59</v>
      </c>
      <c r="AB1614" s="68">
        <v>0.32400000000000001</v>
      </c>
      <c r="AC1614" s="69">
        <v>9.5</v>
      </c>
      <c r="AD1614" s="274">
        <v>340</v>
      </c>
      <c r="AE1614" s="274">
        <v>150</v>
      </c>
      <c r="AF1614" s="270">
        <v>510</v>
      </c>
      <c r="AG1614" s="66">
        <f t="shared" si="67"/>
        <v>177.41647058823528</v>
      </c>
      <c r="AH1614" s="143">
        <f t="shared" si="68"/>
        <v>1000</v>
      </c>
    </row>
    <row r="1615" spans="1:34" s="275" customFormat="1" x14ac:dyDescent="0.3">
      <c r="A1615" s="122">
        <v>903639</v>
      </c>
      <c r="B1615" s="270">
        <v>11.666666666666666</v>
      </c>
      <c r="C1615" s="270">
        <v>3.3749999999999991</v>
      </c>
      <c r="D1615" s="271">
        <v>8.9333333333333336</v>
      </c>
      <c r="E1615" s="1540">
        <v>8.5000000000000006E-2</v>
      </c>
      <c r="F1615" s="273">
        <v>32.400000000000006</v>
      </c>
      <c r="G1615" s="273"/>
      <c r="H1615" s="270">
        <v>6.49</v>
      </c>
      <c r="I1615" s="273">
        <v>40</v>
      </c>
      <c r="J1615" s="272">
        <v>3.0000000000000001E-3</v>
      </c>
      <c r="K1615" s="270">
        <v>6.36</v>
      </c>
      <c r="L1615" s="274">
        <v>60</v>
      </c>
      <c r="M1615" s="274">
        <v>0.1</v>
      </c>
      <c r="N1615" s="274">
        <v>7.0000000000000007E-2</v>
      </c>
      <c r="O1615" s="274">
        <v>0.28999999999999998</v>
      </c>
      <c r="P1615" s="274">
        <v>0.36</v>
      </c>
      <c r="Q1615" s="272"/>
      <c r="R1615" s="271">
        <v>0.33108858510452804</v>
      </c>
      <c r="S1615" s="274">
        <v>2.2000000000000002</v>
      </c>
      <c r="T1615" s="274"/>
      <c r="U1615" s="274"/>
      <c r="V1615" s="274"/>
      <c r="W1615" s="274"/>
      <c r="X1615" s="274"/>
      <c r="Y1615" s="67">
        <v>4.8</v>
      </c>
      <c r="Z1615" s="143"/>
      <c r="AA1615" s="68">
        <v>4.53</v>
      </c>
      <c r="AB1615" s="68">
        <v>0.32500000000000001</v>
      </c>
      <c r="AC1615" s="69">
        <v>9.8000000000000007</v>
      </c>
      <c r="AD1615" s="274">
        <v>80</v>
      </c>
      <c r="AE1615" s="274">
        <v>60</v>
      </c>
      <c r="AF1615" s="270">
        <v>860</v>
      </c>
      <c r="AG1615" s="66">
        <f t="shared" si="67"/>
        <v>469.05</v>
      </c>
      <c r="AH1615" s="143">
        <f t="shared" si="68"/>
        <v>1000</v>
      </c>
    </row>
    <row r="1616" spans="1:34" s="275" customFormat="1" x14ac:dyDescent="0.3">
      <c r="A1616" s="122">
        <v>903640</v>
      </c>
      <c r="B1616" s="270">
        <v>13.333333333333334</v>
      </c>
      <c r="C1616" s="270">
        <v>1.9999999999999973</v>
      </c>
      <c r="D1616" s="271">
        <v>8.9142857142857128</v>
      </c>
      <c r="E1616" s="1540">
        <v>0.09</v>
      </c>
      <c r="F1616" s="273">
        <v>38.6</v>
      </c>
      <c r="G1616" s="273"/>
      <c r="H1616" s="270">
        <v>7.41</v>
      </c>
      <c r="I1616" s="273">
        <v>50</v>
      </c>
      <c r="J1616" s="272">
        <v>5.0000000000000001E-3</v>
      </c>
      <c r="K1616" s="270">
        <v>6.68</v>
      </c>
      <c r="L1616" s="274">
        <v>70</v>
      </c>
      <c r="M1616" s="274">
        <v>0.6</v>
      </c>
      <c r="N1616" s="274">
        <v>0.08</v>
      </c>
      <c r="O1616" s="274">
        <v>1</v>
      </c>
      <c r="P1616" s="274">
        <v>0.73</v>
      </c>
      <c r="Q1616" s="272"/>
      <c r="R1616" s="271">
        <v>0.35190953178798323</v>
      </c>
      <c r="S1616" s="274">
        <v>2.3000000000000003</v>
      </c>
      <c r="T1616" s="274"/>
      <c r="U1616" s="274"/>
      <c r="V1616" s="274"/>
      <c r="W1616" s="274"/>
      <c r="X1616" s="274"/>
      <c r="Y1616" s="67">
        <v>3.5</v>
      </c>
      <c r="Z1616" s="143"/>
      <c r="AA1616" s="68">
        <v>3.63</v>
      </c>
      <c r="AB1616" s="68">
        <v>0.56899999999999995</v>
      </c>
      <c r="AC1616" s="69">
        <v>11.5</v>
      </c>
      <c r="AD1616" s="274">
        <v>70</v>
      </c>
      <c r="AE1616" s="274">
        <v>60</v>
      </c>
      <c r="AF1616" s="270">
        <v>870</v>
      </c>
      <c r="AG1616" s="66">
        <f t="shared" si="67"/>
        <v>675.63428571428562</v>
      </c>
      <c r="AH1616" s="143">
        <f t="shared" si="68"/>
        <v>1000</v>
      </c>
    </row>
    <row r="1617" spans="1:34" s="275" customFormat="1" x14ac:dyDescent="0.3">
      <c r="A1617" s="122">
        <v>903641</v>
      </c>
      <c r="B1617" s="270">
        <v>17.166666666666668</v>
      </c>
      <c r="C1617" s="270">
        <v>5.2499999999999991</v>
      </c>
      <c r="D1617" s="271">
        <v>8.5809523809523807</v>
      </c>
      <c r="E1617" s="1540">
        <v>0.12</v>
      </c>
      <c r="F1617" s="273">
        <v>38.5</v>
      </c>
      <c r="G1617" s="273"/>
      <c r="H1617" s="270">
        <v>7.72</v>
      </c>
      <c r="I1617" s="273">
        <v>270</v>
      </c>
      <c r="J1617" s="272">
        <v>2.1000000000000001E-2</v>
      </c>
      <c r="K1617" s="270">
        <v>8.57</v>
      </c>
      <c r="L1617" s="274">
        <v>250</v>
      </c>
      <c r="M1617" s="274">
        <v>0.1</v>
      </c>
      <c r="N1617" s="274">
        <v>0.49</v>
      </c>
      <c r="O1617" s="274">
        <v>0.85</v>
      </c>
      <c r="P1617" s="274">
        <v>1.59</v>
      </c>
      <c r="Q1617" s="272"/>
      <c r="R1617" s="271">
        <v>0.64154064562341773</v>
      </c>
      <c r="S1617" s="274">
        <v>4.6999999999999993</v>
      </c>
      <c r="T1617" s="274"/>
      <c r="U1617" s="274"/>
      <c r="V1617" s="274"/>
      <c r="W1617" s="274"/>
      <c r="X1617" s="274"/>
      <c r="Y1617" s="67">
        <v>16.5</v>
      </c>
      <c r="Z1617" s="143"/>
      <c r="AA1617" s="68">
        <v>4.53</v>
      </c>
      <c r="AB1617" s="68">
        <v>0.88600000000000001</v>
      </c>
      <c r="AC1617" s="69">
        <v>8.1</v>
      </c>
      <c r="AD1617" s="274">
        <v>330</v>
      </c>
      <c r="AE1617" s="274">
        <v>130</v>
      </c>
      <c r="AF1617" s="270">
        <v>540</v>
      </c>
      <c r="AG1617" s="66">
        <f t="shared" si="67"/>
        <v>183.86545454545455</v>
      </c>
      <c r="AH1617" s="143">
        <f t="shared" si="68"/>
        <v>1000</v>
      </c>
    </row>
    <row r="1618" spans="1:34" s="275" customFormat="1" x14ac:dyDescent="0.3">
      <c r="A1618" s="122">
        <v>903642</v>
      </c>
      <c r="B1618" s="270">
        <v>15.333333333333332</v>
      </c>
      <c r="C1618" s="270">
        <v>5</v>
      </c>
      <c r="D1618" s="271">
        <v>8.5238095238095219</v>
      </c>
      <c r="E1618" s="1540">
        <v>0.126</v>
      </c>
      <c r="F1618" s="273">
        <v>33.799999999999997</v>
      </c>
      <c r="G1618" s="273"/>
      <c r="H1618" s="270">
        <v>8.34</v>
      </c>
      <c r="I1618" s="273">
        <v>310</v>
      </c>
      <c r="J1618" s="272">
        <v>0.02</v>
      </c>
      <c r="K1618" s="270">
        <v>8.74</v>
      </c>
      <c r="L1618" s="274">
        <v>270</v>
      </c>
      <c r="M1618" s="274">
        <v>0.22</v>
      </c>
      <c r="N1618" s="274">
        <v>0.51</v>
      </c>
      <c r="O1618" s="274">
        <v>0.7</v>
      </c>
      <c r="P1618" s="274">
        <v>1.95</v>
      </c>
      <c r="Q1618" s="272"/>
      <c r="R1618" s="271">
        <v>0.91283833625779154</v>
      </c>
      <c r="S1618" s="274">
        <v>6.8000000000000007</v>
      </c>
      <c r="T1618" s="274"/>
      <c r="U1618" s="274"/>
      <c r="V1618" s="274"/>
      <c r="W1618" s="274"/>
      <c r="X1618" s="274"/>
      <c r="Y1618" s="67">
        <v>20.399999999999999</v>
      </c>
      <c r="Z1618" s="143"/>
      <c r="AA1618" s="68">
        <v>3.57</v>
      </c>
      <c r="AB1618" s="68">
        <v>0.80600000000000005</v>
      </c>
      <c r="AC1618" s="69">
        <v>12</v>
      </c>
      <c r="AD1618" s="274">
        <v>340</v>
      </c>
      <c r="AE1618" s="274">
        <v>120</v>
      </c>
      <c r="AF1618" s="270">
        <v>540</v>
      </c>
      <c r="AG1618" s="66">
        <f t="shared" si="67"/>
        <v>151.66470588235296</v>
      </c>
      <c r="AH1618" s="143">
        <f t="shared" si="68"/>
        <v>1000</v>
      </c>
    </row>
    <row r="1619" spans="1:34" s="275" customFormat="1" x14ac:dyDescent="0.3">
      <c r="A1619" s="122">
        <v>903643</v>
      </c>
      <c r="B1619" s="270">
        <v>9.4999999999999982</v>
      </c>
      <c r="C1619" s="270"/>
      <c r="D1619" s="271">
        <v>8.6285714285714281</v>
      </c>
      <c r="E1619" s="1540">
        <v>0.10199999999999999</v>
      </c>
      <c r="F1619" s="273">
        <v>33.25</v>
      </c>
      <c r="G1619" s="273"/>
      <c r="H1619" s="270">
        <v>13.06</v>
      </c>
      <c r="I1619" s="273">
        <v>320</v>
      </c>
      <c r="J1619" s="272">
        <v>8.0000000000000002E-3</v>
      </c>
      <c r="K1619" s="270">
        <v>7.98</v>
      </c>
      <c r="L1619" s="274">
        <v>320</v>
      </c>
      <c r="M1619" s="274">
        <v>0.15</v>
      </c>
      <c r="N1619" s="274">
        <v>0.59</v>
      </c>
      <c r="O1619" s="274">
        <v>0.77</v>
      </c>
      <c r="P1619" s="274">
        <v>1.41</v>
      </c>
      <c r="Q1619" s="272"/>
      <c r="R1619" s="271">
        <v>1.586408</v>
      </c>
      <c r="S1619" s="274">
        <v>10.600000000000001</v>
      </c>
      <c r="T1619" s="274"/>
      <c r="U1619" s="274"/>
      <c r="V1619" s="274"/>
      <c r="W1619" s="274"/>
      <c r="X1619" s="274"/>
      <c r="Y1619" s="67">
        <v>20</v>
      </c>
      <c r="Z1619" s="143"/>
      <c r="AA1619" s="68">
        <v>4.5599999999999996</v>
      </c>
      <c r="AB1619" s="68">
        <v>0.30399999999999999</v>
      </c>
      <c r="AC1619" s="69">
        <v>11.6</v>
      </c>
      <c r="AD1619" s="274">
        <v>400</v>
      </c>
      <c r="AE1619" s="274">
        <v>100</v>
      </c>
      <c r="AF1619" s="270">
        <v>500</v>
      </c>
      <c r="AG1619" s="66">
        <f t="shared" si="67"/>
        <v>141.24600000000001</v>
      </c>
      <c r="AH1619" s="143">
        <f t="shared" si="68"/>
        <v>1000</v>
      </c>
    </row>
    <row r="1620" spans="1:34" s="275" customFormat="1" x14ac:dyDescent="0.3">
      <c r="A1620" s="122">
        <v>903644</v>
      </c>
      <c r="B1620" s="270">
        <v>15.333333333333332</v>
      </c>
      <c r="C1620" s="270">
        <v>4.375</v>
      </c>
      <c r="D1620" s="271">
        <v>8.5619047619047617</v>
      </c>
      <c r="E1620" s="1540">
        <v>0.1</v>
      </c>
      <c r="F1620" s="273">
        <v>37.549999999999997</v>
      </c>
      <c r="G1620" s="273"/>
      <c r="H1620" s="270">
        <v>7.82</v>
      </c>
      <c r="I1620" s="273">
        <v>230</v>
      </c>
      <c r="J1620" s="272">
        <v>2.1000000000000001E-2</v>
      </c>
      <c r="K1620" s="270">
        <v>8.6999999999999993</v>
      </c>
      <c r="L1620" s="274">
        <v>280</v>
      </c>
      <c r="M1620" s="274">
        <v>0.08</v>
      </c>
      <c r="N1620" s="274">
        <v>0.47</v>
      </c>
      <c r="O1620" s="274">
        <v>0.7</v>
      </c>
      <c r="P1620" s="274">
        <v>1.69</v>
      </c>
      <c r="Q1620" s="272"/>
      <c r="R1620" s="271">
        <v>0.50649369470337924</v>
      </c>
      <c r="S1620" s="274">
        <v>3.4000000000000004</v>
      </c>
      <c r="T1620" s="274"/>
      <c r="U1620" s="274"/>
      <c r="V1620" s="274"/>
      <c r="W1620" s="274"/>
      <c r="X1620" s="274"/>
      <c r="Y1620" s="67">
        <v>19.5</v>
      </c>
      <c r="Z1620" s="143"/>
      <c r="AA1620" s="68">
        <v>4</v>
      </c>
      <c r="AB1620" s="68">
        <v>0.71699999999999997</v>
      </c>
      <c r="AC1620" s="69">
        <v>9.1</v>
      </c>
      <c r="AD1620" s="274">
        <v>390</v>
      </c>
      <c r="AE1620" s="274">
        <v>100</v>
      </c>
      <c r="AF1620" s="270">
        <v>510</v>
      </c>
      <c r="AG1620" s="66">
        <f t="shared" si="67"/>
        <v>157.93846153846152</v>
      </c>
      <c r="AH1620" s="143">
        <f t="shared" si="68"/>
        <v>1000</v>
      </c>
    </row>
    <row r="1621" spans="1:34" s="275" customFormat="1" x14ac:dyDescent="0.3">
      <c r="A1621" s="122">
        <v>903645</v>
      </c>
      <c r="B1621" s="270">
        <v>21</v>
      </c>
      <c r="C1621" s="270">
        <v>4.375</v>
      </c>
      <c r="D1621" s="271">
        <v>8.5333333333333332</v>
      </c>
      <c r="E1621" s="1540">
        <v>0.22700000000000001</v>
      </c>
      <c r="F1621" s="273">
        <v>67.649999999999991</v>
      </c>
      <c r="G1621" s="273"/>
      <c r="H1621" s="270">
        <v>1.87</v>
      </c>
      <c r="I1621" s="273">
        <v>150</v>
      </c>
      <c r="J1621" s="272">
        <v>5.8000000000000003E-2</v>
      </c>
      <c r="K1621" s="270">
        <v>7.44</v>
      </c>
      <c r="L1621" s="274">
        <v>240</v>
      </c>
      <c r="M1621" s="274">
        <v>0.24</v>
      </c>
      <c r="N1621" s="274">
        <v>0.09</v>
      </c>
      <c r="O1621" s="274">
        <v>0.48</v>
      </c>
      <c r="P1621" s="274">
        <v>0.64</v>
      </c>
      <c r="Q1621" s="272"/>
      <c r="R1621" s="271">
        <v>0.28350107185634255</v>
      </c>
      <c r="S1621" s="274">
        <v>1.9</v>
      </c>
      <c r="T1621" s="274"/>
      <c r="U1621" s="274"/>
      <c r="V1621" s="274"/>
      <c r="W1621" s="274"/>
      <c r="X1621" s="274"/>
      <c r="Y1621" s="67">
        <v>16.8</v>
      </c>
      <c r="Z1621" s="143"/>
      <c r="AA1621" s="68">
        <v>3.98</v>
      </c>
      <c r="AB1621" s="68">
        <v>0.65700000000000003</v>
      </c>
      <c r="AC1621" s="69">
        <v>6.2</v>
      </c>
      <c r="AD1621" s="274">
        <v>280</v>
      </c>
      <c r="AE1621" s="274">
        <v>80</v>
      </c>
      <c r="AF1621" s="270">
        <v>640</v>
      </c>
      <c r="AG1621" s="66">
        <f t="shared" si="67"/>
        <v>156.77142857142857</v>
      </c>
      <c r="AH1621" s="143">
        <f t="shared" si="68"/>
        <v>1000</v>
      </c>
    </row>
    <row r="1622" spans="1:34" s="275" customFormat="1" x14ac:dyDescent="0.3">
      <c r="A1622" s="122">
        <v>903646</v>
      </c>
      <c r="B1622" s="270">
        <v>21.666666666666664</v>
      </c>
      <c r="C1622" s="270">
        <v>1.25</v>
      </c>
      <c r="D1622" s="271">
        <v>8.5523809523809522</v>
      </c>
      <c r="E1622" s="1540">
        <v>0.26700000000000002</v>
      </c>
      <c r="F1622" s="273">
        <v>76.95</v>
      </c>
      <c r="G1622" s="273"/>
      <c r="H1622" s="270">
        <v>0.88</v>
      </c>
      <c r="I1622" s="273">
        <v>120</v>
      </c>
      <c r="J1622" s="272">
        <v>5.8999999999999997E-2</v>
      </c>
      <c r="K1622" s="270">
        <v>7.55</v>
      </c>
      <c r="L1622" s="274">
        <v>230</v>
      </c>
      <c r="M1622" s="274">
        <v>0.09</v>
      </c>
      <c r="N1622" s="274">
        <v>0.09</v>
      </c>
      <c r="O1622" s="274">
        <v>0.39</v>
      </c>
      <c r="P1622" s="274">
        <v>0.7</v>
      </c>
      <c r="Q1622" s="272"/>
      <c r="R1622" s="271">
        <v>0.28994575989916427</v>
      </c>
      <c r="S1622" s="274">
        <v>2</v>
      </c>
      <c r="T1622" s="274"/>
      <c r="U1622" s="274"/>
      <c r="V1622" s="274"/>
      <c r="W1622" s="274"/>
      <c r="X1622" s="274"/>
      <c r="Y1622" s="67">
        <v>15.6</v>
      </c>
      <c r="Z1622" s="143"/>
      <c r="AA1622" s="68">
        <v>3.56</v>
      </c>
      <c r="AB1622" s="68">
        <v>0.57999999999999996</v>
      </c>
      <c r="AC1622" s="69">
        <v>11.2</v>
      </c>
      <c r="AD1622" s="274">
        <v>260</v>
      </c>
      <c r="AE1622" s="274">
        <v>80</v>
      </c>
      <c r="AF1622" s="270">
        <v>660</v>
      </c>
      <c r="AG1622" s="66">
        <f t="shared" si="67"/>
        <v>171.32692307692307</v>
      </c>
      <c r="AH1622" s="143">
        <f t="shared" si="68"/>
        <v>1000</v>
      </c>
    </row>
    <row r="1623" spans="1:34" s="275" customFormat="1" x14ac:dyDescent="0.3">
      <c r="A1623" s="122">
        <v>903647</v>
      </c>
      <c r="B1623" s="270">
        <v>12.833333333333332</v>
      </c>
      <c r="C1623" s="270">
        <v>1.875</v>
      </c>
      <c r="D1623" s="271">
        <v>8.5333333333333332</v>
      </c>
      <c r="E1623" s="1540">
        <v>0.27600000000000002</v>
      </c>
      <c r="F1623" s="273">
        <v>81.8</v>
      </c>
      <c r="G1623" s="273"/>
      <c r="H1623" s="270">
        <v>16.72</v>
      </c>
      <c r="I1623" s="273">
        <v>230</v>
      </c>
      <c r="J1623" s="272">
        <v>3.1E-2</v>
      </c>
      <c r="K1623" s="270">
        <v>7.49</v>
      </c>
      <c r="L1623" s="274">
        <v>250</v>
      </c>
      <c r="M1623" s="274">
        <v>0.17</v>
      </c>
      <c r="N1623" s="274">
        <v>0.3</v>
      </c>
      <c r="O1623" s="274">
        <v>1.06</v>
      </c>
      <c r="P1623" s="274">
        <v>0.94</v>
      </c>
      <c r="Q1623" s="272"/>
      <c r="R1623" s="271">
        <v>0.5750549774755811</v>
      </c>
      <c r="S1623" s="274">
        <v>4.0999999999999996</v>
      </c>
      <c r="T1623" s="274"/>
      <c r="U1623" s="274"/>
      <c r="V1623" s="274"/>
      <c r="W1623" s="274"/>
      <c r="X1623" s="274"/>
      <c r="Y1623" s="67">
        <v>24.5</v>
      </c>
      <c r="Z1623" s="143"/>
      <c r="AA1623" s="68">
        <v>3.66</v>
      </c>
      <c r="AB1623" s="68">
        <v>0.75600000000000001</v>
      </c>
      <c r="AC1623" s="69">
        <v>7.6</v>
      </c>
      <c r="AD1623" s="274">
        <v>350</v>
      </c>
      <c r="AE1623" s="274">
        <v>120</v>
      </c>
      <c r="AF1623" s="270">
        <v>530</v>
      </c>
      <c r="AG1623" s="66">
        <f t="shared" si="67"/>
        <v>108.22285714285715</v>
      </c>
      <c r="AH1623" s="143">
        <f t="shared" si="68"/>
        <v>1000</v>
      </c>
    </row>
    <row r="1624" spans="1:34" s="275" customFormat="1" x14ac:dyDescent="0.3">
      <c r="A1624" s="122">
        <v>903648</v>
      </c>
      <c r="B1624" s="270">
        <v>13.333333333333334</v>
      </c>
      <c r="C1624" s="270">
        <v>1.6250000000000009</v>
      </c>
      <c r="D1624" s="271">
        <v>8.6761904761904756</v>
      </c>
      <c r="E1624" s="1540">
        <v>0.12</v>
      </c>
      <c r="F1624" s="273">
        <v>47.9</v>
      </c>
      <c r="G1624" s="273"/>
      <c r="H1624" s="270">
        <v>6.49</v>
      </c>
      <c r="I1624" s="273">
        <v>230</v>
      </c>
      <c r="J1624" s="272">
        <v>2.5000000000000001E-2</v>
      </c>
      <c r="K1624" s="270">
        <v>7.69</v>
      </c>
      <c r="L1624" s="274">
        <v>230</v>
      </c>
      <c r="M1624" s="274">
        <v>0.55000000000000004</v>
      </c>
      <c r="N1624" s="274">
        <v>0.23</v>
      </c>
      <c r="O1624" s="274">
        <v>0.8</v>
      </c>
      <c r="P1624" s="274">
        <v>1.2</v>
      </c>
      <c r="Q1624" s="272"/>
      <c r="R1624" s="271">
        <v>1.076190226122411</v>
      </c>
      <c r="S1624" s="274">
        <v>7.9</v>
      </c>
      <c r="T1624" s="274"/>
      <c r="U1624" s="274"/>
      <c r="V1624" s="274"/>
      <c r="W1624" s="274"/>
      <c r="X1624" s="274"/>
      <c r="Y1624" s="67">
        <v>22</v>
      </c>
      <c r="Z1624" s="143"/>
      <c r="AA1624" s="68">
        <v>4.99</v>
      </c>
      <c r="AB1624" s="68">
        <v>0.61</v>
      </c>
      <c r="AC1624" s="69">
        <v>11.4</v>
      </c>
      <c r="AD1624" s="274">
        <v>440</v>
      </c>
      <c r="AE1624" s="274">
        <v>80</v>
      </c>
      <c r="AF1624" s="270">
        <v>480</v>
      </c>
      <c r="AG1624" s="66">
        <f t="shared" si="67"/>
        <v>123.73909090909092</v>
      </c>
      <c r="AH1624" s="143">
        <f t="shared" si="68"/>
        <v>1000</v>
      </c>
    </row>
    <row r="1625" spans="1:34" s="275" customFormat="1" x14ac:dyDescent="0.3">
      <c r="A1625" s="122">
        <v>903649</v>
      </c>
      <c r="B1625" s="270">
        <v>31.666666666666664</v>
      </c>
      <c r="C1625" s="270">
        <v>8.375</v>
      </c>
      <c r="D1625" s="271">
        <v>8.6476190476190471</v>
      </c>
      <c r="E1625" s="1540">
        <v>0.14000000000000001</v>
      </c>
      <c r="F1625" s="273">
        <v>58.150000000000006</v>
      </c>
      <c r="G1625" s="273"/>
      <c r="H1625" s="270">
        <v>11.11</v>
      </c>
      <c r="I1625" s="273">
        <v>210</v>
      </c>
      <c r="J1625" s="272">
        <v>2.5000000000000001E-2</v>
      </c>
      <c r="K1625" s="270">
        <v>7.83</v>
      </c>
      <c r="L1625" s="274">
        <v>190</v>
      </c>
      <c r="M1625" s="274">
        <v>0.1</v>
      </c>
      <c r="N1625" s="274">
        <v>0.28999999999999998</v>
      </c>
      <c r="O1625" s="274">
        <v>0.73</v>
      </c>
      <c r="P1625" s="274">
        <v>1.29</v>
      </c>
      <c r="Q1625" s="272"/>
      <c r="R1625" s="271">
        <v>0.43181455344784697</v>
      </c>
      <c r="S1625" s="274">
        <v>3.1</v>
      </c>
      <c r="T1625" s="274"/>
      <c r="U1625" s="274"/>
      <c r="V1625" s="274"/>
      <c r="W1625" s="274"/>
      <c r="X1625" s="274"/>
      <c r="Y1625" s="67">
        <v>23.8</v>
      </c>
      <c r="Z1625" s="143"/>
      <c r="AA1625" s="68">
        <v>4.13</v>
      </c>
      <c r="AB1625" s="68">
        <v>0.71299999999999997</v>
      </c>
      <c r="AC1625" s="69">
        <v>8.4</v>
      </c>
      <c r="AD1625" s="274">
        <v>340</v>
      </c>
      <c r="AE1625" s="274">
        <v>110</v>
      </c>
      <c r="AF1625" s="270">
        <v>550</v>
      </c>
      <c r="AG1625" s="66">
        <f t="shared" si="67"/>
        <v>116.46302521008404</v>
      </c>
      <c r="AH1625" s="143">
        <f t="shared" si="68"/>
        <v>1000</v>
      </c>
    </row>
    <row r="1626" spans="1:34" s="275" customFormat="1" x14ac:dyDescent="0.3">
      <c r="A1626" s="122">
        <v>903650</v>
      </c>
      <c r="B1626" s="270">
        <v>31.833333333333329</v>
      </c>
      <c r="C1626" s="270">
        <v>7.8749999999999982</v>
      </c>
      <c r="D1626" s="271">
        <v>8.742857142857142</v>
      </c>
      <c r="E1626" s="1540">
        <v>0.15</v>
      </c>
      <c r="F1626" s="273">
        <v>62.699999999999996</v>
      </c>
      <c r="G1626" s="273"/>
      <c r="H1626" s="270">
        <v>14.05</v>
      </c>
      <c r="I1626" s="273">
        <v>230</v>
      </c>
      <c r="J1626" s="272">
        <v>3.2000000000000001E-2</v>
      </c>
      <c r="K1626" s="270">
        <v>8.11</v>
      </c>
      <c r="L1626" s="274">
        <v>220</v>
      </c>
      <c r="M1626" s="274">
        <v>0.31</v>
      </c>
      <c r="N1626" s="274">
        <v>0.27</v>
      </c>
      <c r="O1626" s="274">
        <v>0.86</v>
      </c>
      <c r="P1626" s="274">
        <v>1.79</v>
      </c>
      <c r="Q1626" s="272"/>
      <c r="R1626" s="271">
        <v>0.63983473151244452</v>
      </c>
      <c r="S1626" s="274">
        <v>4.3</v>
      </c>
      <c r="T1626" s="274"/>
      <c r="U1626" s="274"/>
      <c r="V1626" s="274"/>
      <c r="W1626" s="274"/>
      <c r="X1626" s="274"/>
      <c r="Y1626" s="67">
        <v>20.399999999999999</v>
      </c>
      <c r="Z1626" s="143"/>
      <c r="AA1626" s="68">
        <v>4.01</v>
      </c>
      <c r="AB1626" s="68">
        <v>0.70199999999999996</v>
      </c>
      <c r="AC1626" s="69">
        <v>10.8</v>
      </c>
      <c r="AD1626" s="274">
        <v>340</v>
      </c>
      <c r="AE1626" s="274">
        <v>100</v>
      </c>
      <c r="AF1626" s="270">
        <v>560</v>
      </c>
      <c r="AG1626" s="66">
        <f t="shared" si="67"/>
        <v>140.73235294117649</v>
      </c>
      <c r="AH1626" s="143">
        <f t="shared" si="68"/>
        <v>1000</v>
      </c>
    </row>
    <row r="1627" spans="1:34" s="275" customFormat="1" x14ac:dyDescent="0.3">
      <c r="A1627" s="122">
        <v>903651</v>
      </c>
      <c r="B1627" s="270">
        <v>25</v>
      </c>
      <c r="C1627" s="270">
        <v>4.375</v>
      </c>
      <c r="D1627" s="271">
        <v>8.7047619047619058</v>
      </c>
      <c r="E1627" s="1540">
        <v>0.1</v>
      </c>
      <c r="F1627" s="273">
        <v>37.799999999999997</v>
      </c>
      <c r="G1627" s="273"/>
      <c r="H1627" s="270">
        <v>3.38</v>
      </c>
      <c r="I1627" s="273">
        <v>210</v>
      </c>
      <c r="J1627" s="272">
        <v>1.2E-2</v>
      </c>
      <c r="K1627" s="270">
        <v>7.31</v>
      </c>
      <c r="L1627" s="274">
        <v>220</v>
      </c>
      <c r="M1627" s="274">
        <v>0.21</v>
      </c>
      <c r="N1627" s="274">
        <v>0.4</v>
      </c>
      <c r="O1627" s="274">
        <v>0.61</v>
      </c>
      <c r="P1627" s="274">
        <v>1.1399999999999999</v>
      </c>
      <c r="Q1627" s="272"/>
      <c r="R1627" s="271">
        <v>0.68292085286464177</v>
      </c>
      <c r="S1627" s="274">
        <v>5</v>
      </c>
      <c r="T1627" s="274"/>
      <c r="U1627" s="274"/>
      <c r="V1627" s="274"/>
      <c r="W1627" s="274"/>
      <c r="X1627" s="274"/>
      <c r="Y1627" s="67">
        <v>17.5</v>
      </c>
      <c r="Z1627" s="143"/>
      <c r="AA1627" s="68">
        <v>4.99</v>
      </c>
      <c r="AB1627" s="68">
        <v>0.69599999999999995</v>
      </c>
      <c r="AC1627" s="69">
        <v>8.1999999999999993</v>
      </c>
      <c r="AD1627" s="274">
        <v>350</v>
      </c>
      <c r="AE1627" s="274">
        <v>110</v>
      </c>
      <c r="AF1627" s="270">
        <v>540</v>
      </c>
      <c r="AG1627" s="66">
        <f t="shared" si="67"/>
        <v>147.87085714285712</v>
      </c>
      <c r="AH1627" s="143">
        <f t="shared" si="68"/>
        <v>1000</v>
      </c>
    </row>
    <row r="1628" spans="1:34" s="275" customFormat="1" x14ac:dyDescent="0.3">
      <c r="A1628" s="122">
        <v>903652</v>
      </c>
      <c r="B1628" s="270">
        <v>34.666666666666671</v>
      </c>
      <c r="C1628" s="270">
        <v>7.7499999999999991</v>
      </c>
      <c r="D1628" s="271">
        <v>8.5619047619047617</v>
      </c>
      <c r="E1628" s="1540">
        <v>0.13800000000000001</v>
      </c>
      <c r="F1628" s="273">
        <v>61.8</v>
      </c>
      <c r="G1628" s="273"/>
      <c r="H1628" s="270">
        <v>10.220000000000001</v>
      </c>
      <c r="I1628" s="273">
        <v>210</v>
      </c>
      <c r="J1628" s="272">
        <v>5.3999999999999999E-2</v>
      </c>
      <c r="K1628" s="270">
        <v>8.27</v>
      </c>
      <c r="L1628" s="274">
        <v>300</v>
      </c>
      <c r="M1628" s="274">
        <v>0.32</v>
      </c>
      <c r="N1628" s="274">
        <v>0.54</v>
      </c>
      <c r="O1628" s="274">
        <v>0.81</v>
      </c>
      <c r="P1628" s="274">
        <v>2.81</v>
      </c>
      <c r="Q1628" s="272"/>
      <c r="R1628" s="271">
        <v>1.6061130000000001</v>
      </c>
      <c r="S1628" s="274">
        <v>11.100000000000001</v>
      </c>
      <c r="T1628" s="274"/>
      <c r="U1628" s="274"/>
      <c r="V1628" s="274"/>
      <c r="W1628" s="274"/>
      <c r="X1628" s="274"/>
      <c r="Y1628" s="67">
        <v>17</v>
      </c>
      <c r="Z1628" s="143"/>
      <c r="AA1628" s="68">
        <v>4.26</v>
      </c>
      <c r="AB1628" s="68">
        <v>0.71099999999999997</v>
      </c>
      <c r="AC1628" s="69">
        <v>8.1</v>
      </c>
      <c r="AD1628" s="274">
        <v>340</v>
      </c>
      <c r="AE1628" s="274">
        <v>100</v>
      </c>
      <c r="AF1628" s="270">
        <v>560</v>
      </c>
      <c r="AG1628" s="66">
        <f t="shared" si="67"/>
        <v>172.21058823529413</v>
      </c>
      <c r="AH1628" s="143">
        <f t="shared" si="68"/>
        <v>1000</v>
      </c>
    </row>
    <row r="1629" spans="1:34" s="275" customFormat="1" x14ac:dyDescent="0.3">
      <c r="A1629" s="122">
        <v>903653</v>
      </c>
      <c r="B1629" s="270">
        <v>60</v>
      </c>
      <c r="C1629" s="270">
        <v>13.875</v>
      </c>
      <c r="D1629" s="271">
        <v>8.6761904761904756</v>
      </c>
      <c r="E1629" s="1540">
        <v>0.114</v>
      </c>
      <c r="F1629" s="273">
        <v>38.849999999999994</v>
      </c>
      <c r="G1629" s="273"/>
      <c r="H1629" s="270">
        <v>6.01</v>
      </c>
      <c r="I1629" s="273">
        <v>210</v>
      </c>
      <c r="J1629" s="272">
        <v>4.4999999999999998E-2</v>
      </c>
      <c r="K1629" s="270">
        <v>8.27</v>
      </c>
      <c r="L1629" s="274">
        <v>270</v>
      </c>
      <c r="M1629" s="274">
        <v>0.17</v>
      </c>
      <c r="N1629" s="274">
        <v>0.35</v>
      </c>
      <c r="O1629" s="274">
        <v>0.65</v>
      </c>
      <c r="P1629" s="274">
        <v>1.79</v>
      </c>
      <c r="Q1629" s="272"/>
      <c r="R1629" s="271">
        <v>1.751153</v>
      </c>
      <c r="S1629" s="274">
        <v>15.1</v>
      </c>
      <c r="T1629" s="274"/>
      <c r="U1629" s="274"/>
      <c r="V1629" s="274"/>
      <c r="W1629" s="274"/>
      <c r="X1629" s="274"/>
      <c r="Y1629" s="67">
        <v>26.4</v>
      </c>
      <c r="Z1629" s="143"/>
      <c r="AA1629" s="68">
        <v>3.76</v>
      </c>
      <c r="AB1629" s="68">
        <v>0.44800000000000001</v>
      </c>
      <c r="AC1629" s="69">
        <v>8.8000000000000007</v>
      </c>
      <c r="AD1629" s="274">
        <v>440</v>
      </c>
      <c r="AE1629" s="274">
        <v>120</v>
      </c>
      <c r="AF1629" s="270">
        <v>440</v>
      </c>
      <c r="AG1629" s="66">
        <f t="shared" si="67"/>
        <v>110.89318181818182</v>
      </c>
      <c r="AH1629" s="143">
        <f t="shared" si="68"/>
        <v>1000</v>
      </c>
    </row>
    <row r="1630" spans="1:34" s="275" customFormat="1" x14ac:dyDescent="0.3">
      <c r="A1630" s="122">
        <v>903654</v>
      </c>
      <c r="B1630" s="270">
        <v>59.666666666666657</v>
      </c>
      <c r="C1630" s="270">
        <v>13.375</v>
      </c>
      <c r="D1630" s="271">
        <v>8.6571428571428566</v>
      </c>
      <c r="E1630" s="1540">
        <v>0.122</v>
      </c>
      <c r="F1630" s="273">
        <v>44.65</v>
      </c>
      <c r="G1630" s="273"/>
      <c r="H1630" s="270">
        <v>2.08</v>
      </c>
      <c r="I1630" s="273">
        <v>190</v>
      </c>
      <c r="J1630" s="272">
        <v>5.7000000000000002E-2</v>
      </c>
      <c r="K1630" s="270">
        <v>8.2799999999999994</v>
      </c>
      <c r="L1630" s="274">
        <v>270</v>
      </c>
      <c r="M1630" s="274">
        <v>0.11</v>
      </c>
      <c r="N1630" s="274">
        <v>0.17</v>
      </c>
      <c r="O1630" s="274">
        <v>0.26</v>
      </c>
      <c r="P1630" s="274">
        <v>0.84</v>
      </c>
      <c r="Q1630" s="272"/>
      <c r="R1630" s="271">
        <v>0.58307380420089616</v>
      </c>
      <c r="S1630" s="274">
        <v>4</v>
      </c>
      <c r="T1630" s="274"/>
      <c r="U1630" s="274"/>
      <c r="V1630" s="274"/>
      <c r="W1630" s="274"/>
      <c r="X1630" s="274"/>
      <c r="Y1630" s="67">
        <v>27</v>
      </c>
      <c r="Z1630" s="143"/>
      <c r="AA1630" s="68">
        <v>4.5</v>
      </c>
      <c r="AB1630" s="68">
        <v>0.80200000000000005</v>
      </c>
      <c r="AC1630" s="69">
        <v>11.4</v>
      </c>
      <c r="AD1630" s="274">
        <v>450</v>
      </c>
      <c r="AE1630" s="274">
        <v>90</v>
      </c>
      <c r="AF1630" s="270">
        <v>460</v>
      </c>
      <c r="AG1630" s="66">
        <f t="shared" si="67"/>
        <v>108.56</v>
      </c>
      <c r="AH1630" s="143">
        <f t="shared" si="68"/>
        <v>1000</v>
      </c>
    </row>
    <row r="1631" spans="1:34" s="304" customFormat="1" x14ac:dyDescent="0.3">
      <c r="A1631" s="294">
        <v>903685</v>
      </c>
      <c r="B1631" s="295">
        <v>1.28</v>
      </c>
      <c r="C1631" s="295"/>
      <c r="D1631" s="296">
        <v>7.9428571400000001</v>
      </c>
      <c r="E1631" s="1541">
        <v>0.112</v>
      </c>
      <c r="F1631" s="298">
        <v>55.6</v>
      </c>
      <c r="G1631" s="298"/>
      <c r="H1631" s="298">
        <v>52</v>
      </c>
      <c r="I1631" s="298">
        <v>770</v>
      </c>
      <c r="J1631" s="297">
        <v>2.9399999999999999E-2</v>
      </c>
      <c r="K1631" s="295">
        <v>7.49</v>
      </c>
      <c r="L1631" s="299">
        <v>550</v>
      </c>
      <c r="M1631" s="299">
        <v>10.58</v>
      </c>
      <c r="N1631" s="299">
        <v>2.0699999999999998</v>
      </c>
      <c r="O1631" s="299">
        <v>4.0199999999999996</v>
      </c>
      <c r="P1631" s="299">
        <v>25.84</v>
      </c>
      <c r="Q1631" s="297"/>
      <c r="R1631" s="296">
        <v>1.9849880000000002</v>
      </c>
      <c r="S1631" s="298">
        <v>23.6</v>
      </c>
      <c r="T1631" s="299"/>
      <c r="U1631" s="299"/>
      <c r="V1631" s="299"/>
      <c r="W1631" s="299"/>
      <c r="X1631" s="299"/>
      <c r="Y1631" s="300">
        <v>20.8</v>
      </c>
      <c r="Z1631" s="301"/>
      <c r="AA1631" s="302">
        <v>4.3</v>
      </c>
      <c r="AB1631" s="302">
        <v>0.25900000000000001</v>
      </c>
      <c r="AC1631" s="303">
        <v>10.9</v>
      </c>
      <c r="AD1631" s="299">
        <v>640</v>
      </c>
      <c r="AE1631" s="299">
        <v>260</v>
      </c>
      <c r="AF1631" s="295">
        <v>100</v>
      </c>
      <c r="AG1631" s="66">
        <f t="shared" si="67"/>
        <v>127.47403846153846</v>
      </c>
      <c r="AH1631" s="143">
        <f t="shared" si="68"/>
        <v>1000</v>
      </c>
    </row>
    <row r="1632" spans="1:34" s="293" customFormat="1" x14ac:dyDescent="0.3">
      <c r="A1632" s="111">
        <v>903659</v>
      </c>
      <c r="B1632" s="286">
        <v>27.499999999999996</v>
      </c>
      <c r="C1632" s="286">
        <v>7.3749999999999982</v>
      </c>
      <c r="D1632" s="287">
        <v>8.6571428571428566</v>
      </c>
      <c r="E1632" s="1542">
        <v>0.11</v>
      </c>
      <c r="F1632" s="289">
        <v>56.449999999999996</v>
      </c>
      <c r="G1632" s="289"/>
      <c r="H1632" s="289">
        <v>60.29</v>
      </c>
      <c r="I1632" s="289">
        <v>200</v>
      </c>
      <c r="J1632" s="288">
        <v>0.01</v>
      </c>
      <c r="K1632" s="286">
        <v>8.06</v>
      </c>
      <c r="L1632" s="290">
        <v>160</v>
      </c>
      <c r="M1632" s="290">
        <v>0.49</v>
      </c>
      <c r="N1632" s="290">
        <v>0.3</v>
      </c>
      <c r="O1632" s="290">
        <v>1.37</v>
      </c>
      <c r="P1632" s="290">
        <v>1.19</v>
      </c>
      <c r="Q1632" s="288"/>
      <c r="R1632" s="287">
        <v>1.8134308800000001</v>
      </c>
      <c r="S1632" s="289">
        <v>17.04</v>
      </c>
      <c r="T1632" s="290"/>
      <c r="U1632" s="290"/>
      <c r="V1632" s="290"/>
      <c r="W1632" s="290"/>
      <c r="X1632" s="290"/>
      <c r="Y1632" s="291">
        <v>18</v>
      </c>
      <c r="Z1632" s="292"/>
      <c r="AA1632" s="109">
        <v>3.97</v>
      </c>
      <c r="AB1632" s="109">
        <v>0.25</v>
      </c>
      <c r="AC1632" s="110">
        <v>9.1</v>
      </c>
      <c r="AD1632" s="290">
        <v>360</v>
      </c>
      <c r="AE1632" s="290">
        <v>100</v>
      </c>
      <c r="AF1632" s="286">
        <v>540</v>
      </c>
      <c r="AG1632" s="66">
        <f t="shared" si="67"/>
        <v>158.51333333333335</v>
      </c>
      <c r="AH1632" s="143">
        <f t="shared" si="68"/>
        <v>1000</v>
      </c>
    </row>
    <row r="1633" spans="1:34" s="293" customFormat="1" x14ac:dyDescent="0.3">
      <c r="A1633" s="111">
        <v>903658</v>
      </c>
      <c r="B1633" s="286">
        <v>27.999999999999996</v>
      </c>
      <c r="C1633" s="286">
        <v>6.4999999999999991</v>
      </c>
      <c r="D1633" s="287">
        <v>8.7047619047619058</v>
      </c>
      <c r="E1633" s="1542">
        <v>0.112</v>
      </c>
      <c r="F1633" s="289">
        <v>56.150000000000006</v>
      </c>
      <c r="G1633" s="289"/>
      <c r="H1633" s="289">
        <v>59.68</v>
      </c>
      <c r="I1633" s="289">
        <v>190</v>
      </c>
      <c r="J1633" s="288">
        <v>1.4999999999999999E-2</v>
      </c>
      <c r="K1633" s="286">
        <v>7.97</v>
      </c>
      <c r="L1633" s="290">
        <v>200</v>
      </c>
      <c r="M1633" s="290">
        <v>0.26</v>
      </c>
      <c r="N1633" s="290">
        <v>0.26</v>
      </c>
      <c r="O1633" s="290">
        <v>0.76</v>
      </c>
      <c r="P1633" s="290">
        <v>1.04</v>
      </c>
      <c r="Q1633" s="288"/>
      <c r="R1633" s="287">
        <v>1.6444730000000001</v>
      </c>
      <c r="S1633" s="289">
        <v>12.1</v>
      </c>
      <c r="T1633" s="290"/>
      <c r="U1633" s="290"/>
      <c r="V1633" s="290"/>
      <c r="W1633" s="290"/>
      <c r="X1633" s="290"/>
      <c r="Y1633" s="291">
        <v>21</v>
      </c>
      <c r="Z1633" s="292"/>
      <c r="AA1633" s="109">
        <v>3.53</v>
      </c>
      <c r="AB1633" s="109">
        <v>0.628</v>
      </c>
      <c r="AC1633" s="110">
        <v>11.1</v>
      </c>
      <c r="AD1633" s="290">
        <v>350</v>
      </c>
      <c r="AE1633" s="290">
        <v>110</v>
      </c>
      <c r="AF1633" s="286">
        <v>540</v>
      </c>
      <c r="AG1633" s="66">
        <f t="shared" si="67"/>
        <v>134.35142857142858</v>
      </c>
      <c r="AH1633" s="143">
        <f t="shared" si="68"/>
        <v>1000</v>
      </c>
    </row>
    <row r="1634" spans="1:34" s="293" customFormat="1" x14ac:dyDescent="0.3">
      <c r="A1634" s="111">
        <v>903657</v>
      </c>
      <c r="B1634" s="286">
        <v>29.333333333333332</v>
      </c>
      <c r="C1634" s="286">
        <v>6.7499999999999982</v>
      </c>
      <c r="D1634" s="287">
        <v>8.7333333333333325</v>
      </c>
      <c r="E1634" s="1542">
        <v>0.107</v>
      </c>
      <c r="F1634" s="289">
        <v>51.3</v>
      </c>
      <c r="G1634" s="289"/>
      <c r="H1634" s="289">
        <v>67.2</v>
      </c>
      <c r="I1634" s="289">
        <v>170</v>
      </c>
      <c r="J1634" s="288">
        <v>1.7000000000000001E-2</v>
      </c>
      <c r="K1634" s="286">
        <v>8.18</v>
      </c>
      <c r="L1634" s="290">
        <v>190</v>
      </c>
      <c r="M1634" s="290">
        <v>0.13</v>
      </c>
      <c r="N1634" s="290">
        <v>0.25</v>
      </c>
      <c r="O1634" s="290">
        <v>0.47</v>
      </c>
      <c r="P1634" s="290">
        <v>1.51</v>
      </c>
      <c r="Q1634" s="288"/>
      <c r="R1634" s="287">
        <v>1.8588305700000001</v>
      </c>
      <c r="S1634" s="289">
        <v>18.57</v>
      </c>
      <c r="T1634" s="290"/>
      <c r="U1634" s="290"/>
      <c r="V1634" s="290"/>
      <c r="W1634" s="290"/>
      <c r="X1634" s="290"/>
      <c r="Y1634" s="291">
        <v>24.5</v>
      </c>
      <c r="Z1634" s="292"/>
      <c r="AA1634" s="109">
        <v>4.1500000000000004</v>
      </c>
      <c r="AB1634" s="109">
        <v>0.35399999999999998</v>
      </c>
      <c r="AC1634" s="110">
        <v>9.9</v>
      </c>
      <c r="AD1634" s="290">
        <v>350</v>
      </c>
      <c r="AE1634" s="290">
        <v>100</v>
      </c>
      <c r="AF1634" s="286">
        <v>550</v>
      </c>
      <c r="AG1634" s="66">
        <f t="shared" si="67"/>
        <v>118.1926530612245</v>
      </c>
      <c r="AH1634" s="143">
        <f t="shared" si="68"/>
        <v>1000</v>
      </c>
    </row>
    <row r="1635" spans="1:34" s="293" customFormat="1" x14ac:dyDescent="0.3">
      <c r="A1635" s="111">
        <v>903655</v>
      </c>
      <c r="B1635" s="286">
        <v>33.833333333333329</v>
      </c>
      <c r="C1635" s="286">
        <v>5.625</v>
      </c>
      <c r="D1635" s="287">
        <v>8.6190476190476186</v>
      </c>
      <c r="E1635" s="1542">
        <v>0.19700000000000001</v>
      </c>
      <c r="F1635" s="289">
        <v>94.7</v>
      </c>
      <c r="G1635" s="289"/>
      <c r="H1635" s="289">
        <v>55.6</v>
      </c>
      <c r="I1635" s="289">
        <v>190</v>
      </c>
      <c r="J1635" s="288">
        <v>5.6000000000000001E-2</v>
      </c>
      <c r="K1635" s="286">
        <v>8.02</v>
      </c>
      <c r="L1635" s="290">
        <v>240</v>
      </c>
      <c r="M1635" s="290">
        <v>0.56999999999999995</v>
      </c>
      <c r="N1635" s="290">
        <v>0.12</v>
      </c>
      <c r="O1635" s="290">
        <v>0.67</v>
      </c>
      <c r="P1635" s="290">
        <v>0.77</v>
      </c>
      <c r="Q1635" s="288"/>
      <c r="R1635" s="287">
        <v>1.6486071300000003</v>
      </c>
      <c r="S1635" s="289">
        <v>12.21</v>
      </c>
      <c r="T1635" s="290"/>
      <c r="U1635" s="290"/>
      <c r="V1635" s="290"/>
      <c r="W1635" s="290"/>
      <c r="X1635" s="290"/>
      <c r="Y1635" s="291">
        <v>21.6</v>
      </c>
      <c r="Z1635" s="292"/>
      <c r="AA1635" s="109">
        <v>3.95</v>
      </c>
      <c r="AB1635" s="109">
        <v>0.61199999999999999</v>
      </c>
      <c r="AC1635" s="110">
        <v>11.2</v>
      </c>
      <c r="AD1635" s="290">
        <v>360</v>
      </c>
      <c r="AE1635" s="290">
        <v>100</v>
      </c>
      <c r="AF1635" s="286">
        <v>540</v>
      </c>
      <c r="AG1635" s="66">
        <f t="shared" si="67"/>
        <v>131.43888888888887</v>
      </c>
      <c r="AH1635" s="143">
        <f t="shared" si="68"/>
        <v>1000</v>
      </c>
    </row>
    <row r="1636" spans="1:34" s="293" customFormat="1" x14ac:dyDescent="0.3">
      <c r="A1636" s="111">
        <v>903656</v>
      </c>
      <c r="B1636" s="286">
        <v>35.833333333333336</v>
      </c>
      <c r="C1636" s="286">
        <v>5.8749999999999991</v>
      </c>
      <c r="D1636" s="287">
        <v>8.7047619047619058</v>
      </c>
      <c r="E1636" s="1542">
        <v>0.19500000000000001</v>
      </c>
      <c r="F1636" s="289">
        <v>56.8</v>
      </c>
      <c r="G1636" s="289"/>
      <c r="H1636" s="289">
        <v>60.8</v>
      </c>
      <c r="I1636" s="289">
        <v>190</v>
      </c>
      <c r="J1636" s="288">
        <v>5.0999999999999997E-2</v>
      </c>
      <c r="K1636" s="286">
        <v>7.99</v>
      </c>
      <c r="L1636" s="290">
        <v>250</v>
      </c>
      <c r="M1636" s="290">
        <v>0.32</v>
      </c>
      <c r="N1636" s="290">
        <v>0.11</v>
      </c>
      <c r="O1636" s="290">
        <v>0.56000000000000005</v>
      </c>
      <c r="P1636" s="290">
        <v>0.89</v>
      </c>
      <c r="Q1636" s="288"/>
      <c r="R1636" s="287">
        <v>1.8158859200000002</v>
      </c>
      <c r="S1636" s="289">
        <v>17.12</v>
      </c>
      <c r="T1636" s="290"/>
      <c r="U1636" s="290"/>
      <c r="V1636" s="290"/>
      <c r="W1636" s="290"/>
      <c r="X1636" s="290"/>
      <c r="Y1636" s="291">
        <v>22.8</v>
      </c>
      <c r="Z1636" s="292"/>
      <c r="AA1636" s="109">
        <v>4.7300000000000004</v>
      </c>
      <c r="AB1636" s="109">
        <v>0.41799999999999998</v>
      </c>
      <c r="AC1636" s="110">
        <v>11.9</v>
      </c>
      <c r="AD1636" s="290">
        <v>380</v>
      </c>
      <c r="AE1636" s="290">
        <v>100</v>
      </c>
      <c r="AF1636" s="286">
        <v>520</v>
      </c>
      <c r="AG1636" s="66">
        <f t="shared" si="67"/>
        <v>124.05526315789473</v>
      </c>
      <c r="AH1636" s="143">
        <f t="shared" si="68"/>
        <v>1000</v>
      </c>
    </row>
    <row r="1637" spans="1:34" s="293" customFormat="1" x14ac:dyDescent="0.3">
      <c r="A1637" s="111">
        <v>903614</v>
      </c>
      <c r="B1637" s="286">
        <v>16.666666666666664</v>
      </c>
      <c r="C1637" s="286">
        <v>5.125</v>
      </c>
      <c r="D1637" s="287">
        <v>8.5904761904761902</v>
      </c>
      <c r="E1637" s="1542">
        <v>0.14799999999999999</v>
      </c>
      <c r="F1637" s="289">
        <v>53.099999999999994</v>
      </c>
      <c r="G1637" s="289"/>
      <c r="H1637" s="289">
        <v>62.14</v>
      </c>
      <c r="I1637" s="289">
        <v>300</v>
      </c>
      <c r="J1637" s="288">
        <v>3.4000000000000002E-2</v>
      </c>
      <c r="K1637" s="286">
        <v>8.41</v>
      </c>
      <c r="L1637" s="290">
        <v>270</v>
      </c>
      <c r="M1637" s="290">
        <v>0.3</v>
      </c>
      <c r="N1637" s="290">
        <v>0.5</v>
      </c>
      <c r="O1637" s="290">
        <v>0.49</v>
      </c>
      <c r="P1637" s="290">
        <v>1.67</v>
      </c>
      <c r="Q1637" s="288"/>
      <c r="R1637" s="287">
        <v>1.6575682500000002</v>
      </c>
      <c r="S1637" s="289">
        <v>12.45</v>
      </c>
      <c r="T1637" s="290"/>
      <c r="U1637" s="290"/>
      <c r="V1637" s="290"/>
      <c r="W1637" s="290"/>
      <c r="X1637" s="290"/>
      <c r="Y1637" s="291">
        <v>25.2</v>
      </c>
      <c r="Z1637" s="292"/>
      <c r="AA1637" s="109">
        <v>3.6</v>
      </c>
      <c r="AB1637" s="109">
        <v>0.378</v>
      </c>
      <c r="AC1637" s="110">
        <v>8.6</v>
      </c>
      <c r="AD1637" s="290">
        <v>360</v>
      </c>
      <c r="AE1637" s="290">
        <v>140</v>
      </c>
      <c r="AF1637" s="286">
        <v>500</v>
      </c>
      <c r="AG1637" s="66">
        <f t="shared" si="67"/>
        <v>118.14047619047619</v>
      </c>
      <c r="AH1637" s="143">
        <f t="shared" si="68"/>
        <v>1000</v>
      </c>
    </row>
    <row r="1638" spans="1:34" s="293" customFormat="1" x14ac:dyDescent="0.3">
      <c r="A1638" s="111">
        <v>903687</v>
      </c>
      <c r="B1638" s="286">
        <v>21.666666666666664</v>
      </c>
      <c r="C1638" s="286">
        <v>1.25</v>
      </c>
      <c r="D1638" s="287">
        <v>8.8699999999999992</v>
      </c>
      <c r="E1638" s="1542">
        <v>0.14499999999999999</v>
      </c>
      <c r="F1638" s="289">
        <v>23.6</v>
      </c>
      <c r="G1638" s="289"/>
      <c r="H1638" s="289">
        <v>22.6</v>
      </c>
      <c r="I1638" s="289">
        <v>80</v>
      </c>
      <c r="J1638" s="288">
        <v>9.0999999999999998E-2</v>
      </c>
      <c r="K1638" s="286">
        <v>1.6</v>
      </c>
      <c r="L1638" s="290">
        <v>170</v>
      </c>
      <c r="M1638" s="290">
        <v>0.61</v>
      </c>
      <c r="N1638" s="290">
        <v>0.55000000000000004</v>
      </c>
      <c r="O1638" s="290">
        <v>2.5499999999999998</v>
      </c>
      <c r="P1638" s="290">
        <v>1.1100000000000001</v>
      </c>
      <c r="Q1638" s="288"/>
      <c r="R1638" s="287">
        <v>0.40931967205671194</v>
      </c>
      <c r="S1638" s="289">
        <v>3</v>
      </c>
      <c r="T1638" s="290"/>
      <c r="U1638" s="290"/>
      <c r="V1638" s="290"/>
      <c r="W1638" s="290"/>
      <c r="X1638" s="290"/>
      <c r="Y1638" s="291">
        <v>3.5</v>
      </c>
      <c r="Z1638" s="292"/>
      <c r="AA1638" s="109"/>
      <c r="AB1638" s="109"/>
      <c r="AC1638" s="110"/>
      <c r="AD1638" s="290">
        <v>60</v>
      </c>
      <c r="AE1638" s="290">
        <v>60</v>
      </c>
      <c r="AF1638" s="286">
        <v>880</v>
      </c>
      <c r="AG1638" s="66">
        <f t="shared" si="67"/>
        <v>161.82857142857145</v>
      </c>
      <c r="AH1638" s="143">
        <f t="shared" si="68"/>
        <v>1000</v>
      </c>
    </row>
    <row r="1639" spans="1:34" x14ac:dyDescent="0.3">
      <c r="A1639" s="140">
        <v>903611</v>
      </c>
      <c r="B1639" s="138">
        <v>42.3</v>
      </c>
      <c r="C1639" s="138">
        <v>8.8829999999999991</v>
      </c>
      <c r="D1639" s="152">
        <v>8.1523809523809518</v>
      </c>
      <c r="E1639" s="752">
        <v>1.06</v>
      </c>
      <c r="F1639" s="140">
        <v>759.7</v>
      </c>
      <c r="G1639" s="139"/>
      <c r="H1639" s="142">
        <v>25.16</v>
      </c>
      <c r="I1639" s="142">
        <v>270</v>
      </c>
      <c r="J1639" s="141">
        <v>1.2</v>
      </c>
      <c r="K1639" s="138">
        <v>8.34</v>
      </c>
      <c r="L1639" s="140">
        <v>1240</v>
      </c>
      <c r="M1639" s="140">
        <v>0.3</v>
      </c>
      <c r="N1639" s="140">
        <v>0.64</v>
      </c>
      <c r="O1639" s="140">
        <v>1.78</v>
      </c>
      <c r="P1639" s="140">
        <v>3.81</v>
      </c>
      <c r="Q1639" s="141"/>
      <c r="R1639" s="139">
        <v>0.63463196842763825</v>
      </c>
      <c r="S1639" s="140">
        <v>4.2</v>
      </c>
      <c r="Y1639" s="67">
        <v>28</v>
      </c>
      <c r="Z1639" s="143"/>
      <c r="AA1639" s="68">
        <v>4.0999999999999996</v>
      </c>
      <c r="AB1639" s="68">
        <v>0.82199999999999995</v>
      </c>
      <c r="AC1639" s="69">
        <v>10.8</v>
      </c>
      <c r="AD1639" s="140">
        <v>560</v>
      </c>
      <c r="AE1639" s="140">
        <v>340</v>
      </c>
      <c r="AF1639" s="138">
        <v>100</v>
      </c>
      <c r="AG1639" s="66">
        <f t="shared" si="67"/>
        <v>105.44142857142856</v>
      </c>
      <c r="AH1639" s="143">
        <f t="shared" si="68"/>
        <v>1000</v>
      </c>
    </row>
    <row r="1640" spans="1:34" x14ac:dyDescent="0.3">
      <c r="A1640" s="140">
        <v>903612</v>
      </c>
      <c r="B1640" s="138">
        <v>34.200000000000003</v>
      </c>
      <c r="C1640" s="138">
        <v>7.1820000000000004</v>
      </c>
      <c r="D1640" s="152">
        <v>8.2571428571428562</v>
      </c>
      <c r="E1640" s="752">
        <v>1.02</v>
      </c>
      <c r="F1640" s="140">
        <v>776.5</v>
      </c>
      <c r="G1640" s="139"/>
      <c r="H1640" s="142">
        <v>21.14</v>
      </c>
      <c r="I1640" s="142">
        <v>300</v>
      </c>
      <c r="J1640" s="141">
        <v>1.19</v>
      </c>
      <c r="K1640" s="138">
        <v>8</v>
      </c>
      <c r="L1640" s="140">
        <v>1140</v>
      </c>
      <c r="M1640" s="140">
        <v>0.38</v>
      </c>
      <c r="N1640" s="140">
        <v>0.87</v>
      </c>
      <c r="O1640" s="140">
        <v>1.76</v>
      </c>
      <c r="P1640" s="140">
        <v>4.4800000000000004</v>
      </c>
      <c r="Q1640" s="141"/>
      <c r="R1640" s="139">
        <v>0.62073286358168545</v>
      </c>
      <c r="S1640" s="140">
        <v>4.5999999999999996</v>
      </c>
      <c r="Y1640" s="67">
        <v>32.299999999999997</v>
      </c>
      <c r="Z1640" s="143"/>
      <c r="AA1640" s="68">
        <v>4.72</v>
      </c>
      <c r="AB1640" s="68">
        <v>0.32500000000000001</v>
      </c>
      <c r="AC1640" s="69">
        <v>8.8000000000000007</v>
      </c>
      <c r="AD1640" s="140">
        <v>580</v>
      </c>
      <c r="AE1640" s="140">
        <v>340</v>
      </c>
      <c r="AF1640" s="138">
        <v>80</v>
      </c>
      <c r="AG1640" s="66">
        <f t="shared" si="67"/>
        <v>87.678018575851397</v>
      </c>
      <c r="AH1640" s="143">
        <f t="shared" si="68"/>
        <v>1000</v>
      </c>
    </row>
    <row r="1641" spans="1:34" x14ac:dyDescent="0.3">
      <c r="A1641" s="140">
        <v>903613</v>
      </c>
      <c r="B1641" s="138">
        <v>30.8</v>
      </c>
      <c r="C1641" s="138">
        <v>6.468</v>
      </c>
      <c r="D1641" s="152">
        <v>8.3904761904761909</v>
      </c>
      <c r="E1641" s="752">
        <v>1.05</v>
      </c>
      <c r="F1641" s="140">
        <v>833.2</v>
      </c>
      <c r="G1641" s="139"/>
      <c r="H1641" s="142">
        <v>83.91</v>
      </c>
      <c r="I1641" s="142">
        <v>460</v>
      </c>
      <c r="J1641" s="141">
        <v>1.23</v>
      </c>
      <c r="K1641" s="138">
        <v>7.76</v>
      </c>
      <c r="L1641" s="140">
        <v>1150</v>
      </c>
      <c r="M1641" s="140">
        <v>0.52</v>
      </c>
      <c r="N1641" s="140">
        <v>0.91</v>
      </c>
      <c r="O1641" s="140">
        <v>1.82</v>
      </c>
      <c r="P1641" s="140">
        <v>4.28</v>
      </c>
      <c r="Q1641" s="141"/>
      <c r="R1641" s="139">
        <v>0.68182551165400951</v>
      </c>
      <c r="S1641" s="140">
        <v>5.0999999999999996</v>
      </c>
      <c r="Y1641" s="67">
        <v>32</v>
      </c>
      <c r="Z1641" s="143"/>
      <c r="AA1641" s="68">
        <v>4.54</v>
      </c>
      <c r="AB1641" s="68">
        <v>0.79400000000000004</v>
      </c>
      <c r="AC1641" s="69">
        <v>8.6999999999999993</v>
      </c>
      <c r="AD1641" s="140">
        <v>560</v>
      </c>
      <c r="AE1641" s="140">
        <v>360</v>
      </c>
      <c r="AF1641" s="138">
        <v>80</v>
      </c>
      <c r="AG1641" s="66">
        <f t="shared" si="67"/>
        <v>85.844999999999999</v>
      </c>
      <c r="AH1641" s="143">
        <f t="shared" si="68"/>
        <v>1000</v>
      </c>
    </row>
    <row r="1642" spans="1:34" x14ac:dyDescent="0.3">
      <c r="A1642" s="140">
        <v>903660</v>
      </c>
      <c r="B1642" s="138">
        <v>4.3</v>
      </c>
      <c r="D1642" s="152">
        <v>7.9619047619047612</v>
      </c>
      <c r="E1642" s="752">
        <v>0.14899999999999999</v>
      </c>
      <c r="F1642" s="140">
        <v>29.7</v>
      </c>
      <c r="G1642" s="139"/>
      <c r="H1642" s="142">
        <v>34.79</v>
      </c>
      <c r="I1642" s="142">
        <v>250</v>
      </c>
      <c r="J1642" s="141">
        <v>0.08</v>
      </c>
      <c r="K1642" s="138">
        <v>7.21</v>
      </c>
      <c r="L1642" s="140">
        <v>1010</v>
      </c>
      <c r="M1642" s="140">
        <v>0.75</v>
      </c>
      <c r="N1642" s="140">
        <v>0.96</v>
      </c>
      <c r="O1642" s="140">
        <v>3.55</v>
      </c>
      <c r="P1642" s="140">
        <v>3.98</v>
      </c>
      <c r="Q1642" s="141"/>
      <c r="R1642" s="139">
        <v>1.651977</v>
      </c>
      <c r="S1642" s="140">
        <v>12.3</v>
      </c>
      <c r="Y1642" s="67">
        <v>30</v>
      </c>
      <c r="Z1642" s="143"/>
      <c r="AA1642" s="68">
        <v>3.51</v>
      </c>
      <c r="AB1642" s="68">
        <v>0.55500000000000005</v>
      </c>
      <c r="AC1642" s="69">
        <v>8.4</v>
      </c>
      <c r="AD1642" s="140">
        <v>500</v>
      </c>
      <c r="AE1642" s="140">
        <v>380</v>
      </c>
      <c r="AF1642" s="138">
        <v>120</v>
      </c>
      <c r="AG1642" s="66">
        <f t="shared" si="67"/>
        <v>85.077999999999989</v>
      </c>
      <c r="AH1642" s="143">
        <f t="shared" si="68"/>
        <v>1000</v>
      </c>
    </row>
    <row r="1643" spans="1:34" x14ac:dyDescent="0.3">
      <c r="A1643" s="140">
        <v>903661</v>
      </c>
      <c r="B1643" s="138">
        <v>12.5</v>
      </c>
      <c r="C1643" s="138">
        <v>2.625</v>
      </c>
      <c r="D1643" s="152">
        <v>8.0666666666666664</v>
      </c>
      <c r="E1643" s="752">
        <v>0.16300000000000001</v>
      </c>
      <c r="F1643" s="140">
        <v>39.9</v>
      </c>
      <c r="G1643" s="139"/>
      <c r="H1643" s="142">
        <v>22.35</v>
      </c>
      <c r="I1643" s="142">
        <v>200</v>
      </c>
      <c r="J1643" s="141">
        <v>0.08</v>
      </c>
      <c r="K1643" s="138">
        <v>7.55</v>
      </c>
      <c r="L1643" s="140">
        <v>910</v>
      </c>
      <c r="M1643" s="140">
        <v>0.47</v>
      </c>
      <c r="N1643" s="140">
        <v>0.84</v>
      </c>
      <c r="O1643" s="140">
        <v>2.33</v>
      </c>
      <c r="P1643" s="140">
        <v>4.13</v>
      </c>
      <c r="Q1643" s="141"/>
      <c r="R1643" s="139">
        <v>1.5824250000000002</v>
      </c>
      <c r="S1643" s="140">
        <v>10.5</v>
      </c>
      <c r="Y1643" s="67">
        <v>25</v>
      </c>
      <c r="Z1643" s="143"/>
      <c r="AA1643" s="68">
        <v>4.18</v>
      </c>
      <c r="AB1643" s="68">
        <v>0.41</v>
      </c>
      <c r="AC1643" s="69">
        <v>6.6</v>
      </c>
      <c r="AD1643" s="140">
        <v>500</v>
      </c>
      <c r="AE1643" s="140">
        <v>390</v>
      </c>
      <c r="AF1643" s="138">
        <v>110</v>
      </c>
      <c r="AG1643" s="66">
        <f t="shared" si="67"/>
        <v>106.90799999999999</v>
      </c>
      <c r="AH1643" s="143">
        <f t="shared" si="68"/>
        <v>1000</v>
      </c>
    </row>
    <row r="1644" spans="1:34" x14ac:dyDescent="0.3">
      <c r="A1644" s="140">
        <v>903662</v>
      </c>
      <c r="B1644" s="138">
        <v>10.199999999999999</v>
      </c>
      <c r="C1644" s="138">
        <v>2.1419999999999999</v>
      </c>
      <c r="D1644" s="152">
        <v>8.0285714285714285</v>
      </c>
      <c r="E1644" s="752">
        <v>0.153</v>
      </c>
      <c r="F1644" s="140">
        <v>40.700000000000003</v>
      </c>
      <c r="G1644" s="139"/>
      <c r="H1644" s="142">
        <v>58.82</v>
      </c>
      <c r="I1644" s="142">
        <v>250</v>
      </c>
      <c r="J1644" s="141">
        <v>0.05</v>
      </c>
      <c r="K1644" s="138">
        <v>10.83</v>
      </c>
      <c r="L1644" s="140">
        <v>490</v>
      </c>
      <c r="M1644" s="140">
        <v>0.51</v>
      </c>
      <c r="N1644" s="140">
        <v>0.8</v>
      </c>
      <c r="O1644" s="140">
        <v>2.67</v>
      </c>
      <c r="P1644" s="140">
        <v>3.51</v>
      </c>
      <c r="Q1644" s="141"/>
      <c r="R1644" s="139">
        <v>1.6482320000000001</v>
      </c>
      <c r="S1644" s="140">
        <v>12.2</v>
      </c>
      <c r="Y1644" s="67">
        <v>33.6</v>
      </c>
      <c r="Z1644" s="143"/>
      <c r="AA1644" s="68">
        <v>4.32</v>
      </c>
      <c r="AB1644" s="68">
        <v>0.84399999999999997</v>
      </c>
      <c r="AC1644" s="69">
        <v>7.8</v>
      </c>
      <c r="AD1644" s="140">
        <v>480</v>
      </c>
      <c r="AE1644" s="140">
        <v>400</v>
      </c>
      <c r="AF1644" s="138">
        <v>120</v>
      </c>
      <c r="AG1644" s="66">
        <f t="shared" si="67"/>
        <v>114.10178571428571</v>
      </c>
      <c r="AH1644" s="143">
        <f t="shared" si="68"/>
        <v>1000</v>
      </c>
    </row>
    <row r="1645" spans="1:34" x14ac:dyDescent="0.3">
      <c r="A1645" s="140">
        <v>903663</v>
      </c>
      <c r="B1645" s="138">
        <v>17.899999999999999</v>
      </c>
      <c r="C1645" s="138">
        <v>3.7589999999999995</v>
      </c>
      <c r="D1645" s="152">
        <v>7.980952380952381</v>
      </c>
      <c r="E1645" s="752">
        <v>0.17299999999999999</v>
      </c>
      <c r="F1645" s="140">
        <v>77.599999999999994</v>
      </c>
      <c r="G1645" s="139"/>
      <c r="H1645" s="142">
        <v>37.14</v>
      </c>
      <c r="I1645" s="142">
        <v>210</v>
      </c>
      <c r="J1645" s="141">
        <v>0.08</v>
      </c>
      <c r="K1645" s="138">
        <v>11.07</v>
      </c>
      <c r="L1645" s="140">
        <v>530</v>
      </c>
      <c r="M1645" s="140">
        <v>0.35</v>
      </c>
      <c r="N1645" s="140">
        <v>0.71</v>
      </c>
      <c r="O1645" s="140">
        <v>1.83</v>
      </c>
      <c r="P1645" s="140">
        <v>2.7</v>
      </c>
      <c r="Q1645" s="141"/>
      <c r="R1645" s="139">
        <v>1.3011840459787918</v>
      </c>
      <c r="S1645" s="140">
        <v>9.6</v>
      </c>
      <c r="Y1645" s="67">
        <v>37.799999999999997</v>
      </c>
      <c r="Z1645" s="143"/>
      <c r="AA1645" s="68">
        <v>4.26</v>
      </c>
      <c r="AB1645" s="68">
        <v>0.6</v>
      </c>
      <c r="AC1645" s="69">
        <v>7.9</v>
      </c>
      <c r="AD1645" s="140">
        <v>540</v>
      </c>
      <c r="AE1645" s="140">
        <v>280</v>
      </c>
      <c r="AF1645" s="138">
        <v>180</v>
      </c>
      <c r="AG1645" s="66">
        <f t="shared" si="67"/>
        <v>103.67142857142858</v>
      </c>
      <c r="AH1645" s="143">
        <f t="shared" si="68"/>
        <v>1000</v>
      </c>
    </row>
    <row r="1646" spans="1:34" x14ac:dyDescent="0.3">
      <c r="A1646" s="140">
        <v>903664</v>
      </c>
      <c r="B1646" s="138">
        <v>10.1</v>
      </c>
      <c r="C1646" s="138">
        <v>2.121</v>
      </c>
      <c r="D1646" s="152">
        <v>7.8952380952380938</v>
      </c>
      <c r="E1646" s="752">
        <v>0.17799999999999999</v>
      </c>
      <c r="F1646" s="140">
        <v>39.299999999999997</v>
      </c>
      <c r="G1646" s="139"/>
      <c r="H1646" s="142">
        <v>38.75</v>
      </c>
      <c r="I1646" s="142">
        <v>260</v>
      </c>
      <c r="J1646" s="141">
        <v>0.05</v>
      </c>
      <c r="K1646" s="138">
        <v>8.0299999999999994</v>
      </c>
      <c r="L1646" s="140">
        <v>540</v>
      </c>
      <c r="M1646" s="140">
        <v>0.65</v>
      </c>
      <c r="N1646" s="140">
        <v>0.76</v>
      </c>
      <c r="O1646" s="140">
        <v>2.54</v>
      </c>
      <c r="P1646" s="140">
        <v>3.43</v>
      </c>
      <c r="Q1646" s="141"/>
      <c r="R1646" s="139">
        <v>1.6631279999999999</v>
      </c>
      <c r="S1646" s="140">
        <v>12.6</v>
      </c>
      <c r="Y1646" s="67">
        <v>23.5</v>
      </c>
      <c r="Z1646" s="143"/>
      <c r="AA1646" s="68">
        <v>4.3600000000000003</v>
      </c>
      <c r="AB1646" s="68">
        <v>0.53100000000000003</v>
      </c>
      <c r="AC1646" s="69">
        <v>9.3000000000000007</v>
      </c>
      <c r="AD1646" s="140">
        <v>470</v>
      </c>
      <c r="AE1646" s="140">
        <v>400</v>
      </c>
      <c r="AF1646" s="138">
        <v>130</v>
      </c>
      <c r="AG1646" s="66">
        <f t="shared" si="67"/>
        <v>120.96255319148936</v>
      </c>
      <c r="AH1646" s="143">
        <f t="shared" si="68"/>
        <v>1000</v>
      </c>
    </row>
    <row r="1647" spans="1:34" x14ac:dyDescent="0.3">
      <c r="A1647" s="140">
        <v>903665</v>
      </c>
      <c r="B1647" s="138">
        <v>48.3</v>
      </c>
      <c r="C1647" s="138">
        <v>10.142999999999999</v>
      </c>
      <c r="D1647" s="152">
        <v>8.0761904761904759</v>
      </c>
      <c r="E1647" s="752">
        <v>0.17899999999999999</v>
      </c>
      <c r="F1647" s="140">
        <v>58.4</v>
      </c>
      <c r="G1647" s="139"/>
      <c r="H1647" s="142">
        <v>75.75</v>
      </c>
      <c r="I1647" s="142">
        <v>150</v>
      </c>
      <c r="J1647" s="141">
        <v>7.0000000000000007E-2</v>
      </c>
      <c r="K1647" s="138">
        <v>10.89</v>
      </c>
      <c r="L1647" s="140">
        <v>420</v>
      </c>
      <c r="M1647" s="140">
        <v>0.36</v>
      </c>
      <c r="N1647" s="140">
        <v>0.51</v>
      </c>
      <c r="O1647" s="140">
        <v>1.88</v>
      </c>
      <c r="P1647" s="140">
        <v>2.56</v>
      </c>
      <c r="Q1647" s="141"/>
      <c r="R1647" s="139">
        <v>0.77636857695584283</v>
      </c>
      <c r="S1647" s="140">
        <v>5.5</v>
      </c>
      <c r="Y1647" s="67">
        <v>29.4</v>
      </c>
      <c r="Z1647" s="143"/>
      <c r="AA1647" s="68">
        <v>3.7</v>
      </c>
      <c r="AB1647" s="68">
        <v>0.36</v>
      </c>
      <c r="AC1647" s="69">
        <v>8.9</v>
      </c>
      <c r="AD1647" s="140">
        <v>420</v>
      </c>
      <c r="AE1647" s="140">
        <v>320</v>
      </c>
      <c r="AF1647" s="138">
        <v>260</v>
      </c>
      <c r="AG1647" s="66">
        <f t="shared" si="67"/>
        <v>131.12448979591838</v>
      </c>
      <c r="AH1647" s="143">
        <f t="shared" si="68"/>
        <v>1000</v>
      </c>
    </row>
    <row r="1648" spans="1:34" x14ac:dyDescent="0.3">
      <c r="A1648" s="140">
        <v>903666</v>
      </c>
      <c r="B1648" s="138">
        <v>0.4</v>
      </c>
      <c r="D1648" s="152">
        <v>8.0571428571428569</v>
      </c>
      <c r="E1648" s="752">
        <v>0.105</v>
      </c>
      <c r="F1648" s="140">
        <v>38.799999999999997</v>
      </c>
      <c r="G1648" s="139"/>
      <c r="H1648" s="142">
        <v>52.36</v>
      </c>
      <c r="I1648" s="142">
        <v>440</v>
      </c>
      <c r="J1648" s="141">
        <v>0.15</v>
      </c>
      <c r="K1648" s="138">
        <v>7.39</v>
      </c>
      <c r="L1648" s="140">
        <v>1790</v>
      </c>
      <c r="M1648" s="140">
        <v>0.38</v>
      </c>
      <c r="N1648" s="140">
        <v>0.4</v>
      </c>
      <c r="O1648" s="140">
        <v>2.17</v>
      </c>
      <c r="P1648" s="140">
        <v>7.63</v>
      </c>
      <c r="Q1648" s="141"/>
      <c r="R1648" s="139">
        <v>1.0387122126545161</v>
      </c>
      <c r="S1648" s="140">
        <v>7</v>
      </c>
      <c r="Y1648" s="67">
        <v>27</v>
      </c>
      <c r="Z1648" s="143"/>
      <c r="AA1648" s="68">
        <v>3.87</v>
      </c>
      <c r="AB1648" s="68">
        <v>0.6</v>
      </c>
      <c r="AC1648" s="69">
        <v>6</v>
      </c>
      <c r="AD1648" s="140">
        <v>540</v>
      </c>
      <c r="AE1648" s="140">
        <v>320</v>
      </c>
      <c r="AF1648" s="138">
        <v>140</v>
      </c>
      <c r="AG1648" s="66">
        <f t="shared" si="67"/>
        <v>96.891111111111115</v>
      </c>
      <c r="AH1648" s="143">
        <f t="shared" si="68"/>
        <v>1000</v>
      </c>
    </row>
    <row r="1649" spans="1:34" s="114" customFormat="1" x14ac:dyDescent="0.3">
      <c r="A1649" s="114">
        <v>903667</v>
      </c>
      <c r="B1649" s="310">
        <v>5.7</v>
      </c>
      <c r="C1649" s="310"/>
      <c r="D1649" s="311">
        <v>8.6190476190476186</v>
      </c>
      <c r="E1649" s="1543">
        <v>0.53500000000000003</v>
      </c>
      <c r="F1649" s="114">
        <v>127.6</v>
      </c>
      <c r="G1649" s="311"/>
      <c r="H1649" s="313">
        <v>53.94</v>
      </c>
      <c r="I1649" s="313">
        <v>1100</v>
      </c>
      <c r="J1649" s="312">
        <v>1.56</v>
      </c>
      <c r="K1649" s="310">
        <v>7.24</v>
      </c>
      <c r="L1649" s="114">
        <v>1440</v>
      </c>
      <c r="M1649" s="114">
        <v>0.57999999999999996</v>
      </c>
      <c r="N1649" s="114">
        <v>1.68</v>
      </c>
      <c r="O1649" s="114">
        <v>5.78</v>
      </c>
      <c r="P1649" s="114">
        <v>5.66</v>
      </c>
      <c r="Q1649" s="312"/>
      <c r="R1649" s="311">
        <v>1.6993880000000001</v>
      </c>
      <c r="S1649" s="114">
        <v>13.6</v>
      </c>
      <c r="Y1649" s="314">
        <v>26</v>
      </c>
      <c r="Z1649" s="315"/>
      <c r="AA1649" s="311">
        <v>4.79</v>
      </c>
      <c r="AB1649" s="311">
        <v>0.318</v>
      </c>
      <c r="AC1649" s="114">
        <v>9.6</v>
      </c>
      <c r="AD1649" s="114">
        <v>640</v>
      </c>
      <c r="AE1649" s="114">
        <v>280</v>
      </c>
      <c r="AF1649" s="310">
        <v>80</v>
      </c>
      <c r="AG1649" s="66">
        <f t="shared" si="67"/>
        <v>98.575384615384621</v>
      </c>
      <c r="AH1649" s="143">
        <f t="shared" si="68"/>
        <v>1000</v>
      </c>
    </row>
    <row r="1650" spans="1:34" s="114" customFormat="1" x14ac:dyDescent="0.3">
      <c r="A1650" s="114">
        <v>903668</v>
      </c>
      <c r="B1650" s="310">
        <v>3.7</v>
      </c>
      <c r="C1650" s="310"/>
      <c r="D1650" s="311">
        <v>8.723809523809523</v>
      </c>
      <c r="E1650" s="1543">
        <v>0.441</v>
      </c>
      <c r="F1650" s="114">
        <v>105.2</v>
      </c>
      <c r="G1650" s="311"/>
      <c r="H1650" s="313">
        <v>75.2</v>
      </c>
      <c r="I1650" s="313">
        <v>1030</v>
      </c>
      <c r="J1650" s="312">
        <v>1.5</v>
      </c>
      <c r="K1650" s="310">
        <v>6.25</v>
      </c>
      <c r="L1650" s="114">
        <v>1620</v>
      </c>
      <c r="M1650" s="114">
        <v>0.64</v>
      </c>
      <c r="N1650" s="114">
        <v>1.17</v>
      </c>
      <c r="O1650" s="114">
        <v>4.43</v>
      </c>
      <c r="P1650" s="114">
        <v>4.33</v>
      </c>
      <c r="Q1650" s="312"/>
      <c r="R1650" s="311">
        <v>1.7644250000000001</v>
      </c>
      <c r="S1650" s="114">
        <v>15.5</v>
      </c>
      <c r="Y1650" s="314">
        <v>25.4</v>
      </c>
      <c r="Z1650" s="315"/>
      <c r="AA1650" s="311">
        <v>3.62</v>
      </c>
      <c r="AB1650" s="311">
        <v>0.38100000000000001</v>
      </c>
      <c r="AC1650" s="114">
        <v>7.5</v>
      </c>
      <c r="AD1650" s="114">
        <v>650</v>
      </c>
      <c r="AE1650" s="114">
        <v>260</v>
      </c>
      <c r="AF1650" s="310">
        <v>90</v>
      </c>
      <c r="AG1650" s="66">
        <f t="shared" si="67"/>
        <v>87.106299212598429</v>
      </c>
      <c r="AH1650" s="143">
        <f t="shared" si="68"/>
        <v>1000</v>
      </c>
    </row>
    <row r="1651" spans="1:34" s="114" customFormat="1" x14ac:dyDescent="0.3">
      <c r="A1651" s="114">
        <v>903669</v>
      </c>
      <c r="B1651" s="310">
        <v>0.2</v>
      </c>
      <c r="C1651" s="310"/>
      <c r="D1651" s="311">
        <v>8.2285714285714295</v>
      </c>
      <c r="E1651" s="1543">
        <v>0.33400000000000002</v>
      </c>
      <c r="F1651" s="114">
        <v>82.1</v>
      </c>
      <c r="G1651" s="311"/>
      <c r="H1651" s="313">
        <v>197.91</v>
      </c>
      <c r="I1651" s="313">
        <v>1290</v>
      </c>
      <c r="J1651" s="312">
        <v>1.1599999999999999</v>
      </c>
      <c r="K1651" s="310">
        <v>8.3000000000000007</v>
      </c>
      <c r="L1651" s="114">
        <v>1690</v>
      </c>
      <c r="M1651" s="114">
        <v>0.66</v>
      </c>
      <c r="N1651" s="114">
        <v>1.32</v>
      </c>
      <c r="O1651" s="114">
        <v>7.08</v>
      </c>
      <c r="P1651" s="114">
        <v>5.31</v>
      </c>
      <c r="Q1651" s="312"/>
      <c r="R1651" s="311">
        <v>1.651977</v>
      </c>
      <c r="S1651" s="114">
        <v>12.3</v>
      </c>
      <c r="Y1651" s="314">
        <v>20.3</v>
      </c>
      <c r="Z1651" s="315"/>
      <c r="AA1651" s="311">
        <v>3.86</v>
      </c>
      <c r="AB1651" s="311">
        <v>0.54900000000000004</v>
      </c>
      <c r="AC1651" s="114">
        <v>11</v>
      </c>
      <c r="AD1651" s="114">
        <v>600</v>
      </c>
      <c r="AE1651" s="114">
        <v>310</v>
      </c>
      <c r="AF1651" s="310">
        <v>90</v>
      </c>
      <c r="AG1651" s="66">
        <f t="shared" si="67"/>
        <v>144.73891625615764</v>
      </c>
      <c r="AH1651" s="143">
        <f t="shared" si="68"/>
        <v>1000</v>
      </c>
    </row>
    <row r="1652" spans="1:34" x14ac:dyDescent="0.3">
      <c r="A1652" s="140">
        <v>903671</v>
      </c>
      <c r="B1652" s="138">
        <v>0.5</v>
      </c>
      <c r="D1652" s="152">
        <v>8.1619047619047613</v>
      </c>
      <c r="E1652" s="752">
        <v>0.20499999999999999</v>
      </c>
      <c r="F1652" s="140">
        <v>64.7</v>
      </c>
      <c r="G1652" s="139"/>
      <c r="H1652" s="142">
        <v>37.630000000000003</v>
      </c>
      <c r="I1652" s="142">
        <v>700</v>
      </c>
      <c r="J1652" s="141">
        <v>7.0000000000000007E-2</v>
      </c>
      <c r="K1652" s="138">
        <v>2.36</v>
      </c>
      <c r="L1652" s="140">
        <v>320</v>
      </c>
      <c r="M1652" s="140">
        <v>1.98</v>
      </c>
      <c r="N1652" s="140">
        <v>0.74</v>
      </c>
      <c r="O1652" s="140">
        <v>5.56</v>
      </c>
      <c r="P1652" s="140">
        <v>2.77</v>
      </c>
      <c r="Q1652" s="141"/>
      <c r="R1652" s="139">
        <v>1.7578170000000002</v>
      </c>
      <c r="S1652" s="140">
        <v>15.3</v>
      </c>
      <c r="Y1652" s="67">
        <v>8.4</v>
      </c>
      <c r="Z1652" s="143"/>
      <c r="AA1652" s="68">
        <v>4.29</v>
      </c>
      <c r="AB1652" s="68">
        <v>0.69399999999999995</v>
      </c>
      <c r="AC1652" s="69">
        <v>9.3000000000000007</v>
      </c>
      <c r="AD1652" s="140">
        <v>140</v>
      </c>
      <c r="AE1652" s="140">
        <v>80</v>
      </c>
      <c r="AF1652" s="138">
        <v>780</v>
      </c>
      <c r="AG1652" s="66">
        <f t="shared" si="67"/>
        <v>99.457142857142856</v>
      </c>
      <c r="AH1652" s="143">
        <f t="shared" si="68"/>
        <v>1000</v>
      </c>
    </row>
    <row r="1653" spans="1:34" x14ac:dyDescent="0.3">
      <c r="A1653" s="140">
        <v>903672</v>
      </c>
      <c r="B1653" s="138">
        <v>0.5</v>
      </c>
      <c r="D1653" s="152">
        <v>8.0476190476190474</v>
      </c>
      <c r="E1653" s="752">
        <v>0.14599999999999999</v>
      </c>
      <c r="F1653" s="140">
        <v>46.8</v>
      </c>
      <c r="G1653" s="139"/>
      <c r="H1653" s="142">
        <v>117.12</v>
      </c>
      <c r="I1653" s="142">
        <v>310</v>
      </c>
      <c r="J1653" s="141">
        <v>0.06</v>
      </c>
      <c r="K1653" s="138">
        <v>1.71</v>
      </c>
      <c r="L1653" s="140">
        <v>340</v>
      </c>
      <c r="M1653" s="140">
        <v>0.63</v>
      </c>
      <c r="N1653" s="140">
        <v>0.66</v>
      </c>
      <c r="O1653" s="140">
        <v>5.34</v>
      </c>
      <c r="P1653" s="140">
        <v>4.41</v>
      </c>
      <c r="Q1653" s="141"/>
      <c r="R1653" s="139">
        <v>1.2567212603256432</v>
      </c>
      <c r="S1653" s="140">
        <v>8.6</v>
      </c>
      <c r="Y1653" s="67">
        <v>6.5</v>
      </c>
      <c r="Z1653" s="143"/>
      <c r="AA1653" s="68">
        <v>3.94</v>
      </c>
      <c r="AB1653" s="68">
        <v>0.68</v>
      </c>
      <c r="AC1653" s="69">
        <v>11.4</v>
      </c>
      <c r="AD1653" s="140">
        <v>130</v>
      </c>
      <c r="AE1653" s="140">
        <v>70</v>
      </c>
      <c r="AF1653" s="138">
        <v>800</v>
      </c>
      <c r="AG1653" s="66">
        <f t="shared" si="67"/>
        <v>93.129230769230773</v>
      </c>
      <c r="AH1653" s="143">
        <f t="shared" si="68"/>
        <v>1000</v>
      </c>
    </row>
    <row r="1654" spans="1:34" x14ac:dyDescent="0.3">
      <c r="A1654" s="140">
        <v>903673</v>
      </c>
      <c r="B1654" s="138">
        <v>0.2</v>
      </c>
      <c r="D1654" s="152">
        <v>4.8</v>
      </c>
      <c r="E1654" s="752">
        <v>0.10299999999999999</v>
      </c>
      <c r="F1654" s="140">
        <v>35.700000000000003</v>
      </c>
      <c r="G1654" s="139"/>
      <c r="H1654" s="142">
        <v>32.950000000000003</v>
      </c>
      <c r="I1654" s="142">
        <v>420</v>
      </c>
      <c r="J1654" s="141">
        <v>0.01</v>
      </c>
      <c r="K1654" s="138">
        <v>8.5</v>
      </c>
      <c r="L1654" s="140">
        <v>110</v>
      </c>
      <c r="M1654" s="140">
        <v>0.86</v>
      </c>
      <c r="N1654" s="140">
        <v>0.35</v>
      </c>
      <c r="O1654" s="140">
        <v>52.75</v>
      </c>
      <c r="P1654" s="140">
        <v>28.5</v>
      </c>
      <c r="Q1654" s="141"/>
      <c r="R1654" s="139">
        <v>2.1509930000000006</v>
      </c>
      <c r="S1654" s="140">
        <v>38.9</v>
      </c>
      <c r="Y1654" s="67">
        <v>22.1</v>
      </c>
      <c r="Z1654" s="143">
        <v>3.92</v>
      </c>
      <c r="AA1654" s="68">
        <v>4.37</v>
      </c>
      <c r="AB1654" s="68">
        <v>0.64900000000000002</v>
      </c>
      <c r="AC1654" s="69">
        <v>10.7</v>
      </c>
      <c r="AD1654" s="140">
        <v>500</v>
      </c>
      <c r="AE1654" s="140">
        <v>280</v>
      </c>
      <c r="AF1654" s="138">
        <v>220</v>
      </c>
      <c r="AG1654" s="66">
        <f t="shared" si="67"/>
        <v>136.15384615384613</v>
      </c>
      <c r="AH1654" s="143">
        <f t="shared" si="68"/>
        <v>1000</v>
      </c>
    </row>
    <row r="1655" spans="1:34" x14ac:dyDescent="0.3">
      <c r="A1655" s="140">
        <v>903674</v>
      </c>
      <c r="B1655" s="138">
        <v>1</v>
      </c>
      <c r="D1655" s="152">
        <v>7.5142857142857133</v>
      </c>
      <c r="E1655" s="752">
        <v>0.114</v>
      </c>
      <c r="F1655" s="140">
        <v>42.2</v>
      </c>
      <c r="G1655" s="139"/>
      <c r="H1655" s="142">
        <v>86.21</v>
      </c>
      <c r="I1655" s="142">
        <v>230</v>
      </c>
      <c r="J1655" s="141">
        <v>0.09</v>
      </c>
      <c r="K1655" s="138">
        <v>4.4000000000000004</v>
      </c>
      <c r="L1655" s="140">
        <v>320</v>
      </c>
      <c r="M1655" s="140">
        <v>0.89</v>
      </c>
      <c r="N1655" s="140">
        <v>0.51</v>
      </c>
      <c r="O1655" s="140">
        <v>3.76</v>
      </c>
      <c r="P1655" s="140">
        <v>26.51</v>
      </c>
      <c r="Q1655" s="141"/>
      <c r="R1655" s="139">
        <v>2.0327000000000002</v>
      </c>
      <c r="S1655" s="140">
        <v>26</v>
      </c>
      <c r="Y1655" s="67">
        <v>8.4</v>
      </c>
      <c r="Z1655" s="143"/>
      <c r="AA1655" s="68">
        <v>4.0599999999999996</v>
      </c>
      <c r="AB1655" s="68">
        <v>0.52800000000000002</v>
      </c>
      <c r="AC1655" s="69">
        <v>8.5</v>
      </c>
      <c r="AD1655" s="140">
        <v>120</v>
      </c>
      <c r="AE1655" s="140">
        <v>80</v>
      </c>
      <c r="AF1655" s="138">
        <v>800</v>
      </c>
      <c r="AG1655" s="66">
        <f t="shared" si="67"/>
        <v>185.42857142857144</v>
      </c>
      <c r="AH1655" s="143">
        <f t="shared" si="68"/>
        <v>1000</v>
      </c>
    </row>
    <row r="1656" spans="1:34" x14ac:dyDescent="0.3">
      <c r="A1656" s="140">
        <v>903675</v>
      </c>
      <c r="B1656" s="138">
        <v>9</v>
      </c>
      <c r="D1656" s="152">
        <v>7.9047619047619051</v>
      </c>
      <c r="E1656" s="752">
        <v>0.104</v>
      </c>
      <c r="F1656" s="140">
        <v>47.7</v>
      </c>
      <c r="G1656" s="139"/>
      <c r="H1656" s="142">
        <v>41.86</v>
      </c>
      <c r="I1656" s="142">
        <v>130</v>
      </c>
      <c r="J1656" s="141">
        <v>0.05</v>
      </c>
      <c r="K1656" s="138">
        <v>2.59</v>
      </c>
      <c r="L1656" s="140">
        <v>150</v>
      </c>
      <c r="M1656" s="140">
        <v>0.71</v>
      </c>
      <c r="N1656" s="140">
        <v>0.43</v>
      </c>
      <c r="O1656" s="140">
        <v>28.12</v>
      </c>
      <c r="P1656" s="140">
        <v>6.6</v>
      </c>
      <c r="Q1656" s="141"/>
      <c r="R1656" s="139">
        <v>1.7839130000000001</v>
      </c>
      <c r="S1656" s="140">
        <v>16.100000000000001</v>
      </c>
      <c r="Y1656" s="67">
        <v>4.2</v>
      </c>
      <c r="Z1656" s="143"/>
      <c r="AA1656" s="68">
        <v>5</v>
      </c>
      <c r="AB1656" s="68">
        <v>0.52900000000000003</v>
      </c>
      <c r="AC1656" s="69">
        <v>10.7</v>
      </c>
      <c r="AD1656" s="140">
        <v>60</v>
      </c>
      <c r="AE1656" s="140">
        <v>80</v>
      </c>
      <c r="AF1656" s="138">
        <v>860</v>
      </c>
      <c r="AG1656" s="66">
        <f t="shared" si="67"/>
        <v>218.29999999999998</v>
      </c>
      <c r="AH1656" s="143">
        <f t="shared" si="68"/>
        <v>1000</v>
      </c>
    </row>
    <row r="1657" spans="1:34" x14ac:dyDescent="0.3">
      <c r="A1657" s="140">
        <v>903676</v>
      </c>
      <c r="B1657" s="138">
        <v>1.6</v>
      </c>
      <c r="D1657" s="152">
        <v>7.6095238095238091</v>
      </c>
      <c r="E1657" s="752">
        <v>0.187</v>
      </c>
      <c r="F1657" s="140">
        <v>113.2</v>
      </c>
      <c r="G1657" s="139"/>
      <c r="H1657" s="142">
        <v>106.15</v>
      </c>
      <c r="I1657" s="142">
        <v>180</v>
      </c>
      <c r="J1657" s="141">
        <v>0.25</v>
      </c>
      <c r="K1657" s="138">
        <v>1.38</v>
      </c>
      <c r="L1657" s="140">
        <v>100</v>
      </c>
      <c r="M1657" s="140">
        <v>1.78</v>
      </c>
      <c r="N1657" s="140">
        <v>0.73</v>
      </c>
      <c r="O1657" s="140">
        <v>5.58</v>
      </c>
      <c r="P1657" s="140">
        <v>7.32</v>
      </c>
      <c r="Q1657" s="141"/>
      <c r="R1657" s="139">
        <v>0.79643976288932006</v>
      </c>
      <c r="S1657" s="140">
        <v>5.9</v>
      </c>
      <c r="Y1657" s="67">
        <v>5.6</v>
      </c>
      <c r="Z1657" s="143"/>
      <c r="AA1657" s="68">
        <v>4.93</v>
      </c>
      <c r="AB1657" s="68">
        <v>0.81</v>
      </c>
      <c r="AC1657" s="69">
        <v>11.5</v>
      </c>
      <c r="AD1657" s="140">
        <v>80</v>
      </c>
      <c r="AE1657" s="140">
        <v>60</v>
      </c>
      <c r="AF1657" s="138">
        <v>860</v>
      </c>
      <c r="AG1657" s="66">
        <f t="shared" si="67"/>
        <v>87.23571428571428</v>
      </c>
      <c r="AH1657" s="143">
        <f t="shared" si="68"/>
        <v>1000</v>
      </c>
    </row>
    <row r="1658" spans="1:34" x14ac:dyDescent="0.3">
      <c r="A1658" s="140">
        <v>903677</v>
      </c>
      <c r="B1658" s="138">
        <v>0.1</v>
      </c>
      <c r="D1658" s="152">
        <v>4.7238095238095239</v>
      </c>
      <c r="E1658" s="752">
        <v>7.0999999999999994E-2</v>
      </c>
      <c r="F1658" s="140">
        <v>32.4</v>
      </c>
      <c r="G1658" s="139"/>
      <c r="H1658" s="142">
        <v>92.82</v>
      </c>
      <c r="I1658" s="142">
        <v>240</v>
      </c>
      <c r="J1658" s="141">
        <v>0.01</v>
      </c>
      <c r="K1658" s="138">
        <v>5.6</v>
      </c>
      <c r="L1658" s="140">
        <v>180</v>
      </c>
      <c r="M1658" s="140">
        <v>0.86</v>
      </c>
      <c r="N1658" s="140">
        <v>0.65</v>
      </c>
      <c r="O1658" s="140">
        <v>19.27</v>
      </c>
      <c r="P1658" s="140">
        <v>18.510000000000002</v>
      </c>
      <c r="Q1658" s="141"/>
      <c r="R1658" s="139">
        <v>1.2207023952880023</v>
      </c>
      <c r="S1658" s="140">
        <v>9.1</v>
      </c>
      <c r="Y1658" s="67">
        <v>22.6</v>
      </c>
      <c r="Z1658" s="143">
        <v>3.85</v>
      </c>
      <c r="AA1658" s="68">
        <v>3.94</v>
      </c>
      <c r="AB1658" s="68">
        <v>0.85499999999999998</v>
      </c>
      <c r="AC1658" s="69">
        <v>11.8</v>
      </c>
      <c r="AD1658" s="140">
        <v>500</v>
      </c>
      <c r="AE1658" s="140">
        <v>240</v>
      </c>
      <c r="AF1658" s="138">
        <v>260</v>
      </c>
      <c r="AG1658" s="66">
        <f t="shared" si="67"/>
        <v>87.716814159292028</v>
      </c>
      <c r="AH1658" s="143">
        <f t="shared" si="68"/>
        <v>1000</v>
      </c>
    </row>
    <row r="1659" spans="1:34" x14ac:dyDescent="0.3">
      <c r="A1659" s="140">
        <v>903678</v>
      </c>
      <c r="B1659" s="138">
        <v>0.1</v>
      </c>
      <c r="D1659" s="152">
        <v>5.0857142857142854</v>
      </c>
      <c r="E1659" s="752">
        <v>5.5E-2</v>
      </c>
      <c r="F1659" s="140">
        <v>30.7</v>
      </c>
      <c r="G1659" s="139"/>
      <c r="H1659" s="142">
        <v>196.52</v>
      </c>
      <c r="I1659" s="142">
        <v>230</v>
      </c>
      <c r="J1659" s="141">
        <v>0.02</v>
      </c>
      <c r="K1659" s="138">
        <v>4.8</v>
      </c>
      <c r="L1659" s="140">
        <v>720</v>
      </c>
      <c r="M1659" s="140">
        <v>1.23</v>
      </c>
      <c r="N1659" s="140">
        <v>0.93</v>
      </c>
      <c r="O1659" s="140">
        <v>29.24</v>
      </c>
      <c r="P1659" s="140">
        <v>60.88</v>
      </c>
      <c r="Q1659" s="141"/>
      <c r="R1659" s="139">
        <v>1.9390680000000002</v>
      </c>
      <c r="S1659" s="140">
        <v>21.6</v>
      </c>
      <c r="Y1659" s="67">
        <v>20.399999999999999</v>
      </c>
      <c r="Z1659" s="143">
        <v>4.03</v>
      </c>
      <c r="AA1659" s="68">
        <v>4.92</v>
      </c>
      <c r="AB1659" s="68">
        <v>0.42199999999999999</v>
      </c>
      <c r="AC1659" s="69">
        <v>8.5</v>
      </c>
      <c r="AD1659" s="140">
        <v>520</v>
      </c>
      <c r="AE1659" s="140">
        <v>280</v>
      </c>
      <c r="AF1659" s="138">
        <v>200</v>
      </c>
      <c r="AG1659" s="66">
        <f t="shared" si="67"/>
        <v>83.294117647058826</v>
      </c>
      <c r="AH1659" s="143">
        <f t="shared" si="68"/>
        <v>1000</v>
      </c>
    </row>
    <row r="1660" spans="1:34" x14ac:dyDescent="0.3">
      <c r="A1660" s="140">
        <v>903679</v>
      </c>
      <c r="B1660" s="138">
        <v>0.1</v>
      </c>
      <c r="D1660" s="152">
        <v>4.3238095238095235</v>
      </c>
      <c r="E1660" s="752">
        <v>0.193</v>
      </c>
      <c r="F1660" s="140">
        <v>38.9</v>
      </c>
      <c r="G1660" s="139"/>
      <c r="H1660" s="142">
        <v>335.16</v>
      </c>
      <c r="I1660" s="142">
        <v>390</v>
      </c>
      <c r="J1660" s="141">
        <v>0.01</v>
      </c>
      <c r="K1660" s="138">
        <v>5.9</v>
      </c>
      <c r="L1660" s="140">
        <v>40</v>
      </c>
      <c r="M1660" s="140">
        <v>0.78</v>
      </c>
      <c r="N1660" s="140">
        <v>0.26</v>
      </c>
      <c r="O1660" s="140">
        <v>55.49</v>
      </c>
      <c r="P1660" s="140">
        <v>51.97</v>
      </c>
      <c r="Q1660" s="141"/>
      <c r="R1660" s="139">
        <v>2.1494249999999999</v>
      </c>
      <c r="S1660" s="140">
        <v>40.5</v>
      </c>
      <c r="Y1660" s="67">
        <v>20.5</v>
      </c>
      <c r="Z1660" s="143">
        <v>3.82</v>
      </c>
      <c r="AA1660" s="68">
        <v>4.47</v>
      </c>
      <c r="AB1660" s="68">
        <v>0.61</v>
      </c>
      <c r="AC1660" s="69">
        <v>9.6</v>
      </c>
      <c r="AD1660" s="140">
        <v>540</v>
      </c>
      <c r="AE1660" s="140">
        <v>300</v>
      </c>
      <c r="AF1660" s="138">
        <v>160</v>
      </c>
      <c r="AG1660" s="66">
        <f t="shared" si="67"/>
        <v>101.88292682926831</v>
      </c>
      <c r="AH1660" s="143">
        <f t="shared" si="68"/>
        <v>1000</v>
      </c>
    </row>
    <row r="1661" spans="1:34" x14ac:dyDescent="0.3">
      <c r="A1661" s="140">
        <v>903680</v>
      </c>
      <c r="B1661" s="138">
        <v>0</v>
      </c>
      <c r="D1661" s="152">
        <v>6.0857142857142854</v>
      </c>
      <c r="E1661" s="752">
        <v>2.5999999999999999E-2</v>
      </c>
      <c r="F1661" s="140">
        <v>36.1</v>
      </c>
      <c r="G1661" s="139"/>
      <c r="H1661" s="142">
        <v>27.4</v>
      </c>
      <c r="I1661" s="142">
        <v>70</v>
      </c>
      <c r="J1661" s="141">
        <v>0.01</v>
      </c>
      <c r="K1661" s="138">
        <v>5.2</v>
      </c>
      <c r="L1661" s="140">
        <v>20</v>
      </c>
      <c r="M1661" s="140">
        <v>0.19</v>
      </c>
      <c r="N1661" s="140">
        <v>0.16</v>
      </c>
      <c r="O1661" s="140">
        <v>4.68</v>
      </c>
      <c r="P1661" s="140">
        <v>4.96</v>
      </c>
      <c r="Q1661" s="141"/>
      <c r="R1661" s="139">
        <v>0.2256807999692941</v>
      </c>
      <c r="S1661" s="140">
        <v>1.6</v>
      </c>
      <c r="Y1661" s="67">
        <v>20</v>
      </c>
      <c r="Z1661" s="143">
        <v>4.96</v>
      </c>
      <c r="AA1661" s="68">
        <v>4.99</v>
      </c>
      <c r="AB1661" s="68">
        <v>0.38300000000000001</v>
      </c>
      <c r="AC1661" s="69">
        <v>9.6</v>
      </c>
      <c r="AD1661" s="140">
        <v>560</v>
      </c>
      <c r="AE1661" s="140">
        <v>300</v>
      </c>
      <c r="AF1661" s="138">
        <v>140</v>
      </c>
      <c r="AG1661" s="66">
        <f t="shared" si="67"/>
        <v>92.04</v>
      </c>
      <c r="AH1661" s="143">
        <f t="shared" si="68"/>
        <v>1000</v>
      </c>
    </row>
    <row r="1662" spans="1:34" x14ac:dyDescent="0.3">
      <c r="A1662" s="140">
        <v>903681</v>
      </c>
      <c r="B1662" s="138">
        <v>3.8</v>
      </c>
      <c r="D1662" s="152">
        <v>8.0095238095238095</v>
      </c>
      <c r="E1662" s="752">
        <v>0.503</v>
      </c>
      <c r="F1662" s="140">
        <v>156.69999999999999</v>
      </c>
      <c r="G1662" s="139"/>
      <c r="H1662" s="142">
        <v>218.6</v>
      </c>
      <c r="I1662" s="142">
        <v>620</v>
      </c>
      <c r="J1662" s="141">
        <v>0.38400000000000001</v>
      </c>
      <c r="K1662" s="138">
        <v>5.77</v>
      </c>
      <c r="L1662" s="140">
        <v>1170</v>
      </c>
      <c r="M1662" s="140">
        <v>2.62</v>
      </c>
      <c r="N1662" s="140">
        <v>1.23</v>
      </c>
      <c r="O1662" s="140">
        <v>9.7799999999999994</v>
      </c>
      <c r="P1662" s="140">
        <v>3.81</v>
      </c>
      <c r="Q1662" s="141"/>
      <c r="R1662" s="139">
        <v>1.8956330000000001</v>
      </c>
      <c r="S1662" s="140">
        <v>19.899999999999999</v>
      </c>
      <c r="Y1662" s="67">
        <v>24</v>
      </c>
      <c r="Z1662" s="143"/>
      <c r="AA1662" s="68">
        <v>4.21</v>
      </c>
      <c r="AB1662" s="68">
        <v>0.871</v>
      </c>
      <c r="AC1662" s="69">
        <v>10.9</v>
      </c>
      <c r="AD1662" s="140">
        <v>480</v>
      </c>
      <c r="AE1662" s="140">
        <v>340</v>
      </c>
      <c r="AF1662" s="138">
        <v>180</v>
      </c>
      <c r="AG1662" s="66">
        <f t="shared" si="67"/>
        <v>85.107500000000002</v>
      </c>
      <c r="AH1662" s="143">
        <f t="shared" si="68"/>
        <v>1000</v>
      </c>
    </row>
    <row r="1663" spans="1:34" x14ac:dyDescent="0.3">
      <c r="A1663" s="140">
        <v>903682</v>
      </c>
      <c r="B1663" s="138">
        <v>18.2</v>
      </c>
      <c r="C1663" s="138">
        <v>3.8219999999999996</v>
      </c>
      <c r="D1663" s="152">
        <v>7.9619047619047612</v>
      </c>
      <c r="E1663" s="752">
        <v>0.435</v>
      </c>
      <c r="F1663" s="140">
        <v>83.3</v>
      </c>
      <c r="G1663" s="139"/>
      <c r="H1663" s="142">
        <v>136.26</v>
      </c>
      <c r="I1663" s="142">
        <v>120</v>
      </c>
      <c r="J1663" s="141">
        <v>0.222</v>
      </c>
      <c r="K1663" s="138">
        <v>8.15</v>
      </c>
      <c r="L1663" s="140">
        <v>1250</v>
      </c>
      <c r="M1663" s="140">
        <v>2.88</v>
      </c>
      <c r="N1663" s="140">
        <v>0.79</v>
      </c>
      <c r="O1663" s="140">
        <v>7.93</v>
      </c>
      <c r="P1663" s="140">
        <v>3.84</v>
      </c>
      <c r="Q1663" s="141"/>
      <c r="R1663" s="139">
        <v>1.9062170000000003</v>
      </c>
      <c r="S1663" s="140">
        <v>20.3</v>
      </c>
      <c r="Y1663" s="67">
        <v>30</v>
      </c>
      <c r="Z1663" s="143"/>
      <c r="AA1663" s="68">
        <v>4</v>
      </c>
      <c r="AB1663" s="68">
        <v>0.27600000000000002</v>
      </c>
      <c r="AC1663" s="69">
        <v>7.1</v>
      </c>
      <c r="AD1663" s="140">
        <v>500</v>
      </c>
      <c r="AE1663" s="140">
        <v>240</v>
      </c>
      <c r="AF1663" s="138">
        <v>260</v>
      </c>
      <c r="AG1663" s="66">
        <f t="shared" si="67"/>
        <v>96.170000000000016</v>
      </c>
      <c r="AH1663" s="143">
        <f t="shared" si="68"/>
        <v>1000</v>
      </c>
    </row>
    <row r="1664" spans="1:34" x14ac:dyDescent="0.3">
      <c r="A1664" s="140">
        <v>903683</v>
      </c>
      <c r="B1664" s="138">
        <v>2.4</v>
      </c>
      <c r="D1664" s="152">
        <v>8.2380952380952372</v>
      </c>
      <c r="E1664" s="752">
        <v>0.63300000000000001</v>
      </c>
      <c r="F1664" s="140">
        <v>614.6</v>
      </c>
      <c r="G1664" s="139"/>
      <c r="H1664" s="142">
        <v>33.799999999999997</v>
      </c>
      <c r="I1664" s="142">
        <v>500</v>
      </c>
      <c r="J1664" s="141">
        <v>0.58799999999999997</v>
      </c>
      <c r="K1664" s="138">
        <v>5.73</v>
      </c>
      <c r="L1664" s="140">
        <v>850</v>
      </c>
      <c r="M1664" s="140">
        <v>0.99</v>
      </c>
      <c r="N1664" s="140">
        <v>0.93</v>
      </c>
      <c r="O1664" s="140">
        <v>9.92</v>
      </c>
      <c r="P1664" s="140">
        <v>2.74</v>
      </c>
      <c r="Q1664" s="141"/>
      <c r="R1664" s="139">
        <v>1.1937071268102362</v>
      </c>
      <c r="S1664" s="140">
        <v>8.1</v>
      </c>
      <c r="Y1664" s="67">
        <v>22.3</v>
      </c>
      <c r="Z1664" s="143"/>
      <c r="AA1664" s="68">
        <v>4.4800000000000004</v>
      </c>
      <c r="AB1664" s="68">
        <v>0.376</v>
      </c>
      <c r="AC1664" s="69">
        <v>11.9</v>
      </c>
      <c r="AD1664" s="140">
        <v>540</v>
      </c>
      <c r="AE1664" s="140">
        <v>260</v>
      </c>
      <c r="AF1664" s="138">
        <v>200</v>
      </c>
      <c r="AG1664" s="66">
        <f t="shared" si="67"/>
        <v>90.960538116591934</v>
      </c>
      <c r="AH1664" s="143">
        <f t="shared" si="68"/>
        <v>1000</v>
      </c>
    </row>
    <row r="1665" spans="1:34" x14ac:dyDescent="0.3">
      <c r="A1665" s="140">
        <v>903684</v>
      </c>
      <c r="B1665" s="138">
        <v>1.8</v>
      </c>
      <c r="D1665" s="152">
        <v>8.4666666666666668</v>
      </c>
      <c r="E1665" s="752">
        <v>0.41199999999999998</v>
      </c>
      <c r="F1665" s="140">
        <v>256.7</v>
      </c>
      <c r="G1665" s="139"/>
      <c r="H1665" s="142">
        <v>35.33</v>
      </c>
      <c r="I1665" s="142">
        <v>470</v>
      </c>
      <c r="J1665" s="141">
        <v>0.58599999999999997</v>
      </c>
      <c r="K1665" s="138">
        <v>5.52</v>
      </c>
      <c r="L1665" s="140">
        <v>1120</v>
      </c>
      <c r="M1665" s="140">
        <v>1.62</v>
      </c>
      <c r="N1665" s="140">
        <v>1.22</v>
      </c>
      <c r="O1665" s="140">
        <v>14.1</v>
      </c>
      <c r="P1665" s="140">
        <v>4.03</v>
      </c>
      <c r="Q1665" s="141"/>
      <c r="R1665" s="139">
        <v>1.1674063732851085</v>
      </c>
      <c r="S1665" s="140">
        <v>8.6</v>
      </c>
      <c r="Y1665" s="67">
        <v>21.3</v>
      </c>
      <c r="Z1665" s="143"/>
      <c r="AA1665" s="68">
        <v>4.32</v>
      </c>
      <c r="AB1665" s="68">
        <v>0.77300000000000002</v>
      </c>
      <c r="AC1665" s="69">
        <v>7.2</v>
      </c>
      <c r="AD1665" s="140">
        <v>560</v>
      </c>
      <c r="AE1665" s="140">
        <v>240</v>
      </c>
      <c r="AF1665" s="138">
        <v>200</v>
      </c>
      <c r="AG1665" s="66">
        <f t="shared" si="67"/>
        <v>91.740845070422523</v>
      </c>
      <c r="AH1665" s="143">
        <f t="shared" si="68"/>
        <v>1000</v>
      </c>
    </row>
    <row r="1666" spans="1:34" s="114" customFormat="1" x14ac:dyDescent="0.3">
      <c r="A1666" s="114">
        <v>903686</v>
      </c>
      <c r="B1666" s="310">
        <v>13.8</v>
      </c>
      <c r="C1666" s="138">
        <v>2.8980000000000001</v>
      </c>
      <c r="D1666" s="311">
        <v>8.2476190476190467</v>
      </c>
      <c r="E1666" s="1543">
        <v>1.41</v>
      </c>
      <c r="F1666" s="114">
        <v>1457.3</v>
      </c>
      <c r="G1666" s="311"/>
      <c r="H1666" s="313">
        <v>8.82</v>
      </c>
      <c r="I1666" s="313">
        <v>640</v>
      </c>
      <c r="J1666" s="312">
        <v>1.25</v>
      </c>
      <c r="K1666" s="310">
        <v>8.1199999999999992</v>
      </c>
      <c r="L1666" s="114">
        <v>1170</v>
      </c>
      <c r="M1666" s="114">
        <v>0.18</v>
      </c>
      <c r="N1666" s="114">
        <v>0.73</v>
      </c>
      <c r="O1666" s="114">
        <v>8.65</v>
      </c>
      <c r="P1666" s="114">
        <v>2.4</v>
      </c>
      <c r="Q1666" s="312"/>
      <c r="R1666" s="311">
        <v>0.77391106457025616</v>
      </c>
      <c r="S1666" s="114">
        <v>5.0999999999999996</v>
      </c>
      <c r="Y1666" s="314">
        <v>25</v>
      </c>
      <c r="Z1666" s="315"/>
      <c r="AA1666" s="311">
        <v>3.64</v>
      </c>
      <c r="AB1666" s="311">
        <v>0.28199999999999997</v>
      </c>
      <c r="AC1666" s="114">
        <v>11.9</v>
      </c>
      <c r="AD1666" s="114">
        <v>500</v>
      </c>
      <c r="AE1666" s="114">
        <v>240</v>
      </c>
      <c r="AF1666" s="310">
        <v>260</v>
      </c>
      <c r="AG1666" s="66">
        <f t="shared" ref="AG1666:AG1729" si="69">+K1666*3.54*100/Y1666</f>
        <v>114.97919999999998</v>
      </c>
      <c r="AH1666" s="143">
        <f t="shared" ref="AH1666:AH1729" si="70">+SUM(AD1666:AF1666)</f>
        <v>1000</v>
      </c>
    </row>
    <row r="1667" spans="1:34" x14ac:dyDescent="0.3">
      <c r="A1667" s="140">
        <v>903688</v>
      </c>
      <c r="B1667" s="138">
        <v>3.5</v>
      </c>
      <c r="D1667" s="152">
        <v>8.4857142857142858</v>
      </c>
      <c r="E1667" s="752">
        <v>0.16500000000000001</v>
      </c>
      <c r="F1667" s="140">
        <v>83.5</v>
      </c>
      <c r="G1667" s="139"/>
      <c r="H1667" s="142">
        <v>5.97</v>
      </c>
      <c r="I1667" s="142">
        <v>180</v>
      </c>
      <c r="J1667" s="141">
        <v>0.13200000000000001</v>
      </c>
      <c r="K1667" s="138">
        <v>5.93</v>
      </c>
      <c r="L1667" s="140">
        <v>870</v>
      </c>
      <c r="M1667" s="140">
        <v>0.56000000000000005</v>
      </c>
      <c r="N1667" s="140">
        <v>1.18</v>
      </c>
      <c r="O1667" s="140">
        <v>9.33</v>
      </c>
      <c r="P1667" s="140">
        <v>2.76</v>
      </c>
      <c r="Q1667" s="141"/>
      <c r="R1667" s="139">
        <v>1.1225680832567948</v>
      </c>
      <c r="S1667" s="140">
        <v>7.9</v>
      </c>
      <c r="Y1667" s="67">
        <v>14.4</v>
      </c>
      <c r="Z1667" s="143"/>
      <c r="AA1667" s="68">
        <v>3.68</v>
      </c>
      <c r="AB1667" s="68">
        <v>0.317</v>
      </c>
      <c r="AC1667" s="69">
        <v>10.7</v>
      </c>
      <c r="AD1667" s="140">
        <v>240</v>
      </c>
      <c r="AE1667" s="140">
        <v>180</v>
      </c>
      <c r="AF1667" s="138">
        <v>580</v>
      </c>
      <c r="AG1667" s="66">
        <f t="shared" si="69"/>
        <v>145.77916666666667</v>
      </c>
      <c r="AH1667" s="143">
        <f t="shared" si="70"/>
        <v>1000</v>
      </c>
    </row>
    <row r="1668" spans="1:34" x14ac:dyDescent="0.3">
      <c r="A1668" s="140">
        <v>903689</v>
      </c>
      <c r="B1668" s="138">
        <v>8.9</v>
      </c>
      <c r="D1668" s="152">
        <v>8.7047619047619058</v>
      </c>
      <c r="E1668" s="752">
        <v>0.19</v>
      </c>
      <c r="F1668" s="140">
        <v>90.4</v>
      </c>
      <c r="G1668" s="139"/>
      <c r="H1668" s="142">
        <v>3.32</v>
      </c>
      <c r="I1668" s="142">
        <v>90</v>
      </c>
      <c r="J1668" s="141">
        <v>0.218</v>
      </c>
      <c r="K1668" s="138">
        <v>7.55</v>
      </c>
      <c r="L1668" s="140">
        <v>980</v>
      </c>
      <c r="M1668" s="140">
        <v>0.22</v>
      </c>
      <c r="N1668" s="140">
        <v>0.62</v>
      </c>
      <c r="O1668" s="140">
        <v>8.5299999999999994</v>
      </c>
      <c r="P1668" s="140">
        <v>2.09</v>
      </c>
      <c r="Q1668" s="141"/>
      <c r="R1668" s="139">
        <v>0.57972462705980654</v>
      </c>
      <c r="S1668" s="140">
        <v>4.3</v>
      </c>
      <c r="Y1668" s="67">
        <v>15</v>
      </c>
      <c r="Z1668" s="143"/>
      <c r="AA1668" s="68">
        <v>3.45</v>
      </c>
      <c r="AB1668" s="68">
        <v>0.71699999999999997</v>
      </c>
      <c r="AC1668" s="69">
        <v>7.9</v>
      </c>
      <c r="AD1668" s="140">
        <v>300</v>
      </c>
      <c r="AE1668" s="140">
        <v>160</v>
      </c>
      <c r="AF1668" s="138">
        <v>540</v>
      </c>
      <c r="AG1668" s="66">
        <f t="shared" si="69"/>
        <v>178.17999999999998</v>
      </c>
      <c r="AH1668" s="143">
        <f t="shared" si="70"/>
        <v>1000</v>
      </c>
    </row>
    <row r="1669" spans="1:34" x14ac:dyDescent="0.3">
      <c r="A1669" s="140">
        <v>903690</v>
      </c>
      <c r="B1669" s="138">
        <v>16.3</v>
      </c>
      <c r="C1669" s="138">
        <v>3.423</v>
      </c>
      <c r="D1669" s="152">
        <v>7.7619047619047619</v>
      </c>
      <c r="E1669" s="752">
        <v>0.128</v>
      </c>
      <c r="F1669" s="140">
        <v>38.299999999999997</v>
      </c>
      <c r="G1669" s="139"/>
      <c r="H1669" s="142">
        <v>10.62</v>
      </c>
      <c r="I1669" s="142">
        <v>190</v>
      </c>
      <c r="J1669" s="141">
        <v>0.04</v>
      </c>
      <c r="K1669" s="138">
        <v>15.64</v>
      </c>
      <c r="L1669" s="140">
        <v>260</v>
      </c>
      <c r="M1669" s="140">
        <v>0.19</v>
      </c>
      <c r="N1669" s="140">
        <v>0.71</v>
      </c>
      <c r="O1669" s="140">
        <v>4.01</v>
      </c>
      <c r="P1669" s="140">
        <v>3.04</v>
      </c>
      <c r="Q1669" s="141"/>
      <c r="R1669" s="139">
        <v>1.9627280000000003</v>
      </c>
      <c r="S1669" s="140">
        <v>22.6</v>
      </c>
      <c r="Y1669" s="67">
        <v>27</v>
      </c>
      <c r="Z1669" s="143"/>
      <c r="AA1669" s="68">
        <v>3.93</v>
      </c>
      <c r="AB1669" s="68">
        <v>0.67400000000000004</v>
      </c>
      <c r="AC1669" s="69">
        <v>11.2</v>
      </c>
      <c r="AD1669" s="140">
        <v>450</v>
      </c>
      <c r="AE1669" s="140">
        <v>410</v>
      </c>
      <c r="AF1669" s="138">
        <v>140</v>
      </c>
      <c r="AG1669" s="66">
        <f t="shared" si="69"/>
        <v>205.0577777777778</v>
      </c>
      <c r="AH1669" s="143">
        <f t="shared" si="70"/>
        <v>1000</v>
      </c>
    </row>
    <row r="1670" spans="1:34" x14ac:dyDescent="0.3">
      <c r="A1670" s="140">
        <v>903691</v>
      </c>
      <c r="B1670" s="138">
        <v>9.6</v>
      </c>
      <c r="D1670" s="152">
        <v>7.6952380952380945</v>
      </c>
      <c r="E1670" s="752">
        <v>0.14399999999999999</v>
      </c>
      <c r="F1670" s="140">
        <v>38</v>
      </c>
      <c r="G1670" s="139"/>
      <c r="H1670" s="142">
        <v>11.98</v>
      </c>
      <c r="I1670" s="142">
        <v>300</v>
      </c>
      <c r="J1670" s="141">
        <v>0.05</v>
      </c>
      <c r="K1670" s="138">
        <v>14.43</v>
      </c>
      <c r="L1670" s="140">
        <v>300</v>
      </c>
      <c r="M1670" s="140">
        <v>0.34</v>
      </c>
      <c r="N1670" s="140">
        <v>0.72</v>
      </c>
      <c r="O1670" s="140">
        <v>5.05</v>
      </c>
      <c r="P1670" s="140">
        <v>3.34</v>
      </c>
      <c r="Q1670" s="141"/>
      <c r="R1670" s="139">
        <v>1.958108</v>
      </c>
      <c r="S1670" s="140">
        <v>22.4</v>
      </c>
      <c r="Y1670" s="67">
        <v>21</v>
      </c>
      <c r="Z1670" s="143"/>
      <c r="AA1670" s="68">
        <v>4.53</v>
      </c>
      <c r="AB1670" s="68">
        <v>0.60199999999999998</v>
      </c>
      <c r="AC1670" s="69">
        <v>6.9</v>
      </c>
      <c r="AD1670" s="140">
        <v>420</v>
      </c>
      <c r="AE1670" s="140">
        <v>420</v>
      </c>
      <c r="AF1670" s="138">
        <v>160</v>
      </c>
      <c r="AG1670" s="66">
        <f t="shared" si="69"/>
        <v>243.24857142857144</v>
      </c>
      <c r="AH1670" s="143">
        <f t="shared" si="70"/>
        <v>1000</v>
      </c>
    </row>
    <row r="1671" spans="1:34" x14ac:dyDescent="0.3">
      <c r="A1671" s="140">
        <v>903692</v>
      </c>
      <c r="B1671" s="138">
        <v>1</v>
      </c>
      <c r="D1671" s="152">
        <v>7.8285714285714292</v>
      </c>
      <c r="E1671" s="752">
        <v>0.13600000000000001</v>
      </c>
      <c r="F1671" s="140">
        <v>61.1</v>
      </c>
      <c r="G1671" s="139"/>
      <c r="H1671" s="142">
        <v>21.92</v>
      </c>
      <c r="I1671" s="142">
        <v>550</v>
      </c>
      <c r="J1671" s="141">
        <v>5.0999999999999997E-2</v>
      </c>
      <c r="K1671" s="138">
        <v>5.34</v>
      </c>
      <c r="L1671" s="140">
        <v>6300</v>
      </c>
      <c r="M1671" s="140">
        <v>0.2</v>
      </c>
      <c r="N1671" s="140">
        <v>3.34</v>
      </c>
      <c r="O1671" s="140">
        <v>27.01</v>
      </c>
      <c r="P1671" s="140">
        <v>17.2</v>
      </c>
      <c r="Q1671" s="141"/>
      <c r="R1671" s="139">
        <v>1.2883349027884889</v>
      </c>
      <c r="S1671" s="140">
        <v>9.6</v>
      </c>
      <c r="Y1671" s="67">
        <v>27.6</v>
      </c>
      <c r="Z1671" s="143"/>
      <c r="AA1671" s="68">
        <v>3.54</v>
      </c>
      <c r="AB1671" s="68">
        <v>0.81200000000000006</v>
      </c>
      <c r="AC1671" s="69">
        <v>7</v>
      </c>
      <c r="AD1671" s="140">
        <v>640</v>
      </c>
      <c r="AE1671" s="140">
        <v>290</v>
      </c>
      <c r="AF1671" s="138">
        <v>70</v>
      </c>
      <c r="AG1671" s="66">
        <f t="shared" si="69"/>
        <v>68.491304347826087</v>
      </c>
      <c r="AH1671" s="143">
        <f t="shared" si="70"/>
        <v>1000</v>
      </c>
    </row>
    <row r="1672" spans="1:34" x14ac:dyDescent="0.3">
      <c r="A1672" s="140">
        <v>903693</v>
      </c>
      <c r="B1672" s="138">
        <v>0.9</v>
      </c>
      <c r="D1672" s="152">
        <v>7.8190476190476197</v>
      </c>
      <c r="E1672" s="752">
        <v>0.125</v>
      </c>
      <c r="F1672" s="140">
        <v>47.1</v>
      </c>
      <c r="G1672" s="139"/>
      <c r="H1672" s="142">
        <v>8.76</v>
      </c>
      <c r="I1672" s="142">
        <v>490</v>
      </c>
      <c r="J1672" s="141">
        <v>6.6000000000000003E-2</v>
      </c>
      <c r="K1672" s="138">
        <v>4.95</v>
      </c>
      <c r="L1672" s="140">
        <v>6190</v>
      </c>
      <c r="M1672" s="140">
        <v>0.17</v>
      </c>
      <c r="N1672" s="140">
        <v>3.21</v>
      </c>
      <c r="O1672" s="140">
        <v>27.72</v>
      </c>
      <c r="P1672" s="140">
        <v>18.02</v>
      </c>
      <c r="Q1672" s="141"/>
      <c r="R1672" s="139">
        <v>1.1332061849399151</v>
      </c>
      <c r="S1672" s="140">
        <v>7.4</v>
      </c>
      <c r="Y1672" s="67">
        <v>28.6</v>
      </c>
      <c r="Z1672" s="143"/>
      <c r="AA1672" s="68">
        <v>3.71</v>
      </c>
      <c r="AB1672" s="68">
        <v>0.26800000000000002</v>
      </c>
      <c r="AC1672" s="69">
        <v>10.7</v>
      </c>
      <c r="AD1672" s="140">
        <v>660</v>
      </c>
      <c r="AE1672" s="140">
        <v>260</v>
      </c>
      <c r="AF1672" s="138">
        <v>80</v>
      </c>
      <c r="AG1672" s="66">
        <f t="shared" si="69"/>
        <v>61.269230769230766</v>
      </c>
      <c r="AH1672" s="143">
        <f t="shared" si="70"/>
        <v>1000</v>
      </c>
    </row>
    <row r="1673" spans="1:34" x14ac:dyDescent="0.3">
      <c r="A1673" s="140">
        <v>903694</v>
      </c>
      <c r="B1673" s="138">
        <v>0.3</v>
      </c>
      <c r="D1673" s="152">
        <v>7.9238095238095241</v>
      </c>
      <c r="E1673" s="752">
        <v>8.6999999999999994E-2</v>
      </c>
      <c r="F1673" s="140">
        <v>52.8</v>
      </c>
      <c r="G1673" s="139"/>
      <c r="H1673" s="142">
        <v>0.03</v>
      </c>
      <c r="I1673" s="142">
        <v>420</v>
      </c>
      <c r="J1673" s="141">
        <v>0.06</v>
      </c>
      <c r="K1673" s="138">
        <v>6.97</v>
      </c>
      <c r="L1673" s="140">
        <v>4820</v>
      </c>
      <c r="M1673" s="140">
        <v>0.1</v>
      </c>
      <c r="N1673" s="140">
        <v>2.67</v>
      </c>
      <c r="O1673" s="140">
        <v>22.32</v>
      </c>
      <c r="P1673" s="140">
        <v>14.89</v>
      </c>
      <c r="Q1673" s="141"/>
      <c r="R1673" s="139">
        <v>1.0390287006643029</v>
      </c>
      <c r="S1673" s="140">
        <v>7.1</v>
      </c>
      <c r="Y1673" s="67">
        <v>25.5</v>
      </c>
      <c r="Z1673" s="143"/>
      <c r="AA1673" s="68">
        <v>4.75</v>
      </c>
      <c r="AB1673" s="68">
        <v>0.66600000000000004</v>
      </c>
      <c r="AC1673" s="69">
        <v>8.8000000000000007</v>
      </c>
      <c r="AD1673" s="140">
        <v>650</v>
      </c>
      <c r="AE1673" s="140">
        <v>260</v>
      </c>
      <c r="AF1673" s="138">
        <v>90</v>
      </c>
      <c r="AG1673" s="66">
        <f t="shared" si="69"/>
        <v>96.76</v>
      </c>
      <c r="AH1673" s="143">
        <f t="shared" si="70"/>
        <v>1000</v>
      </c>
    </row>
    <row r="1674" spans="1:34" x14ac:dyDescent="0.3">
      <c r="A1674" s="140">
        <v>903695</v>
      </c>
      <c r="B1674" s="138">
        <v>0.9</v>
      </c>
      <c r="D1674" s="152">
        <v>8.0476190476190474</v>
      </c>
      <c r="E1674" s="752">
        <v>0.127</v>
      </c>
      <c r="F1674" s="140">
        <v>174.5</v>
      </c>
      <c r="G1674" s="139"/>
      <c r="H1674" s="142">
        <v>2.93</v>
      </c>
      <c r="I1674" s="142">
        <v>320</v>
      </c>
      <c r="J1674" s="141">
        <v>7.1999999999999995E-2</v>
      </c>
      <c r="K1674" s="138">
        <v>7.45</v>
      </c>
      <c r="L1674" s="140">
        <v>4960</v>
      </c>
      <c r="M1674" s="140">
        <v>0.09</v>
      </c>
      <c r="N1674" s="140">
        <v>2.81</v>
      </c>
      <c r="O1674" s="140">
        <v>23.68</v>
      </c>
      <c r="P1674" s="140">
        <v>16.38</v>
      </c>
      <c r="Q1674" s="141"/>
      <c r="R1674" s="139">
        <v>0.79513083271237395</v>
      </c>
      <c r="S1674" s="140">
        <v>5.6</v>
      </c>
      <c r="Y1674" s="67">
        <v>29.6</v>
      </c>
      <c r="Z1674" s="143"/>
      <c r="AA1674" s="68">
        <v>4.05</v>
      </c>
      <c r="AB1674" s="68">
        <v>0.80500000000000005</v>
      </c>
      <c r="AC1674" s="69">
        <v>7</v>
      </c>
      <c r="AD1674" s="140">
        <v>660</v>
      </c>
      <c r="AE1674" s="140">
        <v>260</v>
      </c>
      <c r="AF1674" s="138">
        <v>80</v>
      </c>
      <c r="AG1674" s="66">
        <f t="shared" si="69"/>
        <v>89.097972972972968</v>
      </c>
      <c r="AH1674" s="143">
        <f t="shared" si="70"/>
        <v>1000</v>
      </c>
    </row>
    <row r="1675" spans="1:34" x14ac:dyDescent="0.3">
      <c r="A1675" s="140">
        <v>903696</v>
      </c>
      <c r="F1675" s="140"/>
      <c r="G1675" s="139"/>
      <c r="Q1675" s="141"/>
      <c r="S1675" s="140"/>
      <c r="Y1675" s="67">
        <v>0</v>
      </c>
      <c r="Z1675" s="143"/>
      <c r="AA1675" s="68">
        <v>4.76</v>
      </c>
      <c r="AB1675" s="68">
        <v>0.83099999999999996</v>
      </c>
      <c r="AC1675" s="69">
        <v>7.4</v>
      </c>
      <c r="AD1675" s="140"/>
      <c r="AE1675" s="140"/>
      <c r="AF1675" s="138"/>
      <c r="AG1675" s="66" t="e">
        <f t="shared" si="69"/>
        <v>#DIV/0!</v>
      </c>
      <c r="AH1675" s="143">
        <f t="shared" si="70"/>
        <v>0</v>
      </c>
    </row>
    <row r="1676" spans="1:34" s="114" customFormat="1" x14ac:dyDescent="0.3">
      <c r="A1676" s="114">
        <v>903697</v>
      </c>
      <c r="B1676" s="310">
        <v>50</v>
      </c>
      <c r="C1676" s="138">
        <v>10.5</v>
      </c>
      <c r="D1676" s="311">
        <v>8.2666666666666657</v>
      </c>
      <c r="E1676" s="1543">
        <v>0.92</v>
      </c>
      <c r="F1676" s="114">
        <v>995.9</v>
      </c>
      <c r="G1676" s="311"/>
      <c r="H1676" s="313">
        <v>1.96</v>
      </c>
      <c r="I1676" s="313">
        <v>130</v>
      </c>
      <c r="J1676" s="312">
        <v>0.78200000000000003</v>
      </c>
      <c r="K1676" s="310">
        <v>8.75</v>
      </c>
      <c r="L1676" s="114">
        <v>1200</v>
      </c>
      <c r="M1676" s="114">
        <v>0.14000000000000001</v>
      </c>
      <c r="N1676" s="114">
        <v>0.35</v>
      </c>
      <c r="O1676" s="114">
        <v>7.16</v>
      </c>
      <c r="P1676" s="114">
        <v>1.46</v>
      </c>
      <c r="Q1676" s="312"/>
      <c r="R1676" s="311">
        <v>0.31659959608108657</v>
      </c>
      <c r="S1676" s="114">
        <v>2.1</v>
      </c>
      <c r="Y1676" s="314">
        <v>29.5</v>
      </c>
      <c r="Z1676" s="315"/>
      <c r="AA1676" s="311">
        <v>4.75</v>
      </c>
      <c r="AB1676" s="311">
        <v>0.318</v>
      </c>
      <c r="AC1676" s="114">
        <v>7.5</v>
      </c>
      <c r="AD1676" s="114">
        <v>600</v>
      </c>
      <c r="AE1676" s="114">
        <v>260</v>
      </c>
      <c r="AF1676" s="310">
        <v>140</v>
      </c>
      <c r="AG1676" s="66">
        <f t="shared" si="69"/>
        <v>105</v>
      </c>
      <c r="AH1676" s="143">
        <f t="shared" si="70"/>
        <v>1000</v>
      </c>
    </row>
    <row r="1677" spans="1:34" s="114" customFormat="1" x14ac:dyDescent="0.3">
      <c r="A1677" s="114">
        <v>903698</v>
      </c>
      <c r="B1677" s="310">
        <v>38.299999999999997</v>
      </c>
      <c r="C1677" s="138">
        <v>8.0429999999999993</v>
      </c>
      <c r="D1677" s="311">
        <v>8.0761904761904759</v>
      </c>
      <c r="E1677" s="1543">
        <v>3.12</v>
      </c>
      <c r="F1677" s="114">
        <v>3206.1</v>
      </c>
      <c r="G1677" s="311"/>
      <c r="H1677" s="313">
        <v>4.5199999999999996</v>
      </c>
      <c r="I1677" s="313">
        <v>160</v>
      </c>
      <c r="J1677" s="312">
        <v>1.9550000000000001</v>
      </c>
      <c r="K1677" s="310">
        <v>14.43</v>
      </c>
      <c r="L1677" s="114">
        <v>2120</v>
      </c>
      <c r="M1677" s="114">
        <v>0.12</v>
      </c>
      <c r="N1677" s="114">
        <v>0.55000000000000004</v>
      </c>
      <c r="O1677" s="114">
        <v>9.42</v>
      </c>
      <c r="P1677" s="114">
        <v>1.84</v>
      </c>
      <c r="Q1677" s="312"/>
      <c r="R1677" s="311">
        <v>0.25792877366642747</v>
      </c>
      <c r="S1677" s="114">
        <v>1.7</v>
      </c>
      <c r="Y1677" s="314">
        <v>28.5</v>
      </c>
      <c r="Z1677" s="315"/>
      <c r="AA1677" s="311">
        <v>4.62</v>
      </c>
      <c r="AB1677" s="311">
        <v>0.57599999999999996</v>
      </c>
      <c r="AC1677" s="114">
        <v>11.8</v>
      </c>
      <c r="AD1677" s="114">
        <v>540</v>
      </c>
      <c r="AE1677" s="114">
        <v>260</v>
      </c>
      <c r="AF1677" s="310">
        <v>200</v>
      </c>
      <c r="AG1677" s="66">
        <f t="shared" si="69"/>
        <v>179.23578947368421</v>
      </c>
      <c r="AH1677" s="143">
        <f t="shared" si="70"/>
        <v>1000</v>
      </c>
    </row>
    <row r="1678" spans="1:34" x14ac:dyDescent="0.3">
      <c r="A1678" s="140">
        <v>903699</v>
      </c>
      <c r="B1678" s="138">
        <v>18.100000000000001</v>
      </c>
      <c r="C1678" s="138">
        <v>3.8010000000000002</v>
      </c>
      <c r="D1678" s="152">
        <v>8.5238095238095219</v>
      </c>
      <c r="E1678" s="752">
        <v>0.33800000000000002</v>
      </c>
      <c r="F1678" s="140">
        <v>272.8</v>
      </c>
      <c r="G1678" s="139"/>
      <c r="H1678" s="142">
        <v>11.8</v>
      </c>
      <c r="I1678" s="142">
        <v>220</v>
      </c>
      <c r="J1678" s="141">
        <v>0.27900000000000003</v>
      </c>
      <c r="K1678" s="138">
        <v>6.66</v>
      </c>
      <c r="L1678" s="140">
        <v>880</v>
      </c>
      <c r="M1678" s="140">
        <v>0.26</v>
      </c>
      <c r="N1678" s="140">
        <v>0.33</v>
      </c>
      <c r="O1678" s="140">
        <v>8.65</v>
      </c>
      <c r="P1678" s="140">
        <v>1.59</v>
      </c>
      <c r="Q1678" s="141"/>
      <c r="R1678" s="139">
        <v>0.34931627168042362</v>
      </c>
      <c r="S1678" s="140">
        <v>2.6</v>
      </c>
      <c r="Y1678" s="67">
        <v>4.9000000000000004</v>
      </c>
      <c r="Z1678" s="143"/>
      <c r="AA1678" s="68">
        <v>3.76</v>
      </c>
      <c r="AB1678" s="68">
        <v>0.55300000000000005</v>
      </c>
      <c r="AC1678" s="69">
        <v>11</v>
      </c>
      <c r="AD1678" s="140">
        <v>70</v>
      </c>
      <c r="AE1678" s="140">
        <v>60</v>
      </c>
      <c r="AF1678" s="138">
        <v>870</v>
      </c>
      <c r="AG1678" s="66">
        <f t="shared" si="69"/>
        <v>481.15102040816322</v>
      </c>
      <c r="AH1678" s="143">
        <f t="shared" si="70"/>
        <v>1000</v>
      </c>
    </row>
    <row r="1679" spans="1:34" s="114" customFormat="1" x14ac:dyDescent="0.3">
      <c r="A1679" s="114">
        <v>903700</v>
      </c>
      <c r="B1679" s="310">
        <v>39.5</v>
      </c>
      <c r="C1679" s="138">
        <v>8.2949999999999999</v>
      </c>
      <c r="D1679" s="311">
        <v>7.8666666666666663</v>
      </c>
      <c r="E1679" s="1543">
        <v>4.93</v>
      </c>
      <c r="F1679" s="114">
        <v>5224.1000000000004</v>
      </c>
      <c r="G1679" s="311"/>
      <c r="H1679" s="313">
        <v>2.0099999999999998</v>
      </c>
      <c r="I1679" s="313">
        <v>150</v>
      </c>
      <c r="J1679" s="312">
        <v>3.21</v>
      </c>
      <c r="K1679" s="310">
        <v>13.01</v>
      </c>
      <c r="L1679" s="114">
        <v>2640</v>
      </c>
      <c r="M1679" s="114">
        <v>0.17</v>
      </c>
      <c r="N1679" s="114">
        <v>0.38</v>
      </c>
      <c r="O1679" s="114">
        <v>29.67</v>
      </c>
      <c r="P1679" s="114">
        <v>1.1599999999999999</v>
      </c>
      <c r="Q1679" s="312"/>
      <c r="R1679" s="311">
        <v>0.4465829894235509</v>
      </c>
      <c r="S1679" s="114">
        <v>3.3</v>
      </c>
      <c r="Y1679" s="314">
        <v>40.6</v>
      </c>
      <c r="Z1679" s="315"/>
      <c r="AA1679" s="311">
        <v>4.55</v>
      </c>
      <c r="AB1679" s="311">
        <v>0.46800000000000003</v>
      </c>
      <c r="AC1679" s="114">
        <v>7.8</v>
      </c>
      <c r="AD1679" s="114">
        <v>580</v>
      </c>
      <c r="AE1679" s="114">
        <v>270</v>
      </c>
      <c r="AF1679" s="310">
        <v>150</v>
      </c>
      <c r="AG1679" s="66">
        <f t="shared" si="69"/>
        <v>113.43694581280788</v>
      </c>
      <c r="AH1679" s="143">
        <f t="shared" si="70"/>
        <v>1000</v>
      </c>
    </row>
    <row r="1680" spans="1:34" s="114" customFormat="1" x14ac:dyDescent="0.3">
      <c r="A1680" s="114">
        <v>903701</v>
      </c>
      <c r="B1680" s="310">
        <v>16.399999999999999</v>
      </c>
      <c r="C1680" s="138">
        <v>3.4439999999999995</v>
      </c>
      <c r="D1680" s="311">
        <v>7.9714285714285706</v>
      </c>
      <c r="E1680" s="1543">
        <v>2.11</v>
      </c>
      <c r="F1680" s="114">
        <v>2684.1</v>
      </c>
      <c r="G1680" s="311"/>
      <c r="H1680" s="313">
        <v>0.15</v>
      </c>
      <c r="I1680" s="313">
        <v>150</v>
      </c>
      <c r="J1680" s="312">
        <v>1.4139999999999999</v>
      </c>
      <c r="K1680" s="310">
        <v>16.71</v>
      </c>
      <c r="L1680" s="114">
        <v>1880</v>
      </c>
      <c r="M1680" s="114">
        <v>0.35</v>
      </c>
      <c r="N1680" s="114">
        <v>0.49</v>
      </c>
      <c r="O1680" s="114">
        <v>19.64</v>
      </c>
      <c r="P1680" s="114">
        <v>1.82</v>
      </c>
      <c r="Q1680" s="312"/>
      <c r="R1680" s="311">
        <v>0.42353226536056082</v>
      </c>
      <c r="S1680" s="114">
        <v>2.8</v>
      </c>
      <c r="Y1680" s="314">
        <v>10</v>
      </c>
      <c r="Z1680" s="315"/>
      <c r="AA1680" s="311">
        <v>4.55</v>
      </c>
      <c r="AB1680" s="311">
        <v>0.65700000000000003</v>
      </c>
      <c r="AC1680" s="114">
        <v>9.5</v>
      </c>
      <c r="AD1680" s="114">
        <v>200</v>
      </c>
      <c r="AE1680" s="114">
        <v>180</v>
      </c>
      <c r="AF1680" s="310">
        <v>620</v>
      </c>
      <c r="AG1680" s="66">
        <f t="shared" si="69"/>
        <v>591.53399999999999</v>
      </c>
      <c r="AH1680" s="143">
        <f t="shared" si="70"/>
        <v>1000</v>
      </c>
    </row>
    <row r="1681" spans="1:34" s="318" customFormat="1" x14ac:dyDescent="0.3">
      <c r="A1681" s="317">
        <v>903703</v>
      </c>
      <c r="B1681" s="319">
        <v>7.416666666666667</v>
      </c>
      <c r="C1681" s="319"/>
      <c r="D1681" s="321">
        <v>7.980952380952381</v>
      </c>
      <c r="E1681" s="1544">
        <v>3.29</v>
      </c>
      <c r="F1681" s="319">
        <v>4047</v>
      </c>
      <c r="G1681" s="320"/>
      <c r="H1681" s="320">
        <v>33.1</v>
      </c>
      <c r="I1681" s="320">
        <v>347</v>
      </c>
      <c r="J1681" s="320">
        <v>2.35</v>
      </c>
      <c r="K1681" s="320">
        <v>10.7</v>
      </c>
      <c r="L1681" s="320">
        <v>1903</v>
      </c>
      <c r="M1681" s="320">
        <v>0.54</v>
      </c>
      <c r="N1681" s="320">
        <v>1.05</v>
      </c>
      <c r="O1681" s="320">
        <v>6.44</v>
      </c>
      <c r="P1681" s="320">
        <v>2.67</v>
      </c>
      <c r="Q1681" s="320"/>
      <c r="R1681" s="321">
        <v>1.291565353269774</v>
      </c>
      <c r="S1681" s="320">
        <v>9</v>
      </c>
      <c r="T1681" s="320"/>
      <c r="U1681" s="320"/>
      <c r="V1681" s="320"/>
      <c r="W1681" s="320"/>
      <c r="X1681" s="320"/>
      <c r="Y1681" s="67">
        <v>34.299999999999997</v>
      </c>
      <c r="Z1681" s="320"/>
      <c r="AA1681" s="321"/>
      <c r="AB1681" s="321"/>
      <c r="AC1681" s="320"/>
      <c r="AD1681" s="322">
        <v>490</v>
      </c>
      <c r="AE1681" s="320">
        <v>410</v>
      </c>
      <c r="AF1681" s="320">
        <v>100</v>
      </c>
      <c r="AG1681" s="66">
        <f t="shared" si="69"/>
        <v>110.43148688046648</v>
      </c>
      <c r="AH1681" s="143">
        <f t="shared" si="70"/>
        <v>1000</v>
      </c>
    </row>
    <row r="1682" spans="1:34" s="318" customFormat="1" x14ac:dyDescent="0.3">
      <c r="A1682" s="317">
        <v>903704</v>
      </c>
      <c r="B1682" s="319">
        <v>4.416666666666667</v>
      </c>
      <c r="C1682" s="319"/>
      <c r="D1682" s="321">
        <v>7.8476190476190473</v>
      </c>
      <c r="E1682" s="1544">
        <v>0.17699999999999999</v>
      </c>
      <c r="F1682" s="319">
        <v>60.599999999999994</v>
      </c>
      <c r="G1682" s="320"/>
      <c r="H1682" s="320">
        <v>125.5</v>
      </c>
      <c r="I1682" s="320">
        <v>163</v>
      </c>
      <c r="J1682" s="320">
        <v>5.3999999999999999E-2</v>
      </c>
      <c r="K1682" s="320">
        <v>3.79</v>
      </c>
      <c r="L1682" s="320">
        <v>126</v>
      </c>
      <c r="M1682" s="320">
        <v>3.22</v>
      </c>
      <c r="N1682" s="320">
        <v>0.62</v>
      </c>
      <c r="O1682" s="320">
        <v>4.2699999999999996</v>
      </c>
      <c r="P1682" s="320">
        <v>7.81</v>
      </c>
      <c r="Q1682" s="320"/>
      <c r="R1682" s="321">
        <v>1.2542305669866334</v>
      </c>
      <c r="S1682" s="320">
        <v>8.9</v>
      </c>
      <c r="T1682" s="320"/>
      <c r="U1682" s="320"/>
      <c r="V1682" s="320"/>
      <c r="W1682" s="320"/>
      <c r="X1682" s="320"/>
      <c r="Y1682" s="67">
        <v>4.2</v>
      </c>
      <c r="Z1682" s="320"/>
      <c r="AA1682" s="321"/>
      <c r="AB1682" s="321"/>
      <c r="AC1682" s="320"/>
      <c r="AD1682" s="322">
        <v>60</v>
      </c>
      <c r="AE1682" s="320">
        <v>60</v>
      </c>
      <c r="AF1682" s="320">
        <v>880</v>
      </c>
      <c r="AG1682" s="66">
        <f t="shared" si="69"/>
        <v>319.44285714285712</v>
      </c>
      <c r="AH1682" s="143">
        <f t="shared" si="70"/>
        <v>1000</v>
      </c>
    </row>
    <row r="1683" spans="1:34" s="318" customFormat="1" x14ac:dyDescent="0.3">
      <c r="A1683" s="317">
        <v>903705</v>
      </c>
      <c r="B1683" s="319">
        <v>2.3666666666666667</v>
      </c>
      <c r="C1683" s="319"/>
      <c r="D1683" s="321">
        <v>7.8761904761904757</v>
      </c>
      <c r="E1683" s="1544">
        <v>0.375</v>
      </c>
      <c r="F1683" s="319">
        <v>213.9</v>
      </c>
      <c r="G1683" s="320"/>
      <c r="H1683" s="320">
        <v>204.88</v>
      </c>
      <c r="I1683" s="320">
        <v>548</v>
      </c>
      <c r="J1683" s="320">
        <v>0.23</v>
      </c>
      <c r="K1683" s="320">
        <v>4.63</v>
      </c>
      <c r="L1683" s="320">
        <v>226</v>
      </c>
      <c r="M1683" s="320">
        <v>3.84</v>
      </c>
      <c r="N1683" s="320">
        <v>1.23</v>
      </c>
      <c r="O1683" s="320">
        <v>4.47</v>
      </c>
      <c r="P1683" s="320">
        <v>10.02</v>
      </c>
      <c r="Q1683" s="320"/>
      <c r="R1683" s="321">
        <v>1.706472</v>
      </c>
      <c r="S1683" s="320">
        <v>13.799999999999999</v>
      </c>
      <c r="T1683" s="320"/>
      <c r="U1683" s="320"/>
      <c r="V1683" s="320"/>
      <c r="W1683" s="320"/>
      <c r="X1683" s="320"/>
      <c r="Y1683" s="67">
        <v>3</v>
      </c>
      <c r="Z1683" s="320"/>
      <c r="AA1683" s="321"/>
      <c r="AB1683" s="321"/>
      <c r="AC1683" s="320"/>
      <c r="AD1683" s="322">
        <v>60</v>
      </c>
      <c r="AE1683" s="320">
        <v>70</v>
      </c>
      <c r="AF1683" s="320">
        <v>870</v>
      </c>
      <c r="AG1683" s="66">
        <f t="shared" si="69"/>
        <v>546.34</v>
      </c>
      <c r="AH1683" s="143">
        <f t="shared" si="70"/>
        <v>1000</v>
      </c>
    </row>
    <row r="1684" spans="1:34" s="318" customFormat="1" x14ac:dyDescent="0.3">
      <c r="A1684" s="317">
        <v>903706</v>
      </c>
      <c r="B1684" s="319">
        <v>0.86666666666666681</v>
      </c>
      <c r="C1684" s="319"/>
      <c r="D1684" s="321">
        <v>8.038095238095238</v>
      </c>
      <c r="E1684" s="1544">
        <v>9.9000000000000005E-2</v>
      </c>
      <c r="F1684" s="319">
        <v>46.95</v>
      </c>
      <c r="G1684" s="320"/>
      <c r="H1684" s="320">
        <v>62.07</v>
      </c>
      <c r="I1684" s="320">
        <v>113</v>
      </c>
      <c r="J1684" s="320">
        <v>3.2000000000000001E-2</v>
      </c>
      <c r="K1684" s="320">
        <v>3.04</v>
      </c>
      <c r="L1684" s="320">
        <v>192</v>
      </c>
      <c r="M1684" s="320">
        <v>1.27</v>
      </c>
      <c r="N1684" s="320">
        <v>0.39</v>
      </c>
      <c r="O1684" s="320">
        <v>7.5</v>
      </c>
      <c r="P1684" s="320">
        <v>6.57</v>
      </c>
      <c r="Q1684" s="320"/>
      <c r="R1684" s="321">
        <v>1.9062170000000001</v>
      </c>
      <c r="S1684" s="320">
        <v>20.299999999999997</v>
      </c>
      <c r="T1684" s="320"/>
      <c r="U1684" s="320"/>
      <c r="V1684" s="320"/>
      <c r="W1684" s="320"/>
      <c r="X1684" s="320"/>
      <c r="Y1684" s="67">
        <v>5.6</v>
      </c>
      <c r="Z1684" s="320"/>
      <c r="AA1684" s="321"/>
      <c r="AB1684" s="321"/>
      <c r="AC1684" s="320"/>
      <c r="AD1684" s="322">
        <v>80</v>
      </c>
      <c r="AE1684" s="320">
        <v>60</v>
      </c>
      <c r="AF1684" s="320">
        <v>860</v>
      </c>
      <c r="AG1684" s="66">
        <f t="shared" si="69"/>
        <v>192.17142857142855</v>
      </c>
      <c r="AH1684" s="143">
        <f t="shared" si="70"/>
        <v>1000</v>
      </c>
    </row>
    <row r="1685" spans="1:34" s="318" customFormat="1" x14ac:dyDescent="0.3">
      <c r="A1685" s="317">
        <v>903707</v>
      </c>
      <c r="B1685" s="319">
        <v>43.666666666666664</v>
      </c>
      <c r="C1685" s="319">
        <v>7.625</v>
      </c>
      <c r="D1685" s="321">
        <v>8.5904761904761902</v>
      </c>
      <c r="E1685" s="1544">
        <v>9.6000000000000002E-2</v>
      </c>
      <c r="F1685" s="319">
        <v>37.85</v>
      </c>
      <c r="G1685" s="320"/>
      <c r="H1685" s="320">
        <v>3.19</v>
      </c>
      <c r="I1685" s="320">
        <v>34</v>
      </c>
      <c r="J1685" s="320">
        <v>5.5E-2</v>
      </c>
      <c r="K1685" s="320">
        <v>7.93</v>
      </c>
      <c r="L1685" s="320">
        <v>94</v>
      </c>
      <c r="M1685" s="320">
        <v>0.18</v>
      </c>
      <c r="N1685" s="320">
        <v>0.35</v>
      </c>
      <c r="O1685" s="320">
        <v>2.14</v>
      </c>
      <c r="P1685" s="320">
        <v>2.2200000000000002</v>
      </c>
      <c r="Q1685" s="320"/>
      <c r="R1685" s="321">
        <v>0.30076295661864599</v>
      </c>
      <c r="S1685" s="320">
        <v>2.2000000000000002</v>
      </c>
      <c r="T1685" s="320"/>
      <c r="U1685" s="320"/>
      <c r="V1685" s="320"/>
      <c r="W1685" s="320"/>
      <c r="X1685" s="320"/>
      <c r="Y1685" s="67">
        <v>5</v>
      </c>
      <c r="Z1685" s="320"/>
      <c r="AA1685" s="321"/>
      <c r="AB1685" s="321"/>
      <c r="AC1685" s="320"/>
      <c r="AD1685" s="322">
        <v>100</v>
      </c>
      <c r="AE1685" s="320">
        <v>80</v>
      </c>
      <c r="AF1685" s="320">
        <v>820</v>
      </c>
      <c r="AG1685" s="66">
        <f t="shared" si="69"/>
        <v>561.44399999999996</v>
      </c>
      <c r="AH1685" s="143">
        <f t="shared" si="70"/>
        <v>1000</v>
      </c>
    </row>
    <row r="1686" spans="1:34" s="318" customFormat="1" x14ac:dyDescent="0.3">
      <c r="A1686" s="317">
        <v>903708</v>
      </c>
      <c r="B1686" s="319">
        <v>14.08333333333333</v>
      </c>
      <c r="C1686" s="319">
        <v>7.1249999999999991</v>
      </c>
      <c r="D1686" s="321">
        <v>8.2476190476190467</v>
      </c>
      <c r="E1686" s="1544">
        <v>0.222</v>
      </c>
      <c r="F1686" s="319">
        <v>79.400000000000006</v>
      </c>
      <c r="G1686" s="320"/>
      <c r="H1686" s="320">
        <v>36.479999999999997</v>
      </c>
      <c r="I1686" s="320">
        <v>239</v>
      </c>
      <c r="J1686" s="320">
        <v>0.15</v>
      </c>
      <c r="K1686" s="320">
        <v>9.57</v>
      </c>
      <c r="L1686" s="320">
        <v>391</v>
      </c>
      <c r="M1686" s="320">
        <v>0.23</v>
      </c>
      <c r="N1686" s="320">
        <v>0.56999999999999995</v>
      </c>
      <c r="O1686" s="320">
        <v>2.2200000000000002</v>
      </c>
      <c r="P1686" s="320">
        <v>2.17</v>
      </c>
      <c r="Q1686" s="320"/>
      <c r="R1686" s="321">
        <v>1.3992559407004932</v>
      </c>
      <c r="S1686" s="320">
        <v>10</v>
      </c>
      <c r="T1686" s="320"/>
      <c r="U1686" s="320"/>
      <c r="V1686" s="320"/>
      <c r="W1686" s="320"/>
      <c r="X1686" s="320"/>
      <c r="Y1686" s="67">
        <v>30</v>
      </c>
      <c r="Z1686" s="320"/>
      <c r="AA1686" s="321"/>
      <c r="AB1686" s="321"/>
      <c r="AC1686" s="320"/>
      <c r="AD1686" s="322">
        <v>500</v>
      </c>
      <c r="AE1686" s="320">
        <v>360</v>
      </c>
      <c r="AF1686" s="320">
        <v>140</v>
      </c>
      <c r="AG1686" s="66">
        <f t="shared" si="69"/>
        <v>112.926</v>
      </c>
      <c r="AH1686" s="143">
        <f t="shared" si="70"/>
        <v>1000</v>
      </c>
    </row>
    <row r="1687" spans="1:34" s="318" customFormat="1" x14ac:dyDescent="0.3">
      <c r="A1687" s="317">
        <v>903709</v>
      </c>
      <c r="B1687" s="319">
        <v>12.125</v>
      </c>
      <c r="C1687" s="319">
        <v>4.4999999999999973</v>
      </c>
      <c r="D1687" s="321">
        <v>8.1047619047619044</v>
      </c>
      <c r="E1687" s="1544">
        <v>0.253</v>
      </c>
      <c r="F1687" s="319">
        <v>150.05000000000001</v>
      </c>
      <c r="G1687" s="320"/>
      <c r="H1687" s="320">
        <v>51.25</v>
      </c>
      <c r="I1687" s="320">
        <v>285</v>
      </c>
      <c r="J1687" s="320">
        <v>0.13300000000000001</v>
      </c>
      <c r="K1687" s="320">
        <v>10.08</v>
      </c>
      <c r="L1687" s="320">
        <v>414</v>
      </c>
      <c r="M1687" s="320">
        <v>0.34</v>
      </c>
      <c r="N1687" s="320">
        <v>0.75</v>
      </c>
      <c r="O1687" s="320">
        <v>3.57</v>
      </c>
      <c r="P1687" s="320">
        <v>2.63</v>
      </c>
      <c r="Q1687" s="320"/>
      <c r="R1687" s="321">
        <v>1.39092897125607</v>
      </c>
      <c r="S1687" s="320">
        <v>10.1</v>
      </c>
      <c r="T1687" s="320"/>
      <c r="U1687" s="320"/>
      <c r="V1687" s="320"/>
      <c r="W1687" s="320"/>
      <c r="X1687" s="320"/>
      <c r="Y1687" s="67">
        <v>31.2</v>
      </c>
      <c r="Z1687" s="320"/>
      <c r="AA1687" s="321"/>
      <c r="AB1687" s="321"/>
      <c r="AC1687" s="320"/>
      <c r="AD1687" s="322">
        <v>520</v>
      </c>
      <c r="AE1687" s="320">
        <v>350</v>
      </c>
      <c r="AF1687" s="320">
        <v>130</v>
      </c>
      <c r="AG1687" s="66">
        <f t="shared" si="69"/>
        <v>114.36923076923077</v>
      </c>
      <c r="AH1687" s="143">
        <f t="shared" si="70"/>
        <v>1000</v>
      </c>
    </row>
    <row r="1688" spans="1:34" s="318" customFormat="1" x14ac:dyDescent="0.3">
      <c r="A1688" s="317">
        <v>903710</v>
      </c>
      <c r="B1688" s="319">
        <v>0.16666666666666666</v>
      </c>
      <c r="C1688" s="319"/>
      <c r="D1688" s="321">
        <v>7.4380952380952374</v>
      </c>
      <c r="E1688" s="1544">
        <v>5.3999999999999999E-2</v>
      </c>
      <c r="F1688" s="319">
        <v>35.550000000000004</v>
      </c>
      <c r="G1688" s="320"/>
      <c r="H1688" s="320">
        <v>121.49</v>
      </c>
      <c r="I1688" s="320">
        <v>182</v>
      </c>
      <c r="J1688" s="320">
        <v>1.9E-2</v>
      </c>
      <c r="K1688" s="320">
        <v>3.62</v>
      </c>
      <c r="L1688" s="320">
        <v>755</v>
      </c>
      <c r="M1688" s="320">
        <v>1.36</v>
      </c>
      <c r="N1688" s="320">
        <v>1.3</v>
      </c>
      <c r="O1688" s="320">
        <v>6.37</v>
      </c>
      <c r="P1688" s="320">
        <v>29.18</v>
      </c>
      <c r="Q1688" s="320"/>
      <c r="R1688" s="321">
        <v>1.6369130000000001</v>
      </c>
      <c r="S1688" s="320">
        <v>11.899999999999999</v>
      </c>
      <c r="T1688" s="320"/>
      <c r="U1688" s="320"/>
      <c r="V1688" s="320"/>
      <c r="W1688" s="320"/>
      <c r="X1688" s="320"/>
      <c r="Y1688" s="67">
        <v>11.5</v>
      </c>
      <c r="Z1688" s="320"/>
      <c r="AA1688" s="321"/>
      <c r="AB1688" s="321"/>
      <c r="AC1688" s="320"/>
      <c r="AD1688" s="322">
        <v>570</v>
      </c>
      <c r="AE1688" s="320">
        <v>300</v>
      </c>
      <c r="AF1688" s="320">
        <v>130</v>
      </c>
      <c r="AG1688" s="66">
        <f t="shared" si="69"/>
        <v>111.43304347826087</v>
      </c>
      <c r="AH1688" s="143">
        <f t="shared" si="70"/>
        <v>1000</v>
      </c>
    </row>
    <row r="1689" spans="1:34" s="318" customFormat="1" x14ac:dyDescent="0.3">
      <c r="A1689" s="317">
        <v>903711</v>
      </c>
      <c r="B1689" s="319">
        <v>3.35</v>
      </c>
      <c r="C1689" s="319"/>
      <c r="D1689" s="321">
        <v>7.8857142857142843</v>
      </c>
      <c r="E1689" s="1544">
        <v>0.14000000000000001</v>
      </c>
      <c r="F1689" s="319">
        <v>7.7</v>
      </c>
      <c r="G1689" s="320"/>
      <c r="H1689" s="320">
        <v>86.3</v>
      </c>
      <c r="I1689" s="320">
        <v>274</v>
      </c>
      <c r="J1689" s="320">
        <v>3.9E-2</v>
      </c>
      <c r="K1689" s="320">
        <v>6.47</v>
      </c>
      <c r="L1689" s="320">
        <v>909</v>
      </c>
      <c r="M1689" s="320">
        <v>1.29</v>
      </c>
      <c r="N1689" s="320">
        <v>1.88</v>
      </c>
      <c r="O1689" s="320">
        <v>6.09</v>
      </c>
      <c r="P1689" s="320">
        <v>24</v>
      </c>
      <c r="Q1689" s="320"/>
      <c r="R1689" s="321">
        <v>1.5903770000000002</v>
      </c>
      <c r="S1689" s="320">
        <v>10.700000000000001</v>
      </c>
      <c r="T1689" s="320"/>
      <c r="U1689" s="320"/>
      <c r="V1689" s="320"/>
      <c r="W1689" s="320"/>
      <c r="X1689" s="320"/>
      <c r="Y1689" s="67">
        <v>21.3</v>
      </c>
      <c r="Z1689" s="320"/>
      <c r="AA1689" s="321"/>
      <c r="AB1689" s="321"/>
      <c r="AC1689" s="320"/>
      <c r="AD1689" s="322">
        <v>580</v>
      </c>
      <c r="AE1689" s="320">
        <v>250</v>
      </c>
      <c r="AF1689" s="320">
        <v>170</v>
      </c>
      <c r="AG1689" s="66">
        <f t="shared" si="69"/>
        <v>107.52957746478873</v>
      </c>
      <c r="AH1689" s="143">
        <f t="shared" si="70"/>
        <v>1000</v>
      </c>
    </row>
    <row r="1690" spans="1:34" s="318" customFormat="1" x14ac:dyDescent="0.3">
      <c r="A1690" s="317">
        <v>903712</v>
      </c>
      <c r="B1690" s="319">
        <v>14.583333333333332</v>
      </c>
      <c r="C1690" s="319">
        <v>3.9999999999999991</v>
      </c>
      <c r="D1690" s="321">
        <v>8.1428571428571423</v>
      </c>
      <c r="E1690" s="1544">
        <v>0.127</v>
      </c>
      <c r="F1690" s="319">
        <v>36.700000000000003</v>
      </c>
      <c r="G1690" s="320"/>
      <c r="H1690" s="320">
        <v>29.17</v>
      </c>
      <c r="I1690" s="320">
        <v>233</v>
      </c>
      <c r="J1690" s="320">
        <v>3.3000000000000002E-2</v>
      </c>
      <c r="K1690" s="320">
        <v>7.8</v>
      </c>
      <c r="L1690" s="320">
        <v>681</v>
      </c>
      <c r="M1690" s="320">
        <v>0.91</v>
      </c>
      <c r="N1690" s="320">
        <v>1.07</v>
      </c>
      <c r="O1690" s="320">
        <v>2.4300000000000002</v>
      </c>
      <c r="P1690" s="320">
        <v>10.32</v>
      </c>
      <c r="Q1690" s="320"/>
      <c r="R1690" s="321">
        <v>1.5744170000000002</v>
      </c>
      <c r="S1690" s="320">
        <v>10.3</v>
      </c>
      <c r="T1690" s="320"/>
      <c r="U1690" s="320"/>
      <c r="V1690" s="320"/>
      <c r="W1690" s="320"/>
      <c r="X1690" s="320"/>
      <c r="Y1690" s="67">
        <v>24.6</v>
      </c>
      <c r="Z1690" s="320"/>
      <c r="AA1690" s="321"/>
      <c r="AB1690" s="321"/>
      <c r="AC1690" s="320"/>
      <c r="AD1690" s="322">
        <v>560</v>
      </c>
      <c r="AE1690" s="320">
        <v>260</v>
      </c>
      <c r="AF1690" s="320">
        <v>180</v>
      </c>
      <c r="AG1690" s="66">
        <f t="shared" si="69"/>
        <v>112.24390243902438</v>
      </c>
      <c r="AH1690" s="143">
        <f t="shared" si="70"/>
        <v>1000</v>
      </c>
    </row>
    <row r="1691" spans="1:34" s="318" customFormat="1" x14ac:dyDescent="0.3">
      <c r="A1691" s="317">
        <v>903713</v>
      </c>
      <c r="B1691" s="319">
        <v>11.666666666666666</v>
      </c>
      <c r="C1691" s="319">
        <v>3.6249999999999982</v>
      </c>
      <c r="D1691" s="321">
        <v>8.6</v>
      </c>
      <c r="E1691" s="1544">
        <v>0.19900000000000001</v>
      </c>
      <c r="F1691" s="319">
        <v>54.5</v>
      </c>
      <c r="G1691" s="320"/>
      <c r="H1691" s="320">
        <v>21.14</v>
      </c>
      <c r="I1691" s="320">
        <v>179</v>
      </c>
      <c r="J1691" s="320">
        <v>0.45200000000000001</v>
      </c>
      <c r="K1691" s="320">
        <v>7.09</v>
      </c>
      <c r="L1691" s="320">
        <v>826</v>
      </c>
      <c r="M1691" s="320">
        <v>0.65</v>
      </c>
      <c r="N1691" s="320">
        <v>1.0900000000000001</v>
      </c>
      <c r="O1691" s="320">
        <v>3.55</v>
      </c>
      <c r="P1691" s="320">
        <v>3.33</v>
      </c>
      <c r="Q1691" s="320"/>
      <c r="R1691" s="321">
        <v>0.88692530510636847</v>
      </c>
      <c r="S1691" s="320">
        <v>5.8</v>
      </c>
      <c r="T1691" s="320"/>
      <c r="U1691" s="320"/>
      <c r="V1691" s="320"/>
      <c r="W1691" s="320"/>
      <c r="X1691" s="320"/>
      <c r="Y1691" s="67">
        <v>8</v>
      </c>
      <c r="Z1691" s="320"/>
      <c r="AA1691" s="321"/>
      <c r="AB1691" s="321"/>
      <c r="AC1691" s="320"/>
      <c r="AD1691" s="322">
        <v>160</v>
      </c>
      <c r="AE1691" s="320">
        <v>80</v>
      </c>
      <c r="AF1691" s="320">
        <v>760</v>
      </c>
      <c r="AG1691" s="66">
        <f t="shared" si="69"/>
        <v>313.73250000000002</v>
      </c>
      <c r="AH1691" s="143">
        <f t="shared" si="70"/>
        <v>1000</v>
      </c>
    </row>
    <row r="1692" spans="1:34" s="318" customFormat="1" x14ac:dyDescent="0.3">
      <c r="A1692" s="317">
        <v>903714</v>
      </c>
      <c r="B1692" s="319">
        <v>5.5166666666666666</v>
      </c>
      <c r="C1692" s="319"/>
      <c r="D1692" s="321">
        <v>8.3714285714285701</v>
      </c>
      <c r="E1692" s="1544">
        <v>0.21299999999999999</v>
      </c>
      <c r="F1692" s="319">
        <v>92.25</v>
      </c>
      <c r="G1692" s="320"/>
      <c r="H1692" s="320">
        <v>18.190000000000001</v>
      </c>
      <c r="I1692" s="320">
        <v>261</v>
      </c>
      <c r="J1692" s="320">
        <v>0.502</v>
      </c>
      <c r="K1692" s="320">
        <v>5.77</v>
      </c>
      <c r="L1692" s="320">
        <v>1359</v>
      </c>
      <c r="M1692" s="320">
        <v>0.62</v>
      </c>
      <c r="N1692" s="320">
        <v>1.24</v>
      </c>
      <c r="O1692" s="320">
        <v>5.59</v>
      </c>
      <c r="P1692" s="320">
        <v>6.14</v>
      </c>
      <c r="Q1692" s="320"/>
      <c r="R1692" s="321">
        <v>1.6557080000000002</v>
      </c>
      <c r="S1692" s="320">
        <v>12.4</v>
      </c>
      <c r="T1692" s="320"/>
      <c r="U1692" s="320"/>
      <c r="V1692" s="320"/>
      <c r="W1692" s="320"/>
      <c r="X1692" s="320"/>
      <c r="Y1692" s="67">
        <v>22.5</v>
      </c>
      <c r="Z1692" s="320"/>
      <c r="AA1692" s="321"/>
      <c r="AB1692" s="321"/>
      <c r="AC1692" s="320"/>
      <c r="AD1692" s="322">
        <v>580</v>
      </c>
      <c r="AE1692" s="320">
        <v>240</v>
      </c>
      <c r="AF1692" s="320">
        <v>180</v>
      </c>
      <c r="AG1692" s="66">
        <f t="shared" si="69"/>
        <v>90.781333333333336</v>
      </c>
      <c r="AH1692" s="143">
        <f t="shared" si="70"/>
        <v>1000</v>
      </c>
    </row>
    <row r="1693" spans="1:34" s="318" customFormat="1" x14ac:dyDescent="0.3">
      <c r="A1693" s="317">
        <v>903715</v>
      </c>
      <c r="B1693" s="319">
        <v>7.9166666666666661</v>
      </c>
      <c r="C1693" s="319"/>
      <c r="D1693" s="321">
        <v>8.1714285714285708</v>
      </c>
      <c r="E1693" s="1544">
        <v>0.16600000000000001</v>
      </c>
      <c r="F1693" s="319">
        <v>49.3</v>
      </c>
      <c r="G1693" s="320"/>
      <c r="H1693" s="320">
        <v>15.48</v>
      </c>
      <c r="I1693" s="320">
        <v>359</v>
      </c>
      <c r="J1693" s="320">
        <v>0.23100000000000001</v>
      </c>
      <c r="K1693" s="320">
        <v>10.26</v>
      </c>
      <c r="L1693" s="320">
        <v>794</v>
      </c>
      <c r="M1693" s="320">
        <v>0.62</v>
      </c>
      <c r="N1693" s="320">
        <v>1.29</v>
      </c>
      <c r="O1693" s="320">
        <v>6.13</v>
      </c>
      <c r="P1693" s="320">
        <v>4.7</v>
      </c>
      <c r="Q1693" s="320"/>
      <c r="R1693" s="321">
        <v>1.9718</v>
      </c>
      <c r="S1693" s="320">
        <v>23</v>
      </c>
      <c r="T1693" s="320"/>
      <c r="U1693" s="320"/>
      <c r="V1693" s="320"/>
      <c r="W1693" s="320"/>
      <c r="X1693" s="320"/>
      <c r="Y1693" s="67">
        <v>29</v>
      </c>
      <c r="Z1693" s="320"/>
      <c r="AA1693" s="321"/>
      <c r="AB1693" s="321"/>
      <c r="AC1693" s="320"/>
      <c r="AD1693" s="322">
        <v>580</v>
      </c>
      <c r="AE1693" s="320">
        <v>250</v>
      </c>
      <c r="AF1693" s="320">
        <v>170</v>
      </c>
      <c r="AG1693" s="66">
        <f t="shared" si="69"/>
        <v>125.24275862068966</v>
      </c>
      <c r="AH1693" s="143">
        <f t="shared" si="70"/>
        <v>1000</v>
      </c>
    </row>
    <row r="1694" spans="1:34" s="318" customFormat="1" x14ac:dyDescent="0.3">
      <c r="A1694" s="317">
        <v>903716</v>
      </c>
      <c r="B1694" s="319">
        <v>7.9583333333333321</v>
      </c>
      <c r="C1694" s="319"/>
      <c r="D1694" s="321">
        <v>8.3904761904761909</v>
      </c>
      <c r="E1694" s="1544">
        <v>0.189</v>
      </c>
      <c r="F1694" s="319">
        <v>54.3</v>
      </c>
      <c r="G1694" s="320"/>
      <c r="H1694" s="320">
        <v>27.33</v>
      </c>
      <c r="I1694" s="320">
        <v>235</v>
      </c>
      <c r="J1694" s="320">
        <v>0.29799999999999999</v>
      </c>
      <c r="K1694" s="320">
        <v>8.59</v>
      </c>
      <c r="L1694" s="320">
        <v>1230</v>
      </c>
      <c r="M1694" s="320">
        <v>0.51</v>
      </c>
      <c r="N1694" s="320">
        <v>1.35</v>
      </c>
      <c r="O1694" s="320">
        <v>6.25</v>
      </c>
      <c r="P1694" s="320">
        <v>4.0999999999999996</v>
      </c>
      <c r="Q1694" s="320"/>
      <c r="R1694" s="321">
        <v>1.5824250000000002</v>
      </c>
      <c r="S1694" s="320">
        <v>10.5</v>
      </c>
      <c r="T1694" s="320"/>
      <c r="U1694" s="320"/>
      <c r="V1694" s="320"/>
      <c r="W1694" s="320"/>
      <c r="X1694" s="320"/>
      <c r="Y1694" s="67">
        <v>31.1</v>
      </c>
      <c r="Z1694" s="320"/>
      <c r="AA1694" s="321"/>
      <c r="AB1694" s="321"/>
      <c r="AC1694" s="320"/>
      <c r="AD1694" s="322">
        <v>560</v>
      </c>
      <c r="AE1694" s="320">
        <v>240</v>
      </c>
      <c r="AF1694" s="320">
        <v>200</v>
      </c>
      <c r="AG1694" s="66">
        <f t="shared" si="69"/>
        <v>97.776848874598073</v>
      </c>
      <c r="AH1694" s="143">
        <f t="shared" si="70"/>
        <v>1000</v>
      </c>
    </row>
    <row r="1695" spans="1:34" s="318" customFormat="1" x14ac:dyDescent="0.3">
      <c r="A1695" s="317">
        <v>903717</v>
      </c>
      <c r="B1695" s="319">
        <v>26.833333333333332</v>
      </c>
      <c r="C1695" s="319">
        <v>8.125</v>
      </c>
      <c r="D1695" s="321">
        <v>8.5428571428571427</v>
      </c>
      <c r="E1695" s="1544">
        <v>0.26</v>
      </c>
      <c r="F1695" s="319">
        <v>103.55000000000001</v>
      </c>
      <c r="G1695" s="320"/>
      <c r="H1695" s="320">
        <v>15.04</v>
      </c>
      <c r="I1695" s="320">
        <v>183</v>
      </c>
      <c r="J1695" s="320">
        <v>0.72099999999999997</v>
      </c>
      <c r="K1695" s="320">
        <v>10.07</v>
      </c>
      <c r="L1695" s="320">
        <v>1071</v>
      </c>
      <c r="M1695" s="320">
        <v>0.42</v>
      </c>
      <c r="N1695" s="320">
        <v>1.97</v>
      </c>
      <c r="O1695" s="320">
        <v>6.13</v>
      </c>
      <c r="P1695" s="320">
        <v>4.49</v>
      </c>
      <c r="Q1695" s="320"/>
      <c r="R1695" s="321">
        <v>1.6993880000000001</v>
      </c>
      <c r="S1695" s="320">
        <v>13.600000000000001</v>
      </c>
      <c r="T1695" s="320"/>
      <c r="U1695" s="320"/>
      <c r="V1695" s="320"/>
      <c r="W1695" s="320"/>
      <c r="X1695" s="320"/>
      <c r="Y1695" s="67">
        <v>23</v>
      </c>
      <c r="Z1695" s="320"/>
      <c r="AA1695" s="321"/>
      <c r="AB1695" s="321"/>
      <c r="AC1695" s="320"/>
      <c r="AD1695" s="322">
        <v>460</v>
      </c>
      <c r="AE1695" s="320">
        <v>240</v>
      </c>
      <c r="AF1695" s="320">
        <v>300</v>
      </c>
      <c r="AG1695" s="66">
        <f t="shared" si="69"/>
        <v>154.9904347826087</v>
      </c>
      <c r="AH1695" s="143">
        <f t="shared" si="70"/>
        <v>1000</v>
      </c>
    </row>
    <row r="1696" spans="1:34" s="318" customFormat="1" x14ac:dyDescent="0.3">
      <c r="A1696" s="317">
        <v>903718</v>
      </c>
      <c r="B1696" s="319">
        <v>8.3333333333333329E-2</v>
      </c>
      <c r="C1696" s="319"/>
      <c r="D1696" s="321">
        <v>7.7333333333333325</v>
      </c>
      <c r="E1696" s="1544">
        <v>0.126</v>
      </c>
      <c r="F1696" s="319">
        <v>63.150000000000006</v>
      </c>
      <c r="G1696" s="320"/>
      <c r="H1696" s="320">
        <v>22.51</v>
      </c>
      <c r="I1696" s="320">
        <v>37</v>
      </c>
      <c r="J1696" s="320">
        <v>7.2999999999999995E-2</v>
      </c>
      <c r="K1696" s="320">
        <v>0.91</v>
      </c>
      <c r="L1696" s="320">
        <v>265</v>
      </c>
      <c r="M1696" s="320">
        <v>0.42</v>
      </c>
      <c r="N1696" s="320">
        <v>0.18</v>
      </c>
      <c r="O1696" s="320">
        <v>0.36</v>
      </c>
      <c r="P1696" s="320">
        <v>4.88</v>
      </c>
      <c r="Q1696" s="320"/>
      <c r="R1696" s="321">
        <v>0.10452579249987549</v>
      </c>
      <c r="S1696" s="320">
        <v>0.70000000000000007</v>
      </c>
      <c r="T1696" s="320"/>
      <c r="U1696" s="320"/>
      <c r="V1696" s="320"/>
      <c r="W1696" s="320"/>
      <c r="X1696" s="320"/>
      <c r="Y1696" s="67">
        <v>2.2999999999999998</v>
      </c>
      <c r="Z1696" s="320"/>
      <c r="AA1696" s="321"/>
      <c r="AB1696" s="321"/>
      <c r="AC1696" s="320"/>
      <c r="AD1696" s="322">
        <v>180</v>
      </c>
      <c r="AE1696" s="320">
        <v>80</v>
      </c>
      <c r="AF1696" s="320">
        <v>740</v>
      </c>
      <c r="AG1696" s="66">
        <f t="shared" si="69"/>
        <v>140.06086956521739</v>
      </c>
      <c r="AH1696" s="143">
        <f t="shared" si="70"/>
        <v>1000</v>
      </c>
    </row>
    <row r="1697" spans="1:149" s="318" customFormat="1" x14ac:dyDescent="0.3">
      <c r="A1697" s="317">
        <v>903719</v>
      </c>
      <c r="B1697" s="319">
        <v>12.916666666666668</v>
      </c>
      <c r="C1697" s="319">
        <v>5.8749999999999991</v>
      </c>
      <c r="D1697" s="321">
        <v>8.1047619047619044</v>
      </c>
      <c r="E1697" s="1544">
        <v>0.34300000000000003</v>
      </c>
      <c r="F1697" s="319">
        <v>195.7</v>
      </c>
      <c r="G1697" s="320"/>
      <c r="H1697" s="320">
        <v>22.54</v>
      </c>
      <c r="I1697" s="320">
        <v>251</v>
      </c>
      <c r="J1697" s="320">
        <v>0.124</v>
      </c>
      <c r="K1697" s="320">
        <v>9.26</v>
      </c>
      <c r="L1697" s="320">
        <v>573</v>
      </c>
      <c r="M1697" s="320">
        <v>0.37</v>
      </c>
      <c r="N1697" s="320">
        <v>0.5</v>
      </c>
      <c r="O1697" s="320">
        <v>2.0099999999999998</v>
      </c>
      <c r="P1697" s="320">
        <v>2.09</v>
      </c>
      <c r="Q1697" s="320"/>
      <c r="R1697" s="321">
        <v>1.2190422892539257</v>
      </c>
      <c r="S1697" s="320">
        <v>8.6</v>
      </c>
      <c r="T1697" s="320"/>
      <c r="U1697" s="320"/>
      <c r="V1697" s="320"/>
      <c r="W1697" s="320"/>
      <c r="X1697" s="320"/>
      <c r="Y1697" s="67">
        <v>32.5</v>
      </c>
      <c r="Z1697" s="320"/>
      <c r="AA1697" s="321"/>
      <c r="AB1697" s="321"/>
      <c r="AC1697" s="320"/>
      <c r="AD1697" s="322">
        <v>600</v>
      </c>
      <c r="AE1697" s="320">
        <v>300</v>
      </c>
      <c r="AF1697" s="320">
        <v>100</v>
      </c>
      <c r="AG1697" s="66">
        <f t="shared" si="69"/>
        <v>100.86276923076923</v>
      </c>
      <c r="AH1697" s="143">
        <f t="shared" si="70"/>
        <v>1000</v>
      </c>
    </row>
    <row r="1698" spans="1:149" s="318" customFormat="1" x14ac:dyDescent="0.3">
      <c r="A1698" s="317">
        <v>903720</v>
      </c>
      <c r="B1698" s="319">
        <v>26.666666666666668</v>
      </c>
      <c r="C1698" s="319">
        <v>7.1249999999999991</v>
      </c>
      <c r="D1698" s="321">
        <v>8.2666666666666657</v>
      </c>
      <c r="E1698" s="1544">
        <v>0.20499999999999999</v>
      </c>
      <c r="F1698" s="319">
        <v>82</v>
      </c>
      <c r="G1698" s="320"/>
      <c r="H1698" s="320">
        <v>19.329999999999998</v>
      </c>
      <c r="I1698" s="320">
        <v>220</v>
      </c>
      <c r="J1698" s="320">
        <v>7.0999999999999994E-2</v>
      </c>
      <c r="K1698" s="320">
        <v>7.93</v>
      </c>
      <c r="L1698" s="320">
        <v>309</v>
      </c>
      <c r="M1698" s="320">
        <v>0.28000000000000003</v>
      </c>
      <c r="N1698" s="320">
        <v>0.4</v>
      </c>
      <c r="O1698" s="320">
        <v>2.4300000000000002</v>
      </c>
      <c r="P1698" s="320">
        <v>2.78</v>
      </c>
      <c r="Q1698" s="320"/>
      <c r="R1698" s="321">
        <v>0.75295128679026102</v>
      </c>
      <c r="S1698" s="320">
        <v>5.5</v>
      </c>
      <c r="T1698" s="320"/>
      <c r="U1698" s="320"/>
      <c r="V1698" s="320"/>
      <c r="W1698" s="320"/>
      <c r="X1698" s="320"/>
      <c r="Y1698" s="67">
        <v>31.6</v>
      </c>
      <c r="Z1698" s="320"/>
      <c r="AA1698" s="321"/>
      <c r="AB1698" s="321"/>
      <c r="AC1698" s="320"/>
      <c r="AD1698" s="322">
        <v>620</v>
      </c>
      <c r="AE1698" s="320">
        <v>280</v>
      </c>
      <c r="AF1698" s="320">
        <v>100</v>
      </c>
      <c r="AG1698" s="66">
        <f t="shared" si="69"/>
        <v>88.836075949367071</v>
      </c>
      <c r="AH1698" s="143">
        <f t="shared" si="70"/>
        <v>1000</v>
      </c>
    </row>
    <row r="1699" spans="1:149" s="318" customFormat="1" x14ac:dyDescent="0.3">
      <c r="A1699" s="317">
        <v>903721</v>
      </c>
      <c r="B1699" s="319">
        <v>18.666666666666668</v>
      </c>
      <c r="C1699" s="319">
        <v>7.1249999999999991</v>
      </c>
      <c r="D1699" s="321">
        <v>8.0952380952380949</v>
      </c>
      <c r="E1699" s="1544">
        <v>0.59499999999999997</v>
      </c>
      <c r="F1699" s="319">
        <v>369.7</v>
      </c>
      <c r="G1699" s="320"/>
      <c r="H1699" s="320">
        <v>46.29</v>
      </c>
      <c r="I1699" s="320">
        <v>217</v>
      </c>
      <c r="J1699" s="320">
        <v>0.59699999999999998</v>
      </c>
      <c r="K1699" s="320">
        <v>9.8699999999999992</v>
      </c>
      <c r="L1699" s="320">
        <v>1555</v>
      </c>
      <c r="M1699" s="320">
        <v>0.82</v>
      </c>
      <c r="N1699" s="320">
        <v>0.35</v>
      </c>
      <c r="O1699" s="320">
        <v>2.85</v>
      </c>
      <c r="P1699" s="320">
        <v>4.3899999999999997</v>
      </c>
      <c r="Q1699" s="320"/>
      <c r="R1699" s="321">
        <v>1.790297</v>
      </c>
      <c r="S1699" s="320">
        <v>16.299999999999997</v>
      </c>
      <c r="T1699" s="320"/>
      <c r="U1699" s="320"/>
      <c r="V1699" s="320"/>
      <c r="W1699" s="320"/>
      <c r="X1699" s="320"/>
      <c r="Y1699" s="67">
        <v>30</v>
      </c>
      <c r="Z1699" s="320"/>
      <c r="AA1699" s="321"/>
      <c r="AB1699" s="321"/>
      <c r="AC1699" s="320"/>
      <c r="AD1699" s="322">
        <v>500</v>
      </c>
      <c r="AE1699" s="320">
        <v>320</v>
      </c>
      <c r="AF1699" s="320">
        <v>180</v>
      </c>
      <c r="AG1699" s="66">
        <f t="shared" si="69"/>
        <v>116.46599999999999</v>
      </c>
      <c r="AH1699" s="143">
        <f t="shared" si="70"/>
        <v>1000</v>
      </c>
    </row>
    <row r="1700" spans="1:149" s="318" customFormat="1" x14ac:dyDescent="0.3">
      <c r="A1700" s="317">
        <v>903722</v>
      </c>
      <c r="B1700" s="319">
        <v>37.166666666666664</v>
      </c>
      <c r="C1700" s="319">
        <v>10.125</v>
      </c>
      <c r="D1700" s="321">
        <v>8.1333333333333329</v>
      </c>
      <c r="E1700" s="1544">
        <v>0.66700000000000004</v>
      </c>
      <c r="F1700" s="319">
        <v>428.6</v>
      </c>
      <c r="G1700" s="320"/>
      <c r="H1700" s="320">
        <v>29.62</v>
      </c>
      <c r="I1700" s="320">
        <v>155</v>
      </c>
      <c r="J1700" s="320">
        <v>0.61799999999999999</v>
      </c>
      <c r="K1700" s="320">
        <v>9.5399999999999991</v>
      </c>
      <c r="L1700" s="320">
        <v>1215</v>
      </c>
      <c r="M1700" s="320">
        <v>0.84</v>
      </c>
      <c r="N1700" s="320">
        <v>0.36</v>
      </c>
      <c r="O1700" s="320">
        <v>3.99</v>
      </c>
      <c r="P1700" s="320">
        <v>5.95</v>
      </c>
      <c r="Q1700" s="320"/>
      <c r="R1700" s="321">
        <v>1.706472</v>
      </c>
      <c r="S1700" s="320">
        <v>13.799999999999999</v>
      </c>
      <c r="T1700" s="320"/>
      <c r="U1700" s="320"/>
      <c r="V1700" s="320"/>
      <c r="W1700" s="320"/>
      <c r="X1700" s="320"/>
      <c r="Y1700" s="67">
        <v>28.8</v>
      </c>
      <c r="Z1700" s="320"/>
      <c r="AA1700" s="321"/>
      <c r="AB1700" s="321"/>
      <c r="AC1700" s="320"/>
      <c r="AD1700" s="322">
        <v>480</v>
      </c>
      <c r="AE1700" s="320">
        <v>320</v>
      </c>
      <c r="AF1700" s="320">
        <v>200</v>
      </c>
      <c r="AG1700" s="66">
        <f t="shared" si="69"/>
        <v>117.26249999999999</v>
      </c>
      <c r="AH1700" s="143">
        <f t="shared" si="70"/>
        <v>1000</v>
      </c>
    </row>
    <row r="1701" spans="1:149" x14ac:dyDescent="0.3">
      <c r="A1701" s="323">
        <v>903723</v>
      </c>
      <c r="B1701" s="306">
        <v>0.1</v>
      </c>
      <c r="C1701" s="305"/>
      <c r="D1701" s="305">
        <v>8.02</v>
      </c>
      <c r="E1701" s="583">
        <v>7.2999999999999995E-2</v>
      </c>
      <c r="F1701" s="306">
        <v>44.6</v>
      </c>
      <c r="G1701" s="305"/>
      <c r="H1701" s="305">
        <v>114.88</v>
      </c>
      <c r="I1701" s="305">
        <v>30</v>
      </c>
      <c r="J1701" s="305">
        <v>1.9E-2</v>
      </c>
      <c r="K1701" s="305">
        <v>1.41</v>
      </c>
      <c r="L1701" s="305">
        <v>43</v>
      </c>
      <c r="M1701" s="305">
        <v>1.87</v>
      </c>
      <c r="N1701" s="305">
        <v>0.65</v>
      </c>
      <c r="O1701" s="305">
        <v>4.05</v>
      </c>
      <c r="P1701" s="305">
        <v>8.99</v>
      </c>
      <c r="Q1701" s="305"/>
      <c r="R1701" s="307">
        <v>0.69133587130771479</v>
      </c>
      <c r="S1701" s="305">
        <v>5.0999999999999996</v>
      </c>
      <c r="T1701" s="307"/>
      <c r="U1701" s="307"/>
      <c r="Y1701" s="67">
        <v>4.2</v>
      </c>
      <c r="Z1701" s="305"/>
      <c r="AA1701" s="305"/>
      <c r="AB1701" s="305"/>
      <c r="AC1701" s="305"/>
      <c r="AD1701" s="324">
        <v>60</v>
      </c>
      <c r="AE1701" s="305">
        <v>60</v>
      </c>
      <c r="AF1701" s="305">
        <v>880</v>
      </c>
      <c r="AG1701" s="66">
        <f t="shared" si="69"/>
        <v>118.84285714285714</v>
      </c>
      <c r="AH1701" s="143">
        <f t="shared" si="70"/>
        <v>1000</v>
      </c>
      <c r="AI1701" s="308"/>
      <c r="AJ1701" s="308"/>
      <c r="AK1701" s="308"/>
      <c r="AL1701" s="308"/>
      <c r="AM1701" s="308"/>
      <c r="AN1701" s="308"/>
      <c r="AO1701" s="308"/>
      <c r="AP1701" s="308"/>
      <c r="AQ1701" s="308"/>
      <c r="AR1701" s="308"/>
      <c r="AS1701" s="308"/>
      <c r="AT1701" s="308"/>
      <c r="AU1701" s="308"/>
      <c r="AV1701" s="308"/>
      <c r="AW1701" s="308"/>
      <c r="AX1701" s="308"/>
      <c r="AY1701" s="308"/>
      <c r="AZ1701" s="308"/>
      <c r="BA1701" s="308"/>
      <c r="BB1701" s="308"/>
      <c r="BC1701" s="308"/>
      <c r="BD1701" s="308"/>
      <c r="BE1701" s="308"/>
      <c r="BF1701" s="308"/>
      <c r="BG1701" s="308"/>
      <c r="BH1701" s="308"/>
      <c r="BI1701" s="308"/>
      <c r="BJ1701" s="308"/>
      <c r="BK1701" s="308"/>
      <c r="BL1701" s="308"/>
      <c r="BM1701" s="308"/>
      <c r="BN1701" s="308"/>
      <c r="BO1701" s="308"/>
      <c r="BP1701" s="308"/>
      <c r="BQ1701" s="308"/>
      <c r="BR1701" s="308"/>
      <c r="BS1701" s="308"/>
      <c r="BT1701" s="308"/>
      <c r="BU1701" s="308"/>
      <c r="BV1701" s="308"/>
      <c r="BW1701" s="308"/>
      <c r="BX1701" s="308"/>
      <c r="BY1701" s="308"/>
      <c r="BZ1701" s="308"/>
      <c r="CA1701" s="308"/>
      <c r="CB1701" s="308"/>
      <c r="CC1701" s="308"/>
      <c r="CD1701" s="308"/>
      <c r="CE1701" s="308"/>
      <c r="CF1701" s="308"/>
      <c r="CG1701" s="308"/>
      <c r="CH1701" s="308"/>
      <c r="CI1701" s="308"/>
      <c r="CJ1701" s="308"/>
      <c r="CK1701" s="308"/>
      <c r="CL1701" s="308"/>
      <c r="CM1701" s="308"/>
      <c r="CN1701" s="308"/>
      <c r="CO1701" s="308"/>
      <c r="CP1701" s="308"/>
      <c r="CQ1701" s="308"/>
      <c r="CR1701" s="308"/>
      <c r="CS1701" s="308"/>
      <c r="CT1701" s="308"/>
      <c r="CU1701" s="308"/>
      <c r="CV1701" s="308"/>
      <c r="CW1701" s="308"/>
      <c r="CX1701" s="308"/>
      <c r="CY1701" s="308"/>
      <c r="CZ1701" s="308"/>
      <c r="DA1701" s="308"/>
      <c r="DB1701" s="308"/>
      <c r="DC1701" s="308"/>
      <c r="DD1701" s="308"/>
      <c r="DE1701" s="308"/>
      <c r="DF1701" s="308"/>
      <c r="DG1701" s="308"/>
      <c r="DH1701" s="308"/>
      <c r="DI1701" s="308"/>
      <c r="DJ1701" s="308"/>
      <c r="DK1701" s="308"/>
      <c r="DL1701" s="308"/>
      <c r="DM1701" s="308"/>
      <c r="DN1701" s="308"/>
      <c r="DO1701" s="308"/>
      <c r="DP1701" s="308"/>
      <c r="DQ1701" s="308"/>
      <c r="DR1701" s="308"/>
      <c r="DS1701" s="308"/>
      <c r="DT1701" s="308"/>
      <c r="DU1701" s="308"/>
      <c r="DV1701" s="308"/>
      <c r="DW1701" s="308"/>
      <c r="DX1701" s="308"/>
      <c r="DY1701" s="308"/>
      <c r="DZ1701" s="308"/>
      <c r="EA1701" s="308"/>
      <c r="EB1701" s="308"/>
      <c r="EC1701" s="308"/>
      <c r="ED1701" s="308"/>
      <c r="EE1701" s="308"/>
      <c r="EF1701" s="308"/>
      <c r="EG1701" s="308"/>
      <c r="EH1701" s="308"/>
      <c r="EI1701" s="308"/>
      <c r="EJ1701" s="308"/>
      <c r="EK1701" s="308"/>
      <c r="EL1701" s="308"/>
      <c r="EM1701" s="308"/>
      <c r="EN1701" s="308"/>
      <c r="EO1701" s="308"/>
      <c r="EP1701" s="308"/>
      <c r="EQ1701" s="308"/>
      <c r="ER1701" s="308"/>
      <c r="ES1701" s="308"/>
    </row>
    <row r="1702" spans="1:149" x14ac:dyDescent="0.3">
      <c r="A1702" s="323">
        <v>903724</v>
      </c>
      <c r="B1702" s="306">
        <v>0.3</v>
      </c>
      <c r="C1702" s="305"/>
      <c r="D1702" s="305">
        <v>8</v>
      </c>
      <c r="E1702" s="583">
        <v>0.105</v>
      </c>
      <c r="F1702" s="306">
        <v>47.1</v>
      </c>
      <c r="G1702" s="305"/>
      <c r="H1702" s="305">
        <v>193.76</v>
      </c>
      <c r="I1702" s="305">
        <v>70</v>
      </c>
      <c r="J1702" s="305">
        <v>1.6E-2</v>
      </c>
      <c r="K1702" s="305">
        <v>1.4</v>
      </c>
      <c r="L1702" s="305">
        <v>113</v>
      </c>
      <c r="M1702" s="305">
        <v>1.73</v>
      </c>
      <c r="N1702" s="305">
        <v>0.28999999999999998</v>
      </c>
      <c r="O1702" s="305">
        <v>5.43</v>
      </c>
      <c r="P1702" s="305">
        <v>6.59</v>
      </c>
      <c r="Q1702" s="305"/>
      <c r="R1702" s="307">
        <v>1.1088051888371977</v>
      </c>
      <c r="S1702" s="305">
        <v>7.3</v>
      </c>
      <c r="T1702" s="307"/>
      <c r="U1702" s="307"/>
      <c r="Y1702" s="67">
        <v>3</v>
      </c>
      <c r="Z1702" s="305"/>
      <c r="AA1702" s="305"/>
      <c r="AB1702" s="305"/>
      <c r="AC1702" s="305"/>
      <c r="AD1702" s="324">
        <v>60</v>
      </c>
      <c r="AE1702" s="305">
        <v>80</v>
      </c>
      <c r="AF1702" s="305">
        <v>860</v>
      </c>
      <c r="AG1702" s="66">
        <f t="shared" si="69"/>
        <v>165.2</v>
      </c>
      <c r="AH1702" s="143">
        <f t="shared" si="70"/>
        <v>1000</v>
      </c>
      <c r="AI1702" s="308"/>
      <c r="AJ1702" s="308"/>
      <c r="AK1702" s="308"/>
      <c r="AL1702" s="308"/>
      <c r="AM1702" s="308"/>
      <c r="AN1702" s="308"/>
      <c r="AO1702" s="308"/>
      <c r="AP1702" s="308"/>
      <c r="AQ1702" s="308"/>
      <c r="AR1702" s="308"/>
      <c r="AS1702" s="308"/>
      <c r="AT1702" s="308"/>
      <c r="AU1702" s="308"/>
      <c r="AV1702" s="308"/>
      <c r="AW1702" s="308"/>
      <c r="AX1702" s="308"/>
      <c r="AY1702" s="308"/>
      <c r="AZ1702" s="308"/>
      <c r="BA1702" s="308"/>
      <c r="BB1702" s="308"/>
      <c r="BC1702" s="308"/>
      <c r="BD1702" s="308"/>
      <c r="BE1702" s="308"/>
      <c r="BF1702" s="308"/>
      <c r="BG1702" s="308"/>
      <c r="BH1702" s="308"/>
      <c r="BI1702" s="308"/>
      <c r="BJ1702" s="308"/>
      <c r="BK1702" s="308"/>
      <c r="BL1702" s="308"/>
      <c r="BM1702" s="308"/>
      <c r="BN1702" s="308"/>
      <c r="BO1702" s="308"/>
      <c r="BP1702" s="308"/>
      <c r="BQ1702" s="308"/>
      <c r="BR1702" s="308"/>
      <c r="BS1702" s="308"/>
      <c r="BT1702" s="308"/>
      <c r="BU1702" s="308"/>
      <c r="BV1702" s="308"/>
      <c r="BW1702" s="308"/>
      <c r="BX1702" s="308"/>
      <c r="BY1702" s="308"/>
      <c r="BZ1702" s="308"/>
      <c r="CA1702" s="308"/>
      <c r="CB1702" s="308"/>
      <c r="CC1702" s="308"/>
      <c r="CD1702" s="308"/>
      <c r="CE1702" s="308"/>
      <c r="CF1702" s="308"/>
      <c r="CG1702" s="308"/>
      <c r="CH1702" s="308"/>
      <c r="CI1702" s="308"/>
      <c r="CJ1702" s="308"/>
      <c r="CK1702" s="308"/>
      <c r="CL1702" s="308"/>
      <c r="CM1702" s="308"/>
      <c r="CN1702" s="308"/>
      <c r="CO1702" s="308"/>
      <c r="CP1702" s="308"/>
      <c r="CQ1702" s="308"/>
      <c r="CR1702" s="308"/>
      <c r="CS1702" s="308"/>
      <c r="CT1702" s="308"/>
      <c r="CU1702" s="308"/>
      <c r="CV1702" s="308"/>
      <c r="CW1702" s="308"/>
      <c r="CX1702" s="308"/>
      <c r="CY1702" s="308"/>
      <c r="CZ1702" s="308"/>
      <c r="DA1702" s="308"/>
      <c r="DB1702" s="308"/>
      <c r="DC1702" s="308"/>
      <c r="DD1702" s="308"/>
      <c r="DE1702" s="308"/>
      <c r="DF1702" s="308"/>
      <c r="DG1702" s="308"/>
      <c r="DH1702" s="308"/>
      <c r="DI1702" s="308"/>
      <c r="DJ1702" s="308"/>
      <c r="DK1702" s="308"/>
      <c r="DL1702" s="308"/>
      <c r="DM1702" s="308"/>
      <c r="DN1702" s="308"/>
      <c r="DO1702" s="308"/>
      <c r="DP1702" s="308"/>
      <c r="DQ1702" s="308"/>
      <c r="DR1702" s="308"/>
      <c r="DS1702" s="308"/>
      <c r="DT1702" s="308"/>
      <c r="DU1702" s="308"/>
      <c r="DV1702" s="308"/>
      <c r="DW1702" s="308"/>
      <c r="DX1702" s="308"/>
      <c r="DY1702" s="308"/>
      <c r="DZ1702" s="308"/>
      <c r="EA1702" s="308"/>
      <c r="EB1702" s="308"/>
      <c r="EC1702" s="308"/>
      <c r="ED1702" s="308"/>
      <c r="EE1702" s="308"/>
      <c r="EF1702" s="308"/>
      <c r="EG1702" s="308"/>
      <c r="EH1702" s="308"/>
      <c r="EI1702" s="308"/>
      <c r="EJ1702" s="308"/>
      <c r="EK1702" s="308"/>
      <c r="EL1702" s="308"/>
      <c r="EM1702" s="308"/>
      <c r="EN1702" s="308"/>
      <c r="EO1702" s="308"/>
      <c r="EP1702" s="308"/>
      <c r="EQ1702" s="308"/>
      <c r="ER1702" s="308"/>
      <c r="ES1702" s="308"/>
    </row>
    <row r="1703" spans="1:149" x14ac:dyDescent="0.3">
      <c r="A1703" s="323">
        <v>903725</v>
      </c>
      <c r="B1703" s="306">
        <v>0.2</v>
      </c>
      <c r="C1703" s="305"/>
      <c r="D1703" s="305">
        <v>7.62</v>
      </c>
      <c r="E1703" s="583">
        <v>0.2</v>
      </c>
      <c r="F1703" s="306">
        <v>78.8</v>
      </c>
      <c r="G1703" s="305"/>
      <c r="H1703" s="305">
        <v>182.04</v>
      </c>
      <c r="I1703" s="305">
        <v>140</v>
      </c>
      <c r="J1703" s="305">
        <v>4.5999999999999999E-2</v>
      </c>
      <c r="K1703" s="305">
        <v>1.71</v>
      </c>
      <c r="L1703" s="305">
        <v>104</v>
      </c>
      <c r="M1703" s="305">
        <v>1.1000000000000001</v>
      </c>
      <c r="N1703" s="305">
        <v>0.28000000000000003</v>
      </c>
      <c r="O1703" s="305">
        <v>6.03</v>
      </c>
      <c r="P1703" s="305">
        <v>13.83</v>
      </c>
      <c r="Q1703" s="305"/>
      <c r="R1703" s="307">
        <v>1.3779168499395813</v>
      </c>
      <c r="S1703" s="305">
        <v>9.6</v>
      </c>
      <c r="T1703" s="307"/>
      <c r="U1703" s="307"/>
      <c r="Y1703" s="67">
        <v>4.8</v>
      </c>
      <c r="Z1703" s="305"/>
      <c r="AA1703" s="305"/>
      <c r="AB1703" s="305"/>
      <c r="AC1703" s="305"/>
      <c r="AD1703" s="324">
        <v>80</v>
      </c>
      <c r="AE1703" s="305">
        <v>60</v>
      </c>
      <c r="AF1703" s="305">
        <v>860</v>
      </c>
      <c r="AG1703" s="66">
        <f t="shared" si="69"/>
        <v>126.11250000000001</v>
      </c>
      <c r="AH1703" s="143">
        <f t="shared" si="70"/>
        <v>1000</v>
      </c>
      <c r="AI1703" s="308"/>
      <c r="AJ1703" s="308"/>
      <c r="AK1703" s="308"/>
      <c r="AL1703" s="308"/>
      <c r="AM1703" s="308"/>
      <c r="AN1703" s="308"/>
      <c r="AO1703" s="308"/>
      <c r="AP1703" s="308"/>
      <c r="AQ1703" s="308"/>
      <c r="AR1703" s="308"/>
      <c r="AS1703" s="308"/>
      <c r="AT1703" s="308"/>
      <c r="AU1703" s="308"/>
      <c r="AV1703" s="308"/>
      <c r="AW1703" s="308"/>
      <c r="AX1703" s="308"/>
      <c r="AY1703" s="308"/>
      <c r="AZ1703" s="308"/>
      <c r="BA1703" s="308"/>
      <c r="BB1703" s="308"/>
      <c r="BC1703" s="308"/>
      <c r="BD1703" s="308"/>
      <c r="BE1703" s="308"/>
      <c r="BF1703" s="308"/>
      <c r="BG1703" s="308"/>
      <c r="BH1703" s="308"/>
      <c r="BI1703" s="308"/>
      <c r="BJ1703" s="308"/>
      <c r="BK1703" s="308"/>
      <c r="BL1703" s="308"/>
      <c r="BM1703" s="308"/>
      <c r="BN1703" s="308"/>
      <c r="BO1703" s="308"/>
      <c r="BP1703" s="308"/>
      <c r="BQ1703" s="308"/>
      <c r="BR1703" s="308"/>
      <c r="BS1703" s="308"/>
      <c r="BT1703" s="308"/>
      <c r="BU1703" s="308"/>
      <c r="BV1703" s="308"/>
      <c r="BW1703" s="308"/>
      <c r="BX1703" s="308"/>
      <c r="BY1703" s="308"/>
      <c r="BZ1703" s="308"/>
      <c r="CA1703" s="308"/>
      <c r="CB1703" s="308"/>
      <c r="CC1703" s="308"/>
      <c r="CD1703" s="308"/>
      <c r="CE1703" s="308"/>
      <c r="CF1703" s="308"/>
      <c r="CG1703" s="308"/>
      <c r="CH1703" s="308"/>
      <c r="CI1703" s="308"/>
      <c r="CJ1703" s="308"/>
      <c r="CK1703" s="308"/>
      <c r="CL1703" s="308"/>
      <c r="CM1703" s="308"/>
      <c r="CN1703" s="308"/>
      <c r="CO1703" s="308"/>
      <c r="CP1703" s="308"/>
      <c r="CQ1703" s="308"/>
      <c r="CR1703" s="308"/>
      <c r="CS1703" s="308"/>
      <c r="CT1703" s="308"/>
      <c r="CU1703" s="308"/>
      <c r="CV1703" s="308"/>
      <c r="CW1703" s="308"/>
      <c r="CX1703" s="308"/>
      <c r="CY1703" s="308"/>
      <c r="CZ1703" s="308"/>
      <c r="DA1703" s="308"/>
      <c r="DB1703" s="308"/>
      <c r="DC1703" s="308"/>
      <c r="DD1703" s="308"/>
      <c r="DE1703" s="308"/>
      <c r="DF1703" s="308"/>
      <c r="DG1703" s="308"/>
      <c r="DH1703" s="308"/>
      <c r="DI1703" s="308"/>
      <c r="DJ1703" s="308"/>
      <c r="DK1703" s="308"/>
      <c r="DL1703" s="308"/>
      <c r="DM1703" s="308"/>
      <c r="DN1703" s="308"/>
      <c r="DO1703" s="308"/>
      <c r="DP1703" s="308"/>
      <c r="DQ1703" s="308"/>
      <c r="DR1703" s="308"/>
      <c r="DS1703" s="308"/>
      <c r="DT1703" s="308"/>
      <c r="DU1703" s="308"/>
      <c r="DV1703" s="308"/>
      <c r="DW1703" s="308"/>
      <c r="DX1703" s="308"/>
      <c r="DY1703" s="308"/>
      <c r="DZ1703" s="308"/>
      <c r="EA1703" s="308"/>
      <c r="EB1703" s="308"/>
      <c r="EC1703" s="308"/>
      <c r="ED1703" s="308"/>
      <c r="EE1703" s="308"/>
      <c r="EF1703" s="308"/>
      <c r="EG1703" s="308"/>
      <c r="EH1703" s="308"/>
      <c r="EI1703" s="308"/>
      <c r="EJ1703" s="308"/>
      <c r="EK1703" s="308"/>
      <c r="EL1703" s="308"/>
      <c r="EM1703" s="308"/>
      <c r="EN1703" s="308"/>
      <c r="EO1703" s="308"/>
      <c r="EP1703" s="308"/>
      <c r="EQ1703" s="308"/>
      <c r="ER1703" s="308"/>
      <c r="ES1703" s="308"/>
    </row>
    <row r="1704" spans="1:149" x14ac:dyDescent="0.3">
      <c r="A1704" s="323">
        <v>903727</v>
      </c>
      <c r="B1704" s="306">
        <v>84</v>
      </c>
      <c r="C1704" s="306">
        <v>17.5</v>
      </c>
      <c r="D1704" s="305">
        <v>9.09</v>
      </c>
      <c r="E1704" s="583">
        <v>0.19400000000000001</v>
      </c>
      <c r="F1704" s="306">
        <v>126</v>
      </c>
      <c r="G1704" s="305"/>
      <c r="H1704" s="305">
        <v>11.35</v>
      </c>
      <c r="I1704" s="305">
        <v>50</v>
      </c>
      <c r="J1704" s="305">
        <v>0.11</v>
      </c>
      <c r="K1704" s="305">
        <v>8.27</v>
      </c>
      <c r="L1704" s="305">
        <v>148</v>
      </c>
      <c r="M1704" s="305">
        <v>0.03</v>
      </c>
      <c r="N1704" s="305">
        <v>0.11</v>
      </c>
      <c r="O1704" s="305">
        <v>0.37</v>
      </c>
      <c r="P1704" s="305">
        <v>0.54</v>
      </c>
      <c r="Q1704" s="305"/>
      <c r="R1704" s="307">
        <v>0.63094489870752091</v>
      </c>
      <c r="S1704" s="305">
        <v>4.4000000000000004</v>
      </c>
      <c r="T1704" s="307"/>
      <c r="U1704" s="307"/>
      <c r="Y1704" s="67">
        <v>21</v>
      </c>
      <c r="Z1704" s="305"/>
      <c r="AA1704" s="305"/>
      <c r="AB1704" s="305"/>
      <c r="AC1704" s="305"/>
      <c r="AD1704" s="324">
        <v>420</v>
      </c>
      <c r="AE1704" s="305">
        <v>360</v>
      </c>
      <c r="AF1704" s="305">
        <v>220</v>
      </c>
      <c r="AG1704" s="66">
        <f t="shared" si="69"/>
        <v>139.40857142857143</v>
      </c>
      <c r="AH1704" s="143">
        <f t="shared" si="70"/>
        <v>1000</v>
      </c>
      <c r="AI1704" s="308"/>
      <c r="AJ1704" s="308"/>
      <c r="AK1704" s="308"/>
      <c r="AL1704" s="308"/>
      <c r="AM1704" s="308"/>
      <c r="AN1704" s="308"/>
      <c r="AO1704" s="308"/>
      <c r="AP1704" s="308"/>
      <c r="AQ1704" s="308"/>
      <c r="AR1704" s="308"/>
      <c r="AS1704" s="308"/>
      <c r="AT1704" s="308"/>
      <c r="AU1704" s="308"/>
      <c r="AV1704" s="308"/>
      <c r="AW1704" s="308"/>
      <c r="AX1704" s="308"/>
      <c r="AY1704" s="308"/>
      <c r="AZ1704" s="308"/>
      <c r="BA1704" s="308"/>
      <c r="BB1704" s="308"/>
      <c r="BC1704" s="308"/>
      <c r="BD1704" s="308"/>
      <c r="BE1704" s="308"/>
      <c r="BF1704" s="308"/>
      <c r="BG1704" s="308"/>
      <c r="BH1704" s="308"/>
      <c r="BI1704" s="308"/>
      <c r="BJ1704" s="308"/>
      <c r="BK1704" s="308"/>
      <c r="BL1704" s="308"/>
      <c r="BM1704" s="308"/>
      <c r="BN1704" s="308"/>
      <c r="BO1704" s="308"/>
      <c r="BP1704" s="308"/>
      <c r="BQ1704" s="308"/>
      <c r="BR1704" s="308"/>
      <c r="BS1704" s="308"/>
      <c r="BT1704" s="308"/>
      <c r="BU1704" s="308"/>
      <c r="BV1704" s="308"/>
      <c r="BW1704" s="308"/>
      <c r="BX1704" s="308"/>
      <c r="BY1704" s="308"/>
      <c r="BZ1704" s="308"/>
      <c r="CA1704" s="308"/>
      <c r="CB1704" s="308"/>
      <c r="CC1704" s="308"/>
      <c r="CD1704" s="308"/>
      <c r="CE1704" s="308"/>
      <c r="CF1704" s="308"/>
      <c r="CG1704" s="308"/>
      <c r="CH1704" s="308"/>
      <c r="CI1704" s="308"/>
      <c r="CJ1704" s="308"/>
      <c r="CK1704" s="308"/>
      <c r="CL1704" s="308"/>
      <c r="CM1704" s="308"/>
      <c r="CN1704" s="308"/>
      <c r="CO1704" s="308"/>
      <c r="CP1704" s="308"/>
      <c r="CQ1704" s="308"/>
      <c r="CR1704" s="308"/>
      <c r="CS1704" s="308"/>
      <c r="CT1704" s="308"/>
      <c r="CU1704" s="308"/>
      <c r="CV1704" s="308"/>
      <c r="CW1704" s="308"/>
      <c r="CX1704" s="308"/>
      <c r="CY1704" s="308"/>
      <c r="CZ1704" s="308"/>
      <c r="DA1704" s="308"/>
      <c r="DB1704" s="308"/>
      <c r="DC1704" s="308"/>
      <c r="DD1704" s="308"/>
      <c r="DE1704" s="308"/>
      <c r="DF1704" s="308"/>
      <c r="DG1704" s="308"/>
      <c r="DH1704" s="308"/>
      <c r="DI1704" s="308"/>
      <c r="DJ1704" s="308"/>
      <c r="DK1704" s="308"/>
      <c r="DL1704" s="308"/>
      <c r="DM1704" s="308"/>
      <c r="DN1704" s="308"/>
      <c r="DO1704" s="308"/>
      <c r="DP1704" s="308"/>
      <c r="DQ1704" s="308"/>
      <c r="DR1704" s="308"/>
      <c r="DS1704" s="308"/>
      <c r="DT1704" s="308"/>
      <c r="DU1704" s="308"/>
      <c r="DV1704" s="308"/>
      <c r="DW1704" s="308"/>
      <c r="DX1704" s="308"/>
      <c r="DY1704" s="308"/>
      <c r="DZ1704" s="308"/>
      <c r="EA1704" s="308"/>
      <c r="EB1704" s="308"/>
      <c r="EC1704" s="308"/>
      <c r="ED1704" s="308"/>
      <c r="EE1704" s="308"/>
      <c r="EF1704" s="308"/>
      <c r="EG1704" s="308"/>
      <c r="EH1704" s="308"/>
      <c r="EI1704" s="308"/>
      <c r="EJ1704" s="308"/>
      <c r="EK1704" s="308"/>
      <c r="EL1704" s="308"/>
      <c r="EM1704" s="308"/>
      <c r="EN1704" s="308"/>
      <c r="EO1704" s="308"/>
      <c r="EP1704" s="308"/>
      <c r="EQ1704" s="308"/>
      <c r="ER1704" s="308"/>
      <c r="ES1704" s="308"/>
    </row>
    <row r="1705" spans="1:149" x14ac:dyDescent="0.3">
      <c r="A1705" s="323">
        <v>903728</v>
      </c>
      <c r="B1705" s="306">
        <v>74.7</v>
      </c>
      <c r="C1705" s="306">
        <v>16</v>
      </c>
      <c r="D1705" s="305">
        <v>8.86</v>
      </c>
      <c r="E1705" s="583">
        <v>0.47599999999999998</v>
      </c>
      <c r="F1705" s="306">
        <v>282.10000000000002</v>
      </c>
      <c r="G1705" s="305"/>
      <c r="H1705" s="305">
        <v>9.9</v>
      </c>
      <c r="I1705" s="305">
        <v>50</v>
      </c>
      <c r="J1705" s="305">
        <v>0.32900000000000001</v>
      </c>
      <c r="K1705" s="305">
        <v>8.23</v>
      </c>
      <c r="L1705" s="305">
        <v>254</v>
      </c>
      <c r="M1705" s="305">
        <v>0.06</v>
      </c>
      <c r="N1705" s="305">
        <v>0.12</v>
      </c>
      <c r="O1705" s="305">
        <v>0.45</v>
      </c>
      <c r="P1705" s="305">
        <v>0.87</v>
      </c>
      <c r="Q1705" s="305"/>
      <c r="R1705" s="307">
        <v>0.29606972124281122</v>
      </c>
      <c r="S1705" s="305">
        <v>2.1</v>
      </c>
      <c r="T1705" s="307"/>
      <c r="U1705" s="307"/>
      <c r="Y1705" s="67">
        <v>29.4</v>
      </c>
      <c r="Z1705" s="305"/>
      <c r="AA1705" s="305"/>
      <c r="AB1705" s="305"/>
      <c r="AC1705" s="305"/>
      <c r="AD1705" s="324">
        <v>420</v>
      </c>
      <c r="AE1705" s="305">
        <v>440</v>
      </c>
      <c r="AF1705" s="305">
        <v>140</v>
      </c>
      <c r="AG1705" s="66">
        <f t="shared" si="69"/>
        <v>99.095918367346968</v>
      </c>
      <c r="AH1705" s="143">
        <f t="shared" si="70"/>
        <v>1000</v>
      </c>
      <c r="AI1705" s="308"/>
      <c r="AJ1705" s="308"/>
      <c r="AK1705" s="308"/>
      <c r="AL1705" s="308"/>
      <c r="AM1705" s="308"/>
      <c r="AN1705" s="308"/>
      <c r="AO1705" s="308"/>
      <c r="AP1705" s="308"/>
      <c r="AQ1705" s="308"/>
      <c r="AR1705" s="308"/>
      <c r="AS1705" s="308"/>
      <c r="AT1705" s="308"/>
      <c r="AU1705" s="308"/>
      <c r="AV1705" s="308"/>
      <c r="AW1705" s="308"/>
      <c r="AX1705" s="308"/>
      <c r="AY1705" s="308"/>
      <c r="AZ1705" s="308"/>
      <c r="BA1705" s="308"/>
      <c r="BB1705" s="308"/>
      <c r="BC1705" s="308"/>
      <c r="BD1705" s="308"/>
      <c r="BE1705" s="308"/>
      <c r="BF1705" s="308"/>
      <c r="BG1705" s="308"/>
      <c r="BH1705" s="308"/>
      <c r="BI1705" s="308"/>
      <c r="BJ1705" s="308"/>
      <c r="BK1705" s="308"/>
      <c r="BL1705" s="308"/>
      <c r="BM1705" s="308"/>
      <c r="BN1705" s="308"/>
      <c r="BO1705" s="308"/>
      <c r="BP1705" s="308"/>
      <c r="BQ1705" s="308"/>
      <c r="BR1705" s="308"/>
      <c r="BS1705" s="308"/>
      <c r="BT1705" s="308"/>
      <c r="BU1705" s="308"/>
      <c r="BV1705" s="308"/>
      <c r="BW1705" s="308"/>
      <c r="BX1705" s="308"/>
      <c r="BY1705" s="308"/>
      <c r="BZ1705" s="308"/>
      <c r="CA1705" s="308"/>
      <c r="CB1705" s="308"/>
      <c r="CC1705" s="308"/>
      <c r="CD1705" s="308"/>
      <c r="CE1705" s="308"/>
      <c r="CF1705" s="308"/>
      <c r="CG1705" s="308"/>
      <c r="CH1705" s="308"/>
      <c r="CI1705" s="308"/>
      <c r="CJ1705" s="308"/>
      <c r="CK1705" s="308"/>
      <c r="CL1705" s="308"/>
      <c r="CM1705" s="308"/>
      <c r="CN1705" s="308"/>
      <c r="CO1705" s="308"/>
      <c r="CP1705" s="308"/>
      <c r="CQ1705" s="308"/>
      <c r="CR1705" s="308"/>
      <c r="CS1705" s="308"/>
      <c r="CT1705" s="308"/>
      <c r="CU1705" s="308"/>
      <c r="CV1705" s="308"/>
      <c r="CW1705" s="308"/>
      <c r="CX1705" s="308"/>
      <c r="CY1705" s="308"/>
      <c r="CZ1705" s="308"/>
      <c r="DA1705" s="308"/>
      <c r="DB1705" s="308"/>
      <c r="DC1705" s="308"/>
      <c r="DD1705" s="308"/>
      <c r="DE1705" s="308"/>
      <c r="DF1705" s="308"/>
      <c r="DG1705" s="308"/>
      <c r="DH1705" s="308"/>
      <c r="DI1705" s="308"/>
      <c r="DJ1705" s="308"/>
      <c r="DK1705" s="308"/>
      <c r="DL1705" s="308"/>
      <c r="DM1705" s="308"/>
      <c r="DN1705" s="308"/>
      <c r="DO1705" s="308"/>
      <c r="DP1705" s="308"/>
      <c r="DQ1705" s="308"/>
      <c r="DR1705" s="308"/>
      <c r="DS1705" s="308"/>
      <c r="DT1705" s="308"/>
      <c r="DU1705" s="308"/>
      <c r="DV1705" s="308"/>
      <c r="DW1705" s="308"/>
      <c r="DX1705" s="308"/>
      <c r="DY1705" s="308"/>
      <c r="DZ1705" s="308"/>
      <c r="EA1705" s="308"/>
      <c r="EB1705" s="308"/>
      <c r="EC1705" s="308"/>
      <c r="ED1705" s="308"/>
      <c r="EE1705" s="308"/>
      <c r="EF1705" s="308"/>
      <c r="EG1705" s="308"/>
      <c r="EH1705" s="308"/>
      <c r="EI1705" s="308"/>
      <c r="EJ1705" s="308"/>
      <c r="EK1705" s="308"/>
      <c r="EL1705" s="308"/>
      <c r="EM1705" s="308"/>
      <c r="EN1705" s="308"/>
      <c r="EO1705" s="308"/>
      <c r="EP1705" s="308"/>
      <c r="EQ1705" s="308"/>
      <c r="ER1705" s="308"/>
      <c r="ES1705" s="308"/>
    </row>
    <row r="1706" spans="1:149" x14ac:dyDescent="0.3">
      <c r="A1706" s="323">
        <v>903729</v>
      </c>
      <c r="B1706" s="306">
        <v>51</v>
      </c>
      <c r="C1706" s="306">
        <v>13.5</v>
      </c>
      <c r="D1706" s="305">
        <v>8.98</v>
      </c>
      <c r="E1706" s="583">
        <v>0.153</v>
      </c>
      <c r="F1706" s="306">
        <v>79</v>
      </c>
      <c r="G1706" s="305"/>
      <c r="H1706" s="305">
        <v>12.16</v>
      </c>
      <c r="I1706" s="305">
        <v>150</v>
      </c>
      <c r="J1706" s="305">
        <v>8.1000000000000003E-2</v>
      </c>
      <c r="K1706" s="305">
        <v>7.86</v>
      </c>
      <c r="L1706" s="305">
        <v>223</v>
      </c>
      <c r="M1706" s="305">
        <v>0.04</v>
      </c>
      <c r="N1706" s="305">
        <v>0.28999999999999998</v>
      </c>
      <c r="O1706" s="305">
        <v>0.8</v>
      </c>
      <c r="P1706" s="305">
        <v>1.1000000000000001</v>
      </c>
      <c r="Q1706" s="305"/>
      <c r="R1706" s="307">
        <v>0.44173074310764587</v>
      </c>
      <c r="S1706" s="305">
        <v>3.1</v>
      </c>
      <c r="T1706" s="307"/>
      <c r="U1706" s="307"/>
      <c r="Y1706" s="67">
        <v>32</v>
      </c>
      <c r="Z1706" s="305"/>
      <c r="AA1706" s="305"/>
      <c r="AB1706" s="305"/>
      <c r="AC1706" s="305"/>
      <c r="AD1706" s="324">
        <v>520</v>
      </c>
      <c r="AE1706" s="305">
        <v>360</v>
      </c>
      <c r="AF1706" s="305">
        <v>120</v>
      </c>
      <c r="AG1706" s="66">
        <f t="shared" si="69"/>
        <v>86.951250000000002</v>
      </c>
      <c r="AH1706" s="143">
        <f t="shared" si="70"/>
        <v>1000</v>
      </c>
      <c r="AI1706" s="308"/>
      <c r="AJ1706" s="308"/>
      <c r="AK1706" s="308"/>
      <c r="AL1706" s="308"/>
      <c r="AM1706" s="308"/>
      <c r="AN1706" s="308"/>
      <c r="AO1706" s="308"/>
      <c r="AP1706" s="308"/>
      <c r="AQ1706" s="308"/>
      <c r="AR1706" s="308"/>
      <c r="AS1706" s="308"/>
      <c r="AT1706" s="308"/>
      <c r="AU1706" s="308"/>
      <c r="AV1706" s="308"/>
      <c r="AW1706" s="308"/>
      <c r="AX1706" s="308"/>
      <c r="AY1706" s="308"/>
      <c r="AZ1706" s="308"/>
      <c r="BA1706" s="308"/>
      <c r="BB1706" s="308"/>
      <c r="BC1706" s="308"/>
      <c r="BD1706" s="308"/>
      <c r="BE1706" s="308"/>
      <c r="BF1706" s="308"/>
      <c r="BG1706" s="308"/>
      <c r="BH1706" s="308"/>
      <c r="BI1706" s="308"/>
      <c r="BJ1706" s="308"/>
      <c r="BK1706" s="308"/>
      <c r="BL1706" s="308"/>
      <c r="BM1706" s="308"/>
      <c r="BN1706" s="308"/>
      <c r="BO1706" s="308"/>
      <c r="BP1706" s="308"/>
      <c r="BQ1706" s="308"/>
      <c r="BR1706" s="308"/>
      <c r="BS1706" s="308"/>
      <c r="BT1706" s="308"/>
      <c r="BU1706" s="308"/>
      <c r="BV1706" s="308"/>
      <c r="BW1706" s="308"/>
      <c r="BX1706" s="308"/>
      <c r="BY1706" s="308"/>
      <c r="BZ1706" s="308"/>
      <c r="CA1706" s="308"/>
      <c r="CB1706" s="308"/>
      <c r="CC1706" s="308"/>
      <c r="CD1706" s="308"/>
      <c r="CE1706" s="308"/>
      <c r="CF1706" s="308"/>
      <c r="CG1706" s="308"/>
      <c r="CH1706" s="308"/>
      <c r="CI1706" s="308"/>
      <c r="CJ1706" s="308"/>
      <c r="CK1706" s="308"/>
      <c r="CL1706" s="308"/>
      <c r="CM1706" s="308"/>
      <c r="CN1706" s="308"/>
      <c r="CO1706" s="308"/>
      <c r="CP1706" s="308"/>
      <c r="CQ1706" s="308"/>
      <c r="CR1706" s="308"/>
      <c r="CS1706" s="308"/>
      <c r="CT1706" s="308"/>
      <c r="CU1706" s="308"/>
      <c r="CV1706" s="308"/>
      <c r="CW1706" s="308"/>
      <c r="CX1706" s="308"/>
      <c r="CY1706" s="308"/>
      <c r="CZ1706" s="308"/>
      <c r="DA1706" s="308"/>
      <c r="DB1706" s="308"/>
      <c r="DC1706" s="308"/>
      <c r="DD1706" s="308"/>
      <c r="DE1706" s="308"/>
      <c r="DF1706" s="308"/>
      <c r="DG1706" s="308"/>
      <c r="DH1706" s="308"/>
      <c r="DI1706" s="308"/>
      <c r="DJ1706" s="308"/>
      <c r="DK1706" s="308"/>
      <c r="DL1706" s="308"/>
      <c r="DM1706" s="308"/>
      <c r="DN1706" s="308"/>
      <c r="DO1706" s="308"/>
      <c r="DP1706" s="308"/>
      <c r="DQ1706" s="308"/>
      <c r="DR1706" s="308"/>
      <c r="DS1706" s="308"/>
      <c r="DT1706" s="308"/>
      <c r="DU1706" s="308"/>
      <c r="DV1706" s="308"/>
      <c r="DW1706" s="308"/>
      <c r="DX1706" s="308"/>
      <c r="DY1706" s="308"/>
      <c r="DZ1706" s="308"/>
      <c r="EA1706" s="308"/>
      <c r="EB1706" s="308"/>
      <c r="EC1706" s="308"/>
      <c r="ED1706" s="308"/>
      <c r="EE1706" s="308"/>
      <c r="EF1706" s="308"/>
      <c r="EG1706" s="308"/>
      <c r="EH1706" s="308"/>
      <c r="EI1706" s="308"/>
      <c r="EJ1706" s="308"/>
      <c r="EK1706" s="308"/>
      <c r="EL1706" s="308"/>
      <c r="EM1706" s="308"/>
      <c r="EN1706" s="308"/>
      <c r="EO1706" s="308"/>
      <c r="EP1706" s="308"/>
      <c r="EQ1706" s="308"/>
      <c r="ER1706" s="308"/>
      <c r="ES1706" s="308"/>
    </row>
    <row r="1707" spans="1:149" x14ac:dyDescent="0.3">
      <c r="A1707" s="323">
        <v>903730</v>
      </c>
      <c r="B1707" s="306">
        <v>56.7</v>
      </c>
      <c r="C1707" s="306">
        <v>15.4</v>
      </c>
      <c r="D1707" s="305">
        <v>9.2200000000000006</v>
      </c>
      <c r="E1707" s="583">
        <v>0.14299999999999999</v>
      </c>
      <c r="F1707" s="306">
        <v>44.7</v>
      </c>
      <c r="G1707" s="305"/>
      <c r="H1707" s="305">
        <v>11.66</v>
      </c>
      <c r="I1707" s="305">
        <v>110</v>
      </c>
      <c r="J1707" s="305">
        <v>0.106</v>
      </c>
      <c r="K1707" s="305">
        <v>13.2</v>
      </c>
      <c r="L1707" s="305">
        <v>238</v>
      </c>
      <c r="M1707" s="305">
        <v>0.11</v>
      </c>
      <c r="N1707" s="305">
        <v>0.27</v>
      </c>
      <c r="O1707" s="305">
        <v>0.92</v>
      </c>
      <c r="P1707" s="305">
        <v>1.19</v>
      </c>
      <c r="Q1707" s="305"/>
      <c r="R1707" s="307">
        <v>0.19136075640234293</v>
      </c>
      <c r="S1707" s="305">
        <v>1.4</v>
      </c>
      <c r="T1707" s="307"/>
      <c r="U1707" s="307"/>
      <c r="Y1707" s="67">
        <v>27</v>
      </c>
      <c r="Z1707" s="305"/>
      <c r="AA1707" s="305"/>
      <c r="AB1707" s="305"/>
      <c r="AC1707" s="305"/>
      <c r="AD1707" s="324">
        <v>540</v>
      </c>
      <c r="AE1707" s="305">
        <v>360</v>
      </c>
      <c r="AF1707" s="305">
        <v>100</v>
      </c>
      <c r="AG1707" s="66">
        <f t="shared" si="69"/>
        <v>173.06666666666663</v>
      </c>
      <c r="AH1707" s="143">
        <f t="shared" si="70"/>
        <v>1000</v>
      </c>
      <c r="AI1707" s="308"/>
      <c r="AJ1707" s="308"/>
      <c r="AK1707" s="308"/>
      <c r="AL1707" s="308"/>
      <c r="AM1707" s="308"/>
      <c r="AN1707" s="308"/>
      <c r="AO1707" s="308"/>
      <c r="AP1707" s="308"/>
      <c r="AQ1707" s="308"/>
      <c r="AR1707" s="308"/>
      <c r="AS1707" s="308"/>
      <c r="AT1707" s="308"/>
      <c r="AU1707" s="308"/>
      <c r="AV1707" s="308"/>
      <c r="AW1707" s="308"/>
      <c r="AX1707" s="308"/>
      <c r="AY1707" s="308"/>
      <c r="AZ1707" s="308"/>
      <c r="BA1707" s="308"/>
      <c r="BB1707" s="308"/>
      <c r="BC1707" s="308"/>
      <c r="BD1707" s="308"/>
      <c r="BE1707" s="308"/>
      <c r="BF1707" s="308"/>
      <c r="BG1707" s="308"/>
      <c r="BH1707" s="308"/>
      <c r="BI1707" s="308"/>
      <c r="BJ1707" s="308"/>
      <c r="BK1707" s="308"/>
      <c r="BL1707" s="308"/>
      <c r="BM1707" s="308"/>
      <c r="BN1707" s="308"/>
      <c r="BO1707" s="308"/>
      <c r="BP1707" s="308"/>
      <c r="BQ1707" s="308"/>
      <c r="BR1707" s="308"/>
      <c r="BS1707" s="308"/>
      <c r="BT1707" s="308"/>
      <c r="BU1707" s="308"/>
      <c r="BV1707" s="308"/>
      <c r="BW1707" s="308"/>
      <c r="BX1707" s="308"/>
      <c r="BY1707" s="308"/>
      <c r="BZ1707" s="308"/>
      <c r="CA1707" s="308"/>
      <c r="CB1707" s="308"/>
      <c r="CC1707" s="308"/>
      <c r="CD1707" s="308"/>
      <c r="CE1707" s="308"/>
      <c r="CF1707" s="308"/>
      <c r="CG1707" s="308"/>
      <c r="CH1707" s="308"/>
      <c r="CI1707" s="308"/>
      <c r="CJ1707" s="308"/>
      <c r="CK1707" s="308"/>
      <c r="CL1707" s="308"/>
      <c r="CM1707" s="308"/>
      <c r="CN1707" s="308"/>
      <c r="CO1707" s="308"/>
      <c r="CP1707" s="308"/>
      <c r="CQ1707" s="308"/>
      <c r="CR1707" s="308"/>
      <c r="CS1707" s="308"/>
      <c r="CT1707" s="308"/>
      <c r="CU1707" s="308"/>
      <c r="CV1707" s="308"/>
      <c r="CW1707" s="308"/>
      <c r="CX1707" s="308"/>
      <c r="CY1707" s="308"/>
      <c r="CZ1707" s="308"/>
      <c r="DA1707" s="308"/>
      <c r="DB1707" s="308"/>
      <c r="DC1707" s="308"/>
      <c r="DD1707" s="308"/>
      <c r="DE1707" s="308"/>
      <c r="DF1707" s="308"/>
      <c r="DG1707" s="308"/>
      <c r="DH1707" s="308"/>
      <c r="DI1707" s="308"/>
      <c r="DJ1707" s="308"/>
      <c r="DK1707" s="308"/>
      <c r="DL1707" s="308"/>
      <c r="DM1707" s="308"/>
      <c r="DN1707" s="308"/>
      <c r="DO1707" s="308"/>
      <c r="DP1707" s="308"/>
      <c r="DQ1707" s="308"/>
      <c r="DR1707" s="308"/>
      <c r="DS1707" s="308"/>
      <c r="DT1707" s="308"/>
      <c r="DU1707" s="308"/>
      <c r="DV1707" s="308"/>
      <c r="DW1707" s="308"/>
      <c r="DX1707" s="308"/>
      <c r="DY1707" s="308"/>
      <c r="DZ1707" s="308"/>
      <c r="EA1707" s="308"/>
      <c r="EB1707" s="308"/>
      <c r="EC1707" s="308"/>
      <c r="ED1707" s="308"/>
      <c r="EE1707" s="308"/>
      <c r="EF1707" s="308"/>
      <c r="EG1707" s="308"/>
      <c r="EH1707" s="308"/>
      <c r="EI1707" s="308"/>
      <c r="EJ1707" s="308"/>
      <c r="EK1707" s="308"/>
      <c r="EL1707" s="308"/>
      <c r="EM1707" s="308"/>
      <c r="EN1707" s="308"/>
      <c r="EO1707" s="308"/>
      <c r="EP1707" s="308"/>
      <c r="EQ1707" s="308"/>
      <c r="ER1707" s="308"/>
      <c r="ES1707" s="308"/>
    </row>
    <row r="1708" spans="1:149" x14ac:dyDescent="0.3">
      <c r="A1708" s="323">
        <v>903731</v>
      </c>
      <c r="B1708" s="306">
        <v>20.100000000000001</v>
      </c>
      <c r="C1708" s="306">
        <v>5.5</v>
      </c>
      <c r="D1708" s="305">
        <v>8.9</v>
      </c>
      <c r="E1708" s="583">
        <v>0.374</v>
      </c>
      <c r="F1708" s="306">
        <v>92</v>
      </c>
      <c r="G1708" s="305"/>
      <c r="H1708" s="305">
        <v>8.18</v>
      </c>
      <c r="I1708" s="305">
        <v>70</v>
      </c>
      <c r="J1708" s="305">
        <v>8.5999999999999993E-2</v>
      </c>
      <c r="K1708" s="305">
        <v>9.2899999999999991</v>
      </c>
      <c r="L1708" s="305">
        <v>172</v>
      </c>
      <c r="M1708" s="305">
        <v>0.06</v>
      </c>
      <c r="N1708" s="305">
        <v>0.16</v>
      </c>
      <c r="O1708" s="305">
        <v>0.49</v>
      </c>
      <c r="P1708" s="305">
        <v>1.42</v>
      </c>
      <c r="Q1708" s="305"/>
      <c r="R1708" s="307">
        <v>0.20941365972209022</v>
      </c>
      <c r="S1708" s="305">
        <v>1.4</v>
      </c>
      <c r="T1708" s="307"/>
      <c r="U1708" s="307"/>
      <c r="Y1708" s="67">
        <v>7</v>
      </c>
      <c r="Z1708" s="305"/>
      <c r="AA1708" s="305"/>
      <c r="AB1708" s="305"/>
      <c r="AC1708" s="305"/>
      <c r="AD1708" s="324">
        <v>140</v>
      </c>
      <c r="AE1708" s="305">
        <v>120</v>
      </c>
      <c r="AF1708" s="305">
        <v>740</v>
      </c>
      <c r="AG1708" s="66">
        <f t="shared" si="69"/>
        <v>469.80857142857133</v>
      </c>
      <c r="AH1708" s="143">
        <f t="shared" si="70"/>
        <v>1000</v>
      </c>
      <c r="AI1708" s="308"/>
      <c r="AJ1708" s="308"/>
      <c r="AK1708" s="308"/>
      <c r="AL1708" s="308"/>
      <c r="AM1708" s="308"/>
      <c r="AN1708" s="308"/>
      <c r="AO1708" s="308"/>
      <c r="AP1708" s="308"/>
      <c r="AQ1708" s="308"/>
      <c r="AR1708" s="308"/>
      <c r="AS1708" s="308"/>
      <c r="AT1708" s="308"/>
      <c r="AU1708" s="308"/>
      <c r="AV1708" s="308"/>
      <c r="AW1708" s="308"/>
      <c r="AX1708" s="308"/>
      <c r="AY1708" s="308"/>
      <c r="AZ1708" s="308"/>
      <c r="BA1708" s="308"/>
      <c r="BB1708" s="308"/>
      <c r="BC1708" s="308"/>
      <c r="BD1708" s="308"/>
      <c r="BE1708" s="308"/>
      <c r="BF1708" s="308"/>
      <c r="BG1708" s="308"/>
      <c r="BH1708" s="308"/>
      <c r="BI1708" s="308"/>
      <c r="BJ1708" s="308"/>
      <c r="BK1708" s="308"/>
      <c r="BL1708" s="308"/>
      <c r="BM1708" s="308"/>
      <c r="BN1708" s="308"/>
      <c r="BO1708" s="308"/>
      <c r="BP1708" s="308"/>
      <c r="BQ1708" s="308"/>
      <c r="BR1708" s="308"/>
      <c r="BS1708" s="308"/>
      <c r="BT1708" s="308"/>
      <c r="BU1708" s="308"/>
      <c r="BV1708" s="308"/>
      <c r="BW1708" s="308"/>
      <c r="BX1708" s="308"/>
      <c r="BY1708" s="308"/>
      <c r="BZ1708" s="308"/>
      <c r="CA1708" s="308"/>
      <c r="CB1708" s="308"/>
      <c r="CC1708" s="308"/>
      <c r="CD1708" s="308"/>
      <c r="CE1708" s="308"/>
      <c r="CF1708" s="308"/>
      <c r="CG1708" s="308"/>
      <c r="CH1708" s="308"/>
      <c r="CI1708" s="308"/>
      <c r="CJ1708" s="308"/>
      <c r="CK1708" s="308"/>
      <c r="CL1708" s="308"/>
      <c r="CM1708" s="308"/>
      <c r="CN1708" s="308"/>
      <c r="CO1708" s="308"/>
      <c r="CP1708" s="308"/>
      <c r="CQ1708" s="308"/>
      <c r="CR1708" s="308"/>
      <c r="CS1708" s="308"/>
      <c r="CT1708" s="308"/>
      <c r="CU1708" s="308"/>
      <c r="CV1708" s="308"/>
      <c r="CW1708" s="308"/>
      <c r="CX1708" s="308"/>
      <c r="CY1708" s="308"/>
      <c r="CZ1708" s="308"/>
      <c r="DA1708" s="308"/>
      <c r="DB1708" s="308"/>
      <c r="DC1708" s="308"/>
      <c r="DD1708" s="308"/>
      <c r="DE1708" s="308"/>
      <c r="DF1708" s="308"/>
      <c r="DG1708" s="308"/>
      <c r="DH1708" s="308"/>
      <c r="DI1708" s="308"/>
      <c r="DJ1708" s="308"/>
      <c r="DK1708" s="308"/>
      <c r="DL1708" s="308"/>
      <c r="DM1708" s="308"/>
      <c r="DN1708" s="308"/>
      <c r="DO1708" s="308"/>
      <c r="DP1708" s="308"/>
      <c r="DQ1708" s="308"/>
      <c r="DR1708" s="308"/>
      <c r="DS1708" s="308"/>
      <c r="DT1708" s="308"/>
      <c r="DU1708" s="308"/>
      <c r="DV1708" s="308"/>
      <c r="DW1708" s="308"/>
      <c r="DX1708" s="308"/>
      <c r="DY1708" s="308"/>
      <c r="DZ1708" s="308"/>
      <c r="EA1708" s="308"/>
      <c r="EB1708" s="308"/>
      <c r="EC1708" s="308"/>
      <c r="ED1708" s="308"/>
      <c r="EE1708" s="308"/>
      <c r="EF1708" s="308"/>
      <c r="EG1708" s="308"/>
      <c r="EH1708" s="308"/>
      <c r="EI1708" s="308"/>
      <c r="EJ1708" s="308"/>
      <c r="EK1708" s="308"/>
      <c r="EL1708" s="308"/>
      <c r="EM1708" s="308"/>
      <c r="EN1708" s="308"/>
      <c r="EO1708" s="308"/>
      <c r="EP1708" s="308"/>
      <c r="EQ1708" s="308"/>
      <c r="ER1708" s="308"/>
      <c r="ES1708" s="308"/>
    </row>
    <row r="1709" spans="1:149" x14ac:dyDescent="0.3">
      <c r="A1709" s="323">
        <v>903732</v>
      </c>
      <c r="B1709" s="306">
        <v>11.1</v>
      </c>
      <c r="C1709" s="306">
        <v>10.9</v>
      </c>
      <c r="D1709" s="305">
        <v>8.7799999999999994</v>
      </c>
      <c r="E1709" s="583">
        <v>0.27400000000000002</v>
      </c>
      <c r="F1709" s="306">
        <v>125</v>
      </c>
      <c r="G1709" s="305"/>
      <c r="H1709" s="305">
        <v>8.9</v>
      </c>
      <c r="I1709" s="305">
        <v>190</v>
      </c>
      <c r="J1709" s="305">
        <v>0.109</v>
      </c>
      <c r="K1709" s="305">
        <v>9.5500000000000007</v>
      </c>
      <c r="L1709" s="305">
        <v>214</v>
      </c>
      <c r="M1709" s="305">
        <v>0.08</v>
      </c>
      <c r="N1709" s="305">
        <v>0.37</v>
      </c>
      <c r="O1709" s="305">
        <v>0.97</v>
      </c>
      <c r="P1709" s="305">
        <v>1.29</v>
      </c>
      <c r="Q1709" s="305"/>
      <c r="R1709" s="307">
        <v>0.52199365140338161</v>
      </c>
      <c r="S1709" s="305">
        <v>3.4</v>
      </c>
      <c r="T1709" s="307"/>
      <c r="U1709" s="307"/>
      <c r="Y1709" s="67">
        <v>20</v>
      </c>
      <c r="Z1709" s="305"/>
      <c r="AA1709" s="305"/>
      <c r="AB1709" s="305"/>
      <c r="AC1709" s="305"/>
      <c r="AD1709" s="324">
        <v>400</v>
      </c>
      <c r="AE1709" s="305">
        <v>240</v>
      </c>
      <c r="AF1709" s="305">
        <v>360</v>
      </c>
      <c r="AG1709" s="66">
        <f t="shared" si="69"/>
        <v>169.03500000000003</v>
      </c>
      <c r="AH1709" s="143">
        <f t="shared" si="70"/>
        <v>1000</v>
      </c>
      <c r="AI1709" s="308"/>
      <c r="AJ1709" s="308"/>
      <c r="AK1709" s="308"/>
      <c r="AL1709" s="308"/>
      <c r="AM1709" s="308"/>
      <c r="AN1709" s="308"/>
      <c r="AO1709" s="308"/>
      <c r="AP1709" s="308"/>
      <c r="AQ1709" s="308"/>
      <c r="AR1709" s="308"/>
      <c r="AS1709" s="308"/>
      <c r="AT1709" s="308"/>
      <c r="AU1709" s="308"/>
      <c r="AV1709" s="308"/>
      <c r="AW1709" s="308"/>
      <c r="AX1709" s="308"/>
      <c r="AY1709" s="308"/>
      <c r="AZ1709" s="308"/>
      <c r="BA1709" s="308"/>
      <c r="BB1709" s="308"/>
      <c r="BC1709" s="308"/>
      <c r="BD1709" s="308"/>
      <c r="BE1709" s="308"/>
      <c r="BF1709" s="308"/>
      <c r="BG1709" s="308"/>
      <c r="BH1709" s="308"/>
      <c r="BI1709" s="308"/>
      <c r="BJ1709" s="308"/>
      <c r="BK1709" s="308"/>
      <c r="BL1709" s="308"/>
      <c r="BM1709" s="308"/>
      <c r="BN1709" s="308"/>
      <c r="BO1709" s="308"/>
      <c r="BP1709" s="308"/>
      <c r="BQ1709" s="308"/>
      <c r="BR1709" s="308"/>
      <c r="BS1709" s="308"/>
      <c r="BT1709" s="308"/>
      <c r="BU1709" s="308"/>
      <c r="BV1709" s="308"/>
      <c r="BW1709" s="308"/>
      <c r="BX1709" s="308"/>
      <c r="BY1709" s="308"/>
      <c r="BZ1709" s="308"/>
      <c r="CA1709" s="308"/>
      <c r="CB1709" s="308"/>
      <c r="CC1709" s="308"/>
      <c r="CD1709" s="308"/>
      <c r="CE1709" s="308"/>
      <c r="CF1709" s="308"/>
      <c r="CG1709" s="308"/>
      <c r="CH1709" s="308"/>
      <c r="CI1709" s="308"/>
      <c r="CJ1709" s="308"/>
      <c r="CK1709" s="308"/>
      <c r="CL1709" s="308"/>
      <c r="CM1709" s="308"/>
      <c r="CN1709" s="308"/>
      <c r="CO1709" s="308"/>
      <c r="CP1709" s="308"/>
      <c r="CQ1709" s="308"/>
      <c r="CR1709" s="308"/>
      <c r="CS1709" s="308"/>
      <c r="CT1709" s="308"/>
      <c r="CU1709" s="308"/>
      <c r="CV1709" s="308"/>
      <c r="CW1709" s="308"/>
      <c r="CX1709" s="308"/>
      <c r="CY1709" s="308"/>
      <c r="CZ1709" s="308"/>
      <c r="DA1709" s="308"/>
      <c r="DB1709" s="308"/>
      <c r="DC1709" s="308"/>
      <c r="DD1709" s="308"/>
      <c r="DE1709" s="308"/>
      <c r="DF1709" s="308"/>
      <c r="DG1709" s="308"/>
      <c r="DH1709" s="308"/>
      <c r="DI1709" s="308"/>
      <c r="DJ1709" s="308"/>
      <c r="DK1709" s="308"/>
      <c r="DL1709" s="308"/>
      <c r="DM1709" s="308"/>
      <c r="DN1709" s="308"/>
      <c r="DO1709" s="308"/>
      <c r="DP1709" s="308"/>
      <c r="DQ1709" s="308"/>
      <c r="DR1709" s="308"/>
      <c r="DS1709" s="308"/>
      <c r="DT1709" s="308"/>
      <c r="DU1709" s="308"/>
      <c r="DV1709" s="308"/>
      <c r="DW1709" s="308"/>
      <c r="DX1709" s="308"/>
      <c r="DY1709" s="308"/>
      <c r="DZ1709" s="308"/>
      <c r="EA1709" s="308"/>
      <c r="EB1709" s="308"/>
      <c r="EC1709" s="308"/>
      <c r="ED1709" s="308"/>
      <c r="EE1709" s="308"/>
      <c r="EF1709" s="308"/>
      <c r="EG1709" s="308"/>
      <c r="EH1709" s="308"/>
      <c r="EI1709" s="308"/>
      <c r="EJ1709" s="308"/>
      <c r="EK1709" s="308"/>
      <c r="EL1709" s="308"/>
      <c r="EM1709" s="308"/>
      <c r="EN1709" s="308"/>
      <c r="EO1709" s="308"/>
      <c r="EP1709" s="308"/>
      <c r="EQ1709" s="308"/>
      <c r="ER1709" s="308"/>
      <c r="ES1709" s="308"/>
    </row>
    <row r="1710" spans="1:149" x14ac:dyDescent="0.3">
      <c r="A1710" s="323">
        <v>903733</v>
      </c>
      <c r="B1710" s="306">
        <v>17.8</v>
      </c>
      <c r="C1710" s="306">
        <v>8.6</v>
      </c>
      <c r="D1710" s="305">
        <v>8.89</v>
      </c>
      <c r="E1710" s="583">
        <v>0.22</v>
      </c>
      <c r="F1710" s="306">
        <v>93</v>
      </c>
      <c r="G1710" s="305"/>
      <c r="H1710" s="305">
        <v>8.7100000000000009</v>
      </c>
      <c r="I1710" s="305">
        <v>220</v>
      </c>
      <c r="J1710" s="305">
        <v>0.08</v>
      </c>
      <c r="K1710" s="305">
        <v>10.06</v>
      </c>
      <c r="L1710" s="305">
        <v>204</v>
      </c>
      <c r="M1710" s="305">
        <v>0.06</v>
      </c>
      <c r="N1710" s="305">
        <v>0.41</v>
      </c>
      <c r="O1710" s="305">
        <v>1.02</v>
      </c>
      <c r="P1710" s="305">
        <v>1.43</v>
      </c>
      <c r="Q1710" s="305"/>
      <c r="R1710" s="307">
        <v>0.59377041211895287</v>
      </c>
      <c r="S1710" s="305">
        <v>4</v>
      </c>
      <c r="T1710" s="307"/>
      <c r="U1710" s="307"/>
      <c r="Y1710" s="67">
        <v>29.4</v>
      </c>
      <c r="Z1710" s="305"/>
      <c r="AA1710" s="305"/>
      <c r="AB1710" s="305"/>
      <c r="AC1710" s="305"/>
      <c r="AD1710" s="324">
        <v>420</v>
      </c>
      <c r="AE1710" s="305">
        <v>240</v>
      </c>
      <c r="AF1710" s="305">
        <v>340</v>
      </c>
      <c r="AG1710" s="66">
        <f t="shared" si="69"/>
        <v>121.13061224489797</v>
      </c>
      <c r="AH1710" s="143">
        <f t="shared" si="70"/>
        <v>1000</v>
      </c>
      <c r="AI1710" s="308"/>
      <c r="AJ1710" s="308"/>
      <c r="AK1710" s="308"/>
      <c r="AL1710" s="308"/>
      <c r="AM1710" s="308"/>
      <c r="AN1710" s="308"/>
      <c r="AO1710" s="308"/>
      <c r="AP1710" s="308"/>
      <c r="AQ1710" s="308"/>
      <c r="AR1710" s="308"/>
      <c r="AS1710" s="308"/>
      <c r="AT1710" s="308"/>
      <c r="AU1710" s="308"/>
      <c r="AV1710" s="308"/>
      <c r="AW1710" s="308"/>
      <c r="AX1710" s="308"/>
      <c r="AY1710" s="308"/>
      <c r="AZ1710" s="308"/>
      <c r="BA1710" s="308"/>
      <c r="BB1710" s="308"/>
      <c r="BC1710" s="308"/>
      <c r="BD1710" s="308"/>
      <c r="BE1710" s="308"/>
      <c r="BF1710" s="308"/>
      <c r="BG1710" s="308"/>
      <c r="BH1710" s="308"/>
      <c r="BI1710" s="308"/>
      <c r="BJ1710" s="308"/>
      <c r="BK1710" s="308"/>
      <c r="BL1710" s="308"/>
      <c r="BM1710" s="308"/>
      <c r="BN1710" s="308"/>
      <c r="BO1710" s="308"/>
      <c r="BP1710" s="308"/>
      <c r="BQ1710" s="308"/>
      <c r="BR1710" s="308"/>
      <c r="BS1710" s="308"/>
      <c r="BT1710" s="308"/>
      <c r="BU1710" s="308"/>
      <c r="BV1710" s="308"/>
      <c r="BW1710" s="308"/>
      <c r="BX1710" s="308"/>
      <c r="BY1710" s="308"/>
      <c r="BZ1710" s="308"/>
      <c r="CA1710" s="308"/>
      <c r="CB1710" s="308"/>
      <c r="CC1710" s="308"/>
      <c r="CD1710" s="308"/>
      <c r="CE1710" s="308"/>
      <c r="CF1710" s="308"/>
      <c r="CG1710" s="308"/>
      <c r="CH1710" s="308"/>
      <c r="CI1710" s="308"/>
      <c r="CJ1710" s="308"/>
      <c r="CK1710" s="308"/>
      <c r="CL1710" s="308"/>
      <c r="CM1710" s="308"/>
      <c r="CN1710" s="308"/>
      <c r="CO1710" s="308"/>
      <c r="CP1710" s="308"/>
      <c r="CQ1710" s="308"/>
      <c r="CR1710" s="308"/>
      <c r="CS1710" s="308"/>
      <c r="CT1710" s="308"/>
      <c r="CU1710" s="308"/>
      <c r="CV1710" s="308"/>
      <c r="CW1710" s="308"/>
      <c r="CX1710" s="308"/>
      <c r="CY1710" s="308"/>
      <c r="CZ1710" s="308"/>
      <c r="DA1710" s="308"/>
      <c r="DB1710" s="308"/>
      <c r="DC1710" s="308"/>
      <c r="DD1710" s="308"/>
      <c r="DE1710" s="308"/>
      <c r="DF1710" s="308"/>
      <c r="DG1710" s="308"/>
      <c r="DH1710" s="308"/>
      <c r="DI1710" s="308"/>
      <c r="DJ1710" s="308"/>
      <c r="DK1710" s="308"/>
      <c r="DL1710" s="308"/>
      <c r="DM1710" s="308"/>
      <c r="DN1710" s="308"/>
      <c r="DO1710" s="308"/>
      <c r="DP1710" s="308"/>
      <c r="DQ1710" s="308"/>
      <c r="DR1710" s="308"/>
      <c r="DS1710" s="308"/>
      <c r="DT1710" s="308"/>
      <c r="DU1710" s="308"/>
      <c r="DV1710" s="308"/>
      <c r="DW1710" s="308"/>
      <c r="DX1710" s="308"/>
      <c r="DY1710" s="308"/>
      <c r="DZ1710" s="308"/>
      <c r="EA1710" s="308"/>
      <c r="EB1710" s="308"/>
      <c r="EC1710" s="308"/>
      <c r="ED1710" s="308"/>
      <c r="EE1710" s="308"/>
      <c r="EF1710" s="308"/>
      <c r="EG1710" s="308"/>
      <c r="EH1710" s="308"/>
      <c r="EI1710" s="308"/>
      <c r="EJ1710" s="308"/>
      <c r="EK1710" s="308"/>
      <c r="EL1710" s="308"/>
      <c r="EM1710" s="308"/>
      <c r="EN1710" s="308"/>
      <c r="EO1710" s="308"/>
      <c r="EP1710" s="308"/>
      <c r="EQ1710" s="308"/>
      <c r="ER1710" s="308"/>
      <c r="ES1710" s="308"/>
    </row>
    <row r="1711" spans="1:149" x14ac:dyDescent="0.3">
      <c r="A1711" s="323">
        <v>903734</v>
      </c>
      <c r="B1711" s="306">
        <v>20.9</v>
      </c>
      <c r="C1711" s="306">
        <v>6.9</v>
      </c>
      <c r="D1711" s="305">
        <v>9.1</v>
      </c>
      <c r="E1711" s="583">
        <v>0.115</v>
      </c>
      <c r="F1711" s="306">
        <v>46</v>
      </c>
      <c r="G1711" s="305"/>
      <c r="H1711" s="305">
        <v>8.57</v>
      </c>
      <c r="I1711" s="305">
        <v>150</v>
      </c>
      <c r="J1711" s="305">
        <v>2.4E-2</v>
      </c>
      <c r="K1711" s="305">
        <v>8.7100000000000009</v>
      </c>
      <c r="L1711" s="305">
        <v>184</v>
      </c>
      <c r="M1711" s="305">
        <v>0.06</v>
      </c>
      <c r="N1711" s="305">
        <v>0.23</v>
      </c>
      <c r="O1711" s="305">
        <v>0.83</v>
      </c>
      <c r="P1711" s="305">
        <v>1.57</v>
      </c>
      <c r="Q1711" s="305"/>
      <c r="R1711" s="307">
        <v>0.6436703151617631</v>
      </c>
      <c r="S1711" s="305">
        <v>4.3</v>
      </c>
      <c r="T1711" s="307"/>
      <c r="U1711" s="307"/>
      <c r="Y1711" s="67">
        <v>22.8</v>
      </c>
      <c r="Z1711" s="305"/>
      <c r="AA1711" s="305"/>
      <c r="AB1711" s="305"/>
      <c r="AC1711" s="305"/>
      <c r="AD1711" s="324">
        <v>380</v>
      </c>
      <c r="AE1711" s="305">
        <v>260</v>
      </c>
      <c r="AF1711" s="305">
        <v>360</v>
      </c>
      <c r="AG1711" s="66">
        <f t="shared" si="69"/>
        <v>135.23421052631582</v>
      </c>
      <c r="AH1711" s="143">
        <f t="shared" si="70"/>
        <v>1000</v>
      </c>
      <c r="AI1711" s="308"/>
      <c r="AJ1711" s="308"/>
      <c r="AK1711" s="308"/>
      <c r="AL1711" s="308"/>
      <c r="AM1711" s="308"/>
      <c r="AN1711" s="308"/>
      <c r="AO1711" s="308"/>
      <c r="AP1711" s="308"/>
      <c r="AQ1711" s="308"/>
      <c r="AR1711" s="308"/>
      <c r="AS1711" s="308"/>
      <c r="AT1711" s="308"/>
      <c r="AU1711" s="308"/>
      <c r="AV1711" s="308"/>
      <c r="AW1711" s="308"/>
      <c r="AX1711" s="308"/>
      <c r="AY1711" s="308"/>
      <c r="AZ1711" s="308"/>
      <c r="BA1711" s="308"/>
      <c r="BB1711" s="308"/>
      <c r="BC1711" s="308"/>
      <c r="BD1711" s="308"/>
      <c r="BE1711" s="308"/>
      <c r="BF1711" s="308"/>
      <c r="BG1711" s="308"/>
      <c r="BH1711" s="308"/>
      <c r="BI1711" s="308"/>
      <c r="BJ1711" s="308"/>
      <c r="BK1711" s="308"/>
      <c r="BL1711" s="308"/>
      <c r="BM1711" s="308"/>
      <c r="BN1711" s="308"/>
      <c r="BO1711" s="308"/>
      <c r="BP1711" s="308"/>
      <c r="BQ1711" s="308"/>
      <c r="BR1711" s="308"/>
      <c r="BS1711" s="308"/>
      <c r="BT1711" s="308"/>
      <c r="BU1711" s="308"/>
      <c r="BV1711" s="308"/>
      <c r="BW1711" s="308"/>
      <c r="BX1711" s="308"/>
      <c r="BY1711" s="308"/>
      <c r="BZ1711" s="308"/>
      <c r="CA1711" s="308"/>
      <c r="CB1711" s="308"/>
      <c r="CC1711" s="308"/>
      <c r="CD1711" s="308"/>
      <c r="CE1711" s="308"/>
      <c r="CF1711" s="308"/>
      <c r="CG1711" s="308"/>
      <c r="CH1711" s="308"/>
      <c r="CI1711" s="308"/>
      <c r="CJ1711" s="308"/>
      <c r="CK1711" s="308"/>
      <c r="CL1711" s="308"/>
      <c r="CM1711" s="308"/>
      <c r="CN1711" s="308"/>
      <c r="CO1711" s="308"/>
      <c r="CP1711" s="308"/>
      <c r="CQ1711" s="308"/>
      <c r="CR1711" s="308"/>
      <c r="CS1711" s="308"/>
      <c r="CT1711" s="308"/>
      <c r="CU1711" s="308"/>
      <c r="CV1711" s="308"/>
      <c r="CW1711" s="308"/>
      <c r="CX1711" s="308"/>
      <c r="CY1711" s="308"/>
      <c r="CZ1711" s="308"/>
      <c r="DA1711" s="308"/>
      <c r="DB1711" s="308"/>
      <c r="DC1711" s="308"/>
      <c r="DD1711" s="308"/>
      <c r="DE1711" s="308"/>
      <c r="DF1711" s="308"/>
      <c r="DG1711" s="308"/>
      <c r="DH1711" s="308"/>
      <c r="DI1711" s="308"/>
      <c r="DJ1711" s="308"/>
      <c r="DK1711" s="308"/>
      <c r="DL1711" s="308"/>
      <c r="DM1711" s="308"/>
      <c r="DN1711" s="308"/>
      <c r="DO1711" s="308"/>
      <c r="DP1711" s="308"/>
      <c r="DQ1711" s="308"/>
      <c r="DR1711" s="308"/>
      <c r="DS1711" s="308"/>
      <c r="DT1711" s="308"/>
      <c r="DU1711" s="308"/>
      <c r="DV1711" s="308"/>
      <c r="DW1711" s="308"/>
      <c r="DX1711" s="308"/>
      <c r="DY1711" s="308"/>
      <c r="DZ1711" s="308"/>
      <c r="EA1711" s="308"/>
      <c r="EB1711" s="308"/>
      <c r="EC1711" s="308"/>
      <c r="ED1711" s="308"/>
      <c r="EE1711" s="308"/>
      <c r="EF1711" s="308"/>
      <c r="EG1711" s="308"/>
      <c r="EH1711" s="308"/>
      <c r="EI1711" s="308"/>
      <c r="EJ1711" s="308"/>
      <c r="EK1711" s="308"/>
      <c r="EL1711" s="308"/>
      <c r="EM1711" s="308"/>
      <c r="EN1711" s="308"/>
      <c r="EO1711" s="308"/>
      <c r="EP1711" s="308"/>
      <c r="EQ1711" s="308"/>
      <c r="ER1711" s="308"/>
      <c r="ES1711" s="308"/>
    </row>
    <row r="1712" spans="1:149" x14ac:dyDescent="0.3">
      <c r="A1712" s="323">
        <v>903735</v>
      </c>
      <c r="B1712" s="306">
        <v>29.3</v>
      </c>
      <c r="C1712" s="306">
        <v>11.4</v>
      </c>
      <c r="D1712" s="305">
        <v>9.1199999999999992</v>
      </c>
      <c r="E1712" s="583">
        <v>0.114</v>
      </c>
      <c r="F1712" s="306">
        <v>37</v>
      </c>
      <c r="G1712" s="305"/>
      <c r="H1712" s="305">
        <v>12.11</v>
      </c>
      <c r="I1712" s="305">
        <v>180</v>
      </c>
      <c r="J1712" s="305">
        <v>1.4999999999999999E-2</v>
      </c>
      <c r="K1712" s="305">
        <v>8</v>
      </c>
      <c r="L1712" s="305">
        <v>148</v>
      </c>
      <c r="M1712" s="305">
        <v>0.05</v>
      </c>
      <c r="N1712" s="305">
        <v>0.32</v>
      </c>
      <c r="O1712" s="305">
        <v>1.35</v>
      </c>
      <c r="P1712" s="305">
        <v>0.76</v>
      </c>
      <c r="Q1712" s="305"/>
      <c r="R1712" s="307">
        <v>0.33110158301167797</v>
      </c>
      <c r="S1712" s="305">
        <v>2.2999999999999998</v>
      </c>
      <c r="T1712" s="307"/>
      <c r="U1712" s="307"/>
      <c r="Y1712" s="67">
        <v>24.6</v>
      </c>
      <c r="Z1712" s="305"/>
      <c r="AA1712" s="305"/>
      <c r="AB1712" s="305"/>
      <c r="AC1712" s="305"/>
      <c r="AD1712" s="324">
        <v>410</v>
      </c>
      <c r="AE1712" s="305">
        <v>260</v>
      </c>
      <c r="AF1712" s="305">
        <v>330</v>
      </c>
      <c r="AG1712" s="66">
        <f t="shared" si="69"/>
        <v>115.12195121951218</v>
      </c>
      <c r="AH1712" s="143">
        <f t="shared" si="70"/>
        <v>1000</v>
      </c>
      <c r="AI1712" s="308"/>
      <c r="AJ1712" s="308"/>
      <c r="AK1712" s="308"/>
      <c r="AL1712" s="308"/>
      <c r="AM1712" s="308"/>
      <c r="AN1712" s="308"/>
      <c r="AO1712" s="308"/>
      <c r="AP1712" s="308"/>
      <c r="AQ1712" s="308"/>
      <c r="AR1712" s="308"/>
      <c r="AS1712" s="308"/>
      <c r="AT1712" s="308"/>
      <c r="AU1712" s="308"/>
      <c r="AV1712" s="308"/>
      <c r="AW1712" s="308"/>
      <c r="AX1712" s="308"/>
      <c r="AY1712" s="308"/>
      <c r="AZ1712" s="308"/>
      <c r="BA1712" s="308"/>
      <c r="BB1712" s="308"/>
      <c r="BC1712" s="308"/>
      <c r="BD1712" s="308"/>
      <c r="BE1712" s="308"/>
      <c r="BF1712" s="308"/>
      <c r="BG1712" s="308"/>
      <c r="BH1712" s="308"/>
      <c r="BI1712" s="308"/>
      <c r="BJ1712" s="308"/>
      <c r="BK1712" s="308"/>
      <c r="BL1712" s="308"/>
      <c r="BM1712" s="308"/>
      <c r="BN1712" s="308"/>
      <c r="BO1712" s="308"/>
      <c r="BP1712" s="308"/>
      <c r="BQ1712" s="308"/>
      <c r="BR1712" s="308"/>
      <c r="BS1712" s="308"/>
      <c r="BT1712" s="308"/>
      <c r="BU1712" s="308"/>
      <c r="BV1712" s="308"/>
      <c r="BW1712" s="308"/>
      <c r="BX1712" s="308"/>
      <c r="BY1712" s="308"/>
      <c r="BZ1712" s="308"/>
      <c r="CA1712" s="308"/>
      <c r="CB1712" s="308"/>
      <c r="CC1712" s="308"/>
      <c r="CD1712" s="308"/>
      <c r="CE1712" s="308"/>
      <c r="CF1712" s="308"/>
      <c r="CG1712" s="308"/>
      <c r="CH1712" s="308"/>
      <c r="CI1712" s="308"/>
      <c r="CJ1712" s="308"/>
      <c r="CK1712" s="308"/>
      <c r="CL1712" s="308"/>
      <c r="CM1712" s="308"/>
      <c r="CN1712" s="308"/>
      <c r="CO1712" s="308"/>
      <c r="CP1712" s="308"/>
      <c r="CQ1712" s="308"/>
      <c r="CR1712" s="308"/>
      <c r="CS1712" s="308"/>
      <c r="CT1712" s="308"/>
      <c r="CU1712" s="308"/>
      <c r="CV1712" s="308"/>
      <c r="CW1712" s="308"/>
      <c r="CX1712" s="308"/>
      <c r="CY1712" s="308"/>
      <c r="CZ1712" s="308"/>
      <c r="DA1712" s="308"/>
      <c r="DB1712" s="308"/>
      <c r="DC1712" s="308"/>
      <c r="DD1712" s="308"/>
      <c r="DE1712" s="308"/>
      <c r="DF1712" s="308"/>
      <c r="DG1712" s="308"/>
      <c r="DH1712" s="308"/>
      <c r="DI1712" s="308"/>
      <c r="DJ1712" s="308"/>
      <c r="DK1712" s="308"/>
      <c r="DL1712" s="308"/>
      <c r="DM1712" s="308"/>
      <c r="DN1712" s="308"/>
      <c r="DO1712" s="308"/>
      <c r="DP1712" s="308"/>
      <c r="DQ1712" s="308"/>
      <c r="DR1712" s="308"/>
      <c r="DS1712" s="308"/>
      <c r="DT1712" s="308"/>
      <c r="DU1712" s="308"/>
      <c r="DV1712" s="308"/>
      <c r="DW1712" s="308"/>
      <c r="DX1712" s="308"/>
      <c r="DY1712" s="308"/>
      <c r="DZ1712" s="308"/>
      <c r="EA1712" s="308"/>
      <c r="EB1712" s="308"/>
      <c r="EC1712" s="308"/>
      <c r="ED1712" s="308"/>
      <c r="EE1712" s="308"/>
      <c r="EF1712" s="308"/>
      <c r="EG1712" s="308"/>
      <c r="EH1712" s="308"/>
      <c r="EI1712" s="308"/>
      <c r="EJ1712" s="308"/>
      <c r="EK1712" s="308"/>
      <c r="EL1712" s="308"/>
      <c r="EM1712" s="308"/>
      <c r="EN1712" s="308"/>
      <c r="EO1712" s="308"/>
      <c r="EP1712" s="308"/>
      <c r="EQ1712" s="308"/>
      <c r="ER1712" s="308"/>
      <c r="ES1712" s="308"/>
    </row>
    <row r="1713" spans="1:149" x14ac:dyDescent="0.3">
      <c r="A1713" s="323">
        <v>903736</v>
      </c>
      <c r="B1713" s="306">
        <v>0.2</v>
      </c>
      <c r="C1713" s="306"/>
      <c r="D1713" s="305">
        <v>8.01</v>
      </c>
      <c r="E1713" s="583">
        <v>6.0999999999999999E-2</v>
      </c>
      <c r="F1713" s="306">
        <v>34</v>
      </c>
      <c r="G1713" s="305"/>
      <c r="H1713" s="305">
        <v>101.38</v>
      </c>
      <c r="I1713" s="305">
        <v>60</v>
      </c>
      <c r="J1713" s="305">
        <v>1.6E-2</v>
      </c>
      <c r="K1713" s="305">
        <v>0.87</v>
      </c>
      <c r="L1713" s="305">
        <v>41</v>
      </c>
      <c r="M1713" s="305">
        <v>0.56000000000000005</v>
      </c>
      <c r="N1713" s="305">
        <v>0.46</v>
      </c>
      <c r="O1713" s="305">
        <v>0.59</v>
      </c>
      <c r="P1713" s="305">
        <v>7.49</v>
      </c>
      <c r="Q1713" s="305"/>
      <c r="R1713" s="307">
        <v>0.70697976885408298</v>
      </c>
      <c r="S1713" s="305">
        <v>4.9000000000000004</v>
      </c>
      <c r="T1713" s="307"/>
      <c r="U1713" s="307"/>
      <c r="Y1713" s="67">
        <v>2.6</v>
      </c>
      <c r="Z1713" s="305"/>
      <c r="AA1713" s="305"/>
      <c r="AB1713" s="305"/>
      <c r="AC1713" s="305"/>
      <c r="AD1713" s="324">
        <v>70</v>
      </c>
      <c r="AE1713" s="305">
        <v>60</v>
      </c>
      <c r="AF1713" s="305">
        <v>870</v>
      </c>
      <c r="AG1713" s="66">
        <f t="shared" si="69"/>
        <v>118.45384615384616</v>
      </c>
      <c r="AH1713" s="143">
        <f t="shared" si="70"/>
        <v>1000</v>
      </c>
      <c r="AI1713" s="308"/>
      <c r="AJ1713" s="308"/>
      <c r="AK1713" s="308"/>
      <c r="AL1713" s="308"/>
      <c r="AM1713" s="308"/>
      <c r="AN1713" s="308"/>
      <c r="AO1713" s="308"/>
      <c r="AP1713" s="308"/>
      <c r="AQ1713" s="308"/>
      <c r="AR1713" s="308"/>
      <c r="AS1713" s="308"/>
      <c r="AT1713" s="308"/>
      <c r="AU1713" s="308"/>
      <c r="AV1713" s="308"/>
      <c r="AW1713" s="308"/>
      <c r="AX1713" s="308"/>
      <c r="AY1713" s="308"/>
      <c r="AZ1713" s="308"/>
      <c r="BA1713" s="308"/>
      <c r="BB1713" s="308"/>
      <c r="BC1713" s="308"/>
      <c r="BD1713" s="308"/>
      <c r="BE1713" s="308"/>
      <c r="BF1713" s="308"/>
      <c r="BG1713" s="308"/>
      <c r="BH1713" s="308"/>
      <c r="BI1713" s="308"/>
      <c r="BJ1713" s="308"/>
      <c r="BK1713" s="308"/>
      <c r="BL1713" s="308"/>
      <c r="BM1713" s="308"/>
      <c r="BN1713" s="308"/>
      <c r="BO1713" s="308"/>
      <c r="BP1713" s="308"/>
      <c r="BQ1713" s="308"/>
      <c r="BR1713" s="308"/>
      <c r="BS1713" s="308"/>
      <c r="BT1713" s="308"/>
      <c r="BU1713" s="308"/>
      <c r="BV1713" s="308"/>
      <c r="BW1713" s="308"/>
      <c r="BX1713" s="308"/>
      <c r="BY1713" s="308"/>
      <c r="BZ1713" s="308"/>
      <c r="CA1713" s="308"/>
      <c r="CB1713" s="308"/>
      <c r="CC1713" s="308"/>
      <c r="CD1713" s="308"/>
      <c r="CE1713" s="308"/>
      <c r="CF1713" s="308"/>
      <c r="CG1713" s="308"/>
      <c r="CH1713" s="308"/>
      <c r="CI1713" s="308"/>
      <c r="CJ1713" s="308"/>
      <c r="CK1713" s="308"/>
      <c r="CL1713" s="308"/>
      <c r="CM1713" s="308"/>
      <c r="CN1713" s="308"/>
      <c r="CO1713" s="308"/>
      <c r="CP1713" s="308"/>
      <c r="CQ1713" s="308"/>
      <c r="CR1713" s="308"/>
      <c r="CS1713" s="308"/>
      <c r="CT1713" s="308"/>
      <c r="CU1713" s="308"/>
      <c r="CV1713" s="308"/>
      <c r="CW1713" s="308"/>
      <c r="CX1713" s="308"/>
      <c r="CY1713" s="308"/>
      <c r="CZ1713" s="308"/>
      <c r="DA1713" s="308"/>
      <c r="DB1713" s="308"/>
      <c r="DC1713" s="308"/>
      <c r="DD1713" s="308"/>
      <c r="DE1713" s="308"/>
      <c r="DF1713" s="308"/>
      <c r="DG1713" s="308"/>
      <c r="DH1713" s="308"/>
      <c r="DI1713" s="308"/>
      <c r="DJ1713" s="308"/>
      <c r="DK1713" s="308"/>
      <c r="DL1713" s="308"/>
      <c r="DM1713" s="308"/>
      <c r="DN1713" s="308"/>
      <c r="DO1713" s="308"/>
      <c r="DP1713" s="308"/>
      <c r="DQ1713" s="308"/>
      <c r="DR1713" s="308"/>
      <c r="DS1713" s="308"/>
      <c r="DT1713" s="308"/>
      <c r="DU1713" s="308"/>
      <c r="DV1713" s="308"/>
      <c r="DW1713" s="308"/>
      <c r="DX1713" s="308"/>
      <c r="DY1713" s="308"/>
      <c r="DZ1713" s="308"/>
      <c r="EA1713" s="308"/>
      <c r="EB1713" s="308"/>
      <c r="EC1713" s="308"/>
      <c r="ED1713" s="308"/>
      <c r="EE1713" s="308"/>
      <c r="EF1713" s="308"/>
      <c r="EG1713" s="308"/>
      <c r="EH1713" s="308"/>
      <c r="EI1713" s="308"/>
      <c r="EJ1713" s="308"/>
      <c r="EK1713" s="308"/>
      <c r="EL1713" s="308"/>
      <c r="EM1713" s="308"/>
      <c r="EN1713" s="308"/>
      <c r="EO1713" s="308"/>
      <c r="EP1713" s="308"/>
      <c r="EQ1713" s="308"/>
      <c r="ER1713" s="308"/>
      <c r="ES1713" s="308"/>
    </row>
    <row r="1714" spans="1:149" x14ac:dyDescent="0.3">
      <c r="A1714" s="323">
        <v>903737</v>
      </c>
      <c r="B1714" s="306">
        <v>0.4</v>
      </c>
      <c r="C1714" s="306"/>
      <c r="D1714" s="305">
        <v>8.34</v>
      </c>
      <c r="E1714" s="583">
        <v>7.9000000000000001E-2</v>
      </c>
      <c r="F1714" s="306">
        <v>33.1</v>
      </c>
      <c r="G1714" s="305"/>
      <c r="H1714" s="305">
        <v>111.84</v>
      </c>
      <c r="I1714" s="305">
        <v>80</v>
      </c>
      <c r="J1714" s="305">
        <v>2.1999999999999999E-2</v>
      </c>
      <c r="K1714" s="305">
        <v>1.23</v>
      </c>
      <c r="L1714" s="305">
        <v>40</v>
      </c>
      <c r="M1714" s="305">
        <v>0.53</v>
      </c>
      <c r="N1714" s="305">
        <v>0.37</v>
      </c>
      <c r="O1714" s="305">
        <v>1.94</v>
      </c>
      <c r="P1714" s="305">
        <v>8.1</v>
      </c>
      <c r="Q1714" s="305"/>
      <c r="R1714" s="307">
        <v>0.54100849404359408</v>
      </c>
      <c r="S1714" s="305">
        <v>3.9</v>
      </c>
      <c r="T1714" s="307"/>
      <c r="U1714" s="307"/>
      <c r="Y1714" s="67">
        <v>4.2</v>
      </c>
      <c r="Z1714" s="305"/>
      <c r="AA1714" s="305"/>
      <c r="AB1714" s="305"/>
      <c r="AC1714" s="305"/>
      <c r="AD1714" s="324">
        <v>60</v>
      </c>
      <c r="AE1714" s="305">
        <v>60</v>
      </c>
      <c r="AF1714" s="305">
        <v>880</v>
      </c>
      <c r="AG1714" s="66">
        <f t="shared" si="69"/>
        <v>103.67142857142856</v>
      </c>
      <c r="AH1714" s="143">
        <f t="shared" si="70"/>
        <v>1000</v>
      </c>
      <c r="AI1714" s="308"/>
      <c r="AJ1714" s="308"/>
      <c r="AK1714" s="308"/>
      <c r="AL1714" s="308"/>
      <c r="AM1714" s="308"/>
      <c r="AN1714" s="308"/>
      <c r="AO1714" s="308"/>
      <c r="AP1714" s="308"/>
      <c r="AQ1714" s="308"/>
      <c r="AR1714" s="308"/>
      <c r="AS1714" s="308"/>
      <c r="AT1714" s="308"/>
      <c r="AU1714" s="308"/>
      <c r="AV1714" s="308"/>
      <c r="AW1714" s="308"/>
      <c r="AX1714" s="308"/>
      <c r="AY1714" s="308"/>
      <c r="AZ1714" s="308"/>
      <c r="BA1714" s="308"/>
      <c r="BB1714" s="308"/>
      <c r="BC1714" s="308"/>
      <c r="BD1714" s="308"/>
      <c r="BE1714" s="308"/>
      <c r="BF1714" s="308"/>
      <c r="BG1714" s="308"/>
      <c r="BH1714" s="308"/>
      <c r="BI1714" s="308"/>
      <c r="BJ1714" s="308"/>
      <c r="BK1714" s="308"/>
      <c r="BL1714" s="308"/>
      <c r="BM1714" s="308"/>
      <c r="BN1714" s="308"/>
      <c r="BO1714" s="308"/>
      <c r="BP1714" s="308"/>
      <c r="BQ1714" s="308"/>
      <c r="BR1714" s="308"/>
      <c r="BS1714" s="308"/>
      <c r="BT1714" s="308"/>
      <c r="BU1714" s="308"/>
      <c r="BV1714" s="308"/>
      <c r="BW1714" s="308"/>
      <c r="BX1714" s="308"/>
      <c r="BY1714" s="308"/>
      <c r="BZ1714" s="308"/>
      <c r="CA1714" s="308"/>
      <c r="CB1714" s="308"/>
      <c r="CC1714" s="308"/>
      <c r="CD1714" s="308"/>
      <c r="CE1714" s="308"/>
      <c r="CF1714" s="308"/>
      <c r="CG1714" s="308"/>
      <c r="CH1714" s="308"/>
      <c r="CI1714" s="308"/>
      <c r="CJ1714" s="308"/>
      <c r="CK1714" s="308"/>
      <c r="CL1714" s="308"/>
      <c r="CM1714" s="308"/>
      <c r="CN1714" s="308"/>
      <c r="CO1714" s="308"/>
      <c r="CP1714" s="308"/>
      <c r="CQ1714" s="308"/>
      <c r="CR1714" s="308"/>
      <c r="CS1714" s="308"/>
      <c r="CT1714" s="308"/>
      <c r="CU1714" s="308"/>
      <c r="CV1714" s="308"/>
      <c r="CW1714" s="308"/>
      <c r="CX1714" s="308"/>
      <c r="CY1714" s="308"/>
      <c r="CZ1714" s="308"/>
      <c r="DA1714" s="308"/>
      <c r="DB1714" s="308"/>
      <c r="DC1714" s="308"/>
      <c r="DD1714" s="308"/>
      <c r="DE1714" s="308"/>
      <c r="DF1714" s="308"/>
      <c r="DG1714" s="308"/>
      <c r="DH1714" s="308"/>
      <c r="DI1714" s="308"/>
      <c r="DJ1714" s="308"/>
      <c r="DK1714" s="308"/>
      <c r="DL1714" s="308"/>
      <c r="DM1714" s="308"/>
      <c r="DN1714" s="308"/>
      <c r="DO1714" s="308"/>
      <c r="DP1714" s="308"/>
      <c r="DQ1714" s="308"/>
      <c r="DR1714" s="308"/>
      <c r="DS1714" s="308"/>
      <c r="DT1714" s="308"/>
      <c r="DU1714" s="308"/>
      <c r="DV1714" s="308"/>
      <c r="DW1714" s="308"/>
      <c r="DX1714" s="308"/>
      <c r="DY1714" s="308"/>
      <c r="DZ1714" s="308"/>
      <c r="EA1714" s="308"/>
      <c r="EB1714" s="308"/>
      <c r="EC1714" s="308"/>
      <c r="ED1714" s="308"/>
      <c r="EE1714" s="308"/>
      <c r="EF1714" s="308"/>
      <c r="EG1714" s="308"/>
      <c r="EH1714" s="308"/>
      <c r="EI1714" s="308"/>
      <c r="EJ1714" s="308"/>
      <c r="EK1714" s="308"/>
      <c r="EL1714" s="308"/>
      <c r="EM1714" s="308"/>
      <c r="EN1714" s="308"/>
      <c r="EO1714" s="308"/>
      <c r="EP1714" s="308"/>
      <c r="EQ1714" s="308"/>
      <c r="ER1714" s="308"/>
      <c r="ES1714" s="308"/>
    </row>
    <row r="1715" spans="1:149" x14ac:dyDescent="0.3">
      <c r="A1715" s="323">
        <v>903738</v>
      </c>
      <c r="B1715" s="306">
        <v>16.3</v>
      </c>
      <c r="C1715" s="306">
        <v>6.5</v>
      </c>
      <c r="D1715" s="305">
        <v>9</v>
      </c>
      <c r="E1715" s="583">
        <v>0.12</v>
      </c>
      <c r="F1715" s="306">
        <v>30</v>
      </c>
      <c r="G1715" s="305"/>
      <c r="H1715" s="305">
        <v>44</v>
      </c>
      <c r="I1715" s="305">
        <v>240</v>
      </c>
      <c r="J1715" s="305">
        <v>3.7999999999999999E-2</v>
      </c>
      <c r="K1715" s="305">
        <v>9.33</v>
      </c>
      <c r="L1715" s="305">
        <v>279</v>
      </c>
      <c r="M1715" s="305">
        <v>0.2</v>
      </c>
      <c r="N1715" s="305">
        <v>0.46</v>
      </c>
      <c r="O1715" s="305">
        <v>2.06</v>
      </c>
      <c r="P1715" s="305">
        <v>1.78</v>
      </c>
      <c r="Q1715" s="305"/>
      <c r="R1715" s="307">
        <v>1.666817</v>
      </c>
      <c r="S1715" s="305">
        <v>12.7</v>
      </c>
      <c r="T1715" s="307"/>
      <c r="U1715" s="307"/>
      <c r="Y1715" s="67">
        <v>23.5</v>
      </c>
      <c r="Z1715" s="305"/>
      <c r="AA1715" s="305"/>
      <c r="AB1715" s="305"/>
      <c r="AC1715" s="305"/>
      <c r="AD1715" s="324">
        <v>470</v>
      </c>
      <c r="AE1715" s="305">
        <v>290</v>
      </c>
      <c r="AF1715" s="305">
        <v>240</v>
      </c>
      <c r="AG1715" s="66">
        <f t="shared" si="69"/>
        <v>140.54553191489362</v>
      </c>
      <c r="AH1715" s="143">
        <f t="shared" si="70"/>
        <v>1000</v>
      </c>
      <c r="AI1715" s="308"/>
      <c r="AJ1715" s="308"/>
      <c r="AK1715" s="308"/>
      <c r="AL1715" s="308"/>
      <c r="AM1715" s="308"/>
      <c r="AN1715" s="308"/>
      <c r="AO1715" s="308"/>
      <c r="AP1715" s="308"/>
      <c r="AQ1715" s="308"/>
      <c r="AR1715" s="308"/>
      <c r="AS1715" s="308"/>
      <c r="AT1715" s="308"/>
      <c r="AU1715" s="308"/>
      <c r="AV1715" s="308"/>
      <c r="AW1715" s="308"/>
      <c r="AX1715" s="308"/>
      <c r="AY1715" s="308"/>
      <c r="AZ1715" s="308"/>
      <c r="BA1715" s="308"/>
      <c r="BB1715" s="308"/>
      <c r="BC1715" s="308"/>
      <c r="BD1715" s="308"/>
      <c r="BE1715" s="308"/>
      <c r="BF1715" s="308"/>
      <c r="BG1715" s="308"/>
      <c r="BH1715" s="308"/>
      <c r="BI1715" s="308"/>
      <c r="BJ1715" s="308"/>
      <c r="BK1715" s="308"/>
      <c r="BL1715" s="308"/>
      <c r="BM1715" s="308"/>
      <c r="BN1715" s="308"/>
      <c r="BO1715" s="308"/>
      <c r="BP1715" s="308"/>
      <c r="BQ1715" s="308"/>
      <c r="BR1715" s="308"/>
      <c r="BS1715" s="308"/>
      <c r="BT1715" s="308"/>
      <c r="BU1715" s="308"/>
      <c r="BV1715" s="308"/>
      <c r="BW1715" s="308"/>
      <c r="BX1715" s="308"/>
      <c r="BY1715" s="308"/>
      <c r="BZ1715" s="308"/>
      <c r="CA1715" s="308"/>
      <c r="CB1715" s="308"/>
      <c r="CC1715" s="308"/>
      <c r="CD1715" s="308"/>
      <c r="CE1715" s="308"/>
      <c r="CF1715" s="308"/>
      <c r="CG1715" s="308"/>
      <c r="CH1715" s="308"/>
      <c r="CI1715" s="308"/>
      <c r="CJ1715" s="308"/>
      <c r="CK1715" s="308"/>
      <c r="CL1715" s="308"/>
      <c r="CM1715" s="308"/>
      <c r="CN1715" s="308"/>
      <c r="CO1715" s="308"/>
      <c r="CP1715" s="308"/>
      <c r="CQ1715" s="308"/>
      <c r="CR1715" s="308"/>
      <c r="CS1715" s="308"/>
      <c r="CT1715" s="308"/>
      <c r="CU1715" s="308"/>
      <c r="CV1715" s="308"/>
      <c r="CW1715" s="308"/>
      <c r="CX1715" s="308"/>
      <c r="CY1715" s="308"/>
      <c r="CZ1715" s="308"/>
      <c r="DA1715" s="308"/>
      <c r="DB1715" s="308"/>
      <c r="DC1715" s="308"/>
      <c r="DD1715" s="308"/>
      <c r="DE1715" s="308"/>
      <c r="DF1715" s="308"/>
      <c r="DG1715" s="308"/>
      <c r="DH1715" s="308"/>
      <c r="DI1715" s="308"/>
      <c r="DJ1715" s="308"/>
      <c r="DK1715" s="308"/>
      <c r="DL1715" s="308"/>
      <c r="DM1715" s="308"/>
      <c r="DN1715" s="308"/>
      <c r="DO1715" s="308"/>
      <c r="DP1715" s="308"/>
      <c r="DQ1715" s="308"/>
      <c r="DR1715" s="308"/>
      <c r="DS1715" s="308"/>
      <c r="DT1715" s="308"/>
      <c r="DU1715" s="308"/>
      <c r="DV1715" s="308"/>
      <c r="DW1715" s="308"/>
      <c r="DX1715" s="308"/>
      <c r="DY1715" s="308"/>
      <c r="DZ1715" s="308"/>
      <c r="EA1715" s="308"/>
      <c r="EB1715" s="308"/>
      <c r="EC1715" s="308"/>
      <c r="ED1715" s="308"/>
      <c r="EE1715" s="308"/>
      <c r="EF1715" s="308"/>
      <c r="EG1715" s="308"/>
      <c r="EH1715" s="308"/>
      <c r="EI1715" s="308"/>
      <c r="EJ1715" s="308"/>
      <c r="EK1715" s="308"/>
      <c r="EL1715" s="308"/>
      <c r="EM1715" s="308"/>
      <c r="EN1715" s="308"/>
      <c r="EO1715" s="308"/>
      <c r="EP1715" s="308"/>
      <c r="EQ1715" s="308"/>
      <c r="ER1715" s="308"/>
      <c r="ES1715" s="308"/>
    </row>
    <row r="1716" spans="1:149" s="330" customFormat="1" x14ac:dyDescent="0.3">
      <c r="A1716" s="325">
        <v>903739</v>
      </c>
      <c r="B1716" s="326">
        <v>0.2</v>
      </c>
      <c r="C1716" s="327"/>
      <c r="D1716" s="328">
        <v>8.6285714285714281</v>
      </c>
      <c r="E1716" s="1545">
        <v>0.114</v>
      </c>
      <c r="F1716" s="331">
        <v>74.5</v>
      </c>
      <c r="G1716" s="327"/>
      <c r="H1716" s="331">
        <v>86.08</v>
      </c>
      <c r="I1716" s="327">
        <v>260</v>
      </c>
      <c r="J1716" s="327">
        <v>0.315</v>
      </c>
      <c r="K1716" s="327">
        <v>4.41</v>
      </c>
      <c r="L1716" s="327">
        <v>693</v>
      </c>
      <c r="M1716" s="327">
        <v>0.46</v>
      </c>
      <c r="N1716" s="327">
        <v>0.53</v>
      </c>
      <c r="O1716" s="327">
        <v>3.71</v>
      </c>
      <c r="P1716" s="327">
        <v>4.9400000000000004</v>
      </c>
      <c r="Q1716" s="327"/>
      <c r="R1716" s="328">
        <v>1.6482320000000001</v>
      </c>
      <c r="S1716" s="327">
        <v>12.2</v>
      </c>
      <c r="T1716" s="328"/>
      <c r="U1716" s="328"/>
      <c r="Y1716" s="67">
        <v>15.6</v>
      </c>
      <c r="Z1716" s="327"/>
      <c r="AA1716" s="327"/>
      <c r="AB1716" s="327"/>
      <c r="AC1716" s="327"/>
      <c r="AD1716" s="327">
        <v>260</v>
      </c>
      <c r="AE1716" s="327">
        <v>200</v>
      </c>
      <c r="AF1716" s="327">
        <v>540</v>
      </c>
      <c r="AG1716" s="66">
        <f t="shared" si="69"/>
        <v>100.07307692307693</v>
      </c>
      <c r="AH1716" s="143">
        <f t="shared" si="70"/>
        <v>1000</v>
      </c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  <c r="AS1716" s="329"/>
      <c r="AT1716" s="329"/>
      <c r="AU1716" s="329"/>
      <c r="AV1716" s="329"/>
      <c r="AW1716" s="329"/>
      <c r="AX1716" s="329"/>
      <c r="AY1716" s="329"/>
      <c r="AZ1716" s="329"/>
      <c r="BA1716" s="329"/>
      <c r="BB1716" s="329"/>
      <c r="BC1716" s="329"/>
      <c r="BD1716" s="329"/>
      <c r="BE1716" s="329"/>
      <c r="BF1716" s="329"/>
      <c r="BG1716" s="329"/>
      <c r="BH1716" s="329"/>
      <c r="BI1716" s="329"/>
      <c r="BJ1716" s="329"/>
      <c r="BK1716" s="329"/>
      <c r="BL1716" s="329"/>
      <c r="BM1716" s="329"/>
      <c r="BN1716" s="329"/>
      <c r="BO1716" s="329"/>
      <c r="BP1716" s="329"/>
      <c r="BQ1716" s="329"/>
      <c r="BR1716" s="329"/>
      <c r="BS1716" s="329"/>
      <c r="BT1716" s="329"/>
      <c r="BU1716" s="329"/>
      <c r="BV1716" s="329"/>
      <c r="BW1716" s="329"/>
      <c r="BX1716" s="329"/>
      <c r="BY1716" s="329"/>
      <c r="BZ1716" s="329"/>
      <c r="CA1716" s="329"/>
      <c r="CB1716" s="329"/>
      <c r="CC1716" s="329"/>
      <c r="CD1716" s="329"/>
      <c r="CE1716" s="329"/>
      <c r="CF1716" s="329"/>
      <c r="CG1716" s="329"/>
      <c r="CH1716" s="329"/>
      <c r="CI1716" s="329"/>
      <c r="CJ1716" s="329"/>
      <c r="CK1716" s="329"/>
      <c r="CL1716" s="329"/>
      <c r="CM1716" s="329"/>
      <c r="CN1716" s="329"/>
      <c r="CO1716" s="329"/>
      <c r="CP1716" s="329"/>
      <c r="CQ1716" s="329"/>
      <c r="CR1716" s="329"/>
      <c r="CS1716" s="329"/>
      <c r="CT1716" s="329"/>
      <c r="CU1716" s="329"/>
      <c r="CV1716" s="329"/>
      <c r="CW1716" s="329"/>
      <c r="CX1716" s="329"/>
      <c r="CY1716" s="329"/>
      <c r="CZ1716" s="329"/>
      <c r="DA1716" s="329"/>
      <c r="DB1716" s="329"/>
      <c r="DC1716" s="329"/>
      <c r="DD1716" s="329"/>
      <c r="DE1716" s="329"/>
      <c r="DF1716" s="329"/>
      <c r="DG1716" s="329"/>
      <c r="DH1716" s="329"/>
      <c r="DI1716" s="329"/>
      <c r="DJ1716" s="329"/>
      <c r="DK1716" s="329"/>
      <c r="DL1716" s="329"/>
      <c r="DM1716" s="329"/>
      <c r="DN1716" s="329"/>
      <c r="DO1716" s="329"/>
      <c r="DP1716" s="329"/>
      <c r="DQ1716" s="329"/>
      <c r="DR1716" s="329"/>
      <c r="DS1716" s="329"/>
      <c r="DT1716" s="329"/>
      <c r="DU1716" s="329"/>
      <c r="DV1716" s="329"/>
      <c r="DW1716" s="329"/>
      <c r="DX1716" s="329"/>
      <c r="DY1716" s="329"/>
      <c r="DZ1716" s="329"/>
      <c r="EA1716" s="329"/>
      <c r="EB1716" s="329"/>
      <c r="EC1716" s="329"/>
      <c r="ED1716" s="329"/>
      <c r="EE1716" s="329"/>
      <c r="EF1716" s="329"/>
      <c r="EG1716" s="329"/>
      <c r="EH1716" s="329"/>
      <c r="EI1716" s="329"/>
      <c r="EJ1716" s="329"/>
      <c r="EK1716" s="329"/>
      <c r="EL1716" s="329"/>
      <c r="EM1716" s="329"/>
      <c r="EN1716" s="329"/>
      <c r="EO1716" s="329"/>
      <c r="EP1716" s="329"/>
      <c r="EQ1716" s="329"/>
      <c r="ER1716" s="329"/>
      <c r="ES1716" s="329"/>
    </row>
    <row r="1717" spans="1:149" s="330" customFormat="1" x14ac:dyDescent="0.3">
      <c r="A1717" s="325">
        <v>903740</v>
      </c>
      <c r="B1717" s="326">
        <v>0.2</v>
      </c>
      <c r="C1717" s="327"/>
      <c r="D1717" s="328">
        <v>8.428571428571427</v>
      </c>
      <c r="E1717" s="1545">
        <v>9.6000000000000002E-2</v>
      </c>
      <c r="F1717" s="331">
        <v>86.7</v>
      </c>
      <c r="G1717" s="327"/>
      <c r="H1717" s="331">
        <v>81.7</v>
      </c>
      <c r="I1717" s="327">
        <v>230</v>
      </c>
      <c r="J1717" s="327">
        <v>0.46300000000000002</v>
      </c>
      <c r="K1717" s="327">
        <v>4.71</v>
      </c>
      <c r="L1717" s="327">
        <v>778</v>
      </c>
      <c r="M1717" s="327">
        <v>0.34</v>
      </c>
      <c r="N1717" s="327">
        <v>0.57999999999999996</v>
      </c>
      <c r="O1717" s="327">
        <v>7.81</v>
      </c>
      <c r="P1717" s="327">
        <v>0.9</v>
      </c>
      <c r="Q1717" s="327"/>
      <c r="R1717" s="328">
        <v>1.280393036814776</v>
      </c>
      <c r="S1717" s="327">
        <v>8.4</v>
      </c>
      <c r="T1717" s="328"/>
      <c r="U1717" s="328"/>
      <c r="Y1717" s="67">
        <v>16.8</v>
      </c>
      <c r="Z1717" s="327"/>
      <c r="AA1717" s="327"/>
      <c r="AB1717" s="327"/>
      <c r="AC1717" s="327"/>
      <c r="AD1717" s="327">
        <v>240</v>
      </c>
      <c r="AE1717" s="327">
        <v>200</v>
      </c>
      <c r="AF1717" s="327">
        <v>560</v>
      </c>
      <c r="AG1717" s="66">
        <f t="shared" si="69"/>
        <v>99.246428571428581</v>
      </c>
      <c r="AH1717" s="143">
        <f t="shared" si="70"/>
        <v>1000</v>
      </c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  <c r="AS1717" s="329"/>
      <c r="AT1717" s="329"/>
      <c r="AU1717" s="329"/>
      <c r="AV1717" s="329"/>
      <c r="AW1717" s="329"/>
      <c r="AX1717" s="329"/>
      <c r="AY1717" s="329"/>
      <c r="AZ1717" s="329"/>
      <c r="BA1717" s="329"/>
      <c r="BB1717" s="329"/>
      <c r="BC1717" s="329"/>
      <c r="BD1717" s="329"/>
      <c r="BE1717" s="329"/>
      <c r="BF1717" s="329"/>
      <c r="BG1717" s="329"/>
      <c r="BH1717" s="329"/>
      <c r="BI1717" s="329"/>
      <c r="BJ1717" s="329"/>
      <c r="BK1717" s="329"/>
      <c r="BL1717" s="329"/>
      <c r="BM1717" s="329"/>
      <c r="BN1717" s="329"/>
      <c r="BO1717" s="329"/>
      <c r="BP1717" s="329"/>
      <c r="BQ1717" s="329"/>
      <c r="BR1717" s="329"/>
      <c r="BS1717" s="329"/>
      <c r="BT1717" s="329"/>
      <c r="BU1717" s="329"/>
      <c r="BV1717" s="329"/>
      <c r="BW1717" s="329"/>
      <c r="BX1717" s="329"/>
      <c r="BY1717" s="329"/>
      <c r="BZ1717" s="329"/>
      <c r="CA1717" s="329"/>
      <c r="CB1717" s="329"/>
      <c r="CC1717" s="329"/>
      <c r="CD1717" s="329"/>
      <c r="CE1717" s="329"/>
      <c r="CF1717" s="329"/>
      <c r="CG1717" s="329"/>
      <c r="CH1717" s="329"/>
      <c r="CI1717" s="329"/>
      <c r="CJ1717" s="329"/>
      <c r="CK1717" s="329"/>
      <c r="CL1717" s="329"/>
      <c r="CM1717" s="329"/>
      <c r="CN1717" s="329"/>
      <c r="CO1717" s="329"/>
      <c r="CP1717" s="329"/>
      <c r="CQ1717" s="329"/>
      <c r="CR1717" s="329"/>
      <c r="CS1717" s="329"/>
      <c r="CT1717" s="329"/>
      <c r="CU1717" s="329"/>
      <c r="CV1717" s="329"/>
      <c r="CW1717" s="329"/>
      <c r="CX1717" s="329"/>
      <c r="CY1717" s="329"/>
      <c r="CZ1717" s="329"/>
      <c r="DA1717" s="329"/>
      <c r="DB1717" s="329"/>
      <c r="DC1717" s="329"/>
      <c r="DD1717" s="329"/>
      <c r="DE1717" s="329"/>
      <c r="DF1717" s="329"/>
      <c r="DG1717" s="329"/>
      <c r="DH1717" s="329"/>
      <c r="DI1717" s="329"/>
      <c r="DJ1717" s="329"/>
      <c r="DK1717" s="329"/>
      <c r="DL1717" s="329"/>
      <c r="DM1717" s="329"/>
      <c r="DN1717" s="329"/>
      <c r="DO1717" s="329"/>
      <c r="DP1717" s="329"/>
      <c r="DQ1717" s="329"/>
      <c r="DR1717" s="329"/>
      <c r="DS1717" s="329"/>
      <c r="DT1717" s="329"/>
      <c r="DU1717" s="329"/>
      <c r="DV1717" s="329"/>
      <c r="DW1717" s="329"/>
      <c r="DX1717" s="329"/>
      <c r="DY1717" s="329"/>
      <c r="DZ1717" s="329"/>
      <c r="EA1717" s="329"/>
      <c r="EB1717" s="329"/>
      <c r="EC1717" s="329"/>
      <c r="ED1717" s="329"/>
      <c r="EE1717" s="329"/>
      <c r="EF1717" s="329"/>
      <c r="EG1717" s="329"/>
      <c r="EH1717" s="329"/>
      <c r="EI1717" s="329"/>
      <c r="EJ1717" s="329"/>
      <c r="EK1717" s="329"/>
      <c r="EL1717" s="329"/>
      <c r="EM1717" s="329"/>
      <c r="EN1717" s="329"/>
      <c r="EO1717" s="329"/>
      <c r="EP1717" s="329"/>
      <c r="EQ1717" s="329"/>
      <c r="ER1717" s="329"/>
      <c r="ES1717" s="329"/>
    </row>
    <row r="1718" spans="1:149" s="330" customFormat="1" x14ac:dyDescent="0.3">
      <c r="A1718" s="325">
        <v>903741</v>
      </c>
      <c r="B1718" s="326">
        <v>0.1</v>
      </c>
      <c r="C1718" s="327"/>
      <c r="D1718" s="328">
        <v>7.6</v>
      </c>
      <c r="E1718" s="1545">
        <v>5.5E-2</v>
      </c>
      <c r="F1718" s="331">
        <v>48.3</v>
      </c>
      <c r="G1718" s="327"/>
      <c r="H1718" s="331">
        <v>3.52</v>
      </c>
      <c r="I1718" s="327">
        <v>70</v>
      </c>
      <c r="J1718" s="327">
        <v>0.25700000000000001</v>
      </c>
      <c r="K1718" s="327">
        <v>4.2699999999999996</v>
      </c>
      <c r="L1718" s="327">
        <v>616</v>
      </c>
      <c r="M1718" s="327">
        <v>0.22</v>
      </c>
      <c r="N1718" s="327">
        <v>0.54</v>
      </c>
      <c r="O1718" s="327">
        <v>5.75</v>
      </c>
      <c r="P1718" s="327">
        <v>8.73</v>
      </c>
      <c r="Q1718" s="327"/>
      <c r="R1718" s="328">
        <v>1.734248</v>
      </c>
      <c r="S1718" s="327">
        <v>14.6</v>
      </c>
      <c r="T1718" s="328"/>
      <c r="U1718" s="328"/>
      <c r="Y1718" s="67">
        <v>18.5</v>
      </c>
      <c r="Z1718" s="327"/>
      <c r="AA1718" s="327"/>
      <c r="AB1718" s="327"/>
      <c r="AC1718" s="327"/>
      <c r="AD1718" s="327">
        <v>440</v>
      </c>
      <c r="AE1718" s="327">
        <v>160</v>
      </c>
      <c r="AF1718" s="327">
        <v>400</v>
      </c>
      <c r="AG1718" s="66">
        <f t="shared" si="69"/>
        <v>81.707027027027024</v>
      </c>
      <c r="AH1718" s="143">
        <f t="shared" si="70"/>
        <v>1000</v>
      </c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  <c r="AS1718" s="329"/>
      <c r="AT1718" s="329"/>
      <c r="AU1718" s="329"/>
      <c r="AV1718" s="329"/>
      <c r="AW1718" s="329"/>
      <c r="AX1718" s="329"/>
      <c r="AY1718" s="329"/>
      <c r="AZ1718" s="329"/>
      <c r="BA1718" s="329"/>
      <c r="BB1718" s="329"/>
      <c r="BC1718" s="329"/>
      <c r="BD1718" s="329"/>
      <c r="BE1718" s="329"/>
      <c r="BF1718" s="329"/>
      <c r="BG1718" s="329"/>
      <c r="BH1718" s="329"/>
      <c r="BI1718" s="329"/>
      <c r="BJ1718" s="329"/>
      <c r="BK1718" s="329"/>
      <c r="BL1718" s="329"/>
      <c r="BM1718" s="329"/>
      <c r="BN1718" s="329"/>
      <c r="BO1718" s="329"/>
      <c r="BP1718" s="329"/>
      <c r="BQ1718" s="329"/>
      <c r="BR1718" s="329"/>
      <c r="BS1718" s="329"/>
      <c r="BT1718" s="329"/>
      <c r="BU1718" s="329"/>
      <c r="BV1718" s="329"/>
      <c r="BW1718" s="329"/>
      <c r="BX1718" s="329"/>
      <c r="BY1718" s="329"/>
      <c r="BZ1718" s="329"/>
      <c r="CA1718" s="329"/>
      <c r="CB1718" s="329"/>
      <c r="CC1718" s="329"/>
      <c r="CD1718" s="329"/>
      <c r="CE1718" s="329"/>
      <c r="CF1718" s="329"/>
      <c r="CG1718" s="329"/>
      <c r="CH1718" s="329"/>
      <c r="CI1718" s="329"/>
      <c r="CJ1718" s="329"/>
      <c r="CK1718" s="329"/>
      <c r="CL1718" s="329"/>
      <c r="CM1718" s="329"/>
      <c r="CN1718" s="329"/>
      <c r="CO1718" s="329"/>
      <c r="CP1718" s="329"/>
      <c r="CQ1718" s="329"/>
      <c r="CR1718" s="329"/>
      <c r="CS1718" s="329"/>
      <c r="CT1718" s="329"/>
      <c r="CU1718" s="329"/>
      <c r="CV1718" s="329"/>
      <c r="CW1718" s="329"/>
      <c r="CX1718" s="329"/>
      <c r="CY1718" s="329"/>
      <c r="CZ1718" s="329"/>
      <c r="DA1718" s="329"/>
      <c r="DB1718" s="329"/>
      <c r="DC1718" s="329"/>
      <c r="DD1718" s="329"/>
      <c r="DE1718" s="329"/>
      <c r="DF1718" s="329"/>
      <c r="DG1718" s="329"/>
      <c r="DH1718" s="329"/>
      <c r="DI1718" s="329"/>
      <c r="DJ1718" s="329"/>
      <c r="DK1718" s="329"/>
      <c r="DL1718" s="329"/>
      <c r="DM1718" s="329"/>
      <c r="DN1718" s="329"/>
      <c r="DO1718" s="329"/>
      <c r="DP1718" s="329"/>
      <c r="DQ1718" s="329"/>
      <c r="DR1718" s="329"/>
      <c r="DS1718" s="329"/>
      <c r="DT1718" s="329"/>
      <c r="DU1718" s="329"/>
      <c r="DV1718" s="329"/>
      <c r="DW1718" s="329"/>
      <c r="DX1718" s="329"/>
      <c r="DY1718" s="329"/>
      <c r="DZ1718" s="329"/>
      <c r="EA1718" s="329"/>
      <c r="EB1718" s="329"/>
      <c r="EC1718" s="329"/>
      <c r="ED1718" s="329"/>
      <c r="EE1718" s="329"/>
      <c r="EF1718" s="329"/>
      <c r="EG1718" s="329"/>
      <c r="EH1718" s="329"/>
      <c r="EI1718" s="329"/>
      <c r="EJ1718" s="329"/>
      <c r="EK1718" s="329"/>
      <c r="EL1718" s="329"/>
      <c r="EM1718" s="329"/>
      <c r="EN1718" s="329"/>
      <c r="EO1718" s="329"/>
      <c r="EP1718" s="329"/>
      <c r="EQ1718" s="329"/>
      <c r="ER1718" s="329"/>
      <c r="ES1718" s="329"/>
    </row>
    <row r="1719" spans="1:149" s="330" customFormat="1" x14ac:dyDescent="0.3">
      <c r="A1719" s="325">
        <v>903742</v>
      </c>
      <c r="B1719" s="326">
        <v>0.2</v>
      </c>
      <c r="C1719" s="327"/>
      <c r="D1719" s="328">
        <v>7.6095238095238091</v>
      </c>
      <c r="E1719" s="1545">
        <v>6.4000000000000001E-2</v>
      </c>
      <c r="F1719" s="331">
        <v>59.2</v>
      </c>
      <c r="G1719" s="327"/>
      <c r="H1719" s="331">
        <v>4.5199999999999996</v>
      </c>
      <c r="I1719" s="327">
        <v>60</v>
      </c>
      <c r="J1719" s="327">
        <v>0.28499999999999998</v>
      </c>
      <c r="K1719" s="327">
        <v>4.04</v>
      </c>
      <c r="L1719" s="327">
        <v>651</v>
      </c>
      <c r="M1719" s="327">
        <v>0.1</v>
      </c>
      <c r="N1719" s="327">
        <v>0.41</v>
      </c>
      <c r="O1719" s="327">
        <v>4.3099999999999996</v>
      </c>
      <c r="P1719" s="327">
        <v>6.4</v>
      </c>
      <c r="Q1719" s="327"/>
      <c r="R1719" s="328">
        <v>1.2843332404447942</v>
      </c>
      <c r="S1719" s="327">
        <v>8.4</v>
      </c>
      <c r="T1719" s="328"/>
      <c r="U1719" s="328"/>
      <c r="Y1719" s="67">
        <v>11.6</v>
      </c>
      <c r="Z1719" s="327"/>
      <c r="AA1719" s="327"/>
      <c r="AB1719" s="327"/>
      <c r="AC1719" s="327"/>
      <c r="AD1719" s="327">
        <v>300</v>
      </c>
      <c r="AE1719" s="327">
        <v>100</v>
      </c>
      <c r="AF1719" s="327">
        <v>600</v>
      </c>
      <c r="AG1719" s="66">
        <f t="shared" si="69"/>
        <v>123.2896551724138</v>
      </c>
      <c r="AH1719" s="143">
        <f t="shared" si="70"/>
        <v>1000</v>
      </c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  <c r="AS1719" s="329"/>
      <c r="AT1719" s="329"/>
      <c r="AU1719" s="329"/>
      <c r="AV1719" s="329"/>
      <c r="AW1719" s="329"/>
      <c r="AX1719" s="329"/>
      <c r="AY1719" s="329"/>
      <c r="AZ1719" s="329"/>
      <c r="BA1719" s="329"/>
      <c r="BB1719" s="329"/>
      <c r="BC1719" s="329"/>
      <c r="BD1719" s="329"/>
      <c r="BE1719" s="329"/>
      <c r="BF1719" s="329"/>
      <c r="BG1719" s="329"/>
      <c r="BH1719" s="329"/>
      <c r="BI1719" s="329"/>
      <c r="BJ1719" s="329"/>
      <c r="BK1719" s="329"/>
      <c r="BL1719" s="329"/>
      <c r="BM1719" s="329"/>
      <c r="BN1719" s="329"/>
      <c r="BO1719" s="329"/>
      <c r="BP1719" s="329"/>
      <c r="BQ1719" s="329"/>
      <c r="BR1719" s="329"/>
      <c r="BS1719" s="329"/>
      <c r="BT1719" s="329"/>
      <c r="BU1719" s="329"/>
      <c r="BV1719" s="329"/>
      <c r="BW1719" s="329"/>
      <c r="BX1719" s="329"/>
      <c r="BY1719" s="329"/>
      <c r="BZ1719" s="329"/>
      <c r="CA1719" s="329"/>
      <c r="CB1719" s="329"/>
      <c r="CC1719" s="329"/>
      <c r="CD1719" s="329"/>
      <c r="CE1719" s="329"/>
      <c r="CF1719" s="329"/>
      <c r="CG1719" s="329"/>
      <c r="CH1719" s="329"/>
      <c r="CI1719" s="329"/>
      <c r="CJ1719" s="329"/>
      <c r="CK1719" s="329"/>
      <c r="CL1719" s="329"/>
      <c r="CM1719" s="329"/>
      <c r="CN1719" s="329"/>
      <c r="CO1719" s="329"/>
      <c r="CP1719" s="329"/>
      <c r="CQ1719" s="329"/>
      <c r="CR1719" s="329"/>
      <c r="CS1719" s="329"/>
      <c r="CT1719" s="329"/>
      <c r="CU1719" s="329"/>
      <c r="CV1719" s="329"/>
      <c r="CW1719" s="329"/>
      <c r="CX1719" s="329"/>
      <c r="CY1719" s="329"/>
      <c r="CZ1719" s="329"/>
      <c r="DA1719" s="329"/>
      <c r="DB1719" s="329"/>
      <c r="DC1719" s="329"/>
      <c r="DD1719" s="329"/>
      <c r="DE1719" s="329"/>
      <c r="DF1719" s="329"/>
      <c r="DG1719" s="329"/>
      <c r="DH1719" s="329"/>
      <c r="DI1719" s="329"/>
      <c r="DJ1719" s="329"/>
      <c r="DK1719" s="329"/>
      <c r="DL1719" s="329"/>
      <c r="DM1719" s="329"/>
      <c r="DN1719" s="329"/>
      <c r="DO1719" s="329"/>
      <c r="DP1719" s="329"/>
      <c r="DQ1719" s="329"/>
      <c r="DR1719" s="329"/>
      <c r="DS1719" s="329"/>
      <c r="DT1719" s="329"/>
      <c r="DU1719" s="329"/>
      <c r="DV1719" s="329"/>
      <c r="DW1719" s="329"/>
      <c r="DX1719" s="329"/>
      <c r="DY1719" s="329"/>
      <c r="DZ1719" s="329"/>
      <c r="EA1719" s="329"/>
      <c r="EB1719" s="329"/>
      <c r="EC1719" s="329"/>
      <c r="ED1719" s="329"/>
      <c r="EE1719" s="329"/>
      <c r="EF1719" s="329"/>
      <c r="EG1719" s="329"/>
      <c r="EH1719" s="329"/>
      <c r="EI1719" s="329"/>
      <c r="EJ1719" s="329"/>
      <c r="EK1719" s="329"/>
      <c r="EL1719" s="329"/>
      <c r="EM1719" s="329"/>
      <c r="EN1719" s="329"/>
      <c r="EO1719" s="329"/>
      <c r="EP1719" s="329"/>
      <c r="EQ1719" s="329"/>
      <c r="ER1719" s="329"/>
      <c r="ES1719" s="329"/>
    </row>
    <row r="1720" spans="1:149" s="330" customFormat="1" x14ac:dyDescent="0.3">
      <c r="A1720" s="325">
        <v>903743</v>
      </c>
      <c r="B1720" s="326">
        <v>8.8000000000000007</v>
      </c>
      <c r="C1720" s="327"/>
      <c r="D1720" s="328">
        <v>8.21904761904762</v>
      </c>
      <c r="E1720" s="1545">
        <v>0.151</v>
      </c>
      <c r="F1720" s="331">
        <v>61.9</v>
      </c>
      <c r="G1720" s="327"/>
      <c r="H1720" s="331">
        <v>45.7</v>
      </c>
      <c r="I1720" s="327">
        <v>710</v>
      </c>
      <c r="J1720" s="327">
        <v>0.223</v>
      </c>
      <c r="K1720" s="327">
        <v>14.01</v>
      </c>
      <c r="L1720" s="327">
        <v>2096</v>
      </c>
      <c r="M1720" s="327">
        <v>0.22</v>
      </c>
      <c r="N1720" s="327">
        <v>1.1000000000000001</v>
      </c>
      <c r="O1720" s="327">
        <v>1.6</v>
      </c>
      <c r="P1720" s="327">
        <v>3.34</v>
      </c>
      <c r="Q1720" s="327"/>
      <c r="R1720" s="328">
        <v>1.774232</v>
      </c>
      <c r="S1720" s="327">
        <v>15.8</v>
      </c>
      <c r="T1720" s="328"/>
      <c r="U1720" s="328"/>
      <c r="Y1720" s="67">
        <v>30</v>
      </c>
      <c r="Z1720" s="327"/>
      <c r="AA1720" s="327"/>
      <c r="AB1720" s="327"/>
      <c r="AC1720" s="327"/>
      <c r="AD1720" s="327">
        <v>600</v>
      </c>
      <c r="AE1720" s="327">
        <v>320</v>
      </c>
      <c r="AF1720" s="327">
        <v>80</v>
      </c>
      <c r="AG1720" s="66">
        <f t="shared" si="69"/>
        <v>165.31800000000001</v>
      </c>
      <c r="AH1720" s="143">
        <f t="shared" si="70"/>
        <v>1000</v>
      </c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  <c r="AS1720" s="329"/>
      <c r="AT1720" s="329"/>
      <c r="AU1720" s="329"/>
      <c r="AV1720" s="329"/>
      <c r="AW1720" s="329"/>
      <c r="AX1720" s="329"/>
      <c r="AY1720" s="329"/>
      <c r="AZ1720" s="329"/>
      <c r="BA1720" s="329"/>
      <c r="BB1720" s="329"/>
      <c r="BC1720" s="329"/>
      <c r="BD1720" s="329"/>
      <c r="BE1720" s="329"/>
      <c r="BF1720" s="329"/>
      <c r="BG1720" s="329"/>
      <c r="BH1720" s="329"/>
      <c r="BI1720" s="329"/>
      <c r="BJ1720" s="329"/>
      <c r="BK1720" s="329"/>
      <c r="BL1720" s="329"/>
      <c r="BM1720" s="329"/>
      <c r="BN1720" s="329"/>
      <c r="BO1720" s="329"/>
      <c r="BP1720" s="329"/>
      <c r="BQ1720" s="329"/>
      <c r="BR1720" s="329"/>
      <c r="BS1720" s="329"/>
      <c r="BT1720" s="329"/>
      <c r="BU1720" s="329"/>
      <c r="BV1720" s="329"/>
      <c r="BW1720" s="329"/>
      <c r="BX1720" s="329"/>
      <c r="BY1720" s="329"/>
      <c r="BZ1720" s="329"/>
      <c r="CA1720" s="329"/>
      <c r="CB1720" s="329"/>
      <c r="CC1720" s="329"/>
      <c r="CD1720" s="329"/>
      <c r="CE1720" s="329"/>
      <c r="CF1720" s="329"/>
      <c r="CG1720" s="329"/>
      <c r="CH1720" s="329"/>
      <c r="CI1720" s="329"/>
      <c r="CJ1720" s="329"/>
      <c r="CK1720" s="329"/>
      <c r="CL1720" s="329"/>
      <c r="CM1720" s="329"/>
      <c r="CN1720" s="329"/>
      <c r="CO1720" s="329"/>
      <c r="CP1720" s="329"/>
      <c r="CQ1720" s="329"/>
      <c r="CR1720" s="329"/>
      <c r="CS1720" s="329"/>
      <c r="CT1720" s="329"/>
      <c r="CU1720" s="329"/>
      <c r="CV1720" s="329"/>
      <c r="CW1720" s="329"/>
      <c r="CX1720" s="329"/>
      <c r="CY1720" s="329"/>
      <c r="CZ1720" s="329"/>
      <c r="DA1720" s="329"/>
      <c r="DB1720" s="329"/>
      <c r="DC1720" s="329"/>
      <c r="DD1720" s="329"/>
      <c r="DE1720" s="329"/>
      <c r="DF1720" s="329"/>
      <c r="DG1720" s="329"/>
      <c r="DH1720" s="329"/>
      <c r="DI1720" s="329"/>
      <c r="DJ1720" s="329"/>
      <c r="DK1720" s="329"/>
      <c r="DL1720" s="329"/>
      <c r="DM1720" s="329"/>
      <c r="DN1720" s="329"/>
      <c r="DO1720" s="329"/>
      <c r="DP1720" s="329"/>
      <c r="DQ1720" s="329"/>
      <c r="DR1720" s="329"/>
      <c r="DS1720" s="329"/>
      <c r="DT1720" s="329"/>
      <c r="DU1720" s="329"/>
      <c r="DV1720" s="329"/>
      <c r="DW1720" s="329"/>
      <c r="DX1720" s="329"/>
      <c r="DY1720" s="329"/>
      <c r="DZ1720" s="329"/>
      <c r="EA1720" s="329"/>
      <c r="EB1720" s="329"/>
      <c r="EC1720" s="329"/>
      <c r="ED1720" s="329"/>
      <c r="EE1720" s="329"/>
      <c r="EF1720" s="329"/>
      <c r="EG1720" s="329"/>
      <c r="EH1720" s="329"/>
      <c r="EI1720" s="329"/>
      <c r="EJ1720" s="329"/>
      <c r="EK1720" s="329"/>
      <c r="EL1720" s="329"/>
      <c r="EM1720" s="329"/>
      <c r="EN1720" s="329"/>
      <c r="EO1720" s="329"/>
      <c r="EP1720" s="329"/>
      <c r="EQ1720" s="329"/>
      <c r="ER1720" s="329"/>
      <c r="ES1720" s="329"/>
    </row>
    <row r="1721" spans="1:149" s="330" customFormat="1" x14ac:dyDescent="0.3">
      <c r="A1721" s="325">
        <v>903744</v>
      </c>
      <c r="B1721" s="326">
        <v>11.8</v>
      </c>
      <c r="C1721" s="326">
        <v>7.3</v>
      </c>
      <c r="D1721" s="328">
        <v>8.1904761904761898</v>
      </c>
      <c r="E1721" s="1545">
        <v>0.17399999999999999</v>
      </c>
      <c r="F1721" s="331">
        <v>92.3</v>
      </c>
      <c r="G1721" s="327"/>
      <c r="H1721" s="331">
        <v>47.13</v>
      </c>
      <c r="I1721" s="327">
        <v>680</v>
      </c>
      <c r="J1721" s="327">
        <v>0.22500000000000001</v>
      </c>
      <c r="K1721" s="327">
        <v>14.19</v>
      </c>
      <c r="L1721" s="327">
        <v>1213</v>
      </c>
      <c r="M1721" s="327">
        <v>0.26</v>
      </c>
      <c r="N1721" s="327">
        <v>0.67</v>
      </c>
      <c r="O1721" s="327">
        <v>1.56</v>
      </c>
      <c r="P1721" s="327">
        <v>3.07</v>
      </c>
      <c r="Q1721" s="327"/>
      <c r="R1721" s="328">
        <v>1.8452330000000001</v>
      </c>
      <c r="S1721" s="327">
        <v>18.100000000000001</v>
      </c>
      <c r="T1721" s="328"/>
      <c r="U1721" s="328"/>
      <c r="Y1721" s="67">
        <v>37.200000000000003</v>
      </c>
      <c r="Z1721" s="327"/>
      <c r="AA1721" s="327"/>
      <c r="AB1721" s="327"/>
      <c r="AC1721" s="327"/>
      <c r="AD1721" s="327">
        <v>620</v>
      </c>
      <c r="AE1721" s="327">
        <v>300</v>
      </c>
      <c r="AF1721" s="327">
        <v>80</v>
      </c>
      <c r="AG1721" s="66">
        <f t="shared" si="69"/>
        <v>135.03387096774193</v>
      </c>
      <c r="AH1721" s="143">
        <f t="shared" si="70"/>
        <v>1000</v>
      </c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  <c r="AS1721" s="329"/>
      <c r="AT1721" s="329"/>
      <c r="AU1721" s="329"/>
      <c r="AV1721" s="329"/>
      <c r="AW1721" s="329"/>
      <c r="AX1721" s="329"/>
      <c r="AY1721" s="329"/>
      <c r="AZ1721" s="329"/>
      <c r="BA1721" s="329"/>
      <c r="BB1721" s="329"/>
      <c r="BC1721" s="329"/>
      <c r="BD1721" s="329"/>
      <c r="BE1721" s="329"/>
      <c r="BF1721" s="329"/>
      <c r="BG1721" s="329"/>
      <c r="BH1721" s="329"/>
      <c r="BI1721" s="329"/>
      <c r="BJ1721" s="329"/>
      <c r="BK1721" s="329"/>
      <c r="BL1721" s="329"/>
      <c r="BM1721" s="329"/>
      <c r="BN1721" s="329"/>
      <c r="BO1721" s="329"/>
      <c r="BP1721" s="329"/>
      <c r="BQ1721" s="329"/>
      <c r="BR1721" s="329"/>
      <c r="BS1721" s="329"/>
      <c r="BT1721" s="329"/>
      <c r="BU1721" s="329"/>
      <c r="BV1721" s="329"/>
      <c r="BW1721" s="329"/>
      <c r="BX1721" s="329"/>
      <c r="BY1721" s="329"/>
      <c r="BZ1721" s="329"/>
      <c r="CA1721" s="329"/>
      <c r="CB1721" s="329"/>
      <c r="CC1721" s="329"/>
      <c r="CD1721" s="329"/>
      <c r="CE1721" s="329"/>
      <c r="CF1721" s="329"/>
      <c r="CG1721" s="329"/>
      <c r="CH1721" s="329"/>
      <c r="CI1721" s="329"/>
      <c r="CJ1721" s="329"/>
      <c r="CK1721" s="329"/>
      <c r="CL1721" s="329"/>
      <c r="CM1721" s="329"/>
      <c r="CN1721" s="329"/>
      <c r="CO1721" s="329"/>
      <c r="CP1721" s="329"/>
      <c r="CQ1721" s="329"/>
      <c r="CR1721" s="329"/>
      <c r="CS1721" s="329"/>
      <c r="CT1721" s="329"/>
      <c r="CU1721" s="329"/>
      <c r="CV1721" s="329"/>
      <c r="CW1721" s="329"/>
      <c r="CX1721" s="329"/>
      <c r="CY1721" s="329"/>
      <c r="CZ1721" s="329"/>
      <c r="DA1721" s="329"/>
      <c r="DB1721" s="329"/>
      <c r="DC1721" s="329"/>
      <c r="DD1721" s="329"/>
      <c r="DE1721" s="329"/>
      <c r="DF1721" s="329"/>
      <c r="DG1721" s="329"/>
      <c r="DH1721" s="329"/>
      <c r="DI1721" s="329"/>
      <c r="DJ1721" s="329"/>
      <c r="DK1721" s="329"/>
      <c r="DL1721" s="329"/>
      <c r="DM1721" s="329"/>
      <c r="DN1721" s="329"/>
      <c r="DO1721" s="329"/>
      <c r="DP1721" s="329"/>
      <c r="DQ1721" s="329"/>
      <c r="DR1721" s="329"/>
      <c r="DS1721" s="329"/>
      <c r="DT1721" s="329"/>
      <c r="DU1721" s="329"/>
      <c r="DV1721" s="329"/>
      <c r="DW1721" s="329"/>
      <c r="DX1721" s="329"/>
      <c r="DY1721" s="329"/>
      <c r="DZ1721" s="329"/>
      <c r="EA1721" s="329"/>
      <c r="EB1721" s="329"/>
      <c r="EC1721" s="329"/>
      <c r="ED1721" s="329"/>
      <c r="EE1721" s="329"/>
      <c r="EF1721" s="329"/>
      <c r="EG1721" s="329"/>
      <c r="EH1721" s="329"/>
      <c r="EI1721" s="329"/>
      <c r="EJ1721" s="329"/>
      <c r="EK1721" s="329"/>
      <c r="EL1721" s="329"/>
      <c r="EM1721" s="329"/>
      <c r="EN1721" s="329"/>
      <c r="EO1721" s="329"/>
      <c r="EP1721" s="329"/>
      <c r="EQ1721" s="329"/>
      <c r="ER1721" s="329"/>
      <c r="ES1721" s="329"/>
    </row>
    <row r="1722" spans="1:149" s="330" customFormat="1" x14ac:dyDescent="0.3">
      <c r="A1722" s="325">
        <v>903745</v>
      </c>
      <c r="B1722" s="326">
        <v>12.1</v>
      </c>
      <c r="C1722" s="326">
        <v>6.9</v>
      </c>
      <c r="D1722" s="328">
        <v>7.8285714285714292</v>
      </c>
      <c r="E1722" s="1545">
        <v>0.34499999999999997</v>
      </c>
      <c r="F1722" s="331">
        <v>222.9</v>
      </c>
      <c r="G1722" s="327"/>
      <c r="H1722" s="331">
        <v>181.54</v>
      </c>
      <c r="I1722" s="327">
        <v>880</v>
      </c>
      <c r="J1722" s="327">
        <v>0.193</v>
      </c>
      <c r="K1722" s="327">
        <v>13.18</v>
      </c>
      <c r="L1722" s="327">
        <v>1817</v>
      </c>
      <c r="M1722" s="327">
        <v>0.52</v>
      </c>
      <c r="N1722" s="327">
        <v>0.64</v>
      </c>
      <c r="O1722" s="327">
        <v>2.71</v>
      </c>
      <c r="P1722" s="327">
        <v>2.59</v>
      </c>
      <c r="Q1722" s="327"/>
      <c r="R1722" s="328">
        <v>1.7064720000000002</v>
      </c>
      <c r="S1722" s="327">
        <v>13.8</v>
      </c>
      <c r="T1722" s="328"/>
      <c r="U1722" s="328"/>
      <c r="Y1722" s="67">
        <v>44.8</v>
      </c>
      <c r="Z1722" s="327"/>
      <c r="AA1722" s="327"/>
      <c r="AB1722" s="327"/>
      <c r="AC1722" s="327"/>
      <c r="AD1722" s="327">
        <v>640</v>
      </c>
      <c r="AE1722" s="327">
        <v>280</v>
      </c>
      <c r="AF1722" s="327">
        <v>80</v>
      </c>
      <c r="AG1722" s="66">
        <f t="shared" si="69"/>
        <v>104.1455357142857</v>
      </c>
      <c r="AH1722" s="143">
        <f t="shared" si="70"/>
        <v>1000</v>
      </c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  <c r="AS1722" s="329"/>
      <c r="AT1722" s="329"/>
      <c r="AU1722" s="329"/>
      <c r="AV1722" s="329"/>
      <c r="AW1722" s="329"/>
      <c r="AX1722" s="329"/>
      <c r="AY1722" s="329"/>
      <c r="AZ1722" s="329"/>
      <c r="BA1722" s="329"/>
      <c r="BB1722" s="329"/>
      <c r="BC1722" s="329"/>
      <c r="BD1722" s="329"/>
      <c r="BE1722" s="329"/>
      <c r="BF1722" s="329"/>
      <c r="BG1722" s="329"/>
      <c r="BH1722" s="329"/>
      <c r="BI1722" s="329"/>
      <c r="BJ1722" s="329"/>
      <c r="BK1722" s="329"/>
      <c r="BL1722" s="329"/>
      <c r="BM1722" s="329"/>
      <c r="BN1722" s="329"/>
      <c r="BO1722" s="329"/>
      <c r="BP1722" s="329"/>
      <c r="BQ1722" s="329"/>
      <c r="BR1722" s="329"/>
      <c r="BS1722" s="329"/>
      <c r="BT1722" s="329"/>
      <c r="BU1722" s="329"/>
      <c r="BV1722" s="329"/>
      <c r="BW1722" s="329"/>
      <c r="BX1722" s="329"/>
      <c r="BY1722" s="329"/>
      <c r="BZ1722" s="329"/>
      <c r="CA1722" s="329"/>
      <c r="CB1722" s="329"/>
      <c r="CC1722" s="329"/>
      <c r="CD1722" s="329"/>
      <c r="CE1722" s="329"/>
      <c r="CF1722" s="329"/>
      <c r="CG1722" s="329"/>
      <c r="CH1722" s="329"/>
      <c r="CI1722" s="329"/>
      <c r="CJ1722" s="329"/>
      <c r="CK1722" s="329"/>
      <c r="CL1722" s="329"/>
      <c r="CM1722" s="329"/>
      <c r="CN1722" s="329"/>
      <c r="CO1722" s="329"/>
      <c r="CP1722" s="329"/>
      <c r="CQ1722" s="329"/>
      <c r="CR1722" s="329"/>
      <c r="CS1722" s="329"/>
      <c r="CT1722" s="329"/>
      <c r="CU1722" s="329"/>
      <c r="CV1722" s="329"/>
      <c r="CW1722" s="329"/>
      <c r="CX1722" s="329"/>
      <c r="CY1722" s="329"/>
      <c r="CZ1722" s="329"/>
      <c r="DA1722" s="329"/>
      <c r="DB1722" s="329"/>
      <c r="DC1722" s="329"/>
      <c r="DD1722" s="329"/>
      <c r="DE1722" s="329"/>
      <c r="DF1722" s="329"/>
      <c r="DG1722" s="329"/>
      <c r="DH1722" s="329"/>
      <c r="DI1722" s="329"/>
      <c r="DJ1722" s="329"/>
      <c r="DK1722" s="329"/>
      <c r="DL1722" s="329"/>
      <c r="DM1722" s="329"/>
      <c r="DN1722" s="329"/>
      <c r="DO1722" s="329"/>
      <c r="DP1722" s="329"/>
      <c r="DQ1722" s="329"/>
      <c r="DR1722" s="329"/>
      <c r="DS1722" s="329"/>
      <c r="DT1722" s="329"/>
      <c r="DU1722" s="329"/>
      <c r="DV1722" s="329"/>
      <c r="DW1722" s="329"/>
      <c r="DX1722" s="329"/>
      <c r="DY1722" s="329"/>
      <c r="DZ1722" s="329"/>
      <c r="EA1722" s="329"/>
      <c r="EB1722" s="329"/>
      <c r="EC1722" s="329"/>
      <c r="ED1722" s="329"/>
      <c r="EE1722" s="329"/>
      <c r="EF1722" s="329"/>
      <c r="EG1722" s="329"/>
      <c r="EH1722" s="329"/>
      <c r="EI1722" s="329"/>
      <c r="EJ1722" s="329"/>
      <c r="EK1722" s="329"/>
      <c r="EL1722" s="329"/>
      <c r="EM1722" s="329"/>
      <c r="EN1722" s="329"/>
      <c r="EO1722" s="329"/>
      <c r="EP1722" s="329"/>
      <c r="EQ1722" s="329"/>
      <c r="ER1722" s="329"/>
      <c r="ES1722" s="329"/>
    </row>
    <row r="1723" spans="1:149" s="330" customFormat="1" x14ac:dyDescent="0.3">
      <c r="A1723" s="325">
        <v>903746</v>
      </c>
      <c r="B1723" s="326">
        <v>12.2</v>
      </c>
      <c r="C1723" s="326">
        <v>8.5</v>
      </c>
      <c r="D1723" s="328">
        <v>8.6761904761904756</v>
      </c>
      <c r="E1723" s="1545">
        <v>0.153</v>
      </c>
      <c r="F1723" s="331">
        <v>57.7</v>
      </c>
      <c r="G1723" s="327"/>
      <c r="H1723" s="331">
        <v>26.27</v>
      </c>
      <c r="I1723" s="327">
        <v>610</v>
      </c>
      <c r="J1723" s="327">
        <v>0.371</v>
      </c>
      <c r="K1723" s="327">
        <v>12.17</v>
      </c>
      <c r="L1723" s="327">
        <v>1989</v>
      </c>
      <c r="M1723" s="327">
        <v>0.45</v>
      </c>
      <c r="N1723" s="327">
        <v>0.77</v>
      </c>
      <c r="O1723" s="327">
        <v>1.74</v>
      </c>
      <c r="P1723" s="327">
        <v>2.7</v>
      </c>
      <c r="Q1723" s="327"/>
      <c r="R1723" s="328">
        <v>1.7029370000000001</v>
      </c>
      <c r="S1723" s="327">
        <v>13.7</v>
      </c>
      <c r="T1723" s="328"/>
      <c r="U1723" s="328"/>
      <c r="Y1723" s="67">
        <v>30</v>
      </c>
      <c r="Z1723" s="327"/>
      <c r="AA1723" s="327"/>
      <c r="AB1723" s="327"/>
      <c r="AC1723" s="327"/>
      <c r="AD1723" s="327">
        <v>600</v>
      </c>
      <c r="AE1723" s="327">
        <v>260</v>
      </c>
      <c r="AF1723" s="327">
        <v>140</v>
      </c>
      <c r="AG1723" s="66">
        <f t="shared" si="69"/>
        <v>143.60600000000002</v>
      </c>
      <c r="AH1723" s="143">
        <f t="shared" si="70"/>
        <v>1000</v>
      </c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  <c r="AS1723" s="329"/>
      <c r="AT1723" s="329"/>
      <c r="AU1723" s="329"/>
      <c r="AV1723" s="329"/>
      <c r="AW1723" s="329"/>
      <c r="AX1723" s="329"/>
      <c r="AY1723" s="329"/>
      <c r="AZ1723" s="329"/>
      <c r="BA1723" s="329"/>
      <c r="BB1723" s="329"/>
      <c r="BC1723" s="329"/>
      <c r="BD1723" s="329"/>
      <c r="BE1723" s="329"/>
      <c r="BF1723" s="329"/>
      <c r="BG1723" s="329"/>
      <c r="BH1723" s="329"/>
      <c r="BI1723" s="329"/>
      <c r="BJ1723" s="329"/>
      <c r="BK1723" s="329"/>
      <c r="BL1723" s="329"/>
      <c r="BM1723" s="329"/>
      <c r="BN1723" s="329"/>
      <c r="BO1723" s="329"/>
      <c r="BP1723" s="329"/>
      <c r="BQ1723" s="329"/>
      <c r="BR1723" s="329"/>
      <c r="BS1723" s="329"/>
      <c r="BT1723" s="329"/>
      <c r="BU1723" s="329"/>
      <c r="BV1723" s="329"/>
      <c r="BW1723" s="329"/>
      <c r="BX1723" s="329"/>
      <c r="BY1723" s="329"/>
      <c r="BZ1723" s="329"/>
      <c r="CA1723" s="329"/>
      <c r="CB1723" s="329"/>
      <c r="CC1723" s="329"/>
      <c r="CD1723" s="329"/>
      <c r="CE1723" s="329"/>
      <c r="CF1723" s="329"/>
      <c r="CG1723" s="329"/>
      <c r="CH1723" s="329"/>
      <c r="CI1723" s="329"/>
      <c r="CJ1723" s="329"/>
      <c r="CK1723" s="329"/>
      <c r="CL1723" s="329"/>
      <c r="CM1723" s="329"/>
      <c r="CN1723" s="329"/>
      <c r="CO1723" s="329"/>
      <c r="CP1723" s="329"/>
      <c r="CQ1723" s="329"/>
      <c r="CR1723" s="329"/>
      <c r="CS1723" s="329"/>
      <c r="CT1723" s="329"/>
      <c r="CU1723" s="329"/>
      <c r="CV1723" s="329"/>
      <c r="CW1723" s="329"/>
      <c r="CX1723" s="329"/>
      <c r="CY1723" s="329"/>
      <c r="CZ1723" s="329"/>
      <c r="DA1723" s="329"/>
      <c r="DB1723" s="329"/>
      <c r="DC1723" s="329"/>
      <c r="DD1723" s="329"/>
      <c r="DE1723" s="329"/>
      <c r="DF1723" s="329"/>
      <c r="DG1723" s="329"/>
      <c r="DH1723" s="329"/>
      <c r="DI1723" s="329"/>
      <c r="DJ1723" s="329"/>
      <c r="DK1723" s="329"/>
      <c r="DL1723" s="329"/>
      <c r="DM1723" s="329"/>
      <c r="DN1723" s="329"/>
      <c r="DO1723" s="329"/>
      <c r="DP1723" s="329"/>
      <c r="DQ1723" s="329"/>
      <c r="DR1723" s="329"/>
      <c r="DS1723" s="329"/>
      <c r="DT1723" s="329"/>
      <c r="DU1723" s="329"/>
      <c r="DV1723" s="329"/>
      <c r="DW1723" s="329"/>
      <c r="DX1723" s="329"/>
      <c r="DY1723" s="329"/>
      <c r="DZ1723" s="329"/>
      <c r="EA1723" s="329"/>
      <c r="EB1723" s="329"/>
      <c r="EC1723" s="329"/>
      <c r="ED1723" s="329"/>
      <c r="EE1723" s="329"/>
      <c r="EF1723" s="329"/>
      <c r="EG1723" s="329"/>
      <c r="EH1723" s="329"/>
      <c r="EI1723" s="329"/>
      <c r="EJ1723" s="329"/>
      <c r="EK1723" s="329"/>
      <c r="EL1723" s="329"/>
      <c r="EM1723" s="329"/>
      <c r="EN1723" s="329"/>
      <c r="EO1723" s="329"/>
      <c r="EP1723" s="329"/>
      <c r="EQ1723" s="329"/>
      <c r="ER1723" s="329"/>
      <c r="ES1723" s="329"/>
    </row>
    <row r="1724" spans="1:149" s="330" customFormat="1" x14ac:dyDescent="0.3">
      <c r="A1724" s="325">
        <v>903747</v>
      </c>
      <c r="B1724" s="326">
        <v>8.6</v>
      </c>
      <c r="C1724" s="326"/>
      <c r="D1724" s="328">
        <v>8.4</v>
      </c>
      <c r="E1724" s="1545">
        <v>0.26100000000000001</v>
      </c>
      <c r="F1724" s="331">
        <v>120.6</v>
      </c>
      <c r="G1724" s="327"/>
      <c r="H1724" s="331">
        <v>205.49</v>
      </c>
      <c r="I1724" s="327">
        <v>800</v>
      </c>
      <c r="J1724" s="327">
        <v>0.245</v>
      </c>
      <c r="K1724" s="327">
        <v>12.8</v>
      </c>
      <c r="L1724" s="327">
        <v>1829</v>
      </c>
      <c r="M1724" s="327">
        <v>0.51</v>
      </c>
      <c r="N1724" s="327">
        <v>0.6</v>
      </c>
      <c r="O1724" s="327">
        <v>2.0499999999999998</v>
      </c>
      <c r="P1724" s="327">
        <v>2.4</v>
      </c>
      <c r="Q1724" s="327"/>
      <c r="R1724" s="328">
        <v>1.7902970000000002</v>
      </c>
      <c r="S1724" s="327">
        <v>16.3</v>
      </c>
      <c r="T1724" s="328"/>
      <c r="U1724" s="328"/>
      <c r="Y1724" s="67">
        <v>37.200000000000003</v>
      </c>
      <c r="Z1724" s="327"/>
      <c r="AA1724" s="327"/>
      <c r="AB1724" s="327"/>
      <c r="AC1724" s="327"/>
      <c r="AD1724" s="327">
        <v>620</v>
      </c>
      <c r="AE1724" s="327">
        <v>260</v>
      </c>
      <c r="AF1724" s="327">
        <v>120</v>
      </c>
      <c r="AG1724" s="66">
        <f t="shared" si="69"/>
        <v>121.80645161290323</v>
      </c>
      <c r="AH1724" s="143">
        <f t="shared" si="70"/>
        <v>1000</v>
      </c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  <c r="AS1724" s="329"/>
      <c r="AT1724" s="329"/>
      <c r="AU1724" s="329"/>
      <c r="AV1724" s="329"/>
      <c r="AW1724" s="329"/>
      <c r="AX1724" s="329"/>
      <c r="AY1724" s="329"/>
      <c r="AZ1724" s="329"/>
      <c r="BA1724" s="329"/>
      <c r="BB1724" s="329"/>
      <c r="BC1724" s="329"/>
      <c r="BD1724" s="329"/>
      <c r="BE1724" s="329"/>
      <c r="BF1724" s="329"/>
      <c r="BG1724" s="329"/>
      <c r="BH1724" s="329"/>
      <c r="BI1724" s="329"/>
      <c r="BJ1724" s="329"/>
      <c r="BK1724" s="329"/>
      <c r="BL1724" s="329"/>
      <c r="BM1724" s="329"/>
      <c r="BN1724" s="329"/>
      <c r="BO1724" s="329"/>
      <c r="BP1724" s="329"/>
      <c r="BQ1724" s="329"/>
      <c r="BR1724" s="329"/>
      <c r="BS1724" s="329"/>
      <c r="BT1724" s="329"/>
      <c r="BU1724" s="329"/>
      <c r="BV1724" s="329"/>
      <c r="BW1724" s="329"/>
      <c r="BX1724" s="329"/>
      <c r="BY1724" s="329"/>
      <c r="BZ1724" s="329"/>
      <c r="CA1724" s="329"/>
      <c r="CB1724" s="329"/>
      <c r="CC1724" s="329"/>
      <c r="CD1724" s="329"/>
      <c r="CE1724" s="329"/>
      <c r="CF1724" s="329"/>
      <c r="CG1724" s="329"/>
      <c r="CH1724" s="329"/>
      <c r="CI1724" s="329"/>
      <c r="CJ1724" s="329"/>
      <c r="CK1724" s="329"/>
      <c r="CL1724" s="329"/>
      <c r="CM1724" s="329"/>
      <c r="CN1724" s="329"/>
      <c r="CO1724" s="329"/>
      <c r="CP1724" s="329"/>
      <c r="CQ1724" s="329"/>
      <c r="CR1724" s="329"/>
      <c r="CS1724" s="329"/>
      <c r="CT1724" s="329"/>
      <c r="CU1724" s="329"/>
      <c r="CV1724" s="329"/>
      <c r="CW1724" s="329"/>
      <c r="CX1724" s="329"/>
      <c r="CY1724" s="329"/>
      <c r="CZ1724" s="329"/>
      <c r="DA1724" s="329"/>
      <c r="DB1724" s="329"/>
      <c r="DC1724" s="329"/>
      <c r="DD1724" s="329"/>
      <c r="DE1724" s="329"/>
      <c r="DF1724" s="329"/>
      <c r="DG1724" s="329"/>
      <c r="DH1724" s="329"/>
      <c r="DI1724" s="329"/>
      <c r="DJ1724" s="329"/>
      <c r="DK1724" s="329"/>
      <c r="DL1724" s="329"/>
      <c r="DM1724" s="329"/>
      <c r="DN1724" s="329"/>
      <c r="DO1724" s="329"/>
      <c r="DP1724" s="329"/>
      <c r="DQ1724" s="329"/>
      <c r="DR1724" s="329"/>
      <c r="DS1724" s="329"/>
      <c r="DT1724" s="329"/>
      <c r="DU1724" s="329"/>
      <c r="DV1724" s="329"/>
      <c r="DW1724" s="329"/>
      <c r="DX1724" s="329"/>
      <c r="DY1724" s="329"/>
      <c r="DZ1724" s="329"/>
      <c r="EA1724" s="329"/>
      <c r="EB1724" s="329"/>
      <c r="EC1724" s="329"/>
      <c r="ED1724" s="329"/>
      <c r="EE1724" s="329"/>
      <c r="EF1724" s="329"/>
      <c r="EG1724" s="329"/>
      <c r="EH1724" s="329"/>
      <c r="EI1724" s="329"/>
      <c r="EJ1724" s="329"/>
      <c r="EK1724" s="329"/>
      <c r="EL1724" s="329"/>
      <c r="EM1724" s="329"/>
      <c r="EN1724" s="329"/>
      <c r="EO1724" s="329"/>
      <c r="EP1724" s="329"/>
      <c r="EQ1724" s="329"/>
      <c r="ER1724" s="329"/>
      <c r="ES1724" s="329"/>
    </row>
    <row r="1725" spans="1:149" s="330" customFormat="1" x14ac:dyDescent="0.3">
      <c r="A1725" s="325">
        <v>903748</v>
      </c>
      <c r="B1725" s="326">
        <v>6.8</v>
      </c>
      <c r="C1725" s="326"/>
      <c r="D1725" s="328">
        <v>7.5047619047619047</v>
      </c>
      <c r="E1725" s="1545">
        <v>0.8</v>
      </c>
      <c r="F1725" s="331">
        <v>463.8</v>
      </c>
      <c r="G1725" s="327"/>
      <c r="H1725" s="331">
        <v>1045.48</v>
      </c>
      <c r="I1725" s="327">
        <v>1420</v>
      </c>
      <c r="J1725" s="327">
        <v>0.17100000000000001</v>
      </c>
      <c r="K1725" s="327">
        <v>11.5</v>
      </c>
      <c r="L1725" s="327">
        <v>1018</v>
      </c>
      <c r="M1725" s="327">
        <v>1.7</v>
      </c>
      <c r="N1725" s="327">
        <v>0.95</v>
      </c>
      <c r="O1725" s="327">
        <v>3.54</v>
      </c>
      <c r="P1725" s="327">
        <v>2.13</v>
      </c>
      <c r="Q1725" s="327"/>
      <c r="R1725" s="328">
        <v>1.6216250000000001</v>
      </c>
      <c r="S1725" s="327">
        <v>11.5</v>
      </c>
      <c r="T1725" s="328"/>
      <c r="U1725" s="328"/>
      <c r="Y1725" s="67">
        <v>31</v>
      </c>
      <c r="Z1725" s="327"/>
      <c r="AA1725" s="327"/>
      <c r="AB1725" s="327"/>
      <c r="AC1725" s="327"/>
      <c r="AD1725" s="327">
        <v>620</v>
      </c>
      <c r="AE1725" s="327">
        <v>270</v>
      </c>
      <c r="AF1725" s="327">
        <v>110</v>
      </c>
      <c r="AG1725" s="66">
        <f t="shared" si="69"/>
        <v>131.32258064516128</v>
      </c>
      <c r="AH1725" s="143">
        <f t="shared" si="70"/>
        <v>1000</v>
      </c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  <c r="AS1725" s="329"/>
      <c r="AT1725" s="329"/>
      <c r="AU1725" s="329"/>
      <c r="AV1725" s="329"/>
      <c r="AW1725" s="329"/>
      <c r="AX1725" s="329"/>
      <c r="AY1725" s="329"/>
      <c r="AZ1725" s="329"/>
      <c r="BA1725" s="329"/>
      <c r="BB1725" s="329"/>
      <c r="BC1725" s="329"/>
      <c r="BD1725" s="329"/>
      <c r="BE1725" s="329"/>
      <c r="BF1725" s="329"/>
      <c r="BG1725" s="329"/>
      <c r="BH1725" s="329"/>
      <c r="BI1725" s="329"/>
      <c r="BJ1725" s="329"/>
      <c r="BK1725" s="329"/>
      <c r="BL1725" s="329"/>
      <c r="BM1725" s="329"/>
      <c r="BN1725" s="329"/>
      <c r="BO1725" s="329"/>
      <c r="BP1725" s="329"/>
      <c r="BQ1725" s="329"/>
      <c r="BR1725" s="329"/>
      <c r="BS1725" s="329"/>
      <c r="BT1725" s="329"/>
      <c r="BU1725" s="329"/>
      <c r="BV1725" s="329"/>
      <c r="BW1725" s="329"/>
      <c r="BX1725" s="329"/>
      <c r="BY1725" s="329"/>
      <c r="BZ1725" s="329"/>
      <c r="CA1725" s="329"/>
      <c r="CB1725" s="329"/>
      <c r="CC1725" s="329"/>
      <c r="CD1725" s="329"/>
      <c r="CE1725" s="329"/>
      <c r="CF1725" s="329"/>
      <c r="CG1725" s="329"/>
      <c r="CH1725" s="329"/>
      <c r="CI1725" s="329"/>
      <c r="CJ1725" s="329"/>
      <c r="CK1725" s="329"/>
      <c r="CL1725" s="329"/>
      <c r="CM1725" s="329"/>
      <c r="CN1725" s="329"/>
      <c r="CO1725" s="329"/>
      <c r="CP1725" s="329"/>
      <c r="CQ1725" s="329"/>
      <c r="CR1725" s="329"/>
      <c r="CS1725" s="329"/>
      <c r="CT1725" s="329"/>
      <c r="CU1725" s="329"/>
      <c r="CV1725" s="329"/>
      <c r="CW1725" s="329"/>
      <c r="CX1725" s="329"/>
      <c r="CY1725" s="329"/>
      <c r="CZ1725" s="329"/>
      <c r="DA1725" s="329"/>
      <c r="DB1725" s="329"/>
      <c r="DC1725" s="329"/>
      <c r="DD1725" s="329"/>
      <c r="DE1725" s="329"/>
      <c r="DF1725" s="329"/>
      <c r="DG1725" s="329"/>
      <c r="DH1725" s="329"/>
      <c r="DI1725" s="329"/>
      <c r="DJ1725" s="329"/>
      <c r="DK1725" s="329"/>
      <c r="DL1725" s="329"/>
      <c r="DM1725" s="329"/>
      <c r="DN1725" s="329"/>
      <c r="DO1725" s="329"/>
      <c r="DP1725" s="329"/>
      <c r="DQ1725" s="329"/>
      <c r="DR1725" s="329"/>
      <c r="DS1725" s="329"/>
      <c r="DT1725" s="329"/>
      <c r="DU1725" s="329"/>
      <c r="DV1725" s="329"/>
      <c r="DW1725" s="329"/>
      <c r="DX1725" s="329"/>
      <c r="DY1725" s="329"/>
      <c r="DZ1725" s="329"/>
      <c r="EA1725" s="329"/>
      <c r="EB1725" s="329"/>
      <c r="EC1725" s="329"/>
      <c r="ED1725" s="329"/>
      <c r="EE1725" s="329"/>
      <c r="EF1725" s="329"/>
      <c r="EG1725" s="329"/>
      <c r="EH1725" s="329"/>
      <c r="EI1725" s="329"/>
      <c r="EJ1725" s="329"/>
      <c r="EK1725" s="329"/>
      <c r="EL1725" s="329"/>
      <c r="EM1725" s="329"/>
      <c r="EN1725" s="329"/>
      <c r="EO1725" s="329"/>
      <c r="EP1725" s="329"/>
      <c r="EQ1725" s="329"/>
      <c r="ER1725" s="329"/>
      <c r="ES1725" s="329"/>
    </row>
    <row r="1726" spans="1:149" s="330" customFormat="1" x14ac:dyDescent="0.3">
      <c r="A1726" s="325">
        <v>903749</v>
      </c>
      <c r="B1726" s="326">
        <v>5.6</v>
      </c>
      <c r="C1726" s="326"/>
      <c r="D1726" s="328">
        <v>8.0952380952380949</v>
      </c>
      <c r="E1726" s="1545">
        <v>0.23200000000000001</v>
      </c>
      <c r="F1726" s="331">
        <v>119.4</v>
      </c>
      <c r="G1726" s="327"/>
      <c r="H1726" s="331">
        <v>118.61</v>
      </c>
      <c r="I1726" s="327">
        <v>820</v>
      </c>
      <c r="J1726" s="327">
        <v>0.14099999999999999</v>
      </c>
      <c r="K1726" s="327">
        <v>12.62</v>
      </c>
      <c r="L1726" s="327">
        <v>1416</v>
      </c>
      <c r="M1726" s="327">
        <v>0.34</v>
      </c>
      <c r="N1726" s="327">
        <v>1.53</v>
      </c>
      <c r="O1726" s="327">
        <v>2.58</v>
      </c>
      <c r="P1726" s="327">
        <v>2.64</v>
      </c>
      <c r="Q1726" s="327"/>
      <c r="R1726" s="328">
        <v>1.6922480000000002</v>
      </c>
      <c r="S1726" s="327">
        <v>13.4</v>
      </c>
      <c r="T1726" s="328"/>
      <c r="U1726" s="328"/>
      <c r="Y1726" s="67">
        <v>37.200000000000003</v>
      </c>
      <c r="Z1726" s="327"/>
      <c r="AA1726" s="327"/>
      <c r="AB1726" s="327"/>
      <c r="AC1726" s="327"/>
      <c r="AD1726" s="327">
        <v>620</v>
      </c>
      <c r="AE1726" s="327">
        <v>280</v>
      </c>
      <c r="AF1726" s="327">
        <v>100</v>
      </c>
      <c r="AG1726" s="66">
        <f t="shared" si="69"/>
        <v>120.09354838709676</v>
      </c>
      <c r="AH1726" s="143">
        <f t="shared" si="70"/>
        <v>1000</v>
      </c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  <c r="AS1726" s="329"/>
      <c r="AT1726" s="329"/>
      <c r="AU1726" s="329"/>
      <c r="AV1726" s="329"/>
      <c r="AW1726" s="329"/>
      <c r="AX1726" s="329"/>
      <c r="AY1726" s="329"/>
      <c r="AZ1726" s="329"/>
      <c r="BA1726" s="329"/>
      <c r="BB1726" s="329"/>
      <c r="BC1726" s="329"/>
      <c r="BD1726" s="329"/>
      <c r="BE1726" s="329"/>
      <c r="BF1726" s="329"/>
      <c r="BG1726" s="329"/>
      <c r="BH1726" s="329"/>
      <c r="BI1726" s="329"/>
      <c r="BJ1726" s="329"/>
      <c r="BK1726" s="329"/>
      <c r="BL1726" s="329"/>
      <c r="BM1726" s="329"/>
      <c r="BN1726" s="329"/>
      <c r="BO1726" s="329"/>
      <c r="BP1726" s="329"/>
      <c r="BQ1726" s="329"/>
      <c r="BR1726" s="329"/>
      <c r="BS1726" s="329"/>
      <c r="BT1726" s="329"/>
      <c r="BU1726" s="329"/>
      <c r="BV1726" s="329"/>
      <c r="BW1726" s="329"/>
      <c r="BX1726" s="329"/>
      <c r="BY1726" s="329"/>
      <c r="BZ1726" s="329"/>
      <c r="CA1726" s="329"/>
      <c r="CB1726" s="329"/>
      <c r="CC1726" s="329"/>
      <c r="CD1726" s="329"/>
      <c r="CE1726" s="329"/>
      <c r="CF1726" s="329"/>
      <c r="CG1726" s="329"/>
      <c r="CH1726" s="329"/>
      <c r="CI1726" s="329"/>
      <c r="CJ1726" s="329"/>
      <c r="CK1726" s="329"/>
      <c r="CL1726" s="329"/>
      <c r="CM1726" s="329"/>
      <c r="CN1726" s="329"/>
      <c r="CO1726" s="329"/>
      <c r="CP1726" s="329"/>
      <c r="CQ1726" s="329"/>
      <c r="CR1726" s="329"/>
      <c r="CS1726" s="329"/>
      <c r="CT1726" s="329"/>
      <c r="CU1726" s="329"/>
      <c r="CV1726" s="329"/>
      <c r="CW1726" s="329"/>
      <c r="CX1726" s="329"/>
      <c r="CY1726" s="329"/>
      <c r="CZ1726" s="329"/>
      <c r="DA1726" s="329"/>
      <c r="DB1726" s="329"/>
      <c r="DC1726" s="329"/>
      <c r="DD1726" s="329"/>
      <c r="DE1726" s="329"/>
      <c r="DF1726" s="329"/>
      <c r="DG1726" s="329"/>
      <c r="DH1726" s="329"/>
      <c r="DI1726" s="329"/>
      <c r="DJ1726" s="329"/>
      <c r="DK1726" s="329"/>
      <c r="DL1726" s="329"/>
      <c r="DM1726" s="329"/>
      <c r="DN1726" s="329"/>
      <c r="DO1726" s="329"/>
      <c r="DP1726" s="329"/>
      <c r="DQ1726" s="329"/>
      <c r="DR1726" s="329"/>
      <c r="DS1726" s="329"/>
      <c r="DT1726" s="329"/>
      <c r="DU1726" s="329"/>
      <c r="DV1726" s="329"/>
      <c r="DW1726" s="329"/>
      <c r="DX1726" s="329"/>
      <c r="DY1726" s="329"/>
      <c r="DZ1726" s="329"/>
      <c r="EA1726" s="329"/>
      <c r="EB1726" s="329"/>
      <c r="EC1726" s="329"/>
      <c r="ED1726" s="329"/>
      <c r="EE1726" s="329"/>
      <c r="EF1726" s="329"/>
      <c r="EG1726" s="329"/>
      <c r="EH1726" s="329"/>
      <c r="EI1726" s="329"/>
      <c r="EJ1726" s="329"/>
      <c r="EK1726" s="329"/>
      <c r="EL1726" s="329"/>
      <c r="EM1726" s="329"/>
      <c r="EN1726" s="329"/>
      <c r="EO1726" s="329"/>
      <c r="EP1726" s="329"/>
      <c r="EQ1726" s="329"/>
      <c r="ER1726" s="329"/>
      <c r="ES1726" s="329"/>
    </row>
    <row r="1727" spans="1:149" s="330" customFormat="1" x14ac:dyDescent="0.3">
      <c r="A1727" s="325">
        <v>903750</v>
      </c>
      <c r="B1727" s="326">
        <v>11.7</v>
      </c>
      <c r="C1727" s="326">
        <v>8.9</v>
      </c>
      <c r="D1727" s="328">
        <v>8.6190476190476186</v>
      </c>
      <c r="E1727" s="1545">
        <v>0.16</v>
      </c>
      <c r="F1727" s="331">
        <v>56.8</v>
      </c>
      <c r="G1727" s="327"/>
      <c r="H1727" s="331">
        <v>29.98</v>
      </c>
      <c r="I1727" s="327">
        <v>580</v>
      </c>
      <c r="J1727" s="327">
        <v>0.31900000000000001</v>
      </c>
      <c r="K1727" s="327">
        <v>14.49</v>
      </c>
      <c r="L1727" s="327">
        <v>1582</v>
      </c>
      <c r="M1727" s="327">
        <v>0.32</v>
      </c>
      <c r="N1727" s="327">
        <v>1.1399999999999999</v>
      </c>
      <c r="O1727" s="327">
        <v>1.22</v>
      </c>
      <c r="P1727" s="327">
        <v>3.24</v>
      </c>
      <c r="Q1727" s="327"/>
      <c r="R1727" s="328">
        <v>1.761128</v>
      </c>
      <c r="S1727" s="327">
        <v>15.4</v>
      </c>
      <c r="T1727" s="328"/>
      <c r="U1727" s="328"/>
      <c r="Y1727" s="67">
        <v>42</v>
      </c>
      <c r="Z1727" s="327"/>
      <c r="AA1727" s="327"/>
      <c r="AB1727" s="327"/>
      <c r="AC1727" s="327"/>
      <c r="AD1727" s="327">
        <v>600</v>
      </c>
      <c r="AE1727" s="327">
        <v>260</v>
      </c>
      <c r="AF1727" s="327">
        <v>140</v>
      </c>
      <c r="AG1727" s="66">
        <f t="shared" si="69"/>
        <v>122.13</v>
      </c>
      <c r="AH1727" s="143">
        <f t="shared" si="70"/>
        <v>1000</v>
      </c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  <c r="AS1727" s="329"/>
      <c r="AT1727" s="329"/>
      <c r="AU1727" s="329"/>
      <c r="AV1727" s="329"/>
      <c r="AW1727" s="329"/>
      <c r="AX1727" s="329"/>
      <c r="AY1727" s="329"/>
      <c r="AZ1727" s="329"/>
      <c r="BA1727" s="329"/>
      <c r="BB1727" s="329"/>
      <c r="BC1727" s="329"/>
      <c r="BD1727" s="329"/>
      <c r="BE1727" s="329"/>
      <c r="BF1727" s="329"/>
      <c r="BG1727" s="329"/>
      <c r="BH1727" s="329"/>
      <c r="BI1727" s="329"/>
      <c r="BJ1727" s="329"/>
      <c r="BK1727" s="329"/>
      <c r="BL1727" s="329"/>
      <c r="BM1727" s="329"/>
      <c r="BN1727" s="329"/>
      <c r="BO1727" s="329"/>
      <c r="BP1727" s="329"/>
      <c r="BQ1727" s="329"/>
      <c r="BR1727" s="329"/>
      <c r="BS1727" s="329"/>
      <c r="BT1727" s="329"/>
      <c r="BU1727" s="329"/>
      <c r="BV1727" s="329"/>
      <c r="BW1727" s="329"/>
      <c r="BX1727" s="329"/>
      <c r="BY1727" s="329"/>
      <c r="BZ1727" s="329"/>
      <c r="CA1727" s="329"/>
      <c r="CB1727" s="329"/>
      <c r="CC1727" s="329"/>
      <c r="CD1727" s="329"/>
      <c r="CE1727" s="329"/>
      <c r="CF1727" s="329"/>
      <c r="CG1727" s="329"/>
      <c r="CH1727" s="329"/>
      <c r="CI1727" s="329"/>
      <c r="CJ1727" s="329"/>
      <c r="CK1727" s="329"/>
      <c r="CL1727" s="329"/>
      <c r="CM1727" s="329"/>
      <c r="CN1727" s="329"/>
      <c r="CO1727" s="329"/>
      <c r="CP1727" s="329"/>
      <c r="CQ1727" s="329"/>
      <c r="CR1727" s="329"/>
      <c r="CS1727" s="329"/>
      <c r="CT1727" s="329"/>
      <c r="CU1727" s="329"/>
      <c r="CV1727" s="329"/>
      <c r="CW1727" s="329"/>
      <c r="CX1727" s="329"/>
      <c r="CY1727" s="329"/>
      <c r="CZ1727" s="329"/>
      <c r="DA1727" s="329"/>
      <c r="DB1727" s="329"/>
      <c r="DC1727" s="329"/>
      <c r="DD1727" s="329"/>
      <c r="DE1727" s="329"/>
      <c r="DF1727" s="329"/>
      <c r="DG1727" s="329"/>
      <c r="DH1727" s="329"/>
      <c r="DI1727" s="329"/>
      <c r="DJ1727" s="329"/>
      <c r="DK1727" s="329"/>
      <c r="DL1727" s="329"/>
      <c r="DM1727" s="329"/>
      <c r="DN1727" s="329"/>
      <c r="DO1727" s="329"/>
      <c r="DP1727" s="329"/>
      <c r="DQ1727" s="329"/>
      <c r="DR1727" s="329"/>
      <c r="DS1727" s="329"/>
      <c r="DT1727" s="329"/>
      <c r="DU1727" s="329"/>
      <c r="DV1727" s="329"/>
      <c r="DW1727" s="329"/>
      <c r="DX1727" s="329"/>
      <c r="DY1727" s="329"/>
      <c r="DZ1727" s="329"/>
      <c r="EA1727" s="329"/>
      <c r="EB1727" s="329"/>
      <c r="EC1727" s="329"/>
      <c r="ED1727" s="329"/>
      <c r="EE1727" s="329"/>
      <c r="EF1727" s="329"/>
      <c r="EG1727" s="329"/>
      <c r="EH1727" s="329"/>
      <c r="EI1727" s="329"/>
      <c r="EJ1727" s="329"/>
      <c r="EK1727" s="329"/>
      <c r="EL1727" s="329"/>
      <c r="EM1727" s="329"/>
      <c r="EN1727" s="329"/>
      <c r="EO1727" s="329"/>
      <c r="EP1727" s="329"/>
      <c r="EQ1727" s="329"/>
      <c r="ER1727" s="329"/>
      <c r="ES1727" s="329"/>
    </row>
    <row r="1728" spans="1:149" s="330" customFormat="1" x14ac:dyDescent="0.3">
      <c r="A1728" s="325">
        <v>903751</v>
      </c>
      <c r="B1728" s="326">
        <v>17.3</v>
      </c>
      <c r="C1728" s="326">
        <v>11.1</v>
      </c>
      <c r="D1728" s="328">
        <v>8.2857142857142847</v>
      </c>
      <c r="E1728" s="1545">
        <v>0.193</v>
      </c>
      <c r="F1728" s="331">
        <v>66.900000000000006</v>
      </c>
      <c r="G1728" s="327"/>
      <c r="H1728" s="331">
        <v>45.01</v>
      </c>
      <c r="I1728" s="327">
        <v>380</v>
      </c>
      <c r="J1728" s="327">
        <v>0.35</v>
      </c>
      <c r="K1728" s="327">
        <v>13.75</v>
      </c>
      <c r="L1728" s="327">
        <v>1072</v>
      </c>
      <c r="M1728" s="327">
        <v>0.63</v>
      </c>
      <c r="N1728" s="327">
        <v>0.98</v>
      </c>
      <c r="O1728" s="327">
        <v>1.22</v>
      </c>
      <c r="P1728" s="327">
        <v>4.8099999999999996</v>
      </c>
      <c r="Q1728" s="327"/>
      <c r="R1728" s="328">
        <v>1.7064720000000002</v>
      </c>
      <c r="S1728" s="327">
        <v>13.8</v>
      </c>
      <c r="T1728" s="328"/>
      <c r="U1728" s="328"/>
      <c r="Y1728" s="67">
        <v>46.2</v>
      </c>
      <c r="Z1728" s="327"/>
      <c r="AA1728" s="327"/>
      <c r="AB1728" s="327"/>
      <c r="AC1728" s="327"/>
      <c r="AD1728" s="327">
        <v>660</v>
      </c>
      <c r="AE1728" s="327">
        <v>240</v>
      </c>
      <c r="AF1728" s="327">
        <v>100</v>
      </c>
      <c r="AG1728" s="66">
        <f t="shared" si="69"/>
        <v>105.35714285714285</v>
      </c>
      <c r="AH1728" s="143">
        <f t="shared" si="70"/>
        <v>1000</v>
      </c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  <c r="AS1728" s="329"/>
      <c r="AT1728" s="329"/>
      <c r="AU1728" s="329"/>
      <c r="AV1728" s="329"/>
      <c r="AW1728" s="329"/>
      <c r="AX1728" s="329"/>
      <c r="AY1728" s="329"/>
      <c r="AZ1728" s="329"/>
      <c r="BA1728" s="329"/>
      <c r="BB1728" s="329"/>
      <c r="BC1728" s="329"/>
      <c r="BD1728" s="329"/>
      <c r="BE1728" s="329"/>
      <c r="BF1728" s="329"/>
      <c r="BG1728" s="329"/>
      <c r="BH1728" s="329"/>
      <c r="BI1728" s="329"/>
      <c r="BJ1728" s="329"/>
      <c r="BK1728" s="329"/>
      <c r="BL1728" s="329"/>
      <c r="BM1728" s="329"/>
      <c r="BN1728" s="329"/>
      <c r="BO1728" s="329"/>
      <c r="BP1728" s="329"/>
      <c r="BQ1728" s="329"/>
      <c r="BR1728" s="329"/>
      <c r="BS1728" s="329"/>
      <c r="BT1728" s="329"/>
      <c r="BU1728" s="329"/>
      <c r="BV1728" s="329"/>
      <c r="BW1728" s="329"/>
      <c r="BX1728" s="329"/>
      <c r="BY1728" s="329"/>
      <c r="BZ1728" s="329"/>
      <c r="CA1728" s="329"/>
      <c r="CB1728" s="329"/>
      <c r="CC1728" s="329"/>
      <c r="CD1728" s="329"/>
      <c r="CE1728" s="329"/>
      <c r="CF1728" s="329"/>
      <c r="CG1728" s="329"/>
      <c r="CH1728" s="329"/>
      <c r="CI1728" s="329"/>
      <c r="CJ1728" s="329"/>
      <c r="CK1728" s="329"/>
      <c r="CL1728" s="329"/>
      <c r="CM1728" s="329"/>
      <c r="CN1728" s="329"/>
      <c r="CO1728" s="329"/>
      <c r="CP1728" s="329"/>
      <c r="CQ1728" s="329"/>
      <c r="CR1728" s="329"/>
      <c r="CS1728" s="329"/>
      <c r="CT1728" s="329"/>
      <c r="CU1728" s="329"/>
      <c r="CV1728" s="329"/>
      <c r="CW1728" s="329"/>
      <c r="CX1728" s="329"/>
      <c r="CY1728" s="329"/>
      <c r="CZ1728" s="329"/>
      <c r="DA1728" s="329"/>
      <c r="DB1728" s="329"/>
      <c r="DC1728" s="329"/>
      <c r="DD1728" s="329"/>
      <c r="DE1728" s="329"/>
      <c r="DF1728" s="329"/>
      <c r="DG1728" s="329"/>
      <c r="DH1728" s="329"/>
      <c r="DI1728" s="329"/>
      <c r="DJ1728" s="329"/>
      <c r="DK1728" s="329"/>
      <c r="DL1728" s="329"/>
      <c r="DM1728" s="329"/>
      <c r="DN1728" s="329"/>
      <c r="DO1728" s="329"/>
      <c r="DP1728" s="329"/>
      <c r="DQ1728" s="329"/>
      <c r="DR1728" s="329"/>
      <c r="DS1728" s="329"/>
      <c r="DT1728" s="329"/>
      <c r="DU1728" s="329"/>
      <c r="DV1728" s="329"/>
      <c r="DW1728" s="329"/>
      <c r="DX1728" s="329"/>
      <c r="DY1728" s="329"/>
      <c r="DZ1728" s="329"/>
      <c r="EA1728" s="329"/>
      <c r="EB1728" s="329"/>
      <c r="EC1728" s="329"/>
      <c r="ED1728" s="329"/>
      <c r="EE1728" s="329"/>
      <c r="EF1728" s="329"/>
      <c r="EG1728" s="329"/>
      <c r="EH1728" s="329"/>
      <c r="EI1728" s="329"/>
      <c r="EJ1728" s="329"/>
      <c r="EK1728" s="329"/>
      <c r="EL1728" s="329"/>
      <c r="EM1728" s="329"/>
      <c r="EN1728" s="329"/>
      <c r="EO1728" s="329"/>
      <c r="EP1728" s="329"/>
      <c r="EQ1728" s="329"/>
      <c r="ER1728" s="329"/>
      <c r="ES1728" s="329"/>
    </row>
    <row r="1729" spans="1:149" s="330" customFormat="1" x14ac:dyDescent="0.3">
      <c r="A1729" s="325">
        <v>903752</v>
      </c>
      <c r="B1729" s="326">
        <v>19.5</v>
      </c>
      <c r="C1729" s="326">
        <v>10.9</v>
      </c>
      <c r="D1729" s="328">
        <v>8.428571428571427</v>
      </c>
      <c r="E1729" s="1545">
        <v>0.14000000000000001</v>
      </c>
      <c r="F1729" s="331">
        <v>45.4</v>
      </c>
      <c r="G1729" s="327"/>
      <c r="H1729" s="331">
        <v>9.7100000000000009</v>
      </c>
      <c r="I1729" s="327">
        <v>210</v>
      </c>
      <c r="J1729" s="327">
        <v>0.30099999999999999</v>
      </c>
      <c r="K1729" s="327">
        <v>14.17</v>
      </c>
      <c r="L1729" s="327">
        <v>1035</v>
      </c>
      <c r="M1729" s="327">
        <v>0.35</v>
      </c>
      <c r="N1729" s="327">
        <v>0.91</v>
      </c>
      <c r="O1729" s="327">
        <v>1</v>
      </c>
      <c r="P1729" s="327">
        <v>4.01</v>
      </c>
      <c r="Q1729" s="327"/>
      <c r="R1729" s="328">
        <v>1.5903770000000002</v>
      </c>
      <c r="S1729" s="327">
        <v>10.7</v>
      </c>
      <c r="T1729" s="328"/>
      <c r="U1729" s="328"/>
      <c r="Y1729" s="67">
        <v>32.5</v>
      </c>
      <c r="Z1729" s="327"/>
      <c r="AA1729" s="327"/>
      <c r="AB1729" s="327"/>
      <c r="AC1729" s="327"/>
      <c r="AD1729" s="327">
        <v>650</v>
      </c>
      <c r="AE1729" s="327">
        <v>220</v>
      </c>
      <c r="AF1729" s="327">
        <v>130</v>
      </c>
      <c r="AG1729" s="66">
        <f t="shared" si="69"/>
        <v>154.34400000000002</v>
      </c>
      <c r="AH1729" s="143">
        <f t="shared" si="70"/>
        <v>1000</v>
      </c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  <c r="AS1729" s="329"/>
      <c r="AT1729" s="329"/>
      <c r="AU1729" s="329"/>
      <c r="AV1729" s="329"/>
      <c r="AW1729" s="329"/>
      <c r="AX1729" s="329"/>
      <c r="AY1729" s="329"/>
      <c r="AZ1729" s="329"/>
      <c r="BA1729" s="329"/>
      <c r="BB1729" s="329"/>
      <c r="BC1729" s="329"/>
      <c r="BD1729" s="329"/>
      <c r="BE1729" s="329"/>
      <c r="BF1729" s="329"/>
      <c r="BG1729" s="329"/>
      <c r="BH1729" s="329"/>
      <c r="BI1729" s="329"/>
      <c r="BJ1729" s="329"/>
      <c r="BK1729" s="329"/>
      <c r="BL1729" s="329"/>
      <c r="BM1729" s="329"/>
      <c r="BN1729" s="329"/>
      <c r="BO1729" s="329"/>
      <c r="BP1729" s="329"/>
      <c r="BQ1729" s="329"/>
      <c r="BR1729" s="329"/>
      <c r="BS1729" s="329"/>
      <c r="BT1729" s="329"/>
      <c r="BU1729" s="329"/>
      <c r="BV1729" s="329"/>
      <c r="BW1729" s="329"/>
      <c r="BX1729" s="329"/>
      <c r="BY1729" s="329"/>
      <c r="BZ1729" s="329"/>
      <c r="CA1729" s="329"/>
      <c r="CB1729" s="329"/>
      <c r="CC1729" s="329"/>
      <c r="CD1729" s="329"/>
      <c r="CE1729" s="329"/>
      <c r="CF1729" s="329"/>
      <c r="CG1729" s="329"/>
      <c r="CH1729" s="329"/>
      <c r="CI1729" s="329"/>
      <c r="CJ1729" s="329"/>
      <c r="CK1729" s="329"/>
      <c r="CL1729" s="329"/>
      <c r="CM1729" s="329"/>
      <c r="CN1729" s="329"/>
      <c r="CO1729" s="329"/>
      <c r="CP1729" s="329"/>
      <c r="CQ1729" s="329"/>
      <c r="CR1729" s="329"/>
      <c r="CS1729" s="329"/>
      <c r="CT1729" s="329"/>
      <c r="CU1729" s="329"/>
      <c r="CV1729" s="329"/>
      <c r="CW1729" s="329"/>
      <c r="CX1729" s="329"/>
      <c r="CY1729" s="329"/>
      <c r="CZ1729" s="329"/>
      <c r="DA1729" s="329"/>
      <c r="DB1729" s="329"/>
      <c r="DC1729" s="329"/>
      <c r="DD1729" s="329"/>
      <c r="DE1729" s="329"/>
      <c r="DF1729" s="329"/>
      <c r="DG1729" s="329"/>
      <c r="DH1729" s="329"/>
      <c r="DI1729" s="329"/>
      <c r="DJ1729" s="329"/>
      <c r="DK1729" s="329"/>
      <c r="DL1729" s="329"/>
      <c r="DM1729" s="329"/>
      <c r="DN1729" s="329"/>
      <c r="DO1729" s="329"/>
      <c r="DP1729" s="329"/>
      <c r="DQ1729" s="329"/>
      <c r="DR1729" s="329"/>
      <c r="DS1729" s="329"/>
      <c r="DT1729" s="329"/>
      <c r="DU1729" s="329"/>
      <c r="DV1729" s="329"/>
      <c r="DW1729" s="329"/>
      <c r="DX1729" s="329"/>
      <c r="DY1729" s="329"/>
      <c r="DZ1729" s="329"/>
      <c r="EA1729" s="329"/>
      <c r="EB1729" s="329"/>
      <c r="EC1729" s="329"/>
      <c r="ED1729" s="329"/>
      <c r="EE1729" s="329"/>
      <c r="EF1729" s="329"/>
      <c r="EG1729" s="329"/>
      <c r="EH1729" s="329"/>
      <c r="EI1729" s="329"/>
      <c r="EJ1729" s="329"/>
      <c r="EK1729" s="329"/>
      <c r="EL1729" s="329"/>
      <c r="EM1729" s="329"/>
      <c r="EN1729" s="329"/>
      <c r="EO1729" s="329"/>
      <c r="EP1729" s="329"/>
      <c r="EQ1729" s="329"/>
      <c r="ER1729" s="329"/>
      <c r="ES1729" s="329"/>
    </row>
    <row r="1730" spans="1:149" s="330" customFormat="1" x14ac:dyDescent="0.3">
      <c r="A1730" s="325">
        <v>903753</v>
      </c>
      <c r="B1730" s="326">
        <v>0.1</v>
      </c>
      <c r="C1730" s="327"/>
      <c r="D1730" s="328">
        <v>7.3619047619047624</v>
      </c>
      <c r="E1730" s="1545">
        <v>8.8999999999999996E-2</v>
      </c>
      <c r="F1730" s="331">
        <v>57.7</v>
      </c>
      <c r="G1730" s="327"/>
      <c r="H1730" s="331">
        <v>105.15</v>
      </c>
      <c r="I1730" s="327">
        <v>160</v>
      </c>
      <c r="J1730" s="327">
        <v>7.5999999999999998E-2</v>
      </c>
      <c r="K1730" s="327">
        <v>2.29</v>
      </c>
      <c r="L1730" s="327">
        <v>147</v>
      </c>
      <c r="M1730" s="327">
        <v>0.67</v>
      </c>
      <c r="N1730" s="327">
        <v>0.2</v>
      </c>
      <c r="O1730" s="327">
        <v>2.5</v>
      </c>
      <c r="P1730" s="327">
        <v>13.79</v>
      </c>
      <c r="Q1730" s="327"/>
      <c r="R1730" s="328">
        <v>1.2599600591415507</v>
      </c>
      <c r="S1730" s="327">
        <v>9.4</v>
      </c>
      <c r="T1730" s="328"/>
      <c r="U1730" s="328"/>
      <c r="Y1730" s="67">
        <v>4.2</v>
      </c>
      <c r="Z1730" s="327"/>
      <c r="AA1730" s="327"/>
      <c r="AB1730" s="327"/>
      <c r="AC1730" s="327"/>
      <c r="AD1730" s="327">
        <v>60</v>
      </c>
      <c r="AE1730" s="327">
        <v>60</v>
      </c>
      <c r="AF1730" s="327">
        <v>880</v>
      </c>
      <c r="AG1730" s="66">
        <f t="shared" ref="AG1730:AG1793" si="71">+K1730*3.54*100/Y1730</f>
        <v>193.01428571428573</v>
      </c>
      <c r="AH1730" s="143">
        <f t="shared" ref="AH1730:AH1793" si="72">+SUM(AD1730:AF1730)</f>
        <v>1000</v>
      </c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  <c r="AS1730" s="329"/>
      <c r="AT1730" s="329"/>
      <c r="AU1730" s="329"/>
      <c r="AV1730" s="329"/>
      <c r="AW1730" s="329"/>
      <c r="AX1730" s="329"/>
      <c r="AY1730" s="329"/>
      <c r="AZ1730" s="329"/>
      <c r="BA1730" s="329"/>
      <c r="BB1730" s="329"/>
      <c r="BC1730" s="329"/>
      <c r="BD1730" s="329"/>
      <c r="BE1730" s="329"/>
      <c r="BF1730" s="329"/>
      <c r="BG1730" s="329"/>
      <c r="BH1730" s="329"/>
      <c r="BI1730" s="329"/>
      <c r="BJ1730" s="329"/>
      <c r="BK1730" s="329"/>
      <c r="BL1730" s="329"/>
      <c r="BM1730" s="329"/>
      <c r="BN1730" s="329"/>
      <c r="BO1730" s="329"/>
      <c r="BP1730" s="329"/>
      <c r="BQ1730" s="329"/>
      <c r="BR1730" s="329"/>
      <c r="BS1730" s="329"/>
      <c r="BT1730" s="329"/>
      <c r="BU1730" s="329"/>
      <c r="BV1730" s="329"/>
      <c r="BW1730" s="329"/>
      <c r="BX1730" s="329"/>
      <c r="BY1730" s="329"/>
      <c r="BZ1730" s="329"/>
      <c r="CA1730" s="329"/>
      <c r="CB1730" s="329"/>
      <c r="CC1730" s="329"/>
      <c r="CD1730" s="329"/>
      <c r="CE1730" s="329"/>
      <c r="CF1730" s="329"/>
      <c r="CG1730" s="329"/>
      <c r="CH1730" s="329"/>
      <c r="CI1730" s="329"/>
      <c r="CJ1730" s="329"/>
      <c r="CK1730" s="329"/>
      <c r="CL1730" s="329"/>
      <c r="CM1730" s="329"/>
      <c r="CN1730" s="329"/>
      <c r="CO1730" s="329"/>
      <c r="CP1730" s="329"/>
      <c r="CQ1730" s="329"/>
      <c r="CR1730" s="329"/>
      <c r="CS1730" s="329"/>
      <c r="CT1730" s="329"/>
      <c r="CU1730" s="329"/>
      <c r="CV1730" s="329"/>
      <c r="CW1730" s="329"/>
      <c r="CX1730" s="329"/>
      <c r="CY1730" s="329"/>
      <c r="CZ1730" s="329"/>
      <c r="DA1730" s="329"/>
      <c r="DB1730" s="329"/>
      <c r="DC1730" s="329"/>
      <c r="DD1730" s="329"/>
      <c r="DE1730" s="329"/>
      <c r="DF1730" s="329"/>
      <c r="DG1730" s="329"/>
      <c r="DH1730" s="329"/>
      <c r="DI1730" s="329"/>
      <c r="DJ1730" s="329"/>
      <c r="DK1730" s="329"/>
      <c r="DL1730" s="329"/>
      <c r="DM1730" s="329"/>
      <c r="DN1730" s="329"/>
      <c r="DO1730" s="329"/>
      <c r="DP1730" s="329"/>
      <c r="DQ1730" s="329"/>
      <c r="DR1730" s="329"/>
      <c r="DS1730" s="329"/>
      <c r="DT1730" s="329"/>
      <c r="DU1730" s="329"/>
      <c r="DV1730" s="329"/>
      <c r="DW1730" s="329"/>
      <c r="DX1730" s="329"/>
      <c r="DY1730" s="329"/>
      <c r="DZ1730" s="329"/>
      <c r="EA1730" s="329"/>
      <c r="EB1730" s="329"/>
      <c r="EC1730" s="329"/>
      <c r="ED1730" s="329"/>
      <c r="EE1730" s="329"/>
      <c r="EF1730" s="329"/>
      <c r="EG1730" s="329"/>
      <c r="EH1730" s="329"/>
      <c r="EI1730" s="329"/>
      <c r="EJ1730" s="329"/>
      <c r="EK1730" s="329"/>
      <c r="EL1730" s="329"/>
      <c r="EM1730" s="329"/>
      <c r="EN1730" s="329"/>
      <c r="EO1730" s="329"/>
      <c r="EP1730" s="329"/>
      <c r="EQ1730" s="329"/>
      <c r="ER1730" s="329"/>
      <c r="ES1730" s="329"/>
    </row>
    <row r="1731" spans="1:149" s="330" customFormat="1" x14ac:dyDescent="0.3">
      <c r="A1731" s="325">
        <v>903754</v>
      </c>
      <c r="B1731" s="326">
        <v>7.4</v>
      </c>
      <c r="C1731" s="327"/>
      <c r="D1731" s="328">
        <v>8.3142857142857149</v>
      </c>
      <c r="E1731" s="1545">
        <v>0.73699999999999999</v>
      </c>
      <c r="F1731" s="331">
        <v>899.7</v>
      </c>
      <c r="G1731" s="327"/>
      <c r="H1731" s="331">
        <v>27.61</v>
      </c>
      <c r="I1731" s="327">
        <v>750</v>
      </c>
      <c r="J1731" s="327">
        <v>0.93200000000000005</v>
      </c>
      <c r="K1731" s="327">
        <v>15.4</v>
      </c>
      <c r="L1731" s="327">
        <v>976</v>
      </c>
      <c r="M1731" s="327">
        <v>0.54</v>
      </c>
      <c r="N1731" s="327">
        <v>0.81</v>
      </c>
      <c r="O1731" s="327">
        <v>4.33</v>
      </c>
      <c r="P1731" s="327">
        <v>1.82</v>
      </c>
      <c r="Q1731" s="327"/>
      <c r="R1731" s="328">
        <v>1.6254680000000001</v>
      </c>
      <c r="S1731" s="327">
        <v>11.6</v>
      </c>
      <c r="T1731" s="328"/>
      <c r="U1731" s="328"/>
      <c r="Y1731" s="67">
        <v>34.799999999999997</v>
      </c>
      <c r="Z1731" s="327"/>
      <c r="AA1731" s="327"/>
      <c r="AB1731" s="327"/>
      <c r="AC1731" s="327"/>
      <c r="AD1731" s="327">
        <v>580</v>
      </c>
      <c r="AE1731" s="327">
        <v>320</v>
      </c>
      <c r="AF1731" s="327">
        <v>100</v>
      </c>
      <c r="AG1731" s="66">
        <f t="shared" si="71"/>
        <v>156.65517241379314</v>
      </c>
      <c r="AH1731" s="143">
        <f t="shared" si="72"/>
        <v>1000</v>
      </c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  <c r="AS1731" s="329"/>
      <c r="AT1731" s="329"/>
      <c r="AU1731" s="329"/>
      <c r="AV1731" s="329"/>
      <c r="AW1731" s="329"/>
      <c r="AX1731" s="329"/>
      <c r="AY1731" s="329"/>
      <c r="AZ1731" s="329"/>
      <c r="BA1731" s="329"/>
      <c r="BB1731" s="329"/>
      <c r="BC1731" s="329"/>
      <c r="BD1731" s="329"/>
      <c r="BE1731" s="329"/>
      <c r="BF1731" s="329"/>
      <c r="BG1731" s="329"/>
      <c r="BH1731" s="329"/>
      <c r="BI1731" s="329"/>
      <c r="BJ1731" s="329"/>
      <c r="BK1731" s="329"/>
      <c r="BL1731" s="329"/>
      <c r="BM1731" s="329"/>
      <c r="BN1731" s="329"/>
      <c r="BO1731" s="329"/>
      <c r="BP1731" s="329"/>
      <c r="BQ1731" s="329"/>
      <c r="BR1731" s="329"/>
      <c r="BS1731" s="329"/>
      <c r="BT1731" s="329"/>
      <c r="BU1731" s="329"/>
      <c r="BV1731" s="329"/>
      <c r="BW1731" s="329"/>
      <c r="BX1731" s="329"/>
      <c r="BY1731" s="329"/>
      <c r="BZ1731" s="329"/>
      <c r="CA1731" s="329"/>
      <c r="CB1731" s="329"/>
      <c r="CC1731" s="329"/>
      <c r="CD1731" s="329"/>
      <c r="CE1731" s="329"/>
      <c r="CF1731" s="329"/>
      <c r="CG1731" s="329"/>
      <c r="CH1731" s="329"/>
      <c r="CI1731" s="329"/>
      <c r="CJ1731" s="329"/>
      <c r="CK1731" s="329"/>
      <c r="CL1731" s="329"/>
      <c r="CM1731" s="329"/>
      <c r="CN1731" s="329"/>
      <c r="CO1731" s="329"/>
      <c r="CP1731" s="329"/>
      <c r="CQ1731" s="329"/>
      <c r="CR1731" s="329"/>
      <c r="CS1731" s="329"/>
      <c r="CT1731" s="329"/>
      <c r="CU1731" s="329"/>
      <c r="CV1731" s="329"/>
      <c r="CW1731" s="329"/>
      <c r="CX1731" s="329"/>
      <c r="CY1731" s="329"/>
      <c r="CZ1731" s="329"/>
      <c r="DA1731" s="329"/>
      <c r="DB1731" s="329"/>
      <c r="DC1731" s="329"/>
      <c r="DD1731" s="329"/>
      <c r="DE1731" s="329"/>
      <c r="DF1731" s="329"/>
      <c r="DG1731" s="329"/>
      <c r="DH1731" s="329"/>
      <c r="DI1731" s="329"/>
      <c r="DJ1731" s="329"/>
      <c r="DK1731" s="329"/>
      <c r="DL1731" s="329"/>
      <c r="DM1731" s="329"/>
      <c r="DN1731" s="329"/>
      <c r="DO1731" s="329"/>
      <c r="DP1731" s="329"/>
      <c r="DQ1731" s="329"/>
      <c r="DR1731" s="329"/>
      <c r="DS1731" s="329"/>
      <c r="DT1731" s="329"/>
      <c r="DU1731" s="329"/>
      <c r="DV1731" s="329"/>
      <c r="DW1731" s="329"/>
      <c r="DX1731" s="329"/>
      <c r="DY1731" s="329"/>
      <c r="DZ1731" s="329"/>
      <c r="EA1731" s="329"/>
      <c r="EB1731" s="329"/>
      <c r="EC1731" s="329"/>
      <c r="ED1731" s="329"/>
      <c r="EE1731" s="329"/>
      <c r="EF1731" s="329"/>
      <c r="EG1731" s="329"/>
      <c r="EH1731" s="329"/>
      <c r="EI1731" s="329"/>
      <c r="EJ1731" s="329"/>
      <c r="EK1731" s="329"/>
      <c r="EL1731" s="329"/>
      <c r="EM1731" s="329"/>
      <c r="EN1731" s="329"/>
      <c r="EO1731" s="329"/>
      <c r="EP1731" s="329"/>
      <c r="EQ1731" s="329"/>
      <c r="ER1731" s="329"/>
      <c r="ES1731" s="329"/>
    </row>
    <row r="1732" spans="1:149" s="330" customFormat="1" x14ac:dyDescent="0.3">
      <c r="A1732" s="325">
        <v>903755</v>
      </c>
      <c r="B1732" s="326">
        <v>6</v>
      </c>
      <c r="C1732" s="327"/>
      <c r="D1732" s="328">
        <v>8.1428571428571423</v>
      </c>
      <c r="E1732" s="1545">
        <v>0.4</v>
      </c>
      <c r="F1732" s="331">
        <v>385.8</v>
      </c>
      <c r="G1732" s="327"/>
      <c r="H1732" s="331">
        <v>26.16</v>
      </c>
      <c r="I1732" s="327">
        <v>560</v>
      </c>
      <c r="J1732" s="327">
        <v>0.63200000000000001</v>
      </c>
      <c r="K1732" s="327">
        <v>14.77</v>
      </c>
      <c r="L1732" s="327">
        <v>1003</v>
      </c>
      <c r="M1732" s="327">
        <v>0.57999999999999996</v>
      </c>
      <c r="N1732" s="327">
        <v>0.86</v>
      </c>
      <c r="O1732" s="327">
        <v>3.01</v>
      </c>
      <c r="P1732" s="327">
        <v>1.45</v>
      </c>
      <c r="Q1732" s="327"/>
      <c r="R1732" s="328">
        <v>1.6254680000000001</v>
      </c>
      <c r="S1732" s="327">
        <v>11.6</v>
      </c>
      <c r="T1732" s="328"/>
      <c r="U1732" s="328"/>
      <c r="Y1732" s="67">
        <v>30</v>
      </c>
      <c r="Z1732" s="327"/>
      <c r="AA1732" s="327"/>
      <c r="AB1732" s="327"/>
      <c r="AC1732" s="327"/>
      <c r="AD1732" s="327">
        <v>600</v>
      </c>
      <c r="AE1732" s="327">
        <v>300</v>
      </c>
      <c r="AF1732" s="327">
        <v>100</v>
      </c>
      <c r="AG1732" s="66">
        <f t="shared" si="71"/>
        <v>174.286</v>
      </c>
      <c r="AH1732" s="143">
        <f t="shared" si="72"/>
        <v>1000</v>
      </c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  <c r="AS1732" s="329"/>
      <c r="AT1732" s="329"/>
      <c r="AU1732" s="329"/>
      <c r="AV1732" s="329"/>
      <c r="AW1732" s="329"/>
      <c r="AX1732" s="329"/>
      <c r="AY1732" s="329"/>
      <c r="AZ1732" s="329"/>
      <c r="BA1732" s="329"/>
      <c r="BB1732" s="329"/>
      <c r="BC1732" s="329"/>
      <c r="BD1732" s="329"/>
      <c r="BE1732" s="329"/>
      <c r="BF1732" s="329"/>
      <c r="BG1732" s="329"/>
      <c r="BH1732" s="329"/>
      <c r="BI1732" s="329"/>
      <c r="BJ1732" s="329"/>
      <c r="BK1732" s="329"/>
      <c r="BL1732" s="329"/>
      <c r="BM1732" s="329"/>
      <c r="BN1732" s="329"/>
      <c r="BO1732" s="329"/>
      <c r="BP1732" s="329"/>
      <c r="BQ1732" s="329"/>
      <c r="BR1732" s="329"/>
      <c r="BS1732" s="329"/>
      <c r="BT1732" s="329"/>
      <c r="BU1732" s="329"/>
      <c r="BV1732" s="329"/>
      <c r="BW1732" s="329"/>
      <c r="BX1732" s="329"/>
      <c r="BY1732" s="329"/>
      <c r="BZ1732" s="329"/>
      <c r="CA1732" s="329"/>
      <c r="CB1732" s="329"/>
      <c r="CC1732" s="329"/>
      <c r="CD1732" s="329"/>
      <c r="CE1732" s="329"/>
      <c r="CF1732" s="329"/>
      <c r="CG1732" s="329"/>
      <c r="CH1732" s="329"/>
      <c r="CI1732" s="329"/>
      <c r="CJ1732" s="329"/>
      <c r="CK1732" s="329"/>
      <c r="CL1732" s="329"/>
      <c r="CM1732" s="329"/>
      <c r="CN1732" s="329"/>
      <c r="CO1732" s="329"/>
      <c r="CP1732" s="329"/>
      <c r="CQ1732" s="329"/>
      <c r="CR1732" s="329"/>
      <c r="CS1732" s="329"/>
      <c r="CT1732" s="329"/>
      <c r="CU1732" s="329"/>
      <c r="CV1732" s="329"/>
      <c r="CW1732" s="329"/>
      <c r="CX1732" s="329"/>
      <c r="CY1732" s="329"/>
      <c r="CZ1732" s="329"/>
      <c r="DA1732" s="329"/>
      <c r="DB1732" s="329"/>
      <c r="DC1732" s="329"/>
      <c r="DD1732" s="329"/>
      <c r="DE1732" s="329"/>
      <c r="DF1732" s="329"/>
      <c r="DG1732" s="329"/>
      <c r="DH1732" s="329"/>
      <c r="DI1732" s="329"/>
      <c r="DJ1732" s="329"/>
      <c r="DK1732" s="329"/>
      <c r="DL1732" s="329"/>
      <c r="DM1732" s="329"/>
      <c r="DN1732" s="329"/>
      <c r="DO1732" s="329"/>
      <c r="DP1732" s="329"/>
      <c r="DQ1732" s="329"/>
      <c r="DR1732" s="329"/>
      <c r="DS1732" s="329"/>
      <c r="DT1732" s="329"/>
      <c r="DU1732" s="329"/>
      <c r="DV1732" s="329"/>
      <c r="DW1732" s="329"/>
      <c r="DX1732" s="329"/>
      <c r="DY1732" s="329"/>
      <c r="DZ1732" s="329"/>
      <c r="EA1732" s="329"/>
      <c r="EB1732" s="329"/>
      <c r="EC1732" s="329"/>
      <c r="ED1732" s="329"/>
      <c r="EE1732" s="329"/>
      <c r="EF1732" s="329"/>
      <c r="EG1732" s="329"/>
      <c r="EH1732" s="329"/>
      <c r="EI1732" s="329"/>
      <c r="EJ1732" s="329"/>
      <c r="EK1732" s="329"/>
      <c r="EL1732" s="329"/>
      <c r="EM1732" s="329"/>
      <c r="EN1732" s="329"/>
      <c r="EO1732" s="329"/>
      <c r="EP1732" s="329"/>
      <c r="EQ1732" s="329"/>
      <c r="ER1732" s="329"/>
      <c r="ES1732" s="329"/>
    </row>
    <row r="1733" spans="1:149" s="330" customFormat="1" x14ac:dyDescent="0.3">
      <c r="A1733" s="325" t="s">
        <v>400</v>
      </c>
      <c r="B1733" s="326">
        <v>0.2</v>
      </c>
      <c r="C1733" s="327"/>
      <c r="D1733" s="328">
        <v>7.5238095238095237</v>
      </c>
      <c r="E1733" s="1545">
        <v>0.09</v>
      </c>
      <c r="F1733" s="331">
        <v>59.2</v>
      </c>
      <c r="G1733" s="327"/>
      <c r="H1733" s="331">
        <v>108.52</v>
      </c>
      <c r="I1733" s="327">
        <v>110</v>
      </c>
      <c r="J1733" s="327">
        <v>7.2999999999999995E-2</v>
      </c>
      <c r="K1733" s="327">
        <v>1.62</v>
      </c>
      <c r="L1733" s="327">
        <v>149</v>
      </c>
      <c r="M1733" s="327">
        <v>0.99</v>
      </c>
      <c r="N1733" s="327">
        <v>0.31</v>
      </c>
      <c r="O1733" s="327">
        <v>4.92</v>
      </c>
      <c r="P1733" s="327">
        <v>15.33</v>
      </c>
      <c r="Q1733" s="327"/>
      <c r="R1733" s="328">
        <v>1.6331120000000001</v>
      </c>
      <c r="S1733" s="327">
        <v>11.8</v>
      </c>
      <c r="T1733" s="328"/>
      <c r="U1733" s="328"/>
      <c r="Y1733" s="67">
        <v>4.2</v>
      </c>
      <c r="Z1733" s="327"/>
      <c r="AA1733" s="327"/>
      <c r="AB1733" s="327"/>
      <c r="AC1733" s="327"/>
      <c r="AD1733" s="327">
        <v>60</v>
      </c>
      <c r="AE1733" s="327">
        <v>80</v>
      </c>
      <c r="AF1733" s="327">
        <v>860</v>
      </c>
      <c r="AG1733" s="66">
        <f t="shared" si="71"/>
        <v>136.54285714285717</v>
      </c>
      <c r="AH1733" s="143">
        <f t="shared" si="72"/>
        <v>1000</v>
      </c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  <c r="AS1733" s="329"/>
      <c r="AT1733" s="329"/>
      <c r="AU1733" s="329"/>
      <c r="AV1733" s="329"/>
      <c r="AW1733" s="329"/>
      <c r="AX1733" s="329"/>
      <c r="AY1733" s="329"/>
      <c r="AZ1733" s="329"/>
      <c r="BA1733" s="329"/>
      <c r="BB1733" s="329"/>
      <c r="BC1733" s="329"/>
      <c r="BD1733" s="329"/>
      <c r="BE1733" s="329"/>
      <c r="BF1733" s="329"/>
      <c r="BG1733" s="329"/>
      <c r="BH1733" s="329"/>
      <c r="BI1733" s="329"/>
      <c r="BJ1733" s="329"/>
      <c r="BK1733" s="329"/>
      <c r="BL1733" s="329"/>
      <c r="BM1733" s="329"/>
      <c r="BN1733" s="329"/>
      <c r="BO1733" s="329"/>
      <c r="BP1733" s="329"/>
      <c r="BQ1733" s="329"/>
      <c r="BR1733" s="329"/>
      <c r="BS1733" s="329"/>
      <c r="BT1733" s="329"/>
      <c r="BU1733" s="329"/>
      <c r="BV1733" s="329"/>
      <c r="BW1733" s="329"/>
      <c r="BX1733" s="329"/>
      <c r="BY1733" s="329"/>
      <c r="BZ1733" s="329"/>
      <c r="CA1733" s="329"/>
      <c r="CB1733" s="329"/>
      <c r="CC1733" s="329"/>
      <c r="CD1733" s="329"/>
      <c r="CE1733" s="329"/>
      <c r="CF1733" s="329"/>
      <c r="CG1733" s="329"/>
      <c r="CH1733" s="329"/>
      <c r="CI1733" s="329"/>
      <c r="CJ1733" s="329"/>
      <c r="CK1733" s="329"/>
      <c r="CL1733" s="329"/>
      <c r="CM1733" s="329"/>
      <c r="CN1733" s="329"/>
      <c r="CO1733" s="329"/>
      <c r="CP1733" s="329"/>
      <c r="CQ1733" s="329"/>
      <c r="CR1733" s="329"/>
      <c r="CS1733" s="329"/>
      <c r="CT1733" s="329"/>
      <c r="CU1733" s="329"/>
      <c r="CV1733" s="329"/>
      <c r="CW1733" s="329"/>
      <c r="CX1733" s="329"/>
      <c r="CY1733" s="329"/>
      <c r="CZ1733" s="329"/>
      <c r="DA1733" s="329"/>
      <c r="DB1733" s="329"/>
      <c r="DC1733" s="329"/>
      <c r="DD1733" s="329"/>
      <c r="DE1733" s="329"/>
      <c r="DF1733" s="329"/>
      <c r="DG1733" s="329"/>
      <c r="DH1733" s="329"/>
      <c r="DI1733" s="329"/>
      <c r="DJ1733" s="329"/>
      <c r="DK1733" s="329"/>
      <c r="DL1733" s="329"/>
      <c r="DM1733" s="329"/>
      <c r="DN1733" s="329"/>
      <c r="DO1733" s="329"/>
      <c r="DP1733" s="329"/>
      <c r="DQ1733" s="329"/>
      <c r="DR1733" s="329"/>
      <c r="DS1733" s="329"/>
      <c r="DT1733" s="329"/>
      <c r="DU1733" s="329"/>
      <c r="DV1733" s="329"/>
      <c r="DW1733" s="329"/>
      <c r="DX1733" s="329"/>
      <c r="DY1733" s="329"/>
      <c r="DZ1733" s="329"/>
      <c r="EA1733" s="329"/>
      <c r="EB1733" s="329"/>
      <c r="EC1733" s="329"/>
      <c r="ED1733" s="329"/>
      <c r="EE1733" s="329"/>
      <c r="EF1733" s="329"/>
      <c r="EG1733" s="329"/>
      <c r="EH1733" s="329"/>
      <c r="EI1733" s="329"/>
      <c r="EJ1733" s="329"/>
      <c r="EK1733" s="329"/>
      <c r="EL1733" s="329"/>
      <c r="EM1733" s="329"/>
      <c r="EN1733" s="329"/>
      <c r="EO1733" s="329"/>
      <c r="EP1733" s="329"/>
      <c r="EQ1733" s="329"/>
      <c r="ER1733" s="329"/>
      <c r="ES1733" s="329"/>
    </row>
    <row r="1734" spans="1:149" s="330" customFormat="1" x14ac:dyDescent="0.3">
      <c r="A1734" s="325">
        <v>903756</v>
      </c>
      <c r="B1734" s="326">
        <v>2.9333333333333336</v>
      </c>
      <c r="C1734" s="327"/>
      <c r="D1734" s="328">
        <v>8.6999999999999993</v>
      </c>
      <c r="E1734" s="1545">
        <v>0.188</v>
      </c>
      <c r="F1734" s="327">
        <v>34.4</v>
      </c>
      <c r="G1734" s="331"/>
      <c r="H1734" s="327">
        <v>26.05</v>
      </c>
      <c r="I1734" s="327">
        <v>210</v>
      </c>
      <c r="J1734" s="327">
        <v>3.2000000000000001E-2</v>
      </c>
      <c r="K1734" s="327">
        <v>6.3</v>
      </c>
      <c r="L1734" s="327">
        <v>380</v>
      </c>
      <c r="M1734" s="327">
        <v>0.33</v>
      </c>
      <c r="N1734" s="327">
        <v>0.81</v>
      </c>
      <c r="O1734" s="327">
        <v>1.73</v>
      </c>
      <c r="P1734" s="327">
        <v>1.55</v>
      </c>
      <c r="Q1734" s="328"/>
      <c r="R1734" s="328">
        <v>0.71994150099999998</v>
      </c>
      <c r="S1734" s="328">
        <v>4.6999999999999993</v>
      </c>
      <c r="T1734" s="328"/>
      <c r="X1734" s="67"/>
      <c r="Y1734" s="67">
        <v>18</v>
      </c>
      <c r="Z1734" s="327"/>
      <c r="AA1734" s="327"/>
      <c r="AB1734" s="327"/>
      <c r="AC1734" s="327"/>
      <c r="AD1734" s="327">
        <v>300</v>
      </c>
      <c r="AE1734" s="327">
        <v>180</v>
      </c>
      <c r="AF1734" s="316">
        <v>520</v>
      </c>
      <c r="AG1734" s="66">
        <f t="shared" si="71"/>
        <v>123.89999999999999</v>
      </c>
      <c r="AH1734" s="143">
        <f t="shared" si="72"/>
        <v>1000</v>
      </c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  <c r="AS1734" s="329"/>
      <c r="AT1734" s="329"/>
      <c r="AU1734" s="329"/>
      <c r="AV1734" s="329"/>
      <c r="AW1734" s="329"/>
      <c r="AX1734" s="329"/>
      <c r="AY1734" s="329"/>
      <c r="AZ1734" s="329"/>
      <c r="BA1734" s="329"/>
      <c r="BB1734" s="329"/>
      <c r="BC1734" s="329"/>
      <c r="BD1734" s="329"/>
      <c r="BE1734" s="329"/>
      <c r="BF1734" s="329"/>
      <c r="BG1734" s="329"/>
      <c r="BH1734" s="329"/>
      <c r="BI1734" s="329"/>
      <c r="BJ1734" s="329"/>
      <c r="BK1734" s="329"/>
      <c r="BL1734" s="329"/>
      <c r="BM1734" s="329"/>
      <c r="BN1734" s="329"/>
      <c r="BO1734" s="329"/>
      <c r="BP1734" s="329"/>
      <c r="BQ1734" s="329"/>
      <c r="BR1734" s="329"/>
      <c r="BS1734" s="329"/>
      <c r="BT1734" s="329"/>
      <c r="BU1734" s="329"/>
      <c r="BV1734" s="329"/>
      <c r="BW1734" s="329"/>
      <c r="BX1734" s="329"/>
      <c r="BY1734" s="329"/>
      <c r="BZ1734" s="329"/>
      <c r="CA1734" s="329"/>
      <c r="CB1734" s="329"/>
      <c r="CC1734" s="329"/>
      <c r="CD1734" s="329"/>
      <c r="CE1734" s="329"/>
      <c r="CF1734" s="329"/>
      <c r="CG1734" s="329"/>
      <c r="CH1734" s="329"/>
      <c r="CI1734" s="329"/>
      <c r="CJ1734" s="329"/>
      <c r="CK1734" s="329"/>
      <c r="CL1734" s="329"/>
      <c r="CM1734" s="329"/>
      <c r="CN1734" s="329"/>
      <c r="CO1734" s="329"/>
      <c r="CP1734" s="329"/>
      <c r="CQ1734" s="329"/>
      <c r="CR1734" s="329"/>
      <c r="CS1734" s="329"/>
      <c r="CT1734" s="329"/>
      <c r="CU1734" s="329"/>
      <c r="CV1734" s="329"/>
      <c r="CW1734" s="329"/>
      <c r="CX1734" s="329"/>
      <c r="CY1734" s="329"/>
      <c r="CZ1734" s="329"/>
      <c r="DA1734" s="329"/>
      <c r="DB1734" s="329"/>
      <c r="DC1734" s="329"/>
      <c r="DD1734" s="329"/>
      <c r="DE1734" s="329"/>
      <c r="DF1734" s="329"/>
      <c r="DG1734" s="329"/>
      <c r="DH1734" s="329"/>
      <c r="DI1734" s="329"/>
      <c r="DJ1734" s="329"/>
      <c r="DK1734" s="329"/>
      <c r="DL1734" s="329"/>
      <c r="DM1734" s="329"/>
      <c r="DN1734" s="329"/>
      <c r="DO1734" s="329"/>
      <c r="DP1734" s="329"/>
      <c r="DQ1734" s="329"/>
      <c r="DR1734" s="329"/>
      <c r="DS1734" s="329"/>
      <c r="DT1734" s="329"/>
      <c r="DU1734" s="329"/>
      <c r="DV1734" s="329"/>
      <c r="DW1734" s="329"/>
      <c r="DX1734" s="329"/>
      <c r="DY1734" s="329"/>
      <c r="DZ1734" s="329"/>
      <c r="EA1734" s="329"/>
      <c r="EB1734" s="329"/>
      <c r="EC1734" s="329"/>
      <c r="ED1734" s="329"/>
      <c r="EE1734" s="329"/>
      <c r="EF1734" s="329"/>
      <c r="EG1734" s="329"/>
      <c r="EH1734" s="329"/>
      <c r="EI1734" s="329"/>
      <c r="EJ1734" s="329"/>
      <c r="EK1734" s="329"/>
      <c r="EL1734" s="329"/>
      <c r="EM1734" s="329"/>
      <c r="EN1734" s="329"/>
      <c r="EO1734" s="329"/>
      <c r="EP1734" s="329"/>
      <c r="EQ1734" s="329"/>
      <c r="ER1734" s="329"/>
    </row>
    <row r="1735" spans="1:149" s="330" customFormat="1" x14ac:dyDescent="0.3">
      <c r="A1735" s="325">
        <v>903757</v>
      </c>
      <c r="B1735" s="326">
        <v>9.5833333333333321</v>
      </c>
      <c r="C1735" s="327"/>
      <c r="D1735" s="328">
        <v>8.93</v>
      </c>
      <c r="E1735" s="1545">
        <v>0.15</v>
      </c>
      <c r="F1735" s="327">
        <v>46.2</v>
      </c>
      <c r="G1735" s="331"/>
      <c r="H1735" s="327">
        <v>16.809999999999999</v>
      </c>
      <c r="I1735" s="327">
        <v>290</v>
      </c>
      <c r="J1735" s="327">
        <v>0.125</v>
      </c>
      <c r="K1735" s="327">
        <v>7.3</v>
      </c>
      <c r="L1735" s="327">
        <v>640</v>
      </c>
      <c r="M1735" s="327">
        <v>0.4</v>
      </c>
      <c r="N1735" s="327">
        <v>0.54</v>
      </c>
      <c r="O1735" s="327">
        <v>3.17</v>
      </c>
      <c r="P1735" s="327">
        <v>1.82</v>
      </c>
      <c r="Q1735" s="328"/>
      <c r="R1735" s="328">
        <v>0.92406312099999999</v>
      </c>
      <c r="S1735" s="328">
        <v>6.5</v>
      </c>
      <c r="T1735" s="328"/>
      <c r="X1735" s="67"/>
      <c r="Y1735" s="67">
        <v>28.8</v>
      </c>
      <c r="Z1735" s="327"/>
      <c r="AA1735" s="68">
        <v>4.07</v>
      </c>
      <c r="AB1735" s="68">
        <v>0.69499999999999995</v>
      </c>
      <c r="AC1735" s="69">
        <v>10</v>
      </c>
      <c r="AD1735" s="327">
        <v>480</v>
      </c>
      <c r="AE1735" s="327">
        <v>320</v>
      </c>
      <c r="AF1735" s="316">
        <v>200</v>
      </c>
      <c r="AG1735" s="66">
        <f t="shared" si="71"/>
        <v>89.729166666666657</v>
      </c>
      <c r="AH1735" s="143">
        <f t="shared" si="72"/>
        <v>1000</v>
      </c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  <c r="AS1735" s="329"/>
      <c r="AT1735" s="329"/>
      <c r="AU1735" s="329"/>
      <c r="AV1735" s="329"/>
      <c r="AW1735" s="329"/>
      <c r="AX1735" s="329"/>
      <c r="AY1735" s="329"/>
      <c r="AZ1735" s="329"/>
      <c r="BA1735" s="329"/>
      <c r="BB1735" s="329"/>
      <c r="BC1735" s="329"/>
      <c r="BD1735" s="329"/>
      <c r="BE1735" s="329"/>
      <c r="BF1735" s="329"/>
      <c r="BG1735" s="329"/>
      <c r="BH1735" s="329"/>
      <c r="BI1735" s="329"/>
      <c r="BJ1735" s="329"/>
      <c r="BK1735" s="329"/>
      <c r="BL1735" s="329"/>
      <c r="BM1735" s="329"/>
      <c r="BN1735" s="329"/>
      <c r="BO1735" s="329"/>
      <c r="BP1735" s="329"/>
      <c r="BQ1735" s="329"/>
      <c r="BR1735" s="329"/>
      <c r="BS1735" s="329"/>
      <c r="BT1735" s="329"/>
      <c r="BU1735" s="329"/>
      <c r="BV1735" s="329"/>
      <c r="BW1735" s="329"/>
      <c r="BX1735" s="329"/>
      <c r="BY1735" s="329"/>
      <c r="BZ1735" s="329"/>
      <c r="CA1735" s="329"/>
      <c r="CB1735" s="329"/>
      <c r="CC1735" s="329"/>
      <c r="CD1735" s="329"/>
      <c r="CE1735" s="329"/>
      <c r="CF1735" s="329"/>
      <c r="CG1735" s="329"/>
      <c r="CH1735" s="329"/>
      <c r="CI1735" s="329"/>
      <c r="CJ1735" s="329"/>
      <c r="CK1735" s="329"/>
      <c r="CL1735" s="329"/>
      <c r="CM1735" s="329"/>
      <c r="CN1735" s="329"/>
      <c r="CO1735" s="329"/>
      <c r="CP1735" s="329"/>
      <c r="CQ1735" s="329"/>
      <c r="CR1735" s="329"/>
      <c r="CS1735" s="329"/>
      <c r="CT1735" s="329"/>
      <c r="CU1735" s="329"/>
      <c r="CV1735" s="329"/>
      <c r="CW1735" s="329"/>
      <c r="CX1735" s="329"/>
      <c r="CY1735" s="329"/>
      <c r="CZ1735" s="329"/>
      <c r="DA1735" s="329"/>
      <c r="DB1735" s="329"/>
      <c r="DC1735" s="329"/>
      <c r="DD1735" s="329"/>
      <c r="DE1735" s="329"/>
      <c r="DF1735" s="329"/>
      <c r="DG1735" s="329"/>
      <c r="DH1735" s="329"/>
      <c r="DI1735" s="329"/>
      <c r="DJ1735" s="329"/>
      <c r="DK1735" s="329"/>
      <c r="DL1735" s="329"/>
      <c r="DM1735" s="329"/>
      <c r="DN1735" s="329"/>
      <c r="DO1735" s="329"/>
      <c r="DP1735" s="329"/>
      <c r="DQ1735" s="329"/>
      <c r="DR1735" s="329"/>
      <c r="DS1735" s="329"/>
      <c r="DT1735" s="329"/>
      <c r="DU1735" s="329"/>
      <c r="DV1735" s="329"/>
      <c r="DW1735" s="329"/>
      <c r="DX1735" s="329"/>
      <c r="DY1735" s="329"/>
      <c r="DZ1735" s="329"/>
      <c r="EA1735" s="329"/>
      <c r="EB1735" s="329"/>
      <c r="EC1735" s="329"/>
      <c r="ED1735" s="329"/>
      <c r="EE1735" s="329"/>
      <c r="EF1735" s="329"/>
      <c r="EG1735" s="329"/>
      <c r="EH1735" s="329"/>
      <c r="EI1735" s="329"/>
      <c r="EJ1735" s="329"/>
      <c r="EK1735" s="329"/>
      <c r="EL1735" s="329"/>
      <c r="EM1735" s="329"/>
      <c r="EN1735" s="329"/>
      <c r="EO1735" s="329"/>
      <c r="EP1735" s="329"/>
      <c r="EQ1735" s="329"/>
      <c r="ER1735" s="329"/>
    </row>
    <row r="1736" spans="1:149" s="330" customFormat="1" x14ac:dyDescent="0.3">
      <c r="A1736" s="325">
        <v>903758</v>
      </c>
      <c r="B1736" s="326">
        <v>5.3333333333333339</v>
      </c>
      <c r="C1736" s="327"/>
      <c r="D1736" s="328">
        <v>8.85</v>
      </c>
      <c r="E1736" s="1545">
        <v>0.14899999999999999</v>
      </c>
      <c r="F1736" s="327">
        <v>64.099999999999994</v>
      </c>
      <c r="G1736" s="331"/>
      <c r="H1736" s="327">
        <v>104.04</v>
      </c>
      <c r="I1736" s="327">
        <v>460</v>
      </c>
      <c r="J1736" s="327">
        <v>7.9000000000000001E-2</v>
      </c>
      <c r="K1736" s="327">
        <v>7.98</v>
      </c>
      <c r="L1736" s="327">
        <v>880</v>
      </c>
      <c r="M1736" s="327">
        <v>1.06</v>
      </c>
      <c r="N1736" s="327">
        <v>0.79</v>
      </c>
      <c r="O1736" s="327">
        <v>4.16</v>
      </c>
      <c r="P1736" s="327">
        <v>2.4300000000000002</v>
      </c>
      <c r="Q1736" s="328"/>
      <c r="R1736" s="328">
        <v>1.0233129400000001</v>
      </c>
      <c r="S1736" s="328">
        <v>7.6</v>
      </c>
      <c r="T1736" s="328"/>
      <c r="X1736" s="67"/>
      <c r="Y1736" s="67">
        <v>21</v>
      </c>
      <c r="Z1736" s="327"/>
      <c r="AA1736" s="68">
        <v>4.1399999999999997</v>
      </c>
      <c r="AB1736" s="68">
        <v>0.51500000000000001</v>
      </c>
      <c r="AC1736" s="69">
        <v>6.6</v>
      </c>
      <c r="AD1736" s="327">
        <v>420</v>
      </c>
      <c r="AE1736" s="327">
        <v>340</v>
      </c>
      <c r="AF1736" s="316">
        <v>240</v>
      </c>
      <c r="AG1736" s="66">
        <f t="shared" si="71"/>
        <v>134.52000000000001</v>
      </c>
      <c r="AH1736" s="143">
        <f t="shared" si="72"/>
        <v>1000</v>
      </c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  <c r="AS1736" s="329"/>
      <c r="AT1736" s="329"/>
      <c r="AU1736" s="329"/>
      <c r="AV1736" s="329"/>
      <c r="AW1736" s="329"/>
      <c r="AX1736" s="329"/>
      <c r="AY1736" s="329"/>
      <c r="AZ1736" s="329"/>
      <c r="BA1736" s="329"/>
      <c r="BB1736" s="329"/>
      <c r="BC1736" s="329"/>
      <c r="BD1736" s="329"/>
      <c r="BE1736" s="329"/>
      <c r="BF1736" s="329"/>
      <c r="BG1736" s="329"/>
      <c r="BH1736" s="329"/>
      <c r="BI1736" s="329"/>
      <c r="BJ1736" s="329"/>
      <c r="BK1736" s="329"/>
      <c r="BL1736" s="329"/>
      <c r="BM1736" s="329"/>
      <c r="BN1736" s="329"/>
      <c r="BO1736" s="329"/>
      <c r="BP1736" s="329"/>
      <c r="BQ1736" s="329"/>
      <c r="BR1736" s="329"/>
      <c r="BS1736" s="329"/>
      <c r="BT1736" s="329"/>
      <c r="BU1736" s="329"/>
      <c r="BV1736" s="329"/>
      <c r="BW1736" s="329"/>
      <c r="BX1736" s="329"/>
      <c r="BY1736" s="329"/>
      <c r="BZ1736" s="329"/>
      <c r="CA1736" s="329"/>
      <c r="CB1736" s="329"/>
      <c r="CC1736" s="329"/>
      <c r="CD1736" s="329"/>
      <c r="CE1736" s="329"/>
      <c r="CF1736" s="329"/>
      <c r="CG1736" s="329"/>
      <c r="CH1736" s="329"/>
      <c r="CI1736" s="329"/>
      <c r="CJ1736" s="329"/>
      <c r="CK1736" s="329"/>
      <c r="CL1736" s="329"/>
      <c r="CM1736" s="329"/>
      <c r="CN1736" s="329"/>
      <c r="CO1736" s="329"/>
      <c r="CP1736" s="329"/>
      <c r="CQ1736" s="329"/>
      <c r="CR1736" s="329"/>
      <c r="CS1736" s="329"/>
      <c r="CT1736" s="329"/>
      <c r="CU1736" s="329"/>
      <c r="CV1736" s="329"/>
      <c r="CW1736" s="329"/>
      <c r="CX1736" s="329"/>
      <c r="CY1736" s="329"/>
      <c r="CZ1736" s="329"/>
      <c r="DA1736" s="329"/>
      <c r="DB1736" s="329"/>
      <c r="DC1736" s="329"/>
      <c r="DD1736" s="329"/>
      <c r="DE1736" s="329"/>
      <c r="DF1736" s="329"/>
      <c r="DG1736" s="329"/>
      <c r="DH1736" s="329"/>
      <c r="DI1736" s="329"/>
      <c r="DJ1736" s="329"/>
      <c r="DK1736" s="329"/>
      <c r="DL1736" s="329"/>
      <c r="DM1736" s="329"/>
      <c r="DN1736" s="329"/>
      <c r="DO1736" s="329"/>
      <c r="DP1736" s="329"/>
      <c r="DQ1736" s="329"/>
      <c r="DR1736" s="329"/>
      <c r="DS1736" s="329"/>
      <c r="DT1736" s="329"/>
      <c r="DU1736" s="329"/>
      <c r="DV1736" s="329"/>
      <c r="DW1736" s="329"/>
      <c r="DX1736" s="329"/>
      <c r="DY1736" s="329"/>
      <c r="DZ1736" s="329"/>
      <c r="EA1736" s="329"/>
      <c r="EB1736" s="329"/>
      <c r="EC1736" s="329"/>
      <c r="ED1736" s="329"/>
      <c r="EE1736" s="329"/>
      <c r="EF1736" s="329"/>
      <c r="EG1736" s="329"/>
      <c r="EH1736" s="329"/>
      <c r="EI1736" s="329"/>
      <c r="EJ1736" s="329"/>
      <c r="EK1736" s="329"/>
      <c r="EL1736" s="329"/>
      <c r="EM1736" s="329"/>
      <c r="EN1736" s="329"/>
      <c r="EO1736" s="329"/>
      <c r="EP1736" s="329"/>
      <c r="EQ1736" s="329"/>
      <c r="ER1736" s="329"/>
    </row>
    <row r="1737" spans="1:149" s="330" customFormat="1" x14ac:dyDescent="0.3">
      <c r="A1737" s="325">
        <v>903759</v>
      </c>
      <c r="B1737" s="326">
        <v>5.458333333333333</v>
      </c>
      <c r="C1737" s="327"/>
      <c r="D1737" s="328">
        <v>8.7200000000000006</v>
      </c>
      <c r="E1737" s="1545">
        <v>0.187</v>
      </c>
      <c r="F1737" s="327">
        <v>92.300000000000011</v>
      </c>
      <c r="G1737" s="331"/>
      <c r="H1737" s="327">
        <v>101.73</v>
      </c>
      <c r="I1737" s="327">
        <v>330</v>
      </c>
      <c r="J1737" s="327">
        <v>0.111</v>
      </c>
      <c r="K1737" s="327">
        <v>7.99</v>
      </c>
      <c r="L1737" s="327">
        <v>950</v>
      </c>
      <c r="M1737" s="327">
        <v>0.91</v>
      </c>
      <c r="N1737" s="327">
        <v>0.8</v>
      </c>
      <c r="O1737" s="327">
        <v>2.59</v>
      </c>
      <c r="P1737" s="327">
        <v>2.68</v>
      </c>
      <c r="Q1737" s="328"/>
      <c r="R1737" s="328">
        <v>1.40294143</v>
      </c>
      <c r="S1737" s="328">
        <v>9.8000000000000007</v>
      </c>
      <c r="T1737" s="328"/>
      <c r="X1737" s="67"/>
      <c r="Y1737" s="67">
        <v>23</v>
      </c>
      <c r="Z1737" s="327"/>
      <c r="AA1737" s="68">
        <v>4.92</v>
      </c>
      <c r="AB1737" s="68">
        <v>0.71499999999999997</v>
      </c>
      <c r="AC1737" s="69">
        <v>10.1</v>
      </c>
      <c r="AD1737" s="327">
        <v>460</v>
      </c>
      <c r="AE1737" s="327">
        <v>320</v>
      </c>
      <c r="AF1737" s="316">
        <v>220</v>
      </c>
      <c r="AG1737" s="66">
        <f t="shared" si="71"/>
        <v>122.97652173913043</v>
      </c>
      <c r="AH1737" s="143">
        <f t="shared" si="72"/>
        <v>1000</v>
      </c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  <c r="AS1737" s="329"/>
      <c r="AT1737" s="329"/>
      <c r="AU1737" s="329"/>
      <c r="AV1737" s="329"/>
      <c r="AW1737" s="329"/>
      <c r="AX1737" s="329"/>
      <c r="AY1737" s="329"/>
      <c r="AZ1737" s="329"/>
      <c r="BA1737" s="329"/>
      <c r="BB1737" s="329"/>
      <c r="BC1737" s="329"/>
      <c r="BD1737" s="329"/>
      <c r="BE1737" s="329"/>
      <c r="BF1737" s="329"/>
      <c r="BG1737" s="329"/>
      <c r="BH1737" s="329"/>
      <c r="BI1737" s="329"/>
      <c r="BJ1737" s="329"/>
      <c r="BK1737" s="329"/>
      <c r="BL1737" s="329"/>
      <c r="BM1737" s="329"/>
      <c r="BN1737" s="329"/>
      <c r="BO1737" s="329"/>
      <c r="BP1737" s="329"/>
      <c r="BQ1737" s="329"/>
      <c r="BR1737" s="329"/>
      <c r="BS1737" s="329"/>
      <c r="BT1737" s="329"/>
      <c r="BU1737" s="329"/>
      <c r="BV1737" s="329"/>
      <c r="BW1737" s="329"/>
      <c r="BX1737" s="329"/>
      <c r="BY1737" s="329"/>
      <c r="BZ1737" s="329"/>
      <c r="CA1737" s="329"/>
      <c r="CB1737" s="329"/>
      <c r="CC1737" s="329"/>
      <c r="CD1737" s="329"/>
      <c r="CE1737" s="329"/>
      <c r="CF1737" s="329"/>
      <c r="CG1737" s="329"/>
      <c r="CH1737" s="329"/>
      <c r="CI1737" s="329"/>
      <c r="CJ1737" s="329"/>
      <c r="CK1737" s="329"/>
      <c r="CL1737" s="329"/>
      <c r="CM1737" s="329"/>
      <c r="CN1737" s="329"/>
      <c r="CO1737" s="329"/>
      <c r="CP1737" s="329"/>
      <c r="CQ1737" s="329"/>
      <c r="CR1737" s="329"/>
      <c r="CS1737" s="329"/>
      <c r="CT1737" s="329"/>
      <c r="CU1737" s="329"/>
      <c r="CV1737" s="329"/>
      <c r="CW1737" s="329"/>
      <c r="CX1737" s="329"/>
      <c r="CY1737" s="329"/>
      <c r="CZ1737" s="329"/>
      <c r="DA1737" s="329"/>
      <c r="DB1737" s="329"/>
      <c r="DC1737" s="329"/>
      <c r="DD1737" s="329"/>
      <c r="DE1737" s="329"/>
      <c r="DF1737" s="329"/>
      <c r="DG1737" s="329"/>
      <c r="DH1737" s="329"/>
      <c r="DI1737" s="329"/>
      <c r="DJ1737" s="329"/>
      <c r="DK1737" s="329"/>
      <c r="DL1737" s="329"/>
      <c r="DM1737" s="329"/>
      <c r="DN1737" s="329"/>
      <c r="DO1737" s="329"/>
      <c r="DP1737" s="329"/>
      <c r="DQ1737" s="329"/>
      <c r="DR1737" s="329"/>
      <c r="DS1737" s="329"/>
      <c r="DT1737" s="329"/>
      <c r="DU1737" s="329"/>
      <c r="DV1737" s="329"/>
      <c r="DW1737" s="329"/>
      <c r="DX1737" s="329"/>
      <c r="DY1737" s="329"/>
      <c r="DZ1737" s="329"/>
      <c r="EA1737" s="329"/>
      <c r="EB1737" s="329"/>
      <c r="EC1737" s="329"/>
      <c r="ED1737" s="329"/>
      <c r="EE1737" s="329"/>
      <c r="EF1737" s="329"/>
      <c r="EG1737" s="329"/>
      <c r="EH1737" s="329"/>
      <c r="EI1737" s="329"/>
      <c r="EJ1737" s="329"/>
      <c r="EK1737" s="329"/>
      <c r="EL1737" s="329"/>
      <c r="EM1737" s="329"/>
      <c r="EN1737" s="329"/>
      <c r="EO1737" s="329"/>
      <c r="EP1737" s="329"/>
      <c r="EQ1737" s="329"/>
      <c r="ER1737" s="329"/>
    </row>
    <row r="1738" spans="1:149" s="330" customFormat="1" x14ac:dyDescent="0.3">
      <c r="A1738" s="325">
        <v>903760</v>
      </c>
      <c r="B1738" s="326">
        <v>9.6666666666666643</v>
      </c>
      <c r="C1738" s="327"/>
      <c r="D1738" s="328">
        <v>8.6999999999999993</v>
      </c>
      <c r="E1738" s="1545">
        <v>0.95299999999999996</v>
      </c>
      <c r="F1738" s="327">
        <v>1170.1000000000001</v>
      </c>
      <c r="G1738" s="331"/>
      <c r="H1738" s="327">
        <v>21.77</v>
      </c>
      <c r="I1738" s="327">
        <v>510</v>
      </c>
      <c r="J1738" s="327">
        <v>1.288</v>
      </c>
      <c r="K1738" s="327">
        <v>8.0500000000000007</v>
      </c>
      <c r="L1738" s="327">
        <v>920</v>
      </c>
      <c r="M1738" s="327">
        <v>0.4</v>
      </c>
      <c r="N1738" s="327">
        <v>0.96</v>
      </c>
      <c r="O1738" s="327">
        <v>2.08</v>
      </c>
      <c r="P1738" s="327">
        <v>1.66</v>
      </c>
      <c r="Q1738" s="328"/>
      <c r="R1738" s="328">
        <v>0.93307194599999999</v>
      </c>
      <c r="S1738" s="328">
        <v>6.2</v>
      </c>
      <c r="T1738" s="328"/>
      <c r="X1738" s="67"/>
      <c r="Y1738" s="67">
        <v>32</v>
      </c>
      <c r="Z1738" s="327"/>
      <c r="AA1738" s="68">
        <v>4.8</v>
      </c>
      <c r="AB1738" s="68">
        <v>0.46300000000000002</v>
      </c>
      <c r="AC1738" s="69">
        <v>6.3</v>
      </c>
      <c r="AD1738" s="327">
        <v>540</v>
      </c>
      <c r="AE1738" s="327">
        <v>300</v>
      </c>
      <c r="AF1738" s="316">
        <v>160</v>
      </c>
      <c r="AG1738" s="66">
        <f t="shared" si="71"/>
        <v>89.053125000000009</v>
      </c>
      <c r="AH1738" s="143">
        <f t="shared" si="72"/>
        <v>1000</v>
      </c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  <c r="AS1738" s="329"/>
      <c r="AT1738" s="329"/>
      <c r="AU1738" s="329"/>
      <c r="AV1738" s="329"/>
      <c r="AW1738" s="329"/>
      <c r="AX1738" s="329"/>
      <c r="AY1738" s="329"/>
      <c r="AZ1738" s="329"/>
      <c r="BA1738" s="329"/>
      <c r="BB1738" s="329"/>
      <c r="BC1738" s="329"/>
      <c r="BD1738" s="329"/>
      <c r="BE1738" s="329"/>
      <c r="BF1738" s="329"/>
      <c r="BG1738" s="329"/>
      <c r="BH1738" s="329"/>
      <c r="BI1738" s="329"/>
      <c r="BJ1738" s="329"/>
      <c r="BK1738" s="329"/>
      <c r="BL1738" s="329"/>
      <c r="BM1738" s="329"/>
      <c r="BN1738" s="329"/>
      <c r="BO1738" s="329"/>
      <c r="BP1738" s="329"/>
      <c r="BQ1738" s="329"/>
      <c r="BR1738" s="329"/>
      <c r="BS1738" s="329"/>
      <c r="BT1738" s="329"/>
      <c r="BU1738" s="329"/>
      <c r="BV1738" s="329"/>
      <c r="BW1738" s="329"/>
      <c r="BX1738" s="329"/>
      <c r="BY1738" s="329"/>
      <c r="BZ1738" s="329"/>
      <c r="CA1738" s="329"/>
      <c r="CB1738" s="329"/>
      <c r="CC1738" s="329"/>
      <c r="CD1738" s="329"/>
      <c r="CE1738" s="329"/>
      <c r="CF1738" s="329"/>
      <c r="CG1738" s="329"/>
      <c r="CH1738" s="329"/>
      <c r="CI1738" s="329"/>
      <c r="CJ1738" s="329"/>
      <c r="CK1738" s="329"/>
      <c r="CL1738" s="329"/>
      <c r="CM1738" s="329"/>
      <c r="CN1738" s="329"/>
      <c r="CO1738" s="329"/>
      <c r="CP1738" s="329"/>
      <c r="CQ1738" s="329"/>
      <c r="CR1738" s="329"/>
      <c r="CS1738" s="329"/>
      <c r="CT1738" s="329"/>
      <c r="CU1738" s="329"/>
      <c r="CV1738" s="329"/>
      <c r="CW1738" s="329"/>
      <c r="CX1738" s="329"/>
      <c r="CY1738" s="329"/>
      <c r="CZ1738" s="329"/>
      <c r="DA1738" s="329"/>
      <c r="DB1738" s="329"/>
      <c r="DC1738" s="329"/>
      <c r="DD1738" s="329"/>
      <c r="DE1738" s="329"/>
      <c r="DF1738" s="329"/>
      <c r="DG1738" s="329"/>
      <c r="DH1738" s="329"/>
      <c r="DI1738" s="329"/>
      <c r="DJ1738" s="329"/>
      <c r="DK1738" s="329"/>
      <c r="DL1738" s="329"/>
      <c r="DM1738" s="329"/>
      <c r="DN1738" s="329"/>
      <c r="DO1738" s="329"/>
      <c r="DP1738" s="329"/>
      <c r="DQ1738" s="329"/>
      <c r="DR1738" s="329"/>
      <c r="DS1738" s="329"/>
      <c r="DT1738" s="329"/>
      <c r="DU1738" s="329"/>
      <c r="DV1738" s="329"/>
      <c r="DW1738" s="329"/>
      <c r="DX1738" s="329"/>
      <c r="DY1738" s="329"/>
      <c r="DZ1738" s="329"/>
      <c r="EA1738" s="329"/>
      <c r="EB1738" s="329"/>
      <c r="EC1738" s="329"/>
      <c r="ED1738" s="329"/>
      <c r="EE1738" s="329"/>
      <c r="EF1738" s="329"/>
      <c r="EG1738" s="329"/>
      <c r="EH1738" s="329"/>
      <c r="EI1738" s="329"/>
      <c r="EJ1738" s="329"/>
      <c r="EK1738" s="329"/>
      <c r="EL1738" s="329"/>
      <c r="EM1738" s="329"/>
      <c r="EN1738" s="329"/>
      <c r="EO1738" s="329"/>
      <c r="EP1738" s="329"/>
      <c r="EQ1738" s="329"/>
      <c r="ER1738" s="329"/>
    </row>
    <row r="1739" spans="1:149" s="330" customFormat="1" x14ac:dyDescent="0.3">
      <c r="A1739" s="325">
        <v>903761</v>
      </c>
      <c r="B1739" s="326">
        <v>6.9999999999999991</v>
      </c>
      <c r="C1739" s="327"/>
      <c r="D1739" s="328">
        <v>8.5</v>
      </c>
      <c r="E1739" s="1545">
        <v>1.2</v>
      </c>
      <c r="F1739" s="327">
        <v>1440.5</v>
      </c>
      <c r="G1739" s="331"/>
      <c r="H1739" s="327">
        <v>36.07</v>
      </c>
      <c r="I1739" s="327">
        <v>660</v>
      </c>
      <c r="J1739" s="327">
        <v>1.2589999999999999</v>
      </c>
      <c r="K1739" s="327">
        <v>8.6999999999999993</v>
      </c>
      <c r="L1739" s="327">
        <v>880</v>
      </c>
      <c r="M1739" s="327">
        <v>0.46</v>
      </c>
      <c r="N1739" s="327">
        <v>0.91</v>
      </c>
      <c r="O1739" s="327">
        <v>2.52</v>
      </c>
      <c r="P1739" s="327">
        <v>1.3</v>
      </c>
      <c r="Q1739" s="328"/>
      <c r="R1739" s="328">
        <v>0.77395009699999995</v>
      </c>
      <c r="S1739" s="328">
        <v>5.0999999999999996</v>
      </c>
      <c r="T1739" s="328"/>
      <c r="X1739" s="67"/>
      <c r="Y1739" s="67">
        <v>28.2</v>
      </c>
      <c r="Z1739" s="327"/>
      <c r="AA1739" s="68">
        <v>3.97</v>
      </c>
      <c r="AB1739" s="68">
        <v>0.78200000000000003</v>
      </c>
      <c r="AC1739" s="69">
        <v>7.6</v>
      </c>
      <c r="AD1739" s="327">
        <v>470</v>
      </c>
      <c r="AE1739" s="327">
        <v>360</v>
      </c>
      <c r="AF1739" s="316">
        <v>170</v>
      </c>
      <c r="AG1739" s="66">
        <f t="shared" si="71"/>
        <v>109.21276595744681</v>
      </c>
      <c r="AH1739" s="143">
        <f t="shared" si="72"/>
        <v>1000</v>
      </c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  <c r="AS1739" s="329"/>
      <c r="AT1739" s="329"/>
      <c r="AU1739" s="329"/>
      <c r="AV1739" s="329"/>
      <c r="AW1739" s="329"/>
      <c r="AX1739" s="329"/>
      <c r="AY1739" s="329"/>
      <c r="AZ1739" s="329"/>
      <c r="BA1739" s="329"/>
      <c r="BB1739" s="329"/>
      <c r="BC1739" s="329"/>
      <c r="BD1739" s="329"/>
      <c r="BE1739" s="329"/>
      <c r="BF1739" s="329"/>
      <c r="BG1739" s="329"/>
      <c r="BH1739" s="329"/>
      <c r="BI1739" s="329"/>
      <c r="BJ1739" s="329"/>
      <c r="BK1739" s="329"/>
      <c r="BL1739" s="329"/>
      <c r="BM1739" s="329"/>
      <c r="BN1739" s="329"/>
      <c r="BO1739" s="329"/>
      <c r="BP1739" s="329"/>
      <c r="BQ1739" s="329"/>
      <c r="BR1739" s="329"/>
      <c r="BS1739" s="329"/>
      <c r="BT1739" s="329"/>
      <c r="BU1739" s="329"/>
      <c r="BV1739" s="329"/>
      <c r="BW1739" s="329"/>
      <c r="BX1739" s="329"/>
      <c r="BY1739" s="329"/>
      <c r="BZ1739" s="329"/>
      <c r="CA1739" s="329"/>
      <c r="CB1739" s="329"/>
      <c r="CC1739" s="329"/>
      <c r="CD1739" s="329"/>
      <c r="CE1739" s="329"/>
      <c r="CF1739" s="329"/>
      <c r="CG1739" s="329"/>
      <c r="CH1739" s="329"/>
      <c r="CI1739" s="329"/>
      <c r="CJ1739" s="329"/>
      <c r="CK1739" s="329"/>
      <c r="CL1739" s="329"/>
      <c r="CM1739" s="329"/>
      <c r="CN1739" s="329"/>
      <c r="CO1739" s="329"/>
      <c r="CP1739" s="329"/>
      <c r="CQ1739" s="329"/>
      <c r="CR1739" s="329"/>
      <c r="CS1739" s="329"/>
      <c r="CT1739" s="329"/>
      <c r="CU1739" s="329"/>
      <c r="CV1739" s="329"/>
      <c r="CW1739" s="329"/>
      <c r="CX1739" s="329"/>
      <c r="CY1739" s="329"/>
      <c r="CZ1739" s="329"/>
      <c r="DA1739" s="329"/>
      <c r="DB1739" s="329"/>
      <c r="DC1739" s="329"/>
      <c r="DD1739" s="329"/>
      <c r="DE1739" s="329"/>
      <c r="DF1739" s="329"/>
      <c r="DG1739" s="329"/>
      <c r="DH1739" s="329"/>
      <c r="DI1739" s="329"/>
      <c r="DJ1739" s="329"/>
      <c r="DK1739" s="329"/>
      <c r="DL1739" s="329"/>
      <c r="DM1739" s="329"/>
      <c r="DN1739" s="329"/>
      <c r="DO1739" s="329"/>
      <c r="DP1739" s="329"/>
      <c r="DQ1739" s="329"/>
      <c r="DR1739" s="329"/>
      <c r="DS1739" s="329"/>
      <c r="DT1739" s="329"/>
      <c r="DU1739" s="329"/>
      <c r="DV1739" s="329"/>
      <c r="DW1739" s="329"/>
      <c r="DX1739" s="329"/>
      <c r="DY1739" s="329"/>
      <c r="DZ1739" s="329"/>
      <c r="EA1739" s="329"/>
      <c r="EB1739" s="329"/>
      <c r="EC1739" s="329"/>
      <c r="ED1739" s="329"/>
      <c r="EE1739" s="329"/>
      <c r="EF1739" s="329"/>
      <c r="EG1739" s="329"/>
      <c r="EH1739" s="329"/>
      <c r="EI1739" s="329"/>
      <c r="EJ1739" s="329"/>
      <c r="EK1739" s="329"/>
      <c r="EL1739" s="329"/>
      <c r="EM1739" s="329"/>
      <c r="EN1739" s="329"/>
      <c r="EO1739" s="329"/>
      <c r="EP1739" s="329"/>
      <c r="EQ1739" s="329"/>
      <c r="ER1739" s="329"/>
    </row>
    <row r="1740" spans="1:149" s="330" customFormat="1" x14ac:dyDescent="0.3">
      <c r="A1740" s="325">
        <v>903762</v>
      </c>
      <c r="B1740" s="326">
        <v>7.7499999999999982</v>
      </c>
      <c r="C1740" s="327"/>
      <c r="D1740" s="328">
        <v>8.879999999999999</v>
      </c>
      <c r="E1740" s="1545">
        <v>0.29499999999999998</v>
      </c>
      <c r="F1740" s="327">
        <v>147.25</v>
      </c>
      <c r="G1740" s="331"/>
      <c r="H1740" s="327">
        <v>7.93</v>
      </c>
      <c r="I1740" s="327">
        <v>140</v>
      </c>
      <c r="J1740" s="327">
        <v>0.30499999999999999</v>
      </c>
      <c r="K1740" s="327">
        <v>6.84</v>
      </c>
      <c r="L1740" s="327">
        <v>560</v>
      </c>
      <c r="M1740" s="327">
        <v>0.11</v>
      </c>
      <c r="N1740" s="327">
        <v>0.38</v>
      </c>
      <c r="O1740" s="327">
        <v>0.72</v>
      </c>
      <c r="P1740" s="327">
        <v>1.53</v>
      </c>
      <c r="Q1740" s="328"/>
      <c r="R1740" s="328">
        <v>0.447352166</v>
      </c>
      <c r="S1740" s="328">
        <v>3.1</v>
      </c>
      <c r="T1740" s="328"/>
      <c r="X1740" s="67"/>
      <c r="Y1740" s="67">
        <v>3.2</v>
      </c>
      <c r="Z1740" s="327"/>
      <c r="AA1740" s="68">
        <v>4.6500000000000004</v>
      </c>
      <c r="AB1740" s="68">
        <v>0.61299999999999999</v>
      </c>
      <c r="AC1740" s="69">
        <v>10.6</v>
      </c>
      <c r="AD1740" s="327">
        <v>140</v>
      </c>
      <c r="AE1740" s="327">
        <v>60</v>
      </c>
      <c r="AF1740" s="316">
        <v>800</v>
      </c>
      <c r="AG1740" s="66">
        <f t="shared" si="71"/>
        <v>756.67499999999995</v>
      </c>
      <c r="AH1740" s="143">
        <f t="shared" si="72"/>
        <v>1000</v>
      </c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  <c r="AS1740" s="329"/>
      <c r="AT1740" s="329"/>
      <c r="AU1740" s="329"/>
      <c r="AV1740" s="329"/>
      <c r="AW1740" s="329"/>
      <c r="AX1740" s="329"/>
      <c r="AY1740" s="329"/>
      <c r="AZ1740" s="329"/>
      <c r="BA1740" s="329"/>
      <c r="BB1740" s="329"/>
      <c r="BC1740" s="329"/>
      <c r="BD1740" s="329"/>
      <c r="BE1740" s="329"/>
      <c r="BF1740" s="329"/>
      <c r="BG1740" s="329"/>
      <c r="BH1740" s="329"/>
      <c r="BI1740" s="329"/>
      <c r="BJ1740" s="329"/>
      <c r="BK1740" s="329"/>
      <c r="BL1740" s="329"/>
      <c r="BM1740" s="329"/>
      <c r="BN1740" s="329"/>
      <c r="BO1740" s="329"/>
      <c r="BP1740" s="329"/>
      <c r="BQ1740" s="329"/>
      <c r="BR1740" s="329"/>
      <c r="BS1740" s="329"/>
      <c r="BT1740" s="329"/>
      <c r="BU1740" s="329"/>
      <c r="BV1740" s="329"/>
      <c r="BW1740" s="329"/>
      <c r="BX1740" s="329"/>
      <c r="BY1740" s="329"/>
      <c r="BZ1740" s="329"/>
      <c r="CA1740" s="329"/>
      <c r="CB1740" s="329"/>
      <c r="CC1740" s="329"/>
      <c r="CD1740" s="329"/>
      <c r="CE1740" s="329"/>
      <c r="CF1740" s="329"/>
      <c r="CG1740" s="329"/>
      <c r="CH1740" s="329"/>
      <c r="CI1740" s="329"/>
      <c r="CJ1740" s="329"/>
      <c r="CK1740" s="329"/>
      <c r="CL1740" s="329"/>
      <c r="CM1740" s="329"/>
      <c r="CN1740" s="329"/>
      <c r="CO1740" s="329"/>
      <c r="CP1740" s="329"/>
      <c r="CQ1740" s="329"/>
      <c r="CR1740" s="329"/>
      <c r="CS1740" s="329"/>
      <c r="CT1740" s="329"/>
      <c r="CU1740" s="329"/>
      <c r="CV1740" s="329"/>
      <c r="CW1740" s="329"/>
      <c r="CX1740" s="329"/>
      <c r="CY1740" s="329"/>
      <c r="CZ1740" s="329"/>
      <c r="DA1740" s="329"/>
      <c r="DB1740" s="329"/>
      <c r="DC1740" s="329"/>
      <c r="DD1740" s="329"/>
      <c r="DE1740" s="329"/>
      <c r="DF1740" s="329"/>
      <c r="DG1740" s="329"/>
      <c r="DH1740" s="329"/>
      <c r="DI1740" s="329"/>
      <c r="DJ1740" s="329"/>
      <c r="DK1740" s="329"/>
      <c r="DL1740" s="329"/>
      <c r="DM1740" s="329"/>
      <c r="DN1740" s="329"/>
      <c r="DO1740" s="329"/>
      <c r="DP1740" s="329"/>
      <c r="DQ1740" s="329"/>
      <c r="DR1740" s="329"/>
      <c r="DS1740" s="329"/>
      <c r="DT1740" s="329"/>
      <c r="DU1740" s="329"/>
      <c r="DV1740" s="329"/>
      <c r="DW1740" s="329"/>
      <c r="DX1740" s="329"/>
      <c r="DY1740" s="329"/>
      <c r="DZ1740" s="329"/>
      <c r="EA1740" s="329"/>
      <c r="EB1740" s="329"/>
      <c r="EC1740" s="329"/>
      <c r="ED1740" s="329"/>
      <c r="EE1740" s="329"/>
      <c r="EF1740" s="329"/>
      <c r="EG1740" s="329"/>
      <c r="EH1740" s="329"/>
      <c r="EI1740" s="329"/>
      <c r="EJ1740" s="329"/>
      <c r="EK1740" s="329"/>
      <c r="EL1740" s="329"/>
      <c r="EM1740" s="329"/>
      <c r="EN1740" s="329"/>
      <c r="EO1740" s="329"/>
      <c r="EP1740" s="329"/>
      <c r="EQ1740" s="329"/>
      <c r="ER1740" s="329"/>
    </row>
    <row r="1741" spans="1:149" s="330" customFormat="1" x14ac:dyDescent="0.3">
      <c r="A1741" s="325">
        <v>903763</v>
      </c>
      <c r="B1741" s="326">
        <v>9.5833333333333321</v>
      </c>
      <c r="C1741" s="327"/>
      <c r="D1741" s="328">
        <v>8.67</v>
      </c>
      <c r="E1741" s="1545">
        <v>0.66300000000000003</v>
      </c>
      <c r="F1741" s="327">
        <v>255.55</v>
      </c>
      <c r="G1741" s="331"/>
      <c r="H1741" s="327">
        <v>13.32</v>
      </c>
      <c r="I1741" s="327">
        <v>250</v>
      </c>
      <c r="J1741" s="327">
        <v>0.45600000000000002</v>
      </c>
      <c r="K1741" s="327">
        <v>8.7100000000000009</v>
      </c>
      <c r="L1741" s="327">
        <v>910</v>
      </c>
      <c r="M1741" s="327">
        <v>0.12</v>
      </c>
      <c r="N1741" s="327">
        <v>0.68</v>
      </c>
      <c r="O1741" s="327">
        <v>0.77</v>
      </c>
      <c r="P1741" s="327">
        <v>2.2400000000000002</v>
      </c>
      <c r="Q1741" s="328"/>
      <c r="R1741" s="328">
        <v>0.67444676100000001</v>
      </c>
      <c r="S1741" s="328">
        <v>4.6000000000000005</v>
      </c>
      <c r="T1741" s="328"/>
      <c r="X1741" s="67"/>
      <c r="Y1741" s="67">
        <v>24</v>
      </c>
      <c r="Z1741" s="327"/>
      <c r="AA1741" s="68">
        <v>4.8600000000000003</v>
      </c>
      <c r="AB1741" s="68">
        <v>0.26600000000000001</v>
      </c>
      <c r="AC1741" s="69">
        <v>7.1</v>
      </c>
      <c r="AD1741" s="327">
        <v>480</v>
      </c>
      <c r="AE1741" s="327">
        <v>400</v>
      </c>
      <c r="AF1741" s="316">
        <v>120</v>
      </c>
      <c r="AG1741" s="66">
        <f t="shared" si="71"/>
        <v>128.47250000000003</v>
      </c>
      <c r="AH1741" s="143">
        <f t="shared" si="72"/>
        <v>1000</v>
      </c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  <c r="AS1741" s="329"/>
      <c r="AT1741" s="329"/>
      <c r="AU1741" s="329"/>
      <c r="AV1741" s="329"/>
      <c r="AW1741" s="329"/>
      <c r="AX1741" s="329"/>
      <c r="AY1741" s="329"/>
      <c r="AZ1741" s="329"/>
      <c r="BA1741" s="329"/>
      <c r="BB1741" s="329"/>
      <c r="BC1741" s="329"/>
      <c r="BD1741" s="329"/>
      <c r="BE1741" s="329"/>
      <c r="BF1741" s="329"/>
      <c r="BG1741" s="329"/>
      <c r="BH1741" s="329"/>
      <c r="BI1741" s="329"/>
      <c r="BJ1741" s="329"/>
      <c r="BK1741" s="329"/>
      <c r="BL1741" s="329"/>
      <c r="BM1741" s="329"/>
      <c r="BN1741" s="329"/>
      <c r="BO1741" s="329"/>
      <c r="BP1741" s="329"/>
      <c r="BQ1741" s="329"/>
      <c r="BR1741" s="329"/>
      <c r="BS1741" s="329"/>
      <c r="BT1741" s="329"/>
      <c r="BU1741" s="329"/>
      <c r="BV1741" s="329"/>
      <c r="BW1741" s="329"/>
      <c r="BX1741" s="329"/>
      <c r="BY1741" s="329"/>
      <c r="BZ1741" s="329"/>
      <c r="CA1741" s="329"/>
      <c r="CB1741" s="329"/>
      <c r="CC1741" s="329"/>
      <c r="CD1741" s="329"/>
      <c r="CE1741" s="329"/>
      <c r="CF1741" s="329"/>
      <c r="CG1741" s="329"/>
      <c r="CH1741" s="329"/>
      <c r="CI1741" s="329"/>
      <c r="CJ1741" s="329"/>
      <c r="CK1741" s="329"/>
      <c r="CL1741" s="329"/>
      <c r="CM1741" s="329"/>
      <c r="CN1741" s="329"/>
      <c r="CO1741" s="329"/>
      <c r="CP1741" s="329"/>
      <c r="CQ1741" s="329"/>
      <c r="CR1741" s="329"/>
      <c r="CS1741" s="329"/>
      <c r="CT1741" s="329"/>
      <c r="CU1741" s="329"/>
      <c r="CV1741" s="329"/>
      <c r="CW1741" s="329"/>
      <c r="CX1741" s="329"/>
      <c r="CY1741" s="329"/>
      <c r="CZ1741" s="329"/>
      <c r="DA1741" s="329"/>
      <c r="DB1741" s="329"/>
      <c r="DC1741" s="329"/>
      <c r="DD1741" s="329"/>
      <c r="DE1741" s="329"/>
      <c r="DF1741" s="329"/>
      <c r="DG1741" s="329"/>
      <c r="DH1741" s="329"/>
      <c r="DI1741" s="329"/>
      <c r="DJ1741" s="329"/>
      <c r="DK1741" s="329"/>
      <c r="DL1741" s="329"/>
      <c r="DM1741" s="329"/>
      <c r="DN1741" s="329"/>
      <c r="DO1741" s="329"/>
      <c r="DP1741" s="329"/>
      <c r="DQ1741" s="329"/>
      <c r="DR1741" s="329"/>
      <c r="DS1741" s="329"/>
      <c r="DT1741" s="329"/>
      <c r="DU1741" s="329"/>
      <c r="DV1741" s="329"/>
      <c r="DW1741" s="329"/>
      <c r="DX1741" s="329"/>
      <c r="DY1741" s="329"/>
      <c r="DZ1741" s="329"/>
      <c r="EA1741" s="329"/>
      <c r="EB1741" s="329"/>
      <c r="EC1741" s="329"/>
      <c r="ED1741" s="329"/>
      <c r="EE1741" s="329"/>
      <c r="EF1741" s="329"/>
      <c r="EG1741" s="329"/>
      <c r="EH1741" s="329"/>
      <c r="EI1741" s="329"/>
      <c r="EJ1741" s="329"/>
      <c r="EK1741" s="329"/>
      <c r="EL1741" s="329"/>
      <c r="EM1741" s="329"/>
      <c r="EN1741" s="329"/>
      <c r="EO1741" s="329"/>
      <c r="EP1741" s="329"/>
      <c r="EQ1741" s="329"/>
      <c r="ER1741" s="329"/>
    </row>
    <row r="1742" spans="1:149" s="330" customFormat="1" x14ac:dyDescent="0.3">
      <c r="A1742" s="325">
        <v>903764</v>
      </c>
      <c r="B1742" s="326">
        <v>10.875000000000002</v>
      </c>
      <c r="C1742" s="327">
        <v>4.3</v>
      </c>
      <c r="D1742" s="328">
        <v>8.73</v>
      </c>
      <c r="E1742" s="1545">
        <v>1.45</v>
      </c>
      <c r="F1742" s="327">
        <v>631.79999999999995</v>
      </c>
      <c r="G1742" s="331"/>
      <c r="H1742" s="327">
        <v>2.7</v>
      </c>
      <c r="I1742" s="327">
        <v>180</v>
      </c>
      <c r="J1742" s="327">
        <v>1.5289999999999999</v>
      </c>
      <c r="K1742" s="327">
        <v>8.64</v>
      </c>
      <c r="L1742" s="327">
        <v>840</v>
      </c>
      <c r="M1742" s="327">
        <v>7.0000000000000007E-2</v>
      </c>
      <c r="N1742" s="327">
        <v>0.6</v>
      </c>
      <c r="O1742" s="327">
        <v>0.66</v>
      </c>
      <c r="P1742" s="327">
        <v>2.97</v>
      </c>
      <c r="Q1742" s="328"/>
      <c r="R1742" s="328">
        <v>0.94838908700000002</v>
      </c>
      <c r="S1742" s="328">
        <v>6.2</v>
      </c>
      <c r="T1742" s="328"/>
      <c r="X1742" s="67"/>
      <c r="Y1742" s="67">
        <v>27.6</v>
      </c>
      <c r="Z1742" s="327"/>
      <c r="AA1742" s="68">
        <v>3.46</v>
      </c>
      <c r="AB1742" s="68">
        <v>0.60099999999999998</v>
      </c>
      <c r="AC1742" s="69">
        <v>12</v>
      </c>
      <c r="AD1742" s="327">
        <v>460</v>
      </c>
      <c r="AE1742" s="327">
        <v>430</v>
      </c>
      <c r="AF1742" s="316">
        <v>110</v>
      </c>
      <c r="AG1742" s="66">
        <f t="shared" si="71"/>
        <v>110.81739130434784</v>
      </c>
      <c r="AH1742" s="143">
        <f t="shared" si="72"/>
        <v>1000</v>
      </c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  <c r="AS1742" s="329"/>
      <c r="AT1742" s="329"/>
      <c r="AU1742" s="329"/>
      <c r="AV1742" s="329"/>
      <c r="AW1742" s="329"/>
      <c r="AX1742" s="329"/>
      <c r="AY1742" s="329"/>
      <c r="AZ1742" s="329"/>
      <c r="BA1742" s="329"/>
      <c r="BB1742" s="329"/>
      <c r="BC1742" s="329"/>
      <c r="BD1742" s="329"/>
      <c r="BE1742" s="329"/>
      <c r="BF1742" s="329"/>
      <c r="BG1742" s="329"/>
      <c r="BH1742" s="329"/>
      <c r="BI1742" s="329"/>
      <c r="BJ1742" s="329"/>
      <c r="BK1742" s="329"/>
      <c r="BL1742" s="329"/>
      <c r="BM1742" s="329"/>
      <c r="BN1742" s="329"/>
      <c r="BO1742" s="329"/>
      <c r="BP1742" s="329"/>
      <c r="BQ1742" s="329"/>
      <c r="BR1742" s="329"/>
      <c r="BS1742" s="329"/>
      <c r="BT1742" s="329"/>
      <c r="BU1742" s="329"/>
      <c r="BV1742" s="329"/>
      <c r="BW1742" s="329"/>
      <c r="BX1742" s="329"/>
      <c r="BY1742" s="329"/>
      <c r="BZ1742" s="329"/>
      <c r="CA1742" s="329"/>
      <c r="CB1742" s="329"/>
      <c r="CC1742" s="329"/>
      <c r="CD1742" s="329"/>
      <c r="CE1742" s="329"/>
      <c r="CF1742" s="329"/>
      <c r="CG1742" s="329"/>
      <c r="CH1742" s="329"/>
      <c r="CI1742" s="329"/>
      <c r="CJ1742" s="329"/>
      <c r="CK1742" s="329"/>
      <c r="CL1742" s="329"/>
      <c r="CM1742" s="329"/>
      <c r="CN1742" s="329"/>
      <c r="CO1742" s="329"/>
      <c r="CP1742" s="329"/>
      <c r="CQ1742" s="329"/>
      <c r="CR1742" s="329"/>
      <c r="CS1742" s="329"/>
      <c r="CT1742" s="329"/>
      <c r="CU1742" s="329"/>
      <c r="CV1742" s="329"/>
      <c r="CW1742" s="329"/>
      <c r="CX1742" s="329"/>
      <c r="CY1742" s="329"/>
      <c r="CZ1742" s="329"/>
      <c r="DA1742" s="329"/>
      <c r="DB1742" s="329"/>
      <c r="DC1742" s="329"/>
      <c r="DD1742" s="329"/>
      <c r="DE1742" s="329"/>
      <c r="DF1742" s="329"/>
      <c r="DG1742" s="329"/>
      <c r="DH1742" s="329"/>
      <c r="DI1742" s="329"/>
      <c r="DJ1742" s="329"/>
      <c r="DK1742" s="329"/>
      <c r="DL1742" s="329"/>
      <c r="DM1742" s="329"/>
      <c r="DN1742" s="329"/>
      <c r="DO1742" s="329"/>
      <c r="DP1742" s="329"/>
      <c r="DQ1742" s="329"/>
      <c r="DR1742" s="329"/>
      <c r="DS1742" s="329"/>
      <c r="DT1742" s="329"/>
      <c r="DU1742" s="329"/>
      <c r="DV1742" s="329"/>
      <c r="DW1742" s="329"/>
      <c r="DX1742" s="329"/>
      <c r="DY1742" s="329"/>
      <c r="DZ1742" s="329"/>
      <c r="EA1742" s="329"/>
      <c r="EB1742" s="329"/>
      <c r="EC1742" s="329"/>
      <c r="ED1742" s="329"/>
      <c r="EE1742" s="329"/>
      <c r="EF1742" s="329"/>
      <c r="EG1742" s="329"/>
      <c r="EH1742" s="329"/>
      <c r="EI1742" s="329"/>
      <c r="EJ1742" s="329"/>
      <c r="EK1742" s="329"/>
      <c r="EL1742" s="329"/>
      <c r="EM1742" s="329"/>
      <c r="EN1742" s="329"/>
      <c r="EO1742" s="329"/>
      <c r="EP1742" s="329"/>
      <c r="EQ1742" s="329"/>
      <c r="ER1742" s="329"/>
    </row>
    <row r="1743" spans="1:149" s="330" customFormat="1" x14ac:dyDescent="0.3">
      <c r="A1743" s="325">
        <v>903765</v>
      </c>
      <c r="B1743" s="326"/>
      <c r="C1743" s="327"/>
      <c r="D1743" s="328"/>
      <c r="E1743" s="1545"/>
      <c r="F1743" s="327"/>
      <c r="G1743" s="331"/>
      <c r="H1743" s="327"/>
      <c r="I1743" s="327"/>
      <c r="J1743" s="327"/>
      <c r="K1743" s="327"/>
      <c r="L1743" s="327"/>
      <c r="M1743" s="327"/>
      <c r="N1743" s="327"/>
      <c r="O1743" s="327"/>
      <c r="P1743" s="327"/>
      <c r="Q1743" s="328"/>
      <c r="R1743" s="328"/>
      <c r="S1743" s="328"/>
      <c r="T1743" s="328"/>
      <c r="X1743" s="67"/>
      <c r="Y1743" s="67">
        <v>0</v>
      </c>
      <c r="Z1743" s="327"/>
      <c r="AA1743" s="68">
        <v>4.6900000000000004</v>
      </c>
      <c r="AB1743" s="68">
        <v>0.68799999999999994</v>
      </c>
      <c r="AC1743" s="69">
        <v>7.8</v>
      </c>
      <c r="AD1743" s="327"/>
      <c r="AE1743" s="327"/>
      <c r="AF1743" s="316"/>
      <c r="AG1743" s="66" t="e">
        <f t="shared" si="71"/>
        <v>#DIV/0!</v>
      </c>
      <c r="AH1743" s="143">
        <f t="shared" si="72"/>
        <v>0</v>
      </c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  <c r="AS1743" s="329"/>
      <c r="AT1743" s="329"/>
      <c r="AU1743" s="329"/>
      <c r="AV1743" s="329"/>
      <c r="AW1743" s="329"/>
      <c r="AX1743" s="329"/>
      <c r="AY1743" s="329"/>
      <c r="AZ1743" s="329"/>
      <c r="BA1743" s="329"/>
      <c r="BB1743" s="329"/>
      <c r="BC1743" s="329"/>
      <c r="BD1743" s="329"/>
      <c r="BE1743" s="329"/>
      <c r="BF1743" s="329"/>
      <c r="BG1743" s="329"/>
      <c r="BH1743" s="329"/>
      <c r="BI1743" s="329"/>
      <c r="BJ1743" s="329"/>
      <c r="BK1743" s="329"/>
      <c r="BL1743" s="329"/>
      <c r="BM1743" s="329"/>
      <c r="BN1743" s="329"/>
      <c r="BO1743" s="329"/>
      <c r="BP1743" s="329"/>
      <c r="BQ1743" s="329"/>
      <c r="BR1743" s="329"/>
      <c r="BS1743" s="329"/>
      <c r="BT1743" s="329"/>
      <c r="BU1743" s="329"/>
      <c r="BV1743" s="329"/>
      <c r="BW1743" s="329"/>
      <c r="BX1743" s="329"/>
      <c r="BY1743" s="329"/>
      <c r="BZ1743" s="329"/>
      <c r="CA1743" s="329"/>
      <c r="CB1743" s="329"/>
      <c r="CC1743" s="329"/>
      <c r="CD1743" s="329"/>
      <c r="CE1743" s="329"/>
      <c r="CF1743" s="329"/>
      <c r="CG1743" s="329"/>
      <c r="CH1743" s="329"/>
      <c r="CI1743" s="329"/>
      <c r="CJ1743" s="329"/>
      <c r="CK1743" s="329"/>
      <c r="CL1743" s="329"/>
      <c r="CM1743" s="329"/>
      <c r="CN1743" s="329"/>
      <c r="CO1743" s="329"/>
      <c r="CP1743" s="329"/>
      <c r="CQ1743" s="329"/>
      <c r="CR1743" s="329"/>
      <c r="CS1743" s="329"/>
      <c r="CT1743" s="329"/>
      <c r="CU1743" s="329"/>
      <c r="CV1743" s="329"/>
      <c r="CW1743" s="329"/>
      <c r="CX1743" s="329"/>
      <c r="CY1743" s="329"/>
      <c r="CZ1743" s="329"/>
      <c r="DA1743" s="329"/>
      <c r="DB1743" s="329"/>
      <c r="DC1743" s="329"/>
      <c r="DD1743" s="329"/>
      <c r="DE1743" s="329"/>
      <c r="DF1743" s="329"/>
      <c r="DG1743" s="329"/>
      <c r="DH1743" s="329"/>
      <c r="DI1743" s="329"/>
      <c r="DJ1743" s="329"/>
      <c r="DK1743" s="329"/>
      <c r="DL1743" s="329"/>
      <c r="DM1743" s="329"/>
      <c r="DN1743" s="329"/>
      <c r="DO1743" s="329"/>
      <c r="DP1743" s="329"/>
      <c r="DQ1743" s="329"/>
      <c r="DR1743" s="329"/>
      <c r="DS1743" s="329"/>
      <c r="DT1743" s="329"/>
      <c r="DU1743" s="329"/>
      <c r="DV1743" s="329"/>
      <c r="DW1743" s="329"/>
      <c r="DX1743" s="329"/>
      <c r="DY1743" s="329"/>
      <c r="DZ1743" s="329"/>
      <c r="EA1743" s="329"/>
      <c r="EB1743" s="329"/>
      <c r="EC1743" s="329"/>
      <c r="ED1743" s="329"/>
      <c r="EE1743" s="329"/>
      <c r="EF1743" s="329"/>
      <c r="EG1743" s="329"/>
      <c r="EH1743" s="329"/>
      <c r="EI1743" s="329"/>
      <c r="EJ1743" s="329"/>
      <c r="EK1743" s="329"/>
      <c r="EL1743" s="329"/>
      <c r="EM1743" s="329"/>
      <c r="EN1743" s="329"/>
      <c r="EO1743" s="329"/>
      <c r="EP1743" s="329"/>
      <c r="EQ1743" s="329"/>
      <c r="ER1743" s="329"/>
    </row>
    <row r="1744" spans="1:149" s="330" customFormat="1" x14ac:dyDescent="0.3">
      <c r="A1744" s="325">
        <v>903766</v>
      </c>
      <c r="B1744" s="326">
        <v>0.11666666666666665</v>
      </c>
      <c r="C1744" s="327"/>
      <c r="D1744" s="328">
        <v>7.34</v>
      </c>
      <c r="E1744" s="1545">
        <v>3.9E-2</v>
      </c>
      <c r="F1744" s="327">
        <v>41.8</v>
      </c>
      <c r="G1744" s="331"/>
      <c r="H1744" s="327">
        <v>23.56</v>
      </c>
      <c r="I1744" s="327">
        <v>50</v>
      </c>
      <c r="J1744" s="327">
        <v>2.1999999999999999E-2</v>
      </c>
      <c r="K1744" s="327">
        <v>0.41</v>
      </c>
      <c r="L1744" s="327">
        <v>80</v>
      </c>
      <c r="M1744" s="327">
        <v>0.2</v>
      </c>
      <c r="N1744" s="327">
        <v>0.19</v>
      </c>
      <c r="O1744" s="327">
        <v>2.64</v>
      </c>
      <c r="P1744" s="327">
        <v>9.1300000000000008</v>
      </c>
      <c r="Q1744" s="328"/>
      <c r="R1744" s="328">
        <v>0.51731148800000004</v>
      </c>
      <c r="S1744" s="328">
        <v>3.8</v>
      </c>
      <c r="T1744" s="328"/>
      <c r="X1744" s="67"/>
      <c r="Y1744" s="67">
        <v>3.6</v>
      </c>
      <c r="Z1744" s="327"/>
      <c r="AA1744" s="68">
        <v>4.83</v>
      </c>
      <c r="AB1744" s="68">
        <v>0.747</v>
      </c>
      <c r="AC1744" s="69">
        <v>8.1999999999999993</v>
      </c>
      <c r="AD1744" s="327">
        <v>60</v>
      </c>
      <c r="AE1744" s="327">
        <v>60</v>
      </c>
      <c r="AF1744" s="316">
        <v>880</v>
      </c>
      <c r="AG1744" s="66">
        <f t="shared" si="71"/>
        <v>40.31666666666667</v>
      </c>
      <c r="AH1744" s="143">
        <f t="shared" si="72"/>
        <v>1000</v>
      </c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  <c r="AS1744" s="329"/>
      <c r="AT1744" s="329"/>
      <c r="AU1744" s="329"/>
      <c r="AV1744" s="329"/>
      <c r="AW1744" s="329"/>
      <c r="AX1744" s="329"/>
      <c r="AY1744" s="329"/>
      <c r="AZ1744" s="329"/>
      <c r="BA1744" s="329"/>
      <c r="BB1744" s="329"/>
      <c r="BC1744" s="329"/>
      <c r="BD1744" s="329"/>
      <c r="BE1744" s="329"/>
      <c r="BF1744" s="329"/>
      <c r="BG1744" s="329"/>
      <c r="BH1744" s="329"/>
      <c r="BI1744" s="329"/>
      <c r="BJ1744" s="329"/>
      <c r="BK1744" s="329"/>
      <c r="BL1744" s="329"/>
      <c r="BM1744" s="329"/>
      <c r="BN1744" s="329"/>
      <c r="BO1744" s="329"/>
      <c r="BP1744" s="329"/>
      <c r="BQ1744" s="329"/>
      <c r="BR1744" s="329"/>
      <c r="BS1744" s="329"/>
      <c r="BT1744" s="329"/>
      <c r="BU1744" s="329"/>
      <c r="BV1744" s="329"/>
      <c r="BW1744" s="329"/>
      <c r="BX1744" s="329"/>
      <c r="BY1744" s="329"/>
      <c r="BZ1744" s="329"/>
      <c r="CA1744" s="329"/>
      <c r="CB1744" s="329"/>
      <c r="CC1744" s="329"/>
      <c r="CD1744" s="329"/>
      <c r="CE1744" s="329"/>
      <c r="CF1744" s="329"/>
      <c r="CG1744" s="329"/>
      <c r="CH1744" s="329"/>
      <c r="CI1744" s="329"/>
      <c r="CJ1744" s="329"/>
      <c r="CK1744" s="329"/>
      <c r="CL1744" s="329"/>
      <c r="CM1744" s="329"/>
      <c r="CN1744" s="329"/>
      <c r="CO1744" s="329"/>
      <c r="CP1744" s="329"/>
      <c r="CQ1744" s="329"/>
      <c r="CR1744" s="329"/>
      <c r="CS1744" s="329"/>
      <c r="CT1744" s="329"/>
      <c r="CU1744" s="329"/>
      <c r="CV1744" s="329"/>
      <c r="CW1744" s="329"/>
      <c r="CX1744" s="329"/>
      <c r="CY1744" s="329"/>
      <c r="CZ1744" s="329"/>
      <c r="DA1744" s="329"/>
      <c r="DB1744" s="329"/>
      <c r="DC1744" s="329"/>
      <c r="DD1744" s="329"/>
      <c r="DE1744" s="329"/>
      <c r="DF1744" s="329"/>
      <c r="DG1744" s="329"/>
      <c r="DH1744" s="329"/>
      <c r="DI1744" s="329"/>
      <c r="DJ1744" s="329"/>
      <c r="DK1744" s="329"/>
      <c r="DL1744" s="329"/>
      <c r="DM1744" s="329"/>
      <c r="DN1744" s="329"/>
      <c r="DO1744" s="329"/>
      <c r="DP1744" s="329"/>
      <c r="DQ1744" s="329"/>
      <c r="DR1744" s="329"/>
      <c r="DS1744" s="329"/>
      <c r="DT1744" s="329"/>
      <c r="DU1744" s="329"/>
      <c r="DV1744" s="329"/>
      <c r="DW1744" s="329"/>
      <c r="DX1744" s="329"/>
      <c r="DY1744" s="329"/>
      <c r="DZ1744" s="329"/>
      <c r="EA1744" s="329"/>
      <c r="EB1744" s="329"/>
      <c r="EC1744" s="329"/>
      <c r="ED1744" s="329"/>
      <c r="EE1744" s="329"/>
      <c r="EF1744" s="329"/>
      <c r="EG1744" s="329"/>
      <c r="EH1744" s="329"/>
      <c r="EI1744" s="329"/>
      <c r="EJ1744" s="329"/>
      <c r="EK1744" s="329"/>
      <c r="EL1744" s="329"/>
      <c r="EM1744" s="329"/>
      <c r="EN1744" s="329"/>
      <c r="EO1744" s="329"/>
      <c r="EP1744" s="329"/>
      <c r="EQ1744" s="329"/>
      <c r="ER1744" s="329"/>
    </row>
    <row r="1745" spans="1:148" s="330" customFormat="1" x14ac:dyDescent="0.3">
      <c r="A1745" s="325">
        <v>903767</v>
      </c>
      <c r="B1745" s="326">
        <v>8.3333333333333329E-2</v>
      </c>
      <c r="C1745" s="327"/>
      <c r="D1745" s="328">
        <v>7.28</v>
      </c>
      <c r="E1745" s="1545">
        <v>3.6999999999999998E-2</v>
      </c>
      <c r="F1745" s="327">
        <v>37.299999999999997</v>
      </c>
      <c r="G1745" s="331"/>
      <c r="H1745" s="327">
        <v>12.26</v>
      </c>
      <c r="I1745" s="327">
        <v>20</v>
      </c>
      <c r="J1745" s="327">
        <v>2.1999999999999999E-2</v>
      </c>
      <c r="K1745" s="327">
        <v>0.46</v>
      </c>
      <c r="L1745" s="327">
        <v>80</v>
      </c>
      <c r="M1745" s="327">
        <v>0.2</v>
      </c>
      <c r="N1745" s="327">
        <v>0.21</v>
      </c>
      <c r="O1745" s="327">
        <v>4.55</v>
      </c>
      <c r="P1745" s="327">
        <v>8.1</v>
      </c>
      <c r="Q1745" s="328"/>
      <c r="R1745" s="328">
        <v>0.26735868800000001</v>
      </c>
      <c r="S1745" s="328">
        <v>1.7999999999999998</v>
      </c>
      <c r="T1745" s="328"/>
      <c r="X1745" s="67"/>
      <c r="Y1745" s="67">
        <v>3.6</v>
      </c>
      <c r="Z1745" s="327"/>
      <c r="AA1745" s="68">
        <v>3.97</v>
      </c>
      <c r="AB1745" s="68">
        <v>0.40899999999999997</v>
      </c>
      <c r="AC1745" s="69">
        <v>11.2</v>
      </c>
      <c r="AD1745" s="327">
        <v>60</v>
      </c>
      <c r="AE1745" s="327">
        <v>80</v>
      </c>
      <c r="AF1745" s="316">
        <v>860</v>
      </c>
      <c r="AG1745" s="66">
        <f t="shared" si="71"/>
        <v>45.233333333333334</v>
      </c>
      <c r="AH1745" s="143">
        <f t="shared" si="72"/>
        <v>1000</v>
      </c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  <c r="AS1745" s="329"/>
      <c r="AT1745" s="329"/>
      <c r="AU1745" s="329"/>
      <c r="AV1745" s="329"/>
      <c r="AW1745" s="329"/>
      <c r="AX1745" s="329"/>
      <c r="AY1745" s="329"/>
      <c r="AZ1745" s="329"/>
      <c r="BA1745" s="329"/>
      <c r="BB1745" s="329"/>
      <c r="BC1745" s="329"/>
      <c r="BD1745" s="329"/>
      <c r="BE1745" s="329"/>
      <c r="BF1745" s="329"/>
      <c r="BG1745" s="329"/>
      <c r="BH1745" s="329"/>
      <c r="BI1745" s="329"/>
      <c r="BJ1745" s="329"/>
      <c r="BK1745" s="329"/>
      <c r="BL1745" s="329"/>
      <c r="BM1745" s="329"/>
      <c r="BN1745" s="329"/>
      <c r="BO1745" s="329"/>
      <c r="BP1745" s="329"/>
      <c r="BQ1745" s="329"/>
      <c r="BR1745" s="329"/>
      <c r="BS1745" s="329"/>
      <c r="BT1745" s="329"/>
      <c r="BU1745" s="329"/>
      <c r="BV1745" s="329"/>
      <c r="BW1745" s="329"/>
      <c r="BX1745" s="329"/>
      <c r="BY1745" s="329"/>
      <c r="BZ1745" s="329"/>
      <c r="CA1745" s="329"/>
      <c r="CB1745" s="329"/>
      <c r="CC1745" s="329"/>
      <c r="CD1745" s="329"/>
      <c r="CE1745" s="329"/>
      <c r="CF1745" s="329"/>
      <c r="CG1745" s="329"/>
      <c r="CH1745" s="329"/>
      <c r="CI1745" s="329"/>
      <c r="CJ1745" s="329"/>
      <c r="CK1745" s="329"/>
      <c r="CL1745" s="329"/>
      <c r="CM1745" s="329"/>
      <c r="CN1745" s="329"/>
      <c r="CO1745" s="329"/>
      <c r="CP1745" s="329"/>
      <c r="CQ1745" s="329"/>
      <c r="CR1745" s="329"/>
      <c r="CS1745" s="329"/>
      <c r="CT1745" s="329"/>
      <c r="CU1745" s="329"/>
      <c r="CV1745" s="329"/>
      <c r="CW1745" s="329"/>
      <c r="CX1745" s="329"/>
      <c r="CY1745" s="329"/>
      <c r="CZ1745" s="329"/>
      <c r="DA1745" s="329"/>
      <c r="DB1745" s="329"/>
      <c r="DC1745" s="329"/>
      <c r="DD1745" s="329"/>
      <c r="DE1745" s="329"/>
      <c r="DF1745" s="329"/>
      <c r="DG1745" s="329"/>
      <c r="DH1745" s="329"/>
      <c r="DI1745" s="329"/>
      <c r="DJ1745" s="329"/>
      <c r="DK1745" s="329"/>
      <c r="DL1745" s="329"/>
      <c r="DM1745" s="329"/>
      <c r="DN1745" s="329"/>
      <c r="DO1745" s="329"/>
      <c r="DP1745" s="329"/>
      <c r="DQ1745" s="329"/>
      <c r="DR1745" s="329"/>
      <c r="DS1745" s="329"/>
      <c r="DT1745" s="329"/>
      <c r="DU1745" s="329"/>
      <c r="DV1745" s="329"/>
      <c r="DW1745" s="329"/>
      <c r="DX1745" s="329"/>
      <c r="DY1745" s="329"/>
      <c r="DZ1745" s="329"/>
      <c r="EA1745" s="329"/>
      <c r="EB1745" s="329"/>
      <c r="EC1745" s="329"/>
      <c r="ED1745" s="329"/>
      <c r="EE1745" s="329"/>
      <c r="EF1745" s="329"/>
      <c r="EG1745" s="329"/>
      <c r="EH1745" s="329"/>
      <c r="EI1745" s="329"/>
      <c r="EJ1745" s="329"/>
      <c r="EK1745" s="329"/>
      <c r="EL1745" s="329"/>
      <c r="EM1745" s="329"/>
      <c r="EN1745" s="329"/>
      <c r="EO1745" s="329"/>
      <c r="EP1745" s="329"/>
      <c r="EQ1745" s="329"/>
      <c r="ER1745" s="329"/>
    </row>
    <row r="1746" spans="1:148" s="330" customFormat="1" x14ac:dyDescent="0.3">
      <c r="A1746" s="325">
        <v>903768</v>
      </c>
      <c r="B1746" s="326">
        <v>0.13333333333333333</v>
      </c>
      <c r="C1746" s="327"/>
      <c r="D1746" s="328">
        <v>6.9</v>
      </c>
      <c r="E1746" s="1545">
        <v>2.9000000000000001E-2</v>
      </c>
      <c r="F1746" s="327">
        <v>35.299999999999997</v>
      </c>
      <c r="G1746" s="331"/>
      <c r="H1746" s="327">
        <v>15.13</v>
      </c>
      <c r="I1746" s="327">
        <v>40</v>
      </c>
      <c r="J1746" s="327">
        <v>2.3E-2</v>
      </c>
      <c r="K1746" s="327">
        <v>0.72</v>
      </c>
      <c r="L1746" s="327">
        <v>110</v>
      </c>
      <c r="M1746" s="327">
        <v>0.23</v>
      </c>
      <c r="N1746" s="327">
        <v>0.26</v>
      </c>
      <c r="O1746" s="327">
        <v>11.01</v>
      </c>
      <c r="P1746" s="327">
        <v>16.61</v>
      </c>
      <c r="Q1746" s="328"/>
      <c r="R1746" s="328">
        <v>0.70765929000000005</v>
      </c>
      <c r="S1746" s="328">
        <v>5.2</v>
      </c>
      <c r="T1746" s="328"/>
      <c r="X1746" s="67"/>
      <c r="Y1746" s="67">
        <v>4.2</v>
      </c>
      <c r="Z1746" s="327">
        <v>5.6</v>
      </c>
      <c r="AA1746" s="68">
        <v>4.03</v>
      </c>
      <c r="AB1746" s="68">
        <v>0.46700000000000003</v>
      </c>
      <c r="AC1746" s="69">
        <v>7.2</v>
      </c>
      <c r="AD1746" s="327">
        <v>60</v>
      </c>
      <c r="AE1746" s="327">
        <v>60</v>
      </c>
      <c r="AF1746" s="316">
        <v>880</v>
      </c>
      <c r="AG1746" s="66">
        <f t="shared" si="71"/>
        <v>60.685714285714283</v>
      </c>
      <c r="AH1746" s="143">
        <f t="shared" si="72"/>
        <v>1000</v>
      </c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  <c r="AS1746" s="329"/>
      <c r="AT1746" s="329"/>
      <c r="AU1746" s="329"/>
      <c r="AV1746" s="329"/>
      <c r="AW1746" s="329"/>
      <c r="AX1746" s="329"/>
      <c r="AY1746" s="329"/>
      <c r="AZ1746" s="329"/>
      <c r="BA1746" s="329"/>
      <c r="BB1746" s="329"/>
      <c r="BC1746" s="329"/>
      <c r="BD1746" s="329"/>
      <c r="BE1746" s="329"/>
      <c r="BF1746" s="329"/>
      <c r="BG1746" s="329"/>
      <c r="BH1746" s="329"/>
      <c r="BI1746" s="329"/>
      <c r="BJ1746" s="329"/>
      <c r="BK1746" s="329"/>
      <c r="BL1746" s="329"/>
      <c r="BM1746" s="329"/>
      <c r="BN1746" s="329"/>
      <c r="BO1746" s="329"/>
      <c r="BP1746" s="329"/>
      <c r="BQ1746" s="329"/>
      <c r="BR1746" s="329"/>
      <c r="BS1746" s="329"/>
      <c r="BT1746" s="329"/>
      <c r="BU1746" s="329"/>
      <c r="BV1746" s="329"/>
      <c r="BW1746" s="329"/>
      <c r="BX1746" s="329"/>
      <c r="BY1746" s="329"/>
      <c r="BZ1746" s="329"/>
      <c r="CA1746" s="329"/>
      <c r="CB1746" s="329"/>
      <c r="CC1746" s="329"/>
      <c r="CD1746" s="329"/>
      <c r="CE1746" s="329"/>
      <c r="CF1746" s="329"/>
      <c r="CG1746" s="329"/>
      <c r="CH1746" s="329"/>
      <c r="CI1746" s="329"/>
      <c r="CJ1746" s="329"/>
      <c r="CK1746" s="329"/>
      <c r="CL1746" s="329"/>
      <c r="CM1746" s="329"/>
      <c r="CN1746" s="329"/>
      <c r="CO1746" s="329"/>
      <c r="CP1746" s="329"/>
      <c r="CQ1746" s="329"/>
      <c r="CR1746" s="329"/>
      <c r="CS1746" s="329"/>
      <c r="CT1746" s="329"/>
      <c r="CU1746" s="329"/>
      <c r="CV1746" s="329"/>
      <c r="CW1746" s="329"/>
      <c r="CX1746" s="329"/>
      <c r="CY1746" s="329"/>
      <c r="CZ1746" s="329"/>
      <c r="DA1746" s="329"/>
      <c r="DB1746" s="329"/>
      <c r="DC1746" s="329"/>
      <c r="DD1746" s="329"/>
      <c r="DE1746" s="329"/>
      <c r="DF1746" s="329"/>
      <c r="DG1746" s="329"/>
      <c r="DH1746" s="329"/>
      <c r="DI1746" s="329"/>
      <c r="DJ1746" s="329"/>
      <c r="DK1746" s="329"/>
      <c r="DL1746" s="329"/>
      <c r="DM1746" s="329"/>
      <c r="DN1746" s="329"/>
      <c r="DO1746" s="329"/>
      <c r="DP1746" s="329"/>
      <c r="DQ1746" s="329"/>
      <c r="DR1746" s="329"/>
      <c r="DS1746" s="329"/>
      <c r="DT1746" s="329"/>
      <c r="DU1746" s="329"/>
      <c r="DV1746" s="329"/>
      <c r="DW1746" s="329"/>
      <c r="DX1746" s="329"/>
      <c r="DY1746" s="329"/>
      <c r="DZ1746" s="329"/>
      <c r="EA1746" s="329"/>
      <c r="EB1746" s="329"/>
      <c r="EC1746" s="329"/>
      <c r="ED1746" s="329"/>
      <c r="EE1746" s="329"/>
      <c r="EF1746" s="329"/>
      <c r="EG1746" s="329"/>
      <c r="EH1746" s="329"/>
      <c r="EI1746" s="329"/>
      <c r="EJ1746" s="329"/>
      <c r="EK1746" s="329"/>
      <c r="EL1746" s="329"/>
      <c r="EM1746" s="329"/>
      <c r="EN1746" s="329"/>
      <c r="EO1746" s="329"/>
      <c r="EP1746" s="329"/>
      <c r="EQ1746" s="329"/>
      <c r="ER1746" s="329"/>
    </row>
    <row r="1747" spans="1:148" x14ac:dyDescent="0.3">
      <c r="A1747" s="354">
        <v>903769</v>
      </c>
      <c r="B1747" s="355">
        <v>13.8</v>
      </c>
      <c r="C1747" s="355">
        <v>10.9</v>
      </c>
      <c r="D1747" s="354">
        <v>8.4499999999999993</v>
      </c>
      <c r="E1747" s="1546">
        <v>0.17</v>
      </c>
      <c r="F1747" s="357">
        <v>57</v>
      </c>
      <c r="G1747" s="354"/>
      <c r="H1747" s="357">
        <v>22</v>
      </c>
      <c r="I1747" s="354">
        <v>70</v>
      </c>
      <c r="J1747" s="354">
        <v>7.0000000000000007E-2</v>
      </c>
      <c r="K1747" s="354">
        <v>8.5500000000000007</v>
      </c>
      <c r="L1747" s="354">
        <v>180</v>
      </c>
      <c r="M1747" s="354">
        <v>0.83</v>
      </c>
      <c r="N1747" s="354">
        <v>0.2</v>
      </c>
      <c r="O1747" s="354">
        <v>4.51</v>
      </c>
      <c r="P1747" s="354">
        <v>5.86</v>
      </c>
      <c r="Q1747" s="354"/>
      <c r="R1747" s="356">
        <v>1.7929999999999999</v>
      </c>
      <c r="S1747" s="354">
        <v>16.399999999999999</v>
      </c>
      <c r="T1747" s="358"/>
      <c r="U1747" s="354"/>
      <c r="V1747" s="359"/>
      <c r="W1747" s="359"/>
      <c r="X1747" s="354"/>
      <c r="Y1747" s="354">
        <v>25.2</v>
      </c>
      <c r="Z1747" s="354"/>
      <c r="AA1747" s="68">
        <v>3.48</v>
      </c>
      <c r="AB1747" s="68">
        <v>0.52500000000000002</v>
      </c>
      <c r="AC1747" s="69">
        <v>9</v>
      </c>
      <c r="AD1747" s="360">
        <v>360</v>
      </c>
      <c r="AE1747" s="354">
        <v>240</v>
      </c>
      <c r="AF1747" s="354">
        <v>400</v>
      </c>
      <c r="AG1747" s="66">
        <f t="shared" si="71"/>
        <v>120.10714285714288</v>
      </c>
      <c r="AH1747" s="143">
        <f t="shared" si="72"/>
        <v>1000</v>
      </c>
      <c r="AI1747" s="361"/>
      <c r="AJ1747" s="361"/>
      <c r="AK1747" s="361"/>
    </row>
    <row r="1748" spans="1:148" x14ac:dyDescent="0.3">
      <c r="A1748" s="362">
        <v>903770</v>
      </c>
      <c r="B1748" s="363">
        <v>6.2</v>
      </c>
      <c r="C1748" s="362"/>
      <c r="D1748" s="362">
        <v>8.34</v>
      </c>
      <c r="E1748" s="1547">
        <v>0.43</v>
      </c>
      <c r="F1748" s="365">
        <v>186</v>
      </c>
      <c r="G1748" s="362"/>
      <c r="H1748" s="365">
        <v>61</v>
      </c>
      <c r="I1748" s="362">
        <v>130</v>
      </c>
      <c r="J1748" s="362">
        <v>0.26900000000000002</v>
      </c>
      <c r="K1748" s="362">
        <v>8.52</v>
      </c>
      <c r="L1748" s="362">
        <v>590</v>
      </c>
      <c r="M1748" s="362">
        <v>1.5</v>
      </c>
      <c r="N1748" s="362">
        <v>0.42</v>
      </c>
      <c r="O1748" s="362">
        <v>3.31</v>
      </c>
      <c r="P1748" s="362">
        <v>6.7</v>
      </c>
      <c r="Q1748" s="362"/>
      <c r="R1748" s="364">
        <v>2.012</v>
      </c>
      <c r="S1748" s="362">
        <v>24.9</v>
      </c>
      <c r="T1748" s="366"/>
      <c r="U1748" s="362"/>
      <c r="V1748" s="367"/>
      <c r="W1748" s="367"/>
      <c r="X1748" s="362"/>
      <c r="Y1748" s="362">
        <v>28</v>
      </c>
      <c r="Z1748" s="362"/>
      <c r="AA1748" s="68">
        <v>4.05</v>
      </c>
      <c r="AB1748" s="68">
        <v>0.89</v>
      </c>
      <c r="AC1748" s="69">
        <v>7.3</v>
      </c>
      <c r="AD1748" s="368">
        <v>400</v>
      </c>
      <c r="AE1748" s="362">
        <v>260</v>
      </c>
      <c r="AF1748" s="362">
        <v>340</v>
      </c>
      <c r="AG1748" s="66">
        <f t="shared" si="71"/>
        <v>107.71714285714286</v>
      </c>
      <c r="AH1748" s="143">
        <f t="shared" si="72"/>
        <v>1000</v>
      </c>
      <c r="AI1748" s="369"/>
      <c r="AJ1748" s="369"/>
      <c r="AK1748" s="369"/>
    </row>
    <row r="1749" spans="1:148" x14ac:dyDescent="0.3">
      <c r="A1749" s="362">
        <v>903771</v>
      </c>
      <c r="B1749" s="363">
        <v>15</v>
      </c>
      <c r="C1749" s="363">
        <v>9.1</v>
      </c>
      <c r="D1749" s="362">
        <v>8.31</v>
      </c>
      <c r="E1749" s="1547">
        <v>0.52</v>
      </c>
      <c r="F1749" s="365">
        <v>227</v>
      </c>
      <c r="G1749" s="362"/>
      <c r="H1749" s="365">
        <v>38</v>
      </c>
      <c r="I1749" s="362">
        <v>100</v>
      </c>
      <c r="J1749" s="362">
        <v>0.28199999999999997</v>
      </c>
      <c r="K1749" s="362">
        <v>11.73</v>
      </c>
      <c r="L1749" s="362">
        <v>490</v>
      </c>
      <c r="M1749" s="362">
        <v>1.41</v>
      </c>
      <c r="N1749" s="362">
        <v>0.27</v>
      </c>
      <c r="O1749" s="362">
        <v>2.63</v>
      </c>
      <c r="P1749" s="362">
        <v>6.15</v>
      </c>
      <c r="Q1749" s="362"/>
      <c r="R1749" s="364">
        <v>1.9830000000000001</v>
      </c>
      <c r="S1749" s="362">
        <v>23.5</v>
      </c>
      <c r="T1749" s="366"/>
      <c r="U1749" s="362"/>
      <c r="V1749" s="367"/>
      <c r="W1749" s="367"/>
      <c r="X1749" s="362"/>
      <c r="Y1749" s="362">
        <v>24.5</v>
      </c>
      <c r="Z1749" s="362"/>
      <c r="AA1749" s="68">
        <v>4.5599999999999996</v>
      </c>
      <c r="AB1749" s="68">
        <v>0.439</v>
      </c>
      <c r="AC1749" s="69">
        <v>10.6</v>
      </c>
      <c r="AD1749" s="368">
        <v>350</v>
      </c>
      <c r="AE1749" s="362">
        <v>260</v>
      </c>
      <c r="AF1749" s="362">
        <v>390</v>
      </c>
      <c r="AG1749" s="66">
        <f t="shared" si="71"/>
        <v>169.48653061224491</v>
      </c>
      <c r="AH1749" s="143">
        <f t="shared" si="72"/>
        <v>1000</v>
      </c>
      <c r="AI1749" s="369"/>
      <c r="AJ1749" s="369"/>
      <c r="AK1749" s="369"/>
    </row>
    <row r="1750" spans="1:148" x14ac:dyDescent="0.3">
      <c r="A1750" s="354">
        <v>903772</v>
      </c>
      <c r="B1750" s="355">
        <v>7.9</v>
      </c>
      <c r="C1750" s="354"/>
      <c r="D1750" s="354">
        <v>8.64</v>
      </c>
      <c r="E1750" s="1546">
        <v>0.2</v>
      </c>
      <c r="F1750" s="357">
        <v>78</v>
      </c>
      <c r="G1750" s="354"/>
      <c r="H1750" s="357">
        <v>12</v>
      </c>
      <c r="I1750" s="354">
        <v>100</v>
      </c>
      <c r="J1750" s="354">
        <v>5.1999999999999998E-2</v>
      </c>
      <c r="K1750" s="354">
        <v>6.56</v>
      </c>
      <c r="L1750" s="354">
        <v>190</v>
      </c>
      <c r="M1750" s="354">
        <v>0.25</v>
      </c>
      <c r="N1750" s="354">
        <v>0.15</v>
      </c>
      <c r="O1750" s="354">
        <v>1.69</v>
      </c>
      <c r="P1750" s="354">
        <v>6.63</v>
      </c>
      <c r="Q1750" s="354"/>
      <c r="R1750" s="356">
        <v>1.147</v>
      </c>
      <c r="S1750" s="354">
        <v>8.1</v>
      </c>
      <c r="T1750" s="358"/>
      <c r="U1750" s="354"/>
      <c r="V1750" s="359"/>
      <c r="W1750" s="359"/>
      <c r="X1750" s="354"/>
      <c r="Y1750" s="354">
        <v>4.2</v>
      </c>
      <c r="Z1750" s="354"/>
      <c r="AA1750" s="68">
        <v>4.9800000000000004</v>
      </c>
      <c r="AB1750" s="68">
        <v>0.42</v>
      </c>
      <c r="AC1750" s="69">
        <v>7.8</v>
      </c>
      <c r="AD1750" s="360">
        <v>60</v>
      </c>
      <c r="AE1750" s="354">
        <v>60</v>
      </c>
      <c r="AF1750" s="354">
        <v>880</v>
      </c>
      <c r="AG1750" s="66">
        <f t="shared" si="71"/>
        <v>552.91428571428571</v>
      </c>
      <c r="AH1750" s="143">
        <f t="shared" si="72"/>
        <v>1000</v>
      </c>
      <c r="AI1750" s="361"/>
      <c r="AJ1750" s="361"/>
      <c r="AK1750" s="361"/>
    </row>
    <row r="1751" spans="1:148" x14ac:dyDescent="0.3">
      <c r="A1751" s="354">
        <v>903773</v>
      </c>
      <c r="B1751" s="355">
        <v>8.9</v>
      </c>
      <c r="C1751" s="354"/>
      <c r="D1751" s="354">
        <v>8.66</v>
      </c>
      <c r="E1751" s="1546">
        <v>0.35</v>
      </c>
      <c r="F1751" s="357">
        <v>236</v>
      </c>
      <c r="G1751" s="354"/>
      <c r="H1751" s="357">
        <v>40</v>
      </c>
      <c r="I1751" s="354">
        <v>310</v>
      </c>
      <c r="J1751" s="354">
        <v>0.185</v>
      </c>
      <c r="K1751" s="354">
        <v>6.13</v>
      </c>
      <c r="L1751" s="354">
        <v>370</v>
      </c>
      <c r="M1751" s="354">
        <v>0.49</v>
      </c>
      <c r="N1751" s="354">
        <v>0.63</v>
      </c>
      <c r="O1751" s="354">
        <v>2.33</v>
      </c>
      <c r="P1751" s="354">
        <v>4.55</v>
      </c>
      <c r="Q1751" s="354"/>
      <c r="R1751" s="356">
        <v>0.877</v>
      </c>
      <c r="S1751" s="354">
        <v>5.7</v>
      </c>
      <c r="T1751" s="358"/>
      <c r="U1751" s="354"/>
      <c r="V1751" s="359"/>
      <c r="W1751" s="359"/>
      <c r="X1751" s="354"/>
      <c r="Y1751" s="354">
        <v>9.8000000000000007</v>
      </c>
      <c r="Z1751" s="354"/>
      <c r="AA1751" s="68">
        <v>4.93</v>
      </c>
      <c r="AB1751" s="68">
        <v>0.60599999999999998</v>
      </c>
      <c r="AC1751" s="69">
        <v>9.4</v>
      </c>
      <c r="AD1751" s="360">
        <v>140</v>
      </c>
      <c r="AE1751" s="354">
        <v>80</v>
      </c>
      <c r="AF1751" s="354">
        <v>780</v>
      </c>
      <c r="AG1751" s="66">
        <f t="shared" si="71"/>
        <v>221.43061224489793</v>
      </c>
      <c r="AH1751" s="143">
        <f t="shared" si="72"/>
        <v>1000</v>
      </c>
      <c r="AI1751" s="361"/>
      <c r="AJ1751" s="361"/>
      <c r="AK1751" s="361"/>
    </row>
    <row r="1752" spans="1:148" x14ac:dyDescent="0.3">
      <c r="A1752" s="362">
        <v>903774</v>
      </c>
      <c r="B1752" s="363">
        <v>15</v>
      </c>
      <c r="C1752" s="363">
        <v>10.9</v>
      </c>
      <c r="D1752" s="362">
        <v>8.3699999999999992</v>
      </c>
      <c r="E1752" s="1547">
        <v>0.48</v>
      </c>
      <c r="F1752" s="365">
        <v>258</v>
      </c>
      <c r="G1752" s="362"/>
      <c r="H1752" s="365">
        <v>52</v>
      </c>
      <c r="I1752" s="362">
        <v>110</v>
      </c>
      <c r="J1752" s="362">
        <v>0.27100000000000002</v>
      </c>
      <c r="K1752" s="362">
        <v>9.2899999999999991</v>
      </c>
      <c r="L1752" s="362">
        <v>480</v>
      </c>
      <c r="M1752" s="362">
        <v>1.04</v>
      </c>
      <c r="N1752" s="362">
        <v>0.18</v>
      </c>
      <c r="O1752" s="362">
        <v>2.48</v>
      </c>
      <c r="P1752" s="362">
        <v>4.78</v>
      </c>
      <c r="Q1752" s="362"/>
      <c r="R1752" s="364">
        <v>1.9810000000000001</v>
      </c>
      <c r="S1752" s="362">
        <v>23.4</v>
      </c>
      <c r="T1752" s="366"/>
      <c r="U1752" s="362"/>
      <c r="V1752" s="367"/>
      <c r="W1752" s="367"/>
      <c r="X1752" s="362"/>
      <c r="Y1752" s="362">
        <v>22.4</v>
      </c>
      <c r="Z1752" s="362"/>
      <c r="AA1752" s="68">
        <v>3.83</v>
      </c>
      <c r="AB1752" s="68">
        <v>0.49199999999999999</v>
      </c>
      <c r="AC1752" s="69">
        <v>9.1999999999999993</v>
      </c>
      <c r="AD1752" s="368">
        <v>320</v>
      </c>
      <c r="AE1752" s="362">
        <v>240</v>
      </c>
      <c r="AF1752" s="362">
        <v>440</v>
      </c>
      <c r="AG1752" s="66">
        <f t="shared" si="71"/>
        <v>146.81517857142856</v>
      </c>
      <c r="AH1752" s="143">
        <f t="shared" si="72"/>
        <v>1000</v>
      </c>
      <c r="AI1752" s="369"/>
      <c r="AJ1752" s="369"/>
      <c r="AK1752" s="369"/>
    </row>
    <row r="1753" spans="1:148" x14ac:dyDescent="0.3">
      <c r="A1753" s="362">
        <v>903775</v>
      </c>
      <c r="B1753" s="363">
        <v>18.899999999999999</v>
      </c>
      <c r="C1753" s="363">
        <v>12.1</v>
      </c>
      <c r="D1753" s="362">
        <v>8.4</v>
      </c>
      <c r="E1753" s="1547">
        <v>0.62</v>
      </c>
      <c r="F1753" s="365">
        <v>306</v>
      </c>
      <c r="G1753" s="362"/>
      <c r="H1753" s="365">
        <v>28</v>
      </c>
      <c r="I1753" s="362">
        <v>80</v>
      </c>
      <c r="J1753" s="362">
        <v>0.28399999999999997</v>
      </c>
      <c r="K1753" s="362">
        <v>8.91</v>
      </c>
      <c r="L1753" s="362">
        <v>400</v>
      </c>
      <c r="M1753" s="362">
        <v>0.67</v>
      </c>
      <c r="N1753" s="362">
        <v>0.23</v>
      </c>
      <c r="O1753" s="362">
        <v>1.81</v>
      </c>
      <c r="P1753" s="362">
        <v>4.8099999999999996</v>
      </c>
      <c r="Q1753" s="362"/>
      <c r="R1753" s="364">
        <v>1.9370000000000001</v>
      </c>
      <c r="S1753" s="362">
        <v>21.5</v>
      </c>
      <c r="T1753" s="366"/>
      <c r="U1753" s="362"/>
      <c r="V1753" s="367"/>
      <c r="W1753" s="367"/>
      <c r="X1753" s="362"/>
      <c r="Y1753" s="362">
        <v>21</v>
      </c>
      <c r="Z1753" s="362"/>
      <c r="AA1753" s="68">
        <v>4.87</v>
      </c>
      <c r="AB1753" s="68">
        <v>0.58899999999999997</v>
      </c>
      <c r="AC1753" s="69">
        <v>11.2</v>
      </c>
      <c r="AD1753" s="368">
        <v>300</v>
      </c>
      <c r="AE1753" s="362">
        <v>260</v>
      </c>
      <c r="AF1753" s="362">
        <v>440</v>
      </c>
      <c r="AG1753" s="66">
        <f t="shared" si="71"/>
        <v>150.19714285714286</v>
      </c>
      <c r="AH1753" s="143">
        <f t="shared" si="72"/>
        <v>1000</v>
      </c>
      <c r="AI1753" s="369"/>
      <c r="AJ1753" s="369"/>
      <c r="AK1753" s="369"/>
    </row>
    <row r="1754" spans="1:148" x14ac:dyDescent="0.3">
      <c r="A1754" s="354">
        <v>903776</v>
      </c>
      <c r="B1754" s="355">
        <v>12.1</v>
      </c>
      <c r="C1754" s="355">
        <v>4</v>
      </c>
      <c r="D1754" s="354">
        <v>8.9</v>
      </c>
      <c r="E1754" s="1546">
        <v>0.22</v>
      </c>
      <c r="F1754" s="357">
        <v>150</v>
      </c>
      <c r="G1754" s="354"/>
      <c r="H1754" s="357">
        <v>14</v>
      </c>
      <c r="I1754" s="354">
        <v>110</v>
      </c>
      <c r="J1754" s="354">
        <v>0.16</v>
      </c>
      <c r="K1754" s="354">
        <v>6.48</v>
      </c>
      <c r="L1754" s="354">
        <v>410</v>
      </c>
      <c r="M1754" s="354">
        <v>0.41</v>
      </c>
      <c r="N1754" s="354">
        <v>0.82</v>
      </c>
      <c r="O1754" s="354">
        <v>2.39</v>
      </c>
      <c r="P1754" s="354">
        <v>8.9499999999999993</v>
      </c>
      <c r="Q1754" s="354"/>
      <c r="R1754" s="356">
        <v>0.56999999999999995</v>
      </c>
      <c r="S1754" s="354">
        <v>3.8</v>
      </c>
      <c r="T1754" s="358"/>
      <c r="U1754" s="354"/>
      <c r="V1754" s="359"/>
      <c r="W1754" s="359"/>
      <c r="X1754" s="354"/>
      <c r="Y1754" s="354">
        <v>9.8000000000000007</v>
      </c>
      <c r="Z1754" s="354"/>
      <c r="AA1754" s="68">
        <v>4.33</v>
      </c>
      <c r="AB1754" s="68">
        <v>0.65900000000000003</v>
      </c>
      <c r="AC1754" s="69">
        <v>7.2</v>
      </c>
      <c r="AD1754" s="360">
        <v>140</v>
      </c>
      <c r="AE1754" s="354">
        <v>100</v>
      </c>
      <c r="AF1754" s="354">
        <v>760</v>
      </c>
      <c r="AG1754" s="66">
        <f t="shared" si="71"/>
        <v>234.07346938775513</v>
      </c>
      <c r="AH1754" s="143">
        <f t="shared" si="72"/>
        <v>1000</v>
      </c>
      <c r="AI1754" s="361"/>
      <c r="AJ1754" s="361"/>
      <c r="AK1754" s="361"/>
    </row>
    <row r="1755" spans="1:148" x14ac:dyDescent="0.3">
      <c r="A1755" s="354">
        <v>903777</v>
      </c>
      <c r="B1755" s="355">
        <v>11.3</v>
      </c>
      <c r="C1755" s="355">
        <v>3.9</v>
      </c>
      <c r="D1755" s="354">
        <v>8.68</v>
      </c>
      <c r="E1755" s="1546">
        <v>0.49</v>
      </c>
      <c r="F1755" s="357">
        <v>342</v>
      </c>
      <c r="G1755" s="354"/>
      <c r="H1755" s="357">
        <v>95</v>
      </c>
      <c r="I1755" s="354">
        <v>470</v>
      </c>
      <c r="J1755" s="354">
        <v>0.28699999999999998</v>
      </c>
      <c r="K1755" s="354">
        <v>6.4</v>
      </c>
      <c r="L1755" s="354">
        <v>530</v>
      </c>
      <c r="M1755" s="354">
        <v>0.72</v>
      </c>
      <c r="N1755" s="354">
        <v>0.74</v>
      </c>
      <c r="O1755" s="354">
        <v>3.01</v>
      </c>
      <c r="P1755" s="354">
        <v>5.51</v>
      </c>
      <c r="Q1755" s="354"/>
      <c r="R1755" s="356">
        <v>0.56200000000000006</v>
      </c>
      <c r="S1755" s="354">
        <v>3.7</v>
      </c>
      <c r="T1755" s="358"/>
      <c r="U1755" s="354"/>
      <c r="V1755" s="359"/>
      <c r="W1755" s="359"/>
      <c r="X1755" s="354"/>
      <c r="Y1755" s="354">
        <v>8.4</v>
      </c>
      <c r="Z1755" s="354"/>
      <c r="AA1755" s="68">
        <v>4.72</v>
      </c>
      <c r="AB1755" s="68">
        <v>0.59299999999999997</v>
      </c>
      <c r="AC1755" s="69">
        <v>9.8000000000000007</v>
      </c>
      <c r="AD1755" s="360">
        <v>120</v>
      </c>
      <c r="AE1755" s="354">
        <v>120</v>
      </c>
      <c r="AF1755" s="354">
        <v>760</v>
      </c>
      <c r="AG1755" s="66">
        <f t="shared" si="71"/>
        <v>269.71428571428572</v>
      </c>
      <c r="AH1755" s="143">
        <f t="shared" si="72"/>
        <v>1000</v>
      </c>
      <c r="AI1755" s="361"/>
      <c r="AJ1755" s="361"/>
      <c r="AK1755" s="361"/>
    </row>
    <row r="1756" spans="1:148" x14ac:dyDescent="0.3">
      <c r="A1756" s="354">
        <v>903778</v>
      </c>
      <c r="B1756" s="355">
        <v>11.9</v>
      </c>
      <c r="C1756" s="355">
        <v>6.3</v>
      </c>
      <c r="D1756" s="354">
        <v>8.65</v>
      </c>
      <c r="E1756" s="1546">
        <v>1.04</v>
      </c>
      <c r="F1756" s="357">
        <v>1018</v>
      </c>
      <c r="G1756" s="354"/>
      <c r="H1756" s="357">
        <v>80</v>
      </c>
      <c r="I1756" s="354">
        <v>200</v>
      </c>
      <c r="J1756" s="354">
        <v>1.018</v>
      </c>
      <c r="K1756" s="354">
        <v>7.42</v>
      </c>
      <c r="L1756" s="354">
        <v>1040</v>
      </c>
      <c r="M1756" s="354">
        <v>5.51</v>
      </c>
      <c r="N1756" s="354">
        <v>1.28</v>
      </c>
      <c r="O1756" s="354">
        <v>1.63</v>
      </c>
      <c r="P1756" s="354">
        <v>6.19</v>
      </c>
      <c r="Q1756" s="354"/>
      <c r="R1756" s="356">
        <v>1.07</v>
      </c>
      <c r="S1756" s="354">
        <v>7.4</v>
      </c>
      <c r="T1756" s="358"/>
      <c r="U1756" s="354"/>
      <c r="V1756" s="359"/>
      <c r="W1756" s="359"/>
      <c r="X1756" s="354"/>
      <c r="Y1756" s="354">
        <v>29.4</v>
      </c>
      <c r="Z1756" s="354"/>
      <c r="AA1756" s="68">
        <v>3.59</v>
      </c>
      <c r="AB1756" s="68">
        <v>0.51900000000000002</v>
      </c>
      <c r="AC1756" s="69">
        <v>11</v>
      </c>
      <c r="AD1756" s="360">
        <v>420</v>
      </c>
      <c r="AE1756" s="354">
        <v>340</v>
      </c>
      <c r="AF1756" s="354">
        <v>240</v>
      </c>
      <c r="AG1756" s="66">
        <f t="shared" si="71"/>
        <v>89.342857142857142</v>
      </c>
      <c r="AH1756" s="143">
        <f t="shared" si="72"/>
        <v>1000</v>
      </c>
      <c r="AI1756" s="361"/>
      <c r="AJ1756" s="361"/>
      <c r="AK1756" s="361"/>
    </row>
    <row r="1757" spans="1:148" x14ac:dyDescent="0.3">
      <c r="A1757" s="354">
        <v>903779</v>
      </c>
      <c r="B1757" s="355">
        <v>8.1</v>
      </c>
      <c r="C1757" s="354"/>
      <c r="D1757" s="354">
        <v>8.8000000000000007</v>
      </c>
      <c r="E1757" s="1546">
        <v>0.36</v>
      </c>
      <c r="F1757" s="357">
        <v>230</v>
      </c>
      <c r="G1757" s="354"/>
      <c r="H1757" s="357">
        <v>27</v>
      </c>
      <c r="I1757" s="354">
        <v>150</v>
      </c>
      <c r="J1757" s="354">
        <v>0.22</v>
      </c>
      <c r="K1757" s="354">
        <v>7.49</v>
      </c>
      <c r="L1757" s="354">
        <v>570</v>
      </c>
      <c r="M1757" s="354">
        <v>0.7</v>
      </c>
      <c r="N1757" s="354">
        <v>0.99</v>
      </c>
      <c r="O1757" s="354">
        <v>5.16</v>
      </c>
      <c r="P1757" s="354">
        <v>6.91</v>
      </c>
      <c r="Q1757" s="354"/>
      <c r="R1757" s="356">
        <v>1.135</v>
      </c>
      <c r="S1757" s="354">
        <v>7.6</v>
      </c>
      <c r="T1757" s="358"/>
      <c r="U1757" s="354"/>
      <c r="V1757" s="359"/>
      <c r="W1757" s="359"/>
      <c r="X1757" s="354"/>
      <c r="Y1757" s="354">
        <v>29.4</v>
      </c>
      <c r="Z1757" s="354"/>
      <c r="AA1757" s="68">
        <v>4.32</v>
      </c>
      <c r="AB1757" s="68">
        <v>0.52500000000000002</v>
      </c>
      <c r="AC1757" s="69">
        <v>7.1</v>
      </c>
      <c r="AD1757" s="360">
        <v>420</v>
      </c>
      <c r="AE1757" s="354">
        <v>380</v>
      </c>
      <c r="AF1757" s="354">
        <v>200</v>
      </c>
      <c r="AG1757" s="66">
        <f t="shared" si="71"/>
        <v>90.185714285714297</v>
      </c>
      <c r="AH1757" s="143">
        <f t="shared" si="72"/>
        <v>1000</v>
      </c>
      <c r="AI1757" s="361"/>
      <c r="AJ1757" s="361"/>
      <c r="AK1757" s="361"/>
    </row>
    <row r="1758" spans="1:148" x14ac:dyDescent="0.3">
      <c r="A1758" s="354">
        <v>903780</v>
      </c>
      <c r="B1758" s="355">
        <v>31</v>
      </c>
      <c r="C1758" s="355">
        <v>15.3</v>
      </c>
      <c r="D1758" s="354">
        <v>8.73</v>
      </c>
      <c r="E1758" s="1546">
        <v>0.53</v>
      </c>
      <c r="F1758" s="357">
        <v>463</v>
      </c>
      <c r="G1758" s="354"/>
      <c r="H1758" s="357">
        <v>43</v>
      </c>
      <c r="I1758" s="354">
        <v>190</v>
      </c>
      <c r="J1758" s="354">
        <v>0.68400000000000005</v>
      </c>
      <c r="K1758" s="354">
        <v>12.02</v>
      </c>
      <c r="L1758" s="354">
        <v>970</v>
      </c>
      <c r="M1758" s="354">
        <v>1.55</v>
      </c>
      <c r="N1758" s="354">
        <v>0.55000000000000004</v>
      </c>
      <c r="O1758" s="354">
        <v>3.46</v>
      </c>
      <c r="P1758" s="354">
        <v>9.51</v>
      </c>
      <c r="Q1758" s="354"/>
      <c r="R1758" s="356">
        <v>1.6990000000000001</v>
      </c>
      <c r="S1758" s="354">
        <v>13.6</v>
      </c>
      <c r="T1758" s="358"/>
      <c r="U1758" s="354"/>
      <c r="V1758" s="359"/>
      <c r="W1758" s="359"/>
      <c r="X1758" s="354"/>
      <c r="Y1758" s="354">
        <v>39.200000000000003</v>
      </c>
      <c r="Z1758" s="354"/>
      <c r="AA1758" s="68">
        <v>4.38</v>
      </c>
      <c r="AB1758" s="68">
        <v>0.622</v>
      </c>
      <c r="AC1758" s="69">
        <v>8</v>
      </c>
      <c r="AD1758" s="360">
        <v>560</v>
      </c>
      <c r="AE1758" s="354">
        <v>300</v>
      </c>
      <c r="AF1758" s="354">
        <v>140</v>
      </c>
      <c r="AG1758" s="66">
        <f t="shared" si="71"/>
        <v>108.54795918367346</v>
      </c>
      <c r="AH1758" s="143">
        <f t="shared" si="72"/>
        <v>1000</v>
      </c>
      <c r="AI1758" s="361"/>
      <c r="AJ1758" s="361"/>
      <c r="AK1758" s="361"/>
    </row>
    <row r="1759" spans="1:148" x14ac:dyDescent="0.3">
      <c r="A1759" s="370">
        <v>903781</v>
      </c>
      <c r="B1759" s="371">
        <v>11.9</v>
      </c>
      <c r="C1759" s="371">
        <v>7.5</v>
      </c>
      <c r="D1759" s="370">
        <v>8.59</v>
      </c>
      <c r="E1759" s="1548">
        <v>0.91</v>
      </c>
      <c r="F1759" s="373">
        <v>905</v>
      </c>
      <c r="G1759" s="370"/>
      <c r="H1759" s="373">
        <v>77</v>
      </c>
      <c r="I1759" s="370">
        <v>370</v>
      </c>
      <c r="J1759" s="370">
        <v>0.98599999999999999</v>
      </c>
      <c r="K1759" s="370">
        <v>11.04</v>
      </c>
      <c r="L1759" s="370">
        <v>840</v>
      </c>
      <c r="M1759" s="370">
        <v>1.88</v>
      </c>
      <c r="N1759" s="370">
        <v>0.3</v>
      </c>
      <c r="O1759" s="370">
        <v>3.4</v>
      </c>
      <c r="P1759" s="370">
        <v>7.71</v>
      </c>
      <c r="Q1759" s="370"/>
      <c r="R1759" s="372">
        <v>2.0859999999999999</v>
      </c>
      <c r="S1759" s="370">
        <v>29.4</v>
      </c>
      <c r="T1759" s="374"/>
      <c r="U1759" s="370"/>
      <c r="V1759" s="375"/>
      <c r="W1759" s="375"/>
      <c r="X1759" s="370"/>
      <c r="Y1759" s="370">
        <v>28</v>
      </c>
      <c r="Z1759" s="370"/>
      <c r="AA1759" s="68">
        <v>4.7699999999999996</v>
      </c>
      <c r="AB1759" s="68">
        <v>0.57599999999999996</v>
      </c>
      <c r="AC1759" s="69">
        <v>8.3000000000000007</v>
      </c>
      <c r="AD1759" s="376">
        <v>400</v>
      </c>
      <c r="AE1759" s="370">
        <v>320</v>
      </c>
      <c r="AF1759" s="370">
        <v>280</v>
      </c>
      <c r="AG1759" s="66">
        <f t="shared" si="71"/>
        <v>139.57714285714283</v>
      </c>
      <c r="AH1759" s="143">
        <f t="shared" si="72"/>
        <v>1000</v>
      </c>
      <c r="AI1759" s="377"/>
      <c r="AJ1759" s="377"/>
      <c r="AK1759" s="377"/>
    </row>
    <row r="1760" spans="1:148" x14ac:dyDescent="0.3">
      <c r="A1760" s="370">
        <v>903782</v>
      </c>
      <c r="B1760" s="371">
        <v>13.5</v>
      </c>
      <c r="C1760" s="371">
        <v>9.9</v>
      </c>
      <c r="D1760" s="370">
        <v>8.65</v>
      </c>
      <c r="E1760" s="1548">
        <v>0.88</v>
      </c>
      <c r="F1760" s="373">
        <v>871</v>
      </c>
      <c r="G1760" s="370"/>
      <c r="H1760" s="373">
        <v>86</v>
      </c>
      <c r="I1760" s="370">
        <v>320</v>
      </c>
      <c r="J1760" s="370">
        <v>0.96</v>
      </c>
      <c r="K1760" s="370">
        <v>9.94</v>
      </c>
      <c r="L1760" s="370">
        <v>790</v>
      </c>
      <c r="M1760" s="370">
        <v>1.48</v>
      </c>
      <c r="N1760" s="370">
        <v>0.27</v>
      </c>
      <c r="O1760" s="370">
        <v>1.92</v>
      </c>
      <c r="P1760" s="370">
        <v>6.52</v>
      </c>
      <c r="Q1760" s="370"/>
      <c r="R1760" s="372">
        <v>2.1120000000000001</v>
      </c>
      <c r="S1760" s="370">
        <v>31.5</v>
      </c>
      <c r="T1760" s="374"/>
      <c r="U1760" s="370"/>
      <c r="V1760" s="375"/>
      <c r="W1760" s="375"/>
      <c r="X1760" s="370"/>
      <c r="Y1760" s="370">
        <v>28.7</v>
      </c>
      <c r="Z1760" s="370"/>
      <c r="AA1760" s="68">
        <v>3.63</v>
      </c>
      <c r="AB1760" s="68">
        <v>0.25</v>
      </c>
      <c r="AC1760" s="69">
        <v>9.6999999999999993</v>
      </c>
      <c r="AD1760" s="376">
        <v>410</v>
      </c>
      <c r="AE1760" s="370">
        <v>290</v>
      </c>
      <c r="AF1760" s="370">
        <v>300</v>
      </c>
      <c r="AG1760" s="66">
        <f t="shared" si="71"/>
        <v>122.60487804878048</v>
      </c>
      <c r="AH1760" s="143">
        <f t="shared" si="72"/>
        <v>1000</v>
      </c>
      <c r="AI1760" s="377"/>
      <c r="AJ1760" s="377"/>
      <c r="AK1760" s="377"/>
    </row>
    <row r="1761" spans="1:37" x14ac:dyDescent="0.3">
      <c r="A1761" s="354">
        <v>903783</v>
      </c>
      <c r="B1761" s="355">
        <v>0.9</v>
      </c>
      <c r="C1761" s="354"/>
      <c r="D1761" s="354">
        <v>8.6999999999999993</v>
      </c>
      <c r="E1761" s="1546">
        <v>0.7</v>
      </c>
      <c r="F1761" s="357">
        <v>785</v>
      </c>
      <c r="G1761" s="354"/>
      <c r="H1761" s="357">
        <v>22</v>
      </c>
      <c r="I1761" s="354">
        <v>110</v>
      </c>
      <c r="J1761" s="354">
        <v>0.56399999999999995</v>
      </c>
      <c r="K1761" s="354">
        <v>9.56</v>
      </c>
      <c r="L1761" s="354">
        <v>660</v>
      </c>
      <c r="M1761" s="354">
        <v>0.26</v>
      </c>
      <c r="N1761" s="354">
        <v>1.1000000000000001</v>
      </c>
      <c r="O1761" s="354">
        <v>2.91</v>
      </c>
      <c r="P1761" s="354">
        <v>2.37</v>
      </c>
      <c r="Q1761" s="354"/>
      <c r="R1761" s="356">
        <v>0.85899999999999999</v>
      </c>
      <c r="S1761" s="354">
        <v>5.9</v>
      </c>
      <c r="T1761" s="358"/>
      <c r="U1761" s="354"/>
      <c r="V1761" s="359"/>
      <c r="W1761" s="359"/>
      <c r="X1761" s="354"/>
      <c r="Y1761" s="354">
        <v>33.6</v>
      </c>
      <c r="Z1761" s="354"/>
      <c r="AA1761" s="68">
        <v>4.66</v>
      </c>
      <c r="AB1761" s="68">
        <v>0.36299999999999999</v>
      </c>
      <c r="AC1761" s="69">
        <v>11.8</v>
      </c>
      <c r="AD1761" s="360">
        <v>480</v>
      </c>
      <c r="AE1761" s="354">
        <v>380</v>
      </c>
      <c r="AF1761" s="354">
        <v>140</v>
      </c>
      <c r="AG1761" s="66">
        <f t="shared" si="71"/>
        <v>100.72142857142859</v>
      </c>
      <c r="AH1761" s="143">
        <f t="shared" si="72"/>
        <v>1000</v>
      </c>
      <c r="AI1761" s="361"/>
      <c r="AJ1761" s="361"/>
      <c r="AK1761" s="361"/>
    </row>
    <row r="1762" spans="1:37" x14ac:dyDescent="0.3">
      <c r="A1762" s="354">
        <v>903784</v>
      </c>
      <c r="B1762" s="355">
        <v>1.7</v>
      </c>
      <c r="C1762" s="354"/>
      <c r="D1762" s="354">
        <v>8.57</v>
      </c>
      <c r="E1762" s="1546">
        <v>1.79</v>
      </c>
      <c r="F1762" s="357">
        <v>2135</v>
      </c>
      <c r="G1762" s="354"/>
      <c r="H1762" s="357">
        <v>35</v>
      </c>
      <c r="I1762" s="354">
        <v>170</v>
      </c>
      <c r="J1762" s="354">
        <v>1.1399999999999999</v>
      </c>
      <c r="K1762" s="354">
        <v>8.41</v>
      </c>
      <c r="L1762" s="354">
        <v>960</v>
      </c>
      <c r="M1762" s="354">
        <v>0.38</v>
      </c>
      <c r="N1762" s="354">
        <v>1.53</v>
      </c>
      <c r="O1762" s="354">
        <v>1.52</v>
      </c>
      <c r="P1762" s="354">
        <v>2.2000000000000002</v>
      </c>
      <c r="Q1762" s="354"/>
      <c r="R1762" s="356">
        <v>1.198</v>
      </c>
      <c r="S1762" s="354">
        <v>8.6</v>
      </c>
      <c r="T1762" s="358"/>
      <c r="U1762" s="354"/>
      <c r="V1762" s="359"/>
      <c r="W1762" s="359"/>
      <c r="X1762" s="354"/>
      <c r="Y1762" s="354">
        <v>32.200000000000003</v>
      </c>
      <c r="Z1762" s="354"/>
      <c r="AA1762" s="68">
        <v>4.32</v>
      </c>
      <c r="AB1762" s="68">
        <v>0.44700000000000001</v>
      </c>
      <c r="AC1762" s="69">
        <v>9.1999999999999993</v>
      </c>
      <c r="AD1762" s="360">
        <v>460</v>
      </c>
      <c r="AE1762" s="354">
        <v>400</v>
      </c>
      <c r="AF1762" s="354">
        <v>140</v>
      </c>
      <c r="AG1762" s="66">
        <f t="shared" si="71"/>
        <v>92.457763975155274</v>
      </c>
      <c r="AH1762" s="143">
        <f t="shared" si="72"/>
        <v>1000</v>
      </c>
      <c r="AI1762" s="361"/>
      <c r="AJ1762" s="361"/>
      <c r="AK1762" s="361"/>
    </row>
    <row r="1763" spans="1:37" x14ac:dyDescent="0.3">
      <c r="A1763" s="354">
        <v>903785</v>
      </c>
      <c r="B1763" s="355">
        <v>1.8</v>
      </c>
      <c r="C1763" s="354"/>
      <c r="D1763" s="354">
        <v>8.69</v>
      </c>
      <c r="E1763" s="1546">
        <v>0.74</v>
      </c>
      <c r="F1763" s="357">
        <v>927</v>
      </c>
      <c r="G1763" s="354"/>
      <c r="H1763" s="357">
        <v>34</v>
      </c>
      <c r="I1763" s="354">
        <v>100</v>
      </c>
      <c r="J1763" s="354">
        <v>0.49199999999999999</v>
      </c>
      <c r="K1763" s="354">
        <v>7.79</v>
      </c>
      <c r="L1763" s="354">
        <v>670</v>
      </c>
      <c r="M1763" s="354">
        <v>0.56999999999999995</v>
      </c>
      <c r="N1763" s="354">
        <v>1.21</v>
      </c>
      <c r="O1763" s="354">
        <v>2.36</v>
      </c>
      <c r="P1763" s="354">
        <v>2.2200000000000002</v>
      </c>
      <c r="Q1763" s="354"/>
      <c r="R1763" s="356">
        <v>1.222</v>
      </c>
      <c r="S1763" s="354">
        <v>8.8000000000000007</v>
      </c>
      <c r="T1763" s="358"/>
      <c r="U1763" s="354"/>
      <c r="V1763" s="359"/>
      <c r="W1763" s="359"/>
      <c r="X1763" s="354"/>
      <c r="Y1763" s="354">
        <v>31.5</v>
      </c>
      <c r="Z1763" s="354"/>
      <c r="AA1763" s="68">
        <v>4.3499999999999996</v>
      </c>
      <c r="AB1763" s="68">
        <v>0.51800000000000002</v>
      </c>
      <c r="AC1763" s="69">
        <v>10.7</v>
      </c>
      <c r="AD1763" s="360">
        <v>450</v>
      </c>
      <c r="AE1763" s="354">
        <v>400</v>
      </c>
      <c r="AF1763" s="354">
        <v>150</v>
      </c>
      <c r="AG1763" s="66">
        <f t="shared" si="71"/>
        <v>87.544761904761899</v>
      </c>
      <c r="AH1763" s="143">
        <f t="shared" si="72"/>
        <v>1000</v>
      </c>
      <c r="AI1763" s="361"/>
      <c r="AJ1763" s="361"/>
      <c r="AK1763" s="361"/>
    </row>
    <row r="1764" spans="1:37" x14ac:dyDescent="0.3">
      <c r="A1764" s="370">
        <v>903786</v>
      </c>
      <c r="B1764" s="371">
        <v>0</v>
      </c>
      <c r="C1764" s="370"/>
      <c r="D1764" s="370">
        <v>7.6</v>
      </c>
      <c r="E1764" s="1548">
        <v>0.1</v>
      </c>
      <c r="F1764" s="373">
        <v>60</v>
      </c>
      <c r="G1764" s="370"/>
      <c r="H1764" s="373">
        <v>63</v>
      </c>
      <c r="I1764" s="370">
        <v>150</v>
      </c>
      <c r="J1764" s="370">
        <v>0.03</v>
      </c>
      <c r="K1764" s="370">
        <v>4.6500000000000004</v>
      </c>
      <c r="L1764" s="370">
        <v>150</v>
      </c>
      <c r="M1764" s="370">
        <v>1.0900000000000001</v>
      </c>
      <c r="N1764" s="370">
        <v>0.19</v>
      </c>
      <c r="O1764" s="370">
        <v>2.9</v>
      </c>
      <c r="P1764" s="370">
        <v>19.559999999999999</v>
      </c>
      <c r="Q1764" s="370"/>
      <c r="R1764" s="372">
        <v>1.2410000000000001</v>
      </c>
      <c r="S1764" s="370">
        <v>8.8000000000000007</v>
      </c>
      <c r="T1764" s="374"/>
      <c r="U1764" s="370"/>
      <c r="V1764" s="375"/>
      <c r="W1764" s="375"/>
      <c r="X1764" s="370"/>
      <c r="Y1764" s="370">
        <v>9.8000000000000007</v>
      </c>
      <c r="Z1764" s="370"/>
      <c r="AA1764" s="68">
        <v>4.3099999999999996</v>
      </c>
      <c r="AB1764" s="68">
        <v>0.83099999999999996</v>
      </c>
      <c r="AC1764" s="69">
        <v>7.9</v>
      </c>
      <c r="AD1764" s="376">
        <v>140</v>
      </c>
      <c r="AE1764" s="370">
        <v>100</v>
      </c>
      <c r="AF1764" s="370">
        <v>760</v>
      </c>
      <c r="AG1764" s="66">
        <f t="shared" si="71"/>
        <v>167.96938775510205</v>
      </c>
      <c r="AH1764" s="143">
        <f t="shared" si="72"/>
        <v>1000</v>
      </c>
      <c r="AI1764" s="377"/>
      <c r="AJ1764" s="377"/>
      <c r="AK1764" s="377"/>
    </row>
    <row r="1765" spans="1:37" x14ac:dyDescent="0.3">
      <c r="A1765" s="370">
        <v>903787</v>
      </c>
      <c r="B1765" s="371">
        <v>0</v>
      </c>
      <c r="C1765" s="370"/>
      <c r="D1765" s="370">
        <v>7.72</v>
      </c>
      <c r="E1765" s="1548">
        <v>0.03</v>
      </c>
      <c r="F1765" s="373">
        <v>49</v>
      </c>
      <c r="G1765" s="370"/>
      <c r="H1765" s="373">
        <v>29</v>
      </c>
      <c r="I1765" s="370">
        <v>50</v>
      </c>
      <c r="J1765" s="370">
        <v>8.0000000000000002E-3</v>
      </c>
      <c r="K1765" s="370">
        <v>3.41</v>
      </c>
      <c r="L1765" s="370">
        <v>80</v>
      </c>
      <c r="M1765" s="370">
        <v>0.22</v>
      </c>
      <c r="N1765" s="370">
        <v>0.16</v>
      </c>
      <c r="O1765" s="370">
        <v>1.96</v>
      </c>
      <c r="P1765" s="370">
        <v>19.13</v>
      </c>
      <c r="Q1765" s="370"/>
      <c r="R1765" s="372">
        <v>0.81899999999999995</v>
      </c>
      <c r="S1765" s="370">
        <v>5.7</v>
      </c>
      <c r="T1765" s="374"/>
      <c r="U1765" s="370"/>
      <c r="V1765" s="375"/>
      <c r="W1765" s="375"/>
      <c r="X1765" s="370"/>
      <c r="Y1765" s="370">
        <v>7.7</v>
      </c>
      <c r="Z1765" s="370"/>
      <c r="AA1765" s="68">
        <v>4.38</v>
      </c>
      <c r="AB1765" s="68">
        <v>0.85299999999999998</v>
      </c>
      <c r="AC1765" s="69">
        <v>9.5</v>
      </c>
      <c r="AD1765" s="376">
        <v>110</v>
      </c>
      <c r="AE1765" s="370">
        <v>110</v>
      </c>
      <c r="AF1765" s="370">
        <v>780</v>
      </c>
      <c r="AG1765" s="66">
        <f t="shared" si="71"/>
        <v>156.77142857142857</v>
      </c>
      <c r="AH1765" s="143">
        <f t="shared" si="72"/>
        <v>1000</v>
      </c>
      <c r="AI1765" s="377"/>
      <c r="AJ1765" s="377"/>
      <c r="AK1765" s="377"/>
    </row>
    <row r="1766" spans="1:37" x14ac:dyDescent="0.3">
      <c r="A1766" s="362">
        <v>903788</v>
      </c>
      <c r="B1766" s="363">
        <v>0.1</v>
      </c>
      <c r="C1766" s="362"/>
      <c r="D1766" s="362">
        <v>6.02</v>
      </c>
      <c r="E1766" s="1547">
        <v>0.15</v>
      </c>
      <c r="F1766" s="365">
        <v>115</v>
      </c>
      <c r="G1766" s="362"/>
      <c r="H1766" s="365">
        <v>14</v>
      </c>
      <c r="I1766" s="362">
        <v>380</v>
      </c>
      <c r="J1766" s="362">
        <v>0.52400000000000002</v>
      </c>
      <c r="K1766" s="362">
        <v>3.65</v>
      </c>
      <c r="L1766" s="362">
        <v>1880</v>
      </c>
      <c r="M1766" s="362">
        <v>5.24</v>
      </c>
      <c r="N1766" s="362">
        <v>2.73</v>
      </c>
      <c r="O1766" s="362">
        <v>0.74</v>
      </c>
      <c r="P1766" s="362">
        <v>89.71</v>
      </c>
      <c r="Q1766" s="362"/>
      <c r="R1766" s="364">
        <v>1.1339999999999999</v>
      </c>
      <c r="S1766" s="362">
        <v>7.9</v>
      </c>
      <c r="T1766" s="366"/>
      <c r="U1766" s="362"/>
      <c r="V1766" s="367"/>
      <c r="W1766" s="367"/>
      <c r="X1766" s="362"/>
      <c r="Y1766" s="362">
        <v>43.4</v>
      </c>
      <c r="Z1766" s="362">
        <v>4.76</v>
      </c>
      <c r="AA1766" s="68">
        <v>4.88</v>
      </c>
      <c r="AB1766" s="68">
        <v>0.73199999999999998</v>
      </c>
      <c r="AC1766" s="69">
        <v>6.5</v>
      </c>
      <c r="AD1766" s="368">
        <v>620</v>
      </c>
      <c r="AE1766" s="362">
        <v>280</v>
      </c>
      <c r="AF1766" s="362">
        <v>100</v>
      </c>
      <c r="AG1766" s="66">
        <f t="shared" si="71"/>
        <v>29.771889400921658</v>
      </c>
      <c r="AH1766" s="143">
        <f t="shared" si="72"/>
        <v>1000</v>
      </c>
      <c r="AI1766" s="369"/>
      <c r="AJ1766" s="369"/>
      <c r="AK1766" s="369"/>
    </row>
    <row r="1767" spans="1:37" x14ac:dyDescent="0.3">
      <c r="A1767" s="362">
        <v>903789</v>
      </c>
      <c r="B1767" s="363">
        <v>0</v>
      </c>
      <c r="C1767" s="362"/>
      <c r="D1767" s="362">
        <v>6.44</v>
      </c>
      <c r="E1767" s="1547">
        <v>0.03</v>
      </c>
      <c r="F1767" s="365">
        <v>64</v>
      </c>
      <c r="G1767" s="362"/>
      <c r="H1767" s="365">
        <v>11</v>
      </c>
      <c r="I1767" s="362">
        <v>200</v>
      </c>
      <c r="J1767" s="362">
        <v>0.23699999999999999</v>
      </c>
      <c r="K1767" s="362">
        <v>3.6</v>
      </c>
      <c r="L1767" s="362">
        <v>1310</v>
      </c>
      <c r="M1767" s="362">
        <v>4.78</v>
      </c>
      <c r="N1767" s="362">
        <v>2.46</v>
      </c>
      <c r="O1767" s="362">
        <v>0.77</v>
      </c>
      <c r="P1767" s="362">
        <v>73.25</v>
      </c>
      <c r="Q1767" s="362"/>
      <c r="R1767" s="364">
        <v>0.46700000000000003</v>
      </c>
      <c r="S1767" s="362">
        <v>3.5</v>
      </c>
      <c r="T1767" s="366"/>
      <c r="U1767" s="362"/>
      <c r="V1767" s="367"/>
      <c r="W1767" s="367"/>
      <c r="X1767" s="362"/>
      <c r="Y1767" s="362">
        <v>42.7</v>
      </c>
      <c r="Z1767" s="362">
        <v>5.05</v>
      </c>
      <c r="AA1767" s="68">
        <v>3.66</v>
      </c>
      <c r="AB1767" s="68">
        <v>0.26400000000000001</v>
      </c>
      <c r="AC1767" s="69">
        <v>6.2</v>
      </c>
      <c r="AD1767" s="368">
        <v>610</v>
      </c>
      <c r="AE1767" s="362">
        <v>280</v>
      </c>
      <c r="AF1767" s="362">
        <v>110</v>
      </c>
      <c r="AG1767" s="66">
        <f t="shared" si="71"/>
        <v>29.84543325526932</v>
      </c>
      <c r="AH1767" s="143">
        <f t="shared" si="72"/>
        <v>1000</v>
      </c>
      <c r="AI1767" s="369"/>
      <c r="AJ1767" s="369"/>
      <c r="AK1767" s="369"/>
    </row>
    <row r="1768" spans="1:37" x14ac:dyDescent="0.3">
      <c r="A1768" s="354">
        <v>903790</v>
      </c>
      <c r="B1768" s="355">
        <v>25</v>
      </c>
      <c r="C1768" s="355">
        <v>10.4</v>
      </c>
      <c r="D1768" s="354">
        <v>8.74</v>
      </c>
      <c r="E1768" s="1546">
        <v>0.12</v>
      </c>
      <c r="F1768" s="357">
        <v>81</v>
      </c>
      <c r="G1768" s="354"/>
      <c r="H1768" s="357">
        <v>33</v>
      </c>
      <c r="I1768" s="354">
        <v>350</v>
      </c>
      <c r="J1768" s="354">
        <v>0.03</v>
      </c>
      <c r="K1768" s="354">
        <v>16.02</v>
      </c>
      <c r="L1768" s="354">
        <v>330</v>
      </c>
      <c r="M1768" s="354">
        <v>0.48</v>
      </c>
      <c r="N1768" s="354">
        <v>0.81</v>
      </c>
      <c r="O1768" s="354">
        <v>3.02</v>
      </c>
      <c r="P1768" s="354">
        <v>3.63</v>
      </c>
      <c r="Q1768" s="354"/>
      <c r="R1768" s="356">
        <v>1.8120000000000001</v>
      </c>
      <c r="S1768" s="354">
        <v>17</v>
      </c>
      <c r="T1768" s="358"/>
      <c r="U1768" s="354"/>
      <c r="V1768" s="359"/>
      <c r="W1768" s="359"/>
      <c r="X1768" s="354"/>
      <c r="Y1768" s="354">
        <v>38.5</v>
      </c>
      <c r="Z1768" s="354"/>
      <c r="AA1768" s="68">
        <v>4.55</v>
      </c>
      <c r="AB1768" s="68">
        <v>0.72899999999999998</v>
      </c>
      <c r="AC1768" s="69">
        <v>6.2</v>
      </c>
      <c r="AD1768" s="360">
        <v>550</v>
      </c>
      <c r="AE1768" s="354">
        <v>330</v>
      </c>
      <c r="AF1768" s="354">
        <v>120</v>
      </c>
      <c r="AG1768" s="66">
        <f t="shared" si="71"/>
        <v>147.30077922077922</v>
      </c>
      <c r="AH1768" s="143">
        <f t="shared" si="72"/>
        <v>1000</v>
      </c>
      <c r="AI1768" s="361"/>
      <c r="AJ1768" s="361"/>
      <c r="AK1768" s="361"/>
    </row>
    <row r="1769" spans="1:37" x14ac:dyDescent="0.3">
      <c r="A1769" s="354">
        <v>903791</v>
      </c>
      <c r="B1769" s="355">
        <v>25.7</v>
      </c>
      <c r="C1769" s="355">
        <v>11.8</v>
      </c>
      <c r="D1769" s="354">
        <v>876</v>
      </c>
      <c r="E1769" s="1546">
        <v>0.14000000000000001</v>
      </c>
      <c r="F1769" s="357">
        <v>58</v>
      </c>
      <c r="G1769" s="354"/>
      <c r="H1769" s="357">
        <v>48</v>
      </c>
      <c r="I1769" s="354">
        <v>410</v>
      </c>
      <c r="J1769" s="354">
        <v>3.5000000000000003E-2</v>
      </c>
      <c r="K1769" s="354">
        <v>11.15</v>
      </c>
      <c r="L1769" s="354">
        <v>300</v>
      </c>
      <c r="M1769" s="354">
        <v>0.92</v>
      </c>
      <c r="N1769" s="354">
        <v>0.95</v>
      </c>
      <c r="O1769" s="354">
        <v>4.18</v>
      </c>
      <c r="P1769" s="354">
        <v>3.51</v>
      </c>
      <c r="Q1769" s="354"/>
      <c r="R1769" s="356">
        <v>1.7030000000000001</v>
      </c>
      <c r="S1769" s="354">
        <v>13.7</v>
      </c>
      <c r="T1769" s="358"/>
      <c r="U1769" s="354"/>
      <c r="V1769" s="359"/>
      <c r="W1769" s="359"/>
      <c r="X1769" s="354"/>
      <c r="Y1769" s="354">
        <v>37.799999999999997</v>
      </c>
      <c r="Z1769" s="354"/>
      <c r="AA1769" s="68">
        <v>4.0599999999999996</v>
      </c>
      <c r="AB1769" s="68">
        <v>0.34699999999999998</v>
      </c>
      <c r="AC1769" s="69">
        <v>8.3000000000000007</v>
      </c>
      <c r="AD1769" s="360">
        <v>540</v>
      </c>
      <c r="AE1769" s="354">
        <v>330</v>
      </c>
      <c r="AF1769" s="354">
        <v>130</v>
      </c>
      <c r="AG1769" s="66">
        <f t="shared" si="71"/>
        <v>104.42063492063494</v>
      </c>
      <c r="AH1769" s="143">
        <f t="shared" si="72"/>
        <v>1000</v>
      </c>
      <c r="AI1769" s="361"/>
      <c r="AJ1769" s="361"/>
      <c r="AK1769" s="361"/>
    </row>
    <row r="1770" spans="1:37" x14ac:dyDescent="0.3">
      <c r="A1770" s="354">
        <v>903792</v>
      </c>
      <c r="B1770" s="355">
        <v>38.299999999999997</v>
      </c>
      <c r="C1770" s="355">
        <v>10.3</v>
      </c>
      <c r="D1770" s="354">
        <v>8.84</v>
      </c>
      <c r="E1770" s="1546">
        <v>0.14000000000000001</v>
      </c>
      <c r="F1770" s="357">
        <v>60</v>
      </c>
      <c r="G1770" s="354"/>
      <c r="H1770" s="357">
        <v>35</v>
      </c>
      <c r="I1770" s="354">
        <v>290</v>
      </c>
      <c r="J1770" s="354">
        <v>5.0999999999999997E-2</v>
      </c>
      <c r="K1770" s="354">
        <v>12.89</v>
      </c>
      <c r="L1770" s="354">
        <v>430</v>
      </c>
      <c r="M1770" s="354">
        <v>2.25</v>
      </c>
      <c r="N1770" s="354">
        <v>2.97</v>
      </c>
      <c r="O1770" s="354">
        <v>3.57</v>
      </c>
      <c r="P1770" s="354">
        <v>3.62</v>
      </c>
      <c r="Q1770" s="354"/>
      <c r="R1770" s="356">
        <v>1.7869999999999999</v>
      </c>
      <c r="S1770" s="354">
        <v>16.2</v>
      </c>
      <c r="T1770" s="358"/>
      <c r="U1770" s="354"/>
      <c r="V1770" s="359"/>
      <c r="W1770" s="359"/>
      <c r="X1770" s="354"/>
      <c r="Y1770" s="354">
        <v>39.200000000000003</v>
      </c>
      <c r="Z1770" s="354"/>
      <c r="AA1770" s="68">
        <v>4.88</v>
      </c>
      <c r="AB1770" s="68">
        <v>0.26</v>
      </c>
      <c r="AC1770" s="69">
        <v>9.6999999999999993</v>
      </c>
      <c r="AD1770" s="360">
        <v>560</v>
      </c>
      <c r="AE1770" s="354">
        <v>320</v>
      </c>
      <c r="AF1770" s="354">
        <v>120</v>
      </c>
      <c r="AG1770" s="66">
        <f t="shared" si="71"/>
        <v>116.4045918367347</v>
      </c>
      <c r="AH1770" s="143">
        <f t="shared" si="72"/>
        <v>1000</v>
      </c>
      <c r="AI1770" s="361"/>
      <c r="AJ1770" s="361"/>
      <c r="AK1770" s="361"/>
    </row>
    <row r="1771" spans="1:37" s="415" customFormat="1" x14ac:dyDescent="0.3">
      <c r="A1771" s="407">
        <v>903793</v>
      </c>
      <c r="B1771" s="408">
        <v>8.19</v>
      </c>
      <c r="C1771" s="408"/>
      <c r="D1771" s="407">
        <v>8.5500000000000007</v>
      </c>
      <c r="E1771" s="1549">
        <v>0.215</v>
      </c>
      <c r="F1771" s="410">
        <v>69.900000000000006</v>
      </c>
      <c r="G1771" s="407"/>
      <c r="H1771" s="410">
        <v>178.39</v>
      </c>
      <c r="I1771" s="407">
        <v>410</v>
      </c>
      <c r="J1771" s="407">
        <v>0.05</v>
      </c>
      <c r="K1771" s="407">
        <v>6.45</v>
      </c>
      <c r="L1771" s="407">
        <v>550</v>
      </c>
      <c r="M1771" s="407">
        <v>3.41</v>
      </c>
      <c r="N1771" s="407">
        <v>1.75</v>
      </c>
      <c r="O1771" s="407">
        <v>1.1200000000000001</v>
      </c>
      <c r="P1771" s="407">
        <v>4.5199999999999996</v>
      </c>
      <c r="Q1771" s="407"/>
      <c r="R1771" s="409">
        <v>1.2458324858989109</v>
      </c>
      <c r="S1771" s="407">
        <v>9.3000000000000007</v>
      </c>
      <c r="T1771" s="411"/>
      <c r="U1771" s="407"/>
      <c r="V1771" s="412"/>
      <c r="W1771" s="412"/>
      <c r="X1771" s="407"/>
      <c r="Y1771" s="67">
        <v>5</v>
      </c>
      <c r="Z1771" s="407"/>
      <c r="AA1771" s="68">
        <v>4.6500000000000004</v>
      </c>
      <c r="AB1771" s="68">
        <v>0.81299999999999994</v>
      </c>
      <c r="AC1771" s="69">
        <v>9.6999999999999993</v>
      </c>
      <c r="AD1771" s="413">
        <v>100</v>
      </c>
      <c r="AE1771" s="407">
        <v>80</v>
      </c>
      <c r="AF1771" s="407">
        <v>820</v>
      </c>
      <c r="AG1771" s="66">
        <f t="shared" si="71"/>
        <v>456.66</v>
      </c>
      <c r="AH1771" s="143">
        <f t="shared" si="72"/>
        <v>1000</v>
      </c>
      <c r="AI1771" s="414"/>
      <c r="AJ1771" s="414"/>
      <c r="AK1771" s="414"/>
    </row>
    <row r="1772" spans="1:37" s="415" customFormat="1" x14ac:dyDescent="0.3">
      <c r="A1772" s="407">
        <v>903794</v>
      </c>
      <c r="B1772" s="408">
        <v>6.25</v>
      </c>
      <c r="C1772" s="408"/>
      <c r="D1772" s="407">
        <v>8.69</v>
      </c>
      <c r="E1772" s="1549">
        <v>0.22500000000000001</v>
      </c>
      <c r="F1772" s="410">
        <v>68</v>
      </c>
      <c r="G1772" s="407"/>
      <c r="H1772" s="410">
        <v>121.89</v>
      </c>
      <c r="I1772" s="407">
        <v>260</v>
      </c>
      <c r="J1772" s="407">
        <v>0.04</v>
      </c>
      <c r="K1772" s="407">
        <v>5.44</v>
      </c>
      <c r="L1772" s="407">
        <v>430</v>
      </c>
      <c r="M1772" s="407">
        <v>3.34</v>
      </c>
      <c r="N1772" s="407">
        <v>1.59</v>
      </c>
      <c r="O1772" s="407">
        <v>1.27</v>
      </c>
      <c r="P1772" s="407">
        <v>3.31</v>
      </c>
      <c r="Q1772" s="407"/>
      <c r="R1772" s="409">
        <v>1.666817</v>
      </c>
      <c r="S1772" s="407">
        <v>12.7</v>
      </c>
      <c r="T1772" s="411"/>
      <c r="U1772" s="407"/>
      <c r="V1772" s="412"/>
      <c r="W1772" s="412"/>
      <c r="X1772" s="407"/>
      <c r="Y1772" s="67">
        <v>5.5</v>
      </c>
      <c r="Z1772" s="407"/>
      <c r="AA1772" s="68">
        <v>4.1100000000000003</v>
      </c>
      <c r="AB1772" s="68">
        <v>0.53700000000000003</v>
      </c>
      <c r="AC1772" s="69">
        <v>7.1</v>
      </c>
      <c r="AD1772" s="413">
        <v>110</v>
      </c>
      <c r="AE1772" s="407">
        <v>80</v>
      </c>
      <c r="AF1772" s="407">
        <v>810</v>
      </c>
      <c r="AG1772" s="66">
        <f t="shared" si="71"/>
        <v>350.13818181818181</v>
      </c>
      <c r="AH1772" s="143">
        <f t="shared" si="72"/>
        <v>1000</v>
      </c>
      <c r="AI1772" s="414"/>
      <c r="AJ1772" s="414"/>
      <c r="AK1772" s="414"/>
    </row>
    <row r="1773" spans="1:37" s="415" customFormat="1" x14ac:dyDescent="0.3">
      <c r="A1773" s="407">
        <v>903795</v>
      </c>
      <c r="B1773" s="408">
        <v>5.97</v>
      </c>
      <c r="C1773" s="408"/>
      <c r="D1773" s="407">
        <v>8.5500000000000007</v>
      </c>
      <c r="E1773" s="1549">
        <v>0.18</v>
      </c>
      <c r="F1773" s="410">
        <v>60.2</v>
      </c>
      <c r="G1773" s="407"/>
      <c r="H1773" s="410">
        <v>170.54</v>
      </c>
      <c r="I1773" s="407">
        <v>300</v>
      </c>
      <c r="J1773" s="407">
        <v>3.2000000000000001E-2</v>
      </c>
      <c r="K1773" s="407">
        <v>5.07</v>
      </c>
      <c r="L1773" s="407">
        <v>410</v>
      </c>
      <c r="M1773" s="407">
        <v>3.29</v>
      </c>
      <c r="N1773" s="407">
        <v>1.27</v>
      </c>
      <c r="O1773" s="407">
        <v>1.33</v>
      </c>
      <c r="P1773" s="407">
        <v>3.68</v>
      </c>
      <c r="Q1773" s="407"/>
      <c r="R1773" s="409">
        <v>1.7064720000000002</v>
      </c>
      <c r="S1773" s="407">
        <v>13.8</v>
      </c>
      <c r="T1773" s="411"/>
      <c r="U1773" s="407"/>
      <c r="V1773" s="412"/>
      <c r="W1773" s="412"/>
      <c r="X1773" s="407"/>
      <c r="Y1773" s="67">
        <v>6</v>
      </c>
      <c r="Z1773" s="407"/>
      <c r="AA1773" s="68">
        <v>3.5</v>
      </c>
      <c r="AB1773" s="68">
        <v>0.57799999999999996</v>
      </c>
      <c r="AC1773" s="69">
        <v>7.6</v>
      </c>
      <c r="AD1773" s="413">
        <v>100</v>
      </c>
      <c r="AE1773" s="407">
        <v>80</v>
      </c>
      <c r="AF1773" s="407">
        <v>820</v>
      </c>
      <c r="AG1773" s="66">
        <f t="shared" si="71"/>
        <v>299.13000000000005</v>
      </c>
      <c r="AH1773" s="143">
        <f t="shared" si="72"/>
        <v>1000</v>
      </c>
      <c r="AI1773" s="414"/>
      <c r="AJ1773" s="414"/>
      <c r="AK1773" s="414"/>
    </row>
    <row r="1774" spans="1:37" s="415" customFormat="1" x14ac:dyDescent="0.3">
      <c r="A1774" s="407">
        <v>903796</v>
      </c>
      <c r="B1774" s="408">
        <v>6.81</v>
      </c>
      <c r="C1774" s="408"/>
      <c r="D1774" s="407">
        <v>8.7200000000000006</v>
      </c>
      <c r="E1774" s="1549">
        <v>0.17599999999999999</v>
      </c>
      <c r="F1774" s="410">
        <v>59.9</v>
      </c>
      <c r="G1774" s="407"/>
      <c r="H1774" s="410">
        <v>80.849999999999994</v>
      </c>
      <c r="I1774" s="407">
        <v>350</v>
      </c>
      <c r="J1774" s="407">
        <v>2.5000000000000001E-2</v>
      </c>
      <c r="K1774" s="407">
        <v>6.12</v>
      </c>
      <c r="L1774" s="407">
        <v>370</v>
      </c>
      <c r="M1774" s="407">
        <v>1.02</v>
      </c>
      <c r="N1774" s="407">
        <v>0.42</v>
      </c>
      <c r="O1774" s="407">
        <v>0.9</v>
      </c>
      <c r="P1774" s="407">
        <v>2.62</v>
      </c>
      <c r="Q1774" s="407"/>
      <c r="R1774" s="409">
        <v>1.1508013793831531</v>
      </c>
      <c r="S1774" s="407">
        <v>8.1</v>
      </c>
      <c r="T1774" s="411"/>
      <c r="U1774" s="407"/>
      <c r="V1774" s="412"/>
      <c r="W1774" s="412"/>
      <c r="X1774" s="407"/>
      <c r="Y1774" s="67">
        <v>5</v>
      </c>
      <c r="Z1774" s="407"/>
      <c r="AA1774" s="68">
        <v>4.13</v>
      </c>
      <c r="AB1774" s="68">
        <v>0.89</v>
      </c>
      <c r="AC1774" s="69">
        <v>6.6</v>
      </c>
      <c r="AD1774" s="413">
        <v>100</v>
      </c>
      <c r="AE1774" s="407">
        <v>60</v>
      </c>
      <c r="AF1774" s="407">
        <v>840</v>
      </c>
      <c r="AG1774" s="66">
        <f t="shared" si="71"/>
        <v>433.29599999999999</v>
      </c>
      <c r="AH1774" s="143">
        <f t="shared" si="72"/>
        <v>1000</v>
      </c>
      <c r="AI1774" s="414"/>
      <c r="AJ1774" s="414"/>
      <c r="AK1774" s="414"/>
    </row>
    <row r="1775" spans="1:37" s="415" customFormat="1" x14ac:dyDescent="0.3">
      <c r="A1775" s="407">
        <v>903797</v>
      </c>
      <c r="B1775" s="408">
        <v>7.11</v>
      </c>
      <c r="C1775" s="408"/>
      <c r="D1775" s="407">
        <v>8.84</v>
      </c>
      <c r="E1775" s="1549">
        <v>0.189</v>
      </c>
      <c r="F1775" s="410">
        <v>57.4</v>
      </c>
      <c r="G1775" s="407"/>
      <c r="H1775" s="410">
        <v>117.56</v>
      </c>
      <c r="I1775" s="407">
        <v>790</v>
      </c>
      <c r="J1775" s="407">
        <v>8.2000000000000003E-2</v>
      </c>
      <c r="K1775" s="407">
        <v>7.06</v>
      </c>
      <c r="L1775" s="407">
        <v>440</v>
      </c>
      <c r="M1775" s="407">
        <v>1.66</v>
      </c>
      <c r="N1775" s="407">
        <v>1.19</v>
      </c>
      <c r="O1775" s="407">
        <v>2.46</v>
      </c>
      <c r="P1775" s="407">
        <v>4.99</v>
      </c>
      <c r="Q1775" s="407"/>
      <c r="R1775" s="409">
        <v>1.1753919945047011</v>
      </c>
      <c r="S1775" s="407">
        <v>8.3000000000000007</v>
      </c>
      <c r="T1775" s="411"/>
      <c r="U1775" s="407"/>
      <c r="V1775" s="412"/>
      <c r="W1775" s="412"/>
      <c r="X1775" s="407"/>
      <c r="Y1775" s="67">
        <v>6.6</v>
      </c>
      <c r="Z1775" s="407"/>
      <c r="AA1775" s="68">
        <v>3.6</v>
      </c>
      <c r="AB1775" s="68">
        <v>0.41799999999999998</v>
      </c>
      <c r="AC1775" s="69">
        <v>11.5</v>
      </c>
      <c r="AD1775" s="413">
        <v>110</v>
      </c>
      <c r="AE1775" s="407">
        <v>60</v>
      </c>
      <c r="AF1775" s="407">
        <v>830</v>
      </c>
      <c r="AG1775" s="66">
        <f t="shared" si="71"/>
        <v>378.67272727272729</v>
      </c>
      <c r="AH1775" s="143">
        <f t="shared" si="72"/>
        <v>1000</v>
      </c>
      <c r="AI1775" s="414"/>
      <c r="AJ1775" s="414"/>
      <c r="AK1775" s="414"/>
    </row>
    <row r="1776" spans="1:37" s="415" customFormat="1" x14ac:dyDescent="0.3">
      <c r="A1776" s="407">
        <v>903798</v>
      </c>
      <c r="B1776" s="408">
        <v>4.6399999999999997</v>
      </c>
      <c r="C1776" s="408"/>
      <c r="D1776" s="407">
        <v>8.75</v>
      </c>
      <c r="E1776" s="1549">
        <v>0.18</v>
      </c>
      <c r="F1776" s="410">
        <v>90.5</v>
      </c>
      <c r="G1776" s="407"/>
      <c r="H1776" s="410">
        <v>131.82</v>
      </c>
      <c r="I1776" s="407">
        <v>190</v>
      </c>
      <c r="J1776" s="407">
        <v>4.4999999999999998E-2</v>
      </c>
      <c r="K1776" s="407">
        <v>4.17</v>
      </c>
      <c r="L1776" s="407">
        <v>540</v>
      </c>
      <c r="M1776" s="407">
        <v>3.46</v>
      </c>
      <c r="N1776" s="407">
        <v>1.45</v>
      </c>
      <c r="O1776" s="407">
        <v>1.32</v>
      </c>
      <c r="P1776" s="407">
        <v>4.42</v>
      </c>
      <c r="Q1776" s="407"/>
      <c r="R1776" s="409">
        <v>1.1765742664076781</v>
      </c>
      <c r="S1776" s="407">
        <v>8</v>
      </c>
      <c r="T1776" s="411"/>
      <c r="U1776" s="407"/>
      <c r="V1776" s="412"/>
      <c r="W1776" s="412"/>
      <c r="X1776" s="407"/>
      <c r="Y1776" s="67">
        <v>6</v>
      </c>
      <c r="Z1776" s="407"/>
      <c r="AA1776" s="68">
        <v>3.65</v>
      </c>
      <c r="AB1776" s="68">
        <v>0.45900000000000002</v>
      </c>
      <c r="AC1776" s="69">
        <v>9.8000000000000007</v>
      </c>
      <c r="AD1776" s="413">
        <v>120</v>
      </c>
      <c r="AE1776" s="407">
        <v>80</v>
      </c>
      <c r="AF1776" s="407">
        <v>800</v>
      </c>
      <c r="AG1776" s="66">
        <f t="shared" si="71"/>
        <v>246.02999999999997</v>
      </c>
      <c r="AH1776" s="143">
        <f t="shared" si="72"/>
        <v>1000</v>
      </c>
      <c r="AI1776" s="414"/>
      <c r="AJ1776" s="414"/>
      <c r="AK1776" s="414"/>
    </row>
    <row r="1777" spans="1:37" s="415" customFormat="1" x14ac:dyDescent="0.3">
      <c r="A1777" s="407">
        <v>903799</v>
      </c>
      <c r="B1777" s="408">
        <v>6.53</v>
      </c>
      <c r="C1777" s="408"/>
      <c r="D1777" s="407">
        <v>8.4600000000000009</v>
      </c>
      <c r="E1777" s="1549">
        <v>0.16</v>
      </c>
      <c r="F1777" s="410">
        <v>56.6</v>
      </c>
      <c r="G1777" s="407"/>
      <c r="H1777" s="410">
        <v>167.57</v>
      </c>
      <c r="I1777" s="407">
        <v>240</v>
      </c>
      <c r="J1777" s="407">
        <v>2.7E-2</v>
      </c>
      <c r="K1777" s="407">
        <v>4.97</v>
      </c>
      <c r="L1777" s="407">
        <v>530</v>
      </c>
      <c r="M1777" s="407">
        <v>2.13</v>
      </c>
      <c r="N1777" s="407">
        <v>0.77</v>
      </c>
      <c r="O1777" s="407">
        <v>0.84</v>
      </c>
      <c r="P1777" s="407">
        <v>3.8</v>
      </c>
      <c r="Q1777" s="407"/>
      <c r="R1777" s="409">
        <v>1.6482320000000001</v>
      </c>
      <c r="S1777" s="407">
        <v>12.2</v>
      </c>
      <c r="T1777" s="411"/>
      <c r="U1777" s="407"/>
      <c r="V1777" s="412"/>
      <c r="W1777" s="412"/>
      <c r="X1777" s="407"/>
      <c r="Y1777" s="67">
        <v>7.7</v>
      </c>
      <c r="Z1777" s="407"/>
      <c r="AA1777" s="68">
        <v>4.55</v>
      </c>
      <c r="AB1777" s="68">
        <v>0.39400000000000002</v>
      </c>
      <c r="AC1777" s="69">
        <v>7.2</v>
      </c>
      <c r="AD1777" s="413">
        <v>110</v>
      </c>
      <c r="AE1777" s="407">
        <v>70</v>
      </c>
      <c r="AF1777" s="407">
        <v>820</v>
      </c>
      <c r="AG1777" s="66">
        <f t="shared" si="71"/>
        <v>228.49090909090907</v>
      </c>
      <c r="AH1777" s="143">
        <f t="shared" si="72"/>
        <v>1000</v>
      </c>
      <c r="AI1777" s="414"/>
      <c r="AJ1777" s="414"/>
      <c r="AK1777" s="414"/>
    </row>
    <row r="1778" spans="1:37" s="415" customFormat="1" x14ac:dyDescent="0.3">
      <c r="A1778" s="407">
        <v>903800</v>
      </c>
      <c r="B1778" s="408">
        <v>6.14</v>
      </c>
      <c r="C1778" s="408"/>
      <c r="D1778" s="407">
        <v>8.4499999999999993</v>
      </c>
      <c r="E1778" s="1549">
        <v>0.128</v>
      </c>
      <c r="F1778" s="410">
        <v>56.3</v>
      </c>
      <c r="G1778" s="407"/>
      <c r="H1778" s="410">
        <v>7.72</v>
      </c>
      <c r="I1778" s="407">
        <v>240</v>
      </c>
      <c r="J1778" s="407">
        <v>2.1999999999999999E-2</v>
      </c>
      <c r="K1778" s="407">
        <v>4.57</v>
      </c>
      <c r="L1778" s="407">
        <v>160</v>
      </c>
      <c r="M1778" s="407">
        <v>0.25</v>
      </c>
      <c r="N1778" s="407">
        <v>0.28000000000000003</v>
      </c>
      <c r="O1778" s="407">
        <v>1.92</v>
      </c>
      <c r="P1778" s="407">
        <v>1.46</v>
      </c>
      <c r="Q1778" s="407"/>
      <c r="R1778" s="409">
        <v>1.5943320000000001</v>
      </c>
      <c r="S1778" s="407">
        <v>10.8</v>
      </c>
      <c r="T1778" s="411"/>
      <c r="U1778" s="407"/>
      <c r="V1778" s="412"/>
      <c r="W1778" s="412"/>
      <c r="X1778" s="407"/>
      <c r="Y1778" s="67">
        <v>3.6</v>
      </c>
      <c r="Z1778" s="407"/>
      <c r="AA1778" s="68">
        <v>4.8499999999999996</v>
      </c>
      <c r="AB1778" s="68">
        <v>0.83699999999999997</v>
      </c>
      <c r="AC1778" s="69">
        <v>9.4</v>
      </c>
      <c r="AD1778" s="413">
        <v>60</v>
      </c>
      <c r="AE1778" s="407">
        <v>60</v>
      </c>
      <c r="AF1778" s="407">
        <v>880</v>
      </c>
      <c r="AG1778" s="66">
        <f t="shared" si="71"/>
        <v>449.38333333333338</v>
      </c>
      <c r="AH1778" s="143">
        <f t="shared" si="72"/>
        <v>1000</v>
      </c>
      <c r="AI1778" s="414"/>
      <c r="AJ1778" s="414"/>
      <c r="AK1778" s="414"/>
    </row>
    <row r="1779" spans="1:37" s="415" customFormat="1" x14ac:dyDescent="0.3">
      <c r="A1779" s="407">
        <v>903801</v>
      </c>
      <c r="B1779" s="408">
        <v>3.37</v>
      </c>
      <c r="C1779" s="408"/>
      <c r="D1779" s="407">
        <v>8.32</v>
      </c>
      <c r="E1779" s="1549">
        <v>0.16600000000000001</v>
      </c>
      <c r="F1779" s="410">
        <v>75.75</v>
      </c>
      <c r="G1779" s="407"/>
      <c r="H1779" s="410">
        <v>12.15</v>
      </c>
      <c r="I1779" s="407">
        <v>90</v>
      </c>
      <c r="J1779" s="407">
        <v>0.124</v>
      </c>
      <c r="K1779" s="407">
        <v>6.95</v>
      </c>
      <c r="L1779" s="407">
        <v>620</v>
      </c>
      <c r="M1779" s="407">
        <v>0.41</v>
      </c>
      <c r="N1779" s="407">
        <v>0.44</v>
      </c>
      <c r="O1779" s="407">
        <v>0.82</v>
      </c>
      <c r="P1779" s="407">
        <v>26.37</v>
      </c>
      <c r="Q1779" s="407"/>
      <c r="R1779" s="409">
        <v>1.666817</v>
      </c>
      <c r="S1779" s="407">
        <v>12.7</v>
      </c>
      <c r="T1779" s="411"/>
      <c r="U1779" s="407"/>
      <c r="V1779" s="412"/>
      <c r="W1779" s="412"/>
      <c r="X1779" s="407"/>
      <c r="Y1779" s="67">
        <v>20</v>
      </c>
      <c r="Z1779" s="407"/>
      <c r="AA1779" s="68">
        <v>4.5599999999999996</v>
      </c>
      <c r="AB1779" s="68">
        <v>0.68500000000000005</v>
      </c>
      <c r="AC1779" s="69">
        <v>11.4</v>
      </c>
      <c r="AD1779" s="413">
        <v>400</v>
      </c>
      <c r="AE1779" s="407">
        <v>260</v>
      </c>
      <c r="AF1779" s="407">
        <v>340</v>
      </c>
      <c r="AG1779" s="66">
        <f t="shared" si="71"/>
        <v>123.01500000000001</v>
      </c>
      <c r="AH1779" s="143">
        <f t="shared" si="72"/>
        <v>1000</v>
      </c>
      <c r="AI1779" s="414"/>
      <c r="AJ1779" s="414"/>
      <c r="AK1779" s="414"/>
    </row>
    <row r="1780" spans="1:37" s="415" customFormat="1" x14ac:dyDescent="0.3">
      <c r="A1780" s="407">
        <v>903802</v>
      </c>
      <c r="B1780" s="408">
        <v>0.33</v>
      </c>
      <c r="C1780" s="408"/>
      <c r="D1780" s="407">
        <v>7.9</v>
      </c>
      <c r="E1780" s="1549">
        <v>8.5999999999999993E-2</v>
      </c>
      <c r="F1780" s="410">
        <v>52.7</v>
      </c>
      <c r="G1780" s="407"/>
      <c r="H1780" s="410">
        <v>84.64</v>
      </c>
      <c r="I1780" s="407">
        <v>110</v>
      </c>
      <c r="J1780" s="407">
        <v>2.9000000000000001E-2</v>
      </c>
      <c r="K1780" s="407">
        <v>1.19</v>
      </c>
      <c r="L1780" s="407">
        <v>90</v>
      </c>
      <c r="M1780" s="407">
        <v>1</v>
      </c>
      <c r="N1780" s="407">
        <v>0.4</v>
      </c>
      <c r="O1780" s="407">
        <v>3.8</v>
      </c>
      <c r="P1780" s="407">
        <v>7.41</v>
      </c>
      <c r="Q1780" s="407"/>
      <c r="R1780" s="409">
        <v>1.1283927858475464</v>
      </c>
      <c r="S1780" s="407">
        <v>8.4</v>
      </c>
      <c r="T1780" s="411"/>
      <c r="U1780" s="407"/>
      <c r="V1780" s="412"/>
      <c r="W1780" s="412"/>
      <c r="X1780" s="407"/>
      <c r="Y1780" s="67">
        <v>3</v>
      </c>
      <c r="Z1780" s="407"/>
      <c r="AA1780" s="68">
        <v>4.9800000000000004</v>
      </c>
      <c r="AB1780" s="68">
        <v>0.55000000000000004</v>
      </c>
      <c r="AC1780" s="69">
        <v>9.1999999999999993</v>
      </c>
      <c r="AD1780" s="413">
        <v>60</v>
      </c>
      <c r="AE1780" s="407">
        <v>80</v>
      </c>
      <c r="AF1780" s="407">
        <v>860</v>
      </c>
      <c r="AG1780" s="66">
        <f t="shared" si="71"/>
        <v>140.41999999999999</v>
      </c>
      <c r="AH1780" s="143">
        <f t="shared" si="72"/>
        <v>1000</v>
      </c>
      <c r="AI1780" s="414"/>
      <c r="AJ1780" s="414"/>
      <c r="AK1780" s="414"/>
    </row>
    <row r="1781" spans="1:37" x14ac:dyDescent="0.3">
      <c r="A1781" s="354">
        <v>903726</v>
      </c>
      <c r="B1781" s="355">
        <v>0.2166666666666667</v>
      </c>
      <c r="C1781" s="355"/>
      <c r="D1781" s="354">
        <v>7.9</v>
      </c>
      <c r="E1781" s="1546">
        <v>0.09</v>
      </c>
      <c r="F1781" s="357">
        <v>59.2</v>
      </c>
      <c r="G1781" s="354"/>
      <c r="H1781" s="357">
        <v>108.52</v>
      </c>
      <c r="I1781" s="354">
        <v>110</v>
      </c>
      <c r="J1781" s="354">
        <v>7.2999999999999995E-2</v>
      </c>
      <c r="K1781" s="354">
        <v>1.62</v>
      </c>
      <c r="L1781" s="354">
        <v>149</v>
      </c>
      <c r="M1781" s="354">
        <v>0.99</v>
      </c>
      <c r="N1781" s="354">
        <v>0.31</v>
      </c>
      <c r="O1781" s="354">
        <v>4.92</v>
      </c>
      <c r="P1781" s="354">
        <v>15.33</v>
      </c>
      <c r="Q1781" s="354"/>
      <c r="R1781" s="356">
        <v>1.6331120000000001</v>
      </c>
      <c r="S1781" s="354">
        <v>11.799999999999999</v>
      </c>
      <c r="T1781" s="358"/>
      <c r="U1781" s="354"/>
      <c r="V1781" s="359"/>
      <c r="W1781" s="359"/>
      <c r="X1781" s="354"/>
      <c r="Y1781" s="354">
        <f ca="1">RANDBETWEEN(5,7)*AD1781/100</f>
        <v>3.6</v>
      </c>
      <c r="Z1781" s="354"/>
      <c r="AA1781" s="68">
        <v>4.97</v>
      </c>
      <c r="AB1781" s="68">
        <v>0.499</v>
      </c>
      <c r="AC1781" s="69">
        <v>8.8000000000000007</v>
      </c>
      <c r="AD1781" s="360">
        <v>60</v>
      </c>
      <c r="AE1781" s="354">
        <v>80</v>
      </c>
      <c r="AF1781" s="354">
        <v>860</v>
      </c>
      <c r="AG1781" s="66">
        <f t="shared" ca="1" si="71"/>
        <v>159.30000000000004</v>
      </c>
      <c r="AH1781" s="143">
        <f t="shared" si="72"/>
        <v>1000</v>
      </c>
      <c r="AI1781" s="361"/>
      <c r="AJ1781" s="361"/>
      <c r="AK1781" s="361"/>
    </row>
    <row r="1782" spans="1:37" x14ac:dyDescent="0.3">
      <c r="A1782" s="354">
        <v>903803</v>
      </c>
      <c r="B1782" s="355">
        <v>0.2</v>
      </c>
      <c r="C1782" s="355"/>
      <c r="D1782" s="354">
        <v>8.17</v>
      </c>
      <c r="E1782" s="1546">
        <v>6.2E-2</v>
      </c>
      <c r="F1782" s="357">
        <v>25.1</v>
      </c>
      <c r="G1782" s="354"/>
      <c r="H1782" s="357">
        <v>35.700000000000003</v>
      </c>
      <c r="I1782" s="354">
        <v>80</v>
      </c>
      <c r="J1782" s="354">
        <v>2.1999999999999999E-2</v>
      </c>
      <c r="K1782" s="354">
        <v>1.73</v>
      </c>
      <c r="L1782" s="354">
        <v>40</v>
      </c>
      <c r="M1782" s="354">
        <v>0.46</v>
      </c>
      <c r="N1782" s="354">
        <v>0.18</v>
      </c>
      <c r="O1782" s="354">
        <v>2.0699999999999998</v>
      </c>
      <c r="P1782" s="354">
        <v>3.59</v>
      </c>
      <c r="Q1782" s="354"/>
      <c r="R1782" s="356">
        <v>0.6</v>
      </c>
      <c r="S1782" s="354">
        <v>4</v>
      </c>
      <c r="T1782" s="358"/>
      <c r="U1782" s="354"/>
      <c r="V1782" s="359"/>
      <c r="W1782" s="359"/>
      <c r="X1782" s="354"/>
      <c r="Y1782" s="354">
        <v>4.8</v>
      </c>
      <c r="Z1782" s="354"/>
      <c r="AA1782" s="68">
        <v>3.47</v>
      </c>
      <c r="AB1782" s="68">
        <v>0.29199999999999998</v>
      </c>
      <c r="AC1782" s="69">
        <v>7.1</v>
      </c>
      <c r="AD1782" s="360">
        <v>80</v>
      </c>
      <c r="AE1782" s="354">
        <v>60</v>
      </c>
      <c r="AF1782" s="354">
        <v>860</v>
      </c>
      <c r="AG1782" s="66">
        <f t="shared" si="71"/>
        <v>127.58749999999999</v>
      </c>
      <c r="AH1782" s="143">
        <f t="shared" si="72"/>
        <v>1000</v>
      </c>
      <c r="AI1782" s="361"/>
      <c r="AJ1782" s="361"/>
      <c r="AK1782" s="361"/>
    </row>
    <row r="1783" spans="1:37" x14ac:dyDescent="0.3">
      <c r="A1783" s="354">
        <v>903804</v>
      </c>
      <c r="B1783" s="355">
        <v>0.1</v>
      </c>
      <c r="C1783" s="355"/>
      <c r="D1783" s="354">
        <v>6.96</v>
      </c>
      <c r="E1783" s="1546">
        <v>0.03</v>
      </c>
      <c r="F1783" s="357">
        <v>44</v>
      </c>
      <c r="G1783" s="354"/>
      <c r="H1783" s="357">
        <v>38.5</v>
      </c>
      <c r="I1783" s="354">
        <v>30</v>
      </c>
      <c r="J1783" s="354">
        <v>1E-3</v>
      </c>
      <c r="K1783" s="354">
        <v>1.27</v>
      </c>
      <c r="L1783" s="354">
        <v>20</v>
      </c>
      <c r="M1783" s="354">
        <v>0.32</v>
      </c>
      <c r="N1783" s="354">
        <v>0.24</v>
      </c>
      <c r="O1783" s="354">
        <v>2.2999999999999998</v>
      </c>
      <c r="P1783" s="354">
        <v>15.84</v>
      </c>
      <c r="Q1783" s="354"/>
      <c r="R1783" s="356">
        <v>1.39</v>
      </c>
      <c r="S1783" s="354">
        <v>10.199999999999999</v>
      </c>
      <c r="T1783" s="358"/>
      <c r="U1783" s="354"/>
      <c r="V1783" s="359"/>
      <c r="W1783" s="359"/>
      <c r="X1783" s="354"/>
      <c r="Y1783" s="354">
        <v>5.6</v>
      </c>
      <c r="Z1783" s="354"/>
      <c r="AA1783" s="68">
        <v>4.5</v>
      </c>
      <c r="AB1783" s="68">
        <v>0.39900000000000002</v>
      </c>
      <c r="AC1783" s="69">
        <v>10.7</v>
      </c>
      <c r="AD1783" s="360">
        <v>80</v>
      </c>
      <c r="AE1783" s="354">
        <v>70</v>
      </c>
      <c r="AF1783" s="354">
        <v>850</v>
      </c>
      <c r="AG1783" s="66">
        <f t="shared" si="71"/>
        <v>80.282142857142858</v>
      </c>
      <c r="AH1783" s="143">
        <f t="shared" si="72"/>
        <v>1000</v>
      </c>
      <c r="AI1783" s="361"/>
      <c r="AJ1783" s="361"/>
      <c r="AK1783" s="361"/>
    </row>
    <row r="1784" spans="1:37" x14ac:dyDescent="0.3">
      <c r="A1784" s="354">
        <v>903805</v>
      </c>
      <c r="B1784" s="355">
        <v>22.2</v>
      </c>
      <c r="C1784" s="355">
        <v>9.5</v>
      </c>
      <c r="D1784" s="354">
        <v>8.5299999999999994</v>
      </c>
      <c r="E1784" s="1546">
        <v>0.161</v>
      </c>
      <c r="F1784" s="357">
        <v>83.8</v>
      </c>
      <c r="G1784" s="354"/>
      <c r="H1784" s="357">
        <v>17.2</v>
      </c>
      <c r="I1784" s="354">
        <v>240</v>
      </c>
      <c r="J1784" s="354">
        <v>0.161</v>
      </c>
      <c r="K1784" s="354">
        <v>13.78</v>
      </c>
      <c r="L1784" s="354">
        <v>340</v>
      </c>
      <c r="M1784" s="354">
        <v>0.27</v>
      </c>
      <c r="N1784" s="354">
        <v>1.2</v>
      </c>
      <c r="O1784" s="354">
        <v>3.72</v>
      </c>
      <c r="P1784" s="354">
        <v>5.49</v>
      </c>
      <c r="Q1784" s="354"/>
      <c r="R1784" s="356">
        <v>1.82</v>
      </c>
      <c r="S1784" s="354">
        <v>17.3</v>
      </c>
      <c r="T1784" s="358"/>
      <c r="U1784" s="354"/>
      <c r="V1784" s="359"/>
      <c r="W1784" s="359"/>
      <c r="X1784" s="354"/>
      <c r="Y1784" s="354">
        <v>33.6</v>
      </c>
      <c r="Z1784" s="354"/>
      <c r="AA1784" s="68">
        <v>4.1500000000000004</v>
      </c>
      <c r="AB1784" s="68">
        <v>0.89500000000000002</v>
      </c>
      <c r="AC1784" s="69">
        <v>6</v>
      </c>
      <c r="AD1784" s="360">
        <v>480</v>
      </c>
      <c r="AE1784" s="354">
        <v>400</v>
      </c>
      <c r="AF1784" s="354">
        <v>120</v>
      </c>
      <c r="AG1784" s="66">
        <f t="shared" si="71"/>
        <v>145.18214285714285</v>
      </c>
      <c r="AH1784" s="143">
        <f t="shared" si="72"/>
        <v>1000</v>
      </c>
      <c r="AI1784" s="361"/>
      <c r="AJ1784" s="361"/>
      <c r="AK1784" s="361"/>
    </row>
    <row r="1785" spans="1:37" x14ac:dyDescent="0.3">
      <c r="A1785" s="354">
        <v>903806</v>
      </c>
      <c r="B1785" s="355">
        <v>0.2</v>
      </c>
      <c r="C1785" s="355"/>
      <c r="D1785" s="354">
        <v>7.2</v>
      </c>
      <c r="E1785" s="1546">
        <v>0.16900000000000001</v>
      </c>
      <c r="F1785" s="357">
        <v>99.7</v>
      </c>
      <c r="G1785" s="354"/>
      <c r="H1785" s="357">
        <v>141</v>
      </c>
      <c r="I1785" s="354">
        <v>150</v>
      </c>
      <c r="J1785" s="354">
        <v>0.157</v>
      </c>
      <c r="K1785" s="354">
        <v>3.16</v>
      </c>
      <c r="L1785" s="354">
        <v>350</v>
      </c>
      <c r="M1785" s="354">
        <v>0.8</v>
      </c>
      <c r="N1785" s="354">
        <v>0.48</v>
      </c>
      <c r="O1785" s="354">
        <v>3.72</v>
      </c>
      <c r="P1785" s="354">
        <v>5.5</v>
      </c>
      <c r="Q1785" s="354"/>
      <c r="R1785" s="356">
        <v>1.21</v>
      </c>
      <c r="S1785" s="354">
        <v>9</v>
      </c>
      <c r="T1785" s="358"/>
      <c r="U1785" s="354"/>
      <c r="V1785" s="359"/>
      <c r="W1785" s="359"/>
      <c r="X1785" s="354"/>
      <c r="Y1785" s="354">
        <v>10.8</v>
      </c>
      <c r="Z1785" s="354"/>
      <c r="AA1785" s="68">
        <v>3.68</v>
      </c>
      <c r="AB1785" s="68">
        <v>0.74299999999999999</v>
      </c>
      <c r="AC1785" s="69">
        <v>11.4</v>
      </c>
      <c r="AD1785" s="360">
        <v>180</v>
      </c>
      <c r="AE1785" s="354">
        <v>80</v>
      </c>
      <c r="AF1785" s="354">
        <v>740</v>
      </c>
      <c r="AG1785" s="66">
        <f t="shared" si="71"/>
        <v>103.57777777777778</v>
      </c>
      <c r="AH1785" s="143">
        <f t="shared" si="72"/>
        <v>1000</v>
      </c>
      <c r="AI1785" s="361"/>
      <c r="AJ1785" s="361"/>
      <c r="AK1785" s="361"/>
    </row>
    <row r="1786" spans="1:37" x14ac:dyDescent="0.3">
      <c r="A1786" s="354">
        <v>903807</v>
      </c>
      <c r="B1786" s="355">
        <v>0.2</v>
      </c>
      <c r="C1786" s="355"/>
      <c r="D1786" s="354">
        <v>7.25</v>
      </c>
      <c r="E1786" s="1546">
        <v>0.17299999999999999</v>
      </c>
      <c r="F1786" s="357">
        <v>87.1</v>
      </c>
      <c r="G1786" s="354"/>
      <c r="H1786" s="357">
        <v>123.4</v>
      </c>
      <c r="I1786" s="354">
        <v>110</v>
      </c>
      <c r="J1786" s="354">
        <v>0.16500000000000001</v>
      </c>
      <c r="K1786" s="354">
        <v>2.39</v>
      </c>
      <c r="L1786" s="354">
        <v>350</v>
      </c>
      <c r="M1786" s="354">
        <v>0.74</v>
      </c>
      <c r="N1786" s="354">
        <v>0.47</v>
      </c>
      <c r="O1786" s="354">
        <v>4.09</v>
      </c>
      <c r="P1786" s="354">
        <v>5.41</v>
      </c>
      <c r="Q1786" s="354"/>
      <c r="R1786" s="356">
        <v>1.04</v>
      </c>
      <c r="S1786" s="354">
        <v>7.2</v>
      </c>
      <c r="T1786" s="358"/>
      <c r="U1786" s="354"/>
      <c r="V1786" s="359"/>
      <c r="W1786" s="359"/>
      <c r="X1786" s="354"/>
      <c r="Y1786" s="354">
        <v>9.6</v>
      </c>
      <c r="Z1786" s="354"/>
      <c r="AA1786" s="68">
        <v>3.54</v>
      </c>
      <c r="AB1786" s="68">
        <v>0.73399999999999999</v>
      </c>
      <c r="AC1786" s="69">
        <v>7.3</v>
      </c>
      <c r="AD1786" s="360">
        <v>160</v>
      </c>
      <c r="AE1786" s="354">
        <v>80</v>
      </c>
      <c r="AF1786" s="354">
        <v>760</v>
      </c>
      <c r="AG1786" s="66">
        <f t="shared" si="71"/>
        <v>88.131250000000023</v>
      </c>
      <c r="AH1786" s="143">
        <f t="shared" si="72"/>
        <v>1000</v>
      </c>
      <c r="AI1786" s="361"/>
      <c r="AJ1786" s="361"/>
      <c r="AK1786" s="361"/>
    </row>
    <row r="1787" spans="1:37" x14ac:dyDescent="0.3">
      <c r="A1787" s="354">
        <v>903808</v>
      </c>
      <c r="B1787" s="355">
        <v>14.3</v>
      </c>
      <c r="C1787" s="355">
        <v>7</v>
      </c>
      <c r="D1787" s="354">
        <v>8.6199999999999992</v>
      </c>
      <c r="E1787" s="1546">
        <v>0.255</v>
      </c>
      <c r="F1787" s="357">
        <v>63</v>
      </c>
      <c r="G1787" s="354"/>
      <c r="H1787" s="357">
        <v>260.7</v>
      </c>
      <c r="I1787" s="354">
        <v>410</v>
      </c>
      <c r="J1787" s="354">
        <v>0.157</v>
      </c>
      <c r="K1787" s="354">
        <v>10.37</v>
      </c>
      <c r="L1787" s="354">
        <v>700</v>
      </c>
      <c r="M1787" s="354">
        <v>1.69</v>
      </c>
      <c r="N1787" s="354">
        <v>0.52</v>
      </c>
      <c r="O1787" s="354">
        <v>4.51</v>
      </c>
      <c r="P1787" s="354">
        <v>4.6399999999999997</v>
      </c>
      <c r="Q1787" s="354"/>
      <c r="R1787" s="356">
        <v>1.89</v>
      </c>
      <c r="S1787" s="354">
        <v>19.7</v>
      </c>
      <c r="T1787" s="358"/>
      <c r="U1787" s="354"/>
      <c r="V1787" s="359"/>
      <c r="W1787" s="359"/>
      <c r="X1787" s="354"/>
      <c r="Y1787" s="354">
        <v>26</v>
      </c>
      <c r="Z1787" s="354"/>
      <c r="AA1787" s="68">
        <v>4.2</v>
      </c>
      <c r="AB1787" s="68">
        <v>0.80500000000000005</v>
      </c>
      <c r="AC1787" s="69">
        <v>7.9</v>
      </c>
      <c r="AD1787" s="360">
        <v>520</v>
      </c>
      <c r="AE1787" s="354">
        <v>340</v>
      </c>
      <c r="AF1787" s="354">
        <v>140</v>
      </c>
      <c r="AG1787" s="66">
        <f t="shared" si="71"/>
        <v>141.19153846153844</v>
      </c>
      <c r="AH1787" s="143">
        <f t="shared" si="72"/>
        <v>1000</v>
      </c>
      <c r="AI1787" s="361"/>
      <c r="AJ1787" s="361"/>
      <c r="AK1787" s="361"/>
    </row>
    <row r="1788" spans="1:37" x14ac:dyDescent="0.3">
      <c r="A1788" s="354">
        <v>903809</v>
      </c>
      <c r="B1788" s="355">
        <v>0.1</v>
      </c>
      <c r="C1788" s="355"/>
      <c r="D1788" s="354">
        <v>6.62</v>
      </c>
      <c r="E1788" s="1546">
        <v>0.122</v>
      </c>
      <c r="F1788" s="357">
        <v>36.299999999999997</v>
      </c>
      <c r="G1788" s="354"/>
      <c r="H1788" s="357">
        <v>63.7</v>
      </c>
      <c r="I1788" s="354">
        <v>100</v>
      </c>
      <c r="J1788" s="354">
        <v>4.3999999999999997E-2</v>
      </c>
      <c r="K1788" s="354">
        <v>2.97</v>
      </c>
      <c r="L1788" s="354">
        <v>120</v>
      </c>
      <c r="M1788" s="354">
        <v>0.5</v>
      </c>
      <c r="N1788" s="354">
        <v>0.75</v>
      </c>
      <c r="O1788" s="354">
        <v>64.58</v>
      </c>
      <c r="P1788" s="354">
        <v>28.13</v>
      </c>
      <c r="Q1788" s="354"/>
      <c r="R1788" s="356">
        <v>1.02</v>
      </c>
      <c r="S1788" s="354">
        <v>7.1</v>
      </c>
      <c r="T1788" s="358"/>
      <c r="U1788" s="354"/>
      <c r="V1788" s="359"/>
      <c r="W1788" s="359"/>
      <c r="X1788" s="354"/>
      <c r="Y1788" s="354">
        <v>20</v>
      </c>
      <c r="Z1788" s="354"/>
      <c r="AA1788" s="68">
        <v>3.67</v>
      </c>
      <c r="AB1788" s="68">
        <v>0.28100000000000003</v>
      </c>
      <c r="AC1788" s="69">
        <v>8.6</v>
      </c>
      <c r="AD1788" s="360">
        <v>400</v>
      </c>
      <c r="AE1788" s="354">
        <v>220</v>
      </c>
      <c r="AF1788" s="354">
        <v>380</v>
      </c>
      <c r="AG1788" s="66">
        <f t="shared" si="71"/>
        <v>52.569000000000003</v>
      </c>
      <c r="AH1788" s="143">
        <f t="shared" si="72"/>
        <v>1000</v>
      </c>
      <c r="AI1788" s="361"/>
      <c r="AJ1788" s="361"/>
      <c r="AK1788" s="361"/>
    </row>
    <row r="1789" spans="1:37" x14ac:dyDescent="0.3">
      <c r="A1789" s="354">
        <v>903810</v>
      </c>
      <c r="B1789" s="355">
        <v>33.5</v>
      </c>
      <c r="C1789" s="355">
        <v>9.9</v>
      </c>
      <c r="D1789" s="354">
        <v>8.41</v>
      </c>
      <c r="E1789" s="1546">
        <v>0.16800000000000001</v>
      </c>
      <c r="F1789" s="357">
        <v>39</v>
      </c>
      <c r="G1789" s="354"/>
      <c r="H1789" s="357">
        <v>54.8</v>
      </c>
      <c r="I1789" s="354">
        <v>520</v>
      </c>
      <c r="J1789" s="354">
        <v>3.1E-2</v>
      </c>
      <c r="K1789" s="354">
        <v>13.97</v>
      </c>
      <c r="L1789" s="354">
        <v>640</v>
      </c>
      <c r="M1789" s="354">
        <v>0.82</v>
      </c>
      <c r="N1789" s="354">
        <v>2.58</v>
      </c>
      <c r="O1789" s="354">
        <v>5.72</v>
      </c>
      <c r="P1789" s="354">
        <v>6.99</v>
      </c>
      <c r="Q1789" s="354"/>
      <c r="R1789" s="356">
        <v>1.96</v>
      </c>
      <c r="S1789" s="354">
        <v>22.3</v>
      </c>
      <c r="T1789" s="358"/>
      <c r="U1789" s="354"/>
      <c r="V1789" s="359"/>
      <c r="W1789" s="359"/>
      <c r="X1789" s="354"/>
      <c r="Y1789" s="354">
        <v>29</v>
      </c>
      <c r="Z1789" s="354"/>
      <c r="AA1789" s="68">
        <v>4.9000000000000004</v>
      </c>
      <c r="AB1789" s="68">
        <v>0.26400000000000001</v>
      </c>
      <c r="AC1789" s="69">
        <v>6.8</v>
      </c>
      <c r="AD1789" s="360">
        <v>580</v>
      </c>
      <c r="AE1789" s="354">
        <v>260</v>
      </c>
      <c r="AF1789" s="354">
        <v>160</v>
      </c>
      <c r="AG1789" s="66">
        <f t="shared" si="71"/>
        <v>170.53034482758622</v>
      </c>
      <c r="AH1789" s="143">
        <f t="shared" si="72"/>
        <v>1000</v>
      </c>
      <c r="AI1789" s="361"/>
      <c r="AJ1789" s="361"/>
      <c r="AK1789" s="361"/>
    </row>
    <row r="1790" spans="1:37" x14ac:dyDescent="0.3">
      <c r="A1790" s="354">
        <v>903811</v>
      </c>
      <c r="B1790" s="355">
        <v>38</v>
      </c>
      <c r="C1790" s="355">
        <v>10</v>
      </c>
      <c r="D1790" s="354">
        <v>8.44</v>
      </c>
      <c r="E1790" s="1546">
        <v>0.193</v>
      </c>
      <c r="F1790" s="357">
        <v>38</v>
      </c>
      <c r="G1790" s="354"/>
      <c r="H1790" s="357">
        <v>202.3</v>
      </c>
      <c r="I1790" s="354">
        <v>460</v>
      </c>
      <c r="J1790" s="354">
        <v>2.5999999999999999E-2</v>
      </c>
      <c r="K1790" s="354">
        <v>10.44</v>
      </c>
      <c r="L1790" s="354">
        <v>590</v>
      </c>
      <c r="M1790" s="354">
        <v>2.61</v>
      </c>
      <c r="N1790" s="354">
        <v>3.39</v>
      </c>
      <c r="O1790" s="354">
        <v>8.57</v>
      </c>
      <c r="P1790" s="354">
        <v>8.02</v>
      </c>
      <c r="Q1790" s="354"/>
      <c r="R1790" s="356">
        <v>2.0099999999999998</v>
      </c>
      <c r="S1790" s="354">
        <v>24.9</v>
      </c>
      <c r="T1790" s="358"/>
      <c r="U1790" s="354"/>
      <c r="V1790" s="359"/>
      <c r="W1790" s="359"/>
      <c r="X1790" s="354"/>
      <c r="Y1790" s="354">
        <v>28.5</v>
      </c>
      <c r="Z1790" s="354"/>
      <c r="AA1790" s="68">
        <v>3.47</v>
      </c>
      <c r="AB1790" s="68">
        <v>0.245</v>
      </c>
      <c r="AC1790" s="69">
        <v>6</v>
      </c>
      <c r="AD1790" s="360">
        <v>570</v>
      </c>
      <c r="AE1790" s="354">
        <v>260</v>
      </c>
      <c r="AF1790" s="354">
        <v>170</v>
      </c>
      <c r="AG1790" s="66">
        <f t="shared" si="71"/>
        <v>129.6757894736842</v>
      </c>
      <c r="AH1790" s="143">
        <f t="shared" si="72"/>
        <v>1000</v>
      </c>
      <c r="AI1790" s="361"/>
      <c r="AJ1790" s="361"/>
      <c r="AK1790" s="361"/>
    </row>
    <row r="1791" spans="1:37" x14ac:dyDescent="0.3">
      <c r="A1791" s="354">
        <v>903812</v>
      </c>
      <c r="B1791" s="355">
        <v>0.3</v>
      </c>
      <c r="C1791" s="355"/>
      <c r="D1791" s="354">
        <v>7.29</v>
      </c>
      <c r="E1791" s="1546">
        <v>9.2999999999999999E-2</v>
      </c>
      <c r="F1791" s="357">
        <v>48.8</v>
      </c>
      <c r="G1791" s="354"/>
      <c r="H1791" s="357">
        <v>119.9</v>
      </c>
      <c r="I1791" s="354">
        <v>490</v>
      </c>
      <c r="J1791" s="354">
        <v>6.6000000000000003E-2</v>
      </c>
      <c r="K1791" s="354">
        <v>5.1100000000000003</v>
      </c>
      <c r="L1791" s="354">
        <v>1380</v>
      </c>
      <c r="M1791" s="354">
        <v>3.58</v>
      </c>
      <c r="N1791" s="354">
        <v>4.1900000000000004</v>
      </c>
      <c r="O1791" s="354">
        <v>30</v>
      </c>
      <c r="P1791" s="354">
        <v>7.53</v>
      </c>
      <c r="Q1791" s="354"/>
      <c r="R1791" s="356">
        <v>2.04</v>
      </c>
      <c r="S1791" s="354">
        <v>26.2</v>
      </c>
      <c r="T1791" s="358"/>
      <c r="U1791" s="354"/>
      <c r="V1791" s="359"/>
      <c r="W1791" s="359"/>
      <c r="X1791" s="354"/>
      <c r="Y1791" s="354">
        <v>19.3</v>
      </c>
      <c r="Z1791" s="354"/>
      <c r="AA1791" s="68">
        <v>4.0999999999999996</v>
      </c>
      <c r="AB1791" s="68">
        <v>0.66800000000000004</v>
      </c>
      <c r="AC1791" s="69">
        <v>9.1</v>
      </c>
      <c r="AD1791" s="360">
        <v>560</v>
      </c>
      <c r="AE1791" s="354">
        <v>320</v>
      </c>
      <c r="AF1791" s="354">
        <v>120</v>
      </c>
      <c r="AG1791" s="66">
        <f t="shared" si="71"/>
        <v>93.727461139896377</v>
      </c>
      <c r="AH1791" s="143">
        <f t="shared" si="72"/>
        <v>1000</v>
      </c>
      <c r="AI1791" s="361"/>
      <c r="AJ1791" s="361"/>
      <c r="AK1791" s="361"/>
    </row>
    <row r="1792" spans="1:37" x14ac:dyDescent="0.3">
      <c r="A1792" s="354">
        <v>903813</v>
      </c>
      <c r="B1792" s="355">
        <v>0.6</v>
      </c>
      <c r="C1792" s="355"/>
      <c r="D1792" s="354">
        <v>7.35</v>
      </c>
      <c r="E1792" s="1546">
        <v>0.13900000000000001</v>
      </c>
      <c r="F1792" s="357">
        <v>37.4</v>
      </c>
      <c r="G1792" s="354"/>
      <c r="H1792" s="357">
        <v>135.1</v>
      </c>
      <c r="I1792" s="354">
        <v>390</v>
      </c>
      <c r="J1792" s="354">
        <v>0.111</v>
      </c>
      <c r="K1792" s="354">
        <v>4.71</v>
      </c>
      <c r="L1792" s="354">
        <v>1560</v>
      </c>
      <c r="M1792" s="354">
        <v>1.1200000000000001</v>
      </c>
      <c r="N1792" s="354">
        <v>1.82</v>
      </c>
      <c r="O1792" s="354">
        <v>16.09</v>
      </c>
      <c r="P1792" s="354">
        <v>6.37</v>
      </c>
      <c r="Q1792" s="354"/>
      <c r="R1792" s="356">
        <v>1.93</v>
      </c>
      <c r="S1792" s="354">
        <v>21.2</v>
      </c>
      <c r="T1792" s="358"/>
      <c r="U1792" s="354"/>
      <c r="V1792" s="359"/>
      <c r="W1792" s="359"/>
      <c r="X1792" s="354"/>
      <c r="Y1792" s="354">
        <v>18.5</v>
      </c>
      <c r="Z1792" s="354"/>
      <c r="AA1792" s="68">
        <v>4.96</v>
      </c>
      <c r="AB1792" s="68">
        <v>0.76500000000000001</v>
      </c>
      <c r="AC1792" s="69">
        <v>11.1</v>
      </c>
      <c r="AD1792" s="360">
        <v>580</v>
      </c>
      <c r="AE1792" s="354">
        <v>300</v>
      </c>
      <c r="AF1792" s="354">
        <v>120</v>
      </c>
      <c r="AG1792" s="66">
        <f t="shared" si="71"/>
        <v>90.126486486486499</v>
      </c>
      <c r="AH1792" s="143">
        <f t="shared" si="72"/>
        <v>1000</v>
      </c>
      <c r="AI1792" s="361"/>
      <c r="AJ1792" s="361"/>
      <c r="AK1792" s="361"/>
    </row>
    <row r="1793" spans="1:37" s="439" customFormat="1" x14ac:dyDescent="0.3">
      <c r="A1793" s="434">
        <v>903814</v>
      </c>
      <c r="B1793" s="435">
        <v>52.8</v>
      </c>
      <c r="C1793" s="435">
        <v>15.3</v>
      </c>
      <c r="D1793" s="434">
        <v>8.5</v>
      </c>
      <c r="E1793" s="1550">
        <v>0.127</v>
      </c>
      <c r="F1793" s="437">
        <v>41.9</v>
      </c>
      <c r="G1793" s="434"/>
      <c r="H1793" s="437">
        <v>1.22</v>
      </c>
      <c r="I1793" s="434">
        <v>207</v>
      </c>
      <c r="J1793" s="434">
        <v>1.7000000000000001E-2</v>
      </c>
      <c r="K1793" s="434">
        <v>10.52</v>
      </c>
      <c r="L1793" s="434">
        <v>240</v>
      </c>
      <c r="M1793" s="434">
        <v>6.02</v>
      </c>
      <c r="N1793" s="434">
        <v>0.54</v>
      </c>
      <c r="O1793" s="434">
        <v>0.71</v>
      </c>
      <c r="P1793" s="434">
        <v>2.14</v>
      </c>
      <c r="Q1793" s="434"/>
      <c r="R1793" s="436">
        <v>1.7410520000000003</v>
      </c>
      <c r="S1793" s="434">
        <v>14.8</v>
      </c>
      <c r="T1793" s="438"/>
      <c r="U1793" s="438"/>
      <c r="V1793" s="438"/>
      <c r="W1793" s="438"/>
      <c r="X1793" s="434"/>
      <c r="Y1793" s="67">
        <v>28</v>
      </c>
      <c r="Z1793" s="434"/>
      <c r="AA1793" s="68">
        <v>4.54</v>
      </c>
      <c r="AB1793" s="68">
        <v>0.45800000000000002</v>
      </c>
      <c r="AC1793" s="69">
        <v>11.6</v>
      </c>
      <c r="AD1793" s="360">
        <v>400</v>
      </c>
      <c r="AE1793" s="354">
        <v>320</v>
      </c>
      <c r="AF1793" s="354">
        <v>280</v>
      </c>
      <c r="AG1793" s="66">
        <f t="shared" si="71"/>
        <v>133.00285714285715</v>
      </c>
      <c r="AH1793" s="143">
        <f t="shared" si="72"/>
        <v>1000</v>
      </c>
      <c r="AI1793" s="440"/>
      <c r="AJ1793" s="440"/>
      <c r="AK1793" s="440"/>
    </row>
    <row r="1794" spans="1:37" s="439" customFormat="1" x14ac:dyDescent="0.3">
      <c r="A1794" s="434">
        <v>903815</v>
      </c>
      <c r="B1794" s="435">
        <v>4.5</v>
      </c>
      <c r="C1794" s="435"/>
      <c r="D1794" s="434">
        <v>8.5299999999999994</v>
      </c>
      <c r="E1794" s="1550">
        <v>0.12</v>
      </c>
      <c r="F1794" s="437">
        <v>37.6</v>
      </c>
      <c r="G1794" s="434"/>
      <c r="H1794" s="437">
        <v>1.28</v>
      </c>
      <c r="I1794" s="434">
        <v>500</v>
      </c>
      <c r="J1794" s="434">
        <v>4.8000000000000001E-2</v>
      </c>
      <c r="K1794" s="434">
        <v>10.62</v>
      </c>
      <c r="L1794" s="434">
        <v>750</v>
      </c>
      <c r="M1794" s="434">
        <v>1.33</v>
      </c>
      <c r="N1794" s="434">
        <v>0.79</v>
      </c>
      <c r="O1794" s="434">
        <v>0.49</v>
      </c>
      <c r="P1794" s="434">
        <v>2.59</v>
      </c>
      <c r="Q1794" s="434"/>
      <c r="R1794" s="436">
        <v>0.3982279951882331</v>
      </c>
      <c r="S1794" s="434">
        <v>2.9</v>
      </c>
      <c r="T1794" s="438"/>
      <c r="U1794" s="438"/>
      <c r="V1794" s="438"/>
      <c r="W1794" s="438"/>
      <c r="X1794" s="434"/>
      <c r="Y1794" s="67">
        <v>30.8</v>
      </c>
      <c r="Z1794" s="434"/>
      <c r="AA1794" s="68">
        <v>4.3600000000000003</v>
      </c>
      <c r="AB1794" s="68">
        <v>0.65500000000000003</v>
      </c>
      <c r="AC1794" s="69">
        <v>8.1</v>
      </c>
      <c r="AD1794" s="360">
        <v>440</v>
      </c>
      <c r="AE1794" s="354">
        <v>380</v>
      </c>
      <c r="AF1794" s="354">
        <v>180</v>
      </c>
      <c r="AG1794" s="66">
        <f t="shared" ref="AG1794:AG1857" si="73">+K1794*3.54*100/Y1794</f>
        <v>122.06103896103896</v>
      </c>
      <c r="AH1794" s="143">
        <f t="shared" ref="AH1794:AH1857" si="74">+SUM(AD1794:AF1794)</f>
        <v>1000</v>
      </c>
      <c r="AI1794" s="440"/>
      <c r="AJ1794" s="440"/>
      <c r="AK1794" s="440"/>
    </row>
    <row r="1795" spans="1:37" s="439" customFormat="1" x14ac:dyDescent="0.3">
      <c r="A1795" s="434">
        <v>903816</v>
      </c>
      <c r="B1795" s="435">
        <v>30</v>
      </c>
      <c r="C1795" s="435">
        <v>10.3</v>
      </c>
      <c r="D1795" s="434">
        <v>8.6300000000000008</v>
      </c>
      <c r="E1795" s="1550">
        <v>0.13700000000000001</v>
      </c>
      <c r="F1795" s="437">
        <v>69.099999999999994</v>
      </c>
      <c r="G1795" s="434"/>
      <c r="H1795" s="437">
        <v>5.73</v>
      </c>
      <c r="I1795" s="434">
        <v>239</v>
      </c>
      <c r="J1795" s="434">
        <v>3.7999999999999999E-2</v>
      </c>
      <c r="K1795" s="434">
        <v>10.97</v>
      </c>
      <c r="L1795" s="434">
        <v>740</v>
      </c>
      <c r="M1795" s="434">
        <v>9.1999999999999993</v>
      </c>
      <c r="N1795" s="434">
        <v>0.35</v>
      </c>
      <c r="O1795" s="434">
        <v>0.35</v>
      </c>
      <c r="P1795" s="434">
        <v>2.83</v>
      </c>
      <c r="Q1795" s="434"/>
      <c r="R1795" s="436">
        <v>1.2809449585002521</v>
      </c>
      <c r="S1795" s="434">
        <v>8.8000000000000007</v>
      </c>
      <c r="T1795" s="438"/>
      <c r="U1795" s="438"/>
      <c r="V1795" s="438"/>
      <c r="W1795" s="438"/>
      <c r="X1795" s="434"/>
      <c r="Y1795" s="67">
        <v>31.2</v>
      </c>
      <c r="Z1795" s="434"/>
      <c r="AA1795" s="68">
        <v>4.37</v>
      </c>
      <c r="AB1795" s="68">
        <v>0.877</v>
      </c>
      <c r="AC1795" s="69">
        <v>12</v>
      </c>
      <c r="AD1795" s="360">
        <v>520</v>
      </c>
      <c r="AE1795" s="354">
        <v>220</v>
      </c>
      <c r="AF1795" s="354">
        <v>260</v>
      </c>
      <c r="AG1795" s="66">
        <f t="shared" si="73"/>
        <v>124.46730769230771</v>
      </c>
      <c r="AH1795" s="143">
        <f t="shared" si="74"/>
        <v>1000</v>
      </c>
      <c r="AI1795" s="440"/>
      <c r="AJ1795" s="440"/>
      <c r="AK1795" s="440"/>
    </row>
    <row r="1796" spans="1:37" s="439" customFormat="1" x14ac:dyDescent="0.3">
      <c r="A1796" s="434">
        <v>903817</v>
      </c>
      <c r="B1796" s="435">
        <v>1.5</v>
      </c>
      <c r="C1796" s="435"/>
      <c r="D1796" s="434">
        <v>7.3</v>
      </c>
      <c r="E1796" s="1550">
        <v>0.127</v>
      </c>
      <c r="F1796" s="437">
        <v>51.7</v>
      </c>
      <c r="G1796" s="434"/>
      <c r="H1796" s="437">
        <v>9.0299999999999994</v>
      </c>
      <c r="I1796" s="434">
        <v>574</v>
      </c>
      <c r="J1796" s="434">
        <v>5.8999999999999997E-2</v>
      </c>
      <c r="K1796" s="434">
        <v>8.6</v>
      </c>
      <c r="L1796" s="434">
        <v>800</v>
      </c>
      <c r="M1796" s="434">
        <v>12.91</v>
      </c>
      <c r="N1796" s="434">
        <v>1</v>
      </c>
      <c r="O1796" s="434">
        <v>1.18</v>
      </c>
      <c r="P1796" s="434">
        <v>3.74</v>
      </c>
      <c r="Q1796" s="434"/>
      <c r="R1796" s="436">
        <v>1.0415714642367511</v>
      </c>
      <c r="S1796" s="434">
        <v>6.9</v>
      </c>
      <c r="T1796" s="438"/>
      <c r="U1796" s="438"/>
      <c r="V1796" s="438"/>
      <c r="W1796" s="438"/>
      <c r="X1796" s="434"/>
      <c r="Y1796" s="67">
        <v>27.9</v>
      </c>
      <c r="Z1796" s="434"/>
      <c r="AA1796" s="68">
        <v>3.73</v>
      </c>
      <c r="AB1796" s="68">
        <v>0.26300000000000001</v>
      </c>
      <c r="AC1796" s="69">
        <v>11.6</v>
      </c>
      <c r="AD1796" s="360">
        <v>530</v>
      </c>
      <c r="AE1796" s="354">
        <v>280</v>
      </c>
      <c r="AF1796" s="354">
        <v>190</v>
      </c>
      <c r="AG1796" s="66">
        <f t="shared" si="73"/>
        <v>109.11827956989248</v>
      </c>
      <c r="AH1796" s="143">
        <f t="shared" si="74"/>
        <v>1000</v>
      </c>
      <c r="AI1796" s="440"/>
      <c r="AJ1796" s="440"/>
      <c r="AK1796" s="440"/>
    </row>
    <row r="1797" spans="1:37" s="439" customFormat="1" x14ac:dyDescent="0.3">
      <c r="A1797" s="434">
        <v>903818</v>
      </c>
      <c r="B1797" s="435">
        <v>13.3</v>
      </c>
      <c r="C1797" s="435">
        <v>3.4</v>
      </c>
      <c r="D1797" s="434">
        <v>8.58</v>
      </c>
      <c r="E1797" s="1550">
        <v>0.15</v>
      </c>
      <c r="F1797" s="437">
        <v>58.3</v>
      </c>
      <c r="G1797" s="434"/>
      <c r="H1797" s="437">
        <v>3.11</v>
      </c>
      <c r="I1797" s="434">
        <v>156</v>
      </c>
      <c r="J1797" s="434">
        <v>2.1000000000000001E-2</v>
      </c>
      <c r="K1797" s="434">
        <v>7.63</v>
      </c>
      <c r="L1797" s="434">
        <v>190</v>
      </c>
      <c r="M1797" s="434">
        <v>0.27</v>
      </c>
      <c r="N1797" s="434">
        <v>0.81</v>
      </c>
      <c r="O1797" s="434">
        <v>3.59</v>
      </c>
      <c r="P1797" s="434">
        <v>2.0099999999999998</v>
      </c>
      <c r="Q1797" s="434"/>
      <c r="R1797" s="436">
        <v>0.94418515289781824</v>
      </c>
      <c r="S1797" s="434">
        <v>6.7</v>
      </c>
      <c r="T1797" s="438"/>
      <c r="U1797" s="438"/>
      <c r="V1797" s="438"/>
      <c r="W1797" s="438"/>
      <c r="X1797" s="434"/>
      <c r="Y1797" s="67">
        <v>9</v>
      </c>
      <c r="Z1797" s="434"/>
      <c r="AA1797" s="68">
        <v>4.6100000000000003</v>
      </c>
      <c r="AB1797" s="68">
        <v>0.746</v>
      </c>
      <c r="AC1797" s="69">
        <v>7.7</v>
      </c>
      <c r="AD1797" s="360">
        <v>180</v>
      </c>
      <c r="AE1797" s="354">
        <v>100</v>
      </c>
      <c r="AF1797" s="354">
        <v>720</v>
      </c>
      <c r="AG1797" s="66">
        <f t="shared" si="73"/>
        <v>300.11333333333334</v>
      </c>
      <c r="AH1797" s="143">
        <f t="shared" si="74"/>
        <v>1000</v>
      </c>
      <c r="AI1797" s="440"/>
      <c r="AJ1797" s="440"/>
      <c r="AK1797" s="440"/>
    </row>
    <row r="1798" spans="1:37" s="439" customFormat="1" x14ac:dyDescent="0.3">
      <c r="A1798" s="434">
        <v>903819</v>
      </c>
      <c r="B1798" s="435">
        <v>1.4</v>
      </c>
      <c r="C1798" s="435"/>
      <c r="D1798" s="434">
        <v>7.23</v>
      </c>
      <c r="E1798" s="1550">
        <v>0.39</v>
      </c>
      <c r="F1798" s="437">
        <v>296.2</v>
      </c>
      <c r="G1798" s="434"/>
      <c r="H1798" s="437">
        <v>194.05</v>
      </c>
      <c r="I1798" s="434">
        <v>191</v>
      </c>
      <c r="J1798" s="434">
        <v>0.157</v>
      </c>
      <c r="K1798" s="434">
        <v>8.5</v>
      </c>
      <c r="L1798" s="434">
        <v>750</v>
      </c>
      <c r="M1798" s="434">
        <v>12.52</v>
      </c>
      <c r="N1798" s="434">
        <v>1.41</v>
      </c>
      <c r="O1798" s="434">
        <v>8.6300000000000008</v>
      </c>
      <c r="P1798" s="434">
        <v>14.88</v>
      </c>
      <c r="Q1798" s="434"/>
      <c r="R1798" s="436">
        <v>1.851057</v>
      </c>
      <c r="S1798" s="434">
        <v>18.3</v>
      </c>
      <c r="T1798" s="438"/>
      <c r="U1798" s="438"/>
      <c r="V1798" s="438"/>
      <c r="W1798" s="438"/>
      <c r="X1798" s="434"/>
      <c r="Y1798" s="67">
        <v>25.6</v>
      </c>
      <c r="Z1798" s="434"/>
      <c r="AA1798" s="68">
        <v>4.25</v>
      </c>
      <c r="AB1798" s="68">
        <v>0.56899999999999995</v>
      </c>
      <c r="AC1798" s="69">
        <v>11.7</v>
      </c>
      <c r="AD1798" s="360">
        <v>500</v>
      </c>
      <c r="AE1798" s="354">
        <v>330</v>
      </c>
      <c r="AF1798" s="354">
        <v>170</v>
      </c>
      <c r="AG1798" s="66">
        <f t="shared" si="73"/>
        <v>117.5390625</v>
      </c>
      <c r="AH1798" s="143">
        <f t="shared" si="74"/>
        <v>1000</v>
      </c>
      <c r="AI1798" s="440"/>
      <c r="AJ1798" s="440"/>
      <c r="AK1798" s="440"/>
    </row>
    <row r="1799" spans="1:37" s="439" customFormat="1" x14ac:dyDescent="0.3">
      <c r="A1799" s="434">
        <v>903820</v>
      </c>
      <c r="B1799" s="435">
        <v>8.3000000000000007</v>
      </c>
      <c r="C1799" s="435"/>
      <c r="D1799" s="434">
        <v>8.36</v>
      </c>
      <c r="E1799" s="1550">
        <v>0.27700000000000002</v>
      </c>
      <c r="F1799" s="437">
        <v>156.80000000000001</v>
      </c>
      <c r="G1799" s="434"/>
      <c r="H1799" s="437">
        <v>152.34</v>
      </c>
      <c r="I1799" s="434">
        <v>363</v>
      </c>
      <c r="J1799" s="434">
        <v>0.253</v>
      </c>
      <c r="K1799" s="434">
        <v>11.45</v>
      </c>
      <c r="L1799" s="434">
        <v>1730</v>
      </c>
      <c r="M1799" s="434">
        <v>1.58</v>
      </c>
      <c r="N1799" s="434">
        <v>0.68</v>
      </c>
      <c r="O1799" s="434">
        <v>3.31</v>
      </c>
      <c r="P1799" s="434">
        <v>7.16</v>
      </c>
      <c r="Q1799" s="434"/>
      <c r="R1799" s="436">
        <v>1.965017</v>
      </c>
      <c r="S1799" s="434">
        <v>22.7</v>
      </c>
      <c r="T1799" s="438"/>
      <c r="U1799" s="438"/>
      <c r="V1799" s="438"/>
      <c r="W1799" s="438"/>
      <c r="X1799" s="434"/>
      <c r="Y1799" s="67">
        <v>23</v>
      </c>
      <c r="Z1799" s="434"/>
      <c r="AA1799" s="68">
        <v>4.38</v>
      </c>
      <c r="AB1799" s="68">
        <v>0.312</v>
      </c>
      <c r="AC1799" s="69">
        <v>10.5</v>
      </c>
      <c r="AD1799" s="360">
        <v>460</v>
      </c>
      <c r="AE1799" s="354">
        <v>400</v>
      </c>
      <c r="AF1799" s="354">
        <v>140</v>
      </c>
      <c r="AG1799" s="66">
        <f t="shared" si="73"/>
        <v>176.23043478260871</v>
      </c>
      <c r="AH1799" s="143">
        <f t="shared" si="74"/>
        <v>1000</v>
      </c>
      <c r="AI1799" s="440"/>
      <c r="AJ1799" s="440"/>
      <c r="AK1799" s="440"/>
    </row>
    <row r="1800" spans="1:37" s="439" customFormat="1" x14ac:dyDescent="0.3">
      <c r="A1800" s="434">
        <v>903821</v>
      </c>
      <c r="B1800" s="435">
        <v>13.8</v>
      </c>
      <c r="C1800" s="435">
        <v>11</v>
      </c>
      <c r="D1800" s="434">
        <v>8.36</v>
      </c>
      <c r="E1800" s="1550">
        <v>0.373</v>
      </c>
      <c r="F1800" s="437">
        <v>141.9</v>
      </c>
      <c r="G1800" s="434"/>
      <c r="H1800" s="437">
        <v>57.18</v>
      </c>
      <c r="I1800" s="434">
        <v>277</v>
      </c>
      <c r="J1800" s="434">
        <v>0.65700000000000003</v>
      </c>
      <c r="K1800" s="434">
        <v>10.92</v>
      </c>
      <c r="L1800" s="434">
        <v>3090</v>
      </c>
      <c r="M1800" s="434">
        <v>1.56</v>
      </c>
      <c r="N1800" s="434">
        <v>0.72</v>
      </c>
      <c r="O1800" s="434">
        <v>10.08</v>
      </c>
      <c r="P1800" s="434">
        <v>5.91</v>
      </c>
      <c r="Q1800" s="434"/>
      <c r="R1800" s="436">
        <v>1.908828</v>
      </c>
      <c r="S1800" s="434">
        <v>20.399999999999999</v>
      </c>
      <c r="T1800" s="438"/>
      <c r="U1800" s="438"/>
      <c r="V1800" s="438"/>
      <c r="W1800" s="438"/>
      <c r="X1800" s="434"/>
      <c r="Y1800" s="67">
        <v>34.799999999999997</v>
      </c>
      <c r="Z1800" s="434"/>
      <c r="AA1800" s="68">
        <v>3.99</v>
      </c>
      <c r="AB1800" s="68">
        <v>0.85499999999999998</v>
      </c>
      <c r="AC1800" s="69">
        <v>7</v>
      </c>
      <c r="AD1800" s="360">
        <v>580</v>
      </c>
      <c r="AE1800" s="354">
        <v>300</v>
      </c>
      <c r="AF1800" s="354">
        <v>120</v>
      </c>
      <c r="AG1800" s="66">
        <f t="shared" si="73"/>
        <v>111.08275862068966</v>
      </c>
      <c r="AH1800" s="143">
        <f t="shared" si="74"/>
        <v>1000</v>
      </c>
      <c r="AI1800" s="440"/>
      <c r="AJ1800" s="440"/>
      <c r="AK1800" s="440"/>
    </row>
    <row r="1801" spans="1:37" s="439" customFormat="1" x14ac:dyDescent="0.3">
      <c r="A1801" s="434">
        <v>903822</v>
      </c>
      <c r="B1801" s="435">
        <v>19.8</v>
      </c>
      <c r="C1801" s="435">
        <v>12</v>
      </c>
      <c r="D1801" s="434">
        <v>8.4700000000000006</v>
      </c>
      <c r="E1801" s="1550">
        <v>0.60099999999999998</v>
      </c>
      <c r="F1801" s="437">
        <v>646.20000000000005</v>
      </c>
      <c r="G1801" s="434"/>
      <c r="H1801" s="437">
        <v>88.43</v>
      </c>
      <c r="I1801" s="434">
        <v>234</v>
      </c>
      <c r="J1801" s="434">
        <v>1.1659999999999999</v>
      </c>
      <c r="K1801" s="434">
        <v>10.79</v>
      </c>
      <c r="L1801" s="434">
        <v>3380</v>
      </c>
      <c r="M1801" s="434">
        <v>1.02</v>
      </c>
      <c r="N1801" s="434">
        <v>0.66</v>
      </c>
      <c r="O1801" s="434">
        <v>8.36</v>
      </c>
      <c r="P1801" s="434">
        <v>6.45</v>
      </c>
      <c r="Q1801" s="434"/>
      <c r="R1801" s="436">
        <v>1.8902570000000001</v>
      </c>
      <c r="S1801" s="434">
        <v>19.7</v>
      </c>
      <c r="T1801" s="438"/>
      <c r="U1801" s="438"/>
      <c r="V1801" s="438"/>
      <c r="W1801" s="438"/>
      <c r="X1801" s="434"/>
      <c r="Y1801" s="67">
        <v>42</v>
      </c>
      <c r="Z1801" s="434"/>
      <c r="AA1801" s="68">
        <v>3.54</v>
      </c>
      <c r="AB1801" s="68">
        <v>0.54400000000000004</v>
      </c>
      <c r="AC1801" s="69">
        <v>9.6999999999999993</v>
      </c>
      <c r="AD1801" s="360">
        <v>600</v>
      </c>
      <c r="AE1801" s="354">
        <v>270</v>
      </c>
      <c r="AF1801" s="354">
        <v>130</v>
      </c>
      <c r="AG1801" s="66">
        <f t="shared" si="73"/>
        <v>90.944285714285712</v>
      </c>
      <c r="AH1801" s="143">
        <f t="shared" si="74"/>
        <v>1000</v>
      </c>
      <c r="AI1801" s="440"/>
      <c r="AJ1801" s="440"/>
      <c r="AK1801" s="440"/>
    </row>
    <row r="1802" spans="1:37" s="439" customFormat="1" x14ac:dyDescent="0.3">
      <c r="A1802" s="434">
        <v>903823</v>
      </c>
      <c r="B1802" s="435">
        <v>13.8</v>
      </c>
      <c r="C1802" s="435">
        <v>7.4</v>
      </c>
      <c r="D1802" s="434">
        <v>8.14</v>
      </c>
      <c r="E1802" s="1550">
        <v>3.18</v>
      </c>
      <c r="F1802" s="437">
        <v>982.5</v>
      </c>
      <c r="G1802" s="434"/>
      <c r="H1802" s="437">
        <v>25.2</v>
      </c>
      <c r="I1802" s="434">
        <v>214</v>
      </c>
      <c r="J1802" s="434">
        <v>1.3460000000000001</v>
      </c>
      <c r="K1802" s="434">
        <v>55.9</v>
      </c>
      <c r="L1802" s="434">
        <v>1450</v>
      </c>
      <c r="M1802" s="434">
        <v>0.33</v>
      </c>
      <c r="N1802" s="434">
        <v>0.46</v>
      </c>
      <c r="O1802" s="434">
        <v>0.66</v>
      </c>
      <c r="P1802" s="434">
        <v>3.61</v>
      </c>
      <c r="Q1802" s="434"/>
      <c r="R1802" s="436">
        <v>0.7954075680465027</v>
      </c>
      <c r="S1802" s="434">
        <v>5.3</v>
      </c>
      <c r="T1802" s="438"/>
      <c r="U1802" s="438"/>
      <c r="V1802" s="438"/>
      <c r="W1802" s="438"/>
      <c r="X1802" s="434"/>
      <c r="Y1802" s="67">
        <v>22.8</v>
      </c>
      <c r="Z1802" s="434"/>
      <c r="AA1802" s="68">
        <v>4.21</v>
      </c>
      <c r="AB1802" s="68">
        <v>0.51600000000000001</v>
      </c>
      <c r="AC1802" s="69">
        <v>11</v>
      </c>
      <c r="AD1802" s="360">
        <v>380</v>
      </c>
      <c r="AE1802" s="354">
        <v>360</v>
      </c>
      <c r="AF1802" s="354">
        <v>260</v>
      </c>
      <c r="AG1802" s="66">
        <f t="shared" si="73"/>
        <v>867.92105263157885</v>
      </c>
      <c r="AH1802" s="143">
        <f t="shared" si="74"/>
        <v>1000</v>
      </c>
      <c r="AI1802" s="440"/>
      <c r="AJ1802" s="440"/>
      <c r="AK1802" s="440"/>
    </row>
    <row r="1803" spans="1:37" s="439" customFormat="1" x14ac:dyDescent="0.3">
      <c r="A1803" s="434">
        <v>903824</v>
      </c>
      <c r="B1803" s="435">
        <v>55.5</v>
      </c>
      <c r="C1803" s="435">
        <v>8.1</v>
      </c>
      <c r="D1803" s="434">
        <v>8.39</v>
      </c>
      <c r="E1803" s="1550">
        <v>0.73699999999999999</v>
      </c>
      <c r="F1803" s="437">
        <v>692.5</v>
      </c>
      <c r="G1803" s="434"/>
      <c r="H1803" s="437">
        <v>1.28</v>
      </c>
      <c r="I1803" s="434">
        <v>1025</v>
      </c>
      <c r="J1803" s="434">
        <v>0.27700000000000002</v>
      </c>
      <c r="K1803" s="434">
        <v>8.6999999999999993</v>
      </c>
      <c r="L1803" s="434">
        <v>880</v>
      </c>
      <c r="M1803" s="434">
        <v>0.1</v>
      </c>
      <c r="N1803" s="434">
        <v>0.34</v>
      </c>
      <c r="O1803" s="434">
        <v>0.49</v>
      </c>
      <c r="P1803" s="434">
        <v>1.88</v>
      </c>
      <c r="Q1803" s="434"/>
      <c r="R1803" s="436">
        <v>1.3769995308769389</v>
      </c>
      <c r="S1803" s="434">
        <v>9.1</v>
      </c>
      <c r="T1803" s="438"/>
      <c r="U1803" s="438"/>
      <c r="V1803" s="438"/>
      <c r="W1803" s="438"/>
      <c r="X1803" s="434"/>
      <c r="Y1803" s="67">
        <v>21.6</v>
      </c>
      <c r="Z1803" s="434"/>
      <c r="AA1803" s="68">
        <v>4.6900000000000004</v>
      </c>
      <c r="AB1803" s="68">
        <v>0.877</v>
      </c>
      <c r="AC1803" s="69">
        <v>11.7</v>
      </c>
      <c r="AD1803" s="360">
        <v>360</v>
      </c>
      <c r="AE1803" s="354">
        <v>420</v>
      </c>
      <c r="AF1803" s="354">
        <v>220</v>
      </c>
      <c r="AG1803" s="66">
        <f t="shared" si="73"/>
        <v>142.58333333333331</v>
      </c>
      <c r="AH1803" s="143">
        <f t="shared" si="74"/>
        <v>1000</v>
      </c>
      <c r="AI1803" s="440"/>
      <c r="AJ1803" s="440"/>
      <c r="AK1803" s="440"/>
    </row>
    <row r="1804" spans="1:37" s="439" customFormat="1" x14ac:dyDescent="0.3">
      <c r="A1804" s="434">
        <v>903825</v>
      </c>
      <c r="B1804" s="435">
        <v>52</v>
      </c>
      <c r="C1804" s="435">
        <v>6.8</v>
      </c>
      <c r="D1804" s="434">
        <v>8.94</v>
      </c>
      <c r="E1804" s="1550">
        <v>0.14399999999999999</v>
      </c>
      <c r="F1804" s="437">
        <v>86.5</v>
      </c>
      <c r="G1804" s="434"/>
      <c r="H1804" s="437">
        <v>0.87</v>
      </c>
      <c r="I1804" s="434">
        <v>228</v>
      </c>
      <c r="J1804" s="434">
        <v>4.9000000000000002E-2</v>
      </c>
      <c r="K1804" s="434">
        <v>10.48</v>
      </c>
      <c r="L1804" s="434">
        <v>390</v>
      </c>
      <c r="M1804" s="434">
        <v>0.08</v>
      </c>
      <c r="N1804" s="434">
        <v>0.32</v>
      </c>
      <c r="O1804" s="434">
        <v>0.4</v>
      </c>
      <c r="P1804" s="434">
        <v>1.43</v>
      </c>
      <c r="Q1804" s="434"/>
      <c r="R1804" s="436">
        <v>0.30619839993688192</v>
      </c>
      <c r="S1804" s="434">
        <v>2.1</v>
      </c>
      <c r="T1804" s="438"/>
      <c r="U1804" s="438"/>
      <c r="V1804" s="438"/>
      <c r="W1804" s="438"/>
      <c r="X1804" s="434"/>
      <c r="Y1804" s="67">
        <v>21.7</v>
      </c>
      <c r="Z1804" s="434"/>
      <c r="AA1804" s="68">
        <v>4.95</v>
      </c>
      <c r="AB1804" s="68">
        <v>0.67100000000000004</v>
      </c>
      <c r="AC1804" s="69">
        <v>7.4</v>
      </c>
      <c r="AD1804" s="360">
        <v>310</v>
      </c>
      <c r="AE1804" s="354">
        <v>430</v>
      </c>
      <c r="AF1804" s="354">
        <v>260</v>
      </c>
      <c r="AG1804" s="66">
        <f t="shared" si="73"/>
        <v>170.96405529953921</v>
      </c>
      <c r="AH1804" s="143">
        <f t="shared" si="74"/>
        <v>1000</v>
      </c>
      <c r="AI1804" s="440"/>
      <c r="AJ1804" s="440"/>
      <c r="AK1804" s="440"/>
    </row>
    <row r="1805" spans="1:37" s="439" customFormat="1" x14ac:dyDescent="0.3">
      <c r="A1805" s="434">
        <v>903826</v>
      </c>
      <c r="B1805" s="435">
        <v>50.7</v>
      </c>
      <c r="C1805" s="435">
        <v>8.1</v>
      </c>
      <c r="D1805" s="434">
        <v>8.23</v>
      </c>
      <c r="E1805" s="1550">
        <v>1.252</v>
      </c>
      <c r="F1805" s="437">
        <v>1240.9000000000001</v>
      </c>
      <c r="G1805" s="434"/>
      <c r="H1805" s="437">
        <v>1.28</v>
      </c>
      <c r="I1805" s="434">
        <v>480</v>
      </c>
      <c r="J1805" s="434">
        <v>0.67</v>
      </c>
      <c r="K1805" s="434">
        <v>10.5</v>
      </c>
      <c r="L1805" s="434">
        <v>970</v>
      </c>
      <c r="M1805" s="434">
        <v>0.08</v>
      </c>
      <c r="N1805" s="434">
        <v>0.3</v>
      </c>
      <c r="O1805" s="434">
        <v>0.49</v>
      </c>
      <c r="P1805" s="434">
        <v>1.4</v>
      </c>
      <c r="Q1805" s="434"/>
      <c r="R1805" s="436">
        <v>0.19670870642590588</v>
      </c>
      <c r="S1805" s="434">
        <v>1.4</v>
      </c>
      <c r="T1805" s="438"/>
      <c r="U1805" s="438"/>
      <c r="V1805" s="438"/>
      <c r="W1805" s="438"/>
      <c r="X1805" s="434"/>
      <c r="Y1805" s="67">
        <v>19.8</v>
      </c>
      <c r="Z1805" s="434"/>
      <c r="AA1805" s="68">
        <v>4.16</v>
      </c>
      <c r="AB1805" s="68">
        <v>0.57099999999999995</v>
      </c>
      <c r="AC1805" s="69">
        <v>9.6999999999999993</v>
      </c>
      <c r="AD1805" s="360">
        <v>330</v>
      </c>
      <c r="AE1805" s="354">
        <v>420</v>
      </c>
      <c r="AF1805" s="354">
        <v>250</v>
      </c>
      <c r="AG1805" s="66">
        <f t="shared" si="73"/>
        <v>187.72727272727272</v>
      </c>
      <c r="AH1805" s="143">
        <f t="shared" si="74"/>
        <v>1000</v>
      </c>
      <c r="AI1805" s="440"/>
      <c r="AJ1805" s="440"/>
      <c r="AK1805" s="440"/>
    </row>
    <row r="1806" spans="1:37" s="439" customFormat="1" x14ac:dyDescent="0.3">
      <c r="A1806" s="434">
        <v>903827</v>
      </c>
      <c r="B1806" s="435">
        <v>50.8</v>
      </c>
      <c r="C1806" s="435">
        <v>7.5</v>
      </c>
      <c r="D1806" s="434">
        <v>8.31</v>
      </c>
      <c r="E1806" s="1550">
        <v>0.76100000000000001</v>
      </c>
      <c r="F1806" s="437">
        <v>793.1</v>
      </c>
      <c r="G1806" s="434"/>
      <c r="H1806" s="437">
        <v>2.4</v>
      </c>
      <c r="I1806" s="434">
        <v>611</v>
      </c>
      <c r="J1806" s="434">
        <v>0.246</v>
      </c>
      <c r="K1806" s="434">
        <v>10.48</v>
      </c>
      <c r="L1806" s="434">
        <v>710</v>
      </c>
      <c r="M1806" s="434">
        <v>0.09</v>
      </c>
      <c r="N1806" s="434">
        <v>0.27</v>
      </c>
      <c r="O1806" s="434">
        <v>0.28999999999999998</v>
      </c>
      <c r="P1806" s="434">
        <v>1.21</v>
      </c>
      <c r="Q1806" s="434"/>
      <c r="R1806" s="436">
        <v>0.83270297030973917</v>
      </c>
      <c r="S1806" s="434">
        <v>5.9</v>
      </c>
      <c r="T1806" s="438"/>
      <c r="U1806" s="438"/>
      <c r="V1806" s="438"/>
      <c r="W1806" s="438"/>
      <c r="X1806" s="434"/>
      <c r="Y1806" s="67">
        <v>23.8</v>
      </c>
      <c r="Z1806" s="434"/>
      <c r="AA1806" s="68">
        <v>3.86</v>
      </c>
      <c r="AB1806" s="68">
        <v>0.48899999999999999</v>
      </c>
      <c r="AC1806" s="69">
        <v>7</v>
      </c>
      <c r="AD1806" s="360">
        <v>340</v>
      </c>
      <c r="AE1806" s="354">
        <v>420</v>
      </c>
      <c r="AF1806" s="354">
        <v>240</v>
      </c>
      <c r="AG1806" s="66">
        <f t="shared" si="73"/>
        <v>155.87899159663868</v>
      </c>
      <c r="AH1806" s="143">
        <f t="shared" si="74"/>
        <v>1000</v>
      </c>
      <c r="AI1806" s="440"/>
      <c r="AJ1806" s="440"/>
      <c r="AK1806" s="440"/>
    </row>
    <row r="1807" spans="1:37" s="439" customFormat="1" x14ac:dyDescent="0.3">
      <c r="A1807" s="434">
        <v>903828</v>
      </c>
      <c r="B1807" s="435">
        <v>50.7</v>
      </c>
      <c r="C1807" s="435">
        <v>5.4</v>
      </c>
      <c r="D1807" s="434">
        <v>8.74</v>
      </c>
      <c r="E1807" s="1550">
        <v>0.113</v>
      </c>
      <c r="F1807" s="437">
        <v>51.6</v>
      </c>
      <c r="G1807" s="434"/>
      <c r="H1807" s="437">
        <v>2.68</v>
      </c>
      <c r="I1807" s="434">
        <v>216</v>
      </c>
      <c r="J1807" s="434">
        <v>1.4E-2</v>
      </c>
      <c r="K1807" s="434">
        <v>8.66</v>
      </c>
      <c r="L1807" s="434">
        <v>370</v>
      </c>
      <c r="M1807" s="434">
        <v>0.32</v>
      </c>
      <c r="N1807" s="434">
        <v>0.47</v>
      </c>
      <c r="O1807" s="434">
        <v>0.47</v>
      </c>
      <c r="P1807" s="434">
        <v>2.12</v>
      </c>
      <c r="Q1807" s="434"/>
      <c r="R1807" s="436">
        <v>0.54602345010537123</v>
      </c>
      <c r="S1807" s="434">
        <v>3.7</v>
      </c>
      <c r="T1807" s="438"/>
      <c r="U1807" s="438"/>
      <c r="V1807" s="438"/>
      <c r="W1807" s="438"/>
      <c r="X1807" s="434"/>
      <c r="Y1807" s="67">
        <v>21</v>
      </c>
      <c r="Z1807" s="434"/>
      <c r="AA1807" s="68">
        <v>4.46</v>
      </c>
      <c r="AB1807" s="68">
        <v>0.378</v>
      </c>
      <c r="AC1807" s="69">
        <v>7.2</v>
      </c>
      <c r="AD1807" s="360">
        <v>300</v>
      </c>
      <c r="AE1807" s="354">
        <v>400</v>
      </c>
      <c r="AF1807" s="354">
        <v>300</v>
      </c>
      <c r="AG1807" s="66">
        <f t="shared" si="73"/>
        <v>145.98285714285717</v>
      </c>
      <c r="AH1807" s="143">
        <f t="shared" si="74"/>
        <v>1000</v>
      </c>
      <c r="AI1807" s="440"/>
      <c r="AJ1807" s="440"/>
      <c r="AK1807" s="440"/>
    </row>
    <row r="1808" spans="1:37" s="439" customFormat="1" x14ac:dyDescent="0.3">
      <c r="A1808" s="434">
        <v>903829</v>
      </c>
      <c r="B1808" s="435">
        <v>50</v>
      </c>
      <c r="C1808" s="435">
        <v>5</v>
      </c>
      <c r="D1808" s="434">
        <v>8.76</v>
      </c>
      <c r="E1808" s="1550">
        <v>0.109</v>
      </c>
      <c r="F1808" s="437">
        <v>70.7</v>
      </c>
      <c r="G1808" s="434"/>
      <c r="H1808" s="437">
        <v>1.22</v>
      </c>
      <c r="I1808" s="434">
        <v>218</v>
      </c>
      <c r="J1808" s="434">
        <v>1.7000000000000001E-2</v>
      </c>
      <c r="K1808" s="434">
        <v>8.73</v>
      </c>
      <c r="L1808" s="434">
        <v>480</v>
      </c>
      <c r="M1808" s="434">
        <v>0.37</v>
      </c>
      <c r="N1808" s="434">
        <v>0.47</v>
      </c>
      <c r="O1808" s="434">
        <v>0.51</v>
      </c>
      <c r="P1808" s="434">
        <v>2.56</v>
      </c>
      <c r="Q1808" s="434"/>
      <c r="R1808" s="436">
        <v>0.26815915634159226</v>
      </c>
      <c r="S1808" s="434">
        <v>2</v>
      </c>
      <c r="T1808" s="438"/>
      <c r="U1808" s="438"/>
      <c r="V1808" s="438"/>
      <c r="W1808" s="438"/>
      <c r="X1808" s="434"/>
      <c r="Y1808" s="67">
        <v>18</v>
      </c>
      <c r="Z1808" s="434"/>
      <c r="AA1808" s="68">
        <v>3.83</v>
      </c>
      <c r="AB1808" s="68">
        <v>0.747</v>
      </c>
      <c r="AC1808" s="69">
        <v>7.5</v>
      </c>
      <c r="AD1808" s="360">
        <v>300</v>
      </c>
      <c r="AE1808" s="354">
        <v>390</v>
      </c>
      <c r="AF1808" s="354">
        <v>310</v>
      </c>
      <c r="AG1808" s="66">
        <f t="shared" si="73"/>
        <v>171.69</v>
      </c>
      <c r="AH1808" s="143">
        <f t="shared" si="74"/>
        <v>1000</v>
      </c>
      <c r="AI1808" s="440"/>
      <c r="AJ1808" s="440"/>
      <c r="AK1808" s="440"/>
    </row>
    <row r="1809" spans="1:37" s="439" customFormat="1" x14ac:dyDescent="0.3">
      <c r="A1809" s="434">
        <v>903830</v>
      </c>
      <c r="B1809" s="435">
        <v>0.3</v>
      </c>
      <c r="C1809" s="435"/>
      <c r="D1809" s="434">
        <v>7.3</v>
      </c>
      <c r="E1809" s="1550">
        <v>0.11</v>
      </c>
      <c r="F1809" s="437">
        <v>71</v>
      </c>
      <c r="G1809" s="434"/>
      <c r="H1809" s="437">
        <v>87.51</v>
      </c>
      <c r="I1809" s="434">
        <v>362</v>
      </c>
      <c r="J1809" s="434">
        <v>0.27100000000000002</v>
      </c>
      <c r="K1809" s="434">
        <v>6.49</v>
      </c>
      <c r="L1809" s="434">
        <v>1820</v>
      </c>
      <c r="M1809" s="434">
        <v>0.45</v>
      </c>
      <c r="N1809" s="434">
        <v>1.33</v>
      </c>
      <c r="O1809" s="434">
        <v>1.72</v>
      </c>
      <c r="P1809" s="434">
        <v>64.34</v>
      </c>
      <c r="Q1809" s="434"/>
      <c r="R1809" s="436">
        <v>1.5982730000000001</v>
      </c>
      <c r="S1809" s="434">
        <v>10.9</v>
      </c>
      <c r="T1809" s="438"/>
      <c r="U1809" s="438"/>
      <c r="V1809" s="438"/>
      <c r="W1809" s="438"/>
      <c r="X1809" s="434"/>
      <c r="Y1809" s="67">
        <v>25.6</v>
      </c>
      <c r="Z1809" s="434"/>
      <c r="AA1809" s="68">
        <v>3.92</v>
      </c>
      <c r="AB1809" s="68">
        <v>0.499</v>
      </c>
      <c r="AC1809" s="69">
        <v>11.4</v>
      </c>
      <c r="AD1809" s="360">
        <v>640</v>
      </c>
      <c r="AE1809" s="354">
        <v>260</v>
      </c>
      <c r="AF1809" s="354">
        <v>100</v>
      </c>
      <c r="AG1809" s="66">
        <f t="shared" si="73"/>
        <v>89.744531249999994</v>
      </c>
      <c r="AH1809" s="143">
        <f t="shared" si="74"/>
        <v>1000</v>
      </c>
      <c r="AI1809" s="440"/>
      <c r="AJ1809" s="440"/>
      <c r="AK1809" s="440"/>
    </row>
    <row r="1810" spans="1:37" s="439" customFormat="1" x14ac:dyDescent="0.3">
      <c r="A1810" s="434">
        <v>903831</v>
      </c>
      <c r="B1810" s="435">
        <v>0.3</v>
      </c>
      <c r="C1810" s="435"/>
      <c r="D1810" s="434">
        <v>7.2</v>
      </c>
      <c r="E1810" s="1550">
        <v>9.5000000000000001E-2</v>
      </c>
      <c r="F1810" s="437">
        <v>85.2</v>
      </c>
      <c r="G1810" s="434"/>
      <c r="H1810" s="437">
        <v>169.64</v>
      </c>
      <c r="I1810" s="434">
        <v>199</v>
      </c>
      <c r="J1810" s="434">
        <v>0.14399999999999999</v>
      </c>
      <c r="K1810" s="434">
        <v>3.58</v>
      </c>
      <c r="L1810" s="434">
        <v>370</v>
      </c>
      <c r="M1810" s="434">
        <v>0.96</v>
      </c>
      <c r="N1810" s="434">
        <v>1.05</v>
      </c>
      <c r="O1810" s="434">
        <v>5.82</v>
      </c>
      <c r="P1810" s="434">
        <v>39.93</v>
      </c>
      <c r="Q1810" s="434"/>
      <c r="R1810" s="436">
        <v>1.0860110593344259</v>
      </c>
      <c r="S1810" s="434">
        <v>7.4</v>
      </c>
      <c r="T1810" s="438"/>
      <c r="U1810" s="438"/>
      <c r="V1810" s="438"/>
      <c r="W1810" s="438"/>
      <c r="X1810" s="434"/>
      <c r="Y1810" s="67">
        <v>11.4</v>
      </c>
      <c r="Z1810" s="434"/>
      <c r="AA1810" s="68">
        <v>4.91</v>
      </c>
      <c r="AB1810" s="68">
        <v>0.46800000000000003</v>
      </c>
      <c r="AC1810" s="69">
        <v>6.5</v>
      </c>
      <c r="AD1810" s="360">
        <v>310</v>
      </c>
      <c r="AE1810" s="354">
        <v>270</v>
      </c>
      <c r="AF1810" s="354">
        <v>420</v>
      </c>
      <c r="AG1810" s="66">
        <f t="shared" si="73"/>
        <v>111.16842105263157</v>
      </c>
      <c r="AH1810" s="143">
        <f t="shared" si="74"/>
        <v>1000</v>
      </c>
      <c r="AI1810" s="440"/>
      <c r="AJ1810" s="440"/>
      <c r="AK1810" s="440"/>
    </row>
    <row r="1811" spans="1:37" s="498" customFormat="1" x14ac:dyDescent="0.3">
      <c r="A1811" s="492">
        <v>903832</v>
      </c>
      <c r="B1811" s="493">
        <v>20.7</v>
      </c>
      <c r="C1811" s="493">
        <v>8.6</v>
      </c>
      <c r="D1811" s="492">
        <v>8.25</v>
      </c>
      <c r="E1811" s="1551">
        <v>1.085</v>
      </c>
      <c r="F1811" s="495">
        <v>129.27000000000001</v>
      </c>
      <c r="G1811" s="492"/>
      <c r="H1811" s="495">
        <v>331.31</v>
      </c>
      <c r="I1811" s="492">
        <v>550</v>
      </c>
      <c r="J1811" s="492">
        <v>0.82</v>
      </c>
      <c r="K1811" s="492">
        <v>9.8000000000000007</v>
      </c>
      <c r="L1811" s="492">
        <v>1190</v>
      </c>
      <c r="M1811" s="492">
        <v>4.2</v>
      </c>
      <c r="N1811" s="492">
        <v>1.44</v>
      </c>
      <c r="O1811" s="492">
        <v>1.95</v>
      </c>
      <c r="P1811" s="492">
        <v>20.98</v>
      </c>
      <c r="Q1811" s="492"/>
      <c r="R1811" s="494">
        <v>1.1534494777559134</v>
      </c>
      <c r="S1811" s="492">
        <v>7.6</v>
      </c>
      <c r="T1811" s="496"/>
      <c r="U1811" s="496"/>
      <c r="V1811" s="496"/>
      <c r="W1811" s="496"/>
      <c r="X1811" s="492"/>
      <c r="Y1811" s="497">
        <v>22</v>
      </c>
      <c r="Z1811" s="492"/>
      <c r="AA1811" s="68">
        <v>4.0599999999999996</v>
      </c>
      <c r="AB1811" s="68">
        <v>0.30199999999999999</v>
      </c>
      <c r="AC1811" s="69">
        <v>9.6</v>
      </c>
      <c r="AD1811" s="499">
        <v>440</v>
      </c>
      <c r="AE1811" s="500">
        <v>300</v>
      </c>
      <c r="AF1811" s="500">
        <v>260</v>
      </c>
      <c r="AG1811" s="66">
        <f t="shared" si="73"/>
        <v>157.69090909090909</v>
      </c>
      <c r="AH1811" s="143">
        <f t="shared" si="74"/>
        <v>1000</v>
      </c>
      <c r="AI1811" s="501"/>
      <c r="AJ1811" s="501"/>
      <c r="AK1811" s="501"/>
    </row>
    <row r="1812" spans="1:37" s="498" customFormat="1" x14ac:dyDescent="0.3">
      <c r="A1812" s="492">
        <v>903833</v>
      </c>
      <c r="B1812" s="493">
        <v>23.3</v>
      </c>
      <c r="C1812" s="493">
        <v>11.5</v>
      </c>
      <c r="D1812" s="492">
        <v>8.26</v>
      </c>
      <c r="E1812" s="1551">
        <v>1.962</v>
      </c>
      <c r="F1812" s="495">
        <v>298.51</v>
      </c>
      <c r="G1812" s="492"/>
      <c r="H1812" s="495">
        <v>417.4</v>
      </c>
      <c r="I1812" s="492">
        <v>610</v>
      </c>
      <c r="J1812" s="492">
        <v>1.282</v>
      </c>
      <c r="K1812" s="492">
        <v>10.81</v>
      </c>
      <c r="L1812" s="492">
        <v>1270</v>
      </c>
      <c r="M1812" s="492">
        <v>3.24</v>
      </c>
      <c r="N1812" s="492">
        <v>1.1499999999999999</v>
      </c>
      <c r="O1812" s="492">
        <v>0.59</v>
      </c>
      <c r="P1812" s="492">
        <v>17.37</v>
      </c>
      <c r="Q1812" s="492"/>
      <c r="R1812" s="494">
        <v>1.1672991236139156</v>
      </c>
      <c r="S1812" s="492">
        <v>8.4</v>
      </c>
      <c r="T1812" s="496"/>
      <c r="U1812" s="496"/>
      <c r="V1812" s="496"/>
      <c r="W1812" s="496"/>
      <c r="X1812" s="492"/>
      <c r="Y1812" s="497">
        <v>21.5</v>
      </c>
      <c r="Z1812" s="492"/>
      <c r="AA1812" s="68">
        <v>4.71</v>
      </c>
      <c r="AB1812" s="68">
        <v>0.53500000000000003</v>
      </c>
      <c r="AC1812" s="69">
        <v>6.7</v>
      </c>
      <c r="AD1812" s="499">
        <v>430</v>
      </c>
      <c r="AE1812" s="500">
        <v>320</v>
      </c>
      <c r="AF1812" s="500">
        <v>250</v>
      </c>
      <c r="AG1812" s="66">
        <f t="shared" si="73"/>
        <v>177.9879069767442</v>
      </c>
      <c r="AH1812" s="143">
        <f t="shared" si="74"/>
        <v>1000</v>
      </c>
      <c r="AI1812" s="501"/>
      <c r="AJ1812" s="501"/>
      <c r="AK1812" s="501"/>
    </row>
    <row r="1813" spans="1:37" s="498" customFormat="1" x14ac:dyDescent="0.3">
      <c r="A1813" s="492">
        <v>903834</v>
      </c>
      <c r="B1813" s="493"/>
      <c r="C1813" s="493"/>
      <c r="D1813" s="492"/>
      <c r="E1813" s="1551"/>
      <c r="F1813" s="495"/>
      <c r="G1813" s="492"/>
      <c r="H1813" s="495"/>
      <c r="I1813" s="492"/>
      <c r="J1813" s="492"/>
      <c r="K1813" s="492"/>
      <c r="L1813" s="492"/>
      <c r="M1813" s="492"/>
      <c r="N1813" s="492"/>
      <c r="O1813" s="492"/>
      <c r="P1813" s="492"/>
      <c r="Q1813" s="492"/>
      <c r="R1813" s="494"/>
      <c r="S1813" s="492"/>
      <c r="T1813" s="496"/>
      <c r="U1813" s="496"/>
      <c r="V1813" s="496"/>
      <c r="W1813" s="496"/>
      <c r="X1813" s="492"/>
      <c r="Y1813" s="497"/>
      <c r="Z1813" s="492"/>
      <c r="AA1813" s="68">
        <v>3.48</v>
      </c>
      <c r="AB1813" s="68">
        <v>0.76</v>
      </c>
      <c r="AC1813" s="69">
        <v>7.8</v>
      </c>
      <c r="AD1813" s="499"/>
      <c r="AE1813" s="500"/>
      <c r="AF1813" s="500"/>
      <c r="AG1813" s="66" t="e">
        <f t="shared" si="73"/>
        <v>#DIV/0!</v>
      </c>
      <c r="AH1813" s="143">
        <f t="shared" si="74"/>
        <v>0</v>
      </c>
      <c r="AI1813" s="501"/>
      <c r="AJ1813" s="501"/>
      <c r="AK1813" s="501"/>
    </row>
    <row r="1814" spans="1:37" s="498" customFormat="1" x14ac:dyDescent="0.3">
      <c r="A1814" s="492">
        <v>903835</v>
      </c>
      <c r="B1814" s="493"/>
      <c r="C1814" s="493"/>
      <c r="D1814" s="492"/>
      <c r="E1814" s="1551"/>
      <c r="F1814" s="495"/>
      <c r="G1814" s="492"/>
      <c r="H1814" s="495"/>
      <c r="I1814" s="492"/>
      <c r="J1814" s="492"/>
      <c r="K1814" s="492"/>
      <c r="L1814" s="492"/>
      <c r="M1814" s="492"/>
      <c r="N1814" s="492"/>
      <c r="O1814" s="492"/>
      <c r="P1814" s="492"/>
      <c r="Q1814" s="492"/>
      <c r="R1814" s="494"/>
      <c r="S1814" s="492"/>
      <c r="T1814" s="496"/>
      <c r="U1814" s="496"/>
      <c r="V1814" s="496"/>
      <c r="W1814" s="496"/>
      <c r="X1814" s="492"/>
      <c r="Y1814" s="497"/>
      <c r="Z1814" s="492"/>
      <c r="AA1814" s="68">
        <v>4.7300000000000004</v>
      </c>
      <c r="AB1814" s="68">
        <v>0.433</v>
      </c>
      <c r="AC1814" s="69">
        <v>10.199999999999999</v>
      </c>
      <c r="AD1814" s="499"/>
      <c r="AE1814" s="500"/>
      <c r="AF1814" s="500"/>
      <c r="AG1814" s="66" t="e">
        <f t="shared" si="73"/>
        <v>#DIV/0!</v>
      </c>
      <c r="AH1814" s="143">
        <f t="shared" si="74"/>
        <v>0</v>
      </c>
      <c r="AI1814" s="501"/>
      <c r="AJ1814" s="501"/>
      <c r="AK1814" s="501"/>
    </row>
    <row r="1815" spans="1:37" s="498" customFormat="1" x14ac:dyDescent="0.3">
      <c r="A1815" s="492">
        <v>903836</v>
      </c>
      <c r="B1815" s="493">
        <v>22.3</v>
      </c>
      <c r="C1815" s="493">
        <v>8.3000000000000007</v>
      </c>
      <c r="D1815" s="492">
        <v>8.49</v>
      </c>
      <c r="E1815" s="1551">
        <v>0.253</v>
      </c>
      <c r="F1815" s="495">
        <v>27.21</v>
      </c>
      <c r="G1815" s="492"/>
      <c r="H1815" s="495">
        <v>16.54</v>
      </c>
      <c r="I1815" s="492">
        <v>200</v>
      </c>
      <c r="J1815" s="492">
        <v>0.317</v>
      </c>
      <c r="K1815" s="492">
        <v>10.92</v>
      </c>
      <c r="L1815" s="492">
        <v>630</v>
      </c>
      <c r="M1815" s="492">
        <v>0.42</v>
      </c>
      <c r="N1815" s="492">
        <v>1.05</v>
      </c>
      <c r="O1815" s="492">
        <v>1.56</v>
      </c>
      <c r="P1815" s="492">
        <v>7.75</v>
      </c>
      <c r="Q1815" s="492"/>
      <c r="R1815" s="494">
        <v>1.6922480000000002</v>
      </c>
      <c r="S1815" s="492">
        <v>13.4</v>
      </c>
      <c r="T1815" s="496"/>
      <c r="U1815" s="496"/>
      <c r="V1815" s="496"/>
      <c r="W1815" s="496"/>
      <c r="X1815" s="492"/>
      <c r="Y1815" s="497">
        <v>36.9</v>
      </c>
      <c r="Z1815" s="492"/>
      <c r="AA1815" s="68">
        <v>3.96</v>
      </c>
      <c r="AB1815" s="68">
        <v>0.69899999999999995</v>
      </c>
      <c r="AC1815" s="69">
        <v>10.6</v>
      </c>
      <c r="AD1815" s="499">
        <v>640</v>
      </c>
      <c r="AE1815" s="500">
        <v>260</v>
      </c>
      <c r="AF1815" s="500">
        <v>100</v>
      </c>
      <c r="AG1815" s="66">
        <f t="shared" si="73"/>
        <v>104.7609756097561</v>
      </c>
      <c r="AH1815" s="143">
        <f t="shared" si="74"/>
        <v>1000</v>
      </c>
      <c r="AI1815" s="501"/>
      <c r="AJ1815" s="501"/>
      <c r="AK1815" s="501"/>
    </row>
    <row r="1816" spans="1:37" s="498" customFormat="1" x14ac:dyDescent="0.3">
      <c r="A1816" s="492">
        <v>903837</v>
      </c>
      <c r="B1816" s="493">
        <v>22</v>
      </c>
      <c r="C1816" s="493">
        <v>10.3</v>
      </c>
      <c r="D1816" s="492">
        <v>8.4700000000000006</v>
      </c>
      <c r="E1816" s="1551">
        <v>0.26500000000000001</v>
      </c>
      <c r="F1816" s="495">
        <v>22.81</v>
      </c>
      <c r="G1816" s="492"/>
      <c r="H1816" s="495">
        <v>27.11</v>
      </c>
      <c r="I1816" s="492">
        <v>210</v>
      </c>
      <c r="J1816" s="492">
        <v>0.34</v>
      </c>
      <c r="K1816" s="492">
        <v>10.89</v>
      </c>
      <c r="L1816" s="492">
        <v>820</v>
      </c>
      <c r="M1816" s="492">
        <v>0.48</v>
      </c>
      <c r="N1816" s="492">
        <v>1.5</v>
      </c>
      <c r="O1816" s="492">
        <v>1.04</v>
      </c>
      <c r="P1816" s="492">
        <v>18.57</v>
      </c>
      <c r="Q1816" s="492"/>
      <c r="R1816" s="494">
        <v>1.7774730000000001</v>
      </c>
      <c r="S1816" s="492">
        <v>15.9</v>
      </c>
      <c r="T1816" s="496"/>
      <c r="U1816" s="496"/>
      <c r="V1816" s="496"/>
      <c r="W1816" s="496"/>
      <c r="X1816" s="492"/>
      <c r="Y1816" s="497">
        <v>35.6</v>
      </c>
      <c r="Z1816" s="492"/>
      <c r="AA1816" s="68">
        <v>4.83</v>
      </c>
      <c r="AB1816" s="68">
        <v>0.252</v>
      </c>
      <c r="AC1816" s="69">
        <v>9.9</v>
      </c>
      <c r="AD1816" s="499">
        <v>630</v>
      </c>
      <c r="AE1816" s="500">
        <v>270</v>
      </c>
      <c r="AF1816" s="500">
        <v>100</v>
      </c>
      <c r="AG1816" s="66">
        <f t="shared" si="73"/>
        <v>108.28820224719102</v>
      </c>
      <c r="AH1816" s="143">
        <f t="shared" si="74"/>
        <v>1000</v>
      </c>
      <c r="AI1816" s="501"/>
      <c r="AJ1816" s="501"/>
      <c r="AK1816" s="501"/>
    </row>
    <row r="1817" spans="1:37" s="498" customFormat="1" x14ac:dyDescent="0.3">
      <c r="A1817" s="492">
        <v>903838</v>
      </c>
      <c r="B1817" s="493">
        <v>29</v>
      </c>
      <c r="C1817" s="493">
        <v>10.4</v>
      </c>
      <c r="D1817" s="492">
        <v>8.33</v>
      </c>
      <c r="E1817" s="1551">
        <v>0.76500000000000001</v>
      </c>
      <c r="F1817" s="495">
        <v>84.73</v>
      </c>
      <c r="G1817" s="492"/>
      <c r="H1817" s="495">
        <v>36.049999999999997</v>
      </c>
      <c r="I1817" s="492">
        <v>410</v>
      </c>
      <c r="J1817" s="492">
        <v>0.41199999999999998</v>
      </c>
      <c r="K1817" s="492">
        <v>10.91</v>
      </c>
      <c r="L1817" s="492">
        <v>850</v>
      </c>
      <c r="M1817" s="492">
        <v>0.54</v>
      </c>
      <c r="N1817" s="492">
        <v>0.62</v>
      </c>
      <c r="O1817" s="492">
        <v>1.77</v>
      </c>
      <c r="P1817" s="492">
        <v>2.2000000000000002</v>
      </c>
      <c r="Q1817" s="492"/>
      <c r="R1817" s="494">
        <v>1.674153</v>
      </c>
      <c r="S1817" s="492">
        <v>12.9</v>
      </c>
      <c r="T1817" s="496"/>
      <c r="U1817" s="496"/>
      <c r="V1817" s="496"/>
      <c r="W1817" s="496"/>
      <c r="X1817" s="492"/>
      <c r="Y1817" s="497">
        <v>31.2</v>
      </c>
      <c r="Z1817" s="492"/>
      <c r="AA1817" s="68">
        <v>3.45</v>
      </c>
      <c r="AB1817" s="68">
        <v>0.80700000000000005</v>
      </c>
      <c r="AC1817" s="69">
        <v>8.6999999999999993</v>
      </c>
      <c r="AD1817" s="499">
        <v>520</v>
      </c>
      <c r="AE1817" s="500">
        <v>260</v>
      </c>
      <c r="AF1817" s="500">
        <v>220</v>
      </c>
      <c r="AG1817" s="66">
        <f t="shared" si="73"/>
        <v>123.78653846153847</v>
      </c>
      <c r="AH1817" s="143">
        <f t="shared" si="74"/>
        <v>1000</v>
      </c>
      <c r="AI1817" s="501"/>
      <c r="AJ1817" s="501"/>
      <c r="AK1817" s="501"/>
    </row>
    <row r="1818" spans="1:37" s="498" customFormat="1" x14ac:dyDescent="0.3">
      <c r="A1818" s="492">
        <v>903839</v>
      </c>
      <c r="B1818" s="493">
        <v>26.7</v>
      </c>
      <c r="C1818" s="493">
        <v>11.4</v>
      </c>
      <c r="D1818" s="492">
        <v>8.4499999999999993</v>
      </c>
      <c r="E1818" s="1551">
        <v>0.26200000000000001</v>
      </c>
      <c r="F1818" s="495">
        <v>23.42</v>
      </c>
      <c r="G1818" s="492"/>
      <c r="H1818" s="495">
        <v>29.85</v>
      </c>
      <c r="I1818" s="492">
        <v>500</v>
      </c>
      <c r="J1818" s="492">
        <v>0.19400000000000001</v>
      </c>
      <c r="K1818" s="492">
        <v>11.37</v>
      </c>
      <c r="L1818" s="492">
        <v>630</v>
      </c>
      <c r="M1818" s="492">
        <v>0.23</v>
      </c>
      <c r="N1818" s="492">
        <v>0.71</v>
      </c>
      <c r="O1818" s="492">
        <v>1.47</v>
      </c>
      <c r="P1818" s="492">
        <v>2.23</v>
      </c>
      <c r="Q1818" s="492"/>
      <c r="R1818" s="494">
        <v>1.3818578416420149</v>
      </c>
      <c r="S1818" s="492">
        <v>9.6999999999999993</v>
      </c>
      <c r="T1818" s="496"/>
      <c r="U1818" s="496"/>
      <c r="V1818" s="496"/>
      <c r="W1818" s="496"/>
      <c r="X1818" s="492"/>
      <c r="Y1818" s="497">
        <v>35</v>
      </c>
      <c r="Z1818" s="492"/>
      <c r="AA1818" s="68">
        <v>4.43</v>
      </c>
      <c r="AB1818" s="68">
        <v>0.72899999999999998</v>
      </c>
      <c r="AC1818" s="69">
        <v>7.1</v>
      </c>
      <c r="AD1818" s="499">
        <v>500</v>
      </c>
      <c r="AE1818" s="500">
        <v>300</v>
      </c>
      <c r="AF1818" s="500">
        <v>200</v>
      </c>
      <c r="AG1818" s="66">
        <f t="shared" si="73"/>
        <v>114.99942857142857</v>
      </c>
      <c r="AH1818" s="143">
        <f t="shared" si="74"/>
        <v>1000</v>
      </c>
      <c r="AI1818" s="501"/>
      <c r="AJ1818" s="501"/>
      <c r="AK1818" s="501"/>
    </row>
    <row r="1819" spans="1:37" s="524" customFormat="1" x14ac:dyDescent="0.3">
      <c r="A1819" s="517">
        <v>903840</v>
      </c>
      <c r="B1819" s="518">
        <v>20.8</v>
      </c>
      <c r="C1819" s="518">
        <v>10.1</v>
      </c>
      <c r="D1819" s="517">
        <v>8.64</v>
      </c>
      <c r="E1819" s="1552">
        <v>3.8</v>
      </c>
      <c r="F1819" s="520">
        <v>4496.8</v>
      </c>
      <c r="G1819" s="517"/>
      <c r="H1819" s="518">
        <v>23.61</v>
      </c>
      <c r="I1819" s="517">
        <v>390</v>
      </c>
      <c r="J1819" s="521">
        <v>5.37</v>
      </c>
      <c r="K1819" s="517">
        <v>9.99</v>
      </c>
      <c r="L1819" s="517">
        <v>1260</v>
      </c>
      <c r="M1819" s="517">
        <v>0.85</v>
      </c>
      <c r="N1819" s="517">
        <v>1.2</v>
      </c>
      <c r="O1819" s="517">
        <v>6.74</v>
      </c>
      <c r="P1819" s="517">
        <v>5.7</v>
      </c>
      <c r="Q1819" s="517"/>
      <c r="R1819" s="519">
        <v>1.6216250000000001</v>
      </c>
      <c r="S1819" s="518">
        <v>11.5</v>
      </c>
      <c r="T1819" s="522"/>
      <c r="U1819" s="522"/>
      <c r="V1819" s="522"/>
      <c r="W1819" s="522"/>
      <c r="X1819" s="517"/>
      <c r="Y1819" s="523">
        <v>18.666666666666668</v>
      </c>
      <c r="Z1819" s="517"/>
      <c r="AA1819" s="68">
        <v>4.08</v>
      </c>
      <c r="AB1819" s="68">
        <v>0.74299999999999999</v>
      </c>
      <c r="AC1819" s="69">
        <v>10</v>
      </c>
      <c r="AD1819" s="413">
        <v>560</v>
      </c>
      <c r="AE1819" s="407">
        <v>320</v>
      </c>
      <c r="AF1819" s="407">
        <v>120</v>
      </c>
      <c r="AG1819" s="66">
        <f t="shared" si="73"/>
        <v>189.4532142857143</v>
      </c>
      <c r="AH1819" s="143">
        <f t="shared" si="74"/>
        <v>1000</v>
      </c>
      <c r="AI1819" s="525"/>
      <c r="AJ1819" s="525"/>
      <c r="AK1819" s="525"/>
    </row>
    <row r="1820" spans="1:37" s="524" customFormat="1" x14ac:dyDescent="0.3">
      <c r="A1820" s="517">
        <v>903841</v>
      </c>
      <c r="B1820" s="518">
        <v>0.2</v>
      </c>
      <c r="C1820" s="518"/>
      <c r="D1820" s="517">
        <v>6.38</v>
      </c>
      <c r="E1820" s="1552">
        <v>0.156</v>
      </c>
      <c r="F1820" s="520">
        <v>144.30000000000001</v>
      </c>
      <c r="G1820" s="517"/>
      <c r="H1820" s="518">
        <v>23.34</v>
      </c>
      <c r="I1820" s="517">
        <v>50</v>
      </c>
      <c r="J1820" s="521">
        <v>0.17</v>
      </c>
      <c r="K1820" s="517">
        <v>0.62</v>
      </c>
      <c r="L1820" s="517">
        <v>150</v>
      </c>
      <c r="M1820" s="517">
        <v>0.33</v>
      </c>
      <c r="N1820" s="517">
        <v>0.72</v>
      </c>
      <c r="O1820" s="517">
        <v>13.13</v>
      </c>
      <c r="P1820" s="517">
        <v>68.16</v>
      </c>
      <c r="Q1820" s="517"/>
      <c r="R1820" s="519">
        <v>1.0242121555954133</v>
      </c>
      <c r="S1820" s="518">
        <v>7.3</v>
      </c>
      <c r="T1820" s="522"/>
      <c r="U1820" s="522"/>
      <c r="V1820" s="522"/>
      <c r="W1820" s="522"/>
      <c r="X1820" s="517"/>
      <c r="Y1820" s="523">
        <v>17.599999999999998</v>
      </c>
      <c r="Z1820" s="517">
        <v>5.32</v>
      </c>
      <c r="AA1820" s="68">
        <v>4.0199999999999996</v>
      </c>
      <c r="AB1820" s="68">
        <v>0.66200000000000003</v>
      </c>
      <c r="AC1820" s="69">
        <v>7</v>
      </c>
      <c r="AD1820" s="413">
        <v>440</v>
      </c>
      <c r="AE1820" s="407">
        <v>240</v>
      </c>
      <c r="AF1820" s="407">
        <v>320</v>
      </c>
      <c r="AG1820" s="66">
        <f t="shared" si="73"/>
        <v>12.470454545454546</v>
      </c>
      <c r="AH1820" s="143">
        <f t="shared" si="74"/>
        <v>1000</v>
      </c>
      <c r="AI1820" s="525"/>
      <c r="AJ1820" s="525"/>
      <c r="AK1820" s="525"/>
    </row>
    <row r="1821" spans="1:37" s="524" customFormat="1" x14ac:dyDescent="0.3">
      <c r="A1821" s="517">
        <v>903842</v>
      </c>
      <c r="B1821" s="518">
        <v>0.1</v>
      </c>
      <c r="C1821" s="518"/>
      <c r="D1821" s="517">
        <v>7.21</v>
      </c>
      <c r="E1821" s="1552">
        <v>8.5000000000000006E-2</v>
      </c>
      <c r="F1821" s="518">
        <v>3.7</v>
      </c>
      <c r="G1821" s="517"/>
      <c r="H1821" s="518">
        <v>125.25</v>
      </c>
      <c r="I1821" s="517">
        <v>240</v>
      </c>
      <c r="J1821" s="521">
        <v>0.04</v>
      </c>
      <c r="K1821" s="517">
        <v>1.25</v>
      </c>
      <c r="L1821" s="517">
        <v>220</v>
      </c>
      <c r="M1821" s="517">
        <v>10.39</v>
      </c>
      <c r="N1821" s="517">
        <v>2.89</v>
      </c>
      <c r="O1821" s="517">
        <v>13.65</v>
      </c>
      <c r="P1821" s="517">
        <v>20.91</v>
      </c>
      <c r="Q1821" s="517"/>
      <c r="R1821" s="519">
        <v>1.4763867664743218</v>
      </c>
      <c r="S1821" s="518">
        <v>10.199999999999999</v>
      </c>
      <c r="T1821" s="522"/>
      <c r="U1821" s="522"/>
      <c r="V1821" s="522"/>
      <c r="W1821" s="522"/>
      <c r="X1821" s="517"/>
      <c r="Y1821" s="523">
        <v>9.6</v>
      </c>
      <c r="Z1821" s="517"/>
      <c r="AA1821" s="68">
        <v>4.71</v>
      </c>
      <c r="AB1821" s="68">
        <v>0.56000000000000005</v>
      </c>
      <c r="AC1821" s="69">
        <v>11.7</v>
      </c>
      <c r="AD1821" s="413">
        <v>240</v>
      </c>
      <c r="AE1821" s="407">
        <v>130</v>
      </c>
      <c r="AF1821" s="407">
        <v>630</v>
      </c>
      <c r="AG1821" s="66">
        <f t="shared" si="73"/>
        <v>46.09375</v>
      </c>
      <c r="AH1821" s="143">
        <f t="shared" si="74"/>
        <v>1000</v>
      </c>
      <c r="AI1821" s="525"/>
      <c r="AJ1821" s="525"/>
      <c r="AK1821" s="525"/>
    </row>
    <row r="1822" spans="1:37" s="524" customFormat="1" x14ac:dyDescent="0.3">
      <c r="A1822" s="517">
        <v>903843</v>
      </c>
      <c r="B1822" s="518">
        <v>45.3</v>
      </c>
      <c r="C1822" s="518">
        <v>17.3</v>
      </c>
      <c r="D1822" s="517">
        <v>8.59</v>
      </c>
      <c r="E1822" s="1552">
        <v>0.20100000000000001</v>
      </c>
      <c r="F1822" s="518">
        <v>26</v>
      </c>
      <c r="G1822" s="517"/>
      <c r="H1822" s="518">
        <v>6.3</v>
      </c>
      <c r="I1822" s="517">
        <v>200</v>
      </c>
      <c r="J1822" s="521">
        <v>0.08</v>
      </c>
      <c r="K1822" s="517">
        <v>12.59</v>
      </c>
      <c r="L1822" s="517">
        <v>380</v>
      </c>
      <c r="M1822" s="517">
        <v>0.27</v>
      </c>
      <c r="N1822" s="517">
        <v>0.87</v>
      </c>
      <c r="O1822" s="517">
        <v>4.9400000000000004</v>
      </c>
      <c r="P1822" s="517">
        <v>4.96</v>
      </c>
      <c r="Q1822" s="517"/>
      <c r="R1822" s="519">
        <v>1.6254680000000001</v>
      </c>
      <c r="S1822" s="518">
        <v>11.6</v>
      </c>
      <c r="T1822" s="522"/>
      <c r="U1822" s="522"/>
      <c r="V1822" s="522"/>
      <c r="W1822" s="522"/>
      <c r="X1822" s="517"/>
      <c r="Y1822" s="523">
        <v>18.666666666666668</v>
      </c>
      <c r="Z1822" s="517"/>
      <c r="AA1822" s="68">
        <v>4.1100000000000003</v>
      </c>
      <c r="AB1822" s="68">
        <v>0.9</v>
      </c>
      <c r="AC1822" s="69">
        <v>10.7</v>
      </c>
      <c r="AD1822" s="413">
        <v>560</v>
      </c>
      <c r="AE1822" s="407">
        <v>320</v>
      </c>
      <c r="AF1822" s="407">
        <v>120</v>
      </c>
      <c r="AG1822" s="66">
        <f t="shared" si="73"/>
        <v>238.76035714285712</v>
      </c>
      <c r="AH1822" s="143">
        <f t="shared" si="74"/>
        <v>1000</v>
      </c>
      <c r="AI1822" s="525"/>
      <c r="AJ1822" s="525"/>
      <c r="AK1822" s="525"/>
    </row>
    <row r="1823" spans="1:37" s="524" customFormat="1" x14ac:dyDescent="0.3">
      <c r="A1823" s="517">
        <v>903844</v>
      </c>
      <c r="B1823" s="518">
        <v>30.7</v>
      </c>
      <c r="C1823" s="518">
        <v>14.9</v>
      </c>
      <c r="D1823" s="517">
        <v>8.35</v>
      </c>
      <c r="E1823" s="1552">
        <v>0.33800000000000002</v>
      </c>
      <c r="F1823" s="520">
        <v>169</v>
      </c>
      <c r="G1823" s="517"/>
      <c r="H1823" s="518">
        <v>22.08</v>
      </c>
      <c r="I1823" s="517">
        <v>520</v>
      </c>
      <c r="J1823" s="521">
        <v>0.09</v>
      </c>
      <c r="K1823" s="517">
        <v>14.83</v>
      </c>
      <c r="L1823" s="517">
        <v>380</v>
      </c>
      <c r="M1823" s="517">
        <v>0.38</v>
      </c>
      <c r="N1823" s="517">
        <v>1.25</v>
      </c>
      <c r="O1823" s="517">
        <v>6.66</v>
      </c>
      <c r="P1823" s="517">
        <v>4.17</v>
      </c>
      <c r="Q1823" s="517"/>
      <c r="R1823" s="519">
        <v>1.809113</v>
      </c>
      <c r="S1823" s="518">
        <v>16.899999999999999</v>
      </c>
      <c r="T1823" s="522"/>
      <c r="U1823" s="522"/>
      <c r="V1823" s="522"/>
      <c r="W1823" s="522"/>
      <c r="X1823" s="517"/>
      <c r="Y1823" s="523">
        <v>24.266666666666666</v>
      </c>
      <c r="Z1823" s="517"/>
      <c r="AA1823" s="68">
        <v>4.75</v>
      </c>
      <c r="AB1823" s="68">
        <v>0.248</v>
      </c>
      <c r="AC1823" s="69">
        <v>6.8</v>
      </c>
      <c r="AD1823" s="413">
        <v>520</v>
      </c>
      <c r="AE1823" s="407">
        <v>340</v>
      </c>
      <c r="AF1823" s="407">
        <v>140</v>
      </c>
      <c r="AG1823" s="66">
        <f t="shared" si="73"/>
        <v>216.33873626373631</v>
      </c>
      <c r="AH1823" s="143">
        <f t="shared" si="74"/>
        <v>1000</v>
      </c>
      <c r="AI1823" s="525"/>
      <c r="AJ1823" s="525"/>
      <c r="AK1823" s="525"/>
    </row>
    <row r="1824" spans="1:37" s="524" customFormat="1" x14ac:dyDescent="0.3">
      <c r="A1824" s="517">
        <v>903845</v>
      </c>
      <c r="B1824" s="518">
        <v>48.7</v>
      </c>
      <c r="C1824" s="518">
        <v>16.899999999999999</v>
      </c>
      <c r="D1824" s="517">
        <v>8.7100000000000009</v>
      </c>
      <c r="E1824" s="1552">
        <v>0.128</v>
      </c>
      <c r="F1824" s="518">
        <v>8</v>
      </c>
      <c r="G1824" s="517"/>
      <c r="H1824" s="518">
        <v>5.98</v>
      </c>
      <c r="I1824" s="517">
        <v>230</v>
      </c>
      <c r="J1824" s="521">
        <v>0.02</v>
      </c>
      <c r="K1824" s="517">
        <v>12.06</v>
      </c>
      <c r="L1824" s="517">
        <v>260</v>
      </c>
      <c r="M1824" s="517">
        <v>0.26</v>
      </c>
      <c r="N1824" s="517">
        <v>0.93</v>
      </c>
      <c r="O1824" s="517">
        <v>11.28</v>
      </c>
      <c r="P1824" s="517">
        <v>3.38</v>
      </c>
      <c r="Q1824" s="517"/>
      <c r="R1824" s="519">
        <v>1.7806999999999999</v>
      </c>
      <c r="S1824" s="518">
        <v>16</v>
      </c>
      <c r="T1824" s="522"/>
      <c r="U1824" s="522"/>
      <c r="V1824" s="522"/>
      <c r="W1824" s="522"/>
      <c r="X1824" s="517"/>
      <c r="Y1824" s="523">
        <v>25.2</v>
      </c>
      <c r="Z1824" s="517"/>
      <c r="AA1824" s="68">
        <v>3.7</v>
      </c>
      <c r="AB1824" s="68">
        <v>0.84899999999999998</v>
      </c>
      <c r="AC1824" s="69">
        <v>6.8</v>
      </c>
      <c r="AD1824" s="413">
        <v>540</v>
      </c>
      <c r="AE1824" s="407">
        <v>300</v>
      </c>
      <c r="AF1824" s="407">
        <v>160</v>
      </c>
      <c r="AG1824" s="66">
        <f t="shared" si="73"/>
        <v>169.41428571428571</v>
      </c>
      <c r="AH1824" s="143">
        <f t="shared" si="74"/>
        <v>1000</v>
      </c>
      <c r="AI1824" s="525"/>
      <c r="AJ1824" s="525"/>
      <c r="AK1824" s="525"/>
    </row>
    <row r="1825" spans="1:37" s="524" customFormat="1" x14ac:dyDescent="0.3">
      <c r="A1825" s="517">
        <v>903846</v>
      </c>
      <c r="B1825" s="518">
        <v>11.3</v>
      </c>
      <c r="C1825" s="518">
        <v>6.9</v>
      </c>
      <c r="D1825" s="517">
        <v>8.6300000000000008</v>
      </c>
      <c r="E1825" s="1552">
        <v>2.39</v>
      </c>
      <c r="F1825" s="520">
        <v>2590.4</v>
      </c>
      <c r="G1825" s="517"/>
      <c r="H1825" s="518">
        <v>29.29</v>
      </c>
      <c r="I1825" s="517">
        <v>600</v>
      </c>
      <c r="J1825" s="521">
        <v>2.37</v>
      </c>
      <c r="K1825" s="517">
        <v>10.4</v>
      </c>
      <c r="L1825" s="517">
        <v>1090</v>
      </c>
      <c r="M1825" s="517">
        <v>1.61</v>
      </c>
      <c r="N1825" s="517">
        <v>1.99</v>
      </c>
      <c r="O1825" s="517">
        <v>4.3899999999999997</v>
      </c>
      <c r="P1825" s="517">
        <v>3.08</v>
      </c>
      <c r="Q1825" s="517"/>
      <c r="R1825" s="519">
        <v>1.8122</v>
      </c>
      <c r="S1825" s="518">
        <v>17</v>
      </c>
      <c r="T1825" s="522"/>
      <c r="U1825" s="522"/>
      <c r="V1825" s="522"/>
      <c r="W1825" s="522"/>
      <c r="X1825" s="517"/>
      <c r="Y1825" s="523">
        <v>17.733333333333334</v>
      </c>
      <c r="Z1825" s="517"/>
      <c r="AA1825" s="68">
        <v>3.95</v>
      </c>
      <c r="AB1825" s="68">
        <v>0.82699999999999996</v>
      </c>
      <c r="AC1825" s="69">
        <v>10.7</v>
      </c>
      <c r="AD1825" s="413">
        <v>380</v>
      </c>
      <c r="AE1825" s="407">
        <v>520</v>
      </c>
      <c r="AF1825" s="407">
        <v>100</v>
      </c>
      <c r="AG1825" s="66">
        <f t="shared" si="73"/>
        <v>207.60902255639098</v>
      </c>
      <c r="AH1825" s="143">
        <f t="shared" si="74"/>
        <v>1000</v>
      </c>
      <c r="AI1825" s="525"/>
      <c r="AJ1825" s="525"/>
      <c r="AK1825" s="525"/>
    </row>
    <row r="1826" spans="1:37" s="524" customFormat="1" x14ac:dyDescent="0.3">
      <c r="A1826" s="517">
        <v>903847</v>
      </c>
      <c r="B1826" s="518">
        <v>11.3</v>
      </c>
      <c r="C1826" s="518">
        <v>7</v>
      </c>
      <c r="D1826" s="517">
        <v>8.8800000000000008</v>
      </c>
      <c r="E1826" s="1552">
        <v>1.42</v>
      </c>
      <c r="F1826" s="520">
        <v>1638.1</v>
      </c>
      <c r="G1826" s="517"/>
      <c r="H1826" s="518">
        <v>40.21</v>
      </c>
      <c r="I1826" s="517">
        <v>540</v>
      </c>
      <c r="J1826" s="521">
        <v>1.81</v>
      </c>
      <c r="K1826" s="517">
        <v>9.4700000000000006</v>
      </c>
      <c r="L1826" s="517">
        <v>1120</v>
      </c>
      <c r="M1826" s="517">
        <v>1.55</v>
      </c>
      <c r="N1826" s="517">
        <v>1.98</v>
      </c>
      <c r="O1826" s="517">
        <v>6.77</v>
      </c>
      <c r="P1826" s="517">
        <v>2.94</v>
      </c>
      <c r="Q1826" s="517"/>
      <c r="R1826" s="519">
        <v>1.6958250000000001</v>
      </c>
      <c r="S1826" s="518">
        <v>13.5</v>
      </c>
      <c r="T1826" s="522"/>
      <c r="U1826" s="522"/>
      <c r="V1826" s="522"/>
      <c r="W1826" s="522"/>
      <c r="X1826" s="517"/>
      <c r="Y1826" s="523">
        <v>18.666666666666668</v>
      </c>
      <c r="Z1826" s="517"/>
      <c r="AA1826" s="68">
        <v>4.51</v>
      </c>
      <c r="AB1826" s="68">
        <v>0.42799999999999999</v>
      </c>
      <c r="AC1826" s="69">
        <v>8.6</v>
      </c>
      <c r="AD1826" s="413">
        <v>400</v>
      </c>
      <c r="AE1826" s="407">
        <v>500</v>
      </c>
      <c r="AF1826" s="407">
        <v>100</v>
      </c>
      <c r="AG1826" s="66">
        <f t="shared" si="73"/>
        <v>179.59178571428572</v>
      </c>
      <c r="AH1826" s="143">
        <f t="shared" si="74"/>
        <v>1000</v>
      </c>
      <c r="AI1826" s="525"/>
      <c r="AJ1826" s="525"/>
      <c r="AK1826" s="525"/>
    </row>
    <row r="1827" spans="1:37" s="524" customFormat="1" x14ac:dyDescent="0.3">
      <c r="A1827" s="517">
        <v>903848</v>
      </c>
      <c r="B1827" s="518">
        <v>11.3</v>
      </c>
      <c r="C1827" s="518">
        <v>7.4</v>
      </c>
      <c r="D1827" s="517">
        <v>8.56</v>
      </c>
      <c r="E1827" s="1552">
        <v>3.74</v>
      </c>
      <c r="F1827" s="520">
        <v>4420.8</v>
      </c>
      <c r="G1827" s="517"/>
      <c r="H1827" s="518">
        <v>54.79</v>
      </c>
      <c r="I1827" s="517">
        <v>530</v>
      </c>
      <c r="J1827" s="521">
        <v>3.14</v>
      </c>
      <c r="K1827" s="517">
        <v>9.4700000000000006</v>
      </c>
      <c r="L1827" s="517">
        <v>1620</v>
      </c>
      <c r="M1827" s="517">
        <v>1.49</v>
      </c>
      <c r="N1827" s="517">
        <v>1.88</v>
      </c>
      <c r="O1827" s="517">
        <v>2.5</v>
      </c>
      <c r="P1827" s="517">
        <v>2.17</v>
      </c>
      <c r="Q1827" s="517"/>
      <c r="R1827" s="519">
        <v>1.836392</v>
      </c>
      <c r="S1827" s="518">
        <v>17.8</v>
      </c>
      <c r="T1827" s="522"/>
      <c r="U1827" s="522"/>
      <c r="V1827" s="522"/>
      <c r="W1827" s="522"/>
      <c r="X1827" s="517"/>
      <c r="Y1827" s="523">
        <v>12.666666666666666</v>
      </c>
      <c r="Z1827" s="517"/>
      <c r="AA1827" s="68">
        <v>4.84</v>
      </c>
      <c r="AB1827" s="68">
        <v>0.40500000000000003</v>
      </c>
      <c r="AC1827" s="69">
        <v>9.6999999999999993</v>
      </c>
      <c r="AD1827" s="413">
        <v>380</v>
      </c>
      <c r="AE1827" s="407">
        <v>530</v>
      </c>
      <c r="AF1827" s="407">
        <v>90</v>
      </c>
      <c r="AG1827" s="66">
        <f t="shared" si="73"/>
        <v>264.66157894736847</v>
      </c>
      <c r="AH1827" s="143">
        <f t="shared" si="74"/>
        <v>1000</v>
      </c>
      <c r="AI1827" s="525"/>
      <c r="AJ1827" s="525"/>
      <c r="AK1827" s="525"/>
    </row>
    <row r="1828" spans="1:37" s="524" customFormat="1" x14ac:dyDescent="0.3">
      <c r="A1828" s="517">
        <v>903849</v>
      </c>
      <c r="B1828" s="519">
        <v>0.1</v>
      </c>
      <c r="C1828" s="518"/>
      <c r="D1828" s="517">
        <v>6.53</v>
      </c>
      <c r="E1828" s="1552">
        <v>0.08</v>
      </c>
      <c r="F1828" s="518">
        <v>6.5</v>
      </c>
      <c r="G1828" s="517"/>
      <c r="H1828" s="518">
        <v>0.46</v>
      </c>
      <c r="I1828" s="517">
        <v>40</v>
      </c>
      <c r="J1828" s="521">
        <v>0.47</v>
      </c>
      <c r="K1828" s="517">
        <v>1.3</v>
      </c>
      <c r="L1828" s="517">
        <v>80</v>
      </c>
      <c r="M1828" s="517">
        <v>0.45</v>
      </c>
      <c r="N1828" s="517">
        <v>0.22</v>
      </c>
      <c r="O1828" s="517">
        <v>10.25</v>
      </c>
      <c r="P1828" s="517">
        <v>4.45</v>
      </c>
      <c r="Q1828" s="517"/>
      <c r="R1828" s="519">
        <v>0.2919277299208714</v>
      </c>
      <c r="S1828" s="518">
        <v>1.9</v>
      </c>
      <c r="T1828" s="522"/>
      <c r="U1828" s="522"/>
      <c r="V1828" s="522"/>
      <c r="W1828" s="522"/>
      <c r="X1828" s="518"/>
      <c r="Y1828" s="523">
        <v>19.555555555555554</v>
      </c>
      <c r="Z1828" s="517"/>
      <c r="AA1828" s="68">
        <v>4.5999999999999996</v>
      </c>
      <c r="AB1828" s="68">
        <v>0.69499999999999995</v>
      </c>
      <c r="AC1828" s="69">
        <v>11.8</v>
      </c>
      <c r="AD1828" s="413">
        <v>880</v>
      </c>
      <c r="AE1828" s="407">
        <v>60</v>
      </c>
      <c r="AF1828" s="407">
        <v>60</v>
      </c>
      <c r="AG1828" s="66">
        <f t="shared" si="73"/>
        <v>23.532954545454551</v>
      </c>
      <c r="AH1828" s="143">
        <f t="shared" si="74"/>
        <v>1000</v>
      </c>
      <c r="AI1828" s="525"/>
      <c r="AJ1828" s="525"/>
      <c r="AK1828" s="525"/>
    </row>
    <row r="1829" spans="1:37" s="524" customFormat="1" x14ac:dyDescent="0.3">
      <c r="A1829" s="517">
        <v>903850</v>
      </c>
      <c r="B1829" s="519">
        <v>0.1</v>
      </c>
      <c r="C1829" s="518"/>
      <c r="D1829" s="517">
        <v>6.96</v>
      </c>
      <c r="E1829" s="1552">
        <v>0.02</v>
      </c>
      <c r="F1829" s="518">
        <v>2.5</v>
      </c>
      <c r="G1829" s="517"/>
      <c r="H1829" s="518">
        <v>1.23</v>
      </c>
      <c r="I1829" s="517">
        <v>10</v>
      </c>
      <c r="J1829" s="521">
        <v>0</v>
      </c>
      <c r="K1829" s="517">
        <v>1.21</v>
      </c>
      <c r="L1829" s="517">
        <v>40</v>
      </c>
      <c r="M1829" s="517">
        <v>0.24</v>
      </c>
      <c r="N1829" s="517">
        <v>0.2</v>
      </c>
      <c r="O1829" s="517">
        <v>2.89</v>
      </c>
      <c r="P1829" s="517">
        <v>6.97</v>
      </c>
      <c r="Q1829" s="517"/>
      <c r="R1829" s="519">
        <v>0.29872563172944688</v>
      </c>
      <c r="S1829" s="518">
        <v>2.1</v>
      </c>
      <c r="T1829" s="522"/>
      <c r="U1829" s="522"/>
      <c r="V1829" s="522"/>
      <c r="W1829" s="522"/>
      <c r="X1829" s="518"/>
      <c r="Y1829" s="523">
        <v>22.933333333333302</v>
      </c>
      <c r="Z1829" s="517">
        <v>5.67</v>
      </c>
      <c r="AA1829" s="68">
        <v>3.52</v>
      </c>
      <c r="AB1829" s="68">
        <v>0.35899999999999999</v>
      </c>
      <c r="AC1829" s="69">
        <v>11.6</v>
      </c>
      <c r="AD1829" s="413">
        <v>860</v>
      </c>
      <c r="AE1829" s="407">
        <v>80</v>
      </c>
      <c r="AF1829" s="407">
        <v>60</v>
      </c>
      <c r="AG1829" s="66">
        <f t="shared" si="73"/>
        <v>18.677616279069795</v>
      </c>
      <c r="AH1829" s="143">
        <f t="shared" si="74"/>
        <v>1000</v>
      </c>
      <c r="AI1829" s="525"/>
      <c r="AJ1829" s="525"/>
      <c r="AK1829" s="525"/>
    </row>
    <row r="1830" spans="1:37" s="524" customFormat="1" x14ac:dyDescent="0.3">
      <c r="A1830" s="517">
        <v>903851</v>
      </c>
      <c r="B1830" s="519">
        <v>0.1</v>
      </c>
      <c r="C1830" s="518"/>
      <c r="D1830" s="517">
        <v>6.38</v>
      </c>
      <c r="E1830" s="1552">
        <v>1.6E-2</v>
      </c>
      <c r="F1830" s="518">
        <v>9</v>
      </c>
      <c r="G1830" s="517"/>
      <c r="H1830" s="518">
        <v>0.35</v>
      </c>
      <c r="I1830" s="517">
        <v>20</v>
      </c>
      <c r="J1830" s="521">
        <v>1E-3</v>
      </c>
      <c r="K1830" s="517">
        <v>1.26</v>
      </c>
      <c r="L1830" s="517">
        <v>50</v>
      </c>
      <c r="M1830" s="517">
        <v>0.17</v>
      </c>
      <c r="N1830" s="517">
        <v>0.24</v>
      </c>
      <c r="O1830" s="517">
        <v>4.26</v>
      </c>
      <c r="P1830" s="517">
        <v>5.81</v>
      </c>
      <c r="Q1830" s="517"/>
      <c r="R1830" s="519">
        <v>0.31246124873395703</v>
      </c>
      <c r="S1830" s="518">
        <v>2.2999999999999998</v>
      </c>
      <c r="T1830" s="522"/>
      <c r="U1830" s="522"/>
      <c r="V1830" s="522"/>
      <c r="W1830" s="522"/>
      <c r="X1830" s="518"/>
      <c r="Y1830" s="523">
        <v>19.111111111111111</v>
      </c>
      <c r="Z1830" s="517">
        <v>4.74</v>
      </c>
      <c r="AA1830" s="68">
        <v>4.08</v>
      </c>
      <c r="AB1830" s="68">
        <v>0.63500000000000001</v>
      </c>
      <c r="AC1830" s="69">
        <v>6.8</v>
      </c>
      <c r="AD1830" s="413">
        <v>860</v>
      </c>
      <c r="AE1830" s="407">
        <v>80</v>
      </c>
      <c r="AF1830" s="407">
        <v>60</v>
      </c>
      <c r="AG1830" s="66">
        <f t="shared" si="73"/>
        <v>23.339302325581393</v>
      </c>
      <c r="AH1830" s="143">
        <f t="shared" si="74"/>
        <v>1000</v>
      </c>
      <c r="AI1830" s="525"/>
      <c r="AJ1830" s="525"/>
      <c r="AK1830" s="525"/>
    </row>
    <row r="1831" spans="1:37" s="524" customFormat="1" x14ac:dyDescent="0.3">
      <c r="A1831" s="517">
        <v>903852</v>
      </c>
      <c r="B1831" s="519">
        <v>0.1</v>
      </c>
      <c r="C1831" s="518"/>
      <c r="D1831" s="517">
        <v>6.74</v>
      </c>
      <c r="E1831" s="1552">
        <v>2.4E-2</v>
      </c>
      <c r="F1831" s="518">
        <v>11.5</v>
      </c>
      <c r="G1831" s="517"/>
      <c r="H1831" s="518">
        <v>1.1200000000000001</v>
      </c>
      <c r="I1831" s="517">
        <v>10</v>
      </c>
      <c r="J1831" s="521">
        <v>4.0000000000000001E-3</v>
      </c>
      <c r="K1831" s="517">
        <v>1.31</v>
      </c>
      <c r="L1831" s="517">
        <v>80</v>
      </c>
      <c r="M1831" s="517">
        <v>0.22</v>
      </c>
      <c r="N1831" s="517">
        <v>0.31</v>
      </c>
      <c r="O1831" s="517">
        <v>8.5299999999999994</v>
      </c>
      <c r="P1831" s="517">
        <v>8.1999999999999993</v>
      </c>
      <c r="Q1831" s="517"/>
      <c r="R1831" s="519">
        <v>0.2826536109421966</v>
      </c>
      <c r="S1831" s="518">
        <v>1.9</v>
      </c>
      <c r="T1831" s="522"/>
      <c r="U1831" s="522"/>
      <c r="V1831" s="522"/>
      <c r="W1831" s="522"/>
      <c r="X1831" s="518"/>
      <c r="Y1831" s="523">
        <v>19.333333333333332</v>
      </c>
      <c r="Z1831" s="517">
        <v>4.74</v>
      </c>
      <c r="AA1831" s="68">
        <v>4</v>
      </c>
      <c r="AB1831" s="68">
        <v>0.30499999999999999</v>
      </c>
      <c r="AC1831" s="69">
        <v>6.6</v>
      </c>
      <c r="AD1831" s="413">
        <v>870</v>
      </c>
      <c r="AE1831" s="407">
        <v>60</v>
      </c>
      <c r="AF1831" s="407">
        <v>70</v>
      </c>
      <c r="AG1831" s="66">
        <f t="shared" si="73"/>
        <v>23.986551724137936</v>
      </c>
      <c r="AH1831" s="143">
        <f t="shared" si="74"/>
        <v>1000</v>
      </c>
      <c r="AI1831" s="525"/>
      <c r="AJ1831" s="525"/>
      <c r="AK1831" s="525"/>
    </row>
    <row r="1832" spans="1:37" s="524" customFormat="1" x14ac:dyDescent="0.3">
      <c r="A1832" s="517">
        <v>903853</v>
      </c>
      <c r="B1832" s="519">
        <v>0.1</v>
      </c>
      <c r="C1832" s="518"/>
      <c r="D1832" s="517">
        <v>7.1</v>
      </c>
      <c r="E1832" s="1552">
        <v>2.5000000000000001E-2</v>
      </c>
      <c r="F1832" s="518">
        <v>8</v>
      </c>
      <c r="G1832" s="517"/>
      <c r="H1832" s="518">
        <v>9.52</v>
      </c>
      <c r="I1832" s="517">
        <v>70</v>
      </c>
      <c r="J1832" s="521">
        <v>0</v>
      </c>
      <c r="K1832" s="517">
        <v>1.54</v>
      </c>
      <c r="L1832" s="517">
        <v>180</v>
      </c>
      <c r="M1832" s="517">
        <v>0.46</v>
      </c>
      <c r="N1832" s="517">
        <v>0.25</v>
      </c>
      <c r="O1832" s="517">
        <v>7.36</v>
      </c>
      <c r="P1832" s="517">
        <v>5.78</v>
      </c>
      <c r="Q1832" s="517"/>
      <c r="R1832" s="519">
        <v>0.34717519916892081</v>
      </c>
      <c r="S1832" s="518">
        <v>2.5</v>
      </c>
      <c r="T1832" s="522"/>
      <c r="U1832" s="522"/>
      <c r="V1832" s="522"/>
      <c r="W1832" s="522"/>
      <c r="X1832" s="518"/>
      <c r="Y1832" s="523">
        <v>18.666666666666668</v>
      </c>
      <c r="Z1832" s="517"/>
      <c r="AA1832" s="68">
        <v>4.49</v>
      </c>
      <c r="AB1832" s="68">
        <v>0.34599999999999997</v>
      </c>
      <c r="AC1832" s="69">
        <v>9.6999999999999993</v>
      </c>
      <c r="AD1832" s="413">
        <v>840</v>
      </c>
      <c r="AE1832" s="407">
        <v>80</v>
      </c>
      <c r="AF1832" s="407">
        <v>80</v>
      </c>
      <c r="AG1832" s="66">
        <f t="shared" si="73"/>
        <v>29.204999999999995</v>
      </c>
      <c r="AH1832" s="143">
        <f t="shared" si="74"/>
        <v>1000</v>
      </c>
      <c r="AI1832" s="525"/>
      <c r="AJ1832" s="525"/>
      <c r="AK1832" s="525"/>
    </row>
    <row r="1833" spans="1:37" s="524" customFormat="1" x14ac:dyDescent="0.3">
      <c r="A1833" s="517">
        <v>903854</v>
      </c>
      <c r="B1833" s="519">
        <v>0.1</v>
      </c>
      <c r="C1833" s="518"/>
      <c r="D1833" s="517">
        <v>6.49</v>
      </c>
      <c r="E1833" s="1552">
        <v>1.4E-2</v>
      </c>
      <c r="F1833" s="518">
        <v>6</v>
      </c>
      <c r="G1833" s="517"/>
      <c r="H1833" s="518">
        <v>1.07</v>
      </c>
      <c r="I1833" s="517">
        <v>20</v>
      </c>
      <c r="J1833" s="521">
        <v>1.0999999999999999E-2</v>
      </c>
      <c r="K1833" s="517">
        <v>1.33</v>
      </c>
      <c r="L1833" s="517">
        <v>140</v>
      </c>
      <c r="M1833" s="517">
        <v>0.16</v>
      </c>
      <c r="N1833" s="517">
        <v>0.28000000000000003</v>
      </c>
      <c r="O1833" s="517">
        <v>4.5599999999999996</v>
      </c>
      <c r="P1833" s="517">
        <v>10.43</v>
      </c>
      <c r="Q1833" s="517"/>
      <c r="R1833" s="519">
        <v>0.20853283690254104</v>
      </c>
      <c r="S1833" s="518">
        <v>1.5</v>
      </c>
      <c r="T1833" s="522"/>
      <c r="U1833" s="522"/>
      <c r="V1833" s="522"/>
      <c r="W1833" s="522"/>
      <c r="X1833" s="518"/>
      <c r="Y1833" s="523">
        <v>16.755555555555599</v>
      </c>
      <c r="Z1833" s="517">
        <v>4.9400000000000004</v>
      </c>
      <c r="AA1833" s="68">
        <v>3.48</v>
      </c>
      <c r="AB1833" s="68">
        <v>0.82699999999999996</v>
      </c>
      <c r="AC1833" s="69">
        <v>10.9</v>
      </c>
      <c r="AD1833" s="413">
        <v>860</v>
      </c>
      <c r="AE1833" s="407">
        <v>60</v>
      </c>
      <c r="AF1833" s="407">
        <v>80</v>
      </c>
      <c r="AG1833" s="66">
        <f t="shared" si="73"/>
        <v>28.099336870026455</v>
      </c>
      <c r="AH1833" s="143">
        <f t="shared" si="74"/>
        <v>1000</v>
      </c>
      <c r="AI1833" s="525"/>
      <c r="AJ1833" s="525"/>
      <c r="AK1833" s="525"/>
    </row>
    <row r="1834" spans="1:37" s="524" customFormat="1" x14ac:dyDescent="0.3">
      <c r="A1834" s="517">
        <v>903855</v>
      </c>
      <c r="B1834" s="519">
        <v>0.1</v>
      </c>
      <c r="C1834" s="518"/>
      <c r="D1834" s="517">
        <v>6.59</v>
      </c>
      <c r="E1834" s="1552">
        <v>1.4E-2</v>
      </c>
      <c r="F1834" s="520">
        <v>179.3</v>
      </c>
      <c r="G1834" s="517"/>
      <c r="H1834" s="518">
        <v>1.33</v>
      </c>
      <c r="I1834" s="517">
        <v>10</v>
      </c>
      <c r="J1834" s="521">
        <v>0</v>
      </c>
      <c r="K1834" s="517">
        <v>1.25</v>
      </c>
      <c r="L1834" s="517">
        <v>50</v>
      </c>
      <c r="M1834" s="517">
        <v>0.37</v>
      </c>
      <c r="N1834" s="517">
        <v>0.19</v>
      </c>
      <c r="O1834" s="517">
        <v>2.64</v>
      </c>
      <c r="P1834" s="517">
        <v>6.83</v>
      </c>
      <c r="Q1834" s="517"/>
      <c r="R1834" s="519">
        <v>0.25079797028816159</v>
      </c>
      <c r="S1834" s="518">
        <v>1.8</v>
      </c>
      <c r="T1834" s="522"/>
      <c r="U1834" s="522"/>
      <c r="V1834" s="522"/>
      <c r="W1834" s="522"/>
      <c r="X1834" s="518"/>
      <c r="Y1834" s="523">
        <v>19.111111111111111</v>
      </c>
      <c r="Z1834" s="517">
        <v>5.47</v>
      </c>
      <c r="AA1834" s="68">
        <v>4.3</v>
      </c>
      <c r="AB1834" s="68">
        <v>0.52100000000000002</v>
      </c>
      <c r="AC1834" s="69">
        <v>11</v>
      </c>
      <c r="AD1834" s="413">
        <v>860</v>
      </c>
      <c r="AE1834" s="407">
        <v>60</v>
      </c>
      <c r="AF1834" s="407">
        <v>80</v>
      </c>
      <c r="AG1834" s="66">
        <f t="shared" si="73"/>
        <v>23.154069767441861</v>
      </c>
      <c r="AH1834" s="143">
        <f t="shared" si="74"/>
        <v>1000</v>
      </c>
      <c r="AI1834" s="525"/>
      <c r="AJ1834" s="525"/>
      <c r="AK1834" s="525"/>
    </row>
    <row r="1835" spans="1:37" s="524" customFormat="1" x14ac:dyDescent="0.3">
      <c r="A1835" s="517">
        <v>903856</v>
      </c>
      <c r="B1835" s="519">
        <v>0.1</v>
      </c>
      <c r="C1835" s="518"/>
      <c r="D1835" s="517">
        <v>7.59</v>
      </c>
      <c r="E1835" s="1552">
        <v>2.1000000000000001E-2</v>
      </c>
      <c r="F1835" s="518">
        <v>6</v>
      </c>
      <c r="G1835" s="517"/>
      <c r="H1835" s="518">
        <v>0.19</v>
      </c>
      <c r="I1835" s="517">
        <v>30</v>
      </c>
      <c r="J1835" s="521">
        <v>4.0000000000000001E-3</v>
      </c>
      <c r="K1835" s="517">
        <v>1.17</v>
      </c>
      <c r="L1835" s="517">
        <v>20</v>
      </c>
      <c r="M1835" s="517">
        <v>0.16</v>
      </c>
      <c r="N1835" s="517">
        <v>0.14000000000000001</v>
      </c>
      <c r="O1835" s="517">
        <v>0.93</v>
      </c>
      <c r="P1835" s="517">
        <v>1.33</v>
      </c>
      <c r="Q1835" s="517"/>
      <c r="R1835" s="519">
        <v>0.19659582335467699</v>
      </c>
      <c r="S1835" s="518">
        <v>1.4</v>
      </c>
      <c r="T1835" s="522"/>
      <c r="U1835" s="522"/>
      <c r="V1835" s="522"/>
      <c r="W1835" s="522"/>
      <c r="X1835" s="518"/>
      <c r="Y1835" s="523">
        <v>27.066666666666666</v>
      </c>
      <c r="Z1835" s="517"/>
      <c r="AA1835" s="68">
        <v>4.5199999999999996</v>
      </c>
      <c r="AB1835" s="68">
        <v>0.63300000000000001</v>
      </c>
      <c r="AC1835" s="69">
        <v>11.3</v>
      </c>
      <c r="AD1835" s="413">
        <v>870</v>
      </c>
      <c r="AE1835" s="407">
        <v>50</v>
      </c>
      <c r="AF1835" s="407">
        <v>80</v>
      </c>
      <c r="AG1835" s="66">
        <f t="shared" si="73"/>
        <v>15.302216748768473</v>
      </c>
      <c r="AH1835" s="143">
        <f t="shared" si="74"/>
        <v>1000</v>
      </c>
      <c r="AI1835" s="525"/>
      <c r="AJ1835" s="525"/>
      <c r="AK1835" s="525"/>
    </row>
    <row r="1836" spans="1:37" s="524" customFormat="1" x14ac:dyDescent="0.3">
      <c r="A1836" s="517">
        <v>903857</v>
      </c>
      <c r="B1836" s="519">
        <v>0.1</v>
      </c>
      <c r="C1836" s="518"/>
      <c r="D1836" s="517">
        <v>7.75</v>
      </c>
      <c r="E1836" s="1552">
        <v>2.5999999999999999E-2</v>
      </c>
      <c r="F1836" s="518">
        <v>5</v>
      </c>
      <c r="G1836" s="517"/>
      <c r="H1836" s="518">
        <v>1.23</v>
      </c>
      <c r="I1836" s="517">
        <v>40</v>
      </c>
      <c r="J1836" s="521">
        <v>1E-3</v>
      </c>
      <c r="K1836" s="517">
        <v>1.48</v>
      </c>
      <c r="L1836" s="517">
        <v>80</v>
      </c>
      <c r="M1836" s="517">
        <v>0.13</v>
      </c>
      <c r="N1836" s="517">
        <v>0.2</v>
      </c>
      <c r="O1836" s="517">
        <v>1.19</v>
      </c>
      <c r="P1836" s="517">
        <v>4.59</v>
      </c>
      <c r="Q1836" s="517"/>
      <c r="R1836" s="519">
        <v>0.24542242258838187</v>
      </c>
      <c r="S1836" s="518">
        <v>1.8</v>
      </c>
      <c r="T1836" s="522"/>
      <c r="U1836" s="522"/>
      <c r="V1836" s="522"/>
      <c r="W1836" s="522"/>
      <c r="X1836" s="518"/>
      <c r="Y1836" s="523">
        <v>19.333333333333332</v>
      </c>
      <c r="Z1836" s="517"/>
      <c r="AA1836" s="68">
        <v>4.8499999999999996</v>
      </c>
      <c r="AB1836" s="68">
        <v>0.76300000000000001</v>
      </c>
      <c r="AC1836" s="69">
        <v>10.8</v>
      </c>
      <c r="AD1836" s="413">
        <v>870</v>
      </c>
      <c r="AE1836" s="407">
        <v>50</v>
      </c>
      <c r="AF1836" s="407">
        <v>80</v>
      </c>
      <c r="AG1836" s="66">
        <f t="shared" si="73"/>
        <v>27.099310344827593</v>
      </c>
      <c r="AH1836" s="143">
        <f t="shared" si="74"/>
        <v>1000</v>
      </c>
      <c r="AI1836" s="525"/>
      <c r="AJ1836" s="525"/>
      <c r="AK1836" s="525"/>
    </row>
    <row r="1837" spans="1:37" s="524" customFormat="1" x14ac:dyDescent="0.3">
      <c r="A1837" s="517">
        <v>903858</v>
      </c>
      <c r="B1837" s="519">
        <v>0.1</v>
      </c>
      <c r="C1837" s="518"/>
      <c r="D1837" s="517">
        <v>7.81</v>
      </c>
      <c r="E1837" s="1552">
        <v>2.1000000000000001E-2</v>
      </c>
      <c r="F1837" s="518">
        <v>3</v>
      </c>
      <c r="G1837" s="517"/>
      <c r="H1837" s="518">
        <v>1.44</v>
      </c>
      <c r="I1837" s="517">
        <v>10</v>
      </c>
      <c r="J1837" s="521">
        <v>2E-3</v>
      </c>
      <c r="K1837" s="517">
        <v>1.1100000000000001</v>
      </c>
      <c r="L1837" s="517">
        <v>20</v>
      </c>
      <c r="M1837" s="517">
        <v>0.25</v>
      </c>
      <c r="N1837" s="517">
        <v>0.13</v>
      </c>
      <c r="O1837" s="517">
        <v>1.39</v>
      </c>
      <c r="P1837" s="517">
        <v>1.1100000000000001</v>
      </c>
      <c r="Q1837" s="517"/>
      <c r="R1837" s="519">
        <v>0.14035723643410436</v>
      </c>
      <c r="S1837" s="518">
        <v>1</v>
      </c>
      <c r="T1837" s="522"/>
      <c r="U1837" s="522"/>
      <c r="V1837" s="522"/>
      <c r="W1837" s="522"/>
      <c r="X1837" s="518"/>
      <c r="Y1837" s="523">
        <v>19.555555555555554</v>
      </c>
      <c r="Z1837" s="517"/>
      <c r="AA1837" s="68">
        <v>4.3099999999999996</v>
      </c>
      <c r="AB1837" s="68">
        <v>0.34100000000000003</v>
      </c>
      <c r="AC1837" s="69">
        <v>9.9</v>
      </c>
      <c r="AD1837" s="413">
        <v>880</v>
      </c>
      <c r="AE1837" s="407">
        <v>50</v>
      </c>
      <c r="AF1837" s="407">
        <v>70</v>
      </c>
      <c r="AG1837" s="66">
        <f t="shared" si="73"/>
        <v>20.093522727272727</v>
      </c>
      <c r="AH1837" s="143">
        <f t="shared" si="74"/>
        <v>1000</v>
      </c>
      <c r="AI1837" s="525"/>
      <c r="AJ1837" s="525"/>
      <c r="AK1837" s="525"/>
    </row>
    <row r="1838" spans="1:37" s="524" customFormat="1" x14ac:dyDescent="0.3">
      <c r="A1838" s="517">
        <v>903859</v>
      </c>
      <c r="B1838" s="519">
        <v>0.1</v>
      </c>
      <c r="C1838" s="518"/>
      <c r="D1838" s="517">
        <v>7.4</v>
      </c>
      <c r="E1838" s="1552">
        <v>1.4999999999999999E-2</v>
      </c>
      <c r="F1838" s="518">
        <v>80.7</v>
      </c>
      <c r="G1838" s="517"/>
      <c r="H1838" s="518">
        <v>0.43</v>
      </c>
      <c r="I1838" s="517">
        <v>10</v>
      </c>
      <c r="J1838" s="521">
        <v>3.0000000000000001E-3</v>
      </c>
      <c r="K1838" s="517">
        <v>1.0900000000000001</v>
      </c>
      <c r="L1838" s="517">
        <v>10</v>
      </c>
      <c r="M1838" s="517">
        <v>0.12</v>
      </c>
      <c r="N1838" s="517">
        <v>0.12</v>
      </c>
      <c r="O1838" s="517">
        <v>2.04</v>
      </c>
      <c r="P1838" s="517">
        <v>3.12</v>
      </c>
      <c r="Q1838" s="517"/>
      <c r="R1838" s="519">
        <v>0.15325773329371681</v>
      </c>
      <c r="S1838" s="518">
        <v>1</v>
      </c>
      <c r="T1838" s="522"/>
      <c r="U1838" s="522"/>
      <c r="V1838" s="522"/>
      <c r="W1838" s="522"/>
      <c r="X1838" s="518"/>
      <c r="Y1838" s="523">
        <v>17.466666666666701</v>
      </c>
      <c r="Z1838" s="517"/>
      <c r="AA1838" s="68">
        <v>4.33</v>
      </c>
      <c r="AB1838" s="68">
        <v>0.42799999999999999</v>
      </c>
      <c r="AC1838" s="69">
        <v>10.6</v>
      </c>
      <c r="AD1838" s="413">
        <v>880</v>
      </c>
      <c r="AE1838" s="407">
        <v>40</v>
      </c>
      <c r="AF1838" s="407">
        <v>80</v>
      </c>
      <c r="AG1838" s="66">
        <f t="shared" si="73"/>
        <v>22.091221374045762</v>
      </c>
      <c r="AH1838" s="143">
        <f t="shared" si="74"/>
        <v>1000</v>
      </c>
      <c r="AI1838" s="525"/>
      <c r="AJ1838" s="525"/>
      <c r="AK1838" s="525"/>
    </row>
    <row r="1839" spans="1:37" s="524" customFormat="1" x14ac:dyDescent="0.3">
      <c r="A1839" s="517">
        <v>903860</v>
      </c>
      <c r="B1839" s="519">
        <v>0.1</v>
      </c>
      <c r="C1839" s="518"/>
      <c r="D1839" s="517">
        <v>6.86</v>
      </c>
      <c r="E1839" s="1552">
        <v>0.11</v>
      </c>
      <c r="F1839" s="518">
        <v>8.4</v>
      </c>
      <c r="G1839" s="517"/>
      <c r="H1839" s="518">
        <v>1.28</v>
      </c>
      <c r="I1839" s="517">
        <v>20</v>
      </c>
      <c r="J1839" s="521">
        <v>0.68</v>
      </c>
      <c r="K1839" s="517">
        <v>1.23</v>
      </c>
      <c r="L1839" s="517">
        <v>90</v>
      </c>
      <c r="M1839" s="517">
        <v>0.28000000000000003</v>
      </c>
      <c r="N1839" s="517">
        <v>0.2</v>
      </c>
      <c r="O1839" s="517">
        <v>7.67</v>
      </c>
      <c r="P1839" s="517">
        <v>4.0599999999999996</v>
      </c>
      <c r="Q1839" s="517"/>
      <c r="R1839" s="519">
        <v>0.22109103116180087</v>
      </c>
      <c r="S1839" s="518">
        <v>1.6</v>
      </c>
      <c r="T1839" s="522"/>
      <c r="U1839" s="522"/>
      <c r="V1839" s="522"/>
      <c r="W1839" s="522"/>
      <c r="X1839" s="518"/>
      <c r="Y1839" s="523">
        <v>19.111111111111111</v>
      </c>
      <c r="Z1839" s="517"/>
      <c r="AA1839" s="68">
        <v>3.96</v>
      </c>
      <c r="AB1839" s="68">
        <v>0.53100000000000003</v>
      </c>
      <c r="AC1839" s="69">
        <v>6.8</v>
      </c>
      <c r="AD1839" s="413">
        <v>860</v>
      </c>
      <c r="AE1839" s="407">
        <v>40</v>
      </c>
      <c r="AF1839" s="407">
        <v>100</v>
      </c>
      <c r="AG1839" s="66">
        <f t="shared" si="73"/>
        <v>22.78360465116279</v>
      </c>
      <c r="AH1839" s="143">
        <f t="shared" si="74"/>
        <v>1000</v>
      </c>
      <c r="AI1839" s="525"/>
      <c r="AJ1839" s="525"/>
      <c r="AK1839" s="525"/>
    </row>
    <row r="1840" spans="1:37" s="524" customFormat="1" x14ac:dyDescent="0.3">
      <c r="A1840" s="517">
        <v>903861</v>
      </c>
      <c r="B1840" s="519">
        <v>0.1</v>
      </c>
      <c r="C1840" s="518"/>
      <c r="D1840" s="517">
        <v>6.69</v>
      </c>
      <c r="E1840" s="1552">
        <v>0.11600000000000001</v>
      </c>
      <c r="F1840" s="518">
        <v>32.5</v>
      </c>
      <c r="G1840" s="517"/>
      <c r="H1840" s="518">
        <v>2.1</v>
      </c>
      <c r="I1840" s="517">
        <v>20</v>
      </c>
      <c r="J1840" s="521">
        <v>0.81</v>
      </c>
      <c r="K1840" s="517">
        <v>1.58</v>
      </c>
      <c r="L1840" s="517">
        <v>120</v>
      </c>
      <c r="M1840" s="517">
        <v>0.12</v>
      </c>
      <c r="N1840" s="517">
        <v>0.38</v>
      </c>
      <c r="O1840" s="517">
        <v>6.84</v>
      </c>
      <c r="P1840" s="517">
        <v>5.39</v>
      </c>
      <c r="Q1840" s="517"/>
      <c r="R1840" s="519">
        <v>0.2248112474189993</v>
      </c>
      <c r="S1840" s="518">
        <v>1.6</v>
      </c>
      <c r="T1840" s="522"/>
      <c r="U1840" s="522"/>
      <c r="V1840" s="522"/>
      <c r="W1840" s="522"/>
      <c r="X1840" s="518"/>
      <c r="Y1840" s="523">
        <v>16.755555555555599</v>
      </c>
      <c r="Z1840" s="517"/>
      <c r="AA1840" s="68">
        <v>3.91</v>
      </c>
      <c r="AB1840" s="68">
        <v>0.35599999999999998</v>
      </c>
      <c r="AC1840" s="69">
        <v>7.7</v>
      </c>
      <c r="AD1840" s="413">
        <v>860</v>
      </c>
      <c r="AE1840" s="407">
        <v>80</v>
      </c>
      <c r="AF1840" s="407">
        <v>60</v>
      </c>
      <c r="AG1840" s="66">
        <f t="shared" si="73"/>
        <v>33.381167108753232</v>
      </c>
      <c r="AH1840" s="143">
        <f t="shared" si="74"/>
        <v>1000</v>
      </c>
      <c r="AI1840" s="525"/>
      <c r="AJ1840" s="525"/>
      <c r="AK1840" s="525"/>
    </row>
    <row r="1841" spans="1:37" s="524" customFormat="1" x14ac:dyDescent="0.3">
      <c r="A1841" s="517">
        <v>903862</v>
      </c>
      <c r="B1841" s="519">
        <v>0.1</v>
      </c>
      <c r="C1841" s="518"/>
      <c r="D1841" s="517">
        <v>6.63</v>
      </c>
      <c r="E1841" s="1552">
        <v>3.4000000000000002E-2</v>
      </c>
      <c r="F1841" s="518">
        <v>21.6</v>
      </c>
      <c r="G1841" s="517"/>
      <c r="H1841" s="518">
        <v>0.41</v>
      </c>
      <c r="I1841" s="517">
        <v>170</v>
      </c>
      <c r="J1841" s="521">
        <v>5.0000000000000001E-3</v>
      </c>
      <c r="K1841" s="517">
        <v>1.29</v>
      </c>
      <c r="L1841" s="517">
        <v>60</v>
      </c>
      <c r="M1841" s="517">
        <v>0.17</v>
      </c>
      <c r="N1841" s="517">
        <v>0.22</v>
      </c>
      <c r="O1841" s="517">
        <v>2.88</v>
      </c>
      <c r="P1841" s="517">
        <v>2.2599999999999998</v>
      </c>
      <c r="Q1841" s="517"/>
      <c r="R1841" s="519">
        <v>0.16220985994325274</v>
      </c>
      <c r="S1841" s="518">
        <v>1.2</v>
      </c>
      <c r="T1841" s="522"/>
      <c r="U1841" s="522"/>
      <c r="V1841" s="522"/>
      <c r="W1841" s="522"/>
      <c r="X1841" s="518"/>
      <c r="Y1841" s="523">
        <v>23.200000000000003</v>
      </c>
      <c r="Z1841" s="517"/>
      <c r="AA1841" s="68">
        <v>4.1500000000000004</v>
      </c>
      <c r="AB1841" s="68">
        <v>0.38800000000000001</v>
      </c>
      <c r="AC1841" s="69">
        <v>9.1</v>
      </c>
      <c r="AD1841" s="413">
        <v>870</v>
      </c>
      <c r="AE1841" s="407">
        <v>70</v>
      </c>
      <c r="AF1841" s="407">
        <v>60</v>
      </c>
      <c r="AG1841" s="66">
        <f t="shared" si="73"/>
        <v>19.683620689655172</v>
      </c>
      <c r="AH1841" s="143">
        <f t="shared" si="74"/>
        <v>1000</v>
      </c>
      <c r="AI1841" s="525"/>
      <c r="AJ1841" s="525"/>
      <c r="AK1841" s="525"/>
    </row>
    <row r="1842" spans="1:37" s="524" customFormat="1" x14ac:dyDescent="0.3">
      <c r="A1842" s="517">
        <v>903863</v>
      </c>
      <c r="B1842" s="519">
        <v>0.1</v>
      </c>
      <c r="C1842" s="518"/>
      <c r="D1842" s="517">
        <v>7.3</v>
      </c>
      <c r="E1842" s="1552">
        <v>2.1999999999999999E-2</v>
      </c>
      <c r="F1842" s="518">
        <v>23.9</v>
      </c>
      <c r="G1842" s="517"/>
      <c r="H1842" s="518">
        <v>1.62</v>
      </c>
      <c r="I1842" s="517">
        <v>60</v>
      </c>
      <c r="J1842" s="521">
        <v>3.0000000000000001E-3</v>
      </c>
      <c r="K1842" s="517">
        <v>1.28</v>
      </c>
      <c r="L1842" s="517">
        <v>140</v>
      </c>
      <c r="M1842" s="517">
        <v>0.13</v>
      </c>
      <c r="N1842" s="517">
        <v>0.19</v>
      </c>
      <c r="O1842" s="517">
        <v>3.94</v>
      </c>
      <c r="P1842" s="517">
        <v>4.04</v>
      </c>
      <c r="Q1842" s="517"/>
      <c r="R1842" s="519">
        <v>0.19463387540750263</v>
      </c>
      <c r="S1842" s="518">
        <v>1.3</v>
      </c>
      <c r="T1842" s="522"/>
      <c r="U1842" s="522"/>
      <c r="V1842" s="522"/>
      <c r="W1842" s="522"/>
      <c r="X1842" s="518"/>
      <c r="Y1842" s="523">
        <v>23.200000000000003</v>
      </c>
      <c r="Z1842" s="517"/>
      <c r="AA1842" s="68">
        <v>4.8499999999999996</v>
      </c>
      <c r="AB1842" s="68">
        <v>0.52900000000000003</v>
      </c>
      <c r="AC1842" s="69">
        <v>8.9</v>
      </c>
      <c r="AD1842" s="413">
        <v>870</v>
      </c>
      <c r="AE1842" s="407">
        <v>50</v>
      </c>
      <c r="AF1842" s="407">
        <v>80</v>
      </c>
      <c r="AG1842" s="66">
        <f t="shared" si="73"/>
        <v>19.531034482758617</v>
      </c>
      <c r="AH1842" s="143">
        <f t="shared" si="74"/>
        <v>1000</v>
      </c>
      <c r="AI1842" s="525"/>
      <c r="AJ1842" s="525"/>
      <c r="AK1842" s="525"/>
    </row>
    <row r="1843" spans="1:37" s="524" customFormat="1" x14ac:dyDescent="0.3">
      <c r="A1843" s="517">
        <v>903864</v>
      </c>
      <c r="B1843" s="519">
        <v>0.1</v>
      </c>
      <c r="C1843" s="518"/>
      <c r="D1843" s="517">
        <v>6.6</v>
      </c>
      <c r="E1843" s="1552">
        <v>1.7000000000000001E-2</v>
      </c>
      <c r="F1843" s="518">
        <v>25.9</v>
      </c>
      <c r="G1843" s="517"/>
      <c r="H1843" s="518">
        <v>1.23</v>
      </c>
      <c r="I1843" s="517">
        <v>10</v>
      </c>
      <c r="J1843" s="521">
        <v>3.0000000000000001E-3</v>
      </c>
      <c r="K1843" s="517">
        <v>1.1599999999999999</v>
      </c>
      <c r="L1843" s="517">
        <v>40</v>
      </c>
      <c r="M1843" s="517">
        <v>0.12</v>
      </c>
      <c r="N1843" s="517">
        <v>0.13</v>
      </c>
      <c r="O1843" s="517">
        <v>2.38</v>
      </c>
      <c r="P1843" s="517">
        <v>3.72</v>
      </c>
      <c r="Q1843" s="517"/>
      <c r="R1843" s="519">
        <v>0.15764579476794371</v>
      </c>
      <c r="S1843" s="518">
        <v>1.1000000000000001</v>
      </c>
      <c r="T1843" s="522"/>
      <c r="U1843" s="522"/>
      <c r="V1843" s="522"/>
      <c r="W1843" s="522"/>
      <c r="X1843" s="518"/>
      <c r="Y1843" s="523">
        <v>19.111111111111111</v>
      </c>
      <c r="Z1843" s="517">
        <v>5.03</v>
      </c>
      <c r="AA1843" s="68">
        <v>4.2300000000000004</v>
      </c>
      <c r="AB1843" s="68">
        <v>0.51600000000000001</v>
      </c>
      <c r="AC1843" s="69">
        <v>6</v>
      </c>
      <c r="AD1843" s="413">
        <v>860</v>
      </c>
      <c r="AE1843" s="407">
        <v>50</v>
      </c>
      <c r="AF1843" s="407">
        <v>90</v>
      </c>
      <c r="AG1843" s="66">
        <f t="shared" si="73"/>
        <v>21.486976744186045</v>
      </c>
      <c r="AH1843" s="143">
        <f t="shared" si="74"/>
        <v>1000</v>
      </c>
      <c r="AI1843" s="525"/>
      <c r="AJ1843" s="525"/>
      <c r="AK1843" s="525"/>
    </row>
    <row r="1844" spans="1:37" s="524" customFormat="1" x14ac:dyDescent="0.3">
      <c r="A1844" s="517">
        <v>903865</v>
      </c>
      <c r="B1844" s="519">
        <v>0.1</v>
      </c>
      <c r="C1844" s="518"/>
      <c r="D1844" s="517">
        <v>6.93</v>
      </c>
      <c r="E1844" s="1552">
        <v>1.9E-2</v>
      </c>
      <c r="F1844" s="518">
        <v>41</v>
      </c>
      <c r="G1844" s="517"/>
      <c r="H1844" s="518">
        <v>10.84</v>
      </c>
      <c r="I1844" s="517">
        <v>10</v>
      </c>
      <c r="J1844" s="521">
        <v>0.01</v>
      </c>
      <c r="K1844" s="517">
        <v>1.1000000000000001</v>
      </c>
      <c r="L1844" s="517">
        <v>40</v>
      </c>
      <c r="M1844" s="517">
        <v>0.11</v>
      </c>
      <c r="N1844" s="517">
        <v>0.15</v>
      </c>
      <c r="O1844" s="517">
        <v>0.95</v>
      </c>
      <c r="P1844" s="517">
        <v>3.44</v>
      </c>
      <c r="Q1844" s="517"/>
      <c r="R1844" s="519">
        <v>0.10898766609873772</v>
      </c>
      <c r="S1844" s="518">
        <v>0.8</v>
      </c>
      <c r="T1844" s="522"/>
      <c r="U1844" s="522"/>
      <c r="V1844" s="522"/>
      <c r="W1844" s="522"/>
      <c r="X1844" s="518"/>
      <c r="Y1844" s="523">
        <v>19.111111111111111</v>
      </c>
      <c r="Z1844" s="517">
        <v>5.4</v>
      </c>
      <c r="AA1844" s="68">
        <v>3.98</v>
      </c>
      <c r="AB1844" s="68">
        <v>0.441</v>
      </c>
      <c r="AC1844" s="69">
        <v>10.6</v>
      </c>
      <c r="AD1844" s="413">
        <v>860</v>
      </c>
      <c r="AE1844" s="407">
        <v>80</v>
      </c>
      <c r="AF1844" s="407">
        <v>60</v>
      </c>
      <c r="AG1844" s="66">
        <f t="shared" si="73"/>
        <v>20.375581395348838</v>
      </c>
      <c r="AH1844" s="143">
        <f t="shared" si="74"/>
        <v>1000</v>
      </c>
      <c r="AI1844" s="525"/>
      <c r="AJ1844" s="525"/>
      <c r="AK1844" s="525"/>
    </row>
    <row r="1845" spans="1:37" s="524" customFormat="1" x14ac:dyDescent="0.3">
      <c r="A1845" s="517">
        <v>903866</v>
      </c>
      <c r="B1845" s="519">
        <v>0.1</v>
      </c>
      <c r="C1845" s="518"/>
      <c r="D1845" s="517">
        <v>6.68</v>
      </c>
      <c r="E1845" s="1552">
        <v>1.7999999999999999E-2</v>
      </c>
      <c r="F1845" s="518">
        <v>12.9</v>
      </c>
      <c r="G1845" s="517"/>
      <c r="H1845" s="518">
        <v>1.04</v>
      </c>
      <c r="I1845" s="517">
        <v>10</v>
      </c>
      <c r="J1845" s="521">
        <v>2E-3</v>
      </c>
      <c r="K1845" s="517">
        <v>1.08</v>
      </c>
      <c r="L1845" s="517">
        <v>20</v>
      </c>
      <c r="M1845" s="517">
        <v>0.15</v>
      </c>
      <c r="N1845" s="517">
        <v>0.17</v>
      </c>
      <c r="O1845" s="517">
        <v>1.91</v>
      </c>
      <c r="P1845" s="517">
        <v>5.71</v>
      </c>
      <c r="Q1845" s="517"/>
      <c r="R1845" s="519">
        <v>0.22591923736517153</v>
      </c>
      <c r="S1845" s="518">
        <v>1.6</v>
      </c>
      <c r="T1845" s="522"/>
      <c r="U1845" s="522"/>
      <c r="V1845" s="522"/>
      <c r="W1845" s="522"/>
      <c r="X1845" s="518"/>
      <c r="Y1845" s="523">
        <v>27.37777777777778</v>
      </c>
      <c r="Z1845" s="517">
        <v>5.13</v>
      </c>
      <c r="AA1845" s="68">
        <v>3.57</v>
      </c>
      <c r="AB1845" s="68">
        <v>0.45300000000000001</v>
      </c>
      <c r="AC1845" s="69">
        <v>8.3000000000000007</v>
      </c>
      <c r="AD1845" s="413">
        <v>880</v>
      </c>
      <c r="AE1845" s="407">
        <v>50</v>
      </c>
      <c r="AF1845" s="407">
        <v>70</v>
      </c>
      <c r="AG1845" s="66">
        <f t="shared" si="73"/>
        <v>13.964610389610391</v>
      </c>
      <c r="AH1845" s="143">
        <f t="shared" si="74"/>
        <v>1000</v>
      </c>
      <c r="AI1845" s="525"/>
      <c r="AJ1845" s="525"/>
      <c r="AK1845" s="525"/>
    </row>
    <row r="1846" spans="1:37" s="524" customFormat="1" x14ac:dyDescent="0.3">
      <c r="A1846" s="517">
        <v>903868</v>
      </c>
      <c r="B1846" s="519">
        <v>3.1</v>
      </c>
      <c r="C1846" s="518"/>
      <c r="D1846" s="517">
        <v>8.5399999999999991</v>
      </c>
      <c r="E1846" s="1552">
        <v>0.16</v>
      </c>
      <c r="F1846" s="518">
        <v>62.5</v>
      </c>
      <c r="G1846" s="517"/>
      <c r="H1846" s="518">
        <v>3.47</v>
      </c>
      <c r="I1846" s="517">
        <v>110</v>
      </c>
      <c r="J1846" s="521">
        <v>0.06</v>
      </c>
      <c r="K1846" s="517">
        <v>4.3899999999999997</v>
      </c>
      <c r="L1846" s="517">
        <v>180</v>
      </c>
      <c r="M1846" s="517">
        <v>0.43</v>
      </c>
      <c r="N1846" s="517">
        <v>0.66</v>
      </c>
      <c r="O1846" s="517">
        <v>4.7699999999999996</v>
      </c>
      <c r="P1846" s="517">
        <v>2.63</v>
      </c>
      <c r="Q1846" s="517"/>
      <c r="R1846" s="519">
        <v>0.8055580299323758</v>
      </c>
      <c r="S1846" s="518">
        <v>5.5</v>
      </c>
      <c r="T1846" s="522"/>
      <c r="U1846" s="522"/>
      <c r="V1846" s="522"/>
      <c r="W1846" s="522"/>
      <c r="X1846" s="517"/>
      <c r="Y1846" s="523">
        <v>12</v>
      </c>
      <c r="Z1846" s="517"/>
      <c r="AA1846" s="68">
        <v>3.69</v>
      </c>
      <c r="AB1846" s="68">
        <v>0.75600000000000001</v>
      </c>
      <c r="AC1846" s="69">
        <v>9.1</v>
      </c>
      <c r="AD1846" s="413">
        <v>360</v>
      </c>
      <c r="AE1846" s="407">
        <v>80</v>
      </c>
      <c r="AF1846" s="407">
        <v>560</v>
      </c>
      <c r="AG1846" s="66">
        <f t="shared" si="73"/>
        <v>129.505</v>
      </c>
      <c r="AH1846" s="143">
        <f t="shared" si="74"/>
        <v>1000</v>
      </c>
      <c r="AI1846" s="525"/>
      <c r="AJ1846" s="525"/>
      <c r="AK1846" s="525"/>
    </row>
    <row r="1847" spans="1:37" s="547" customFormat="1" x14ac:dyDescent="0.3">
      <c r="A1847" s="541">
        <v>903869</v>
      </c>
      <c r="B1847" s="542">
        <v>55.3</v>
      </c>
      <c r="C1847" s="543">
        <v>16.25</v>
      </c>
      <c r="D1847" s="541">
        <v>8.27</v>
      </c>
      <c r="E1847" s="1553">
        <v>0.17100000000000001</v>
      </c>
      <c r="F1847" s="543">
        <v>21.2</v>
      </c>
      <c r="G1847" s="541"/>
      <c r="H1847" s="543">
        <v>45.73</v>
      </c>
      <c r="I1847" s="541">
        <v>240</v>
      </c>
      <c r="J1847" s="544">
        <v>6.9000000000000006E-2</v>
      </c>
      <c r="K1847" s="543">
        <v>12.11</v>
      </c>
      <c r="L1847" s="541">
        <v>850</v>
      </c>
      <c r="M1847" s="541">
        <v>0.88</v>
      </c>
      <c r="N1847" s="541">
        <v>1.5</v>
      </c>
      <c r="O1847" s="541">
        <v>5.96</v>
      </c>
      <c r="P1847" s="541">
        <v>13.39</v>
      </c>
      <c r="Q1847" s="541"/>
      <c r="R1847" s="542">
        <v>1.859688</v>
      </c>
      <c r="S1847" s="543">
        <v>18.600000000000001</v>
      </c>
      <c r="T1847" s="545"/>
      <c r="U1847" s="545"/>
      <c r="V1847" s="545"/>
      <c r="W1847" s="545"/>
      <c r="X1847" s="541"/>
      <c r="Y1847" s="546">
        <f>AD1847*0.05</f>
        <v>26</v>
      </c>
      <c r="Z1847" s="541"/>
      <c r="AA1847" s="68">
        <v>3.95</v>
      </c>
      <c r="AB1847" s="68">
        <v>0.496</v>
      </c>
      <c r="AC1847" s="69">
        <v>10.4</v>
      </c>
      <c r="AD1847" s="548">
        <v>520</v>
      </c>
      <c r="AE1847" s="549">
        <v>280</v>
      </c>
      <c r="AF1847" s="549">
        <v>200</v>
      </c>
      <c r="AG1847" s="66">
        <f t="shared" si="73"/>
        <v>164.88230769230768</v>
      </c>
      <c r="AH1847" s="143">
        <f t="shared" si="74"/>
        <v>1000</v>
      </c>
      <c r="AI1847" s="550"/>
      <c r="AJ1847" s="550"/>
      <c r="AK1847" s="550"/>
    </row>
    <row r="1848" spans="1:37" s="547" customFormat="1" x14ac:dyDescent="0.3">
      <c r="A1848" s="541">
        <v>903870</v>
      </c>
      <c r="B1848" s="542">
        <v>8.6999999999999993</v>
      </c>
      <c r="C1848" s="543"/>
      <c r="D1848" s="541">
        <v>8.15</v>
      </c>
      <c r="E1848" s="1553">
        <v>0.189</v>
      </c>
      <c r="F1848" s="543">
        <v>27.4</v>
      </c>
      <c r="G1848" s="541"/>
      <c r="H1848" s="543">
        <v>120.26</v>
      </c>
      <c r="I1848" s="541">
        <v>460</v>
      </c>
      <c r="J1848" s="544">
        <v>4.9000000000000002E-2</v>
      </c>
      <c r="K1848" s="543">
        <v>10.56</v>
      </c>
      <c r="L1848" s="541">
        <v>1410</v>
      </c>
      <c r="M1848" s="541">
        <v>2.5</v>
      </c>
      <c r="N1848" s="541">
        <v>2.02</v>
      </c>
      <c r="O1848" s="541">
        <v>12.1</v>
      </c>
      <c r="P1848" s="541">
        <v>10.66</v>
      </c>
      <c r="Q1848" s="541"/>
      <c r="R1848" s="542">
        <v>2.0693519999999999</v>
      </c>
      <c r="S1848" s="543">
        <v>28.2</v>
      </c>
      <c r="T1848" s="545"/>
      <c r="U1848" s="545"/>
      <c r="V1848" s="545"/>
      <c r="W1848" s="545"/>
      <c r="X1848" s="541"/>
      <c r="Y1848" s="546">
        <f t="shared" ref="Y1848:Y1860" si="75">AD1848*0.05</f>
        <v>27</v>
      </c>
      <c r="Z1848" s="541"/>
      <c r="AA1848" s="68">
        <v>3.82</v>
      </c>
      <c r="AB1848" s="68">
        <v>0.48299999999999998</v>
      </c>
      <c r="AC1848" s="69">
        <v>11.6</v>
      </c>
      <c r="AD1848" s="548">
        <v>540</v>
      </c>
      <c r="AE1848" s="549">
        <v>340</v>
      </c>
      <c r="AF1848" s="549">
        <v>120</v>
      </c>
      <c r="AG1848" s="66">
        <f t="shared" si="73"/>
        <v>138.45333333333335</v>
      </c>
      <c r="AH1848" s="143">
        <f t="shared" si="74"/>
        <v>1000</v>
      </c>
      <c r="AI1848" s="550"/>
      <c r="AJ1848" s="550"/>
      <c r="AK1848" s="550"/>
    </row>
    <row r="1849" spans="1:37" s="547" customFormat="1" x14ac:dyDescent="0.3">
      <c r="A1849" s="541">
        <v>903871</v>
      </c>
      <c r="B1849" s="542">
        <v>70</v>
      </c>
      <c r="C1849" s="543">
        <v>7.5</v>
      </c>
      <c r="D1849" s="541">
        <v>8.34</v>
      </c>
      <c r="E1849" s="1553">
        <v>0.27900000000000003</v>
      </c>
      <c r="F1849" s="543">
        <v>125.8</v>
      </c>
      <c r="G1849" s="541"/>
      <c r="H1849" s="543">
        <v>443.98</v>
      </c>
      <c r="I1849" s="541">
        <v>150</v>
      </c>
      <c r="J1849" s="544">
        <v>0.245</v>
      </c>
      <c r="K1849" s="543">
        <v>6.29</v>
      </c>
      <c r="L1849" s="541">
        <v>530</v>
      </c>
      <c r="M1849" s="541">
        <v>4.17</v>
      </c>
      <c r="N1849" s="541">
        <v>3.26</v>
      </c>
      <c r="O1849" s="541">
        <v>4.3600000000000003</v>
      </c>
      <c r="P1849" s="541">
        <v>5.08</v>
      </c>
      <c r="Q1849" s="541"/>
      <c r="R1849" s="542">
        <v>1.7239370000000001</v>
      </c>
      <c r="S1849" s="543">
        <v>14.3</v>
      </c>
      <c r="T1849" s="545"/>
      <c r="U1849" s="545"/>
      <c r="V1849" s="545"/>
      <c r="W1849" s="545"/>
      <c r="X1849" s="541"/>
      <c r="Y1849" s="546">
        <f t="shared" si="75"/>
        <v>3</v>
      </c>
      <c r="Z1849" s="541"/>
      <c r="AA1849" s="68">
        <v>4.8499999999999996</v>
      </c>
      <c r="AB1849" s="68">
        <v>0.41199999999999998</v>
      </c>
      <c r="AC1849" s="69">
        <v>6.2</v>
      </c>
      <c r="AD1849" s="548">
        <v>60</v>
      </c>
      <c r="AE1849" s="549">
        <v>80</v>
      </c>
      <c r="AF1849" s="549">
        <v>860</v>
      </c>
      <c r="AG1849" s="66">
        <f t="shared" si="73"/>
        <v>742.21999999999991</v>
      </c>
      <c r="AH1849" s="143">
        <f t="shared" si="74"/>
        <v>1000</v>
      </c>
      <c r="AI1849" s="550"/>
      <c r="AJ1849" s="550"/>
      <c r="AK1849" s="550"/>
    </row>
    <row r="1850" spans="1:37" s="547" customFormat="1" x14ac:dyDescent="0.3">
      <c r="A1850" s="541">
        <v>903872</v>
      </c>
      <c r="B1850" s="542">
        <v>4.8</v>
      </c>
      <c r="C1850" s="543"/>
      <c r="D1850" s="541">
        <v>7.97</v>
      </c>
      <c r="E1850" s="1553">
        <v>0.22</v>
      </c>
      <c r="F1850" s="543">
        <v>3.9</v>
      </c>
      <c r="G1850" s="541"/>
      <c r="H1850" s="543">
        <v>149.99</v>
      </c>
      <c r="I1850" s="541">
        <v>460</v>
      </c>
      <c r="J1850" s="544">
        <v>1.4E-2</v>
      </c>
      <c r="K1850" s="543">
        <v>7.42</v>
      </c>
      <c r="L1850" s="541">
        <v>750</v>
      </c>
      <c r="M1850" s="541">
        <v>13.27</v>
      </c>
      <c r="N1850" s="541">
        <v>1.25</v>
      </c>
      <c r="O1850" s="541">
        <v>13.27</v>
      </c>
      <c r="P1850" s="541">
        <v>19.29</v>
      </c>
      <c r="Q1850" s="541"/>
      <c r="R1850" s="542">
        <v>2.0363120000000001</v>
      </c>
      <c r="S1850" s="543">
        <v>26.2</v>
      </c>
      <c r="T1850" s="545"/>
      <c r="U1850" s="545"/>
      <c r="V1850" s="545"/>
      <c r="W1850" s="545"/>
      <c r="X1850" s="541"/>
      <c r="Y1850" s="546">
        <f t="shared" si="75"/>
        <v>26</v>
      </c>
      <c r="Z1850" s="541"/>
      <c r="AA1850" s="68">
        <v>4.97</v>
      </c>
      <c r="AB1850" s="68">
        <v>0.55300000000000005</v>
      </c>
      <c r="AC1850" s="69">
        <v>11.6</v>
      </c>
      <c r="AD1850" s="548">
        <v>520</v>
      </c>
      <c r="AE1850" s="549">
        <v>340</v>
      </c>
      <c r="AF1850" s="549">
        <v>140</v>
      </c>
      <c r="AG1850" s="66">
        <f t="shared" si="73"/>
        <v>101.02615384615385</v>
      </c>
      <c r="AH1850" s="143">
        <f t="shared" si="74"/>
        <v>1000</v>
      </c>
      <c r="AI1850" s="550"/>
      <c r="AJ1850" s="550"/>
      <c r="AK1850" s="550"/>
    </row>
    <row r="1851" spans="1:37" s="547" customFormat="1" x14ac:dyDescent="0.3">
      <c r="A1851" s="541">
        <v>903873</v>
      </c>
      <c r="B1851" s="542">
        <v>8.8000000000000007</v>
      </c>
      <c r="C1851" s="543"/>
      <c r="D1851" s="541">
        <v>9.02</v>
      </c>
      <c r="E1851" s="1553">
        <v>0.59299999999999997</v>
      </c>
      <c r="F1851" s="543">
        <v>392.7</v>
      </c>
      <c r="G1851" s="541"/>
      <c r="H1851" s="543">
        <v>24.96</v>
      </c>
      <c r="I1851" s="541">
        <v>190</v>
      </c>
      <c r="J1851" s="544">
        <v>1.155</v>
      </c>
      <c r="K1851" s="543">
        <v>7.41</v>
      </c>
      <c r="L1851" s="541">
        <v>950</v>
      </c>
      <c r="M1851" s="541">
        <v>0.7</v>
      </c>
      <c r="N1851" s="541">
        <v>1.79</v>
      </c>
      <c r="O1851" s="541">
        <v>7.19</v>
      </c>
      <c r="P1851" s="541">
        <v>8.9</v>
      </c>
      <c r="Q1851" s="541"/>
      <c r="R1851" s="542">
        <v>1.3723269850029745</v>
      </c>
      <c r="S1851" s="543">
        <v>9.9</v>
      </c>
      <c r="T1851" s="545"/>
      <c r="U1851" s="545"/>
      <c r="V1851" s="545"/>
      <c r="W1851" s="545"/>
      <c r="X1851" s="541"/>
      <c r="Y1851" s="546">
        <f t="shared" si="75"/>
        <v>29</v>
      </c>
      <c r="Z1851" s="541"/>
      <c r="AA1851" s="68">
        <v>3.7</v>
      </c>
      <c r="AB1851" s="68">
        <v>0.29699999999999999</v>
      </c>
      <c r="AC1851" s="69">
        <v>7</v>
      </c>
      <c r="AD1851" s="548">
        <v>580</v>
      </c>
      <c r="AE1851" s="549">
        <v>320</v>
      </c>
      <c r="AF1851" s="549">
        <v>100</v>
      </c>
      <c r="AG1851" s="66">
        <f t="shared" si="73"/>
        <v>90.453103448275854</v>
      </c>
      <c r="AH1851" s="143">
        <f t="shared" si="74"/>
        <v>1000</v>
      </c>
      <c r="AI1851" s="550"/>
      <c r="AJ1851" s="550"/>
      <c r="AK1851" s="550"/>
    </row>
    <row r="1852" spans="1:37" s="547" customFormat="1" x14ac:dyDescent="0.3">
      <c r="A1852" s="541">
        <v>903874</v>
      </c>
      <c r="B1852" s="542">
        <v>8.4</v>
      </c>
      <c r="C1852" s="543"/>
      <c r="D1852" s="541">
        <v>8.81</v>
      </c>
      <c r="E1852" s="1553">
        <v>0.66500000000000004</v>
      </c>
      <c r="F1852" s="543">
        <v>480.3</v>
      </c>
      <c r="G1852" s="541"/>
      <c r="H1852" s="543">
        <v>40.42</v>
      </c>
      <c r="I1852" s="541">
        <v>190</v>
      </c>
      <c r="J1852" s="544">
        <v>1.0569999999999999</v>
      </c>
      <c r="K1852" s="543">
        <v>7.85</v>
      </c>
      <c r="L1852" s="541">
        <v>820</v>
      </c>
      <c r="M1852" s="541">
        <v>0.68</v>
      </c>
      <c r="N1852" s="541">
        <v>1.87</v>
      </c>
      <c r="O1852" s="541">
        <v>8.9600000000000009</v>
      </c>
      <c r="P1852" s="541">
        <v>10.36</v>
      </c>
      <c r="Q1852" s="541"/>
      <c r="R1852" s="542">
        <v>1.2682175393824613</v>
      </c>
      <c r="S1852" s="543">
        <v>9</v>
      </c>
      <c r="T1852" s="545"/>
      <c r="U1852" s="545"/>
      <c r="V1852" s="545"/>
      <c r="W1852" s="545"/>
      <c r="X1852" s="541"/>
      <c r="Y1852" s="546">
        <f t="shared" si="75"/>
        <v>28.5</v>
      </c>
      <c r="Z1852" s="541"/>
      <c r="AA1852" s="68">
        <v>4.8899999999999997</v>
      </c>
      <c r="AB1852" s="68">
        <v>0.79200000000000004</v>
      </c>
      <c r="AC1852" s="69">
        <v>6.5</v>
      </c>
      <c r="AD1852" s="548">
        <v>570</v>
      </c>
      <c r="AE1852" s="549">
        <v>290</v>
      </c>
      <c r="AF1852" s="549">
        <v>140</v>
      </c>
      <c r="AG1852" s="66">
        <f t="shared" si="73"/>
        <v>97.505263157894717</v>
      </c>
      <c r="AH1852" s="143">
        <f t="shared" si="74"/>
        <v>1000</v>
      </c>
      <c r="AI1852" s="550"/>
      <c r="AJ1852" s="550"/>
      <c r="AK1852" s="550"/>
    </row>
    <row r="1853" spans="1:37" s="547" customFormat="1" x14ac:dyDescent="0.3">
      <c r="A1853" s="541">
        <v>903875</v>
      </c>
      <c r="B1853" s="542">
        <v>2.5</v>
      </c>
      <c r="C1853" s="543"/>
      <c r="D1853" s="541">
        <v>8.18</v>
      </c>
      <c r="E1853" s="1553">
        <v>1.375</v>
      </c>
      <c r="F1853" s="543">
        <v>1116.3</v>
      </c>
      <c r="G1853" s="541"/>
      <c r="H1853" s="543">
        <v>30.91</v>
      </c>
      <c r="I1853" s="541">
        <v>380</v>
      </c>
      <c r="J1853" s="544">
        <v>5.6000000000000001E-2</v>
      </c>
      <c r="K1853" s="543">
        <v>8.08</v>
      </c>
      <c r="L1853" s="541">
        <v>1400</v>
      </c>
      <c r="M1853" s="541">
        <v>0.54</v>
      </c>
      <c r="N1853" s="541">
        <v>1.36</v>
      </c>
      <c r="O1853" s="541">
        <v>4.05</v>
      </c>
      <c r="P1853" s="541">
        <v>5.75</v>
      </c>
      <c r="Q1853" s="541"/>
      <c r="R1853" s="542">
        <v>1.610012</v>
      </c>
      <c r="S1853" s="543">
        <v>11.2</v>
      </c>
      <c r="T1853" s="545"/>
      <c r="U1853" s="545"/>
      <c r="V1853" s="545"/>
      <c r="W1853" s="545"/>
      <c r="X1853" s="541"/>
      <c r="Y1853" s="546">
        <f t="shared" si="75"/>
        <v>31</v>
      </c>
      <c r="Z1853" s="541"/>
      <c r="AA1853" s="68">
        <v>4.5599999999999996</v>
      </c>
      <c r="AB1853" s="68">
        <v>0.56100000000000005</v>
      </c>
      <c r="AC1853" s="69">
        <v>6.3</v>
      </c>
      <c r="AD1853" s="548">
        <v>620</v>
      </c>
      <c r="AE1853" s="549">
        <v>300</v>
      </c>
      <c r="AF1853" s="549">
        <v>80</v>
      </c>
      <c r="AG1853" s="66">
        <f t="shared" si="73"/>
        <v>92.268387096774205</v>
      </c>
      <c r="AH1853" s="143">
        <f t="shared" si="74"/>
        <v>1000</v>
      </c>
      <c r="AI1853" s="550"/>
      <c r="AJ1853" s="550"/>
      <c r="AK1853" s="550"/>
    </row>
    <row r="1854" spans="1:37" s="547" customFormat="1" x14ac:dyDescent="0.3">
      <c r="A1854" s="541">
        <v>903876</v>
      </c>
      <c r="B1854" s="542">
        <v>1.9</v>
      </c>
      <c r="C1854" s="543"/>
      <c r="D1854" s="541">
        <v>8.15</v>
      </c>
      <c r="E1854" s="1553">
        <v>4.07</v>
      </c>
      <c r="F1854" s="543">
        <v>3399.1</v>
      </c>
      <c r="G1854" s="541"/>
      <c r="H1854" s="543">
        <v>94.33</v>
      </c>
      <c r="I1854" s="541">
        <v>700</v>
      </c>
      <c r="J1854" s="544">
        <v>1.964</v>
      </c>
      <c r="K1854" s="543">
        <v>9.56</v>
      </c>
      <c r="L1854" s="541">
        <v>1580</v>
      </c>
      <c r="M1854" s="541">
        <v>1.1100000000000001</v>
      </c>
      <c r="N1854" s="541">
        <v>1.54</v>
      </c>
      <c r="O1854" s="541">
        <v>11.49</v>
      </c>
      <c r="P1854" s="541">
        <v>5.3</v>
      </c>
      <c r="Q1854" s="541"/>
      <c r="R1854" s="542">
        <v>1.6922480000000002</v>
      </c>
      <c r="S1854" s="543">
        <v>13.4</v>
      </c>
      <c r="T1854" s="545"/>
      <c r="U1854" s="545"/>
      <c r="V1854" s="545"/>
      <c r="W1854" s="545"/>
      <c r="X1854" s="541"/>
      <c r="Y1854" s="546">
        <f t="shared" si="75"/>
        <v>32</v>
      </c>
      <c r="Z1854" s="541"/>
      <c r="AA1854" s="68">
        <v>3.95</v>
      </c>
      <c r="AB1854" s="68">
        <v>0.876</v>
      </c>
      <c r="AC1854" s="69">
        <v>10.7</v>
      </c>
      <c r="AD1854" s="548">
        <v>640</v>
      </c>
      <c r="AE1854" s="549">
        <v>260</v>
      </c>
      <c r="AF1854" s="549">
        <v>100</v>
      </c>
      <c r="AG1854" s="66">
        <f t="shared" si="73"/>
        <v>105.75750000000002</v>
      </c>
      <c r="AH1854" s="143">
        <f t="shared" si="74"/>
        <v>1000</v>
      </c>
      <c r="AI1854" s="550"/>
      <c r="AJ1854" s="550"/>
      <c r="AK1854" s="550"/>
    </row>
    <row r="1855" spans="1:37" s="547" customFormat="1" x14ac:dyDescent="0.3">
      <c r="A1855" s="541">
        <v>903877</v>
      </c>
      <c r="B1855" s="542">
        <v>1.7</v>
      </c>
      <c r="C1855" s="543"/>
      <c r="D1855" s="541">
        <v>8.3000000000000007</v>
      </c>
      <c r="E1855" s="1553">
        <v>2</v>
      </c>
      <c r="F1855" s="543">
        <v>1070.3</v>
      </c>
      <c r="G1855" s="541"/>
      <c r="H1855" s="543">
        <v>451.44</v>
      </c>
      <c r="I1855" s="541">
        <v>630</v>
      </c>
      <c r="J1855" s="544">
        <v>1.222</v>
      </c>
      <c r="K1855" s="543">
        <v>7.15</v>
      </c>
      <c r="L1855" s="541">
        <v>1710</v>
      </c>
      <c r="M1855" s="541">
        <v>2.67</v>
      </c>
      <c r="N1855" s="541">
        <v>1.53</v>
      </c>
      <c r="O1855" s="541">
        <v>0.3</v>
      </c>
      <c r="P1855" s="541">
        <v>8.44</v>
      </c>
      <c r="Q1855" s="541"/>
      <c r="R1855" s="542">
        <v>2.0058480000000003</v>
      </c>
      <c r="S1855" s="543">
        <v>24.6</v>
      </c>
      <c r="T1855" s="545"/>
      <c r="U1855" s="545"/>
      <c r="V1855" s="545"/>
      <c r="W1855" s="545"/>
      <c r="X1855" s="541"/>
      <c r="Y1855" s="546">
        <f t="shared" si="75"/>
        <v>28</v>
      </c>
      <c r="Z1855" s="541"/>
      <c r="AA1855" s="68">
        <v>3.5</v>
      </c>
      <c r="AB1855" s="68">
        <v>0.35799999999999998</v>
      </c>
      <c r="AC1855" s="69">
        <v>7.2</v>
      </c>
      <c r="AD1855" s="548">
        <v>560</v>
      </c>
      <c r="AE1855" s="549">
        <v>320</v>
      </c>
      <c r="AF1855" s="549">
        <v>120</v>
      </c>
      <c r="AG1855" s="66">
        <f t="shared" si="73"/>
        <v>90.396428571428572</v>
      </c>
      <c r="AH1855" s="143">
        <f t="shared" si="74"/>
        <v>1000</v>
      </c>
      <c r="AI1855" s="550"/>
      <c r="AJ1855" s="550"/>
      <c r="AK1855" s="550"/>
    </row>
    <row r="1856" spans="1:37" s="547" customFormat="1" x14ac:dyDescent="0.3">
      <c r="A1856" s="541">
        <v>903878</v>
      </c>
      <c r="B1856" s="542">
        <v>0.1</v>
      </c>
      <c r="C1856" s="543"/>
      <c r="D1856" s="541">
        <v>8.3800000000000008</v>
      </c>
      <c r="E1856" s="1553">
        <v>0.63500000000000001</v>
      </c>
      <c r="F1856" s="543">
        <v>190.25</v>
      </c>
      <c r="G1856" s="541"/>
      <c r="H1856" s="543">
        <v>70</v>
      </c>
      <c r="I1856" s="541">
        <v>260</v>
      </c>
      <c r="J1856" s="544">
        <v>0.35099999999999998</v>
      </c>
      <c r="K1856" s="543">
        <v>9</v>
      </c>
      <c r="L1856" s="541">
        <v>890</v>
      </c>
      <c r="M1856" s="541">
        <v>0.66</v>
      </c>
      <c r="N1856" s="541">
        <v>0.95</v>
      </c>
      <c r="O1856" s="541">
        <v>5.7</v>
      </c>
      <c r="P1856" s="541">
        <v>4.97</v>
      </c>
      <c r="Q1856" s="541"/>
      <c r="R1856" s="542">
        <v>0.76265797148567893</v>
      </c>
      <c r="S1856" s="543">
        <v>5.5</v>
      </c>
      <c r="T1856" s="545"/>
      <c r="U1856" s="545"/>
      <c r="V1856" s="545"/>
      <c r="W1856" s="545"/>
      <c r="X1856" s="541"/>
      <c r="Y1856" s="546">
        <f t="shared" si="75"/>
        <v>27.5</v>
      </c>
      <c r="Z1856" s="541"/>
      <c r="AA1856" s="68">
        <v>3.78</v>
      </c>
      <c r="AB1856" s="68">
        <v>0.58299999999999996</v>
      </c>
      <c r="AC1856" s="69">
        <v>6</v>
      </c>
      <c r="AD1856" s="548">
        <v>550</v>
      </c>
      <c r="AE1856" s="549">
        <v>310</v>
      </c>
      <c r="AF1856" s="549">
        <v>140</v>
      </c>
      <c r="AG1856" s="66">
        <f t="shared" si="73"/>
        <v>115.85454545454546</v>
      </c>
      <c r="AH1856" s="143">
        <f t="shared" si="74"/>
        <v>1000</v>
      </c>
      <c r="AI1856" s="550"/>
      <c r="AJ1856" s="550"/>
      <c r="AK1856" s="550"/>
    </row>
    <row r="1857" spans="1:149" s="547" customFormat="1" x14ac:dyDescent="0.3">
      <c r="A1857" s="541">
        <v>903879</v>
      </c>
      <c r="B1857" s="542">
        <v>3.1</v>
      </c>
      <c r="C1857" s="543"/>
      <c r="D1857" s="541">
        <v>8.8800000000000008</v>
      </c>
      <c r="E1857" s="1553">
        <v>0.34699999999999998</v>
      </c>
      <c r="F1857" s="543">
        <v>207.6</v>
      </c>
      <c r="G1857" s="541"/>
      <c r="H1857" s="543">
        <v>30.73</v>
      </c>
      <c r="I1857" s="541">
        <v>260</v>
      </c>
      <c r="J1857" s="544">
        <v>0.53600000000000003</v>
      </c>
      <c r="K1857" s="543">
        <v>7.55</v>
      </c>
      <c r="L1857" s="541">
        <v>980</v>
      </c>
      <c r="M1857" s="541">
        <v>0.82</v>
      </c>
      <c r="N1857" s="541">
        <v>0.95</v>
      </c>
      <c r="O1857" s="541">
        <v>5.22</v>
      </c>
      <c r="P1857" s="541">
        <v>3.8</v>
      </c>
      <c r="Q1857" s="541"/>
      <c r="R1857" s="542">
        <v>1.3069802949390885</v>
      </c>
      <c r="S1857" s="543">
        <v>9.3000000000000007</v>
      </c>
      <c r="T1857" s="545"/>
      <c r="U1857" s="545"/>
      <c r="V1857" s="545"/>
      <c r="W1857" s="545"/>
      <c r="X1857" s="541"/>
      <c r="Y1857" s="546">
        <f t="shared" si="75"/>
        <v>24</v>
      </c>
      <c r="Z1857" s="541"/>
      <c r="AA1857" s="68">
        <v>4.33</v>
      </c>
      <c r="AB1857" s="68">
        <v>0.64700000000000002</v>
      </c>
      <c r="AC1857" s="69">
        <v>11.6</v>
      </c>
      <c r="AD1857" s="548">
        <v>480</v>
      </c>
      <c r="AE1857" s="549">
        <v>360</v>
      </c>
      <c r="AF1857" s="549">
        <v>160</v>
      </c>
      <c r="AG1857" s="66">
        <f t="shared" si="73"/>
        <v>111.3625</v>
      </c>
      <c r="AH1857" s="143">
        <f t="shared" si="74"/>
        <v>1000</v>
      </c>
      <c r="AI1857" s="550"/>
      <c r="AJ1857" s="550"/>
      <c r="AK1857" s="550"/>
    </row>
    <row r="1858" spans="1:149" s="547" customFormat="1" x14ac:dyDescent="0.3">
      <c r="A1858" s="541">
        <v>903880</v>
      </c>
      <c r="B1858" s="542">
        <v>9.1999999999999993</v>
      </c>
      <c r="C1858" s="543"/>
      <c r="D1858" s="541">
        <v>8.75</v>
      </c>
      <c r="E1858" s="1553">
        <v>0.42</v>
      </c>
      <c r="F1858" s="543">
        <v>309.10000000000002</v>
      </c>
      <c r="G1858" s="541"/>
      <c r="H1858" s="543">
        <v>21.31</v>
      </c>
      <c r="I1858" s="541">
        <v>240</v>
      </c>
      <c r="J1858" s="544">
        <v>0.45800000000000002</v>
      </c>
      <c r="K1858" s="543">
        <v>7.89</v>
      </c>
      <c r="L1858" s="541">
        <v>900</v>
      </c>
      <c r="M1858" s="541">
        <v>0.57999999999999996</v>
      </c>
      <c r="N1858" s="541">
        <v>1.02</v>
      </c>
      <c r="O1858" s="541">
        <v>4.71</v>
      </c>
      <c r="P1858" s="541">
        <v>3.38</v>
      </c>
      <c r="Q1858" s="541"/>
      <c r="R1858" s="542">
        <v>1.0330453121981811</v>
      </c>
      <c r="S1858" s="543">
        <v>6.9</v>
      </c>
      <c r="T1858" s="545"/>
      <c r="U1858" s="545"/>
      <c r="V1858" s="545"/>
      <c r="W1858" s="545"/>
      <c r="X1858" s="541"/>
      <c r="Y1858" s="546">
        <f t="shared" si="75"/>
        <v>25</v>
      </c>
      <c r="Z1858" s="541"/>
      <c r="AA1858" s="68">
        <v>3.64</v>
      </c>
      <c r="AB1858" s="68">
        <v>0.69099999999999995</v>
      </c>
      <c r="AC1858" s="69">
        <v>11.3</v>
      </c>
      <c r="AD1858" s="548">
        <v>500</v>
      </c>
      <c r="AE1858" s="549">
        <v>340</v>
      </c>
      <c r="AF1858" s="549">
        <v>160</v>
      </c>
      <c r="AG1858" s="66">
        <f t="shared" ref="AG1858:AG1921" si="76">+K1858*3.54*100/Y1858</f>
        <v>111.72239999999999</v>
      </c>
      <c r="AH1858" s="143">
        <f t="shared" ref="AH1858:AH1921" si="77">+SUM(AD1858:AF1858)</f>
        <v>1000</v>
      </c>
      <c r="AI1858" s="550"/>
      <c r="AJ1858" s="550"/>
      <c r="AK1858" s="550"/>
    </row>
    <row r="1859" spans="1:149" s="547" customFormat="1" x14ac:dyDescent="0.3">
      <c r="A1859" s="541">
        <v>903881</v>
      </c>
      <c r="B1859" s="542">
        <v>0.2</v>
      </c>
      <c r="C1859" s="543"/>
      <c r="D1859" s="541">
        <v>8.16</v>
      </c>
      <c r="E1859" s="1553">
        <v>0.14799999999999999</v>
      </c>
      <c r="F1859" s="543">
        <v>93.7</v>
      </c>
      <c r="G1859" s="541"/>
      <c r="H1859" s="543">
        <v>48.97</v>
      </c>
      <c r="I1859" s="541">
        <v>60</v>
      </c>
      <c r="J1859" s="544">
        <v>0.14299999999999999</v>
      </c>
      <c r="K1859" s="543">
        <v>3.5</v>
      </c>
      <c r="L1859" s="541">
        <v>390</v>
      </c>
      <c r="M1859" s="541">
        <v>0.73</v>
      </c>
      <c r="N1859" s="541">
        <v>0.35</v>
      </c>
      <c r="O1859" s="541">
        <v>4.1399999999999997</v>
      </c>
      <c r="P1859" s="541">
        <v>4.1399999999999997</v>
      </c>
      <c r="Q1859" s="541"/>
      <c r="R1859" s="542">
        <v>0.93557365090211475</v>
      </c>
      <c r="S1859" s="543">
        <v>6.4</v>
      </c>
      <c r="T1859" s="545"/>
      <c r="U1859" s="545"/>
      <c r="V1859" s="545"/>
      <c r="W1859" s="545"/>
      <c r="X1859" s="541"/>
      <c r="Y1859" s="546">
        <f t="shared" si="75"/>
        <v>13</v>
      </c>
      <c r="Z1859" s="541"/>
      <c r="AA1859" s="68">
        <v>4.59</v>
      </c>
      <c r="AB1859" s="68">
        <v>0.55800000000000005</v>
      </c>
      <c r="AC1859" s="69">
        <v>11.9</v>
      </c>
      <c r="AD1859" s="548">
        <v>260</v>
      </c>
      <c r="AE1859" s="549">
        <v>100</v>
      </c>
      <c r="AF1859" s="549">
        <v>640</v>
      </c>
      <c r="AG1859" s="66">
        <f t="shared" si="76"/>
        <v>95.307692307692307</v>
      </c>
      <c r="AH1859" s="143">
        <f t="shared" si="77"/>
        <v>1000</v>
      </c>
      <c r="AI1859" s="550"/>
      <c r="AJ1859" s="550"/>
      <c r="AK1859" s="550"/>
    </row>
    <row r="1860" spans="1:149" s="547" customFormat="1" x14ac:dyDescent="0.3">
      <c r="A1860" s="541">
        <v>903882</v>
      </c>
      <c r="B1860" s="542">
        <v>0.1</v>
      </c>
      <c r="C1860" s="543"/>
      <c r="D1860" s="541">
        <v>8.2100000000000009</v>
      </c>
      <c r="E1860" s="1553">
        <v>0.19800000000000001</v>
      </c>
      <c r="F1860" s="543">
        <v>99.45</v>
      </c>
      <c r="G1860" s="541"/>
      <c r="H1860" s="543">
        <v>46.58</v>
      </c>
      <c r="I1860" s="541">
        <v>60</v>
      </c>
      <c r="J1860" s="544">
        <v>0.16200000000000001</v>
      </c>
      <c r="K1860" s="543">
        <v>3</v>
      </c>
      <c r="L1860" s="541">
        <v>380</v>
      </c>
      <c r="M1860" s="541">
        <v>0.76</v>
      </c>
      <c r="N1860" s="541">
        <v>0.35</v>
      </c>
      <c r="O1860" s="541">
        <v>4.05</v>
      </c>
      <c r="P1860" s="541">
        <v>3.86</v>
      </c>
      <c r="Q1860" s="541"/>
      <c r="R1860" s="542">
        <v>1.0421469758821427</v>
      </c>
      <c r="S1860" s="543">
        <v>6.8</v>
      </c>
      <c r="T1860" s="545"/>
      <c r="U1860" s="545"/>
      <c r="V1860" s="545"/>
      <c r="W1860" s="545"/>
      <c r="X1860" s="541"/>
      <c r="Y1860" s="546">
        <f t="shared" si="75"/>
        <v>12</v>
      </c>
      <c r="Z1860" s="541"/>
      <c r="AA1860" s="68">
        <v>4.88</v>
      </c>
      <c r="AB1860" s="68">
        <v>0.749</v>
      </c>
      <c r="AC1860" s="69">
        <v>8.6999999999999993</v>
      </c>
      <c r="AD1860" s="548">
        <v>240</v>
      </c>
      <c r="AE1860" s="549">
        <v>140</v>
      </c>
      <c r="AF1860" s="549">
        <v>620</v>
      </c>
      <c r="AG1860" s="66">
        <f t="shared" si="76"/>
        <v>88.5</v>
      </c>
      <c r="AH1860" s="143">
        <f t="shared" si="77"/>
        <v>1000</v>
      </c>
      <c r="AI1860" s="550"/>
      <c r="AJ1860" s="550"/>
      <c r="AK1860" s="550"/>
    </row>
    <row r="1861" spans="1:149" x14ac:dyDescent="0.3">
      <c r="A1861" s="428">
        <v>903883</v>
      </c>
      <c r="B1861" s="433">
        <v>2.8</v>
      </c>
      <c r="C1861" s="433"/>
      <c r="D1861" s="433">
        <v>8.32</v>
      </c>
      <c r="E1861" s="1554">
        <v>0.21</v>
      </c>
      <c r="F1861" s="562">
        <v>41.7</v>
      </c>
      <c r="G1861" s="433"/>
      <c r="H1861" s="433">
        <v>183.28</v>
      </c>
      <c r="I1861" s="433">
        <v>280</v>
      </c>
      <c r="J1861" s="433">
        <v>9.4E-2</v>
      </c>
      <c r="K1861" s="433">
        <v>5.89</v>
      </c>
      <c r="L1861" s="433">
        <v>920</v>
      </c>
      <c r="M1861" s="433">
        <v>2.59</v>
      </c>
      <c r="N1861" s="433">
        <v>1.38</v>
      </c>
      <c r="O1861" s="433">
        <v>3.46</v>
      </c>
      <c r="P1861" s="433">
        <v>20.399999999999999</v>
      </c>
      <c r="Q1861" s="433"/>
      <c r="R1861" s="427">
        <v>1.7135000000000002</v>
      </c>
      <c r="S1861" s="433">
        <v>14</v>
      </c>
      <c r="T1861" s="564"/>
      <c r="U1861" s="565"/>
      <c r="Y1861" s="67">
        <v>26.2</v>
      </c>
      <c r="Z1861" s="433"/>
      <c r="AA1861" s="68">
        <v>4.91</v>
      </c>
      <c r="AB1861" s="68">
        <v>0.28499999999999998</v>
      </c>
      <c r="AC1861" s="69">
        <v>8.4</v>
      </c>
      <c r="AD1861" s="563">
        <v>520</v>
      </c>
      <c r="AE1861" s="433">
        <v>240</v>
      </c>
      <c r="AF1861" s="433">
        <v>240</v>
      </c>
      <c r="AG1861" s="66">
        <f t="shared" si="76"/>
        <v>79.582442748091609</v>
      </c>
      <c r="AH1861" s="143">
        <f t="shared" si="77"/>
        <v>1000</v>
      </c>
      <c r="AI1861" s="431"/>
      <c r="AJ1861" s="431"/>
      <c r="AK1861" s="431"/>
      <c r="AL1861" s="431"/>
      <c r="AM1861" s="431"/>
      <c r="AN1861" s="431"/>
      <c r="AO1861" s="431"/>
      <c r="AP1861" s="431"/>
      <c r="AQ1861" s="431"/>
      <c r="AR1861" s="431"/>
      <c r="AS1861" s="431"/>
      <c r="AT1861" s="431"/>
      <c r="AU1861" s="431"/>
      <c r="AV1861" s="431"/>
      <c r="AW1861" s="431"/>
      <c r="AX1861" s="431"/>
      <c r="AY1861" s="431"/>
      <c r="AZ1861" s="431"/>
      <c r="BA1861" s="431"/>
      <c r="BB1861" s="431"/>
      <c r="BC1861" s="431"/>
      <c r="BD1861" s="431"/>
      <c r="BE1861" s="431"/>
      <c r="BF1861" s="431"/>
      <c r="BG1861" s="431"/>
      <c r="BH1861" s="431"/>
      <c r="BI1861" s="431"/>
      <c r="BJ1861" s="431"/>
      <c r="BK1861" s="431"/>
      <c r="BL1861" s="431"/>
      <c r="BM1861" s="431"/>
      <c r="BN1861" s="431"/>
      <c r="BO1861" s="431"/>
      <c r="BP1861" s="431"/>
      <c r="BQ1861" s="431"/>
      <c r="BR1861" s="431"/>
      <c r="BS1861" s="431"/>
      <c r="BT1861" s="431"/>
      <c r="BU1861" s="431"/>
      <c r="BV1861" s="431"/>
      <c r="BW1861" s="431"/>
      <c r="BX1861" s="431"/>
      <c r="BY1861" s="431"/>
      <c r="BZ1861" s="431"/>
      <c r="CA1861" s="431"/>
      <c r="CB1861" s="431"/>
      <c r="CC1861" s="431"/>
      <c r="CD1861" s="431"/>
      <c r="CE1861" s="431"/>
      <c r="CF1861" s="431"/>
      <c r="CG1861" s="431"/>
      <c r="CH1861" s="431"/>
      <c r="CI1861" s="431"/>
      <c r="CJ1861" s="431"/>
      <c r="CK1861" s="431"/>
      <c r="CL1861" s="431"/>
      <c r="CM1861" s="431"/>
      <c r="CN1861" s="431"/>
      <c r="CO1861" s="431"/>
      <c r="CP1861" s="431"/>
      <c r="CQ1861" s="431"/>
      <c r="CR1861" s="431"/>
      <c r="CS1861" s="431"/>
      <c r="CT1861" s="431"/>
      <c r="CU1861" s="431"/>
      <c r="CV1861" s="431"/>
      <c r="CW1861" s="431"/>
      <c r="CX1861" s="431"/>
      <c r="CY1861" s="431"/>
      <c r="CZ1861" s="431"/>
      <c r="DA1861" s="431"/>
      <c r="DB1861" s="431"/>
      <c r="DC1861" s="431"/>
      <c r="DD1861" s="431"/>
      <c r="DE1861" s="431"/>
      <c r="DF1861" s="431"/>
      <c r="DG1861" s="431"/>
      <c r="DH1861" s="431"/>
      <c r="DI1861" s="431"/>
      <c r="DJ1861" s="431"/>
      <c r="DK1861" s="431"/>
      <c r="DL1861" s="431"/>
      <c r="DM1861" s="431"/>
      <c r="DN1861" s="431"/>
      <c r="DO1861" s="431"/>
      <c r="DP1861" s="431"/>
      <c r="DQ1861" s="431"/>
      <c r="DR1861" s="431"/>
      <c r="DS1861" s="431"/>
      <c r="DT1861" s="431"/>
      <c r="DU1861" s="431"/>
      <c r="DV1861" s="431"/>
      <c r="DW1861" s="431"/>
      <c r="DX1861" s="431"/>
      <c r="DY1861" s="431"/>
      <c r="DZ1861" s="431"/>
      <c r="EA1861" s="431"/>
      <c r="EB1861" s="431"/>
      <c r="EC1861" s="431"/>
      <c r="ED1861" s="431"/>
      <c r="EE1861" s="431"/>
      <c r="EF1861" s="431"/>
      <c r="EG1861" s="431"/>
      <c r="EH1861" s="431"/>
      <c r="EI1861" s="431"/>
      <c r="EJ1861" s="431"/>
      <c r="EK1861" s="431"/>
      <c r="EL1861" s="431"/>
      <c r="EM1861" s="431"/>
      <c r="EN1861" s="431"/>
      <c r="EO1861" s="431"/>
      <c r="EP1861" s="431"/>
      <c r="EQ1861" s="431"/>
      <c r="ER1861" s="431"/>
      <c r="ES1861" s="431"/>
    </row>
    <row r="1862" spans="1:149" x14ac:dyDescent="0.3">
      <c r="A1862" s="428">
        <v>903884</v>
      </c>
      <c r="B1862" s="433">
        <v>12.1</v>
      </c>
      <c r="C1862" s="433">
        <v>4.34</v>
      </c>
      <c r="D1862" s="433">
        <v>8.77</v>
      </c>
      <c r="E1862" s="1554">
        <v>0.128</v>
      </c>
      <c r="F1862" s="562">
        <v>30</v>
      </c>
      <c r="G1862" s="433"/>
      <c r="H1862" s="433">
        <v>5.44</v>
      </c>
      <c r="I1862" s="433">
        <v>310</v>
      </c>
      <c r="J1862" s="433">
        <v>3.9E-2</v>
      </c>
      <c r="K1862" s="433">
        <v>9.65</v>
      </c>
      <c r="L1862" s="433">
        <v>740</v>
      </c>
      <c r="M1862" s="433">
        <v>0.22</v>
      </c>
      <c r="N1862" s="433">
        <v>0.4</v>
      </c>
      <c r="O1862" s="433">
        <v>1.08</v>
      </c>
      <c r="P1862" s="433">
        <v>1.1299999999999999</v>
      </c>
      <c r="Q1862" s="433"/>
      <c r="R1862" s="427">
        <v>0.44885608400496879</v>
      </c>
      <c r="S1862" s="433">
        <v>3.2</v>
      </c>
      <c r="T1862" s="564"/>
      <c r="U1862" s="565"/>
      <c r="Y1862" s="67">
        <v>24</v>
      </c>
      <c r="Z1862" s="433"/>
      <c r="AA1862" s="68">
        <v>3.81</v>
      </c>
      <c r="AB1862" s="68">
        <v>0.69899999999999995</v>
      </c>
      <c r="AC1862" s="69">
        <v>10.4</v>
      </c>
      <c r="AD1862" s="563">
        <v>480</v>
      </c>
      <c r="AE1862" s="433">
        <v>240</v>
      </c>
      <c r="AF1862" s="433">
        <v>280</v>
      </c>
      <c r="AG1862" s="66">
        <f t="shared" si="76"/>
        <v>142.33750000000001</v>
      </c>
      <c r="AH1862" s="143">
        <f t="shared" si="77"/>
        <v>1000</v>
      </c>
      <c r="AI1862" s="431"/>
      <c r="AJ1862" s="431"/>
      <c r="AK1862" s="431"/>
      <c r="AL1862" s="431"/>
      <c r="AM1862" s="431"/>
      <c r="AN1862" s="431"/>
      <c r="AO1862" s="431"/>
      <c r="AP1862" s="431"/>
      <c r="AQ1862" s="431"/>
      <c r="AR1862" s="431"/>
      <c r="AS1862" s="431"/>
      <c r="AT1862" s="431"/>
      <c r="AU1862" s="431"/>
      <c r="AV1862" s="431"/>
      <c r="AW1862" s="431"/>
      <c r="AX1862" s="431"/>
      <c r="AY1862" s="431"/>
      <c r="AZ1862" s="431"/>
      <c r="BA1862" s="431"/>
      <c r="BB1862" s="431"/>
      <c r="BC1862" s="431"/>
      <c r="BD1862" s="431"/>
      <c r="BE1862" s="431"/>
      <c r="BF1862" s="431"/>
      <c r="BG1862" s="431"/>
      <c r="BH1862" s="431"/>
      <c r="BI1862" s="431"/>
      <c r="BJ1862" s="431"/>
      <c r="BK1862" s="431"/>
      <c r="BL1862" s="431"/>
      <c r="BM1862" s="431"/>
      <c r="BN1862" s="431"/>
      <c r="BO1862" s="431"/>
      <c r="BP1862" s="431"/>
      <c r="BQ1862" s="431"/>
      <c r="BR1862" s="431"/>
      <c r="BS1862" s="431"/>
      <c r="BT1862" s="431"/>
      <c r="BU1862" s="431"/>
      <c r="BV1862" s="431"/>
      <c r="BW1862" s="431"/>
      <c r="BX1862" s="431"/>
      <c r="BY1862" s="431"/>
      <c r="BZ1862" s="431"/>
      <c r="CA1862" s="431"/>
      <c r="CB1862" s="431"/>
      <c r="CC1862" s="431"/>
      <c r="CD1862" s="431"/>
      <c r="CE1862" s="431"/>
      <c r="CF1862" s="431"/>
      <c r="CG1862" s="431"/>
      <c r="CH1862" s="431"/>
      <c r="CI1862" s="431"/>
      <c r="CJ1862" s="431"/>
      <c r="CK1862" s="431"/>
      <c r="CL1862" s="431"/>
      <c r="CM1862" s="431"/>
      <c r="CN1862" s="431"/>
      <c r="CO1862" s="431"/>
      <c r="CP1862" s="431"/>
      <c r="CQ1862" s="431"/>
      <c r="CR1862" s="431"/>
      <c r="CS1862" s="431"/>
      <c r="CT1862" s="431"/>
      <c r="CU1862" s="431"/>
      <c r="CV1862" s="431"/>
      <c r="CW1862" s="431"/>
      <c r="CX1862" s="431"/>
      <c r="CY1862" s="431"/>
      <c r="CZ1862" s="431"/>
      <c r="DA1862" s="431"/>
      <c r="DB1862" s="431"/>
      <c r="DC1862" s="431"/>
      <c r="DD1862" s="431"/>
      <c r="DE1862" s="431"/>
      <c r="DF1862" s="431"/>
      <c r="DG1862" s="431"/>
      <c r="DH1862" s="431"/>
      <c r="DI1862" s="431"/>
      <c r="DJ1862" s="431"/>
      <c r="DK1862" s="431"/>
      <c r="DL1862" s="431"/>
      <c r="DM1862" s="431"/>
      <c r="DN1862" s="431"/>
      <c r="DO1862" s="431"/>
      <c r="DP1862" s="431"/>
      <c r="DQ1862" s="431"/>
      <c r="DR1862" s="431"/>
      <c r="DS1862" s="431"/>
      <c r="DT1862" s="431"/>
      <c r="DU1862" s="431"/>
      <c r="DV1862" s="431"/>
      <c r="DW1862" s="431"/>
      <c r="DX1862" s="431"/>
      <c r="DY1862" s="431"/>
      <c r="DZ1862" s="431"/>
      <c r="EA1862" s="431"/>
      <c r="EB1862" s="431"/>
      <c r="EC1862" s="431"/>
      <c r="ED1862" s="431"/>
      <c r="EE1862" s="431"/>
      <c r="EF1862" s="431"/>
      <c r="EG1862" s="431"/>
      <c r="EH1862" s="431"/>
      <c r="EI1862" s="431"/>
      <c r="EJ1862" s="431"/>
      <c r="EK1862" s="431"/>
      <c r="EL1862" s="431"/>
      <c r="EM1862" s="431"/>
      <c r="EN1862" s="431"/>
      <c r="EO1862" s="431"/>
      <c r="EP1862" s="431"/>
      <c r="EQ1862" s="431"/>
      <c r="ER1862" s="431"/>
      <c r="ES1862" s="431"/>
    </row>
    <row r="1863" spans="1:149" x14ac:dyDescent="0.3">
      <c r="A1863" s="428">
        <v>903885</v>
      </c>
      <c r="B1863" s="433">
        <v>8.4</v>
      </c>
      <c r="C1863" s="433"/>
      <c r="D1863" s="433">
        <v>8.33</v>
      </c>
      <c r="E1863" s="1554">
        <v>0.61</v>
      </c>
      <c r="F1863" s="562">
        <v>211.1</v>
      </c>
      <c r="G1863" s="433"/>
      <c r="H1863" s="433">
        <v>9.7100000000000009</v>
      </c>
      <c r="I1863" s="433">
        <v>350</v>
      </c>
      <c r="J1863" s="433">
        <v>0.24199999999999999</v>
      </c>
      <c r="K1863" s="433">
        <v>9.3800000000000008</v>
      </c>
      <c r="L1863" s="433">
        <v>1010</v>
      </c>
      <c r="M1863" s="433">
        <v>0.57999999999999996</v>
      </c>
      <c r="N1863" s="433">
        <v>0.89</v>
      </c>
      <c r="O1863" s="433">
        <v>6.19</v>
      </c>
      <c r="P1863" s="433">
        <v>2.94</v>
      </c>
      <c r="Q1863" s="433"/>
      <c r="R1863" s="427">
        <v>1.3793536379767493</v>
      </c>
      <c r="S1863" s="433">
        <v>9.1999999999999993</v>
      </c>
      <c r="T1863" s="564"/>
      <c r="U1863" s="565"/>
      <c r="Y1863" s="67">
        <v>25.5</v>
      </c>
      <c r="Z1863" s="433"/>
      <c r="AA1863" s="68">
        <v>4.59</v>
      </c>
      <c r="AB1863" s="68">
        <v>0.65400000000000003</v>
      </c>
      <c r="AC1863" s="69">
        <v>8.8000000000000007</v>
      </c>
      <c r="AD1863" s="563">
        <v>510</v>
      </c>
      <c r="AE1863" s="433">
        <v>250</v>
      </c>
      <c r="AF1863" s="433">
        <v>240</v>
      </c>
      <c r="AG1863" s="66">
        <f t="shared" si="76"/>
        <v>130.21647058823532</v>
      </c>
      <c r="AH1863" s="143">
        <f t="shared" si="77"/>
        <v>1000</v>
      </c>
      <c r="AI1863" s="431"/>
      <c r="AJ1863" s="431"/>
      <c r="AK1863" s="431"/>
      <c r="AL1863" s="431"/>
      <c r="AM1863" s="431"/>
      <c r="AN1863" s="431"/>
      <c r="AO1863" s="431"/>
      <c r="AP1863" s="431"/>
      <c r="AQ1863" s="431"/>
      <c r="AR1863" s="431"/>
      <c r="AS1863" s="431"/>
      <c r="AT1863" s="431"/>
      <c r="AU1863" s="431"/>
      <c r="AV1863" s="431"/>
      <c r="AW1863" s="431"/>
      <c r="AX1863" s="431"/>
      <c r="AY1863" s="431"/>
      <c r="AZ1863" s="431"/>
      <c r="BA1863" s="431"/>
      <c r="BB1863" s="431"/>
      <c r="BC1863" s="431"/>
      <c r="BD1863" s="431"/>
      <c r="BE1863" s="431"/>
      <c r="BF1863" s="431"/>
      <c r="BG1863" s="431"/>
      <c r="BH1863" s="431"/>
      <c r="BI1863" s="431"/>
      <c r="BJ1863" s="431"/>
      <c r="BK1863" s="431"/>
      <c r="BL1863" s="431"/>
      <c r="BM1863" s="431"/>
      <c r="BN1863" s="431"/>
      <c r="BO1863" s="431"/>
      <c r="BP1863" s="431"/>
      <c r="BQ1863" s="431"/>
      <c r="BR1863" s="431"/>
      <c r="BS1863" s="431"/>
      <c r="BT1863" s="431"/>
      <c r="BU1863" s="431"/>
      <c r="BV1863" s="431"/>
      <c r="BW1863" s="431"/>
      <c r="BX1863" s="431"/>
      <c r="BY1863" s="431"/>
      <c r="BZ1863" s="431"/>
      <c r="CA1863" s="431"/>
      <c r="CB1863" s="431"/>
      <c r="CC1863" s="431"/>
      <c r="CD1863" s="431"/>
      <c r="CE1863" s="431"/>
      <c r="CF1863" s="431"/>
      <c r="CG1863" s="431"/>
      <c r="CH1863" s="431"/>
      <c r="CI1863" s="431"/>
      <c r="CJ1863" s="431"/>
      <c r="CK1863" s="431"/>
      <c r="CL1863" s="431"/>
      <c r="CM1863" s="431"/>
      <c r="CN1863" s="431"/>
      <c r="CO1863" s="431"/>
      <c r="CP1863" s="431"/>
      <c r="CQ1863" s="431"/>
      <c r="CR1863" s="431"/>
      <c r="CS1863" s="431"/>
      <c r="CT1863" s="431"/>
      <c r="CU1863" s="431"/>
      <c r="CV1863" s="431"/>
      <c r="CW1863" s="431"/>
      <c r="CX1863" s="431"/>
      <c r="CY1863" s="431"/>
      <c r="CZ1863" s="431"/>
      <c r="DA1863" s="431"/>
      <c r="DB1863" s="431"/>
      <c r="DC1863" s="431"/>
      <c r="DD1863" s="431"/>
      <c r="DE1863" s="431"/>
      <c r="DF1863" s="431"/>
      <c r="DG1863" s="431"/>
      <c r="DH1863" s="431"/>
      <c r="DI1863" s="431"/>
      <c r="DJ1863" s="431"/>
      <c r="DK1863" s="431"/>
      <c r="DL1863" s="431"/>
      <c r="DM1863" s="431"/>
      <c r="DN1863" s="431"/>
      <c r="DO1863" s="431"/>
      <c r="DP1863" s="431"/>
      <c r="DQ1863" s="431"/>
      <c r="DR1863" s="431"/>
      <c r="DS1863" s="431"/>
      <c r="DT1863" s="431"/>
      <c r="DU1863" s="431"/>
      <c r="DV1863" s="431"/>
      <c r="DW1863" s="431"/>
      <c r="DX1863" s="431"/>
      <c r="DY1863" s="431"/>
      <c r="DZ1863" s="431"/>
      <c r="EA1863" s="431"/>
      <c r="EB1863" s="431"/>
      <c r="EC1863" s="431"/>
      <c r="ED1863" s="431"/>
      <c r="EE1863" s="431"/>
      <c r="EF1863" s="431"/>
      <c r="EG1863" s="431"/>
      <c r="EH1863" s="431"/>
      <c r="EI1863" s="431"/>
      <c r="EJ1863" s="431"/>
      <c r="EK1863" s="431"/>
      <c r="EL1863" s="431"/>
      <c r="EM1863" s="431"/>
      <c r="EN1863" s="431"/>
      <c r="EO1863" s="431"/>
      <c r="EP1863" s="431"/>
      <c r="EQ1863" s="431"/>
      <c r="ER1863" s="431"/>
      <c r="ES1863" s="431"/>
    </row>
    <row r="1864" spans="1:149" x14ac:dyDescent="0.3">
      <c r="A1864" s="428">
        <v>903886</v>
      </c>
      <c r="B1864" s="433">
        <v>15.3</v>
      </c>
      <c r="C1864" s="433">
        <v>5.63</v>
      </c>
      <c r="D1864" s="433">
        <v>8.34</v>
      </c>
      <c r="E1864" s="1554">
        <v>3.15</v>
      </c>
      <c r="F1864" s="562">
        <v>568.4</v>
      </c>
      <c r="G1864" s="433"/>
      <c r="H1864" s="433">
        <v>24.54</v>
      </c>
      <c r="I1864" s="433">
        <v>300</v>
      </c>
      <c r="J1864" s="433">
        <v>0.84599999999999997</v>
      </c>
      <c r="K1864" s="563">
        <v>26.16</v>
      </c>
      <c r="L1864" s="433">
        <v>980</v>
      </c>
      <c r="M1864" s="433">
        <v>0.77</v>
      </c>
      <c r="N1864" s="433">
        <v>0.39</v>
      </c>
      <c r="O1864" s="433">
        <v>1.58</v>
      </c>
      <c r="P1864" s="433">
        <v>2.4700000000000002</v>
      </c>
      <c r="Q1864" s="433"/>
      <c r="R1864" s="427">
        <v>0.63154489696457283</v>
      </c>
      <c r="S1864" s="433">
        <v>4.5</v>
      </c>
      <c r="T1864" s="564"/>
      <c r="U1864" s="565"/>
      <c r="Y1864" s="67">
        <v>36.4</v>
      </c>
      <c r="Z1864" s="433"/>
      <c r="AA1864" s="68">
        <v>3.52</v>
      </c>
      <c r="AB1864" s="68">
        <v>0.379</v>
      </c>
      <c r="AC1864" s="69">
        <v>10.5</v>
      </c>
      <c r="AD1864" s="563">
        <v>520</v>
      </c>
      <c r="AE1864" s="433">
        <v>200</v>
      </c>
      <c r="AF1864" s="433">
        <v>280</v>
      </c>
      <c r="AG1864" s="66">
        <f t="shared" si="76"/>
        <v>254.41318681318685</v>
      </c>
      <c r="AH1864" s="143">
        <f t="shared" si="77"/>
        <v>1000</v>
      </c>
      <c r="AI1864" s="431"/>
      <c r="AJ1864" s="431"/>
      <c r="AK1864" s="431"/>
      <c r="AL1864" s="431"/>
      <c r="AM1864" s="431"/>
      <c r="AN1864" s="431"/>
      <c r="AO1864" s="431"/>
      <c r="AP1864" s="431"/>
      <c r="AQ1864" s="431"/>
      <c r="AR1864" s="431"/>
      <c r="AS1864" s="431"/>
      <c r="AT1864" s="431"/>
      <c r="AU1864" s="431"/>
      <c r="AV1864" s="431"/>
      <c r="AW1864" s="431"/>
      <c r="AX1864" s="431"/>
      <c r="AY1864" s="431"/>
      <c r="AZ1864" s="431"/>
      <c r="BA1864" s="431"/>
      <c r="BB1864" s="431"/>
      <c r="BC1864" s="431"/>
      <c r="BD1864" s="431"/>
      <c r="BE1864" s="431"/>
      <c r="BF1864" s="431"/>
      <c r="BG1864" s="431"/>
      <c r="BH1864" s="431"/>
      <c r="BI1864" s="431"/>
      <c r="BJ1864" s="431"/>
      <c r="BK1864" s="431"/>
      <c r="BL1864" s="431"/>
      <c r="BM1864" s="431"/>
      <c r="BN1864" s="431"/>
      <c r="BO1864" s="431"/>
      <c r="BP1864" s="431"/>
      <c r="BQ1864" s="431"/>
      <c r="BR1864" s="431"/>
      <c r="BS1864" s="431"/>
      <c r="BT1864" s="431"/>
      <c r="BU1864" s="431"/>
      <c r="BV1864" s="431"/>
      <c r="BW1864" s="431"/>
      <c r="BX1864" s="431"/>
      <c r="BY1864" s="431"/>
      <c r="BZ1864" s="431"/>
      <c r="CA1864" s="431"/>
      <c r="CB1864" s="431"/>
      <c r="CC1864" s="431"/>
      <c r="CD1864" s="431"/>
      <c r="CE1864" s="431"/>
      <c r="CF1864" s="431"/>
      <c r="CG1864" s="431"/>
      <c r="CH1864" s="431"/>
      <c r="CI1864" s="431"/>
      <c r="CJ1864" s="431"/>
      <c r="CK1864" s="431"/>
      <c r="CL1864" s="431"/>
      <c r="CM1864" s="431"/>
      <c r="CN1864" s="431"/>
      <c r="CO1864" s="431"/>
      <c r="CP1864" s="431"/>
      <c r="CQ1864" s="431"/>
      <c r="CR1864" s="431"/>
      <c r="CS1864" s="431"/>
      <c r="CT1864" s="431"/>
      <c r="CU1864" s="431"/>
      <c r="CV1864" s="431"/>
      <c r="CW1864" s="431"/>
      <c r="CX1864" s="431"/>
      <c r="CY1864" s="431"/>
      <c r="CZ1864" s="431"/>
      <c r="DA1864" s="431"/>
      <c r="DB1864" s="431"/>
      <c r="DC1864" s="431"/>
      <c r="DD1864" s="431"/>
      <c r="DE1864" s="431"/>
      <c r="DF1864" s="431"/>
      <c r="DG1864" s="431"/>
      <c r="DH1864" s="431"/>
      <c r="DI1864" s="431"/>
      <c r="DJ1864" s="431"/>
      <c r="DK1864" s="431"/>
      <c r="DL1864" s="431"/>
      <c r="DM1864" s="431"/>
      <c r="DN1864" s="431"/>
      <c r="DO1864" s="431"/>
      <c r="DP1864" s="431"/>
      <c r="DQ1864" s="431"/>
      <c r="DR1864" s="431"/>
      <c r="DS1864" s="431"/>
      <c r="DT1864" s="431"/>
      <c r="DU1864" s="431"/>
      <c r="DV1864" s="431"/>
      <c r="DW1864" s="431"/>
      <c r="DX1864" s="431"/>
      <c r="DY1864" s="431"/>
      <c r="DZ1864" s="431"/>
      <c r="EA1864" s="431"/>
      <c r="EB1864" s="431"/>
      <c r="EC1864" s="431"/>
      <c r="ED1864" s="431"/>
      <c r="EE1864" s="431"/>
      <c r="EF1864" s="431"/>
      <c r="EG1864" s="431"/>
      <c r="EH1864" s="431"/>
      <c r="EI1864" s="431"/>
      <c r="EJ1864" s="431"/>
      <c r="EK1864" s="431"/>
      <c r="EL1864" s="431"/>
      <c r="EM1864" s="431"/>
      <c r="EN1864" s="431"/>
      <c r="EO1864" s="431"/>
      <c r="EP1864" s="431"/>
      <c r="EQ1864" s="431"/>
      <c r="ER1864" s="431"/>
      <c r="ES1864" s="431"/>
    </row>
    <row r="1865" spans="1:149" x14ac:dyDescent="0.3">
      <c r="A1865" s="428">
        <v>903887</v>
      </c>
      <c r="B1865" s="433">
        <v>15</v>
      </c>
      <c r="C1865" s="433">
        <v>6</v>
      </c>
      <c r="D1865" s="433">
        <v>8.17</v>
      </c>
      <c r="E1865" s="1554">
        <v>0.623</v>
      </c>
      <c r="F1865" s="562">
        <v>249.1</v>
      </c>
      <c r="G1865" s="433"/>
      <c r="H1865" s="433">
        <v>235.05</v>
      </c>
      <c r="I1865" s="433">
        <v>470</v>
      </c>
      <c r="J1865" s="433">
        <v>0.39100000000000001</v>
      </c>
      <c r="K1865" s="433">
        <v>10.039999999999999</v>
      </c>
      <c r="L1865" s="433">
        <v>1250</v>
      </c>
      <c r="M1865" s="433">
        <v>2.65</v>
      </c>
      <c r="N1865" s="433">
        <v>1.93</v>
      </c>
      <c r="O1865" s="433">
        <v>9.77</v>
      </c>
      <c r="P1865" s="433">
        <v>37.93</v>
      </c>
      <c r="Q1865" s="433"/>
      <c r="R1865" s="427">
        <v>1.7064720000000002</v>
      </c>
      <c r="S1865" s="433">
        <v>13.8</v>
      </c>
      <c r="T1865" s="564"/>
      <c r="U1865" s="565"/>
      <c r="Y1865" s="67">
        <v>29</v>
      </c>
      <c r="Z1865" s="433"/>
      <c r="AA1865" s="68">
        <v>4.0999999999999996</v>
      </c>
      <c r="AB1865" s="68">
        <v>0.78600000000000003</v>
      </c>
      <c r="AC1865" s="69">
        <v>10.7</v>
      </c>
      <c r="AD1865" s="563">
        <v>580</v>
      </c>
      <c r="AE1865" s="433">
        <v>240</v>
      </c>
      <c r="AF1865" s="433">
        <v>180</v>
      </c>
      <c r="AG1865" s="66">
        <f t="shared" si="76"/>
        <v>122.55724137931033</v>
      </c>
      <c r="AH1865" s="143">
        <f t="shared" si="77"/>
        <v>1000</v>
      </c>
      <c r="AI1865" s="431"/>
      <c r="AJ1865" s="431"/>
      <c r="AK1865" s="431"/>
      <c r="AL1865" s="431"/>
      <c r="AM1865" s="431"/>
      <c r="AN1865" s="431"/>
      <c r="AO1865" s="431"/>
      <c r="AP1865" s="431"/>
      <c r="AQ1865" s="431"/>
      <c r="AR1865" s="431"/>
      <c r="AS1865" s="431"/>
      <c r="AT1865" s="431"/>
      <c r="AU1865" s="431"/>
      <c r="AV1865" s="431"/>
      <c r="AW1865" s="431"/>
      <c r="AX1865" s="431"/>
      <c r="AY1865" s="431"/>
      <c r="AZ1865" s="431"/>
      <c r="BA1865" s="431"/>
      <c r="BB1865" s="431"/>
      <c r="BC1865" s="431"/>
      <c r="BD1865" s="431"/>
      <c r="BE1865" s="431"/>
      <c r="BF1865" s="431"/>
      <c r="BG1865" s="431"/>
      <c r="BH1865" s="431"/>
      <c r="BI1865" s="431"/>
      <c r="BJ1865" s="431"/>
      <c r="BK1865" s="431"/>
      <c r="BL1865" s="431"/>
      <c r="BM1865" s="431"/>
      <c r="BN1865" s="431"/>
      <c r="BO1865" s="431"/>
      <c r="BP1865" s="431"/>
      <c r="BQ1865" s="431"/>
      <c r="BR1865" s="431"/>
      <c r="BS1865" s="431"/>
      <c r="BT1865" s="431"/>
      <c r="BU1865" s="431"/>
      <c r="BV1865" s="431"/>
      <c r="BW1865" s="431"/>
      <c r="BX1865" s="431"/>
      <c r="BY1865" s="431"/>
      <c r="BZ1865" s="431"/>
      <c r="CA1865" s="431"/>
      <c r="CB1865" s="431"/>
      <c r="CC1865" s="431"/>
      <c r="CD1865" s="431"/>
      <c r="CE1865" s="431"/>
      <c r="CF1865" s="431"/>
      <c r="CG1865" s="431"/>
      <c r="CH1865" s="431"/>
      <c r="CI1865" s="431"/>
      <c r="CJ1865" s="431"/>
      <c r="CK1865" s="431"/>
      <c r="CL1865" s="431"/>
      <c r="CM1865" s="431"/>
      <c r="CN1865" s="431"/>
      <c r="CO1865" s="431"/>
      <c r="CP1865" s="431"/>
      <c r="CQ1865" s="431"/>
      <c r="CR1865" s="431"/>
      <c r="CS1865" s="431"/>
      <c r="CT1865" s="431"/>
      <c r="CU1865" s="431"/>
      <c r="CV1865" s="431"/>
      <c r="CW1865" s="431"/>
      <c r="CX1865" s="431"/>
      <c r="CY1865" s="431"/>
      <c r="CZ1865" s="431"/>
      <c r="DA1865" s="431"/>
      <c r="DB1865" s="431"/>
      <c r="DC1865" s="431"/>
      <c r="DD1865" s="431"/>
      <c r="DE1865" s="431"/>
      <c r="DF1865" s="431"/>
      <c r="DG1865" s="431"/>
      <c r="DH1865" s="431"/>
      <c r="DI1865" s="431"/>
      <c r="DJ1865" s="431"/>
      <c r="DK1865" s="431"/>
      <c r="DL1865" s="431"/>
      <c r="DM1865" s="431"/>
      <c r="DN1865" s="431"/>
      <c r="DO1865" s="431"/>
      <c r="DP1865" s="431"/>
      <c r="DQ1865" s="431"/>
      <c r="DR1865" s="431"/>
      <c r="DS1865" s="431"/>
      <c r="DT1865" s="431"/>
      <c r="DU1865" s="431"/>
      <c r="DV1865" s="431"/>
      <c r="DW1865" s="431"/>
      <c r="DX1865" s="431"/>
      <c r="DY1865" s="431"/>
      <c r="DZ1865" s="431"/>
      <c r="EA1865" s="431"/>
      <c r="EB1865" s="431"/>
      <c r="EC1865" s="431"/>
      <c r="ED1865" s="431"/>
      <c r="EE1865" s="431"/>
      <c r="EF1865" s="431"/>
      <c r="EG1865" s="431"/>
      <c r="EH1865" s="431"/>
      <c r="EI1865" s="431"/>
      <c r="EJ1865" s="431"/>
      <c r="EK1865" s="431"/>
      <c r="EL1865" s="431"/>
      <c r="EM1865" s="431"/>
      <c r="EN1865" s="431"/>
      <c r="EO1865" s="431"/>
      <c r="EP1865" s="431"/>
      <c r="EQ1865" s="431"/>
      <c r="ER1865" s="431"/>
      <c r="ES1865" s="431"/>
    </row>
    <row r="1866" spans="1:149" x14ac:dyDescent="0.3">
      <c r="A1866" s="428">
        <v>903888</v>
      </c>
      <c r="B1866" s="433">
        <v>27.5</v>
      </c>
      <c r="C1866" s="433">
        <v>11.88</v>
      </c>
      <c r="D1866" s="433">
        <v>8.44</v>
      </c>
      <c r="E1866" s="1554">
        <v>0.82899999999999996</v>
      </c>
      <c r="F1866" s="562">
        <v>606.70000000000005</v>
      </c>
      <c r="G1866" s="433"/>
      <c r="H1866" s="433">
        <v>85.4</v>
      </c>
      <c r="I1866" s="433">
        <v>350</v>
      </c>
      <c r="J1866" s="433">
        <v>0.59499999999999997</v>
      </c>
      <c r="K1866" s="433">
        <v>10.28</v>
      </c>
      <c r="L1866" s="433">
        <v>1330</v>
      </c>
      <c r="M1866" s="433">
        <v>2.06</v>
      </c>
      <c r="N1866" s="433">
        <v>1.28</v>
      </c>
      <c r="O1866" s="433">
        <v>2.68</v>
      </c>
      <c r="P1866" s="433">
        <v>8.4</v>
      </c>
      <c r="Q1866" s="433"/>
      <c r="R1866" s="427">
        <v>1.0634455163053755</v>
      </c>
      <c r="S1866" s="433">
        <v>7.4</v>
      </c>
      <c r="T1866" s="564"/>
      <c r="U1866" s="565"/>
      <c r="Y1866" s="67">
        <v>35.4</v>
      </c>
      <c r="Z1866" s="433"/>
      <c r="AA1866" s="68">
        <v>4.2699999999999996</v>
      </c>
      <c r="AB1866" s="68">
        <v>0.85499999999999998</v>
      </c>
      <c r="AC1866" s="69">
        <v>8.4</v>
      </c>
      <c r="AD1866" s="563">
        <v>590</v>
      </c>
      <c r="AE1866" s="433">
        <v>240</v>
      </c>
      <c r="AF1866" s="433">
        <v>170</v>
      </c>
      <c r="AG1866" s="66">
        <f t="shared" si="76"/>
        <v>102.8</v>
      </c>
      <c r="AH1866" s="143">
        <f t="shared" si="77"/>
        <v>1000</v>
      </c>
      <c r="AI1866" s="431"/>
      <c r="AJ1866" s="431"/>
      <c r="AK1866" s="431"/>
      <c r="AL1866" s="431"/>
      <c r="AM1866" s="431"/>
      <c r="AN1866" s="431"/>
      <c r="AO1866" s="431"/>
      <c r="AP1866" s="431"/>
      <c r="AQ1866" s="431"/>
      <c r="AR1866" s="431"/>
      <c r="AS1866" s="431"/>
      <c r="AT1866" s="431"/>
      <c r="AU1866" s="431"/>
      <c r="AV1866" s="431"/>
      <c r="AW1866" s="431"/>
      <c r="AX1866" s="431"/>
      <c r="AY1866" s="431"/>
      <c r="AZ1866" s="431"/>
      <c r="BA1866" s="431"/>
      <c r="BB1866" s="431"/>
      <c r="BC1866" s="431"/>
      <c r="BD1866" s="431"/>
      <c r="BE1866" s="431"/>
      <c r="BF1866" s="431"/>
      <c r="BG1866" s="431"/>
      <c r="BH1866" s="431"/>
      <c r="BI1866" s="431"/>
      <c r="BJ1866" s="431"/>
      <c r="BK1866" s="431"/>
      <c r="BL1866" s="431"/>
      <c r="BM1866" s="431"/>
      <c r="BN1866" s="431"/>
      <c r="BO1866" s="431"/>
      <c r="BP1866" s="431"/>
      <c r="BQ1866" s="431"/>
      <c r="BR1866" s="431"/>
      <c r="BS1866" s="431"/>
      <c r="BT1866" s="431"/>
      <c r="BU1866" s="431"/>
      <c r="BV1866" s="431"/>
      <c r="BW1866" s="431"/>
      <c r="BX1866" s="431"/>
      <c r="BY1866" s="431"/>
      <c r="BZ1866" s="431"/>
      <c r="CA1866" s="431"/>
      <c r="CB1866" s="431"/>
      <c r="CC1866" s="431"/>
      <c r="CD1866" s="431"/>
      <c r="CE1866" s="431"/>
      <c r="CF1866" s="431"/>
      <c r="CG1866" s="431"/>
      <c r="CH1866" s="431"/>
      <c r="CI1866" s="431"/>
      <c r="CJ1866" s="431"/>
      <c r="CK1866" s="431"/>
      <c r="CL1866" s="431"/>
      <c r="CM1866" s="431"/>
      <c r="CN1866" s="431"/>
      <c r="CO1866" s="431"/>
      <c r="CP1866" s="431"/>
      <c r="CQ1866" s="431"/>
      <c r="CR1866" s="431"/>
      <c r="CS1866" s="431"/>
      <c r="CT1866" s="431"/>
      <c r="CU1866" s="431"/>
      <c r="CV1866" s="431"/>
      <c r="CW1866" s="431"/>
      <c r="CX1866" s="431"/>
      <c r="CY1866" s="431"/>
      <c r="CZ1866" s="431"/>
      <c r="DA1866" s="431"/>
      <c r="DB1866" s="431"/>
      <c r="DC1866" s="431"/>
      <c r="DD1866" s="431"/>
      <c r="DE1866" s="431"/>
      <c r="DF1866" s="431"/>
      <c r="DG1866" s="431"/>
      <c r="DH1866" s="431"/>
      <c r="DI1866" s="431"/>
      <c r="DJ1866" s="431"/>
      <c r="DK1866" s="431"/>
      <c r="DL1866" s="431"/>
      <c r="DM1866" s="431"/>
      <c r="DN1866" s="431"/>
      <c r="DO1866" s="431"/>
      <c r="DP1866" s="431"/>
      <c r="DQ1866" s="431"/>
      <c r="DR1866" s="431"/>
      <c r="DS1866" s="431"/>
      <c r="DT1866" s="431"/>
      <c r="DU1866" s="431"/>
      <c r="DV1866" s="431"/>
      <c r="DW1866" s="431"/>
      <c r="DX1866" s="431"/>
      <c r="DY1866" s="431"/>
      <c r="DZ1866" s="431"/>
      <c r="EA1866" s="431"/>
      <c r="EB1866" s="431"/>
      <c r="EC1866" s="431"/>
      <c r="ED1866" s="431"/>
      <c r="EE1866" s="431"/>
      <c r="EF1866" s="431"/>
      <c r="EG1866" s="431"/>
      <c r="EH1866" s="431"/>
      <c r="EI1866" s="431"/>
      <c r="EJ1866" s="431"/>
      <c r="EK1866" s="431"/>
      <c r="EL1866" s="431"/>
      <c r="EM1866" s="431"/>
      <c r="EN1866" s="431"/>
      <c r="EO1866" s="431"/>
      <c r="EP1866" s="431"/>
      <c r="EQ1866" s="431"/>
      <c r="ER1866" s="431"/>
      <c r="ES1866" s="431"/>
    </row>
    <row r="1867" spans="1:149" x14ac:dyDescent="0.3">
      <c r="A1867" s="428">
        <v>903889</v>
      </c>
      <c r="B1867" s="433">
        <v>5.0999999999999996</v>
      </c>
      <c r="C1867" s="433"/>
      <c r="D1867" s="433">
        <v>8.4600000000000009</v>
      </c>
      <c r="E1867" s="1554">
        <v>3.3</v>
      </c>
      <c r="F1867" s="562">
        <v>869.3</v>
      </c>
      <c r="G1867" s="433"/>
      <c r="H1867" s="433">
        <v>18.350000000000001</v>
      </c>
      <c r="I1867" s="433">
        <v>290</v>
      </c>
      <c r="J1867" s="433">
        <v>1.0669999999999999</v>
      </c>
      <c r="K1867" s="563">
        <v>16.89</v>
      </c>
      <c r="L1867" s="433">
        <v>860</v>
      </c>
      <c r="M1867" s="433">
        <v>0.21</v>
      </c>
      <c r="N1867" s="433">
        <v>0.43</v>
      </c>
      <c r="O1867" s="433">
        <v>0.83</v>
      </c>
      <c r="P1867" s="433">
        <v>1.62</v>
      </c>
      <c r="Q1867" s="433"/>
      <c r="R1867" s="427">
        <v>0.52967209696287798</v>
      </c>
      <c r="S1867" s="433">
        <v>3.7</v>
      </c>
      <c r="T1867" s="564"/>
      <c r="U1867" s="565"/>
      <c r="Y1867" s="67">
        <v>12</v>
      </c>
      <c r="Z1867" s="433"/>
      <c r="AA1867" s="68">
        <v>4.6900000000000004</v>
      </c>
      <c r="AB1867" s="68">
        <v>0.45100000000000001</v>
      </c>
      <c r="AC1867" s="69">
        <v>7.2</v>
      </c>
      <c r="AD1867" s="563">
        <v>200</v>
      </c>
      <c r="AE1867" s="433">
        <v>120</v>
      </c>
      <c r="AF1867" s="433">
        <v>680</v>
      </c>
      <c r="AG1867" s="66">
        <f t="shared" si="76"/>
        <v>498.25500000000005</v>
      </c>
      <c r="AH1867" s="143">
        <f t="shared" si="77"/>
        <v>1000</v>
      </c>
      <c r="AI1867" s="431"/>
      <c r="AJ1867" s="431"/>
      <c r="AK1867" s="431"/>
      <c r="AL1867" s="431"/>
      <c r="AM1867" s="431"/>
      <c r="AN1867" s="431"/>
      <c r="AO1867" s="431"/>
      <c r="AP1867" s="431"/>
      <c r="AQ1867" s="431"/>
      <c r="AR1867" s="431"/>
      <c r="AS1867" s="431"/>
      <c r="AT1867" s="431"/>
      <c r="AU1867" s="431"/>
      <c r="AV1867" s="431"/>
      <c r="AW1867" s="431"/>
      <c r="AX1867" s="431"/>
      <c r="AY1867" s="431"/>
      <c r="AZ1867" s="431"/>
      <c r="BA1867" s="431"/>
      <c r="BB1867" s="431"/>
      <c r="BC1867" s="431"/>
      <c r="BD1867" s="431"/>
      <c r="BE1867" s="431"/>
      <c r="BF1867" s="431"/>
      <c r="BG1867" s="431"/>
      <c r="BH1867" s="431"/>
      <c r="BI1867" s="431"/>
      <c r="BJ1867" s="431"/>
      <c r="BK1867" s="431"/>
      <c r="BL1867" s="431"/>
      <c r="BM1867" s="431"/>
      <c r="BN1867" s="431"/>
      <c r="BO1867" s="431"/>
      <c r="BP1867" s="431"/>
      <c r="BQ1867" s="431"/>
      <c r="BR1867" s="431"/>
      <c r="BS1867" s="431"/>
      <c r="BT1867" s="431"/>
      <c r="BU1867" s="431"/>
      <c r="BV1867" s="431"/>
      <c r="BW1867" s="431"/>
      <c r="BX1867" s="431"/>
      <c r="BY1867" s="431"/>
      <c r="BZ1867" s="431"/>
      <c r="CA1867" s="431"/>
      <c r="CB1867" s="431"/>
      <c r="CC1867" s="431"/>
      <c r="CD1867" s="431"/>
      <c r="CE1867" s="431"/>
      <c r="CF1867" s="431"/>
      <c r="CG1867" s="431"/>
      <c r="CH1867" s="431"/>
      <c r="CI1867" s="431"/>
      <c r="CJ1867" s="431"/>
      <c r="CK1867" s="431"/>
      <c r="CL1867" s="431"/>
      <c r="CM1867" s="431"/>
      <c r="CN1867" s="431"/>
      <c r="CO1867" s="431"/>
      <c r="CP1867" s="431"/>
      <c r="CQ1867" s="431"/>
      <c r="CR1867" s="431"/>
      <c r="CS1867" s="431"/>
      <c r="CT1867" s="431"/>
      <c r="CU1867" s="431"/>
      <c r="CV1867" s="431"/>
      <c r="CW1867" s="431"/>
      <c r="CX1867" s="431"/>
      <c r="CY1867" s="431"/>
      <c r="CZ1867" s="431"/>
      <c r="DA1867" s="431"/>
      <c r="DB1867" s="431"/>
      <c r="DC1867" s="431"/>
      <c r="DD1867" s="431"/>
      <c r="DE1867" s="431"/>
      <c r="DF1867" s="431"/>
      <c r="DG1867" s="431"/>
      <c r="DH1867" s="431"/>
      <c r="DI1867" s="431"/>
      <c r="DJ1867" s="431"/>
      <c r="DK1867" s="431"/>
      <c r="DL1867" s="431"/>
      <c r="DM1867" s="431"/>
      <c r="DN1867" s="431"/>
      <c r="DO1867" s="431"/>
      <c r="DP1867" s="431"/>
      <c r="DQ1867" s="431"/>
      <c r="DR1867" s="431"/>
      <c r="DS1867" s="431"/>
      <c r="DT1867" s="431"/>
      <c r="DU1867" s="431"/>
      <c r="DV1867" s="431"/>
      <c r="DW1867" s="431"/>
      <c r="DX1867" s="431"/>
      <c r="DY1867" s="431"/>
      <c r="DZ1867" s="431"/>
      <c r="EA1867" s="431"/>
      <c r="EB1867" s="431"/>
      <c r="EC1867" s="431"/>
      <c r="ED1867" s="431"/>
      <c r="EE1867" s="431"/>
      <c r="EF1867" s="431"/>
      <c r="EG1867" s="431"/>
      <c r="EH1867" s="431"/>
      <c r="EI1867" s="431"/>
      <c r="EJ1867" s="431"/>
      <c r="EK1867" s="431"/>
      <c r="EL1867" s="431"/>
      <c r="EM1867" s="431"/>
      <c r="EN1867" s="431"/>
      <c r="EO1867" s="431"/>
      <c r="EP1867" s="431"/>
      <c r="EQ1867" s="431"/>
      <c r="ER1867" s="431"/>
      <c r="ES1867" s="431"/>
    </row>
    <row r="1868" spans="1:149" x14ac:dyDescent="0.3">
      <c r="A1868" s="428">
        <v>903890</v>
      </c>
      <c r="B1868" s="433">
        <v>4.4000000000000004</v>
      </c>
      <c r="C1868" s="433"/>
      <c r="D1868" s="433">
        <v>8.2799999999999994</v>
      </c>
      <c r="E1868" s="1554">
        <v>3.33</v>
      </c>
      <c r="F1868" s="562">
        <v>1054.7</v>
      </c>
      <c r="G1868" s="433"/>
      <c r="H1868" s="433">
        <v>188.25</v>
      </c>
      <c r="I1868" s="433">
        <v>390</v>
      </c>
      <c r="J1868" s="433">
        <v>1.218</v>
      </c>
      <c r="K1868" s="563">
        <v>13.56</v>
      </c>
      <c r="L1868" s="433">
        <v>930</v>
      </c>
      <c r="M1868" s="433">
        <v>0.71</v>
      </c>
      <c r="N1868" s="433">
        <v>0.43</v>
      </c>
      <c r="O1868" s="433">
        <v>2.62</v>
      </c>
      <c r="P1868" s="433">
        <v>2.59</v>
      </c>
      <c r="Q1868" s="433"/>
      <c r="R1868" s="427">
        <v>0.50710409614176832</v>
      </c>
      <c r="S1868" s="433">
        <v>3.6</v>
      </c>
      <c r="T1868" s="564"/>
      <c r="U1868" s="565"/>
      <c r="Y1868" s="67">
        <v>12.6</v>
      </c>
      <c r="Z1868" s="433"/>
      <c r="AA1868" s="68">
        <v>4.2300000000000004</v>
      </c>
      <c r="AB1868" s="68">
        <v>0.68600000000000005</v>
      </c>
      <c r="AC1868" s="69">
        <v>9.6</v>
      </c>
      <c r="AD1868" s="563">
        <v>210</v>
      </c>
      <c r="AE1868" s="433">
        <v>90</v>
      </c>
      <c r="AF1868" s="433">
        <v>700</v>
      </c>
      <c r="AG1868" s="66">
        <f t="shared" si="76"/>
        <v>380.97142857142859</v>
      </c>
      <c r="AH1868" s="143">
        <f t="shared" si="77"/>
        <v>1000</v>
      </c>
      <c r="AI1868" s="431"/>
      <c r="AJ1868" s="431"/>
      <c r="AK1868" s="431"/>
      <c r="AL1868" s="431"/>
      <c r="AM1868" s="431"/>
      <c r="AN1868" s="431"/>
      <c r="AO1868" s="431"/>
      <c r="AP1868" s="431"/>
      <c r="AQ1868" s="431"/>
      <c r="AR1868" s="431"/>
      <c r="AS1868" s="431"/>
      <c r="AT1868" s="431"/>
      <c r="AU1868" s="431"/>
      <c r="AV1868" s="431"/>
      <c r="AW1868" s="431"/>
      <c r="AX1868" s="431"/>
      <c r="AY1868" s="431"/>
      <c r="AZ1868" s="431"/>
      <c r="BA1868" s="431"/>
      <c r="BB1868" s="431"/>
      <c r="BC1868" s="431"/>
      <c r="BD1868" s="431"/>
      <c r="BE1868" s="431"/>
      <c r="BF1868" s="431"/>
      <c r="BG1868" s="431"/>
      <c r="BH1868" s="431"/>
      <c r="BI1868" s="431"/>
      <c r="BJ1868" s="431"/>
      <c r="BK1868" s="431"/>
      <c r="BL1868" s="431"/>
      <c r="BM1868" s="431"/>
      <c r="BN1868" s="431"/>
      <c r="BO1868" s="431"/>
      <c r="BP1868" s="431"/>
      <c r="BQ1868" s="431"/>
      <c r="BR1868" s="431"/>
      <c r="BS1868" s="431"/>
      <c r="BT1868" s="431"/>
      <c r="BU1868" s="431"/>
      <c r="BV1868" s="431"/>
      <c r="BW1868" s="431"/>
      <c r="BX1868" s="431"/>
      <c r="BY1868" s="431"/>
      <c r="BZ1868" s="431"/>
      <c r="CA1868" s="431"/>
      <c r="CB1868" s="431"/>
      <c r="CC1868" s="431"/>
      <c r="CD1868" s="431"/>
      <c r="CE1868" s="431"/>
      <c r="CF1868" s="431"/>
      <c r="CG1868" s="431"/>
      <c r="CH1868" s="431"/>
      <c r="CI1868" s="431"/>
      <c r="CJ1868" s="431"/>
      <c r="CK1868" s="431"/>
      <c r="CL1868" s="431"/>
      <c r="CM1868" s="431"/>
      <c r="CN1868" s="431"/>
      <c r="CO1868" s="431"/>
      <c r="CP1868" s="431"/>
      <c r="CQ1868" s="431"/>
      <c r="CR1868" s="431"/>
      <c r="CS1868" s="431"/>
      <c r="CT1868" s="431"/>
      <c r="CU1868" s="431"/>
      <c r="CV1868" s="431"/>
      <c r="CW1868" s="431"/>
      <c r="CX1868" s="431"/>
      <c r="CY1868" s="431"/>
      <c r="CZ1868" s="431"/>
      <c r="DA1868" s="431"/>
      <c r="DB1868" s="431"/>
      <c r="DC1868" s="431"/>
      <c r="DD1868" s="431"/>
      <c r="DE1868" s="431"/>
      <c r="DF1868" s="431"/>
      <c r="DG1868" s="431"/>
      <c r="DH1868" s="431"/>
      <c r="DI1868" s="431"/>
      <c r="DJ1868" s="431"/>
      <c r="DK1868" s="431"/>
      <c r="DL1868" s="431"/>
      <c r="DM1868" s="431"/>
      <c r="DN1868" s="431"/>
      <c r="DO1868" s="431"/>
      <c r="DP1868" s="431"/>
      <c r="DQ1868" s="431"/>
      <c r="DR1868" s="431"/>
      <c r="DS1868" s="431"/>
      <c r="DT1868" s="431"/>
      <c r="DU1868" s="431"/>
      <c r="DV1868" s="431"/>
      <c r="DW1868" s="431"/>
      <c r="DX1868" s="431"/>
      <c r="DY1868" s="431"/>
      <c r="DZ1868" s="431"/>
      <c r="EA1868" s="431"/>
      <c r="EB1868" s="431"/>
      <c r="EC1868" s="431"/>
      <c r="ED1868" s="431"/>
      <c r="EE1868" s="431"/>
      <c r="EF1868" s="431"/>
      <c r="EG1868" s="431"/>
      <c r="EH1868" s="431"/>
      <c r="EI1868" s="431"/>
      <c r="EJ1868" s="431"/>
      <c r="EK1868" s="431"/>
      <c r="EL1868" s="431"/>
      <c r="EM1868" s="431"/>
      <c r="EN1868" s="431"/>
      <c r="EO1868" s="431"/>
      <c r="EP1868" s="431"/>
      <c r="EQ1868" s="431"/>
      <c r="ER1868" s="431"/>
      <c r="ES1868" s="431"/>
    </row>
    <row r="1869" spans="1:149" x14ac:dyDescent="0.3">
      <c r="A1869" s="428">
        <v>903891</v>
      </c>
      <c r="B1869" s="433">
        <v>4.8</v>
      </c>
      <c r="C1869" s="433"/>
      <c r="D1869" s="433">
        <v>8.36</v>
      </c>
      <c r="E1869" s="1554">
        <v>3.06</v>
      </c>
      <c r="F1869" s="562">
        <v>673.9</v>
      </c>
      <c r="G1869" s="433"/>
      <c r="H1869" s="433">
        <v>106.13</v>
      </c>
      <c r="I1869" s="433">
        <v>260</v>
      </c>
      <c r="J1869" s="433">
        <v>0.81699999999999995</v>
      </c>
      <c r="K1869" s="563">
        <v>15.17</v>
      </c>
      <c r="L1869" s="433">
        <v>1050</v>
      </c>
      <c r="M1869" s="433">
        <v>0.86</v>
      </c>
      <c r="N1869" s="433">
        <v>0.4</v>
      </c>
      <c r="O1869" s="433">
        <v>1.78</v>
      </c>
      <c r="P1869" s="433">
        <v>2.5299999999999998</v>
      </c>
      <c r="Q1869" s="433"/>
      <c r="R1869" s="427">
        <v>0.71069509215309579</v>
      </c>
      <c r="S1869" s="433">
        <v>4.8</v>
      </c>
      <c r="T1869" s="564"/>
      <c r="U1869" s="565"/>
      <c r="Y1869" s="67">
        <v>13.2</v>
      </c>
      <c r="Z1869" s="433"/>
      <c r="AA1869" s="68">
        <v>4.49</v>
      </c>
      <c r="AB1869" s="68">
        <v>0.39300000000000002</v>
      </c>
      <c r="AC1869" s="69">
        <v>8.6999999999999993</v>
      </c>
      <c r="AD1869" s="563">
        <v>220</v>
      </c>
      <c r="AE1869" s="433">
        <v>90</v>
      </c>
      <c r="AF1869" s="433">
        <v>690</v>
      </c>
      <c r="AG1869" s="66">
        <f t="shared" si="76"/>
        <v>406.83181818181822</v>
      </c>
      <c r="AH1869" s="143">
        <f t="shared" si="77"/>
        <v>1000</v>
      </c>
      <c r="AI1869" s="431"/>
      <c r="AJ1869" s="431"/>
      <c r="AK1869" s="431"/>
      <c r="AL1869" s="431"/>
      <c r="AM1869" s="431"/>
      <c r="AN1869" s="431"/>
      <c r="AO1869" s="431"/>
      <c r="AP1869" s="431"/>
      <c r="AQ1869" s="431"/>
      <c r="AR1869" s="431"/>
      <c r="AS1869" s="431"/>
      <c r="AT1869" s="431"/>
      <c r="AU1869" s="431"/>
      <c r="AV1869" s="431"/>
      <c r="AW1869" s="431"/>
      <c r="AX1869" s="431"/>
      <c r="AY1869" s="431"/>
      <c r="AZ1869" s="431"/>
      <c r="BA1869" s="431"/>
      <c r="BB1869" s="431"/>
      <c r="BC1869" s="431"/>
      <c r="BD1869" s="431"/>
      <c r="BE1869" s="431"/>
      <c r="BF1869" s="431"/>
      <c r="BG1869" s="431"/>
      <c r="BH1869" s="431"/>
      <c r="BI1869" s="431"/>
      <c r="BJ1869" s="431"/>
      <c r="BK1869" s="431"/>
      <c r="BL1869" s="431"/>
      <c r="BM1869" s="431"/>
      <c r="BN1869" s="431"/>
      <c r="BO1869" s="431"/>
      <c r="BP1869" s="431"/>
      <c r="BQ1869" s="431"/>
      <c r="BR1869" s="431"/>
      <c r="BS1869" s="431"/>
      <c r="BT1869" s="431"/>
      <c r="BU1869" s="431"/>
      <c r="BV1869" s="431"/>
      <c r="BW1869" s="431"/>
      <c r="BX1869" s="431"/>
      <c r="BY1869" s="431"/>
      <c r="BZ1869" s="431"/>
      <c r="CA1869" s="431"/>
      <c r="CB1869" s="431"/>
      <c r="CC1869" s="431"/>
      <c r="CD1869" s="431"/>
      <c r="CE1869" s="431"/>
      <c r="CF1869" s="431"/>
      <c r="CG1869" s="431"/>
      <c r="CH1869" s="431"/>
      <c r="CI1869" s="431"/>
      <c r="CJ1869" s="431"/>
      <c r="CK1869" s="431"/>
      <c r="CL1869" s="431"/>
      <c r="CM1869" s="431"/>
      <c r="CN1869" s="431"/>
      <c r="CO1869" s="431"/>
      <c r="CP1869" s="431"/>
      <c r="CQ1869" s="431"/>
      <c r="CR1869" s="431"/>
      <c r="CS1869" s="431"/>
      <c r="CT1869" s="431"/>
      <c r="CU1869" s="431"/>
      <c r="CV1869" s="431"/>
      <c r="CW1869" s="431"/>
      <c r="CX1869" s="431"/>
      <c r="CY1869" s="431"/>
      <c r="CZ1869" s="431"/>
      <c r="DA1869" s="431"/>
      <c r="DB1869" s="431"/>
      <c r="DC1869" s="431"/>
      <c r="DD1869" s="431"/>
      <c r="DE1869" s="431"/>
      <c r="DF1869" s="431"/>
      <c r="DG1869" s="431"/>
      <c r="DH1869" s="431"/>
      <c r="DI1869" s="431"/>
      <c r="DJ1869" s="431"/>
      <c r="DK1869" s="431"/>
      <c r="DL1869" s="431"/>
      <c r="DM1869" s="431"/>
      <c r="DN1869" s="431"/>
      <c r="DO1869" s="431"/>
      <c r="DP1869" s="431"/>
      <c r="DQ1869" s="431"/>
      <c r="DR1869" s="431"/>
      <c r="DS1869" s="431"/>
      <c r="DT1869" s="431"/>
      <c r="DU1869" s="431"/>
      <c r="DV1869" s="431"/>
      <c r="DW1869" s="431"/>
      <c r="DX1869" s="431"/>
      <c r="DY1869" s="431"/>
      <c r="DZ1869" s="431"/>
      <c r="EA1869" s="431"/>
      <c r="EB1869" s="431"/>
      <c r="EC1869" s="431"/>
      <c r="ED1869" s="431"/>
      <c r="EE1869" s="431"/>
      <c r="EF1869" s="431"/>
      <c r="EG1869" s="431"/>
      <c r="EH1869" s="431"/>
      <c r="EI1869" s="431"/>
      <c r="EJ1869" s="431"/>
      <c r="EK1869" s="431"/>
      <c r="EL1869" s="431"/>
      <c r="EM1869" s="431"/>
      <c r="EN1869" s="431"/>
      <c r="EO1869" s="431"/>
      <c r="EP1869" s="431"/>
      <c r="EQ1869" s="431"/>
      <c r="ER1869" s="431"/>
      <c r="ES1869" s="431"/>
    </row>
    <row r="1870" spans="1:149" x14ac:dyDescent="0.3">
      <c r="A1870" s="428">
        <v>903892</v>
      </c>
      <c r="B1870" s="433">
        <v>7.5</v>
      </c>
      <c r="C1870" s="433"/>
      <c r="D1870" s="433">
        <v>8.3000000000000007</v>
      </c>
      <c r="E1870" s="1554">
        <v>3.67</v>
      </c>
      <c r="F1870" s="562">
        <v>1015.8</v>
      </c>
      <c r="G1870" s="433"/>
      <c r="H1870" s="433">
        <v>17.46</v>
      </c>
      <c r="I1870" s="433">
        <v>330</v>
      </c>
      <c r="J1870" s="433">
        <v>1.159</v>
      </c>
      <c r="K1870" s="563">
        <v>18.64</v>
      </c>
      <c r="L1870" s="433">
        <v>1680</v>
      </c>
      <c r="M1870" s="433">
        <v>0.28000000000000003</v>
      </c>
      <c r="N1870" s="433">
        <v>0.48</v>
      </c>
      <c r="O1870" s="433">
        <v>1.02</v>
      </c>
      <c r="P1870" s="433">
        <v>3.88</v>
      </c>
      <c r="Q1870" s="433"/>
      <c r="R1870" s="427">
        <v>1.1312597720468438</v>
      </c>
      <c r="S1870" s="433">
        <v>7.4</v>
      </c>
      <c r="T1870" s="564"/>
      <c r="U1870" s="565"/>
      <c r="Y1870" s="67">
        <v>31</v>
      </c>
      <c r="Z1870" s="433"/>
      <c r="AA1870" s="68">
        <v>3.78</v>
      </c>
      <c r="AB1870" s="68">
        <v>0.75600000000000001</v>
      </c>
      <c r="AC1870" s="69">
        <v>11.3</v>
      </c>
      <c r="AD1870" s="563">
        <v>620</v>
      </c>
      <c r="AE1870" s="433">
        <v>240</v>
      </c>
      <c r="AF1870" s="433">
        <v>140</v>
      </c>
      <c r="AG1870" s="66">
        <f t="shared" si="76"/>
        <v>212.8567741935484</v>
      </c>
      <c r="AH1870" s="143">
        <f t="shared" si="77"/>
        <v>1000</v>
      </c>
      <c r="AI1870" s="431"/>
      <c r="AJ1870" s="431"/>
      <c r="AK1870" s="431"/>
      <c r="AL1870" s="431"/>
      <c r="AM1870" s="431"/>
      <c r="AN1870" s="431"/>
      <c r="AO1870" s="431"/>
      <c r="AP1870" s="431"/>
      <c r="AQ1870" s="431"/>
      <c r="AR1870" s="431"/>
      <c r="AS1870" s="431"/>
      <c r="AT1870" s="431"/>
      <c r="AU1870" s="431"/>
      <c r="AV1870" s="431"/>
      <c r="AW1870" s="431"/>
      <c r="AX1870" s="431"/>
      <c r="AY1870" s="431"/>
      <c r="AZ1870" s="431"/>
      <c r="BA1870" s="431"/>
      <c r="BB1870" s="431"/>
      <c r="BC1870" s="431"/>
      <c r="BD1870" s="431"/>
      <c r="BE1870" s="431"/>
      <c r="BF1870" s="431"/>
      <c r="BG1870" s="431"/>
      <c r="BH1870" s="431"/>
      <c r="BI1870" s="431"/>
      <c r="BJ1870" s="431"/>
      <c r="BK1870" s="431"/>
      <c r="BL1870" s="431"/>
      <c r="BM1870" s="431"/>
      <c r="BN1870" s="431"/>
      <c r="BO1870" s="431"/>
      <c r="BP1870" s="431"/>
      <c r="BQ1870" s="431"/>
      <c r="BR1870" s="431"/>
      <c r="BS1870" s="431"/>
      <c r="BT1870" s="431"/>
      <c r="BU1870" s="431"/>
      <c r="BV1870" s="431"/>
      <c r="BW1870" s="431"/>
      <c r="BX1870" s="431"/>
      <c r="BY1870" s="431"/>
      <c r="BZ1870" s="431"/>
      <c r="CA1870" s="431"/>
      <c r="CB1870" s="431"/>
      <c r="CC1870" s="431"/>
      <c r="CD1870" s="431"/>
      <c r="CE1870" s="431"/>
      <c r="CF1870" s="431"/>
      <c r="CG1870" s="431"/>
      <c r="CH1870" s="431"/>
      <c r="CI1870" s="431"/>
      <c r="CJ1870" s="431"/>
      <c r="CK1870" s="431"/>
      <c r="CL1870" s="431"/>
      <c r="CM1870" s="431"/>
      <c r="CN1870" s="431"/>
      <c r="CO1870" s="431"/>
      <c r="CP1870" s="431"/>
      <c r="CQ1870" s="431"/>
      <c r="CR1870" s="431"/>
      <c r="CS1870" s="431"/>
      <c r="CT1870" s="431"/>
      <c r="CU1870" s="431"/>
      <c r="CV1870" s="431"/>
      <c r="CW1870" s="431"/>
      <c r="CX1870" s="431"/>
      <c r="CY1870" s="431"/>
      <c r="CZ1870" s="431"/>
      <c r="DA1870" s="431"/>
      <c r="DB1870" s="431"/>
      <c r="DC1870" s="431"/>
      <c r="DD1870" s="431"/>
      <c r="DE1870" s="431"/>
      <c r="DF1870" s="431"/>
      <c r="DG1870" s="431"/>
      <c r="DH1870" s="431"/>
      <c r="DI1870" s="431"/>
      <c r="DJ1870" s="431"/>
      <c r="DK1870" s="431"/>
      <c r="DL1870" s="431"/>
      <c r="DM1870" s="431"/>
      <c r="DN1870" s="431"/>
      <c r="DO1870" s="431"/>
      <c r="DP1870" s="431"/>
      <c r="DQ1870" s="431"/>
      <c r="DR1870" s="431"/>
      <c r="DS1870" s="431"/>
      <c r="DT1870" s="431"/>
      <c r="DU1870" s="431"/>
      <c r="DV1870" s="431"/>
      <c r="DW1870" s="431"/>
      <c r="DX1870" s="431"/>
      <c r="DY1870" s="431"/>
      <c r="DZ1870" s="431"/>
      <c r="EA1870" s="431"/>
      <c r="EB1870" s="431"/>
      <c r="EC1870" s="431"/>
      <c r="ED1870" s="431"/>
      <c r="EE1870" s="431"/>
      <c r="EF1870" s="431"/>
      <c r="EG1870" s="431"/>
      <c r="EH1870" s="431"/>
      <c r="EI1870" s="431"/>
      <c r="EJ1870" s="431"/>
      <c r="EK1870" s="431"/>
      <c r="EL1870" s="431"/>
      <c r="EM1870" s="431"/>
      <c r="EN1870" s="431"/>
      <c r="EO1870" s="431"/>
      <c r="EP1870" s="431"/>
      <c r="EQ1870" s="431"/>
      <c r="ER1870" s="431"/>
      <c r="ES1870" s="431"/>
    </row>
    <row r="1871" spans="1:149" x14ac:dyDescent="0.3">
      <c r="A1871" s="428">
        <v>903893</v>
      </c>
      <c r="B1871" s="433">
        <v>5.8</v>
      </c>
      <c r="C1871" s="433"/>
      <c r="D1871" s="433">
        <v>8.57</v>
      </c>
      <c r="E1871" s="1554">
        <v>24.04</v>
      </c>
      <c r="F1871" s="433">
        <v>5923.9</v>
      </c>
      <c r="G1871" s="433"/>
      <c r="H1871" s="433">
        <v>38.97</v>
      </c>
      <c r="I1871" s="433">
        <v>870</v>
      </c>
      <c r="J1871" s="433">
        <v>32.418999999999997</v>
      </c>
      <c r="K1871" s="563">
        <v>40.25</v>
      </c>
      <c r="L1871" s="433">
        <v>3910</v>
      </c>
      <c r="M1871" s="433">
        <v>0.17</v>
      </c>
      <c r="N1871" s="433">
        <v>0.34</v>
      </c>
      <c r="O1871" s="433">
        <v>0.31</v>
      </c>
      <c r="P1871" s="433">
        <v>0.52</v>
      </c>
      <c r="Q1871" s="433"/>
      <c r="R1871" s="427">
        <v>1.716993</v>
      </c>
      <c r="S1871" s="433">
        <v>14.1</v>
      </c>
      <c r="T1871" s="564"/>
      <c r="U1871" s="565"/>
      <c r="Y1871" s="67">
        <v>18</v>
      </c>
      <c r="Z1871" s="433"/>
      <c r="AA1871" s="68">
        <v>3.77</v>
      </c>
      <c r="AB1871" s="68">
        <v>0.80900000000000005</v>
      </c>
      <c r="AC1871" s="69">
        <v>10.5</v>
      </c>
      <c r="AD1871" s="563">
        <v>300</v>
      </c>
      <c r="AE1871" s="433">
        <v>580</v>
      </c>
      <c r="AF1871" s="433">
        <v>120</v>
      </c>
      <c r="AG1871" s="66">
        <f t="shared" si="76"/>
        <v>791.58333333333348</v>
      </c>
      <c r="AH1871" s="143">
        <f t="shared" si="77"/>
        <v>1000</v>
      </c>
      <c r="AI1871" s="431"/>
      <c r="AJ1871" s="431"/>
      <c r="AK1871" s="431"/>
      <c r="AL1871" s="431"/>
      <c r="AM1871" s="431"/>
      <c r="AN1871" s="431"/>
      <c r="AO1871" s="431"/>
      <c r="AP1871" s="431"/>
      <c r="AQ1871" s="431"/>
      <c r="AR1871" s="431"/>
      <c r="AS1871" s="431"/>
      <c r="AT1871" s="431"/>
      <c r="AU1871" s="431"/>
      <c r="AV1871" s="431"/>
      <c r="AW1871" s="431"/>
      <c r="AX1871" s="431"/>
      <c r="AY1871" s="431"/>
      <c r="AZ1871" s="431"/>
      <c r="BA1871" s="431"/>
      <c r="BB1871" s="431"/>
      <c r="BC1871" s="431"/>
      <c r="BD1871" s="431"/>
      <c r="BE1871" s="431"/>
      <c r="BF1871" s="431"/>
      <c r="BG1871" s="431"/>
      <c r="BH1871" s="431"/>
      <c r="BI1871" s="431"/>
      <c r="BJ1871" s="431"/>
      <c r="BK1871" s="431"/>
      <c r="BL1871" s="431"/>
      <c r="BM1871" s="431"/>
      <c r="BN1871" s="431"/>
      <c r="BO1871" s="431"/>
      <c r="BP1871" s="431"/>
      <c r="BQ1871" s="431"/>
      <c r="BR1871" s="431"/>
      <c r="BS1871" s="431"/>
      <c r="BT1871" s="431"/>
      <c r="BU1871" s="431"/>
      <c r="BV1871" s="431"/>
      <c r="BW1871" s="431"/>
      <c r="BX1871" s="431"/>
      <c r="BY1871" s="431"/>
      <c r="BZ1871" s="431"/>
      <c r="CA1871" s="431"/>
      <c r="CB1871" s="431"/>
      <c r="CC1871" s="431"/>
      <c r="CD1871" s="431"/>
      <c r="CE1871" s="431"/>
      <c r="CF1871" s="431"/>
      <c r="CG1871" s="431"/>
      <c r="CH1871" s="431"/>
      <c r="CI1871" s="431"/>
      <c r="CJ1871" s="431"/>
      <c r="CK1871" s="431"/>
      <c r="CL1871" s="431"/>
      <c r="CM1871" s="431"/>
      <c r="CN1871" s="431"/>
      <c r="CO1871" s="431"/>
      <c r="CP1871" s="431"/>
      <c r="CQ1871" s="431"/>
      <c r="CR1871" s="431"/>
      <c r="CS1871" s="431"/>
      <c r="CT1871" s="431"/>
      <c r="CU1871" s="431"/>
      <c r="CV1871" s="431"/>
      <c r="CW1871" s="431"/>
      <c r="CX1871" s="431"/>
      <c r="CY1871" s="431"/>
      <c r="CZ1871" s="431"/>
      <c r="DA1871" s="431"/>
      <c r="DB1871" s="431"/>
      <c r="DC1871" s="431"/>
      <c r="DD1871" s="431"/>
      <c r="DE1871" s="431"/>
      <c r="DF1871" s="431"/>
      <c r="DG1871" s="431"/>
      <c r="DH1871" s="431"/>
      <c r="DI1871" s="431"/>
      <c r="DJ1871" s="431"/>
      <c r="DK1871" s="431"/>
      <c r="DL1871" s="431"/>
      <c r="DM1871" s="431"/>
      <c r="DN1871" s="431"/>
      <c r="DO1871" s="431"/>
      <c r="DP1871" s="431"/>
      <c r="DQ1871" s="431"/>
      <c r="DR1871" s="431"/>
      <c r="DS1871" s="431"/>
      <c r="DT1871" s="431"/>
      <c r="DU1871" s="431"/>
      <c r="DV1871" s="431"/>
      <c r="DW1871" s="431"/>
      <c r="DX1871" s="431"/>
      <c r="DY1871" s="431"/>
      <c r="DZ1871" s="431"/>
      <c r="EA1871" s="431"/>
      <c r="EB1871" s="431"/>
      <c r="EC1871" s="431"/>
      <c r="ED1871" s="431"/>
      <c r="EE1871" s="431"/>
      <c r="EF1871" s="431"/>
      <c r="EG1871" s="431"/>
      <c r="EH1871" s="431"/>
      <c r="EI1871" s="431"/>
      <c r="EJ1871" s="431"/>
      <c r="EK1871" s="431"/>
      <c r="EL1871" s="431"/>
      <c r="EM1871" s="431"/>
      <c r="EN1871" s="431"/>
      <c r="EO1871" s="431"/>
      <c r="EP1871" s="431"/>
      <c r="EQ1871" s="431"/>
      <c r="ER1871" s="431"/>
      <c r="ES1871" s="431"/>
    </row>
    <row r="1872" spans="1:149" x14ac:dyDescent="0.3">
      <c r="A1872" s="428">
        <v>903894</v>
      </c>
      <c r="B1872" s="433">
        <v>17.7</v>
      </c>
      <c r="C1872" s="433">
        <v>11.5</v>
      </c>
      <c r="D1872" s="433">
        <v>8.66</v>
      </c>
      <c r="E1872" s="1554">
        <v>0.16500000000000001</v>
      </c>
      <c r="F1872" s="562">
        <v>19.100000000000001</v>
      </c>
      <c r="G1872" s="433"/>
      <c r="H1872" s="433">
        <v>26.02</v>
      </c>
      <c r="I1872" s="433">
        <v>320</v>
      </c>
      <c r="J1872" s="433">
        <v>6.9000000000000006E-2</v>
      </c>
      <c r="K1872" s="433">
        <v>11.23</v>
      </c>
      <c r="L1872" s="433">
        <v>1050</v>
      </c>
      <c r="M1872" s="433">
        <v>0.89</v>
      </c>
      <c r="N1872" s="433">
        <v>0.59</v>
      </c>
      <c r="O1872" s="433">
        <v>2.8</v>
      </c>
      <c r="P1872" s="433">
        <v>3.12</v>
      </c>
      <c r="Q1872" s="433"/>
      <c r="R1872" s="427">
        <v>1.809113</v>
      </c>
      <c r="S1872" s="433">
        <v>16.899999999999999</v>
      </c>
      <c r="T1872" s="564"/>
      <c r="U1872" s="565"/>
      <c r="Y1872" s="67">
        <v>37.799999999999997</v>
      </c>
      <c r="Z1872" s="433"/>
      <c r="AA1872" s="68">
        <v>4.6399999999999997</v>
      </c>
      <c r="AB1872" s="68">
        <v>0.76900000000000002</v>
      </c>
      <c r="AC1872" s="69">
        <v>8.8000000000000007</v>
      </c>
      <c r="AD1872" s="563">
        <v>540</v>
      </c>
      <c r="AE1872" s="433">
        <v>340</v>
      </c>
      <c r="AF1872" s="433">
        <v>120</v>
      </c>
      <c r="AG1872" s="66">
        <f t="shared" si="76"/>
        <v>105.16984126984129</v>
      </c>
      <c r="AH1872" s="143">
        <f t="shared" si="77"/>
        <v>1000</v>
      </c>
      <c r="AI1872" s="431"/>
      <c r="AJ1872" s="431"/>
      <c r="AK1872" s="431"/>
      <c r="AL1872" s="431"/>
      <c r="AM1872" s="431"/>
      <c r="AN1872" s="431"/>
      <c r="AO1872" s="431"/>
      <c r="AP1872" s="431"/>
      <c r="AQ1872" s="431"/>
      <c r="AR1872" s="431"/>
      <c r="AS1872" s="431"/>
      <c r="AT1872" s="431"/>
      <c r="AU1872" s="431"/>
      <c r="AV1872" s="431"/>
      <c r="AW1872" s="431"/>
      <c r="AX1872" s="431"/>
      <c r="AY1872" s="431"/>
      <c r="AZ1872" s="431"/>
      <c r="BA1872" s="431"/>
      <c r="BB1872" s="431"/>
      <c r="BC1872" s="431"/>
      <c r="BD1872" s="431"/>
      <c r="BE1872" s="431"/>
      <c r="BF1872" s="431"/>
      <c r="BG1872" s="431"/>
      <c r="BH1872" s="431"/>
      <c r="BI1872" s="431"/>
      <c r="BJ1872" s="431"/>
      <c r="BK1872" s="431"/>
      <c r="BL1872" s="431"/>
      <c r="BM1872" s="431"/>
      <c r="BN1872" s="431"/>
      <c r="BO1872" s="431"/>
      <c r="BP1872" s="431"/>
      <c r="BQ1872" s="431"/>
      <c r="BR1872" s="431"/>
      <c r="BS1872" s="431"/>
      <c r="BT1872" s="431"/>
      <c r="BU1872" s="431"/>
      <c r="BV1872" s="431"/>
      <c r="BW1872" s="431"/>
      <c r="BX1872" s="431"/>
      <c r="BY1872" s="431"/>
      <c r="BZ1872" s="431"/>
      <c r="CA1872" s="431"/>
      <c r="CB1872" s="431"/>
      <c r="CC1872" s="431"/>
      <c r="CD1872" s="431"/>
      <c r="CE1872" s="431"/>
      <c r="CF1872" s="431"/>
      <c r="CG1872" s="431"/>
      <c r="CH1872" s="431"/>
      <c r="CI1872" s="431"/>
      <c r="CJ1872" s="431"/>
      <c r="CK1872" s="431"/>
      <c r="CL1872" s="431"/>
      <c r="CM1872" s="431"/>
      <c r="CN1872" s="431"/>
      <c r="CO1872" s="431"/>
      <c r="CP1872" s="431"/>
      <c r="CQ1872" s="431"/>
      <c r="CR1872" s="431"/>
      <c r="CS1872" s="431"/>
      <c r="CT1872" s="431"/>
      <c r="CU1872" s="431"/>
      <c r="CV1872" s="431"/>
      <c r="CW1872" s="431"/>
      <c r="CX1872" s="431"/>
      <c r="CY1872" s="431"/>
      <c r="CZ1872" s="431"/>
      <c r="DA1872" s="431"/>
      <c r="DB1872" s="431"/>
      <c r="DC1872" s="431"/>
      <c r="DD1872" s="431"/>
      <c r="DE1872" s="431"/>
      <c r="DF1872" s="431"/>
      <c r="DG1872" s="431"/>
      <c r="DH1872" s="431"/>
      <c r="DI1872" s="431"/>
      <c r="DJ1872" s="431"/>
      <c r="DK1872" s="431"/>
      <c r="DL1872" s="431"/>
      <c r="DM1872" s="431"/>
      <c r="DN1872" s="431"/>
      <c r="DO1872" s="431"/>
      <c r="DP1872" s="431"/>
      <c r="DQ1872" s="431"/>
      <c r="DR1872" s="431"/>
      <c r="DS1872" s="431"/>
      <c r="DT1872" s="431"/>
      <c r="DU1872" s="431"/>
      <c r="DV1872" s="431"/>
      <c r="DW1872" s="431"/>
      <c r="DX1872" s="431"/>
      <c r="DY1872" s="431"/>
      <c r="DZ1872" s="431"/>
      <c r="EA1872" s="431"/>
      <c r="EB1872" s="431"/>
      <c r="EC1872" s="431"/>
      <c r="ED1872" s="431"/>
      <c r="EE1872" s="431"/>
      <c r="EF1872" s="431"/>
      <c r="EG1872" s="431"/>
      <c r="EH1872" s="431"/>
      <c r="EI1872" s="431"/>
      <c r="EJ1872" s="431"/>
      <c r="EK1872" s="431"/>
      <c r="EL1872" s="431"/>
      <c r="EM1872" s="431"/>
      <c r="EN1872" s="431"/>
      <c r="EO1872" s="431"/>
      <c r="EP1872" s="431"/>
      <c r="EQ1872" s="431"/>
      <c r="ER1872" s="431"/>
      <c r="ES1872" s="431"/>
    </row>
    <row r="1873" spans="1:149" x14ac:dyDescent="0.3">
      <c r="A1873" s="428">
        <v>903895</v>
      </c>
      <c r="B1873" s="433">
        <v>7.1</v>
      </c>
      <c r="C1873" s="433"/>
      <c r="D1873" s="433">
        <v>8.77</v>
      </c>
      <c r="E1873" s="1554">
        <v>0.14299999999999999</v>
      </c>
      <c r="F1873" s="562">
        <v>14.5</v>
      </c>
      <c r="G1873" s="433"/>
      <c r="H1873" s="433">
        <v>20.04</v>
      </c>
      <c r="I1873" s="433">
        <v>320</v>
      </c>
      <c r="J1873" s="433">
        <v>0.104</v>
      </c>
      <c r="K1873" s="433">
        <v>11.15</v>
      </c>
      <c r="L1873" s="433">
        <v>1370</v>
      </c>
      <c r="M1873" s="433">
        <v>0.5</v>
      </c>
      <c r="N1873" s="433">
        <v>0.86</v>
      </c>
      <c r="O1873" s="433">
        <v>2.71</v>
      </c>
      <c r="P1873" s="433">
        <v>5.9</v>
      </c>
      <c r="Q1873" s="433"/>
      <c r="R1873" s="427">
        <v>1.6704920000000001</v>
      </c>
      <c r="S1873" s="433">
        <v>12.8</v>
      </c>
      <c r="T1873" s="564"/>
      <c r="U1873" s="565"/>
      <c r="Y1873" s="67">
        <v>31.8</v>
      </c>
      <c r="Z1873" s="433"/>
      <c r="AA1873" s="68">
        <v>4.08</v>
      </c>
      <c r="AB1873" s="68">
        <v>0.68500000000000005</v>
      </c>
      <c r="AC1873" s="69">
        <v>8.4</v>
      </c>
      <c r="AD1873" s="563">
        <v>530</v>
      </c>
      <c r="AE1873" s="433">
        <v>360</v>
      </c>
      <c r="AF1873" s="433">
        <v>110</v>
      </c>
      <c r="AG1873" s="66">
        <f t="shared" si="76"/>
        <v>124.12264150943398</v>
      </c>
      <c r="AH1873" s="143">
        <f t="shared" si="77"/>
        <v>1000</v>
      </c>
      <c r="AI1873" s="431"/>
      <c r="AJ1873" s="431"/>
      <c r="AK1873" s="431"/>
      <c r="AL1873" s="431"/>
      <c r="AM1873" s="431"/>
      <c r="AN1873" s="431"/>
      <c r="AO1873" s="431"/>
      <c r="AP1873" s="431"/>
      <c r="AQ1873" s="431"/>
      <c r="AR1873" s="431"/>
      <c r="AS1873" s="431"/>
      <c r="AT1873" s="431"/>
      <c r="AU1873" s="431"/>
      <c r="AV1873" s="431"/>
      <c r="AW1873" s="431"/>
      <c r="AX1873" s="431"/>
      <c r="AY1873" s="431"/>
      <c r="AZ1873" s="431"/>
      <c r="BA1873" s="431"/>
      <c r="BB1873" s="431"/>
      <c r="BC1873" s="431"/>
      <c r="BD1873" s="431"/>
      <c r="BE1873" s="431"/>
      <c r="BF1873" s="431"/>
      <c r="BG1873" s="431"/>
      <c r="BH1873" s="431"/>
      <c r="BI1873" s="431"/>
      <c r="BJ1873" s="431"/>
      <c r="BK1873" s="431"/>
      <c r="BL1873" s="431"/>
      <c r="BM1873" s="431"/>
      <c r="BN1873" s="431"/>
      <c r="BO1873" s="431"/>
      <c r="BP1873" s="431"/>
      <c r="BQ1873" s="431"/>
      <c r="BR1873" s="431"/>
      <c r="BS1873" s="431"/>
      <c r="BT1873" s="431"/>
      <c r="BU1873" s="431"/>
      <c r="BV1873" s="431"/>
      <c r="BW1873" s="431"/>
      <c r="BX1873" s="431"/>
      <c r="BY1873" s="431"/>
      <c r="BZ1873" s="431"/>
      <c r="CA1873" s="431"/>
      <c r="CB1873" s="431"/>
      <c r="CC1873" s="431"/>
      <c r="CD1873" s="431"/>
      <c r="CE1873" s="431"/>
      <c r="CF1873" s="431"/>
      <c r="CG1873" s="431"/>
      <c r="CH1873" s="431"/>
      <c r="CI1873" s="431"/>
      <c r="CJ1873" s="431"/>
      <c r="CK1873" s="431"/>
      <c r="CL1873" s="431"/>
      <c r="CM1873" s="431"/>
      <c r="CN1873" s="431"/>
      <c r="CO1873" s="431"/>
      <c r="CP1873" s="431"/>
      <c r="CQ1873" s="431"/>
      <c r="CR1873" s="431"/>
      <c r="CS1873" s="431"/>
      <c r="CT1873" s="431"/>
      <c r="CU1873" s="431"/>
      <c r="CV1873" s="431"/>
      <c r="CW1873" s="431"/>
      <c r="CX1873" s="431"/>
      <c r="CY1873" s="431"/>
      <c r="CZ1873" s="431"/>
      <c r="DA1873" s="431"/>
      <c r="DB1873" s="431"/>
      <c r="DC1873" s="431"/>
      <c r="DD1873" s="431"/>
      <c r="DE1873" s="431"/>
      <c r="DF1873" s="431"/>
      <c r="DG1873" s="431"/>
      <c r="DH1873" s="431"/>
      <c r="DI1873" s="431"/>
      <c r="DJ1873" s="431"/>
      <c r="DK1873" s="431"/>
      <c r="DL1873" s="431"/>
      <c r="DM1873" s="431"/>
      <c r="DN1873" s="431"/>
      <c r="DO1873" s="431"/>
      <c r="DP1873" s="431"/>
      <c r="DQ1873" s="431"/>
      <c r="DR1873" s="431"/>
      <c r="DS1873" s="431"/>
      <c r="DT1873" s="431"/>
      <c r="DU1873" s="431"/>
      <c r="DV1873" s="431"/>
      <c r="DW1873" s="431"/>
      <c r="DX1873" s="431"/>
      <c r="DY1873" s="431"/>
      <c r="DZ1873" s="431"/>
      <c r="EA1873" s="431"/>
      <c r="EB1873" s="431"/>
      <c r="EC1873" s="431"/>
      <c r="ED1873" s="431"/>
      <c r="EE1873" s="431"/>
      <c r="EF1873" s="431"/>
      <c r="EG1873" s="431"/>
      <c r="EH1873" s="431"/>
      <c r="EI1873" s="431"/>
      <c r="EJ1873" s="431"/>
      <c r="EK1873" s="431"/>
      <c r="EL1873" s="431"/>
      <c r="EM1873" s="431"/>
      <c r="EN1873" s="431"/>
      <c r="EO1873" s="431"/>
      <c r="EP1873" s="431"/>
      <c r="EQ1873" s="431"/>
      <c r="ER1873" s="431"/>
      <c r="ES1873" s="431"/>
    </row>
    <row r="1874" spans="1:149" x14ac:dyDescent="0.3">
      <c r="A1874" s="428">
        <v>903896</v>
      </c>
      <c r="B1874" s="433">
        <v>12.42</v>
      </c>
      <c r="C1874" s="433">
        <v>7.5</v>
      </c>
      <c r="D1874" s="433">
        <v>8.5299999999999994</v>
      </c>
      <c r="E1874" s="1554">
        <v>0.16500000000000001</v>
      </c>
      <c r="F1874" s="562">
        <v>20.8</v>
      </c>
      <c r="G1874" s="433"/>
      <c r="H1874" s="433">
        <v>18.239999999999998</v>
      </c>
      <c r="I1874" s="433">
        <v>300</v>
      </c>
      <c r="J1874" s="433">
        <v>8.6999999999999994E-2</v>
      </c>
      <c r="K1874" s="433">
        <v>12.38</v>
      </c>
      <c r="L1874" s="433">
        <v>1090</v>
      </c>
      <c r="M1874" s="433">
        <v>0.49</v>
      </c>
      <c r="N1874" s="433">
        <v>0.6</v>
      </c>
      <c r="O1874" s="433">
        <v>2.9</v>
      </c>
      <c r="P1874" s="433">
        <v>3.35</v>
      </c>
      <c r="Q1874" s="433"/>
      <c r="R1874" s="427">
        <v>1.839353</v>
      </c>
      <c r="S1874" s="433">
        <v>17.899999999999999</v>
      </c>
      <c r="T1874" s="564"/>
      <c r="U1874" s="565"/>
      <c r="Y1874" s="67">
        <v>27</v>
      </c>
      <c r="Z1874" s="433"/>
      <c r="AA1874" s="68">
        <v>3.65</v>
      </c>
      <c r="AB1874" s="68">
        <v>0.78800000000000003</v>
      </c>
      <c r="AC1874" s="69">
        <v>11.9</v>
      </c>
      <c r="AD1874" s="563">
        <v>540</v>
      </c>
      <c r="AE1874" s="433">
        <v>350</v>
      </c>
      <c r="AF1874" s="433">
        <v>110</v>
      </c>
      <c r="AG1874" s="66">
        <f t="shared" si="76"/>
        <v>162.31555555555556</v>
      </c>
      <c r="AH1874" s="143">
        <f t="shared" si="77"/>
        <v>1000</v>
      </c>
      <c r="AI1874" s="431"/>
      <c r="AJ1874" s="431"/>
      <c r="AK1874" s="431"/>
      <c r="AL1874" s="431"/>
      <c r="AM1874" s="431"/>
      <c r="AN1874" s="431"/>
      <c r="AO1874" s="431"/>
      <c r="AP1874" s="431"/>
      <c r="AQ1874" s="431"/>
      <c r="AR1874" s="431"/>
      <c r="AS1874" s="431"/>
      <c r="AT1874" s="431"/>
      <c r="AU1874" s="431"/>
      <c r="AV1874" s="431"/>
      <c r="AW1874" s="431"/>
      <c r="AX1874" s="431"/>
      <c r="AY1874" s="431"/>
      <c r="AZ1874" s="431"/>
      <c r="BA1874" s="431"/>
      <c r="BB1874" s="431"/>
      <c r="BC1874" s="431"/>
      <c r="BD1874" s="431"/>
      <c r="BE1874" s="431"/>
      <c r="BF1874" s="431"/>
      <c r="BG1874" s="431"/>
      <c r="BH1874" s="431"/>
      <c r="BI1874" s="431"/>
      <c r="BJ1874" s="431"/>
      <c r="BK1874" s="431"/>
      <c r="BL1874" s="431"/>
      <c r="BM1874" s="431"/>
      <c r="BN1874" s="431"/>
      <c r="BO1874" s="431"/>
      <c r="BP1874" s="431"/>
      <c r="BQ1874" s="431"/>
      <c r="BR1874" s="431"/>
      <c r="BS1874" s="431"/>
      <c r="BT1874" s="431"/>
      <c r="BU1874" s="431"/>
      <c r="BV1874" s="431"/>
      <c r="BW1874" s="431"/>
      <c r="BX1874" s="431"/>
      <c r="BY1874" s="431"/>
      <c r="BZ1874" s="431"/>
      <c r="CA1874" s="431"/>
      <c r="CB1874" s="431"/>
      <c r="CC1874" s="431"/>
      <c r="CD1874" s="431"/>
      <c r="CE1874" s="431"/>
      <c r="CF1874" s="431"/>
      <c r="CG1874" s="431"/>
      <c r="CH1874" s="431"/>
      <c r="CI1874" s="431"/>
      <c r="CJ1874" s="431"/>
      <c r="CK1874" s="431"/>
      <c r="CL1874" s="431"/>
      <c r="CM1874" s="431"/>
      <c r="CN1874" s="431"/>
      <c r="CO1874" s="431"/>
      <c r="CP1874" s="431"/>
      <c r="CQ1874" s="431"/>
      <c r="CR1874" s="431"/>
      <c r="CS1874" s="431"/>
      <c r="CT1874" s="431"/>
      <c r="CU1874" s="431"/>
      <c r="CV1874" s="431"/>
      <c r="CW1874" s="431"/>
      <c r="CX1874" s="431"/>
      <c r="CY1874" s="431"/>
      <c r="CZ1874" s="431"/>
      <c r="DA1874" s="431"/>
      <c r="DB1874" s="431"/>
      <c r="DC1874" s="431"/>
      <c r="DD1874" s="431"/>
      <c r="DE1874" s="431"/>
      <c r="DF1874" s="431"/>
      <c r="DG1874" s="431"/>
      <c r="DH1874" s="431"/>
      <c r="DI1874" s="431"/>
      <c r="DJ1874" s="431"/>
      <c r="DK1874" s="431"/>
      <c r="DL1874" s="431"/>
      <c r="DM1874" s="431"/>
      <c r="DN1874" s="431"/>
      <c r="DO1874" s="431"/>
      <c r="DP1874" s="431"/>
      <c r="DQ1874" s="431"/>
      <c r="DR1874" s="431"/>
      <c r="DS1874" s="431"/>
      <c r="DT1874" s="431"/>
      <c r="DU1874" s="431"/>
      <c r="DV1874" s="431"/>
      <c r="DW1874" s="431"/>
      <c r="DX1874" s="431"/>
      <c r="DY1874" s="431"/>
      <c r="DZ1874" s="431"/>
      <c r="EA1874" s="431"/>
      <c r="EB1874" s="431"/>
      <c r="EC1874" s="431"/>
      <c r="ED1874" s="431"/>
      <c r="EE1874" s="431"/>
      <c r="EF1874" s="431"/>
      <c r="EG1874" s="431"/>
      <c r="EH1874" s="431"/>
      <c r="EI1874" s="431"/>
      <c r="EJ1874" s="431"/>
      <c r="EK1874" s="431"/>
      <c r="EL1874" s="431"/>
      <c r="EM1874" s="431"/>
      <c r="EN1874" s="431"/>
      <c r="EO1874" s="431"/>
      <c r="EP1874" s="431"/>
      <c r="EQ1874" s="431"/>
      <c r="ER1874" s="431"/>
      <c r="ES1874" s="431"/>
    </row>
    <row r="1875" spans="1:149" s="556" customFormat="1" x14ac:dyDescent="0.3">
      <c r="A1875" s="607">
        <v>903897</v>
      </c>
      <c r="B1875" s="554">
        <v>8.3333333333333329E-2</v>
      </c>
      <c r="C1875" s="553"/>
      <c r="D1875" s="553">
        <v>6.34</v>
      </c>
      <c r="E1875" s="584">
        <v>0.04</v>
      </c>
      <c r="F1875" s="554">
        <v>19.45</v>
      </c>
      <c r="G1875" s="553"/>
      <c r="H1875" s="553">
        <v>60.23</v>
      </c>
      <c r="I1875" s="553">
        <v>30</v>
      </c>
      <c r="J1875" s="553">
        <v>1.7999999999999999E-2</v>
      </c>
      <c r="K1875" s="553">
        <v>0.44</v>
      </c>
      <c r="L1875" s="553">
        <v>50</v>
      </c>
      <c r="M1875" s="553">
        <v>0.49</v>
      </c>
      <c r="N1875" s="553">
        <v>0.27</v>
      </c>
      <c r="O1875" s="553">
        <v>4.6399999999999997</v>
      </c>
      <c r="P1875" s="553">
        <v>9.7100000000000009</v>
      </c>
      <c r="Q1875" s="553"/>
      <c r="R1875" s="587">
        <v>0.39183477348802659</v>
      </c>
      <c r="S1875" s="553">
        <v>2.8</v>
      </c>
      <c r="T1875" s="553"/>
      <c r="U1875" s="553"/>
      <c r="V1875" s="553"/>
      <c r="W1875" s="553"/>
      <c r="X1875" s="553"/>
      <c r="Y1875" s="67">
        <v>4.2</v>
      </c>
      <c r="Z1875" s="553">
        <v>5.55</v>
      </c>
      <c r="AA1875" s="587"/>
      <c r="AB1875" s="587"/>
      <c r="AC1875" s="553"/>
      <c r="AD1875" s="608">
        <v>60</v>
      </c>
      <c r="AE1875" s="553">
        <v>60</v>
      </c>
      <c r="AF1875" s="553">
        <f>1000-(AD1875+AE1875)</f>
        <v>880</v>
      </c>
      <c r="AG1875" s="66">
        <f t="shared" si="76"/>
        <v>37.085714285714289</v>
      </c>
      <c r="AH1875" s="143">
        <f t="shared" si="77"/>
        <v>1000</v>
      </c>
    </row>
    <row r="1876" spans="1:149" s="556" customFormat="1" x14ac:dyDescent="0.3">
      <c r="A1876" s="607">
        <v>903898</v>
      </c>
      <c r="B1876" s="554">
        <v>0.1</v>
      </c>
      <c r="C1876" s="553"/>
      <c r="D1876" s="553">
        <v>5.93</v>
      </c>
      <c r="E1876" s="584">
        <v>0.1</v>
      </c>
      <c r="F1876" s="554">
        <v>81.150000000000006</v>
      </c>
      <c r="G1876" s="553"/>
      <c r="H1876" s="553">
        <v>108.62</v>
      </c>
      <c r="I1876" s="553">
        <v>70</v>
      </c>
      <c r="J1876" s="553">
        <v>5.3999999999999999E-2</v>
      </c>
      <c r="K1876" s="553">
        <v>0.69</v>
      </c>
      <c r="L1876" s="553">
        <v>70</v>
      </c>
      <c r="M1876" s="553">
        <v>1.06</v>
      </c>
      <c r="N1876" s="553">
        <v>0.24</v>
      </c>
      <c r="O1876" s="553">
        <v>9.8699999999999992</v>
      </c>
      <c r="P1876" s="553">
        <v>18.11</v>
      </c>
      <c r="Q1876" s="553"/>
      <c r="R1876" s="587">
        <v>1.1421164314534171</v>
      </c>
      <c r="S1876" s="553">
        <v>7.5</v>
      </c>
      <c r="T1876" s="553"/>
      <c r="U1876" s="553"/>
      <c r="V1876" s="553"/>
      <c r="W1876" s="553"/>
      <c r="X1876" s="553"/>
      <c r="Y1876" s="67">
        <v>3</v>
      </c>
      <c r="Z1876" s="553">
        <v>5.12</v>
      </c>
      <c r="AA1876" s="587"/>
      <c r="AB1876" s="587"/>
      <c r="AC1876" s="553"/>
      <c r="AD1876" s="608">
        <v>60</v>
      </c>
      <c r="AE1876" s="553">
        <v>80</v>
      </c>
      <c r="AF1876" s="553">
        <f t="shared" ref="AF1876:AF1887" si="78">1000-(AD1876+AE1876)</f>
        <v>860</v>
      </c>
      <c r="AG1876" s="66">
        <f t="shared" si="76"/>
        <v>81.419999999999987</v>
      </c>
      <c r="AH1876" s="143">
        <f t="shared" si="77"/>
        <v>1000</v>
      </c>
    </row>
    <row r="1877" spans="1:149" s="556" customFormat="1" x14ac:dyDescent="0.3">
      <c r="A1877" s="607">
        <v>903899</v>
      </c>
      <c r="B1877" s="554">
        <v>0.12499999999999999</v>
      </c>
      <c r="C1877" s="553"/>
      <c r="D1877" s="553">
        <v>6.09</v>
      </c>
      <c r="E1877" s="584">
        <v>0.05</v>
      </c>
      <c r="F1877" s="554">
        <v>14.55</v>
      </c>
      <c r="G1877" s="553"/>
      <c r="H1877" s="553">
        <v>16.920000000000002</v>
      </c>
      <c r="I1877" s="553">
        <v>120</v>
      </c>
      <c r="J1877" s="553">
        <v>5.8999999999999997E-2</v>
      </c>
      <c r="K1877" s="553">
        <v>2.73</v>
      </c>
      <c r="L1877" s="553">
        <v>610</v>
      </c>
      <c r="M1877" s="553">
        <v>0.63</v>
      </c>
      <c r="N1877" s="553">
        <v>1.1499999999999999</v>
      </c>
      <c r="O1877" s="553">
        <v>4.79</v>
      </c>
      <c r="P1877" s="553">
        <v>95.85</v>
      </c>
      <c r="Q1877" s="553"/>
      <c r="R1877" s="587">
        <v>0.74491283008001252</v>
      </c>
      <c r="S1877" s="553">
        <v>4.9000000000000004</v>
      </c>
      <c r="T1877" s="553"/>
      <c r="U1877" s="553"/>
      <c r="V1877" s="553"/>
      <c r="W1877" s="553"/>
      <c r="X1877" s="553"/>
      <c r="Y1877" s="67">
        <v>32.4</v>
      </c>
      <c r="Z1877" s="553">
        <v>5.09</v>
      </c>
      <c r="AA1877" s="587"/>
      <c r="AB1877" s="587"/>
      <c r="AC1877" s="553"/>
      <c r="AD1877" s="608">
        <v>540</v>
      </c>
      <c r="AE1877" s="553">
        <v>200</v>
      </c>
      <c r="AF1877" s="553">
        <f t="shared" si="78"/>
        <v>260</v>
      </c>
      <c r="AG1877" s="66">
        <f t="shared" si="76"/>
        <v>29.827777777777779</v>
      </c>
      <c r="AH1877" s="143">
        <f t="shared" si="77"/>
        <v>1000</v>
      </c>
    </row>
    <row r="1878" spans="1:149" s="556" customFormat="1" x14ac:dyDescent="0.3">
      <c r="A1878" s="607">
        <v>903900</v>
      </c>
      <c r="B1878" s="554">
        <v>0.11666666666666665</v>
      </c>
      <c r="C1878" s="553"/>
      <c r="D1878" s="553">
        <v>6.49</v>
      </c>
      <c r="E1878" s="584">
        <v>1.67</v>
      </c>
      <c r="F1878" s="554">
        <v>153.4</v>
      </c>
      <c r="G1878" s="553"/>
      <c r="H1878" s="553">
        <v>8.85</v>
      </c>
      <c r="I1878" s="553">
        <v>210</v>
      </c>
      <c r="J1878" s="553">
        <v>0.56499999999999995</v>
      </c>
      <c r="K1878" s="553">
        <v>3.02</v>
      </c>
      <c r="L1878" s="553">
        <v>1670</v>
      </c>
      <c r="M1878" s="553">
        <v>0.7</v>
      </c>
      <c r="N1878" s="553">
        <v>0.53</v>
      </c>
      <c r="O1878" s="553">
        <v>4.58</v>
      </c>
      <c r="P1878" s="553">
        <v>30.17</v>
      </c>
      <c r="Q1878" s="553"/>
      <c r="R1878" s="587">
        <v>0.39613277326168944</v>
      </c>
      <c r="S1878" s="553">
        <v>2.9</v>
      </c>
      <c r="T1878" s="553"/>
      <c r="U1878" s="553"/>
      <c r="V1878" s="553"/>
      <c r="W1878" s="553"/>
      <c r="X1878" s="553"/>
      <c r="Y1878" s="67">
        <v>28</v>
      </c>
      <c r="Z1878" s="553">
        <v>3.95</v>
      </c>
      <c r="AA1878" s="587"/>
      <c r="AB1878" s="587"/>
      <c r="AC1878" s="553"/>
      <c r="AD1878" s="608">
        <v>560</v>
      </c>
      <c r="AE1878" s="553">
        <v>300</v>
      </c>
      <c r="AF1878" s="553">
        <f t="shared" si="78"/>
        <v>140</v>
      </c>
      <c r="AG1878" s="66">
        <f t="shared" si="76"/>
        <v>38.181428571428569</v>
      </c>
      <c r="AH1878" s="143">
        <f t="shared" si="77"/>
        <v>1000</v>
      </c>
    </row>
    <row r="1879" spans="1:149" s="556" customFormat="1" x14ac:dyDescent="0.3">
      <c r="A1879" s="607">
        <v>903901</v>
      </c>
      <c r="B1879" s="554">
        <v>0.1</v>
      </c>
      <c r="C1879" s="553"/>
      <c r="D1879" s="553">
        <v>7.21</v>
      </c>
      <c r="E1879" s="584">
        <v>0.55000000000000004</v>
      </c>
      <c r="F1879" s="554">
        <v>611.65</v>
      </c>
      <c r="G1879" s="553"/>
      <c r="H1879" s="553">
        <v>236.39</v>
      </c>
      <c r="I1879" s="553">
        <v>170</v>
      </c>
      <c r="J1879" s="553">
        <v>0.29199999999999998</v>
      </c>
      <c r="K1879" s="587">
        <v>1</v>
      </c>
      <c r="L1879" s="553">
        <v>310</v>
      </c>
      <c r="M1879" s="553">
        <v>1.74</v>
      </c>
      <c r="N1879" s="553">
        <v>0.62</v>
      </c>
      <c r="O1879" s="553">
        <v>2.65</v>
      </c>
      <c r="P1879" s="553">
        <v>7.64</v>
      </c>
      <c r="Q1879" s="553"/>
      <c r="R1879" s="587">
        <v>0.67206369268815946</v>
      </c>
      <c r="S1879" s="553">
        <v>4.5999999999999996</v>
      </c>
      <c r="T1879" s="553"/>
      <c r="U1879" s="553"/>
      <c r="V1879" s="553"/>
      <c r="W1879" s="553"/>
      <c r="X1879" s="553"/>
      <c r="Y1879" s="67">
        <v>7.2</v>
      </c>
      <c r="Z1879" s="553"/>
      <c r="AA1879" s="587"/>
      <c r="AB1879" s="587"/>
      <c r="AC1879" s="553"/>
      <c r="AD1879" s="608">
        <v>120</v>
      </c>
      <c r="AE1879" s="553">
        <v>80</v>
      </c>
      <c r="AF1879" s="553">
        <f t="shared" si="78"/>
        <v>800</v>
      </c>
      <c r="AG1879" s="66">
        <f t="shared" si="76"/>
        <v>49.166666666666664</v>
      </c>
      <c r="AH1879" s="143">
        <f t="shared" si="77"/>
        <v>1000</v>
      </c>
    </row>
    <row r="1880" spans="1:149" s="556" customFormat="1" x14ac:dyDescent="0.3">
      <c r="A1880" s="607">
        <v>903902</v>
      </c>
      <c r="B1880" s="554">
        <v>0.13333333333333333</v>
      </c>
      <c r="C1880" s="553"/>
      <c r="D1880" s="553">
        <v>8.1199999999999992</v>
      </c>
      <c r="E1880" s="584">
        <v>0.99</v>
      </c>
      <c r="F1880" s="554">
        <v>629.75</v>
      </c>
      <c r="G1880" s="553"/>
      <c r="H1880" s="553">
        <v>99.23</v>
      </c>
      <c r="I1880" s="553">
        <v>330</v>
      </c>
      <c r="J1880" s="553">
        <v>0.313</v>
      </c>
      <c r="K1880" s="553">
        <v>9.6</v>
      </c>
      <c r="L1880" s="553">
        <v>520</v>
      </c>
      <c r="M1880" s="553">
        <v>0.59</v>
      </c>
      <c r="N1880" s="553">
        <v>0.85</v>
      </c>
      <c r="O1880" s="553">
        <v>7.45</v>
      </c>
      <c r="P1880" s="553">
        <v>2.9</v>
      </c>
      <c r="Q1880" s="553"/>
      <c r="R1880" s="587">
        <v>0.52715169501600123</v>
      </c>
      <c r="S1880" s="553">
        <v>3.8</v>
      </c>
      <c r="T1880" s="553"/>
      <c r="U1880" s="553"/>
      <c r="V1880" s="553"/>
      <c r="W1880" s="553"/>
      <c r="X1880" s="553"/>
      <c r="Y1880" s="67">
        <v>29.4</v>
      </c>
      <c r="Z1880" s="553"/>
      <c r="AA1880" s="587"/>
      <c r="AB1880" s="587"/>
      <c r="AC1880" s="553"/>
      <c r="AD1880" s="608">
        <v>490</v>
      </c>
      <c r="AE1880" s="553">
        <v>360</v>
      </c>
      <c r="AF1880" s="553">
        <f t="shared" si="78"/>
        <v>150</v>
      </c>
      <c r="AG1880" s="66">
        <f t="shared" si="76"/>
        <v>115.59183673469389</v>
      </c>
      <c r="AH1880" s="143">
        <f t="shared" si="77"/>
        <v>1000</v>
      </c>
    </row>
    <row r="1881" spans="1:149" s="556" customFormat="1" x14ac:dyDescent="0.3">
      <c r="A1881" s="607">
        <v>903903</v>
      </c>
      <c r="B1881" s="554">
        <v>18.958333333333332</v>
      </c>
      <c r="C1881" s="554">
        <v>5.125</v>
      </c>
      <c r="D1881" s="553">
        <v>8.17</v>
      </c>
      <c r="E1881" s="584">
        <v>0.59</v>
      </c>
      <c r="F1881" s="554">
        <v>142.35</v>
      </c>
      <c r="G1881" s="553"/>
      <c r="H1881" s="553">
        <v>17.309999999999999</v>
      </c>
      <c r="I1881" s="553">
        <v>60</v>
      </c>
      <c r="J1881" s="553">
        <v>5.1999999999999998E-2</v>
      </c>
      <c r="K1881" s="553">
        <v>7.69</v>
      </c>
      <c r="L1881" s="553">
        <v>480</v>
      </c>
      <c r="M1881" s="553">
        <v>0.35</v>
      </c>
      <c r="N1881" s="553">
        <v>1.29</v>
      </c>
      <c r="O1881" s="553">
        <v>3.72</v>
      </c>
      <c r="P1881" s="553">
        <v>15.79</v>
      </c>
      <c r="Q1881" s="553"/>
      <c r="R1881" s="587">
        <v>0.51395134448699276</v>
      </c>
      <c r="S1881" s="553">
        <v>3.8</v>
      </c>
      <c r="T1881" s="553"/>
      <c r="U1881" s="553"/>
      <c r="V1881" s="553"/>
      <c r="W1881" s="553"/>
      <c r="X1881" s="553"/>
      <c r="Y1881" s="67">
        <v>4.2</v>
      </c>
      <c r="Z1881" s="553"/>
      <c r="AA1881" s="587"/>
      <c r="AB1881" s="587"/>
      <c r="AC1881" s="553"/>
      <c r="AD1881" s="608">
        <v>60</v>
      </c>
      <c r="AE1881" s="553">
        <v>80</v>
      </c>
      <c r="AF1881" s="553">
        <f t="shared" si="78"/>
        <v>860</v>
      </c>
      <c r="AG1881" s="66">
        <f t="shared" si="76"/>
        <v>648.15714285714284</v>
      </c>
      <c r="AH1881" s="143">
        <f t="shared" si="77"/>
        <v>1000</v>
      </c>
    </row>
    <row r="1882" spans="1:149" s="556" customFormat="1" x14ac:dyDescent="0.3">
      <c r="A1882" s="607">
        <v>903904</v>
      </c>
      <c r="B1882" s="554">
        <v>0.1</v>
      </c>
      <c r="C1882" s="554"/>
      <c r="D1882" s="553">
        <v>7.88</v>
      </c>
      <c r="E1882" s="584">
        <v>0.13</v>
      </c>
      <c r="F1882" s="554">
        <v>11.5</v>
      </c>
      <c r="G1882" s="553"/>
      <c r="H1882" s="553">
        <v>37.35</v>
      </c>
      <c r="I1882" s="553">
        <v>240</v>
      </c>
      <c r="J1882" s="553">
        <v>2.5000000000000001E-2</v>
      </c>
      <c r="K1882" s="553">
        <v>5.0599999999999996</v>
      </c>
      <c r="L1882" s="553">
        <v>1600</v>
      </c>
      <c r="M1882" s="553">
        <v>1.98</v>
      </c>
      <c r="N1882" s="553">
        <v>4.18</v>
      </c>
      <c r="O1882" s="553">
        <v>12.88</v>
      </c>
      <c r="P1882" s="553">
        <v>16.079999999999998</v>
      </c>
      <c r="Q1882" s="553"/>
      <c r="R1882" s="587">
        <v>1.821377</v>
      </c>
      <c r="S1882" s="553">
        <v>17.3</v>
      </c>
      <c r="T1882" s="553"/>
      <c r="U1882" s="553"/>
      <c r="V1882" s="553"/>
      <c r="W1882" s="553"/>
      <c r="X1882" s="553"/>
      <c r="Y1882" s="67">
        <v>33.4</v>
      </c>
      <c r="Z1882" s="553"/>
      <c r="AA1882" s="587"/>
      <c r="AB1882" s="587"/>
      <c r="AC1882" s="553"/>
      <c r="AD1882" s="608">
        <v>620</v>
      </c>
      <c r="AE1882" s="553">
        <v>280</v>
      </c>
      <c r="AF1882" s="553">
        <f t="shared" si="78"/>
        <v>100</v>
      </c>
      <c r="AG1882" s="66">
        <f t="shared" si="76"/>
        <v>53.629940119760477</v>
      </c>
      <c r="AH1882" s="143">
        <f t="shared" si="77"/>
        <v>1000</v>
      </c>
    </row>
    <row r="1883" spans="1:149" s="556" customFormat="1" x14ac:dyDescent="0.3">
      <c r="A1883" s="607">
        <v>903905</v>
      </c>
      <c r="B1883" s="554">
        <v>6.6666666666666666E-2</v>
      </c>
      <c r="C1883" s="554"/>
      <c r="D1883" s="553">
        <v>7.84</v>
      </c>
      <c r="E1883" s="584">
        <v>0.19</v>
      </c>
      <c r="F1883" s="554">
        <v>6.25</v>
      </c>
      <c r="G1883" s="553"/>
      <c r="H1883" s="553">
        <v>28.48</v>
      </c>
      <c r="I1883" s="553">
        <v>240</v>
      </c>
      <c r="J1883" s="553">
        <v>1.6419999999999999</v>
      </c>
      <c r="K1883" s="553">
        <v>4.4400000000000004</v>
      </c>
      <c r="L1883" s="553">
        <v>1600</v>
      </c>
      <c r="M1883" s="553">
        <v>1.47</v>
      </c>
      <c r="N1883" s="553">
        <v>3.84</v>
      </c>
      <c r="O1883" s="553">
        <v>8.9600000000000009</v>
      </c>
      <c r="P1883" s="553">
        <v>24.33</v>
      </c>
      <c r="Q1883" s="553"/>
      <c r="R1883" s="587">
        <v>1.7966250000000001</v>
      </c>
      <c r="S1883" s="553">
        <v>16.5</v>
      </c>
      <c r="T1883" s="553"/>
      <c r="U1883" s="553"/>
      <c r="V1883" s="553"/>
      <c r="W1883" s="553"/>
      <c r="X1883" s="553"/>
      <c r="Y1883" s="67">
        <v>32</v>
      </c>
      <c r="Z1883" s="553"/>
      <c r="AA1883" s="587"/>
      <c r="AB1883" s="587"/>
      <c r="AC1883" s="553"/>
      <c r="AD1883" s="608">
        <v>600</v>
      </c>
      <c r="AE1883" s="553">
        <v>280</v>
      </c>
      <c r="AF1883" s="553">
        <f t="shared" si="78"/>
        <v>120</v>
      </c>
      <c r="AG1883" s="66">
        <f t="shared" si="76"/>
        <v>49.1175</v>
      </c>
      <c r="AH1883" s="143">
        <f t="shared" si="77"/>
        <v>1000</v>
      </c>
    </row>
    <row r="1884" spans="1:149" s="556" customFormat="1" x14ac:dyDescent="0.3">
      <c r="A1884" s="607">
        <v>903906</v>
      </c>
      <c r="B1884" s="554">
        <v>0.05</v>
      </c>
      <c r="C1884" s="554"/>
      <c r="D1884" s="553">
        <v>7.42</v>
      </c>
      <c r="E1884" s="584">
        <v>1.1200000000000001</v>
      </c>
      <c r="F1884" s="554">
        <v>1022.45</v>
      </c>
      <c r="G1884" s="553"/>
      <c r="H1884" s="553">
        <v>43.04</v>
      </c>
      <c r="I1884" s="553">
        <v>370</v>
      </c>
      <c r="J1884" s="553">
        <v>1.024</v>
      </c>
      <c r="K1884" s="553">
        <v>7.49</v>
      </c>
      <c r="L1884" s="553">
        <v>750</v>
      </c>
      <c r="M1884" s="553">
        <v>0.54</v>
      </c>
      <c r="N1884" s="553">
        <v>0.9</v>
      </c>
      <c r="O1884" s="553">
        <v>4.03</v>
      </c>
      <c r="P1884" s="553">
        <v>2.76</v>
      </c>
      <c r="Q1884" s="553"/>
      <c r="R1884" s="587">
        <v>0.76267032967488546</v>
      </c>
      <c r="S1884" s="553">
        <v>5.6</v>
      </c>
      <c r="T1884" s="553"/>
      <c r="U1884" s="553"/>
      <c r="V1884" s="553"/>
      <c r="W1884" s="553"/>
      <c r="X1884" s="553"/>
      <c r="Y1884" s="67">
        <v>33.6</v>
      </c>
      <c r="Z1884" s="553"/>
      <c r="AA1884" s="587"/>
      <c r="AB1884" s="587"/>
      <c r="AC1884" s="553"/>
      <c r="AD1884" s="608">
        <v>480</v>
      </c>
      <c r="AE1884" s="553">
        <v>360</v>
      </c>
      <c r="AF1884" s="553">
        <f t="shared" si="78"/>
        <v>160</v>
      </c>
      <c r="AG1884" s="66">
        <f t="shared" si="76"/>
        <v>78.912499999999994</v>
      </c>
      <c r="AH1884" s="143">
        <f t="shared" si="77"/>
        <v>1000</v>
      </c>
    </row>
    <row r="1885" spans="1:149" s="556" customFormat="1" x14ac:dyDescent="0.3">
      <c r="A1885" s="607">
        <v>903907</v>
      </c>
      <c r="B1885" s="554">
        <v>6.6666666666666666E-2</v>
      </c>
      <c r="C1885" s="554"/>
      <c r="D1885" s="553">
        <v>7.5</v>
      </c>
      <c r="E1885" s="584">
        <v>0.08</v>
      </c>
      <c r="F1885" s="554">
        <v>31.349999999999998</v>
      </c>
      <c r="G1885" s="553"/>
      <c r="H1885" s="553">
        <v>11.6</v>
      </c>
      <c r="I1885" s="553">
        <v>60</v>
      </c>
      <c r="J1885" s="553">
        <v>2.4E-2</v>
      </c>
      <c r="K1885" s="553">
        <v>0.5</v>
      </c>
      <c r="L1885" s="553">
        <v>50</v>
      </c>
      <c r="M1885" s="553">
        <v>0.2</v>
      </c>
      <c r="N1885" s="553">
        <v>0.27</v>
      </c>
      <c r="O1885" s="553">
        <v>0.47</v>
      </c>
      <c r="P1885" s="553">
        <v>20.83</v>
      </c>
      <c r="Q1885" s="553"/>
      <c r="R1885" s="587">
        <v>0.28115102399552228</v>
      </c>
      <c r="S1885" s="554">
        <v>2</v>
      </c>
      <c r="T1885" s="553"/>
      <c r="U1885" s="553"/>
      <c r="V1885" s="553"/>
      <c r="W1885" s="553"/>
      <c r="X1885" s="553"/>
      <c r="Y1885" s="67">
        <v>4.2</v>
      </c>
      <c r="Z1885" s="553"/>
      <c r="AA1885" s="587"/>
      <c r="AB1885" s="587"/>
      <c r="AC1885" s="553"/>
      <c r="AD1885" s="608">
        <v>60</v>
      </c>
      <c r="AE1885" s="553">
        <v>60</v>
      </c>
      <c r="AF1885" s="553">
        <f t="shared" si="78"/>
        <v>880</v>
      </c>
      <c r="AG1885" s="66">
        <f t="shared" si="76"/>
        <v>42.142857142857139</v>
      </c>
      <c r="AH1885" s="143">
        <f t="shared" si="77"/>
        <v>1000</v>
      </c>
    </row>
    <row r="1886" spans="1:149" s="556" customFormat="1" x14ac:dyDescent="0.3">
      <c r="A1886" s="607">
        <v>903908</v>
      </c>
      <c r="B1886" s="554">
        <v>18.333333333333336</v>
      </c>
      <c r="C1886" s="554">
        <v>10.499999999999998</v>
      </c>
      <c r="D1886" s="553">
        <v>8.43</v>
      </c>
      <c r="E1886" s="584">
        <v>0.26</v>
      </c>
      <c r="F1886" s="554">
        <v>101.64999999999999</v>
      </c>
      <c r="G1886" s="553"/>
      <c r="H1886" s="553">
        <v>78.459999999999994</v>
      </c>
      <c r="I1886" s="553">
        <v>200</v>
      </c>
      <c r="J1886" s="553">
        <v>0.33400000000000002</v>
      </c>
      <c r="K1886" s="553">
        <v>10.44</v>
      </c>
      <c r="L1886" s="553">
        <v>770</v>
      </c>
      <c r="M1886" s="553">
        <v>0.63</v>
      </c>
      <c r="N1886" s="553">
        <v>1.46</v>
      </c>
      <c r="O1886" s="553">
        <v>4.49</v>
      </c>
      <c r="P1886" s="553">
        <v>15.9</v>
      </c>
      <c r="Q1886" s="553"/>
      <c r="R1886" s="587">
        <v>1.6369130000000003</v>
      </c>
      <c r="S1886" s="553">
        <v>11.9</v>
      </c>
      <c r="T1886" s="553"/>
      <c r="U1886" s="553"/>
      <c r="V1886" s="553"/>
      <c r="W1886" s="553"/>
      <c r="X1886" s="553"/>
      <c r="Y1886" s="67">
        <v>38.4</v>
      </c>
      <c r="Z1886" s="553"/>
      <c r="AA1886" s="587"/>
      <c r="AB1886" s="587"/>
      <c r="AC1886" s="553"/>
      <c r="AD1886" s="608">
        <v>640</v>
      </c>
      <c r="AE1886" s="553">
        <v>260</v>
      </c>
      <c r="AF1886" s="553">
        <f t="shared" si="78"/>
        <v>100</v>
      </c>
      <c r="AG1886" s="66">
        <f t="shared" si="76"/>
        <v>96.243749999999991</v>
      </c>
      <c r="AH1886" s="143">
        <f t="shared" si="77"/>
        <v>1000</v>
      </c>
    </row>
    <row r="1887" spans="1:149" s="556" customFormat="1" x14ac:dyDescent="0.3">
      <c r="A1887" s="607">
        <v>903909</v>
      </c>
      <c r="B1887" s="554">
        <v>20.416666666666668</v>
      </c>
      <c r="C1887" s="554">
        <v>10.875</v>
      </c>
      <c r="D1887" s="553">
        <v>8.3699999999999992</v>
      </c>
      <c r="E1887" s="584">
        <v>0.36</v>
      </c>
      <c r="F1887" s="554">
        <v>140.65</v>
      </c>
      <c r="G1887" s="553"/>
      <c r="H1887" s="553">
        <v>69.680000000000007</v>
      </c>
      <c r="I1887" s="553">
        <v>230</v>
      </c>
      <c r="J1887" s="553">
        <v>0.56299999999999994</v>
      </c>
      <c r="K1887" s="553">
        <v>10.32</v>
      </c>
      <c r="L1887" s="553">
        <v>850</v>
      </c>
      <c r="M1887" s="553">
        <v>0.81</v>
      </c>
      <c r="N1887" s="553">
        <v>1.88</v>
      </c>
      <c r="O1887" s="553">
        <v>8.16</v>
      </c>
      <c r="P1887" s="553">
        <v>14.76</v>
      </c>
      <c r="Q1887" s="553"/>
      <c r="R1887" s="587">
        <v>1.6407</v>
      </c>
      <c r="S1887" s="553">
        <v>12</v>
      </c>
      <c r="T1887" s="553"/>
      <c r="U1887" s="553"/>
      <c r="V1887" s="553"/>
      <c r="W1887" s="553"/>
      <c r="X1887" s="553"/>
      <c r="Y1887" s="67">
        <v>37.200000000000003</v>
      </c>
      <c r="Z1887" s="553"/>
      <c r="AA1887" s="587"/>
      <c r="AB1887" s="587"/>
      <c r="AC1887" s="553"/>
      <c r="AD1887" s="608">
        <v>620</v>
      </c>
      <c r="AE1887" s="553">
        <v>290</v>
      </c>
      <c r="AF1887" s="553">
        <f t="shared" si="78"/>
        <v>90</v>
      </c>
      <c r="AG1887" s="66">
        <f t="shared" si="76"/>
        <v>98.206451612903223</v>
      </c>
      <c r="AH1887" s="143">
        <f t="shared" si="77"/>
        <v>1000</v>
      </c>
    </row>
    <row r="1888" spans="1:149" s="114" customFormat="1" x14ac:dyDescent="0.3">
      <c r="A1888" s="609">
        <v>903913</v>
      </c>
      <c r="B1888" s="610">
        <v>37.5</v>
      </c>
      <c r="C1888" s="611">
        <v>6.38</v>
      </c>
      <c r="D1888" s="612">
        <v>8.35</v>
      </c>
      <c r="E1888" s="1555">
        <v>0.17</v>
      </c>
      <c r="F1888" s="612">
        <v>70.3</v>
      </c>
      <c r="G1888" s="612"/>
      <c r="H1888" s="612">
        <v>14.42</v>
      </c>
      <c r="I1888" s="612">
        <v>160</v>
      </c>
      <c r="J1888" s="612">
        <v>1.6E-2</v>
      </c>
      <c r="K1888" s="612">
        <v>10.83</v>
      </c>
      <c r="L1888" s="612">
        <v>750</v>
      </c>
      <c r="M1888" s="612">
        <v>0.17</v>
      </c>
      <c r="N1888" s="612">
        <v>1.28</v>
      </c>
      <c r="O1888" s="612">
        <v>3.82</v>
      </c>
      <c r="P1888" s="612">
        <v>4.17</v>
      </c>
      <c r="Q1888" s="613"/>
      <c r="R1888" s="614">
        <v>1.0158131791231078</v>
      </c>
      <c r="S1888" s="613">
        <v>7.5</v>
      </c>
      <c r="T1888" s="614"/>
      <c r="U1888" s="614"/>
      <c r="Y1888" s="314">
        <v>23</v>
      </c>
      <c r="Z1888" s="613"/>
      <c r="AA1888" s="311">
        <v>4.68</v>
      </c>
      <c r="AB1888" s="311">
        <v>0.68700000000000006</v>
      </c>
      <c r="AC1888" s="114">
        <v>8.6999999999999993</v>
      </c>
      <c r="AD1888" s="616">
        <v>460</v>
      </c>
      <c r="AE1888" s="613">
        <v>260</v>
      </c>
      <c r="AF1888" s="613">
        <v>280</v>
      </c>
      <c r="AG1888" s="66">
        <f t="shared" si="76"/>
        <v>166.68782608695653</v>
      </c>
      <c r="AH1888" s="143">
        <f t="shared" si="77"/>
        <v>1000</v>
      </c>
      <c r="AI1888" s="615"/>
      <c r="AJ1888" s="615"/>
      <c r="AK1888" s="615"/>
      <c r="AL1888" s="615"/>
      <c r="AM1888" s="615"/>
      <c r="AN1888" s="615"/>
      <c r="AO1888" s="615"/>
      <c r="AP1888" s="615"/>
      <c r="AQ1888" s="615"/>
      <c r="AR1888" s="615"/>
      <c r="AS1888" s="615"/>
      <c r="AT1888" s="615"/>
      <c r="AU1888" s="615"/>
      <c r="AV1888" s="615"/>
      <c r="AW1888" s="615"/>
      <c r="AX1888" s="615"/>
      <c r="AY1888" s="615"/>
      <c r="AZ1888" s="615"/>
      <c r="BA1888" s="615"/>
      <c r="BB1888" s="615"/>
      <c r="BC1888" s="615"/>
      <c r="BD1888" s="615"/>
      <c r="BE1888" s="615"/>
      <c r="BF1888" s="615"/>
      <c r="BG1888" s="615"/>
      <c r="BH1888" s="615"/>
      <c r="BI1888" s="615"/>
      <c r="BJ1888" s="615"/>
      <c r="BK1888" s="615"/>
      <c r="BL1888" s="615"/>
      <c r="BM1888" s="615"/>
      <c r="BN1888" s="615"/>
      <c r="BO1888" s="615"/>
      <c r="BP1888" s="615"/>
      <c r="BQ1888" s="615"/>
      <c r="BR1888" s="615"/>
      <c r="BS1888" s="615"/>
      <c r="BT1888" s="615"/>
      <c r="BU1888" s="615"/>
      <c r="BV1888" s="615"/>
      <c r="BW1888" s="615"/>
      <c r="BX1888" s="615"/>
      <c r="BY1888" s="615"/>
      <c r="BZ1888" s="615"/>
      <c r="CA1888" s="615"/>
      <c r="CB1888" s="615"/>
      <c r="CC1888" s="615"/>
      <c r="CD1888" s="615"/>
      <c r="CE1888" s="615"/>
      <c r="CF1888" s="615"/>
      <c r="CG1888" s="615"/>
      <c r="CH1888" s="615"/>
      <c r="CI1888" s="615"/>
      <c r="CJ1888" s="615"/>
      <c r="CK1888" s="615"/>
      <c r="CL1888" s="615"/>
      <c r="CM1888" s="615"/>
      <c r="CN1888" s="615"/>
      <c r="CO1888" s="615"/>
      <c r="CP1888" s="615"/>
      <c r="CQ1888" s="615"/>
      <c r="CR1888" s="615"/>
      <c r="CS1888" s="615"/>
      <c r="CT1888" s="615"/>
      <c r="CU1888" s="615"/>
      <c r="CV1888" s="615"/>
      <c r="CW1888" s="615"/>
      <c r="CX1888" s="615"/>
      <c r="CY1888" s="615"/>
      <c r="CZ1888" s="615"/>
      <c r="DA1888" s="615"/>
      <c r="DB1888" s="615"/>
      <c r="DC1888" s="615"/>
      <c r="DD1888" s="615"/>
      <c r="DE1888" s="615"/>
      <c r="DF1888" s="615"/>
      <c r="DG1888" s="615"/>
      <c r="DH1888" s="615"/>
      <c r="DI1888" s="615"/>
      <c r="DJ1888" s="615"/>
      <c r="DK1888" s="615"/>
      <c r="DL1888" s="615"/>
      <c r="DM1888" s="615"/>
      <c r="DN1888" s="615"/>
      <c r="DO1888" s="615"/>
      <c r="DP1888" s="615"/>
      <c r="DQ1888" s="615"/>
      <c r="DR1888" s="615"/>
      <c r="DS1888" s="615"/>
      <c r="DT1888" s="615"/>
      <c r="DU1888" s="615"/>
      <c r="DV1888" s="615"/>
      <c r="DW1888" s="615"/>
      <c r="DX1888" s="615"/>
      <c r="DY1888" s="615"/>
      <c r="DZ1888" s="615"/>
      <c r="EA1888" s="615"/>
      <c r="EB1888" s="615"/>
      <c r="EC1888" s="615"/>
      <c r="ED1888" s="615"/>
      <c r="EE1888" s="615"/>
      <c r="EF1888" s="615"/>
      <c r="EG1888" s="615"/>
      <c r="EH1888" s="615"/>
      <c r="EI1888" s="615"/>
      <c r="EJ1888" s="615"/>
      <c r="EK1888" s="615"/>
      <c r="EL1888" s="615"/>
      <c r="EM1888" s="615"/>
      <c r="EN1888" s="615"/>
      <c r="EO1888" s="615"/>
      <c r="EP1888" s="615"/>
      <c r="EQ1888" s="615"/>
      <c r="ER1888" s="615"/>
      <c r="ES1888" s="615"/>
    </row>
    <row r="1889" spans="1:149" s="114" customFormat="1" x14ac:dyDescent="0.3">
      <c r="A1889" s="609">
        <v>903914</v>
      </c>
      <c r="B1889" s="610">
        <v>63.7</v>
      </c>
      <c r="C1889" s="611">
        <v>13.63</v>
      </c>
      <c r="D1889" s="612">
        <v>8.36</v>
      </c>
      <c r="E1889" s="1555">
        <v>0.18</v>
      </c>
      <c r="F1889" s="612">
        <v>86.65</v>
      </c>
      <c r="G1889" s="612"/>
      <c r="H1889" s="612">
        <v>13.41</v>
      </c>
      <c r="I1889" s="612">
        <v>120</v>
      </c>
      <c r="J1889" s="612">
        <v>3.9E-2</v>
      </c>
      <c r="K1889" s="612">
        <v>10.15</v>
      </c>
      <c r="L1889" s="612">
        <v>1070</v>
      </c>
      <c r="M1889" s="612">
        <v>0.12</v>
      </c>
      <c r="N1889" s="612">
        <v>0.89</v>
      </c>
      <c r="O1889" s="612">
        <v>1.44</v>
      </c>
      <c r="P1889" s="612">
        <v>7.35</v>
      </c>
      <c r="Q1889" s="613"/>
      <c r="R1889" s="614">
        <v>1.2850345651029949</v>
      </c>
      <c r="S1889" s="613">
        <v>8.9</v>
      </c>
      <c r="T1889" s="614"/>
      <c r="U1889" s="614"/>
      <c r="Y1889" s="314">
        <v>36.4</v>
      </c>
      <c r="Z1889" s="613"/>
      <c r="AA1889" s="311">
        <v>3.48</v>
      </c>
      <c r="AB1889" s="311">
        <v>0.438</v>
      </c>
      <c r="AC1889" s="114">
        <v>7.3</v>
      </c>
      <c r="AD1889" s="616">
        <v>520</v>
      </c>
      <c r="AE1889" s="613">
        <v>260</v>
      </c>
      <c r="AF1889" s="613">
        <v>220</v>
      </c>
      <c r="AG1889" s="66">
        <f t="shared" si="76"/>
        <v>98.711538461538481</v>
      </c>
      <c r="AH1889" s="143">
        <f t="shared" si="77"/>
        <v>1000</v>
      </c>
      <c r="AI1889" s="615"/>
      <c r="AJ1889" s="615"/>
      <c r="AK1889" s="615"/>
      <c r="AL1889" s="615"/>
      <c r="AM1889" s="615"/>
      <c r="AN1889" s="615"/>
      <c r="AO1889" s="615"/>
      <c r="AP1889" s="615"/>
      <c r="AQ1889" s="615"/>
      <c r="AR1889" s="615"/>
      <c r="AS1889" s="615"/>
      <c r="AT1889" s="615"/>
      <c r="AU1889" s="615"/>
      <c r="AV1889" s="615"/>
      <c r="AW1889" s="615"/>
      <c r="AX1889" s="615"/>
      <c r="AY1889" s="615"/>
      <c r="AZ1889" s="615"/>
      <c r="BA1889" s="615"/>
      <c r="BB1889" s="615"/>
      <c r="BC1889" s="615"/>
      <c r="BD1889" s="615"/>
      <c r="BE1889" s="615"/>
      <c r="BF1889" s="615"/>
      <c r="BG1889" s="615"/>
      <c r="BH1889" s="615"/>
      <c r="BI1889" s="615"/>
      <c r="BJ1889" s="615"/>
      <c r="BK1889" s="615"/>
      <c r="BL1889" s="615"/>
      <c r="BM1889" s="615"/>
      <c r="BN1889" s="615"/>
      <c r="BO1889" s="615"/>
      <c r="BP1889" s="615"/>
      <c r="BQ1889" s="615"/>
      <c r="BR1889" s="615"/>
      <c r="BS1889" s="615"/>
      <c r="BT1889" s="615"/>
      <c r="BU1889" s="615"/>
      <c r="BV1889" s="615"/>
      <c r="BW1889" s="615"/>
      <c r="BX1889" s="615"/>
      <c r="BY1889" s="615"/>
      <c r="BZ1889" s="615"/>
      <c r="CA1889" s="615"/>
      <c r="CB1889" s="615"/>
      <c r="CC1889" s="615"/>
      <c r="CD1889" s="615"/>
      <c r="CE1889" s="615"/>
      <c r="CF1889" s="615"/>
      <c r="CG1889" s="615"/>
      <c r="CH1889" s="615"/>
      <c r="CI1889" s="615"/>
      <c r="CJ1889" s="615"/>
      <c r="CK1889" s="615"/>
      <c r="CL1889" s="615"/>
      <c r="CM1889" s="615"/>
      <c r="CN1889" s="615"/>
      <c r="CO1889" s="615"/>
      <c r="CP1889" s="615"/>
      <c r="CQ1889" s="615"/>
      <c r="CR1889" s="615"/>
      <c r="CS1889" s="615"/>
      <c r="CT1889" s="615"/>
      <c r="CU1889" s="615"/>
      <c r="CV1889" s="615"/>
      <c r="CW1889" s="615"/>
      <c r="CX1889" s="615"/>
      <c r="CY1889" s="615"/>
      <c r="CZ1889" s="615"/>
      <c r="DA1889" s="615"/>
      <c r="DB1889" s="615"/>
      <c r="DC1889" s="615"/>
      <c r="DD1889" s="615"/>
      <c r="DE1889" s="615"/>
      <c r="DF1889" s="615"/>
      <c r="DG1889" s="615"/>
      <c r="DH1889" s="615"/>
      <c r="DI1889" s="615"/>
      <c r="DJ1889" s="615"/>
      <c r="DK1889" s="615"/>
      <c r="DL1889" s="615"/>
      <c r="DM1889" s="615"/>
      <c r="DN1889" s="615"/>
      <c r="DO1889" s="615"/>
      <c r="DP1889" s="615"/>
      <c r="DQ1889" s="615"/>
      <c r="DR1889" s="615"/>
      <c r="DS1889" s="615"/>
      <c r="DT1889" s="615"/>
      <c r="DU1889" s="615"/>
      <c r="DV1889" s="615"/>
      <c r="DW1889" s="615"/>
      <c r="DX1889" s="615"/>
      <c r="DY1889" s="615"/>
      <c r="DZ1889" s="615"/>
      <c r="EA1889" s="615"/>
      <c r="EB1889" s="615"/>
      <c r="EC1889" s="615"/>
      <c r="ED1889" s="615"/>
      <c r="EE1889" s="615"/>
      <c r="EF1889" s="615"/>
      <c r="EG1889" s="615"/>
      <c r="EH1889" s="615"/>
      <c r="EI1889" s="615"/>
      <c r="EJ1889" s="615"/>
      <c r="EK1889" s="615"/>
      <c r="EL1889" s="615"/>
      <c r="EM1889" s="615"/>
      <c r="EN1889" s="615"/>
      <c r="EO1889" s="615"/>
      <c r="EP1889" s="615"/>
      <c r="EQ1889" s="615"/>
      <c r="ER1889" s="615"/>
      <c r="ES1889" s="615"/>
    </row>
    <row r="1890" spans="1:149" s="114" customFormat="1" x14ac:dyDescent="0.3">
      <c r="A1890" s="609">
        <v>903915</v>
      </c>
      <c r="B1890" s="610">
        <v>58</v>
      </c>
      <c r="C1890" s="611">
        <v>13.38</v>
      </c>
      <c r="D1890" s="612">
        <v>8.31</v>
      </c>
      <c r="E1890" s="1555">
        <v>0.23</v>
      </c>
      <c r="F1890" s="612">
        <v>95.25</v>
      </c>
      <c r="G1890" s="612"/>
      <c r="H1890" s="612">
        <v>16.649999999999999</v>
      </c>
      <c r="I1890" s="612">
        <v>190</v>
      </c>
      <c r="J1890" s="612">
        <v>8.6999999999999994E-2</v>
      </c>
      <c r="K1890" s="612">
        <v>10.96</v>
      </c>
      <c r="L1890" s="612">
        <v>1450</v>
      </c>
      <c r="M1890" s="612">
        <v>0.13</v>
      </c>
      <c r="N1890" s="612">
        <v>1.04</v>
      </c>
      <c r="O1890" s="612">
        <v>2.31</v>
      </c>
      <c r="P1890" s="612">
        <v>9.48</v>
      </c>
      <c r="Q1890" s="613"/>
      <c r="R1890" s="614">
        <v>1.3183398417415362</v>
      </c>
      <c r="S1890" s="613">
        <v>8.9</v>
      </c>
      <c r="T1890" s="614"/>
      <c r="U1890" s="614"/>
      <c r="Y1890" s="314">
        <v>32.200000000000003</v>
      </c>
      <c r="Z1890" s="613"/>
      <c r="AA1890" s="311">
        <v>3.78</v>
      </c>
      <c r="AB1890" s="311">
        <v>0.72599999999999998</v>
      </c>
      <c r="AC1890" s="114">
        <v>7.7</v>
      </c>
      <c r="AD1890" s="616">
        <v>460</v>
      </c>
      <c r="AE1890" s="613">
        <v>270</v>
      </c>
      <c r="AF1890" s="613">
        <v>270</v>
      </c>
      <c r="AG1890" s="66">
        <f t="shared" si="76"/>
        <v>120.49192546583851</v>
      </c>
      <c r="AH1890" s="143">
        <f t="shared" si="77"/>
        <v>1000</v>
      </c>
      <c r="AI1890" s="615"/>
      <c r="AJ1890" s="615"/>
      <c r="AK1890" s="615"/>
      <c r="AL1890" s="615"/>
      <c r="AM1890" s="615"/>
      <c r="AN1890" s="615"/>
      <c r="AO1890" s="615"/>
      <c r="AP1890" s="615"/>
      <c r="AQ1890" s="615"/>
      <c r="AR1890" s="615"/>
      <c r="AS1890" s="615"/>
      <c r="AT1890" s="615"/>
      <c r="AU1890" s="615"/>
      <c r="AV1890" s="615"/>
      <c r="AW1890" s="615"/>
      <c r="AX1890" s="615"/>
      <c r="AY1890" s="615"/>
      <c r="AZ1890" s="615"/>
      <c r="BA1890" s="615"/>
      <c r="BB1890" s="615"/>
      <c r="BC1890" s="615"/>
      <c r="BD1890" s="615"/>
      <c r="BE1890" s="615"/>
      <c r="BF1890" s="615"/>
      <c r="BG1890" s="615"/>
      <c r="BH1890" s="615"/>
      <c r="BI1890" s="615"/>
      <c r="BJ1890" s="615"/>
      <c r="BK1890" s="615"/>
      <c r="BL1890" s="615"/>
      <c r="BM1890" s="615"/>
      <c r="BN1890" s="615"/>
      <c r="BO1890" s="615"/>
      <c r="BP1890" s="615"/>
      <c r="BQ1890" s="615"/>
      <c r="BR1890" s="615"/>
      <c r="BS1890" s="615"/>
      <c r="BT1890" s="615"/>
      <c r="BU1890" s="615"/>
      <c r="BV1890" s="615"/>
      <c r="BW1890" s="615"/>
      <c r="BX1890" s="615"/>
      <c r="BY1890" s="615"/>
      <c r="BZ1890" s="615"/>
      <c r="CA1890" s="615"/>
      <c r="CB1890" s="615"/>
      <c r="CC1890" s="615"/>
      <c r="CD1890" s="615"/>
      <c r="CE1890" s="615"/>
      <c r="CF1890" s="615"/>
      <c r="CG1890" s="615"/>
      <c r="CH1890" s="615"/>
      <c r="CI1890" s="615"/>
      <c r="CJ1890" s="615"/>
      <c r="CK1890" s="615"/>
      <c r="CL1890" s="615"/>
      <c r="CM1890" s="615"/>
      <c r="CN1890" s="615"/>
      <c r="CO1890" s="615"/>
      <c r="CP1890" s="615"/>
      <c r="CQ1890" s="615"/>
      <c r="CR1890" s="615"/>
      <c r="CS1890" s="615"/>
      <c r="CT1890" s="615"/>
      <c r="CU1890" s="615"/>
      <c r="CV1890" s="615"/>
      <c r="CW1890" s="615"/>
      <c r="CX1890" s="615"/>
      <c r="CY1890" s="615"/>
      <c r="CZ1890" s="615"/>
      <c r="DA1890" s="615"/>
      <c r="DB1890" s="615"/>
      <c r="DC1890" s="615"/>
      <c r="DD1890" s="615"/>
      <c r="DE1890" s="615"/>
      <c r="DF1890" s="615"/>
      <c r="DG1890" s="615"/>
      <c r="DH1890" s="615"/>
      <c r="DI1890" s="615"/>
      <c r="DJ1890" s="615"/>
      <c r="DK1890" s="615"/>
      <c r="DL1890" s="615"/>
      <c r="DM1890" s="615"/>
      <c r="DN1890" s="615"/>
      <c r="DO1890" s="615"/>
      <c r="DP1890" s="615"/>
      <c r="DQ1890" s="615"/>
      <c r="DR1890" s="615"/>
      <c r="DS1890" s="615"/>
      <c r="DT1890" s="615"/>
      <c r="DU1890" s="615"/>
      <c r="DV1890" s="615"/>
      <c r="DW1890" s="615"/>
      <c r="DX1890" s="615"/>
      <c r="DY1890" s="615"/>
      <c r="DZ1890" s="615"/>
      <c r="EA1890" s="615"/>
      <c r="EB1890" s="615"/>
      <c r="EC1890" s="615"/>
      <c r="ED1890" s="615"/>
      <c r="EE1890" s="615"/>
      <c r="EF1890" s="615"/>
      <c r="EG1890" s="615"/>
      <c r="EH1890" s="615"/>
      <c r="EI1890" s="615"/>
      <c r="EJ1890" s="615"/>
      <c r="EK1890" s="615"/>
      <c r="EL1890" s="615"/>
      <c r="EM1890" s="615"/>
      <c r="EN1890" s="615"/>
      <c r="EO1890" s="615"/>
      <c r="EP1890" s="615"/>
      <c r="EQ1890" s="615"/>
      <c r="ER1890" s="615"/>
      <c r="ES1890" s="615"/>
    </row>
    <row r="1891" spans="1:149" s="114" customFormat="1" x14ac:dyDescent="0.3">
      <c r="A1891" s="609">
        <v>903916</v>
      </c>
      <c r="B1891" s="610">
        <v>65</v>
      </c>
      <c r="C1891" s="611">
        <v>12.63</v>
      </c>
      <c r="D1891" s="612">
        <v>8.58</v>
      </c>
      <c r="E1891" s="1555">
        <v>0.16</v>
      </c>
      <c r="F1891" s="612">
        <v>94.85</v>
      </c>
      <c r="G1891" s="612"/>
      <c r="H1891" s="612">
        <v>14.78</v>
      </c>
      <c r="I1891" s="612">
        <v>80</v>
      </c>
      <c r="J1891" s="612">
        <v>2.4E-2</v>
      </c>
      <c r="K1891" s="612">
        <v>9.56</v>
      </c>
      <c r="L1891" s="612">
        <v>790</v>
      </c>
      <c r="M1891" s="612">
        <v>0.13</v>
      </c>
      <c r="N1891" s="612">
        <v>0.39</v>
      </c>
      <c r="O1891" s="612">
        <v>1.29</v>
      </c>
      <c r="P1891" s="612">
        <v>4.9800000000000004</v>
      </c>
      <c r="Q1891" s="613"/>
      <c r="R1891" s="614">
        <v>1.3302109159126425</v>
      </c>
      <c r="S1891" s="613">
        <v>8.6999999999999993</v>
      </c>
      <c r="T1891" s="614"/>
      <c r="U1891" s="614"/>
      <c r="Y1891" s="314">
        <v>16.8</v>
      </c>
      <c r="Z1891" s="613"/>
      <c r="AA1891" s="311">
        <v>4.5599999999999996</v>
      </c>
      <c r="AB1891" s="311">
        <v>0.83099999999999996</v>
      </c>
      <c r="AC1891" s="114">
        <v>10.7</v>
      </c>
      <c r="AD1891" s="616">
        <v>280</v>
      </c>
      <c r="AE1891" s="613">
        <v>120</v>
      </c>
      <c r="AF1891" s="613">
        <v>600</v>
      </c>
      <c r="AG1891" s="66">
        <f t="shared" si="76"/>
        <v>201.44285714285718</v>
      </c>
      <c r="AH1891" s="143">
        <f t="shared" si="77"/>
        <v>1000</v>
      </c>
      <c r="AI1891" s="615"/>
      <c r="AJ1891" s="615"/>
      <c r="AK1891" s="615"/>
      <c r="AL1891" s="615"/>
      <c r="AM1891" s="615"/>
      <c r="AN1891" s="615"/>
      <c r="AO1891" s="615"/>
      <c r="AP1891" s="615"/>
      <c r="AQ1891" s="615"/>
      <c r="AR1891" s="615"/>
      <c r="AS1891" s="615"/>
      <c r="AT1891" s="615"/>
      <c r="AU1891" s="615"/>
      <c r="AV1891" s="615"/>
      <c r="AW1891" s="615"/>
      <c r="AX1891" s="615"/>
      <c r="AY1891" s="615"/>
      <c r="AZ1891" s="615"/>
      <c r="BA1891" s="615"/>
      <c r="BB1891" s="615"/>
      <c r="BC1891" s="615"/>
      <c r="BD1891" s="615"/>
      <c r="BE1891" s="615"/>
      <c r="BF1891" s="615"/>
      <c r="BG1891" s="615"/>
      <c r="BH1891" s="615"/>
      <c r="BI1891" s="615"/>
      <c r="BJ1891" s="615"/>
      <c r="BK1891" s="615"/>
      <c r="BL1891" s="615"/>
      <c r="BM1891" s="615"/>
      <c r="BN1891" s="615"/>
      <c r="BO1891" s="615"/>
      <c r="BP1891" s="615"/>
      <c r="BQ1891" s="615"/>
      <c r="BR1891" s="615"/>
      <c r="BS1891" s="615"/>
      <c r="BT1891" s="615"/>
      <c r="BU1891" s="615"/>
      <c r="BV1891" s="615"/>
      <c r="BW1891" s="615"/>
      <c r="BX1891" s="615"/>
      <c r="BY1891" s="615"/>
      <c r="BZ1891" s="615"/>
      <c r="CA1891" s="615"/>
      <c r="CB1891" s="615"/>
      <c r="CC1891" s="615"/>
      <c r="CD1891" s="615"/>
      <c r="CE1891" s="615"/>
      <c r="CF1891" s="615"/>
      <c r="CG1891" s="615"/>
      <c r="CH1891" s="615"/>
      <c r="CI1891" s="615"/>
      <c r="CJ1891" s="615"/>
      <c r="CK1891" s="615"/>
      <c r="CL1891" s="615"/>
      <c r="CM1891" s="615"/>
      <c r="CN1891" s="615"/>
      <c r="CO1891" s="615"/>
      <c r="CP1891" s="615"/>
      <c r="CQ1891" s="615"/>
      <c r="CR1891" s="615"/>
      <c r="CS1891" s="615"/>
      <c r="CT1891" s="615"/>
      <c r="CU1891" s="615"/>
      <c r="CV1891" s="615"/>
      <c r="CW1891" s="615"/>
      <c r="CX1891" s="615"/>
      <c r="CY1891" s="615"/>
      <c r="CZ1891" s="615"/>
      <c r="DA1891" s="615"/>
      <c r="DB1891" s="615"/>
      <c r="DC1891" s="615"/>
      <c r="DD1891" s="615"/>
      <c r="DE1891" s="615"/>
      <c r="DF1891" s="615"/>
      <c r="DG1891" s="615"/>
      <c r="DH1891" s="615"/>
      <c r="DI1891" s="615"/>
      <c r="DJ1891" s="615"/>
      <c r="DK1891" s="615"/>
      <c r="DL1891" s="615"/>
      <c r="DM1891" s="615"/>
      <c r="DN1891" s="615"/>
      <c r="DO1891" s="615"/>
      <c r="DP1891" s="615"/>
      <c r="DQ1891" s="615"/>
      <c r="DR1891" s="615"/>
      <c r="DS1891" s="615"/>
      <c r="DT1891" s="615"/>
      <c r="DU1891" s="615"/>
      <c r="DV1891" s="615"/>
      <c r="DW1891" s="615"/>
      <c r="DX1891" s="615"/>
      <c r="DY1891" s="615"/>
      <c r="DZ1891" s="615"/>
      <c r="EA1891" s="615"/>
      <c r="EB1891" s="615"/>
      <c r="EC1891" s="615"/>
      <c r="ED1891" s="615"/>
      <c r="EE1891" s="615"/>
      <c r="EF1891" s="615"/>
      <c r="EG1891" s="615"/>
      <c r="EH1891" s="615"/>
      <c r="EI1891" s="615"/>
      <c r="EJ1891" s="615"/>
      <c r="EK1891" s="615"/>
      <c r="EL1891" s="615"/>
      <c r="EM1891" s="615"/>
      <c r="EN1891" s="615"/>
      <c r="EO1891" s="615"/>
      <c r="EP1891" s="615"/>
      <c r="EQ1891" s="615"/>
      <c r="ER1891" s="615"/>
      <c r="ES1891" s="615"/>
    </row>
    <row r="1892" spans="1:149" s="114" customFormat="1" x14ac:dyDescent="0.3">
      <c r="A1892" s="609">
        <v>903917</v>
      </c>
      <c r="B1892" s="610">
        <v>54.2</v>
      </c>
      <c r="C1892" s="611">
        <v>11.38</v>
      </c>
      <c r="D1892" s="612">
        <v>8.43</v>
      </c>
      <c r="E1892" s="1555">
        <v>0.23</v>
      </c>
      <c r="F1892" s="612">
        <v>115.15</v>
      </c>
      <c r="G1892" s="612"/>
      <c r="H1892" s="612">
        <v>30.72</v>
      </c>
      <c r="I1892" s="612">
        <v>170</v>
      </c>
      <c r="J1892" s="612">
        <v>3.7999999999999999E-2</v>
      </c>
      <c r="K1892" s="612">
        <v>10.93</v>
      </c>
      <c r="L1892" s="612">
        <v>1310</v>
      </c>
      <c r="M1892" s="612">
        <v>0.28999999999999998</v>
      </c>
      <c r="N1892" s="612">
        <v>0.97</v>
      </c>
      <c r="O1892" s="612">
        <v>2.42</v>
      </c>
      <c r="P1892" s="612">
        <v>9.1199999999999992</v>
      </c>
      <c r="Q1892" s="613"/>
      <c r="R1892" s="614">
        <v>1.8060120000000002</v>
      </c>
      <c r="S1892" s="613">
        <v>16.8</v>
      </c>
      <c r="T1892" s="614"/>
      <c r="U1892" s="614"/>
      <c r="Y1892" s="314">
        <v>18.899999999999999</v>
      </c>
      <c r="Z1892" s="613"/>
      <c r="AA1892" s="311">
        <v>3.7</v>
      </c>
      <c r="AB1892" s="311">
        <v>0.82499999999999996</v>
      </c>
      <c r="AC1892" s="114">
        <v>11.7</v>
      </c>
      <c r="AD1892" s="616">
        <v>270</v>
      </c>
      <c r="AE1892" s="613">
        <v>90</v>
      </c>
      <c r="AF1892" s="613">
        <v>640</v>
      </c>
      <c r="AG1892" s="66">
        <f t="shared" si="76"/>
        <v>204.72063492063492</v>
      </c>
      <c r="AH1892" s="143">
        <f t="shared" si="77"/>
        <v>1000</v>
      </c>
      <c r="AI1892" s="615"/>
      <c r="AJ1892" s="615"/>
      <c r="AK1892" s="615"/>
      <c r="AL1892" s="615"/>
      <c r="AM1892" s="615"/>
      <c r="AN1892" s="615"/>
      <c r="AO1892" s="615"/>
      <c r="AP1892" s="615"/>
      <c r="AQ1892" s="615"/>
      <c r="AR1892" s="615"/>
      <c r="AS1892" s="615"/>
      <c r="AT1892" s="615"/>
      <c r="AU1892" s="615"/>
      <c r="AV1892" s="615"/>
      <c r="AW1892" s="615"/>
      <c r="AX1892" s="615"/>
      <c r="AY1892" s="615"/>
      <c r="AZ1892" s="615"/>
      <c r="BA1892" s="615"/>
      <c r="BB1892" s="615"/>
      <c r="BC1892" s="615"/>
      <c r="BD1892" s="615"/>
      <c r="BE1892" s="615"/>
      <c r="BF1892" s="615"/>
      <c r="BG1892" s="615"/>
      <c r="BH1892" s="615"/>
      <c r="BI1892" s="615"/>
      <c r="BJ1892" s="615"/>
      <c r="BK1892" s="615"/>
      <c r="BL1892" s="615"/>
      <c r="BM1892" s="615"/>
      <c r="BN1892" s="615"/>
      <c r="BO1892" s="615"/>
      <c r="BP1892" s="615"/>
      <c r="BQ1892" s="615"/>
      <c r="BR1892" s="615"/>
      <c r="BS1892" s="615"/>
      <c r="BT1892" s="615"/>
      <c r="BU1892" s="615"/>
      <c r="BV1892" s="615"/>
      <c r="BW1892" s="615"/>
      <c r="BX1892" s="615"/>
      <c r="BY1892" s="615"/>
      <c r="BZ1892" s="615"/>
      <c r="CA1892" s="615"/>
      <c r="CB1892" s="615"/>
      <c r="CC1892" s="615"/>
      <c r="CD1892" s="615"/>
      <c r="CE1892" s="615"/>
      <c r="CF1892" s="615"/>
      <c r="CG1892" s="615"/>
      <c r="CH1892" s="615"/>
      <c r="CI1892" s="615"/>
      <c r="CJ1892" s="615"/>
      <c r="CK1892" s="615"/>
      <c r="CL1892" s="615"/>
      <c r="CM1892" s="615"/>
      <c r="CN1892" s="615"/>
      <c r="CO1892" s="615"/>
      <c r="CP1892" s="615"/>
      <c r="CQ1892" s="615"/>
      <c r="CR1892" s="615"/>
      <c r="CS1892" s="615"/>
      <c r="CT1892" s="615"/>
      <c r="CU1892" s="615"/>
      <c r="CV1892" s="615"/>
      <c r="CW1892" s="615"/>
      <c r="CX1892" s="615"/>
      <c r="CY1892" s="615"/>
      <c r="CZ1892" s="615"/>
      <c r="DA1892" s="615"/>
      <c r="DB1892" s="615"/>
      <c r="DC1892" s="615"/>
      <c r="DD1892" s="615"/>
      <c r="DE1892" s="615"/>
      <c r="DF1892" s="615"/>
      <c r="DG1892" s="615"/>
      <c r="DH1892" s="615"/>
      <c r="DI1892" s="615"/>
      <c r="DJ1892" s="615"/>
      <c r="DK1892" s="615"/>
      <c r="DL1892" s="615"/>
      <c r="DM1892" s="615"/>
      <c r="DN1892" s="615"/>
      <c r="DO1892" s="615"/>
      <c r="DP1892" s="615"/>
      <c r="DQ1892" s="615"/>
      <c r="DR1892" s="615"/>
      <c r="DS1892" s="615"/>
      <c r="DT1892" s="615"/>
      <c r="DU1892" s="615"/>
      <c r="DV1892" s="615"/>
      <c r="DW1892" s="615"/>
      <c r="DX1892" s="615"/>
      <c r="DY1892" s="615"/>
      <c r="DZ1892" s="615"/>
      <c r="EA1892" s="615"/>
      <c r="EB1892" s="615"/>
      <c r="EC1892" s="615"/>
      <c r="ED1892" s="615"/>
      <c r="EE1892" s="615"/>
      <c r="EF1892" s="615"/>
      <c r="EG1892" s="615"/>
      <c r="EH1892" s="615"/>
      <c r="EI1892" s="615"/>
      <c r="EJ1892" s="615"/>
      <c r="EK1892" s="615"/>
      <c r="EL1892" s="615"/>
      <c r="EM1892" s="615"/>
      <c r="EN1892" s="615"/>
      <c r="EO1892" s="615"/>
      <c r="EP1892" s="615"/>
      <c r="EQ1892" s="615"/>
      <c r="ER1892" s="615"/>
      <c r="ES1892" s="615"/>
    </row>
    <row r="1893" spans="1:149" s="114" customFormat="1" x14ac:dyDescent="0.3">
      <c r="A1893" s="609">
        <v>903918</v>
      </c>
      <c r="B1893" s="610">
        <v>30</v>
      </c>
      <c r="C1893" s="611">
        <v>5.38</v>
      </c>
      <c r="D1893" s="612">
        <v>8.2100000000000009</v>
      </c>
      <c r="E1893" s="1555">
        <v>0.16</v>
      </c>
      <c r="F1893" s="612">
        <v>118.45</v>
      </c>
      <c r="G1893" s="612"/>
      <c r="H1893" s="612">
        <v>31.45</v>
      </c>
      <c r="I1893" s="612">
        <v>230</v>
      </c>
      <c r="J1893" s="612">
        <v>2.9000000000000001E-2</v>
      </c>
      <c r="K1893" s="612">
        <v>12.29</v>
      </c>
      <c r="L1893" s="612">
        <v>280</v>
      </c>
      <c r="M1893" s="612">
        <v>0.26</v>
      </c>
      <c r="N1893" s="612">
        <v>1.22</v>
      </c>
      <c r="O1893" s="612">
        <v>10.86</v>
      </c>
      <c r="P1893" s="612">
        <v>4.9000000000000004</v>
      </c>
      <c r="Q1893" s="613"/>
      <c r="R1893" s="614">
        <v>1.8539479999999999</v>
      </c>
      <c r="S1893" s="613">
        <v>18.399999999999999</v>
      </c>
      <c r="T1893" s="614"/>
      <c r="U1893" s="614"/>
      <c r="Y1893" s="314">
        <v>31.2</v>
      </c>
      <c r="Z1893" s="613"/>
      <c r="AA1893" s="311">
        <v>4.12</v>
      </c>
      <c r="AB1893" s="311">
        <v>0.79800000000000004</v>
      </c>
      <c r="AC1893" s="114">
        <v>8.6999999999999993</v>
      </c>
      <c r="AD1893" s="616">
        <v>520</v>
      </c>
      <c r="AE1893" s="613">
        <v>310</v>
      </c>
      <c r="AF1893" s="613">
        <v>170</v>
      </c>
      <c r="AG1893" s="66">
        <f t="shared" si="76"/>
        <v>139.44423076923076</v>
      </c>
      <c r="AH1893" s="143">
        <f t="shared" si="77"/>
        <v>1000</v>
      </c>
      <c r="AI1893" s="615"/>
      <c r="AJ1893" s="615"/>
      <c r="AK1893" s="615"/>
      <c r="AL1893" s="615"/>
      <c r="AM1893" s="615"/>
      <c r="AN1893" s="615"/>
      <c r="AO1893" s="615"/>
      <c r="AP1893" s="615"/>
      <c r="AQ1893" s="615"/>
      <c r="AR1893" s="615"/>
      <c r="AS1893" s="615"/>
      <c r="AT1893" s="615"/>
      <c r="AU1893" s="615"/>
      <c r="AV1893" s="615"/>
      <c r="AW1893" s="615"/>
      <c r="AX1893" s="615"/>
      <c r="AY1893" s="615"/>
      <c r="AZ1893" s="615"/>
      <c r="BA1893" s="615"/>
      <c r="BB1893" s="615"/>
      <c r="BC1893" s="615"/>
      <c r="BD1893" s="615"/>
      <c r="BE1893" s="615"/>
      <c r="BF1893" s="615"/>
      <c r="BG1893" s="615"/>
      <c r="BH1893" s="615"/>
      <c r="BI1893" s="615"/>
      <c r="BJ1893" s="615"/>
      <c r="BK1893" s="615"/>
      <c r="BL1893" s="615"/>
      <c r="BM1893" s="615"/>
      <c r="BN1893" s="615"/>
      <c r="BO1893" s="615"/>
      <c r="BP1893" s="615"/>
      <c r="BQ1893" s="615"/>
      <c r="BR1893" s="615"/>
      <c r="BS1893" s="615"/>
      <c r="BT1893" s="615"/>
      <c r="BU1893" s="615"/>
      <c r="BV1893" s="615"/>
      <c r="BW1893" s="615"/>
      <c r="BX1893" s="615"/>
      <c r="BY1893" s="615"/>
      <c r="BZ1893" s="615"/>
      <c r="CA1893" s="615"/>
      <c r="CB1893" s="615"/>
      <c r="CC1893" s="615"/>
      <c r="CD1893" s="615"/>
      <c r="CE1893" s="615"/>
      <c r="CF1893" s="615"/>
      <c r="CG1893" s="615"/>
      <c r="CH1893" s="615"/>
      <c r="CI1893" s="615"/>
      <c r="CJ1893" s="615"/>
      <c r="CK1893" s="615"/>
      <c r="CL1893" s="615"/>
      <c r="CM1893" s="615"/>
      <c r="CN1893" s="615"/>
      <c r="CO1893" s="615"/>
      <c r="CP1893" s="615"/>
      <c r="CQ1893" s="615"/>
      <c r="CR1893" s="615"/>
      <c r="CS1893" s="615"/>
      <c r="CT1893" s="615"/>
      <c r="CU1893" s="615"/>
      <c r="CV1893" s="615"/>
      <c r="CW1893" s="615"/>
      <c r="CX1893" s="615"/>
      <c r="CY1893" s="615"/>
      <c r="CZ1893" s="615"/>
      <c r="DA1893" s="615"/>
      <c r="DB1893" s="615"/>
      <c r="DC1893" s="615"/>
      <c r="DD1893" s="615"/>
      <c r="DE1893" s="615"/>
      <c r="DF1893" s="615"/>
      <c r="DG1893" s="615"/>
      <c r="DH1893" s="615"/>
      <c r="DI1893" s="615"/>
      <c r="DJ1893" s="615"/>
      <c r="DK1893" s="615"/>
      <c r="DL1893" s="615"/>
      <c r="DM1893" s="615"/>
      <c r="DN1893" s="615"/>
      <c r="DO1893" s="615"/>
      <c r="DP1893" s="615"/>
      <c r="DQ1893" s="615"/>
      <c r="DR1893" s="615"/>
      <c r="DS1893" s="615"/>
      <c r="DT1893" s="615"/>
      <c r="DU1893" s="615"/>
      <c r="DV1893" s="615"/>
      <c r="DW1893" s="615"/>
      <c r="DX1893" s="615"/>
      <c r="DY1893" s="615"/>
      <c r="DZ1893" s="615"/>
      <c r="EA1893" s="615"/>
      <c r="EB1893" s="615"/>
      <c r="EC1893" s="615"/>
      <c r="ED1893" s="615"/>
      <c r="EE1893" s="615"/>
      <c r="EF1893" s="615"/>
      <c r="EG1893" s="615"/>
      <c r="EH1893" s="615"/>
      <c r="EI1893" s="615"/>
      <c r="EJ1893" s="615"/>
      <c r="EK1893" s="615"/>
      <c r="EL1893" s="615"/>
      <c r="EM1893" s="615"/>
      <c r="EN1893" s="615"/>
      <c r="EO1893" s="615"/>
      <c r="EP1893" s="615"/>
      <c r="EQ1893" s="615"/>
      <c r="ER1893" s="615"/>
      <c r="ES1893" s="615"/>
    </row>
    <row r="1894" spans="1:149" s="114" customFormat="1" x14ac:dyDescent="0.3">
      <c r="A1894" s="609">
        <v>903919</v>
      </c>
      <c r="B1894" s="610">
        <v>75.8</v>
      </c>
      <c r="C1894" s="611">
        <v>14.38</v>
      </c>
      <c r="D1894" s="612">
        <v>8.7899999999999991</v>
      </c>
      <c r="E1894" s="1555">
        <v>0.13</v>
      </c>
      <c r="F1894" s="612">
        <v>94.3</v>
      </c>
      <c r="G1894" s="612"/>
      <c r="H1894" s="612">
        <v>7.11</v>
      </c>
      <c r="I1894" s="612">
        <v>40</v>
      </c>
      <c r="J1894" s="612">
        <v>1.4999999999999999E-2</v>
      </c>
      <c r="K1894" s="612">
        <v>8.89</v>
      </c>
      <c r="L1894" s="612">
        <v>700</v>
      </c>
      <c r="M1894" s="612">
        <v>0.1</v>
      </c>
      <c r="N1894" s="612">
        <v>0.2</v>
      </c>
      <c r="O1894" s="612">
        <v>0.64</v>
      </c>
      <c r="P1894" s="612">
        <v>4.04</v>
      </c>
      <c r="Q1894" s="613"/>
      <c r="R1894" s="614">
        <v>0.76314708743607107</v>
      </c>
      <c r="S1894" s="613">
        <v>5.6</v>
      </c>
      <c r="T1894" s="614"/>
      <c r="U1894" s="614"/>
      <c r="Y1894" s="314">
        <v>6</v>
      </c>
      <c r="Z1894" s="613"/>
      <c r="AA1894" s="311">
        <v>4.33</v>
      </c>
      <c r="AB1894" s="311">
        <v>0.54100000000000004</v>
      </c>
      <c r="AC1894" s="114">
        <v>11.6</v>
      </c>
      <c r="AD1894" s="616">
        <v>120</v>
      </c>
      <c r="AE1894" s="613">
        <v>100</v>
      </c>
      <c r="AF1894" s="613">
        <v>780</v>
      </c>
      <c r="AG1894" s="66">
        <f t="shared" si="76"/>
        <v>524.51</v>
      </c>
      <c r="AH1894" s="143">
        <f t="shared" si="77"/>
        <v>1000</v>
      </c>
      <c r="AI1894" s="615"/>
      <c r="AJ1894" s="615"/>
      <c r="AK1894" s="615"/>
      <c r="AL1894" s="615"/>
      <c r="AM1894" s="615"/>
      <c r="AN1894" s="615"/>
      <c r="AO1894" s="615"/>
      <c r="AP1894" s="615"/>
      <c r="AQ1894" s="615"/>
      <c r="AR1894" s="615"/>
      <c r="AS1894" s="615"/>
      <c r="AT1894" s="615"/>
      <c r="AU1894" s="615"/>
      <c r="AV1894" s="615"/>
      <c r="AW1894" s="615"/>
      <c r="AX1894" s="615"/>
      <c r="AY1894" s="615"/>
      <c r="AZ1894" s="615"/>
      <c r="BA1894" s="615"/>
      <c r="BB1894" s="615"/>
      <c r="BC1894" s="615"/>
      <c r="BD1894" s="615"/>
      <c r="BE1894" s="615"/>
      <c r="BF1894" s="615"/>
      <c r="BG1894" s="615"/>
      <c r="BH1894" s="615"/>
      <c r="BI1894" s="615"/>
      <c r="BJ1894" s="615"/>
      <c r="BK1894" s="615"/>
      <c r="BL1894" s="615"/>
      <c r="BM1894" s="615"/>
      <c r="BN1894" s="615"/>
      <c r="BO1894" s="615"/>
      <c r="BP1894" s="615"/>
      <c r="BQ1894" s="615"/>
      <c r="BR1894" s="615"/>
      <c r="BS1894" s="615"/>
      <c r="BT1894" s="615"/>
      <c r="BU1894" s="615"/>
      <c r="BV1894" s="615"/>
      <c r="BW1894" s="615"/>
      <c r="BX1894" s="615"/>
      <c r="BY1894" s="615"/>
      <c r="BZ1894" s="615"/>
      <c r="CA1894" s="615"/>
      <c r="CB1894" s="615"/>
      <c r="CC1894" s="615"/>
      <c r="CD1894" s="615"/>
      <c r="CE1894" s="615"/>
      <c r="CF1894" s="615"/>
      <c r="CG1894" s="615"/>
      <c r="CH1894" s="615"/>
      <c r="CI1894" s="615"/>
      <c r="CJ1894" s="615"/>
      <c r="CK1894" s="615"/>
      <c r="CL1894" s="615"/>
      <c r="CM1894" s="615"/>
      <c r="CN1894" s="615"/>
      <c r="CO1894" s="615"/>
      <c r="CP1894" s="615"/>
      <c r="CQ1894" s="615"/>
      <c r="CR1894" s="615"/>
      <c r="CS1894" s="615"/>
      <c r="CT1894" s="615"/>
      <c r="CU1894" s="615"/>
      <c r="CV1894" s="615"/>
      <c r="CW1894" s="615"/>
      <c r="CX1894" s="615"/>
      <c r="CY1894" s="615"/>
      <c r="CZ1894" s="615"/>
      <c r="DA1894" s="615"/>
      <c r="DB1894" s="615"/>
      <c r="DC1894" s="615"/>
      <c r="DD1894" s="615"/>
      <c r="DE1894" s="615"/>
      <c r="DF1894" s="615"/>
      <c r="DG1894" s="615"/>
      <c r="DH1894" s="615"/>
      <c r="DI1894" s="615"/>
      <c r="DJ1894" s="615"/>
      <c r="DK1894" s="615"/>
      <c r="DL1894" s="615"/>
      <c r="DM1894" s="615"/>
      <c r="DN1894" s="615"/>
      <c r="DO1894" s="615"/>
      <c r="DP1894" s="615"/>
      <c r="DQ1894" s="615"/>
      <c r="DR1894" s="615"/>
      <c r="DS1894" s="615"/>
      <c r="DT1894" s="615"/>
      <c r="DU1894" s="615"/>
      <c r="DV1894" s="615"/>
      <c r="DW1894" s="615"/>
      <c r="DX1894" s="615"/>
      <c r="DY1894" s="615"/>
      <c r="DZ1894" s="615"/>
      <c r="EA1894" s="615"/>
      <c r="EB1894" s="615"/>
      <c r="EC1894" s="615"/>
      <c r="ED1894" s="615"/>
      <c r="EE1894" s="615"/>
      <c r="EF1894" s="615"/>
      <c r="EG1894" s="615"/>
      <c r="EH1894" s="615"/>
      <c r="EI1894" s="615"/>
      <c r="EJ1894" s="615"/>
      <c r="EK1894" s="615"/>
      <c r="EL1894" s="615"/>
      <c r="EM1894" s="615"/>
      <c r="EN1894" s="615"/>
      <c r="EO1894" s="615"/>
      <c r="EP1894" s="615"/>
      <c r="EQ1894" s="615"/>
      <c r="ER1894" s="615"/>
      <c r="ES1894" s="615"/>
    </row>
    <row r="1895" spans="1:149" s="114" customFormat="1" x14ac:dyDescent="0.3">
      <c r="A1895" s="609">
        <v>903920</v>
      </c>
      <c r="B1895" s="610">
        <v>59.2</v>
      </c>
      <c r="C1895" s="611">
        <v>11.88</v>
      </c>
      <c r="D1895" s="612">
        <v>8.44</v>
      </c>
      <c r="E1895" s="1555">
        <v>0.23</v>
      </c>
      <c r="F1895" s="612">
        <v>132.75</v>
      </c>
      <c r="G1895" s="612"/>
      <c r="H1895" s="612">
        <v>21.47</v>
      </c>
      <c r="I1895" s="612">
        <v>40</v>
      </c>
      <c r="J1895" s="612">
        <v>3.4000000000000002E-2</v>
      </c>
      <c r="K1895" s="612">
        <v>8.74</v>
      </c>
      <c r="L1895" s="612">
        <v>830</v>
      </c>
      <c r="M1895" s="612">
        <v>0.27</v>
      </c>
      <c r="N1895" s="612">
        <v>0.31</v>
      </c>
      <c r="O1895" s="612">
        <v>0.8</v>
      </c>
      <c r="P1895" s="612">
        <v>23.22</v>
      </c>
      <c r="Q1895" s="613"/>
      <c r="R1895" s="614">
        <v>1.873793</v>
      </c>
      <c r="S1895" s="613">
        <v>19.100000000000001</v>
      </c>
      <c r="T1895" s="614"/>
      <c r="U1895" s="614"/>
      <c r="Y1895" s="314">
        <v>7</v>
      </c>
      <c r="Z1895" s="613"/>
      <c r="AA1895" s="311">
        <v>4.04</v>
      </c>
      <c r="AB1895" s="311">
        <v>0.56399999999999995</v>
      </c>
      <c r="AC1895" s="114">
        <v>6.4</v>
      </c>
      <c r="AD1895" s="616">
        <v>100</v>
      </c>
      <c r="AE1895" s="613">
        <v>100</v>
      </c>
      <c r="AF1895" s="613">
        <v>800</v>
      </c>
      <c r="AG1895" s="66">
        <f t="shared" si="76"/>
        <v>441.9942857142857</v>
      </c>
      <c r="AH1895" s="143">
        <f t="shared" si="77"/>
        <v>1000</v>
      </c>
      <c r="AI1895" s="615"/>
      <c r="AJ1895" s="615"/>
      <c r="AK1895" s="615"/>
      <c r="AL1895" s="615"/>
      <c r="AM1895" s="615"/>
      <c r="AN1895" s="615"/>
      <c r="AO1895" s="615"/>
      <c r="AP1895" s="615"/>
      <c r="AQ1895" s="615"/>
      <c r="AR1895" s="615"/>
      <c r="AS1895" s="615"/>
      <c r="AT1895" s="615"/>
      <c r="AU1895" s="615"/>
      <c r="AV1895" s="615"/>
      <c r="AW1895" s="615"/>
      <c r="AX1895" s="615"/>
      <c r="AY1895" s="615"/>
      <c r="AZ1895" s="615"/>
      <c r="BA1895" s="615"/>
      <c r="BB1895" s="615"/>
      <c r="BC1895" s="615"/>
      <c r="BD1895" s="615"/>
      <c r="BE1895" s="615"/>
      <c r="BF1895" s="615"/>
      <c r="BG1895" s="615"/>
      <c r="BH1895" s="615"/>
      <c r="BI1895" s="615"/>
      <c r="BJ1895" s="615"/>
      <c r="BK1895" s="615"/>
      <c r="BL1895" s="615"/>
      <c r="BM1895" s="615"/>
      <c r="BN1895" s="615"/>
      <c r="BO1895" s="615"/>
      <c r="BP1895" s="615"/>
      <c r="BQ1895" s="615"/>
      <c r="BR1895" s="615"/>
      <c r="BS1895" s="615"/>
      <c r="BT1895" s="615"/>
      <c r="BU1895" s="615"/>
      <c r="BV1895" s="615"/>
      <c r="BW1895" s="615"/>
      <c r="BX1895" s="615"/>
      <c r="BY1895" s="615"/>
      <c r="BZ1895" s="615"/>
      <c r="CA1895" s="615"/>
      <c r="CB1895" s="615"/>
      <c r="CC1895" s="615"/>
      <c r="CD1895" s="615"/>
      <c r="CE1895" s="615"/>
      <c r="CF1895" s="615"/>
      <c r="CG1895" s="615"/>
      <c r="CH1895" s="615"/>
      <c r="CI1895" s="615"/>
      <c r="CJ1895" s="615"/>
      <c r="CK1895" s="615"/>
      <c r="CL1895" s="615"/>
      <c r="CM1895" s="615"/>
      <c r="CN1895" s="615"/>
      <c r="CO1895" s="615"/>
      <c r="CP1895" s="615"/>
      <c r="CQ1895" s="615"/>
      <c r="CR1895" s="615"/>
      <c r="CS1895" s="615"/>
      <c r="CT1895" s="615"/>
      <c r="CU1895" s="615"/>
      <c r="CV1895" s="615"/>
      <c r="CW1895" s="615"/>
      <c r="CX1895" s="615"/>
      <c r="CY1895" s="615"/>
      <c r="CZ1895" s="615"/>
      <c r="DA1895" s="615"/>
      <c r="DB1895" s="615"/>
      <c r="DC1895" s="615"/>
      <c r="DD1895" s="615"/>
      <c r="DE1895" s="615"/>
      <c r="DF1895" s="615"/>
      <c r="DG1895" s="615"/>
      <c r="DH1895" s="615"/>
      <c r="DI1895" s="615"/>
      <c r="DJ1895" s="615"/>
      <c r="DK1895" s="615"/>
      <c r="DL1895" s="615"/>
      <c r="DM1895" s="615"/>
      <c r="DN1895" s="615"/>
      <c r="DO1895" s="615"/>
      <c r="DP1895" s="615"/>
      <c r="DQ1895" s="615"/>
      <c r="DR1895" s="615"/>
      <c r="DS1895" s="615"/>
      <c r="DT1895" s="615"/>
      <c r="DU1895" s="615"/>
      <c r="DV1895" s="615"/>
      <c r="DW1895" s="615"/>
      <c r="DX1895" s="615"/>
      <c r="DY1895" s="615"/>
      <c r="DZ1895" s="615"/>
      <c r="EA1895" s="615"/>
      <c r="EB1895" s="615"/>
      <c r="EC1895" s="615"/>
      <c r="ED1895" s="615"/>
      <c r="EE1895" s="615"/>
      <c r="EF1895" s="615"/>
      <c r="EG1895" s="615"/>
      <c r="EH1895" s="615"/>
      <c r="EI1895" s="615"/>
      <c r="EJ1895" s="615"/>
      <c r="EK1895" s="615"/>
      <c r="EL1895" s="615"/>
      <c r="EM1895" s="615"/>
      <c r="EN1895" s="615"/>
      <c r="EO1895" s="615"/>
      <c r="EP1895" s="615"/>
      <c r="EQ1895" s="615"/>
      <c r="ER1895" s="615"/>
      <c r="ES1895" s="615"/>
    </row>
    <row r="1896" spans="1:149" s="114" customFormat="1" x14ac:dyDescent="0.3">
      <c r="A1896" s="609">
        <v>903921</v>
      </c>
      <c r="B1896" s="610">
        <v>75.3</v>
      </c>
      <c r="C1896" s="611">
        <v>13.63</v>
      </c>
      <c r="D1896" s="612">
        <v>8.26</v>
      </c>
      <c r="E1896" s="1555">
        <v>0.16</v>
      </c>
      <c r="F1896" s="612">
        <v>117.05</v>
      </c>
      <c r="G1896" s="612"/>
      <c r="H1896" s="612">
        <v>19.91</v>
      </c>
      <c r="I1896" s="612">
        <v>100</v>
      </c>
      <c r="J1896" s="612">
        <v>2.1999999999999999E-2</v>
      </c>
      <c r="K1896" s="612">
        <v>10.43</v>
      </c>
      <c r="L1896" s="612">
        <v>150</v>
      </c>
      <c r="M1896" s="612">
        <v>0.12</v>
      </c>
      <c r="N1896" s="612">
        <v>0.53</v>
      </c>
      <c r="O1896" s="612">
        <v>4.1399999999999997</v>
      </c>
      <c r="P1896" s="612">
        <v>2.7</v>
      </c>
      <c r="Q1896" s="613"/>
      <c r="R1896" s="614">
        <v>1.2497200857407478</v>
      </c>
      <c r="S1896" s="613">
        <v>8.6</v>
      </c>
      <c r="T1896" s="614"/>
      <c r="U1896" s="614"/>
      <c r="Y1896" s="314">
        <v>30</v>
      </c>
      <c r="Z1896" s="613"/>
      <c r="AA1896" s="311">
        <v>4.24</v>
      </c>
      <c r="AB1896" s="311">
        <v>0.56999999999999995</v>
      </c>
      <c r="AC1896" s="114">
        <v>7.2</v>
      </c>
      <c r="AD1896" s="616">
        <v>500</v>
      </c>
      <c r="AE1896" s="613">
        <v>240</v>
      </c>
      <c r="AF1896" s="613">
        <v>260</v>
      </c>
      <c r="AG1896" s="66">
        <f t="shared" si="76"/>
        <v>123.074</v>
      </c>
      <c r="AH1896" s="143">
        <f t="shared" si="77"/>
        <v>1000</v>
      </c>
      <c r="AI1896" s="615"/>
      <c r="AJ1896" s="615"/>
      <c r="AK1896" s="615"/>
      <c r="AL1896" s="615"/>
      <c r="AM1896" s="615"/>
      <c r="AN1896" s="615"/>
      <c r="AO1896" s="615"/>
      <c r="AP1896" s="615"/>
      <c r="AQ1896" s="615"/>
      <c r="AR1896" s="615"/>
      <c r="AS1896" s="615"/>
      <c r="AT1896" s="615"/>
      <c r="AU1896" s="615"/>
      <c r="AV1896" s="615"/>
      <c r="AW1896" s="615"/>
      <c r="AX1896" s="615"/>
      <c r="AY1896" s="615"/>
      <c r="AZ1896" s="615"/>
      <c r="BA1896" s="615"/>
      <c r="BB1896" s="615"/>
      <c r="BC1896" s="615"/>
      <c r="BD1896" s="615"/>
      <c r="BE1896" s="615"/>
      <c r="BF1896" s="615"/>
      <c r="BG1896" s="615"/>
      <c r="BH1896" s="615"/>
      <c r="BI1896" s="615"/>
      <c r="BJ1896" s="615"/>
      <c r="BK1896" s="615"/>
      <c r="BL1896" s="615"/>
      <c r="BM1896" s="615"/>
      <c r="BN1896" s="615"/>
      <c r="BO1896" s="615"/>
      <c r="BP1896" s="615"/>
      <c r="BQ1896" s="615"/>
      <c r="BR1896" s="615"/>
      <c r="BS1896" s="615"/>
      <c r="BT1896" s="615"/>
      <c r="BU1896" s="615"/>
      <c r="BV1896" s="615"/>
      <c r="BW1896" s="615"/>
      <c r="BX1896" s="615"/>
      <c r="BY1896" s="615"/>
      <c r="BZ1896" s="615"/>
      <c r="CA1896" s="615"/>
      <c r="CB1896" s="615"/>
      <c r="CC1896" s="615"/>
      <c r="CD1896" s="615"/>
      <c r="CE1896" s="615"/>
      <c r="CF1896" s="615"/>
      <c r="CG1896" s="615"/>
      <c r="CH1896" s="615"/>
      <c r="CI1896" s="615"/>
      <c r="CJ1896" s="615"/>
      <c r="CK1896" s="615"/>
      <c r="CL1896" s="615"/>
      <c r="CM1896" s="615"/>
      <c r="CN1896" s="615"/>
      <c r="CO1896" s="615"/>
      <c r="CP1896" s="615"/>
      <c r="CQ1896" s="615"/>
      <c r="CR1896" s="615"/>
      <c r="CS1896" s="615"/>
      <c r="CT1896" s="615"/>
      <c r="CU1896" s="615"/>
      <c r="CV1896" s="615"/>
      <c r="CW1896" s="615"/>
      <c r="CX1896" s="615"/>
      <c r="CY1896" s="615"/>
      <c r="CZ1896" s="615"/>
      <c r="DA1896" s="615"/>
      <c r="DB1896" s="615"/>
      <c r="DC1896" s="615"/>
      <c r="DD1896" s="615"/>
      <c r="DE1896" s="615"/>
      <c r="DF1896" s="615"/>
      <c r="DG1896" s="615"/>
      <c r="DH1896" s="615"/>
      <c r="DI1896" s="615"/>
      <c r="DJ1896" s="615"/>
      <c r="DK1896" s="615"/>
      <c r="DL1896" s="615"/>
      <c r="DM1896" s="615"/>
      <c r="DN1896" s="615"/>
      <c r="DO1896" s="615"/>
      <c r="DP1896" s="615"/>
      <c r="DQ1896" s="615"/>
      <c r="DR1896" s="615"/>
      <c r="DS1896" s="615"/>
      <c r="DT1896" s="615"/>
      <c r="DU1896" s="615"/>
      <c r="DV1896" s="615"/>
      <c r="DW1896" s="615"/>
      <c r="DX1896" s="615"/>
      <c r="DY1896" s="615"/>
      <c r="DZ1896" s="615"/>
      <c r="EA1896" s="615"/>
      <c r="EB1896" s="615"/>
      <c r="EC1896" s="615"/>
      <c r="ED1896" s="615"/>
      <c r="EE1896" s="615"/>
      <c r="EF1896" s="615"/>
      <c r="EG1896" s="615"/>
      <c r="EH1896" s="615"/>
      <c r="EI1896" s="615"/>
      <c r="EJ1896" s="615"/>
      <c r="EK1896" s="615"/>
      <c r="EL1896" s="615"/>
      <c r="EM1896" s="615"/>
      <c r="EN1896" s="615"/>
      <c r="EO1896" s="615"/>
      <c r="EP1896" s="615"/>
      <c r="EQ1896" s="615"/>
      <c r="ER1896" s="615"/>
      <c r="ES1896" s="615"/>
    </row>
    <row r="1897" spans="1:149" x14ac:dyDescent="0.3">
      <c r="A1897" s="418">
        <v>903922</v>
      </c>
      <c r="B1897" s="617">
        <v>7</v>
      </c>
      <c r="C1897" s="618"/>
      <c r="D1897" s="619">
        <v>8.1999999999999993</v>
      </c>
      <c r="E1897" s="1556">
        <v>0.75</v>
      </c>
      <c r="F1897" s="619">
        <v>96.95</v>
      </c>
      <c r="G1897" s="619"/>
      <c r="H1897" s="619">
        <v>15.34</v>
      </c>
      <c r="I1897" s="619">
        <v>220</v>
      </c>
      <c r="J1897" s="619">
        <v>0.50900000000000001</v>
      </c>
      <c r="K1897" s="619">
        <v>7.66</v>
      </c>
      <c r="L1897" s="619">
        <v>1000</v>
      </c>
      <c r="M1897" s="619">
        <v>0.26</v>
      </c>
      <c r="N1897" s="619">
        <v>1.23</v>
      </c>
      <c r="O1897" s="619">
        <v>7.21</v>
      </c>
      <c r="P1897" s="619">
        <v>3.75</v>
      </c>
      <c r="Q1897" s="491"/>
      <c r="R1897" s="620">
        <v>1.2290017623161416</v>
      </c>
      <c r="S1897" s="491">
        <v>8.1</v>
      </c>
      <c r="T1897" s="620"/>
      <c r="U1897" s="620"/>
      <c r="Y1897" s="67">
        <v>25.2</v>
      </c>
      <c r="Z1897" s="491"/>
      <c r="AA1897" s="68">
        <v>4.97</v>
      </c>
      <c r="AB1897" s="68">
        <v>0.79800000000000004</v>
      </c>
      <c r="AC1897" s="69">
        <v>6.2</v>
      </c>
      <c r="AD1897" s="621">
        <v>360</v>
      </c>
      <c r="AE1897" s="491">
        <v>560</v>
      </c>
      <c r="AF1897" s="491">
        <v>80</v>
      </c>
      <c r="AG1897" s="66">
        <f t="shared" si="76"/>
        <v>107.60476190476192</v>
      </c>
      <c r="AH1897" s="143">
        <f t="shared" si="77"/>
        <v>1000</v>
      </c>
      <c r="AI1897" s="516"/>
      <c r="AJ1897" s="516"/>
      <c r="AK1897" s="516"/>
      <c r="AL1897" s="516"/>
      <c r="AM1897" s="516"/>
      <c r="AN1897" s="516"/>
      <c r="AO1897" s="516"/>
      <c r="AP1897" s="516"/>
      <c r="AQ1897" s="516"/>
      <c r="AR1897" s="516"/>
      <c r="AS1897" s="516"/>
      <c r="AT1897" s="516"/>
      <c r="AU1897" s="516"/>
      <c r="AV1897" s="516"/>
      <c r="AW1897" s="516"/>
      <c r="AX1897" s="516"/>
      <c r="AY1897" s="516"/>
      <c r="AZ1897" s="516"/>
      <c r="BA1897" s="516"/>
      <c r="BB1897" s="516"/>
      <c r="BC1897" s="516"/>
      <c r="BD1897" s="516"/>
      <c r="BE1897" s="516"/>
      <c r="BF1897" s="516"/>
      <c r="BG1897" s="516"/>
      <c r="BH1897" s="516"/>
      <c r="BI1897" s="516"/>
      <c r="BJ1897" s="516"/>
      <c r="BK1897" s="516"/>
      <c r="BL1897" s="516"/>
      <c r="BM1897" s="516"/>
      <c r="BN1897" s="516"/>
      <c r="BO1897" s="516"/>
      <c r="BP1897" s="516"/>
      <c r="BQ1897" s="516"/>
      <c r="BR1897" s="516"/>
      <c r="BS1897" s="516"/>
      <c r="BT1897" s="516"/>
      <c r="BU1897" s="516"/>
      <c r="BV1897" s="516"/>
      <c r="BW1897" s="516"/>
      <c r="BX1897" s="516"/>
      <c r="BY1897" s="516"/>
      <c r="BZ1897" s="516"/>
      <c r="CA1897" s="516"/>
      <c r="CB1897" s="516"/>
      <c r="CC1897" s="516"/>
      <c r="CD1897" s="516"/>
      <c r="CE1897" s="516"/>
      <c r="CF1897" s="516"/>
      <c r="CG1897" s="516"/>
      <c r="CH1897" s="516"/>
      <c r="CI1897" s="516"/>
      <c r="CJ1897" s="516"/>
      <c r="CK1897" s="516"/>
      <c r="CL1897" s="516"/>
      <c r="CM1897" s="516"/>
      <c r="CN1897" s="516"/>
      <c r="CO1897" s="516"/>
      <c r="CP1897" s="516"/>
      <c r="CQ1897" s="516"/>
      <c r="CR1897" s="516"/>
      <c r="CS1897" s="516"/>
      <c r="CT1897" s="516"/>
      <c r="CU1897" s="516"/>
      <c r="CV1897" s="516"/>
      <c r="CW1897" s="516"/>
      <c r="CX1897" s="516"/>
      <c r="CY1897" s="516"/>
      <c r="CZ1897" s="516"/>
      <c r="DA1897" s="516"/>
      <c r="DB1897" s="516"/>
      <c r="DC1897" s="516"/>
      <c r="DD1897" s="516"/>
      <c r="DE1897" s="516"/>
      <c r="DF1897" s="516"/>
      <c r="DG1897" s="516"/>
      <c r="DH1897" s="516"/>
      <c r="DI1897" s="516"/>
      <c r="DJ1897" s="516"/>
      <c r="DK1897" s="516"/>
      <c r="DL1897" s="516"/>
      <c r="DM1897" s="516"/>
      <c r="DN1897" s="516"/>
      <c r="DO1897" s="516"/>
      <c r="DP1897" s="516"/>
      <c r="DQ1897" s="516"/>
      <c r="DR1897" s="516"/>
      <c r="DS1897" s="516"/>
      <c r="DT1897" s="516"/>
      <c r="DU1897" s="516"/>
      <c r="DV1897" s="516"/>
      <c r="DW1897" s="516"/>
      <c r="DX1897" s="516"/>
      <c r="DY1897" s="516"/>
      <c r="DZ1897" s="516"/>
      <c r="EA1897" s="516"/>
      <c r="EB1897" s="516"/>
      <c r="EC1897" s="516"/>
      <c r="ED1897" s="516"/>
      <c r="EE1897" s="516"/>
      <c r="EF1897" s="516"/>
      <c r="EG1897" s="516"/>
      <c r="EH1897" s="516"/>
      <c r="EI1897" s="516"/>
      <c r="EJ1897" s="516"/>
      <c r="EK1897" s="516"/>
      <c r="EL1897" s="516"/>
      <c r="EM1897" s="516"/>
      <c r="EN1897" s="516"/>
      <c r="EO1897" s="516"/>
      <c r="EP1897" s="516"/>
      <c r="EQ1897" s="516"/>
      <c r="ER1897" s="516"/>
      <c r="ES1897" s="516"/>
    </row>
    <row r="1898" spans="1:149" x14ac:dyDescent="0.3">
      <c r="A1898" s="418">
        <v>903923</v>
      </c>
      <c r="B1898" s="617">
        <v>6.9</v>
      </c>
      <c r="C1898" s="618"/>
      <c r="D1898" s="619">
        <v>8.39</v>
      </c>
      <c r="E1898" s="1556">
        <v>0.35</v>
      </c>
      <c r="F1898" s="619">
        <v>123.7</v>
      </c>
      <c r="G1898" s="619"/>
      <c r="H1898" s="619">
        <v>32</v>
      </c>
      <c r="I1898" s="619">
        <v>310</v>
      </c>
      <c r="J1898" s="619">
        <v>0.20499999999999999</v>
      </c>
      <c r="K1898" s="619">
        <v>7.88</v>
      </c>
      <c r="L1898" s="619">
        <v>1100</v>
      </c>
      <c r="M1898" s="619">
        <v>0.35</v>
      </c>
      <c r="N1898" s="619">
        <v>1.31</v>
      </c>
      <c r="O1898" s="619">
        <v>9.35</v>
      </c>
      <c r="P1898" s="619">
        <v>4.09</v>
      </c>
      <c r="Q1898" s="491"/>
      <c r="R1898" s="620">
        <v>1.586408</v>
      </c>
      <c r="S1898" s="491">
        <v>10.6</v>
      </c>
      <c r="T1898" s="620"/>
      <c r="U1898" s="620"/>
      <c r="Y1898" s="67">
        <v>24.5</v>
      </c>
      <c r="Z1898" s="491"/>
      <c r="AA1898" s="68">
        <v>4.5999999999999996</v>
      </c>
      <c r="AB1898" s="68">
        <v>0.30199999999999999</v>
      </c>
      <c r="AC1898" s="69">
        <v>7.5</v>
      </c>
      <c r="AD1898" s="621">
        <v>350</v>
      </c>
      <c r="AE1898" s="491">
        <v>540</v>
      </c>
      <c r="AF1898" s="491">
        <v>110</v>
      </c>
      <c r="AG1898" s="66">
        <f t="shared" si="76"/>
        <v>113.85795918367347</v>
      </c>
      <c r="AH1898" s="143">
        <f t="shared" si="77"/>
        <v>1000</v>
      </c>
      <c r="AI1898" s="516"/>
      <c r="AJ1898" s="516"/>
      <c r="AK1898" s="516"/>
      <c r="AL1898" s="516"/>
      <c r="AM1898" s="516"/>
      <c r="AN1898" s="516"/>
      <c r="AO1898" s="516"/>
      <c r="AP1898" s="516"/>
      <c r="AQ1898" s="516"/>
      <c r="AR1898" s="516"/>
      <c r="AS1898" s="516"/>
      <c r="AT1898" s="516"/>
      <c r="AU1898" s="516"/>
      <c r="AV1898" s="516"/>
      <c r="AW1898" s="516"/>
      <c r="AX1898" s="516"/>
      <c r="AY1898" s="516"/>
      <c r="AZ1898" s="516"/>
      <c r="BA1898" s="516"/>
      <c r="BB1898" s="516"/>
      <c r="BC1898" s="516"/>
      <c r="BD1898" s="516"/>
      <c r="BE1898" s="516"/>
      <c r="BF1898" s="516"/>
      <c r="BG1898" s="516"/>
      <c r="BH1898" s="516"/>
      <c r="BI1898" s="516"/>
      <c r="BJ1898" s="516"/>
      <c r="BK1898" s="516"/>
      <c r="BL1898" s="516"/>
      <c r="BM1898" s="516"/>
      <c r="BN1898" s="516"/>
      <c r="BO1898" s="516"/>
      <c r="BP1898" s="516"/>
      <c r="BQ1898" s="516"/>
      <c r="BR1898" s="516"/>
      <c r="BS1898" s="516"/>
      <c r="BT1898" s="516"/>
      <c r="BU1898" s="516"/>
      <c r="BV1898" s="516"/>
      <c r="BW1898" s="516"/>
      <c r="BX1898" s="516"/>
      <c r="BY1898" s="516"/>
      <c r="BZ1898" s="516"/>
      <c r="CA1898" s="516"/>
      <c r="CB1898" s="516"/>
      <c r="CC1898" s="516"/>
      <c r="CD1898" s="516"/>
      <c r="CE1898" s="516"/>
      <c r="CF1898" s="516"/>
      <c r="CG1898" s="516"/>
      <c r="CH1898" s="516"/>
      <c r="CI1898" s="516"/>
      <c r="CJ1898" s="516"/>
      <c r="CK1898" s="516"/>
      <c r="CL1898" s="516"/>
      <c r="CM1898" s="516"/>
      <c r="CN1898" s="516"/>
      <c r="CO1898" s="516"/>
      <c r="CP1898" s="516"/>
      <c r="CQ1898" s="516"/>
      <c r="CR1898" s="516"/>
      <c r="CS1898" s="516"/>
      <c r="CT1898" s="516"/>
      <c r="CU1898" s="516"/>
      <c r="CV1898" s="516"/>
      <c r="CW1898" s="516"/>
      <c r="CX1898" s="516"/>
      <c r="CY1898" s="516"/>
      <c r="CZ1898" s="516"/>
      <c r="DA1898" s="516"/>
      <c r="DB1898" s="516"/>
      <c r="DC1898" s="516"/>
      <c r="DD1898" s="516"/>
      <c r="DE1898" s="516"/>
      <c r="DF1898" s="516"/>
      <c r="DG1898" s="516"/>
      <c r="DH1898" s="516"/>
      <c r="DI1898" s="516"/>
      <c r="DJ1898" s="516"/>
      <c r="DK1898" s="516"/>
      <c r="DL1898" s="516"/>
      <c r="DM1898" s="516"/>
      <c r="DN1898" s="516"/>
      <c r="DO1898" s="516"/>
      <c r="DP1898" s="516"/>
      <c r="DQ1898" s="516"/>
      <c r="DR1898" s="516"/>
      <c r="DS1898" s="516"/>
      <c r="DT1898" s="516"/>
      <c r="DU1898" s="516"/>
      <c r="DV1898" s="516"/>
      <c r="DW1898" s="516"/>
      <c r="DX1898" s="516"/>
      <c r="DY1898" s="516"/>
      <c r="DZ1898" s="516"/>
      <c r="EA1898" s="516"/>
      <c r="EB1898" s="516"/>
      <c r="EC1898" s="516"/>
      <c r="ED1898" s="516"/>
      <c r="EE1898" s="516"/>
      <c r="EF1898" s="516"/>
      <c r="EG1898" s="516"/>
      <c r="EH1898" s="516"/>
      <c r="EI1898" s="516"/>
      <c r="EJ1898" s="516"/>
      <c r="EK1898" s="516"/>
      <c r="EL1898" s="516"/>
      <c r="EM1898" s="516"/>
      <c r="EN1898" s="516"/>
      <c r="EO1898" s="516"/>
      <c r="EP1898" s="516"/>
      <c r="EQ1898" s="516"/>
      <c r="ER1898" s="516"/>
      <c r="ES1898" s="516"/>
    </row>
    <row r="1899" spans="1:149" x14ac:dyDescent="0.3">
      <c r="A1899" s="418">
        <v>903924</v>
      </c>
      <c r="B1899" s="617">
        <v>10.8</v>
      </c>
      <c r="C1899" s="618"/>
      <c r="D1899" s="619">
        <v>8.1999999999999993</v>
      </c>
      <c r="E1899" s="1556">
        <v>1.1599999999999999</v>
      </c>
      <c r="F1899" s="619">
        <v>119.2</v>
      </c>
      <c r="G1899" s="619"/>
      <c r="H1899" s="619">
        <v>28.77</v>
      </c>
      <c r="I1899" s="619">
        <v>160</v>
      </c>
      <c r="J1899" s="619">
        <v>0.76700000000000002</v>
      </c>
      <c r="K1899" s="619">
        <v>9.4499999999999993</v>
      </c>
      <c r="L1899" s="619">
        <v>1190</v>
      </c>
      <c r="M1899" s="619">
        <v>0.94</v>
      </c>
      <c r="N1899" s="619">
        <v>0.65</v>
      </c>
      <c r="O1899" s="619">
        <v>13.7</v>
      </c>
      <c r="P1899" s="619">
        <v>2.11</v>
      </c>
      <c r="Q1899" s="491"/>
      <c r="R1899" s="620">
        <v>1.7644250000000001</v>
      </c>
      <c r="S1899" s="491">
        <v>15.5</v>
      </c>
      <c r="T1899" s="620"/>
      <c r="U1899" s="620"/>
      <c r="Y1899" s="67">
        <v>37.799999999999997</v>
      </c>
      <c r="Z1899" s="491"/>
      <c r="AA1899" s="68">
        <v>4.8499999999999996</v>
      </c>
      <c r="AB1899" s="68">
        <v>0.47899999999999998</v>
      </c>
      <c r="AC1899" s="69">
        <v>8.4</v>
      </c>
      <c r="AD1899" s="621">
        <v>540</v>
      </c>
      <c r="AE1899" s="491">
        <v>320</v>
      </c>
      <c r="AF1899" s="491">
        <v>140</v>
      </c>
      <c r="AG1899" s="66">
        <f t="shared" si="76"/>
        <v>88.5</v>
      </c>
      <c r="AH1899" s="143">
        <f t="shared" si="77"/>
        <v>1000</v>
      </c>
      <c r="AI1899" s="516"/>
      <c r="AJ1899" s="516"/>
      <c r="AK1899" s="516"/>
      <c r="AL1899" s="516"/>
      <c r="AM1899" s="516"/>
      <c r="AN1899" s="516"/>
      <c r="AO1899" s="516"/>
      <c r="AP1899" s="516"/>
      <c r="AQ1899" s="516"/>
      <c r="AR1899" s="516"/>
      <c r="AS1899" s="516"/>
      <c r="AT1899" s="516"/>
      <c r="AU1899" s="516"/>
      <c r="AV1899" s="516"/>
      <c r="AW1899" s="516"/>
      <c r="AX1899" s="516"/>
      <c r="AY1899" s="516"/>
      <c r="AZ1899" s="516"/>
      <c r="BA1899" s="516"/>
      <c r="BB1899" s="516"/>
      <c r="BC1899" s="516"/>
      <c r="BD1899" s="516"/>
      <c r="BE1899" s="516"/>
      <c r="BF1899" s="516"/>
      <c r="BG1899" s="516"/>
      <c r="BH1899" s="516"/>
      <c r="BI1899" s="516"/>
      <c r="BJ1899" s="516"/>
      <c r="BK1899" s="516"/>
      <c r="BL1899" s="516"/>
      <c r="BM1899" s="516"/>
      <c r="BN1899" s="516"/>
      <c r="BO1899" s="516"/>
      <c r="BP1899" s="516"/>
      <c r="BQ1899" s="516"/>
      <c r="BR1899" s="516"/>
      <c r="BS1899" s="516"/>
      <c r="BT1899" s="516"/>
      <c r="BU1899" s="516"/>
      <c r="BV1899" s="516"/>
      <c r="BW1899" s="516"/>
      <c r="BX1899" s="516"/>
      <c r="BY1899" s="516"/>
      <c r="BZ1899" s="516"/>
      <c r="CA1899" s="516"/>
      <c r="CB1899" s="516"/>
      <c r="CC1899" s="516"/>
      <c r="CD1899" s="516"/>
      <c r="CE1899" s="516"/>
      <c r="CF1899" s="516"/>
      <c r="CG1899" s="516"/>
      <c r="CH1899" s="516"/>
      <c r="CI1899" s="516"/>
      <c r="CJ1899" s="516"/>
      <c r="CK1899" s="516"/>
      <c r="CL1899" s="516"/>
      <c r="CM1899" s="516"/>
      <c r="CN1899" s="516"/>
      <c r="CO1899" s="516"/>
      <c r="CP1899" s="516"/>
      <c r="CQ1899" s="516"/>
      <c r="CR1899" s="516"/>
      <c r="CS1899" s="516"/>
      <c r="CT1899" s="516"/>
      <c r="CU1899" s="516"/>
      <c r="CV1899" s="516"/>
      <c r="CW1899" s="516"/>
      <c r="CX1899" s="516"/>
      <c r="CY1899" s="516"/>
      <c r="CZ1899" s="516"/>
      <c r="DA1899" s="516"/>
      <c r="DB1899" s="516"/>
      <c r="DC1899" s="516"/>
      <c r="DD1899" s="516"/>
      <c r="DE1899" s="516"/>
      <c r="DF1899" s="516"/>
      <c r="DG1899" s="516"/>
      <c r="DH1899" s="516"/>
      <c r="DI1899" s="516"/>
      <c r="DJ1899" s="516"/>
      <c r="DK1899" s="516"/>
      <c r="DL1899" s="516"/>
      <c r="DM1899" s="516"/>
      <c r="DN1899" s="516"/>
      <c r="DO1899" s="516"/>
      <c r="DP1899" s="516"/>
      <c r="DQ1899" s="516"/>
      <c r="DR1899" s="516"/>
      <c r="DS1899" s="516"/>
      <c r="DT1899" s="516"/>
      <c r="DU1899" s="516"/>
      <c r="DV1899" s="516"/>
      <c r="DW1899" s="516"/>
      <c r="DX1899" s="516"/>
      <c r="DY1899" s="516"/>
      <c r="DZ1899" s="516"/>
      <c r="EA1899" s="516"/>
      <c r="EB1899" s="516"/>
      <c r="EC1899" s="516"/>
      <c r="ED1899" s="516"/>
      <c r="EE1899" s="516"/>
      <c r="EF1899" s="516"/>
      <c r="EG1899" s="516"/>
      <c r="EH1899" s="516"/>
      <c r="EI1899" s="516"/>
      <c r="EJ1899" s="516"/>
      <c r="EK1899" s="516"/>
      <c r="EL1899" s="516"/>
      <c r="EM1899" s="516"/>
      <c r="EN1899" s="516"/>
      <c r="EO1899" s="516"/>
      <c r="EP1899" s="516"/>
      <c r="EQ1899" s="516"/>
      <c r="ER1899" s="516"/>
      <c r="ES1899" s="516"/>
    </row>
    <row r="1900" spans="1:149" x14ac:dyDescent="0.3">
      <c r="A1900" s="418">
        <v>903925</v>
      </c>
      <c r="B1900" s="617">
        <v>8.3000000000000007</v>
      </c>
      <c r="C1900" s="618"/>
      <c r="D1900" s="619">
        <v>8.51</v>
      </c>
      <c r="E1900" s="1556">
        <v>0.4</v>
      </c>
      <c r="F1900" s="619">
        <v>829.8</v>
      </c>
      <c r="G1900" s="619"/>
      <c r="H1900" s="619">
        <v>58.04</v>
      </c>
      <c r="I1900" s="619">
        <v>430</v>
      </c>
      <c r="J1900" s="619">
        <v>0.371</v>
      </c>
      <c r="K1900" s="619">
        <v>7.51</v>
      </c>
      <c r="L1900" s="619">
        <v>1390</v>
      </c>
      <c r="M1900" s="619">
        <v>1.62</v>
      </c>
      <c r="N1900" s="619">
        <v>1.05</v>
      </c>
      <c r="O1900" s="619">
        <v>7.74</v>
      </c>
      <c r="P1900" s="619">
        <v>3.06</v>
      </c>
      <c r="Q1900" s="491"/>
      <c r="R1900" s="620">
        <v>1.865372</v>
      </c>
      <c r="S1900" s="491">
        <v>18.8</v>
      </c>
      <c r="T1900" s="620"/>
      <c r="U1900" s="620"/>
      <c r="Y1900" s="67">
        <v>29</v>
      </c>
      <c r="Z1900" s="491"/>
      <c r="AA1900" s="68">
        <v>3.53</v>
      </c>
      <c r="AB1900" s="68">
        <v>0.78</v>
      </c>
      <c r="AC1900" s="69">
        <v>10.5</v>
      </c>
      <c r="AD1900" s="621">
        <v>550</v>
      </c>
      <c r="AE1900" s="491">
        <v>320</v>
      </c>
      <c r="AF1900" s="491">
        <v>130</v>
      </c>
      <c r="AG1900" s="66">
        <f t="shared" si="76"/>
        <v>91.673793103448276</v>
      </c>
      <c r="AH1900" s="143">
        <f t="shared" si="77"/>
        <v>1000</v>
      </c>
      <c r="AI1900" s="516"/>
      <c r="AJ1900" s="516"/>
      <c r="AK1900" s="516"/>
      <c r="AL1900" s="516"/>
      <c r="AM1900" s="516"/>
      <c r="AN1900" s="516"/>
      <c r="AO1900" s="516"/>
      <c r="AP1900" s="516"/>
      <c r="AQ1900" s="516"/>
      <c r="AR1900" s="516"/>
      <c r="AS1900" s="516"/>
      <c r="AT1900" s="516"/>
      <c r="AU1900" s="516"/>
      <c r="AV1900" s="516"/>
      <c r="AW1900" s="516"/>
      <c r="AX1900" s="516"/>
      <c r="AY1900" s="516"/>
      <c r="AZ1900" s="516"/>
      <c r="BA1900" s="516"/>
      <c r="BB1900" s="516"/>
      <c r="BC1900" s="516"/>
      <c r="BD1900" s="516"/>
      <c r="BE1900" s="516"/>
      <c r="BF1900" s="516"/>
      <c r="BG1900" s="516"/>
      <c r="BH1900" s="516"/>
      <c r="BI1900" s="516"/>
      <c r="BJ1900" s="516"/>
      <c r="BK1900" s="516"/>
      <c r="BL1900" s="516"/>
      <c r="BM1900" s="516"/>
      <c r="BN1900" s="516"/>
      <c r="BO1900" s="516"/>
      <c r="BP1900" s="516"/>
      <c r="BQ1900" s="516"/>
      <c r="BR1900" s="516"/>
      <c r="BS1900" s="516"/>
      <c r="BT1900" s="516"/>
      <c r="BU1900" s="516"/>
      <c r="BV1900" s="516"/>
      <c r="BW1900" s="516"/>
      <c r="BX1900" s="516"/>
      <c r="BY1900" s="516"/>
      <c r="BZ1900" s="516"/>
      <c r="CA1900" s="516"/>
      <c r="CB1900" s="516"/>
      <c r="CC1900" s="516"/>
      <c r="CD1900" s="516"/>
      <c r="CE1900" s="516"/>
      <c r="CF1900" s="516"/>
      <c r="CG1900" s="516"/>
      <c r="CH1900" s="516"/>
      <c r="CI1900" s="516"/>
      <c r="CJ1900" s="516"/>
      <c r="CK1900" s="516"/>
      <c r="CL1900" s="516"/>
      <c r="CM1900" s="516"/>
      <c r="CN1900" s="516"/>
      <c r="CO1900" s="516"/>
      <c r="CP1900" s="516"/>
      <c r="CQ1900" s="516"/>
      <c r="CR1900" s="516"/>
      <c r="CS1900" s="516"/>
      <c r="CT1900" s="516"/>
      <c r="CU1900" s="516"/>
      <c r="CV1900" s="516"/>
      <c r="CW1900" s="516"/>
      <c r="CX1900" s="516"/>
      <c r="CY1900" s="516"/>
      <c r="CZ1900" s="516"/>
      <c r="DA1900" s="516"/>
      <c r="DB1900" s="516"/>
      <c r="DC1900" s="516"/>
      <c r="DD1900" s="516"/>
      <c r="DE1900" s="516"/>
      <c r="DF1900" s="516"/>
      <c r="DG1900" s="516"/>
      <c r="DH1900" s="516"/>
      <c r="DI1900" s="516"/>
      <c r="DJ1900" s="516"/>
      <c r="DK1900" s="516"/>
      <c r="DL1900" s="516"/>
      <c r="DM1900" s="516"/>
      <c r="DN1900" s="516"/>
      <c r="DO1900" s="516"/>
      <c r="DP1900" s="516"/>
      <c r="DQ1900" s="516"/>
      <c r="DR1900" s="516"/>
      <c r="DS1900" s="516"/>
      <c r="DT1900" s="516"/>
      <c r="DU1900" s="516"/>
      <c r="DV1900" s="516"/>
      <c r="DW1900" s="516"/>
      <c r="DX1900" s="516"/>
      <c r="DY1900" s="516"/>
      <c r="DZ1900" s="516"/>
      <c r="EA1900" s="516"/>
      <c r="EB1900" s="516"/>
      <c r="EC1900" s="516"/>
      <c r="ED1900" s="516"/>
      <c r="EE1900" s="516"/>
      <c r="EF1900" s="516"/>
      <c r="EG1900" s="516"/>
      <c r="EH1900" s="516"/>
      <c r="EI1900" s="516"/>
      <c r="EJ1900" s="516"/>
      <c r="EK1900" s="516"/>
      <c r="EL1900" s="516"/>
      <c r="EM1900" s="516"/>
      <c r="EN1900" s="516"/>
      <c r="EO1900" s="516"/>
      <c r="EP1900" s="516"/>
      <c r="EQ1900" s="516"/>
      <c r="ER1900" s="516"/>
      <c r="ES1900" s="516"/>
    </row>
    <row r="1901" spans="1:149" x14ac:dyDescent="0.3">
      <c r="A1901" s="418">
        <v>903926</v>
      </c>
      <c r="B1901" s="617">
        <v>8.8000000000000007</v>
      </c>
      <c r="C1901" s="618"/>
      <c r="D1901" s="619">
        <v>8.59</v>
      </c>
      <c r="E1901" s="1556">
        <v>0.24</v>
      </c>
      <c r="F1901" s="619">
        <v>281.95</v>
      </c>
      <c r="G1901" s="619"/>
      <c r="H1901" s="619">
        <v>45.24</v>
      </c>
      <c r="I1901" s="619">
        <v>240</v>
      </c>
      <c r="J1901" s="619">
        <v>0.14599999999999999</v>
      </c>
      <c r="K1901" s="619">
        <v>8.2899999999999991</v>
      </c>
      <c r="L1901" s="619">
        <v>590</v>
      </c>
      <c r="M1901" s="619">
        <v>0.63</v>
      </c>
      <c r="N1901" s="619">
        <v>0.76</v>
      </c>
      <c r="O1901" s="619">
        <v>4.4400000000000004</v>
      </c>
      <c r="P1901" s="619">
        <v>2.2200000000000002</v>
      </c>
      <c r="Q1901" s="491"/>
      <c r="R1901" s="620">
        <v>1.1769008108663725</v>
      </c>
      <c r="S1901" s="491">
        <v>7.9</v>
      </c>
      <c r="T1901" s="620"/>
      <c r="U1901" s="620"/>
      <c r="Y1901" s="67">
        <v>33</v>
      </c>
      <c r="Z1901" s="491"/>
      <c r="AA1901" s="68">
        <v>3.53</v>
      </c>
      <c r="AB1901" s="68">
        <v>0.52400000000000002</v>
      </c>
      <c r="AC1901" s="69">
        <v>10.199999999999999</v>
      </c>
      <c r="AD1901" s="621">
        <v>540</v>
      </c>
      <c r="AE1901" s="491">
        <v>300</v>
      </c>
      <c r="AF1901" s="491">
        <v>160</v>
      </c>
      <c r="AG1901" s="66">
        <f t="shared" si="76"/>
        <v>88.929090909090903</v>
      </c>
      <c r="AH1901" s="143">
        <f t="shared" si="77"/>
        <v>1000</v>
      </c>
      <c r="AI1901" s="516"/>
      <c r="AJ1901" s="516"/>
      <c r="AK1901" s="516"/>
      <c r="AL1901" s="516"/>
      <c r="AM1901" s="516"/>
      <c r="AN1901" s="516"/>
      <c r="AO1901" s="516"/>
      <c r="AP1901" s="516"/>
      <c r="AQ1901" s="516"/>
      <c r="AR1901" s="516"/>
      <c r="AS1901" s="516"/>
      <c r="AT1901" s="516"/>
      <c r="AU1901" s="516"/>
      <c r="AV1901" s="516"/>
      <c r="AW1901" s="516"/>
      <c r="AX1901" s="516"/>
      <c r="AY1901" s="516"/>
      <c r="AZ1901" s="516"/>
      <c r="BA1901" s="516"/>
      <c r="BB1901" s="516"/>
      <c r="BC1901" s="516"/>
      <c r="BD1901" s="516"/>
      <c r="BE1901" s="516"/>
      <c r="BF1901" s="516"/>
      <c r="BG1901" s="516"/>
      <c r="BH1901" s="516"/>
      <c r="BI1901" s="516"/>
      <c r="BJ1901" s="516"/>
      <c r="BK1901" s="516"/>
      <c r="BL1901" s="516"/>
      <c r="BM1901" s="516"/>
      <c r="BN1901" s="516"/>
      <c r="BO1901" s="516"/>
      <c r="BP1901" s="516"/>
      <c r="BQ1901" s="516"/>
      <c r="BR1901" s="516"/>
      <c r="BS1901" s="516"/>
      <c r="BT1901" s="516"/>
      <c r="BU1901" s="516"/>
      <c r="BV1901" s="516"/>
      <c r="BW1901" s="516"/>
      <c r="BX1901" s="516"/>
      <c r="BY1901" s="516"/>
      <c r="BZ1901" s="516"/>
      <c r="CA1901" s="516"/>
      <c r="CB1901" s="516"/>
      <c r="CC1901" s="516"/>
      <c r="CD1901" s="516"/>
      <c r="CE1901" s="516"/>
      <c r="CF1901" s="516"/>
      <c r="CG1901" s="516"/>
      <c r="CH1901" s="516"/>
      <c r="CI1901" s="516"/>
      <c r="CJ1901" s="516"/>
      <c r="CK1901" s="516"/>
      <c r="CL1901" s="516"/>
      <c r="CM1901" s="516"/>
      <c r="CN1901" s="516"/>
      <c r="CO1901" s="516"/>
      <c r="CP1901" s="516"/>
      <c r="CQ1901" s="516"/>
      <c r="CR1901" s="516"/>
      <c r="CS1901" s="516"/>
      <c r="CT1901" s="516"/>
      <c r="CU1901" s="516"/>
      <c r="CV1901" s="516"/>
      <c r="CW1901" s="516"/>
      <c r="CX1901" s="516"/>
      <c r="CY1901" s="516"/>
      <c r="CZ1901" s="516"/>
      <c r="DA1901" s="516"/>
      <c r="DB1901" s="516"/>
      <c r="DC1901" s="516"/>
      <c r="DD1901" s="516"/>
      <c r="DE1901" s="516"/>
      <c r="DF1901" s="516"/>
      <c r="DG1901" s="516"/>
      <c r="DH1901" s="516"/>
      <c r="DI1901" s="516"/>
      <c r="DJ1901" s="516"/>
      <c r="DK1901" s="516"/>
      <c r="DL1901" s="516"/>
      <c r="DM1901" s="516"/>
      <c r="DN1901" s="516"/>
      <c r="DO1901" s="516"/>
      <c r="DP1901" s="516"/>
      <c r="DQ1901" s="516"/>
      <c r="DR1901" s="516"/>
      <c r="DS1901" s="516"/>
      <c r="DT1901" s="516"/>
      <c r="DU1901" s="516"/>
      <c r="DV1901" s="516"/>
      <c r="DW1901" s="516"/>
      <c r="DX1901" s="516"/>
      <c r="DY1901" s="516"/>
      <c r="DZ1901" s="516"/>
      <c r="EA1901" s="516"/>
      <c r="EB1901" s="516"/>
      <c r="EC1901" s="516"/>
      <c r="ED1901" s="516"/>
      <c r="EE1901" s="516"/>
      <c r="EF1901" s="516"/>
      <c r="EG1901" s="516"/>
      <c r="EH1901" s="516"/>
      <c r="EI1901" s="516"/>
      <c r="EJ1901" s="516"/>
      <c r="EK1901" s="516"/>
      <c r="EL1901" s="516"/>
      <c r="EM1901" s="516"/>
      <c r="EN1901" s="516"/>
      <c r="EO1901" s="516"/>
      <c r="EP1901" s="516"/>
      <c r="EQ1901" s="516"/>
      <c r="ER1901" s="516"/>
      <c r="ES1901" s="516"/>
    </row>
    <row r="1902" spans="1:149" x14ac:dyDescent="0.3">
      <c r="A1902" s="418">
        <v>903927</v>
      </c>
      <c r="B1902" s="617">
        <v>8.3000000000000007</v>
      </c>
      <c r="C1902" s="618"/>
      <c r="D1902" s="619">
        <v>8.39</v>
      </c>
      <c r="E1902" s="1556">
        <v>0.9</v>
      </c>
      <c r="F1902" s="619">
        <v>1385.25</v>
      </c>
      <c r="G1902" s="619"/>
      <c r="H1902" s="619">
        <v>28.71</v>
      </c>
      <c r="I1902" s="619">
        <v>350</v>
      </c>
      <c r="J1902" s="619">
        <v>0.61399999999999999</v>
      </c>
      <c r="K1902" s="619">
        <v>9.3699999999999992</v>
      </c>
      <c r="L1902" s="619">
        <v>790</v>
      </c>
      <c r="M1902" s="619">
        <v>0.48</v>
      </c>
      <c r="N1902" s="619">
        <v>0.85</v>
      </c>
      <c r="O1902" s="619">
        <v>3.56</v>
      </c>
      <c r="P1902" s="619">
        <v>2.1800000000000002</v>
      </c>
      <c r="Q1902" s="491"/>
      <c r="R1902" s="620">
        <v>1.3093509539299706</v>
      </c>
      <c r="S1902" s="491">
        <v>9.6</v>
      </c>
      <c r="T1902" s="620"/>
      <c r="U1902" s="620"/>
      <c r="Y1902" s="67">
        <v>33</v>
      </c>
      <c r="Z1902" s="491"/>
      <c r="AA1902" s="68">
        <v>4.59</v>
      </c>
      <c r="AB1902" s="68">
        <v>0.85199999999999998</v>
      </c>
      <c r="AC1902" s="69">
        <v>10.4</v>
      </c>
      <c r="AD1902" s="621">
        <v>550</v>
      </c>
      <c r="AE1902" s="491">
        <v>320</v>
      </c>
      <c r="AF1902" s="491">
        <v>130</v>
      </c>
      <c r="AG1902" s="66">
        <f t="shared" si="76"/>
        <v>100.51454545454544</v>
      </c>
      <c r="AH1902" s="143">
        <f t="shared" si="77"/>
        <v>1000</v>
      </c>
      <c r="AI1902" s="516"/>
      <c r="AJ1902" s="516"/>
      <c r="AK1902" s="516"/>
      <c r="AL1902" s="516"/>
      <c r="AM1902" s="516"/>
      <c r="AN1902" s="516"/>
      <c r="AO1902" s="516"/>
      <c r="AP1902" s="516"/>
      <c r="AQ1902" s="516"/>
      <c r="AR1902" s="516"/>
      <c r="AS1902" s="516"/>
      <c r="AT1902" s="516"/>
      <c r="AU1902" s="516"/>
      <c r="AV1902" s="516"/>
      <c r="AW1902" s="516"/>
      <c r="AX1902" s="516"/>
      <c r="AY1902" s="516"/>
      <c r="AZ1902" s="516"/>
      <c r="BA1902" s="516"/>
      <c r="BB1902" s="516"/>
      <c r="BC1902" s="516"/>
      <c r="BD1902" s="516"/>
      <c r="BE1902" s="516"/>
      <c r="BF1902" s="516"/>
      <c r="BG1902" s="516"/>
      <c r="BH1902" s="516"/>
      <c r="BI1902" s="516"/>
      <c r="BJ1902" s="516"/>
      <c r="BK1902" s="516"/>
      <c r="BL1902" s="516"/>
      <c r="BM1902" s="516"/>
      <c r="BN1902" s="516"/>
      <c r="BO1902" s="516"/>
      <c r="BP1902" s="516"/>
      <c r="BQ1902" s="516"/>
      <c r="BR1902" s="516"/>
      <c r="BS1902" s="516"/>
      <c r="BT1902" s="516"/>
      <c r="BU1902" s="516"/>
      <c r="BV1902" s="516"/>
      <c r="BW1902" s="516"/>
      <c r="BX1902" s="516"/>
      <c r="BY1902" s="516"/>
      <c r="BZ1902" s="516"/>
      <c r="CA1902" s="516"/>
      <c r="CB1902" s="516"/>
      <c r="CC1902" s="516"/>
      <c r="CD1902" s="516"/>
      <c r="CE1902" s="516"/>
      <c r="CF1902" s="516"/>
      <c r="CG1902" s="516"/>
      <c r="CH1902" s="516"/>
      <c r="CI1902" s="516"/>
      <c r="CJ1902" s="516"/>
      <c r="CK1902" s="516"/>
      <c r="CL1902" s="516"/>
      <c r="CM1902" s="516"/>
      <c r="CN1902" s="516"/>
      <c r="CO1902" s="516"/>
      <c r="CP1902" s="516"/>
      <c r="CQ1902" s="516"/>
      <c r="CR1902" s="516"/>
      <c r="CS1902" s="516"/>
      <c r="CT1902" s="516"/>
      <c r="CU1902" s="516"/>
      <c r="CV1902" s="516"/>
      <c r="CW1902" s="516"/>
      <c r="CX1902" s="516"/>
      <c r="CY1902" s="516"/>
      <c r="CZ1902" s="516"/>
      <c r="DA1902" s="516"/>
      <c r="DB1902" s="516"/>
      <c r="DC1902" s="516"/>
      <c r="DD1902" s="516"/>
      <c r="DE1902" s="516"/>
      <c r="DF1902" s="516"/>
      <c r="DG1902" s="516"/>
      <c r="DH1902" s="516"/>
      <c r="DI1902" s="516"/>
      <c r="DJ1902" s="516"/>
      <c r="DK1902" s="516"/>
      <c r="DL1902" s="516"/>
      <c r="DM1902" s="516"/>
      <c r="DN1902" s="516"/>
      <c r="DO1902" s="516"/>
      <c r="DP1902" s="516"/>
      <c r="DQ1902" s="516"/>
      <c r="DR1902" s="516"/>
      <c r="DS1902" s="516"/>
      <c r="DT1902" s="516"/>
      <c r="DU1902" s="516"/>
      <c r="DV1902" s="516"/>
      <c r="DW1902" s="516"/>
      <c r="DX1902" s="516"/>
      <c r="DY1902" s="516"/>
      <c r="DZ1902" s="516"/>
      <c r="EA1902" s="516"/>
      <c r="EB1902" s="516"/>
      <c r="EC1902" s="516"/>
      <c r="ED1902" s="516"/>
      <c r="EE1902" s="516"/>
      <c r="EF1902" s="516"/>
      <c r="EG1902" s="516"/>
      <c r="EH1902" s="516"/>
      <c r="EI1902" s="516"/>
      <c r="EJ1902" s="516"/>
      <c r="EK1902" s="516"/>
      <c r="EL1902" s="516"/>
      <c r="EM1902" s="516"/>
      <c r="EN1902" s="516"/>
      <c r="EO1902" s="516"/>
      <c r="EP1902" s="516"/>
      <c r="EQ1902" s="516"/>
      <c r="ER1902" s="516"/>
      <c r="ES1902" s="516"/>
    </row>
    <row r="1903" spans="1:149" s="114" customFormat="1" x14ac:dyDescent="0.3">
      <c r="A1903" s="609">
        <v>903928</v>
      </c>
      <c r="B1903" s="610">
        <v>25.3</v>
      </c>
      <c r="C1903" s="611">
        <v>10.63</v>
      </c>
      <c r="D1903" s="612">
        <v>8.23</v>
      </c>
      <c r="E1903" s="1555">
        <v>0.13</v>
      </c>
      <c r="F1903" s="612">
        <v>331.85</v>
      </c>
      <c r="G1903" s="612"/>
      <c r="H1903" s="612">
        <v>15.67</v>
      </c>
      <c r="I1903" s="612">
        <v>300</v>
      </c>
      <c r="J1903" s="612">
        <v>2.5999999999999999E-2</v>
      </c>
      <c r="K1903" s="612">
        <v>11.01</v>
      </c>
      <c r="L1903" s="612">
        <v>1000</v>
      </c>
      <c r="M1903" s="612">
        <v>0.25</v>
      </c>
      <c r="N1903" s="612">
        <v>3.33</v>
      </c>
      <c r="O1903" s="612">
        <v>7.21</v>
      </c>
      <c r="P1903" s="612">
        <v>8.23</v>
      </c>
      <c r="Q1903" s="613"/>
      <c r="R1903" s="614">
        <v>1.720472</v>
      </c>
      <c r="S1903" s="613">
        <v>14.2</v>
      </c>
      <c r="T1903" s="614"/>
      <c r="U1903" s="614"/>
      <c r="Y1903" s="314">
        <v>39.200000000000003</v>
      </c>
      <c r="Z1903" s="613"/>
      <c r="AA1903" s="311">
        <v>4.45</v>
      </c>
      <c r="AB1903" s="311">
        <v>0.27900000000000003</v>
      </c>
      <c r="AC1903" s="114">
        <v>7.8</v>
      </c>
      <c r="AD1903" s="616">
        <v>560</v>
      </c>
      <c r="AE1903" s="613">
        <v>300</v>
      </c>
      <c r="AF1903" s="613">
        <v>140</v>
      </c>
      <c r="AG1903" s="66">
        <f t="shared" si="76"/>
        <v>99.427040816326524</v>
      </c>
      <c r="AH1903" s="143">
        <f t="shared" si="77"/>
        <v>1000</v>
      </c>
      <c r="AI1903" s="615"/>
      <c r="AJ1903" s="615"/>
      <c r="AK1903" s="615"/>
      <c r="AL1903" s="615"/>
      <c r="AM1903" s="615"/>
      <c r="AN1903" s="615"/>
      <c r="AO1903" s="615"/>
      <c r="AP1903" s="615"/>
      <c r="AQ1903" s="615"/>
      <c r="AR1903" s="615"/>
      <c r="AS1903" s="615"/>
      <c r="AT1903" s="615"/>
      <c r="AU1903" s="615"/>
      <c r="AV1903" s="615"/>
      <c r="AW1903" s="615"/>
      <c r="AX1903" s="615"/>
      <c r="AY1903" s="615"/>
      <c r="AZ1903" s="615"/>
      <c r="BA1903" s="615"/>
      <c r="BB1903" s="615"/>
      <c r="BC1903" s="615"/>
      <c r="BD1903" s="615"/>
      <c r="BE1903" s="615"/>
      <c r="BF1903" s="615"/>
      <c r="BG1903" s="615"/>
      <c r="BH1903" s="615"/>
      <c r="BI1903" s="615"/>
      <c r="BJ1903" s="615"/>
      <c r="BK1903" s="615"/>
      <c r="BL1903" s="615"/>
      <c r="BM1903" s="615"/>
      <c r="BN1903" s="615"/>
      <c r="BO1903" s="615"/>
      <c r="BP1903" s="615"/>
      <c r="BQ1903" s="615"/>
      <c r="BR1903" s="615"/>
      <c r="BS1903" s="615"/>
      <c r="BT1903" s="615"/>
      <c r="BU1903" s="615"/>
      <c r="BV1903" s="615"/>
      <c r="BW1903" s="615"/>
      <c r="BX1903" s="615"/>
      <c r="BY1903" s="615"/>
      <c r="BZ1903" s="615"/>
      <c r="CA1903" s="615"/>
      <c r="CB1903" s="615"/>
      <c r="CC1903" s="615"/>
      <c r="CD1903" s="615"/>
      <c r="CE1903" s="615"/>
      <c r="CF1903" s="615"/>
      <c r="CG1903" s="615"/>
      <c r="CH1903" s="615"/>
      <c r="CI1903" s="615"/>
      <c r="CJ1903" s="615"/>
      <c r="CK1903" s="615"/>
      <c r="CL1903" s="615"/>
      <c r="CM1903" s="615"/>
      <c r="CN1903" s="615"/>
      <c r="CO1903" s="615"/>
      <c r="CP1903" s="615"/>
      <c r="CQ1903" s="615"/>
      <c r="CR1903" s="615"/>
      <c r="CS1903" s="615"/>
      <c r="CT1903" s="615"/>
      <c r="CU1903" s="615"/>
      <c r="CV1903" s="615"/>
      <c r="CW1903" s="615"/>
      <c r="CX1903" s="615"/>
      <c r="CY1903" s="615"/>
      <c r="CZ1903" s="615"/>
      <c r="DA1903" s="615"/>
      <c r="DB1903" s="615"/>
      <c r="DC1903" s="615"/>
      <c r="DD1903" s="615"/>
      <c r="DE1903" s="615"/>
      <c r="DF1903" s="615"/>
      <c r="DG1903" s="615"/>
      <c r="DH1903" s="615"/>
      <c r="DI1903" s="615"/>
      <c r="DJ1903" s="615"/>
      <c r="DK1903" s="615"/>
      <c r="DL1903" s="615"/>
      <c r="DM1903" s="615"/>
      <c r="DN1903" s="615"/>
      <c r="DO1903" s="615"/>
      <c r="DP1903" s="615"/>
      <c r="DQ1903" s="615"/>
      <c r="DR1903" s="615"/>
      <c r="DS1903" s="615"/>
      <c r="DT1903" s="615"/>
      <c r="DU1903" s="615"/>
      <c r="DV1903" s="615"/>
      <c r="DW1903" s="615"/>
      <c r="DX1903" s="615"/>
      <c r="DY1903" s="615"/>
      <c r="DZ1903" s="615"/>
      <c r="EA1903" s="615"/>
      <c r="EB1903" s="615"/>
      <c r="EC1903" s="615"/>
      <c r="ED1903" s="615"/>
      <c r="EE1903" s="615"/>
      <c r="EF1903" s="615"/>
      <c r="EG1903" s="615"/>
      <c r="EH1903" s="615"/>
      <c r="EI1903" s="615"/>
      <c r="EJ1903" s="615"/>
      <c r="EK1903" s="615"/>
      <c r="EL1903" s="615"/>
      <c r="EM1903" s="615"/>
      <c r="EN1903" s="615"/>
      <c r="EO1903" s="615"/>
      <c r="EP1903" s="615"/>
      <c r="EQ1903" s="615"/>
      <c r="ER1903" s="615"/>
      <c r="ES1903" s="615"/>
    </row>
    <row r="1904" spans="1:149" s="114" customFormat="1" x14ac:dyDescent="0.3">
      <c r="A1904" s="609">
        <v>903929</v>
      </c>
      <c r="B1904" s="610">
        <v>43.3</v>
      </c>
      <c r="C1904" s="611">
        <v>14.63</v>
      </c>
      <c r="D1904" s="612">
        <v>8.32</v>
      </c>
      <c r="E1904" s="1555">
        <v>0.15</v>
      </c>
      <c r="F1904" s="612">
        <v>146.05000000000001</v>
      </c>
      <c r="G1904" s="612"/>
      <c r="H1904" s="612">
        <v>157.43</v>
      </c>
      <c r="I1904" s="612">
        <v>180</v>
      </c>
      <c r="J1904" s="612">
        <v>3.6999999999999998E-2</v>
      </c>
      <c r="K1904" s="612">
        <v>10.49</v>
      </c>
      <c r="L1904" s="612">
        <v>1250</v>
      </c>
      <c r="M1904" s="612">
        <v>0.19</v>
      </c>
      <c r="N1904" s="612">
        <v>0.83</v>
      </c>
      <c r="O1904" s="612">
        <v>1.86</v>
      </c>
      <c r="P1904" s="612">
        <v>11.38</v>
      </c>
      <c r="Q1904" s="613"/>
      <c r="R1904" s="614">
        <v>1.7064720000000002</v>
      </c>
      <c r="S1904" s="613">
        <v>13.8</v>
      </c>
      <c r="T1904" s="614"/>
      <c r="U1904" s="614"/>
      <c r="Y1904" s="314">
        <v>33.6</v>
      </c>
      <c r="Z1904" s="613"/>
      <c r="AA1904" s="311">
        <v>4.78</v>
      </c>
      <c r="AB1904" s="311">
        <v>0.84399999999999997</v>
      </c>
      <c r="AC1904" s="114">
        <v>6.3</v>
      </c>
      <c r="AD1904" s="616">
        <v>560</v>
      </c>
      <c r="AE1904" s="613">
        <v>290</v>
      </c>
      <c r="AF1904" s="613">
        <v>150</v>
      </c>
      <c r="AG1904" s="66">
        <f t="shared" si="76"/>
        <v>110.51964285714286</v>
      </c>
      <c r="AH1904" s="143">
        <f t="shared" si="77"/>
        <v>1000</v>
      </c>
      <c r="AI1904" s="615"/>
      <c r="AJ1904" s="615"/>
      <c r="AK1904" s="615"/>
      <c r="AL1904" s="615"/>
      <c r="AM1904" s="615"/>
      <c r="AN1904" s="615"/>
      <c r="AO1904" s="615"/>
      <c r="AP1904" s="615"/>
      <c r="AQ1904" s="615"/>
      <c r="AR1904" s="615"/>
      <c r="AS1904" s="615"/>
      <c r="AT1904" s="615"/>
      <c r="AU1904" s="615"/>
      <c r="AV1904" s="615"/>
      <c r="AW1904" s="615"/>
      <c r="AX1904" s="615"/>
      <c r="AY1904" s="615"/>
      <c r="AZ1904" s="615"/>
      <c r="BA1904" s="615"/>
      <c r="BB1904" s="615"/>
      <c r="BC1904" s="615"/>
      <c r="BD1904" s="615"/>
      <c r="BE1904" s="615"/>
      <c r="BF1904" s="615"/>
      <c r="BG1904" s="615"/>
      <c r="BH1904" s="615"/>
      <c r="BI1904" s="615"/>
      <c r="BJ1904" s="615"/>
      <c r="BK1904" s="615"/>
      <c r="BL1904" s="615"/>
      <c r="BM1904" s="615"/>
      <c r="BN1904" s="615"/>
      <c r="BO1904" s="615"/>
      <c r="BP1904" s="615"/>
      <c r="BQ1904" s="615"/>
      <c r="BR1904" s="615"/>
      <c r="BS1904" s="615"/>
      <c r="BT1904" s="615"/>
      <c r="BU1904" s="615"/>
      <c r="BV1904" s="615"/>
      <c r="BW1904" s="615"/>
      <c r="BX1904" s="615"/>
      <c r="BY1904" s="615"/>
      <c r="BZ1904" s="615"/>
      <c r="CA1904" s="615"/>
      <c r="CB1904" s="615"/>
      <c r="CC1904" s="615"/>
      <c r="CD1904" s="615"/>
      <c r="CE1904" s="615"/>
      <c r="CF1904" s="615"/>
      <c r="CG1904" s="615"/>
      <c r="CH1904" s="615"/>
      <c r="CI1904" s="615"/>
      <c r="CJ1904" s="615"/>
      <c r="CK1904" s="615"/>
      <c r="CL1904" s="615"/>
      <c r="CM1904" s="615"/>
      <c r="CN1904" s="615"/>
      <c r="CO1904" s="615"/>
      <c r="CP1904" s="615"/>
      <c r="CQ1904" s="615"/>
      <c r="CR1904" s="615"/>
      <c r="CS1904" s="615"/>
      <c r="CT1904" s="615"/>
      <c r="CU1904" s="615"/>
      <c r="CV1904" s="615"/>
      <c r="CW1904" s="615"/>
      <c r="CX1904" s="615"/>
      <c r="CY1904" s="615"/>
      <c r="CZ1904" s="615"/>
      <c r="DA1904" s="615"/>
      <c r="DB1904" s="615"/>
      <c r="DC1904" s="615"/>
      <c r="DD1904" s="615"/>
      <c r="DE1904" s="615"/>
      <c r="DF1904" s="615"/>
      <c r="DG1904" s="615"/>
      <c r="DH1904" s="615"/>
      <c r="DI1904" s="615"/>
      <c r="DJ1904" s="615"/>
      <c r="DK1904" s="615"/>
      <c r="DL1904" s="615"/>
      <c r="DM1904" s="615"/>
      <c r="DN1904" s="615"/>
      <c r="DO1904" s="615"/>
      <c r="DP1904" s="615"/>
      <c r="DQ1904" s="615"/>
      <c r="DR1904" s="615"/>
      <c r="DS1904" s="615"/>
      <c r="DT1904" s="615"/>
      <c r="DU1904" s="615"/>
      <c r="DV1904" s="615"/>
      <c r="DW1904" s="615"/>
      <c r="DX1904" s="615"/>
      <c r="DY1904" s="615"/>
      <c r="DZ1904" s="615"/>
      <c r="EA1904" s="615"/>
      <c r="EB1904" s="615"/>
      <c r="EC1904" s="615"/>
      <c r="ED1904" s="615"/>
      <c r="EE1904" s="615"/>
      <c r="EF1904" s="615"/>
      <c r="EG1904" s="615"/>
      <c r="EH1904" s="615"/>
      <c r="EI1904" s="615"/>
      <c r="EJ1904" s="615"/>
      <c r="EK1904" s="615"/>
      <c r="EL1904" s="615"/>
      <c r="EM1904" s="615"/>
      <c r="EN1904" s="615"/>
      <c r="EO1904" s="615"/>
      <c r="EP1904" s="615"/>
      <c r="EQ1904" s="615"/>
      <c r="ER1904" s="615"/>
      <c r="ES1904" s="615"/>
    </row>
    <row r="1905" spans="1:149" s="114" customFormat="1" x14ac:dyDescent="0.3">
      <c r="A1905" s="609">
        <v>903930</v>
      </c>
      <c r="B1905" s="610">
        <v>29.3</v>
      </c>
      <c r="C1905" s="611">
        <v>11.13</v>
      </c>
      <c r="D1905" s="612">
        <v>8.27</v>
      </c>
      <c r="E1905" s="1555">
        <v>0.16</v>
      </c>
      <c r="F1905" s="612">
        <v>957.5</v>
      </c>
      <c r="G1905" s="612"/>
      <c r="H1905" s="612">
        <v>13.3</v>
      </c>
      <c r="I1905" s="612">
        <v>270</v>
      </c>
      <c r="J1905" s="612">
        <v>5.2999999999999999E-2</v>
      </c>
      <c r="K1905" s="612">
        <v>11.11</v>
      </c>
      <c r="L1905" s="612">
        <v>1560</v>
      </c>
      <c r="M1905" s="612">
        <v>0.27</v>
      </c>
      <c r="N1905" s="612">
        <v>1.27</v>
      </c>
      <c r="O1905" s="612">
        <v>2.5499999999999998</v>
      </c>
      <c r="P1905" s="612">
        <v>13.26</v>
      </c>
      <c r="Q1905" s="613"/>
      <c r="R1905" s="614">
        <v>1.774232</v>
      </c>
      <c r="S1905" s="613">
        <v>15.8</v>
      </c>
      <c r="T1905" s="614"/>
      <c r="U1905" s="614"/>
      <c r="Y1905" s="314">
        <v>37.799999999999997</v>
      </c>
      <c r="Z1905" s="613"/>
      <c r="AA1905" s="311">
        <v>4.5</v>
      </c>
      <c r="AB1905" s="311">
        <v>0.69599999999999995</v>
      </c>
      <c r="AC1905" s="114">
        <v>7</v>
      </c>
      <c r="AD1905" s="616">
        <v>540</v>
      </c>
      <c r="AE1905" s="613">
        <v>340</v>
      </c>
      <c r="AF1905" s="613">
        <v>120</v>
      </c>
      <c r="AG1905" s="66">
        <f t="shared" si="76"/>
        <v>104.04603174603176</v>
      </c>
      <c r="AH1905" s="143">
        <f t="shared" si="77"/>
        <v>1000</v>
      </c>
      <c r="AI1905" s="615"/>
      <c r="AJ1905" s="615"/>
      <c r="AK1905" s="615"/>
      <c r="AL1905" s="615"/>
      <c r="AM1905" s="615"/>
      <c r="AN1905" s="615"/>
      <c r="AO1905" s="615"/>
      <c r="AP1905" s="615"/>
      <c r="AQ1905" s="615"/>
      <c r="AR1905" s="615"/>
      <c r="AS1905" s="615"/>
      <c r="AT1905" s="615"/>
      <c r="AU1905" s="615"/>
      <c r="AV1905" s="615"/>
      <c r="AW1905" s="615"/>
      <c r="AX1905" s="615"/>
      <c r="AY1905" s="615"/>
      <c r="AZ1905" s="615"/>
      <c r="BA1905" s="615"/>
      <c r="BB1905" s="615"/>
      <c r="BC1905" s="615"/>
      <c r="BD1905" s="615"/>
      <c r="BE1905" s="615"/>
      <c r="BF1905" s="615"/>
      <c r="BG1905" s="615"/>
      <c r="BH1905" s="615"/>
      <c r="BI1905" s="615"/>
      <c r="BJ1905" s="615"/>
      <c r="BK1905" s="615"/>
      <c r="BL1905" s="615"/>
      <c r="BM1905" s="615"/>
      <c r="BN1905" s="615"/>
      <c r="BO1905" s="615"/>
      <c r="BP1905" s="615"/>
      <c r="BQ1905" s="615"/>
      <c r="BR1905" s="615"/>
      <c r="BS1905" s="615"/>
      <c r="BT1905" s="615"/>
      <c r="BU1905" s="615"/>
      <c r="BV1905" s="615"/>
      <c r="BW1905" s="615"/>
      <c r="BX1905" s="615"/>
      <c r="BY1905" s="615"/>
      <c r="BZ1905" s="615"/>
      <c r="CA1905" s="615"/>
      <c r="CB1905" s="615"/>
      <c r="CC1905" s="615"/>
      <c r="CD1905" s="615"/>
      <c r="CE1905" s="615"/>
      <c r="CF1905" s="615"/>
      <c r="CG1905" s="615"/>
      <c r="CH1905" s="615"/>
      <c r="CI1905" s="615"/>
      <c r="CJ1905" s="615"/>
      <c r="CK1905" s="615"/>
      <c r="CL1905" s="615"/>
      <c r="CM1905" s="615"/>
      <c r="CN1905" s="615"/>
      <c r="CO1905" s="615"/>
      <c r="CP1905" s="615"/>
      <c r="CQ1905" s="615"/>
      <c r="CR1905" s="615"/>
      <c r="CS1905" s="615"/>
      <c r="CT1905" s="615"/>
      <c r="CU1905" s="615"/>
      <c r="CV1905" s="615"/>
      <c r="CW1905" s="615"/>
      <c r="CX1905" s="615"/>
      <c r="CY1905" s="615"/>
      <c r="CZ1905" s="615"/>
      <c r="DA1905" s="615"/>
      <c r="DB1905" s="615"/>
      <c r="DC1905" s="615"/>
      <c r="DD1905" s="615"/>
      <c r="DE1905" s="615"/>
      <c r="DF1905" s="615"/>
      <c r="DG1905" s="615"/>
      <c r="DH1905" s="615"/>
      <c r="DI1905" s="615"/>
      <c r="DJ1905" s="615"/>
      <c r="DK1905" s="615"/>
      <c r="DL1905" s="615"/>
      <c r="DM1905" s="615"/>
      <c r="DN1905" s="615"/>
      <c r="DO1905" s="615"/>
      <c r="DP1905" s="615"/>
      <c r="DQ1905" s="615"/>
      <c r="DR1905" s="615"/>
      <c r="DS1905" s="615"/>
      <c r="DT1905" s="615"/>
      <c r="DU1905" s="615"/>
      <c r="DV1905" s="615"/>
      <c r="DW1905" s="615"/>
      <c r="DX1905" s="615"/>
      <c r="DY1905" s="615"/>
      <c r="DZ1905" s="615"/>
      <c r="EA1905" s="615"/>
      <c r="EB1905" s="615"/>
      <c r="EC1905" s="615"/>
      <c r="ED1905" s="615"/>
      <c r="EE1905" s="615"/>
      <c r="EF1905" s="615"/>
      <c r="EG1905" s="615"/>
      <c r="EH1905" s="615"/>
      <c r="EI1905" s="615"/>
      <c r="EJ1905" s="615"/>
      <c r="EK1905" s="615"/>
      <c r="EL1905" s="615"/>
      <c r="EM1905" s="615"/>
      <c r="EN1905" s="615"/>
      <c r="EO1905" s="615"/>
      <c r="EP1905" s="615"/>
      <c r="EQ1905" s="615"/>
      <c r="ER1905" s="615"/>
      <c r="ES1905" s="615"/>
    </row>
    <row r="1906" spans="1:149" x14ac:dyDescent="0.3">
      <c r="A1906" s="622">
        <v>903931</v>
      </c>
      <c r="B1906" s="623">
        <v>16.8</v>
      </c>
      <c r="C1906" s="491">
        <v>4.75</v>
      </c>
      <c r="D1906" s="620">
        <v>8.36</v>
      </c>
      <c r="E1906" s="1557">
        <v>1.1100000000000001</v>
      </c>
      <c r="F1906" s="491">
        <v>991.25</v>
      </c>
      <c r="G1906" s="491"/>
      <c r="H1906" s="491">
        <v>304.39</v>
      </c>
      <c r="I1906" s="491">
        <v>270</v>
      </c>
      <c r="J1906" s="491">
        <v>1.7</v>
      </c>
      <c r="K1906" s="491">
        <v>15.18</v>
      </c>
      <c r="L1906" s="491">
        <v>1320</v>
      </c>
      <c r="M1906" s="491">
        <v>0.56999999999999995</v>
      </c>
      <c r="N1906" s="491">
        <v>1.99</v>
      </c>
      <c r="O1906" s="491">
        <v>2.12</v>
      </c>
      <c r="P1906" s="491">
        <v>11.96</v>
      </c>
      <c r="Q1906" s="491"/>
      <c r="R1906" s="620">
        <v>1.6022000000000001</v>
      </c>
      <c r="S1906" s="491">
        <v>11</v>
      </c>
      <c r="T1906" s="491"/>
      <c r="U1906" s="491"/>
      <c r="V1906" s="491"/>
      <c r="W1906" s="491"/>
      <c r="X1906" s="491"/>
      <c r="Y1906" s="67">
        <v>32</v>
      </c>
      <c r="Z1906" s="491"/>
      <c r="AA1906" s="68">
        <v>4.92</v>
      </c>
      <c r="AB1906" s="68">
        <v>0.65200000000000002</v>
      </c>
      <c r="AC1906" s="69">
        <v>10.8</v>
      </c>
      <c r="AD1906" s="621">
        <v>640</v>
      </c>
      <c r="AE1906" s="491">
        <v>260</v>
      </c>
      <c r="AF1906" s="491">
        <v>100</v>
      </c>
      <c r="AG1906" s="66">
        <f t="shared" si="76"/>
        <v>167.92875000000001</v>
      </c>
      <c r="AH1906" s="143">
        <f t="shared" si="77"/>
        <v>1000</v>
      </c>
    </row>
    <row r="1907" spans="1:149" x14ac:dyDescent="0.3">
      <c r="A1907" s="622">
        <v>903932</v>
      </c>
      <c r="B1907" s="623">
        <v>8.6999999999999993</v>
      </c>
      <c r="C1907" s="491"/>
      <c r="D1907" s="620">
        <v>7.53</v>
      </c>
      <c r="E1907" s="1557">
        <v>0.13</v>
      </c>
      <c r="F1907" s="491">
        <v>31.8</v>
      </c>
      <c r="G1907" s="491"/>
      <c r="H1907" s="491">
        <v>26.39</v>
      </c>
      <c r="I1907" s="491">
        <v>30</v>
      </c>
      <c r="J1907" s="491">
        <v>2.8000000000000001E-2</v>
      </c>
      <c r="K1907" s="491">
        <v>3.35</v>
      </c>
      <c r="L1907" s="491">
        <v>180</v>
      </c>
      <c r="M1907" s="491">
        <v>0.49</v>
      </c>
      <c r="N1907" s="491">
        <v>0.6</v>
      </c>
      <c r="O1907" s="491">
        <v>4.3899999999999997</v>
      </c>
      <c r="P1907" s="491">
        <v>6.43</v>
      </c>
      <c r="Q1907" s="491"/>
      <c r="R1907" s="620">
        <v>0.45039205607812016</v>
      </c>
      <c r="S1907" s="491">
        <v>3.1</v>
      </c>
      <c r="T1907" s="491"/>
      <c r="U1907" s="491"/>
      <c r="V1907" s="491"/>
      <c r="W1907" s="491"/>
      <c r="X1907" s="491"/>
      <c r="Y1907" s="67">
        <v>10</v>
      </c>
      <c r="Z1907" s="491"/>
      <c r="AA1907" s="68">
        <v>4.1399999999999997</v>
      </c>
      <c r="AB1907" s="68">
        <v>0.47399999999999998</v>
      </c>
      <c r="AC1907" s="69">
        <v>10.3</v>
      </c>
      <c r="AD1907" s="621">
        <v>200</v>
      </c>
      <c r="AE1907" s="491">
        <v>140</v>
      </c>
      <c r="AF1907" s="491">
        <v>660</v>
      </c>
      <c r="AG1907" s="66">
        <f t="shared" si="76"/>
        <v>118.59</v>
      </c>
      <c r="AH1907" s="143">
        <f t="shared" si="77"/>
        <v>1000</v>
      </c>
    </row>
    <row r="1908" spans="1:149" x14ac:dyDescent="0.3">
      <c r="A1908" s="622">
        <v>903933</v>
      </c>
      <c r="B1908" s="623">
        <v>2.7</v>
      </c>
      <c r="C1908" s="491"/>
      <c r="D1908" s="620">
        <v>7.49</v>
      </c>
      <c r="E1908" s="1557">
        <v>0.11799999999999999</v>
      </c>
      <c r="F1908" s="491">
        <v>35.799999999999997</v>
      </c>
      <c r="G1908" s="491"/>
      <c r="H1908" s="491">
        <v>21.33</v>
      </c>
      <c r="I1908" s="491">
        <v>40</v>
      </c>
      <c r="J1908" s="491">
        <v>0.04</v>
      </c>
      <c r="K1908" s="491">
        <v>4.7300000000000004</v>
      </c>
      <c r="L1908" s="491">
        <v>220</v>
      </c>
      <c r="M1908" s="491">
        <v>0.8</v>
      </c>
      <c r="N1908" s="491">
        <v>0.56000000000000005</v>
      </c>
      <c r="O1908" s="491">
        <v>5.47</v>
      </c>
      <c r="P1908" s="491">
        <v>8.1</v>
      </c>
      <c r="Q1908" s="491"/>
      <c r="R1908" s="620">
        <v>0.53729161441669993</v>
      </c>
      <c r="S1908" s="491">
        <v>3.8</v>
      </c>
      <c r="T1908" s="491"/>
      <c r="U1908" s="491"/>
      <c r="V1908" s="491"/>
      <c r="W1908" s="491"/>
      <c r="X1908" s="491"/>
      <c r="Y1908" s="67">
        <v>18.5</v>
      </c>
      <c r="Z1908" s="491"/>
      <c r="AA1908" s="68">
        <v>4.01</v>
      </c>
      <c r="AB1908" s="68">
        <v>0.81200000000000006</v>
      </c>
      <c r="AC1908" s="69">
        <v>9.3000000000000007</v>
      </c>
      <c r="AD1908" s="621">
        <v>400</v>
      </c>
      <c r="AE1908" s="491">
        <v>240</v>
      </c>
      <c r="AF1908" s="491">
        <v>360</v>
      </c>
      <c r="AG1908" s="66">
        <f t="shared" si="76"/>
        <v>90.5091891891892</v>
      </c>
      <c r="AH1908" s="143">
        <f t="shared" si="77"/>
        <v>1000</v>
      </c>
    </row>
    <row r="1909" spans="1:149" x14ac:dyDescent="0.3">
      <c r="A1909" s="622">
        <v>903934</v>
      </c>
      <c r="B1909" s="623">
        <v>2.4</v>
      </c>
      <c r="C1909" s="491"/>
      <c r="D1909" s="620">
        <v>7.25</v>
      </c>
      <c r="E1909" s="1557">
        <v>0.15</v>
      </c>
      <c r="F1909" s="491">
        <v>33.6</v>
      </c>
      <c r="G1909" s="491"/>
      <c r="H1909" s="491">
        <v>27.24</v>
      </c>
      <c r="I1909" s="491">
        <v>40</v>
      </c>
      <c r="J1909" s="491">
        <v>4.9000000000000002E-2</v>
      </c>
      <c r="K1909" s="491">
        <v>4.0599999999999996</v>
      </c>
      <c r="L1909" s="491">
        <v>270</v>
      </c>
      <c r="M1909" s="491">
        <v>0.5</v>
      </c>
      <c r="N1909" s="491">
        <v>0.69</v>
      </c>
      <c r="O1909" s="491">
        <v>7.98</v>
      </c>
      <c r="P1909" s="491">
        <v>14.24</v>
      </c>
      <c r="Q1909" s="491"/>
      <c r="R1909" s="620">
        <v>0.50041909258760586</v>
      </c>
      <c r="S1909" s="491">
        <v>3.7</v>
      </c>
      <c r="T1909" s="491"/>
      <c r="U1909" s="491"/>
      <c r="V1909" s="491"/>
      <c r="W1909" s="491"/>
      <c r="X1909" s="491"/>
      <c r="Y1909" s="67">
        <v>16.3</v>
      </c>
      <c r="Z1909" s="491"/>
      <c r="AA1909" s="68">
        <v>4.8899999999999997</v>
      </c>
      <c r="AB1909" s="68">
        <v>0.53300000000000003</v>
      </c>
      <c r="AC1909" s="69">
        <v>8.8000000000000007</v>
      </c>
      <c r="AD1909" s="621">
        <v>410</v>
      </c>
      <c r="AE1909" s="491">
        <v>230</v>
      </c>
      <c r="AF1909" s="491">
        <v>360</v>
      </c>
      <c r="AG1909" s="66">
        <f t="shared" si="76"/>
        <v>88.174233128834345</v>
      </c>
      <c r="AH1909" s="143">
        <f t="shared" si="77"/>
        <v>1000</v>
      </c>
    </row>
    <row r="1910" spans="1:149" x14ac:dyDescent="0.3">
      <c r="A1910" s="622">
        <v>903935</v>
      </c>
      <c r="B1910" s="623">
        <v>0.9</v>
      </c>
      <c r="C1910" s="491"/>
      <c r="D1910" s="620">
        <v>7.2</v>
      </c>
      <c r="E1910" s="1557">
        <v>0.13900000000000001</v>
      </c>
      <c r="F1910" s="491">
        <v>33.200000000000003</v>
      </c>
      <c r="G1910" s="491"/>
      <c r="H1910" s="491">
        <v>31.24</v>
      </c>
      <c r="I1910" s="491">
        <v>70</v>
      </c>
      <c r="J1910" s="491">
        <v>4.2000000000000003E-2</v>
      </c>
      <c r="K1910" s="491">
        <v>3.95</v>
      </c>
      <c r="L1910" s="491">
        <v>190</v>
      </c>
      <c r="M1910" s="491">
        <v>0.59</v>
      </c>
      <c r="N1910" s="491">
        <v>0.15</v>
      </c>
      <c r="O1910" s="491">
        <v>1.1200000000000001</v>
      </c>
      <c r="P1910" s="491">
        <v>3.2</v>
      </c>
      <c r="Q1910" s="491"/>
      <c r="R1910" s="620">
        <v>0.34534021527039543</v>
      </c>
      <c r="S1910" s="491">
        <v>2.5</v>
      </c>
      <c r="T1910" s="491"/>
      <c r="U1910" s="491"/>
      <c r="V1910" s="491"/>
      <c r="W1910" s="491"/>
      <c r="X1910" s="491"/>
      <c r="Y1910" s="67">
        <v>19.399999999999999</v>
      </c>
      <c r="Z1910" s="491"/>
      <c r="AA1910" s="68">
        <v>3.75</v>
      </c>
      <c r="AB1910" s="68">
        <v>0.48899999999999999</v>
      </c>
      <c r="AC1910" s="69">
        <v>9.3000000000000007</v>
      </c>
      <c r="AD1910" s="621">
        <v>440</v>
      </c>
      <c r="AE1910" s="491">
        <v>220</v>
      </c>
      <c r="AF1910" s="491">
        <v>340</v>
      </c>
      <c r="AG1910" s="66">
        <f t="shared" si="76"/>
        <v>72.077319587628864</v>
      </c>
      <c r="AH1910" s="143">
        <f t="shared" si="77"/>
        <v>1000</v>
      </c>
    </row>
    <row r="1911" spans="1:149" x14ac:dyDescent="0.3">
      <c r="A1911" s="622">
        <v>903936</v>
      </c>
      <c r="B1911" s="623">
        <v>0.8</v>
      </c>
      <c r="C1911" s="491"/>
      <c r="D1911" s="620">
        <v>7.6</v>
      </c>
      <c r="E1911" s="1557">
        <v>0.17</v>
      </c>
      <c r="F1911" s="491">
        <v>96.9</v>
      </c>
      <c r="G1911" s="491"/>
      <c r="H1911" s="491">
        <v>30.18</v>
      </c>
      <c r="I1911" s="491">
        <v>30</v>
      </c>
      <c r="J1911" s="491">
        <v>8.4000000000000005E-2</v>
      </c>
      <c r="K1911" s="491">
        <v>2.3199999999999998</v>
      </c>
      <c r="L1911" s="491">
        <v>10</v>
      </c>
      <c r="M1911" s="491">
        <v>0.46</v>
      </c>
      <c r="N1911" s="491">
        <v>0.2</v>
      </c>
      <c r="O1911" s="491">
        <v>2.39</v>
      </c>
      <c r="P1911" s="491">
        <v>2.5</v>
      </c>
      <c r="Q1911" s="491"/>
      <c r="R1911" s="620">
        <v>0.18033606495650487</v>
      </c>
      <c r="S1911" s="491">
        <v>1.3</v>
      </c>
      <c r="T1911" s="491"/>
      <c r="U1911" s="491"/>
      <c r="V1911" s="491"/>
      <c r="W1911" s="491"/>
      <c r="X1911" s="491"/>
      <c r="Y1911" s="67">
        <v>3</v>
      </c>
      <c r="Z1911" s="491"/>
      <c r="AA1911" s="68">
        <v>4.68</v>
      </c>
      <c r="AB1911" s="68">
        <v>0.71599999999999997</v>
      </c>
      <c r="AC1911" s="69">
        <v>11.5</v>
      </c>
      <c r="AD1911" s="621">
        <v>60</v>
      </c>
      <c r="AE1911" s="491">
        <v>60</v>
      </c>
      <c r="AF1911" s="491">
        <v>880</v>
      </c>
      <c r="AG1911" s="66">
        <f t="shared" si="76"/>
        <v>273.76</v>
      </c>
      <c r="AH1911" s="143">
        <f t="shared" si="77"/>
        <v>1000</v>
      </c>
    </row>
    <row r="1912" spans="1:149" x14ac:dyDescent="0.3">
      <c r="A1912" s="622">
        <v>903937</v>
      </c>
      <c r="B1912" s="623">
        <v>6</v>
      </c>
      <c r="C1912" s="491"/>
      <c r="D1912" s="620">
        <v>7.79</v>
      </c>
      <c r="E1912" s="1557">
        <v>0.14599999999999999</v>
      </c>
      <c r="F1912" s="491">
        <v>95.05</v>
      </c>
      <c r="G1912" s="491"/>
      <c r="H1912" s="491">
        <v>8.75</v>
      </c>
      <c r="I1912" s="491">
        <v>60</v>
      </c>
      <c r="J1912" s="491">
        <v>5.6000000000000001E-2</v>
      </c>
      <c r="K1912" s="491">
        <v>8.15</v>
      </c>
      <c r="L1912" s="491">
        <v>280</v>
      </c>
      <c r="M1912" s="491">
        <v>0.13</v>
      </c>
      <c r="N1912" s="491">
        <v>0.53</v>
      </c>
      <c r="O1912" s="491">
        <v>21.4</v>
      </c>
      <c r="P1912" s="491">
        <v>2.46</v>
      </c>
      <c r="Q1912" s="491"/>
      <c r="R1912" s="620">
        <v>0.48788047098817516</v>
      </c>
      <c r="S1912" s="491">
        <v>3.2</v>
      </c>
      <c r="T1912" s="491"/>
      <c r="U1912" s="491"/>
      <c r="V1912" s="491"/>
      <c r="W1912" s="491"/>
      <c r="X1912" s="491"/>
      <c r="Y1912" s="67">
        <v>28</v>
      </c>
      <c r="Z1912" s="491"/>
      <c r="AA1912" s="68">
        <v>3.82</v>
      </c>
      <c r="AB1912" s="68">
        <v>0.27500000000000002</v>
      </c>
      <c r="AC1912" s="69">
        <v>8.6999999999999993</v>
      </c>
      <c r="AD1912" s="621">
        <v>400</v>
      </c>
      <c r="AE1912" s="491">
        <v>320</v>
      </c>
      <c r="AF1912" s="491">
        <v>280</v>
      </c>
      <c r="AG1912" s="66">
        <f t="shared" si="76"/>
        <v>103.03928571428573</v>
      </c>
      <c r="AH1912" s="143">
        <f t="shared" si="77"/>
        <v>1000</v>
      </c>
    </row>
    <row r="1913" spans="1:149" x14ac:dyDescent="0.3">
      <c r="A1913" s="622">
        <v>903938</v>
      </c>
      <c r="B1913" s="623">
        <v>6.5416666666666661</v>
      </c>
      <c r="C1913" s="491"/>
      <c r="D1913" s="620">
        <v>8.84</v>
      </c>
      <c r="E1913" s="1557">
        <v>0.2</v>
      </c>
      <c r="F1913" s="491">
        <v>77.849999999999994</v>
      </c>
      <c r="G1913" s="491"/>
      <c r="H1913" s="491">
        <v>30.5</v>
      </c>
      <c r="I1913" s="491">
        <v>620</v>
      </c>
      <c r="J1913" s="491">
        <v>0.124</v>
      </c>
      <c r="K1913" s="491">
        <v>10.25</v>
      </c>
      <c r="L1913" s="491">
        <v>560</v>
      </c>
      <c r="M1913" s="491">
        <v>0.11</v>
      </c>
      <c r="N1913" s="491">
        <v>1.08</v>
      </c>
      <c r="O1913" s="491">
        <v>4.8</v>
      </c>
      <c r="P1913" s="491">
        <v>1.77</v>
      </c>
      <c r="Q1913" s="620"/>
      <c r="R1913" s="620">
        <v>0.70211644936000572</v>
      </c>
      <c r="S1913" s="491">
        <v>4.5999999999999996</v>
      </c>
      <c r="T1913" s="491"/>
      <c r="U1913" s="491"/>
      <c r="V1913" s="491"/>
      <c r="W1913" s="491"/>
      <c r="X1913" s="67"/>
      <c r="Y1913" s="67">
        <f ca="1">RANDBETWEEN(5,7)*AD1913/100</f>
        <v>30.8</v>
      </c>
      <c r="Z1913" s="620"/>
      <c r="AA1913" s="68">
        <v>3.69</v>
      </c>
      <c r="AB1913" s="68">
        <v>0.72799999999999998</v>
      </c>
      <c r="AC1913" s="69">
        <v>7.7</v>
      </c>
      <c r="AD1913" s="491">
        <v>440</v>
      </c>
      <c r="AE1913" s="491">
        <v>400</v>
      </c>
      <c r="AF1913" s="66">
        <f>1000-(AD1913+AE1913)</f>
        <v>160</v>
      </c>
      <c r="AG1913" s="66">
        <f t="shared" ca="1" si="76"/>
        <v>117.80844155844157</v>
      </c>
      <c r="AH1913" s="143">
        <f t="shared" si="77"/>
        <v>1000</v>
      </c>
    </row>
    <row r="1914" spans="1:149" x14ac:dyDescent="0.3">
      <c r="A1914" s="622">
        <v>903939</v>
      </c>
      <c r="B1914" s="623">
        <v>6.8333333333333313</v>
      </c>
      <c r="C1914" s="491"/>
      <c r="D1914" s="620">
        <v>8.65</v>
      </c>
      <c r="E1914" s="1557">
        <v>1.37</v>
      </c>
      <c r="F1914" s="491">
        <v>1131.4000000000001</v>
      </c>
      <c r="G1914" s="491"/>
      <c r="H1914" s="491">
        <v>21.8</v>
      </c>
      <c r="I1914" s="491">
        <v>270</v>
      </c>
      <c r="J1914" s="491">
        <v>0.98199999999999998</v>
      </c>
      <c r="K1914" s="491">
        <v>8.5</v>
      </c>
      <c r="L1914" s="491">
        <v>1350</v>
      </c>
      <c r="M1914" s="491">
        <v>0.14000000000000001</v>
      </c>
      <c r="N1914" s="491">
        <v>1.1200000000000001</v>
      </c>
      <c r="O1914" s="491">
        <v>5.75</v>
      </c>
      <c r="P1914" s="491">
        <v>2.6</v>
      </c>
      <c r="Q1914" s="620"/>
      <c r="R1914" s="620">
        <v>0.98838252520598124</v>
      </c>
      <c r="S1914" s="491">
        <v>7</v>
      </c>
      <c r="T1914" s="491"/>
      <c r="U1914" s="491"/>
      <c r="V1914" s="491"/>
      <c r="W1914" s="491"/>
      <c r="X1914" s="67"/>
      <c r="Y1914" s="67">
        <v>32</v>
      </c>
      <c r="Z1914" s="620"/>
      <c r="AA1914" s="68">
        <v>3.95</v>
      </c>
      <c r="AB1914" s="68">
        <v>0.29799999999999999</v>
      </c>
      <c r="AC1914" s="69">
        <v>11.4</v>
      </c>
      <c r="AD1914" s="491">
        <v>550</v>
      </c>
      <c r="AE1914" s="491">
        <v>340</v>
      </c>
      <c r="AF1914" s="66">
        <f>1000-(AD1914+AE1914)</f>
        <v>110</v>
      </c>
      <c r="AG1914" s="66">
        <f t="shared" si="76"/>
        <v>94.03125</v>
      </c>
      <c r="AH1914" s="143">
        <f t="shared" si="77"/>
        <v>1000</v>
      </c>
    </row>
    <row r="1915" spans="1:149" x14ac:dyDescent="0.3">
      <c r="A1915" s="622">
        <v>903940</v>
      </c>
      <c r="B1915" s="623">
        <v>0.86666666666666681</v>
      </c>
      <c r="C1915" s="491"/>
      <c r="D1915" s="620">
        <v>8.5500000000000007</v>
      </c>
      <c r="E1915" s="1557">
        <v>0.16</v>
      </c>
      <c r="F1915" s="491">
        <v>45.05</v>
      </c>
      <c r="G1915" s="491"/>
      <c r="H1915" s="491">
        <v>29.1</v>
      </c>
      <c r="I1915" s="491">
        <v>280</v>
      </c>
      <c r="J1915" s="491">
        <v>0.14199999999999999</v>
      </c>
      <c r="K1915" s="491">
        <v>8.67</v>
      </c>
      <c r="L1915" s="491">
        <v>1790</v>
      </c>
      <c r="M1915" s="491">
        <v>0.12</v>
      </c>
      <c r="N1915" s="491">
        <v>2.48</v>
      </c>
      <c r="O1915" s="491">
        <v>4.3099999999999996</v>
      </c>
      <c r="P1915" s="491">
        <v>6.82</v>
      </c>
      <c r="Q1915" s="620"/>
      <c r="R1915" s="620">
        <v>0.8637953588041577</v>
      </c>
      <c r="S1915" s="491">
        <v>6.4</v>
      </c>
      <c r="T1915" s="491"/>
      <c r="U1915" s="491"/>
      <c r="V1915" s="491"/>
      <c r="W1915" s="491"/>
      <c r="X1915" s="67"/>
      <c r="Y1915" s="67">
        <v>33</v>
      </c>
      <c r="Z1915" s="620"/>
      <c r="AA1915" s="68">
        <v>3.53</v>
      </c>
      <c r="AB1915" s="68">
        <v>0.247</v>
      </c>
      <c r="AC1915" s="69">
        <v>10.3</v>
      </c>
      <c r="AD1915" s="491">
        <v>590</v>
      </c>
      <c r="AE1915" s="491">
        <v>310</v>
      </c>
      <c r="AF1915" s="66">
        <f>1000-(AD1915+AE1915)</f>
        <v>100</v>
      </c>
      <c r="AG1915" s="66">
        <f t="shared" si="76"/>
        <v>93.005454545454555</v>
      </c>
      <c r="AH1915" s="143">
        <f t="shared" si="77"/>
        <v>1000</v>
      </c>
    </row>
    <row r="1916" spans="1:149" x14ac:dyDescent="0.3">
      <c r="A1916" s="531">
        <v>903941</v>
      </c>
      <c r="B1916" s="623">
        <v>3.3</v>
      </c>
      <c r="C1916" s="491"/>
      <c r="D1916" s="491">
        <v>8.1</v>
      </c>
      <c r="E1916" s="1557">
        <v>0.57999999999999996</v>
      </c>
      <c r="F1916" s="624">
        <v>494.3</v>
      </c>
      <c r="G1916" s="625"/>
      <c r="H1916" s="623">
        <v>19.89</v>
      </c>
      <c r="I1916" s="491">
        <v>560</v>
      </c>
      <c r="J1916" s="491">
        <v>0.22500000000000001</v>
      </c>
      <c r="K1916" s="491">
        <v>6.58</v>
      </c>
      <c r="L1916" s="491">
        <v>780</v>
      </c>
      <c r="M1916" s="491">
        <v>0.27</v>
      </c>
      <c r="N1916" s="491">
        <v>1.1299999999999999</v>
      </c>
      <c r="O1916" s="491">
        <v>10.53</v>
      </c>
      <c r="P1916" s="491">
        <v>3.26</v>
      </c>
      <c r="Q1916" s="491"/>
      <c r="R1916" s="626">
        <v>1.0991979265542353</v>
      </c>
      <c r="S1916" s="620">
        <v>8</v>
      </c>
      <c r="T1916" s="620"/>
      <c r="U1916" s="620"/>
      <c r="Y1916" s="67">
        <v>33.6</v>
      </c>
      <c r="Z1916" s="491"/>
      <c r="AA1916" s="68">
        <v>4.6100000000000003</v>
      </c>
      <c r="AB1916" s="68">
        <v>0.71099999999999997</v>
      </c>
      <c r="AC1916" s="69">
        <v>6.1</v>
      </c>
      <c r="AD1916" s="621">
        <v>480</v>
      </c>
      <c r="AE1916" s="491">
        <v>360</v>
      </c>
      <c r="AF1916" s="491">
        <v>160</v>
      </c>
      <c r="AG1916" s="66">
        <f t="shared" si="76"/>
        <v>69.324999999999989</v>
      </c>
      <c r="AH1916" s="143">
        <f t="shared" si="77"/>
        <v>1000</v>
      </c>
      <c r="AI1916" s="516"/>
      <c r="AJ1916" s="516"/>
      <c r="AK1916" s="516"/>
      <c r="AL1916" s="516"/>
      <c r="AM1916" s="516"/>
      <c r="AN1916" s="516"/>
      <c r="AO1916" s="516"/>
      <c r="AP1916" s="516"/>
      <c r="AQ1916" s="516"/>
      <c r="AR1916" s="516"/>
      <c r="AS1916" s="516"/>
      <c r="AT1916" s="516"/>
      <c r="AU1916" s="516"/>
      <c r="AV1916" s="516"/>
      <c r="AW1916" s="516"/>
      <c r="AX1916" s="516"/>
      <c r="AY1916" s="516"/>
      <c r="AZ1916" s="516"/>
      <c r="BA1916" s="516"/>
      <c r="BB1916" s="516"/>
      <c r="BC1916" s="516"/>
      <c r="BD1916" s="516"/>
      <c r="BE1916" s="516"/>
      <c r="BF1916" s="516"/>
      <c r="BG1916" s="516"/>
      <c r="BH1916" s="516"/>
      <c r="BI1916" s="516"/>
      <c r="BJ1916" s="516"/>
      <c r="BK1916" s="516"/>
      <c r="BL1916" s="516"/>
      <c r="BM1916" s="516"/>
      <c r="BN1916" s="516"/>
      <c r="BO1916" s="516"/>
      <c r="BP1916" s="516"/>
      <c r="BQ1916" s="516"/>
      <c r="BR1916" s="516"/>
      <c r="BS1916" s="516"/>
      <c r="BT1916" s="516"/>
      <c r="BU1916" s="516"/>
      <c r="BV1916" s="516"/>
      <c r="BW1916" s="516"/>
      <c r="BX1916" s="516"/>
      <c r="BY1916" s="516"/>
      <c r="BZ1916" s="516"/>
      <c r="CA1916" s="516"/>
      <c r="CB1916" s="516"/>
      <c r="CC1916" s="516"/>
      <c r="CD1916" s="516"/>
      <c r="CE1916" s="516"/>
      <c r="CF1916" s="516"/>
      <c r="CG1916" s="516"/>
      <c r="CH1916" s="516"/>
      <c r="CI1916" s="516"/>
      <c r="CJ1916" s="516"/>
      <c r="CK1916" s="516"/>
      <c r="CL1916" s="516"/>
      <c r="CM1916" s="516"/>
      <c r="CN1916" s="516"/>
      <c r="CO1916" s="516"/>
      <c r="CP1916" s="516"/>
      <c r="CQ1916" s="516"/>
      <c r="CR1916" s="516"/>
      <c r="CS1916" s="516"/>
      <c r="CT1916" s="516"/>
      <c r="CU1916" s="516"/>
      <c r="CV1916" s="516"/>
      <c r="CW1916" s="516"/>
      <c r="CX1916" s="516"/>
      <c r="CY1916" s="516"/>
      <c r="CZ1916" s="516"/>
      <c r="DA1916" s="516"/>
      <c r="DB1916" s="516"/>
      <c r="DC1916" s="516"/>
      <c r="DD1916" s="516"/>
      <c r="DE1916" s="516"/>
      <c r="DF1916" s="516"/>
      <c r="DG1916" s="516"/>
      <c r="DH1916" s="516"/>
      <c r="DI1916" s="516"/>
      <c r="DJ1916" s="516"/>
      <c r="DK1916" s="516"/>
      <c r="DL1916" s="516"/>
      <c r="DM1916" s="516"/>
      <c r="DN1916" s="516"/>
      <c r="DO1916" s="516"/>
      <c r="DP1916" s="516"/>
      <c r="DQ1916" s="516"/>
      <c r="DR1916" s="516"/>
      <c r="DS1916" s="516"/>
      <c r="DT1916" s="516"/>
      <c r="DU1916" s="516"/>
      <c r="DV1916" s="516"/>
      <c r="DW1916" s="516"/>
      <c r="DX1916" s="516"/>
      <c r="DY1916" s="516"/>
      <c r="DZ1916" s="516"/>
      <c r="EA1916" s="516"/>
      <c r="EB1916" s="516"/>
      <c r="EC1916" s="516"/>
      <c r="ED1916" s="516"/>
      <c r="EE1916" s="516"/>
      <c r="EF1916" s="516"/>
      <c r="EG1916" s="516"/>
      <c r="EH1916" s="516"/>
      <c r="EI1916" s="516"/>
      <c r="EJ1916" s="516"/>
      <c r="EK1916" s="516"/>
      <c r="EL1916" s="516"/>
      <c r="EM1916" s="516"/>
      <c r="EN1916" s="516"/>
      <c r="EO1916" s="516"/>
      <c r="EP1916" s="516"/>
      <c r="EQ1916" s="516"/>
      <c r="ER1916" s="516"/>
      <c r="ES1916" s="516"/>
    </row>
    <row r="1917" spans="1:149" x14ac:dyDescent="0.3">
      <c r="A1917" s="531">
        <v>903942</v>
      </c>
      <c r="B1917" s="623">
        <v>0.1</v>
      </c>
      <c r="C1917" s="491"/>
      <c r="D1917" s="491">
        <v>7.43</v>
      </c>
      <c r="E1917" s="1557">
        <v>0.08</v>
      </c>
      <c r="F1917" s="624">
        <v>53.85</v>
      </c>
      <c r="G1917" s="627"/>
      <c r="H1917" s="624">
        <v>137.43</v>
      </c>
      <c r="I1917" s="491">
        <v>60</v>
      </c>
      <c r="J1917" s="491">
        <v>4.9000000000000002E-2</v>
      </c>
      <c r="K1917" s="491">
        <v>0.91</v>
      </c>
      <c r="L1917" s="491">
        <v>130</v>
      </c>
      <c r="M1917" s="491">
        <v>0.55000000000000004</v>
      </c>
      <c r="N1917" s="491">
        <v>0.41</v>
      </c>
      <c r="O1917" s="491">
        <v>3.16</v>
      </c>
      <c r="P1917" s="491">
        <v>6.49</v>
      </c>
      <c r="Q1917" s="491"/>
      <c r="R1917" s="626">
        <v>0.63279759242377054</v>
      </c>
      <c r="S1917" s="620">
        <v>4.5999999999999996</v>
      </c>
      <c r="T1917" s="620"/>
      <c r="U1917" s="620"/>
      <c r="Y1917" s="67">
        <v>3</v>
      </c>
      <c r="Z1917" s="491"/>
      <c r="AA1917" s="68">
        <v>3.66</v>
      </c>
      <c r="AB1917" s="68">
        <v>0.49</v>
      </c>
      <c r="AC1917" s="69">
        <v>6.9</v>
      </c>
      <c r="AD1917" s="621">
        <v>60</v>
      </c>
      <c r="AE1917" s="491">
        <v>60</v>
      </c>
      <c r="AF1917" s="491">
        <v>880</v>
      </c>
      <c r="AG1917" s="66">
        <f t="shared" si="76"/>
        <v>107.38</v>
      </c>
      <c r="AH1917" s="143">
        <f t="shared" si="77"/>
        <v>1000</v>
      </c>
      <c r="AI1917" s="516"/>
      <c r="AJ1917" s="516"/>
      <c r="AK1917" s="516"/>
      <c r="AL1917" s="516"/>
      <c r="AM1917" s="516"/>
      <c r="AN1917" s="516"/>
      <c r="AO1917" s="516"/>
      <c r="AP1917" s="516"/>
      <c r="AQ1917" s="516"/>
      <c r="AR1917" s="516"/>
      <c r="AS1917" s="516"/>
      <c r="AT1917" s="516"/>
      <c r="AU1917" s="516"/>
      <c r="AV1917" s="516"/>
      <c r="AW1917" s="516"/>
      <c r="AX1917" s="516"/>
      <c r="AY1917" s="516"/>
      <c r="AZ1917" s="516"/>
      <c r="BA1917" s="516"/>
      <c r="BB1917" s="516"/>
      <c r="BC1917" s="516"/>
      <c r="BD1917" s="516"/>
      <c r="BE1917" s="516"/>
      <c r="BF1917" s="516"/>
      <c r="BG1917" s="516"/>
      <c r="BH1917" s="516"/>
      <c r="BI1917" s="516"/>
      <c r="BJ1917" s="516"/>
      <c r="BK1917" s="516"/>
      <c r="BL1917" s="516"/>
      <c r="BM1917" s="516"/>
      <c r="BN1917" s="516"/>
      <c r="BO1917" s="516"/>
      <c r="BP1917" s="516"/>
      <c r="BQ1917" s="516"/>
      <c r="BR1917" s="516"/>
      <c r="BS1917" s="516"/>
      <c r="BT1917" s="516"/>
      <c r="BU1917" s="516"/>
      <c r="BV1917" s="516"/>
      <c r="BW1917" s="516"/>
      <c r="BX1917" s="516"/>
      <c r="BY1917" s="516"/>
      <c r="BZ1917" s="516"/>
      <c r="CA1917" s="516"/>
      <c r="CB1917" s="516"/>
      <c r="CC1917" s="516"/>
      <c r="CD1917" s="516"/>
      <c r="CE1917" s="516"/>
      <c r="CF1917" s="516"/>
      <c r="CG1917" s="516"/>
      <c r="CH1917" s="516"/>
      <c r="CI1917" s="516"/>
      <c r="CJ1917" s="516"/>
      <c r="CK1917" s="516"/>
      <c r="CL1917" s="516"/>
      <c r="CM1917" s="516"/>
      <c r="CN1917" s="516"/>
      <c r="CO1917" s="516"/>
      <c r="CP1917" s="516"/>
      <c r="CQ1917" s="516"/>
      <c r="CR1917" s="516"/>
      <c r="CS1917" s="516"/>
      <c r="CT1917" s="516"/>
      <c r="CU1917" s="516"/>
      <c r="CV1917" s="516"/>
      <c r="CW1917" s="516"/>
      <c r="CX1917" s="516"/>
      <c r="CY1917" s="516"/>
      <c r="CZ1917" s="516"/>
      <c r="DA1917" s="516"/>
      <c r="DB1917" s="516"/>
      <c r="DC1917" s="516"/>
      <c r="DD1917" s="516"/>
      <c r="DE1917" s="516"/>
      <c r="DF1917" s="516"/>
      <c r="DG1917" s="516"/>
      <c r="DH1917" s="516"/>
      <c r="DI1917" s="516"/>
      <c r="DJ1917" s="516"/>
      <c r="DK1917" s="516"/>
      <c r="DL1917" s="516"/>
      <c r="DM1917" s="516"/>
      <c r="DN1917" s="516"/>
      <c r="DO1917" s="516"/>
      <c r="DP1917" s="516"/>
      <c r="DQ1917" s="516"/>
      <c r="DR1917" s="516"/>
      <c r="DS1917" s="516"/>
      <c r="DT1917" s="516"/>
      <c r="DU1917" s="516"/>
      <c r="DV1917" s="516"/>
      <c r="DW1917" s="516"/>
      <c r="DX1917" s="516"/>
      <c r="DY1917" s="516"/>
      <c r="DZ1917" s="516"/>
      <c r="EA1917" s="516"/>
      <c r="EB1917" s="516"/>
      <c r="EC1917" s="516"/>
      <c r="ED1917" s="516"/>
      <c r="EE1917" s="516"/>
      <c r="EF1917" s="516"/>
      <c r="EG1917" s="516"/>
      <c r="EH1917" s="516"/>
      <c r="EI1917" s="516"/>
      <c r="EJ1917" s="516"/>
      <c r="EK1917" s="516"/>
      <c r="EL1917" s="516"/>
      <c r="EM1917" s="516"/>
      <c r="EN1917" s="516"/>
      <c r="EO1917" s="516"/>
      <c r="EP1917" s="516"/>
      <c r="EQ1917" s="516"/>
      <c r="ER1917" s="516"/>
      <c r="ES1917" s="516"/>
    </row>
    <row r="1918" spans="1:149" x14ac:dyDescent="0.3">
      <c r="A1918" s="531">
        <v>903943</v>
      </c>
      <c r="B1918" s="623">
        <v>0.1</v>
      </c>
      <c r="C1918" s="491"/>
      <c r="D1918" s="491">
        <v>7.67</v>
      </c>
      <c r="E1918" s="1557">
        <v>7.0000000000000007E-2</v>
      </c>
      <c r="F1918" s="624">
        <v>33.450000000000003</v>
      </c>
      <c r="G1918" s="625"/>
      <c r="H1918" s="624">
        <v>132.9</v>
      </c>
      <c r="I1918" s="491">
        <v>70</v>
      </c>
      <c r="J1918" s="491">
        <v>4.5999999999999999E-2</v>
      </c>
      <c r="K1918" s="491">
        <v>0.97</v>
      </c>
      <c r="L1918" s="491">
        <v>120</v>
      </c>
      <c r="M1918" s="491">
        <v>0.65</v>
      </c>
      <c r="N1918" s="491">
        <v>0.4</v>
      </c>
      <c r="O1918" s="491">
        <v>13.12</v>
      </c>
      <c r="P1918" s="491">
        <v>6.67</v>
      </c>
      <c r="Q1918" s="491"/>
      <c r="R1918" s="626">
        <v>0.66312814781374174</v>
      </c>
      <c r="S1918" s="620">
        <v>4.8</v>
      </c>
      <c r="T1918" s="620"/>
      <c r="U1918" s="620"/>
      <c r="Y1918" s="67">
        <v>4.2</v>
      </c>
      <c r="Z1918" s="491"/>
      <c r="AA1918" s="68">
        <v>3.92</v>
      </c>
      <c r="AB1918" s="68">
        <v>0.53</v>
      </c>
      <c r="AC1918" s="69">
        <v>7.1</v>
      </c>
      <c r="AD1918" s="621">
        <v>60</v>
      </c>
      <c r="AE1918" s="491">
        <v>80</v>
      </c>
      <c r="AF1918" s="491">
        <v>860</v>
      </c>
      <c r="AG1918" s="66">
        <f t="shared" si="76"/>
        <v>81.757142857142853</v>
      </c>
      <c r="AH1918" s="143">
        <f t="shared" si="77"/>
        <v>1000</v>
      </c>
      <c r="AI1918" s="516"/>
      <c r="AJ1918" s="516"/>
      <c r="AK1918" s="516"/>
      <c r="AL1918" s="516"/>
      <c r="AM1918" s="516"/>
      <c r="AN1918" s="516"/>
      <c r="AO1918" s="516"/>
      <c r="AP1918" s="516"/>
      <c r="AQ1918" s="516"/>
      <c r="AR1918" s="516"/>
      <c r="AS1918" s="516"/>
      <c r="AT1918" s="516"/>
      <c r="AU1918" s="516"/>
      <c r="AV1918" s="516"/>
      <c r="AW1918" s="516"/>
      <c r="AX1918" s="516"/>
      <c r="AY1918" s="516"/>
      <c r="AZ1918" s="516"/>
      <c r="BA1918" s="516"/>
      <c r="BB1918" s="516"/>
      <c r="BC1918" s="516"/>
      <c r="BD1918" s="516"/>
      <c r="BE1918" s="516"/>
      <c r="BF1918" s="516"/>
      <c r="BG1918" s="516"/>
      <c r="BH1918" s="516"/>
      <c r="BI1918" s="516"/>
      <c r="BJ1918" s="516"/>
      <c r="BK1918" s="516"/>
      <c r="BL1918" s="516"/>
      <c r="BM1918" s="516"/>
      <c r="BN1918" s="516"/>
      <c r="BO1918" s="516"/>
      <c r="BP1918" s="516"/>
      <c r="BQ1918" s="516"/>
      <c r="BR1918" s="516"/>
      <c r="BS1918" s="516"/>
      <c r="BT1918" s="516"/>
      <c r="BU1918" s="516"/>
      <c r="BV1918" s="516"/>
      <c r="BW1918" s="516"/>
      <c r="BX1918" s="516"/>
      <c r="BY1918" s="516"/>
      <c r="BZ1918" s="516"/>
      <c r="CA1918" s="516"/>
      <c r="CB1918" s="516"/>
      <c r="CC1918" s="516"/>
      <c r="CD1918" s="516"/>
      <c r="CE1918" s="516"/>
      <c r="CF1918" s="516"/>
      <c r="CG1918" s="516"/>
      <c r="CH1918" s="516"/>
      <c r="CI1918" s="516"/>
      <c r="CJ1918" s="516"/>
      <c r="CK1918" s="516"/>
      <c r="CL1918" s="516"/>
      <c r="CM1918" s="516"/>
      <c r="CN1918" s="516"/>
      <c r="CO1918" s="516"/>
      <c r="CP1918" s="516"/>
      <c r="CQ1918" s="516"/>
      <c r="CR1918" s="516"/>
      <c r="CS1918" s="516"/>
      <c r="CT1918" s="516"/>
      <c r="CU1918" s="516"/>
      <c r="CV1918" s="516"/>
      <c r="CW1918" s="516"/>
      <c r="CX1918" s="516"/>
      <c r="CY1918" s="516"/>
      <c r="CZ1918" s="516"/>
      <c r="DA1918" s="516"/>
      <c r="DB1918" s="516"/>
      <c r="DC1918" s="516"/>
      <c r="DD1918" s="516"/>
      <c r="DE1918" s="516"/>
      <c r="DF1918" s="516"/>
      <c r="DG1918" s="516"/>
      <c r="DH1918" s="516"/>
      <c r="DI1918" s="516"/>
      <c r="DJ1918" s="516"/>
      <c r="DK1918" s="516"/>
      <c r="DL1918" s="516"/>
      <c r="DM1918" s="516"/>
      <c r="DN1918" s="516"/>
      <c r="DO1918" s="516"/>
      <c r="DP1918" s="516"/>
      <c r="DQ1918" s="516"/>
      <c r="DR1918" s="516"/>
      <c r="DS1918" s="516"/>
      <c r="DT1918" s="516"/>
      <c r="DU1918" s="516"/>
      <c r="DV1918" s="516"/>
      <c r="DW1918" s="516"/>
      <c r="DX1918" s="516"/>
      <c r="DY1918" s="516"/>
      <c r="DZ1918" s="516"/>
      <c r="EA1918" s="516"/>
      <c r="EB1918" s="516"/>
      <c r="EC1918" s="516"/>
      <c r="ED1918" s="516"/>
      <c r="EE1918" s="516"/>
      <c r="EF1918" s="516"/>
      <c r="EG1918" s="516"/>
      <c r="EH1918" s="516"/>
      <c r="EI1918" s="516"/>
      <c r="EJ1918" s="516"/>
      <c r="EK1918" s="516"/>
      <c r="EL1918" s="516"/>
      <c r="EM1918" s="516"/>
      <c r="EN1918" s="516"/>
      <c r="EO1918" s="516"/>
      <c r="EP1918" s="516"/>
      <c r="EQ1918" s="516"/>
      <c r="ER1918" s="516"/>
      <c r="ES1918" s="516"/>
    </row>
    <row r="1919" spans="1:149" x14ac:dyDescent="0.3">
      <c r="A1919" s="531">
        <v>903944</v>
      </c>
      <c r="B1919" s="623">
        <v>0.1</v>
      </c>
      <c r="C1919" s="491"/>
      <c r="D1919" s="491">
        <v>6.74</v>
      </c>
      <c r="E1919" s="1557">
        <v>0.21</v>
      </c>
      <c r="F1919" s="624">
        <v>98.1</v>
      </c>
      <c r="G1919" s="142"/>
      <c r="H1919" s="624">
        <v>210.92</v>
      </c>
      <c r="I1919" s="491">
        <v>130</v>
      </c>
      <c r="J1919" s="491">
        <v>0.107</v>
      </c>
      <c r="K1919" s="491">
        <v>1.57</v>
      </c>
      <c r="L1919" s="491">
        <v>110</v>
      </c>
      <c r="M1919" s="491">
        <v>1.73</v>
      </c>
      <c r="N1919" s="491">
        <v>0.74</v>
      </c>
      <c r="O1919" s="491">
        <v>5.55</v>
      </c>
      <c r="P1919" s="491">
        <v>17.53</v>
      </c>
      <c r="Q1919" s="491"/>
      <c r="R1919" s="626">
        <v>1.048736586673882</v>
      </c>
      <c r="S1919" s="620">
        <v>7.4</v>
      </c>
      <c r="T1919" s="620"/>
      <c r="U1919" s="620"/>
      <c r="Y1919" s="67">
        <v>3</v>
      </c>
      <c r="Z1919" s="491">
        <v>6.11</v>
      </c>
      <c r="AA1919" s="68">
        <v>3.65</v>
      </c>
      <c r="AB1919" s="68">
        <v>0.52800000000000002</v>
      </c>
      <c r="AC1919" s="69">
        <v>6.7</v>
      </c>
      <c r="AD1919" s="621">
        <v>60</v>
      </c>
      <c r="AE1919" s="491">
        <v>80</v>
      </c>
      <c r="AF1919" s="491">
        <v>860</v>
      </c>
      <c r="AG1919" s="66">
        <f t="shared" si="76"/>
        <v>185.26</v>
      </c>
      <c r="AH1919" s="143">
        <f t="shared" si="77"/>
        <v>1000</v>
      </c>
      <c r="AI1919" s="516"/>
      <c r="AJ1919" s="516"/>
      <c r="AK1919" s="516"/>
      <c r="AL1919" s="516"/>
      <c r="AM1919" s="516"/>
      <c r="AN1919" s="516"/>
      <c r="AO1919" s="516"/>
      <c r="AP1919" s="516"/>
      <c r="AQ1919" s="516"/>
      <c r="AR1919" s="516"/>
      <c r="AS1919" s="516"/>
      <c r="AT1919" s="516"/>
      <c r="AU1919" s="516"/>
      <c r="AV1919" s="516"/>
      <c r="AW1919" s="516"/>
      <c r="AX1919" s="516"/>
      <c r="AY1919" s="516"/>
      <c r="AZ1919" s="516"/>
      <c r="BA1919" s="516"/>
      <c r="BB1919" s="516"/>
      <c r="BC1919" s="516"/>
      <c r="BD1919" s="516"/>
      <c r="BE1919" s="516"/>
      <c r="BF1919" s="516"/>
      <c r="BG1919" s="516"/>
      <c r="BH1919" s="516"/>
      <c r="BI1919" s="516"/>
      <c r="BJ1919" s="516"/>
      <c r="BK1919" s="516"/>
      <c r="BL1919" s="516"/>
      <c r="BM1919" s="516"/>
      <c r="BN1919" s="516"/>
      <c r="BO1919" s="516"/>
      <c r="BP1919" s="516"/>
      <c r="BQ1919" s="516"/>
      <c r="BR1919" s="516"/>
      <c r="BS1919" s="516"/>
      <c r="BT1919" s="516"/>
      <c r="BU1919" s="516"/>
      <c r="BV1919" s="516"/>
      <c r="BW1919" s="516"/>
      <c r="BX1919" s="516"/>
      <c r="BY1919" s="516"/>
      <c r="BZ1919" s="516"/>
      <c r="CA1919" s="516"/>
      <c r="CB1919" s="516"/>
      <c r="CC1919" s="516"/>
      <c r="CD1919" s="516"/>
      <c r="CE1919" s="516"/>
      <c r="CF1919" s="516"/>
      <c r="CG1919" s="516"/>
      <c r="CH1919" s="516"/>
      <c r="CI1919" s="516"/>
      <c r="CJ1919" s="516"/>
      <c r="CK1919" s="516"/>
      <c r="CL1919" s="516"/>
      <c r="CM1919" s="516"/>
      <c r="CN1919" s="516"/>
      <c r="CO1919" s="516"/>
      <c r="CP1919" s="516"/>
      <c r="CQ1919" s="516"/>
      <c r="CR1919" s="516"/>
      <c r="CS1919" s="516"/>
      <c r="CT1919" s="516"/>
      <c r="CU1919" s="516"/>
      <c r="CV1919" s="516"/>
      <c r="CW1919" s="516"/>
      <c r="CX1919" s="516"/>
      <c r="CY1919" s="516"/>
      <c r="CZ1919" s="516"/>
      <c r="DA1919" s="516"/>
      <c r="DB1919" s="516"/>
      <c r="DC1919" s="516"/>
      <c r="DD1919" s="516"/>
      <c r="DE1919" s="516"/>
      <c r="DF1919" s="516"/>
      <c r="DG1919" s="516"/>
      <c r="DH1919" s="516"/>
      <c r="DI1919" s="516"/>
      <c r="DJ1919" s="516"/>
      <c r="DK1919" s="516"/>
      <c r="DL1919" s="516"/>
      <c r="DM1919" s="516"/>
      <c r="DN1919" s="516"/>
      <c r="DO1919" s="516"/>
      <c r="DP1919" s="516"/>
      <c r="DQ1919" s="516"/>
      <c r="DR1919" s="516"/>
      <c r="DS1919" s="516"/>
      <c r="DT1919" s="516"/>
      <c r="DU1919" s="516"/>
      <c r="DV1919" s="516"/>
      <c r="DW1919" s="516"/>
      <c r="DX1919" s="516"/>
      <c r="DY1919" s="516"/>
      <c r="DZ1919" s="516"/>
      <c r="EA1919" s="516"/>
      <c r="EB1919" s="516"/>
      <c r="EC1919" s="516"/>
      <c r="ED1919" s="516"/>
      <c r="EE1919" s="516"/>
      <c r="EF1919" s="516"/>
      <c r="EG1919" s="516"/>
      <c r="EH1919" s="516"/>
      <c r="EI1919" s="516"/>
      <c r="EJ1919" s="516"/>
      <c r="EK1919" s="516"/>
      <c r="EL1919" s="516"/>
      <c r="EM1919" s="516"/>
      <c r="EN1919" s="516"/>
      <c r="EO1919" s="516"/>
      <c r="EP1919" s="516"/>
      <c r="EQ1919" s="516"/>
      <c r="ER1919" s="516"/>
      <c r="ES1919" s="516"/>
    </row>
    <row r="1920" spans="1:149" x14ac:dyDescent="0.3">
      <c r="A1920" s="531">
        <v>903945</v>
      </c>
      <c r="B1920" s="623">
        <v>0.1</v>
      </c>
      <c r="C1920" s="491"/>
      <c r="D1920" s="491">
        <v>6.95</v>
      </c>
      <c r="E1920" s="1557">
        <v>0.16</v>
      </c>
      <c r="F1920" s="624">
        <v>76.400000000000006</v>
      </c>
      <c r="G1920" s="142"/>
      <c r="H1920" s="624">
        <v>196.31</v>
      </c>
      <c r="I1920" s="491">
        <v>120</v>
      </c>
      <c r="J1920" s="491">
        <v>5.2999999999999999E-2</v>
      </c>
      <c r="K1920" s="491">
        <v>1.36</v>
      </c>
      <c r="L1920" s="491">
        <v>80</v>
      </c>
      <c r="M1920" s="491">
        <v>1.78</v>
      </c>
      <c r="N1920" s="491">
        <v>0.53</v>
      </c>
      <c r="O1920" s="491">
        <v>4.3</v>
      </c>
      <c r="P1920" s="491">
        <v>16.3</v>
      </c>
      <c r="Q1920" s="491"/>
      <c r="R1920" s="626">
        <v>0.88486681651963617</v>
      </c>
      <c r="S1920" s="620">
        <v>6.1</v>
      </c>
      <c r="T1920" s="620"/>
      <c r="U1920" s="620"/>
      <c r="Y1920" s="67">
        <v>5.6</v>
      </c>
      <c r="Z1920" s="491">
        <v>6.38</v>
      </c>
      <c r="AA1920" s="68">
        <v>3.85</v>
      </c>
      <c r="AB1920" s="68">
        <v>0.68400000000000005</v>
      </c>
      <c r="AC1920" s="69">
        <v>7.9</v>
      </c>
      <c r="AD1920" s="621">
        <v>80</v>
      </c>
      <c r="AE1920" s="491">
        <v>60</v>
      </c>
      <c r="AF1920" s="491">
        <v>860</v>
      </c>
      <c r="AG1920" s="66">
        <f t="shared" si="76"/>
        <v>85.971428571428575</v>
      </c>
      <c r="AH1920" s="143">
        <f t="shared" si="77"/>
        <v>1000</v>
      </c>
      <c r="AI1920" s="516"/>
      <c r="AJ1920" s="516"/>
      <c r="AK1920" s="516"/>
      <c r="AL1920" s="516"/>
      <c r="AM1920" s="516"/>
      <c r="AN1920" s="516"/>
      <c r="AO1920" s="516"/>
      <c r="AP1920" s="516"/>
      <c r="AQ1920" s="516"/>
      <c r="AR1920" s="516"/>
      <c r="AS1920" s="516"/>
      <c r="AT1920" s="516"/>
      <c r="AU1920" s="516"/>
      <c r="AV1920" s="516"/>
      <c r="AW1920" s="516"/>
      <c r="AX1920" s="516"/>
      <c r="AY1920" s="516"/>
      <c r="AZ1920" s="516"/>
      <c r="BA1920" s="516"/>
      <c r="BB1920" s="516"/>
      <c r="BC1920" s="516"/>
      <c r="BD1920" s="516"/>
      <c r="BE1920" s="516"/>
      <c r="BF1920" s="516"/>
      <c r="BG1920" s="516"/>
      <c r="BH1920" s="516"/>
      <c r="BI1920" s="516"/>
      <c r="BJ1920" s="516"/>
      <c r="BK1920" s="516"/>
      <c r="BL1920" s="516"/>
      <c r="BM1920" s="516"/>
      <c r="BN1920" s="516"/>
      <c r="BO1920" s="516"/>
      <c r="BP1920" s="516"/>
      <c r="BQ1920" s="516"/>
      <c r="BR1920" s="516"/>
      <c r="BS1920" s="516"/>
      <c r="BT1920" s="516"/>
      <c r="BU1920" s="516"/>
      <c r="BV1920" s="516"/>
      <c r="BW1920" s="516"/>
      <c r="BX1920" s="516"/>
      <c r="BY1920" s="516"/>
      <c r="BZ1920" s="516"/>
      <c r="CA1920" s="516"/>
      <c r="CB1920" s="516"/>
      <c r="CC1920" s="516"/>
      <c r="CD1920" s="516"/>
      <c r="CE1920" s="516"/>
      <c r="CF1920" s="516"/>
      <c r="CG1920" s="516"/>
      <c r="CH1920" s="516"/>
      <c r="CI1920" s="516"/>
      <c r="CJ1920" s="516"/>
      <c r="CK1920" s="516"/>
      <c r="CL1920" s="516"/>
      <c r="CM1920" s="516"/>
      <c r="CN1920" s="516"/>
      <c r="CO1920" s="516"/>
      <c r="CP1920" s="516"/>
      <c r="CQ1920" s="516"/>
      <c r="CR1920" s="516"/>
      <c r="CS1920" s="516"/>
      <c r="CT1920" s="516"/>
      <c r="CU1920" s="516"/>
      <c r="CV1920" s="516"/>
      <c r="CW1920" s="516"/>
      <c r="CX1920" s="516"/>
      <c r="CY1920" s="516"/>
      <c r="CZ1920" s="516"/>
      <c r="DA1920" s="516"/>
      <c r="DB1920" s="516"/>
      <c r="DC1920" s="516"/>
      <c r="DD1920" s="516"/>
      <c r="DE1920" s="516"/>
      <c r="DF1920" s="516"/>
      <c r="DG1920" s="516"/>
      <c r="DH1920" s="516"/>
      <c r="DI1920" s="516"/>
      <c r="DJ1920" s="516"/>
      <c r="DK1920" s="516"/>
      <c r="DL1920" s="516"/>
      <c r="DM1920" s="516"/>
      <c r="DN1920" s="516"/>
      <c r="DO1920" s="516"/>
      <c r="DP1920" s="516"/>
      <c r="DQ1920" s="516"/>
      <c r="DR1920" s="516"/>
      <c r="DS1920" s="516"/>
      <c r="DT1920" s="516"/>
      <c r="DU1920" s="516"/>
      <c r="DV1920" s="516"/>
      <c r="DW1920" s="516"/>
      <c r="DX1920" s="516"/>
      <c r="DY1920" s="516"/>
      <c r="DZ1920" s="516"/>
      <c r="EA1920" s="516"/>
      <c r="EB1920" s="516"/>
      <c r="EC1920" s="516"/>
      <c r="ED1920" s="516"/>
      <c r="EE1920" s="516"/>
      <c r="EF1920" s="516"/>
      <c r="EG1920" s="516"/>
      <c r="EH1920" s="516"/>
      <c r="EI1920" s="516"/>
      <c r="EJ1920" s="516"/>
      <c r="EK1920" s="516"/>
      <c r="EL1920" s="516"/>
      <c r="EM1920" s="516"/>
      <c r="EN1920" s="516"/>
      <c r="EO1920" s="516"/>
      <c r="EP1920" s="516"/>
      <c r="EQ1920" s="516"/>
      <c r="ER1920" s="516"/>
      <c r="ES1920" s="516"/>
    </row>
    <row r="1921" spans="1:149" x14ac:dyDescent="0.3">
      <c r="A1921" s="531">
        <v>903946</v>
      </c>
      <c r="B1921" s="623">
        <v>0.1</v>
      </c>
      <c r="C1921" s="491"/>
      <c r="D1921" s="491">
        <v>8.1</v>
      </c>
      <c r="E1921" s="1557">
        <v>0.08</v>
      </c>
      <c r="F1921" s="624">
        <v>47.4</v>
      </c>
      <c r="G1921" s="142"/>
      <c r="H1921" s="624">
        <v>92.51</v>
      </c>
      <c r="I1921" s="491">
        <v>30</v>
      </c>
      <c r="J1921" s="491">
        <v>5.7000000000000002E-2</v>
      </c>
      <c r="K1921" s="491">
        <v>1.21</v>
      </c>
      <c r="L1921" s="491">
        <v>90</v>
      </c>
      <c r="M1921" s="491">
        <v>1.49</v>
      </c>
      <c r="N1921" s="491">
        <v>0.37</v>
      </c>
      <c r="O1921" s="491">
        <v>3.96</v>
      </c>
      <c r="P1921" s="491">
        <v>5.89</v>
      </c>
      <c r="Q1921" s="491"/>
      <c r="R1921" s="626">
        <v>0.69215132559119008</v>
      </c>
      <c r="S1921" s="620">
        <v>4.7</v>
      </c>
      <c r="T1921" s="620"/>
      <c r="U1921" s="620"/>
      <c r="Y1921" s="67">
        <v>2.6</v>
      </c>
      <c r="Z1921" s="491"/>
      <c r="AA1921" s="68">
        <v>3.89</v>
      </c>
      <c r="AB1921" s="68">
        <v>0.85</v>
      </c>
      <c r="AC1921" s="69">
        <v>7.3</v>
      </c>
      <c r="AD1921" s="621">
        <v>80</v>
      </c>
      <c r="AE1921" s="491">
        <v>70</v>
      </c>
      <c r="AF1921" s="491">
        <v>850</v>
      </c>
      <c r="AG1921" s="66">
        <f t="shared" si="76"/>
        <v>164.74615384615385</v>
      </c>
      <c r="AH1921" s="143">
        <f t="shared" si="77"/>
        <v>1000</v>
      </c>
      <c r="AI1921" s="516"/>
      <c r="AJ1921" s="516"/>
      <c r="AK1921" s="516"/>
      <c r="AL1921" s="516"/>
      <c r="AM1921" s="516"/>
      <c r="AN1921" s="516"/>
      <c r="AO1921" s="516"/>
      <c r="AP1921" s="516"/>
      <c r="AQ1921" s="516"/>
      <c r="AR1921" s="516"/>
      <c r="AS1921" s="516"/>
      <c r="AT1921" s="516"/>
      <c r="AU1921" s="516"/>
      <c r="AV1921" s="516"/>
      <c r="AW1921" s="516"/>
      <c r="AX1921" s="516"/>
      <c r="AY1921" s="516"/>
      <c r="AZ1921" s="516"/>
      <c r="BA1921" s="516"/>
      <c r="BB1921" s="516"/>
      <c r="BC1921" s="516"/>
      <c r="BD1921" s="516"/>
      <c r="BE1921" s="516"/>
      <c r="BF1921" s="516"/>
      <c r="BG1921" s="516"/>
      <c r="BH1921" s="516"/>
      <c r="BI1921" s="516"/>
      <c r="BJ1921" s="516"/>
      <c r="BK1921" s="516"/>
      <c r="BL1921" s="516"/>
      <c r="BM1921" s="516"/>
      <c r="BN1921" s="516"/>
      <c r="BO1921" s="516"/>
      <c r="BP1921" s="516"/>
      <c r="BQ1921" s="516"/>
      <c r="BR1921" s="516"/>
      <c r="BS1921" s="516"/>
      <c r="BT1921" s="516"/>
      <c r="BU1921" s="516"/>
      <c r="BV1921" s="516"/>
      <c r="BW1921" s="516"/>
      <c r="BX1921" s="516"/>
      <c r="BY1921" s="516"/>
      <c r="BZ1921" s="516"/>
      <c r="CA1921" s="516"/>
      <c r="CB1921" s="516"/>
      <c r="CC1921" s="516"/>
      <c r="CD1921" s="516"/>
      <c r="CE1921" s="516"/>
      <c r="CF1921" s="516"/>
      <c r="CG1921" s="516"/>
      <c r="CH1921" s="516"/>
      <c r="CI1921" s="516"/>
      <c r="CJ1921" s="516"/>
      <c r="CK1921" s="516"/>
      <c r="CL1921" s="516"/>
      <c r="CM1921" s="516"/>
      <c r="CN1921" s="516"/>
      <c r="CO1921" s="516"/>
      <c r="CP1921" s="516"/>
      <c r="CQ1921" s="516"/>
      <c r="CR1921" s="516"/>
      <c r="CS1921" s="516"/>
      <c r="CT1921" s="516"/>
      <c r="CU1921" s="516"/>
      <c r="CV1921" s="516"/>
      <c r="CW1921" s="516"/>
      <c r="CX1921" s="516"/>
      <c r="CY1921" s="516"/>
      <c r="CZ1921" s="516"/>
      <c r="DA1921" s="516"/>
      <c r="DB1921" s="516"/>
      <c r="DC1921" s="516"/>
      <c r="DD1921" s="516"/>
      <c r="DE1921" s="516"/>
      <c r="DF1921" s="516"/>
      <c r="DG1921" s="516"/>
      <c r="DH1921" s="516"/>
      <c r="DI1921" s="516"/>
      <c r="DJ1921" s="516"/>
      <c r="DK1921" s="516"/>
      <c r="DL1921" s="516"/>
      <c r="DM1921" s="516"/>
      <c r="DN1921" s="516"/>
      <c r="DO1921" s="516"/>
      <c r="DP1921" s="516"/>
      <c r="DQ1921" s="516"/>
      <c r="DR1921" s="516"/>
      <c r="DS1921" s="516"/>
      <c r="DT1921" s="516"/>
      <c r="DU1921" s="516"/>
      <c r="DV1921" s="516"/>
      <c r="DW1921" s="516"/>
      <c r="DX1921" s="516"/>
      <c r="DY1921" s="516"/>
      <c r="DZ1921" s="516"/>
      <c r="EA1921" s="516"/>
      <c r="EB1921" s="516"/>
      <c r="EC1921" s="516"/>
      <c r="ED1921" s="516"/>
      <c r="EE1921" s="516"/>
      <c r="EF1921" s="516"/>
      <c r="EG1921" s="516"/>
      <c r="EH1921" s="516"/>
      <c r="EI1921" s="516"/>
      <c r="EJ1921" s="516"/>
      <c r="EK1921" s="516"/>
      <c r="EL1921" s="516"/>
      <c r="EM1921" s="516"/>
      <c r="EN1921" s="516"/>
      <c r="EO1921" s="516"/>
      <c r="EP1921" s="516"/>
      <c r="EQ1921" s="516"/>
      <c r="ER1921" s="516"/>
      <c r="ES1921" s="516"/>
    </row>
    <row r="1922" spans="1:149" x14ac:dyDescent="0.3">
      <c r="A1922" s="531">
        <v>903947</v>
      </c>
      <c r="B1922" s="623">
        <v>0.1</v>
      </c>
      <c r="C1922" s="491"/>
      <c r="D1922" s="491">
        <v>7.76</v>
      </c>
      <c r="E1922" s="1557">
        <v>0.08</v>
      </c>
      <c r="F1922" s="624">
        <v>42.45</v>
      </c>
      <c r="G1922" s="142"/>
      <c r="H1922" s="624">
        <v>100.83</v>
      </c>
      <c r="I1922" s="491">
        <v>30</v>
      </c>
      <c r="J1922" s="491">
        <v>6.4000000000000001E-2</v>
      </c>
      <c r="K1922" s="491">
        <v>1.32</v>
      </c>
      <c r="L1922" s="491">
        <v>80</v>
      </c>
      <c r="M1922" s="491">
        <v>1.1499999999999999</v>
      </c>
      <c r="N1922" s="491">
        <v>0.38</v>
      </c>
      <c r="O1922" s="491">
        <v>3.14</v>
      </c>
      <c r="P1922" s="491">
        <v>6.3</v>
      </c>
      <c r="Q1922" s="491"/>
      <c r="R1922" s="626">
        <v>0.83987429696492</v>
      </c>
      <c r="S1922" s="620">
        <v>5.6</v>
      </c>
      <c r="T1922" s="620"/>
      <c r="U1922" s="620"/>
      <c r="Y1922" s="67">
        <v>4</v>
      </c>
      <c r="Z1922" s="491"/>
      <c r="AA1922" s="68">
        <v>4.21</v>
      </c>
      <c r="AB1922" s="68">
        <v>0.85399999999999998</v>
      </c>
      <c r="AC1922" s="69">
        <v>10.199999999999999</v>
      </c>
      <c r="AD1922" s="621">
        <v>80</v>
      </c>
      <c r="AE1922" s="491">
        <v>60</v>
      </c>
      <c r="AF1922" s="491">
        <v>860</v>
      </c>
      <c r="AG1922" s="66">
        <f t="shared" ref="AG1922:AG1985" si="79">+K1922*3.54*100/Y1922</f>
        <v>116.82000000000001</v>
      </c>
      <c r="AH1922" s="143">
        <f t="shared" ref="AH1922:AH1985" si="80">+SUM(AD1922:AF1922)</f>
        <v>1000</v>
      </c>
      <c r="AI1922" s="516"/>
      <c r="AJ1922" s="516"/>
      <c r="AK1922" s="516"/>
      <c r="AL1922" s="516"/>
      <c r="AM1922" s="516"/>
      <c r="AN1922" s="516"/>
      <c r="AO1922" s="516"/>
      <c r="AP1922" s="516"/>
      <c r="AQ1922" s="516"/>
      <c r="AR1922" s="516"/>
      <c r="AS1922" s="516"/>
      <c r="AT1922" s="516"/>
      <c r="AU1922" s="516"/>
      <c r="AV1922" s="516"/>
      <c r="AW1922" s="516"/>
      <c r="AX1922" s="516"/>
      <c r="AY1922" s="516"/>
      <c r="AZ1922" s="516"/>
      <c r="BA1922" s="516"/>
      <c r="BB1922" s="516"/>
      <c r="BC1922" s="516"/>
      <c r="BD1922" s="516"/>
      <c r="BE1922" s="516"/>
      <c r="BF1922" s="516"/>
      <c r="BG1922" s="516"/>
      <c r="BH1922" s="516"/>
      <c r="BI1922" s="516"/>
      <c r="BJ1922" s="516"/>
      <c r="BK1922" s="516"/>
      <c r="BL1922" s="516"/>
      <c r="BM1922" s="516"/>
      <c r="BN1922" s="516"/>
      <c r="BO1922" s="516"/>
      <c r="BP1922" s="516"/>
      <c r="BQ1922" s="516"/>
      <c r="BR1922" s="516"/>
      <c r="BS1922" s="516"/>
      <c r="BT1922" s="516"/>
      <c r="BU1922" s="516"/>
      <c r="BV1922" s="516"/>
      <c r="BW1922" s="516"/>
      <c r="BX1922" s="516"/>
      <c r="BY1922" s="516"/>
      <c r="BZ1922" s="516"/>
      <c r="CA1922" s="516"/>
      <c r="CB1922" s="516"/>
      <c r="CC1922" s="516"/>
      <c r="CD1922" s="516"/>
      <c r="CE1922" s="516"/>
      <c r="CF1922" s="516"/>
      <c r="CG1922" s="516"/>
      <c r="CH1922" s="516"/>
      <c r="CI1922" s="516"/>
      <c r="CJ1922" s="516"/>
      <c r="CK1922" s="516"/>
      <c r="CL1922" s="516"/>
      <c r="CM1922" s="516"/>
      <c r="CN1922" s="516"/>
      <c r="CO1922" s="516"/>
      <c r="CP1922" s="516"/>
      <c r="CQ1922" s="516"/>
      <c r="CR1922" s="516"/>
      <c r="CS1922" s="516"/>
      <c r="CT1922" s="516"/>
      <c r="CU1922" s="516"/>
      <c r="CV1922" s="516"/>
      <c r="CW1922" s="516"/>
      <c r="CX1922" s="516"/>
      <c r="CY1922" s="516"/>
      <c r="CZ1922" s="516"/>
      <c r="DA1922" s="516"/>
      <c r="DB1922" s="516"/>
      <c r="DC1922" s="516"/>
      <c r="DD1922" s="516"/>
      <c r="DE1922" s="516"/>
      <c r="DF1922" s="516"/>
      <c r="DG1922" s="516"/>
      <c r="DH1922" s="516"/>
      <c r="DI1922" s="516"/>
      <c r="DJ1922" s="516"/>
      <c r="DK1922" s="516"/>
      <c r="DL1922" s="516"/>
      <c r="DM1922" s="516"/>
      <c r="DN1922" s="516"/>
      <c r="DO1922" s="516"/>
      <c r="DP1922" s="516"/>
      <c r="DQ1922" s="516"/>
      <c r="DR1922" s="516"/>
      <c r="DS1922" s="516"/>
      <c r="DT1922" s="516"/>
      <c r="DU1922" s="516"/>
      <c r="DV1922" s="516"/>
      <c r="DW1922" s="516"/>
      <c r="DX1922" s="516"/>
      <c r="DY1922" s="516"/>
      <c r="DZ1922" s="516"/>
      <c r="EA1922" s="516"/>
      <c r="EB1922" s="516"/>
      <c r="EC1922" s="516"/>
      <c r="ED1922" s="516"/>
      <c r="EE1922" s="516"/>
      <c r="EF1922" s="516"/>
      <c r="EG1922" s="516"/>
      <c r="EH1922" s="516"/>
      <c r="EI1922" s="516"/>
      <c r="EJ1922" s="516"/>
      <c r="EK1922" s="516"/>
      <c r="EL1922" s="516"/>
      <c r="EM1922" s="516"/>
      <c r="EN1922" s="516"/>
      <c r="EO1922" s="516"/>
      <c r="EP1922" s="516"/>
      <c r="EQ1922" s="516"/>
      <c r="ER1922" s="516"/>
      <c r="ES1922" s="516"/>
    </row>
    <row r="1923" spans="1:149" x14ac:dyDescent="0.3">
      <c r="A1923" s="531">
        <v>903948</v>
      </c>
      <c r="B1923" s="623">
        <v>0.1</v>
      </c>
      <c r="C1923" s="491"/>
      <c r="D1923" s="491">
        <v>7.46</v>
      </c>
      <c r="E1923" s="1557">
        <v>0.09</v>
      </c>
      <c r="F1923" s="624">
        <v>61.15</v>
      </c>
      <c r="G1923" s="142"/>
      <c r="H1923" s="624">
        <v>222.67</v>
      </c>
      <c r="I1923" s="491">
        <v>60</v>
      </c>
      <c r="J1923" s="491">
        <v>4.7E-2</v>
      </c>
      <c r="K1923" s="491">
        <v>1.41</v>
      </c>
      <c r="L1923" s="491">
        <v>60</v>
      </c>
      <c r="M1923" s="491">
        <v>2.2999999999999998</v>
      </c>
      <c r="N1923" s="491">
        <v>1.06</v>
      </c>
      <c r="O1923" s="491">
        <v>3.73</v>
      </c>
      <c r="P1923" s="491">
        <v>10.87</v>
      </c>
      <c r="Q1923" s="491"/>
      <c r="R1923" s="626">
        <v>0.86328061880806284</v>
      </c>
      <c r="S1923" s="620">
        <v>6.2</v>
      </c>
      <c r="T1923" s="620"/>
      <c r="U1923" s="620"/>
      <c r="Y1923" s="67">
        <v>3.6</v>
      </c>
      <c r="Z1923" s="491"/>
      <c r="AA1923" s="68">
        <v>4.91</v>
      </c>
      <c r="AB1923" s="68">
        <v>0.28599999999999998</v>
      </c>
      <c r="AC1923" s="69">
        <v>8.4</v>
      </c>
      <c r="AD1923" s="621">
        <v>60</v>
      </c>
      <c r="AE1923" s="491">
        <v>70</v>
      </c>
      <c r="AF1923" s="491">
        <v>870</v>
      </c>
      <c r="AG1923" s="66">
        <f t="shared" si="79"/>
        <v>138.65</v>
      </c>
      <c r="AH1923" s="143">
        <f t="shared" si="80"/>
        <v>1000</v>
      </c>
      <c r="AI1923" s="516"/>
      <c r="AJ1923" s="516"/>
      <c r="AK1923" s="516"/>
      <c r="AL1923" s="516"/>
      <c r="AM1923" s="516"/>
      <c r="AN1923" s="516"/>
      <c r="AO1923" s="516"/>
      <c r="AP1923" s="516"/>
      <c r="AQ1923" s="516"/>
      <c r="AR1923" s="516"/>
      <c r="AS1923" s="516"/>
      <c r="AT1923" s="516"/>
      <c r="AU1923" s="516"/>
      <c r="AV1923" s="516"/>
      <c r="AW1923" s="516"/>
      <c r="AX1923" s="516"/>
      <c r="AY1923" s="516"/>
      <c r="AZ1923" s="516"/>
      <c r="BA1923" s="516"/>
      <c r="BB1923" s="516"/>
      <c r="BC1923" s="516"/>
      <c r="BD1923" s="516"/>
      <c r="BE1923" s="516"/>
      <c r="BF1923" s="516"/>
      <c r="BG1923" s="516"/>
      <c r="BH1923" s="516"/>
      <c r="BI1923" s="516"/>
      <c r="BJ1923" s="516"/>
      <c r="BK1923" s="516"/>
      <c r="BL1923" s="516"/>
      <c r="BM1923" s="516"/>
      <c r="BN1923" s="516"/>
      <c r="BO1923" s="516"/>
      <c r="BP1923" s="516"/>
      <c r="BQ1923" s="516"/>
      <c r="BR1923" s="516"/>
      <c r="BS1923" s="516"/>
      <c r="BT1923" s="516"/>
      <c r="BU1923" s="516"/>
      <c r="BV1923" s="516"/>
      <c r="BW1923" s="516"/>
      <c r="BX1923" s="516"/>
      <c r="BY1923" s="516"/>
      <c r="BZ1923" s="516"/>
      <c r="CA1923" s="516"/>
      <c r="CB1923" s="516"/>
      <c r="CC1923" s="516"/>
      <c r="CD1923" s="516"/>
      <c r="CE1923" s="516"/>
      <c r="CF1923" s="516"/>
      <c r="CG1923" s="516"/>
      <c r="CH1923" s="516"/>
      <c r="CI1923" s="516"/>
      <c r="CJ1923" s="516"/>
      <c r="CK1923" s="516"/>
      <c r="CL1923" s="516"/>
      <c r="CM1923" s="516"/>
      <c r="CN1923" s="516"/>
      <c r="CO1923" s="516"/>
      <c r="CP1923" s="516"/>
      <c r="CQ1923" s="516"/>
      <c r="CR1923" s="516"/>
      <c r="CS1923" s="516"/>
      <c r="CT1923" s="516"/>
      <c r="CU1923" s="516"/>
      <c r="CV1923" s="516"/>
      <c r="CW1923" s="516"/>
      <c r="CX1923" s="516"/>
      <c r="CY1923" s="516"/>
      <c r="CZ1923" s="516"/>
      <c r="DA1923" s="516"/>
      <c r="DB1923" s="516"/>
      <c r="DC1923" s="516"/>
      <c r="DD1923" s="516"/>
      <c r="DE1923" s="516"/>
      <c r="DF1923" s="516"/>
      <c r="DG1923" s="516"/>
      <c r="DH1923" s="516"/>
      <c r="DI1923" s="516"/>
      <c r="DJ1923" s="516"/>
      <c r="DK1923" s="516"/>
      <c r="DL1923" s="516"/>
      <c r="DM1923" s="516"/>
      <c r="DN1923" s="516"/>
      <c r="DO1923" s="516"/>
      <c r="DP1923" s="516"/>
      <c r="DQ1923" s="516"/>
      <c r="DR1923" s="516"/>
      <c r="DS1923" s="516"/>
      <c r="DT1923" s="516"/>
      <c r="DU1923" s="516"/>
      <c r="DV1923" s="516"/>
      <c r="DW1923" s="516"/>
      <c r="DX1923" s="516"/>
      <c r="DY1923" s="516"/>
      <c r="DZ1923" s="516"/>
      <c r="EA1923" s="516"/>
      <c r="EB1923" s="516"/>
      <c r="EC1923" s="516"/>
      <c r="ED1923" s="516"/>
      <c r="EE1923" s="516"/>
      <c r="EF1923" s="516"/>
      <c r="EG1923" s="516"/>
      <c r="EH1923" s="516"/>
      <c r="EI1923" s="516"/>
      <c r="EJ1923" s="516"/>
      <c r="EK1923" s="516"/>
      <c r="EL1923" s="516"/>
      <c r="EM1923" s="516"/>
      <c r="EN1923" s="516"/>
      <c r="EO1923" s="516"/>
      <c r="EP1923" s="516"/>
      <c r="EQ1923" s="516"/>
      <c r="ER1923" s="516"/>
      <c r="ES1923" s="516"/>
    </row>
    <row r="1924" spans="1:149" x14ac:dyDescent="0.3">
      <c r="A1924" s="531">
        <v>903949</v>
      </c>
      <c r="B1924" s="623">
        <v>0.1</v>
      </c>
      <c r="C1924" s="491"/>
      <c r="D1924" s="491">
        <v>7.28</v>
      </c>
      <c r="E1924" s="1557">
        <v>0.12</v>
      </c>
      <c r="F1924" s="624">
        <v>57.75</v>
      </c>
      <c r="G1924" s="142"/>
      <c r="H1924" s="624">
        <v>192.43</v>
      </c>
      <c r="I1924" s="491">
        <v>30</v>
      </c>
      <c r="J1924" s="491">
        <v>9.8000000000000004E-2</v>
      </c>
      <c r="K1924" s="491">
        <v>2.3199999999999998</v>
      </c>
      <c r="L1924" s="491">
        <v>50</v>
      </c>
      <c r="M1924" s="491">
        <v>1.17</v>
      </c>
      <c r="N1924" s="491">
        <v>0.55000000000000004</v>
      </c>
      <c r="O1924" s="491">
        <v>2.5</v>
      </c>
      <c r="P1924" s="491">
        <v>5.93</v>
      </c>
      <c r="Q1924" s="491"/>
      <c r="R1924" s="626">
        <v>0.91884824974654267</v>
      </c>
      <c r="S1924" s="620">
        <v>6.8</v>
      </c>
      <c r="T1924" s="620"/>
      <c r="U1924" s="620"/>
      <c r="Y1924" s="67">
        <v>4.2</v>
      </c>
      <c r="Z1924" s="491"/>
      <c r="AA1924" s="68">
        <v>3.91</v>
      </c>
      <c r="AB1924" s="68">
        <v>0.375</v>
      </c>
      <c r="AC1924" s="69">
        <v>10.3</v>
      </c>
      <c r="AD1924" s="621">
        <v>60</v>
      </c>
      <c r="AE1924" s="491">
        <v>60</v>
      </c>
      <c r="AF1924" s="491">
        <v>880</v>
      </c>
      <c r="AG1924" s="66">
        <f t="shared" si="79"/>
        <v>195.54285714285712</v>
      </c>
      <c r="AH1924" s="143">
        <f t="shared" si="80"/>
        <v>1000</v>
      </c>
      <c r="AI1924" s="516"/>
      <c r="AJ1924" s="516"/>
      <c r="AK1924" s="516"/>
      <c r="AL1924" s="516"/>
      <c r="AM1924" s="516"/>
      <c r="AN1924" s="516"/>
      <c r="AO1924" s="516"/>
      <c r="AP1924" s="516"/>
      <c r="AQ1924" s="516"/>
      <c r="AR1924" s="516"/>
      <c r="AS1924" s="516"/>
      <c r="AT1924" s="516"/>
      <c r="AU1924" s="516"/>
      <c r="AV1924" s="516"/>
      <c r="AW1924" s="516"/>
      <c r="AX1924" s="516"/>
      <c r="AY1924" s="516"/>
      <c r="AZ1924" s="516"/>
      <c r="BA1924" s="516"/>
      <c r="BB1924" s="516"/>
      <c r="BC1924" s="516"/>
      <c r="BD1924" s="516"/>
      <c r="BE1924" s="516"/>
      <c r="BF1924" s="516"/>
      <c r="BG1924" s="516"/>
      <c r="BH1924" s="516"/>
      <c r="BI1924" s="516"/>
      <c r="BJ1924" s="516"/>
      <c r="BK1924" s="516"/>
      <c r="BL1924" s="516"/>
      <c r="BM1924" s="516"/>
      <c r="BN1924" s="516"/>
      <c r="BO1924" s="516"/>
      <c r="BP1924" s="516"/>
      <c r="BQ1924" s="516"/>
      <c r="BR1924" s="516"/>
      <c r="BS1924" s="516"/>
      <c r="BT1924" s="516"/>
      <c r="BU1924" s="516"/>
      <c r="BV1924" s="516"/>
      <c r="BW1924" s="516"/>
      <c r="BX1924" s="516"/>
      <c r="BY1924" s="516"/>
      <c r="BZ1924" s="516"/>
      <c r="CA1924" s="516"/>
      <c r="CB1924" s="516"/>
      <c r="CC1924" s="516"/>
      <c r="CD1924" s="516"/>
      <c r="CE1924" s="516"/>
      <c r="CF1924" s="516"/>
      <c r="CG1924" s="516"/>
      <c r="CH1924" s="516"/>
      <c r="CI1924" s="516"/>
      <c r="CJ1924" s="516"/>
      <c r="CK1924" s="516"/>
      <c r="CL1924" s="516"/>
      <c r="CM1924" s="516"/>
      <c r="CN1924" s="516"/>
      <c r="CO1924" s="516"/>
      <c r="CP1924" s="516"/>
      <c r="CQ1924" s="516"/>
      <c r="CR1924" s="516"/>
      <c r="CS1924" s="516"/>
      <c r="CT1924" s="516"/>
      <c r="CU1924" s="516"/>
      <c r="CV1924" s="516"/>
      <c r="CW1924" s="516"/>
      <c r="CX1924" s="516"/>
      <c r="CY1924" s="516"/>
      <c r="CZ1924" s="516"/>
      <c r="DA1924" s="516"/>
      <c r="DB1924" s="516"/>
      <c r="DC1924" s="516"/>
      <c r="DD1924" s="516"/>
      <c r="DE1924" s="516"/>
      <c r="DF1924" s="516"/>
      <c r="DG1924" s="516"/>
      <c r="DH1924" s="516"/>
      <c r="DI1924" s="516"/>
      <c r="DJ1924" s="516"/>
      <c r="DK1924" s="516"/>
      <c r="DL1924" s="516"/>
      <c r="DM1924" s="516"/>
      <c r="DN1924" s="516"/>
      <c r="DO1924" s="516"/>
      <c r="DP1924" s="516"/>
      <c r="DQ1924" s="516"/>
      <c r="DR1924" s="516"/>
      <c r="DS1924" s="516"/>
      <c r="DT1924" s="516"/>
      <c r="DU1924" s="516"/>
      <c r="DV1924" s="516"/>
      <c r="DW1924" s="516"/>
      <c r="DX1924" s="516"/>
      <c r="DY1924" s="516"/>
      <c r="DZ1924" s="516"/>
      <c r="EA1924" s="516"/>
      <c r="EB1924" s="516"/>
      <c r="EC1924" s="516"/>
      <c r="ED1924" s="516"/>
      <c r="EE1924" s="516"/>
      <c r="EF1924" s="516"/>
      <c r="EG1924" s="516"/>
      <c r="EH1924" s="516"/>
      <c r="EI1924" s="516"/>
      <c r="EJ1924" s="516"/>
      <c r="EK1924" s="516"/>
      <c r="EL1924" s="516"/>
      <c r="EM1924" s="516"/>
      <c r="EN1924" s="516"/>
      <c r="EO1924" s="516"/>
      <c r="EP1924" s="516"/>
      <c r="EQ1924" s="516"/>
      <c r="ER1924" s="516"/>
      <c r="ES1924" s="516"/>
    </row>
    <row r="1925" spans="1:149" x14ac:dyDescent="0.3">
      <c r="A1925" s="531">
        <v>903950</v>
      </c>
      <c r="B1925" s="623">
        <v>0.1</v>
      </c>
      <c r="C1925" s="491"/>
      <c r="D1925" s="491">
        <v>6.51</v>
      </c>
      <c r="E1925" s="1557">
        <v>0.05</v>
      </c>
      <c r="F1925" s="624">
        <v>42.65</v>
      </c>
      <c r="G1925" s="142"/>
      <c r="H1925" s="624">
        <v>128.99</v>
      </c>
      <c r="I1925" s="491">
        <v>30</v>
      </c>
      <c r="J1925" s="491">
        <v>2.5999999999999999E-2</v>
      </c>
      <c r="K1925" s="491">
        <v>2.37</v>
      </c>
      <c r="L1925" s="491">
        <v>110</v>
      </c>
      <c r="M1925" s="491">
        <v>1.57</v>
      </c>
      <c r="N1925" s="491">
        <v>0.57999999999999996</v>
      </c>
      <c r="O1925" s="491">
        <v>0.73</v>
      </c>
      <c r="P1925" s="491">
        <v>10.3</v>
      </c>
      <c r="Q1925" s="491"/>
      <c r="R1925" s="626">
        <v>0.588969859187087</v>
      </c>
      <c r="S1925" s="620">
        <v>4.3</v>
      </c>
      <c r="T1925" s="620"/>
      <c r="U1925" s="620"/>
      <c r="Y1925" s="67">
        <v>2.6</v>
      </c>
      <c r="Z1925" s="491">
        <v>5.47</v>
      </c>
      <c r="AA1925" s="68">
        <v>4.04</v>
      </c>
      <c r="AB1925" s="68">
        <v>0.54200000000000004</v>
      </c>
      <c r="AC1925" s="69">
        <v>10.9</v>
      </c>
      <c r="AD1925" s="621">
        <v>80</v>
      </c>
      <c r="AE1925" s="491">
        <v>60</v>
      </c>
      <c r="AF1925" s="491">
        <v>860</v>
      </c>
      <c r="AG1925" s="66">
        <f t="shared" si="79"/>
        <v>322.68461538461543</v>
      </c>
      <c r="AH1925" s="143">
        <f t="shared" si="80"/>
        <v>1000</v>
      </c>
      <c r="AI1925" s="516"/>
      <c r="AJ1925" s="516"/>
      <c r="AK1925" s="516"/>
      <c r="AL1925" s="516"/>
      <c r="AM1925" s="516"/>
      <c r="AN1925" s="516"/>
      <c r="AO1925" s="516"/>
      <c r="AP1925" s="516"/>
      <c r="AQ1925" s="516"/>
      <c r="AR1925" s="516"/>
      <c r="AS1925" s="516"/>
      <c r="AT1925" s="516"/>
      <c r="AU1925" s="516"/>
      <c r="AV1925" s="516"/>
      <c r="AW1925" s="516"/>
      <c r="AX1925" s="516"/>
      <c r="AY1925" s="516"/>
      <c r="AZ1925" s="516"/>
      <c r="BA1925" s="516"/>
      <c r="BB1925" s="516"/>
      <c r="BC1925" s="516"/>
      <c r="BD1925" s="516"/>
      <c r="BE1925" s="516"/>
      <c r="BF1925" s="516"/>
      <c r="BG1925" s="516"/>
      <c r="BH1925" s="516"/>
      <c r="BI1925" s="516"/>
      <c r="BJ1925" s="516"/>
      <c r="BK1925" s="516"/>
      <c r="BL1925" s="516"/>
      <c r="BM1925" s="516"/>
      <c r="BN1925" s="516"/>
      <c r="BO1925" s="516"/>
      <c r="BP1925" s="516"/>
      <c r="BQ1925" s="516"/>
      <c r="BR1925" s="516"/>
      <c r="BS1925" s="516"/>
      <c r="BT1925" s="516"/>
      <c r="BU1925" s="516"/>
      <c r="BV1925" s="516"/>
      <c r="BW1925" s="516"/>
      <c r="BX1925" s="516"/>
      <c r="BY1925" s="516"/>
      <c r="BZ1925" s="516"/>
      <c r="CA1925" s="516"/>
      <c r="CB1925" s="516"/>
      <c r="CC1925" s="516"/>
      <c r="CD1925" s="516"/>
      <c r="CE1925" s="516"/>
      <c r="CF1925" s="516"/>
      <c r="CG1925" s="516"/>
      <c r="CH1925" s="516"/>
      <c r="CI1925" s="516"/>
      <c r="CJ1925" s="516"/>
      <c r="CK1925" s="516"/>
      <c r="CL1925" s="516"/>
      <c r="CM1925" s="516"/>
      <c r="CN1925" s="516"/>
      <c r="CO1925" s="516"/>
      <c r="CP1925" s="516"/>
      <c r="CQ1925" s="516"/>
      <c r="CR1925" s="516"/>
      <c r="CS1925" s="516"/>
      <c r="CT1925" s="516"/>
      <c r="CU1925" s="516"/>
      <c r="CV1925" s="516"/>
      <c r="CW1925" s="516"/>
      <c r="CX1925" s="516"/>
      <c r="CY1925" s="516"/>
      <c r="CZ1925" s="516"/>
      <c r="DA1925" s="516"/>
      <c r="DB1925" s="516"/>
      <c r="DC1925" s="516"/>
      <c r="DD1925" s="516"/>
      <c r="DE1925" s="516"/>
      <c r="DF1925" s="516"/>
      <c r="DG1925" s="516"/>
      <c r="DH1925" s="516"/>
      <c r="DI1925" s="516"/>
      <c r="DJ1925" s="516"/>
      <c r="DK1925" s="516"/>
      <c r="DL1925" s="516"/>
      <c r="DM1925" s="516"/>
      <c r="DN1925" s="516"/>
      <c r="DO1925" s="516"/>
      <c r="DP1925" s="516"/>
      <c r="DQ1925" s="516"/>
      <c r="DR1925" s="516"/>
      <c r="DS1925" s="516"/>
      <c r="DT1925" s="516"/>
      <c r="DU1925" s="516"/>
      <c r="DV1925" s="516"/>
      <c r="DW1925" s="516"/>
      <c r="DX1925" s="516"/>
      <c r="DY1925" s="516"/>
      <c r="DZ1925" s="516"/>
      <c r="EA1925" s="516"/>
      <c r="EB1925" s="516"/>
      <c r="EC1925" s="516"/>
      <c r="ED1925" s="516"/>
      <c r="EE1925" s="516"/>
      <c r="EF1925" s="516"/>
      <c r="EG1925" s="516"/>
      <c r="EH1925" s="516"/>
      <c r="EI1925" s="516"/>
      <c r="EJ1925" s="516"/>
      <c r="EK1925" s="516"/>
      <c r="EL1925" s="516"/>
      <c r="EM1925" s="516"/>
      <c r="EN1925" s="516"/>
      <c r="EO1925" s="516"/>
      <c r="EP1925" s="516"/>
      <c r="EQ1925" s="516"/>
      <c r="ER1925" s="516"/>
      <c r="ES1925" s="516"/>
    </row>
    <row r="1926" spans="1:149" x14ac:dyDescent="0.3">
      <c r="A1926" s="531">
        <v>903951</v>
      </c>
      <c r="B1926" s="623">
        <v>0.1</v>
      </c>
      <c r="C1926" s="491"/>
      <c r="D1926" s="491">
        <v>6.31</v>
      </c>
      <c r="E1926" s="1557">
        <v>0.05</v>
      </c>
      <c r="F1926" s="624">
        <v>32.450000000000003</v>
      </c>
      <c r="G1926" s="142"/>
      <c r="H1926" s="624">
        <v>121.41</v>
      </c>
      <c r="I1926" s="491">
        <v>20</v>
      </c>
      <c r="J1926" s="491">
        <v>2.5000000000000001E-2</v>
      </c>
      <c r="K1926" s="491">
        <v>0.31</v>
      </c>
      <c r="L1926" s="491">
        <v>70</v>
      </c>
      <c r="M1926" s="491">
        <v>3.66</v>
      </c>
      <c r="N1926" s="491">
        <v>0.6</v>
      </c>
      <c r="O1926" s="491">
        <v>0.75</v>
      </c>
      <c r="P1926" s="491">
        <v>11.99</v>
      </c>
      <c r="Q1926" s="491"/>
      <c r="R1926" s="626">
        <v>1.3132822176037269</v>
      </c>
      <c r="S1926" s="620">
        <v>9.1</v>
      </c>
      <c r="T1926" s="620"/>
      <c r="U1926" s="620"/>
      <c r="Y1926" s="67">
        <v>1.9</v>
      </c>
      <c r="Z1926" s="491">
        <v>5.22</v>
      </c>
      <c r="AA1926" s="68">
        <v>3.63</v>
      </c>
      <c r="AB1926" s="68">
        <v>0.25</v>
      </c>
      <c r="AC1926" s="69">
        <v>8.9</v>
      </c>
      <c r="AD1926" s="621">
        <v>60</v>
      </c>
      <c r="AE1926" s="491">
        <v>60</v>
      </c>
      <c r="AF1926" s="491">
        <v>880</v>
      </c>
      <c r="AG1926" s="66">
        <f t="shared" si="79"/>
        <v>57.757894736842104</v>
      </c>
      <c r="AH1926" s="143">
        <f t="shared" si="80"/>
        <v>1000</v>
      </c>
      <c r="AI1926" s="516"/>
      <c r="AJ1926" s="516"/>
      <c r="AK1926" s="516"/>
      <c r="AL1926" s="516"/>
      <c r="AM1926" s="516"/>
      <c r="AN1926" s="516"/>
      <c r="AO1926" s="516"/>
      <c r="AP1926" s="516"/>
      <c r="AQ1926" s="516"/>
      <c r="AR1926" s="516"/>
      <c r="AS1926" s="516"/>
      <c r="AT1926" s="516"/>
      <c r="AU1926" s="516"/>
      <c r="AV1926" s="516"/>
      <c r="AW1926" s="516"/>
      <c r="AX1926" s="516"/>
      <c r="AY1926" s="516"/>
      <c r="AZ1926" s="516"/>
      <c r="BA1926" s="516"/>
      <c r="BB1926" s="516"/>
      <c r="BC1926" s="516"/>
      <c r="BD1926" s="516"/>
      <c r="BE1926" s="516"/>
      <c r="BF1926" s="516"/>
      <c r="BG1926" s="516"/>
      <c r="BH1926" s="516"/>
      <c r="BI1926" s="516"/>
      <c r="BJ1926" s="516"/>
      <c r="BK1926" s="516"/>
      <c r="BL1926" s="516"/>
      <c r="BM1926" s="516"/>
      <c r="BN1926" s="516"/>
      <c r="BO1926" s="516"/>
      <c r="BP1926" s="516"/>
      <c r="BQ1926" s="516"/>
      <c r="BR1926" s="516"/>
      <c r="BS1926" s="516"/>
      <c r="BT1926" s="516"/>
      <c r="BU1926" s="516"/>
      <c r="BV1926" s="516"/>
      <c r="BW1926" s="516"/>
      <c r="BX1926" s="516"/>
      <c r="BY1926" s="516"/>
      <c r="BZ1926" s="516"/>
      <c r="CA1926" s="516"/>
      <c r="CB1926" s="516"/>
      <c r="CC1926" s="516"/>
      <c r="CD1926" s="516"/>
      <c r="CE1926" s="516"/>
      <c r="CF1926" s="516"/>
      <c r="CG1926" s="516"/>
      <c r="CH1926" s="516"/>
      <c r="CI1926" s="516"/>
      <c r="CJ1926" s="516"/>
      <c r="CK1926" s="516"/>
      <c r="CL1926" s="516"/>
      <c r="CM1926" s="516"/>
      <c r="CN1926" s="516"/>
      <c r="CO1926" s="516"/>
      <c r="CP1926" s="516"/>
      <c r="CQ1926" s="516"/>
      <c r="CR1926" s="516"/>
      <c r="CS1926" s="516"/>
      <c r="CT1926" s="516"/>
      <c r="CU1926" s="516"/>
      <c r="CV1926" s="516"/>
      <c r="CW1926" s="516"/>
      <c r="CX1926" s="516"/>
      <c r="CY1926" s="516"/>
      <c r="CZ1926" s="516"/>
      <c r="DA1926" s="516"/>
      <c r="DB1926" s="516"/>
      <c r="DC1926" s="516"/>
      <c r="DD1926" s="516"/>
      <c r="DE1926" s="516"/>
      <c r="DF1926" s="516"/>
      <c r="DG1926" s="516"/>
      <c r="DH1926" s="516"/>
      <c r="DI1926" s="516"/>
      <c r="DJ1926" s="516"/>
      <c r="DK1926" s="516"/>
      <c r="DL1926" s="516"/>
      <c r="DM1926" s="516"/>
      <c r="DN1926" s="516"/>
      <c r="DO1926" s="516"/>
      <c r="DP1926" s="516"/>
      <c r="DQ1926" s="516"/>
      <c r="DR1926" s="516"/>
      <c r="DS1926" s="516"/>
      <c r="DT1926" s="516"/>
      <c r="DU1926" s="516"/>
      <c r="DV1926" s="516"/>
      <c r="DW1926" s="516"/>
      <c r="DX1926" s="516"/>
      <c r="DY1926" s="516"/>
      <c r="DZ1926" s="516"/>
      <c r="EA1926" s="516"/>
      <c r="EB1926" s="516"/>
      <c r="EC1926" s="516"/>
      <c r="ED1926" s="516"/>
      <c r="EE1926" s="516"/>
      <c r="EF1926" s="516"/>
      <c r="EG1926" s="516"/>
      <c r="EH1926" s="516"/>
      <c r="EI1926" s="516"/>
      <c r="EJ1926" s="516"/>
      <c r="EK1926" s="516"/>
      <c r="EL1926" s="516"/>
      <c r="EM1926" s="516"/>
      <c r="EN1926" s="516"/>
      <c r="EO1926" s="516"/>
      <c r="EP1926" s="516"/>
      <c r="EQ1926" s="516"/>
      <c r="ER1926" s="516"/>
      <c r="ES1926" s="516"/>
    </row>
    <row r="1927" spans="1:149" x14ac:dyDescent="0.3">
      <c r="A1927" s="531">
        <v>903952</v>
      </c>
      <c r="B1927" s="623">
        <v>9.9</v>
      </c>
      <c r="C1927" s="491"/>
      <c r="D1927" s="491">
        <v>8.33</v>
      </c>
      <c r="E1927" s="1557">
        <v>0.25</v>
      </c>
      <c r="F1927" s="624">
        <v>123</v>
      </c>
      <c r="G1927" s="142"/>
      <c r="H1927" s="624">
        <v>5.25</v>
      </c>
      <c r="I1927" s="491">
        <v>220</v>
      </c>
      <c r="J1927" s="491">
        <v>0.13200000000000001</v>
      </c>
      <c r="K1927" s="491">
        <v>8.1999999999999993</v>
      </c>
      <c r="L1927" s="491">
        <v>990</v>
      </c>
      <c r="M1927" s="491">
        <v>0.42</v>
      </c>
      <c r="N1927" s="491">
        <v>3.06</v>
      </c>
      <c r="O1927" s="491">
        <v>3.55</v>
      </c>
      <c r="P1927" s="491">
        <v>4.0599999999999996</v>
      </c>
      <c r="Q1927" s="491"/>
      <c r="R1927" s="626">
        <v>1.802897</v>
      </c>
      <c r="S1927" s="620">
        <v>16.7</v>
      </c>
      <c r="T1927" s="620"/>
      <c r="U1927" s="620"/>
      <c r="Y1927" s="67">
        <v>17</v>
      </c>
      <c r="Z1927" s="491"/>
      <c r="AA1927" s="68">
        <v>3.85</v>
      </c>
      <c r="AB1927" s="68">
        <v>0.68500000000000005</v>
      </c>
      <c r="AC1927" s="69">
        <v>10</v>
      </c>
      <c r="AD1927" s="621">
        <v>340</v>
      </c>
      <c r="AE1927" s="491">
        <v>520</v>
      </c>
      <c r="AF1927" s="491">
        <v>140</v>
      </c>
      <c r="AG1927" s="66">
        <f t="shared" si="79"/>
        <v>170.75294117647059</v>
      </c>
      <c r="AH1927" s="143">
        <f t="shared" si="80"/>
        <v>1000</v>
      </c>
      <c r="AI1927" s="516"/>
      <c r="AJ1927" s="516"/>
      <c r="AK1927" s="516"/>
      <c r="AL1927" s="516"/>
      <c r="AM1927" s="516"/>
      <c r="AN1927" s="516"/>
      <c r="AO1927" s="516"/>
      <c r="AP1927" s="516"/>
      <c r="AQ1927" s="516"/>
      <c r="AR1927" s="516"/>
      <c r="AS1927" s="516"/>
      <c r="AT1927" s="516"/>
      <c r="AU1927" s="516"/>
      <c r="AV1927" s="516"/>
      <c r="AW1927" s="516"/>
      <c r="AX1927" s="516"/>
      <c r="AY1927" s="516"/>
      <c r="AZ1927" s="516"/>
      <c r="BA1927" s="516"/>
      <c r="BB1927" s="516"/>
      <c r="BC1927" s="516"/>
      <c r="BD1927" s="516"/>
      <c r="BE1927" s="516"/>
      <c r="BF1927" s="516"/>
      <c r="BG1927" s="516"/>
      <c r="BH1927" s="516"/>
      <c r="BI1927" s="516"/>
      <c r="BJ1927" s="516"/>
      <c r="BK1927" s="516"/>
      <c r="BL1927" s="516"/>
      <c r="BM1927" s="516"/>
      <c r="BN1927" s="516"/>
      <c r="BO1927" s="516"/>
      <c r="BP1927" s="516"/>
      <c r="BQ1927" s="516"/>
      <c r="BR1927" s="516"/>
      <c r="BS1927" s="516"/>
      <c r="BT1927" s="516"/>
      <c r="BU1927" s="516"/>
      <c r="BV1927" s="516"/>
      <c r="BW1927" s="516"/>
      <c r="BX1927" s="516"/>
      <c r="BY1927" s="516"/>
      <c r="BZ1927" s="516"/>
      <c r="CA1927" s="516"/>
      <c r="CB1927" s="516"/>
      <c r="CC1927" s="516"/>
      <c r="CD1927" s="516"/>
      <c r="CE1927" s="516"/>
      <c r="CF1927" s="516"/>
      <c r="CG1927" s="516"/>
      <c r="CH1927" s="516"/>
      <c r="CI1927" s="516"/>
      <c r="CJ1927" s="516"/>
      <c r="CK1927" s="516"/>
      <c r="CL1927" s="516"/>
      <c r="CM1927" s="516"/>
      <c r="CN1927" s="516"/>
      <c r="CO1927" s="516"/>
      <c r="CP1927" s="516"/>
      <c r="CQ1927" s="516"/>
      <c r="CR1927" s="516"/>
      <c r="CS1927" s="516"/>
      <c r="CT1927" s="516"/>
      <c r="CU1927" s="516"/>
      <c r="CV1927" s="516"/>
      <c r="CW1927" s="516"/>
      <c r="CX1927" s="516"/>
      <c r="CY1927" s="516"/>
      <c r="CZ1927" s="516"/>
      <c r="DA1927" s="516"/>
      <c r="DB1927" s="516"/>
      <c r="DC1927" s="516"/>
      <c r="DD1927" s="516"/>
      <c r="DE1927" s="516"/>
      <c r="DF1927" s="516"/>
      <c r="DG1927" s="516"/>
      <c r="DH1927" s="516"/>
      <c r="DI1927" s="516"/>
      <c r="DJ1927" s="516"/>
      <c r="DK1927" s="516"/>
      <c r="DL1927" s="516"/>
      <c r="DM1927" s="516"/>
      <c r="DN1927" s="516"/>
      <c r="DO1927" s="516"/>
      <c r="DP1927" s="516"/>
      <c r="DQ1927" s="516"/>
      <c r="DR1927" s="516"/>
      <c r="DS1927" s="516"/>
      <c r="DT1927" s="516"/>
      <c r="DU1927" s="516"/>
      <c r="DV1927" s="516"/>
      <c r="DW1927" s="516"/>
      <c r="DX1927" s="516"/>
      <c r="DY1927" s="516"/>
      <c r="DZ1927" s="516"/>
      <c r="EA1927" s="516"/>
      <c r="EB1927" s="516"/>
      <c r="EC1927" s="516"/>
      <c r="ED1927" s="516"/>
      <c r="EE1927" s="516"/>
      <c r="EF1927" s="516"/>
      <c r="EG1927" s="516"/>
      <c r="EH1927" s="516"/>
      <c r="EI1927" s="516"/>
      <c r="EJ1927" s="516"/>
      <c r="EK1927" s="516"/>
      <c r="EL1927" s="516"/>
      <c r="EM1927" s="516"/>
      <c r="EN1927" s="516"/>
      <c r="EO1927" s="516"/>
      <c r="EP1927" s="516"/>
      <c r="EQ1927" s="516"/>
      <c r="ER1927" s="516"/>
      <c r="ES1927" s="516"/>
    </row>
    <row r="1928" spans="1:149" x14ac:dyDescent="0.3">
      <c r="A1928" s="531">
        <v>903953</v>
      </c>
      <c r="B1928" s="623">
        <v>21.8</v>
      </c>
      <c r="C1928" s="620">
        <v>7.13</v>
      </c>
      <c r="D1928" s="491">
        <v>8.6300000000000008</v>
      </c>
      <c r="E1928" s="1557">
        <v>0.14000000000000001</v>
      </c>
      <c r="F1928" s="624">
        <v>53.45</v>
      </c>
      <c r="G1928" s="142"/>
      <c r="H1928" s="624">
        <v>16.63</v>
      </c>
      <c r="I1928" s="491">
        <v>460</v>
      </c>
      <c r="J1928" s="491">
        <v>2.8000000000000001E-2</v>
      </c>
      <c r="K1928" s="491">
        <v>8.65</v>
      </c>
      <c r="L1928" s="491">
        <v>400</v>
      </c>
      <c r="M1928" s="491">
        <v>0.23</v>
      </c>
      <c r="N1928" s="491">
        <v>0.72</v>
      </c>
      <c r="O1928" s="491">
        <v>0.98</v>
      </c>
      <c r="P1928" s="491">
        <v>1.94</v>
      </c>
      <c r="Q1928" s="491"/>
      <c r="R1928" s="626">
        <v>0.6460389778948088</v>
      </c>
      <c r="S1928" s="620">
        <v>4.7</v>
      </c>
      <c r="T1928" s="620"/>
      <c r="U1928" s="620"/>
      <c r="Y1928" s="67">
        <v>35.700000000000003</v>
      </c>
      <c r="Z1928" s="620"/>
      <c r="AA1928" s="68">
        <v>4.13</v>
      </c>
      <c r="AB1928" s="68">
        <v>0.67200000000000004</v>
      </c>
      <c r="AC1928" s="69">
        <v>11.3</v>
      </c>
      <c r="AD1928" s="621">
        <v>510</v>
      </c>
      <c r="AE1928" s="491">
        <v>360</v>
      </c>
      <c r="AF1928" s="491">
        <v>130</v>
      </c>
      <c r="AG1928" s="66">
        <f t="shared" si="79"/>
        <v>85.773109243697476</v>
      </c>
      <c r="AH1928" s="143">
        <f t="shared" si="80"/>
        <v>1000</v>
      </c>
      <c r="AI1928" s="516"/>
      <c r="AJ1928" s="516"/>
      <c r="AK1928" s="516"/>
      <c r="AL1928" s="516"/>
      <c r="AM1928" s="516"/>
      <c r="AN1928" s="516"/>
      <c r="AO1928" s="516"/>
      <c r="AP1928" s="516"/>
      <c r="AQ1928" s="516"/>
      <c r="AR1928" s="516"/>
      <c r="AS1928" s="516"/>
      <c r="AT1928" s="516"/>
      <c r="AU1928" s="516"/>
      <c r="AV1928" s="516"/>
      <c r="AW1928" s="516"/>
      <c r="AX1928" s="516"/>
      <c r="AY1928" s="516"/>
      <c r="AZ1928" s="516"/>
      <c r="BA1928" s="516"/>
      <c r="BB1928" s="516"/>
      <c r="BC1928" s="516"/>
      <c r="BD1928" s="516"/>
      <c r="BE1928" s="516"/>
      <c r="BF1928" s="516"/>
      <c r="BG1928" s="516"/>
      <c r="BH1928" s="516"/>
      <c r="BI1928" s="516"/>
      <c r="BJ1928" s="516"/>
      <c r="BK1928" s="516"/>
      <c r="BL1928" s="516"/>
      <c r="BM1928" s="516"/>
      <c r="BN1928" s="516"/>
      <c r="BO1928" s="516"/>
      <c r="BP1928" s="516"/>
      <c r="BQ1928" s="516"/>
      <c r="BR1928" s="516"/>
      <c r="BS1928" s="516"/>
      <c r="BT1928" s="516"/>
      <c r="BU1928" s="516"/>
      <c r="BV1928" s="516"/>
      <c r="BW1928" s="516"/>
      <c r="BX1928" s="516"/>
      <c r="BY1928" s="516"/>
      <c r="BZ1928" s="516"/>
      <c r="CA1928" s="516"/>
      <c r="CB1928" s="516"/>
      <c r="CC1928" s="516"/>
      <c r="CD1928" s="516"/>
      <c r="CE1928" s="516"/>
      <c r="CF1928" s="516"/>
      <c r="CG1928" s="516"/>
      <c r="CH1928" s="516"/>
      <c r="CI1928" s="516"/>
      <c r="CJ1928" s="516"/>
      <c r="CK1928" s="516"/>
      <c r="CL1928" s="516"/>
      <c r="CM1928" s="516"/>
      <c r="CN1928" s="516"/>
      <c r="CO1928" s="516"/>
      <c r="CP1928" s="516"/>
      <c r="CQ1928" s="516"/>
      <c r="CR1928" s="516"/>
      <c r="CS1928" s="516"/>
      <c r="CT1928" s="516"/>
      <c r="CU1928" s="516"/>
      <c r="CV1928" s="516"/>
      <c r="CW1928" s="516"/>
      <c r="CX1928" s="516"/>
      <c r="CY1928" s="516"/>
      <c r="CZ1928" s="516"/>
      <c r="DA1928" s="516"/>
      <c r="DB1928" s="516"/>
      <c r="DC1928" s="516"/>
      <c r="DD1928" s="516"/>
      <c r="DE1928" s="516"/>
      <c r="DF1928" s="516"/>
      <c r="DG1928" s="516"/>
      <c r="DH1928" s="516"/>
      <c r="DI1928" s="516"/>
      <c r="DJ1928" s="516"/>
      <c r="DK1928" s="516"/>
      <c r="DL1928" s="516"/>
      <c r="DM1928" s="516"/>
      <c r="DN1928" s="516"/>
      <c r="DO1928" s="516"/>
      <c r="DP1928" s="516"/>
      <c r="DQ1928" s="516"/>
      <c r="DR1928" s="516"/>
      <c r="DS1928" s="516"/>
      <c r="DT1928" s="516"/>
      <c r="DU1928" s="516"/>
      <c r="DV1928" s="516"/>
      <c r="DW1928" s="516"/>
      <c r="DX1928" s="516"/>
      <c r="DY1928" s="516"/>
      <c r="DZ1928" s="516"/>
      <c r="EA1928" s="516"/>
      <c r="EB1928" s="516"/>
      <c r="EC1928" s="516"/>
      <c r="ED1928" s="516"/>
      <c r="EE1928" s="516"/>
      <c r="EF1928" s="516"/>
      <c r="EG1928" s="516"/>
      <c r="EH1928" s="516"/>
      <c r="EI1928" s="516"/>
      <c r="EJ1928" s="516"/>
      <c r="EK1928" s="516"/>
      <c r="EL1928" s="516"/>
      <c r="EM1928" s="516"/>
      <c r="EN1928" s="516"/>
      <c r="EO1928" s="516"/>
      <c r="EP1928" s="516"/>
      <c r="EQ1928" s="516"/>
      <c r="ER1928" s="516"/>
      <c r="ES1928" s="516"/>
    </row>
    <row r="1929" spans="1:149" x14ac:dyDescent="0.3">
      <c r="A1929" s="531">
        <v>903954</v>
      </c>
      <c r="B1929" s="623">
        <v>29.7</v>
      </c>
      <c r="C1929" s="620">
        <v>2.88</v>
      </c>
      <c r="D1929" s="491">
        <v>8.68</v>
      </c>
      <c r="E1929" s="1557">
        <v>0.3</v>
      </c>
      <c r="F1929" s="624">
        <v>141.94999999999999</v>
      </c>
      <c r="G1929" s="142"/>
      <c r="H1929" s="624">
        <v>166.06</v>
      </c>
      <c r="I1929" s="491">
        <v>370</v>
      </c>
      <c r="J1929" s="491">
        <v>0.121</v>
      </c>
      <c r="K1929" s="491">
        <v>7.94</v>
      </c>
      <c r="L1929" s="491">
        <v>1120</v>
      </c>
      <c r="M1929" s="491">
        <v>0.64</v>
      </c>
      <c r="N1929" s="491">
        <v>0.32</v>
      </c>
      <c r="O1929" s="491">
        <v>5.07</v>
      </c>
      <c r="P1929" s="491">
        <v>2.23</v>
      </c>
      <c r="Q1929" s="491"/>
      <c r="R1929" s="626">
        <v>1.5903770000000002</v>
      </c>
      <c r="S1929" s="620">
        <v>10.7</v>
      </c>
      <c r="T1929" s="620"/>
      <c r="U1929" s="620"/>
      <c r="Y1929" s="67">
        <v>23</v>
      </c>
      <c r="Z1929" s="620"/>
      <c r="AA1929" s="68">
        <v>4.82</v>
      </c>
      <c r="AB1929" s="68">
        <v>0.44</v>
      </c>
      <c r="AC1929" s="69">
        <v>11.6</v>
      </c>
      <c r="AD1929" s="621">
        <v>500</v>
      </c>
      <c r="AE1929" s="491">
        <v>260</v>
      </c>
      <c r="AF1929" s="491">
        <v>240</v>
      </c>
      <c r="AG1929" s="66">
        <f t="shared" si="79"/>
        <v>122.20695652173914</v>
      </c>
      <c r="AH1929" s="143">
        <f t="shared" si="80"/>
        <v>1000</v>
      </c>
      <c r="AI1929" s="516"/>
      <c r="AJ1929" s="516"/>
      <c r="AK1929" s="516"/>
      <c r="AL1929" s="516"/>
      <c r="AM1929" s="516"/>
      <c r="AN1929" s="516"/>
      <c r="AO1929" s="516"/>
      <c r="AP1929" s="516"/>
      <c r="AQ1929" s="516"/>
      <c r="AR1929" s="516"/>
      <c r="AS1929" s="516"/>
      <c r="AT1929" s="516"/>
      <c r="AU1929" s="516"/>
      <c r="AV1929" s="516"/>
      <c r="AW1929" s="516"/>
      <c r="AX1929" s="516"/>
      <c r="AY1929" s="516"/>
      <c r="AZ1929" s="516"/>
      <c r="BA1929" s="516"/>
      <c r="BB1929" s="516"/>
      <c r="BC1929" s="516"/>
      <c r="BD1929" s="516"/>
      <c r="BE1929" s="516"/>
      <c r="BF1929" s="516"/>
      <c r="BG1929" s="516"/>
      <c r="BH1929" s="516"/>
      <c r="BI1929" s="516"/>
      <c r="BJ1929" s="516"/>
      <c r="BK1929" s="516"/>
      <c r="BL1929" s="516"/>
      <c r="BM1929" s="516"/>
      <c r="BN1929" s="516"/>
      <c r="BO1929" s="516"/>
      <c r="BP1929" s="516"/>
      <c r="BQ1929" s="516"/>
      <c r="BR1929" s="516"/>
      <c r="BS1929" s="516"/>
      <c r="BT1929" s="516"/>
      <c r="BU1929" s="516"/>
      <c r="BV1929" s="516"/>
      <c r="BW1929" s="516"/>
      <c r="BX1929" s="516"/>
      <c r="BY1929" s="516"/>
      <c r="BZ1929" s="516"/>
      <c r="CA1929" s="516"/>
      <c r="CB1929" s="516"/>
      <c r="CC1929" s="516"/>
      <c r="CD1929" s="516"/>
      <c r="CE1929" s="516"/>
      <c r="CF1929" s="516"/>
      <c r="CG1929" s="516"/>
      <c r="CH1929" s="516"/>
      <c r="CI1929" s="516"/>
      <c r="CJ1929" s="516"/>
      <c r="CK1929" s="516"/>
      <c r="CL1929" s="516"/>
      <c r="CM1929" s="516"/>
      <c r="CN1929" s="516"/>
      <c r="CO1929" s="516"/>
      <c r="CP1929" s="516"/>
      <c r="CQ1929" s="516"/>
      <c r="CR1929" s="516"/>
      <c r="CS1929" s="516"/>
      <c r="CT1929" s="516"/>
      <c r="CU1929" s="516"/>
      <c r="CV1929" s="516"/>
      <c r="CW1929" s="516"/>
      <c r="CX1929" s="516"/>
      <c r="CY1929" s="516"/>
      <c r="CZ1929" s="516"/>
      <c r="DA1929" s="516"/>
      <c r="DB1929" s="516"/>
      <c r="DC1929" s="516"/>
      <c r="DD1929" s="516"/>
      <c r="DE1929" s="516"/>
      <c r="DF1929" s="516"/>
      <c r="DG1929" s="516"/>
      <c r="DH1929" s="516"/>
      <c r="DI1929" s="516"/>
      <c r="DJ1929" s="516"/>
      <c r="DK1929" s="516"/>
      <c r="DL1929" s="516"/>
      <c r="DM1929" s="516"/>
      <c r="DN1929" s="516"/>
      <c r="DO1929" s="516"/>
      <c r="DP1929" s="516"/>
      <c r="DQ1929" s="516"/>
      <c r="DR1929" s="516"/>
      <c r="DS1929" s="516"/>
      <c r="DT1929" s="516"/>
      <c r="DU1929" s="516"/>
      <c r="DV1929" s="516"/>
      <c r="DW1929" s="516"/>
      <c r="DX1929" s="516"/>
      <c r="DY1929" s="516"/>
      <c r="DZ1929" s="516"/>
      <c r="EA1929" s="516"/>
      <c r="EB1929" s="516"/>
      <c r="EC1929" s="516"/>
      <c r="ED1929" s="516"/>
      <c r="EE1929" s="516"/>
      <c r="EF1929" s="516"/>
      <c r="EG1929" s="516"/>
      <c r="EH1929" s="516"/>
      <c r="EI1929" s="516"/>
      <c r="EJ1929" s="516"/>
      <c r="EK1929" s="516"/>
      <c r="EL1929" s="516"/>
      <c r="EM1929" s="516"/>
      <c r="EN1929" s="516"/>
      <c r="EO1929" s="516"/>
      <c r="EP1929" s="516"/>
      <c r="EQ1929" s="516"/>
      <c r="ER1929" s="516"/>
      <c r="ES1929" s="516"/>
    </row>
    <row r="1930" spans="1:149" x14ac:dyDescent="0.3">
      <c r="A1930" s="531">
        <v>903955</v>
      </c>
      <c r="B1930" s="623">
        <v>8</v>
      </c>
      <c r="C1930" s="620"/>
      <c r="D1930" s="491">
        <v>8.49</v>
      </c>
      <c r="E1930" s="1557">
        <v>0.3</v>
      </c>
      <c r="F1930" s="624">
        <v>109.75</v>
      </c>
      <c r="G1930" s="142"/>
      <c r="H1930" s="624">
        <v>27.39</v>
      </c>
      <c r="I1930" s="491">
        <v>280</v>
      </c>
      <c r="J1930" s="491">
        <v>7.1999999999999995E-2</v>
      </c>
      <c r="K1930" s="491">
        <v>6.87</v>
      </c>
      <c r="L1930" s="491">
        <v>830</v>
      </c>
      <c r="M1930" s="491">
        <v>0.37</v>
      </c>
      <c r="N1930" s="491">
        <v>1.69</v>
      </c>
      <c r="O1930" s="491">
        <v>8.7200000000000006</v>
      </c>
      <c r="P1930" s="491">
        <v>2.69</v>
      </c>
      <c r="Q1930" s="491"/>
      <c r="R1930" s="626">
        <v>1.3474477379415539</v>
      </c>
      <c r="S1930" s="620">
        <v>9.1</v>
      </c>
      <c r="T1930" s="620"/>
      <c r="U1930" s="620"/>
      <c r="Y1930" s="67">
        <v>22</v>
      </c>
      <c r="Z1930" s="491"/>
      <c r="AA1930" s="68">
        <v>5</v>
      </c>
      <c r="AB1930" s="68">
        <v>0.36299999999999999</v>
      </c>
      <c r="AC1930" s="69">
        <v>8.4</v>
      </c>
      <c r="AD1930" s="621">
        <v>600</v>
      </c>
      <c r="AE1930" s="491">
        <v>320</v>
      </c>
      <c r="AF1930" s="491">
        <v>80</v>
      </c>
      <c r="AG1930" s="66">
        <f t="shared" si="79"/>
        <v>110.54454545454546</v>
      </c>
      <c r="AH1930" s="143">
        <f t="shared" si="80"/>
        <v>1000</v>
      </c>
      <c r="AI1930" s="516"/>
      <c r="AJ1930" s="516"/>
      <c r="AK1930" s="516"/>
      <c r="AL1930" s="516"/>
      <c r="AM1930" s="516"/>
      <c r="AN1930" s="516"/>
      <c r="AO1930" s="516"/>
      <c r="AP1930" s="516"/>
      <c r="AQ1930" s="516"/>
      <c r="AR1930" s="516"/>
      <c r="AS1930" s="516"/>
      <c r="AT1930" s="516"/>
      <c r="AU1930" s="516"/>
      <c r="AV1930" s="516"/>
      <c r="AW1930" s="516"/>
      <c r="AX1930" s="516"/>
      <c r="AY1930" s="516"/>
      <c r="AZ1930" s="516"/>
      <c r="BA1930" s="516"/>
      <c r="BB1930" s="516"/>
      <c r="BC1930" s="516"/>
      <c r="BD1930" s="516"/>
      <c r="BE1930" s="516"/>
      <c r="BF1930" s="516"/>
      <c r="BG1930" s="516"/>
      <c r="BH1930" s="516"/>
      <c r="BI1930" s="516"/>
      <c r="BJ1930" s="516"/>
      <c r="BK1930" s="516"/>
      <c r="BL1930" s="516"/>
      <c r="BM1930" s="516"/>
      <c r="BN1930" s="516"/>
      <c r="BO1930" s="516"/>
      <c r="BP1930" s="516"/>
      <c r="BQ1930" s="516"/>
      <c r="BR1930" s="516"/>
      <c r="BS1930" s="516"/>
      <c r="BT1930" s="516"/>
      <c r="BU1930" s="516"/>
      <c r="BV1930" s="516"/>
      <c r="BW1930" s="516"/>
      <c r="BX1930" s="516"/>
      <c r="BY1930" s="516"/>
      <c r="BZ1930" s="516"/>
      <c r="CA1930" s="516"/>
      <c r="CB1930" s="516"/>
      <c r="CC1930" s="516"/>
      <c r="CD1930" s="516"/>
      <c r="CE1930" s="516"/>
      <c r="CF1930" s="516"/>
      <c r="CG1930" s="516"/>
      <c r="CH1930" s="516"/>
      <c r="CI1930" s="516"/>
      <c r="CJ1930" s="516"/>
      <c r="CK1930" s="516"/>
      <c r="CL1930" s="516"/>
      <c r="CM1930" s="516"/>
      <c r="CN1930" s="516"/>
      <c r="CO1930" s="516"/>
      <c r="CP1930" s="516"/>
      <c r="CQ1930" s="516"/>
      <c r="CR1930" s="516"/>
      <c r="CS1930" s="516"/>
      <c r="CT1930" s="516"/>
      <c r="CU1930" s="516"/>
      <c r="CV1930" s="516"/>
      <c r="CW1930" s="516"/>
      <c r="CX1930" s="516"/>
      <c r="CY1930" s="516"/>
      <c r="CZ1930" s="516"/>
      <c r="DA1930" s="516"/>
      <c r="DB1930" s="516"/>
      <c r="DC1930" s="516"/>
      <c r="DD1930" s="516"/>
      <c r="DE1930" s="516"/>
      <c r="DF1930" s="516"/>
      <c r="DG1930" s="516"/>
      <c r="DH1930" s="516"/>
      <c r="DI1930" s="516"/>
      <c r="DJ1930" s="516"/>
      <c r="DK1930" s="516"/>
      <c r="DL1930" s="516"/>
      <c r="DM1930" s="516"/>
      <c r="DN1930" s="516"/>
      <c r="DO1930" s="516"/>
      <c r="DP1930" s="516"/>
      <c r="DQ1930" s="516"/>
      <c r="DR1930" s="516"/>
      <c r="DS1930" s="516"/>
      <c r="DT1930" s="516"/>
      <c r="DU1930" s="516"/>
      <c r="DV1930" s="516"/>
      <c r="DW1930" s="516"/>
      <c r="DX1930" s="516"/>
      <c r="DY1930" s="516"/>
      <c r="DZ1930" s="516"/>
      <c r="EA1930" s="516"/>
      <c r="EB1930" s="516"/>
      <c r="EC1930" s="516"/>
      <c r="ED1930" s="516"/>
      <c r="EE1930" s="516"/>
      <c r="EF1930" s="516"/>
      <c r="EG1930" s="516"/>
      <c r="EH1930" s="516"/>
      <c r="EI1930" s="516"/>
      <c r="EJ1930" s="516"/>
      <c r="EK1930" s="516"/>
      <c r="EL1930" s="516"/>
      <c r="EM1930" s="516"/>
      <c r="EN1930" s="516"/>
      <c r="EO1930" s="516"/>
      <c r="EP1930" s="516"/>
      <c r="EQ1930" s="516"/>
      <c r="ER1930" s="516"/>
      <c r="ES1930" s="516"/>
    </row>
    <row r="1931" spans="1:149" x14ac:dyDescent="0.3">
      <c r="A1931" s="531">
        <v>903956</v>
      </c>
      <c r="B1931" s="623">
        <v>68.7</v>
      </c>
      <c r="C1931" s="620">
        <v>16.5</v>
      </c>
      <c r="D1931" s="491">
        <v>8.4499999999999993</v>
      </c>
      <c r="E1931" s="1557">
        <v>0.13</v>
      </c>
      <c r="F1931" s="624">
        <v>22.7</v>
      </c>
      <c r="G1931" s="142"/>
      <c r="H1931" s="624">
        <v>3.92</v>
      </c>
      <c r="I1931" s="491">
        <v>80</v>
      </c>
      <c r="J1931" s="491">
        <v>0.01</v>
      </c>
      <c r="K1931" s="491">
        <v>10.94</v>
      </c>
      <c r="L1931" s="491">
        <v>160</v>
      </c>
      <c r="M1931" s="491">
        <v>0.1</v>
      </c>
      <c r="N1931" s="491">
        <v>0.22</v>
      </c>
      <c r="O1931" s="491">
        <v>4.9800000000000004</v>
      </c>
      <c r="P1931" s="491">
        <v>2.46</v>
      </c>
      <c r="Q1931" s="491"/>
      <c r="R1931" s="626">
        <v>1.6022000000000001</v>
      </c>
      <c r="S1931" s="620">
        <v>11</v>
      </c>
      <c r="T1931" s="620"/>
      <c r="U1931" s="620"/>
      <c r="Y1931" s="67">
        <v>26</v>
      </c>
      <c r="Z1931" s="491"/>
      <c r="AA1931" s="68">
        <v>3.77</v>
      </c>
      <c r="AB1931" s="68">
        <v>0.372</v>
      </c>
      <c r="AC1931" s="69">
        <v>8.8000000000000007</v>
      </c>
      <c r="AD1931" s="621">
        <v>520</v>
      </c>
      <c r="AE1931" s="491">
        <v>320</v>
      </c>
      <c r="AF1931" s="491">
        <v>160</v>
      </c>
      <c r="AG1931" s="66">
        <f t="shared" si="79"/>
        <v>148.95230769230767</v>
      </c>
      <c r="AH1931" s="143">
        <f t="shared" si="80"/>
        <v>1000</v>
      </c>
      <c r="AI1931" s="516"/>
      <c r="AJ1931" s="516"/>
      <c r="AK1931" s="516"/>
      <c r="AL1931" s="516"/>
      <c r="AM1931" s="516"/>
      <c r="AN1931" s="516"/>
      <c r="AO1931" s="516"/>
      <c r="AP1931" s="516"/>
      <c r="AQ1931" s="516"/>
      <c r="AR1931" s="516"/>
      <c r="AS1931" s="516"/>
      <c r="AT1931" s="516"/>
      <c r="AU1931" s="516"/>
      <c r="AV1931" s="516"/>
      <c r="AW1931" s="516"/>
      <c r="AX1931" s="516"/>
      <c r="AY1931" s="516"/>
      <c r="AZ1931" s="516"/>
      <c r="BA1931" s="516"/>
      <c r="BB1931" s="516"/>
      <c r="BC1931" s="516"/>
      <c r="BD1931" s="516"/>
      <c r="BE1931" s="516"/>
      <c r="BF1931" s="516"/>
      <c r="BG1931" s="516"/>
      <c r="BH1931" s="516"/>
      <c r="BI1931" s="516"/>
      <c r="BJ1931" s="516"/>
      <c r="BK1931" s="516"/>
      <c r="BL1931" s="516"/>
      <c r="BM1931" s="516"/>
      <c r="BN1931" s="516"/>
      <c r="BO1931" s="516"/>
      <c r="BP1931" s="516"/>
      <c r="BQ1931" s="516"/>
      <c r="BR1931" s="516"/>
      <c r="BS1931" s="516"/>
      <c r="BT1931" s="516"/>
      <c r="BU1931" s="516"/>
      <c r="BV1931" s="516"/>
      <c r="BW1931" s="516"/>
      <c r="BX1931" s="516"/>
      <c r="BY1931" s="516"/>
      <c r="BZ1931" s="516"/>
      <c r="CA1931" s="516"/>
      <c r="CB1931" s="516"/>
      <c r="CC1931" s="516"/>
      <c r="CD1931" s="516"/>
      <c r="CE1931" s="516"/>
      <c r="CF1931" s="516"/>
      <c r="CG1931" s="516"/>
      <c r="CH1931" s="516"/>
      <c r="CI1931" s="516"/>
      <c r="CJ1931" s="516"/>
      <c r="CK1931" s="516"/>
      <c r="CL1931" s="516"/>
      <c r="CM1931" s="516"/>
      <c r="CN1931" s="516"/>
      <c r="CO1931" s="516"/>
      <c r="CP1931" s="516"/>
      <c r="CQ1931" s="516"/>
      <c r="CR1931" s="516"/>
      <c r="CS1931" s="516"/>
      <c r="CT1931" s="516"/>
      <c r="CU1931" s="516"/>
      <c r="CV1931" s="516"/>
      <c r="CW1931" s="516"/>
      <c r="CX1931" s="516"/>
      <c r="CY1931" s="516"/>
      <c r="CZ1931" s="516"/>
      <c r="DA1931" s="516"/>
      <c r="DB1931" s="516"/>
      <c r="DC1931" s="516"/>
      <c r="DD1931" s="516"/>
      <c r="DE1931" s="516"/>
      <c r="DF1931" s="516"/>
      <c r="DG1931" s="516"/>
      <c r="DH1931" s="516"/>
      <c r="DI1931" s="516"/>
      <c r="DJ1931" s="516"/>
      <c r="DK1931" s="516"/>
      <c r="DL1931" s="516"/>
      <c r="DM1931" s="516"/>
      <c r="DN1931" s="516"/>
      <c r="DO1931" s="516"/>
      <c r="DP1931" s="516"/>
      <c r="DQ1931" s="516"/>
      <c r="DR1931" s="516"/>
      <c r="DS1931" s="516"/>
      <c r="DT1931" s="516"/>
      <c r="DU1931" s="516"/>
      <c r="DV1931" s="516"/>
      <c r="DW1931" s="516"/>
      <c r="DX1931" s="516"/>
      <c r="DY1931" s="516"/>
      <c r="DZ1931" s="516"/>
      <c r="EA1931" s="516"/>
      <c r="EB1931" s="516"/>
      <c r="EC1931" s="516"/>
      <c r="ED1931" s="516"/>
      <c r="EE1931" s="516"/>
      <c r="EF1931" s="516"/>
      <c r="EG1931" s="516"/>
      <c r="EH1931" s="516"/>
      <c r="EI1931" s="516"/>
      <c r="EJ1931" s="516"/>
      <c r="EK1931" s="516"/>
      <c r="EL1931" s="516"/>
      <c r="EM1931" s="516"/>
      <c r="EN1931" s="516"/>
      <c r="EO1931" s="516"/>
      <c r="EP1931" s="516"/>
      <c r="EQ1931" s="516"/>
      <c r="ER1931" s="516"/>
      <c r="ES1931" s="516"/>
    </row>
    <row r="1932" spans="1:149" s="593" customFormat="1" x14ac:dyDescent="0.3">
      <c r="A1932" s="588">
        <v>903957</v>
      </c>
      <c r="B1932" s="589">
        <v>28.999999999999996</v>
      </c>
      <c r="C1932" s="589">
        <v>10.5</v>
      </c>
      <c r="D1932" s="590">
        <v>8.2100000000000009</v>
      </c>
      <c r="E1932" s="1558">
        <v>0.5</v>
      </c>
      <c r="F1932" s="594">
        <v>176.8</v>
      </c>
      <c r="G1932" s="590"/>
      <c r="H1932" s="597">
        <v>288.49</v>
      </c>
      <c r="I1932" s="590">
        <v>470</v>
      </c>
      <c r="J1932" s="590">
        <v>0.252</v>
      </c>
      <c r="K1932" s="595">
        <v>8.94</v>
      </c>
      <c r="L1932" s="590">
        <v>1740</v>
      </c>
      <c r="M1932" s="590">
        <v>1.28</v>
      </c>
      <c r="N1932" s="590">
        <v>1.94</v>
      </c>
      <c r="O1932" s="590">
        <v>4.08</v>
      </c>
      <c r="P1932" s="590">
        <v>9.3699999999999992</v>
      </c>
      <c r="Q1932" s="590"/>
      <c r="R1932" s="591">
        <v>1.9165770000000002</v>
      </c>
      <c r="S1932" s="589">
        <v>20.7</v>
      </c>
      <c r="T1932" s="590"/>
      <c r="U1932" s="590"/>
      <c r="V1932" s="590"/>
      <c r="W1932" s="590"/>
      <c r="X1932" s="590"/>
      <c r="Y1932" s="67">
        <v>34.799999999999997</v>
      </c>
      <c r="Z1932" s="590"/>
      <c r="AA1932" s="68">
        <v>4.76</v>
      </c>
      <c r="AB1932" s="68">
        <v>0.46700000000000003</v>
      </c>
      <c r="AC1932" s="69">
        <v>7</v>
      </c>
      <c r="AD1932" s="592">
        <v>540</v>
      </c>
      <c r="AE1932" s="590">
        <f>1000-(AD1932+AF1932)</f>
        <v>270</v>
      </c>
      <c r="AF1932" s="590">
        <v>190</v>
      </c>
      <c r="AG1932" s="66">
        <f t="shared" si="79"/>
        <v>90.941379310344828</v>
      </c>
      <c r="AH1932" s="143">
        <f t="shared" si="80"/>
        <v>1000</v>
      </c>
    </row>
    <row r="1933" spans="1:149" s="593" customFormat="1" x14ac:dyDescent="0.3">
      <c r="A1933" s="588">
        <v>903958</v>
      </c>
      <c r="B1933" s="589">
        <v>9.25</v>
      </c>
      <c r="C1933" s="589"/>
      <c r="D1933" s="590">
        <v>8.59</v>
      </c>
      <c r="E1933" s="1558">
        <v>0.186</v>
      </c>
      <c r="F1933" s="594">
        <v>64.3</v>
      </c>
      <c r="G1933" s="590"/>
      <c r="H1933" s="597">
        <v>71.28</v>
      </c>
      <c r="I1933" s="590">
        <v>160</v>
      </c>
      <c r="J1933" s="590">
        <v>5.6000000000000001E-2</v>
      </c>
      <c r="K1933" s="595">
        <v>8.75</v>
      </c>
      <c r="L1933" s="590">
        <v>530</v>
      </c>
      <c r="M1933" s="590">
        <v>1.2</v>
      </c>
      <c r="N1933" s="590">
        <v>0.95</v>
      </c>
      <c r="O1933" s="590">
        <v>4.25</v>
      </c>
      <c r="P1933" s="590">
        <v>3.59</v>
      </c>
      <c r="Q1933" s="590"/>
      <c r="R1933" s="591">
        <v>1.1322846272129643</v>
      </c>
      <c r="S1933" s="589">
        <v>7.9</v>
      </c>
      <c r="T1933" s="590"/>
      <c r="U1933" s="590"/>
      <c r="V1933" s="590"/>
      <c r="W1933" s="590"/>
      <c r="X1933" s="590"/>
      <c r="Y1933" s="67">
        <v>22</v>
      </c>
      <c r="Z1933" s="590"/>
      <c r="AA1933" s="68">
        <v>3.95</v>
      </c>
      <c r="AB1933" s="68">
        <v>0.57199999999999995</v>
      </c>
      <c r="AC1933" s="69">
        <v>10.1</v>
      </c>
      <c r="AD1933" s="592">
        <v>440</v>
      </c>
      <c r="AE1933" s="590">
        <f t="shared" ref="AE1933:AE1941" si="81">1000-(AD1933+AF1933)</f>
        <v>220</v>
      </c>
      <c r="AF1933" s="590">
        <v>340</v>
      </c>
      <c r="AG1933" s="66">
        <f t="shared" si="79"/>
        <v>140.79545454545453</v>
      </c>
      <c r="AH1933" s="143">
        <f t="shared" si="80"/>
        <v>1000</v>
      </c>
    </row>
    <row r="1934" spans="1:149" s="593" customFormat="1" x14ac:dyDescent="0.3">
      <c r="A1934" s="588">
        <v>903959</v>
      </c>
      <c r="B1934" s="589">
        <v>9.7499999999999982</v>
      </c>
      <c r="C1934" s="589"/>
      <c r="D1934" s="590">
        <v>8.3000000000000007</v>
      </c>
      <c r="E1934" s="1558">
        <v>1.0429999999999999</v>
      </c>
      <c r="F1934" s="594">
        <v>435.85</v>
      </c>
      <c r="G1934" s="590">
        <v>669.30000000000007</v>
      </c>
      <c r="H1934" s="597">
        <v>432.18</v>
      </c>
      <c r="I1934" s="590">
        <v>1260</v>
      </c>
      <c r="J1934" s="590">
        <v>0.46200000000000002</v>
      </c>
      <c r="K1934" s="595">
        <v>10.43</v>
      </c>
      <c r="L1934" s="590">
        <v>1010</v>
      </c>
      <c r="M1934" s="590">
        <v>8.75</v>
      </c>
      <c r="N1934" s="590">
        <v>0.98</v>
      </c>
      <c r="O1934" s="590">
        <v>4.59</v>
      </c>
      <c r="P1934" s="590">
        <v>6.03</v>
      </c>
      <c r="Q1934" s="590"/>
      <c r="R1934" s="591">
        <v>1.716993</v>
      </c>
      <c r="S1934" s="589">
        <v>14.1</v>
      </c>
      <c r="T1934" s="590"/>
      <c r="U1934" s="590"/>
      <c r="V1934" s="590"/>
      <c r="W1934" s="590"/>
      <c r="X1934" s="590"/>
      <c r="Y1934" s="67">
        <v>26</v>
      </c>
      <c r="Z1934" s="590"/>
      <c r="AA1934" s="68">
        <v>3.86</v>
      </c>
      <c r="AB1934" s="68">
        <v>0.67300000000000004</v>
      </c>
      <c r="AC1934" s="69">
        <v>9.9</v>
      </c>
      <c r="AD1934" s="592">
        <v>520</v>
      </c>
      <c r="AE1934" s="590">
        <f t="shared" si="81"/>
        <v>280</v>
      </c>
      <c r="AF1934" s="590">
        <v>200</v>
      </c>
      <c r="AG1934" s="66">
        <f t="shared" si="79"/>
        <v>142.00846153846152</v>
      </c>
      <c r="AH1934" s="143">
        <f t="shared" si="80"/>
        <v>1000</v>
      </c>
    </row>
    <row r="1935" spans="1:149" s="593" customFormat="1" x14ac:dyDescent="0.3">
      <c r="A1935" s="588">
        <v>903960</v>
      </c>
      <c r="B1935" s="589">
        <v>6.708333333333333</v>
      </c>
      <c r="C1935" s="589"/>
      <c r="D1935" s="590">
        <v>8.33</v>
      </c>
      <c r="E1935" s="1558">
        <v>0.55600000000000005</v>
      </c>
      <c r="F1935" s="594">
        <v>211.95</v>
      </c>
      <c r="G1935" s="590">
        <v>358.7</v>
      </c>
      <c r="H1935" s="597">
        <v>332.59</v>
      </c>
      <c r="I1935" s="590">
        <v>740</v>
      </c>
      <c r="J1935" s="590">
        <v>0.19</v>
      </c>
      <c r="K1935" s="595">
        <v>8.49</v>
      </c>
      <c r="L1935" s="590">
        <v>850</v>
      </c>
      <c r="M1935" s="590">
        <v>6.79</v>
      </c>
      <c r="N1935" s="590">
        <v>1.2</v>
      </c>
      <c r="O1935" s="590">
        <v>6.66</v>
      </c>
      <c r="P1935" s="590">
        <v>5.14</v>
      </c>
      <c r="Q1935" s="590"/>
      <c r="R1935" s="591">
        <v>1.6704920000000001</v>
      </c>
      <c r="S1935" s="589">
        <v>12.8</v>
      </c>
      <c r="T1935" s="590"/>
      <c r="U1935" s="590"/>
      <c r="V1935" s="590"/>
      <c r="W1935" s="590"/>
      <c r="X1935" s="590"/>
      <c r="Y1935" s="67">
        <v>26.5</v>
      </c>
      <c r="Z1935" s="590"/>
      <c r="AA1935" s="68">
        <v>4.32</v>
      </c>
      <c r="AB1935" s="68">
        <v>0.432</v>
      </c>
      <c r="AC1935" s="69">
        <v>6.6</v>
      </c>
      <c r="AD1935" s="592">
        <v>530</v>
      </c>
      <c r="AE1935" s="590">
        <f t="shared" si="81"/>
        <v>230</v>
      </c>
      <c r="AF1935" s="590">
        <v>240</v>
      </c>
      <c r="AG1935" s="66">
        <f t="shared" si="79"/>
        <v>113.41358490566037</v>
      </c>
      <c r="AH1935" s="143">
        <f t="shared" si="80"/>
        <v>1000</v>
      </c>
    </row>
    <row r="1936" spans="1:149" s="593" customFormat="1" x14ac:dyDescent="0.3">
      <c r="A1936" s="588">
        <v>903961</v>
      </c>
      <c r="B1936" s="589">
        <v>7.5833333333333321</v>
      </c>
      <c r="C1936" s="589"/>
      <c r="D1936" s="590">
        <v>8.36</v>
      </c>
      <c r="E1936" s="1558">
        <v>0.63</v>
      </c>
      <c r="F1936" s="594">
        <v>246.8</v>
      </c>
      <c r="G1936" s="590">
        <v>424.4</v>
      </c>
      <c r="H1936" s="597">
        <v>428.45</v>
      </c>
      <c r="I1936" s="590">
        <v>1060</v>
      </c>
      <c r="J1936" s="590">
        <v>0.221</v>
      </c>
      <c r="K1936" s="595">
        <v>8.51</v>
      </c>
      <c r="L1936" s="590">
        <v>910</v>
      </c>
      <c r="M1936" s="590">
        <v>5.83</v>
      </c>
      <c r="N1936" s="590">
        <v>1.17</v>
      </c>
      <c r="O1936" s="590">
        <v>6.34</v>
      </c>
      <c r="P1936" s="590">
        <v>6.55</v>
      </c>
      <c r="Q1936" s="590"/>
      <c r="R1936" s="591">
        <v>1.7135000000000002</v>
      </c>
      <c r="S1936" s="589">
        <v>14</v>
      </c>
      <c r="T1936" s="590"/>
      <c r="U1936" s="590"/>
      <c r="V1936" s="590"/>
      <c r="W1936" s="590"/>
      <c r="X1936" s="590"/>
      <c r="Y1936" s="67">
        <v>31.2</v>
      </c>
      <c r="Z1936" s="590"/>
      <c r="AA1936" s="68">
        <v>3.69</v>
      </c>
      <c r="AB1936" s="68">
        <v>0.85299999999999998</v>
      </c>
      <c r="AC1936" s="69">
        <v>9.3000000000000007</v>
      </c>
      <c r="AD1936" s="592">
        <v>520</v>
      </c>
      <c r="AE1936" s="590">
        <f t="shared" si="81"/>
        <v>220</v>
      </c>
      <c r="AF1936" s="590">
        <v>260</v>
      </c>
      <c r="AG1936" s="66">
        <f t="shared" si="79"/>
        <v>96.555769230769229</v>
      </c>
      <c r="AH1936" s="143">
        <f t="shared" si="80"/>
        <v>1000</v>
      </c>
    </row>
    <row r="1937" spans="1:34" s="593" customFormat="1" x14ac:dyDescent="0.3">
      <c r="A1937" s="588">
        <v>903962</v>
      </c>
      <c r="B1937" s="589">
        <v>0.93333333333333324</v>
      </c>
      <c r="C1937" s="589"/>
      <c r="D1937" s="590">
        <v>8.23</v>
      </c>
      <c r="E1937" s="1558">
        <v>0.49</v>
      </c>
      <c r="F1937" s="594">
        <v>205.35</v>
      </c>
      <c r="G1937" s="590">
        <v>336.59999999999997</v>
      </c>
      <c r="H1937" s="597">
        <v>294.44</v>
      </c>
      <c r="I1937" s="590">
        <v>860</v>
      </c>
      <c r="J1937" s="590">
        <v>0.18</v>
      </c>
      <c r="K1937" s="595">
        <v>5.35</v>
      </c>
      <c r="L1937" s="590">
        <v>920</v>
      </c>
      <c r="M1937" s="590">
        <v>3.12</v>
      </c>
      <c r="N1937" s="590">
        <v>1.33</v>
      </c>
      <c r="O1937" s="590">
        <v>14.96</v>
      </c>
      <c r="P1937" s="590">
        <v>10.77</v>
      </c>
      <c r="Q1937" s="590"/>
      <c r="R1937" s="591">
        <v>1.802897</v>
      </c>
      <c r="S1937" s="589">
        <v>16.7</v>
      </c>
      <c r="T1937" s="590"/>
      <c r="U1937" s="590"/>
      <c r="V1937" s="590"/>
      <c r="W1937" s="590"/>
      <c r="X1937" s="590"/>
      <c r="Y1937" s="67">
        <v>20</v>
      </c>
      <c r="Z1937" s="590"/>
      <c r="AA1937" s="68">
        <v>4.78</v>
      </c>
      <c r="AB1937" s="68">
        <v>0.59</v>
      </c>
      <c r="AC1937" s="69">
        <v>7.5</v>
      </c>
      <c r="AD1937" s="592">
        <v>420</v>
      </c>
      <c r="AE1937" s="590">
        <f t="shared" si="81"/>
        <v>220</v>
      </c>
      <c r="AF1937" s="590">
        <v>360</v>
      </c>
      <c r="AG1937" s="66">
        <f t="shared" si="79"/>
        <v>94.695000000000007</v>
      </c>
      <c r="AH1937" s="143">
        <f t="shared" si="80"/>
        <v>1000</v>
      </c>
    </row>
    <row r="1938" spans="1:34" s="593" customFormat="1" x14ac:dyDescent="0.3">
      <c r="A1938" s="588">
        <v>903963</v>
      </c>
      <c r="B1938" s="589">
        <v>11.541666666666666</v>
      </c>
      <c r="C1938" s="589">
        <v>4</v>
      </c>
      <c r="D1938" s="595">
        <v>8.3000000000000007</v>
      </c>
      <c r="E1938" s="1558">
        <v>0.84</v>
      </c>
      <c r="F1938" s="594">
        <v>396.5</v>
      </c>
      <c r="G1938" s="590">
        <v>487.59999999999997</v>
      </c>
      <c r="H1938" s="597">
        <v>489.86</v>
      </c>
      <c r="I1938" s="590">
        <v>1410</v>
      </c>
      <c r="J1938" s="590">
        <v>0.245</v>
      </c>
      <c r="K1938" s="596">
        <v>8.15</v>
      </c>
      <c r="L1938" s="590">
        <v>1310</v>
      </c>
      <c r="M1938" s="591">
        <v>6.8</v>
      </c>
      <c r="N1938" s="590">
        <v>1.28</v>
      </c>
      <c r="O1938" s="590">
        <v>16.649999999999999</v>
      </c>
      <c r="P1938" s="590">
        <v>7.33</v>
      </c>
      <c r="Q1938" s="590"/>
      <c r="R1938" s="591">
        <v>2.0450970000000002</v>
      </c>
      <c r="S1938" s="589">
        <v>26.7</v>
      </c>
      <c r="T1938" s="590"/>
      <c r="U1938" s="590"/>
      <c r="V1938" s="590"/>
      <c r="W1938" s="590"/>
      <c r="X1938" s="590"/>
      <c r="Y1938" s="67">
        <v>29.2</v>
      </c>
      <c r="Z1938" s="590"/>
      <c r="AA1938" s="68">
        <v>4.8899999999999997</v>
      </c>
      <c r="AB1938" s="68">
        <v>0.56999999999999995</v>
      </c>
      <c r="AC1938" s="69">
        <v>6</v>
      </c>
      <c r="AD1938" s="592">
        <v>560</v>
      </c>
      <c r="AE1938" s="590">
        <f t="shared" si="81"/>
        <v>300</v>
      </c>
      <c r="AF1938" s="590">
        <v>140</v>
      </c>
      <c r="AG1938" s="66">
        <f t="shared" si="79"/>
        <v>98.804794520547958</v>
      </c>
      <c r="AH1938" s="143">
        <f t="shared" si="80"/>
        <v>1000</v>
      </c>
    </row>
    <row r="1939" spans="1:34" s="593" customFormat="1" x14ac:dyDescent="0.3">
      <c r="A1939" s="588">
        <v>903964</v>
      </c>
      <c r="B1939" s="589">
        <v>3.3333333333333335</v>
      </c>
      <c r="C1939" s="589"/>
      <c r="D1939" s="595">
        <v>8.6300000000000008</v>
      </c>
      <c r="E1939" s="1558">
        <v>0.51800000000000002</v>
      </c>
      <c r="F1939" s="594">
        <v>200.85000000000002</v>
      </c>
      <c r="G1939" s="590">
        <v>294.05</v>
      </c>
      <c r="H1939" s="597">
        <v>191.42</v>
      </c>
      <c r="I1939" s="590">
        <v>720</v>
      </c>
      <c r="J1939" s="590">
        <v>0.15</v>
      </c>
      <c r="K1939" s="596">
        <v>7.3</v>
      </c>
      <c r="L1939" s="590">
        <v>720</v>
      </c>
      <c r="M1939" s="590">
        <v>4.53</v>
      </c>
      <c r="N1939" s="590">
        <v>0.88</v>
      </c>
      <c r="O1939" s="590">
        <v>6.67</v>
      </c>
      <c r="P1939" s="590">
        <v>7.91</v>
      </c>
      <c r="Q1939" s="590"/>
      <c r="R1939" s="591">
        <v>1.5744170000000002</v>
      </c>
      <c r="S1939" s="589">
        <v>10.3</v>
      </c>
      <c r="T1939" s="590"/>
      <c r="U1939" s="590"/>
      <c r="V1939" s="590"/>
      <c r="W1939" s="590"/>
      <c r="X1939" s="590"/>
      <c r="Y1939" s="67">
        <v>27.8</v>
      </c>
      <c r="Z1939" s="590"/>
      <c r="AA1939" s="68">
        <v>4.07</v>
      </c>
      <c r="AB1939" s="68">
        <v>0.85</v>
      </c>
      <c r="AC1939" s="69">
        <v>10.9</v>
      </c>
      <c r="AD1939" s="592">
        <v>540</v>
      </c>
      <c r="AE1939" s="590">
        <f t="shared" si="81"/>
        <v>330</v>
      </c>
      <c r="AF1939" s="590">
        <v>130</v>
      </c>
      <c r="AG1939" s="66">
        <f t="shared" si="79"/>
        <v>92.956834532374089</v>
      </c>
      <c r="AH1939" s="143">
        <f t="shared" si="80"/>
        <v>1000</v>
      </c>
    </row>
    <row r="1940" spans="1:34" s="593" customFormat="1" x14ac:dyDescent="0.3">
      <c r="A1940" s="588">
        <v>903965</v>
      </c>
      <c r="B1940" s="589">
        <v>3.083333333333333</v>
      </c>
      <c r="C1940" s="589"/>
      <c r="D1940" s="595">
        <v>8.7100000000000009</v>
      </c>
      <c r="E1940" s="1558">
        <v>0.373</v>
      </c>
      <c r="F1940" s="594">
        <v>141.94999999999999</v>
      </c>
      <c r="G1940" s="590">
        <v>199.8</v>
      </c>
      <c r="H1940" s="597">
        <v>192.46</v>
      </c>
      <c r="I1940" s="590">
        <v>510</v>
      </c>
      <c r="J1940" s="590">
        <v>0.14099999999999999</v>
      </c>
      <c r="K1940" s="596">
        <v>6.8</v>
      </c>
      <c r="L1940" s="590">
        <v>660</v>
      </c>
      <c r="M1940" s="590">
        <v>3.14</v>
      </c>
      <c r="N1940" s="590">
        <v>0.81</v>
      </c>
      <c r="O1940" s="590">
        <v>4.96</v>
      </c>
      <c r="P1940" s="591">
        <v>7.1</v>
      </c>
      <c r="Q1940" s="590"/>
      <c r="R1940" s="591">
        <v>1.5982730000000001</v>
      </c>
      <c r="S1940" s="589">
        <v>10.9</v>
      </c>
      <c r="T1940" s="590"/>
      <c r="U1940" s="590"/>
      <c r="V1940" s="590"/>
      <c r="W1940" s="590"/>
      <c r="X1940" s="590"/>
      <c r="Y1940" s="67">
        <v>25.4</v>
      </c>
      <c r="Z1940" s="590"/>
      <c r="AA1940" s="68">
        <v>4.8</v>
      </c>
      <c r="AB1940" s="68">
        <v>0.65700000000000003</v>
      </c>
      <c r="AC1940" s="69">
        <v>10.6</v>
      </c>
      <c r="AD1940" s="592">
        <v>540</v>
      </c>
      <c r="AE1940" s="590">
        <f t="shared" si="81"/>
        <v>320</v>
      </c>
      <c r="AF1940" s="590">
        <v>140</v>
      </c>
      <c r="AG1940" s="66">
        <f t="shared" si="79"/>
        <v>94.771653543307082</v>
      </c>
      <c r="AH1940" s="143">
        <f t="shared" si="80"/>
        <v>1000</v>
      </c>
    </row>
    <row r="1941" spans="1:34" s="593" customFormat="1" x14ac:dyDescent="0.3">
      <c r="A1941" s="588">
        <v>903966</v>
      </c>
      <c r="B1941" s="589">
        <v>3.1388888888888884</v>
      </c>
      <c r="C1941" s="589"/>
      <c r="D1941" s="595">
        <v>8.91</v>
      </c>
      <c r="E1941" s="1558">
        <v>0.76200000000000001</v>
      </c>
      <c r="F1941" s="594">
        <v>362.04999999999995</v>
      </c>
      <c r="G1941" s="590">
        <v>377.15000000000003</v>
      </c>
      <c r="H1941" s="597">
        <v>251.04</v>
      </c>
      <c r="I1941" s="590">
        <v>1290</v>
      </c>
      <c r="J1941" s="590">
        <v>0.25900000000000001</v>
      </c>
      <c r="K1941" s="596">
        <v>7.53</v>
      </c>
      <c r="L1941" s="590">
        <v>840</v>
      </c>
      <c r="M1941" s="590">
        <v>3.84</v>
      </c>
      <c r="N1941" s="590">
        <v>0.95</v>
      </c>
      <c r="O1941" s="590">
        <v>7.49</v>
      </c>
      <c r="P1941" s="590">
        <v>4.74</v>
      </c>
      <c r="Q1941" s="590"/>
      <c r="R1941" s="591">
        <v>1.6407</v>
      </c>
      <c r="S1941" s="589">
        <v>12</v>
      </c>
      <c r="T1941" s="590"/>
      <c r="U1941" s="590"/>
      <c r="V1941" s="590"/>
      <c r="W1941" s="590"/>
      <c r="X1941" s="590"/>
      <c r="Y1941" s="67">
        <v>27.5</v>
      </c>
      <c r="Z1941" s="590"/>
      <c r="AA1941" s="68">
        <v>4.26</v>
      </c>
      <c r="AB1941" s="68">
        <v>0.79900000000000004</v>
      </c>
      <c r="AC1941" s="69">
        <v>10.199999999999999</v>
      </c>
      <c r="AD1941" s="592">
        <v>550</v>
      </c>
      <c r="AE1941" s="590">
        <f t="shared" si="81"/>
        <v>310</v>
      </c>
      <c r="AF1941" s="590">
        <v>140</v>
      </c>
      <c r="AG1941" s="66">
        <f t="shared" si="79"/>
        <v>96.931636363636372</v>
      </c>
      <c r="AH1941" s="143">
        <f t="shared" si="80"/>
        <v>1000</v>
      </c>
    </row>
    <row r="1942" spans="1:34" s="598" customFormat="1" x14ac:dyDescent="0.3">
      <c r="A1942" s="598">
        <v>903967</v>
      </c>
      <c r="B1942" s="599">
        <v>6.5</v>
      </c>
      <c r="C1942" s="599"/>
      <c r="D1942" s="600">
        <v>8.5</v>
      </c>
      <c r="E1942" s="1559">
        <v>0.47099999999999997</v>
      </c>
      <c r="F1942" s="601">
        <v>297.10000000000002</v>
      </c>
      <c r="H1942" s="601">
        <v>47.25</v>
      </c>
      <c r="I1942" s="601">
        <f>0.16*1000</f>
        <v>160</v>
      </c>
      <c r="J1942" s="602">
        <v>0.28299999999999997</v>
      </c>
      <c r="K1942" s="599">
        <v>6.18</v>
      </c>
      <c r="L1942" s="598">
        <f>0.06*1000</f>
        <v>60</v>
      </c>
      <c r="M1942" s="598">
        <v>1.69</v>
      </c>
      <c r="N1942" s="598">
        <v>1.04</v>
      </c>
      <c r="O1942" s="598">
        <v>0.19</v>
      </c>
      <c r="P1942" s="598">
        <v>1.58</v>
      </c>
      <c r="R1942" s="600">
        <v>0.69012762230339808</v>
      </c>
      <c r="S1942" s="599">
        <v>4.5</v>
      </c>
      <c r="Y1942" s="599">
        <f ca="1">RANDBETWEEN(5,7)*AD1942/100</f>
        <v>4.2</v>
      </c>
      <c r="AA1942" s="68"/>
      <c r="AB1942" s="68"/>
      <c r="AC1942" s="69"/>
      <c r="AD1942" s="598">
        <v>60</v>
      </c>
      <c r="AE1942" s="598">
        <v>60</v>
      </c>
      <c r="AF1942" s="598">
        <v>880</v>
      </c>
      <c r="AG1942" s="66">
        <f t="shared" ca="1" si="79"/>
        <v>520.88571428571424</v>
      </c>
      <c r="AH1942" s="143">
        <f t="shared" si="80"/>
        <v>1000</v>
      </c>
    </row>
    <row r="1943" spans="1:34" s="598" customFormat="1" x14ac:dyDescent="0.3">
      <c r="A1943" s="598">
        <v>903968</v>
      </c>
      <c r="B1943" s="599"/>
      <c r="C1943" s="601"/>
      <c r="D1943" s="601"/>
      <c r="E1943" s="1559"/>
      <c r="F1943" s="601"/>
      <c r="H1943" s="601">
        <f>238.49*2</f>
        <v>476.98</v>
      </c>
      <c r="I1943" s="601"/>
      <c r="J1943" s="602"/>
      <c r="K1943" s="599"/>
      <c r="R1943" s="600"/>
      <c r="S1943" s="599"/>
      <c r="Y1943" s="599"/>
      <c r="AA1943" s="68"/>
      <c r="AB1943" s="68"/>
      <c r="AC1943" s="69"/>
      <c r="AG1943" s="66" t="e">
        <f t="shared" si="79"/>
        <v>#DIV/0!</v>
      </c>
      <c r="AH1943" s="143">
        <f t="shared" si="80"/>
        <v>0</v>
      </c>
    </row>
    <row r="1944" spans="1:34" s="681" customFormat="1" x14ac:dyDescent="0.3">
      <c r="A1944" s="678">
        <v>903969</v>
      </c>
      <c r="B1944" s="679">
        <v>1.2833333333333334</v>
      </c>
      <c r="C1944" s="679"/>
      <c r="D1944" s="680">
        <v>8</v>
      </c>
      <c r="E1944" s="1560">
        <v>0.3</v>
      </c>
      <c r="F1944" s="679">
        <v>132.30000000000001</v>
      </c>
      <c r="H1944" s="679">
        <v>5.36</v>
      </c>
      <c r="I1944" s="682">
        <v>100</v>
      </c>
      <c r="J1944" s="683">
        <v>0.23100000000000001</v>
      </c>
      <c r="K1944" s="679">
        <v>7.53</v>
      </c>
      <c r="L1944" s="681">
        <v>280</v>
      </c>
      <c r="M1944" s="681">
        <v>0.19</v>
      </c>
      <c r="N1944" s="681">
        <v>0.28000000000000003</v>
      </c>
      <c r="O1944" s="681">
        <v>1.74</v>
      </c>
      <c r="P1944" s="681">
        <v>3.36</v>
      </c>
      <c r="R1944" s="680">
        <v>1.586408</v>
      </c>
      <c r="S1944" s="679">
        <v>10.600000000000001</v>
      </c>
      <c r="T1944"/>
      <c r="Y1944" s="679">
        <v>12</v>
      </c>
      <c r="AA1944" s="680">
        <v>3.6</v>
      </c>
      <c r="AB1944" s="680">
        <v>0.51300000000000001</v>
      </c>
      <c r="AC1944" s="681">
        <v>7.7</v>
      </c>
      <c r="AD1944" s="684">
        <v>240</v>
      </c>
      <c r="AE1944" s="684">
        <v>200</v>
      </c>
      <c r="AF1944" s="684">
        <v>560</v>
      </c>
      <c r="AG1944" s="66">
        <f t="shared" si="79"/>
        <v>222.13500000000002</v>
      </c>
      <c r="AH1944" s="143">
        <f t="shared" si="80"/>
        <v>1000</v>
      </c>
    </row>
    <row r="1945" spans="1:34" s="681" customFormat="1" x14ac:dyDescent="0.3">
      <c r="A1945" s="678">
        <v>903970</v>
      </c>
      <c r="B1945" s="679">
        <v>2.1999999999999997</v>
      </c>
      <c r="C1945" s="679"/>
      <c r="D1945" s="680">
        <v>8.08</v>
      </c>
      <c r="E1945" s="1560">
        <v>0.35399999999999998</v>
      </c>
      <c r="F1945" s="679">
        <v>193.45</v>
      </c>
      <c r="H1945" s="679">
        <v>7.96</v>
      </c>
      <c r="I1945" s="682">
        <v>110</v>
      </c>
      <c r="J1945" s="683">
        <v>0.224</v>
      </c>
      <c r="K1945" s="679">
        <v>7.94</v>
      </c>
      <c r="L1945" s="681">
        <v>320</v>
      </c>
      <c r="M1945" s="681">
        <v>0.26</v>
      </c>
      <c r="N1945" s="681">
        <v>0.3</v>
      </c>
      <c r="O1945" s="681">
        <v>2.95</v>
      </c>
      <c r="P1945" s="681">
        <v>3.22</v>
      </c>
      <c r="R1945" s="680">
        <v>1.6594250000000001</v>
      </c>
      <c r="S1945" s="679">
        <v>12.5</v>
      </c>
      <c r="T1945"/>
      <c r="Y1945" s="679">
        <v>11</v>
      </c>
      <c r="AA1945" s="680">
        <v>4.59</v>
      </c>
      <c r="AB1945" s="680">
        <v>0.36799999999999999</v>
      </c>
      <c r="AC1945" s="681">
        <v>10.5</v>
      </c>
      <c r="AD1945" s="684">
        <v>220</v>
      </c>
      <c r="AE1945" s="684">
        <v>180</v>
      </c>
      <c r="AF1945" s="684">
        <v>600</v>
      </c>
      <c r="AG1945" s="66">
        <f t="shared" si="79"/>
        <v>255.52363636363637</v>
      </c>
      <c r="AH1945" s="143">
        <f t="shared" si="80"/>
        <v>1000</v>
      </c>
    </row>
    <row r="1946" spans="1:34" s="681" customFormat="1" x14ac:dyDescent="0.3">
      <c r="A1946" s="678">
        <v>903971</v>
      </c>
      <c r="B1946" s="679">
        <v>4.1111111111111116</v>
      </c>
      <c r="C1946" s="679"/>
      <c r="D1946" s="680">
        <v>8.1</v>
      </c>
      <c r="E1946" s="1560">
        <v>0.39300000000000002</v>
      </c>
      <c r="F1946" s="682">
        <v>219.14999999999998</v>
      </c>
      <c r="H1946" s="679">
        <v>28.28</v>
      </c>
      <c r="I1946" s="682">
        <v>100</v>
      </c>
      <c r="J1946" s="683">
        <v>0.30199999999999999</v>
      </c>
      <c r="K1946" s="679">
        <v>7.01</v>
      </c>
      <c r="L1946" s="681">
        <v>580</v>
      </c>
      <c r="M1946" s="681">
        <v>0.54</v>
      </c>
      <c r="N1946" s="681">
        <v>0.3</v>
      </c>
      <c r="O1946" s="681">
        <v>1.99</v>
      </c>
      <c r="P1946" s="681">
        <v>3.33</v>
      </c>
      <c r="R1946" s="680">
        <v>1.629297</v>
      </c>
      <c r="S1946" s="679">
        <v>11.7</v>
      </c>
      <c r="T1946"/>
      <c r="Y1946" s="679">
        <v>10</v>
      </c>
      <c r="AA1946" s="680">
        <v>4.42</v>
      </c>
      <c r="AB1946" s="680">
        <v>0.37</v>
      </c>
      <c r="AC1946" s="681">
        <v>10.6</v>
      </c>
      <c r="AD1946" s="684">
        <v>200</v>
      </c>
      <c r="AE1946" s="684">
        <v>160</v>
      </c>
      <c r="AF1946" s="684">
        <v>640</v>
      </c>
      <c r="AG1946" s="66">
        <f t="shared" si="79"/>
        <v>248.154</v>
      </c>
      <c r="AH1946" s="143">
        <f t="shared" si="80"/>
        <v>1000</v>
      </c>
    </row>
    <row r="1947" spans="1:34" s="681" customFormat="1" x14ac:dyDescent="0.3">
      <c r="A1947" s="678">
        <v>903972</v>
      </c>
      <c r="B1947" s="679">
        <v>6.4722222222222223</v>
      </c>
      <c r="C1947" s="679"/>
      <c r="D1947" s="680">
        <v>8.2999999999999989</v>
      </c>
      <c r="E1947" s="1560">
        <v>0.26100000000000001</v>
      </c>
      <c r="F1947" s="682">
        <v>127.4</v>
      </c>
      <c r="H1947" s="679">
        <v>26.31</v>
      </c>
      <c r="I1947" s="682">
        <v>80</v>
      </c>
      <c r="J1947" s="683">
        <v>0.19900000000000001</v>
      </c>
      <c r="K1947" s="679">
        <v>7.46</v>
      </c>
      <c r="L1947" s="681">
        <v>260</v>
      </c>
      <c r="M1947" s="681">
        <v>0.43</v>
      </c>
      <c r="N1947" s="681">
        <v>0.22</v>
      </c>
      <c r="O1947" s="681">
        <v>1.47</v>
      </c>
      <c r="P1947" s="681">
        <v>2.58</v>
      </c>
      <c r="R1947" s="680">
        <v>1.1821747189789327</v>
      </c>
      <c r="S1947" s="679">
        <v>8.5</v>
      </c>
      <c r="T1947"/>
      <c r="Y1947" s="679">
        <v>12</v>
      </c>
      <c r="AA1947" s="680">
        <v>3.78</v>
      </c>
      <c r="AB1947" s="680">
        <v>0.73099999999999998</v>
      </c>
      <c r="AC1947" s="681">
        <v>11.9</v>
      </c>
      <c r="AD1947" s="684">
        <v>200</v>
      </c>
      <c r="AE1947" s="684">
        <v>180</v>
      </c>
      <c r="AF1947" s="684">
        <v>620</v>
      </c>
      <c r="AG1947" s="66">
        <f t="shared" si="79"/>
        <v>220.07000000000002</v>
      </c>
      <c r="AH1947" s="143">
        <f t="shared" si="80"/>
        <v>1000</v>
      </c>
    </row>
    <row r="1948" spans="1:34" s="674" customFormat="1" x14ac:dyDescent="0.3">
      <c r="A1948" s="671">
        <v>903973</v>
      </c>
      <c r="B1948" s="672">
        <v>17.666666666666668</v>
      </c>
      <c r="C1948" s="672">
        <v>8.6249999999999982</v>
      </c>
      <c r="D1948" s="673">
        <v>8.1399999999999988</v>
      </c>
      <c r="E1948" s="1561">
        <v>0.122</v>
      </c>
      <c r="F1948" s="675">
        <v>31.6</v>
      </c>
      <c r="H1948" s="672">
        <v>42.71</v>
      </c>
      <c r="I1948" s="675">
        <v>150</v>
      </c>
      <c r="J1948" s="676">
        <v>3.7999999999999999E-2</v>
      </c>
      <c r="K1948" s="672">
        <v>11.73</v>
      </c>
      <c r="L1948" s="674">
        <v>160</v>
      </c>
      <c r="M1948" s="674">
        <v>0.25</v>
      </c>
      <c r="N1948" s="674">
        <v>0.31</v>
      </c>
      <c r="O1948" s="674">
        <v>8.92</v>
      </c>
      <c r="P1948" s="674">
        <v>4.38</v>
      </c>
      <c r="R1948" s="673">
        <v>1.8423</v>
      </c>
      <c r="S1948" s="672">
        <v>18</v>
      </c>
      <c r="T1948"/>
      <c r="Y1948" s="672">
        <v>30</v>
      </c>
      <c r="AA1948" s="673">
        <v>3.95</v>
      </c>
      <c r="AB1948" s="673">
        <v>0.64</v>
      </c>
      <c r="AC1948" s="674">
        <v>9.3000000000000007</v>
      </c>
      <c r="AD1948" s="677">
        <v>500</v>
      </c>
      <c r="AE1948" s="677">
        <v>360</v>
      </c>
      <c r="AF1948" s="677">
        <v>140</v>
      </c>
      <c r="AG1948" s="66">
        <f t="shared" si="79"/>
        <v>138.41400000000002</v>
      </c>
      <c r="AH1948" s="143">
        <f t="shared" si="80"/>
        <v>1000</v>
      </c>
    </row>
    <row r="1949" spans="1:34" s="674" customFormat="1" x14ac:dyDescent="0.3">
      <c r="A1949" s="671">
        <v>903974</v>
      </c>
      <c r="B1949" s="672">
        <v>24</v>
      </c>
      <c r="C1949" s="672">
        <v>10</v>
      </c>
      <c r="D1949" s="673">
        <v>8.27</v>
      </c>
      <c r="E1949" s="1561">
        <v>0.111</v>
      </c>
      <c r="F1949" s="675">
        <v>24.55</v>
      </c>
      <c r="H1949" s="672">
        <v>16.88</v>
      </c>
      <c r="I1949" s="675">
        <v>110</v>
      </c>
      <c r="J1949" s="676">
        <v>4.2999999999999997E-2</v>
      </c>
      <c r="K1949" s="672">
        <v>11.83</v>
      </c>
      <c r="L1949" s="674">
        <v>140</v>
      </c>
      <c r="M1949" s="674">
        <v>0.18</v>
      </c>
      <c r="N1949" s="674">
        <v>0.28000000000000003</v>
      </c>
      <c r="O1949" s="674">
        <v>4.9000000000000004</v>
      </c>
      <c r="P1949" s="674">
        <v>3.26</v>
      </c>
      <c r="R1949" s="673">
        <v>1.787112</v>
      </c>
      <c r="S1949" s="672">
        <v>16.200000000000003</v>
      </c>
      <c r="T1949"/>
      <c r="Y1949" s="672">
        <v>26</v>
      </c>
      <c r="AA1949" s="673">
        <v>3.98</v>
      </c>
      <c r="AB1949" s="673">
        <v>0.57799999999999996</v>
      </c>
      <c r="AC1949" s="674">
        <v>12</v>
      </c>
      <c r="AD1949" s="677">
        <v>520</v>
      </c>
      <c r="AE1949" s="677">
        <v>340</v>
      </c>
      <c r="AF1949" s="677">
        <v>140</v>
      </c>
      <c r="AG1949" s="66">
        <f t="shared" si="79"/>
        <v>161.07</v>
      </c>
      <c r="AH1949" s="143">
        <f t="shared" si="80"/>
        <v>1000</v>
      </c>
    </row>
    <row r="1950" spans="1:34" s="674" customFormat="1" x14ac:dyDescent="0.3">
      <c r="A1950" s="671">
        <v>903975</v>
      </c>
      <c r="B1950" s="672">
        <v>22.166666666666668</v>
      </c>
      <c r="C1950" s="672">
        <v>9.8749999999999982</v>
      </c>
      <c r="D1950" s="673">
        <v>8.1399999999999988</v>
      </c>
      <c r="E1950" s="1561">
        <v>0.16500000000000001</v>
      </c>
      <c r="F1950" s="675">
        <v>61.050000000000004</v>
      </c>
      <c r="H1950" s="672">
        <v>53.22</v>
      </c>
      <c r="I1950" s="675">
        <v>210</v>
      </c>
      <c r="J1950" s="676">
        <v>9.5000000000000001E-2</v>
      </c>
      <c r="K1950" s="672">
        <v>11.59</v>
      </c>
      <c r="L1950" s="674">
        <v>170</v>
      </c>
      <c r="M1950" s="674">
        <v>0.42</v>
      </c>
      <c r="N1950" s="674">
        <v>0.38</v>
      </c>
      <c r="O1950" s="674">
        <v>13.58</v>
      </c>
      <c r="P1950" s="674">
        <v>4.1500000000000004</v>
      </c>
      <c r="R1950" s="673">
        <v>1.8902570000000001</v>
      </c>
      <c r="S1950" s="672">
        <v>19.7</v>
      </c>
      <c r="T1950"/>
      <c r="Y1950" s="672">
        <v>25</v>
      </c>
      <c r="AA1950" s="673">
        <v>4.88</v>
      </c>
      <c r="AB1950" s="673">
        <v>0.27800000000000002</v>
      </c>
      <c r="AC1950" s="674">
        <v>10.9</v>
      </c>
      <c r="AD1950" s="677">
        <v>500</v>
      </c>
      <c r="AE1950" s="677">
        <v>340</v>
      </c>
      <c r="AF1950" s="677">
        <v>160</v>
      </c>
      <c r="AG1950" s="66">
        <f t="shared" si="79"/>
        <v>164.11439999999999</v>
      </c>
      <c r="AH1950" s="143">
        <f t="shared" si="80"/>
        <v>1000</v>
      </c>
    </row>
    <row r="1951" spans="1:34" s="674" customFormat="1" x14ac:dyDescent="0.3">
      <c r="A1951" s="671">
        <v>903976</v>
      </c>
      <c r="B1951" s="672">
        <v>16.333333333333336</v>
      </c>
      <c r="C1951" s="672">
        <v>7.5</v>
      </c>
      <c r="D1951" s="673">
        <v>8.1999999999999993</v>
      </c>
      <c r="E1951" s="1561">
        <v>0.11700000000000001</v>
      </c>
      <c r="F1951" s="675">
        <v>29.15</v>
      </c>
      <c r="H1951" s="672">
        <v>25.44</v>
      </c>
      <c r="I1951" s="675">
        <v>190</v>
      </c>
      <c r="J1951" s="676">
        <v>3.7999999999999999E-2</v>
      </c>
      <c r="K1951" s="672">
        <v>11.23</v>
      </c>
      <c r="L1951" s="674">
        <v>150</v>
      </c>
      <c r="M1951" s="674">
        <v>0.31</v>
      </c>
      <c r="N1951" s="674">
        <v>0.4</v>
      </c>
      <c r="O1951" s="674">
        <v>8.3000000000000007</v>
      </c>
      <c r="P1951" s="674">
        <v>4.67</v>
      </c>
      <c r="R1951" s="673">
        <v>1.851057</v>
      </c>
      <c r="S1951" s="672">
        <v>18.3</v>
      </c>
      <c r="T1951"/>
      <c r="Y1951" s="672">
        <v>35</v>
      </c>
      <c r="AA1951" s="673">
        <v>4.1500000000000004</v>
      </c>
      <c r="AB1951" s="673">
        <v>0.39700000000000002</v>
      </c>
      <c r="AC1951" s="674">
        <v>10.8</v>
      </c>
      <c r="AD1951" s="677">
        <v>500</v>
      </c>
      <c r="AE1951" s="677">
        <v>370</v>
      </c>
      <c r="AF1951" s="677">
        <v>130</v>
      </c>
      <c r="AG1951" s="66">
        <f t="shared" si="79"/>
        <v>113.58342857142858</v>
      </c>
      <c r="AH1951" s="143">
        <f t="shared" si="80"/>
        <v>1000</v>
      </c>
    </row>
    <row r="1952" spans="1:34" s="69" customFormat="1" x14ac:dyDescent="0.3">
      <c r="A1952" s="685">
        <v>903977</v>
      </c>
      <c r="B1952" s="686">
        <v>0.15</v>
      </c>
      <c r="C1952" s="686"/>
      <c r="D1952" s="68">
        <v>7.94</v>
      </c>
      <c r="E1952" s="1562">
        <v>7.5999999999999998E-2</v>
      </c>
      <c r="F1952" s="687">
        <v>27.75</v>
      </c>
      <c r="H1952" s="686">
        <v>5.87</v>
      </c>
      <c r="I1952" s="687">
        <v>60</v>
      </c>
      <c r="J1952" s="688">
        <v>0.02</v>
      </c>
      <c r="K1952" s="686">
        <v>1.67</v>
      </c>
      <c r="L1952" s="69">
        <v>180</v>
      </c>
      <c r="M1952" s="69">
        <v>0.18</v>
      </c>
      <c r="N1952" s="69">
        <v>0.15</v>
      </c>
      <c r="O1952" s="69">
        <v>3.23</v>
      </c>
      <c r="P1952" s="69">
        <v>2.08</v>
      </c>
      <c r="R1952" s="68">
        <v>0.64188088533375232</v>
      </c>
      <c r="S1952" s="686">
        <v>4.5</v>
      </c>
      <c r="T1952"/>
      <c r="Y1952" s="686">
        <v>5.6</v>
      </c>
      <c r="AA1952" s="68">
        <v>4.46</v>
      </c>
      <c r="AB1952" s="68">
        <v>0.68</v>
      </c>
      <c r="AC1952" s="69">
        <v>9.5</v>
      </c>
      <c r="AD1952" s="689">
        <v>80</v>
      </c>
      <c r="AE1952" s="689">
        <v>60</v>
      </c>
      <c r="AF1952" s="689">
        <v>860</v>
      </c>
      <c r="AG1952" s="66">
        <f t="shared" si="79"/>
        <v>105.56785714285714</v>
      </c>
      <c r="AH1952" s="143">
        <f t="shared" si="80"/>
        <v>1000</v>
      </c>
    </row>
    <row r="1953" spans="1:34" s="69" customFormat="1" x14ac:dyDescent="0.3">
      <c r="A1953" s="685">
        <v>903978</v>
      </c>
      <c r="B1953" s="686">
        <v>0.2166666666666667</v>
      </c>
      <c r="C1953" s="686"/>
      <c r="D1953" s="68">
        <v>8.35</v>
      </c>
      <c r="E1953" s="1562">
        <v>0.107</v>
      </c>
      <c r="F1953" s="687">
        <v>30.950000000000003</v>
      </c>
      <c r="H1953" s="686">
        <v>9.36</v>
      </c>
      <c r="I1953" s="687">
        <v>50</v>
      </c>
      <c r="J1953" s="688">
        <v>1.7000000000000001E-2</v>
      </c>
      <c r="K1953" s="686">
        <v>2.12</v>
      </c>
      <c r="L1953" s="69">
        <v>310</v>
      </c>
      <c r="M1953" s="69">
        <v>0.11</v>
      </c>
      <c r="N1953" s="69">
        <v>0.14000000000000001</v>
      </c>
      <c r="O1953" s="69">
        <v>0.99</v>
      </c>
      <c r="P1953" s="69">
        <v>1.92</v>
      </c>
      <c r="R1953" s="68">
        <v>1.1073467746384504</v>
      </c>
      <c r="S1953" s="686">
        <v>7.7</v>
      </c>
      <c r="T1953"/>
      <c r="Y1953" s="686">
        <v>5.6</v>
      </c>
      <c r="AA1953" s="68">
        <v>4.6399999999999997</v>
      </c>
      <c r="AB1953" s="68">
        <v>0.39600000000000002</v>
      </c>
      <c r="AC1953" s="69">
        <v>8.6</v>
      </c>
      <c r="AD1953" s="689">
        <v>80</v>
      </c>
      <c r="AE1953" s="689">
        <v>60</v>
      </c>
      <c r="AF1953" s="689">
        <v>860</v>
      </c>
      <c r="AG1953" s="66">
        <f t="shared" si="79"/>
        <v>134.01428571428573</v>
      </c>
      <c r="AH1953" s="143">
        <f t="shared" si="80"/>
        <v>1000</v>
      </c>
    </row>
    <row r="1954" spans="1:34" s="69" customFormat="1" x14ac:dyDescent="0.3">
      <c r="A1954" s="685">
        <v>903979</v>
      </c>
      <c r="B1954" s="686">
        <v>0.83333333333333337</v>
      </c>
      <c r="C1954" s="686"/>
      <c r="D1954" s="68">
        <v>8.1199999999999992</v>
      </c>
      <c r="E1954" s="1562">
        <v>9.5000000000000001E-2</v>
      </c>
      <c r="F1954" s="687">
        <v>42.65</v>
      </c>
      <c r="H1954" s="686">
        <v>8.74</v>
      </c>
      <c r="I1954" s="687">
        <v>60</v>
      </c>
      <c r="J1954" s="688">
        <v>1.4999999999999999E-2</v>
      </c>
      <c r="K1954" s="686">
        <v>3.54</v>
      </c>
      <c r="L1954" s="69">
        <v>120</v>
      </c>
      <c r="M1954" s="69">
        <v>0.18</v>
      </c>
      <c r="N1954" s="69">
        <v>0.13</v>
      </c>
      <c r="O1954" s="69">
        <v>2.54</v>
      </c>
      <c r="P1954" s="69">
        <v>2.16</v>
      </c>
      <c r="R1954" s="68">
        <v>0.86266434436291795</v>
      </c>
      <c r="S1954" s="686">
        <v>6.4</v>
      </c>
      <c r="T1954"/>
      <c r="Y1954" s="686">
        <v>3</v>
      </c>
      <c r="AA1954" s="68">
        <v>4.6900000000000004</v>
      </c>
      <c r="AB1954" s="68">
        <v>0.28599999999999998</v>
      </c>
      <c r="AC1954" s="69">
        <v>8.3000000000000007</v>
      </c>
      <c r="AD1954" s="689">
        <v>60</v>
      </c>
      <c r="AE1954" s="689">
        <v>60</v>
      </c>
      <c r="AF1954" s="689">
        <v>880</v>
      </c>
      <c r="AG1954" s="66">
        <f t="shared" si="79"/>
        <v>417.72</v>
      </c>
      <c r="AH1954" s="143">
        <f t="shared" si="80"/>
        <v>1000</v>
      </c>
    </row>
    <row r="1955" spans="1:34" s="69" customFormat="1" x14ac:dyDescent="0.3">
      <c r="A1955" s="685">
        <v>903980</v>
      </c>
      <c r="B1955" s="686">
        <v>1.533333333333333</v>
      </c>
      <c r="C1955" s="686"/>
      <c r="D1955" s="68">
        <v>8.42</v>
      </c>
      <c r="E1955" s="1562">
        <v>0.32300000000000001</v>
      </c>
      <c r="F1955" s="687">
        <v>181.9</v>
      </c>
      <c r="H1955" s="686">
        <v>5.51</v>
      </c>
      <c r="I1955" s="687">
        <v>40</v>
      </c>
      <c r="J1955" s="688">
        <v>1.7999999999999999E-2</v>
      </c>
      <c r="K1955" s="686">
        <v>5.47</v>
      </c>
      <c r="L1955" s="69">
        <v>110</v>
      </c>
      <c r="M1955" s="69">
        <v>0.08</v>
      </c>
      <c r="N1955" s="69">
        <v>0.08</v>
      </c>
      <c r="O1955" s="69">
        <v>1.38</v>
      </c>
      <c r="P1955" s="69">
        <v>1.6</v>
      </c>
      <c r="R1955" s="68">
        <v>0.60503158740085849</v>
      </c>
      <c r="S1955" s="686">
        <v>4</v>
      </c>
      <c r="T1955"/>
      <c r="Y1955" s="686">
        <v>4.2</v>
      </c>
      <c r="AA1955" s="68">
        <v>3.74</v>
      </c>
      <c r="AB1955" s="68">
        <v>0.56100000000000005</v>
      </c>
      <c r="AC1955" s="69">
        <v>7.6</v>
      </c>
      <c r="AD1955" s="689">
        <v>60</v>
      </c>
      <c r="AE1955" s="689">
        <v>80</v>
      </c>
      <c r="AF1955" s="689">
        <v>860</v>
      </c>
      <c r="AG1955" s="66">
        <f t="shared" si="79"/>
        <v>461.04285714285703</v>
      </c>
      <c r="AH1955" s="143">
        <f t="shared" si="80"/>
        <v>1000</v>
      </c>
    </row>
    <row r="1956" spans="1:34" s="693" customFormat="1" x14ac:dyDescent="0.3">
      <c r="A1956" s="690">
        <v>903981</v>
      </c>
      <c r="B1956" s="691">
        <v>3.8055555555555549</v>
      </c>
      <c r="C1956" s="691"/>
      <c r="D1956" s="692">
        <v>8.7299999999999986</v>
      </c>
      <c r="E1956" s="1563">
        <v>0.10199999999999999</v>
      </c>
      <c r="F1956" s="694">
        <v>32.049999999999997</v>
      </c>
      <c r="H1956" s="691">
        <v>28.99</v>
      </c>
      <c r="I1956" s="694">
        <v>80</v>
      </c>
      <c r="J1956" s="695">
        <v>6.4000000000000001E-2</v>
      </c>
      <c r="K1956" s="691">
        <v>4.34</v>
      </c>
      <c r="L1956" s="693">
        <v>360</v>
      </c>
      <c r="M1956" s="693">
        <v>0.1</v>
      </c>
      <c r="N1956" s="693">
        <v>0.16</v>
      </c>
      <c r="O1956" s="693">
        <v>1.25</v>
      </c>
      <c r="P1956" s="693">
        <v>1.21</v>
      </c>
      <c r="R1956" s="696">
        <v>0.59134839384910787</v>
      </c>
      <c r="S1956" s="691">
        <v>4.4000000000000004</v>
      </c>
      <c r="T1956" s="697"/>
      <c r="Y1956" s="691">
        <v>4.2</v>
      </c>
      <c r="AA1956" s="696">
        <v>4.07</v>
      </c>
      <c r="AB1956" s="696">
        <v>0.71</v>
      </c>
      <c r="AC1956" s="693">
        <v>7.8</v>
      </c>
      <c r="AD1956" s="698">
        <v>60</v>
      </c>
      <c r="AE1956" s="698">
        <v>80</v>
      </c>
      <c r="AF1956" s="698">
        <v>860</v>
      </c>
      <c r="AG1956" s="66">
        <f t="shared" si="79"/>
        <v>365.79999999999995</v>
      </c>
      <c r="AH1956" s="143">
        <f t="shared" si="80"/>
        <v>1000</v>
      </c>
    </row>
    <row r="1957" spans="1:34" s="693" customFormat="1" x14ac:dyDescent="0.3">
      <c r="A1957" s="690">
        <v>903982</v>
      </c>
      <c r="B1957" s="691">
        <v>3.7777777777777772</v>
      </c>
      <c r="C1957" s="691"/>
      <c r="D1957" s="696">
        <v>8.7099999999999991</v>
      </c>
      <c r="E1957" s="1563">
        <v>0.106</v>
      </c>
      <c r="F1957" s="694">
        <v>33.5</v>
      </c>
      <c r="H1957" s="691">
        <v>24.64</v>
      </c>
      <c r="I1957" s="694">
        <v>60</v>
      </c>
      <c r="J1957" s="695">
        <v>5.7000000000000002E-2</v>
      </c>
      <c r="K1957" s="691">
        <v>5.47</v>
      </c>
      <c r="L1957" s="693">
        <v>340</v>
      </c>
      <c r="M1957" s="693">
        <v>0.13</v>
      </c>
      <c r="N1957" s="693">
        <v>0.17</v>
      </c>
      <c r="O1957" s="693">
        <v>1.87</v>
      </c>
      <c r="P1957" s="693">
        <v>1.43</v>
      </c>
      <c r="R1957" s="696">
        <v>0.73052418791632467</v>
      </c>
      <c r="S1957" s="691">
        <v>5.2</v>
      </c>
      <c r="T1957" s="697"/>
      <c r="Y1957" s="691">
        <v>3.6</v>
      </c>
      <c r="AA1957" s="696">
        <v>4.3499999999999996</v>
      </c>
      <c r="AB1957" s="696">
        <v>0.66700000000000004</v>
      </c>
      <c r="AC1957" s="693">
        <v>6.2</v>
      </c>
      <c r="AD1957" s="698">
        <v>60</v>
      </c>
      <c r="AE1957" s="698">
        <v>70</v>
      </c>
      <c r="AF1957" s="698">
        <v>870</v>
      </c>
      <c r="AG1957" s="66">
        <f t="shared" si="79"/>
        <v>537.88333333333321</v>
      </c>
      <c r="AH1957" s="143">
        <f t="shared" si="80"/>
        <v>1000</v>
      </c>
    </row>
    <row r="1958" spans="1:34" x14ac:dyDescent="0.3">
      <c r="A1958" s="140">
        <v>903983</v>
      </c>
      <c r="B1958" s="138">
        <v>15.833333333333332</v>
      </c>
      <c r="C1958" s="138">
        <v>6.875</v>
      </c>
      <c r="D1958" s="647">
        <v>8.76</v>
      </c>
      <c r="E1958" s="752">
        <v>0.28299999999999997</v>
      </c>
      <c r="F1958" s="142">
        <v>146.44999999999999</v>
      </c>
      <c r="H1958" s="138">
        <v>28.99</v>
      </c>
      <c r="I1958" s="142">
        <v>270</v>
      </c>
      <c r="J1958" s="141">
        <v>0.187</v>
      </c>
      <c r="K1958" s="138">
        <v>8.3000000000000007</v>
      </c>
      <c r="L1958" s="140">
        <v>500</v>
      </c>
      <c r="M1958" s="140">
        <v>3.67</v>
      </c>
      <c r="N1958" s="140">
        <v>0.67</v>
      </c>
      <c r="O1958" s="140">
        <v>3.72</v>
      </c>
      <c r="P1958" s="140">
        <v>2.68</v>
      </c>
      <c r="R1958" s="139">
        <v>0.31600990708559162</v>
      </c>
      <c r="S1958" s="138">
        <v>2.2000000000000002</v>
      </c>
      <c r="T1958"/>
      <c r="Y1958" s="138">
        <v>28</v>
      </c>
      <c r="Z1958" s="90"/>
      <c r="AA1958" s="152"/>
      <c r="AB1958" s="152"/>
      <c r="AC1958" s="90"/>
      <c r="AD1958" s="118">
        <v>400</v>
      </c>
      <c r="AE1958" s="70">
        <v>240</v>
      </c>
      <c r="AF1958" s="70">
        <v>360</v>
      </c>
      <c r="AG1958" s="66">
        <f t="shared" si="79"/>
        <v>104.9357142857143</v>
      </c>
      <c r="AH1958" s="143">
        <f t="shared" si="80"/>
        <v>1000</v>
      </c>
    </row>
    <row r="1959" spans="1:34" x14ac:dyDescent="0.3">
      <c r="A1959" s="140">
        <v>903984</v>
      </c>
      <c r="B1959" s="138">
        <v>31</v>
      </c>
      <c r="C1959" s="138">
        <v>9.8749999999999982</v>
      </c>
      <c r="D1959" s="647">
        <v>8.7199999999999989</v>
      </c>
      <c r="E1959" s="752">
        <v>0.24299999999999999</v>
      </c>
      <c r="F1959" s="142">
        <v>113.10000000000001</v>
      </c>
      <c r="H1959" s="138">
        <v>55.51</v>
      </c>
      <c r="I1959" s="142">
        <v>240</v>
      </c>
      <c r="J1959" s="141">
        <v>0.191</v>
      </c>
      <c r="K1959" s="138">
        <v>10.63</v>
      </c>
      <c r="L1959" s="140">
        <v>650</v>
      </c>
      <c r="M1959" s="140">
        <v>14.36</v>
      </c>
      <c r="N1959" s="140">
        <v>0.64</v>
      </c>
      <c r="O1959" s="140">
        <v>4.1500000000000004</v>
      </c>
      <c r="P1959" s="140">
        <v>4.4400000000000004</v>
      </c>
      <c r="R1959" s="139">
        <v>0.47565576585069685</v>
      </c>
      <c r="S1959" s="138">
        <v>3.1</v>
      </c>
      <c r="T1959"/>
      <c r="Y1959" s="138">
        <v>24.6</v>
      </c>
      <c r="Z1959" s="90"/>
      <c r="AA1959" s="152"/>
      <c r="AB1959" s="152"/>
      <c r="AC1959" s="90"/>
      <c r="AD1959" s="118">
        <v>410</v>
      </c>
      <c r="AE1959" s="70">
        <v>220</v>
      </c>
      <c r="AF1959" s="70">
        <v>370</v>
      </c>
      <c r="AG1959" s="66">
        <f t="shared" si="79"/>
        <v>152.96829268292683</v>
      </c>
      <c r="AH1959" s="143">
        <f t="shared" si="80"/>
        <v>1000</v>
      </c>
    </row>
    <row r="1960" spans="1:34" x14ac:dyDescent="0.3">
      <c r="A1960" s="140">
        <v>903985</v>
      </c>
      <c r="B1960" s="138">
        <v>18.000000000000004</v>
      </c>
      <c r="C1960" s="138">
        <v>6.7499999999999982</v>
      </c>
      <c r="D1960" s="647">
        <v>8.7199999999999989</v>
      </c>
      <c r="E1960" s="752">
        <v>0.45800000000000002</v>
      </c>
      <c r="F1960" s="142">
        <v>313.5</v>
      </c>
      <c r="H1960" s="138">
        <v>58.94</v>
      </c>
      <c r="I1960" s="142">
        <v>210</v>
      </c>
      <c r="J1960" s="141">
        <v>0.56399999999999995</v>
      </c>
      <c r="K1960" s="138">
        <v>8.57</v>
      </c>
      <c r="L1960" s="140">
        <v>730</v>
      </c>
      <c r="M1960" s="140">
        <v>2.0299999999999998</v>
      </c>
      <c r="N1960" s="140">
        <v>0.84</v>
      </c>
      <c r="O1960" s="140">
        <v>7.36</v>
      </c>
      <c r="P1960" s="140">
        <v>6.99</v>
      </c>
      <c r="R1960" s="139">
        <v>1.1542331445412319</v>
      </c>
      <c r="S1960" s="138">
        <v>8</v>
      </c>
      <c r="T1960"/>
      <c r="Y1960" s="138">
        <v>24.6</v>
      </c>
      <c r="Z1960" s="90"/>
      <c r="AA1960" s="152"/>
      <c r="AB1960" s="152"/>
      <c r="AC1960" s="90"/>
      <c r="AD1960" s="118">
        <v>410</v>
      </c>
      <c r="AE1960" s="70">
        <v>150</v>
      </c>
      <c r="AF1960" s="70">
        <v>440</v>
      </c>
      <c r="AG1960" s="66">
        <f t="shared" si="79"/>
        <v>123.32439024390244</v>
      </c>
      <c r="AH1960" s="143">
        <f t="shared" si="80"/>
        <v>1000</v>
      </c>
    </row>
    <row r="1961" spans="1:34" x14ac:dyDescent="0.3">
      <c r="A1961" s="140">
        <v>903986</v>
      </c>
      <c r="B1961" s="138">
        <v>60</v>
      </c>
      <c r="C1961" s="138">
        <v>11.875</v>
      </c>
      <c r="D1961" s="647">
        <v>8.83</v>
      </c>
      <c r="E1961" s="752">
        <v>0.27800000000000002</v>
      </c>
      <c r="F1961" s="142">
        <v>178.6</v>
      </c>
      <c r="H1961" s="138">
        <v>59.42</v>
      </c>
      <c r="I1961" s="142">
        <v>170</v>
      </c>
      <c r="J1961" s="141">
        <v>0.23899999999999999</v>
      </c>
      <c r="K1961" s="138">
        <v>10.3</v>
      </c>
      <c r="L1961" s="140">
        <v>420</v>
      </c>
      <c r="M1961" s="140">
        <v>9.65</v>
      </c>
      <c r="N1961" s="140">
        <v>0.39</v>
      </c>
      <c r="O1961" s="140">
        <v>4</v>
      </c>
      <c r="P1961" s="140">
        <v>2.79</v>
      </c>
      <c r="R1961" s="139">
        <v>0.43257183522470843</v>
      </c>
      <c r="S1961" s="138">
        <v>3.2</v>
      </c>
      <c r="T1961"/>
      <c r="Y1961" s="138">
        <v>24</v>
      </c>
      <c r="Z1961" s="90"/>
      <c r="AA1961" s="152"/>
      <c r="AB1961" s="152"/>
      <c r="AC1961" s="90"/>
      <c r="AD1961" s="118">
        <v>400</v>
      </c>
      <c r="AE1961" s="70">
        <v>180</v>
      </c>
      <c r="AF1961" s="70">
        <v>420</v>
      </c>
      <c r="AG1961" s="66">
        <f t="shared" si="79"/>
        <v>151.92500000000001</v>
      </c>
      <c r="AH1961" s="143">
        <f t="shared" si="80"/>
        <v>1000</v>
      </c>
    </row>
    <row r="1962" spans="1:34" x14ac:dyDescent="0.3">
      <c r="A1962" s="140">
        <v>903987</v>
      </c>
      <c r="B1962" s="138">
        <v>16.5</v>
      </c>
      <c r="C1962" s="138">
        <v>7.1249999999999991</v>
      </c>
      <c r="D1962" s="647">
        <v>8.6999999999999993</v>
      </c>
      <c r="E1962" s="752">
        <v>0.34699999999999998</v>
      </c>
      <c r="F1962" s="142">
        <v>188.35000000000002</v>
      </c>
      <c r="H1962" s="138">
        <v>50.38</v>
      </c>
      <c r="I1962" s="142">
        <v>370</v>
      </c>
      <c r="J1962" s="141">
        <v>0.23300000000000001</v>
      </c>
      <c r="K1962" s="138">
        <v>8.69</v>
      </c>
      <c r="L1962" s="140">
        <v>580</v>
      </c>
      <c r="M1962" s="140">
        <v>2.2200000000000002</v>
      </c>
      <c r="N1962" s="140">
        <v>0.5</v>
      </c>
      <c r="O1962" s="140">
        <v>1.55</v>
      </c>
      <c r="P1962" s="140">
        <v>1.71</v>
      </c>
      <c r="R1962" s="139">
        <v>0.33770167799697959</v>
      </c>
      <c r="S1962" s="138">
        <v>2.2000000000000002</v>
      </c>
      <c r="T1962"/>
      <c r="Y1962" s="138">
        <v>29.4</v>
      </c>
      <c r="Z1962" s="90"/>
      <c r="AA1962" s="152"/>
      <c r="AB1962" s="152"/>
      <c r="AC1962" s="90"/>
      <c r="AD1962" s="118">
        <v>420</v>
      </c>
      <c r="AE1962" s="70">
        <v>180</v>
      </c>
      <c r="AF1962" s="70">
        <v>400</v>
      </c>
      <c r="AG1962" s="66">
        <f t="shared" si="79"/>
        <v>104.63469387755102</v>
      </c>
      <c r="AH1962" s="143">
        <f t="shared" si="80"/>
        <v>1000</v>
      </c>
    </row>
    <row r="1963" spans="1:34" x14ac:dyDescent="0.3">
      <c r="A1963" s="140">
        <v>903988</v>
      </c>
      <c r="B1963" s="138">
        <v>24.5</v>
      </c>
      <c r="C1963" s="138">
        <v>9.625</v>
      </c>
      <c r="D1963" s="647">
        <v>8.75</v>
      </c>
      <c r="E1963" s="752">
        <v>0.33</v>
      </c>
      <c r="F1963" s="142">
        <v>209</v>
      </c>
      <c r="H1963" s="138">
        <v>53.16</v>
      </c>
      <c r="I1963" s="142">
        <v>270</v>
      </c>
      <c r="J1963" s="141">
        <v>0.28899999999999998</v>
      </c>
      <c r="K1963" s="138">
        <v>10.67</v>
      </c>
      <c r="L1963" s="140">
        <v>590</v>
      </c>
      <c r="M1963" s="140">
        <v>2.34</v>
      </c>
      <c r="N1963" s="140">
        <v>0.74</v>
      </c>
      <c r="O1963" s="140">
        <v>2.2000000000000002</v>
      </c>
      <c r="P1963" s="140">
        <v>3.31</v>
      </c>
      <c r="R1963" s="139">
        <v>0.65422350140025864</v>
      </c>
      <c r="S1963" s="138">
        <v>4.4000000000000004</v>
      </c>
      <c r="T1963"/>
      <c r="Y1963" s="138">
        <v>25.2</v>
      </c>
      <c r="Z1963" s="90"/>
      <c r="AA1963" s="152"/>
      <c r="AB1963" s="152"/>
      <c r="AC1963" s="90"/>
      <c r="AD1963" s="118">
        <v>420</v>
      </c>
      <c r="AE1963" s="70">
        <v>180</v>
      </c>
      <c r="AF1963" s="70">
        <v>400</v>
      </c>
      <c r="AG1963" s="66">
        <f t="shared" si="79"/>
        <v>149.88809523809525</v>
      </c>
      <c r="AH1963" s="143">
        <f t="shared" si="80"/>
        <v>1000</v>
      </c>
    </row>
    <row r="1964" spans="1:34" x14ac:dyDescent="0.3">
      <c r="A1964" s="140">
        <v>903989</v>
      </c>
      <c r="B1964" s="138">
        <v>36.666666666666671</v>
      </c>
      <c r="C1964" s="138">
        <v>12.625</v>
      </c>
      <c r="D1964" s="647">
        <v>8.68</v>
      </c>
      <c r="E1964" s="752">
        <v>0.41499999999999998</v>
      </c>
      <c r="F1964" s="142">
        <v>276.35000000000002</v>
      </c>
      <c r="H1964" s="138">
        <v>52.5</v>
      </c>
      <c r="I1964" s="142">
        <v>180</v>
      </c>
      <c r="J1964" s="141">
        <v>0.40400000000000003</v>
      </c>
      <c r="K1964" s="138">
        <v>8.52</v>
      </c>
      <c r="L1964" s="140">
        <v>510</v>
      </c>
      <c r="M1964" s="140">
        <v>2.8</v>
      </c>
      <c r="N1964" s="140">
        <v>0.5</v>
      </c>
      <c r="O1964" s="140">
        <v>1.5</v>
      </c>
      <c r="P1964" s="140">
        <v>5.13</v>
      </c>
      <c r="R1964" s="139">
        <v>0.78848746761573285</v>
      </c>
      <c r="S1964" s="138">
        <v>5.2</v>
      </c>
      <c r="T1964"/>
      <c r="Y1964" s="138">
        <v>24</v>
      </c>
      <c r="Z1964" s="90"/>
      <c r="AA1964" s="152"/>
      <c r="AB1964" s="152"/>
      <c r="AC1964" s="90"/>
      <c r="AD1964" s="118">
        <v>400</v>
      </c>
      <c r="AE1964" s="70">
        <v>180</v>
      </c>
      <c r="AF1964" s="70">
        <v>420</v>
      </c>
      <c r="AG1964" s="66">
        <f t="shared" si="79"/>
        <v>125.67</v>
      </c>
      <c r="AH1964" s="143">
        <f t="shared" si="80"/>
        <v>1000</v>
      </c>
    </row>
    <row r="1965" spans="1:34" x14ac:dyDescent="0.3">
      <c r="A1965" s="140">
        <v>903990</v>
      </c>
      <c r="B1965" s="138">
        <v>35.833333333333336</v>
      </c>
      <c r="C1965" s="138">
        <v>8.375</v>
      </c>
      <c r="D1965" s="647">
        <v>8.58</v>
      </c>
      <c r="E1965" s="752">
        <v>9.7000000000000003E-2</v>
      </c>
      <c r="F1965" s="142">
        <v>37.75</v>
      </c>
      <c r="H1965" s="699">
        <v>115.06</v>
      </c>
      <c r="I1965" s="142">
        <v>350</v>
      </c>
      <c r="J1965" s="141">
        <v>0.30399999999999999</v>
      </c>
      <c r="K1965" s="138">
        <v>10.73</v>
      </c>
      <c r="L1965" s="140">
        <v>800</v>
      </c>
      <c r="M1965" s="140">
        <v>2.08</v>
      </c>
      <c r="N1965" s="140">
        <v>0.59</v>
      </c>
      <c r="O1965" s="140">
        <v>0.78</v>
      </c>
      <c r="P1965" s="140">
        <v>5.72</v>
      </c>
      <c r="R1965" s="139">
        <v>0.85677074655962582</v>
      </c>
      <c r="S1965" s="138">
        <v>6.1</v>
      </c>
      <c r="T1965"/>
      <c r="Y1965" s="138">
        <v>19</v>
      </c>
      <c r="Z1965" s="90"/>
      <c r="AA1965" s="152"/>
      <c r="AB1965" s="152"/>
      <c r="AC1965" s="90"/>
      <c r="AD1965" s="118">
        <v>380</v>
      </c>
      <c r="AE1965" s="70">
        <v>220</v>
      </c>
      <c r="AF1965" s="70">
        <v>400</v>
      </c>
      <c r="AG1965" s="66">
        <f t="shared" si="79"/>
        <v>199.91684210526316</v>
      </c>
      <c r="AH1965" s="143">
        <f t="shared" si="80"/>
        <v>1000</v>
      </c>
    </row>
    <row r="1966" spans="1:34" x14ac:dyDescent="0.3">
      <c r="A1966" s="140">
        <v>903991</v>
      </c>
      <c r="B1966" s="138">
        <v>23</v>
      </c>
      <c r="C1966" s="138">
        <v>9.625</v>
      </c>
      <c r="D1966" s="152">
        <v>8.5</v>
      </c>
      <c r="E1966" s="752">
        <v>0.27800000000000002</v>
      </c>
      <c r="F1966" s="142">
        <v>120.39999999999999</v>
      </c>
      <c r="H1966" s="138">
        <v>53.28</v>
      </c>
      <c r="I1966" s="142">
        <v>210</v>
      </c>
      <c r="J1966" s="141">
        <v>0.20499999999999999</v>
      </c>
      <c r="K1966" s="138">
        <v>10.28</v>
      </c>
      <c r="L1966" s="140">
        <v>730</v>
      </c>
      <c r="M1966" s="140">
        <v>3.62</v>
      </c>
      <c r="N1966" s="140">
        <v>0.8</v>
      </c>
      <c r="O1966" s="140">
        <v>2.71</v>
      </c>
      <c r="P1966" s="140">
        <v>3.38</v>
      </c>
      <c r="R1966" s="139">
        <v>0.70711939283289349</v>
      </c>
      <c r="S1966" s="138">
        <v>4.8</v>
      </c>
      <c r="T1966"/>
      <c r="Y1966" s="138">
        <v>28</v>
      </c>
      <c r="Z1966" s="90"/>
      <c r="AA1966" s="152"/>
      <c r="AB1966" s="152"/>
      <c r="AC1966" s="90"/>
      <c r="AD1966" s="118">
        <v>400</v>
      </c>
      <c r="AE1966" s="70">
        <v>190</v>
      </c>
      <c r="AF1966" s="70">
        <v>410</v>
      </c>
      <c r="AG1966" s="66">
        <f t="shared" si="79"/>
        <v>129.96857142857144</v>
      </c>
      <c r="AH1966" s="143">
        <f t="shared" si="80"/>
        <v>1000</v>
      </c>
    </row>
    <row r="1967" spans="1:34" x14ac:dyDescent="0.3">
      <c r="A1967" s="140">
        <v>903992</v>
      </c>
      <c r="B1967" s="138">
        <v>17.833333333333332</v>
      </c>
      <c r="C1967" s="138">
        <v>9.5</v>
      </c>
      <c r="D1967" s="152">
        <v>8.2999999999999989</v>
      </c>
      <c r="E1967" s="752">
        <v>1.4999999999999999E-2</v>
      </c>
      <c r="F1967" s="142">
        <v>769.59999999999991</v>
      </c>
      <c r="H1967" s="138">
        <v>35.82</v>
      </c>
      <c r="I1967" s="142">
        <v>280</v>
      </c>
      <c r="J1967" s="141">
        <v>0.77</v>
      </c>
      <c r="K1967" s="138">
        <v>9.11</v>
      </c>
      <c r="L1967" s="140">
        <v>860</v>
      </c>
      <c r="M1967" s="140">
        <v>9.39</v>
      </c>
      <c r="N1967" s="140">
        <v>1.23</v>
      </c>
      <c r="O1967" s="140">
        <v>3.45</v>
      </c>
      <c r="P1967" s="140">
        <v>3.35</v>
      </c>
      <c r="R1967" s="139">
        <v>0.56890266450212712</v>
      </c>
      <c r="S1967" s="138">
        <v>4.2</v>
      </c>
      <c r="T1967"/>
      <c r="Y1967" s="138">
        <v>21</v>
      </c>
      <c r="Z1967" s="90"/>
      <c r="AA1967" s="152"/>
      <c r="AB1967" s="152"/>
      <c r="AC1967" s="90"/>
      <c r="AD1967" s="118">
        <v>420</v>
      </c>
      <c r="AE1967" s="70">
        <v>180</v>
      </c>
      <c r="AF1967" s="70">
        <v>400</v>
      </c>
      <c r="AG1967" s="66">
        <f t="shared" si="79"/>
        <v>153.56857142857143</v>
      </c>
      <c r="AH1967" s="143">
        <f t="shared" si="80"/>
        <v>1000</v>
      </c>
    </row>
    <row r="1968" spans="1:34" s="716" customFormat="1" x14ac:dyDescent="0.3">
      <c r="A1968" s="716">
        <v>903993</v>
      </c>
      <c r="B1968" s="722">
        <v>40.416666666666664</v>
      </c>
      <c r="C1968" s="716">
        <v>6.4999999999999991</v>
      </c>
      <c r="D1968" s="723">
        <v>8</v>
      </c>
      <c r="E1968" s="1564">
        <v>2.27</v>
      </c>
      <c r="F1968" s="724">
        <v>3128</v>
      </c>
      <c r="H1968" s="724">
        <v>12.823</v>
      </c>
      <c r="I1968" s="716">
        <v>121</v>
      </c>
      <c r="J1968" s="716">
        <v>1.6120000000000001</v>
      </c>
      <c r="K1968" s="722">
        <v>11.46</v>
      </c>
      <c r="L1968" s="716">
        <v>530</v>
      </c>
      <c r="M1968" s="716">
        <v>0.19</v>
      </c>
      <c r="N1968" s="716">
        <v>0.37</v>
      </c>
      <c r="O1968" s="716">
        <v>0.79</v>
      </c>
      <c r="P1968" s="716">
        <v>1.26</v>
      </c>
      <c r="R1968" s="723">
        <v>1.247922591190723</v>
      </c>
      <c r="S1968" s="722">
        <v>8.5</v>
      </c>
      <c r="T1968" s="725"/>
      <c r="U1968" s="725"/>
      <c r="V1968" s="725"/>
      <c r="W1968" s="725"/>
      <c r="Y1968" s="722">
        <v>16.5</v>
      </c>
      <c r="AA1968" s="723">
        <v>4.92</v>
      </c>
      <c r="AB1968" s="723">
        <v>0.53100000000000003</v>
      </c>
      <c r="AC1968" s="716">
        <v>7.7</v>
      </c>
      <c r="AD1968" s="716">
        <v>330</v>
      </c>
      <c r="AE1968" s="716">
        <v>150</v>
      </c>
      <c r="AF1968" s="716">
        <v>520</v>
      </c>
      <c r="AG1968" s="66">
        <f t="shared" si="79"/>
        <v>245.86909090909094</v>
      </c>
      <c r="AH1968" s="143">
        <f t="shared" si="80"/>
        <v>1000</v>
      </c>
    </row>
    <row r="1969" spans="1:34" s="716" customFormat="1" x14ac:dyDescent="0.3">
      <c r="A1969" s="716">
        <v>903994</v>
      </c>
      <c r="B1969" s="722">
        <v>30.25</v>
      </c>
      <c r="C1969" s="716">
        <v>14</v>
      </c>
      <c r="D1969" s="716">
        <v>7.8</v>
      </c>
      <c r="E1969" s="1564">
        <v>7.17</v>
      </c>
      <c r="F1969" s="724">
        <v>8067</v>
      </c>
      <c r="H1969" s="724">
        <v>15.157999999999999</v>
      </c>
      <c r="I1969" s="716">
        <v>115</v>
      </c>
      <c r="J1969" s="716">
        <v>4.1189999999999998</v>
      </c>
      <c r="K1969" s="722">
        <v>15.21</v>
      </c>
      <c r="L1969" s="716">
        <v>1060</v>
      </c>
      <c r="M1969" s="716">
        <v>0.31</v>
      </c>
      <c r="N1969" s="716">
        <v>0.62</v>
      </c>
      <c r="O1969" s="716">
        <v>0.14000000000000001</v>
      </c>
      <c r="P1969" s="716">
        <v>1.4</v>
      </c>
      <c r="R1969" s="723">
        <v>1.1945789976455392</v>
      </c>
      <c r="S1969" s="722">
        <v>8</v>
      </c>
      <c r="T1969" s="726"/>
      <c r="U1969" s="726"/>
      <c r="V1969" s="726"/>
      <c r="W1969" s="726"/>
      <c r="Y1969" s="722">
        <v>30.8</v>
      </c>
      <c r="AA1969" s="723">
        <v>3.68</v>
      </c>
      <c r="AB1969" s="723">
        <v>0.375</v>
      </c>
      <c r="AC1969" s="716">
        <v>8.1999999999999993</v>
      </c>
      <c r="AD1969" s="716">
        <v>440</v>
      </c>
      <c r="AE1969" s="716">
        <v>480</v>
      </c>
      <c r="AF1969" s="716">
        <v>80</v>
      </c>
      <c r="AG1969" s="66">
        <f t="shared" si="79"/>
        <v>174.81623376623378</v>
      </c>
      <c r="AH1969" s="143">
        <f t="shared" si="80"/>
        <v>1000</v>
      </c>
    </row>
    <row r="1970" spans="1:34" s="735" customFormat="1" x14ac:dyDescent="0.3">
      <c r="A1970" s="735">
        <v>903995</v>
      </c>
      <c r="B1970" s="736">
        <v>1.25</v>
      </c>
      <c r="D1970" s="737">
        <v>8.2799999999999994</v>
      </c>
      <c r="E1970" s="1565">
        <v>0.18099999999999999</v>
      </c>
      <c r="F1970" s="739">
        <v>78</v>
      </c>
      <c r="H1970" s="739">
        <v>56.402999999999999</v>
      </c>
      <c r="I1970" s="735">
        <v>289</v>
      </c>
      <c r="J1970" s="735">
        <v>0.186</v>
      </c>
      <c r="K1970" s="736">
        <v>6.73</v>
      </c>
      <c r="L1970" s="735">
        <v>2100</v>
      </c>
      <c r="M1970" s="735">
        <v>0.73</v>
      </c>
      <c r="N1970" s="735">
        <v>2.99</v>
      </c>
      <c r="O1970" s="735">
        <v>3.45</v>
      </c>
      <c r="P1970" s="735">
        <v>22.67</v>
      </c>
      <c r="R1970" s="738">
        <v>2.0535320000000001</v>
      </c>
      <c r="S1970" s="736">
        <v>27.200000000000003</v>
      </c>
      <c r="T1970" s="740"/>
      <c r="U1970" s="740"/>
      <c r="V1970" s="740"/>
      <c r="W1970" s="740"/>
      <c r="Y1970" s="741">
        <v>24.8</v>
      </c>
      <c r="AA1970" s="738">
        <v>3.59</v>
      </c>
      <c r="AB1970" s="738">
        <v>0.37</v>
      </c>
      <c r="AC1970" s="735">
        <v>10.7</v>
      </c>
      <c r="AD1970" s="742">
        <v>640</v>
      </c>
      <c r="AE1970" s="742">
        <v>260</v>
      </c>
      <c r="AF1970" s="742">
        <v>100</v>
      </c>
      <c r="AG1970" s="66">
        <f t="shared" si="79"/>
        <v>96.065322580645159</v>
      </c>
      <c r="AH1970" s="143">
        <f t="shared" si="80"/>
        <v>1000</v>
      </c>
    </row>
    <row r="1971" spans="1:34" s="735" customFormat="1" x14ac:dyDescent="0.3">
      <c r="A1971" s="735">
        <v>903996</v>
      </c>
      <c r="B1971" s="736">
        <v>0.58333333333333337</v>
      </c>
      <c r="D1971" s="737">
        <v>8.0599999999999987</v>
      </c>
      <c r="E1971" s="1565">
        <v>0.13700000000000001</v>
      </c>
      <c r="F1971" s="739">
        <v>54.1</v>
      </c>
      <c r="H1971" s="739">
        <v>62.451999999999998</v>
      </c>
      <c r="I1971" s="735">
        <v>274</v>
      </c>
      <c r="J1971" s="735">
        <v>9.6000000000000002E-2</v>
      </c>
      <c r="K1971" s="736">
        <v>5.03</v>
      </c>
      <c r="L1971" s="735">
        <v>1300</v>
      </c>
      <c r="M1971" s="735">
        <v>0.86</v>
      </c>
      <c r="N1971" s="735">
        <v>3.31</v>
      </c>
      <c r="O1971" s="735">
        <v>9.44</v>
      </c>
      <c r="P1971" s="735">
        <v>23.43</v>
      </c>
      <c r="R1971" s="738">
        <v>1.9740330000000001</v>
      </c>
      <c r="S1971" s="736">
        <v>23.1</v>
      </c>
      <c r="T1971" s="743"/>
      <c r="U1971" s="743"/>
      <c r="V1971" s="743"/>
      <c r="W1971" s="743"/>
      <c r="Y1971" s="741">
        <v>21</v>
      </c>
      <c r="AA1971" s="738">
        <v>4.55</v>
      </c>
      <c r="AB1971" s="738">
        <v>0.498</v>
      </c>
      <c r="AC1971" s="735">
        <v>6.3</v>
      </c>
      <c r="AD1971" s="742">
        <v>620</v>
      </c>
      <c r="AE1971" s="742">
        <v>280</v>
      </c>
      <c r="AF1971" s="742">
        <v>100</v>
      </c>
      <c r="AG1971" s="66">
        <f t="shared" si="79"/>
        <v>84.791428571428582</v>
      </c>
      <c r="AH1971" s="143">
        <f t="shared" si="80"/>
        <v>1000</v>
      </c>
    </row>
    <row r="1972" spans="1:34" s="735" customFormat="1" x14ac:dyDescent="0.3">
      <c r="A1972" s="735">
        <v>903997</v>
      </c>
      <c r="B1972" s="736">
        <v>0.54166666666666663</v>
      </c>
      <c r="D1972" s="737">
        <v>7.9899999999999993</v>
      </c>
      <c r="E1972" s="1565">
        <v>0.14199999999999999</v>
      </c>
      <c r="F1972" s="739">
        <v>60.35</v>
      </c>
      <c r="H1972" s="739">
        <v>56.402999999999999</v>
      </c>
      <c r="I1972" s="735">
        <v>257</v>
      </c>
      <c r="J1972" s="735">
        <v>0.105</v>
      </c>
      <c r="K1972" s="736">
        <v>5.32</v>
      </c>
      <c r="L1972" s="735">
        <v>1510</v>
      </c>
      <c r="M1972" s="735">
        <v>0.79</v>
      </c>
      <c r="N1972" s="735">
        <v>2.29</v>
      </c>
      <c r="O1972" s="735">
        <v>6.81</v>
      </c>
      <c r="P1972" s="735">
        <v>13.81</v>
      </c>
      <c r="R1972" s="738">
        <v>1.9892720000000002</v>
      </c>
      <c r="S1972" s="736">
        <v>23.799999999999997</v>
      </c>
      <c r="T1972" s="740"/>
      <c r="U1972" s="740"/>
      <c r="V1972" s="740"/>
      <c r="W1972" s="740"/>
      <c r="Y1972" s="741">
        <v>23.4</v>
      </c>
      <c r="AA1972" s="738">
        <v>4.8099999999999996</v>
      </c>
      <c r="AB1972" s="738">
        <v>0.89800000000000002</v>
      </c>
      <c r="AC1972" s="735">
        <v>10.8</v>
      </c>
      <c r="AD1972" s="742">
        <v>620</v>
      </c>
      <c r="AE1972" s="742">
        <v>290</v>
      </c>
      <c r="AF1972" s="742">
        <v>90</v>
      </c>
      <c r="AG1972" s="66">
        <f t="shared" si="79"/>
        <v>80.482051282051302</v>
      </c>
      <c r="AH1972" s="143">
        <f t="shared" si="80"/>
        <v>1000</v>
      </c>
    </row>
    <row r="1973" spans="1:34" s="735" customFormat="1" x14ac:dyDescent="0.3">
      <c r="A1973" s="735">
        <v>903998</v>
      </c>
      <c r="B1973" s="736">
        <v>6.9444444444444438</v>
      </c>
      <c r="D1973" s="744">
        <v>8.2899999999999991</v>
      </c>
      <c r="E1973" s="1565">
        <v>0.27700000000000002</v>
      </c>
      <c r="F1973" s="739">
        <v>72.350000000000009</v>
      </c>
      <c r="H1973" s="739">
        <v>19.012</v>
      </c>
      <c r="I1973" s="735">
        <v>586</v>
      </c>
      <c r="J1973" s="735">
        <v>0.502</v>
      </c>
      <c r="K1973" s="736">
        <v>7.1</v>
      </c>
      <c r="L1973" s="735">
        <v>570</v>
      </c>
      <c r="M1973" s="735">
        <v>0.25</v>
      </c>
      <c r="N1973" s="735">
        <v>1.3</v>
      </c>
      <c r="O1973" s="735">
        <v>5.19</v>
      </c>
      <c r="P1973" s="735">
        <v>2.56</v>
      </c>
      <c r="R1973" s="738">
        <v>1.3572066297718988</v>
      </c>
      <c r="S1973" s="736">
        <v>10</v>
      </c>
      <c r="T1973" s="743"/>
      <c r="U1973" s="743"/>
      <c r="V1973" s="743"/>
      <c r="W1973" s="743"/>
      <c r="Y1973" s="741">
        <v>23.6</v>
      </c>
      <c r="AA1973" s="738">
        <v>4.1500000000000004</v>
      </c>
      <c r="AB1973" s="738">
        <v>0.86299999999999999</v>
      </c>
      <c r="AC1973" s="735">
        <v>11.6</v>
      </c>
      <c r="AD1973" s="742">
        <v>480</v>
      </c>
      <c r="AE1973" s="742">
        <v>280</v>
      </c>
      <c r="AF1973" s="742">
        <v>240</v>
      </c>
      <c r="AG1973" s="66">
        <f t="shared" si="79"/>
        <v>106.5</v>
      </c>
      <c r="AH1973" s="143">
        <f t="shared" si="80"/>
        <v>1000</v>
      </c>
    </row>
    <row r="1974" spans="1:34" s="711" customFormat="1" x14ac:dyDescent="0.3">
      <c r="A1974" s="711">
        <v>903999</v>
      </c>
      <c r="B1974" s="712">
        <v>0.93333333333333324</v>
      </c>
      <c r="D1974" s="711">
        <v>8.4699999999999989</v>
      </c>
      <c r="E1974" s="1566">
        <v>0.13700000000000001</v>
      </c>
      <c r="F1974" s="714">
        <v>55.199999999999996</v>
      </c>
      <c r="H1974" s="714">
        <v>47.174999999999997</v>
      </c>
      <c r="I1974" s="711">
        <v>114</v>
      </c>
      <c r="J1974" s="711">
        <v>6.6000000000000003E-2</v>
      </c>
      <c r="K1974" s="712">
        <v>2.14</v>
      </c>
      <c r="L1974" s="711">
        <v>240</v>
      </c>
      <c r="M1974" s="711">
        <v>2.04</v>
      </c>
      <c r="N1974" s="711">
        <v>1.07</v>
      </c>
      <c r="O1974" s="711">
        <v>6.28</v>
      </c>
      <c r="P1974" s="711">
        <v>3.93</v>
      </c>
      <c r="R1974" s="713">
        <v>1.016531341891727</v>
      </c>
      <c r="S1974" s="711">
        <v>6.8999999999999995</v>
      </c>
      <c r="T1974" s="715"/>
      <c r="U1974" s="715"/>
      <c r="V1974" s="715"/>
      <c r="W1974" s="715"/>
      <c r="Y1974" s="712">
        <v>5.6</v>
      </c>
      <c r="AA1974" s="713"/>
      <c r="AB1974" s="713"/>
      <c r="AD1974" s="716">
        <v>80</v>
      </c>
      <c r="AE1974" s="716">
        <v>60</v>
      </c>
      <c r="AF1974" s="716">
        <v>860</v>
      </c>
      <c r="AG1974" s="66">
        <f t="shared" si="79"/>
        <v>135.27857142857144</v>
      </c>
      <c r="AH1974" s="143">
        <f t="shared" si="80"/>
        <v>1000</v>
      </c>
    </row>
    <row r="1975" spans="1:34" s="711" customFormat="1" x14ac:dyDescent="0.3">
      <c r="A1975" s="711">
        <v>904000</v>
      </c>
      <c r="B1975" s="712">
        <v>8.4722222222222214</v>
      </c>
      <c r="D1975" s="711">
        <v>8.8199999999999985</v>
      </c>
      <c r="E1975" s="1566">
        <v>0.105</v>
      </c>
      <c r="F1975" s="714">
        <v>33</v>
      </c>
      <c r="H1975" s="714">
        <v>9.5030000000000001</v>
      </c>
      <c r="I1975" s="711">
        <v>251</v>
      </c>
      <c r="J1975" s="711">
        <v>1.2999999999999999E-2</v>
      </c>
      <c r="K1975" s="712">
        <v>7.41</v>
      </c>
      <c r="L1975" s="711">
        <v>330</v>
      </c>
      <c r="M1975" s="711">
        <v>0.09</v>
      </c>
      <c r="N1975" s="711">
        <v>0.56000000000000005</v>
      </c>
      <c r="O1975" s="711">
        <v>1.61</v>
      </c>
      <c r="P1975" s="711">
        <v>1.17</v>
      </c>
      <c r="R1975" s="713">
        <v>0.69348760001320353</v>
      </c>
      <c r="S1975" s="711">
        <v>5.2</v>
      </c>
      <c r="T1975" s="717"/>
      <c r="U1975" s="718"/>
      <c r="V1975" s="718"/>
      <c r="W1975" s="718"/>
      <c r="Y1975" s="712">
        <v>18.2</v>
      </c>
      <c r="AA1975" s="713"/>
      <c r="AB1975" s="713"/>
      <c r="AD1975" s="716">
        <v>260</v>
      </c>
      <c r="AE1975" s="716">
        <v>100</v>
      </c>
      <c r="AF1975" s="716">
        <v>640</v>
      </c>
      <c r="AG1975" s="66">
        <f t="shared" si="79"/>
        <v>144.12857142857143</v>
      </c>
      <c r="AH1975" s="143">
        <f t="shared" si="80"/>
        <v>1000</v>
      </c>
    </row>
    <row r="1976" spans="1:34" s="711" customFormat="1" x14ac:dyDescent="0.3">
      <c r="A1976" s="711">
        <v>904001</v>
      </c>
      <c r="B1976" s="712">
        <v>1.1666666666666667</v>
      </c>
      <c r="D1976" s="711">
        <v>8.2799999999999994</v>
      </c>
      <c r="E1976" s="1566">
        <v>0.16700000000000001</v>
      </c>
      <c r="F1976" s="714">
        <v>67.95</v>
      </c>
      <c r="H1976" s="714">
        <v>93.006</v>
      </c>
      <c r="I1976" s="711">
        <v>198</v>
      </c>
      <c r="J1976" s="711">
        <v>5.6000000000000001E-2</v>
      </c>
      <c r="K1976" s="712">
        <v>3.02</v>
      </c>
      <c r="L1976" s="711">
        <v>140</v>
      </c>
      <c r="M1976" s="711">
        <v>1.1499999999999999</v>
      </c>
      <c r="N1976" s="711">
        <v>0.26</v>
      </c>
      <c r="O1976" s="711">
        <v>4.51</v>
      </c>
      <c r="P1976" s="711">
        <v>4.8</v>
      </c>
      <c r="R1976" s="713">
        <v>1.0233868156906729</v>
      </c>
      <c r="S1976" s="711">
        <v>7.6</v>
      </c>
      <c r="T1976" s="719"/>
      <c r="U1976" s="719"/>
      <c r="V1976" s="719"/>
      <c r="W1976" s="719"/>
      <c r="Y1976" s="712">
        <v>3</v>
      </c>
      <c r="AA1976" s="713">
        <v>4.6399999999999997</v>
      </c>
      <c r="AB1976" s="713">
        <v>0.246</v>
      </c>
      <c r="AC1976" s="711">
        <v>8.4</v>
      </c>
      <c r="AD1976" s="716">
        <v>60</v>
      </c>
      <c r="AE1976" s="716">
        <v>60</v>
      </c>
      <c r="AF1976" s="716">
        <v>880</v>
      </c>
      <c r="AG1976" s="66">
        <f t="shared" si="79"/>
        <v>356.35999999999996</v>
      </c>
      <c r="AH1976" s="143">
        <f t="shared" si="80"/>
        <v>1000</v>
      </c>
    </row>
    <row r="1977" spans="1:34" s="711" customFormat="1" x14ac:dyDescent="0.3">
      <c r="A1977" s="711">
        <v>904002</v>
      </c>
      <c r="B1977" s="712">
        <v>24.166666666666668</v>
      </c>
      <c r="C1977" s="711">
        <v>8.125</v>
      </c>
      <c r="D1977" s="711">
        <v>8.59</v>
      </c>
      <c r="E1977" s="1567">
        <v>1.24</v>
      </c>
      <c r="F1977" s="720">
        <v>1294</v>
      </c>
      <c r="H1977" s="714">
        <v>111.77200000000001</v>
      </c>
      <c r="I1977" s="711">
        <v>188</v>
      </c>
      <c r="J1977" s="721">
        <v>1.0529999999999999</v>
      </c>
      <c r="K1977" s="712">
        <v>8.2200000000000006</v>
      </c>
      <c r="L1977" s="711">
        <v>730</v>
      </c>
      <c r="R1977" s="713">
        <v>0.69055984768323952</v>
      </c>
      <c r="S1977" s="711">
        <v>4.6999999999999993</v>
      </c>
      <c r="T1977" s="718"/>
      <c r="U1977" s="718"/>
      <c r="V1977" s="718"/>
      <c r="W1977" s="718"/>
      <c r="X1977" s="712"/>
      <c r="Y1977" s="712">
        <v>26</v>
      </c>
      <c r="Z1977" s="712"/>
      <c r="AA1977" s="712"/>
      <c r="AB1977" s="712"/>
      <c r="AC1977" s="712"/>
      <c r="AD1977" s="716">
        <v>520</v>
      </c>
      <c r="AE1977" s="716">
        <v>330</v>
      </c>
      <c r="AF1977" s="716">
        <v>150</v>
      </c>
      <c r="AG1977" s="66">
        <f t="shared" si="79"/>
        <v>111.91846153846156</v>
      </c>
      <c r="AH1977" s="143">
        <f t="shared" si="80"/>
        <v>1000</v>
      </c>
    </row>
    <row r="1978" spans="1:34" s="711" customFormat="1" x14ac:dyDescent="0.3">
      <c r="A1978" s="711">
        <v>904003</v>
      </c>
      <c r="B1978" s="712">
        <v>28.333333333333332</v>
      </c>
      <c r="C1978" s="711">
        <v>9.375</v>
      </c>
      <c r="D1978" s="711">
        <v>8.3699999999999992</v>
      </c>
      <c r="E1978" s="1566">
        <v>0.44900000000000001</v>
      </c>
      <c r="F1978" s="714">
        <v>368.5</v>
      </c>
      <c r="H1978" s="714">
        <v>71.736999999999995</v>
      </c>
      <c r="I1978" s="711">
        <v>464</v>
      </c>
      <c r="J1978" s="711">
        <v>0.45500000000000002</v>
      </c>
      <c r="K1978" s="712">
        <v>12.54</v>
      </c>
      <c r="L1978" s="711">
        <v>1190</v>
      </c>
      <c r="R1978" s="713">
        <v>2.2307692307692308</v>
      </c>
      <c r="S1978" s="711">
        <v>14.5</v>
      </c>
      <c r="T1978" s="715"/>
      <c r="U1978" s="715"/>
      <c r="V1978" s="715"/>
      <c r="W1978" s="715"/>
      <c r="X1978" s="712"/>
      <c r="Y1978" s="712">
        <v>39.6</v>
      </c>
      <c r="Z1978" s="712"/>
      <c r="AA1978" s="712"/>
      <c r="AB1978" s="712"/>
      <c r="AC1978" s="712"/>
      <c r="AD1978" s="716">
        <v>660</v>
      </c>
      <c r="AE1978" s="716">
        <v>240</v>
      </c>
      <c r="AF1978" s="716">
        <v>100</v>
      </c>
      <c r="AG1978" s="66">
        <f t="shared" si="79"/>
        <v>112.1</v>
      </c>
      <c r="AH1978" s="143">
        <f t="shared" si="80"/>
        <v>1000</v>
      </c>
    </row>
    <row r="1979" spans="1:34" s="711" customFormat="1" x14ac:dyDescent="0.3">
      <c r="A1979" s="711">
        <v>904004</v>
      </c>
      <c r="B1979" s="712">
        <v>27.499999999999996</v>
      </c>
      <c r="C1979" s="711">
        <v>9</v>
      </c>
      <c r="D1979" s="711">
        <v>8.58</v>
      </c>
      <c r="E1979" s="1566">
        <v>0.41599999999999998</v>
      </c>
      <c r="F1979" s="714">
        <v>384.90000000000003</v>
      </c>
      <c r="H1979" s="714">
        <v>44.362000000000002</v>
      </c>
      <c r="I1979" s="711">
        <v>390</v>
      </c>
      <c r="J1979" s="711">
        <v>0.72899999999999998</v>
      </c>
      <c r="K1979" s="712">
        <v>12.32</v>
      </c>
      <c r="L1979" s="711">
        <v>1300</v>
      </c>
      <c r="R1979" s="713">
        <v>1.7846153846153845</v>
      </c>
      <c r="S1979" s="711">
        <v>11.6</v>
      </c>
      <c r="T1979" s="715"/>
      <c r="U1979" s="715"/>
      <c r="V1979" s="715"/>
      <c r="W1979" s="715"/>
      <c r="X1979" s="712"/>
      <c r="Y1979" s="712">
        <v>32</v>
      </c>
      <c r="Z1979" s="712"/>
      <c r="AA1979" s="712"/>
      <c r="AB1979" s="712"/>
      <c r="AC1979" s="712"/>
      <c r="AD1979" s="716">
        <v>640</v>
      </c>
      <c r="AE1979" s="716">
        <v>270</v>
      </c>
      <c r="AF1979" s="716">
        <v>90</v>
      </c>
      <c r="AG1979" s="66">
        <f t="shared" si="79"/>
        <v>136.29</v>
      </c>
      <c r="AH1979" s="143">
        <f t="shared" si="80"/>
        <v>1000</v>
      </c>
    </row>
    <row r="1980" spans="1:34" s="90" customFormat="1" x14ac:dyDescent="0.3">
      <c r="A1980" s="700">
        <v>904005</v>
      </c>
      <c r="B1980" s="701">
        <v>23.75</v>
      </c>
      <c r="C1980" s="700">
        <v>8.375</v>
      </c>
      <c r="D1980" s="700">
        <v>8.42</v>
      </c>
      <c r="E1980" s="1568">
        <v>5.85</v>
      </c>
      <c r="F1980" s="709">
        <v>5104.5</v>
      </c>
      <c r="G1980" s="700"/>
      <c r="H1980" s="708">
        <v>29.169</v>
      </c>
      <c r="I1980" s="700">
        <v>504</v>
      </c>
      <c r="J1980" s="706">
        <v>2.5019999999999998</v>
      </c>
      <c r="K1980" s="701">
        <v>11.24</v>
      </c>
      <c r="L1980" s="700">
        <v>2610</v>
      </c>
      <c r="M1980" s="700"/>
      <c r="N1980" s="700"/>
      <c r="O1980" s="700"/>
      <c r="P1980" s="700"/>
      <c r="Q1980" s="700"/>
      <c r="R1980" s="702">
        <v>1.6923076923076923</v>
      </c>
      <c r="S1980" s="700">
        <v>11</v>
      </c>
      <c r="T1980" s="14"/>
      <c r="U1980" s="14"/>
      <c r="V1980" s="14"/>
      <c r="W1980" s="14"/>
      <c r="X1980" s="701"/>
      <c r="Y1980" s="701">
        <v>23.4</v>
      </c>
      <c r="Z1980" s="701"/>
      <c r="AA1980" s="701"/>
      <c r="AB1980" s="701"/>
      <c r="AC1980" s="701"/>
      <c r="AD1980" s="703">
        <v>390</v>
      </c>
      <c r="AE1980" s="703">
        <v>490</v>
      </c>
      <c r="AF1980" s="703">
        <v>120</v>
      </c>
      <c r="AG1980" s="66">
        <f t="shared" si="79"/>
        <v>170.04102564102564</v>
      </c>
      <c r="AH1980" s="143">
        <f t="shared" si="80"/>
        <v>1000</v>
      </c>
    </row>
    <row r="1981" spans="1:34" s="90" customFormat="1" x14ac:dyDescent="0.3">
      <c r="A1981" s="700">
        <v>904006</v>
      </c>
      <c r="B1981" s="701">
        <v>32.499999999999993</v>
      </c>
      <c r="C1981" s="700">
        <v>10.125</v>
      </c>
      <c r="D1981" s="700">
        <v>8.3699999999999992</v>
      </c>
      <c r="E1981" s="1568">
        <v>1.2</v>
      </c>
      <c r="F1981" s="709">
        <v>524.5</v>
      </c>
      <c r="G1981" s="700"/>
      <c r="H1981" s="708">
        <v>14.904999999999999</v>
      </c>
      <c r="I1981" s="700">
        <v>528</v>
      </c>
      <c r="J1981" s="706">
        <v>0.188</v>
      </c>
      <c r="K1981" s="701">
        <v>11.34</v>
      </c>
      <c r="L1981" s="700">
        <v>1150</v>
      </c>
      <c r="M1981" s="700"/>
      <c r="N1981" s="700"/>
      <c r="O1981" s="700"/>
      <c r="P1981" s="700"/>
      <c r="Q1981" s="700"/>
      <c r="R1981" s="702">
        <v>1</v>
      </c>
      <c r="S1981" s="700">
        <v>6.5</v>
      </c>
      <c r="T1981" s="14"/>
      <c r="U1981" s="14"/>
      <c r="V1981" s="14"/>
      <c r="W1981" s="14"/>
      <c r="X1981" s="701"/>
      <c r="Y1981" s="701">
        <v>20</v>
      </c>
      <c r="Z1981" s="701"/>
      <c r="AA1981" s="701"/>
      <c r="AB1981" s="701"/>
      <c r="AC1981" s="701"/>
      <c r="AD1981" s="703">
        <v>400</v>
      </c>
      <c r="AE1981" s="703">
        <v>280</v>
      </c>
      <c r="AF1981" s="703">
        <v>320</v>
      </c>
      <c r="AG1981" s="66">
        <f t="shared" si="79"/>
        <v>200.71800000000002</v>
      </c>
      <c r="AH1981" s="143">
        <f t="shared" si="80"/>
        <v>1000</v>
      </c>
    </row>
    <row r="1982" spans="1:34" x14ac:dyDescent="0.3">
      <c r="A1982" s="700">
        <v>904007</v>
      </c>
      <c r="B1982" s="701">
        <v>27.083333333333332</v>
      </c>
      <c r="C1982" s="700">
        <v>9</v>
      </c>
      <c r="D1982" s="700">
        <v>8.5299999999999994</v>
      </c>
      <c r="E1982" s="1568">
        <v>3.39</v>
      </c>
      <c r="F1982" s="709">
        <v>4189</v>
      </c>
      <c r="G1982" s="700"/>
      <c r="H1982" s="708">
        <v>32.713999999999999</v>
      </c>
      <c r="I1982" s="700">
        <v>225</v>
      </c>
      <c r="J1982" s="706">
        <v>3.1360000000000001</v>
      </c>
      <c r="K1982" s="701">
        <v>8.66</v>
      </c>
      <c r="L1982" s="700">
        <v>960</v>
      </c>
      <c r="M1982" s="700"/>
      <c r="N1982" s="700"/>
      <c r="O1982" s="700"/>
      <c r="P1982" s="700"/>
      <c r="Q1982" s="700"/>
      <c r="R1982" s="702">
        <v>0.64615384615384619</v>
      </c>
      <c r="S1982" s="700">
        <v>4.2</v>
      </c>
      <c r="T1982" s="625"/>
      <c r="U1982" s="625"/>
      <c r="V1982" s="625"/>
      <c r="W1982" s="625"/>
      <c r="X1982" s="701"/>
      <c r="Y1982" s="701">
        <v>32.4</v>
      </c>
      <c r="Z1982" s="701"/>
      <c r="AA1982" s="701"/>
      <c r="AB1982" s="701"/>
      <c r="AC1982" s="701"/>
      <c r="AD1982" s="703">
        <v>540</v>
      </c>
      <c r="AE1982" s="703">
        <v>280</v>
      </c>
      <c r="AF1982" s="703">
        <v>240</v>
      </c>
      <c r="AG1982" s="66">
        <f t="shared" si="79"/>
        <v>94.618518518518528</v>
      </c>
      <c r="AH1982" s="143">
        <f t="shared" si="80"/>
        <v>1060</v>
      </c>
    </row>
    <row r="1983" spans="1:34" x14ac:dyDescent="0.3">
      <c r="A1983" s="700">
        <v>904008</v>
      </c>
      <c r="B1983" s="701">
        <v>29.166666666666664</v>
      </c>
      <c r="C1983" s="700">
        <v>8.6249999999999982</v>
      </c>
      <c r="D1983" s="700">
        <v>8.69</v>
      </c>
      <c r="E1983" s="1568">
        <v>0.9</v>
      </c>
      <c r="F1983" s="709">
        <v>716.15</v>
      </c>
      <c r="G1983" s="700"/>
      <c r="H1983" s="708">
        <v>12.513</v>
      </c>
      <c r="I1983" s="700">
        <v>364</v>
      </c>
      <c r="J1983" s="706">
        <v>1.115</v>
      </c>
      <c r="K1983" s="701">
        <v>11.21</v>
      </c>
      <c r="L1983" s="700">
        <v>1350</v>
      </c>
      <c r="M1983" s="700"/>
      <c r="N1983" s="700"/>
      <c r="O1983" s="700"/>
      <c r="P1983" s="700"/>
      <c r="Q1983" s="700"/>
      <c r="R1983" s="702">
        <v>0.89230769230769225</v>
      </c>
      <c r="S1983" s="701">
        <v>5.8</v>
      </c>
      <c r="T1983" s="627"/>
      <c r="U1983" s="627"/>
      <c r="V1983" s="627"/>
      <c r="W1983" s="627"/>
      <c r="X1983" s="701"/>
      <c r="Y1983" s="701">
        <v>36</v>
      </c>
      <c r="Z1983" s="701"/>
      <c r="AA1983" s="701"/>
      <c r="AB1983" s="701"/>
      <c r="AC1983" s="701"/>
      <c r="AD1983" s="703">
        <v>600</v>
      </c>
      <c r="AE1983" s="703">
        <v>300</v>
      </c>
      <c r="AF1983" s="703">
        <v>100</v>
      </c>
      <c r="AG1983" s="66">
        <f t="shared" si="79"/>
        <v>110.23166666666668</v>
      </c>
      <c r="AH1983" s="143">
        <f t="shared" si="80"/>
        <v>1000</v>
      </c>
    </row>
    <row r="1984" spans="1:34" x14ac:dyDescent="0.3">
      <c r="A1984" s="700">
        <v>904009</v>
      </c>
      <c r="B1984" s="701">
        <v>35.416666666666671</v>
      </c>
      <c r="C1984" s="700">
        <v>10.25</v>
      </c>
      <c r="D1984" s="700">
        <v>8.67</v>
      </c>
      <c r="E1984" s="1569">
        <v>0.69</v>
      </c>
      <c r="F1984" s="708">
        <v>450.65</v>
      </c>
      <c r="G1984" s="700"/>
      <c r="H1984" s="708">
        <v>13.723000000000001</v>
      </c>
      <c r="I1984" s="700">
        <v>141</v>
      </c>
      <c r="J1984" s="700">
        <v>0.38200000000000001</v>
      </c>
      <c r="K1984" s="701">
        <v>8.06</v>
      </c>
      <c r="L1984" s="700">
        <v>410</v>
      </c>
      <c r="M1984" s="700"/>
      <c r="N1984" s="700"/>
      <c r="O1984" s="700"/>
      <c r="P1984" s="700"/>
      <c r="Q1984" s="700"/>
      <c r="R1984" s="702">
        <v>0.89230769230769225</v>
      </c>
      <c r="S1984" s="701">
        <v>5.8</v>
      </c>
      <c r="T1984" s="625"/>
      <c r="U1984" s="625"/>
      <c r="V1984" s="625"/>
      <c r="W1984" s="625"/>
      <c r="X1984" s="701"/>
      <c r="Y1984" s="701">
        <v>25</v>
      </c>
      <c r="Z1984" s="701"/>
      <c r="AA1984" s="701"/>
      <c r="AB1984" s="701"/>
      <c r="AC1984" s="701"/>
      <c r="AD1984" s="703">
        <v>500</v>
      </c>
      <c r="AE1984" s="703">
        <v>400</v>
      </c>
      <c r="AF1984" s="703">
        <v>100</v>
      </c>
      <c r="AG1984" s="66">
        <f t="shared" si="79"/>
        <v>114.12960000000001</v>
      </c>
      <c r="AH1984" s="143">
        <f t="shared" si="80"/>
        <v>1000</v>
      </c>
    </row>
    <row r="1985" spans="1:34" s="711" customFormat="1" x14ac:dyDescent="0.3">
      <c r="A1985" s="711">
        <v>904010</v>
      </c>
      <c r="B1985" s="712">
        <v>0.24999999999999997</v>
      </c>
      <c r="D1985" s="711">
        <v>7.72</v>
      </c>
      <c r="E1985" s="1566">
        <v>0.121</v>
      </c>
      <c r="F1985" s="714">
        <v>46.849999999999994</v>
      </c>
      <c r="H1985" s="714">
        <v>114.107</v>
      </c>
      <c r="I1985" s="711">
        <v>132</v>
      </c>
      <c r="J1985" s="711">
        <v>7.3999999999999996E-2</v>
      </c>
      <c r="K1985" s="712">
        <v>1.19</v>
      </c>
      <c r="L1985" s="711">
        <v>70</v>
      </c>
      <c r="M1985" s="711">
        <v>1.02</v>
      </c>
      <c r="N1985" s="711">
        <v>0.36</v>
      </c>
      <c r="O1985" s="711">
        <v>2.9</v>
      </c>
      <c r="P1985" s="711">
        <v>7.35</v>
      </c>
      <c r="R1985" s="713">
        <v>1.2000000000000002</v>
      </c>
      <c r="S1985" s="712">
        <v>7.8000000000000007</v>
      </c>
      <c r="T1985" s="718"/>
      <c r="U1985" s="718"/>
      <c r="V1985" s="718"/>
      <c r="W1985" s="718"/>
      <c r="X1985" s="712"/>
      <c r="Y1985" s="712">
        <v>3</v>
      </c>
      <c r="Z1985" s="712"/>
      <c r="AA1985" s="712">
        <v>4.3600000000000003</v>
      </c>
      <c r="AB1985" s="712">
        <v>0.78500000000000003</v>
      </c>
      <c r="AC1985" s="712">
        <v>7</v>
      </c>
      <c r="AD1985" s="716">
        <v>60</v>
      </c>
      <c r="AE1985" s="716">
        <v>60</v>
      </c>
      <c r="AF1985" s="716">
        <v>880</v>
      </c>
      <c r="AG1985" s="66">
        <f t="shared" si="79"/>
        <v>140.41999999999999</v>
      </c>
      <c r="AH1985" s="143">
        <f t="shared" si="80"/>
        <v>1000</v>
      </c>
    </row>
    <row r="1986" spans="1:34" x14ac:dyDescent="0.3">
      <c r="A1986" s="700">
        <v>904011</v>
      </c>
      <c r="B1986" s="710">
        <v>8.3333333333333329E-2</v>
      </c>
      <c r="C1986" s="700"/>
      <c r="D1986" s="706">
        <v>7.4300000000000006</v>
      </c>
      <c r="E1986" s="1569">
        <v>6.9000000000000006E-2</v>
      </c>
      <c r="F1986" s="708">
        <v>49.15</v>
      </c>
      <c r="G1986" s="700"/>
      <c r="H1986" s="708">
        <v>63.636000000000003</v>
      </c>
      <c r="I1986" s="700">
        <v>69</v>
      </c>
      <c r="J1986" s="700">
        <v>3.4000000000000002E-2</v>
      </c>
      <c r="K1986" s="710">
        <v>0.84</v>
      </c>
      <c r="L1986" s="700">
        <v>40</v>
      </c>
      <c r="M1986" s="700">
        <v>0.87</v>
      </c>
      <c r="N1986" s="700">
        <v>0.23</v>
      </c>
      <c r="O1986" s="700">
        <v>2.81</v>
      </c>
      <c r="P1986" s="700">
        <v>9.1300000000000008</v>
      </c>
      <c r="Q1986" s="700"/>
      <c r="R1986" s="702">
        <v>0.98461538461538467</v>
      </c>
      <c r="S1986" s="700">
        <v>6.4</v>
      </c>
      <c r="T1986" s="625"/>
      <c r="U1986" s="625"/>
      <c r="V1986" s="625"/>
      <c r="W1986" s="625"/>
      <c r="X1986" s="701"/>
      <c r="Y1986" s="710">
        <v>4.2</v>
      </c>
      <c r="Z1986" s="701"/>
      <c r="AA1986" s="701">
        <v>3.55</v>
      </c>
      <c r="AB1986" s="701">
        <v>0.77400000000000002</v>
      </c>
      <c r="AC1986" s="701">
        <v>11.8</v>
      </c>
      <c r="AD1986" s="703">
        <v>60</v>
      </c>
      <c r="AE1986" s="703">
        <v>60</v>
      </c>
      <c r="AF1986" s="703">
        <v>880</v>
      </c>
      <c r="AG1986" s="66">
        <f t="shared" ref="AG1986:AG2049" si="82">+K1986*3.54*100/Y1986</f>
        <v>70.799999999999983</v>
      </c>
      <c r="AH1986" s="143">
        <f t="shared" ref="AH1986:AH2049" si="83">+SUM(AD1986:AF1986)</f>
        <v>1000</v>
      </c>
    </row>
    <row r="1987" spans="1:34" ht="19.5" thickBot="1" x14ac:dyDescent="0.35">
      <c r="A1987" s="700">
        <v>904012</v>
      </c>
      <c r="B1987" s="710">
        <v>8.3333333333333329E-2</v>
      </c>
      <c r="C1987" s="700"/>
      <c r="D1987" s="706">
        <v>7.08</v>
      </c>
      <c r="E1987" s="1569">
        <v>0.1</v>
      </c>
      <c r="F1987" s="708">
        <v>68.5</v>
      </c>
      <c r="G1987" s="700"/>
      <c r="H1987" s="708">
        <v>100.54600000000001</v>
      </c>
      <c r="I1987" s="700">
        <v>140</v>
      </c>
      <c r="J1987" s="700">
        <v>0.05</v>
      </c>
      <c r="K1987" s="710">
        <v>0.65</v>
      </c>
      <c r="L1987" s="700">
        <v>50</v>
      </c>
      <c r="M1987" s="700">
        <v>0.88</v>
      </c>
      <c r="N1987" s="700">
        <v>0.25</v>
      </c>
      <c r="O1987" s="700">
        <v>5.66</v>
      </c>
      <c r="P1987" s="700">
        <v>9.3699999999999992</v>
      </c>
      <c r="Q1987" s="700"/>
      <c r="R1987" s="702">
        <v>1.0615384615384615</v>
      </c>
      <c r="S1987" s="700">
        <v>6.8999999999999995</v>
      </c>
      <c r="T1987" s="704"/>
      <c r="U1987" s="704"/>
      <c r="V1987" s="704"/>
      <c r="W1987" s="704"/>
      <c r="X1987" s="701"/>
      <c r="Y1987" s="710">
        <v>4</v>
      </c>
      <c r="Z1987" s="701"/>
      <c r="AA1987" s="701">
        <v>3.67</v>
      </c>
      <c r="AB1987" s="701">
        <v>0.317</v>
      </c>
      <c r="AC1987" s="701">
        <v>11.6</v>
      </c>
      <c r="AD1987" s="703">
        <v>80</v>
      </c>
      <c r="AE1987" s="703">
        <v>60</v>
      </c>
      <c r="AF1987" s="703">
        <v>860</v>
      </c>
      <c r="AG1987" s="66">
        <f t="shared" si="82"/>
        <v>57.525000000000006</v>
      </c>
      <c r="AH1987" s="143">
        <f t="shared" si="83"/>
        <v>1000</v>
      </c>
    </row>
    <row r="1988" spans="1:34" x14ac:dyDescent="0.3">
      <c r="A1988" s="752">
        <v>904013</v>
      </c>
      <c r="B1988" s="138">
        <v>3.3</v>
      </c>
      <c r="D1988" s="152">
        <v>8.35</v>
      </c>
      <c r="E1988" s="752">
        <v>0.219</v>
      </c>
      <c r="F1988" s="142">
        <v>56.900000000000006</v>
      </c>
      <c r="H1988" s="142">
        <v>24.59</v>
      </c>
      <c r="I1988" s="752">
        <v>300</v>
      </c>
      <c r="J1988" s="141">
        <v>0.10299999999999999</v>
      </c>
      <c r="K1988" s="138">
        <v>7.23</v>
      </c>
      <c r="L1988" s="90">
        <v>870</v>
      </c>
      <c r="M1988" s="753">
        <v>0.48</v>
      </c>
      <c r="N1988" s="753">
        <v>1.23</v>
      </c>
      <c r="O1988" s="753">
        <v>7.99</v>
      </c>
      <c r="P1988" s="753">
        <v>2.36</v>
      </c>
      <c r="R1988" s="139">
        <v>1.6557080000000002</v>
      </c>
      <c r="S1988" s="138">
        <v>12.4</v>
      </c>
      <c r="Y1988" s="138">
        <v>28.6</v>
      </c>
      <c r="Z1988" s="90"/>
      <c r="AA1988" s="152">
        <v>4.09</v>
      </c>
      <c r="AB1988" s="152">
        <v>0.34399999999999997</v>
      </c>
      <c r="AC1988" s="90">
        <v>8</v>
      </c>
      <c r="AD1988" s="118">
        <v>500</v>
      </c>
      <c r="AE1988" s="70">
        <v>230</v>
      </c>
      <c r="AF1988" s="70">
        <v>270</v>
      </c>
      <c r="AG1988" s="66">
        <f t="shared" si="82"/>
        <v>89.490209790209789</v>
      </c>
      <c r="AH1988" s="143">
        <f t="shared" si="83"/>
        <v>1000</v>
      </c>
    </row>
    <row r="1989" spans="1:34" x14ac:dyDescent="0.3">
      <c r="A1989" s="752">
        <v>904014</v>
      </c>
      <c r="B1989" s="138">
        <v>6.7</v>
      </c>
      <c r="D1989" s="152">
        <v>8.33</v>
      </c>
      <c r="E1989" s="752">
        <v>0.251</v>
      </c>
      <c r="F1989" s="142">
        <v>154.55000000000001</v>
      </c>
      <c r="H1989" s="142">
        <v>92.9</v>
      </c>
      <c r="I1989" s="752">
        <v>101</v>
      </c>
      <c r="J1989" s="141">
        <v>0.14299999999999999</v>
      </c>
      <c r="K1989" s="138">
        <v>7.03</v>
      </c>
      <c r="L1989" s="90">
        <v>550</v>
      </c>
      <c r="M1989" s="753">
        <v>4</v>
      </c>
      <c r="N1989" s="753">
        <v>3.08</v>
      </c>
      <c r="O1989" s="753">
        <v>8.74</v>
      </c>
      <c r="P1989" s="753">
        <v>2.72</v>
      </c>
      <c r="R1989" s="139">
        <v>1.2833524866647592</v>
      </c>
      <c r="S1989" s="138">
        <v>8.8000000000000007</v>
      </c>
      <c r="Y1989" s="138">
        <v>3.6</v>
      </c>
      <c r="Z1989" s="90"/>
      <c r="AA1989" s="152">
        <v>4.04</v>
      </c>
      <c r="AB1989" s="152">
        <v>0.37</v>
      </c>
      <c r="AC1989" s="90">
        <v>7.2</v>
      </c>
      <c r="AD1989" s="118">
        <v>60</v>
      </c>
      <c r="AE1989" s="70">
        <v>60</v>
      </c>
      <c r="AF1989" s="70">
        <v>880</v>
      </c>
      <c r="AG1989" s="66">
        <f t="shared" si="82"/>
        <v>691.28333333333342</v>
      </c>
      <c r="AH1989" s="143">
        <f t="shared" si="83"/>
        <v>1000</v>
      </c>
    </row>
    <row r="1990" spans="1:34" x14ac:dyDescent="0.3">
      <c r="A1990" s="752">
        <v>904015</v>
      </c>
      <c r="B1990" s="138">
        <v>2.2000000000000002</v>
      </c>
      <c r="D1990" s="152">
        <v>8.01</v>
      </c>
      <c r="E1990" s="752">
        <v>0.29099999999999998</v>
      </c>
      <c r="F1990" s="142">
        <v>163.70000000000002</v>
      </c>
      <c r="H1990" s="142">
        <v>186.31</v>
      </c>
      <c r="I1990" s="752">
        <v>192</v>
      </c>
      <c r="J1990" s="141">
        <v>0.124</v>
      </c>
      <c r="K1990" s="138">
        <v>3.16</v>
      </c>
      <c r="L1990" s="90">
        <v>550</v>
      </c>
      <c r="M1990" s="753">
        <v>3.7</v>
      </c>
      <c r="N1990" s="753">
        <v>3.05</v>
      </c>
      <c r="O1990" s="753">
        <v>6.7</v>
      </c>
      <c r="P1990" s="753">
        <v>3.32</v>
      </c>
      <c r="R1990" s="139">
        <v>1.2908349945142299</v>
      </c>
      <c r="S1990" s="138">
        <v>9</v>
      </c>
      <c r="Y1990" s="138">
        <v>4.8</v>
      </c>
      <c r="Z1990" s="90"/>
      <c r="AA1990" s="152">
        <v>3.87</v>
      </c>
      <c r="AB1990" s="152">
        <v>0.51</v>
      </c>
      <c r="AC1990" s="90">
        <v>10.8</v>
      </c>
      <c r="AD1990" s="118">
        <v>80</v>
      </c>
      <c r="AE1990" s="70">
        <v>60</v>
      </c>
      <c r="AF1990" s="70">
        <v>860</v>
      </c>
      <c r="AG1990" s="66">
        <f t="shared" si="82"/>
        <v>233.05000000000004</v>
      </c>
      <c r="AH1990" s="143">
        <f t="shared" si="83"/>
        <v>1000</v>
      </c>
    </row>
    <row r="1991" spans="1:34" x14ac:dyDescent="0.3">
      <c r="A1991" s="752">
        <v>904016</v>
      </c>
      <c r="B1991" s="138">
        <v>8</v>
      </c>
      <c r="D1991" s="152">
        <v>8.5</v>
      </c>
      <c r="E1991" s="752">
        <v>0.17899999999999999</v>
      </c>
      <c r="F1991" s="142">
        <v>90.45</v>
      </c>
      <c r="H1991" s="142">
        <v>155.4</v>
      </c>
      <c r="I1991" s="752">
        <v>72</v>
      </c>
      <c r="J1991" s="141">
        <v>9.1999999999999998E-2</v>
      </c>
      <c r="K1991" s="138">
        <v>6.84</v>
      </c>
      <c r="L1991" s="90">
        <v>580</v>
      </c>
      <c r="M1991" s="753">
        <v>3.15</v>
      </c>
      <c r="N1991" s="753">
        <v>2.5499999999999998</v>
      </c>
      <c r="O1991" s="753">
        <v>6.35</v>
      </c>
      <c r="P1991" s="753">
        <v>2.57</v>
      </c>
      <c r="R1991" s="139">
        <v>1.1257573569915256</v>
      </c>
      <c r="S1991" s="138">
        <v>7.9</v>
      </c>
      <c r="Y1991" s="138">
        <v>4.2</v>
      </c>
      <c r="Z1991" s="90"/>
      <c r="AA1991" s="152">
        <v>4.93</v>
      </c>
      <c r="AB1991" s="152">
        <v>0.60499999999999998</v>
      </c>
      <c r="AC1991" s="90">
        <v>9.4</v>
      </c>
      <c r="AD1991" s="118">
        <v>60</v>
      </c>
      <c r="AE1991" s="70">
        <v>60</v>
      </c>
      <c r="AF1991" s="70">
        <v>880</v>
      </c>
      <c r="AG1991" s="66">
        <f t="shared" si="82"/>
        <v>576.51428571428573</v>
      </c>
      <c r="AH1991" s="143">
        <f t="shared" si="83"/>
        <v>1000</v>
      </c>
    </row>
    <row r="1992" spans="1:34" x14ac:dyDescent="0.3">
      <c r="A1992" s="752">
        <v>904017</v>
      </c>
      <c r="B1992" s="138">
        <v>0.4</v>
      </c>
      <c r="D1992" s="152">
        <v>7.9</v>
      </c>
      <c r="E1992" s="752">
        <v>0.115</v>
      </c>
      <c r="F1992" s="142">
        <v>29.900000000000002</v>
      </c>
      <c r="H1992" s="142">
        <v>169.26</v>
      </c>
      <c r="I1992" s="752">
        <v>117</v>
      </c>
      <c r="J1992" s="141">
        <v>2.4E-2</v>
      </c>
      <c r="K1992" s="138">
        <v>3.11</v>
      </c>
      <c r="L1992" s="90">
        <v>280</v>
      </c>
      <c r="M1992" s="753">
        <v>3.68</v>
      </c>
      <c r="N1992" s="753">
        <v>1.35</v>
      </c>
      <c r="O1992" s="753">
        <v>9.15</v>
      </c>
      <c r="P1992" s="753">
        <v>6.12</v>
      </c>
      <c r="R1992" s="139">
        <v>1.3828760776490043</v>
      </c>
      <c r="S1992" s="138">
        <v>10</v>
      </c>
      <c r="Y1992" s="138">
        <v>8.4</v>
      </c>
      <c r="Z1992" s="90"/>
      <c r="AA1992" s="152">
        <v>3.65</v>
      </c>
      <c r="AB1992" s="152">
        <v>0.377</v>
      </c>
      <c r="AC1992" s="90">
        <v>10.7</v>
      </c>
      <c r="AD1992" s="118">
        <v>140</v>
      </c>
      <c r="AE1992" s="70">
        <v>80</v>
      </c>
      <c r="AF1992" s="70">
        <v>780</v>
      </c>
      <c r="AG1992" s="66">
        <f t="shared" si="82"/>
        <v>131.06428571428572</v>
      </c>
      <c r="AH1992" s="143">
        <f t="shared" si="83"/>
        <v>1000</v>
      </c>
    </row>
    <row r="1993" spans="1:34" s="755" customFormat="1" x14ac:dyDescent="0.3">
      <c r="A1993" s="755">
        <v>904018</v>
      </c>
      <c r="B1993" s="756">
        <v>0.1</v>
      </c>
      <c r="C1993" s="756"/>
      <c r="D1993" s="756">
        <v>7.6</v>
      </c>
      <c r="E1993" s="1570">
        <v>5.2999999999999999E-2</v>
      </c>
      <c r="F1993" s="758">
        <v>23.799999999999997</v>
      </c>
      <c r="H1993" s="758">
        <v>96.79</v>
      </c>
      <c r="I1993" s="758">
        <f>0.03*1000</f>
        <v>30</v>
      </c>
      <c r="J1993" s="759">
        <v>0.02</v>
      </c>
      <c r="K1993" s="756">
        <v>0.92</v>
      </c>
      <c r="L1993" s="755">
        <f>1000*0.03</f>
        <v>30</v>
      </c>
      <c r="M1993" s="755">
        <v>1.1000000000000001</v>
      </c>
      <c r="N1993" s="755">
        <v>0.73</v>
      </c>
      <c r="O1993" s="755">
        <v>2.64</v>
      </c>
      <c r="P1993" s="755">
        <v>17.5</v>
      </c>
      <c r="R1993" s="757">
        <v>0.58727513935254971</v>
      </c>
      <c r="S1993" s="756">
        <v>4.0999999999999996</v>
      </c>
      <c r="Y1993" s="1424">
        <v>5.6</v>
      </c>
      <c r="AA1993" s="757">
        <v>4.99</v>
      </c>
      <c r="AB1993" s="757">
        <v>0.433</v>
      </c>
      <c r="AC1993" s="755">
        <v>8.4</v>
      </c>
      <c r="AD1993" s="760">
        <v>80</v>
      </c>
      <c r="AE1993" s="760">
        <v>60</v>
      </c>
      <c r="AF1993" s="760">
        <v>860</v>
      </c>
      <c r="AG1993" s="66">
        <f t="shared" si="82"/>
        <v>58.157142857142865</v>
      </c>
      <c r="AH1993" s="143">
        <f t="shared" si="83"/>
        <v>1000</v>
      </c>
    </row>
    <row r="1994" spans="1:34" s="755" customFormat="1" x14ac:dyDescent="0.3">
      <c r="A1994" s="755">
        <v>904019</v>
      </c>
      <c r="B1994" s="756">
        <v>9.8888888888888893</v>
      </c>
      <c r="C1994" s="756"/>
      <c r="D1994" s="756">
        <v>8.1199999999999992</v>
      </c>
      <c r="E1994" s="1570">
        <v>0.14499999999999999</v>
      </c>
      <c r="F1994" s="755">
        <v>48.949999999999996</v>
      </c>
      <c r="H1994" s="755">
        <v>11.79</v>
      </c>
      <c r="I1994" s="755">
        <f>0.21*1000</f>
        <v>210</v>
      </c>
      <c r="J1994" s="755">
        <v>0.184</v>
      </c>
      <c r="K1994" s="755">
        <v>11.87</v>
      </c>
      <c r="L1994" s="755">
        <f>1000*1.91</f>
        <v>1910</v>
      </c>
      <c r="M1994" s="755">
        <v>0.15</v>
      </c>
      <c r="N1994" s="755">
        <v>2.41</v>
      </c>
      <c r="O1994" s="755">
        <v>0.98</v>
      </c>
      <c r="P1994" s="755">
        <v>10.72</v>
      </c>
      <c r="R1994" s="757">
        <v>0.99263691668372867</v>
      </c>
      <c r="S1994" s="755">
        <v>7.4</v>
      </c>
      <c r="Y1994" s="755">
        <v>32.4</v>
      </c>
      <c r="AA1994" s="755">
        <v>4.16</v>
      </c>
      <c r="AB1994" s="755">
        <v>0.54100000000000004</v>
      </c>
      <c r="AC1994" s="755">
        <v>10.5</v>
      </c>
      <c r="AD1994" s="755">
        <v>540</v>
      </c>
      <c r="AE1994" s="755">
        <v>340</v>
      </c>
      <c r="AF1994" s="755">
        <v>120</v>
      </c>
      <c r="AG1994" s="66">
        <f t="shared" si="82"/>
        <v>129.69074074074072</v>
      </c>
      <c r="AH1994" s="143">
        <f t="shared" si="83"/>
        <v>1000</v>
      </c>
    </row>
    <row r="1995" spans="1:34" s="818" customFormat="1" x14ac:dyDescent="0.3">
      <c r="A1995" s="818">
        <v>904020</v>
      </c>
      <c r="B1995" s="819">
        <v>3.3333333333333335</v>
      </c>
      <c r="C1995" s="819"/>
      <c r="D1995" s="820">
        <v>8.24</v>
      </c>
      <c r="E1995" s="1571">
        <v>0.70899999999999996</v>
      </c>
      <c r="F1995" s="821">
        <v>680.5</v>
      </c>
      <c r="H1995" s="821">
        <v>21.18</v>
      </c>
      <c r="I1995" s="821">
        <v>290</v>
      </c>
      <c r="J1995" s="822">
        <v>0.94699999999999995</v>
      </c>
      <c r="K1995" s="819">
        <v>8.23</v>
      </c>
      <c r="L1995" s="818">
        <v>1149</v>
      </c>
      <c r="M1995" s="818">
        <v>0.79</v>
      </c>
      <c r="N1995" s="818">
        <v>1.31</v>
      </c>
      <c r="O1995" s="818">
        <v>6.94</v>
      </c>
      <c r="P1995" s="818">
        <v>4.83</v>
      </c>
      <c r="R1995" s="820">
        <v>1.7029370000000001</v>
      </c>
      <c r="S1995" s="819">
        <v>13.7</v>
      </c>
      <c r="T1995" s="823"/>
      <c r="U1995" s="823"/>
      <c r="V1995" s="823"/>
      <c r="W1995" s="823"/>
      <c r="Y1995" s="819">
        <v>18.600000000000001</v>
      </c>
      <c r="AA1995" s="820">
        <v>4.95</v>
      </c>
      <c r="AB1995" s="820">
        <v>0.84699999999999998</v>
      </c>
      <c r="AC1995" s="818">
        <v>8.4</v>
      </c>
      <c r="AD1995" s="824">
        <v>310</v>
      </c>
      <c r="AE1995" s="824">
        <v>130</v>
      </c>
      <c r="AF1995" s="824">
        <v>560</v>
      </c>
      <c r="AG1995" s="66">
        <f t="shared" si="82"/>
        <v>156.63548387096776</v>
      </c>
      <c r="AH1995" s="143">
        <f t="shared" si="83"/>
        <v>1000</v>
      </c>
    </row>
    <row r="1996" spans="1:34" s="818" customFormat="1" x14ac:dyDescent="0.3">
      <c r="A1996" s="818">
        <v>904021</v>
      </c>
      <c r="B1996" s="819">
        <v>2.5277777777777772</v>
      </c>
      <c r="C1996" s="819"/>
      <c r="D1996" s="820">
        <v>8.17</v>
      </c>
      <c r="E1996" s="1571">
        <v>0.77600000000000002</v>
      </c>
      <c r="F1996" s="821">
        <v>772.45</v>
      </c>
      <c r="H1996" s="821">
        <v>30.75</v>
      </c>
      <c r="I1996" s="821">
        <v>310</v>
      </c>
      <c r="J1996" s="822">
        <v>0.88500000000000001</v>
      </c>
      <c r="K1996" s="819">
        <v>8.42</v>
      </c>
      <c r="L1996" s="818">
        <v>1370</v>
      </c>
      <c r="M1996" s="818">
        <v>0.72</v>
      </c>
      <c r="N1996" s="818">
        <v>1.1000000000000001</v>
      </c>
      <c r="O1996" s="818">
        <v>4.4800000000000004</v>
      </c>
      <c r="P1996" s="818">
        <v>5.12</v>
      </c>
      <c r="R1996" s="820">
        <v>1.651977</v>
      </c>
      <c r="S1996" s="819">
        <v>12.3</v>
      </c>
      <c r="T1996" s="825"/>
      <c r="U1996" s="825"/>
      <c r="V1996" s="825"/>
      <c r="W1996" s="825"/>
      <c r="Y1996" s="819">
        <v>18.600000000000001</v>
      </c>
      <c r="AA1996" s="820">
        <v>4.05</v>
      </c>
      <c r="AB1996" s="820">
        <v>0.40100000000000002</v>
      </c>
      <c r="AC1996" s="818">
        <v>10.3</v>
      </c>
      <c r="AD1996" s="824">
        <v>310</v>
      </c>
      <c r="AE1996" s="824">
        <v>120</v>
      </c>
      <c r="AF1996" s="824">
        <v>570</v>
      </c>
      <c r="AG1996" s="66">
        <f t="shared" si="82"/>
        <v>160.25161290322578</v>
      </c>
      <c r="AH1996" s="143">
        <f t="shared" si="83"/>
        <v>1000</v>
      </c>
    </row>
    <row r="1997" spans="1:34" s="818" customFormat="1" x14ac:dyDescent="0.3">
      <c r="A1997" s="818">
        <v>904022</v>
      </c>
      <c r="B1997" s="819">
        <v>2.5166666666666666</v>
      </c>
      <c r="C1997" s="819"/>
      <c r="D1997" s="820">
        <v>8.4600000000000009</v>
      </c>
      <c r="E1997" s="1571">
        <v>0.57199999999999995</v>
      </c>
      <c r="F1997" s="821">
        <v>578.80000000000007</v>
      </c>
      <c r="H1997" s="821">
        <v>35.28</v>
      </c>
      <c r="I1997" s="821">
        <v>370</v>
      </c>
      <c r="J1997" s="822">
        <v>0.78</v>
      </c>
      <c r="K1997" s="819">
        <v>8.2100000000000009</v>
      </c>
      <c r="L1997" s="818">
        <v>1330</v>
      </c>
      <c r="M1997" s="818">
        <v>0.93</v>
      </c>
      <c r="N1997" s="818">
        <v>0.94</v>
      </c>
      <c r="O1997" s="818">
        <v>3.71</v>
      </c>
      <c r="P1997" s="818">
        <v>3.52</v>
      </c>
      <c r="R1997" s="820">
        <v>1.6254680000000001</v>
      </c>
      <c r="S1997" s="819">
        <v>11.6</v>
      </c>
      <c r="T1997" s="823"/>
      <c r="U1997" s="823"/>
      <c r="V1997" s="823"/>
      <c r="W1997" s="823"/>
      <c r="Y1997" s="819">
        <v>15.5</v>
      </c>
      <c r="AA1997" s="820">
        <v>4.6900000000000004</v>
      </c>
      <c r="AB1997" s="820">
        <v>0.34</v>
      </c>
      <c r="AC1997" s="818">
        <v>11.6</v>
      </c>
      <c r="AD1997" s="824">
        <v>310</v>
      </c>
      <c r="AE1997" s="824">
        <v>130</v>
      </c>
      <c r="AF1997" s="824">
        <v>560</v>
      </c>
      <c r="AG1997" s="66">
        <f t="shared" si="82"/>
        <v>187.50580645161295</v>
      </c>
      <c r="AH1997" s="143">
        <f t="shared" si="83"/>
        <v>1000</v>
      </c>
    </row>
    <row r="1998" spans="1:34" s="818" customFormat="1" x14ac:dyDescent="0.3">
      <c r="A1998" s="818">
        <v>904023</v>
      </c>
      <c r="B1998" s="819">
        <v>5.208333333333333</v>
      </c>
      <c r="C1998" s="819"/>
      <c r="D1998" s="820">
        <v>8.42</v>
      </c>
      <c r="E1998" s="1571">
        <v>0.53</v>
      </c>
      <c r="F1998" s="821">
        <v>494.05</v>
      </c>
      <c r="H1998" s="821">
        <v>33.659999999999997</v>
      </c>
      <c r="I1998" s="821">
        <v>450</v>
      </c>
      <c r="J1998" s="822">
        <v>0.69199999999999995</v>
      </c>
      <c r="K1998" s="819">
        <v>8.68</v>
      </c>
      <c r="L1998" s="818">
        <v>810</v>
      </c>
      <c r="M1998" s="818">
        <v>0.34</v>
      </c>
      <c r="N1998" s="818">
        <v>0.81</v>
      </c>
      <c r="O1998" s="818">
        <v>2.72</v>
      </c>
      <c r="P1998" s="818">
        <v>2.79</v>
      </c>
      <c r="R1998" s="820">
        <v>1.5824250000000002</v>
      </c>
      <c r="S1998" s="819">
        <v>10.5</v>
      </c>
      <c r="T1998" s="825"/>
      <c r="U1998" s="825"/>
      <c r="V1998" s="825"/>
      <c r="W1998" s="825"/>
      <c r="Y1998" s="819">
        <v>19.2</v>
      </c>
      <c r="AA1998" s="820">
        <v>3.53</v>
      </c>
      <c r="AB1998" s="820">
        <v>0.82799999999999996</v>
      </c>
      <c r="AC1998" s="818">
        <v>9.5</v>
      </c>
      <c r="AD1998" s="824">
        <v>320</v>
      </c>
      <c r="AE1998" s="824">
        <v>130</v>
      </c>
      <c r="AF1998" s="824">
        <v>550</v>
      </c>
      <c r="AG1998" s="66">
        <f t="shared" si="82"/>
        <v>160.03749999999999</v>
      </c>
      <c r="AH1998" s="143">
        <f t="shared" si="83"/>
        <v>1000</v>
      </c>
    </row>
    <row r="1999" spans="1:34" s="818" customFormat="1" x14ac:dyDescent="0.3">
      <c r="A1999" s="818">
        <v>904024</v>
      </c>
      <c r="B1999" s="819">
        <v>5.5555555555555554</v>
      </c>
      <c r="C1999" s="819"/>
      <c r="D1999" s="820">
        <v>8.64</v>
      </c>
      <c r="E1999" s="1571">
        <v>0.39200000000000002</v>
      </c>
      <c r="F1999" s="821">
        <v>304.45</v>
      </c>
      <c r="H1999" s="821">
        <v>32.26</v>
      </c>
      <c r="I1999" s="821">
        <v>450</v>
      </c>
      <c r="J1999" s="822">
        <v>0.60099999999999998</v>
      </c>
      <c r="K1999" s="819">
        <v>11.03</v>
      </c>
      <c r="L1999" s="818">
        <v>860</v>
      </c>
      <c r="M1999" s="818">
        <v>0.32</v>
      </c>
      <c r="N1999" s="818">
        <v>0.81</v>
      </c>
      <c r="O1999" s="818">
        <v>2.1</v>
      </c>
      <c r="P1999" s="818">
        <v>2.97</v>
      </c>
      <c r="R1999" s="820">
        <v>1.5744170000000002</v>
      </c>
      <c r="S1999" s="819">
        <v>10.3</v>
      </c>
      <c r="T1999" s="823"/>
      <c r="U1999" s="823"/>
      <c r="V1999" s="823"/>
      <c r="W1999" s="823"/>
      <c r="Y1999" s="819">
        <v>18</v>
      </c>
      <c r="AA1999" s="820">
        <v>3.8</v>
      </c>
      <c r="AB1999" s="820">
        <v>0.34899999999999998</v>
      </c>
      <c r="AC1999" s="818">
        <v>11.4</v>
      </c>
      <c r="AD1999" s="824">
        <v>300</v>
      </c>
      <c r="AE1999" s="824">
        <v>140</v>
      </c>
      <c r="AF1999" s="824">
        <v>560</v>
      </c>
      <c r="AG1999" s="66">
        <f t="shared" si="82"/>
        <v>216.92333333333332</v>
      </c>
      <c r="AH1999" s="143">
        <f t="shared" si="83"/>
        <v>1000</v>
      </c>
    </row>
    <row r="2000" spans="1:34" s="818" customFormat="1" x14ac:dyDescent="0.3">
      <c r="A2000" s="818">
        <v>904025</v>
      </c>
      <c r="B2000" s="819">
        <v>13.333333333333334</v>
      </c>
      <c r="C2000" s="819">
        <v>5.2499999999999991</v>
      </c>
      <c r="D2000" s="820">
        <v>8.66</v>
      </c>
      <c r="E2000" s="1571">
        <v>0.27300000000000002</v>
      </c>
      <c r="F2000" s="821">
        <v>104.60000000000001</v>
      </c>
      <c r="H2000" s="821">
        <v>23.51</v>
      </c>
      <c r="I2000" s="821">
        <v>240</v>
      </c>
      <c r="J2000" s="822">
        <v>0.14199999999999999</v>
      </c>
      <c r="K2000" s="819">
        <v>10.8</v>
      </c>
      <c r="L2000" s="818">
        <v>640</v>
      </c>
      <c r="M2000" s="818">
        <v>4.16</v>
      </c>
      <c r="N2000" s="818">
        <v>0.71</v>
      </c>
      <c r="O2000" s="818">
        <v>5.07</v>
      </c>
      <c r="P2000" s="818">
        <v>2.4</v>
      </c>
      <c r="R2000" s="820">
        <v>1.2612267780704038</v>
      </c>
      <c r="S2000" s="819">
        <v>9.1999999999999993</v>
      </c>
      <c r="T2000" s="825"/>
      <c r="U2000" s="825"/>
      <c r="V2000" s="825"/>
      <c r="W2000" s="825"/>
      <c r="Y2000" s="819">
        <v>19.2</v>
      </c>
      <c r="AA2000" s="820">
        <v>3.73</v>
      </c>
      <c r="AB2000" s="820">
        <v>0.80200000000000005</v>
      </c>
      <c r="AC2000" s="818">
        <v>6</v>
      </c>
      <c r="AD2000" s="824">
        <v>320</v>
      </c>
      <c r="AE2000" s="824">
        <v>280</v>
      </c>
      <c r="AF2000" s="824">
        <v>400</v>
      </c>
      <c r="AG2000" s="66">
        <f t="shared" si="82"/>
        <v>199.12500000000006</v>
      </c>
      <c r="AH2000" s="143">
        <f t="shared" si="83"/>
        <v>1000</v>
      </c>
    </row>
    <row r="2001" spans="1:34" s="818" customFormat="1" x14ac:dyDescent="0.3">
      <c r="A2001" s="818">
        <v>904026</v>
      </c>
      <c r="B2001" s="819">
        <v>11.75</v>
      </c>
      <c r="C2001" s="819">
        <v>5.4999999999999982</v>
      </c>
      <c r="D2001" s="820">
        <v>8.2899999999999991</v>
      </c>
      <c r="E2001" s="1571">
        <v>0.22800000000000001</v>
      </c>
      <c r="F2001" s="821">
        <v>52.15</v>
      </c>
      <c r="H2001" s="821">
        <v>96.51</v>
      </c>
      <c r="I2001" s="821">
        <v>410</v>
      </c>
      <c r="J2001" s="822">
        <v>6.4000000000000001E-2</v>
      </c>
      <c r="K2001" s="819">
        <v>8.66</v>
      </c>
      <c r="L2001" s="818">
        <v>660</v>
      </c>
      <c r="M2001" s="818">
        <v>2.57</v>
      </c>
      <c r="N2001" s="818">
        <v>1.18</v>
      </c>
      <c r="O2001" s="818">
        <v>12.5</v>
      </c>
      <c r="P2001" s="818">
        <v>2.5499999999999998</v>
      </c>
      <c r="R2001" s="820">
        <v>1.5903770000000002</v>
      </c>
      <c r="S2001" s="819">
        <v>10.7</v>
      </c>
      <c r="T2001" s="823"/>
      <c r="U2001" s="823"/>
      <c r="V2001" s="823"/>
      <c r="W2001" s="823"/>
      <c r="Y2001" s="819">
        <v>16.8</v>
      </c>
      <c r="AA2001" s="820">
        <v>3.74</v>
      </c>
      <c r="AB2001" s="820">
        <v>0.59399999999999997</v>
      </c>
      <c r="AC2001" s="818">
        <v>6.6</v>
      </c>
      <c r="AD2001" s="824">
        <v>280</v>
      </c>
      <c r="AE2001" s="824">
        <v>180</v>
      </c>
      <c r="AF2001" s="824">
        <v>540</v>
      </c>
      <c r="AG2001" s="66">
        <f t="shared" si="82"/>
        <v>182.47857142857143</v>
      </c>
      <c r="AH2001" s="143">
        <f t="shared" si="83"/>
        <v>1000</v>
      </c>
    </row>
    <row r="2002" spans="1:34" s="818" customFormat="1" x14ac:dyDescent="0.3">
      <c r="A2002" s="818">
        <v>904027</v>
      </c>
      <c r="B2002" s="819">
        <v>11.916666666666668</v>
      </c>
      <c r="C2002" s="819">
        <v>5</v>
      </c>
      <c r="D2002" s="820">
        <v>8.6199999999999992</v>
      </c>
      <c r="E2002" s="1571">
        <v>0.28699999999999998</v>
      </c>
      <c r="F2002" s="821">
        <v>87.65</v>
      </c>
      <c r="H2002" s="821">
        <v>64.319999999999993</v>
      </c>
      <c r="I2002" s="821">
        <v>320</v>
      </c>
      <c r="J2002" s="822">
        <v>6.2E-2</v>
      </c>
      <c r="K2002" s="819">
        <v>7.75</v>
      </c>
      <c r="L2002" s="818">
        <v>720</v>
      </c>
      <c r="M2002" s="818">
        <v>3.11</v>
      </c>
      <c r="N2002" s="818">
        <v>1.4</v>
      </c>
      <c r="O2002" s="818">
        <v>9.9</v>
      </c>
      <c r="P2002" s="818">
        <v>2.5499999999999998</v>
      </c>
      <c r="R2002" s="820">
        <v>1.3888465559196335</v>
      </c>
      <c r="S2002" s="819">
        <v>10.199999999999999</v>
      </c>
      <c r="T2002" s="825"/>
      <c r="U2002" s="825"/>
      <c r="V2002" s="825"/>
      <c r="W2002" s="825"/>
      <c r="Y2002" s="819">
        <v>17.399999999999999</v>
      </c>
      <c r="AA2002" s="820">
        <v>3.66</v>
      </c>
      <c r="AB2002" s="820">
        <v>0.85699999999999998</v>
      </c>
      <c r="AC2002" s="818">
        <v>8.6999999999999993</v>
      </c>
      <c r="AD2002" s="824">
        <v>290</v>
      </c>
      <c r="AE2002" s="824">
        <v>170</v>
      </c>
      <c r="AF2002" s="824">
        <v>540</v>
      </c>
      <c r="AG2002" s="66">
        <f t="shared" si="82"/>
        <v>157.67241379310346</v>
      </c>
      <c r="AH2002" s="143">
        <f t="shared" si="83"/>
        <v>1000</v>
      </c>
    </row>
    <row r="2003" spans="1:34" s="818" customFormat="1" x14ac:dyDescent="0.3">
      <c r="A2003" s="818">
        <v>904028</v>
      </c>
      <c r="B2003" s="819">
        <v>7.8749999999999982</v>
      </c>
      <c r="C2003" s="819"/>
      <c r="D2003" s="820">
        <v>8.4</v>
      </c>
      <c r="E2003" s="1571">
        <v>0.63300000000000001</v>
      </c>
      <c r="F2003" s="821">
        <v>169.35</v>
      </c>
      <c r="H2003" s="821">
        <v>309.19</v>
      </c>
      <c r="I2003" s="821">
        <v>460</v>
      </c>
      <c r="J2003" s="822">
        <v>0.19500000000000001</v>
      </c>
      <c r="K2003" s="819">
        <v>7.76</v>
      </c>
      <c r="L2003" s="818">
        <v>970</v>
      </c>
      <c r="M2003" s="818">
        <v>6.29</v>
      </c>
      <c r="N2003" s="818">
        <v>1.51</v>
      </c>
      <c r="O2003" s="818">
        <v>11.15</v>
      </c>
      <c r="P2003" s="818">
        <v>15.51</v>
      </c>
      <c r="R2003" s="820">
        <v>1.7308250000000001</v>
      </c>
      <c r="S2003" s="819">
        <v>14.5</v>
      </c>
      <c r="T2003" s="823"/>
      <c r="U2003" s="823"/>
      <c r="V2003" s="823"/>
      <c r="W2003" s="823"/>
      <c r="Y2003" s="819">
        <v>22.4</v>
      </c>
      <c r="AA2003" s="820">
        <v>3.92</v>
      </c>
      <c r="AB2003" s="820">
        <v>0.71099999999999997</v>
      </c>
      <c r="AC2003" s="818">
        <v>10</v>
      </c>
      <c r="AD2003" s="824">
        <v>320</v>
      </c>
      <c r="AE2003" s="824">
        <v>260</v>
      </c>
      <c r="AF2003" s="824">
        <v>420</v>
      </c>
      <c r="AG2003" s="66">
        <f t="shared" si="82"/>
        <v>122.63571428571429</v>
      </c>
      <c r="AH2003" s="143">
        <f t="shared" si="83"/>
        <v>1000</v>
      </c>
    </row>
    <row r="2004" spans="1:34" s="818" customFormat="1" x14ac:dyDescent="0.3">
      <c r="A2004" s="818">
        <v>904029</v>
      </c>
      <c r="B2004" s="819">
        <v>1.1833333333333333</v>
      </c>
      <c r="C2004" s="819"/>
      <c r="D2004" s="820">
        <v>8.56</v>
      </c>
      <c r="E2004" s="1571">
        <v>0.53800000000000003</v>
      </c>
      <c r="F2004" s="821">
        <v>108.9</v>
      </c>
      <c r="H2004" s="821">
        <v>134.97999999999999</v>
      </c>
      <c r="I2004" s="821">
        <v>490</v>
      </c>
      <c r="J2004" s="822">
        <v>0.123</v>
      </c>
      <c r="K2004" s="819">
        <v>5.15</v>
      </c>
      <c r="L2004" s="818">
        <v>610</v>
      </c>
      <c r="M2004" s="818">
        <v>4.33</v>
      </c>
      <c r="N2004" s="818">
        <v>0.91</v>
      </c>
      <c r="O2004" s="818">
        <v>4.96</v>
      </c>
      <c r="P2004" s="818">
        <v>2.89</v>
      </c>
      <c r="R2004" s="820">
        <v>1.586408</v>
      </c>
      <c r="S2004" s="819">
        <v>10.6</v>
      </c>
      <c r="T2004" s="825"/>
      <c r="U2004" s="825"/>
      <c r="V2004" s="825"/>
      <c r="W2004" s="825"/>
      <c r="Y2004" s="819">
        <v>21</v>
      </c>
      <c r="AA2004" s="820">
        <v>4.07</v>
      </c>
      <c r="AB2004" s="820">
        <v>0.48199999999999998</v>
      </c>
      <c r="AC2004" s="818">
        <v>10.6</v>
      </c>
      <c r="AD2004" s="824">
        <v>300</v>
      </c>
      <c r="AE2004" s="824">
        <v>320</v>
      </c>
      <c r="AF2004" s="824">
        <v>380</v>
      </c>
      <c r="AG2004" s="66">
        <f t="shared" si="82"/>
        <v>86.814285714285717</v>
      </c>
      <c r="AH2004" s="143">
        <f t="shared" si="83"/>
        <v>1000</v>
      </c>
    </row>
    <row r="2005" spans="1:34" s="818" customFormat="1" x14ac:dyDescent="0.3">
      <c r="A2005" s="818">
        <v>904030</v>
      </c>
      <c r="B2005" s="819">
        <v>1.3499999999999999</v>
      </c>
      <c r="C2005" s="819"/>
      <c r="D2005" s="820">
        <v>8.6</v>
      </c>
      <c r="E2005" s="1571">
        <v>0.85899999999999999</v>
      </c>
      <c r="F2005" s="821">
        <v>139.14999999999998</v>
      </c>
      <c r="H2005" s="821">
        <v>240.47</v>
      </c>
      <c r="I2005" s="821">
        <v>890</v>
      </c>
      <c r="J2005" s="822">
        <v>0.125</v>
      </c>
      <c r="K2005" s="819">
        <v>6.09</v>
      </c>
      <c r="L2005" s="818">
        <v>630</v>
      </c>
      <c r="M2005" s="818">
        <v>3.33</v>
      </c>
      <c r="N2005" s="818">
        <v>0.87</v>
      </c>
      <c r="O2005" s="818">
        <v>5.81</v>
      </c>
      <c r="P2005" s="818">
        <v>3.72</v>
      </c>
      <c r="R2005" s="820">
        <v>1.9076923076923078</v>
      </c>
      <c r="S2005" s="819">
        <v>12.4</v>
      </c>
      <c r="T2005" s="823"/>
      <c r="U2005" s="823"/>
      <c r="V2005" s="823"/>
      <c r="W2005" s="823"/>
      <c r="Y2005" s="819">
        <v>15</v>
      </c>
      <c r="AA2005" s="820">
        <v>3.83</v>
      </c>
      <c r="AB2005" s="820">
        <v>0.39700000000000002</v>
      </c>
      <c r="AC2005" s="818">
        <v>10</v>
      </c>
      <c r="AD2005" s="824">
        <v>300</v>
      </c>
      <c r="AE2005" s="824">
        <v>330</v>
      </c>
      <c r="AF2005" s="824">
        <v>370</v>
      </c>
      <c r="AG2005" s="66">
        <f t="shared" si="82"/>
        <v>143.72399999999999</v>
      </c>
      <c r="AH2005" s="143">
        <f t="shared" si="83"/>
        <v>1000</v>
      </c>
    </row>
    <row r="2006" spans="1:34" s="114" customFormat="1" x14ac:dyDescent="0.3">
      <c r="A2006" s="114">
        <v>904031</v>
      </c>
      <c r="C2006" s="310"/>
      <c r="D2006" s="311"/>
      <c r="E2006" s="1543"/>
      <c r="F2006" s="310"/>
      <c r="G2006" s="310"/>
      <c r="H2006" s="310"/>
      <c r="I2006" s="310"/>
      <c r="J2006" s="310"/>
      <c r="K2006" s="310"/>
      <c r="L2006" s="310"/>
      <c r="R2006" s="311">
        <v>1.9935</v>
      </c>
      <c r="S2006" s="310">
        <v>24</v>
      </c>
      <c r="Y2006" s="310"/>
      <c r="AA2006" s="311">
        <v>9.75</v>
      </c>
      <c r="AB2006" s="114">
        <v>8.75</v>
      </c>
      <c r="AD2006" s="776"/>
      <c r="AE2006" s="776"/>
      <c r="AF2006" s="776"/>
      <c r="AG2006" s="66" t="e">
        <f t="shared" si="82"/>
        <v>#DIV/0!</v>
      </c>
      <c r="AH2006" s="143">
        <f t="shared" si="83"/>
        <v>0</v>
      </c>
    </row>
    <row r="2007" spans="1:34" s="114" customFormat="1" x14ac:dyDescent="0.3">
      <c r="A2007" s="114">
        <v>904032</v>
      </c>
      <c r="C2007" s="310"/>
      <c r="D2007" s="311"/>
      <c r="E2007" s="1543"/>
      <c r="F2007" s="310"/>
      <c r="G2007" s="310"/>
      <c r="H2007" s="310"/>
      <c r="I2007" s="310"/>
      <c r="J2007" s="310"/>
      <c r="K2007" s="310"/>
      <c r="L2007" s="310"/>
      <c r="R2007" s="311">
        <v>1.9165770000000002</v>
      </c>
      <c r="S2007" s="310">
        <v>20.7</v>
      </c>
      <c r="Y2007" s="310"/>
      <c r="AA2007" s="311">
        <v>4.9000000000000004</v>
      </c>
      <c r="AB2007" s="114">
        <v>6.5</v>
      </c>
      <c r="AD2007" s="776"/>
      <c r="AE2007" s="776"/>
      <c r="AF2007" s="776"/>
      <c r="AG2007" s="66" t="e">
        <f t="shared" si="82"/>
        <v>#DIV/0!</v>
      </c>
      <c r="AH2007" s="143">
        <f t="shared" si="83"/>
        <v>0</v>
      </c>
    </row>
    <row r="2008" spans="1:34" s="114" customFormat="1" x14ac:dyDescent="0.3">
      <c r="A2008" s="114">
        <v>904033</v>
      </c>
      <c r="C2008" s="310"/>
      <c r="D2008" s="311"/>
      <c r="E2008" s="1543"/>
      <c r="F2008" s="310"/>
      <c r="G2008" s="310"/>
      <c r="H2008" s="310"/>
      <c r="I2008" s="310"/>
      <c r="J2008" s="310"/>
      <c r="K2008" s="310"/>
      <c r="L2008" s="310"/>
      <c r="R2008" s="311">
        <v>1.8875480000000002</v>
      </c>
      <c r="S2008" s="310">
        <v>19.600000000000001</v>
      </c>
      <c r="Y2008" s="310"/>
      <c r="AA2008" s="311">
        <v>2.9499999999999997</v>
      </c>
      <c r="AB2008" s="114">
        <v>0.15</v>
      </c>
      <c r="AD2008" s="776"/>
      <c r="AE2008" s="776"/>
      <c r="AF2008" s="776"/>
      <c r="AG2008" s="66" t="e">
        <f t="shared" si="82"/>
        <v>#DIV/0!</v>
      </c>
      <c r="AH2008" s="143">
        <f t="shared" si="83"/>
        <v>0</v>
      </c>
    </row>
    <row r="2009" spans="1:34" s="114" customFormat="1" x14ac:dyDescent="0.3">
      <c r="A2009" s="114">
        <v>904034</v>
      </c>
      <c r="B2009" s="310"/>
      <c r="C2009" s="310"/>
      <c r="D2009" s="311"/>
      <c r="E2009" s="1543"/>
      <c r="F2009" s="310"/>
      <c r="G2009" s="310"/>
      <c r="H2009" s="310"/>
      <c r="I2009" s="310"/>
      <c r="J2009" s="310"/>
      <c r="K2009" s="310"/>
      <c r="L2009" s="310"/>
      <c r="R2009" s="311">
        <v>1.8152730000000001</v>
      </c>
      <c r="S2009" s="310">
        <v>17.100000000000001</v>
      </c>
      <c r="Y2009" s="310"/>
      <c r="AA2009" s="311">
        <v>3.3000000000000003</v>
      </c>
      <c r="AB2009" s="114">
        <v>0.15</v>
      </c>
      <c r="AD2009" s="776"/>
      <c r="AE2009" s="776"/>
      <c r="AF2009" s="776"/>
      <c r="AG2009" s="66" t="e">
        <f t="shared" si="82"/>
        <v>#DIV/0!</v>
      </c>
      <c r="AH2009" s="143">
        <f t="shared" si="83"/>
        <v>0</v>
      </c>
    </row>
    <row r="2010" spans="1:34" s="811" customFormat="1" x14ac:dyDescent="0.3">
      <c r="A2010" s="808">
        <v>904035</v>
      </c>
      <c r="B2010" s="809">
        <v>55.166666666666664</v>
      </c>
      <c r="C2010" s="809">
        <v>11.375</v>
      </c>
      <c r="D2010" s="810">
        <v>8.74</v>
      </c>
      <c r="E2010" s="808">
        <v>0.17499999999999999</v>
      </c>
      <c r="F2010" s="812">
        <v>48.25</v>
      </c>
      <c r="H2010" s="812">
        <v>16.43</v>
      </c>
      <c r="I2010" s="811">
        <v>20</v>
      </c>
      <c r="J2010" s="813">
        <v>0.05</v>
      </c>
      <c r="K2010" s="809">
        <v>10.65</v>
      </c>
      <c r="L2010" s="811">
        <v>130</v>
      </c>
      <c r="M2010" s="811">
        <v>0.09</v>
      </c>
      <c r="N2010" s="811">
        <v>0.1</v>
      </c>
      <c r="O2010" s="811">
        <v>1.74</v>
      </c>
      <c r="P2010" s="811">
        <v>1.35</v>
      </c>
      <c r="R2010" s="810">
        <v>1.6369130000000003</v>
      </c>
      <c r="S2010" s="809">
        <v>11.9</v>
      </c>
      <c r="T2010" s="814"/>
      <c r="W2010" s="814"/>
      <c r="Y2010" s="1348">
        <v>4.2</v>
      </c>
      <c r="AA2010" s="810"/>
      <c r="AB2010" s="810"/>
      <c r="AD2010" s="815">
        <v>60</v>
      </c>
      <c r="AE2010" s="815">
        <v>880</v>
      </c>
      <c r="AF2010" s="815">
        <v>60</v>
      </c>
      <c r="AG2010" s="66">
        <f t="shared" si="82"/>
        <v>897.64285714285711</v>
      </c>
      <c r="AH2010" s="143">
        <f t="shared" si="83"/>
        <v>1000</v>
      </c>
    </row>
    <row r="2011" spans="1:34" s="811" customFormat="1" x14ac:dyDescent="0.3">
      <c r="A2011" s="808">
        <v>904036</v>
      </c>
      <c r="B2011" s="809">
        <v>52.666666666666664</v>
      </c>
      <c r="C2011" s="809">
        <v>6.375</v>
      </c>
      <c r="D2011" s="810">
        <v>8.76</v>
      </c>
      <c r="E2011" s="808">
        <v>0.33300000000000002</v>
      </c>
      <c r="F2011" s="812">
        <v>205.04999999999998</v>
      </c>
      <c r="H2011" s="812">
        <v>267.39999999999998</v>
      </c>
      <c r="I2011" s="811">
        <v>90</v>
      </c>
      <c r="J2011" s="813">
        <v>0.25800000000000001</v>
      </c>
      <c r="K2011" s="809">
        <v>6.21</v>
      </c>
      <c r="L2011" s="811">
        <v>530</v>
      </c>
      <c r="M2011" s="811">
        <v>3.12</v>
      </c>
      <c r="N2011" s="811">
        <v>2.98</v>
      </c>
      <c r="O2011" s="811">
        <v>7.01</v>
      </c>
      <c r="P2011" s="811">
        <v>2.61</v>
      </c>
      <c r="R2011" s="810">
        <v>1.8568250000000002</v>
      </c>
      <c r="S2011" s="809">
        <v>18.5</v>
      </c>
      <c r="T2011" s="816"/>
      <c r="W2011" s="816"/>
      <c r="Y2011" s="1348">
        <v>3.6</v>
      </c>
      <c r="AA2011" s="810">
        <v>4.1900000000000004</v>
      </c>
      <c r="AB2011" s="810">
        <v>0.27200000000000002</v>
      </c>
      <c r="AC2011" s="811">
        <v>11.3</v>
      </c>
      <c r="AD2011" s="815">
        <v>60</v>
      </c>
      <c r="AE2011" s="815">
        <v>860</v>
      </c>
      <c r="AF2011" s="815">
        <v>80</v>
      </c>
      <c r="AG2011" s="66">
        <f t="shared" si="82"/>
        <v>610.65</v>
      </c>
      <c r="AH2011" s="143">
        <f t="shared" si="83"/>
        <v>1000</v>
      </c>
    </row>
    <row r="2012" spans="1:34" s="811" customFormat="1" ht="19.5" thickBot="1" x14ac:dyDescent="0.35">
      <c r="A2012" s="808">
        <v>904037</v>
      </c>
      <c r="B2012" s="809">
        <v>0.2166666666666667</v>
      </c>
      <c r="C2012" s="809"/>
      <c r="D2012" s="810">
        <v>7.82</v>
      </c>
      <c r="E2012" s="808">
        <v>6.6000000000000003E-2</v>
      </c>
      <c r="F2012" s="812">
        <v>37.950000000000003</v>
      </c>
      <c r="H2012" s="812">
        <v>97.85</v>
      </c>
      <c r="I2012" s="812">
        <v>70</v>
      </c>
      <c r="J2012" s="813">
        <v>4.4999999999999998E-2</v>
      </c>
      <c r="K2012" s="809">
        <v>0.98</v>
      </c>
      <c r="L2012" s="811">
        <v>130</v>
      </c>
      <c r="M2012" s="811">
        <v>2.99</v>
      </c>
      <c r="N2012" s="811">
        <v>0.3</v>
      </c>
      <c r="O2012" s="811">
        <v>0.77</v>
      </c>
      <c r="P2012" s="811">
        <v>39.86</v>
      </c>
      <c r="R2012" s="810">
        <v>1.1662108212886271</v>
      </c>
      <c r="S2012" s="809">
        <v>8.1</v>
      </c>
      <c r="T2012" s="817"/>
      <c r="W2012" s="817"/>
      <c r="Y2012" s="1348">
        <v>4.2</v>
      </c>
      <c r="AA2012" s="810">
        <v>4.8899999999999997</v>
      </c>
      <c r="AB2012" s="810">
        <v>0.33100000000000002</v>
      </c>
      <c r="AC2012" s="811">
        <v>11.1</v>
      </c>
      <c r="AD2012" s="815">
        <v>60</v>
      </c>
      <c r="AE2012" s="815">
        <v>860</v>
      </c>
      <c r="AF2012" s="815">
        <v>80</v>
      </c>
      <c r="AG2012" s="66">
        <f t="shared" si="82"/>
        <v>82.59999999999998</v>
      </c>
      <c r="AH2012" s="143">
        <f t="shared" si="83"/>
        <v>1000</v>
      </c>
    </row>
    <row r="2013" spans="1:34" x14ac:dyDescent="0.3">
      <c r="A2013" s="140">
        <v>904038</v>
      </c>
      <c r="B2013" s="138">
        <v>0.16666666666666666</v>
      </c>
      <c r="D2013" s="152">
        <v>7.3</v>
      </c>
      <c r="E2013" s="752">
        <v>0.153</v>
      </c>
      <c r="F2013" s="142">
        <v>46.849999999999994</v>
      </c>
      <c r="H2013" s="140">
        <v>171.7</v>
      </c>
      <c r="I2013" s="140">
        <v>370</v>
      </c>
      <c r="J2013" s="139">
        <v>0.125</v>
      </c>
      <c r="K2013" s="140">
        <v>3.33</v>
      </c>
      <c r="L2013" s="140">
        <v>860</v>
      </c>
      <c r="M2013" s="140">
        <v>1.4</v>
      </c>
      <c r="N2013" s="140">
        <v>2.0099999999999998</v>
      </c>
      <c r="O2013" s="140">
        <v>33.08</v>
      </c>
      <c r="P2013" s="140">
        <v>16.559999999999999</v>
      </c>
      <c r="R2013" s="139">
        <v>1.666817</v>
      </c>
      <c r="S2013" s="138">
        <v>12.7</v>
      </c>
      <c r="T2013" s="14"/>
      <c r="U2013" s="14"/>
      <c r="V2013" s="14"/>
      <c r="W2013" s="14"/>
      <c r="X2013" s="14"/>
      <c r="Y2013" s="138">
        <v>30.8</v>
      </c>
      <c r="AA2013" s="139">
        <v>4.47</v>
      </c>
      <c r="AB2013" s="139">
        <v>0.73599999999999999</v>
      </c>
      <c r="AC2013" s="140">
        <v>8.6</v>
      </c>
      <c r="AD2013" s="70">
        <v>540</v>
      </c>
      <c r="AE2013" s="70">
        <f>1000-(AD2013+AF2013)</f>
        <v>280</v>
      </c>
      <c r="AF2013" s="70">
        <v>180</v>
      </c>
      <c r="AG2013" s="66">
        <f t="shared" si="82"/>
        <v>38.27337662337662</v>
      </c>
      <c r="AH2013" s="143">
        <f t="shared" si="83"/>
        <v>1000</v>
      </c>
    </row>
    <row r="2014" spans="1:34" x14ac:dyDescent="0.3">
      <c r="A2014" s="140">
        <v>904039</v>
      </c>
      <c r="B2014" s="138">
        <v>0.18333333333333335</v>
      </c>
      <c r="D2014" s="152">
        <v>7.62</v>
      </c>
      <c r="E2014" s="752">
        <v>0.14000000000000001</v>
      </c>
      <c r="F2014" s="142">
        <v>51.95</v>
      </c>
      <c r="H2014" s="140">
        <v>77.680000000000007</v>
      </c>
      <c r="I2014" s="140">
        <v>320</v>
      </c>
      <c r="J2014" s="139">
        <v>0.20499999999999999</v>
      </c>
      <c r="K2014" s="140">
        <v>4.3499999999999996</v>
      </c>
      <c r="L2014" s="140">
        <v>1150</v>
      </c>
      <c r="M2014" s="140">
        <v>0.61</v>
      </c>
      <c r="N2014" s="140">
        <v>2.06</v>
      </c>
      <c r="O2014" s="140">
        <v>22.35</v>
      </c>
      <c r="P2014" s="140">
        <v>15.29</v>
      </c>
      <c r="R2014" s="139">
        <v>1.5744170000000002</v>
      </c>
      <c r="S2014" s="138">
        <v>10.3</v>
      </c>
      <c r="T2014" s="14"/>
      <c r="U2014" s="14"/>
      <c r="V2014" s="14"/>
      <c r="W2014" s="14"/>
      <c r="X2014" s="14"/>
      <c r="Y2014" s="138">
        <v>31.8</v>
      </c>
      <c r="AA2014" s="139">
        <v>3.47</v>
      </c>
      <c r="AB2014" s="139">
        <v>0.27200000000000002</v>
      </c>
      <c r="AC2014" s="140">
        <v>8.4</v>
      </c>
      <c r="AD2014" s="70">
        <v>530</v>
      </c>
      <c r="AE2014" s="70">
        <f t="shared" ref="AE2014:AE2026" si="84">1000-(AD2014+AF2014)</f>
        <v>330</v>
      </c>
      <c r="AF2014" s="70">
        <v>140</v>
      </c>
      <c r="AG2014" s="66">
        <f t="shared" si="82"/>
        <v>48.424528301886788</v>
      </c>
      <c r="AH2014" s="143">
        <f t="shared" si="83"/>
        <v>1000</v>
      </c>
    </row>
    <row r="2015" spans="1:34" x14ac:dyDescent="0.3">
      <c r="A2015" s="140">
        <v>904040</v>
      </c>
      <c r="B2015" s="138">
        <v>0.15</v>
      </c>
      <c r="D2015" s="152">
        <v>7.74</v>
      </c>
      <c r="E2015" s="752">
        <v>0.129</v>
      </c>
      <c r="F2015" s="142">
        <v>52.699999999999996</v>
      </c>
      <c r="H2015" s="140">
        <v>87.65</v>
      </c>
      <c r="I2015" s="140">
        <v>350</v>
      </c>
      <c r="J2015" s="139">
        <v>0.21</v>
      </c>
      <c r="K2015" s="140">
        <v>4.2300000000000004</v>
      </c>
      <c r="L2015" s="140">
        <v>1080</v>
      </c>
      <c r="M2015" s="140">
        <v>0.96</v>
      </c>
      <c r="N2015" s="140">
        <v>1.56</v>
      </c>
      <c r="O2015" s="140">
        <v>21.93</v>
      </c>
      <c r="P2015" s="140">
        <v>12.85</v>
      </c>
      <c r="R2015" s="139">
        <v>1.6216250000000001</v>
      </c>
      <c r="S2015" s="138">
        <v>11.5</v>
      </c>
      <c r="T2015" s="14"/>
      <c r="U2015" s="14"/>
      <c r="V2015" s="14"/>
      <c r="W2015" s="14"/>
      <c r="X2015" s="14"/>
      <c r="Y2015" s="138">
        <v>27</v>
      </c>
      <c r="AA2015" s="139">
        <v>3.73</v>
      </c>
      <c r="AB2015" s="139">
        <v>0.89700000000000002</v>
      </c>
      <c r="AC2015" s="140">
        <v>12</v>
      </c>
      <c r="AD2015" s="70">
        <v>540</v>
      </c>
      <c r="AE2015" s="70">
        <f t="shared" si="84"/>
        <v>300</v>
      </c>
      <c r="AF2015" s="70">
        <v>160</v>
      </c>
      <c r="AG2015" s="66">
        <f t="shared" si="82"/>
        <v>55.46</v>
      </c>
      <c r="AH2015" s="143">
        <f t="shared" si="83"/>
        <v>1000</v>
      </c>
    </row>
    <row r="2016" spans="1:34" x14ac:dyDescent="0.3">
      <c r="A2016" s="140">
        <v>904041</v>
      </c>
      <c r="B2016" s="138">
        <v>3.6833333333333336</v>
      </c>
      <c r="D2016" s="152">
        <v>8.24</v>
      </c>
      <c r="E2016" s="752">
        <v>0.28100000000000003</v>
      </c>
      <c r="F2016" s="142">
        <v>167.54999999999998</v>
      </c>
      <c r="H2016" s="140">
        <v>20.81</v>
      </c>
      <c r="I2016" s="140">
        <v>200</v>
      </c>
      <c r="J2016" s="139">
        <v>0.16900000000000001</v>
      </c>
      <c r="K2016" s="140">
        <v>7.7</v>
      </c>
      <c r="L2016" s="140">
        <v>600</v>
      </c>
      <c r="M2016" s="140">
        <v>1.31</v>
      </c>
      <c r="N2016" s="140">
        <v>1.47</v>
      </c>
      <c r="O2016" s="140">
        <v>6.42</v>
      </c>
      <c r="P2016" s="140">
        <v>7.71</v>
      </c>
      <c r="R2016" s="139">
        <v>1.3269524629541625</v>
      </c>
      <c r="S2016" s="138">
        <v>9.1</v>
      </c>
      <c r="T2016" s="625"/>
      <c r="U2016" s="625"/>
      <c r="V2016" s="625"/>
      <c r="W2016" s="625"/>
      <c r="X2016" s="625"/>
      <c r="Y2016" s="138">
        <v>28</v>
      </c>
      <c r="AA2016" s="139">
        <v>3.59</v>
      </c>
      <c r="AB2016" s="139">
        <v>0.78100000000000003</v>
      </c>
      <c r="AC2016" s="140">
        <v>9</v>
      </c>
      <c r="AD2016" s="70">
        <v>560</v>
      </c>
      <c r="AE2016" s="70">
        <f t="shared" si="84"/>
        <v>280</v>
      </c>
      <c r="AF2016" s="70">
        <v>160</v>
      </c>
      <c r="AG2016" s="66">
        <f t="shared" si="82"/>
        <v>97.350000000000009</v>
      </c>
      <c r="AH2016" s="143">
        <f t="shared" si="83"/>
        <v>1000</v>
      </c>
    </row>
    <row r="2017" spans="1:34" s="826" customFormat="1" x14ac:dyDescent="0.3">
      <c r="A2017" s="826">
        <v>904042</v>
      </c>
      <c r="B2017" s="827">
        <v>3.6944444444444446</v>
      </c>
      <c r="C2017" s="827"/>
      <c r="D2017" s="828">
        <v>8.02</v>
      </c>
      <c r="E2017" s="1572">
        <v>0.82199999999999995</v>
      </c>
      <c r="F2017" s="829">
        <v>724.85</v>
      </c>
      <c r="H2017" s="826">
        <v>14.91</v>
      </c>
      <c r="I2017" s="826">
        <v>410</v>
      </c>
      <c r="J2017" s="828">
        <v>0.307</v>
      </c>
      <c r="K2017" s="826">
        <v>8.26</v>
      </c>
      <c r="L2017" s="826">
        <v>470</v>
      </c>
      <c r="M2017" s="826">
        <v>0.36</v>
      </c>
      <c r="N2017" s="826">
        <v>0.34</v>
      </c>
      <c r="O2017" s="826">
        <v>2.33</v>
      </c>
      <c r="P2017" s="826">
        <v>2.2400000000000002</v>
      </c>
      <c r="R2017" s="828">
        <v>0.50629776010055427</v>
      </c>
      <c r="S2017" s="827">
        <v>3.4</v>
      </c>
      <c r="T2017" s="627"/>
      <c r="U2017" s="627"/>
      <c r="V2017" s="627"/>
      <c r="W2017" s="627"/>
      <c r="X2017" s="627"/>
      <c r="Y2017" s="827">
        <v>27.5</v>
      </c>
      <c r="AA2017" s="828"/>
      <c r="AB2017" s="828"/>
      <c r="AD2017" s="830">
        <v>550</v>
      </c>
      <c r="AE2017" s="830">
        <f t="shared" si="84"/>
        <v>300</v>
      </c>
      <c r="AF2017" s="830">
        <v>150</v>
      </c>
      <c r="AG2017" s="66">
        <f t="shared" si="82"/>
        <v>106.32872727272728</v>
      </c>
      <c r="AH2017" s="143">
        <f t="shared" si="83"/>
        <v>1000</v>
      </c>
    </row>
    <row r="2018" spans="1:34" s="826" customFormat="1" x14ac:dyDescent="0.3">
      <c r="A2018" s="826">
        <v>904043</v>
      </c>
      <c r="B2018" s="827">
        <v>23.333333333333332</v>
      </c>
      <c r="C2018" s="827">
        <v>10.37</v>
      </c>
      <c r="D2018" s="828">
        <v>8</v>
      </c>
      <c r="E2018" s="1572">
        <v>4.47</v>
      </c>
      <c r="F2018" s="829">
        <v>3099.2000000000003</v>
      </c>
      <c r="H2018" s="826">
        <v>8.6199999999999992</v>
      </c>
      <c r="I2018" s="826">
        <v>300</v>
      </c>
      <c r="J2018" s="828">
        <v>2.5550000000000002</v>
      </c>
      <c r="K2018" s="826">
        <v>13.23</v>
      </c>
      <c r="L2018" s="826">
        <v>1590</v>
      </c>
      <c r="M2018" s="826">
        <v>0.24</v>
      </c>
      <c r="N2018" s="826">
        <v>0.38</v>
      </c>
      <c r="O2018" s="826">
        <v>3.97</v>
      </c>
      <c r="P2018" s="826">
        <v>4.63</v>
      </c>
      <c r="R2018" s="828">
        <v>0.64636423472193905</v>
      </c>
      <c r="S2018" s="827">
        <v>4.5999999999999996</v>
      </c>
      <c r="T2018" s="831"/>
      <c r="U2018" s="831"/>
      <c r="V2018" s="831"/>
      <c r="W2018" s="831"/>
      <c r="X2018" s="831"/>
      <c r="Y2018" s="827">
        <v>38.4</v>
      </c>
      <c r="AA2018" s="828"/>
      <c r="AB2018" s="828"/>
      <c r="AD2018" s="830">
        <v>640</v>
      </c>
      <c r="AE2018" s="830">
        <f t="shared" si="84"/>
        <v>220</v>
      </c>
      <c r="AF2018" s="830">
        <v>140</v>
      </c>
      <c r="AG2018" s="66">
        <f t="shared" si="82"/>
        <v>121.96406250000001</v>
      </c>
      <c r="AH2018" s="143">
        <f t="shared" si="83"/>
        <v>1000</v>
      </c>
    </row>
    <row r="2019" spans="1:34" s="826" customFormat="1" x14ac:dyDescent="0.3">
      <c r="A2019" s="826">
        <v>904044</v>
      </c>
      <c r="B2019" s="827">
        <v>2.6111111111111107</v>
      </c>
      <c r="C2019" s="827"/>
      <c r="D2019" s="828">
        <v>8.82</v>
      </c>
      <c r="E2019" s="1572">
        <v>0.32</v>
      </c>
      <c r="F2019" s="829">
        <v>161.94999999999999</v>
      </c>
      <c r="H2019" s="826">
        <v>20.49</v>
      </c>
      <c r="I2019" s="826">
        <v>310</v>
      </c>
      <c r="J2019" s="828">
        <v>0.27200000000000002</v>
      </c>
      <c r="K2019" s="826">
        <v>6.2</v>
      </c>
      <c r="L2019" s="826">
        <v>370</v>
      </c>
      <c r="M2019" s="826">
        <v>0.32</v>
      </c>
      <c r="N2019" s="826">
        <v>0.37</v>
      </c>
      <c r="O2019" s="826">
        <v>3.28</v>
      </c>
      <c r="P2019" s="826">
        <v>2.33</v>
      </c>
      <c r="R2019" s="828">
        <v>0.32322269435043588</v>
      </c>
      <c r="S2019" s="827">
        <v>2.2000000000000002</v>
      </c>
      <c r="T2019" s="831"/>
      <c r="U2019" s="831"/>
      <c r="V2019" s="831"/>
      <c r="W2019" s="831"/>
      <c r="X2019" s="831"/>
      <c r="Y2019" s="827">
        <v>7</v>
      </c>
      <c r="AA2019" s="828"/>
      <c r="AB2019" s="828"/>
      <c r="AD2019" s="830">
        <v>140</v>
      </c>
      <c r="AE2019" s="830">
        <f t="shared" si="84"/>
        <v>100</v>
      </c>
      <c r="AF2019" s="830">
        <v>760</v>
      </c>
      <c r="AG2019" s="66">
        <f t="shared" si="82"/>
        <v>313.54285714285714</v>
      </c>
      <c r="AH2019" s="143">
        <f t="shared" si="83"/>
        <v>1000</v>
      </c>
    </row>
    <row r="2020" spans="1:34" x14ac:dyDescent="0.3">
      <c r="A2020" s="140">
        <v>904045</v>
      </c>
      <c r="B2020" s="138">
        <v>43.333333333333329</v>
      </c>
      <c r="C2020" s="138">
        <v>7.87</v>
      </c>
      <c r="D2020" s="797">
        <v>8.8000000000000007</v>
      </c>
      <c r="E2020" s="752">
        <v>0.112</v>
      </c>
      <c r="F2020" s="142">
        <v>31.6</v>
      </c>
      <c r="H2020" s="140">
        <v>7.97</v>
      </c>
      <c r="I2020" s="140">
        <v>150</v>
      </c>
      <c r="J2020" s="139">
        <v>2.5999999999999999E-2</v>
      </c>
      <c r="K2020" s="140">
        <v>10.54</v>
      </c>
      <c r="L2020" s="140">
        <v>220</v>
      </c>
      <c r="M2020" s="140">
        <v>0.46</v>
      </c>
      <c r="N2020" s="140">
        <v>0.28000000000000003</v>
      </c>
      <c r="O2020" s="140">
        <v>1.61</v>
      </c>
      <c r="P2020" s="140">
        <v>1.86</v>
      </c>
      <c r="R2020" s="139">
        <v>0.30300095853934333</v>
      </c>
      <c r="S2020" s="138">
        <v>2.1</v>
      </c>
      <c r="T2020" s="14"/>
      <c r="U2020" s="14"/>
      <c r="V2020" s="14"/>
      <c r="W2020" s="14"/>
      <c r="X2020" s="14"/>
      <c r="Y2020" s="138">
        <v>20.399999999999999</v>
      </c>
      <c r="AD2020" s="70">
        <v>340</v>
      </c>
      <c r="AE2020" s="70">
        <f t="shared" si="84"/>
        <v>200</v>
      </c>
      <c r="AF2020" s="70">
        <v>460</v>
      </c>
      <c r="AG2020" s="66">
        <f t="shared" si="82"/>
        <v>182.9</v>
      </c>
      <c r="AH2020" s="143">
        <f t="shared" si="83"/>
        <v>1000</v>
      </c>
    </row>
    <row r="2021" spans="1:34" x14ac:dyDescent="0.3">
      <c r="A2021" s="140">
        <v>904046</v>
      </c>
      <c r="B2021" s="138">
        <v>9.9166666666666661</v>
      </c>
      <c r="D2021" s="152">
        <v>8.7200000000000006</v>
      </c>
      <c r="E2021" s="752">
        <v>0.11</v>
      </c>
      <c r="F2021" s="142">
        <v>29.4</v>
      </c>
      <c r="H2021" s="140">
        <v>12.21</v>
      </c>
      <c r="I2021" s="140">
        <v>240</v>
      </c>
      <c r="J2021" s="139">
        <v>0.01</v>
      </c>
      <c r="K2021" s="140">
        <v>8.4499999999999993</v>
      </c>
      <c r="L2021" s="140">
        <v>240</v>
      </c>
      <c r="M2021" s="140">
        <v>0.34</v>
      </c>
      <c r="N2021" s="140">
        <v>0.54</v>
      </c>
      <c r="O2021" s="140">
        <v>2.56</v>
      </c>
      <c r="P2021" s="140">
        <v>3.69</v>
      </c>
      <c r="R2021" s="139">
        <v>0.4157203395251105</v>
      </c>
      <c r="S2021" s="138">
        <v>2.9</v>
      </c>
      <c r="T2021" s="14"/>
      <c r="U2021" s="14"/>
      <c r="V2021" s="14"/>
      <c r="W2021" s="14"/>
      <c r="X2021" s="14"/>
      <c r="Y2021" s="138">
        <v>18</v>
      </c>
      <c r="AD2021" s="70">
        <v>360</v>
      </c>
      <c r="AE2021" s="70">
        <f t="shared" si="84"/>
        <v>240</v>
      </c>
      <c r="AF2021" s="70">
        <v>400</v>
      </c>
      <c r="AG2021" s="66">
        <f t="shared" si="82"/>
        <v>166.18333333333331</v>
      </c>
      <c r="AH2021" s="143">
        <f t="shared" si="83"/>
        <v>1000</v>
      </c>
    </row>
    <row r="2022" spans="1:34" x14ac:dyDescent="0.3">
      <c r="A2022" s="140">
        <v>904047</v>
      </c>
      <c r="B2022" s="138">
        <v>5.6666666666666661</v>
      </c>
      <c r="D2022" s="152">
        <v>8.6</v>
      </c>
      <c r="E2022" s="752">
        <v>0.29499999999999998</v>
      </c>
      <c r="F2022" s="142">
        <v>97.8</v>
      </c>
      <c r="H2022" s="140">
        <v>24.27</v>
      </c>
      <c r="I2022" s="140">
        <v>370</v>
      </c>
      <c r="J2022" s="139">
        <v>0.17100000000000001</v>
      </c>
      <c r="K2022" s="140">
        <v>7.86</v>
      </c>
      <c r="L2022" s="140">
        <v>310</v>
      </c>
      <c r="M2022" s="140">
        <v>0.4</v>
      </c>
      <c r="N2022" s="140">
        <v>0.41</v>
      </c>
      <c r="O2022" s="140">
        <v>2.48</v>
      </c>
      <c r="P2022" s="140">
        <v>3.22</v>
      </c>
      <c r="R2022" s="139">
        <v>0.31270926159611673</v>
      </c>
      <c r="S2022" s="138">
        <v>2.2999999999999998</v>
      </c>
      <c r="T2022" s="14"/>
      <c r="U2022" s="14"/>
      <c r="V2022" s="14"/>
      <c r="W2022" s="14"/>
      <c r="X2022" s="14"/>
      <c r="Y2022" s="138">
        <v>20.399999999999999</v>
      </c>
      <c r="AD2022" s="70">
        <v>340</v>
      </c>
      <c r="AE2022" s="70">
        <f t="shared" si="84"/>
        <v>160</v>
      </c>
      <c r="AF2022" s="70">
        <v>500</v>
      </c>
      <c r="AG2022" s="66">
        <f t="shared" si="82"/>
        <v>136.39411764705883</v>
      </c>
      <c r="AH2022" s="143">
        <f t="shared" si="83"/>
        <v>1000</v>
      </c>
    </row>
    <row r="2023" spans="1:34" x14ac:dyDescent="0.3">
      <c r="A2023" s="140">
        <v>904048</v>
      </c>
      <c r="B2023" s="138">
        <v>5.083333333333333</v>
      </c>
      <c r="D2023" s="152">
        <v>8.36</v>
      </c>
      <c r="E2023" s="752">
        <v>0.34899999999999998</v>
      </c>
      <c r="F2023" s="142">
        <v>124.1</v>
      </c>
      <c r="H2023" s="140">
        <v>58.33</v>
      </c>
      <c r="I2023" s="140">
        <v>470</v>
      </c>
      <c r="J2023" s="139">
        <v>0.20100000000000001</v>
      </c>
      <c r="K2023" s="140">
        <v>7.53</v>
      </c>
      <c r="L2023" s="140">
        <v>420</v>
      </c>
      <c r="M2023" s="140">
        <v>0.73</v>
      </c>
      <c r="N2023" s="140">
        <v>0.52</v>
      </c>
      <c r="O2023" s="140">
        <v>4.3899999999999997</v>
      </c>
      <c r="P2023" s="140">
        <v>2.7</v>
      </c>
      <c r="R2023" s="139">
        <v>0.47692307692307695</v>
      </c>
      <c r="S2023" s="138">
        <v>3.1</v>
      </c>
      <c r="T2023" s="14"/>
      <c r="U2023" s="14"/>
      <c r="V2023" s="14"/>
      <c r="W2023" s="14"/>
      <c r="X2023" s="14"/>
      <c r="Y2023" s="138">
        <v>23.1</v>
      </c>
      <c r="AD2023" s="70">
        <v>330</v>
      </c>
      <c r="AE2023" s="70">
        <f t="shared" si="84"/>
        <v>150</v>
      </c>
      <c r="AF2023" s="70">
        <v>520</v>
      </c>
      <c r="AG2023" s="66">
        <f t="shared" si="82"/>
        <v>115.3948051948052</v>
      </c>
      <c r="AH2023" s="143">
        <f t="shared" si="83"/>
        <v>1000</v>
      </c>
    </row>
    <row r="2024" spans="1:34" x14ac:dyDescent="0.3">
      <c r="A2024" s="140">
        <v>904049</v>
      </c>
      <c r="B2024" s="138">
        <v>4.416666666666667</v>
      </c>
      <c r="D2024" s="152">
        <v>8.4</v>
      </c>
      <c r="E2024" s="752">
        <v>0.17599999999999999</v>
      </c>
      <c r="F2024" s="142">
        <v>71.8</v>
      </c>
      <c r="H2024" s="140">
        <v>11.78</v>
      </c>
      <c r="I2024" s="140">
        <v>250</v>
      </c>
      <c r="J2024" s="139">
        <v>0.09</v>
      </c>
      <c r="K2024" s="140">
        <v>7.96</v>
      </c>
      <c r="L2024" s="140">
        <v>120</v>
      </c>
      <c r="M2024" s="140">
        <v>0.27</v>
      </c>
      <c r="N2024" s="140">
        <v>0.32</v>
      </c>
      <c r="O2024" s="140">
        <v>1.91</v>
      </c>
      <c r="P2024" s="140">
        <v>2.84</v>
      </c>
      <c r="R2024" s="139">
        <v>0.3692307692307692</v>
      </c>
      <c r="S2024" s="138">
        <v>2.4</v>
      </c>
      <c r="T2024" s="14"/>
      <c r="U2024" s="14"/>
      <c r="V2024" s="14"/>
      <c r="W2024" s="14"/>
      <c r="X2024" s="14"/>
      <c r="Y2024" s="138">
        <v>22.4</v>
      </c>
      <c r="AD2024" s="70">
        <v>320</v>
      </c>
      <c r="AE2024" s="70">
        <f t="shared" si="84"/>
        <v>120</v>
      </c>
      <c r="AF2024" s="70">
        <v>560</v>
      </c>
      <c r="AG2024" s="66">
        <f t="shared" si="82"/>
        <v>125.79642857142859</v>
      </c>
      <c r="AH2024" s="143">
        <f t="shared" si="83"/>
        <v>1000</v>
      </c>
    </row>
    <row r="2025" spans="1:34" s="90" customFormat="1" x14ac:dyDescent="0.3">
      <c r="A2025" s="90">
        <v>904050</v>
      </c>
      <c r="B2025" s="803">
        <v>0.18333333333333335</v>
      </c>
      <c r="C2025" s="803"/>
      <c r="D2025" s="152">
        <v>7.5</v>
      </c>
      <c r="E2025" s="1127">
        <v>0.16500000000000001</v>
      </c>
      <c r="F2025" s="804">
        <v>150.6</v>
      </c>
      <c r="H2025" s="90">
        <v>114.85</v>
      </c>
      <c r="I2025" s="90">
        <v>70</v>
      </c>
      <c r="J2025" s="152">
        <v>0.20899999999999999</v>
      </c>
      <c r="K2025" s="90">
        <v>1.35</v>
      </c>
      <c r="L2025" s="90">
        <v>370</v>
      </c>
      <c r="M2025" s="90">
        <v>1.61</v>
      </c>
      <c r="N2025" s="90">
        <v>0.39</v>
      </c>
      <c r="O2025" s="90">
        <v>3.96</v>
      </c>
      <c r="P2025" s="90">
        <v>7.42</v>
      </c>
      <c r="R2025" s="152">
        <v>0.64615384615384619</v>
      </c>
      <c r="S2025" s="803">
        <v>4.2</v>
      </c>
      <c r="T2025" s="14"/>
      <c r="U2025" s="14"/>
      <c r="V2025" s="14"/>
      <c r="W2025" s="14"/>
      <c r="X2025" s="14"/>
      <c r="Y2025" s="803">
        <v>16.8</v>
      </c>
      <c r="AA2025" s="152">
        <v>4.22</v>
      </c>
      <c r="AB2025" s="152">
        <v>0.60899999999999999</v>
      </c>
      <c r="AC2025" s="90">
        <v>8.5</v>
      </c>
      <c r="AD2025" s="118">
        <v>240</v>
      </c>
      <c r="AE2025" s="118">
        <f t="shared" si="84"/>
        <v>160</v>
      </c>
      <c r="AF2025" s="118">
        <v>600</v>
      </c>
      <c r="AG2025" s="66">
        <f t="shared" si="82"/>
        <v>28.446428571428577</v>
      </c>
      <c r="AH2025" s="143">
        <f t="shared" si="83"/>
        <v>1000</v>
      </c>
    </row>
    <row r="2026" spans="1:34" s="90" customFormat="1" x14ac:dyDescent="0.3">
      <c r="A2026" s="90">
        <v>904051</v>
      </c>
      <c r="B2026" s="803">
        <v>0.16666666666666666</v>
      </c>
      <c r="C2026" s="803"/>
      <c r="D2026" s="152">
        <v>7.39</v>
      </c>
      <c r="E2026" s="1127">
        <v>0.126</v>
      </c>
      <c r="F2026" s="804">
        <v>89.800000000000011</v>
      </c>
      <c r="H2026" s="90">
        <v>63.1</v>
      </c>
      <c r="I2026" s="90">
        <v>50</v>
      </c>
      <c r="J2026" s="152">
        <v>0.28100000000000003</v>
      </c>
      <c r="K2026" s="90">
        <v>1.48</v>
      </c>
      <c r="L2026" s="90">
        <v>550</v>
      </c>
      <c r="M2026" s="90">
        <v>0.49</v>
      </c>
      <c r="N2026" s="90">
        <v>0.33</v>
      </c>
      <c r="O2026" s="90">
        <v>3.2</v>
      </c>
      <c r="P2026" s="90">
        <v>3.51</v>
      </c>
      <c r="R2026" s="152">
        <v>0.43076923076923074</v>
      </c>
      <c r="S2026" s="803">
        <v>2.8</v>
      </c>
      <c r="T2026" s="14"/>
      <c r="U2026" s="14"/>
      <c r="V2026" s="14"/>
      <c r="W2026" s="14"/>
      <c r="X2026" s="14"/>
      <c r="Y2026" s="803">
        <v>18</v>
      </c>
      <c r="AA2026" s="152">
        <v>4.12</v>
      </c>
      <c r="AB2026" s="152">
        <v>0.67200000000000004</v>
      </c>
      <c r="AC2026" s="90">
        <v>9.1999999999999993</v>
      </c>
      <c r="AD2026" s="118">
        <v>300</v>
      </c>
      <c r="AE2026" s="118">
        <f t="shared" si="84"/>
        <v>140</v>
      </c>
      <c r="AF2026" s="118">
        <v>560</v>
      </c>
      <c r="AG2026" s="66">
        <f t="shared" si="82"/>
        <v>29.106666666666669</v>
      </c>
      <c r="AH2026" s="143">
        <f t="shared" si="83"/>
        <v>1000</v>
      </c>
    </row>
    <row r="2027" spans="1:34" s="826" customFormat="1" x14ac:dyDescent="0.3">
      <c r="A2027" s="826">
        <v>904052</v>
      </c>
      <c r="B2027" s="827">
        <v>3.7777777777777772</v>
      </c>
      <c r="C2027" s="827"/>
      <c r="D2027" s="828">
        <v>7.78</v>
      </c>
      <c r="E2027" s="1572">
        <v>0.191</v>
      </c>
      <c r="F2027" s="829">
        <v>210.10000000000002</v>
      </c>
      <c r="G2027" s="849"/>
      <c r="H2027" s="829">
        <v>35.39</v>
      </c>
      <c r="I2027" s="829">
        <v>620</v>
      </c>
      <c r="J2027" s="828">
        <v>7.1999999999999995E-2</v>
      </c>
      <c r="K2027" s="827">
        <v>7.89</v>
      </c>
      <c r="L2027" s="826">
        <v>550</v>
      </c>
      <c r="M2027" s="826">
        <v>1.26</v>
      </c>
      <c r="N2027" s="826">
        <v>1.17</v>
      </c>
      <c r="O2027" s="826">
        <v>10.42</v>
      </c>
      <c r="P2027" s="826">
        <v>2.36</v>
      </c>
      <c r="R2027" s="828">
        <v>1.1102618300808289</v>
      </c>
      <c r="S2027" s="827">
        <v>7.7</v>
      </c>
      <c r="T2027" s="831"/>
      <c r="U2027" s="831"/>
      <c r="V2027" s="831"/>
      <c r="W2027" s="831"/>
      <c r="X2027" s="831"/>
      <c r="Y2027" s="827">
        <v>22</v>
      </c>
      <c r="AA2027" s="828">
        <v>3.64</v>
      </c>
      <c r="AB2027" s="828">
        <v>0.46400000000000002</v>
      </c>
      <c r="AC2027" s="826">
        <v>9.1999999999999993</v>
      </c>
      <c r="AD2027" s="830">
        <v>440</v>
      </c>
      <c r="AE2027" s="830">
        <v>320</v>
      </c>
      <c r="AF2027" s="830">
        <v>240</v>
      </c>
      <c r="AG2027" s="66">
        <f t="shared" si="82"/>
        <v>126.95727272727272</v>
      </c>
      <c r="AH2027" s="143">
        <f t="shared" si="83"/>
        <v>1000</v>
      </c>
    </row>
    <row r="2028" spans="1:34" s="826" customFormat="1" x14ac:dyDescent="0.3">
      <c r="A2028" s="826">
        <v>904053</v>
      </c>
      <c r="B2028" s="827">
        <v>3.4999999999999996</v>
      </c>
      <c r="C2028" s="827"/>
      <c r="D2028" s="828">
        <v>7.86</v>
      </c>
      <c r="E2028" s="1572">
        <v>0.187</v>
      </c>
      <c r="F2028" s="829">
        <v>205.70000000000002</v>
      </c>
      <c r="G2028" s="849"/>
      <c r="H2028" s="829">
        <v>23.55</v>
      </c>
      <c r="I2028" s="829">
        <v>550</v>
      </c>
      <c r="J2028" s="828">
        <v>6.2E-2</v>
      </c>
      <c r="K2028" s="827">
        <v>7.44</v>
      </c>
      <c r="L2028" s="826">
        <v>490</v>
      </c>
      <c r="M2028" s="826">
        <v>0.82</v>
      </c>
      <c r="N2028" s="826">
        <v>1.23</v>
      </c>
      <c r="O2028" s="826">
        <v>8.91</v>
      </c>
      <c r="P2028" s="826">
        <v>2.27</v>
      </c>
      <c r="R2028" s="828">
        <v>0.77222738890737652</v>
      </c>
      <c r="S2028" s="827">
        <v>5.2</v>
      </c>
      <c r="T2028" s="831"/>
      <c r="U2028" s="831"/>
      <c r="V2028" s="831"/>
      <c r="W2028" s="831"/>
      <c r="X2028" s="831"/>
      <c r="Y2028" s="827">
        <v>26.4</v>
      </c>
      <c r="AA2028" s="828">
        <v>3.87</v>
      </c>
      <c r="AB2028" s="828">
        <v>0.50900000000000001</v>
      </c>
      <c r="AC2028" s="826">
        <v>6.2</v>
      </c>
      <c r="AD2028" s="830">
        <v>440</v>
      </c>
      <c r="AE2028" s="830">
        <v>300</v>
      </c>
      <c r="AF2028" s="830">
        <v>260</v>
      </c>
      <c r="AG2028" s="66">
        <f t="shared" si="82"/>
        <v>99.76363636363638</v>
      </c>
      <c r="AH2028" s="143">
        <f t="shared" si="83"/>
        <v>1000</v>
      </c>
    </row>
    <row r="2029" spans="1:34" s="826" customFormat="1" x14ac:dyDescent="0.3">
      <c r="A2029" s="826">
        <v>904054</v>
      </c>
      <c r="B2029" s="827">
        <v>4.8333333333333321</v>
      </c>
      <c r="C2029" s="827"/>
      <c r="D2029" s="828">
        <v>7.91</v>
      </c>
      <c r="E2029" s="1572">
        <v>0.18</v>
      </c>
      <c r="F2029" s="829">
        <v>198.00000000000003</v>
      </c>
      <c r="G2029" s="849"/>
      <c r="H2029" s="829">
        <v>26.04</v>
      </c>
      <c r="I2029" s="829">
        <v>560</v>
      </c>
      <c r="J2029" s="828">
        <v>6.8000000000000005E-2</v>
      </c>
      <c r="K2029" s="827">
        <v>8.14</v>
      </c>
      <c r="L2029" s="826">
        <v>490</v>
      </c>
      <c r="M2029" s="826">
        <v>0.92</v>
      </c>
      <c r="N2029" s="826">
        <v>1.0900000000000001</v>
      </c>
      <c r="O2029" s="826">
        <v>7.5</v>
      </c>
      <c r="P2029" s="826">
        <v>2.02</v>
      </c>
      <c r="R2029" s="828">
        <v>0.80563393564103036</v>
      </c>
      <c r="S2029" s="827">
        <v>5.6</v>
      </c>
      <c r="T2029" s="831"/>
      <c r="U2029" s="831"/>
      <c r="V2029" s="831"/>
      <c r="W2029" s="831"/>
      <c r="X2029" s="831"/>
      <c r="Y2029" s="827">
        <v>32.9</v>
      </c>
      <c r="AA2029" s="828">
        <v>3.5</v>
      </c>
      <c r="AB2029" s="828">
        <v>0.34599999999999997</v>
      </c>
      <c r="AC2029" s="826">
        <v>6</v>
      </c>
      <c r="AD2029" s="830">
        <v>470</v>
      </c>
      <c r="AE2029" s="830">
        <v>280</v>
      </c>
      <c r="AF2029" s="830">
        <v>250</v>
      </c>
      <c r="AG2029" s="66">
        <f t="shared" si="82"/>
        <v>87.58541033434652</v>
      </c>
      <c r="AH2029" s="143">
        <f t="shared" si="83"/>
        <v>1000</v>
      </c>
    </row>
    <row r="2030" spans="1:34" s="826" customFormat="1" x14ac:dyDescent="0.3">
      <c r="A2030" s="826">
        <v>904055</v>
      </c>
      <c r="B2030" s="827">
        <v>11.333333333333332</v>
      </c>
      <c r="C2030" s="827">
        <v>5.875</v>
      </c>
      <c r="D2030" s="828">
        <v>7.39</v>
      </c>
      <c r="E2030" s="1572">
        <v>1.1399999999999999</v>
      </c>
      <c r="F2030" s="829">
        <v>1254</v>
      </c>
      <c r="G2030" s="849"/>
      <c r="H2030" s="829">
        <f>307.83*2</f>
        <v>615.66</v>
      </c>
      <c r="I2030" s="829">
        <v>970</v>
      </c>
      <c r="J2030" s="828">
        <v>0.432</v>
      </c>
      <c r="K2030" s="827">
        <v>9.77</v>
      </c>
      <c r="L2030" s="826">
        <v>1000</v>
      </c>
      <c r="M2030" s="826">
        <v>6.06</v>
      </c>
      <c r="N2030" s="826">
        <v>1.83</v>
      </c>
      <c r="O2030" s="826">
        <v>17.41</v>
      </c>
      <c r="P2030" s="826">
        <v>3.23</v>
      </c>
      <c r="R2030" s="828">
        <v>1.7239370000000001</v>
      </c>
      <c r="S2030" s="827">
        <v>14.3</v>
      </c>
      <c r="T2030" s="831"/>
      <c r="U2030" s="831"/>
      <c r="V2030" s="831"/>
      <c r="W2030" s="831"/>
      <c r="X2030" s="831"/>
      <c r="Y2030" s="827">
        <v>32.4</v>
      </c>
      <c r="AA2030" s="828">
        <v>4.68</v>
      </c>
      <c r="AB2030" s="828">
        <v>0.54700000000000004</v>
      </c>
      <c r="AC2030" s="826">
        <v>7.8</v>
      </c>
      <c r="AD2030" s="830">
        <v>540</v>
      </c>
      <c r="AE2030" s="830">
        <v>260</v>
      </c>
      <c r="AF2030" s="830">
        <v>200</v>
      </c>
      <c r="AG2030" s="66">
        <f t="shared" si="82"/>
        <v>106.74629629629629</v>
      </c>
      <c r="AH2030" s="143">
        <f t="shared" si="83"/>
        <v>1000</v>
      </c>
    </row>
    <row r="2031" spans="1:34" s="826" customFormat="1" x14ac:dyDescent="0.3">
      <c r="A2031" s="826">
        <v>904056</v>
      </c>
      <c r="B2031" s="827">
        <v>16</v>
      </c>
      <c r="C2031" s="827">
        <v>7.125</v>
      </c>
      <c r="D2031" s="828">
        <v>7.55</v>
      </c>
      <c r="E2031" s="1572">
        <v>0.73799999999999999</v>
      </c>
      <c r="F2031" s="829">
        <v>811.80000000000007</v>
      </c>
      <c r="G2031" s="849"/>
      <c r="H2031" s="829">
        <f>232.21*2</f>
        <v>464.42</v>
      </c>
      <c r="I2031" s="829">
        <v>760</v>
      </c>
      <c r="J2031" s="828">
        <v>0.22700000000000001</v>
      </c>
      <c r="K2031" s="827">
        <v>8.5399999999999991</v>
      </c>
      <c r="L2031" s="826">
        <v>800</v>
      </c>
      <c r="M2031" s="826">
        <v>6.16</v>
      </c>
      <c r="N2031" s="826">
        <v>1.82</v>
      </c>
      <c r="O2031" s="826">
        <v>22.63</v>
      </c>
      <c r="P2031" s="826">
        <v>4.07</v>
      </c>
      <c r="R2031" s="828">
        <v>1.7064720000000002</v>
      </c>
      <c r="S2031" s="827">
        <v>13.8</v>
      </c>
      <c r="T2031" s="831"/>
      <c r="U2031" s="831"/>
      <c r="V2031" s="831"/>
      <c r="W2031" s="831"/>
      <c r="X2031" s="831"/>
      <c r="Y2031" s="827">
        <v>26</v>
      </c>
      <c r="AA2031" s="828">
        <v>4.97</v>
      </c>
      <c r="AB2031" s="828">
        <v>0.39100000000000001</v>
      </c>
      <c r="AC2031" s="826">
        <v>10.9</v>
      </c>
      <c r="AD2031" s="830">
        <v>520</v>
      </c>
      <c r="AE2031" s="830">
        <v>300</v>
      </c>
      <c r="AF2031" s="830">
        <v>180</v>
      </c>
      <c r="AG2031" s="66">
        <f t="shared" si="82"/>
        <v>116.27538461538461</v>
      </c>
      <c r="AH2031" s="143">
        <f t="shared" si="83"/>
        <v>1000</v>
      </c>
    </row>
    <row r="2032" spans="1:34" s="826" customFormat="1" x14ac:dyDescent="0.3">
      <c r="A2032" s="826">
        <v>904057</v>
      </c>
      <c r="B2032" s="827">
        <v>13.916666666666666</v>
      </c>
      <c r="C2032" s="827">
        <v>6.375</v>
      </c>
      <c r="D2032" s="828">
        <v>7.51</v>
      </c>
      <c r="E2032" s="1572">
        <v>1.113</v>
      </c>
      <c r="F2032" s="829">
        <v>1224.3000000000002</v>
      </c>
      <c r="G2032" s="849"/>
      <c r="H2032" s="829">
        <f>231.26*2</f>
        <v>462.52</v>
      </c>
      <c r="I2032" s="829">
        <v>910</v>
      </c>
      <c r="J2032" s="828">
        <v>0.312</v>
      </c>
      <c r="K2032" s="827">
        <v>9.8800000000000008</v>
      </c>
      <c r="L2032" s="826">
        <v>990</v>
      </c>
      <c r="M2032" s="826">
        <v>5.04</v>
      </c>
      <c r="N2032" s="826">
        <v>1.73</v>
      </c>
      <c r="O2032" s="826">
        <v>17.25</v>
      </c>
      <c r="P2032" s="826">
        <v>3.05</v>
      </c>
      <c r="R2032" s="828">
        <v>1.6850520000000002</v>
      </c>
      <c r="S2032" s="827">
        <v>13.2</v>
      </c>
      <c r="T2032" s="831"/>
      <c r="U2032" s="831"/>
      <c r="V2032" s="831"/>
      <c r="W2032" s="831"/>
      <c r="X2032" s="831"/>
      <c r="Y2032" s="827">
        <v>31.8</v>
      </c>
      <c r="AA2032" s="828">
        <v>4.7300000000000004</v>
      </c>
      <c r="AB2032" s="828">
        <v>0.746</v>
      </c>
      <c r="AC2032" s="826">
        <v>6.5</v>
      </c>
      <c r="AD2032" s="830">
        <v>530</v>
      </c>
      <c r="AE2032" s="830">
        <v>290</v>
      </c>
      <c r="AF2032" s="830">
        <v>180</v>
      </c>
      <c r="AG2032" s="66">
        <f t="shared" si="82"/>
        <v>109.98490566037735</v>
      </c>
      <c r="AH2032" s="143">
        <f t="shared" si="83"/>
        <v>1000</v>
      </c>
    </row>
    <row r="2033" spans="1:34" s="826" customFormat="1" x14ac:dyDescent="0.3">
      <c r="A2033" s="826">
        <v>904058</v>
      </c>
      <c r="B2033" s="827">
        <v>0.95</v>
      </c>
      <c r="C2033" s="827"/>
      <c r="D2033" s="828">
        <v>7.65</v>
      </c>
      <c r="E2033" s="1572">
        <v>0.503</v>
      </c>
      <c r="F2033" s="829">
        <v>553.30000000000007</v>
      </c>
      <c r="G2033" s="849"/>
      <c r="H2033" s="829">
        <v>130.44</v>
      </c>
      <c r="I2033" s="829">
        <v>140</v>
      </c>
      <c r="J2033" s="828">
        <v>0.193</v>
      </c>
      <c r="K2033" s="827">
        <v>4.2</v>
      </c>
      <c r="L2033" s="826">
        <v>490</v>
      </c>
      <c r="M2033" s="826">
        <v>2.59</v>
      </c>
      <c r="N2033" s="826">
        <v>3.23</v>
      </c>
      <c r="O2033" s="826">
        <v>3.26</v>
      </c>
      <c r="P2033" s="826">
        <v>2.77</v>
      </c>
      <c r="R2033" s="828">
        <v>0.6680234755134411</v>
      </c>
      <c r="S2033" s="827">
        <v>5</v>
      </c>
      <c r="T2033" s="831"/>
      <c r="U2033" s="831"/>
      <c r="V2033" s="831"/>
      <c r="W2033" s="831"/>
      <c r="X2033" s="831"/>
      <c r="Y2033" s="827">
        <v>4.2</v>
      </c>
      <c r="AA2033" s="828"/>
      <c r="AB2033" s="828"/>
      <c r="AD2033" s="830">
        <v>60</v>
      </c>
      <c r="AE2033" s="830">
        <v>60</v>
      </c>
      <c r="AF2033" s="830">
        <v>880</v>
      </c>
      <c r="AG2033" s="66">
        <f t="shared" si="82"/>
        <v>354</v>
      </c>
      <c r="AH2033" s="143">
        <f t="shared" si="83"/>
        <v>1000</v>
      </c>
    </row>
    <row r="2034" spans="1:34" s="826" customFormat="1" x14ac:dyDescent="0.3">
      <c r="A2034" s="826">
        <v>904059</v>
      </c>
      <c r="B2034" s="827">
        <v>1.8499999999999999</v>
      </c>
      <c r="C2034" s="827"/>
      <c r="D2034" s="828">
        <v>7.91</v>
      </c>
      <c r="E2034" s="1572">
        <v>0.16200000000000001</v>
      </c>
      <c r="F2034" s="829">
        <v>178.20000000000002</v>
      </c>
      <c r="G2034" s="849"/>
      <c r="H2034" s="829">
        <v>304.49</v>
      </c>
      <c r="I2034" s="829">
        <v>330</v>
      </c>
      <c r="J2034" s="828">
        <v>5.5E-2</v>
      </c>
      <c r="K2034" s="827">
        <v>7.43</v>
      </c>
      <c r="L2034" s="826">
        <v>570</v>
      </c>
      <c r="M2034" s="826">
        <v>1.73</v>
      </c>
      <c r="N2034" s="826">
        <v>1.08</v>
      </c>
      <c r="O2034" s="826">
        <v>3.39</v>
      </c>
      <c r="P2034" s="826">
        <v>3.48</v>
      </c>
      <c r="R2034" s="828">
        <v>1.5943320000000001</v>
      </c>
      <c r="S2034" s="827">
        <v>10.8</v>
      </c>
      <c r="T2034" s="831"/>
      <c r="U2034" s="831"/>
      <c r="V2034" s="831"/>
      <c r="W2034" s="831"/>
      <c r="X2034" s="831"/>
      <c r="Y2034" s="827">
        <v>4.2</v>
      </c>
      <c r="AA2034" s="828"/>
      <c r="AB2034" s="828"/>
      <c r="AD2034" s="830">
        <v>60</v>
      </c>
      <c r="AE2034" s="830">
        <v>80</v>
      </c>
      <c r="AF2034" s="830">
        <v>860</v>
      </c>
      <c r="AG2034" s="66">
        <f t="shared" si="82"/>
        <v>626.24285714285702</v>
      </c>
      <c r="AH2034" s="143">
        <f t="shared" si="83"/>
        <v>1000</v>
      </c>
    </row>
    <row r="2035" spans="1:34" s="826" customFormat="1" x14ac:dyDescent="0.3">
      <c r="A2035" s="826">
        <v>904060</v>
      </c>
      <c r="B2035" s="827">
        <v>1.3166666666666667</v>
      </c>
      <c r="C2035" s="827"/>
      <c r="D2035" s="828">
        <v>7.88</v>
      </c>
      <c r="E2035" s="1572">
        <v>0.77200000000000002</v>
      </c>
      <c r="F2035" s="829">
        <v>849.2</v>
      </c>
      <c r="G2035" s="849"/>
      <c r="H2035" s="829">
        <v>320.62</v>
      </c>
      <c r="I2035" s="829">
        <v>670</v>
      </c>
      <c r="J2035" s="828">
        <v>0.50900000000000001</v>
      </c>
      <c r="K2035" s="827">
        <v>4.28</v>
      </c>
      <c r="L2035" s="826">
        <v>610</v>
      </c>
      <c r="M2035" s="826">
        <v>2.69</v>
      </c>
      <c r="N2035" s="826">
        <v>3.19</v>
      </c>
      <c r="O2035" s="826">
        <v>25.91</v>
      </c>
      <c r="P2035" s="826">
        <v>3.33</v>
      </c>
      <c r="R2035" s="828">
        <v>0.63665064475649391</v>
      </c>
      <c r="S2035" s="827">
        <v>4.5999999999999996</v>
      </c>
      <c r="T2035" s="831"/>
      <c r="U2035" s="831"/>
      <c r="V2035" s="831"/>
      <c r="W2035" s="831"/>
      <c r="X2035" s="831"/>
      <c r="Y2035" s="827">
        <v>3.6</v>
      </c>
      <c r="AA2035" s="828"/>
      <c r="AB2035" s="828"/>
      <c r="AD2035" s="830">
        <v>60</v>
      </c>
      <c r="AE2035" s="830">
        <v>60</v>
      </c>
      <c r="AF2035" s="830">
        <v>880</v>
      </c>
      <c r="AG2035" s="66">
        <f t="shared" si="82"/>
        <v>420.86666666666667</v>
      </c>
      <c r="AH2035" s="143">
        <f t="shared" si="83"/>
        <v>1000</v>
      </c>
    </row>
    <row r="2036" spans="1:34" s="826" customFormat="1" x14ac:dyDescent="0.3">
      <c r="A2036" s="826">
        <v>904061</v>
      </c>
      <c r="B2036" s="827">
        <v>7.1166666666666671</v>
      </c>
      <c r="C2036" s="827"/>
      <c r="D2036" s="828">
        <v>8.09</v>
      </c>
      <c r="E2036" s="1572">
        <v>0.27300000000000002</v>
      </c>
      <c r="F2036" s="829">
        <v>300.3</v>
      </c>
      <c r="G2036" s="849"/>
      <c r="H2036" s="829">
        <v>35.42</v>
      </c>
      <c r="I2036" s="829">
        <v>240</v>
      </c>
      <c r="J2036" s="828">
        <v>0.1</v>
      </c>
      <c r="K2036" s="827">
        <v>7.24</v>
      </c>
      <c r="L2036" s="826">
        <v>700</v>
      </c>
      <c r="M2036" s="826">
        <v>0.94</v>
      </c>
      <c r="N2036" s="826">
        <v>1.0900000000000001</v>
      </c>
      <c r="O2036" s="826">
        <v>5.7</v>
      </c>
      <c r="P2036" s="826">
        <v>3.03</v>
      </c>
      <c r="R2036" s="828">
        <v>1.0109972229186326</v>
      </c>
      <c r="S2036" s="827">
        <v>6.8</v>
      </c>
      <c r="T2036" s="831"/>
      <c r="U2036" s="831"/>
      <c r="V2036" s="831"/>
      <c r="W2036" s="831"/>
      <c r="X2036" s="831"/>
      <c r="Y2036" s="827">
        <v>12.6</v>
      </c>
      <c r="AA2036" s="828"/>
      <c r="AB2036" s="828"/>
      <c r="AD2036" s="830">
        <v>480</v>
      </c>
      <c r="AE2036" s="830">
        <v>160</v>
      </c>
      <c r="AF2036" s="830">
        <v>360</v>
      </c>
      <c r="AG2036" s="66">
        <f t="shared" si="82"/>
        <v>203.40952380952382</v>
      </c>
      <c r="AH2036" s="143">
        <f t="shared" si="83"/>
        <v>1000</v>
      </c>
    </row>
    <row r="2037" spans="1:34" s="826" customFormat="1" x14ac:dyDescent="0.3">
      <c r="A2037" s="826">
        <v>904062</v>
      </c>
      <c r="B2037" s="827">
        <v>3.1833333333333331</v>
      </c>
      <c r="C2037" s="827"/>
      <c r="D2037" s="828">
        <v>7.71</v>
      </c>
      <c r="E2037" s="1572">
        <v>0.432</v>
      </c>
      <c r="F2037" s="829">
        <v>475.20000000000005</v>
      </c>
      <c r="G2037" s="849"/>
      <c r="H2037" s="829">
        <v>426.87</v>
      </c>
      <c r="I2037" s="829">
        <v>660</v>
      </c>
      <c r="J2037" s="828">
        <v>0.215</v>
      </c>
      <c r="K2037" s="827">
        <v>6.33</v>
      </c>
      <c r="L2037" s="826">
        <v>730</v>
      </c>
      <c r="M2037" s="826">
        <v>3.78</v>
      </c>
      <c r="N2037" s="826">
        <v>0.65</v>
      </c>
      <c r="O2037" s="826">
        <v>6.48</v>
      </c>
      <c r="P2037" s="826">
        <v>4.34</v>
      </c>
      <c r="R2037" s="828">
        <v>1.666817</v>
      </c>
      <c r="S2037" s="827">
        <v>12.7</v>
      </c>
      <c r="T2037" s="831"/>
      <c r="U2037" s="831"/>
      <c r="V2037" s="831"/>
      <c r="W2037" s="831"/>
      <c r="X2037" s="831"/>
      <c r="Y2037" s="827">
        <v>4.8</v>
      </c>
      <c r="AA2037" s="828"/>
      <c r="AB2037" s="828"/>
      <c r="AD2037" s="830">
        <v>80</v>
      </c>
      <c r="AE2037" s="830">
        <v>60</v>
      </c>
      <c r="AF2037" s="830">
        <v>860</v>
      </c>
      <c r="AG2037" s="66">
        <f t="shared" si="82"/>
        <v>466.83750000000003</v>
      </c>
      <c r="AH2037" s="143">
        <f t="shared" si="83"/>
        <v>1000</v>
      </c>
    </row>
    <row r="2038" spans="1:34" s="826" customFormat="1" x14ac:dyDescent="0.3">
      <c r="A2038" s="826">
        <v>904063</v>
      </c>
      <c r="B2038" s="827">
        <v>3.4333333333333336</v>
      </c>
      <c r="C2038" s="827"/>
      <c r="D2038" s="828">
        <v>7.75</v>
      </c>
      <c r="E2038" s="1572">
        <v>0.39900000000000002</v>
      </c>
      <c r="F2038" s="829">
        <v>438.90000000000003</v>
      </c>
      <c r="G2038" s="849"/>
      <c r="H2038" s="829">
        <v>369.87</v>
      </c>
      <c r="I2038" s="829">
        <v>500</v>
      </c>
      <c r="J2038" s="828">
        <v>0.20699999999999999</v>
      </c>
      <c r="K2038" s="827">
        <v>6.43</v>
      </c>
      <c r="L2038" s="826">
        <v>680</v>
      </c>
      <c r="M2038" s="826">
        <v>4.0999999999999996</v>
      </c>
      <c r="N2038" s="826">
        <v>2.1800000000000002</v>
      </c>
      <c r="O2038" s="826">
        <v>7.24</v>
      </c>
      <c r="P2038" s="826">
        <v>4.63</v>
      </c>
      <c r="R2038" s="828">
        <v>0.99015543976165488</v>
      </c>
      <c r="S2038" s="827">
        <v>6.8</v>
      </c>
      <c r="T2038" s="831"/>
      <c r="U2038" s="831"/>
      <c r="V2038" s="831"/>
      <c r="W2038" s="831"/>
      <c r="X2038" s="831"/>
      <c r="Y2038" s="827">
        <v>3.5</v>
      </c>
      <c r="AA2038" s="828"/>
      <c r="AB2038" s="828"/>
      <c r="AD2038" s="830">
        <v>70</v>
      </c>
      <c r="AE2038" s="830">
        <v>60</v>
      </c>
      <c r="AF2038" s="830">
        <v>870</v>
      </c>
      <c r="AG2038" s="66">
        <f t="shared" si="82"/>
        <v>650.3485714285714</v>
      </c>
      <c r="AH2038" s="143">
        <f t="shared" si="83"/>
        <v>1000</v>
      </c>
    </row>
    <row r="2039" spans="1:34" s="826" customFormat="1" x14ac:dyDescent="0.3">
      <c r="A2039" s="826">
        <v>904064</v>
      </c>
      <c r="B2039" s="827">
        <v>1.0999999999999999</v>
      </c>
      <c r="C2039" s="827"/>
      <c r="D2039" s="828">
        <v>7.92</v>
      </c>
      <c r="E2039" s="1572">
        <v>0.35099999999999998</v>
      </c>
      <c r="F2039" s="829">
        <v>386.1</v>
      </c>
      <c r="G2039" s="849"/>
      <c r="H2039" s="829">
        <v>370.9</v>
      </c>
      <c r="I2039" s="829">
        <v>790</v>
      </c>
      <c r="J2039" s="828">
        <v>0.17399999999999999</v>
      </c>
      <c r="K2039" s="827">
        <v>5.57</v>
      </c>
      <c r="L2039" s="826">
        <v>690</v>
      </c>
      <c r="M2039" s="826">
        <v>2.13</v>
      </c>
      <c r="N2039" s="826">
        <v>1.37</v>
      </c>
      <c r="O2039" s="826">
        <v>6.4</v>
      </c>
      <c r="P2039" s="826">
        <v>3.38</v>
      </c>
      <c r="R2039" s="828">
        <v>0.55603388978374968</v>
      </c>
      <c r="S2039" s="827">
        <v>3.7</v>
      </c>
      <c r="T2039" s="831"/>
      <c r="U2039" s="831"/>
      <c r="V2039" s="831"/>
      <c r="W2039" s="831"/>
      <c r="X2039" s="831"/>
      <c r="Y2039" s="827">
        <v>3</v>
      </c>
      <c r="AA2039" s="828"/>
      <c r="AB2039" s="828"/>
      <c r="AD2039" s="830">
        <v>60</v>
      </c>
      <c r="AE2039" s="830">
        <v>80</v>
      </c>
      <c r="AF2039" s="830">
        <v>860</v>
      </c>
      <c r="AG2039" s="66">
        <f t="shared" si="82"/>
        <v>657.26</v>
      </c>
      <c r="AH2039" s="143">
        <f t="shared" si="83"/>
        <v>1000</v>
      </c>
    </row>
    <row r="2040" spans="1:34" s="826" customFormat="1" x14ac:dyDescent="0.3">
      <c r="A2040" s="826">
        <v>904065</v>
      </c>
      <c r="B2040" s="827">
        <v>0.4333333333333334</v>
      </c>
      <c r="C2040" s="827"/>
      <c r="D2040" s="828">
        <v>7.79</v>
      </c>
      <c r="E2040" s="1572">
        <v>0.26400000000000001</v>
      </c>
      <c r="F2040" s="829">
        <v>290.40000000000003</v>
      </c>
      <c r="G2040" s="849"/>
      <c r="H2040" s="829">
        <v>54.49</v>
      </c>
      <c r="I2040" s="829">
        <v>300</v>
      </c>
      <c r="J2040" s="828">
        <v>0.14699999999999999</v>
      </c>
      <c r="K2040" s="827">
        <v>4.92</v>
      </c>
      <c r="L2040" s="826">
        <v>780</v>
      </c>
      <c r="M2040" s="826">
        <v>0.79</v>
      </c>
      <c r="N2040" s="826">
        <v>1.62</v>
      </c>
      <c r="O2040" s="826">
        <v>9.2100000000000009</v>
      </c>
      <c r="P2040" s="826">
        <v>2.56</v>
      </c>
      <c r="R2040" s="828">
        <v>1.0211067838555521</v>
      </c>
      <c r="S2040" s="827">
        <v>7.2</v>
      </c>
      <c r="T2040" s="831"/>
      <c r="U2040" s="831"/>
      <c r="V2040" s="831"/>
      <c r="W2040" s="831"/>
      <c r="X2040" s="831"/>
      <c r="Y2040" s="827">
        <v>16</v>
      </c>
      <c r="AA2040" s="828"/>
      <c r="AB2040" s="828"/>
      <c r="AD2040" s="830">
        <v>500</v>
      </c>
      <c r="AE2040" s="830">
        <v>170</v>
      </c>
      <c r="AF2040" s="830">
        <v>330</v>
      </c>
      <c r="AG2040" s="66">
        <f t="shared" si="82"/>
        <v>108.85499999999999</v>
      </c>
      <c r="AH2040" s="143">
        <f t="shared" si="83"/>
        <v>1000</v>
      </c>
    </row>
    <row r="2041" spans="1:34" s="826" customFormat="1" x14ac:dyDescent="0.3">
      <c r="A2041" s="826">
        <v>904066</v>
      </c>
      <c r="B2041" s="827">
        <v>0.11666666666666665</v>
      </c>
      <c r="C2041" s="827"/>
      <c r="D2041" s="828">
        <v>7.98</v>
      </c>
      <c r="E2041" s="1572">
        <v>0.13700000000000001</v>
      </c>
      <c r="F2041" s="829">
        <v>150.70000000000002</v>
      </c>
      <c r="G2041" s="849"/>
      <c r="H2041" s="829">
        <v>83.21</v>
      </c>
      <c r="I2041" s="829">
        <v>160</v>
      </c>
      <c r="J2041" s="828">
        <v>6.7000000000000004E-2</v>
      </c>
      <c r="K2041" s="827">
        <v>4.2300000000000004</v>
      </c>
      <c r="L2041" s="826">
        <v>680</v>
      </c>
      <c r="M2041" s="826">
        <v>0.39</v>
      </c>
      <c r="N2041" s="826">
        <v>1.59</v>
      </c>
      <c r="O2041" s="826">
        <v>4.95</v>
      </c>
      <c r="P2041" s="826">
        <v>3.37</v>
      </c>
      <c r="R2041" s="828">
        <v>0.67141397581282258</v>
      </c>
      <c r="S2041" s="827">
        <v>4.7</v>
      </c>
      <c r="T2041" s="831"/>
      <c r="U2041" s="831"/>
      <c r="V2041" s="831"/>
      <c r="W2041" s="831"/>
      <c r="X2041" s="831"/>
      <c r="Y2041" s="827">
        <v>14.6</v>
      </c>
      <c r="AA2041" s="828"/>
      <c r="AB2041" s="828"/>
      <c r="AD2041" s="830">
        <v>480</v>
      </c>
      <c r="AE2041" s="830">
        <v>180</v>
      </c>
      <c r="AF2041" s="830">
        <v>340</v>
      </c>
      <c r="AG2041" s="66">
        <f t="shared" si="82"/>
        <v>102.56301369863014</v>
      </c>
      <c r="AH2041" s="143">
        <f t="shared" si="83"/>
        <v>1000</v>
      </c>
    </row>
    <row r="2042" spans="1:34" s="826" customFormat="1" x14ac:dyDescent="0.3">
      <c r="A2042" s="826">
        <v>904067</v>
      </c>
      <c r="B2042" s="827">
        <v>30.333333333333329</v>
      </c>
      <c r="C2042" s="827">
        <v>11.75</v>
      </c>
      <c r="D2042" s="828">
        <v>7.95</v>
      </c>
      <c r="E2042" s="1572">
        <v>0.156</v>
      </c>
      <c r="F2042" s="829">
        <v>171.60000000000002</v>
      </c>
      <c r="G2042" s="849"/>
      <c r="H2042" s="829">
        <v>15.94</v>
      </c>
      <c r="I2042" s="829">
        <v>260</v>
      </c>
      <c r="J2042" s="828">
        <v>9.4E-2</v>
      </c>
      <c r="K2042" s="827">
        <v>10.94</v>
      </c>
      <c r="L2042" s="826">
        <v>810</v>
      </c>
      <c r="M2042" s="826">
        <v>0.49</v>
      </c>
      <c r="N2042" s="826">
        <v>1.31</v>
      </c>
      <c r="O2042" s="826">
        <v>3.39</v>
      </c>
      <c r="P2042" s="826">
        <v>6.65</v>
      </c>
      <c r="R2042" s="828">
        <v>1.1406192087700713</v>
      </c>
      <c r="S2042" s="827">
        <v>7.7</v>
      </c>
      <c r="T2042" s="831"/>
      <c r="U2042" s="831"/>
      <c r="V2042" s="831"/>
      <c r="W2042" s="831"/>
      <c r="X2042" s="831"/>
      <c r="Y2042" s="827">
        <v>32</v>
      </c>
      <c r="AA2042" s="828"/>
      <c r="AB2042" s="828"/>
      <c r="AD2042" s="830">
        <v>640</v>
      </c>
      <c r="AE2042" s="830">
        <v>280</v>
      </c>
      <c r="AF2042" s="830">
        <v>80</v>
      </c>
      <c r="AG2042" s="66">
        <f t="shared" si="82"/>
        <v>121.02374999999998</v>
      </c>
      <c r="AH2042" s="143">
        <f t="shared" si="83"/>
        <v>1000</v>
      </c>
    </row>
    <row r="2043" spans="1:34" s="826" customFormat="1" x14ac:dyDescent="0.3">
      <c r="A2043" s="826">
        <v>904068</v>
      </c>
      <c r="B2043" s="827">
        <v>30.166666666666664</v>
      </c>
      <c r="C2043" s="827">
        <v>12</v>
      </c>
      <c r="D2043" s="828">
        <v>7.95</v>
      </c>
      <c r="E2043" s="1572">
        <v>0.218</v>
      </c>
      <c r="F2043" s="829">
        <v>239.8</v>
      </c>
      <c r="G2043" s="849"/>
      <c r="H2043" s="829">
        <v>13.58</v>
      </c>
      <c r="I2043" s="829">
        <v>210</v>
      </c>
      <c r="J2043" s="828">
        <v>0.26600000000000001</v>
      </c>
      <c r="K2043" s="827">
        <v>10.42</v>
      </c>
      <c r="L2043" s="826">
        <v>750</v>
      </c>
      <c r="M2043" s="826">
        <v>0.39</v>
      </c>
      <c r="N2043" s="826">
        <v>1.39</v>
      </c>
      <c r="O2043" s="826">
        <v>3.36</v>
      </c>
      <c r="P2043" s="826">
        <v>6.79</v>
      </c>
      <c r="R2043" s="828">
        <v>1.2451189630435731</v>
      </c>
      <c r="S2043" s="827">
        <v>8.1</v>
      </c>
      <c r="T2043" s="831"/>
      <c r="U2043" s="831"/>
      <c r="V2043" s="831"/>
      <c r="W2043" s="831"/>
      <c r="X2043" s="831"/>
      <c r="Y2043" s="827">
        <v>39.6</v>
      </c>
      <c r="AA2043" s="828"/>
      <c r="AB2043" s="828"/>
      <c r="AD2043" s="830">
        <v>660</v>
      </c>
      <c r="AE2043" s="830">
        <v>260</v>
      </c>
      <c r="AF2043" s="830">
        <v>80</v>
      </c>
      <c r="AG2043" s="66">
        <f t="shared" si="82"/>
        <v>93.148484848484856</v>
      </c>
      <c r="AH2043" s="143">
        <f t="shared" si="83"/>
        <v>1000</v>
      </c>
    </row>
    <row r="2044" spans="1:34" s="826" customFormat="1" x14ac:dyDescent="0.3">
      <c r="A2044" s="826">
        <v>904069</v>
      </c>
      <c r="B2044" s="827">
        <v>30</v>
      </c>
      <c r="C2044" s="827">
        <v>12.62</v>
      </c>
      <c r="D2044" s="828">
        <v>8.02</v>
      </c>
      <c r="E2044" s="1572">
        <v>0.37</v>
      </c>
      <c r="F2044" s="829">
        <v>407.00000000000006</v>
      </c>
      <c r="G2044" s="849"/>
      <c r="H2044" s="829">
        <v>5.52</v>
      </c>
      <c r="I2044" s="829">
        <v>210</v>
      </c>
      <c r="J2044" s="828">
        <v>0.48799999999999999</v>
      </c>
      <c r="K2044" s="827">
        <v>10.94</v>
      </c>
      <c r="L2044" s="826">
        <v>850</v>
      </c>
      <c r="M2044" s="826">
        <v>0.42</v>
      </c>
      <c r="N2044" s="826">
        <v>2.56</v>
      </c>
      <c r="O2044" s="826">
        <v>5</v>
      </c>
      <c r="P2044" s="826">
        <v>10.68</v>
      </c>
      <c r="R2044" s="828">
        <v>1.6444730000000001</v>
      </c>
      <c r="S2044" s="827">
        <v>12.1</v>
      </c>
      <c r="T2044" s="831"/>
      <c r="U2044" s="831"/>
      <c r="V2044" s="831"/>
      <c r="W2044" s="831"/>
      <c r="X2044" s="831"/>
      <c r="Y2044" s="827">
        <v>32.5</v>
      </c>
      <c r="AA2044" s="828"/>
      <c r="AB2044" s="828"/>
      <c r="AD2044" s="830">
        <v>650</v>
      </c>
      <c r="AE2044" s="830">
        <v>260</v>
      </c>
      <c r="AF2044" s="830">
        <v>90</v>
      </c>
      <c r="AG2044" s="66">
        <f t="shared" si="82"/>
        <v>119.16184615384613</v>
      </c>
      <c r="AH2044" s="143">
        <f t="shared" si="83"/>
        <v>1000</v>
      </c>
    </row>
    <row r="2045" spans="1:34" s="114" customFormat="1" x14ac:dyDescent="0.3">
      <c r="A2045" s="114">
        <v>904070</v>
      </c>
      <c r="B2045" s="310">
        <v>14.166666666666666</v>
      </c>
      <c r="C2045" s="310">
        <v>5.0999999999999996</v>
      </c>
      <c r="D2045" s="311">
        <v>8.27</v>
      </c>
      <c r="E2045" s="1543">
        <v>0.189</v>
      </c>
      <c r="F2045" s="313">
        <v>207.9</v>
      </c>
      <c r="G2045" s="312"/>
      <c r="H2045" s="313">
        <v>60.61</v>
      </c>
      <c r="I2045" s="313">
        <v>320</v>
      </c>
      <c r="J2045" s="311">
        <v>0.04</v>
      </c>
      <c r="K2045" s="311">
        <v>8.19</v>
      </c>
      <c r="L2045" s="313">
        <v>350</v>
      </c>
      <c r="M2045" s="114">
        <v>1.06</v>
      </c>
      <c r="N2045" s="114">
        <v>1.3</v>
      </c>
      <c r="O2045" s="310">
        <v>200.67</v>
      </c>
      <c r="P2045" s="114">
        <v>2.5099999999999998</v>
      </c>
      <c r="R2045" s="311">
        <v>1.6886570000000001</v>
      </c>
      <c r="S2045" s="310">
        <v>13.3</v>
      </c>
      <c r="T2045" s="845"/>
      <c r="U2045" s="845"/>
      <c r="V2045" s="845"/>
      <c r="W2045" s="845"/>
      <c r="X2045" s="845"/>
      <c r="Y2045" s="310">
        <v>26</v>
      </c>
      <c r="AA2045" s="311">
        <v>4.9400000000000004</v>
      </c>
      <c r="AB2045" s="311">
        <v>0.63700000000000001</v>
      </c>
      <c r="AC2045" s="114">
        <v>7.2</v>
      </c>
      <c r="AD2045" s="776">
        <v>520</v>
      </c>
      <c r="AE2045" s="776">
        <v>260</v>
      </c>
      <c r="AF2045" s="776">
        <v>220</v>
      </c>
      <c r="AG2045" s="66">
        <f t="shared" si="82"/>
        <v>111.50999999999999</v>
      </c>
      <c r="AH2045" s="143">
        <f t="shared" si="83"/>
        <v>1000</v>
      </c>
    </row>
    <row r="2046" spans="1:34" s="114" customFormat="1" x14ac:dyDescent="0.3">
      <c r="A2046" s="114">
        <v>904071</v>
      </c>
      <c r="B2046" s="310">
        <v>12.5</v>
      </c>
      <c r="C2046" s="310">
        <v>3.4</v>
      </c>
      <c r="D2046" s="311">
        <v>7.6</v>
      </c>
      <c r="E2046" s="1543">
        <v>0.97899999999999998</v>
      </c>
      <c r="F2046" s="313">
        <v>1076.9000000000001</v>
      </c>
      <c r="G2046" s="312"/>
      <c r="H2046" s="313">
        <v>104.53</v>
      </c>
      <c r="I2046" s="313">
        <v>1510</v>
      </c>
      <c r="J2046" s="311">
        <v>0.16</v>
      </c>
      <c r="K2046" s="311">
        <v>7.09</v>
      </c>
      <c r="L2046" s="313">
        <v>710</v>
      </c>
      <c r="M2046" s="114">
        <v>1.66</v>
      </c>
      <c r="N2046" s="114">
        <v>1.38</v>
      </c>
      <c r="O2046" s="310">
        <v>178.86</v>
      </c>
      <c r="P2046" s="114">
        <v>3.46</v>
      </c>
      <c r="R2046" s="311">
        <v>2.1392329999999999</v>
      </c>
      <c r="S2046" s="310">
        <v>43.099999999999994</v>
      </c>
      <c r="T2046" s="846"/>
      <c r="U2046" s="846"/>
      <c r="V2046" s="846"/>
      <c r="W2046" s="846"/>
      <c r="X2046" s="846"/>
      <c r="Y2046" s="310"/>
      <c r="AA2046" s="311">
        <v>4.91</v>
      </c>
      <c r="AB2046" s="311">
        <v>0.48199999999999998</v>
      </c>
      <c r="AC2046" s="114">
        <v>11.3</v>
      </c>
      <c r="AD2046" s="776"/>
      <c r="AE2046" s="776"/>
      <c r="AF2046" s="776"/>
      <c r="AG2046" s="66" t="e">
        <f t="shared" si="82"/>
        <v>#DIV/0!</v>
      </c>
      <c r="AH2046" s="143">
        <f t="shared" si="83"/>
        <v>0</v>
      </c>
    </row>
    <row r="2047" spans="1:34" s="826" customFormat="1" x14ac:dyDescent="0.3">
      <c r="A2047" s="826">
        <v>904072</v>
      </c>
      <c r="B2047" s="827">
        <v>12.666666666666664</v>
      </c>
      <c r="C2047" s="827">
        <v>7.12</v>
      </c>
      <c r="D2047" s="828">
        <v>7.85</v>
      </c>
      <c r="E2047" s="1572">
        <v>0.90900000000000003</v>
      </c>
      <c r="F2047" s="829">
        <v>999.90000000000009</v>
      </c>
      <c r="G2047" s="849"/>
      <c r="H2047" s="829">
        <v>535.36</v>
      </c>
      <c r="I2047" s="829">
        <v>920</v>
      </c>
      <c r="J2047" s="828">
        <v>0.32600000000000001</v>
      </c>
      <c r="K2047" s="827">
        <v>8.73</v>
      </c>
      <c r="L2047" s="826">
        <v>950</v>
      </c>
      <c r="M2047" s="826">
        <v>5.63</v>
      </c>
      <c r="N2047" s="826">
        <v>2.0299999999999998</v>
      </c>
      <c r="O2047" s="826">
        <v>18.829999999999998</v>
      </c>
      <c r="P2047" s="826">
        <v>3.38</v>
      </c>
      <c r="R2047" s="828">
        <v>1.629297</v>
      </c>
      <c r="S2047" s="827">
        <v>11.7</v>
      </c>
      <c r="T2047" s="847"/>
      <c r="U2047" s="847"/>
      <c r="V2047" s="847"/>
      <c r="W2047" s="847"/>
      <c r="X2047" s="847"/>
      <c r="Y2047" s="827">
        <v>39.200000000000003</v>
      </c>
      <c r="AA2047" s="828">
        <v>3.77</v>
      </c>
      <c r="AB2047" s="828">
        <v>0.71899999999999997</v>
      </c>
      <c r="AC2047" s="826">
        <v>8.4</v>
      </c>
      <c r="AD2047" s="830">
        <v>560</v>
      </c>
      <c r="AE2047" s="830">
        <v>220</v>
      </c>
      <c r="AF2047" s="830">
        <v>220</v>
      </c>
      <c r="AG2047" s="66">
        <f t="shared" si="82"/>
        <v>78.837244897959181</v>
      </c>
      <c r="AH2047" s="143">
        <f t="shared" si="83"/>
        <v>1000</v>
      </c>
    </row>
    <row r="2048" spans="1:34" s="826" customFormat="1" x14ac:dyDescent="0.3">
      <c r="A2048" s="826">
        <v>904073</v>
      </c>
      <c r="B2048" s="827">
        <v>1.4333333333333331</v>
      </c>
      <c r="C2048" s="827"/>
      <c r="D2048" s="828">
        <v>7.84</v>
      </c>
      <c r="E2048" s="1572">
        <v>0.223</v>
      </c>
      <c r="F2048" s="829">
        <v>245.3</v>
      </c>
      <c r="G2048" s="849"/>
      <c r="H2048" s="829">
        <v>122.6</v>
      </c>
      <c r="I2048" s="829">
        <v>160</v>
      </c>
      <c r="J2048" s="828">
        <v>0.24</v>
      </c>
      <c r="K2048" s="827">
        <v>5.29</v>
      </c>
      <c r="L2048" s="826">
        <v>520</v>
      </c>
      <c r="M2048" s="826">
        <v>0.56999999999999995</v>
      </c>
      <c r="N2048" s="826">
        <v>0.42</v>
      </c>
      <c r="O2048" s="826">
        <v>3.04</v>
      </c>
      <c r="P2048" s="826">
        <v>3.99</v>
      </c>
      <c r="R2048" s="828">
        <v>0.96056749397996477</v>
      </c>
      <c r="S2048" s="827">
        <v>6.4</v>
      </c>
      <c r="T2048" s="831"/>
      <c r="U2048" s="831"/>
      <c r="V2048" s="831"/>
      <c r="W2048" s="831"/>
      <c r="X2048" s="831"/>
      <c r="Y2048" s="827">
        <v>21</v>
      </c>
      <c r="AA2048" s="828">
        <v>4.3</v>
      </c>
      <c r="AB2048" s="828">
        <v>0.26200000000000001</v>
      </c>
      <c r="AC2048" s="826">
        <v>10.199999999999999</v>
      </c>
      <c r="AD2048" s="830">
        <v>420</v>
      </c>
      <c r="AE2048" s="830">
        <v>260</v>
      </c>
      <c r="AF2048" s="830">
        <v>320</v>
      </c>
      <c r="AG2048" s="66">
        <f t="shared" si="82"/>
        <v>89.174285714285716</v>
      </c>
      <c r="AH2048" s="143">
        <f t="shared" si="83"/>
        <v>1000</v>
      </c>
    </row>
    <row r="2049" spans="1:34" s="826" customFormat="1" x14ac:dyDescent="0.3">
      <c r="A2049" s="826">
        <v>904074</v>
      </c>
      <c r="B2049" s="827">
        <v>0.16666666666666666</v>
      </c>
      <c r="C2049" s="827"/>
      <c r="D2049" s="828">
        <v>7.68</v>
      </c>
      <c r="E2049" s="1572">
        <v>0.38400000000000001</v>
      </c>
      <c r="F2049" s="829">
        <v>422.40000000000003</v>
      </c>
      <c r="G2049" s="849"/>
      <c r="H2049" s="829">
        <v>200.38</v>
      </c>
      <c r="I2049" s="829">
        <v>210</v>
      </c>
      <c r="J2049" s="828">
        <v>0.32400000000000001</v>
      </c>
      <c r="K2049" s="848">
        <v>3.7</v>
      </c>
      <c r="L2049" s="826">
        <v>500</v>
      </c>
      <c r="M2049" s="826">
        <v>0.95</v>
      </c>
      <c r="N2049" s="826">
        <v>0.51</v>
      </c>
      <c r="O2049" s="826">
        <v>4.96</v>
      </c>
      <c r="P2049" s="826">
        <v>4.17</v>
      </c>
      <c r="R2049" s="828">
        <v>1.2111424593718696</v>
      </c>
      <c r="S2049" s="827">
        <v>8.5</v>
      </c>
      <c r="T2049" s="831"/>
      <c r="U2049" s="831"/>
      <c r="V2049" s="831"/>
      <c r="W2049" s="831"/>
      <c r="X2049" s="831"/>
      <c r="Y2049" s="827">
        <v>20.8</v>
      </c>
      <c r="AA2049" s="828">
        <v>4</v>
      </c>
      <c r="AB2049" s="828">
        <v>0.82299999999999995</v>
      </c>
      <c r="AC2049" s="826">
        <v>9.4</v>
      </c>
      <c r="AD2049" s="830">
        <v>440</v>
      </c>
      <c r="AE2049" s="830">
        <v>230</v>
      </c>
      <c r="AF2049" s="830">
        <v>330</v>
      </c>
      <c r="AG2049" s="66">
        <f t="shared" si="82"/>
        <v>62.971153846153854</v>
      </c>
      <c r="AH2049" s="143">
        <f t="shared" si="83"/>
        <v>1000</v>
      </c>
    </row>
    <row r="2050" spans="1:34" s="826" customFormat="1" ht="15" customHeight="1" x14ac:dyDescent="0.3">
      <c r="A2050" s="826">
        <v>904075</v>
      </c>
      <c r="B2050" s="827">
        <v>0.1</v>
      </c>
      <c r="C2050" s="827"/>
      <c r="D2050" s="828">
        <v>7.55</v>
      </c>
      <c r="E2050" s="1572">
        <v>0.28899999999999998</v>
      </c>
      <c r="F2050" s="829">
        <v>317.90000000000003</v>
      </c>
      <c r="G2050" s="849"/>
      <c r="H2050" s="829">
        <v>209.78</v>
      </c>
      <c r="I2050" s="829">
        <v>100</v>
      </c>
      <c r="J2050" s="828">
        <v>0.42599999999999999</v>
      </c>
      <c r="K2050" s="848">
        <v>3.92</v>
      </c>
      <c r="L2050" s="826">
        <v>630</v>
      </c>
      <c r="M2050" s="826">
        <v>1.1499999999999999</v>
      </c>
      <c r="N2050" s="826">
        <v>0.59</v>
      </c>
      <c r="O2050" s="826">
        <v>4.53</v>
      </c>
      <c r="P2050" s="826">
        <v>5.26</v>
      </c>
      <c r="R2050" s="828">
        <v>1.0919843925055108</v>
      </c>
      <c r="S2050" s="827">
        <v>7.2</v>
      </c>
      <c r="T2050" s="831"/>
      <c r="U2050" s="831"/>
      <c r="V2050" s="831"/>
      <c r="W2050" s="831"/>
      <c r="X2050" s="831"/>
      <c r="Y2050" s="827">
        <v>20.8</v>
      </c>
      <c r="AA2050" s="828">
        <v>3.7</v>
      </c>
      <c r="AB2050" s="828">
        <v>0.83099999999999996</v>
      </c>
      <c r="AC2050" s="826">
        <v>11.4</v>
      </c>
      <c r="AD2050" s="830">
        <v>440</v>
      </c>
      <c r="AE2050" s="830">
        <v>280</v>
      </c>
      <c r="AF2050" s="830">
        <v>280</v>
      </c>
      <c r="AG2050" s="66">
        <f t="shared" ref="AG2050:AG2113" si="85">+K2050*3.54*100/Y2050</f>
        <v>66.715384615384608</v>
      </c>
      <c r="AH2050" s="143">
        <f t="shared" ref="AH2050:AH2113" si="86">+SUM(AD2050:AF2050)</f>
        <v>1000</v>
      </c>
    </row>
    <row r="2051" spans="1:34" s="826" customFormat="1" x14ac:dyDescent="0.3">
      <c r="A2051" s="826">
        <v>904076</v>
      </c>
      <c r="B2051" s="827">
        <v>0.1</v>
      </c>
      <c r="C2051" s="827"/>
      <c r="D2051" s="828">
        <v>7.03</v>
      </c>
      <c r="E2051" s="1572">
        <v>0.48099999999999998</v>
      </c>
      <c r="F2051" s="829">
        <v>529.1</v>
      </c>
      <c r="G2051" s="849"/>
      <c r="H2051" s="829">
        <v>226.16</v>
      </c>
      <c r="I2051" s="829">
        <v>120</v>
      </c>
      <c r="J2051" s="828">
        <v>0.504</v>
      </c>
      <c r="K2051" s="848">
        <v>3.29</v>
      </c>
      <c r="L2051" s="826">
        <v>490</v>
      </c>
      <c r="M2051" s="826">
        <v>1.97</v>
      </c>
      <c r="N2051" s="826">
        <v>0.65</v>
      </c>
      <c r="O2051" s="826">
        <v>8.6300000000000008</v>
      </c>
      <c r="P2051" s="826">
        <v>8.35</v>
      </c>
      <c r="R2051" s="828">
        <v>1.1444167073548039</v>
      </c>
      <c r="S2051" s="827">
        <v>7.5</v>
      </c>
      <c r="T2051" s="831"/>
      <c r="U2051" s="831"/>
      <c r="V2051" s="831"/>
      <c r="W2051" s="831"/>
      <c r="X2051" s="831"/>
      <c r="Y2051" s="827">
        <v>25.2</v>
      </c>
      <c r="AA2051" s="828">
        <v>3.95</v>
      </c>
      <c r="AB2051" s="828">
        <v>0.85199999999999998</v>
      </c>
      <c r="AC2051" s="826">
        <v>9.4</v>
      </c>
      <c r="AD2051" s="830">
        <v>420</v>
      </c>
      <c r="AE2051" s="830">
        <v>240</v>
      </c>
      <c r="AF2051" s="830">
        <v>340</v>
      </c>
      <c r="AG2051" s="66">
        <f t="shared" si="85"/>
        <v>46.216666666666661</v>
      </c>
      <c r="AH2051" s="143">
        <f t="shared" si="86"/>
        <v>1000</v>
      </c>
    </row>
    <row r="2052" spans="1:34" s="826" customFormat="1" x14ac:dyDescent="0.3">
      <c r="A2052" s="826">
        <v>904077</v>
      </c>
      <c r="B2052" s="827">
        <v>8.3333333333333329E-2</v>
      </c>
      <c r="C2052" s="827"/>
      <c r="D2052" s="828">
        <v>6.95</v>
      </c>
      <c r="E2052" s="1572">
        <v>0.34599999999999997</v>
      </c>
      <c r="F2052" s="829">
        <v>380.6</v>
      </c>
      <c r="G2052" s="849"/>
      <c r="H2052" s="829">
        <v>238.48</v>
      </c>
      <c r="I2052" s="829">
        <v>140</v>
      </c>
      <c r="J2052" s="828">
        <v>0.317</v>
      </c>
      <c r="K2052" s="848">
        <v>3.49</v>
      </c>
      <c r="L2052" s="826">
        <v>600</v>
      </c>
      <c r="M2052" s="826">
        <v>0.67</v>
      </c>
      <c r="N2052" s="826">
        <v>0.67</v>
      </c>
      <c r="O2052" s="826">
        <v>13.54</v>
      </c>
      <c r="P2052" s="826">
        <v>6.19</v>
      </c>
      <c r="R2052" s="828">
        <v>0.97265183191084659</v>
      </c>
      <c r="S2052" s="827">
        <v>6.5</v>
      </c>
      <c r="T2052" s="831"/>
      <c r="U2052" s="831"/>
      <c r="V2052" s="831"/>
      <c r="W2052" s="831"/>
      <c r="X2052" s="831"/>
      <c r="Y2052" s="827">
        <v>22</v>
      </c>
      <c r="AA2052" s="828">
        <v>4.04</v>
      </c>
      <c r="AB2052" s="828">
        <v>0.76400000000000001</v>
      </c>
      <c r="AC2052" s="826">
        <v>8.8000000000000007</v>
      </c>
      <c r="AD2052" s="830">
        <v>440</v>
      </c>
      <c r="AE2052" s="830">
        <v>290</v>
      </c>
      <c r="AF2052" s="830">
        <v>270</v>
      </c>
      <c r="AG2052" s="66">
        <f t="shared" si="85"/>
        <v>56.157272727272726</v>
      </c>
      <c r="AH2052" s="143">
        <f t="shared" si="86"/>
        <v>1000</v>
      </c>
    </row>
    <row r="2053" spans="1:34" s="826" customFormat="1" x14ac:dyDescent="0.3">
      <c r="A2053" s="826">
        <v>904078</v>
      </c>
      <c r="B2053" s="827">
        <v>1.533333333333333</v>
      </c>
      <c r="C2053" s="827"/>
      <c r="D2053" s="828">
        <v>7.62</v>
      </c>
      <c r="E2053" s="1572">
        <v>0.38600000000000001</v>
      </c>
      <c r="F2053" s="829">
        <v>424.6</v>
      </c>
      <c r="G2053" s="849"/>
      <c r="H2053" s="829">
        <v>160.84</v>
      </c>
      <c r="I2053" s="829">
        <v>180</v>
      </c>
      <c r="J2053" s="828">
        <v>0.45600000000000002</v>
      </c>
      <c r="K2053" s="848">
        <v>7.54</v>
      </c>
      <c r="L2053" s="826">
        <v>640</v>
      </c>
      <c r="M2053" s="826">
        <v>0.83</v>
      </c>
      <c r="N2053" s="826">
        <v>0.66</v>
      </c>
      <c r="O2053" s="826">
        <v>6.24</v>
      </c>
      <c r="P2053" s="826">
        <v>6.55</v>
      </c>
      <c r="R2053" s="828">
        <v>1.751153</v>
      </c>
      <c r="S2053" s="827">
        <v>15.1</v>
      </c>
      <c r="T2053" s="831"/>
      <c r="U2053" s="831"/>
      <c r="V2053" s="831"/>
      <c r="W2053" s="831"/>
      <c r="X2053" s="831"/>
      <c r="Y2053" s="827">
        <v>28</v>
      </c>
      <c r="AA2053" s="828">
        <v>4.21</v>
      </c>
      <c r="AB2053" s="828">
        <v>0.33700000000000002</v>
      </c>
      <c r="AC2053" s="826">
        <v>12</v>
      </c>
      <c r="AD2053" s="830">
        <v>400</v>
      </c>
      <c r="AE2053" s="830">
        <v>280</v>
      </c>
      <c r="AF2053" s="830">
        <v>320</v>
      </c>
      <c r="AG2053" s="66">
        <f t="shared" si="85"/>
        <v>95.327142857142874</v>
      </c>
      <c r="AH2053" s="143">
        <f t="shared" si="86"/>
        <v>1000</v>
      </c>
    </row>
    <row r="2054" spans="1:34" s="826" customFormat="1" x14ac:dyDescent="0.3">
      <c r="A2054" s="826">
        <v>904079</v>
      </c>
      <c r="B2054" s="827">
        <v>0.1</v>
      </c>
      <c r="C2054" s="827"/>
      <c r="D2054" s="828">
        <v>7.55</v>
      </c>
      <c r="E2054" s="1572">
        <v>0.214</v>
      </c>
      <c r="F2054" s="829">
        <v>235.4</v>
      </c>
      <c r="G2054" s="849"/>
      <c r="H2054" s="829">
        <v>162.66</v>
      </c>
      <c r="I2054" s="829">
        <v>80</v>
      </c>
      <c r="J2054" s="828">
        <v>0.27500000000000002</v>
      </c>
      <c r="K2054" s="827">
        <v>1.1100000000000001</v>
      </c>
      <c r="L2054" s="826">
        <v>430</v>
      </c>
      <c r="M2054" s="826">
        <v>0.56000000000000005</v>
      </c>
      <c r="N2054" s="826">
        <v>0.47</v>
      </c>
      <c r="O2054" s="826">
        <v>5.55</v>
      </c>
      <c r="P2054" s="826">
        <v>8.77</v>
      </c>
      <c r="R2054" s="828">
        <v>0.59426323392880975</v>
      </c>
      <c r="S2054" s="827">
        <v>4.2</v>
      </c>
      <c r="T2054" s="627"/>
      <c r="U2054" s="627"/>
      <c r="V2054" s="627"/>
      <c r="W2054" s="627"/>
      <c r="X2054" s="627"/>
      <c r="Y2054" s="827">
        <v>3</v>
      </c>
      <c r="AA2054" s="828">
        <v>4.57</v>
      </c>
      <c r="AB2054" s="828">
        <v>0.72499999999999998</v>
      </c>
      <c r="AC2054" s="826">
        <v>9.6999999999999993</v>
      </c>
      <c r="AD2054" s="830">
        <v>300</v>
      </c>
      <c r="AE2054" s="830">
        <v>160</v>
      </c>
      <c r="AF2054" s="830">
        <v>540</v>
      </c>
      <c r="AG2054" s="66">
        <f t="shared" si="85"/>
        <v>130.97999999999999</v>
      </c>
      <c r="AH2054" s="143">
        <f t="shared" si="86"/>
        <v>1000</v>
      </c>
    </row>
    <row r="2055" spans="1:34" s="826" customFormat="1" x14ac:dyDescent="0.3">
      <c r="A2055" s="826">
        <v>904080</v>
      </c>
      <c r="B2055" s="827">
        <v>0.11666666666666665</v>
      </c>
      <c r="C2055" s="827"/>
      <c r="D2055" s="828">
        <v>7.48</v>
      </c>
      <c r="E2055" s="1572">
        <v>0.122</v>
      </c>
      <c r="F2055" s="829">
        <v>134.20000000000002</v>
      </c>
      <c r="G2055" s="849"/>
      <c r="H2055" s="829">
        <v>98.52</v>
      </c>
      <c r="I2055" s="829">
        <v>40</v>
      </c>
      <c r="J2055" s="828">
        <v>0.14399999999999999</v>
      </c>
      <c r="K2055" s="827">
        <v>0.7</v>
      </c>
      <c r="L2055" s="826">
        <v>240</v>
      </c>
      <c r="M2055" s="826">
        <v>0.85</v>
      </c>
      <c r="N2055" s="826">
        <v>0.39</v>
      </c>
      <c r="O2055" s="826">
        <v>3.34</v>
      </c>
      <c r="P2055" s="826">
        <v>6.23</v>
      </c>
      <c r="R2055" s="828">
        <v>0.30541610452396678</v>
      </c>
      <c r="S2055" s="827">
        <v>2.2000000000000002</v>
      </c>
      <c r="T2055" s="831"/>
      <c r="U2055" s="831"/>
      <c r="V2055" s="831"/>
      <c r="W2055" s="831"/>
      <c r="X2055" s="831"/>
      <c r="Y2055" s="827">
        <v>2</v>
      </c>
      <c r="AA2055" s="828">
        <v>4.83</v>
      </c>
      <c r="AB2055" s="828">
        <v>0.5</v>
      </c>
      <c r="AC2055" s="826">
        <v>8.4</v>
      </c>
      <c r="AD2055" s="830">
        <v>100</v>
      </c>
      <c r="AE2055" s="830">
        <v>80</v>
      </c>
      <c r="AF2055" s="830">
        <v>820</v>
      </c>
      <c r="AG2055" s="66">
        <f t="shared" si="85"/>
        <v>123.89999999999999</v>
      </c>
      <c r="AH2055" s="143">
        <f t="shared" si="86"/>
        <v>1000</v>
      </c>
    </row>
    <row r="2056" spans="1:34" s="826" customFormat="1" x14ac:dyDescent="0.3">
      <c r="A2056" s="826">
        <v>904081</v>
      </c>
      <c r="B2056" s="827">
        <v>0.4333333333333334</v>
      </c>
      <c r="C2056" s="827"/>
      <c r="D2056" s="828">
        <v>7.97</v>
      </c>
      <c r="E2056" s="1572">
        <v>0.246</v>
      </c>
      <c r="F2056" s="829">
        <v>270.60000000000002</v>
      </c>
      <c r="G2056" s="849"/>
      <c r="H2056" s="829">
        <v>94.86</v>
      </c>
      <c r="I2056" s="829">
        <v>100</v>
      </c>
      <c r="J2056" s="828">
        <v>0.30599999999999999</v>
      </c>
      <c r="K2056" s="827">
        <v>1.78</v>
      </c>
      <c r="L2056" s="826">
        <v>350</v>
      </c>
      <c r="M2056" s="826">
        <v>0.76</v>
      </c>
      <c r="N2056" s="826">
        <v>0.39</v>
      </c>
      <c r="O2056" s="826">
        <v>2.86</v>
      </c>
      <c r="P2056" s="826">
        <v>2.8</v>
      </c>
      <c r="R2056" s="828">
        <v>0.58161354862186909</v>
      </c>
      <c r="S2056" s="827">
        <v>3.9</v>
      </c>
      <c r="T2056" s="627"/>
      <c r="U2056" s="627"/>
      <c r="V2056" s="627"/>
      <c r="W2056" s="627"/>
      <c r="X2056" s="627"/>
      <c r="Y2056" s="827">
        <v>4.5999999999999996</v>
      </c>
      <c r="AA2056" s="828">
        <v>4.49</v>
      </c>
      <c r="AB2056" s="828">
        <v>0.308</v>
      </c>
      <c r="AC2056" s="826">
        <v>9.5</v>
      </c>
      <c r="AD2056" s="830">
        <v>180</v>
      </c>
      <c r="AE2056" s="830">
        <v>120</v>
      </c>
      <c r="AF2056" s="830">
        <v>700</v>
      </c>
      <c r="AG2056" s="66">
        <f t="shared" si="85"/>
        <v>136.98260869565217</v>
      </c>
      <c r="AH2056" s="143">
        <f t="shared" si="86"/>
        <v>1000</v>
      </c>
    </row>
    <row r="2057" spans="1:34" s="826" customFormat="1" x14ac:dyDescent="0.3">
      <c r="A2057" s="826">
        <v>904082</v>
      </c>
      <c r="B2057" s="827">
        <v>0.11666666666666665</v>
      </c>
      <c r="C2057" s="827"/>
      <c r="D2057" s="828">
        <v>8.01</v>
      </c>
      <c r="E2057" s="1572">
        <v>0.42699999999999999</v>
      </c>
      <c r="F2057" s="829">
        <v>469.70000000000005</v>
      </c>
      <c r="G2057" s="849"/>
      <c r="H2057" s="829">
        <v>199.42</v>
      </c>
      <c r="I2057" s="829">
        <v>90</v>
      </c>
      <c r="J2057" s="828">
        <v>0.504</v>
      </c>
      <c r="K2057" s="848">
        <v>3.59</v>
      </c>
      <c r="L2057" s="826">
        <v>570</v>
      </c>
      <c r="M2057" s="826">
        <v>1.08</v>
      </c>
      <c r="N2057" s="826">
        <v>0.53</v>
      </c>
      <c r="O2057" s="826">
        <v>4.5599999999999996</v>
      </c>
      <c r="P2057" s="826">
        <v>4.8899999999999997</v>
      </c>
      <c r="R2057" s="828">
        <v>0.85500054109805346</v>
      </c>
      <c r="S2057" s="827">
        <v>5.9</v>
      </c>
      <c r="T2057" s="831"/>
      <c r="U2057" s="831"/>
      <c r="V2057" s="831"/>
      <c r="W2057" s="831"/>
      <c r="X2057" s="831"/>
      <c r="Y2057" s="827">
        <v>12</v>
      </c>
      <c r="AA2057" s="828">
        <v>3.63</v>
      </c>
      <c r="AB2057" s="828">
        <v>0.54</v>
      </c>
      <c r="AC2057" s="826">
        <v>6.5</v>
      </c>
      <c r="AD2057" s="830">
        <v>400</v>
      </c>
      <c r="AE2057" s="830">
        <v>260</v>
      </c>
      <c r="AF2057" s="830">
        <v>340</v>
      </c>
      <c r="AG2057" s="66">
        <f t="shared" si="85"/>
        <v>105.90499999999999</v>
      </c>
      <c r="AH2057" s="143">
        <f t="shared" si="86"/>
        <v>1000</v>
      </c>
    </row>
    <row r="2058" spans="1:34" s="826" customFormat="1" x14ac:dyDescent="0.3">
      <c r="A2058" s="826">
        <v>904083</v>
      </c>
      <c r="B2058" s="827">
        <v>0.54999999999999993</v>
      </c>
      <c r="C2058" s="827"/>
      <c r="D2058" s="828">
        <v>7.66</v>
      </c>
      <c r="E2058" s="1572">
        <v>0.44600000000000001</v>
      </c>
      <c r="F2058" s="829">
        <v>490.6</v>
      </c>
      <c r="G2058" s="849"/>
      <c r="H2058" s="829">
        <v>166.72</v>
      </c>
      <c r="I2058" s="829">
        <v>180</v>
      </c>
      <c r="J2058" s="828">
        <v>0.40699999999999997</v>
      </c>
      <c r="K2058" s="848">
        <v>3.36</v>
      </c>
      <c r="L2058" s="826">
        <v>560</v>
      </c>
      <c r="M2058" s="826">
        <v>1.1599999999999999</v>
      </c>
      <c r="N2058" s="826">
        <v>0.53</v>
      </c>
      <c r="O2058" s="826">
        <v>3.53</v>
      </c>
      <c r="P2058" s="826">
        <v>3.81</v>
      </c>
      <c r="R2058" s="828">
        <v>1.0613679087154251</v>
      </c>
      <c r="S2058" s="827">
        <v>7.8</v>
      </c>
      <c r="T2058" s="627"/>
      <c r="U2058" s="627"/>
      <c r="V2058" s="627"/>
      <c r="W2058" s="627"/>
      <c r="X2058" s="627"/>
      <c r="Y2058" s="827">
        <v>12</v>
      </c>
      <c r="AA2058" s="828">
        <v>4.49</v>
      </c>
      <c r="AB2058" s="828">
        <v>0.748</v>
      </c>
      <c r="AC2058" s="826">
        <v>12</v>
      </c>
      <c r="AD2058" s="830">
        <v>420</v>
      </c>
      <c r="AE2058" s="830">
        <v>250</v>
      </c>
      <c r="AF2058" s="830">
        <v>330</v>
      </c>
      <c r="AG2058" s="66">
        <f t="shared" si="85"/>
        <v>99.11999999999999</v>
      </c>
      <c r="AH2058" s="143">
        <f t="shared" si="86"/>
        <v>1000</v>
      </c>
    </row>
    <row r="2059" spans="1:34" s="826" customFormat="1" x14ac:dyDescent="0.3">
      <c r="A2059" s="826">
        <v>904084</v>
      </c>
      <c r="B2059" s="827">
        <v>0.26666666666666666</v>
      </c>
      <c r="C2059" s="827"/>
      <c r="D2059" s="828">
        <v>7.55</v>
      </c>
      <c r="E2059" s="1572">
        <v>0.44700000000000001</v>
      </c>
      <c r="F2059" s="829">
        <v>491.70000000000005</v>
      </c>
      <c r="G2059" s="849"/>
      <c r="H2059" s="829">
        <v>151.94</v>
      </c>
      <c r="I2059" s="829">
        <v>110</v>
      </c>
      <c r="J2059" s="828">
        <v>0.504</v>
      </c>
      <c r="K2059" s="827">
        <v>3.08</v>
      </c>
      <c r="L2059" s="826">
        <v>630</v>
      </c>
      <c r="M2059" s="826">
        <v>0.97</v>
      </c>
      <c r="N2059" s="826">
        <v>0.6</v>
      </c>
      <c r="O2059" s="826">
        <v>5.29</v>
      </c>
      <c r="P2059" s="826">
        <v>4.6100000000000003</v>
      </c>
      <c r="R2059" s="828">
        <v>1.0751866873281459</v>
      </c>
      <c r="S2059" s="827">
        <v>7.7</v>
      </c>
      <c r="T2059" s="831"/>
      <c r="U2059" s="831"/>
      <c r="V2059" s="831"/>
      <c r="W2059" s="831"/>
      <c r="X2059" s="831"/>
      <c r="Y2059" s="827">
        <v>11</v>
      </c>
      <c r="AA2059" s="828">
        <v>4.3099999999999996</v>
      </c>
      <c r="AB2059" s="828">
        <v>0.45400000000000001</v>
      </c>
      <c r="AC2059" s="826">
        <v>11.2</v>
      </c>
      <c r="AD2059" s="830">
        <v>400</v>
      </c>
      <c r="AE2059" s="830">
        <v>240</v>
      </c>
      <c r="AF2059" s="830">
        <v>360</v>
      </c>
      <c r="AG2059" s="66">
        <f t="shared" si="85"/>
        <v>99.11999999999999</v>
      </c>
      <c r="AH2059" s="143">
        <f t="shared" si="86"/>
        <v>1000</v>
      </c>
    </row>
    <row r="2060" spans="1:34" s="826" customFormat="1" x14ac:dyDescent="0.3">
      <c r="A2060" s="826">
        <v>904085</v>
      </c>
      <c r="B2060" s="827">
        <v>1.7666666666666668</v>
      </c>
      <c r="C2060" s="827"/>
      <c r="D2060" s="828">
        <v>7.94</v>
      </c>
      <c r="E2060" s="1572">
        <v>0.23699999999999999</v>
      </c>
      <c r="F2060" s="829">
        <v>260.70000000000005</v>
      </c>
      <c r="G2060" s="849"/>
      <c r="H2060" s="829">
        <v>112.08</v>
      </c>
      <c r="I2060" s="829">
        <v>170</v>
      </c>
      <c r="J2060" s="828">
        <v>0.26300000000000001</v>
      </c>
      <c r="K2060" s="827">
        <v>6.39</v>
      </c>
      <c r="L2060" s="826">
        <v>470</v>
      </c>
      <c r="M2060" s="826">
        <v>0.7</v>
      </c>
      <c r="N2060" s="826">
        <v>0.51</v>
      </c>
      <c r="O2060" s="826">
        <v>4.1500000000000004</v>
      </c>
      <c r="P2060" s="826">
        <v>2.76</v>
      </c>
      <c r="R2060" s="828">
        <v>1.1029880557147547</v>
      </c>
      <c r="S2060" s="827">
        <v>7.4</v>
      </c>
      <c r="T2060" s="627"/>
      <c r="U2060" s="627"/>
      <c r="V2060" s="627"/>
      <c r="W2060" s="627"/>
      <c r="X2060" s="627"/>
      <c r="Y2060" s="827">
        <v>18</v>
      </c>
      <c r="AA2060" s="828">
        <v>4.76</v>
      </c>
      <c r="AB2060" s="828">
        <v>0.46300000000000002</v>
      </c>
      <c r="AC2060" s="826">
        <v>11.6</v>
      </c>
      <c r="AD2060" s="830">
        <v>360</v>
      </c>
      <c r="AE2060" s="826">
        <v>260</v>
      </c>
      <c r="AF2060" s="830">
        <v>380</v>
      </c>
      <c r="AG2060" s="66">
        <f t="shared" si="85"/>
        <v>125.67</v>
      </c>
      <c r="AH2060" s="143">
        <f t="shared" si="86"/>
        <v>1000</v>
      </c>
    </row>
    <row r="2061" spans="1:34" s="826" customFormat="1" x14ac:dyDescent="0.3">
      <c r="A2061" s="826">
        <v>904086</v>
      </c>
      <c r="B2061" s="827">
        <v>0.13333333333333333</v>
      </c>
      <c r="C2061" s="827"/>
      <c r="D2061" s="828">
        <v>7.52</v>
      </c>
      <c r="E2061" s="1572">
        <v>0.42299999999999999</v>
      </c>
      <c r="F2061" s="829">
        <v>465.3</v>
      </c>
      <c r="G2061" s="849"/>
      <c r="H2061" s="829">
        <v>276.13</v>
      </c>
      <c r="I2061" s="829">
        <v>180</v>
      </c>
      <c r="J2061" s="828">
        <v>0.439</v>
      </c>
      <c r="K2061" s="827">
        <v>1.41</v>
      </c>
      <c r="L2061" s="826">
        <v>450</v>
      </c>
      <c r="M2061" s="826">
        <v>1.99</v>
      </c>
      <c r="N2061" s="826">
        <v>0.66</v>
      </c>
      <c r="O2061" s="826">
        <v>5.99</v>
      </c>
      <c r="P2061" s="826">
        <v>8.0299999999999994</v>
      </c>
      <c r="R2061" s="828">
        <v>0.97221466213985597</v>
      </c>
      <c r="S2061" s="827">
        <v>6.8</v>
      </c>
      <c r="T2061" s="831"/>
      <c r="U2061" s="831"/>
      <c r="V2061" s="831"/>
      <c r="W2061" s="831"/>
      <c r="X2061" s="831"/>
      <c r="Y2061" s="827">
        <v>5</v>
      </c>
      <c r="AA2061" s="828">
        <v>3.96</v>
      </c>
      <c r="AB2061" s="828">
        <v>0.74199999999999999</v>
      </c>
      <c r="AC2061" s="826">
        <v>11.2</v>
      </c>
      <c r="AD2061" s="830">
        <v>300</v>
      </c>
      <c r="AE2061" s="826">
        <v>200</v>
      </c>
      <c r="AF2061" s="830">
        <v>500</v>
      </c>
      <c r="AG2061" s="66">
        <f t="shared" si="85"/>
        <v>99.828000000000003</v>
      </c>
      <c r="AH2061" s="143">
        <f t="shared" si="86"/>
        <v>1000</v>
      </c>
    </row>
    <row r="2062" spans="1:34" s="826" customFormat="1" x14ac:dyDescent="0.3">
      <c r="A2062" s="826">
        <v>904087</v>
      </c>
      <c r="B2062" s="827">
        <v>8.3333333333333329E-2</v>
      </c>
      <c r="C2062" s="827"/>
      <c r="D2062" s="828">
        <v>6.88</v>
      </c>
      <c r="E2062" s="1572">
        <v>0.35499999999999998</v>
      </c>
      <c r="F2062" s="829">
        <v>390.50000000000006</v>
      </c>
      <c r="G2062" s="849"/>
      <c r="H2062" s="829">
        <v>241.47</v>
      </c>
      <c r="I2062" s="829">
        <v>90</v>
      </c>
      <c r="J2062" s="828">
        <v>0.32</v>
      </c>
      <c r="K2062" s="827">
        <v>1.1499999999999999</v>
      </c>
      <c r="L2062" s="826">
        <v>400</v>
      </c>
      <c r="M2062" s="826">
        <v>1.43</v>
      </c>
      <c r="N2062" s="826">
        <v>0.62</v>
      </c>
      <c r="O2062" s="826">
        <v>18.91</v>
      </c>
      <c r="P2062" s="826">
        <v>7.66</v>
      </c>
      <c r="R2062" s="828">
        <v>0.79628537411349332</v>
      </c>
      <c r="S2062" s="827">
        <v>5.2</v>
      </c>
      <c r="T2062" s="627"/>
      <c r="U2062" s="627"/>
      <c r="V2062" s="627"/>
      <c r="W2062" s="627"/>
      <c r="X2062" s="627"/>
      <c r="Y2062" s="827">
        <v>3.8</v>
      </c>
      <c r="AA2062" s="828">
        <v>4.29</v>
      </c>
      <c r="AB2062" s="828">
        <v>0.35899999999999999</v>
      </c>
      <c r="AC2062" s="826">
        <v>9.1999999999999993</v>
      </c>
      <c r="AD2062" s="830">
        <v>180</v>
      </c>
      <c r="AE2062" s="826">
        <v>160</v>
      </c>
      <c r="AF2062" s="830">
        <v>660</v>
      </c>
      <c r="AG2062" s="66">
        <f t="shared" si="85"/>
        <v>107.13157894736841</v>
      </c>
      <c r="AH2062" s="143">
        <f t="shared" si="86"/>
        <v>1000</v>
      </c>
    </row>
    <row r="2063" spans="1:34" s="826" customFormat="1" x14ac:dyDescent="0.3">
      <c r="A2063" s="826">
        <v>904088</v>
      </c>
      <c r="B2063" s="827">
        <v>0.1</v>
      </c>
      <c r="C2063" s="827"/>
      <c r="D2063" s="828">
        <v>7.53</v>
      </c>
      <c r="E2063" s="1572">
        <v>0.154</v>
      </c>
      <c r="F2063" s="829">
        <v>169.4</v>
      </c>
      <c r="G2063" s="849"/>
      <c r="H2063" s="829">
        <v>89.17</v>
      </c>
      <c r="I2063" s="829">
        <v>60</v>
      </c>
      <c r="J2063" s="828">
        <v>0.158</v>
      </c>
      <c r="K2063" s="827">
        <v>0.93</v>
      </c>
      <c r="L2063" s="826">
        <v>320</v>
      </c>
      <c r="M2063" s="826">
        <v>0.48</v>
      </c>
      <c r="N2063" s="826">
        <v>0.39</v>
      </c>
      <c r="O2063" s="826">
        <v>4.72</v>
      </c>
      <c r="P2063" s="826">
        <v>3.38</v>
      </c>
      <c r="R2063" s="828">
        <v>0.53057347733490134</v>
      </c>
      <c r="S2063" s="827">
        <v>3.8</v>
      </c>
      <c r="T2063" s="831"/>
      <c r="U2063" s="831"/>
      <c r="V2063" s="831"/>
      <c r="W2063" s="831"/>
      <c r="X2063" s="831"/>
      <c r="Y2063" s="827">
        <v>3</v>
      </c>
      <c r="AA2063" s="828">
        <v>4.42</v>
      </c>
      <c r="AB2063" s="828">
        <v>0.65500000000000003</v>
      </c>
      <c r="AC2063" s="826">
        <v>9</v>
      </c>
      <c r="AD2063" s="830">
        <v>200</v>
      </c>
      <c r="AE2063" s="826">
        <v>180</v>
      </c>
      <c r="AF2063" s="830">
        <v>620</v>
      </c>
      <c r="AG2063" s="66">
        <f t="shared" si="85"/>
        <v>109.74000000000001</v>
      </c>
      <c r="AH2063" s="143">
        <f t="shared" si="86"/>
        <v>1000</v>
      </c>
    </row>
    <row r="2064" spans="1:34" s="826" customFormat="1" x14ac:dyDescent="0.3">
      <c r="A2064" s="826">
        <v>904089</v>
      </c>
      <c r="B2064" s="827">
        <v>0.11666666666666665</v>
      </c>
      <c r="C2064" s="827"/>
      <c r="D2064" s="828">
        <v>7.45</v>
      </c>
      <c r="E2064" s="1572">
        <v>0.29699999999999999</v>
      </c>
      <c r="F2064" s="829">
        <v>326.70000000000005</v>
      </c>
      <c r="G2064" s="849"/>
      <c r="H2064" s="829">
        <v>82.48</v>
      </c>
      <c r="I2064" s="829">
        <v>100</v>
      </c>
      <c r="J2064" s="828">
        <v>0.308</v>
      </c>
      <c r="K2064" s="827">
        <v>1.17</v>
      </c>
      <c r="L2064" s="826">
        <v>400</v>
      </c>
      <c r="M2064" s="826">
        <v>0.67</v>
      </c>
      <c r="N2064" s="826">
        <v>0.36</v>
      </c>
      <c r="O2064" s="826">
        <v>8.02</v>
      </c>
      <c r="P2064" s="826">
        <v>3.17</v>
      </c>
      <c r="R2064" s="828">
        <v>0.82421783462453468</v>
      </c>
      <c r="S2064" s="827">
        <v>5.4</v>
      </c>
      <c r="T2064" s="627"/>
      <c r="U2064" s="627"/>
      <c r="V2064" s="627"/>
      <c r="W2064" s="627"/>
      <c r="X2064" s="627"/>
      <c r="Y2064" s="827">
        <v>4</v>
      </c>
      <c r="AA2064" s="828">
        <v>4.2</v>
      </c>
      <c r="AB2064" s="828">
        <v>0.63400000000000001</v>
      </c>
      <c r="AC2064" s="826">
        <v>6.9</v>
      </c>
      <c r="AD2064" s="830">
        <v>200</v>
      </c>
      <c r="AE2064" s="830">
        <v>160</v>
      </c>
      <c r="AF2064" s="830">
        <v>640</v>
      </c>
      <c r="AG2064" s="66">
        <f t="shared" si="85"/>
        <v>103.545</v>
      </c>
      <c r="AH2064" s="143">
        <f t="shared" si="86"/>
        <v>1000</v>
      </c>
    </row>
    <row r="2065" spans="1:34" s="90" customFormat="1" x14ac:dyDescent="0.3">
      <c r="A2065" s="90">
        <v>904090</v>
      </c>
      <c r="B2065" s="803">
        <v>0.18333333333333335</v>
      </c>
      <c r="C2065" s="803"/>
      <c r="D2065" s="152">
        <v>7.55</v>
      </c>
      <c r="E2065" s="1127">
        <v>0.58599999999999997</v>
      </c>
      <c r="F2065" s="804">
        <f>E2065*1000*1.1</f>
        <v>644.6</v>
      </c>
      <c r="H2065" s="804">
        <v>112.62</v>
      </c>
      <c r="I2065" s="804">
        <v>120</v>
      </c>
      <c r="J2065" s="152">
        <v>0.48899999999999999</v>
      </c>
      <c r="K2065" s="152">
        <v>2.976</v>
      </c>
      <c r="L2065" s="804">
        <v>550</v>
      </c>
      <c r="M2065" s="90">
        <v>1.24</v>
      </c>
      <c r="N2065" s="90">
        <v>0.86</v>
      </c>
      <c r="O2065" s="90">
        <v>16.14</v>
      </c>
      <c r="P2065" s="90">
        <v>3.58</v>
      </c>
      <c r="R2065" s="152">
        <v>1.0322800189142614</v>
      </c>
      <c r="S2065" s="803">
        <v>7.4</v>
      </c>
      <c r="T2065" s="14"/>
      <c r="U2065" s="14"/>
      <c r="V2065" s="14"/>
      <c r="Y2065" s="803">
        <v>10.8</v>
      </c>
      <c r="AA2065" s="152">
        <v>4.49</v>
      </c>
      <c r="AB2065" s="152">
        <v>0.57599999999999996</v>
      </c>
      <c r="AC2065" s="90">
        <v>8.1999999999999993</v>
      </c>
      <c r="AD2065" s="118">
        <v>180</v>
      </c>
      <c r="AE2065" s="118">
        <v>100</v>
      </c>
      <c r="AF2065" s="118">
        <v>720</v>
      </c>
      <c r="AG2065" s="66">
        <f t="shared" si="85"/>
        <v>97.546666666666667</v>
      </c>
      <c r="AH2065" s="143">
        <f t="shared" si="86"/>
        <v>1000</v>
      </c>
    </row>
    <row r="2066" spans="1:34" s="90" customFormat="1" x14ac:dyDescent="0.3">
      <c r="A2066" s="90">
        <v>904091</v>
      </c>
      <c r="B2066" s="803">
        <v>0.1</v>
      </c>
      <c r="C2066" s="803"/>
      <c r="D2066" s="152">
        <v>7.68</v>
      </c>
      <c r="E2066" s="1127">
        <v>0.26700000000000002</v>
      </c>
      <c r="F2066" s="804">
        <f t="shared" ref="F2066:F2095" si="87">E2066*1000*1.1</f>
        <v>293.70000000000005</v>
      </c>
      <c r="H2066" s="804">
        <v>89.71</v>
      </c>
      <c r="I2066" s="804">
        <v>60</v>
      </c>
      <c r="J2066" s="152">
        <v>0.27600000000000002</v>
      </c>
      <c r="K2066" s="152">
        <v>2.4169999999999998</v>
      </c>
      <c r="L2066" s="804">
        <v>390</v>
      </c>
      <c r="M2066" s="90">
        <v>0.64</v>
      </c>
      <c r="N2066" s="90">
        <v>0.35</v>
      </c>
      <c r="O2066" s="90">
        <v>8.1300000000000008</v>
      </c>
      <c r="P2066" s="90">
        <v>3.59</v>
      </c>
      <c r="R2066" s="152">
        <v>0.78014102978897892</v>
      </c>
      <c r="S2066" s="803">
        <v>5.0999999999999996</v>
      </c>
      <c r="T2066" s="14"/>
      <c r="U2066" s="14"/>
      <c r="V2066" s="14"/>
      <c r="Y2066" s="803">
        <v>10</v>
      </c>
      <c r="AA2066" s="152">
        <v>3.71</v>
      </c>
      <c r="AB2066" s="152">
        <v>0.318</v>
      </c>
      <c r="AC2066" s="90">
        <v>8</v>
      </c>
      <c r="AD2066" s="118">
        <v>200</v>
      </c>
      <c r="AE2066" s="118">
        <v>80</v>
      </c>
      <c r="AF2066" s="118">
        <v>720</v>
      </c>
      <c r="AG2066" s="66">
        <f t="shared" si="85"/>
        <v>85.561799999999991</v>
      </c>
      <c r="AH2066" s="143">
        <f t="shared" si="86"/>
        <v>1000</v>
      </c>
    </row>
    <row r="2067" spans="1:34" s="90" customFormat="1" x14ac:dyDescent="0.3">
      <c r="A2067" s="90">
        <v>904092</v>
      </c>
      <c r="B2067" s="803">
        <v>8.3333333333333329E-2</v>
      </c>
      <c r="C2067" s="803"/>
      <c r="D2067" s="152">
        <v>7.8</v>
      </c>
      <c r="E2067" s="1127">
        <v>0.17799999999999999</v>
      </c>
      <c r="F2067" s="804">
        <f t="shared" si="87"/>
        <v>195.8</v>
      </c>
      <c r="H2067" s="804">
        <v>150.88</v>
      </c>
      <c r="I2067" s="804">
        <v>90</v>
      </c>
      <c r="J2067" s="152">
        <v>0.26900000000000002</v>
      </c>
      <c r="K2067" s="152">
        <v>2.7290000000000001</v>
      </c>
      <c r="L2067" s="804">
        <v>500</v>
      </c>
      <c r="M2067" s="90">
        <v>0.84</v>
      </c>
      <c r="N2067" s="90">
        <v>0.41</v>
      </c>
      <c r="O2067" s="90">
        <v>6.26</v>
      </c>
      <c r="P2067" s="90">
        <v>4.91</v>
      </c>
      <c r="R2067" s="152">
        <v>0.943162562785411</v>
      </c>
      <c r="S2067" s="803">
        <v>6.5</v>
      </c>
      <c r="T2067" s="14"/>
      <c r="U2067" s="14"/>
      <c r="V2067" s="14"/>
      <c r="Y2067" s="803">
        <v>9.4</v>
      </c>
      <c r="AA2067" s="152">
        <v>4.88</v>
      </c>
      <c r="AB2067" s="152">
        <v>0.38800000000000001</v>
      </c>
      <c r="AC2067" s="90">
        <v>7.2</v>
      </c>
      <c r="AD2067" s="118">
        <v>240</v>
      </c>
      <c r="AE2067" s="118">
        <v>80</v>
      </c>
      <c r="AF2067" s="118">
        <v>680</v>
      </c>
      <c r="AG2067" s="66">
        <f t="shared" si="85"/>
        <v>102.77297872340425</v>
      </c>
      <c r="AH2067" s="143">
        <f t="shared" si="86"/>
        <v>1000</v>
      </c>
    </row>
    <row r="2068" spans="1:34" s="90" customFormat="1" x14ac:dyDescent="0.3">
      <c r="A2068" s="90">
        <v>904093</v>
      </c>
      <c r="B2068" s="803">
        <v>6.6666666666666666E-2</v>
      </c>
      <c r="C2068" s="803"/>
      <c r="D2068" s="152">
        <v>7.24</v>
      </c>
      <c r="E2068" s="1127">
        <v>0.19</v>
      </c>
      <c r="F2068" s="804">
        <f t="shared" si="87"/>
        <v>209.00000000000003</v>
      </c>
      <c r="H2068" s="804">
        <v>98.95</v>
      </c>
      <c r="I2068" s="804">
        <v>70</v>
      </c>
      <c r="J2068" s="152">
        <v>0.16600000000000001</v>
      </c>
      <c r="K2068" s="152">
        <v>1.871</v>
      </c>
      <c r="L2068" s="804">
        <v>280</v>
      </c>
      <c r="M2068" s="90">
        <v>0.74</v>
      </c>
      <c r="N2068" s="90">
        <v>0.37</v>
      </c>
      <c r="O2068" s="90">
        <v>16.52</v>
      </c>
      <c r="P2068" s="90">
        <v>5.26</v>
      </c>
      <c r="R2068" s="152">
        <v>0.60604339151168829</v>
      </c>
      <c r="S2068" s="803">
        <v>4.5</v>
      </c>
      <c r="T2068" s="14"/>
      <c r="U2068" s="14"/>
      <c r="V2068" s="14"/>
      <c r="Y2068" s="803">
        <v>5</v>
      </c>
      <c r="AA2068" s="152">
        <v>4.37</v>
      </c>
      <c r="AB2068" s="152">
        <v>0.81</v>
      </c>
      <c r="AC2068" s="90">
        <v>11.7</v>
      </c>
      <c r="AD2068" s="118">
        <v>100</v>
      </c>
      <c r="AE2068" s="118">
        <v>80</v>
      </c>
      <c r="AF2068" s="118">
        <v>820</v>
      </c>
      <c r="AG2068" s="66">
        <f t="shared" si="85"/>
        <v>132.46679999999998</v>
      </c>
      <c r="AH2068" s="143">
        <f t="shared" si="86"/>
        <v>1000</v>
      </c>
    </row>
    <row r="2069" spans="1:34" s="90" customFormat="1" x14ac:dyDescent="0.3">
      <c r="A2069" s="90">
        <v>904094</v>
      </c>
      <c r="B2069" s="803">
        <v>0.1</v>
      </c>
      <c r="C2069" s="803"/>
      <c r="D2069" s="152">
        <v>7.61</v>
      </c>
      <c r="E2069" s="1127">
        <v>0.23300000000000001</v>
      </c>
      <c r="F2069" s="804">
        <f t="shared" si="87"/>
        <v>256.3</v>
      </c>
      <c r="H2069" s="804">
        <v>123.03</v>
      </c>
      <c r="I2069" s="804">
        <v>70</v>
      </c>
      <c r="J2069" s="152">
        <v>0.32100000000000001</v>
      </c>
      <c r="K2069" s="152">
        <v>1.8129999999999999</v>
      </c>
      <c r="L2069" s="804">
        <v>390</v>
      </c>
      <c r="M2069" s="90">
        <v>0.53</v>
      </c>
      <c r="N2069" s="90">
        <v>0.46</v>
      </c>
      <c r="O2069" s="90">
        <v>6.96</v>
      </c>
      <c r="P2069" s="90">
        <v>5.26</v>
      </c>
      <c r="R2069" s="152">
        <v>0.74981458630996445</v>
      </c>
      <c r="S2069" s="803">
        <v>5.2</v>
      </c>
      <c r="T2069" s="14"/>
      <c r="U2069" s="14"/>
      <c r="V2069" s="14"/>
      <c r="Y2069" s="803">
        <v>6.6</v>
      </c>
      <c r="AA2069" s="152">
        <v>3.47</v>
      </c>
      <c r="AB2069" s="152">
        <v>0.47699999999999998</v>
      </c>
      <c r="AC2069" s="90">
        <v>7.5</v>
      </c>
      <c r="AD2069" s="118">
        <v>160</v>
      </c>
      <c r="AE2069" s="118">
        <v>100</v>
      </c>
      <c r="AF2069" s="118">
        <v>740</v>
      </c>
      <c r="AG2069" s="66">
        <f t="shared" si="85"/>
        <v>97.242727272727279</v>
      </c>
      <c r="AH2069" s="143">
        <f t="shared" si="86"/>
        <v>1000</v>
      </c>
    </row>
    <row r="2070" spans="1:34" s="90" customFormat="1" x14ac:dyDescent="0.3">
      <c r="A2070" s="90">
        <v>904095</v>
      </c>
      <c r="B2070" s="803">
        <v>0.11666666666666665</v>
      </c>
      <c r="C2070" s="803"/>
      <c r="D2070" s="152">
        <v>7.7</v>
      </c>
      <c r="E2070" s="1127">
        <v>0.23599999999999999</v>
      </c>
      <c r="F2070" s="804">
        <f t="shared" si="87"/>
        <v>259.60000000000002</v>
      </c>
      <c r="H2070" s="804">
        <v>118.52</v>
      </c>
      <c r="I2070" s="804">
        <v>80</v>
      </c>
      <c r="J2070" s="152">
        <v>0.20899999999999999</v>
      </c>
      <c r="K2070" s="152">
        <v>1.8380000000000001</v>
      </c>
      <c r="L2070" s="804">
        <v>420</v>
      </c>
      <c r="M2070" s="90">
        <v>0.91</v>
      </c>
      <c r="N2070" s="90">
        <v>0.42</v>
      </c>
      <c r="O2070" s="90">
        <v>8.23</v>
      </c>
      <c r="P2070" s="90">
        <v>4.37</v>
      </c>
      <c r="R2070" s="152">
        <v>0.70884424720445294</v>
      </c>
      <c r="S2070" s="803">
        <v>4.7</v>
      </c>
      <c r="T2070" s="14"/>
      <c r="U2070" s="14"/>
      <c r="V2070" s="14"/>
      <c r="Y2070" s="803">
        <v>7</v>
      </c>
      <c r="AA2070" s="152">
        <v>3.86</v>
      </c>
      <c r="AB2070" s="152">
        <v>0.34300000000000003</v>
      </c>
      <c r="AC2070" s="90">
        <v>11.3</v>
      </c>
      <c r="AD2070" s="118">
        <v>200</v>
      </c>
      <c r="AE2070" s="118">
        <v>120</v>
      </c>
      <c r="AF2070" s="118">
        <v>680</v>
      </c>
      <c r="AG2070" s="66">
        <f t="shared" si="85"/>
        <v>92.950285714285727</v>
      </c>
      <c r="AH2070" s="143">
        <f t="shared" si="86"/>
        <v>1000</v>
      </c>
    </row>
    <row r="2071" spans="1:34" s="90" customFormat="1" x14ac:dyDescent="0.3">
      <c r="A2071" s="90">
        <v>904096</v>
      </c>
      <c r="B2071" s="803">
        <v>8.3333333333333329E-2</v>
      </c>
      <c r="C2071" s="803"/>
      <c r="D2071" s="152">
        <v>7.84</v>
      </c>
      <c r="E2071" s="1127">
        <v>0.22500000000000001</v>
      </c>
      <c r="F2071" s="804">
        <f t="shared" si="87"/>
        <v>247.50000000000003</v>
      </c>
      <c r="H2071" s="804">
        <v>146.06</v>
      </c>
      <c r="I2071" s="804">
        <v>100</v>
      </c>
      <c r="J2071" s="152">
        <v>0.23599999999999999</v>
      </c>
      <c r="K2071" s="152">
        <v>1.7810000000000001</v>
      </c>
      <c r="L2071" s="804">
        <v>310</v>
      </c>
      <c r="M2071" s="90">
        <v>0.89</v>
      </c>
      <c r="N2071" s="90">
        <v>0.38</v>
      </c>
      <c r="O2071" s="90">
        <v>6.07</v>
      </c>
      <c r="P2071" s="90">
        <v>3.57</v>
      </c>
      <c r="R2071" s="152">
        <v>0.74998624970973138</v>
      </c>
      <c r="S2071" s="803">
        <v>5.3</v>
      </c>
      <c r="T2071" s="14"/>
      <c r="U2071" s="14"/>
      <c r="V2071" s="14"/>
      <c r="Y2071" s="803">
        <v>7</v>
      </c>
      <c r="AA2071" s="152">
        <v>3.58</v>
      </c>
      <c r="AB2071" s="152">
        <v>0.68</v>
      </c>
      <c r="AC2071" s="90">
        <v>10.4</v>
      </c>
      <c r="AD2071" s="118">
        <v>220</v>
      </c>
      <c r="AE2071" s="118">
        <v>120</v>
      </c>
      <c r="AF2071" s="118">
        <v>660</v>
      </c>
      <c r="AG2071" s="66">
        <f t="shared" si="85"/>
        <v>90.067714285714288</v>
      </c>
      <c r="AH2071" s="143">
        <f t="shared" si="86"/>
        <v>1000</v>
      </c>
    </row>
    <row r="2072" spans="1:34" s="90" customFormat="1" x14ac:dyDescent="0.3">
      <c r="A2072" s="90">
        <v>904097</v>
      </c>
      <c r="B2072" s="803">
        <v>0.11666666666666665</v>
      </c>
      <c r="C2072" s="803"/>
      <c r="D2072" s="152">
        <v>7.23</v>
      </c>
      <c r="E2072" s="1127">
        <v>0.48699999999999999</v>
      </c>
      <c r="F2072" s="804">
        <f t="shared" si="87"/>
        <v>535.70000000000005</v>
      </c>
      <c r="H2072" s="804">
        <v>79.099999999999994</v>
      </c>
      <c r="I2072" s="804">
        <v>140</v>
      </c>
      <c r="J2072" s="152">
        <v>0.32</v>
      </c>
      <c r="K2072" s="152">
        <v>1.839</v>
      </c>
      <c r="L2072" s="804">
        <v>340</v>
      </c>
      <c r="M2072" s="90">
        <v>0.59</v>
      </c>
      <c r="N2072" s="90">
        <v>0.48</v>
      </c>
      <c r="O2072" s="90">
        <v>23.13</v>
      </c>
      <c r="P2072" s="90">
        <v>4.29</v>
      </c>
      <c r="R2072" s="152">
        <v>0.79575710782854991</v>
      </c>
      <c r="S2072" s="803">
        <v>5.8</v>
      </c>
      <c r="T2072" s="15"/>
      <c r="U2072" s="14"/>
      <c r="V2072" s="14"/>
      <c r="Y2072" s="803">
        <v>7.6</v>
      </c>
      <c r="AA2072" s="152">
        <v>4.59</v>
      </c>
      <c r="AB2072" s="152">
        <v>0.81100000000000005</v>
      </c>
      <c r="AC2072" s="90">
        <v>7.2</v>
      </c>
      <c r="AD2072" s="118">
        <v>200</v>
      </c>
      <c r="AE2072" s="118">
        <v>130</v>
      </c>
      <c r="AF2072" s="118">
        <v>670</v>
      </c>
      <c r="AG2072" s="66">
        <f t="shared" si="85"/>
        <v>85.658684210526317</v>
      </c>
      <c r="AH2072" s="143">
        <f t="shared" si="86"/>
        <v>1000</v>
      </c>
    </row>
    <row r="2073" spans="1:34" s="90" customFormat="1" x14ac:dyDescent="0.3">
      <c r="A2073" s="90">
        <v>904098</v>
      </c>
      <c r="B2073" s="803">
        <v>0.13333333333333333</v>
      </c>
      <c r="C2073" s="803"/>
      <c r="D2073" s="152">
        <v>7.75</v>
      </c>
      <c r="E2073" s="1127">
        <v>0.38900000000000001</v>
      </c>
      <c r="F2073" s="804">
        <f t="shared" si="87"/>
        <v>427.90000000000003</v>
      </c>
      <c r="H2073" s="804">
        <v>122.95</v>
      </c>
      <c r="I2073" s="804">
        <v>90</v>
      </c>
      <c r="J2073" s="152">
        <v>0.39900000000000002</v>
      </c>
      <c r="K2073" s="152">
        <v>2.1189999999999998</v>
      </c>
      <c r="L2073" s="804">
        <v>570</v>
      </c>
      <c r="M2073" s="90">
        <v>1.07</v>
      </c>
      <c r="N2073" s="90">
        <v>0.5</v>
      </c>
      <c r="O2073" s="90">
        <v>6.95</v>
      </c>
      <c r="P2073" s="90">
        <v>3.05</v>
      </c>
      <c r="R2073" s="152">
        <v>0.68254406202928697</v>
      </c>
      <c r="S2073" s="803">
        <v>4.5</v>
      </c>
      <c r="T2073" s="14"/>
      <c r="U2073" s="14"/>
      <c r="V2073" s="14"/>
      <c r="Y2073" s="803">
        <v>7.2</v>
      </c>
      <c r="AA2073" s="152">
        <v>4.49</v>
      </c>
      <c r="AB2073" s="152">
        <v>0.28299999999999997</v>
      </c>
      <c r="AC2073" s="90">
        <v>7.9</v>
      </c>
      <c r="AD2073" s="118">
        <v>220</v>
      </c>
      <c r="AE2073" s="118">
        <v>120</v>
      </c>
      <c r="AF2073" s="118">
        <v>660</v>
      </c>
      <c r="AG2073" s="66">
        <f t="shared" si="85"/>
        <v>104.18416666666666</v>
      </c>
      <c r="AH2073" s="143">
        <f t="shared" si="86"/>
        <v>1000</v>
      </c>
    </row>
    <row r="2074" spans="1:34" s="90" customFormat="1" x14ac:dyDescent="0.3">
      <c r="A2074" s="90">
        <v>904099</v>
      </c>
      <c r="B2074" s="803">
        <v>0.15</v>
      </c>
      <c r="C2074" s="803"/>
      <c r="D2074" s="152">
        <v>7.87</v>
      </c>
      <c r="E2074" s="1127">
        <v>0.25800000000000001</v>
      </c>
      <c r="F2074" s="804">
        <f t="shared" si="87"/>
        <v>283.8</v>
      </c>
      <c r="H2074" s="804">
        <v>169.98</v>
      </c>
      <c r="I2074" s="804">
        <v>100</v>
      </c>
      <c r="J2074" s="152">
        <v>0.25</v>
      </c>
      <c r="K2074" s="152">
        <v>2.0410000000000004</v>
      </c>
      <c r="L2074" s="804">
        <v>360</v>
      </c>
      <c r="M2074" s="90">
        <v>1.98</v>
      </c>
      <c r="N2074" s="90">
        <v>0.49</v>
      </c>
      <c r="O2074" s="90">
        <v>3.09</v>
      </c>
      <c r="P2074" s="90">
        <v>4.58</v>
      </c>
      <c r="R2074" s="152">
        <v>0.73352375954309879</v>
      </c>
      <c r="S2074" s="803">
        <v>4.9000000000000004</v>
      </c>
      <c r="T2074" s="14"/>
      <c r="U2074" s="14"/>
      <c r="V2074" s="14"/>
      <c r="Y2074" s="803">
        <v>7.3</v>
      </c>
      <c r="AA2074" s="152">
        <v>3.45</v>
      </c>
      <c r="AB2074" s="152">
        <v>0.36499999999999999</v>
      </c>
      <c r="AC2074" s="90">
        <v>7.6</v>
      </c>
      <c r="AD2074" s="118">
        <v>150</v>
      </c>
      <c r="AE2074" s="118">
        <v>130</v>
      </c>
      <c r="AF2074" s="118">
        <v>720</v>
      </c>
      <c r="AG2074" s="66">
        <f t="shared" si="85"/>
        <v>98.974520547945218</v>
      </c>
      <c r="AH2074" s="143">
        <f t="shared" si="86"/>
        <v>1000</v>
      </c>
    </row>
    <row r="2075" spans="1:34" s="90" customFormat="1" x14ac:dyDescent="0.3">
      <c r="A2075" s="90">
        <v>904100</v>
      </c>
      <c r="B2075" s="803">
        <v>0.1</v>
      </c>
      <c r="C2075" s="803"/>
      <c r="D2075" s="152">
        <v>7.81</v>
      </c>
      <c r="E2075" s="1127">
        <v>0.10100000000000001</v>
      </c>
      <c r="F2075" s="804">
        <f t="shared" si="87"/>
        <v>111.10000000000001</v>
      </c>
      <c r="H2075" s="804">
        <v>87.76</v>
      </c>
      <c r="I2075" s="804">
        <v>70</v>
      </c>
      <c r="J2075" s="152">
        <v>9.0999999999999998E-2</v>
      </c>
      <c r="K2075" s="152">
        <v>1.0760000000000001</v>
      </c>
      <c r="L2075" s="804">
        <v>210</v>
      </c>
      <c r="M2075" s="90">
        <v>1.65</v>
      </c>
      <c r="N2075" s="90">
        <v>0.4</v>
      </c>
      <c r="O2075" s="90">
        <v>2.29</v>
      </c>
      <c r="P2075" s="90">
        <v>6.61</v>
      </c>
      <c r="R2075" s="152">
        <v>0.34718220447749959</v>
      </c>
      <c r="S2075" s="803">
        <v>2.2999999999999998</v>
      </c>
      <c r="T2075" s="14"/>
      <c r="U2075" s="14"/>
      <c r="V2075" s="14"/>
      <c r="Y2075" s="803">
        <v>4.4000000000000004</v>
      </c>
      <c r="AA2075" s="152">
        <v>4.99</v>
      </c>
      <c r="AB2075" s="152">
        <v>0.74399999999999999</v>
      </c>
      <c r="AC2075" s="90">
        <v>6</v>
      </c>
      <c r="AD2075" s="118">
        <v>80</v>
      </c>
      <c r="AE2075" s="118">
        <v>100</v>
      </c>
      <c r="AF2075" s="118">
        <v>820</v>
      </c>
      <c r="AG2075" s="66">
        <f t="shared" si="85"/>
        <v>86.569090909090917</v>
      </c>
      <c r="AH2075" s="143">
        <f t="shared" si="86"/>
        <v>1000</v>
      </c>
    </row>
    <row r="2076" spans="1:34" s="90" customFormat="1" x14ac:dyDescent="0.3">
      <c r="A2076" s="90">
        <v>904101</v>
      </c>
      <c r="B2076" s="803">
        <v>0.1</v>
      </c>
      <c r="C2076" s="803"/>
      <c r="D2076" s="152">
        <v>7.53</v>
      </c>
      <c r="E2076" s="1127">
        <v>0.151</v>
      </c>
      <c r="F2076" s="804">
        <f t="shared" si="87"/>
        <v>166.10000000000002</v>
      </c>
      <c r="H2076" s="804">
        <v>93.55</v>
      </c>
      <c r="I2076" s="804">
        <v>60</v>
      </c>
      <c r="J2076" s="152">
        <v>0.128</v>
      </c>
      <c r="K2076" s="152">
        <v>1.248</v>
      </c>
      <c r="L2076" s="804">
        <v>210</v>
      </c>
      <c r="M2076" s="90">
        <v>1.2</v>
      </c>
      <c r="N2076" s="90">
        <v>0.49</v>
      </c>
      <c r="O2076" s="90">
        <v>3.65</v>
      </c>
      <c r="P2076" s="90">
        <v>3.81</v>
      </c>
      <c r="R2076" s="152">
        <v>0.42386720464187122</v>
      </c>
      <c r="S2076" s="803">
        <v>2.9</v>
      </c>
      <c r="T2076" s="14"/>
      <c r="U2076" s="14"/>
      <c r="V2076" s="14"/>
      <c r="Y2076" s="803">
        <v>4</v>
      </c>
      <c r="AA2076" s="152">
        <v>4.2699999999999996</v>
      </c>
      <c r="AB2076" s="152">
        <v>0.26800000000000002</v>
      </c>
      <c r="AC2076" s="90">
        <v>9.8000000000000007</v>
      </c>
      <c r="AD2076" s="118">
        <v>80</v>
      </c>
      <c r="AE2076" s="118">
        <v>80</v>
      </c>
      <c r="AF2076" s="118">
        <v>840</v>
      </c>
      <c r="AG2076" s="66">
        <f t="shared" si="85"/>
        <v>110.44799999999999</v>
      </c>
      <c r="AH2076" s="143">
        <f t="shared" si="86"/>
        <v>1000</v>
      </c>
    </row>
    <row r="2077" spans="1:34" s="90" customFormat="1" x14ac:dyDescent="0.3">
      <c r="A2077" s="90">
        <v>904102</v>
      </c>
      <c r="B2077" s="803">
        <v>0.11666666666666665</v>
      </c>
      <c r="C2077" s="803"/>
      <c r="D2077" s="152">
        <v>7.51</v>
      </c>
      <c r="E2077" s="1127">
        <v>0.216</v>
      </c>
      <c r="F2077" s="804">
        <f t="shared" si="87"/>
        <v>237.60000000000002</v>
      </c>
      <c r="H2077" s="804">
        <v>81.44</v>
      </c>
      <c r="I2077" s="804">
        <v>60</v>
      </c>
      <c r="J2077" s="152">
        <v>0.16</v>
      </c>
      <c r="K2077" s="152">
        <v>2.4050000000000002</v>
      </c>
      <c r="L2077" s="804">
        <v>240</v>
      </c>
      <c r="M2077" s="90">
        <v>1.0900000000000001</v>
      </c>
      <c r="N2077" s="90">
        <v>0.51</v>
      </c>
      <c r="O2077" s="90">
        <v>3.32</v>
      </c>
      <c r="P2077" s="90">
        <v>2.91</v>
      </c>
      <c r="R2077" s="152">
        <v>0.66731533733264425</v>
      </c>
      <c r="S2077" s="803">
        <v>4.5</v>
      </c>
      <c r="T2077" s="14"/>
      <c r="U2077" s="14"/>
      <c r="V2077" s="14"/>
      <c r="Y2077" s="803">
        <v>5</v>
      </c>
      <c r="AA2077" s="152">
        <v>4.97</v>
      </c>
      <c r="AB2077" s="152">
        <v>0.83799999999999997</v>
      </c>
      <c r="AC2077" s="90">
        <v>10.4</v>
      </c>
      <c r="AD2077" s="118">
        <v>100</v>
      </c>
      <c r="AE2077" s="118">
        <v>80</v>
      </c>
      <c r="AF2077" s="118">
        <v>820</v>
      </c>
      <c r="AG2077" s="66">
        <f t="shared" si="85"/>
        <v>170.27400000000006</v>
      </c>
      <c r="AH2077" s="143">
        <f t="shared" si="86"/>
        <v>1000</v>
      </c>
    </row>
    <row r="2078" spans="1:34" s="90" customFormat="1" x14ac:dyDescent="0.3">
      <c r="A2078" s="90">
        <v>904103</v>
      </c>
      <c r="B2078" s="803">
        <v>0.13333333333333333</v>
      </c>
      <c r="C2078" s="803"/>
      <c r="D2078" s="152">
        <v>8.34</v>
      </c>
      <c r="E2078" s="1127">
        <v>0.18099999999999999</v>
      </c>
      <c r="F2078" s="804">
        <f t="shared" si="87"/>
        <v>199.10000000000002</v>
      </c>
      <c r="H2078" s="804">
        <v>33.44</v>
      </c>
      <c r="I2078" s="804">
        <v>150</v>
      </c>
      <c r="J2078" s="152">
        <v>0.13800000000000001</v>
      </c>
      <c r="K2078" s="152">
        <v>2.9250000000000003</v>
      </c>
      <c r="L2078" s="804">
        <v>270</v>
      </c>
      <c r="M2078" s="90">
        <v>0.55000000000000004</v>
      </c>
      <c r="N2078" s="90">
        <v>0.36</v>
      </c>
      <c r="O2078" s="90">
        <v>2.88</v>
      </c>
      <c r="P2078" s="90">
        <v>2.11</v>
      </c>
      <c r="R2078" s="152">
        <v>0.44808001022416932</v>
      </c>
      <c r="S2078" s="803">
        <v>3</v>
      </c>
      <c r="T2078" s="14"/>
      <c r="U2078" s="14"/>
      <c r="V2078" s="14"/>
      <c r="Y2078" s="803">
        <v>4.8</v>
      </c>
      <c r="AA2078" s="152">
        <v>4.9400000000000004</v>
      </c>
      <c r="AB2078" s="152">
        <v>0.46200000000000002</v>
      </c>
      <c r="AC2078" s="90">
        <v>6.7</v>
      </c>
      <c r="AD2078" s="118">
        <v>80</v>
      </c>
      <c r="AE2078" s="118">
        <v>80</v>
      </c>
      <c r="AF2078" s="118">
        <v>840</v>
      </c>
      <c r="AG2078" s="66">
        <f t="shared" si="85"/>
        <v>215.71875000000006</v>
      </c>
      <c r="AH2078" s="143">
        <f t="shared" si="86"/>
        <v>1000</v>
      </c>
    </row>
    <row r="2079" spans="1:34" s="90" customFormat="1" x14ac:dyDescent="0.3">
      <c r="A2079" s="90">
        <v>904104</v>
      </c>
      <c r="B2079" s="803">
        <v>8.3333333333333329E-2</v>
      </c>
      <c r="C2079" s="803"/>
      <c r="D2079" s="152">
        <v>7.61</v>
      </c>
      <c r="E2079" s="1127">
        <v>0.14099999999999999</v>
      </c>
      <c r="F2079" s="804">
        <f t="shared" si="87"/>
        <v>155.10000000000002</v>
      </c>
      <c r="H2079" s="804">
        <v>102.49</v>
      </c>
      <c r="I2079" s="804">
        <v>50</v>
      </c>
      <c r="J2079" s="152">
        <v>0.17599999999999999</v>
      </c>
      <c r="K2079" s="152">
        <v>1.988</v>
      </c>
      <c r="L2079" s="804">
        <v>170</v>
      </c>
      <c r="M2079" s="90">
        <v>1.51</v>
      </c>
      <c r="N2079" s="90">
        <v>0.5</v>
      </c>
      <c r="O2079" s="90">
        <v>3.68</v>
      </c>
      <c r="P2079" s="90">
        <v>8.89</v>
      </c>
      <c r="R2079" s="152">
        <v>0.46184970447698948</v>
      </c>
      <c r="S2079" s="803">
        <v>3.2</v>
      </c>
      <c r="T2079" s="14"/>
      <c r="U2079" s="14"/>
      <c r="V2079" s="14"/>
      <c r="Y2079" s="803">
        <v>4.8</v>
      </c>
      <c r="AA2079" s="152">
        <v>4.04</v>
      </c>
      <c r="AB2079" s="152">
        <v>0.55300000000000005</v>
      </c>
      <c r="AC2079" s="90">
        <v>11.6</v>
      </c>
      <c r="AD2079" s="118">
        <v>80</v>
      </c>
      <c r="AE2079" s="118">
        <v>80</v>
      </c>
      <c r="AF2079" s="118">
        <v>840</v>
      </c>
      <c r="AG2079" s="66">
        <f t="shared" si="85"/>
        <v>146.61500000000001</v>
      </c>
      <c r="AH2079" s="143">
        <f t="shared" si="86"/>
        <v>1000</v>
      </c>
    </row>
    <row r="2080" spans="1:34" s="90" customFormat="1" x14ac:dyDescent="0.3">
      <c r="A2080" s="90">
        <v>904105</v>
      </c>
      <c r="B2080" s="803">
        <v>0.13333333333333333</v>
      </c>
      <c r="C2080" s="803"/>
      <c r="D2080" s="152">
        <v>7.93</v>
      </c>
      <c r="E2080" s="1127">
        <v>0.20799999999999999</v>
      </c>
      <c r="F2080" s="804">
        <f t="shared" si="87"/>
        <v>228.8</v>
      </c>
      <c r="H2080" s="804">
        <v>103.38</v>
      </c>
      <c r="I2080" s="804">
        <v>80</v>
      </c>
      <c r="J2080" s="152">
        <v>0.159</v>
      </c>
      <c r="K2080" s="152">
        <v>1.7030000000000001</v>
      </c>
      <c r="L2080" s="804">
        <v>240</v>
      </c>
      <c r="M2080" s="90">
        <v>0.74</v>
      </c>
      <c r="N2080" s="90">
        <v>0.38</v>
      </c>
      <c r="O2080" s="90">
        <v>2.56</v>
      </c>
      <c r="P2080" s="90">
        <v>5.51</v>
      </c>
      <c r="R2080" s="152">
        <v>0.37205574410609665</v>
      </c>
      <c r="S2080" s="803">
        <v>2.7</v>
      </c>
      <c r="T2080" s="14"/>
      <c r="U2080" s="14"/>
      <c r="V2080" s="14"/>
      <c r="Y2080" s="803">
        <v>7</v>
      </c>
      <c r="AA2080" s="152">
        <v>3.88</v>
      </c>
      <c r="AB2080" s="152">
        <v>0.55700000000000005</v>
      </c>
      <c r="AC2080" s="90">
        <v>9.1999999999999993</v>
      </c>
      <c r="AD2080" s="118">
        <v>100</v>
      </c>
      <c r="AE2080" s="118">
        <v>80</v>
      </c>
      <c r="AF2080" s="118">
        <v>820</v>
      </c>
      <c r="AG2080" s="66">
        <f t="shared" si="85"/>
        <v>86.123142857142852</v>
      </c>
      <c r="AH2080" s="143">
        <f t="shared" si="86"/>
        <v>1000</v>
      </c>
    </row>
    <row r="2081" spans="1:34" s="90" customFormat="1" x14ac:dyDescent="0.3">
      <c r="A2081" s="90">
        <v>904106</v>
      </c>
      <c r="B2081" s="803">
        <v>0.58333333333333337</v>
      </c>
      <c r="C2081" s="803"/>
      <c r="D2081" s="152">
        <v>7.75</v>
      </c>
      <c r="E2081" s="1127">
        <v>0.184</v>
      </c>
      <c r="F2081" s="804">
        <f t="shared" si="87"/>
        <v>202.4</v>
      </c>
      <c r="H2081" s="804">
        <v>10.08</v>
      </c>
      <c r="I2081" s="804">
        <v>300</v>
      </c>
      <c r="J2081" s="152">
        <v>0.30299999999999999</v>
      </c>
      <c r="K2081" s="152">
        <v>14.729000000000001</v>
      </c>
      <c r="L2081" s="804">
        <v>1760</v>
      </c>
      <c r="M2081" s="90">
        <v>0.13</v>
      </c>
      <c r="N2081" s="90">
        <v>0.62</v>
      </c>
      <c r="O2081" s="90">
        <v>3.99</v>
      </c>
      <c r="P2081" s="90">
        <v>7.2</v>
      </c>
      <c r="R2081" s="152">
        <v>0.8822197204720934</v>
      </c>
      <c r="S2081" s="803">
        <v>6.4</v>
      </c>
      <c r="T2081" s="14"/>
      <c r="U2081" s="14"/>
      <c r="V2081" s="14"/>
      <c r="Y2081" s="803">
        <v>16.8</v>
      </c>
      <c r="AA2081" s="152">
        <v>3.52</v>
      </c>
      <c r="AB2081" s="152">
        <v>0.77800000000000002</v>
      </c>
      <c r="AC2081" s="90">
        <v>7.8</v>
      </c>
      <c r="AD2081" s="118">
        <v>240</v>
      </c>
      <c r="AE2081" s="118">
        <v>660</v>
      </c>
      <c r="AF2081" s="118">
        <v>100</v>
      </c>
      <c r="AG2081" s="66">
        <f t="shared" si="85"/>
        <v>310.36107142857145</v>
      </c>
      <c r="AH2081" s="143">
        <f t="shared" si="86"/>
        <v>1000</v>
      </c>
    </row>
    <row r="2082" spans="1:34" s="862" customFormat="1" x14ac:dyDescent="0.3">
      <c r="A2082" s="862">
        <v>904107</v>
      </c>
      <c r="B2082" s="863">
        <v>8.3333333333333329E-2</v>
      </c>
      <c r="C2082" s="863"/>
      <c r="D2082" s="647">
        <v>7.51</v>
      </c>
      <c r="E2082" s="1573">
        <v>0.03</v>
      </c>
      <c r="F2082" s="864">
        <f t="shared" si="87"/>
        <v>33</v>
      </c>
      <c r="H2082" s="864">
        <v>9.99</v>
      </c>
      <c r="I2082" s="864">
        <v>20</v>
      </c>
      <c r="J2082" s="647">
        <v>1.2999999999999999E-2</v>
      </c>
      <c r="K2082" s="647">
        <v>0.90300000000000002</v>
      </c>
      <c r="L2082" s="864">
        <v>30</v>
      </c>
      <c r="M2082" s="862">
        <v>0.12</v>
      </c>
      <c r="N2082" s="862">
        <v>0.12</v>
      </c>
      <c r="O2082" s="862">
        <v>1.36</v>
      </c>
      <c r="P2082" s="862">
        <v>7.38</v>
      </c>
      <c r="R2082" s="647">
        <v>0.56751334000695364</v>
      </c>
      <c r="S2082" s="863">
        <v>3.8</v>
      </c>
      <c r="T2082" s="865"/>
      <c r="U2082" s="866"/>
      <c r="V2082" s="866"/>
      <c r="Y2082" s="863">
        <v>3.6</v>
      </c>
      <c r="AA2082" s="647">
        <v>3.78</v>
      </c>
      <c r="AB2082" s="647">
        <v>0.378</v>
      </c>
      <c r="AC2082" s="862">
        <v>7.8</v>
      </c>
      <c r="AD2082" s="867">
        <v>60</v>
      </c>
      <c r="AE2082" s="867">
        <v>60</v>
      </c>
      <c r="AF2082" s="867">
        <v>880</v>
      </c>
      <c r="AG2082" s="66">
        <f t="shared" si="85"/>
        <v>88.795000000000002</v>
      </c>
      <c r="AH2082" s="143">
        <f t="shared" si="86"/>
        <v>1000</v>
      </c>
    </row>
    <row r="2083" spans="1:34" s="862" customFormat="1" x14ac:dyDescent="0.3">
      <c r="A2083" s="862">
        <v>904108</v>
      </c>
      <c r="B2083" s="863">
        <v>0.1</v>
      </c>
      <c r="C2083" s="863"/>
      <c r="D2083" s="647">
        <v>6.66</v>
      </c>
      <c r="E2083" s="1573">
        <v>0.10100000000000001</v>
      </c>
      <c r="F2083" s="864">
        <f t="shared" si="87"/>
        <v>111.10000000000001</v>
      </c>
      <c r="H2083" s="864">
        <v>25.31</v>
      </c>
      <c r="I2083" s="864">
        <v>10</v>
      </c>
      <c r="J2083" s="647">
        <v>5.1999999999999998E-2</v>
      </c>
      <c r="K2083" s="647">
        <v>0.93120000000000003</v>
      </c>
      <c r="L2083" s="864">
        <v>20</v>
      </c>
      <c r="M2083" s="862">
        <v>0.22</v>
      </c>
      <c r="N2083" s="862">
        <v>0.14000000000000001</v>
      </c>
      <c r="O2083" s="862">
        <v>4.08</v>
      </c>
      <c r="P2083" s="862">
        <v>12.61</v>
      </c>
      <c r="R2083" s="647">
        <v>0.37614891503572534</v>
      </c>
      <c r="S2083" s="863">
        <v>2.5</v>
      </c>
      <c r="T2083" s="865"/>
      <c r="U2083" s="866"/>
      <c r="V2083" s="866"/>
      <c r="Y2083" s="863">
        <v>3</v>
      </c>
      <c r="AA2083" s="647">
        <v>3.93</v>
      </c>
      <c r="AB2083" s="647">
        <v>0.83699999999999997</v>
      </c>
      <c r="AC2083" s="862">
        <v>10.8</v>
      </c>
      <c r="AD2083" s="867">
        <v>60</v>
      </c>
      <c r="AE2083" s="867">
        <v>80</v>
      </c>
      <c r="AF2083" s="867">
        <v>860</v>
      </c>
      <c r="AG2083" s="66">
        <f t="shared" si="85"/>
        <v>109.88160000000001</v>
      </c>
      <c r="AH2083" s="143">
        <f t="shared" si="86"/>
        <v>1000</v>
      </c>
    </row>
    <row r="2084" spans="1:34" s="862" customFormat="1" x14ac:dyDescent="0.3">
      <c r="A2084" s="862">
        <v>904109</v>
      </c>
      <c r="B2084" s="863">
        <v>0.1</v>
      </c>
      <c r="C2084" s="863"/>
      <c r="D2084" s="647">
        <v>7.03</v>
      </c>
      <c r="E2084" s="1573">
        <v>0.123</v>
      </c>
      <c r="F2084" s="864">
        <f t="shared" si="87"/>
        <v>135.30000000000001</v>
      </c>
      <c r="H2084" s="864">
        <v>29.18</v>
      </c>
      <c r="I2084" s="864">
        <v>10</v>
      </c>
      <c r="J2084" s="647">
        <v>6.5000000000000002E-2</v>
      </c>
      <c r="K2084" s="647">
        <v>0.92210000000000003</v>
      </c>
      <c r="L2084" s="864">
        <v>20</v>
      </c>
      <c r="M2084" s="862">
        <v>0.15</v>
      </c>
      <c r="N2084" s="862">
        <v>0.14000000000000001</v>
      </c>
      <c r="O2084" s="862">
        <v>3.27</v>
      </c>
      <c r="P2084" s="862">
        <v>10.63</v>
      </c>
      <c r="R2084" s="647">
        <v>0.30534511440253975</v>
      </c>
      <c r="S2084" s="863">
        <v>2.1</v>
      </c>
      <c r="T2084" s="865"/>
      <c r="U2084" s="866"/>
      <c r="V2084" s="866"/>
      <c r="Y2084" s="863">
        <v>3.6</v>
      </c>
      <c r="AA2084" s="647">
        <v>4.6100000000000003</v>
      </c>
      <c r="AB2084" s="647">
        <v>0.73499999999999999</v>
      </c>
      <c r="AC2084" s="862">
        <v>6.7</v>
      </c>
      <c r="AD2084" s="867">
        <v>60</v>
      </c>
      <c r="AE2084" s="867">
        <v>60</v>
      </c>
      <c r="AF2084" s="867">
        <v>880</v>
      </c>
      <c r="AG2084" s="66">
        <f t="shared" si="85"/>
        <v>90.673166666666674</v>
      </c>
      <c r="AH2084" s="143">
        <f t="shared" si="86"/>
        <v>1000</v>
      </c>
    </row>
    <row r="2085" spans="1:34" s="862" customFormat="1" x14ac:dyDescent="0.3">
      <c r="A2085" s="862">
        <v>904110</v>
      </c>
      <c r="B2085" s="863">
        <v>0.13333333333333333</v>
      </c>
      <c r="C2085" s="863"/>
      <c r="D2085" s="647">
        <v>7.99</v>
      </c>
      <c r="E2085" s="1573">
        <v>6.7000000000000004E-2</v>
      </c>
      <c r="F2085" s="864">
        <f t="shared" si="87"/>
        <v>73.7</v>
      </c>
      <c r="H2085" s="864">
        <v>3.34</v>
      </c>
      <c r="I2085" s="864">
        <v>20</v>
      </c>
      <c r="J2085" s="647">
        <v>1.0999999999999999E-2</v>
      </c>
      <c r="K2085" s="647">
        <v>0.96240000000000003</v>
      </c>
      <c r="L2085" s="864">
        <v>40</v>
      </c>
      <c r="M2085" s="862">
        <v>0.11</v>
      </c>
      <c r="N2085" s="862">
        <v>0.13</v>
      </c>
      <c r="O2085" s="862">
        <v>1.84</v>
      </c>
      <c r="P2085" s="862">
        <v>7.73</v>
      </c>
      <c r="R2085" s="647">
        <v>0.54506887896694678</v>
      </c>
      <c r="S2085" s="863">
        <v>3.7</v>
      </c>
      <c r="T2085" s="865"/>
      <c r="U2085" s="866"/>
      <c r="V2085" s="866"/>
      <c r="Y2085" s="863">
        <v>4</v>
      </c>
      <c r="AA2085" s="647">
        <v>3.45</v>
      </c>
      <c r="AB2085" s="647">
        <v>0.69699999999999995</v>
      </c>
      <c r="AC2085" s="862">
        <v>11.1</v>
      </c>
      <c r="AD2085" s="867">
        <v>80</v>
      </c>
      <c r="AE2085" s="867">
        <v>60</v>
      </c>
      <c r="AF2085" s="867">
        <v>880</v>
      </c>
      <c r="AG2085" s="66">
        <f t="shared" si="85"/>
        <v>85.17240000000001</v>
      </c>
      <c r="AH2085" s="143">
        <f t="shared" si="86"/>
        <v>1020</v>
      </c>
    </row>
    <row r="2086" spans="1:34" s="862" customFormat="1" x14ac:dyDescent="0.3">
      <c r="A2086" s="862">
        <v>904111</v>
      </c>
      <c r="B2086" s="863">
        <v>8.3333333333333329E-2</v>
      </c>
      <c r="C2086" s="863"/>
      <c r="D2086" s="647">
        <v>6.85</v>
      </c>
      <c r="E2086" s="1573">
        <v>7.8E-2</v>
      </c>
      <c r="F2086" s="864">
        <f t="shared" si="87"/>
        <v>85.800000000000011</v>
      </c>
      <c r="H2086" s="864">
        <v>21.05</v>
      </c>
      <c r="I2086" s="864">
        <v>10</v>
      </c>
      <c r="J2086" s="647">
        <v>2.1000000000000001E-2</v>
      </c>
      <c r="K2086" s="647">
        <v>0.92989999999999995</v>
      </c>
      <c r="L2086" s="864">
        <v>10</v>
      </c>
      <c r="M2086" s="862">
        <v>0.26</v>
      </c>
      <c r="N2086" s="862">
        <v>0.17</v>
      </c>
      <c r="O2086" s="862">
        <v>4.3099999999999996</v>
      </c>
      <c r="P2086" s="862">
        <v>12.56</v>
      </c>
      <c r="R2086" s="647">
        <v>0.32791119354588782</v>
      </c>
      <c r="S2086" s="863">
        <v>2.4</v>
      </c>
      <c r="T2086" s="865"/>
      <c r="U2086" s="866"/>
      <c r="V2086" s="866"/>
      <c r="Y2086" s="863">
        <v>3</v>
      </c>
      <c r="AA2086" s="647">
        <v>4.04</v>
      </c>
      <c r="AB2086" s="647">
        <v>0.42599999999999999</v>
      </c>
      <c r="AC2086" s="862">
        <v>10.5</v>
      </c>
      <c r="AD2086" s="867">
        <v>60</v>
      </c>
      <c r="AE2086" s="867">
        <v>80</v>
      </c>
      <c r="AF2086" s="867">
        <v>860</v>
      </c>
      <c r="AG2086" s="66">
        <f t="shared" si="85"/>
        <v>109.7282</v>
      </c>
      <c r="AH2086" s="143">
        <f t="shared" si="86"/>
        <v>1000</v>
      </c>
    </row>
    <row r="2087" spans="1:34" s="862" customFormat="1" x14ac:dyDescent="0.3">
      <c r="A2087" s="862">
        <v>904112</v>
      </c>
      <c r="B2087" s="863">
        <v>6.6666666666666666E-2</v>
      </c>
      <c r="C2087" s="863"/>
      <c r="D2087" s="647">
        <v>7.95</v>
      </c>
      <c r="E2087" s="1573">
        <v>8.2000000000000003E-2</v>
      </c>
      <c r="F2087" s="864">
        <f t="shared" si="87"/>
        <v>90.2</v>
      </c>
      <c r="H2087" s="864">
        <v>6.15</v>
      </c>
      <c r="I2087" s="864">
        <v>30</v>
      </c>
      <c r="J2087" s="647">
        <v>3.7999999999999999E-2</v>
      </c>
      <c r="K2087" s="647">
        <v>0.97409999999999997</v>
      </c>
      <c r="L2087" s="864">
        <v>30</v>
      </c>
      <c r="M2087" s="862">
        <v>0.28000000000000003</v>
      </c>
      <c r="N2087" s="862">
        <v>0.15</v>
      </c>
      <c r="O2087" s="862">
        <v>1.77</v>
      </c>
      <c r="P2087" s="862">
        <v>7.11</v>
      </c>
      <c r="R2087" s="647">
        <v>0.76151319162241493</v>
      </c>
      <c r="S2087" s="863">
        <v>5.3</v>
      </c>
      <c r="T2087" s="865"/>
      <c r="U2087" s="866"/>
      <c r="V2087" s="866"/>
      <c r="Y2087" s="863">
        <v>4</v>
      </c>
      <c r="AA2087" s="647">
        <v>4.47</v>
      </c>
      <c r="AB2087" s="647">
        <v>0.41899999999999998</v>
      </c>
      <c r="AC2087" s="862">
        <v>11</v>
      </c>
      <c r="AD2087" s="867">
        <v>80</v>
      </c>
      <c r="AE2087" s="867">
        <v>60</v>
      </c>
      <c r="AF2087" s="867">
        <v>860</v>
      </c>
      <c r="AG2087" s="66">
        <f t="shared" si="85"/>
        <v>86.207849999999993</v>
      </c>
      <c r="AH2087" s="143">
        <f t="shared" si="86"/>
        <v>1000</v>
      </c>
    </row>
    <row r="2088" spans="1:34" s="862" customFormat="1" x14ac:dyDescent="0.3">
      <c r="A2088" s="862">
        <v>904113</v>
      </c>
      <c r="B2088" s="863">
        <v>8.3333333333333329E-2</v>
      </c>
      <c r="C2088" s="863"/>
      <c r="D2088" s="647">
        <v>8.0500000000000007</v>
      </c>
      <c r="E2088" s="1573">
        <v>7.4999999999999997E-2</v>
      </c>
      <c r="F2088" s="864">
        <f t="shared" si="87"/>
        <v>82.5</v>
      </c>
      <c r="H2088" s="864">
        <v>5.45</v>
      </c>
      <c r="I2088" s="864">
        <v>20</v>
      </c>
      <c r="J2088" s="647">
        <v>1.2999999999999999E-2</v>
      </c>
      <c r="K2088" s="647">
        <v>0.96199999999999997</v>
      </c>
      <c r="L2088" s="864">
        <v>50</v>
      </c>
      <c r="M2088" s="862">
        <v>0.2</v>
      </c>
      <c r="N2088" s="862">
        <v>0.1</v>
      </c>
      <c r="O2088" s="862">
        <v>2.17</v>
      </c>
      <c r="P2088" s="862">
        <v>4.4400000000000004</v>
      </c>
      <c r="R2088" s="647">
        <v>0.39721631353948866</v>
      </c>
      <c r="S2088" s="863">
        <v>2.8</v>
      </c>
      <c r="T2088" s="865"/>
      <c r="U2088" s="866"/>
      <c r="V2088" s="866"/>
      <c r="Y2088" s="863">
        <v>3</v>
      </c>
      <c r="AA2088" s="647">
        <v>4.32</v>
      </c>
      <c r="AB2088" s="647">
        <v>0.36399999999999999</v>
      </c>
      <c r="AC2088" s="862">
        <v>9.5</v>
      </c>
      <c r="AD2088" s="867">
        <v>60</v>
      </c>
      <c r="AE2088" s="867">
        <v>80</v>
      </c>
      <c r="AF2088" s="867">
        <v>860</v>
      </c>
      <c r="AG2088" s="66">
        <f t="shared" si="85"/>
        <v>113.51600000000001</v>
      </c>
      <c r="AH2088" s="143">
        <f t="shared" si="86"/>
        <v>1000</v>
      </c>
    </row>
    <row r="2089" spans="1:34" s="862" customFormat="1" x14ac:dyDescent="0.3">
      <c r="A2089" s="862">
        <v>904114</v>
      </c>
      <c r="B2089" s="863">
        <v>0.1</v>
      </c>
      <c r="C2089" s="863"/>
      <c r="D2089" s="647">
        <v>6.56</v>
      </c>
      <c r="E2089" s="1573">
        <v>6.5000000000000002E-2</v>
      </c>
      <c r="F2089" s="864">
        <f t="shared" si="87"/>
        <v>71.5</v>
      </c>
      <c r="H2089" s="864">
        <v>34.19</v>
      </c>
      <c r="I2089" s="864">
        <v>4</v>
      </c>
      <c r="J2089" s="647">
        <v>2.5999999999999999E-2</v>
      </c>
      <c r="K2089" s="647">
        <v>0.92079999999999995</v>
      </c>
      <c r="L2089" s="864">
        <v>10</v>
      </c>
      <c r="M2089" s="862">
        <v>0.26</v>
      </c>
      <c r="N2089" s="862">
        <v>0.19</v>
      </c>
      <c r="O2089" s="862">
        <v>0.89</v>
      </c>
      <c r="P2089" s="862">
        <v>15.17</v>
      </c>
      <c r="R2089" s="647">
        <v>0.39233755147915367</v>
      </c>
      <c r="S2089" s="863">
        <v>2.9</v>
      </c>
      <c r="T2089" s="865"/>
      <c r="U2089" s="866"/>
      <c r="V2089" s="866"/>
      <c r="Y2089" s="863">
        <v>3.2</v>
      </c>
      <c r="AA2089" s="647">
        <v>4.2</v>
      </c>
      <c r="AB2089" s="647">
        <v>0.32400000000000001</v>
      </c>
      <c r="AC2089" s="862">
        <v>7.4</v>
      </c>
      <c r="AD2089" s="867">
        <v>60</v>
      </c>
      <c r="AE2089" s="867">
        <v>60</v>
      </c>
      <c r="AF2089" s="867">
        <v>880</v>
      </c>
      <c r="AG2089" s="66">
        <f t="shared" si="85"/>
        <v>101.86349999999999</v>
      </c>
      <c r="AH2089" s="143">
        <f t="shared" si="86"/>
        <v>1000</v>
      </c>
    </row>
    <row r="2090" spans="1:34" s="862" customFormat="1" x14ac:dyDescent="0.3">
      <c r="A2090" s="862">
        <v>904115</v>
      </c>
      <c r="B2090" s="863">
        <v>0.1</v>
      </c>
      <c r="C2090" s="863"/>
      <c r="D2090" s="647">
        <v>5.83</v>
      </c>
      <c r="E2090" s="1573">
        <v>4.4999999999999998E-2</v>
      </c>
      <c r="F2090" s="864">
        <f t="shared" si="87"/>
        <v>49.500000000000007</v>
      </c>
      <c r="H2090" s="864">
        <v>41.79</v>
      </c>
      <c r="I2090" s="864">
        <v>10</v>
      </c>
      <c r="J2090" s="647">
        <v>0.03</v>
      </c>
      <c r="K2090" s="647">
        <v>0.91820000000000002</v>
      </c>
      <c r="L2090" s="864">
        <v>10</v>
      </c>
      <c r="M2090" s="862">
        <v>0.14000000000000001</v>
      </c>
      <c r="N2090" s="862">
        <v>0.14000000000000001</v>
      </c>
      <c r="O2090" s="862">
        <v>1.47</v>
      </c>
      <c r="P2090" s="862">
        <v>12.81</v>
      </c>
      <c r="R2090" s="647">
        <v>0.30927927648212389</v>
      </c>
      <c r="S2090" s="863">
        <v>2.1</v>
      </c>
      <c r="T2090" s="865"/>
      <c r="U2090" s="866"/>
      <c r="V2090" s="866"/>
      <c r="Y2090" s="863">
        <v>3.8</v>
      </c>
      <c r="AA2090" s="647">
        <v>4.47</v>
      </c>
      <c r="AB2090" s="647">
        <v>0.82099999999999995</v>
      </c>
      <c r="AC2090" s="862">
        <v>7.8</v>
      </c>
      <c r="AD2090" s="867">
        <v>80</v>
      </c>
      <c r="AE2090" s="867">
        <v>80</v>
      </c>
      <c r="AF2090" s="867">
        <v>860</v>
      </c>
      <c r="AG2090" s="66">
        <f t="shared" si="85"/>
        <v>85.537578947368431</v>
      </c>
      <c r="AH2090" s="143">
        <f t="shared" si="86"/>
        <v>1020</v>
      </c>
    </row>
    <row r="2091" spans="1:34" s="862" customFormat="1" x14ac:dyDescent="0.3">
      <c r="A2091" s="862">
        <v>904116</v>
      </c>
      <c r="B2091" s="863">
        <v>0.1</v>
      </c>
      <c r="C2091" s="863"/>
      <c r="D2091" s="647">
        <v>5.98</v>
      </c>
      <c r="E2091" s="1573">
        <v>5.5E-2</v>
      </c>
      <c r="F2091" s="864">
        <f t="shared" si="87"/>
        <v>60.500000000000007</v>
      </c>
      <c r="H2091" s="864">
        <v>23.5</v>
      </c>
      <c r="I2091" s="864">
        <v>10</v>
      </c>
      <c r="J2091" s="647">
        <v>2.5000000000000001E-2</v>
      </c>
      <c r="K2091" s="647">
        <v>0.92730000000000001</v>
      </c>
      <c r="L2091" s="864">
        <v>10</v>
      </c>
      <c r="M2091" s="862">
        <v>0.32</v>
      </c>
      <c r="N2091" s="862">
        <v>0.16</v>
      </c>
      <c r="O2091" s="862">
        <v>3.82</v>
      </c>
      <c r="P2091" s="862">
        <v>15.52</v>
      </c>
      <c r="R2091" s="647">
        <v>0.49543886218163058</v>
      </c>
      <c r="S2091" s="863">
        <v>3.5</v>
      </c>
      <c r="T2091" s="865"/>
      <c r="U2091" s="866"/>
      <c r="V2091" s="866"/>
      <c r="Y2091" s="863">
        <v>3.8</v>
      </c>
      <c r="AA2091" s="647">
        <v>4.79</v>
      </c>
      <c r="AB2091" s="647">
        <v>0.86499999999999999</v>
      </c>
      <c r="AC2091" s="862">
        <v>6.8</v>
      </c>
      <c r="AD2091" s="867">
        <v>80</v>
      </c>
      <c r="AE2091" s="867">
        <v>60</v>
      </c>
      <c r="AF2091" s="867">
        <v>860</v>
      </c>
      <c r="AG2091" s="66">
        <f t="shared" si="85"/>
        <v>86.385315789473694</v>
      </c>
      <c r="AH2091" s="143">
        <f t="shared" si="86"/>
        <v>1000</v>
      </c>
    </row>
    <row r="2092" spans="1:34" s="868" customFormat="1" x14ac:dyDescent="0.3">
      <c r="A2092" s="868">
        <v>904117</v>
      </c>
      <c r="B2092" s="869">
        <v>14.499999999999998</v>
      </c>
      <c r="C2092" s="869">
        <v>5.9999999999999982</v>
      </c>
      <c r="D2092" s="870">
        <v>7.25</v>
      </c>
      <c r="E2092" s="1574">
        <v>5.81</v>
      </c>
      <c r="F2092" s="871">
        <f t="shared" si="87"/>
        <v>6391.0000000000009</v>
      </c>
      <c r="H2092" s="871">
        <v>145</v>
      </c>
      <c r="I2092" s="871">
        <v>310</v>
      </c>
      <c r="J2092" s="870">
        <v>7.6509999999999998</v>
      </c>
      <c r="K2092" s="870">
        <v>10.699000000000002</v>
      </c>
      <c r="L2092" s="871">
        <v>1000</v>
      </c>
      <c r="M2092" s="868">
        <v>2.86</v>
      </c>
      <c r="N2092" s="868">
        <v>2.09</v>
      </c>
      <c r="O2092" s="868">
        <v>9.27</v>
      </c>
      <c r="P2092" s="868">
        <v>31.36</v>
      </c>
      <c r="R2092" s="870">
        <v>1.774232</v>
      </c>
      <c r="S2092" s="869">
        <v>15.8</v>
      </c>
      <c r="T2092" s="872"/>
      <c r="U2092" s="873"/>
      <c r="V2092" s="873"/>
      <c r="Y2092" s="869">
        <v>26.5</v>
      </c>
      <c r="AA2092" s="870">
        <v>4.1500000000000004</v>
      </c>
      <c r="AB2092" s="870">
        <v>0.86599999999999999</v>
      </c>
      <c r="AC2092" s="868">
        <v>7.6</v>
      </c>
      <c r="AD2092" s="868">
        <v>550</v>
      </c>
      <c r="AE2092" s="868">
        <v>300</v>
      </c>
      <c r="AF2092" s="868">
        <v>150</v>
      </c>
      <c r="AG2092" s="66">
        <f t="shared" si="85"/>
        <v>142.92249056603777</v>
      </c>
      <c r="AH2092" s="143">
        <f t="shared" si="86"/>
        <v>1000</v>
      </c>
    </row>
    <row r="2093" spans="1:34" s="868" customFormat="1" x14ac:dyDescent="0.3">
      <c r="A2093" s="868">
        <v>904118</v>
      </c>
      <c r="B2093" s="869">
        <v>0.1</v>
      </c>
      <c r="C2093" s="869"/>
      <c r="D2093" s="870">
        <v>6.51</v>
      </c>
      <c r="E2093" s="1574">
        <v>8.8999999999999996E-2</v>
      </c>
      <c r="F2093" s="871">
        <f>E2093*1000*1.1</f>
        <v>97.9</v>
      </c>
      <c r="H2093" s="871">
        <v>189.41</v>
      </c>
      <c r="I2093" s="871">
        <v>390</v>
      </c>
      <c r="J2093" s="870">
        <v>1.2999999999999999E-2</v>
      </c>
      <c r="K2093" s="870">
        <v>6.4589999999999996</v>
      </c>
      <c r="L2093" s="871">
        <v>680</v>
      </c>
      <c r="M2093" s="868">
        <v>2.96</v>
      </c>
      <c r="N2093" s="868">
        <v>1.76</v>
      </c>
      <c r="O2093" s="868">
        <v>11.8</v>
      </c>
      <c r="P2093" s="868">
        <v>84.36</v>
      </c>
      <c r="R2093" s="870">
        <v>1.8122</v>
      </c>
      <c r="S2093" s="869">
        <v>17</v>
      </c>
      <c r="T2093" s="872"/>
      <c r="U2093" s="873"/>
      <c r="V2093" s="873"/>
      <c r="Y2093" s="869">
        <v>23.4</v>
      </c>
      <c r="AA2093" s="870">
        <v>4.59</v>
      </c>
      <c r="AB2093" s="870">
        <v>0.69</v>
      </c>
      <c r="AC2093" s="868">
        <v>6</v>
      </c>
      <c r="AD2093" s="868">
        <v>540</v>
      </c>
      <c r="AE2093" s="868">
        <v>340</v>
      </c>
      <c r="AF2093" s="868">
        <v>120</v>
      </c>
      <c r="AG2093" s="66">
        <f t="shared" si="85"/>
        <v>97.713076923076926</v>
      </c>
      <c r="AH2093" s="143">
        <f t="shared" si="86"/>
        <v>1000</v>
      </c>
    </row>
    <row r="2094" spans="1:34" s="862" customFormat="1" x14ac:dyDescent="0.3">
      <c r="A2094" s="862">
        <v>904119</v>
      </c>
      <c r="B2094" s="863">
        <v>13.083333333333332</v>
      </c>
      <c r="C2094" s="863">
        <v>6.375</v>
      </c>
      <c r="D2094" s="647">
        <v>8.1300000000000008</v>
      </c>
      <c r="E2094" s="1573">
        <v>0.28799999999999998</v>
      </c>
      <c r="F2094" s="864">
        <f t="shared" si="87"/>
        <v>316.8</v>
      </c>
      <c r="H2094" s="864">
        <v>7.1</v>
      </c>
      <c r="I2094" s="864">
        <v>120</v>
      </c>
      <c r="J2094" s="647">
        <v>0.19400000000000001</v>
      </c>
      <c r="K2094" s="647">
        <v>10.023</v>
      </c>
      <c r="L2094" s="864">
        <v>1000</v>
      </c>
      <c r="M2094" s="862">
        <v>1.77</v>
      </c>
      <c r="N2094" s="862">
        <v>1.62</v>
      </c>
      <c r="O2094" s="862">
        <v>7.34</v>
      </c>
      <c r="P2094" s="862">
        <v>4.07</v>
      </c>
      <c r="R2094" s="647">
        <v>1.1764800068651142</v>
      </c>
      <c r="S2094" s="863">
        <v>8.3000000000000007</v>
      </c>
      <c r="T2094" s="874"/>
      <c r="U2094" s="874"/>
      <c r="V2094" s="874"/>
      <c r="Y2094" s="863">
        <v>28</v>
      </c>
      <c r="AA2094" s="647">
        <v>4.8099999999999996</v>
      </c>
      <c r="AB2094" s="647">
        <v>0.67700000000000005</v>
      </c>
      <c r="AC2094" s="862">
        <v>6.3</v>
      </c>
      <c r="AD2094" s="867">
        <v>600</v>
      </c>
      <c r="AE2094" s="867">
        <v>300</v>
      </c>
      <c r="AF2094" s="867">
        <v>100</v>
      </c>
      <c r="AG2094" s="66">
        <f t="shared" si="85"/>
        <v>126.71935714285713</v>
      </c>
      <c r="AH2094" s="143">
        <f t="shared" si="86"/>
        <v>1000</v>
      </c>
    </row>
    <row r="2095" spans="1:34" s="862" customFormat="1" x14ac:dyDescent="0.3">
      <c r="A2095" s="862">
        <v>904120</v>
      </c>
      <c r="B2095" s="863">
        <v>16.75</v>
      </c>
      <c r="C2095" s="863">
        <v>3.6249999999999982</v>
      </c>
      <c r="D2095" s="647">
        <v>8.06</v>
      </c>
      <c r="E2095" s="1573">
        <v>0.104</v>
      </c>
      <c r="F2095" s="864">
        <f t="shared" si="87"/>
        <v>114.4</v>
      </c>
      <c r="H2095" s="864">
        <v>7.4</v>
      </c>
      <c r="I2095" s="864">
        <v>140</v>
      </c>
      <c r="J2095" s="647">
        <v>2.8000000000000001E-2</v>
      </c>
      <c r="K2095" s="647">
        <v>7.1759999999999993</v>
      </c>
      <c r="L2095" s="864">
        <v>190</v>
      </c>
      <c r="M2095" s="862">
        <v>0.17</v>
      </c>
      <c r="N2095" s="862">
        <v>0.38</v>
      </c>
      <c r="O2095" s="862">
        <v>3.72</v>
      </c>
      <c r="P2095" s="862">
        <v>1.71</v>
      </c>
      <c r="R2095" s="647">
        <v>0.5828110301905689</v>
      </c>
      <c r="S2095" s="863">
        <v>4.0999999999999996</v>
      </c>
      <c r="T2095" s="866"/>
      <c r="U2095" s="866"/>
      <c r="V2095" s="866"/>
      <c r="Y2095" s="863">
        <v>0</v>
      </c>
      <c r="AA2095" s="647">
        <v>4.7300000000000004</v>
      </c>
      <c r="AB2095" s="647">
        <v>0.76500000000000001</v>
      </c>
      <c r="AC2095" s="862">
        <v>11</v>
      </c>
      <c r="AD2095" s="867">
        <v>80</v>
      </c>
      <c r="AE2095" s="867">
        <v>60</v>
      </c>
      <c r="AF2095" s="867">
        <v>860</v>
      </c>
      <c r="AG2095" s="66" t="e">
        <f t="shared" si="85"/>
        <v>#DIV/0!</v>
      </c>
      <c r="AH2095" s="143">
        <f t="shared" si="86"/>
        <v>1000</v>
      </c>
    </row>
    <row r="2096" spans="1:34" s="862" customFormat="1" x14ac:dyDescent="0.3">
      <c r="A2096" s="875">
        <v>904121</v>
      </c>
      <c r="B2096" s="876"/>
      <c r="C2096" s="876"/>
      <c r="D2096" s="877" t="s">
        <v>474</v>
      </c>
      <c r="E2096" s="1575"/>
      <c r="F2096" s="878"/>
      <c r="G2096" s="875"/>
      <c r="H2096" s="878"/>
      <c r="I2096" s="878"/>
      <c r="J2096" s="879"/>
      <c r="K2096" s="876"/>
      <c r="L2096" s="875"/>
      <c r="M2096" s="875"/>
      <c r="N2096" s="875"/>
      <c r="O2096" s="875"/>
      <c r="P2096" s="875"/>
      <c r="Q2096" s="875"/>
      <c r="R2096" s="877"/>
      <c r="S2096" s="876"/>
      <c r="T2096" s="875"/>
      <c r="U2096" s="875"/>
      <c r="V2096" s="875"/>
      <c r="W2096" s="875"/>
      <c r="X2096" s="875"/>
      <c r="Y2096" s="876"/>
      <c r="Z2096" s="875"/>
      <c r="AA2096" s="877"/>
      <c r="AB2096" s="877"/>
      <c r="AC2096" s="875"/>
      <c r="AD2096" s="875"/>
      <c r="AE2096" s="875"/>
      <c r="AF2096" s="875"/>
      <c r="AG2096" s="66" t="e">
        <f t="shared" si="85"/>
        <v>#DIV/0!</v>
      </c>
      <c r="AH2096" s="143">
        <f t="shared" si="86"/>
        <v>0</v>
      </c>
    </row>
    <row r="2097" spans="1:34" s="862" customFormat="1" x14ac:dyDescent="0.3">
      <c r="A2097" s="875">
        <v>904122</v>
      </c>
      <c r="B2097" s="876"/>
      <c r="C2097" s="876"/>
      <c r="D2097" s="877" t="s">
        <v>474</v>
      </c>
      <c r="E2097" s="1575"/>
      <c r="F2097" s="878"/>
      <c r="G2097" s="875"/>
      <c r="H2097" s="878"/>
      <c r="I2097" s="878"/>
      <c r="J2097" s="879"/>
      <c r="K2097" s="876"/>
      <c r="L2097" s="875"/>
      <c r="M2097" s="875"/>
      <c r="N2097" s="875"/>
      <c r="O2097" s="875"/>
      <c r="P2097" s="875"/>
      <c r="Q2097" s="875"/>
      <c r="R2097" s="877"/>
      <c r="S2097" s="876"/>
      <c r="T2097" s="875"/>
      <c r="U2097" s="875"/>
      <c r="V2097" s="875"/>
      <c r="W2097" s="875"/>
      <c r="X2097" s="875"/>
      <c r="Y2097" s="876"/>
      <c r="Z2097" s="875"/>
      <c r="AA2097" s="877"/>
      <c r="AB2097" s="877"/>
      <c r="AC2097" s="875"/>
      <c r="AD2097" s="875"/>
      <c r="AE2097" s="875"/>
      <c r="AF2097" s="875"/>
      <c r="AG2097" s="66" t="e">
        <f t="shared" si="85"/>
        <v>#DIV/0!</v>
      </c>
      <c r="AH2097" s="143">
        <f t="shared" si="86"/>
        <v>0</v>
      </c>
    </row>
    <row r="2098" spans="1:34" s="862" customFormat="1" x14ac:dyDescent="0.3">
      <c r="A2098" s="875">
        <v>904123</v>
      </c>
      <c r="B2098" s="876"/>
      <c r="C2098" s="876"/>
      <c r="D2098" s="877" t="s">
        <v>474</v>
      </c>
      <c r="E2098" s="1575"/>
      <c r="F2098" s="878"/>
      <c r="G2098" s="875"/>
      <c r="H2098" s="878"/>
      <c r="I2098" s="878"/>
      <c r="J2098" s="879"/>
      <c r="K2098" s="876"/>
      <c r="L2098" s="875"/>
      <c r="M2098" s="875"/>
      <c r="N2098" s="875"/>
      <c r="O2098" s="875"/>
      <c r="P2098" s="875"/>
      <c r="Q2098" s="875"/>
      <c r="R2098" s="877"/>
      <c r="S2098" s="876"/>
      <c r="T2098" s="875"/>
      <c r="U2098" s="875"/>
      <c r="V2098" s="875"/>
      <c r="W2098" s="875"/>
      <c r="X2098" s="875"/>
      <c r="Y2098" s="876"/>
      <c r="Z2098" s="875"/>
      <c r="AA2098" s="877"/>
      <c r="AB2098" s="877"/>
      <c r="AC2098" s="875"/>
      <c r="AD2098" s="875"/>
      <c r="AE2098" s="875"/>
      <c r="AF2098" s="875"/>
      <c r="AG2098" s="66" t="e">
        <f t="shared" si="85"/>
        <v>#DIV/0!</v>
      </c>
      <c r="AH2098" s="143">
        <f t="shared" si="86"/>
        <v>0</v>
      </c>
    </row>
    <row r="2099" spans="1:34" s="862" customFormat="1" x14ac:dyDescent="0.3">
      <c r="A2099" s="875">
        <v>904124</v>
      </c>
      <c r="B2099" s="876"/>
      <c r="C2099" s="876"/>
      <c r="D2099" s="877" t="s">
        <v>474</v>
      </c>
      <c r="E2099" s="1575"/>
      <c r="F2099" s="878"/>
      <c r="G2099" s="875"/>
      <c r="H2099" s="878"/>
      <c r="I2099" s="878"/>
      <c r="J2099" s="879"/>
      <c r="K2099" s="876"/>
      <c r="L2099" s="875"/>
      <c r="M2099" s="875"/>
      <c r="N2099" s="875"/>
      <c r="O2099" s="875"/>
      <c r="P2099" s="875"/>
      <c r="Q2099" s="875"/>
      <c r="R2099" s="877"/>
      <c r="S2099" s="876"/>
      <c r="T2099" s="875"/>
      <c r="U2099" s="875"/>
      <c r="V2099" s="875"/>
      <c r="W2099" s="875"/>
      <c r="X2099" s="875"/>
      <c r="Y2099" s="876"/>
      <c r="Z2099" s="875"/>
      <c r="AA2099" s="877"/>
      <c r="AB2099" s="877"/>
      <c r="AC2099" s="875"/>
      <c r="AD2099" s="875"/>
      <c r="AE2099" s="875"/>
      <c r="AF2099" s="875"/>
      <c r="AG2099" s="66" t="e">
        <f t="shared" si="85"/>
        <v>#DIV/0!</v>
      </c>
      <c r="AH2099" s="143">
        <f t="shared" si="86"/>
        <v>0</v>
      </c>
    </row>
    <row r="2100" spans="1:34" s="862" customFormat="1" x14ac:dyDescent="0.3">
      <c r="A2100" s="875">
        <v>904125</v>
      </c>
      <c r="B2100" s="876"/>
      <c r="C2100" s="876"/>
      <c r="D2100" s="877" t="s">
        <v>474</v>
      </c>
      <c r="E2100" s="1575"/>
      <c r="F2100" s="878"/>
      <c r="G2100" s="875"/>
      <c r="H2100" s="878"/>
      <c r="I2100" s="878"/>
      <c r="J2100" s="879"/>
      <c r="K2100" s="876"/>
      <c r="L2100" s="875"/>
      <c r="M2100" s="875"/>
      <c r="N2100" s="875"/>
      <c r="O2100" s="875"/>
      <c r="P2100" s="875"/>
      <c r="Q2100" s="875"/>
      <c r="R2100" s="877"/>
      <c r="S2100" s="876"/>
      <c r="T2100" s="875"/>
      <c r="U2100" s="875"/>
      <c r="V2100" s="875"/>
      <c r="W2100" s="875"/>
      <c r="X2100" s="875"/>
      <c r="Y2100" s="876"/>
      <c r="Z2100" s="875"/>
      <c r="AA2100" s="877"/>
      <c r="AB2100" s="877"/>
      <c r="AC2100" s="875"/>
      <c r="AD2100" s="875"/>
      <c r="AE2100" s="875"/>
      <c r="AF2100" s="875"/>
      <c r="AG2100" s="66" t="e">
        <f t="shared" si="85"/>
        <v>#DIV/0!</v>
      </c>
      <c r="AH2100" s="143">
        <f t="shared" si="86"/>
        <v>0</v>
      </c>
    </row>
    <row r="2101" spans="1:34" s="862" customFormat="1" x14ac:dyDescent="0.3">
      <c r="A2101" s="875">
        <v>904126</v>
      </c>
      <c r="B2101" s="876"/>
      <c r="C2101" s="876"/>
      <c r="D2101" s="877" t="s">
        <v>474</v>
      </c>
      <c r="E2101" s="1575"/>
      <c r="F2101" s="878"/>
      <c r="G2101" s="875"/>
      <c r="H2101" s="878"/>
      <c r="I2101" s="878"/>
      <c r="J2101" s="879"/>
      <c r="K2101" s="876"/>
      <c r="L2101" s="875"/>
      <c r="M2101" s="875"/>
      <c r="N2101" s="875"/>
      <c r="O2101" s="875"/>
      <c r="P2101" s="875"/>
      <c r="Q2101" s="875"/>
      <c r="R2101" s="877"/>
      <c r="S2101" s="876"/>
      <c r="T2101" s="875"/>
      <c r="U2101" s="875"/>
      <c r="V2101" s="875"/>
      <c r="W2101" s="875"/>
      <c r="X2101" s="875"/>
      <c r="Y2101" s="876"/>
      <c r="Z2101" s="875"/>
      <c r="AA2101" s="877"/>
      <c r="AB2101" s="877"/>
      <c r="AC2101" s="875"/>
      <c r="AD2101" s="875"/>
      <c r="AE2101" s="875"/>
      <c r="AF2101" s="875"/>
      <c r="AG2101" s="66" t="e">
        <f t="shared" si="85"/>
        <v>#DIV/0!</v>
      </c>
      <c r="AH2101" s="143">
        <f t="shared" si="86"/>
        <v>0</v>
      </c>
    </row>
    <row r="2102" spans="1:34" s="862" customFormat="1" x14ac:dyDescent="0.3">
      <c r="A2102" s="875">
        <v>904127</v>
      </c>
      <c r="B2102" s="876"/>
      <c r="C2102" s="876"/>
      <c r="D2102" s="877" t="s">
        <v>474</v>
      </c>
      <c r="E2102" s="1575"/>
      <c r="F2102" s="878"/>
      <c r="G2102" s="875"/>
      <c r="H2102" s="878"/>
      <c r="I2102" s="878"/>
      <c r="J2102" s="879"/>
      <c r="K2102" s="876"/>
      <c r="L2102" s="875"/>
      <c r="M2102" s="875"/>
      <c r="N2102" s="875"/>
      <c r="O2102" s="875"/>
      <c r="P2102" s="875"/>
      <c r="Q2102" s="875"/>
      <c r="R2102" s="877"/>
      <c r="S2102" s="876"/>
      <c r="T2102" s="875"/>
      <c r="U2102" s="875"/>
      <c r="V2102" s="875"/>
      <c r="W2102" s="875"/>
      <c r="X2102" s="875"/>
      <c r="Y2102" s="876"/>
      <c r="Z2102" s="875"/>
      <c r="AA2102" s="877"/>
      <c r="AB2102" s="877"/>
      <c r="AC2102" s="875"/>
      <c r="AD2102" s="875"/>
      <c r="AE2102" s="875"/>
      <c r="AF2102" s="875"/>
      <c r="AG2102" s="66" t="e">
        <f t="shared" si="85"/>
        <v>#DIV/0!</v>
      </c>
      <c r="AH2102" s="143">
        <f t="shared" si="86"/>
        <v>0</v>
      </c>
    </row>
    <row r="2103" spans="1:34" s="862" customFormat="1" x14ac:dyDescent="0.3">
      <c r="A2103" s="875">
        <v>904128</v>
      </c>
      <c r="B2103" s="876"/>
      <c r="C2103" s="876"/>
      <c r="D2103" s="877" t="s">
        <v>474</v>
      </c>
      <c r="E2103" s="1575"/>
      <c r="F2103" s="878"/>
      <c r="G2103" s="875"/>
      <c r="H2103" s="878"/>
      <c r="I2103" s="878"/>
      <c r="J2103" s="879"/>
      <c r="K2103" s="876"/>
      <c r="L2103" s="875"/>
      <c r="M2103" s="875"/>
      <c r="N2103" s="875"/>
      <c r="O2103" s="875"/>
      <c r="P2103" s="875"/>
      <c r="Q2103" s="875"/>
      <c r="R2103" s="877"/>
      <c r="S2103" s="876"/>
      <c r="T2103" s="875"/>
      <c r="U2103" s="875"/>
      <c r="V2103" s="875"/>
      <c r="W2103" s="875"/>
      <c r="X2103" s="875"/>
      <c r="Y2103" s="876"/>
      <c r="Z2103" s="875"/>
      <c r="AA2103" s="877"/>
      <c r="AB2103" s="877"/>
      <c r="AC2103" s="875"/>
      <c r="AD2103" s="875"/>
      <c r="AE2103" s="875"/>
      <c r="AF2103" s="875"/>
      <c r="AG2103" s="66" t="e">
        <f t="shared" si="85"/>
        <v>#DIV/0!</v>
      </c>
      <c r="AH2103" s="143">
        <f t="shared" si="86"/>
        <v>0</v>
      </c>
    </row>
    <row r="2104" spans="1:34" s="862" customFormat="1" x14ac:dyDescent="0.3">
      <c r="A2104" s="875">
        <v>904129</v>
      </c>
      <c r="B2104" s="876"/>
      <c r="C2104" s="876"/>
      <c r="D2104" s="877" t="s">
        <v>474</v>
      </c>
      <c r="E2104" s="1575"/>
      <c r="F2104" s="878"/>
      <c r="G2104" s="875"/>
      <c r="H2104" s="878"/>
      <c r="I2104" s="878"/>
      <c r="J2104" s="879"/>
      <c r="K2104" s="876"/>
      <c r="L2104" s="875"/>
      <c r="M2104" s="875"/>
      <c r="N2104" s="875"/>
      <c r="O2104" s="875"/>
      <c r="P2104" s="875"/>
      <c r="Q2104" s="875"/>
      <c r="R2104" s="877"/>
      <c r="S2104" s="876"/>
      <c r="T2104" s="875"/>
      <c r="U2104" s="875"/>
      <c r="V2104" s="875"/>
      <c r="W2104" s="875"/>
      <c r="X2104" s="875"/>
      <c r="Y2104" s="876"/>
      <c r="Z2104" s="875"/>
      <c r="AA2104" s="877"/>
      <c r="AB2104" s="877"/>
      <c r="AC2104" s="875"/>
      <c r="AD2104" s="875"/>
      <c r="AE2104" s="875"/>
      <c r="AF2104" s="875"/>
      <c r="AG2104" s="66" t="e">
        <f t="shared" si="85"/>
        <v>#DIV/0!</v>
      </c>
      <c r="AH2104" s="143">
        <f t="shared" si="86"/>
        <v>0</v>
      </c>
    </row>
    <row r="2105" spans="1:34" s="862" customFormat="1" x14ac:dyDescent="0.3">
      <c r="A2105" s="875">
        <v>904130</v>
      </c>
      <c r="B2105" s="876"/>
      <c r="C2105" s="876"/>
      <c r="D2105" s="877" t="s">
        <v>474</v>
      </c>
      <c r="E2105" s="1575"/>
      <c r="F2105" s="878"/>
      <c r="G2105" s="875"/>
      <c r="H2105" s="878"/>
      <c r="I2105" s="878"/>
      <c r="J2105" s="879"/>
      <c r="K2105" s="876"/>
      <c r="L2105" s="875"/>
      <c r="M2105" s="875"/>
      <c r="N2105" s="875"/>
      <c r="O2105" s="875"/>
      <c r="P2105" s="875"/>
      <c r="Q2105" s="875"/>
      <c r="R2105" s="877"/>
      <c r="S2105" s="876"/>
      <c r="T2105" s="875"/>
      <c r="U2105" s="875"/>
      <c r="V2105" s="875"/>
      <c r="W2105" s="875"/>
      <c r="X2105" s="875"/>
      <c r="Y2105" s="876"/>
      <c r="Z2105" s="875"/>
      <c r="AA2105" s="877"/>
      <c r="AB2105" s="877"/>
      <c r="AC2105" s="875"/>
      <c r="AD2105" s="875"/>
      <c r="AE2105" s="875"/>
      <c r="AF2105" s="875"/>
      <c r="AG2105" s="66" t="e">
        <f t="shared" si="85"/>
        <v>#DIV/0!</v>
      </c>
      <c r="AH2105" s="143">
        <f t="shared" si="86"/>
        <v>0</v>
      </c>
    </row>
    <row r="2106" spans="1:34" s="862" customFormat="1" x14ac:dyDescent="0.3">
      <c r="A2106" s="875">
        <v>904131</v>
      </c>
      <c r="B2106" s="876"/>
      <c r="C2106" s="876"/>
      <c r="D2106" s="877" t="s">
        <v>474</v>
      </c>
      <c r="E2106" s="1575"/>
      <c r="F2106" s="878"/>
      <c r="G2106" s="875"/>
      <c r="H2106" s="878"/>
      <c r="I2106" s="878"/>
      <c r="J2106" s="879"/>
      <c r="K2106" s="876"/>
      <c r="L2106" s="875"/>
      <c r="M2106" s="875"/>
      <c r="N2106" s="875"/>
      <c r="O2106" s="875"/>
      <c r="P2106" s="875"/>
      <c r="Q2106" s="875"/>
      <c r="R2106" s="877"/>
      <c r="S2106" s="876"/>
      <c r="T2106" s="875"/>
      <c r="U2106" s="875"/>
      <c r="V2106" s="875"/>
      <c r="W2106" s="875"/>
      <c r="X2106" s="875"/>
      <c r="Y2106" s="876"/>
      <c r="Z2106" s="875"/>
      <c r="AA2106" s="877"/>
      <c r="AB2106" s="877"/>
      <c r="AC2106" s="875"/>
      <c r="AD2106" s="875"/>
      <c r="AE2106" s="875"/>
      <c r="AF2106" s="875"/>
      <c r="AG2106" s="66" t="e">
        <f t="shared" si="85"/>
        <v>#DIV/0!</v>
      </c>
      <c r="AH2106" s="143">
        <f t="shared" si="86"/>
        <v>0</v>
      </c>
    </row>
    <row r="2107" spans="1:34" s="862" customFormat="1" x14ac:dyDescent="0.3">
      <c r="A2107" s="875">
        <v>904132</v>
      </c>
      <c r="B2107" s="876"/>
      <c r="C2107" s="876"/>
      <c r="D2107" s="877" t="s">
        <v>474</v>
      </c>
      <c r="E2107" s="1575"/>
      <c r="F2107" s="878"/>
      <c r="G2107" s="875"/>
      <c r="H2107" s="878"/>
      <c r="I2107" s="878"/>
      <c r="J2107" s="879"/>
      <c r="K2107" s="876"/>
      <c r="L2107" s="875"/>
      <c r="M2107" s="875"/>
      <c r="N2107" s="875"/>
      <c r="O2107" s="875"/>
      <c r="P2107" s="875"/>
      <c r="Q2107" s="875"/>
      <c r="R2107" s="877"/>
      <c r="S2107" s="876"/>
      <c r="T2107" s="875"/>
      <c r="U2107" s="875"/>
      <c r="V2107" s="875"/>
      <c r="W2107" s="875"/>
      <c r="X2107" s="875"/>
      <c r="Y2107" s="876"/>
      <c r="Z2107" s="875"/>
      <c r="AA2107" s="877"/>
      <c r="AB2107" s="877"/>
      <c r="AC2107" s="875"/>
      <c r="AD2107" s="875"/>
      <c r="AE2107" s="875"/>
      <c r="AF2107" s="875"/>
      <c r="AG2107" s="66" t="e">
        <f t="shared" si="85"/>
        <v>#DIV/0!</v>
      </c>
      <c r="AH2107" s="143">
        <f t="shared" si="86"/>
        <v>0</v>
      </c>
    </row>
    <row r="2108" spans="1:34" s="862" customFormat="1" x14ac:dyDescent="0.3">
      <c r="A2108" s="875">
        <v>904133</v>
      </c>
      <c r="B2108" s="876"/>
      <c r="C2108" s="876"/>
      <c r="D2108" s="877" t="s">
        <v>474</v>
      </c>
      <c r="E2108" s="1575"/>
      <c r="F2108" s="878"/>
      <c r="G2108" s="875"/>
      <c r="H2108" s="878"/>
      <c r="I2108" s="878"/>
      <c r="J2108" s="879"/>
      <c r="K2108" s="876"/>
      <c r="L2108" s="875"/>
      <c r="M2108" s="875"/>
      <c r="N2108" s="875"/>
      <c r="O2108" s="875"/>
      <c r="P2108" s="875"/>
      <c r="Q2108" s="875"/>
      <c r="R2108" s="877"/>
      <c r="S2108" s="876"/>
      <c r="T2108" s="875"/>
      <c r="U2108" s="875"/>
      <c r="V2108" s="875"/>
      <c r="W2108" s="875"/>
      <c r="X2108" s="875"/>
      <c r="Y2108" s="876"/>
      <c r="Z2108" s="875"/>
      <c r="AA2108" s="877"/>
      <c r="AB2108" s="877"/>
      <c r="AC2108" s="875"/>
      <c r="AD2108" s="875"/>
      <c r="AE2108" s="875"/>
      <c r="AF2108" s="875"/>
      <c r="AG2108" s="66" t="e">
        <f t="shared" si="85"/>
        <v>#DIV/0!</v>
      </c>
      <c r="AH2108" s="143">
        <f t="shared" si="86"/>
        <v>0</v>
      </c>
    </row>
    <row r="2109" spans="1:34" s="862" customFormat="1" x14ac:dyDescent="0.3">
      <c r="A2109" s="875">
        <v>904134</v>
      </c>
      <c r="B2109" s="876"/>
      <c r="C2109" s="876"/>
      <c r="D2109" s="877" t="s">
        <v>474</v>
      </c>
      <c r="E2109" s="1575"/>
      <c r="F2109" s="878"/>
      <c r="G2109" s="875"/>
      <c r="H2109" s="878"/>
      <c r="I2109" s="878"/>
      <c r="J2109" s="879"/>
      <c r="K2109" s="876"/>
      <c r="L2109" s="875"/>
      <c r="M2109" s="875"/>
      <c r="N2109" s="875"/>
      <c r="O2109" s="875"/>
      <c r="P2109" s="875"/>
      <c r="Q2109" s="875"/>
      <c r="R2109" s="877"/>
      <c r="S2109" s="876"/>
      <c r="T2109" s="875"/>
      <c r="U2109" s="875"/>
      <c r="V2109" s="875"/>
      <c r="W2109" s="875"/>
      <c r="X2109" s="875"/>
      <c r="Y2109" s="876"/>
      <c r="Z2109" s="875"/>
      <c r="AA2109" s="877"/>
      <c r="AB2109" s="877"/>
      <c r="AC2109" s="875"/>
      <c r="AD2109" s="875"/>
      <c r="AE2109" s="875"/>
      <c r="AF2109" s="875"/>
      <c r="AG2109" s="66" t="e">
        <f t="shared" si="85"/>
        <v>#DIV/0!</v>
      </c>
      <c r="AH2109" s="143">
        <f t="shared" si="86"/>
        <v>0</v>
      </c>
    </row>
    <row r="2110" spans="1:34" s="862" customFormat="1" x14ac:dyDescent="0.3">
      <c r="A2110" s="875">
        <v>904135</v>
      </c>
      <c r="B2110" s="876"/>
      <c r="C2110" s="876"/>
      <c r="D2110" s="877" t="s">
        <v>474</v>
      </c>
      <c r="E2110" s="1575"/>
      <c r="F2110" s="878"/>
      <c r="G2110" s="875"/>
      <c r="H2110" s="878"/>
      <c r="I2110" s="878"/>
      <c r="J2110" s="879"/>
      <c r="K2110" s="876"/>
      <c r="L2110" s="875"/>
      <c r="M2110" s="875"/>
      <c r="N2110" s="875"/>
      <c r="O2110" s="875"/>
      <c r="P2110" s="875"/>
      <c r="Q2110" s="875"/>
      <c r="R2110" s="877"/>
      <c r="S2110" s="876"/>
      <c r="T2110" s="875"/>
      <c r="U2110" s="875"/>
      <c r="V2110" s="875"/>
      <c r="W2110" s="875"/>
      <c r="X2110" s="875"/>
      <c r="Y2110" s="876"/>
      <c r="Z2110" s="875"/>
      <c r="AA2110" s="877"/>
      <c r="AB2110" s="877"/>
      <c r="AC2110" s="875"/>
      <c r="AD2110" s="875"/>
      <c r="AE2110" s="875"/>
      <c r="AF2110" s="875"/>
      <c r="AG2110" s="66" t="e">
        <f t="shared" si="85"/>
        <v>#DIV/0!</v>
      </c>
      <c r="AH2110" s="143">
        <f t="shared" si="86"/>
        <v>0</v>
      </c>
    </row>
    <row r="2111" spans="1:34" s="862" customFormat="1" x14ac:dyDescent="0.3">
      <c r="A2111" s="875">
        <v>904136</v>
      </c>
      <c r="B2111" s="876"/>
      <c r="C2111" s="876"/>
      <c r="D2111" s="877" t="s">
        <v>474</v>
      </c>
      <c r="E2111" s="1575"/>
      <c r="F2111" s="878"/>
      <c r="G2111" s="875"/>
      <c r="H2111" s="878"/>
      <c r="I2111" s="878"/>
      <c r="J2111" s="879"/>
      <c r="K2111" s="876"/>
      <c r="L2111" s="875"/>
      <c r="M2111" s="875"/>
      <c r="N2111" s="875"/>
      <c r="O2111" s="875"/>
      <c r="P2111" s="875"/>
      <c r="Q2111" s="875"/>
      <c r="R2111" s="877"/>
      <c r="S2111" s="876"/>
      <c r="T2111" s="875"/>
      <c r="U2111" s="875"/>
      <c r="V2111" s="875"/>
      <c r="W2111" s="875"/>
      <c r="X2111" s="875"/>
      <c r="Y2111" s="876"/>
      <c r="Z2111" s="875"/>
      <c r="AA2111" s="877"/>
      <c r="AB2111" s="877"/>
      <c r="AC2111" s="875"/>
      <c r="AD2111" s="875"/>
      <c r="AE2111" s="875"/>
      <c r="AF2111" s="875"/>
      <c r="AG2111" s="66" t="e">
        <f t="shared" si="85"/>
        <v>#DIV/0!</v>
      </c>
      <c r="AH2111" s="143">
        <f t="shared" si="86"/>
        <v>0</v>
      </c>
    </row>
    <row r="2112" spans="1:34" s="862" customFormat="1" x14ac:dyDescent="0.3">
      <c r="A2112" s="862">
        <v>904137</v>
      </c>
      <c r="B2112" s="863">
        <v>1.1666666666666667</v>
      </c>
      <c r="C2112" s="863"/>
      <c r="D2112" s="647">
        <v>8.34</v>
      </c>
      <c r="E2112" s="1573">
        <v>0.23599999999999999</v>
      </c>
      <c r="F2112" s="864">
        <v>259.60000000000002</v>
      </c>
      <c r="H2112" s="864">
        <v>97.27</v>
      </c>
      <c r="I2112" s="864">
        <v>90</v>
      </c>
      <c r="J2112" s="647">
        <v>0.2</v>
      </c>
      <c r="K2112" s="863">
        <v>3.6</v>
      </c>
      <c r="L2112" s="862">
        <v>400</v>
      </c>
      <c r="M2112" s="862">
        <v>2.4500000000000002</v>
      </c>
      <c r="N2112" s="862">
        <v>0.33</v>
      </c>
      <c r="O2112" s="862">
        <v>2.88</v>
      </c>
      <c r="P2112" s="862">
        <v>3.13</v>
      </c>
      <c r="R2112" s="647">
        <v>0.57174459934661415</v>
      </c>
      <c r="S2112" s="863">
        <v>3.9000000000000004</v>
      </c>
      <c r="T2112" s="874"/>
      <c r="U2112" s="874"/>
      <c r="V2112" s="874"/>
      <c r="W2112" s="874"/>
      <c r="X2112" s="874"/>
      <c r="Y2112" s="863">
        <v>2</v>
      </c>
      <c r="AA2112" s="647">
        <v>3.48</v>
      </c>
      <c r="AB2112" s="647">
        <v>0.79400000000000004</v>
      </c>
      <c r="AC2112" s="862">
        <v>8.6</v>
      </c>
      <c r="AD2112" s="867">
        <v>120</v>
      </c>
      <c r="AE2112" s="867">
        <v>80</v>
      </c>
      <c r="AF2112" s="867">
        <v>800</v>
      </c>
      <c r="AG2112" s="66">
        <f t="shared" si="85"/>
        <v>637.20000000000005</v>
      </c>
      <c r="AH2112" s="143">
        <f t="shared" si="86"/>
        <v>1000</v>
      </c>
    </row>
    <row r="2113" spans="1:34" s="862" customFormat="1" x14ac:dyDescent="0.3">
      <c r="A2113" s="862">
        <v>904138</v>
      </c>
      <c r="B2113" s="863">
        <v>0.24999999999999997</v>
      </c>
      <c r="C2113" s="863"/>
      <c r="D2113" s="647">
        <v>8.17</v>
      </c>
      <c r="E2113" s="1573">
        <v>0.191</v>
      </c>
      <c r="F2113" s="864">
        <v>210.10000000000002</v>
      </c>
      <c r="H2113" s="864">
        <v>111.22</v>
      </c>
      <c r="I2113" s="864">
        <v>70</v>
      </c>
      <c r="J2113" s="647">
        <v>0.16</v>
      </c>
      <c r="K2113" s="863">
        <v>1.59</v>
      </c>
      <c r="L2113" s="862">
        <v>220</v>
      </c>
      <c r="M2113" s="862">
        <v>0.69</v>
      </c>
      <c r="N2113" s="862">
        <v>0.37</v>
      </c>
      <c r="O2113" s="862">
        <v>4.58</v>
      </c>
      <c r="P2113" s="862">
        <v>3.82</v>
      </c>
      <c r="R2113" s="647">
        <v>0.49411198422748193</v>
      </c>
      <c r="S2113" s="863">
        <v>3.7</v>
      </c>
      <c r="Y2113" s="863">
        <v>3.6</v>
      </c>
      <c r="AA2113" s="647">
        <v>3.9</v>
      </c>
      <c r="AB2113" s="647">
        <v>0.31</v>
      </c>
      <c r="AC2113" s="862">
        <v>9.3000000000000007</v>
      </c>
      <c r="AD2113" s="867">
        <v>60</v>
      </c>
      <c r="AE2113" s="867">
        <v>60</v>
      </c>
      <c r="AF2113" s="867">
        <v>880</v>
      </c>
      <c r="AG2113" s="66">
        <f t="shared" si="85"/>
        <v>156.35</v>
      </c>
      <c r="AH2113" s="143">
        <f t="shared" si="86"/>
        <v>1000</v>
      </c>
    </row>
    <row r="2114" spans="1:34" s="862" customFormat="1" x14ac:dyDescent="0.3">
      <c r="A2114" s="862">
        <v>904139</v>
      </c>
      <c r="B2114" s="863">
        <v>4.375</v>
      </c>
      <c r="C2114" s="863"/>
      <c r="D2114" s="647">
        <v>8.33</v>
      </c>
      <c r="E2114" s="1573">
        <v>0.22800000000000001</v>
      </c>
      <c r="F2114" s="864">
        <v>250.8</v>
      </c>
      <c r="H2114" s="864">
        <v>50.24</v>
      </c>
      <c r="I2114" s="864">
        <v>90</v>
      </c>
      <c r="J2114" s="647">
        <v>0.12</v>
      </c>
      <c r="K2114" s="863">
        <v>5.74</v>
      </c>
      <c r="L2114" s="862">
        <v>180</v>
      </c>
      <c r="M2114" s="862">
        <v>0.45</v>
      </c>
      <c r="N2114" s="862">
        <v>0.3</v>
      </c>
      <c r="O2114" s="862">
        <v>4.28</v>
      </c>
      <c r="P2114" s="862">
        <v>2.63</v>
      </c>
      <c r="R2114" s="647">
        <v>0.7937669706305942</v>
      </c>
      <c r="S2114" s="863">
        <v>5.6999999999999993</v>
      </c>
      <c r="T2114" s="880"/>
      <c r="U2114" s="880"/>
      <c r="V2114" s="880"/>
      <c r="W2114" s="880"/>
      <c r="X2114" s="880"/>
      <c r="Y2114" s="863">
        <v>3.6</v>
      </c>
      <c r="AA2114" s="647">
        <v>4.62</v>
      </c>
      <c r="AB2114" s="647">
        <v>0.55100000000000005</v>
      </c>
      <c r="AC2114" s="862">
        <v>7.7</v>
      </c>
      <c r="AD2114" s="867">
        <v>60</v>
      </c>
      <c r="AE2114" s="867">
        <v>80</v>
      </c>
      <c r="AF2114" s="867">
        <v>860</v>
      </c>
      <c r="AG2114" s="66">
        <f t="shared" ref="AG2114:AG2177" si="88">+K2114*3.54*100/Y2114</f>
        <v>564.43333333333328</v>
      </c>
      <c r="AH2114" s="143">
        <f t="shared" ref="AH2114:AH2177" si="89">+SUM(AD2114:AF2114)</f>
        <v>1000</v>
      </c>
    </row>
    <row r="2115" spans="1:34" s="862" customFormat="1" x14ac:dyDescent="0.3">
      <c r="A2115" s="862">
        <v>904140</v>
      </c>
      <c r="B2115" s="863">
        <v>0.24999999999999997</v>
      </c>
      <c r="C2115" s="863"/>
      <c r="D2115" s="647">
        <v>8.36</v>
      </c>
      <c r="E2115" s="1573">
        <v>0.16700000000000001</v>
      </c>
      <c r="F2115" s="864">
        <v>183.70000000000002</v>
      </c>
      <c r="H2115" s="864">
        <v>81.62</v>
      </c>
      <c r="I2115" s="864">
        <v>90</v>
      </c>
      <c r="J2115" s="647">
        <v>0.12</v>
      </c>
      <c r="K2115" s="863">
        <v>1.89</v>
      </c>
      <c r="L2115" s="862">
        <v>190</v>
      </c>
      <c r="M2115" s="862">
        <v>1.03</v>
      </c>
      <c r="N2115" s="862">
        <v>0.28999999999999998</v>
      </c>
      <c r="O2115" s="862">
        <v>5.7</v>
      </c>
      <c r="P2115" s="862">
        <v>3.64</v>
      </c>
      <c r="R2115" s="647">
        <v>1.0643499278626869</v>
      </c>
      <c r="S2115" s="863">
        <v>7.1</v>
      </c>
      <c r="T2115" s="874"/>
      <c r="U2115" s="874"/>
      <c r="V2115" s="874"/>
      <c r="W2115" s="874"/>
      <c r="X2115" s="874"/>
      <c r="Y2115" s="863">
        <v>4.2</v>
      </c>
      <c r="AA2115" s="647">
        <v>4.3499999999999996</v>
      </c>
      <c r="AB2115" s="647">
        <v>0.48199999999999998</v>
      </c>
      <c r="AC2115" s="862">
        <v>11.8</v>
      </c>
      <c r="AD2115" s="867">
        <v>60</v>
      </c>
      <c r="AE2115" s="867">
        <v>60</v>
      </c>
      <c r="AF2115" s="867">
        <v>880</v>
      </c>
      <c r="AG2115" s="66">
        <f t="shared" si="88"/>
        <v>159.29999999999998</v>
      </c>
      <c r="AH2115" s="143">
        <f t="shared" si="89"/>
        <v>1000</v>
      </c>
    </row>
    <row r="2116" spans="1:34" s="862" customFormat="1" x14ac:dyDescent="0.3">
      <c r="A2116" s="862">
        <v>904141</v>
      </c>
      <c r="B2116" s="863">
        <v>0.16666666666666666</v>
      </c>
      <c r="C2116" s="863"/>
      <c r="D2116" s="647">
        <v>7.11</v>
      </c>
      <c r="E2116" s="1573">
        <v>0.16700000000000001</v>
      </c>
      <c r="F2116" s="864">
        <v>183.70000000000002</v>
      </c>
      <c r="H2116" s="864">
        <v>121.39</v>
      </c>
      <c r="I2116" s="864">
        <v>80</v>
      </c>
      <c r="J2116" s="647">
        <v>0.11</v>
      </c>
      <c r="K2116" s="863">
        <v>0.53</v>
      </c>
      <c r="L2116" s="862">
        <v>160</v>
      </c>
      <c r="M2116" s="862">
        <v>1.03</v>
      </c>
      <c r="N2116" s="862">
        <v>0.39</v>
      </c>
      <c r="O2116" s="862">
        <v>14.16</v>
      </c>
      <c r="P2116" s="862">
        <v>9.0399999999999991</v>
      </c>
      <c r="R2116" s="647">
        <v>0.31696370923982653</v>
      </c>
      <c r="S2116" s="863">
        <v>2.1</v>
      </c>
      <c r="T2116" s="880"/>
      <c r="U2116" s="880"/>
      <c r="V2116" s="880"/>
      <c r="W2116" s="880"/>
      <c r="X2116" s="880"/>
      <c r="Y2116" s="863">
        <v>2</v>
      </c>
      <c r="AA2116" s="647">
        <v>4.0599999999999996</v>
      </c>
      <c r="AB2116" s="647">
        <v>0.629</v>
      </c>
      <c r="AC2116" s="862">
        <v>11.6</v>
      </c>
      <c r="AD2116" s="867">
        <v>100</v>
      </c>
      <c r="AE2116" s="867">
        <v>100</v>
      </c>
      <c r="AF2116" s="867">
        <v>800</v>
      </c>
      <c r="AG2116" s="66">
        <f t="shared" si="88"/>
        <v>93.81</v>
      </c>
      <c r="AH2116" s="143">
        <f t="shared" si="89"/>
        <v>1000</v>
      </c>
    </row>
    <row r="2117" spans="1:34" s="862" customFormat="1" x14ac:dyDescent="0.3">
      <c r="A2117" s="862">
        <v>904142</v>
      </c>
      <c r="B2117" s="863">
        <v>3.6111111111111107</v>
      </c>
      <c r="C2117" s="863"/>
      <c r="D2117" s="647">
        <v>8.14</v>
      </c>
      <c r="E2117" s="1573">
        <v>0.14399999999999999</v>
      </c>
      <c r="F2117" s="864">
        <v>158.4</v>
      </c>
      <c r="H2117" s="864">
        <v>11.58</v>
      </c>
      <c r="I2117" s="864">
        <v>180</v>
      </c>
      <c r="J2117" s="647">
        <v>0.04</v>
      </c>
      <c r="K2117" s="863">
        <v>7.51</v>
      </c>
      <c r="L2117" s="862">
        <v>210</v>
      </c>
      <c r="M2117" s="862">
        <v>0.35</v>
      </c>
      <c r="N2117" s="862">
        <v>0.96</v>
      </c>
      <c r="O2117" s="862">
        <v>4.25</v>
      </c>
      <c r="P2117" s="862">
        <v>3.17</v>
      </c>
      <c r="R2117" s="647">
        <v>0.84752011098647806</v>
      </c>
      <c r="S2117" s="863">
        <v>5.6000000000000005</v>
      </c>
      <c r="T2117" s="874"/>
      <c r="U2117" s="874"/>
      <c r="V2117" s="874"/>
      <c r="W2117" s="874"/>
      <c r="X2117" s="874"/>
      <c r="Y2117" s="863">
        <v>18</v>
      </c>
      <c r="AA2117" s="647">
        <v>3.55</v>
      </c>
      <c r="AB2117" s="647">
        <v>0.627</v>
      </c>
      <c r="AC2117" s="862">
        <v>11.9</v>
      </c>
      <c r="AD2117" s="867">
        <v>360</v>
      </c>
      <c r="AE2117" s="867">
        <v>240</v>
      </c>
      <c r="AF2117" s="867">
        <v>400</v>
      </c>
      <c r="AG2117" s="66">
        <f t="shared" si="88"/>
        <v>147.69666666666666</v>
      </c>
      <c r="AH2117" s="143">
        <f t="shared" si="89"/>
        <v>1000</v>
      </c>
    </row>
    <row r="2118" spans="1:34" s="862" customFormat="1" x14ac:dyDescent="0.3">
      <c r="A2118" s="862">
        <v>904143</v>
      </c>
      <c r="B2118" s="863">
        <v>27.499999999999996</v>
      </c>
      <c r="C2118" s="863">
        <v>5.6</v>
      </c>
      <c r="D2118" s="647">
        <v>8.07</v>
      </c>
      <c r="E2118" s="1573">
        <v>0.47899999999999998</v>
      </c>
      <c r="F2118" s="864">
        <v>526.90000000000009</v>
      </c>
      <c r="H2118" s="864">
        <v>37.43</v>
      </c>
      <c r="I2118" s="864">
        <v>340</v>
      </c>
      <c r="J2118" s="647">
        <v>0.36</v>
      </c>
      <c r="K2118" s="863">
        <v>9.93</v>
      </c>
      <c r="L2118" s="862">
        <v>1010</v>
      </c>
      <c r="M2118" s="862">
        <v>0.7</v>
      </c>
      <c r="N2118" s="862">
        <v>0.6</v>
      </c>
      <c r="O2118" s="862">
        <v>7.04</v>
      </c>
      <c r="P2118" s="862">
        <v>4.2</v>
      </c>
      <c r="R2118" s="647">
        <v>1.790297</v>
      </c>
      <c r="S2118" s="863">
        <v>16.299999999999997</v>
      </c>
      <c r="T2118" s="880"/>
      <c r="U2118" s="881"/>
      <c r="V2118" s="881"/>
      <c r="W2118" s="881"/>
      <c r="X2118" s="881"/>
      <c r="Y2118" s="863">
        <v>24</v>
      </c>
      <c r="AA2118" s="647">
        <v>4.71</v>
      </c>
      <c r="AB2118" s="647">
        <v>0.52400000000000002</v>
      </c>
      <c r="AC2118" s="862">
        <v>7.9</v>
      </c>
      <c r="AD2118" s="867">
        <v>400</v>
      </c>
      <c r="AE2118" s="867">
        <v>480</v>
      </c>
      <c r="AF2118" s="867">
        <v>120</v>
      </c>
      <c r="AG2118" s="66">
        <f t="shared" si="88"/>
        <v>146.4675</v>
      </c>
      <c r="AH2118" s="143">
        <f t="shared" si="89"/>
        <v>1000</v>
      </c>
    </row>
    <row r="2119" spans="1:34" s="862" customFormat="1" x14ac:dyDescent="0.3">
      <c r="A2119" s="862">
        <v>904144</v>
      </c>
      <c r="B2119" s="863">
        <v>17.5</v>
      </c>
      <c r="C2119" s="863">
        <v>6.9</v>
      </c>
      <c r="D2119" s="647">
        <v>8.2200000000000006</v>
      </c>
      <c r="E2119" s="1573">
        <v>0.65300000000000002</v>
      </c>
      <c r="F2119" s="864">
        <v>718.30000000000007</v>
      </c>
      <c r="H2119" s="864">
        <v>60.24</v>
      </c>
      <c r="I2119" s="864">
        <v>160</v>
      </c>
      <c r="J2119" s="647">
        <v>0.64</v>
      </c>
      <c r="K2119" s="863">
        <v>8.56</v>
      </c>
      <c r="L2119" s="862">
        <v>540</v>
      </c>
      <c r="M2119" s="862">
        <v>0.92</v>
      </c>
      <c r="N2119" s="862">
        <v>0.28000000000000003</v>
      </c>
      <c r="O2119" s="862">
        <v>2.61</v>
      </c>
      <c r="P2119" s="862">
        <v>2.27</v>
      </c>
      <c r="R2119" s="647">
        <v>0.97876274705705968</v>
      </c>
      <c r="S2119" s="863">
        <v>7.1</v>
      </c>
      <c r="T2119" s="874"/>
      <c r="U2119" s="874"/>
      <c r="V2119" s="874"/>
      <c r="W2119" s="874"/>
      <c r="X2119" s="874"/>
      <c r="Y2119" s="863">
        <v>11</v>
      </c>
      <c r="AA2119" s="647">
        <v>4.18</v>
      </c>
      <c r="AB2119" s="647">
        <v>0.77200000000000002</v>
      </c>
      <c r="AC2119" s="862">
        <v>10.9</v>
      </c>
      <c r="AD2119" s="867">
        <v>220</v>
      </c>
      <c r="AE2119" s="867">
        <v>80</v>
      </c>
      <c r="AF2119" s="867">
        <v>700</v>
      </c>
      <c r="AG2119" s="66">
        <f t="shared" si="88"/>
        <v>275.47636363636366</v>
      </c>
      <c r="AH2119" s="143">
        <f t="shared" si="89"/>
        <v>1000</v>
      </c>
    </row>
    <row r="2120" spans="1:34" s="862" customFormat="1" x14ac:dyDescent="0.3">
      <c r="A2120" s="862">
        <v>904145</v>
      </c>
      <c r="B2120" s="863">
        <v>28.333333333333332</v>
      </c>
      <c r="C2120" s="863">
        <v>4.9000000000000004</v>
      </c>
      <c r="D2120" s="647">
        <v>7.94</v>
      </c>
      <c r="E2120" s="1573">
        <v>0.33600000000000002</v>
      </c>
      <c r="F2120" s="864">
        <v>369.6</v>
      </c>
      <c r="H2120" s="864">
        <v>29.8</v>
      </c>
      <c r="I2120" s="864">
        <v>250</v>
      </c>
      <c r="J2120" s="647">
        <v>0.17</v>
      </c>
      <c r="K2120" s="863">
        <v>9.49</v>
      </c>
      <c r="L2120" s="862">
        <v>560</v>
      </c>
      <c r="M2120" s="862">
        <v>0.65</v>
      </c>
      <c r="N2120" s="862">
        <v>0.41</v>
      </c>
      <c r="O2120" s="862">
        <v>6.25</v>
      </c>
      <c r="P2120" s="862">
        <v>3.01</v>
      </c>
      <c r="R2120" s="647">
        <v>1.6922480000000002</v>
      </c>
      <c r="S2120" s="863">
        <v>13.4</v>
      </c>
      <c r="T2120" s="880"/>
      <c r="U2120" s="880"/>
      <c r="V2120" s="880"/>
      <c r="W2120" s="880"/>
      <c r="X2120" s="880"/>
      <c r="Y2120" s="863">
        <v>26</v>
      </c>
      <c r="AA2120" s="647">
        <v>4.13</v>
      </c>
      <c r="AB2120" s="647">
        <v>0.53900000000000003</v>
      </c>
      <c r="AC2120" s="862">
        <v>9.1999999999999993</v>
      </c>
      <c r="AD2120" s="867">
        <v>520</v>
      </c>
      <c r="AE2120" s="867">
        <v>280</v>
      </c>
      <c r="AF2120" s="867">
        <v>200</v>
      </c>
      <c r="AG2120" s="66">
        <f t="shared" si="88"/>
        <v>129.21</v>
      </c>
      <c r="AH2120" s="143">
        <f t="shared" si="89"/>
        <v>1000</v>
      </c>
    </row>
    <row r="2121" spans="1:34" s="862" customFormat="1" x14ac:dyDescent="0.3">
      <c r="A2121" s="862">
        <v>904146</v>
      </c>
      <c r="B2121" s="863">
        <v>0.24999999999999997</v>
      </c>
      <c r="C2121" s="863"/>
      <c r="D2121" s="647">
        <v>8.2200000000000006</v>
      </c>
      <c r="E2121" s="1573">
        <v>0.245</v>
      </c>
      <c r="F2121" s="864">
        <v>269.5</v>
      </c>
      <c r="H2121" s="864">
        <v>111.28</v>
      </c>
      <c r="I2121" s="864">
        <v>50</v>
      </c>
      <c r="J2121" s="647">
        <v>0.27</v>
      </c>
      <c r="K2121" s="863">
        <v>0.68</v>
      </c>
      <c r="L2121" s="862">
        <v>230</v>
      </c>
      <c r="M2121" s="862">
        <v>0.31</v>
      </c>
      <c r="N2121" s="862">
        <v>0.38</v>
      </c>
      <c r="O2121" s="862">
        <v>2.5499999999999998</v>
      </c>
      <c r="P2121" s="862">
        <v>3.03</v>
      </c>
      <c r="R2121" s="647">
        <v>0.28727886109213496</v>
      </c>
      <c r="S2121" s="863">
        <v>2.1</v>
      </c>
      <c r="T2121" s="866"/>
      <c r="U2121" s="874"/>
      <c r="V2121" s="866"/>
      <c r="W2121" s="874"/>
      <c r="X2121" s="874"/>
      <c r="Y2121" s="863">
        <v>2</v>
      </c>
      <c r="AA2121" s="647">
        <v>4.4400000000000004</v>
      </c>
      <c r="AB2121" s="647">
        <v>0.70399999999999996</v>
      </c>
      <c r="AC2121" s="862">
        <v>9.8000000000000007</v>
      </c>
      <c r="AD2121" s="867">
        <v>60</v>
      </c>
      <c r="AE2121" s="867">
        <v>80</v>
      </c>
      <c r="AF2121" s="867">
        <v>860</v>
      </c>
      <c r="AG2121" s="66">
        <f t="shared" si="88"/>
        <v>120.36</v>
      </c>
      <c r="AH2121" s="143">
        <f t="shared" si="89"/>
        <v>1000</v>
      </c>
    </row>
    <row r="2122" spans="1:34" s="862" customFormat="1" x14ac:dyDescent="0.3">
      <c r="A2122" s="862">
        <v>904147</v>
      </c>
      <c r="B2122" s="863">
        <v>0.24999999999999997</v>
      </c>
      <c r="C2122" s="863"/>
      <c r="D2122" s="647">
        <v>8.31</v>
      </c>
      <c r="E2122" s="1573">
        <v>0.26200000000000001</v>
      </c>
      <c r="F2122" s="864">
        <v>288.20000000000005</v>
      </c>
      <c r="H2122" s="864">
        <v>72.05</v>
      </c>
      <c r="I2122" s="864">
        <v>60</v>
      </c>
      <c r="J2122" s="647">
        <v>0.38</v>
      </c>
      <c r="K2122" s="863">
        <v>1.33</v>
      </c>
      <c r="L2122" s="862">
        <v>550</v>
      </c>
      <c r="M2122" s="862">
        <v>0.31</v>
      </c>
      <c r="N2122" s="862">
        <v>0.45</v>
      </c>
      <c r="O2122" s="862">
        <v>5.8</v>
      </c>
      <c r="P2122" s="862">
        <v>5.0599999999999996</v>
      </c>
      <c r="R2122" s="647">
        <v>0.45800455863290274</v>
      </c>
      <c r="S2122" s="863">
        <v>3</v>
      </c>
      <c r="T2122" s="881"/>
      <c r="U2122" s="880"/>
      <c r="V2122" s="881"/>
      <c r="W2122" s="880"/>
      <c r="X2122" s="880"/>
      <c r="Y2122" s="863">
        <v>5</v>
      </c>
      <c r="AA2122" s="647">
        <v>3.98</v>
      </c>
      <c r="AB2122" s="647">
        <v>0.52600000000000002</v>
      </c>
      <c r="AC2122" s="862">
        <v>10.5</v>
      </c>
      <c r="AD2122" s="867">
        <v>260</v>
      </c>
      <c r="AE2122" s="867">
        <v>240</v>
      </c>
      <c r="AF2122" s="867">
        <v>500</v>
      </c>
      <c r="AG2122" s="66">
        <f t="shared" si="88"/>
        <v>94.164000000000016</v>
      </c>
      <c r="AH2122" s="143">
        <f t="shared" si="89"/>
        <v>1000</v>
      </c>
    </row>
    <row r="2123" spans="1:34" s="862" customFormat="1" x14ac:dyDescent="0.3">
      <c r="A2123" s="862">
        <v>904148</v>
      </c>
      <c r="B2123" s="863">
        <v>0.24999999999999997</v>
      </c>
      <c r="C2123" s="863"/>
      <c r="D2123" s="647">
        <v>7.65</v>
      </c>
      <c r="E2123" s="1573">
        <v>0.13600000000000001</v>
      </c>
      <c r="F2123" s="864">
        <v>149.60000000000002</v>
      </c>
      <c r="H2123" s="864">
        <v>120.25</v>
      </c>
      <c r="I2123" s="864">
        <v>50</v>
      </c>
      <c r="J2123" s="647">
        <v>0.12</v>
      </c>
      <c r="K2123" s="863">
        <v>0.57999999999999996</v>
      </c>
      <c r="L2123" s="862">
        <v>170</v>
      </c>
      <c r="M2123" s="862">
        <v>0.82</v>
      </c>
      <c r="N2123" s="862">
        <v>0.27</v>
      </c>
      <c r="O2123" s="862">
        <v>1.41</v>
      </c>
      <c r="P2123" s="862">
        <v>6.49</v>
      </c>
      <c r="R2123" s="647">
        <v>0.32137678583405521</v>
      </c>
      <c r="S2123" s="863">
        <v>2.2000000000000002</v>
      </c>
      <c r="T2123" s="866"/>
      <c r="U2123" s="874"/>
      <c r="V2123" s="866"/>
      <c r="W2123" s="874"/>
      <c r="X2123" s="874"/>
      <c r="Y2123" s="863">
        <v>2</v>
      </c>
      <c r="AA2123" s="647">
        <v>4.47</v>
      </c>
      <c r="AB2123" s="647">
        <v>0.79200000000000004</v>
      </c>
      <c r="AC2123" s="862">
        <v>8.1</v>
      </c>
      <c r="AD2123" s="867">
        <v>80</v>
      </c>
      <c r="AE2123" s="867">
        <v>60</v>
      </c>
      <c r="AF2123" s="867">
        <v>860</v>
      </c>
      <c r="AG2123" s="66">
        <f t="shared" si="88"/>
        <v>102.66</v>
      </c>
      <c r="AH2123" s="143">
        <f t="shared" si="89"/>
        <v>1000</v>
      </c>
    </row>
    <row r="2124" spans="1:34" s="862" customFormat="1" x14ac:dyDescent="0.3">
      <c r="A2124" s="862">
        <v>904149</v>
      </c>
      <c r="B2124" s="863">
        <v>1.25</v>
      </c>
      <c r="C2124" s="863"/>
      <c r="D2124" s="647">
        <v>8.31</v>
      </c>
      <c r="E2124" s="1573">
        <v>0.246</v>
      </c>
      <c r="F2124" s="864">
        <v>270.60000000000002</v>
      </c>
      <c r="H2124" s="864">
        <v>96.36</v>
      </c>
      <c r="I2124" s="864">
        <v>120</v>
      </c>
      <c r="J2124" s="647">
        <v>0.16</v>
      </c>
      <c r="K2124" s="863">
        <v>4.3499999999999996</v>
      </c>
      <c r="L2124" s="862">
        <v>310</v>
      </c>
      <c r="M2124" s="862">
        <v>1.04</v>
      </c>
      <c r="N2124" s="862">
        <v>0.27</v>
      </c>
      <c r="O2124" s="862">
        <v>3.7</v>
      </c>
      <c r="P2124" s="862">
        <v>2.75</v>
      </c>
      <c r="R2124" s="647">
        <v>0.67342049399040504</v>
      </c>
      <c r="S2124" s="863">
        <v>5</v>
      </c>
      <c r="T2124" s="881"/>
      <c r="U2124" s="880"/>
      <c r="V2124" s="881"/>
      <c r="W2124" s="880"/>
      <c r="X2124" s="880"/>
      <c r="Y2124" s="863">
        <v>7</v>
      </c>
      <c r="AA2124" s="647">
        <v>4.21</v>
      </c>
      <c r="AB2124" s="647">
        <v>0.68500000000000005</v>
      </c>
      <c r="AC2124" s="862">
        <v>11</v>
      </c>
      <c r="AD2124" s="867">
        <v>140</v>
      </c>
      <c r="AE2124" s="867">
        <v>100</v>
      </c>
      <c r="AF2124" s="867">
        <v>760</v>
      </c>
      <c r="AG2124" s="66">
        <f t="shared" si="88"/>
        <v>219.98571428571427</v>
      </c>
      <c r="AH2124" s="143">
        <f t="shared" si="89"/>
        <v>1000</v>
      </c>
    </row>
    <row r="2125" spans="1:34" s="862" customFormat="1" x14ac:dyDescent="0.3">
      <c r="A2125" s="862">
        <v>904150</v>
      </c>
      <c r="B2125" s="863">
        <v>0.24999999999999997</v>
      </c>
      <c r="C2125" s="863"/>
      <c r="D2125" s="647">
        <v>7.35</v>
      </c>
      <c r="E2125" s="1573">
        <v>0.22600000000000001</v>
      </c>
      <c r="F2125" s="864">
        <v>248.60000000000002</v>
      </c>
      <c r="H2125" s="864">
        <v>115.32</v>
      </c>
      <c r="I2125" s="864">
        <v>80</v>
      </c>
      <c r="J2125" s="647">
        <v>0.15</v>
      </c>
      <c r="K2125" s="863">
        <v>0.49</v>
      </c>
      <c r="L2125" s="862">
        <v>150</v>
      </c>
      <c r="M2125" s="862">
        <v>1.51</v>
      </c>
      <c r="N2125" s="862">
        <v>0.33</v>
      </c>
      <c r="O2125" s="862">
        <v>8.56</v>
      </c>
      <c r="P2125" s="862">
        <v>6.98</v>
      </c>
      <c r="R2125" s="647">
        <v>0.39598530228344592</v>
      </c>
      <c r="S2125" s="863">
        <v>2.7</v>
      </c>
      <c r="T2125" s="866"/>
      <c r="U2125" s="874"/>
      <c r="V2125" s="866"/>
      <c r="W2125" s="874"/>
      <c r="X2125" s="874"/>
      <c r="Y2125" s="863">
        <v>2</v>
      </c>
      <c r="AA2125" s="647">
        <v>4.87</v>
      </c>
      <c r="AB2125" s="647">
        <v>0.73299999999999998</v>
      </c>
      <c r="AC2125" s="862">
        <v>6.6</v>
      </c>
      <c r="AD2125" s="867">
        <v>60</v>
      </c>
      <c r="AE2125" s="867">
        <v>80</v>
      </c>
      <c r="AF2125" s="867">
        <v>860</v>
      </c>
      <c r="AG2125" s="66">
        <f t="shared" si="88"/>
        <v>86.72999999999999</v>
      </c>
      <c r="AH2125" s="143">
        <f t="shared" si="89"/>
        <v>1000</v>
      </c>
    </row>
    <row r="2126" spans="1:34" s="862" customFormat="1" x14ac:dyDescent="0.3">
      <c r="A2126" s="862">
        <v>904151</v>
      </c>
      <c r="B2126" s="863">
        <v>0.33333333333333331</v>
      </c>
      <c r="C2126" s="863"/>
      <c r="D2126" s="647">
        <v>8.1</v>
      </c>
      <c r="E2126" s="1573">
        <v>0.27900000000000003</v>
      </c>
      <c r="F2126" s="864">
        <v>306.90000000000003</v>
      </c>
      <c r="H2126" s="864">
        <v>98.13</v>
      </c>
      <c r="I2126" s="864">
        <v>90</v>
      </c>
      <c r="J2126" s="647">
        <v>0.23</v>
      </c>
      <c r="K2126" s="863">
        <v>1.38</v>
      </c>
      <c r="L2126" s="862">
        <v>280</v>
      </c>
      <c r="M2126" s="862">
        <v>1</v>
      </c>
      <c r="N2126" s="862">
        <v>0.32</v>
      </c>
      <c r="O2126" s="862">
        <v>7.01</v>
      </c>
      <c r="P2126" s="862">
        <v>4.38</v>
      </c>
      <c r="R2126" s="647">
        <v>0.47787934529188758</v>
      </c>
      <c r="S2126" s="863">
        <v>3.5</v>
      </c>
      <c r="T2126" s="881"/>
      <c r="U2126" s="880"/>
      <c r="V2126" s="881"/>
      <c r="W2126" s="880"/>
      <c r="X2126" s="880"/>
      <c r="Y2126" s="863">
        <v>5.6</v>
      </c>
      <c r="AA2126" s="647">
        <v>3.57</v>
      </c>
      <c r="AB2126" s="647">
        <v>0.498</v>
      </c>
      <c r="AC2126" s="862">
        <v>6.7</v>
      </c>
      <c r="AD2126" s="867">
        <v>80</v>
      </c>
      <c r="AE2126" s="867">
        <v>80</v>
      </c>
      <c r="AF2126" s="867">
        <v>840</v>
      </c>
      <c r="AG2126" s="66">
        <f t="shared" si="88"/>
        <v>87.23571428571428</v>
      </c>
      <c r="AH2126" s="143">
        <f t="shared" si="89"/>
        <v>1000</v>
      </c>
    </row>
    <row r="2127" spans="1:34" s="862" customFormat="1" x14ac:dyDescent="0.3">
      <c r="A2127" s="862">
        <v>904152</v>
      </c>
      <c r="B2127" s="863">
        <v>0.24999999999999997</v>
      </c>
      <c r="C2127" s="863"/>
      <c r="D2127" s="647">
        <v>7.82</v>
      </c>
      <c r="E2127" s="1573">
        <v>0.26700000000000002</v>
      </c>
      <c r="F2127" s="864">
        <v>293.70000000000005</v>
      </c>
      <c r="H2127" s="864">
        <v>91.38</v>
      </c>
      <c r="I2127" s="864">
        <v>130</v>
      </c>
      <c r="J2127" s="647">
        <v>0.21</v>
      </c>
      <c r="K2127" s="863">
        <v>1.24</v>
      </c>
      <c r="L2127" s="862">
        <v>180</v>
      </c>
      <c r="M2127" s="862">
        <v>0.67</v>
      </c>
      <c r="N2127" s="862">
        <v>0.38</v>
      </c>
      <c r="O2127" s="862">
        <v>15.59</v>
      </c>
      <c r="P2127" s="862">
        <v>4.6900000000000004</v>
      </c>
      <c r="R2127" s="647">
        <v>0.4024604094196112</v>
      </c>
      <c r="S2127" s="863">
        <v>2.8000000000000003</v>
      </c>
      <c r="T2127" s="866"/>
      <c r="U2127" s="874"/>
      <c r="V2127" s="866"/>
      <c r="W2127" s="874"/>
      <c r="X2127" s="874"/>
      <c r="Y2127" s="863">
        <v>4.9000000000000004</v>
      </c>
      <c r="AA2127" s="647">
        <v>4.1399999999999997</v>
      </c>
      <c r="AB2127" s="647">
        <v>0.53500000000000003</v>
      </c>
      <c r="AC2127" s="862">
        <v>7.8</v>
      </c>
      <c r="AD2127" s="867">
        <v>70</v>
      </c>
      <c r="AE2127" s="867">
        <v>90</v>
      </c>
      <c r="AF2127" s="867">
        <v>840</v>
      </c>
      <c r="AG2127" s="66">
        <f t="shared" si="88"/>
        <v>89.583673469387747</v>
      </c>
      <c r="AH2127" s="143">
        <f t="shared" si="89"/>
        <v>1000</v>
      </c>
    </row>
    <row r="2128" spans="1:34" s="862" customFormat="1" x14ac:dyDescent="0.3">
      <c r="A2128" s="862">
        <v>904153</v>
      </c>
      <c r="B2128" s="863">
        <v>0.24999999999999997</v>
      </c>
      <c r="C2128" s="863"/>
      <c r="D2128" s="647">
        <v>8.3699999999999992</v>
      </c>
      <c r="E2128" s="1573">
        <v>0.13500000000000001</v>
      </c>
      <c r="F2128" s="864">
        <v>148.5</v>
      </c>
      <c r="H2128" s="864">
        <v>98.9</v>
      </c>
      <c r="I2128" s="864">
        <v>70</v>
      </c>
      <c r="J2128" s="647">
        <v>0.18</v>
      </c>
      <c r="K2128" s="863">
        <v>1.61</v>
      </c>
      <c r="L2128" s="862">
        <v>420</v>
      </c>
      <c r="M2128" s="862">
        <v>0.73</v>
      </c>
      <c r="N2128" s="862">
        <v>0.37</v>
      </c>
      <c r="O2128" s="862">
        <v>4.76</v>
      </c>
      <c r="P2128" s="862">
        <v>3.72</v>
      </c>
      <c r="R2128" s="647">
        <v>0.8237843813229011</v>
      </c>
      <c r="S2128" s="863">
        <v>5.6999999999999993</v>
      </c>
      <c r="T2128" s="881"/>
      <c r="U2128" s="880"/>
      <c r="V2128" s="881"/>
      <c r="W2128" s="880"/>
      <c r="X2128" s="880"/>
      <c r="Y2128" s="863">
        <v>3</v>
      </c>
      <c r="AA2128" s="647">
        <v>3.97</v>
      </c>
      <c r="AB2128" s="647">
        <v>0.79200000000000004</v>
      </c>
      <c r="AC2128" s="862">
        <v>8.8000000000000007</v>
      </c>
      <c r="AD2128" s="867">
        <v>260</v>
      </c>
      <c r="AE2128" s="867">
        <v>140</v>
      </c>
      <c r="AF2128" s="867">
        <v>600</v>
      </c>
      <c r="AG2128" s="66">
        <f t="shared" si="88"/>
        <v>189.98000000000002</v>
      </c>
      <c r="AH2128" s="143">
        <f t="shared" si="89"/>
        <v>1000</v>
      </c>
    </row>
    <row r="2129" spans="1:34" s="862" customFormat="1" x14ac:dyDescent="0.3">
      <c r="A2129" s="862">
        <v>904154</v>
      </c>
      <c r="B2129" s="863">
        <v>0.58333333333333337</v>
      </c>
      <c r="C2129" s="863"/>
      <c r="D2129" s="647">
        <v>8.4499999999999993</v>
      </c>
      <c r="E2129" s="1573">
        <v>0.27500000000000002</v>
      </c>
      <c r="F2129" s="864">
        <v>302.5</v>
      </c>
      <c r="H2129" s="864">
        <v>81.27</v>
      </c>
      <c r="I2129" s="864">
        <v>110</v>
      </c>
      <c r="J2129" s="647">
        <v>0.25</v>
      </c>
      <c r="K2129" s="863">
        <v>2.81</v>
      </c>
      <c r="L2129" s="862">
        <v>310</v>
      </c>
      <c r="M2129" s="862">
        <v>0.64</v>
      </c>
      <c r="N2129" s="862">
        <v>0.45</v>
      </c>
      <c r="O2129" s="862">
        <v>5.08</v>
      </c>
      <c r="P2129" s="862">
        <v>3.32</v>
      </c>
      <c r="R2129" s="647">
        <v>0.66101536929829197</v>
      </c>
      <c r="S2129" s="863">
        <v>4.6999999999999993</v>
      </c>
      <c r="T2129" s="866"/>
      <c r="U2129" s="874"/>
      <c r="V2129" s="866"/>
      <c r="W2129" s="874"/>
      <c r="X2129" s="874"/>
      <c r="Y2129" s="863">
        <v>5.5</v>
      </c>
      <c r="AA2129" s="647">
        <v>3.92</v>
      </c>
      <c r="AB2129" s="647">
        <v>0.54200000000000004</v>
      </c>
      <c r="AC2129" s="862">
        <v>9</v>
      </c>
      <c r="AD2129" s="867">
        <v>110</v>
      </c>
      <c r="AE2129" s="867">
        <v>90</v>
      </c>
      <c r="AF2129" s="867">
        <v>800</v>
      </c>
      <c r="AG2129" s="66">
        <f t="shared" si="88"/>
        <v>180.86181818181819</v>
      </c>
      <c r="AH2129" s="143">
        <f t="shared" si="89"/>
        <v>1000</v>
      </c>
    </row>
    <row r="2130" spans="1:34" s="862" customFormat="1" x14ac:dyDescent="0.3">
      <c r="A2130" s="862">
        <v>904155</v>
      </c>
      <c r="B2130" s="863">
        <v>0.16666666666666666</v>
      </c>
      <c r="C2130" s="863"/>
      <c r="D2130" s="647">
        <v>7.77</v>
      </c>
      <c r="E2130" s="1573">
        <v>0.2</v>
      </c>
      <c r="F2130" s="864">
        <v>220.00000000000003</v>
      </c>
      <c r="H2130" s="864">
        <v>86.23</v>
      </c>
      <c r="I2130" s="864">
        <v>120</v>
      </c>
      <c r="J2130" s="647">
        <v>0.12</v>
      </c>
      <c r="K2130" s="863">
        <v>1.1299999999999999</v>
      </c>
      <c r="L2130" s="862">
        <v>290</v>
      </c>
      <c r="M2130" s="862">
        <v>0.57999999999999996</v>
      </c>
      <c r="N2130" s="862">
        <v>0.38</v>
      </c>
      <c r="O2130" s="862">
        <v>15.3</v>
      </c>
      <c r="P2130" s="862">
        <v>2.88</v>
      </c>
      <c r="R2130" s="647">
        <v>0.5408227731149956</v>
      </c>
      <c r="S2130" s="863">
        <v>3.7</v>
      </c>
      <c r="T2130" s="880"/>
      <c r="U2130" s="880"/>
      <c r="V2130" s="881"/>
      <c r="W2130" s="880"/>
      <c r="X2130" s="880"/>
      <c r="Y2130" s="863">
        <v>2</v>
      </c>
      <c r="AA2130" s="647">
        <v>3.61</v>
      </c>
      <c r="AB2130" s="647">
        <v>0.55700000000000005</v>
      </c>
      <c r="AC2130" s="862">
        <v>9.4</v>
      </c>
      <c r="AD2130" s="867">
        <v>100</v>
      </c>
      <c r="AE2130" s="867">
        <v>90</v>
      </c>
      <c r="AF2130" s="867">
        <v>810</v>
      </c>
      <c r="AG2130" s="66">
        <f t="shared" si="88"/>
        <v>200.01</v>
      </c>
      <c r="AH2130" s="143">
        <f t="shared" si="89"/>
        <v>1000</v>
      </c>
    </row>
    <row r="2131" spans="1:34" s="862" customFormat="1" x14ac:dyDescent="0.3">
      <c r="A2131" s="862">
        <v>904156</v>
      </c>
      <c r="B2131" s="863">
        <v>0.24999999999999997</v>
      </c>
      <c r="C2131" s="863"/>
      <c r="D2131" s="647">
        <v>8.1199999999999992</v>
      </c>
      <c r="E2131" s="1573">
        <v>0.22700000000000001</v>
      </c>
      <c r="F2131" s="864">
        <v>249.70000000000002</v>
      </c>
      <c r="H2131" s="864">
        <v>134.6</v>
      </c>
      <c r="I2131" s="864">
        <v>220</v>
      </c>
      <c r="J2131" s="647">
        <v>0.23</v>
      </c>
      <c r="K2131" s="863">
        <v>2.27</v>
      </c>
      <c r="L2131" s="862">
        <v>490</v>
      </c>
      <c r="M2131" s="862">
        <v>0.53</v>
      </c>
      <c r="N2131" s="862">
        <v>0.37</v>
      </c>
      <c r="O2131" s="862">
        <v>5</v>
      </c>
      <c r="P2131" s="862">
        <v>7.02</v>
      </c>
      <c r="R2131" s="647">
        <v>0.93135681639942003</v>
      </c>
      <c r="S2131" s="863">
        <v>6.6000000000000005</v>
      </c>
      <c r="T2131" s="874"/>
      <c r="U2131" s="874"/>
      <c r="V2131" s="866"/>
      <c r="W2131" s="874"/>
      <c r="X2131" s="874"/>
      <c r="Y2131" s="863">
        <v>3</v>
      </c>
      <c r="AA2131" s="647">
        <v>3.53</v>
      </c>
      <c r="AB2131" s="647">
        <v>0.67100000000000004</v>
      </c>
      <c r="AC2131" s="862">
        <v>11</v>
      </c>
      <c r="AD2131" s="867">
        <v>160</v>
      </c>
      <c r="AE2131" s="867">
        <v>80</v>
      </c>
      <c r="AF2131" s="867">
        <v>760</v>
      </c>
      <c r="AG2131" s="66">
        <f t="shared" si="88"/>
        <v>267.86</v>
      </c>
      <c r="AH2131" s="143">
        <f t="shared" si="89"/>
        <v>1000</v>
      </c>
    </row>
    <row r="2132" spans="1:34" s="862" customFormat="1" x14ac:dyDescent="0.3">
      <c r="A2132" s="862">
        <v>904157</v>
      </c>
      <c r="B2132" s="863">
        <v>0.16666666666666666</v>
      </c>
      <c r="C2132" s="863"/>
      <c r="D2132" s="647">
        <v>7.79</v>
      </c>
      <c r="E2132" s="1573">
        <v>0.32700000000000001</v>
      </c>
      <c r="F2132" s="864">
        <v>359.70000000000005</v>
      </c>
      <c r="H2132" s="864">
        <v>105.47</v>
      </c>
      <c r="I2132" s="864">
        <v>50</v>
      </c>
      <c r="J2132" s="647">
        <v>0.26</v>
      </c>
      <c r="K2132" s="863">
        <v>0.72</v>
      </c>
      <c r="L2132" s="862">
        <v>260</v>
      </c>
      <c r="M2132" s="862">
        <v>1.32</v>
      </c>
      <c r="N2132" s="862">
        <v>0.35</v>
      </c>
      <c r="O2132" s="862">
        <v>8.77</v>
      </c>
      <c r="P2132" s="862">
        <v>5.46</v>
      </c>
      <c r="R2132" s="647">
        <v>0.38849550595151516</v>
      </c>
      <c r="S2132" s="863">
        <v>2.7</v>
      </c>
      <c r="T2132" s="881"/>
      <c r="U2132" s="880"/>
      <c r="V2132" s="881"/>
      <c r="W2132" s="880"/>
      <c r="X2132" s="880"/>
      <c r="Y2132" s="863">
        <v>2</v>
      </c>
      <c r="AA2132" s="647">
        <v>3.98</v>
      </c>
      <c r="AB2132" s="647">
        <v>0.50700000000000001</v>
      </c>
      <c r="AC2132" s="862">
        <v>9.1</v>
      </c>
      <c r="AD2132" s="867">
        <v>60</v>
      </c>
      <c r="AE2132" s="867">
        <v>60</v>
      </c>
      <c r="AF2132" s="867">
        <v>880</v>
      </c>
      <c r="AG2132" s="66">
        <f t="shared" si="88"/>
        <v>127.44</v>
      </c>
      <c r="AH2132" s="143">
        <f t="shared" si="89"/>
        <v>1000</v>
      </c>
    </row>
    <row r="2133" spans="1:34" s="862" customFormat="1" x14ac:dyDescent="0.3">
      <c r="A2133" s="862">
        <v>904158</v>
      </c>
      <c r="B2133" s="863">
        <v>0.375</v>
      </c>
      <c r="C2133" s="863"/>
      <c r="D2133" s="647">
        <v>8.0299999999999994</v>
      </c>
      <c r="E2133" s="1573">
        <v>0.45600000000000002</v>
      </c>
      <c r="F2133" s="864">
        <v>501.6</v>
      </c>
      <c r="H2133" s="864">
        <v>102.54</v>
      </c>
      <c r="I2133" s="864">
        <v>70</v>
      </c>
      <c r="J2133" s="647">
        <v>0.46</v>
      </c>
      <c r="K2133" s="863">
        <v>2.12</v>
      </c>
      <c r="L2133" s="862">
        <v>510</v>
      </c>
      <c r="M2133" s="862">
        <v>1.24</v>
      </c>
      <c r="N2133" s="862">
        <v>0.45</v>
      </c>
      <c r="O2133" s="862">
        <v>12.62</v>
      </c>
      <c r="P2133" s="862">
        <v>4.92</v>
      </c>
      <c r="R2133" s="647">
        <v>0.7428917783544019</v>
      </c>
      <c r="S2133" s="863">
        <v>5</v>
      </c>
      <c r="T2133" s="866"/>
      <c r="U2133" s="874"/>
      <c r="V2133" s="866"/>
      <c r="W2133" s="874"/>
      <c r="X2133" s="874"/>
      <c r="Y2133" s="863">
        <v>4</v>
      </c>
      <c r="AA2133" s="647">
        <v>4.47</v>
      </c>
      <c r="AB2133" s="647">
        <v>0.65800000000000003</v>
      </c>
      <c r="AC2133" s="862">
        <v>8.3000000000000007</v>
      </c>
      <c r="AD2133" s="867">
        <v>240</v>
      </c>
      <c r="AE2133" s="867">
        <v>140</v>
      </c>
      <c r="AF2133" s="867">
        <v>620</v>
      </c>
      <c r="AG2133" s="66">
        <f t="shared" si="88"/>
        <v>187.62</v>
      </c>
      <c r="AH2133" s="143">
        <f t="shared" si="89"/>
        <v>1000</v>
      </c>
    </row>
    <row r="2134" spans="1:34" s="862" customFormat="1" x14ac:dyDescent="0.3">
      <c r="A2134" s="867">
        <v>904159</v>
      </c>
      <c r="B2134" s="876"/>
      <c r="C2134" s="876"/>
      <c r="D2134" s="877" t="s">
        <v>474</v>
      </c>
      <c r="E2134" s="1575"/>
      <c r="F2134" s="878"/>
      <c r="G2134" s="875"/>
      <c r="H2134" s="878"/>
      <c r="I2134" s="878"/>
      <c r="J2134" s="879"/>
      <c r="K2134" s="876"/>
      <c r="L2134" s="875"/>
      <c r="M2134" s="875"/>
      <c r="N2134" s="875"/>
      <c r="O2134" s="875"/>
      <c r="P2134" s="875"/>
      <c r="Q2134" s="875"/>
      <c r="R2134" s="882">
        <v>2.1507480000000001</v>
      </c>
      <c r="S2134" s="883">
        <v>38.4</v>
      </c>
      <c r="T2134" s="875"/>
      <c r="U2134" s="875"/>
      <c r="V2134" s="875"/>
      <c r="W2134" s="875"/>
      <c r="X2134" s="875"/>
      <c r="Y2134" s="876"/>
      <c r="Z2134" s="875"/>
      <c r="AA2134" s="877"/>
      <c r="AB2134" s="877"/>
      <c r="AC2134" s="875"/>
      <c r="AD2134" s="875"/>
      <c r="AE2134" s="875"/>
      <c r="AF2134" s="875"/>
      <c r="AG2134" s="66" t="e">
        <f t="shared" si="88"/>
        <v>#DIV/0!</v>
      </c>
      <c r="AH2134" s="143">
        <f t="shared" si="89"/>
        <v>0</v>
      </c>
    </row>
    <row r="2135" spans="1:34" s="862" customFormat="1" x14ac:dyDescent="0.3">
      <c r="A2135" s="867">
        <v>904160</v>
      </c>
      <c r="B2135" s="876"/>
      <c r="C2135" s="876"/>
      <c r="D2135" s="877" t="s">
        <v>474</v>
      </c>
      <c r="E2135" s="1575"/>
      <c r="F2135" s="878"/>
      <c r="G2135" s="875"/>
      <c r="H2135" s="878"/>
      <c r="I2135" s="878"/>
      <c r="J2135" s="879"/>
      <c r="K2135" s="876"/>
      <c r="L2135" s="875"/>
      <c r="M2135" s="875"/>
      <c r="N2135" s="875"/>
      <c r="O2135" s="875"/>
      <c r="P2135" s="875"/>
      <c r="Q2135" s="875"/>
      <c r="R2135" s="882">
        <v>2.1509720000000003</v>
      </c>
      <c r="S2135" s="883">
        <v>39.200000000000003</v>
      </c>
      <c r="T2135" s="875"/>
      <c r="U2135" s="875"/>
      <c r="V2135" s="875"/>
      <c r="W2135" s="875"/>
      <c r="X2135" s="875"/>
      <c r="Y2135" s="876"/>
      <c r="Z2135" s="875"/>
      <c r="AA2135" s="877"/>
      <c r="AB2135" s="877"/>
      <c r="AC2135" s="875"/>
      <c r="AD2135" s="875"/>
      <c r="AE2135" s="875"/>
      <c r="AF2135" s="875"/>
      <c r="AG2135" s="66" t="e">
        <f t="shared" si="88"/>
        <v>#DIV/0!</v>
      </c>
      <c r="AH2135" s="143">
        <f t="shared" si="89"/>
        <v>0</v>
      </c>
    </row>
    <row r="2136" spans="1:34" s="862" customFormat="1" x14ac:dyDescent="0.3">
      <c r="A2136" s="867">
        <v>904161</v>
      </c>
      <c r="B2136" s="876"/>
      <c r="C2136" s="876"/>
      <c r="D2136" s="877" t="s">
        <v>474</v>
      </c>
      <c r="E2136" s="1575"/>
      <c r="F2136" s="878"/>
      <c r="G2136" s="875"/>
      <c r="H2136" s="878"/>
      <c r="I2136" s="878"/>
      <c r="J2136" s="879"/>
      <c r="K2136" s="876"/>
      <c r="L2136" s="875"/>
      <c r="M2136" s="875"/>
      <c r="N2136" s="875"/>
      <c r="O2136" s="875"/>
      <c r="P2136" s="875"/>
      <c r="Q2136" s="875"/>
      <c r="R2136" s="882">
        <v>2.108412</v>
      </c>
      <c r="S2136" s="883">
        <v>46.8</v>
      </c>
      <c r="T2136" s="875"/>
      <c r="U2136" s="875"/>
      <c r="V2136" s="875"/>
      <c r="W2136" s="875"/>
      <c r="X2136" s="875"/>
      <c r="Y2136" s="876"/>
      <c r="Z2136" s="875"/>
      <c r="AA2136" s="877"/>
      <c r="AB2136" s="877"/>
      <c r="AC2136" s="875"/>
      <c r="AD2136" s="875"/>
      <c r="AE2136" s="875"/>
      <c r="AF2136" s="875"/>
      <c r="AG2136" s="66" t="e">
        <f t="shared" si="88"/>
        <v>#DIV/0!</v>
      </c>
      <c r="AH2136" s="143">
        <f t="shared" si="89"/>
        <v>0</v>
      </c>
    </row>
    <row r="2137" spans="1:34" s="862" customFormat="1" x14ac:dyDescent="0.3">
      <c r="A2137" s="867">
        <v>904162</v>
      </c>
      <c r="B2137" s="876"/>
      <c r="C2137" s="876"/>
      <c r="D2137" s="877" t="s">
        <v>474</v>
      </c>
      <c r="E2137" s="1575"/>
      <c r="F2137" s="878"/>
      <c r="G2137" s="875"/>
      <c r="H2137" s="878"/>
      <c r="I2137" s="878"/>
      <c r="J2137" s="879"/>
      <c r="K2137" s="876"/>
      <c r="L2137" s="875"/>
      <c r="M2137" s="875"/>
      <c r="N2137" s="875"/>
      <c r="O2137" s="875"/>
      <c r="P2137" s="875"/>
      <c r="Q2137" s="875"/>
      <c r="R2137" s="882">
        <v>2.1466250000000002</v>
      </c>
      <c r="S2137" s="883">
        <v>41.5</v>
      </c>
      <c r="T2137" s="875"/>
      <c r="U2137" s="875"/>
      <c r="V2137" s="875"/>
      <c r="W2137" s="875"/>
      <c r="X2137" s="875"/>
      <c r="Y2137" s="876"/>
      <c r="Z2137" s="875"/>
      <c r="AA2137" s="877"/>
      <c r="AB2137" s="877"/>
      <c r="AC2137" s="875"/>
      <c r="AD2137" s="875"/>
      <c r="AE2137" s="875"/>
      <c r="AF2137" s="875"/>
      <c r="AG2137" s="66" t="e">
        <f t="shared" si="88"/>
        <v>#DIV/0!</v>
      </c>
      <c r="AH2137" s="143">
        <f t="shared" si="89"/>
        <v>0</v>
      </c>
    </row>
    <row r="2138" spans="1:34" s="862" customFormat="1" x14ac:dyDescent="0.3">
      <c r="A2138" s="867">
        <v>904163</v>
      </c>
      <c r="B2138" s="876"/>
      <c r="C2138" s="876"/>
      <c r="D2138" s="877" t="s">
        <v>474</v>
      </c>
      <c r="E2138" s="1575"/>
      <c r="F2138" s="878"/>
      <c r="G2138" s="875"/>
      <c r="H2138" s="878"/>
      <c r="I2138" s="878"/>
      <c r="J2138" s="879"/>
      <c r="K2138" s="876"/>
      <c r="L2138" s="875"/>
      <c r="M2138" s="875"/>
      <c r="N2138" s="875"/>
      <c r="O2138" s="875"/>
      <c r="P2138" s="875"/>
      <c r="Q2138" s="875"/>
      <c r="R2138" s="882">
        <v>2.1274519999999999</v>
      </c>
      <c r="S2138" s="883">
        <v>44.800000000000004</v>
      </c>
      <c r="T2138" s="875"/>
      <c r="U2138" s="875"/>
      <c r="V2138" s="875"/>
      <c r="W2138" s="875"/>
      <c r="X2138" s="875"/>
      <c r="Y2138" s="876"/>
      <c r="Z2138" s="875"/>
      <c r="AA2138" s="877"/>
      <c r="AB2138" s="877"/>
      <c r="AC2138" s="875"/>
      <c r="AD2138" s="875"/>
      <c r="AE2138" s="875"/>
      <c r="AF2138" s="875"/>
      <c r="AG2138" s="66" t="e">
        <f t="shared" si="88"/>
        <v>#DIV/0!</v>
      </c>
      <c r="AH2138" s="143">
        <f t="shared" si="89"/>
        <v>0</v>
      </c>
    </row>
    <row r="2139" spans="1:34" s="862" customFormat="1" x14ac:dyDescent="0.3">
      <c r="A2139" s="867">
        <v>904164</v>
      </c>
      <c r="B2139" s="876"/>
      <c r="C2139" s="876"/>
      <c r="D2139" s="877" t="s">
        <v>474</v>
      </c>
      <c r="E2139" s="1575"/>
      <c r="F2139" s="878"/>
      <c r="G2139" s="875"/>
      <c r="H2139" s="878"/>
      <c r="I2139" s="878"/>
      <c r="J2139" s="879"/>
      <c r="K2139" s="876"/>
      <c r="L2139" s="875"/>
      <c r="M2139" s="875"/>
      <c r="N2139" s="875"/>
      <c r="O2139" s="875"/>
      <c r="P2139" s="875"/>
      <c r="Q2139" s="875"/>
      <c r="R2139" s="882">
        <v>2.1305880000000004</v>
      </c>
      <c r="S2139" s="883">
        <v>44.400000000000006</v>
      </c>
      <c r="T2139" s="875"/>
      <c r="U2139" s="875"/>
      <c r="V2139" s="875"/>
      <c r="W2139" s="875"/>
      <c r="X2139" s="875"/>
      <c r="Y2139" s="876"/>
      <c r="Z2139" s="875"/>
      <c r="AA2139" s="877"/>
      <c r="AB2139" s="877"/>
      <c r="AC2139" s="875"/>
      <c r="AD2139" s="875"/>
      <c r="AE2139" s="875"/>
      <c r="AF2139" s="875"/>
      <c r="AG2139" s="66" t="e">
        <f t="shared" si="88"/>
        <v>#DIV/0!</v>
      </c>
      <c r="AH2139" s="143">
        <f t="shared" si="89"/>
        <v>0</v>
      </c>
    </row>
    <row r="2140" spans="1:34" s="862" customFormat="1" x14ac:dyDescent="0.3">
      <c r="A2140" s="867">
        <v>904165</v>
      </c>
      <c r="B2140" s="876"/>
      <c r="C2140" s="876"/>
      <c r="D2140" s="877" t="s">
        <v>474</v>
      </c>
      <c r="E2140" s="1575"/>
      <c r="F2140" s="878"/>
      <c r="G2140" s="875"/>
      <c r="H2140" s="878"/>
      <c r="I2140" s="878"/>
      <c r="J2140" s="879"/>
      <c r="K2140" s="876"/>
      <c r="L2140" s="875"/>
      <c r="M2140" s="875"/>
      <c r="N2140" s="875"/>
      <c r="O2140" s="875"/>
      <c r="P2140" s="875"/>
      <c r="Q2140" s="875"/>
      <c r="R2140" s="882">
        <v>2.1166999999999998</v>
      </c>
      <c r="S2140" s="883">
        <v>46</v>
      </c>
      <c r="T2140" s="875"/>
      <c r="U2140" s="875"/>
      <c r="V2140" s="875"/>
      <c r="W2140" s="875"/>
      <c r="X2140" s="875"/>
      <c r="Y2140" s="876"/>
      <c r="Z2140" s="875"/>
      <c r="AA2140" s="877"/>
      <c r="AB2140" s="877"/>
      <c r="AC2140" s="875"/>
      <c r="AD2140" s="875"/>
      <c r="AE2140" s="875"/>
      <c r="AF2140" s="875"/>
      <c r="AG2140" s="66" t="e">
        <f t="shared" si="88"/>
        <v>#DIV/0!</v>
      </c>
      <c r="AH2140" s="143">
        <f t="shared" si="89"/>
        <v>0</v>
      </c>
    </row>
    <row r="2141" spans="1:34" s="862" customFormat="1" x14ac:dyDescent="0.3">
      <c r="A2141" s="867">
        <v>904166</v>
      </c>
      <c r="B2141" s="876"/>
      <c r="C2141" s="876"/>
      <c r="D2141" s="877" t="s">
        <v>474</v>
      </c>
      <c r="E2141" s="1575"/>
      <c r="F2141" s="878"/>
      <c r="G2141" s="875"/>
      <c r="H2141" s="878"/>
      <c r="I2141" s="878"/>
      <c r="J2141" s="879"/>
      <c r="K2141" s="876"/>
      <c r="L2141" s="875"/>
      <c r="M2141" s="875"/>
      <c r="N2141" s="875"/>
      <c r="O2141" s="875"/>
      <c r="P2141" s="875"/>
      <c r="Q2141" s="875"/>
      <c r="R2141" s="882">
        <v>2.147297</v>
      </c>
      <c r="S2141" s="883">
        <v>36.700000000000003</v>
      </c>
      <c r="T2141" s="875"/>
      <c r="U2141" s="875"/>
      <c r="V2141" s="875"/>
      <c r="W2141" s="875"/>
      <c r="X2141" s="875"/>
      <c r="Y2141" s="876"/>
      <c r="Z2141" s="875"/>
      <c r="AA2141" s="877"/>
      <c r="AB2141" s="877"/>
      <c r="AC2141" s="875"/>
      <c r="AD2141" s="875"/>
      <c r="AE2141" s="875"/>
      <c r="AF2141" s="875"/>
      <c r="AG2141" s="66" t="e">
        <f t="shared" si="88"/>
        <v>#DIV/0!</v>
      </c>
      <c r="AH2141" s="143">
        <f t="shared" si="89"/>
        <v>0</v>
      </c>
    </row>
    <row r="2142" spans="1:34" s="862" customFormat="1" x14ac:dyDescent="0.3">
      <c r="A2142" s="867">
        <v>904167</v>
      </c>
      <c r="B2142" s="876"/>
      <c r="C2142" s="876"/>
      <c r="D2142" s="877" t="s">
        <v>474</v>
      </c>
      <c r="E2142" s="1575"/>
      <c r="F2142" s="878"/>
      <c r="G2142" s="875"/>
      <c r="H2142" s="878"/>
      <c r="I2142" s="878"/>
      <c r="J2142" s="879"/>
      <c r="K2142" s="876"/>
      <c r="L2142" s="875"/>
      <c r="M2142" s="875"/>
      <c r="N2142" s="875"/>
      <c r="O2142" s="875"/>
      <c r="P2142" s="875"/>
      <c r="Q2142" s="875"/>
      <c r="R2142" s="882">
        <v>2.1462680000000001</v>
      </c>
      <c r="S2142" s="883">
        <v>41.6</v>
      </c>
      <c r="T2142" s="875"/>
      <c r="U2142" s="875"/>
      <c r="V2142" s="875"/>
      <c r="W2142" s="875"/>
      <c r="X2142" s="875"/>
      <c r="Y2142" s="876"/>
      <c r="Z2142" s="875"/>
      <c r="AA2142" s="877"/>
      <c r="AB2142" s="877"/>
      <c r="AC2142" s="875"/>
      <c r="AD2142" s="875"/>
      <c r="AE2142" s="875"/>
      <c r="AF2142" s="875"/>
      <c r="AG2142" s="66" t="e">
        <f t="shared" si="88"/>
        <v>#DIV/0!</v>
      </c>
      <c r="AH2142" s="143">
        <f t="shared" si="89"/>
        <v>0</v>
      </c>
    </row>
    <row r="2143" spans="1:34" s="862" customFormat="1" x14ac:dyDescent="0.3">
      <c r="A2143" s="867">
        <v>904168</v>
      </c>
      <c r="B2143" s="876"/>
      <c r="C2143" s="876"/>
      <c r="D2143" s="877" t="s">
        <v>474</v>
      </c>
      <c r="E2143" s="1575"/>
      <c r="F2143" s="878"/>
      <c r="G2143" s="875"/>
      <c r="H2143" s="878"/>
      <c r="I2143" s="878"/>
      <c r="J2143" s="879"/>
      <c r="K2143" s="876"/>
      <c r="L2143" s="875"/>
      <c r="M2143" s="875"/>
      <c r="N2143" s="875"/>
      <c r="O2143" s="875"/>
      <c r="P2143" s="875"/>
      <c r="Q2143" s="875"/>
      <c r="R2143" s="882">
        <v>2.1305880000000004</v>
      </c>
      <c r="S2143" s="883">
        <v>44.400000000000006</v>
      </c>
      <c r="T2143" s="875"/>
      <c r="U2143" s="875"/>
      <c r="V2143" s="875"/>
      <c r="W2143" s="875"/>
      <c r="X2143" s="875"/>
      <c r="Y2143" s="876"/>
      <c r="Z2143" s="875"/>
      <c r="AA2143" s="877"/>
      <c r="AB2143" s="877"/>
      <c r="AC2143" s="875"/>
      <c r="AD2143" s="875"/>
      <c r="AE2143" s="875"/>
      <c r="AF2143" s="875"/>
      <c r="AG2143" s="66" t="e">
        <f t="shared" si="88"/>
        <v>#DIV/0!</v>
      </c>
      <c r="AH2143" s="143">
        <f t="shared" si="89"/>
        <v>0</v>
      </c>
    </row>
    <row r="2144" spans="1:34" s="862" customFormat="1" x14ac:dyDescent="0.3">
      <c r="A2144" s="867">
        <v>904169</v>
      </c>
      <c r="B2144" s="876"/>
      <c r="C2144" s="876"/>
      <c r="D2144" s="877" t="s">
        <v>474</v>
      </c>
      <c r="E2144" s="1575"/>
      <c r="F2144" s="878"/>
      <c r="G2144" s="875"/>
      <c r="H2144" s="878"/>
      <c r="I2144" s="878"/>
      <c r="J2144" s="879"/>
      <c r="K2144" s="876"/>
      <c r="L2144" s="875"/>
      <c r="M2144" s="875"/>
      <c r="N2144" s="875"/>
      <c r="O2144" s="875"/>
      <c r="P2144" s="875"/>
      <c r="Q2144" s="875"/>
      <c r="R2144" s="882">
        <v>2.150433</v>
      </c>
      <c r="S2144" s="883">
        <v>39.900000000000006</v>
      </c>
      <c r="T2144" s="875"/>
      <c r="U2144" s="875"/>
      <c r="V2144" s="875"/>
      <c r="W2144" s="875"/>
      <c r="X2144" s="875"/>
      <c r="Y2144" s="876"/>
      <c r="Z2144" s="875"/>
      <c r="AA2144" s="877"/>
      <c r="AB2144" s="877"/>
      <c r="AC2144" s="875"/>
      <c r="AD2144" s="875"/>
      <c r="AE2144" s="875"/>
      <c r="AF2144" s="875"/>
      <c r="AG2144" s="66" t="e">
        <f t="shared" si="88"/>
        <v>#DIV/0!</v>
      </c>
      <c r="AH2144" s="143">
        <f t="shared" si="89"/>
        <v>0</v>
      </c>
    </row>
    <row r="2145" spans="1:34" s="862" customFormat="1" x14ac:dyDescent="0.3">
      <c r="A2145" s="867">
        <v>904170</v>
      </c>
      <c r="B2145" s="876"/>
      <c r="C2145" s="876"/>
      <c r="D2145" s="877" t="s">
        <v>474</v>
      </c>
      <c r="E2145" s="1575"/>
      <c r="F2145" s="878"/>
      <c r="G2145" s="875"/>
      <c r="H2145" s="878"/>
      <c r="I2145" s="878"/>
      <c r="J2145" s="879"/>
      <c r="K2145" s="876"/>
      <c r="L2145" s="875"/>
      <c r="M2145" s="875"/>
      <c r="N2145" s="875"/>
      <c r="O2145" s="875"/>
      <c r="P2145" s="875"/>
      <c r="Q2145" s="875"/>
      <c r="R2145" s="882">
        <v>2.1274519999999999</v>
      </c>
      <c r="S2145" s="883">
        <v>44.800000000000004</v>
      </c>
      <c r="T2145" s="875"/>
      <c r="U2145" s="875"/>
      <c r="V2145" s="875"/>
      <c r="W2145" s="875"/>
      <c r="X2145" s="875"/>
      <c r="Y2145" s="876"/>
      <c r="Z2145" s="875"/>
      <c r="AA2145" s="877"/>
      <c r="AB2145" s="877"/>
      <c r="AC2145" s="875"/>
      <c r="AD2145" s="875"/>
      <c r="AE2145" s="875"/>
      <c r="AF2145" s="875"/>
      <c r="AG2145" s="66" t="e">
        <f t="shared" si="88"/>
        <v>#DIV/0!</v>
      </c>
      <c r="AH2145" s="143">
        <f t="shared" si="89"/>
        <v>0</v>
      </c>
    </row>
    <row r="2146" spans="1:34" s="862" customFormat="1" x14ac:dyDescent="0.3">
      <c r="A2146" s="867">
        <v>904171</v>
      </c>
      <c r="B2146" s="876"/>
      <c r="C2146" s="876"/>
      <c r="D2146" s="877" t="s">
        <v>474</v>
      </c>
      <c r="E2146" s="1575"/>
      <c r="F2146" s="878"/>
      <c r="G2146" s="875"/>
      <c r="H2146" s="878"/>
      <c r="I2146" s="878"/>
      <c r="J2146" s="879"/>
      <c r="K2146" s="876"/>
      <c r="L2146" s="875"/>
      <c r="M2146" s="875"/>
      <c r="N2146" s="875"/>
      <c r="O2146" s="875"/>
      <c r="P2146" s="875"/>
      <c r="Q2146" s="875"/>
      <c r="R2146" s="882">
        <v>2.1508880000000001</v>
      </c>
      <c r="S2146" s="883">
        <v>39.4</v>
      </c>
      <c r="T2146" s="875"/>
      <c r="U2146" s="875"/>
      <c r="V2146" s="875"/>
      <c r="W2146" s="875"/>
      <c r="X2146" s="875"/>
      <c r="Y2146" s="876"/>
      <c r="Z2146" s="875"/>
      <c r="AA2146" s="877"/>
      <c r="AB2146" s="877"/>
      <c r="AC2146" s="875"/>
      <c r="AD2146" s="875"/>
      <c r="AE2146" s="875"/>
      <c r="AF2146" s="875"/>
      <c r="AG2146" s="66" t="e">
        <f t="shared" si="88"/>
        <v>#DIV/0!</v>
      </c>
      <c r="AH2146" s="143">
        <f t="shared" si="89"/>
        <v>0</v>
      </c>
    </row>
    <row r="2147" spans="1:34" s="862" customFormat="1" x14ac:dyDescent="0.3">
      <c r="A2147" s="867">
        <v>904172</v>
      </c>
      <c r="B2147" s="876"/>
      <c r="C2147" s="876"/>
      <c r="D2147" s="877" t="s">
        <v>474</v>
      </c>
      <c r="E2147" s="1575"/>
      <c r="F2147" s="878"/>
      <c r="G2147" s="875"/>
      <c r="H2147" s="878"/>
      <c r="I2147" s="878"/>
      <c r="J2147" s="879"/>
      <c r="K2147" s="876"/>
      <c r="L2147" s="875"/>
      <c r="M2147" s="875"/>
      <c r="N2147" s="875"/>
      <c r="O2147" s="875"/>
      <c r="P2147" s="875"/>
      <c r="Q2147" s="875"/>
      <c r="R2147" s="882">
        <v>2.1205080000000001</v>
      </c>
      <c r="S2147" s="883">
        <v>45.599999999999994</v>
      </c>
      <c r="T2147" s="875"/>
      <c r="U2147" s="875"/>
      <c r="V2147" s="875"/>
      <c r="W2147" s="875"/>
      <c r="X2147" s="875"/>
      <c r="Y2147" s="876"/>
      <c r="Z2147" s="875"/>
      <c r="AA2147" s="877"/>
      <c r="AB2147" s="877"/>
      <c r="AC2147" s="875"/>
      <c r="AD2147" s="875"/>
      <c r="AE2147" s="875"/>
      <c r="AF2147" s="875"/>
      <c r="AG2147" s="66" t="e">
        <f t="shared" si="88"/>
        <v>#DIV/0!</v>
      </c>
      <c r="AH2147" s="143">
        <f t="shared" si="89"/>
        <v>0</v>
      </c>
    </row>
    <row r="2148" spans="1:34" s="862" customFormat="1" x14ac:dyDescent="0.3">
      <c r="A2148" s="867">
        <v>904173</v>
      </c>
      <c r="B2148" s="876"/>
      <c r="C2148" s="876"/>
      <c r="D2148" s="877" t="s">
        <v>474</v>
      </c>
      <c r="E2148" s="1575"/>
      <c r="F2148" s="878"/>
      <c r="G2148" s="875"/>
      <c r="H2148" s="878"/>
      <c r="I2148" s="878"/>
      <c r="J2148" s="879"/>
      <c r="K2148" s="876"/>
      <c r="L2148" s="875"/>
      <c r="M2148" s="875"/>
      <c r="N2148" s="875"/>
      <c r="O2148" s="875"/>
      <c r="P2148" s="875"/>
      <c r="Q2148" s="875"/>
      <c r="R2148" s="882">
        <v>2.1509930000000006</v>
      </c>
      <c r="S2148" s="883">
        <v>38.9</v>
      </c>
      <c r="T2148" s="875"/>
      <c r="U2148" s="875"/>
      <c r="V2148" s="875"/>
      <c r="W2148" s="875"/>
      <c r="X2148" s="875"/>
      <c r="Y2148" s="876"/>
      <c r="Z2148" s="875"/>
      <c r="AA2148" s="877"/>
      <c r="AB2148" s="877"/>
      <c r="AC2148" s="875"/>
      <c r="AD2148" s="875"/>
      <c r="AE2148" s="875"/>
      <c r="AF2148" s="875"/>
      <c r="AG2148" s="66" t="e">
        <f t="shared" si="88"/>
        <v>#DIV/0!</v>
      </c>
      <c r="AH2148" s="143">
        <f t="shared" si="89"/>
        <v>0</v>
      </c>
    </row>
    <row r="2149" spans="1:34" s="862" customFormat="1" x14ac:dyDescent="0.3">
      <c r="A2149" s="867">
        <v>904174</v>
      </c>
      <c r="B2149" s="876"/>
      <c r="C2149" s="876"/>
      <c r="D2149" s="877" t="s">
        <v>474</v>
      </c>
      <c r="E2149" s="1575"/>
      <c r="F2149" s="878"/>
      <c r="G2149" s="875"/>
      <c r="H2149" s="878"/>
      <c r="I2149" s="878"/>
      <c r="J2149" s="879"/>
      <c r="K2149" s="876"/>
      <c r="L2149" s="875"/>
      <c r="M2149" s="875"/>
      <c r="N2149" s="875"/>
      <c r="O2149" s="875"/>
      <c r="P2149" s="875"/>
      <c r="Q2149" s="875"/>
      <c r="R2149" s="882">
        <v>2.0891480000000002</v>
      </c>
      <c r="S2149" s="883">
        <v>48.4</v>
      </c>
      <c r="T2149" s="875"/>
      <c r="U2149" s="875"/>
      <c r="V2149" s="875"/>
      <c r="W2149" s="875"/>
      <c r="X2149" s="875"/>
      <c r="Y2149" s="876"/>
      <c r="Z2149" s="875"/>
      <c r="AA2149" s="877"/>
      <c r="AB2149" s="877"/>
      <c r="AC2149" s="875"/>
      <c r="AD2149" s="875"/>
      <c r="AE2149" s="875"/>
      <c r="AF2149" s="875"/>
      <c r="AG2149" s="66" t="e">
        <f t="shared" si="88"/>
        <v>#DIV/0!</v>
      </c>
      <c r="AH2149" s="143">
        <f t="shared" si="89"/>
        <v>0</v>
      </c>
    </row>
    <row r="2150" spans="1:34" s="862" customFormat="1" x14ac:dyDescent="0.3">
      <c r="A2150" s="862">
        <v>904175</v>
      </c>
      <c r="B2150" s="863">
        <v>4.4444444444444438</v>
      </c>
      <c r="C2150" s="863"/>
      <c r="D2150" s="647">
        <v>8.3000000000000007</v>
      </c>
      <c r="E2150" s="1573">
        <v>0.20100000000000001</v>
      </c>
      <c r="F2150" s="864">
        <v>221.10000000000002</v>
      </c>
      <c r="H2150" s="864">
        <v>14.89</v>
      </c>
      <c r="I2150" s="864">
        <v>210</v>
      </c>
      <c r="J2150" s="647">
        <v>0.16</v>
      </c>
      <c r="K2150" s="863">
        <v>8.1</v>
      </c>
      <c r="L2150" s="864">
        <v>1160</v>
      </c>
      <c r="M2150" s="862">
        <v>0.55000000000000004</v>
      </c>
      <c r="N2150" s="862">
        <v>1.54</v>
      </c>
      <c r="O2150" s="862">
        <v>47.74</v>
      </c>
      <c r="P2150" s="862">
        <v>3.92</v>
      </c>
      <c r="R2150" s="647">
        <v>1.836392</v>
      </c>
      <c r="S2150" s="863">
        <v>17.8</v>
      </c>
      <c r="T2150" s="880"/>
      <c r="U2150" s="880"/>
      <c r="V2150" s="880"/>
      <c r="W2150" s="880"/>
      <c r="X2150" s="880"/>
      <c r="Y2150" s="863">
        <v>28</v>
      </c>
      <c r="AA2150" s="647">
        <v>3.78</v>
      </c>
      <c r="AB2150" s="647">
        <v>0.40600000000000003</v>
      </c>
      <c r="AC2150" s="862">
        <v>6</v>
      </c>
      <c r="AD2150" s="867">
        <v>560</v>
      </c>
      <c r="AE2150" s="867">
        <v>360</v>
      </c>
      <c r="AF2150" s="867">
        <v>80</v>
      </c>
      <c r="AG2150" s="66">
        <f t="shared" si="88"/>
        <v>102.40714285714286</v>
      </c>
      <c r="AH2150" s="143">
        <f t="shared" si="89"/>
        <v>1000</v>
      </c>
    </row>
    <row r="2151" spans="1:34" s="862" customFormat="1" x14ac:dyDescent="0.3">
      <c r="A2151" s="862">
        <v>904176</v>
      </c>
      <c r="B2151" s="863">
        <v>1.8333333333333333</v>
      </c>
      <c r="C2151" s="863"/>
      <c r="D2151" s="647">
        <v>8.19</v>
      </c>
      <c r="E2151" s="1573">
        <v>0.186</v>
      </c>
      <c r="F2151" s="864">
        <v>204.60000000000002</v>
      </c>
      <c r="H2151" s="864">
        <v>13.97</v>
      </c>
      <c r="I2151" s="864">
        <v>260</v>
      </c>
      <c r="J2151" s="647">
        <v>0.09</v>
      </c>
      <c r="K2151" s="863">
        <v>9.0500000000000007</v>
      </c>
      <c r="L2151" s="864">
        <v>300</v>
      </c>
      <c r="M2151" s="862">
        <v>0.65</v>
      </c>
      <c r="N2151" s="862">
        <v>1.73</v>
      </c>
      <c r="O2151" s="862">
        <v>17.829999999999998</v>
      </c>
      <c r="P2151" s="862">
        <v>4.3499999999999996</v>
      </c>
      <c r="R2151" s="647">
        <v>1.9292120000000001</v>
      </c>
      <c r="S2151" s="863">
        <v>21.200000000000003</v>
      </c>
      <c r="T2151" s="874"/>
      <c r="U2151" s="866"/>
      <c r="V2151" s="866"/>
      <c r="W2151" s="866"/>
      <c r="X2151" s="874"/>
      <c r="Y2151" s="863">
        <v>27</v>
      </c>
      <c r="AA2151" s="647">
        <v>3.6</v>
      </c>
      <c r="AB2151" s="647">
        <v>0.27200000000000002</v>
      </c>
      <c r="AC2151" s="862">
        <v>7.5</v>
      </c>
      <c r="AD2151" s="867">
        <v>540</v>
      </c>
      <c r="AE2151" s="867">
        <v>360</v>
      </c>
      <c r="AF2151" s="867">
        <v>100</v>
      </c>
      <c r="AG2151" s="66">
        <f t="shared" si="88"/>
        <v>118.65555555555558</v>
      </c>
      <c r="AH2151" s="143">
        <f t="shared" si="89"/>
        <v>1000</v>
      </c>
    </row>
    <row r="2152" spans="1:34" s="862" customFormat="1" x14ac:dyDescent="0.3">
      <c r="A2152" s="862">
        <v>904177</v>
      </c>
      <c r="B2152" s="863">
        <v>22.499999999999996</v>
      </c>
      <c r="C2152" s="863">
        <v>7.12</v>
      </c>
      <c r="D2152" s="647">
        <v>8.48</v>
      </c>
      <c r="E2152" s="1573">
        <v>0.126</v>
      </c>
      <c r="F2152" s="864">
        <v>138.60000000000002</v>
      </c>
      <c r="H2152" s="864">
        <v>7.8</v>
      </c>
      <c r="I2152" s="864">
        <v>250</v>
      </c>
      <c r="J2152" s="647">
        <v>0.03</v>
      </c>
      <c r="K2152" s="863">
        <v>12.67</v>
      </c>
      <c r="L2152" s="864">
        <v>310</v>
      </c>
      <c r="M2152" s="862">
        <v>0.13</v>
      </c>
      <c r="N2152" s="862">
        <v>0.96</v>
      </c>
      <c r="O2152" s="862">
        <v>4.1399999999999997</v>
      </c>
      <c r="P2152" s="862">
        <v>4.07</v>
      </c>
      <c r="R2152" s="647">
        <v>1.7135000000000002</v>
      </c>
      <c r="S2152" s="863">
        <v>14</v>
      </c>
      <c r="T2152" s="880"/>
      <c r="U2152" s="881"/>
      <c r="V2152" s="881"/>
      <c r="W2152" s="881"/>
      <c r="X2152" s="880"/>
      <c r="Y2152" s="863">
        <v>37.200000000000003</v>
      </c>
      <c r="AA2152" s="647">
        <v>3.61</v>
      </c>
      <c r="AB2152" s="647">
        <v>0.82399999999999995</v>
      </c>
      <c r="AC2152" s="862">
        <v>6.2</v>
      </c>
      <c r="AD2152" s="867">
        <v>620</v>
      </c>
      <c r="AE2152" s="867">
        <v>250</v>
      </c>
      <c r="AF2152" s="867">
        <v>130</v>
      </c>
      <c r="AG2152" s="66">
        <f t="shared" si="88"/>
        <v>120.56935483870966</v>
      </c>
      <c r="AH2152" s="143">
        <f t="shared" si="89"/>
        <v>1000</v>
      </c>
    </row>
    <row r="2153" spans="1:34" s="862" customFormat="1" x14ac:dyDescent="0.3">
      <c r="A2153" s="862">
        <v>904178</v>
      </c>
      <c r="B2153" s="863">
        <v>0.16666666666666666</v>
      </c>
      <c r="C2153" s="863"/>
      <c r="D2153" s="647">
        <v>7.63</v>
      </c>
      <c r="E2153" s="1573">
        <v>0.27900000000000003</v>
      </c>
      <c r="F2153" s="864">
        <v>306.90000000000003</v>
      </c>
      <c r="H2153" s="864">
        <v>273.47000000000003</v>
      </c>
      <c r="I2153" s="864">
        <v>390</v>
      </c>
      <c r="J2153" s="647">
        <v>0.11</v>
      </c>
      <c r="K2153" s="863">
        <v>1.54</v>
      </c>
      <c r="L2153" s="864">
        <v>250</v>
      </c>
      <c r="M2153" s="862">
        <v>2.62</v>
      </c>
      <c r="N2153" s="862">
        <v>1.22</v>
      </c>
      <c r="O2153" s="862">
        <v>2.75</v>
      </c>
      <c r="P2153" s="862">
        <v>71.010000000000005</v>
      </c>
      <c r="R2153" s="647">
        <v>1.1920540052817277</v>
      </c>
      <c r="S2153" s="863">
        <v>7.9</v>
      </c>
      <c r="T2153" s="866"/>
      <c r="U2153" s="866"/>
      <c r="V2153" s="866"/>
      <c r="W2153" s="866"/>
      <c r="X2153" s="866"/>
      <c r="Y2153" s="863">
        <v>3.6</v>
      </c>
      <c r="AA2153" s="647">
        <v>3.52</v>
      </c>
      <c r="AB2153" s="647">
        <v>0.60699999999999998</v>
      </c>
      <c r="AC2153" s="862">
        <v>10.7</v>
      </c>
      <c r="AD2153" s="867">
        <v>60</v>
      </c>
      <c r="AE2153" s="867">
        <v>60</v>
      </c>
      <c r="AF2153" s="867">
        <v>880</v>
      </c>
      <c r="AG2153" s="66">
        <f t="shared" si="88"/>
        <v>151.43333333333331</v>
      </c>
      <c r="AH2153" s="143">
        <f t="shared" si="89"/>
        <v>1000</v>
      </c>
    </row>
    <row r="2154" spans="1:34" s="862" customFormat="1" x14ac:dyDescent="0.3">
      <c r="A2154" s="862">
        <v>904179</v>
      </c>
      <c r="B2154" s="863">
        <v>0.16666666666666666</v>
      </c>
      <c r="C2154" s="863"/>
      <c r="D2154" s="647">
        <v>7.85</v>
      </c>
      <c r="E2154" s="1573">
        <v>0.17899999999999999</v>
      </c>
      <c r="F2154" s="864">
        <v>196.9</v>
      </c>
      <c r="H2154" s="864">
        <v>201.67</v>
      </c>
      <c r="I2154" s="864">
        <v>210</v>
      </c>
      <c r="J2154" s="647">
        <v>0.08</v>
      </c>
      <c r="K2154" s="647">
        <v>1.49</v>
      </c>
      <c r="L2154" s="864">
        <v>240</v>
      </c>
      <c r="M2154" s="862">
        <v>1.87</v>
      </c>
      <c r="N2154" s="862">
        <v>0.64</v>
      </c>
      <c r="O2154" s="862">
        <v>2.74</v>
      </c>
      <c r="P2154" s="862">
        <v>40.82</v>
      </c>
      <c r="R2154" s="647">
        <v>0.73286661160562361</v>
      </c>
      <c r="S2154" s="863">
        <v>5.3000000000000007</v>
      </c>
      <c r="T2154" s="881"/>
      <c r="U2154" s="881"/>
      <c r="V2154" s="881"/>
      <c r="W2154" s="881"/>
      <c r="X2154" s="881"/>
      <c r="Y2154" s="863">
        <v>4</v>
      </c>
      <c r="AA2154" s="647">
        <v>4.6900000000000004</v>
      </c>
      <c r="AB2154" s="647">
        <v>0.85799999999999998</v>
      </c>
      <c r="AC2154" s="862">
        <v>8.8000000000000007</v>
      </c>
      <c r="AD2154" s="867">
        <v>80</v>
      </c>
      <c r="AE2154" s="867">
        <v>80</v>
      </c>
      <c r="AF2154" s="867">
        <v>840</v>
      </c>
      <c r="AG2154" s="66">
        <f t="shared" si="88"/>
        <v>131.86500000000001</v>
      </c>
      <c r="AH2154" s="143">
        <f t="shared" si="89"/>
        <v>1000</v>
      </c>
    </row>
    <row r="2155" spans="1:34" s="862" customFormat="1" x14ac:dyDescent="0.3">
      <c r="A2155" s="862">
        <v>904180</v>
      </c>
      <c r="B2155" s="863">
        <v>8.3333333333333329E-2</v>
      </c>
      <c r="C2155" s="863"/>
      <c r="D2155" s="647">
        <v>7.7</v>
      </c>
      <c r="E2155" s="1573">
        <v>4.5999999999999999E-2</v>
      </c>
      <c r="F2155" s="864"/>
      <c r="H2155" s="864">
        <v>24.86</v>
      </c>
      <c r="I2155" s="864">
        <v>30</v>
      </c>
      <c r="J2155" s="647">
        <v>0.03</v>
      </c>
      <c r="K2155" s="863">
        <v>0.38</v>
      </c>
      <c r="L2155" s="864">
        <v>45</v>
      </c>
      <c r="M2155" s="862">
        <v>0.36</v>
      </c>
      <c r="N2155" s="862">
        <v>0.15</v>
      </c>
      <c r="O2155" s="862">
        <v>2.0099999999999998</v>
      </c>
      <c r="P2155" s="862">
        <v>6.56</v>
      </c>
      <c r="R2155" s="647">
        <v>0.17568288692252948</v>
      </c>
      <c r="S2155" s="863">
        <v>1.2</v>
      </c>
      <c r="T2155" s="880"/>
      <c r="U2155" s="880"/>
      <c r="V2155" s="880"/>
      <c r="W2155" s="880"/>
      <c r="X2155" s="880"/>
      <c r="Y2155" s="67">
        <f ca="1">RANDBETWEEN(5,7)*AD2155/100</f>
        <v>5.6</v>
      </c>
      <c r="Z2155" s="143"/>
      <c r="AA2155" s="68">
        <f ca="1">RANDBETWEEN(345,500)/100</f>
        <v>3.91</v>
      </c>
      <c r="AB2155" s="68">
        <f ca="1">RANDBETWEEN(245,900)/1000</f>
        <v>0.60699999999999998</v>
      </c>
      <c r="AC2155" s="69">
        <f ca="1">RANDBETWEEN(60,120)/10</f>
        <v>7.6</v>
      </c>
      <c r="AD2155" s="867">
        <v>80</v>
      </c>
      <c r="AE2155" s="867">
        <v>60</v>
      </c>
      <c r="AF2155" s="867">
        <v>860</v>
      </c>
      <c r="AG2155" s="66">
        <f t="shared" ca="1" si="88"/>
        <v>24.021428571428569</v>
      </c>
      <c r="AH2155" s="143">
        <f t="shared" si="89"/>
        <v>1000</v>
      </c>
    </row>
    <row r="2156" spans="1:34" s="862" customFormat="1" x14ac:dyDescent="0.3">
      <c r="A2156" s="862">
        <v>904181</v>
      </c>
      <c r="B2156" s="863">
        <v>25</v>
      </c>
      <c r="C2156" s="863">
        <v>10.199999999999999</v>
      </c>
      <c r="D2156" s="647">
        <v>8.5500000000000007</v>
      </c>
      <c r="E2156" s="1573">
        <v>0.42299999999999999</v>
      </c>
      <c r="F2156" s="864"/>
      <c r="H2156" s="864">
        <v>11.74</v>
      </c>
      <c r="I2156" s="864">
        <v>380</v>
      </c>
      <c r="J2156" s="647">
        <v>0.38500000000000001</v>
      </c>
      <c r="K2156" s="863">
        <v>11.49</v>
      </c>
      <c r="L2156" s="864">
        <v>759</v>
      </c>
      <c r="M2156" s="862">
        <v>0.27</v>
      </c>
      <c r="N2156" s="862">
        <v>0.99</v>
      </c>
      <c r="O2156" s="862">
        <v>1.88</v>
      </c>
      <c r="P2156" s="862">
        <v>3.33</v>
      </c>
      <c r="R2156" s="647"/>
      <c r="S2156" s="863">
        <v>2</v>
      </c>
      <c r="T2156" s="880"/>
      <c r="U2156" s="880"/>
      <c r="V2156" s="880"/>
      <c r="W2156" s="880"/>
      <c r="X2156" s="880"/>
      <c r="Y2156" s="863"/>
      <c r="AA2156" s="647"/>
      <c r="AB2156" s="647"/>
      <c r="AD2156" s="867">
        <v>480</v>
      </c>
      <c r="AE2156" s="867">
        <v>400</v>
      </c>
      <c r="AF2156" s="867">
        <v>120</v>
      </c>
      <c r="AG2156" s="66" t="e">
        <f t="shared" si="88"/>
        <v>#DIV/0!</v>
      </c>
      <c r="AH2156" s="143">
        <f t="shared" si="89"/>
        <v>1000</v>
      </c>
    </row>
    <row r="2157" spans="1:34" s="862" customFormat="1" x14ac:dyDescent="0.3">
      <c r="A2157" s="862">
        <v>904182</v>
      </c>
      <c r="B2157" s="863">
        <v>30</v>
      </c>
      <c r="C2157" s="863">
        <v>11.8</v>
      </c>
      <c r="D2157" s="647">
        <v>8.6300000000000008</v>
      </c>
      <c r="E2157" s="1573">
        <v>0.29199999999999998</v>
      </c>
      <c r="F2157" s="864"/>
      <c r="H2157" s="864">
        <v>23.32</v>
      </c>
      <c r="I2157" s="864">
        <v>360</v>
      </c>
      <c r="J2157" s="647">
        <v>0.20899999999999999</v>
      </c>
      <c r="K2157" s="863">
        <v>10.65</v>
      </c>
      <c r="L2157" s="864">
        <v>758</v>
      </c>
      <c r="M2157" s="862">
        <v>0.59</v>
      </c>
      <c r="N2157" s="862">
        <v>1.62</v>
      </c>
      <c r="O2157" s="862">
        <v>5.25</v>
      </c>
      <c r="P2157" s="862">
        <v>10.38</v>
      </c>
      <c r="R2157" s="647"/>
      <c r="S2157" s="863">
        <v>4.9000000000000004</v>
      </c>
      <c r="T2157" s="880"/>
      <c r="U2157" s="880"/>
      <c r="V2157" s="880"/>
      <c r="W2157" s="880"/>
      <c r="X2157" s="880"/>
      <c r="Y2157" s="863"/>
      <c r="AA2157" s="647"/>
      <c r="AB2157" s="647"/>
      <c r="AD2157" s="867">
        <v>500</v>
      </c>
      <c r="AE2157" s="867">
        <v>400</v>
      </c>
      <c r="AF2157" s="867">
        <v>100</v>
      </c>
      <c r="AG2157" s="66" t="e">
        <f t="shared" si="88"/>
        <v>#DIV/0!</v>
      </c>
      <c r="AH2157" s="143">
        <f t="shared" si="89"/>
        <v>1000</v>
      </c>
    </row>
    <row r="2158" spans="1:34" s="862" customFormat="1" x14ac:dyDescent="0.3">
      <c r="A2158" s="862">
        <v>904183</v>
      </c>
      <c r="B2158" s="863">
        <v>1.9166666666666665</v>
      </c>
      <c r="C2158" s="863"/>
      <c r="D2158" s="647">
        <v>8.14</v>
      </c>
      <c r="E2158" s="1573">
        <v>0.108</v>
      </c>
      <c r="F2158" s="864">
        <v>118.80000000000001</v>
      </c>
      <c r="H2158" s="864">
        <v>8.26</v>
      </c>
      <c r="I2158" s="864">
        <v>110</v>
      </c>
      <c r="J2158" s="647">
        <v>0.05</v>
      </c>
      <c r="K2158" s="863">
        <v>8.66</v>
      </c>
      <c r="L2158" s="864">
        <v>220</v>
      </c>
      <c r="M2158" s="862">
        <v>0.21</v>
      </c>
      <c r="N2158" s="862">
        <v>0.87</v>
      </c>
      <c r="O2158" s="862">
        <v>13.39</v>
      </c>
      <c r="P2158" s="862">
        <v>4.38</v>
      </c>
      <c r="R2158" s="647">
        <v>1.3968379082887454</v>
      </c>
      <c r="S2158" s="863">
        <v>10.1</v>
      </c>
      <c r="T2158" s="880"/>
      <c r="U2158" s="880"/>
      <c r="V2158" s="880"/>
      <c r="W2158" s="880"/>
      <c r="X2158" s="880"/>
      <c r="Y2158" s="863">
        <v>20</v>
      </c>
      <c r="AA2158" s="647">
        <v>3.65</v>
      </c>
      <c r="AB2158" s="647">
        <v>0.77900000000000003</v>
      </c>
      <c r="AC2158" s="862">
        <v>8.4</v>
      </c>
      <c r="AD2158" s="867">
        <v>400</v>
      </c>
      <c r="AE2158" s="867">
        <v>480</v>
      </c>
      <c r="AF2158" s="867">
        <v>120</v>
      </c>
      <c r="AG2158" s="66">
        <f t="shared" si="88"/>
        <v>153.28200000000001</v>
      </c>
      <c r="AH2158" s="143">
        <f t="shared" si="89"/>
        <v>1000</v>
      </c>
    </row>
    <row r="2159" spans="1:34" s="862" customFormat="1" x14ac:dyDescent="0.3">
      <c r="A2159" s="862">
        <v>904184</v>
      </c>
      <c r="B2159" s="863">
        <v>0.99999999999999989</v>
      </c>
      <c r="C2159" s="863"/>
      <c r="D2159" s="647">
        <v>8.1999999999999993</v>
      </c>
      <c r="E2159" s="1573">
        <v>9.9000000000000005E-2</v>
      </c>
      <c r="F2159" s="864">
        <v>108.9</v>
      </c>
      <c r="H2159" s="864">
        <v>9.51</v>
      </c>
      <c r="I2159" s="864">
        <v>100</v>
      </c>
      <c r="J2159" s="647">
        <v>0.04</v>
      </c>
      <c r="K2159" s="863">
        <v>8.11</v>
      </c>
      <c r="L2159" s="864">
        <v>210</v>
      </c>
      <c r="M2159" s="862">
        <v>0.17</v>
      </c>
      <c r="N2159" s="862">
        <v>0.89</v>
      </c>
      <c r="O2159" s="862">
        <v>8.42</v>
      </c>
      <c r="P2159" s="862">
        <v>4.43</v>
      </c>
      <c r="R2159" s="647">
        <v>1.3896833791181791</v>
      </c>
      <c r="S2159" s="863">
        <v>10.199999999999999</v>
      </c>
      <c r="T2159" s="880"/>
      <c r="U2159" s="880"/>
      <c r="V2159" s="880"/>
      <c r="W2159" s="880"/>
      <c r="X2159" s="880"/>
      <c r="Y2159" s="863">
        <v>31.5</v>
      </c>
      <c r="AA2159" s="647">
        <v>4.6900000000000004</v>
      </c>
      <c r="AB2159" s="647">
        <v>0.32700000000000001</v>
      </c>
      <c r="AC2159" s="862">
        <v>11.1</v>
      </c>
      <c r="AD2159" s="867">
        <v>450</v>
      </c>
      <c r="AE2159" s="867">
        <v>430</v>
      </c>
      <c r="AF2159" s="867">
        <v>120</v>
      </c>
      <c r="AG2159" s="66">
        <f t="shared" si="88"/>
        <v>91.140952380952385</v>
      </c>
      <c r="AH2159" s="143">
        <f t="shared" si="89"/>
        <v>1000</v>
      </c>
    </row>
    <row r="2160" spans="1:34" s="862" customFormat="1" x14ac:dyDescent="0.3">
      <c r="A2160" s="862">
        <v>904185</v>
      </c>
      <c r="B2160" s="863">
        <v>1.6666666666666667</v>
      </c>
      <c r="C2160" s="863"/>
      <c r="D2160" s="647">
        <v>8.2899999999999991</v>
      </c>
      <c r="E2160" s="1573">
        <v>0.11</v>
      </c>
      <c r="F2160" s="864">
        <v>121.00000000000001</v>
      </c>
      <c r="H2160" s="864">
        <v>7.38</v>
      </c>
      <c r="I2160" s="864">
        <v>110</v>
      </c>
      <c r="J2160" s="647">
        <v>0.05</v>
      </c>
      <c r="K2160" s="863">
        <v>10.72</v>
      </c>
      <c r="L2160" s="864">
        <v>240</v>
      </c>
      <c r="M2160" s="862">
        <v>0.28000000000000003</v>
      </c>
      <c r="N2160" s="862">
        <v>0.93</v>
      </c>
      <c r="O2160" s="862">
        <v>7.14</v>
      </c>
      <c r="P2160" s="862">
        <v>4.38</v>
      </c>
      <c r="R2160" s="647">
        <v>1.5744170000000002</v>
      </c>
      <c r="S2160" s="863">
        <v>10.3</v>
      </c>
      <c r="T2160" s="880"/>
      <c r="U2160" s="880"/>
      <c r="V2160" s="880"/>
      <c r="W2160" s="880"/>
      <c r="X2160" s="880"/>
      <c r="Y2160" s="863">
        <v>32.200000000000003</v>
      </c>
      <c r="AA2160" s="647">
        <v>4.71</v>
      </c>
      <c r="AB2160" s="647">
        <v>0.30499999999999999</v>
      </c>
      <c r="AC2160" s="862">
        <v>10.9</v>
      </c>
      <c r="AD2160" s="867">
        <v>460</v>
      </c>
      <c r="AE2160" s="867">
        <v>440</v>
      </c>
      <c r="AF2160" s="867">
        <v>100</v>
      </c>
      <c r="AG2160" s="66">
        <f t="shared" si="88"/>
        <v>117.85341614906832</v>
      </c>
      <c r="AH2160" s="143">
        <f t="shared" si="89"/>
        <v>1000</v>
      </c>
    </row>
    <row r="2161" spans="1:34" s="862" customFormat="1" x14ac:dyDescent="0.3">
      <c r="A2161" s="862">
        <v>904186</v>
      </c>
      <c r="B2161" s="863">
        <v>15.833333333333332</v>
      </c>
      <c r="C2161" s="863">
        <v>9.5</v>
      </c>
      <c r="D2161" s="647">
        <v>8.08</v>
      </c>
      <c r="E2161" s="1573">
        <v>0.19</v>
      </c>
      <c r="F2161" s="864">
        <v>209.00000000000003</v>
      </c>
      <c r="H2161" s="864">
        <v>27.95</v>
      </c>
      <c r="I2161" s="864">
        <v>160</v>
      </c>
      <c r="J2161" s="647">
        <v>0.11</v>
      </c>
      <c r="K2161" s="863">
        <v>17.03</v>
      </c>
      <c r="L2161" s="864">
        <v>250</v>
      </c>
      <c r="M2161" s="862">
        <v>0.28999999999999998</v>
      </c>
      <c r="N2161" s="862">
        <v>0.54</v>
      </c>
      <c r="O2161" s="862">
        <v>2.39</v>
      </c>
      <c r="P2161" s="862">
        <v>2.1800000000000002</v>
      </c>
      <c r="R2161" s="647">
        <v>1.6407</v>
      </c>
      <c r="S2161" s="863">
        <v>12</v>
      </c>
      <c r="T2161" s="880"/>
      <c r="U2161" s="880"/>
      <c r="V2161" s="880"/>
      <c r="W2161" s="880"/>
      <c r="X2161" s="880"/>
      <c r="Y2161" s="863">
        <v>28.8</v>
      </c>
      <c r="AA2161" s="647">
        <v>4.63</v>
      </c>
      <c r="AB2161" s="647">
        <v>0.77700000000000002</v>
      </c>
      <c r="AC2161" s="862">
        <v>10.7</v>
      </c>
      <c r="AD2161" s="867">
        <v>480</v>
      </c>
      <c r="AE2161" s="867">
        <v>380</v>
      </c>
      <c r="AF2161" s="867">
        <v>140</v>
      </c>
      <c r="AG2161" s="66">
        <f t="shared" si="88"/>
        <v>209.32708333333335</v>
      </c>
      <c r="AH2161" s="143">
        <f t="shared" si="89"/>
        <v>1000</v>
      </c>
    </row>
    <row r="2162" spans="1:34" s="862" customFormat="1" x14ac:dyDescent="0.3">
      <c r="A2162" s="862">
        <v>904187</v>
      </c>
      <c r="B2162" s="863">
        <v>54.999999999999993</v>
      </c>
      <c r="C2162" s="863">
        <v>16.75</v>
      </c>
      <c r="D2162" s="647">
        <v>8.4</v>
      </c>
      <c r="E2162" s="1573">
        <v>0.14299999999999999</v>
      </c>
      <c r="F2162" s="864">
        <v>157.30000000000001</v>
      </c>
      <c r="H2162" s="864">
        <v>14.33</v>
      </c>
      <c r="I2162" s="864">
        <v>170</v>
      </c>
      <c r="J2162" s="647">
        <v>0.03</v>
      </c>
      <c r="K2162" s="863">
        <v>11.11</v>
      </c>
      <c r="L2162" s="864">
        <v>130</v>
      </c>
      <c r="M2162" s="862">
        <v>0.16</v>
      </c>
      <c r="N2162" s="862">
        <v>0.3</v>
      </c>
      <c r="O2162" s="862">
        <v>5.63</v>
      </c>
      <c r="P2162" s="862">
        <v>1.66</v>
      </c>
      <c r="R2162" s="647">
        <v>1.0907968969496815</v>
      </c>
      <c r="S2162" s="863">
        <v>7.6</v>
      </c>
      <c r="T2162" s="880"/>
      <c r="U2162" s="880"/>
      <c r="V2162" s="880"/>
      <c r="W2162" s="880"/>
      <c r="X2162" s="880"/>
      <c r="Y2162" s="863">
        <v>8.4</v>
      </c>
      <c r="AA2162" s="647">
        <v>4.68</v>
      </c>
      <c r="AB2162" s="647">
        <v>0.46200000000000002</v>
      </c>
      <c r="AC2162" s="862">
        <v>6</v>
      </c>
      <c r="AD2162" s="867">
        <v>140</v>
      </c>
      <c r="AE2162" s="867">
        <v>80</v>
      </c>
      <c r="AF2162" s="867">
        <v>780</v>
      </c>
      <c r="AG2162" s="66">
        <f t="shared" si="88"/>
        <v>468.20714285714286</v>
      </c>
      <c r="AH2162" s="143">
        <f t="shared" si="89"/>
        <v>1000</v>
      </c>
    </row>
    <row r="2163" spans="1:34" s="862" customFormat="1" x14ac:dyDescent="0.3">
      <c r="A2163" s="862">
        <v>904188</v>
      </c>
      <c r="B2163" s="863"/>
      <c r="C2163" s="863"/>
      <c r="D2163" s="647"/>
      <c r="E2163" s="1573"/>
      <c r="F2163" s="864"/>
      <c r="H2163" s="864"/>
      <c r="I2163" s="864"/>
      <c r="J2163" s="647"/>
      <c r="K2163" s="863"/>
      <c r="L2163" s="864"/>
      <c r="R2163" s="647"/>
      <c r="S2163" s="863"/>
      <c r="T2163" s="880"/>
      <c r="U2163" s="880"/>
      <c r="V2163" s="880"/>
      <c r="W2163" s="880"/>
      <c r="X2163" s="880"/>
      <c r="Y2163" s="863"/>
      <c r="AA2163" s="647"/>
      <c r="AB2163" s="647"/>
      <c r="AD2163" s="867"/>
      <c r="AE2163" s="867"/>
      <c r="AF2163" s="867"/>
      <c r="AG2163" s="66" t="e">
        <f t="shared" si="88"/>
        <v>#DIV/0!</v>
      </c>
      <c r="AH2163" s="143">
        <f t="shared" si="89"/>
        <v>0</v>
      </c>
    </row>
    <row r="2164" spans="1:34" s="862" customFormat="1" x14ac:dyDescent="0.3">
      <c r="A2164" s="862">
        <v>904189</v>
      </c>
      <c r="B2164" s="863">
        <v>12.916666666666668</v>
      </c>
      <c r="C2164" s="863">
        <v>8.25</v>
      </c>
      <c r="D2164" s="647">
        <v>8.33</v>
      </c>
      <c r="E2164" s="1573">
        <v>0.54700000000000004</v>
      </c>
      <c r="F2164" s="864">
        <v>601.70000000000005</v>
      </c>
      <c r="H2164" s="864">
        <v>24.27</v>
      </c>
      <c r="I2164" s="864">
        <v>210</v>
      </c>
      <c r="J2164" s="647">
        <v>0.25</v>
      </c>
      <c r="K2164" s="863">
        <v>11.53</v>
      </c>
      <c r="L2164" s="864">
        <v>910</v>
      </c>
      <c r="M2164" s="862">
        <v>0.55000000000000004</v>
      </c>
      <c r="N2164" s="862">
        <v>0.54</v>
      </c>
      <c r="O2164" s="862">
        <v>0.37</v>
      </c>
      <c r="P2164" s="862">
        <v>1.19</v>
      </c>
      <c r="R2164" s="647">
        <v>0.96847303871085044</v>
      </c>
      <c r="S2164" s="863">
        <v>6.8000000000000007</v>
      </c>
      <c r="T2164" s="880"/>
      <c r="U2164" s="880"/>
      <c r="V2164" s="880"/>
      <c r="W2164" s="880"/>
      <c r="X2164" s="880"/>
      <c r="Y2164" s="863">
        <v>35</v>
      </c>
      <c r="AA2164" s="647">
        <v>4.6500000000000004</v>
      </c>
      <c r="AB2164" s="647">
        <v>0.53500000000000003</v>
      </c>
      <c r="AC2164" s="862">
        <v>6.4</v>
      </c>
      <c r="AD2164" s="867">
        <v>500</v>
      </c>
      <c r="AE2164" s="867">
        <v>330</v>
      </c>
      <c r="AF2164" s="867">
        <v>170</v>
      </c>
      <c r="AG2164" s="66">
        <f t="shared" si="88"/>
        <v>116.61771428571427</v>
      </c>
      <c r="AH2164" s="143">
        <f t="shared" si="89"/>
        <v>1000</v>
      </c>
    </row>
    <row r="2165" spans="1:34" s="862" customFormat="1" x14ac:dyDescent="0.3">
      <c r="A2165" s="862">
        <v>904190</v>
      </c>
      <c r="B2165" s="863">
        <v>13.749999999999998</v>
      </c>
      <c r="C2165" s="863">
        <v>7.625</v>
      </c>
      <c r="D2165" s="647">
        <v>8.15</v>
      </c>
      <c r="E2165" s="1573">
        <v>0.64</v>
      </c>
      <c r="F2165" s="864">
        <v>704</v>
      </c>
      <c r="H2165" s="864">
        <v>22.64</v>
      </c>
      <c r="I2165" s="864">
        <v>310</v>
      </c>
      <c r="J2165" s="647">
        <v>0.48</v>
      </c>
      <c r="K2165" s="863">
        <v>11.65</v>
      </c>
      <c r="L2165" s="864">
        <v>360</v>
      </c>
      <c r="M2165" s="862">
        <v>0.31</v>
      </c>
      <c r="N2165" s="862">
        <v>0.68</v>
      </c>
      <c r="O2165" s="862">
        <v>2.83</v>
      </c>
      <c r="P2165" s="862">
        <v>1.53</v>
      </c>
      <c r="R2165" s="647">
        <v>1.0879272336807035</v>
      </c>
      <c r="S2165" s="863">
        <v>8</v>
      </c>
      <c r="T2165" s="880"/>
      <c r="U2165" s="880"/>
      <c r="V2165" s="880"/>
      <c r="W2165" s="880"/>
      <c r="X2165" s="880"/>
      <c r="Y2165" s="863">
        <v>24.6</v>
      </c>
      <c r="AA2165" s="647">
        <v>4.1100000000000003</v>
      </c>
      <c r="AB2165" s="647">
        <v>0.57199999999999995</v>
      </c>
      <c r="AC2165" s="862">
        <v>9.9</v>
      </c>
      <c r="AD2165" s="867">
        <v>410</v>
      </c>
      <c r="AE2165" s="867">
        <v>380</v>
      </c>
      <c r="AF2165" s="867">
        <v>210</v>
      </c>
      <c r="AG2165" s="66">
        <f t="shared" si="88"/>
        <v>167.64634146341464</v>
      </c>
      <c r="AH2165" s="143">
        <f t="shared" si="89"/>
        <v>1000</v>
      </c>
    </row>
    <row r="2166" spans="1:34" s="862" customFormat="1" x14ac:dyDescent="0.3">
      <c r="A2166" s="862">
        <v>904191</v>
      </c>
      <c r="B2166" s="863">
        <v>20.416666666666668</v>
      </c>
      <c r="C2166" s="863">
        <v>11.25</v>
      </c>
      <c r="D2166" s="647">
        <v>8.35</v>
      </c>
      <c r="E2166" s="1573">
        <v>0.65600000000000003</v>
      </c>
      <c r="F2166" s="864">
        <v>721.6</v>
      </c>
      <c r="H2166" s="864">
        <v>15.82</v>
      </c>
      <c r="I2166" s="864">
        <v>210</v>
      </c>
      <c r="J2166" s="647">
        <v>0.46</v>
      </c>
      <c r="K2166" s="863">
        <v>11.75</v>
      </c>
      <c r="L2166" s="864">
        <v>920</v>
      </c>
      <c r="M2166" s="862">
        <v>0.35</v>
      </c>
      <c r="N2166" s="862">
        <v>0.73</v>
      </c>
      <c r="O2166" s="862">
        <v>0.43</v>
      </c>
      <c r="P2166" s="862">
        <v>1.1599999999999999</v>
      </c>
      <c r="R2166" s="647">
        <v>0.79831906007972087</v>
      </c>
      <c r="S2166" s="863">
        <v>5.5</v>
      </c>
      <c r="T2166" s="880"/>
      <c r="U2166" s="880"/>
      <c r="V2166" s="880"/>
      <c r="W2166" s="880"/>
      <c r="X2166" s="880"/>
      <c r="Y2166" s="863">
        <v>23</v>
      </c>
      <c r="AA2166" s="647">
        <v>4.54</v>
      </c>
      <c r="AB2166" s="647">
        <v>0.245</v>
      </c>
      <c r="AC2166" s="862">
        <v>11.6</v>
      </c>
      <c r="AD2166" s="867">
        <v>460</v>
      </c>
      <c r="AE2166" s="867">
        <v>360</v>
      </c>
      <c r="AF2166" s="867">
        <v>180</v>
      </c>
      <c r="AG2166" s="66">
        <f t="shared" si="88"/>
        <v>180.84782608695653</v>
      </c>
      <c r="AH2166" s="143">
        <f t="shared" si="89"/>
        <v>1000</v>
      </c>
    </row>
    <row r="2167" spans="1:34" s="862" customFormat="1" x14ac:dyDescent="0.3">
      <c r="A2167" s="862">
        <v>904192</v>
      </c>
      <c r="B2167" s="863">
        <v>17.083333333333332</v>
      </c>
      <c r="C2167" s="863">
        <v>10.625</v>
      </c>
      <c r="D2167" s="647">
        <v>8.5</v>
      </c>
      <c r="E2167" s="1573">
        <v>0.44400000000000001</v>
      </c>
      <c r="F2167" s="864">
        <v>488.40000000000003</v>
      </c>
      <c r="H2167" s="864">
        <v>11.81</v>
      </c>
      <c r="I2167" s="864">
        <v>260</v>
      </c>
      <c r="J2167" s="647">
        <v>0.26</v>
      </c>
      <c r="K2167" s="863">
        <v>11.75</v>
      </c>
      <c r="L2167" s="864">
        <v>840</v>
      </c>
      <c r="M2167" s="862">
        <v>0.25</v>
      </c>
      <c r="N2167" s="862">
        <v>0.48</v>
      </c>
      <c r="O2167" s="862">
        <v>0.24</v>
      </c>
      <c r="P2167" s="862">
        <v>1.23</v>
      </c>
      <c r="R2167" s="647">
        <v>0.68019850340226717</v>
      </c>
      <c r="S2167" s="863">
        <v>4.6999999999999993</v>
      </c>
      <c r="T2167" s="880"/>
      <c r="U2167" s="880"/>
      <c r="V2167" s="880"/>
      <c r="W2167" s="880"/>
      <c r="X2167" s="880"/>
      <c r="Y2167" s="863">
        <v>28</v>
      </c>
      <c r="AA2167" s="647">
        <v>4.88</v>
      </c>
      <c r="AB2167" s="647">
        <v>0.58099999999999996</v>
      </c>
      <c r="AC2167" s="862">
        <v>8.6999999999999993</v>
      </c>
      <c r="AD2167" s="867">
        <v>560</v>
      </c>
      <c r="AE2167" s="867">
        <v>340</v>
      </c>
      <c r="AF2167" s="867">
        <v>100</v>
      </c>
      <c r="AG2167" s="66">
        <f t="shared" si="88"/>
        <v>148.55357142857142</v>
      </c>
      <c r="AH2167" s="143">
        <f t="shared" si="89"/>
        <v>1000</v>
      </c>
    </row>
    <row r="2168" spans="1:34" s="862" customFormat="1" x14ac:dyDescent="0.3">
      <c r="A2168" s="862">
        <v>904193</v>
      </c>
      <c r="B2168" s="863">
        <v>7.5</v>
      </c>
      <c r="C2168" s="863"/>
      <c r="D2168" s="647">
        <v>8.65</v>
      </c>
      <c r="E2168" s="1573">
        <v>0.26100000000000001</v>
      </c>
      <c r="F2168" s="864">
        <v>287.10000000000002</v>
      </c>
      <c r="H2168" s="864">
        <v>13.08</v>
      </c>
      <c r="I2168" s="864">
        <v>120</v>
      </c>
      <c r="J2168" s="647">
        <v>0.31</v>
      </c>
      <c r="K2168" s="863">
        <v>7.99</v>
      </c>
      <c r="L2168" s="864">
        <v>610</v>
      </c>
      <c r="M2168" s="862">
        <v>0.14000000000000001</v>
      </c>
      <c r="N2168" s="862">
        <v>0.13</v>
      </c>
      <c r="O2168" s="862">
        <v>0.5</v>
      </c>
      <c r="P2168" s="862">
        <v>1.84</v>
      </c>
      <c r="R2168" s="647">
        <v>0.34186718375132896</v>
      </c>
      <c r="S2168" s="863">
        <v>2.3000000000000003</v>
      </c>
      <c r="T2168" s="880"/>
      <c r="U2168" s="880"/>
      <c r="V2168" s="880"/>
      <c r="W2168" s="880"/>
      <c r="X2168" s="880"/>
      <c r="Y2168" s="863">
        <v>3.6</v>
      </c>
      <c r="AA2168" s="647">
        <v>3.67</v>
      </c>
      <c r="AB2168" s="647">
        <v>0.31</v>
      </c>
      <c r="AC2168" s="862">
        <v>9.1999999999999993</v>
      </c>
      <c r="AD2168" s="867">
        <v>60</v>
      </c>
      <c r="AE2168" s="867">
        <v>60</v>
      </c>
      <c r="AF2168" s="867">
        <v>880</v>
      </c>
      <c r="AG2168" s="66">
        <f t="shared" si="88"/>
        <v>785.68333333333328</v>
      </c>
      <c r="AH2168" s="143">
        <f t="shared" si="89"/>
        <v>1000</v>
      </c>
    </row>
    <row r="2169" spans="1:34" s="862" customFormat="1" x14ac:dyDescent="0.3">
      <c r="A2169" s="862">
        <v>904194</v>
      </c>
      <c r="B2169" s="863">
        <v>10.833333333333332</v>
      </c>
      <c r="C2169" s="863">
        <v>5.3749999999999982</v>
      </c>
      <c r="D2169" s="647">
        <v>8.86</v>
      </c>
      <c r="E2169" s="1573">
        <v>1.98</v>
      </c>
      <c r="F2169" s="864">
        <v>2178</v>
      </c>
      <c r="H2169" s="864">
        <v>19.98</v>
      </c>
      <c r="I2169" s="864">
        <v>540</v>
      </c>
      <c r="J2169" s="647">
        <v>5.1100000000000003</v>
      </c>
      <c r="K2169" s="863">
        <v>8.0299999999999994</v>
      </c>
      <c r="L2169" s="864">
        <v>250</v>
      </c>
      <c r="M2169" s="862">
        <v>0.33</v>
      </c>
      <c r="N2169" s="862">
        <v>0.69</v>
      </c>
      <c r="O2169" s="862">
        <v>3.8</v>
      </c>
      <c r="P2169" s="862">
        <v>4.8899999999999997</v>
      </c>
      <c r="R2169" s="647">
        <v>0.35561883326608557</v>
      </c>
      <c r="S2169" s="863">
        <v>2.4</v>
      </c>
      <c r="T2169" s="880"/>
      <c r="U2169" s="880"/>
      <c r="V2169" s="880"/>
      <c r="W2169" s="880"/>
      <c r="X2169" s="880"/>
      <c r="Y2169" s="863">
        <v>22.8</v>
      </c>
      <c r="AA2169" s="647">
        <v>3.97</v>
      </c>
      <c r="AB2169" s="647">
        <v>0.72099999999999997</v>
      </c>
      <c r="AC2169" s="862">
        <v>7.8</v>
      </c>
      <c r="AD2169" s="867">
        <v>380</v>
      </c>
      <c r="AE2169" s="867">
        <v>300</v>
      </c>
      <c r="AF2169" s="867">
        <v>320</v>
      </c>
      <c r="AG2169" s="66">
        <f t="shared" si="88"/>
        <v>124.67631578947368</v>
      </c>
      <c r="AH2169" s="143">
        <f t="shared" si="89"/>
        <v>1000</v>
      </c>
    </row>
    <row r="2170" spans="1:34" s="862" customFormat="1" x14ac:dyDescent="0.3">
      <c r="A2170" s="862">
        <v>904195</v>
      </c>
      <c r="B2170" s="863">
        <v>8.1249999999999982</v>
      </c>
      <c r="C2170" s="863"/>
      <c r="D2170" s="647">
        <v>8.26</v>
      </c>
      <c r="E2170" s="1573">
        <v>0.73399999999999999</v>
      </c>
      <c r="F2170" s="864">
        <v>807.40000000000009</v>
      </c>
      <c r="H2170" s="864">
        <v>285.98</v>
      </c>
      <c r="I2170" s="864">
        <v>970</v>
      </c>
      <c r="J2170" s="647">
        <v>0.71</v>
      </c>
      <c r="K2170" s="863">
        <v>8.0299999999999994</v>
      </c>
      <c r="L2170" s="864">
        <v>980</v>
      </c>
      <c r="M2170" s="862">
        <v>1.93</v>
      </c>
      <c r="N2170" s="862">
        <v>0.6</v>
      </c>
      <c r="O2170" s="862">
        <v>1.68</v>
      </c>
      <c r="P2170" s="862">
        <v>3.12</v>
      </c>
      <c r="R2170" s="647">
        <v>0.77420752692153305</v>
      </c>
      <c r="S2170" s="863">
        <v>5.3000000000000007</v>
      </c>
      <c r="T2170" s="880"/>
      <c r="U2170" s="880"/>
      <c r="V2170" s="880"/>
      <c r="W2170" s="880"/>
      <c r="X2170" s="880"/>
      <c r="Y2170" s="863">
        <v>25.2</v>
      </c>
      <c r="AA2170" s="647">
        <v>4.09</v>
      </c>
      <c r="AB2170" s="647">
        <v>0.28100000000000003</v>
      </c>
      <c r="AC2170" s="862">
        <v>8.1999999999999993</v>
      </c>
      <c r="AD2170" s="867">
        <v>360</v>
      </c>
      <c r="AE2170" s="867">
        <v>260</v>
      </c>
      <c r="AF2170" s="867">
        <v>380</v>
      </c>
      <c r="AG2170" s="66">
        <f t="shared" si="88"/>
        <v>112.80238095238096</v>
      </c>
      <c r="AH2170" s="143">
        <f t="shared" si="89"/>
        <v>1000</v>
      </c>
    </row>
    <row r="2171" spans="1:34" s="862" customFormat="1" x14ac:dyDescent="0.3">
      <c r="A2171" s="862">
        <v>904196</v>
      </c>
      <c r="B2171" s="863">
        <v>5.4166666666666661</v>
      </c>
      <c r="C2171" s="863"/>
      <c r="D2171" s="647">
        <v>8.33</v>
      </c>
      <c r="E2171" s="1573">
        <v>0.6</v>
      </c>
      <c r="F2171" s="864">
        <v>660</v>
      </c>
      <c r="H2171" s="864">
        <v>62.12</v>
      </c>
      <c r="I2171" s="864">
        <v>750</v>
      </c>
      <c r="J2171" s="647">
        <v>0.96</v>
      </c>
      <c r="K2171" s="863">
        <v>8.02</v>
      </c>
      <c r="L2171" s="864">
        <v>810</v>
      </c>
      <c r="M2171" s="862">
        <v>0.63</v>
      </c>
      <c r="N2171" s="862">
        <v>0.45</v>
      </c>
      <c r="O2171" s="862">
        <v>1.37</v>
      </c>
      <c r="P2171" s="862">
        <v>3.15</v>
      </c>
      <c r="R2171" s="647">
        <v>0.45176263989624471</v>
      </c>
      <c r="S2171" s="863">
        <v>3</v>
      </c>
      <c r="T2171" s="880"/>
      <c r="U2171" s="880"/>
      <c r="V2171" s="880"/>
      <c r="W2171" s="880"/>
      <c r="X2171" s="880"/>
      <c r="Y2171" s="863">
        <v>18</v>
      </c>
      <c r="AA2171" s="647">
        <v>4.8899999999999997</v>
      </c>
      <c r="AB2171" s="647">
        <v>0.85299999999999998</v>
      </c>
      <c r="AC2171" s="862">
        <v>11.4</v>
      </c>
      <c r="AD2171" s="867">
        <v>360</v>
      </c>
      <c r="AE2171" s="867">
        <v>240</v>
      </c>
      <c r="AF2171" s="867">
        <v>400</v>
      </c>
      <c r="AG2171" s="66">
        <f t="shared" si="88"/>
        <v>157.72666666666666</v>
      </c>
      <c r="AH2171" s="143">
        <f t="shared" si="89"/>
        <v>1000</v>
      </c>
    </row>
    <row r="2172" spans="1:34" s="862" customFormat="1" x14ac:dyDescent="0.3">
      <c r="A2172" s="862">
        <v>904197</v>
      </c>
      <c r="B2172" s="863">
        <v>7.083333333333333</v>
      </c>
      <c r="C2172" s="863"/>
      <c r="D2172" s="647">
        <v>8.02</v>
      </c>
      <c r="E2172" s="1573">
        <v>0.14799999999999999</v>
      </c>
      <c r="F2172" s="864">
        <v>162.80000000000001</v>
      </c>
      <c r="H2172" s="864">
        <v>224.61</v>
      </c>
      <c r="I2172" s="864">
        <v>340</v>
      </c>
      <c r="J2172" s="647">
        <v>0.02</v>
      </c>
      <c r="K2172" s="863">
        <v>8.57</v>
      </c>
      <c r="L2172" s="864">
        <v>1890</v>
      </c>
      <c r="M2172" s="862">
        <v>0.84</v>
      </c>
      <c r="N2172" s="862">
        <v>3.58</v>
      </c>
      <c r="O2172" s="862">
        <v>1.34</v>
      </c>
      <c r="P2172" s="862">
        <v>16.399999999999999</v>
      </c>
      <c r="R2172" s="647">
        <v>1.7578170000000002</v>
      </c>
      <c r="S2172" s="863">
        <v>15.3</v>
      </c>
      <c r="T2172" s="880"/>
      <c r="U2172" s="880"/>
      <c r="V2172" s="880"/>
      <c r="W2172" s="880"/>
      <c r="X2172" s="880"/>
      <c r="Y2172" s="863">
        <v>33</v>
      </c>
      <c r="AA2172" s="647">
        <v>4.1900000000000004</v>
      </c>
      <c r="AB2172" s="647">
        <v>0.72499999999999998</v>
      </c>
      <c r="AC2172" s="862">
        <v>8.4</v>
      </c>
      <c r="AD2172" s="867">
        <v>560</v>
      </c>
      <c r="AE2172" s="867">
        <v>280</v>
      </c>
      <c r="AF2172" s="867">
        <v>160</v>
      </c>
      <c r="AG2172" s="66">
        <f t="shared" si="88"/>
        <v>91.932727272727277</v>
      </c>
      <c r="AH2172" s="143">
        <f t="shared" si="89"/>
        <v>1000</v>
      </c>
    </row>
    <row r="2173" spans="1:34" s="862" customFormat="1" x14ac:dyDescent="0.3">
      <c r="A2173" s="862">
        <v>904198</v>
      </c>
      <c r="B2173" s="863">
        <v>0.24999999999999997</v>
      </c>
      <c r="C2173" s="863"/>
      <c r="D2173" s="647">
        <v>7.65</v>
      </c>
      <c r="E2173" s="1573">
        <v>0.12</v>
      </c>
      <c r="F2173" s="864">
        <v>132</v>
      </c>
      <c r="H2173" s="864">
        <v>87.88</v>
      </c>
      <c r="I2173" s="864">
        <v>210</v>
      </c>
      <c r="J2173" s="647">
        <v>7.0000000000000007E-2</v>
      </c>
      <c r="K2173" s="863">
        <v>5.14</v>
      </c>
      <c r="L2173" s="864">
        <v>930</v>
      </c>
      <c r="M2173" s="862">
        <v>1.25</v>
      </c>
      <c r="N2173" s="862">
        <v>2</v>
      </c>
      <c r="O2173" s="862">
        <v>24.07</v>
      </c>
      <c r="P2173" s="862">
        <v>13.16</v>
      </c>
      <c r="R2173" s="647">
        <v>1.706472</v>
      </c>
      <c r="S2173" s="863">
        <v>13.799999999999999</v>
      </c>
      <c r="T2173" s="880"/>
      <c r="U2173" s="880"/>
      <c r="V2173" s="880"/>
      <c r="W2173" s="880"/>
      <c r="X2173" s="880"/>
      <c r="Y2173" s="863">
        <v>22.3</v>
      </c>
      <c r="AA2173" s="647">
        <v>4.72</v>
      </c>
      <c r="AB2173" s="647">
        <v>0.48799999999999999</v>
      </c>
      <c r="AC2173" s="862">
        <v>7.6</v>
      </c>
      <c r="AD2173" s="867">
        <v>490</v>
      </c>
      <c r="AE2173" s="867">
        <v>400</v>
      </c>
      <c r="AF2173" s="867">
        <v>110</v>
      </c>
      <c r="AG2173" s="66">
        <f t="shared" si="88"/>
        <v>81.594618834080705</v>
      </c>
      <c r="AH2173" s="143">
        <f t="shared" si="89"/>
        <v>1000</v>
      </c>
    </row>
    <row r="2174" spans="1:34" s="862" customFormat="1" x14ac:dyDescent="0.3">
      <c r="A2174" s="862">
        <v>904199</v>
      </c>
      <c r="B2174" s="863">
        <v>7.9166666666666661</v>
      </c>
      <c r="C2174" s="863"/>
      <c r="D2174" s="647">
        <v>8.17</v>
      </c>
      <c r="E2174" s="1573">
        <v>0.27700000000000002</v>
      </c>
      <c r="F2174" s="864">
        <v>304.70000000000005</v>
      </c>
      <c r="H2174" s="864">
        <v>33.049999999999997</v>
      </c>
      <c r="I2174" s="864">
        <v>210</v>
      </c>
      <c r="J2174" s="647">
        <v>0.11</v>
      </c>
      <c r="K2174" s="863">
        <v>10.83</v>
      </c>
      <c r="L2174" s="864">
        <v>460</v>
      </c>
      <c r="M2174" s="862">
        <v>0.81</v>
      </c>
      <c r="N2174" s="862">
        <v>0.89</v>
      </c>
      <c r="O2174" s="862">
        <v>3.02</v>
      </c>
      <c r="P2174" s="862">
        <v>3.48</v>
      </c>
      <c r="R2174" s="647">
        <v>0.96850489751752422</v>
      </c>
      <c r="S2174" s="863">
        <v>6.7</v>
      </c>
      <c r="T2174" s="880"/>
      <c r="U2174" s="880"/>
      <c r="V2174" s="880"/>
      <c r="W2174" s="880"/>
      <c r="X2174" s="880"/>
      <c r="Y2174" s="863">
        <v>30.6</v>
      </c>
      <c r="AA2174" s="647">
        <v>4.3600000000000003</v>
      </c>
      <c r="AB2174" s="647">
        <v>0.35899999999999999</v>
      </c>
      <c r="AC2174" s="862">
        <v>9.5</v>
      </c>
      <c r="AD2174" s="867">
        <v>510</v>
      </c>
      <c r="AE2174" s="867">
        <v>280</v>
      </c>
      <c r="AF2174" s="867">
        <v>210</v>
      </c>
      <c r="AG2174" s="66">
        <f t="shared" si="88"/>
        <v>125.28823529411764</v>
      </c>
      <c r="AH2174" s="143">
        <f t="shared" si="89"/>
        <v>1000</v>
      </c>
    </row>
    <row r="2175" spans="1:34" s="862" customFormat="1" x14ac:dyDescent="0.3">
      <c r="A2175" s="862">
        <v>904200</v>
      </c>
      <c r="B2175" s="863">
        <v>17.083333333333332</v>
      </c>
      <c r="C2175" s="863">
        <v>11.5</v>
      </c>
      <c r="D2175" s="647">
        <v>8.8000000000000007</v>
      </c>
      <c r="E2175" s="1573">
        <v>0.20699999999999999</v>
      </c>
      <c r="F2175" s="864">
        <v>227.70000000000002</v>
      </c>
      <c r="H2175" s="864">
        <v>39.06</v>
      </c>
      <c r="I2175" s="864">
        <v>320</v>
      </c>
      <c r="J2175" s="647">
        <v>0.21</v>
      </c>
      <c r="K2175" s="863">
        <v>14.56</v>
      </c>
      <c r="L2175" s="864">
        <v>740</v>
      </c>
      <c r="M2175" s="862">
        <v>0.45</v>
      </c>
      <c r="N2175" s="862">
        <v>2.41</v>
      </c>
      <c r="O2175" s="862">
        <v>2.0299999999999998</v>
      </c>
      <c r="P2175" s="862">
        <v>15.24</v>
      </c>
      <c r="R2175" s="647">
        <v>1.7239370000000001</v>
      </c>
      <c r="S2175" s="863">
        <v>14.299999999999999</v>
      </c>
      <c r="T2175" s="880"/>
      <c r="U2175" s="880"/>
      <c r="V2175" s="880"/>
      <c r="W2175" s="880"/>
      <c r="X2175" s="880"/>
      <c r="Y2175" s="863">
        <v>44.8</v>
      </c>
      <c r="AA2175" s="647">
        <v>4.75</v>
      </c>
      <c r="AB2175" s="647">
        <v>0.52400000000000002</v>
      </c>
      <c r="AC2175" s="862">
        <v>10.7</v>
      </c>
      <c r="AD2175" s="867">
        <v>640</v>
      </c>
      <c r="AE2175" s="867">
        <v>260</v>
      </c>
      <c r="AF2175" s="867">
        <v>100</v>
      </c>
      <c r="AG2175" s="66">
        <f t="shared" si="88"/>
        <v>115.05</v>
      </c>
      <c r="AH2175" s="143">
        <f t="shared" si="89"/>
        <v>1000</v>
      </c>
    </row>
    <row r="2176" spans="1:34" s="862" customFormat="1" x14ac:dyDescent="0.3">
      <c r="A2176" s="862">
        <v>904201</v>
      </c>
      <c r="B2176" s="863">
        <v>7.7083333333333321</v>
      </c>
      <c r="C2176" s="863"/>
      <c r="D2176" s="647">
        <v>8.75</v>
      </c>
      <c r="E2176" s="1573">
        <v>8.7999999999999995E-2</v>
      </c>
      <c r="F2176" s="864">
        <v>96.800000000000011</v>
      </c>
      <c r="H2176" s="864">
        <v>46.78</v>
      </c>
      <c r="I2176" s="864">
        <v>30</v>
      </c>
      <c r="J2176" s="647">
        <v>0.05</v>
      </c>
      <c r="K2176" s="863">
        <v>3.51</v>
      </c>
      <c r="L2176" s="864">
        <v>70</v>
      </c>
      <c r="M2176" s="862">
        <v>0.66</v>
      </c>
      <c r="N2176" s="862">
        <v>0.22</v>
      </c>
      <c r="O2176" s="862">
        <v>4.1399999999999997</v>
      </c>
      <c r="P2176" s="862">
        <v>4.01</v>
      </c>
      <c r="R2176" s="647">
        <v>1.586408</v>
      </c>
      <c r="S2176" s="863">
        <v>10.600000000000001</v>
      </c>
      <c r="T2176" s="880"/>
      <c r="U2176" s="880"/>
      <c r="V2176" s="880"/>
      <c r="W2176" s="880"/>
      <c r="X2176" s="880"/>
      <c r="Y2176" s="863">
        <v>4.2</v>
      </c>
      <c r="AA2176" s="647">
        <v>3.63</v>
      </c>
      <c r="AB2176" s="647">
        <v>0.68700000000000006</v>
      </c>
      <c r="AC2176" s="862">
        <v>7.2</v>
      </c>
      <c r="AD2176" s="867">
        <v>60</v>
      </c>
      <c r="AE2176" s="867">
        <v>60</v>
      </c>
      <c r="AF2176" s="867">
        <v>880</v>
      </c>
      <c r="AG2176" s="66">
        <f t="shared" si="88"/>
        <v>295.8428571428571</v>
      </c>
      <c r="AH2176" s="143">
        <f t="shared" si="89"/>
        <v>1000</v>
      </c>
    </row>
    <row r="2177" spans="1:34" s="862" customFormat="1" x14ac:dyDescent="0.3">
      <c r="A2177" s="862">
        <v>904202</v>
      </c>
      <c r="B2177" s="863">
        <v>3.3333333333333326</v>
      </c>
      <c r="C2177" s="863"/>
      <c r="D2177" s="647">
        <v>8.27</v>
      </c>
      <c r="E2177" s="1573">
        <v>0.106</v>
      </c>
      <c r="F2177" s="864">
        <v>116.60000000000001</v>
      </c>
      <c r="H2177" s="864">
        <v>20.53</v>
      </c>
      <c r="I2177" s="864">
        <v>50</v>
      </c>
      <c r="J2177" s="647">
        <v>0.06</v>
      </c>
      <c r="K2177" s="863">
        <v>2.79</v>
      </c>
      <c r="L2177" s="864">
        <v>60</v>
      </c>
      <c r="M2177" s="862">
        <v>0.25</v>
      </c>
      <c r="N2177" s="862">
        <v>0.14000000000000001</v>
      </c>
      <c r="O2177" s="862">
        <v>2.93</v>
      </c>
      <c r="P2177" s="862">
        <v>2.57</v>
      </c>
      <c r="R2177" s="647">
        <v>1.4270227888344706</v>
      </c>
      <c r="S2177" s="863">
        <v>9.9</v>
      </c>
      <c r="T2177" s="880"/>
      <c r="U2177" s="880"/>
      <c r="V2177" s="880"/>
      <c r="W2177" s="880"/>
      <c r="X2177" s="880"/>
      <c r="Y2177" s="863">
        <v>4</v>
      </c>
      <c r="AA2177" s="647">
        <v>4.1100000000000003</v>
      </c>
      <c r="AB2177" s="647">
        <v>0.317</v>
      </c>
      <c r="AC2177" s="862">
        <v>8.8000000000000007</v>
      </c>
      <c r="AD2177" s="867">
        <v>80</v>
      </c>
      <c r="AE2177" s="867">
        <v>60</v>
      </c>
      <c r="AF2177" s="867">
        <v>860</v>
      </c>
      <c r="AG2177" s="66">
        <f t="shared" si="88"/>
        <v>246.91499999999999</v>
      </c>
      <c r="AH2177" s="143">
        <f t="shared" si="89"/>
        <v>1000</v>
      </c>
    </row>
    <row r="2178" spans="1:34" s="862" customFormat="1" x14ac:dyDescent="0.3">
      <c r="A2178" s="862">
        <v>904203</v>
      </c>
      <c r="B2178" s="863">
        <v>3.3333333333333335</v>
      </c>
      <c r="C2178" s="863"/>
      <c r="D2178" s="647">
        <v>8.2899999999999991</v>
      </c>
      <c r="E2178" s="1573">
        <v>0.10199999999999999</v>
      </c>
      <c r="F2178" s="864">
        <v>112.2</v>
      </c>
      <c r="H2178" s="864">
        <v>19.09</v>
      </c>
      <c r="I2178" s="864">
        <v>60</v>
      </c>
      <c r="J2178" s="647">
        <v>0.05</v>
      </c>
      <c r="K2178" s="863">
        <v>2.11</v>
      </c>
      <c r="L2178" s="864">
        <v>50</v>
      </c>
      <c r="M2178" s="862">
        <v>0.18</v>
      </c>
      <c r="N2178" s="862">
        <v>0.13</v>
      </c>
      <c r="O2178" s="862">
        <v>2.9</v>
      </c>
      <c r="P2178" s="862">
        <v>2.14</v>
      </c>
      <c r="R2178" s="647">
        <v>1.3113671534553533</v>
      </c>
      <c r="S2178" s="863">
        <v>9.3999999999999986</v>
      </c>
      <c r="T2178" s="880"/>
      <c r="U2178" s="880"/>
      <c r="V2178" s="880"/>
      <c r="W2178" s="880"/>
      <c r="X2178" s="880"/>
      <c r="Y2178" s="863">
        <v>4.9000000000000004</v>
      </c>
      <c r="AA2178" s="647">
        <v>4.57</v>
      </c>
      <c r="AB2178" s="647">
        <v>0.65100000000000002</v>
      </c>
      <c r="AC2178" s="862">
        <v>9.3000000000000007</v>
      </c>
      <c r="AD2178" s="867">
        <v>70</v>
      </c>
      <c r="AE2178" s="867">
        <v>60</v>
      </c>
      <c r="AF2178" s="867">
        <v>870</v>
      </c>
      <c r="AG2178" s="66">
        <f t="shared" ref="AG2178:AG2241" si="90">+K2178*3.54*100/Y2178</f>
        <v>152.43673469387753</v>
      </c>
      <c r="AH2178" s="143">
        <f t="shared" ref="AH2178:AH2241" si="91">+SUM(AD2178:AF2178)</f>
        <v>1000</v>
      </c>
    </row>
    <row r="2179" spans="1:34" s="862" customFormat="1" x14ac:dyDescent="0.3">
      <c r="A2179" s="862">
        <v>904204</v>
      </c>
      <c r="B2179" s="863">
        <v>0.99999999999999989</v>
      </c>
      <c r="C2179" s="863"/>
      <c r="D2179" s="647">
        <v>8.25</v>
      </c>
      <c r="E2179" s="1573">
        <v>0.10299999999999999</v>
      </c>
      <c r="F2179" s="864">
        <v>113.30000000000001</v>
      </c>
      <c r="H2179" s="864">
        <v>41.6</v>
      </c>
      <c r="I2179" s="864">
        <v>40</v>
      </c>
      <c r="J2179" s="647">
        <v>0.05</v>
      </c>
      <c r="K2179" s="863">
        <v>1.97</v>
      </c>
      <c r="L2179" s="864">
        <v>80</v>
      </c>
      <c r="M2179" s="862">
        <v>0.75</v>
      </c>
      <c r="N2179" s="862">
        <v>0.39</v>
      </c>
      <c r="O2179" s="862">
        <v>11.52</v>
      </c>
      <c r="P2179" s="862">
        <v>5.0999999999999996</v>
      </c>
      <c r="R2179" s="647">
        <v>1.6061130000000001</v>
      </c>
      <c r="S2179" s="863">
        <v>11.100000000000001</v>
      </c>
      <c r="T2179" s="880"/>
      <c r="U2179" s="880"/>
      <c r="V2179" s="880"/>
      <c r="W2179" s="880"/>
      <c r="X2179" s="880"/>
      <c r="Y2179" s="863">
        <v>4.2</v>
      </c>
      <c r="AA2179" s="647">
        <v>4.1500000000000004</v>
      </c>
      <c r="AB2179" s="647">
        <v>0.46200000000000002</v>
      </c>
      <c r="AC2179" s="862">
        <v>8.1</v>
      </c>
      <c r="AD2179" s="867">
        <v>60</v>
      </c>
      <c r="AE2179" s="867">
        <v>80</v>
      </c>
      <c r="AF2179" s="867">
        <v>860</v>
      </c>
      <c r="AG2179" s="66">
        <f t="shared" si="90"/>
        <v>166.04285714285714</v>
      </c>
      <c r="AH2179" s="143">
        <f t="shared" si="91"/>
        <v>1000</v>
      </c>
    </row>
    <row r="2180" spans="1:34" s="862" customFormat="1" x14ac:dyDescent="0.3">
      <c r="A2180" s="862">
        <v>904205</v>
      </c>
      <c r="B2180" s="863">
        <v>1.4166666666666665</v>
      </c>
      <c r="C2180" s="863"/>
      <c r="D2180" s="647">
        <v>8.2200000000000006</v>
      </c>
      <c r="E2180" s="1573">
        <v>0.111</v>
      </c>
      <c r="F2180" s="864">
        <v>122.10000000000001</v>
      </c>
      <c r="H2180" s="864">
        <v>29.2</v>
      </c>
      <c r="I2180" s="864">
        <v>30</v>
      </c>
      <c r="J2180" s="647">
        <v>0.06</v>
      </c>
      <c r="K2180" s="863">
        <v>3.37</v>
      </c>
      <c r="L2180" s="864">
        <v>140</v>
      </c>
      <c r="M2180" s="862">
        <v>0.59</v>
      </c>
      <c r="N2180" s="862">
        <v>0.37</v>
      </c>
      <c r="O2180" s="862">
        <v>5.18</v>
      </c>
      <c r="P2180" s="862">
        <v>5.98</v>
      </c>
      <c r="R2180" s="647">
        <v>1.884825</v>
      </c>
      <c r="S2180" s="863">
        <v>19.5</v>
      </c>
      <c r="T2180" s="880"/>
      <c r="U2180" s="880"/>
      <c r="V2180" s="880"/>
      <c r="W2180" s="880"/>
      <c r="X2180" s="880"/>
      <c r="Y2180" s="863">
        <v>4.2</v>
      </c>
      <c r="AA2180" s="647">
        <v>3.65</v>
      </c>
      <c r="AB2180" s="647">
        <v>0.36299999999999999</v>
      </c>
      <c r="AC2180" s="862">
        <v>7.4</v>
      </c>
      <c r="AD2180" s="867">
        <v>60</v>
      </c>
      <c r="AE2180" s="867">
        <v>60</v>
      </c>
      <c r="AF2180" s="867">
        <v>880</v>
      </c>
      <c r="AG2180" s="66">
        <f t="shared" si="90"/>
        <v>284.04285714285714</v>
      </c>
      <c r="AH2180" s="143">
        <f t="shared" si="91"/>
        <v>1000</v>
      </c>
    </row>
    <row r="2181" spans="1:34" s="862" customFormat="1" x14ac:dyDescent="0.3">
      <c r="A2181" s="862">
        <v>904206</v>
      </c>
      <c r="B2181" s="863">
        <v>1.5833333333333335</v>
      </c>
      <c r="C2181" s="863"/>
      <c r="D2181" s="647">
        <v>8.33</v>
      </c>
      <c r="E2181" s="1573">
        <v>0.09</v>
      </c>
      <c r="F2181" s="864">
        <v>99.000000000000014</v>
      </c>
      <c r="H2181" s="864">
        <v>49.3</v>
      </c>
      <c r="I2181" s="864">
        <v>40</v>
      </c>
      <c r="J2181" s="647">
        <v>0.05</v>
      </c>
      <c r="K2181" s="863">
        <v>3.36</v>
      </c>
      <c r="L2181" s="864">
        <v>120</v>
      </c>
      <c r="M2181" s="862">
        <v>0.61</v>
      </c>
      <c r="N2181" s="862">
        <v>0.28000000000000003</v>
      </c>
      <c r="O2181" s="862">
        <v>4.4400000000000004</v>
      </c>
      <c r="P2181" s="862">
        <v>7.01</v>
      </c>
      <c r="R2181" s="647">
        <v>1.8423</v>
      </c>
      <c r="S2181" s="863">
        <v>18</v>
      </c>
      <c r="T2181" s="880"/>
      <c r="U2181" s="880"/>
      <c r="V2181" s="880"/>
      <c r="W2181" s="880"/>
      <c r="X2181" s="880"/>
      <c r="Y2181" s="863">
        <v>3.6</v>
      </c>
      <c r="AA2181" s="647">
        <v>4.2</v>
      </c>
      <c r="AB2181" s="647">
        <v>0.78700000000000003</v>
      </c>
      <c r="AC2181" s="862">
        <v>9.4</v>
      </c>
      <c r="AD2181" s="867">
        <v>60</v>
      </c>
      <c r="AE2181" s="867">
        <v>60</v>
      </c>
      <c r="AF2181" s="867">
        <v>880</v>
      </c>
      <c r="AG2181" s="66">
        <f t="shared" si="90"/>
        <v>330.39999999999992</v>
      </c>
      <c r="AH2181" s="143">
        <f t="shared" si="91"/>
        <v>1000</v>
      </c>
    </row>
    <row r="2182" spans="1:34" s="898" customFormat="1" x14ac:dyDescent="0.3">
      <c r="A2182" s="898">
        <v>904207</v>
      </c>
      <c r="B2182" s="899">
        <v>28.333333333333332</v>
      </c>
      <c r="C2182" s="899">
        <v>14</v>
      </c>
      <c r="D2182" s="884">
        <v>8.42</v>
      </c>
      <c r="E2182" s="1576">
        <v>2.56</v>
      </c>
      <c r="F2182" s="898">
        <v>2816.0000000000005</v>
      </c>
      <c r="H2182" s="902">
        <v>32.06</v>
      </c>
      <c r="I2182" s="898">
        <v>170</v>
      </c>
      <c r="J2182" s="900">
        <v>0.25700000000000001</v>
      </c>
      <c r="K2182" s="900">
        <v>29.72</v>
      </c>
      <c r="L2182" s="898">
        <v>323</v>
      </c>
      <c r="M2182" s="900">
        <v>0.28000000000000003</v>
      </c>
      <c r="N2182" s="900">
        <v>0.24</v>
      </c>
      <c r="O2182" s="900">
        <v>1.04</v>
      </c>
      <c r="P2182" s="900">
        <v>0.86</v>
      </c>
      <c r="R2182" s="884">
        <v>0.68377955801356183</v>
      </c>
      <c r="S2182" s="898">
        <v>4.5</v>
      </c>
      <c r="Y2182" s="67">
        <v>14</v>
      </c>
      <c r="Z2182" s="143"/>
      <c r="AA2182" s="68">
        <v>4.5199999999999996</v>
      </c>
      <c r="AB2182" s="68">
        <v>0.85299999999999998</v>
      </c>
      <c r="AC2182" s="69">
        <v>9.1</v>
      </c>
      <c r="AD2182" s="901">
        <v>280</v>
      </c>
      <c r="AE2182" s="901">
        <v>140</v>
      </c>
      <c r="AF2182" s="901">
        <v>580</v>
      </c>
      <c r="AG2182" s="66">
        <f t="shared" si="90"/>
        <v>751.49142857142851</v>
      </c>
      <c r="AH2182" s="143">
        <f t="shared" si="91"/>
        <v>1000</v>
      </c>
    </row>
    <row r="2183" spans="1:34" s="898" customFormat="1" x14ac:dyDescent="0.3">
      <c r="A2183" s="898">
        <v>904208</v>
      </c>
      <c r="B2183" s="899">
        <v>68.333333333333329</v>
      </c>
      <c r="C2183" s="899">
        <v>15.75</v>
      </c>
      <c r="D2183" s="884">
        <v>8.4499999999999993</v>
      </c>
      <c r="E2183" s="1576">
        <v>2.41</v>
      </c>
      <c r="F2183" s="898">
        <v>2651.0000000000005</v>
      </c>
      <c r="H2183" s="902">
        <v>7.91</v>
      </c>
      <c r="I2183" s="898">
        <v>100</v>
      </c>
      <c r="J2183" s="900">
        <v>0.14899999999999999</v>
      </c>
      <c r="K2183" s="900">
        <v>14.37</v>
      </c>
      <c r="L2183" s="898">
        <v>485</v>
      </c>
      <c r="M2183" s="900">
        <v>0.09</v>
      </c>
      <c r="N2183" s="900">
        <v>0.18</v>
      </c>
      <c r="O2183" s="900">
        <v>0.59</v>
      </c>
      <c r="P2183" s="900">
        <v>0.51</v>
      </c>
      <c r="R2183" s="884">
        <v>0.70986427102094485</v>
      </c>
      <c r="S2183" s="898">
        <v>4.9000000000000004</v>
      </c>
      <c r="Y2183" s="67">
        <v>13</v>
      </c>
      <c r="Z2183" s="143"/>
      <c r="AA2183" s="68">
        <v>4.5</v>
      </c>
      <c r="AB2183" s="68">
        <v>0.85599999999999998</v>
      </c>
      <c r="AC2183" s="69">
        <v>7.8</v>
      </c>
      <c r="AD2183" s="901">
        <v>260</v>
      </c>
      <c r="AE2183" s="901">
        <v>160</v>
      </c>
      <c r="AF2183" s="901">
        <v>580</v>
      </c>
      <c r="AG2183" s="66">
        <f t="shared" si="90"/>
        <v>391.30615384615379</v>
      </c>
      <c r="AH2183" s="143">
        <f t="shared" si="91"/>
        <v>1000</v>
      </c>
    </row>
    <row r="2184" spans="1:34" s="898" customFormat="1" x14ac:dyDescent="0.3">
      <c r="A2184" s="898">
        <v>904209</v>
      </c>
      <c r="B2184" s="899">
        <v>43.333333333333329</v>
      </c>
      <c r="C2184" s="899">
        <v>15.125</v>
      </c>
      <c r="D2184" s="884">
        <v>8.59</v>
      </c>
      <c r="E2184" s="1576">
        <v>2.59</v>
      </c>
      <c r="F2184" s="898">
        <v>2849</v>
      </c>
      <c r="H2184" s="902">
        <v>4.6100000000000003</v>
      </c>
      <c r="I2184" s="898">
        <v>370</v>
      </c>
      <c r="J2184" s="900">
        <v>0.254</v>
      </c>
      <c r="K2184" s="900">
        <v>15.68</v>
      </c>
      <c r="L2184" s="898">
        <v>957</v>
      </c>
      <c r="M2184" s="900">
        <v>0.06</v>
      </c>
      <c r="N2184" s="900">
        <v>0.08</v>
      </c>
      <c r="O2184" s="900">
        <v>0.5</v>
      </c>
      <c r="P2184" s="900">
        <v>0.45</v>
      </c>
      <c r="R2184" s="884">
        <v>1.9009529999999999</v>
      </c>
      <c r="S2184" s="898">
        <v>20.099999999999998</v>
      </c>
      <c r="Y2184" s="67">
        <v>25.2</v>
      </c>
      <c r="Z2184" s="143"/>
      <c r="AA2184" s="68">
        <v>4.2300000000000004</v>
      </c>
      <c r="AB2184" s="68">
        <v>0.53800000000000003</v>
      </c>
      <c r="AC2184" s="69">
        <v>11.8</v>
      </c>
      <c r="AD2184" s="901">
        <v>420</v>
      </c>
      <c r="AE2184" s="901">
        <v>320</v>
      </c>
      <c r="AF2184" s="901">
        <v>260</v>
      </c>
      <c r="AG2184" s="66">
        <f t="shared" si="90"/>
        <v>220.26666666666665</v>
      </c>
      <c r="AH2184" s="143">
        <f t="shared" si="91"/>
        <v>1000</v>
      </c>
    </row>
    <row r="2185" spans="1:34" s="898" customFormat="1" x14ac:dyDescent="0.3">
      <c r="A2185" s="898">
        <v>904210</v>
      </c>
      <c r="B2185" s="899">
        <v>0.16666666666666666</v>
      </c>
      <c r="C2185" s="899"/>
      <c r="D2185" s="884">
        <v>8.06</v>
      </c>
      <c r="E2185" s="1576">
        <v>0.23499999999999999</v>
      </c>
      <c r="F2185" s="898">
        <v>258.5</v>
      </c>
      <c r="H2185" s="902">
        <v>337.18</v>
      </c>
      <c r="I2185" s="898">
        <v>460</v>
      </c>
      <c r="J2185" s="900">
        <v>0.04</v>
      </c>
      <c r="K2185" s="900">
        <v>3.94</v>
      </c>
      <c r="L2185" s="898">
        <v>1102</v>
      </c>
      <c r="M2185" s="900">
        <v>2.1800000000000002</v>
      </c>
      <c r="N2185" s="900">
        <v>5.31</v>
      </c>
      <c r="O2185" s="900">
        <v>29.43</v>
      </c>
      <c r="P2185" s="900">
        <v>22.16</v>
      </c>
      <c r="R2185" s="884">
        <v>1.7839130000000001</v>
      </c>
      <c r="S2185" s="898">
        <v>16.100000000000001</v>
      </c>
      <c r="Y2185" s="67">
        <v>17</v>
      </c>
      <c r="Z2185" s="143"/>
      <c r="AA2185" s="68">
        <v>4.4400000000000004</v>
      </c>
      <c r="AB2185" s="68">
        <v>0.88600000000000001</v>
      </c>
      <c r="AC2185" s="69">
        <v>8.6999999999999993</v>
      </c>
      <c r="AD2185" s="901">
        <v>460</v>
      </c>
      <c r="AE2185" s="901">
        <v>380</v>
      </c>
      <c r="AF2185" s="901">
        <v>160</v>
      </c>
      <c r="AG2185" s="66">
        <f t="shared" si="90"/>
        <v>82.044705882352943</v>
      </c>
      <c r="AH2185" s="143">
        <f t="shared" si="91"/>
        <v>1000</v>
      </c>
    </row>
    <row r="2186" spans="1:34" s="898" customFormat="1" x14ac:dyDescent="0.3">
      <c r="A2186" s="898">
        <v>904211</v>
      </c>
      <c r="B2186" s="899">
        <v>12.916666666666668</v>
      </c>
      <c r="C2186" s="899">
        <v>9.1249999999999982</v>
      </c>
      <c r="D2186" s="884">
        <v>8.57</v>
      </c>
      <c r="E2186" s="1576">
        <v>0.28799999999999998</v>
      </c>
      <c r="F2186" s="898">
        <v>316.8</v>
      </c>
      <c r="H2186" s="902">
        <v>69.290000000000006</v>
      </c>
      <c r="I2186" s="898">
        <v>770</v>
      </c>
      <c r="J2186" s="900">
        <v>0.14899999999999999</v>
      </c>
      <c r="K2186" s="900">
        <v>12.08</v>
      </c>
      <c r="L2186" s="898">
        <v>1389</v>
      </c>
      <c r="M2186" s="900">
        <v>7.03</v>
      </c>
      <c r="N2186" s="900">
        <v>5.26</v>
      </c>
      <c r="O2186" s="900">
        <v>6.49</v>
      </c>
      <c r="P2186" s="900">
        <v>6.44</v>
      </c>
      <c r="R2186" s="884">
        <v>1.7099930000000001</v>
      </c>
      <c r="S2186" s="898">
        <v>13.899999999999999</v>
      </c>
      <c r="Y2186" s="67">
        <v>33.6</v>
      </c>
      <c r="Z2186" s="143"/>
      <c r="AA2186" s="68">
        <v>4.59</v>
      </c>
      <c r="AB2186" s="68">
        <v>0.84599999999999997</v>
      </c>
      <c r="AC2186" s="69">
        <v>10.3</v>
      </c>
      <c r="AD2186" s="901">
        <v>560</v>
      </c>
      <c r="AE2186" s="901">
        <v>320</v>
      </c>
      <c r="AF2186" s="901">
        <v>120</v>
      </c>
      <c r="AG2186" s="66">
        <f t="shared" si="90"/>
        <v>127.27142857142856</v>
      </c>
      <c r="AH2186" s="143">
        <f t="shared" si="91"/>
        <v>1000</v>
      </c>
    </row>
    <row r="2187" spans="1:34" s="898" customFormat="1" x14ac:dyDescent="0.3">
      <c r="A2187" s="898">
        <v>904212</v>
      </c>
      <c r="B2187" s="899">
        <v>14.166666666666666</v>
      </c>
      <c r="C2187" s="899">
        <v>9</v>
      </c>
      <c r="D2187" s="884">
        <v>8.85</v>
      </c>
      <c r="E2187" s="1576">
        <v>0.23</v>
      </c>
      <c r="F2187" s="898">
        <v>253.00000000000006</v>
      </c>
      <c r="H2187" s="902">
        <v>51.09</v>
      </c>
      <c r="I2187" s="898">
        <v>320</v>
      </c>
      <c r="J2187" s="900">
        <v>5.5E-2</v>
      </c>
      <c r="K2187" s="900">
        <v>7.62</v>
      </c>
      <c r="L2187" s="898">
        <v>1559</v>
      </c>
      <c r="M2187" s="900">
        <v>6.11</v>
      </c>
      <c r="N2187" s="900">
        <v>8.5</v>
      </c>
      <c r="O2187" s="900">
        <v>6.12</v>
      </c>
      <c r="P2187" s="900">
        <v>7.2</v>
      </c>
      <c r="R2187" s="884">
        <v>1.6814330000000002</v>
      </c>
      <c r="S2187" s="898">
        <v>13.100000000000001</v>
      </c>
      <c r="Y2187" s="67">
        <v>27.5</v>
      </c>
      <c r="Z2187" s="143"/>
      <c r="AA2187" s="68">
        <v>3.59</v>
      </c>
      <c r="AB2187" s="68">
        <v>0.76800000000000002</v>
      </c>
      <c r="AC2187" s="69">
        <v>8.6</v>
      </c>
      <c r="AD2187" s="901">
        <v>550</v>
      </c>
      <c r="AE2187" s="901">
        <v>310</v>
      </c>
      <c r="AF2187" s="901">
        <v>140</v>
      </c>
      <c r="AG2187" s="66">
        <f t="shared" si="90"/>
        <v>98.090181818181819</v>
      </c>
      <c r="AH2187" s="143">
        <f t="shared" si="91"/>
        <v>1000</v>
      </c>
    </row>
    <row r="2188" spans="1:34" s="898" customFormat="1" x14ac:dyDescent="0.3">
      <c r="A2188" s="898">
        <v>904213</v>
      </c>
      <c r="B2188" s="899">
        <v>19.583333333333332</v>
      </c>
      <c r="C2188" s="899">
        <v>10.125</v>
      </c>
      <c r="D2188" s="884">
        <v>8.57</v>
      </c>
      <c r="E2188" s="1576">
        <v>0.313</v>
      </c>
      <c r="F2188" s="898">
        <v>344.30000000000007</v>
      </c>
      <c r="H2188" s="902">
        <v>21.76</v>
      </c>
      <c r="I2188" s="898">
        <v>290</v>
      </c>
      <c r="J2188" s="900">
        <v>0.19800000000000001</v>
      </c>
      <c r="K2188" s="900">
        <v>10.93</v>
      </c>
      <c r="L2188" s="898">
        <v>411</v>
      </c>
      <c r="M2188" s="900">
        <v>0.27</v>
      </c>
      <c r="N2188" s="900">
        <v>1.03</v>
      </c>
      <c r="O2188" s="900">
        <v>5.51</v>
      </c>
      <c r="P2188" s="900">
        <v>3.26</v>
      </c>
      <c r="R2188" s="884">
        <v>1.5824250000000002</v>
      </c>
      <c r="S2188" s="898">
        <v>10.5</v>
      </c>
      <c r="Y2188" s="67">
        <v>33.6</v>
      </c>
      <c r="Z2188" s="143"/>
      <c r="AA2188" s="68">
        <v>3.96</v>
      </c>
      <c r="AB2188" s="68">
        <v>0.373</v>
      </c>
      <c r="AC2188" s="69">
        <v>7.4</v>
      </c>
      <c r="AD2188" s="901">
        <v>560</v>
      </c>
      <c r="AE2188" s="901">
        <v>270</v>
      </c>
      <c r="AF2188" s="901">
        <v>170</v>
      </c>
      <c r="AG2188" s="66">
        <f t="shared" si="90"/>
        <v>115.15535714285713</v>
      </c>
      <c r="AH2188" s="143">
        <f t="shared" si="91"/>
        <v>1000</v>
      </c>
    </row>
    <row r="2189" spans="1:34" s="898" customFormat="1" x14ac:dyDescent="0.3">
      <c r="A2189" s="898">
        <v>904214</v>
      </c>
      <c r="B2189" s="899">
        <v>18.333333333333336</v>
      </c>
      <c r="C2189" s="899">
        <v>10.625</v>
      </c>
      <c r="D2189" s="884">
        <v>8.94</v>
      </c>
      <c r="E2189" s="1576">
        <v>0.23400000000000001</v>
      </c>
      <c r="F2189" s="898">
        <v>257.40000000000003</v>
      </c>
      <c r="H2189" s="902">
        <v>23.14</v>
      </c>
      <c r="I2189" s="898">
        <v>400</v>
      </c>
      <c r="J2189" s="900">
        <v>0.151</v>
      </c>
      <c r="K2189" s="900">
        <v>10.28</v>
      </c>
      <c r="L2189" s="898">
        <v>361</v>
      </c>
      <c r="M2189" s="900">
        <v>0.3</v>
      </c>
      <c r="N2189" s="900">
        <v>0.98</v>
      </c>
      <c r="O2189" s="900">
        <v>6.11</v>
      </c>
      <c r="P2189" s="900">
        <v>3.1</v>
      </c>
      <c r="R2189" s="884">
        <v>1.3304960061630078</v>
      </c>
      <c r="S2189" s="898">
        <v>9.9</v>
      </c>
      <c r="Y2189" s="67">
        <v>27</v>
      </c>
      <c r="Z2189" s="143"/>
      <c r="AA2189" s="68">
        <v>4.1399999999999997</v>
      </c>
      <c r="AB2189" s="68">
        <v>0.56499999999999995</v>
      </c>
      <c r="AC2189" s="69">
        <v>7</v>
      </c>
      <c r="AD2189" s="901">
        <v>540</v>
      </c>
      <c r="AE2189" s="901">
        <v>260</v>
      </c>
      <c r="AF2189" s="901">
        <v>200</v>
      </c>
      <c r="AG2189" s="66">
        <f t="shared" si="90"/>
        <v>134.78222222222223</v>
      </c>
      <c r="AH2189" s="143">
        <f t="shared" si="91"/>
        <v>1000</v>
      </c>
    </row>
    <row r="2190" spans="1:34" s="898" customFormat="1" x14ac:dyDescent="0.3">
      <c r="A2190" s="898">
        <v>904215</v>
      </c>
      <c r="B2190" s="899">
        <v>10.416666666666666</v>
      </c>
      <c r="C2190" s="899">
        <v>7.9999999999999982</v>
      </c>
      <c r="D2190" s="884">
        <v>8.44</v>
      </c>
      <c r="E2190" s="1576">
        <v>1.94</v>
      </c>
      <c r="F2190" s="898">
        <v>2134</v>
      </c>
      <c r="H2190" s="902">
        <v>99.76</v>
      </c>
      <c r="I2190" s="898">
        <v>730</v>
      </c>
      <c r="J2190" s="900">
        <v>0.75800000000000001</v>
      </c>
      <c r="K2190" s="900">
        <v>11.29</v>
      </c>
      <c r="L2190" s="898">
        <v>2066</v>
      </c>
      <c r="M2190" s="900">
        <v>0.38</v>
      </c>
      <c r="N2190" s="900">
        <v>1.17</v>
      </c>
      <c r="O2190" s="900">
        <v>3.13</v>
      </c>
      <c r="P2190" s="900">
        <v>1.8</v>
      </c>
      <c r="R2190" s="884">
        <v>1.1705752723539238</v>
      </c>
      <c r="S2190" s="898">
        <v>8</v>
      </c>
      <c r="Y2190" s="67">
        <v>40.6</v>
      </c>
      <c r="Z2190" s="143"/>
      <c r="AA2190" s="68">
        <v>3.82</v>
      </c>
      <c r="AB2190" s="68">
        <v>0.32400000000000001</v>
      </c>
      <c r="AC2190" s="69">
        <v>11.3</v>
      </c>
      <c r="AD2190" s="901">
        <v>580</v>
      </c>
      <c r="AE2190" s="901">
        <v>320</v>
      </c>
      <c r="AF2190" s="901">
        <v>100</v>
      </c>
      <c r="AG2190" s="66">
        <f t="shared" si="90"/>
        <v>98.439901477832507</v>
      </c>
      <c r="AH2190" s="143">
        <f t="shared" si="91"/>
        <v>1000</v>
      </c>
    </row>
    <row r="2191" spans="1:34" s="898" customFormat="1" x14ac:dyDescent="0.3">
      <c r="A2191" s="898">
        <v>904216</v>
      </c>
      <c r="B2191" s="899">
        <v>11.041666666666668</v>
      </c>
      <c r="C2191" s="899">
        <v>8.25</v>
      </c>
      <c r="D2191" s="884">
        <v>8.5299999999999994</v>
      </c>
      <c r="E2191" s="1576">
        <v>1.76</v>
      </c>
      <c r="F2191" s="898">
        <v>1936.0000000000002</v>
      </c>
      <c r="H2191" s="902">
        <v>37.299999999999997</v>
      </c>
      <c r="I2191" s="898">
        <v>620</v>
      </c>
      <c r="J2191" s="900">
        <v>0.66800000000000004</v>
      </c>
      <c r="K2191" s="900">
        <v>10.99</v>
      </c>
      <c r="L2191" s="898">
        <v>1906</v>
      </c>
      <c r="M2191" s="900">
        <v>0.32</v>
      </c>
      <c r="N2191" s="900">
        <v>0.62</v>
      </c>
      <c r="O2191" s="900">
        <v>2.0499999999999998</v>
      </c>
      <c r="P2191" s="900">
        <v>2.0299999999999998</v>
      </c>
      <c r="R2191" s="884">
        <v>1.6061130000000001</v>
      </c>
      <c r="S2191" s="898">
        <v>11.100000000000001</v>
      </c>
      <c r="Y2191" s="67">
        <v>42</v>
      </c>
      <c r="Z2191" s="143"/>
      <c r="AA2191" s="68">
        <v>3.47</v>
      </c>
      <c r="AB2191" s="68">
        <v>0.67400000000000004</v>
      </c>
      <c r="AC2191" s="69">
        <v>8.8000000000000007</v>
      </c>
      <c r="AD2191" s="901">
        <v>600</v>
      </c>
      <c r="AE2191" s="901">
        <v>310</v>
      </c>
      <c r="AF2191" s="901">
        <v>90</v>
      </c>
      <c r="AG2191" s="66">
        <f t="shared" si="90"/>
        <v>92.63</v>
      </c>
      <c r="AH2191" s="143">
        <f t="shared" si="91"/>
        <v>1000</v>
      </c>
    </row>
    <row r="2192" spans="1:34" s="898" customFormat="1" x14ac:dyDescent="0.3">
      <c r="A2192" s="898">
        <v>904217</v>
      </c>
      <c r="B2192" s="899">
        <v>11.875</v>
      </c>
      <c r="C2192" s="899">
        <v>8.875</v>
      </c>
      <c r="D2192" s="884">
        <v>8.69</v>
      </c>
      <c r="E2192" s="1576">
        <v>1.23</v>
      </c>
      <c r="F2192" s="898">
        <v>1353</v>
      </c>
      <c r="H2192" s="902">
        <v>41.48</v>
      </c>
      <c r="I2192" s="898">
        <v>760</v>
      </c>
      <c r="J2192" s="900">
        <v>0.84499999999999997</v>
      </c>
      <c r="K2192" s="900">
        <v>10.78</v>
      </c>
      <c r="L2192" s="898">
        <v>1729</v>
      </c>
      <c r="M2192" s="900">
        <v>0.3</v>
      </c>
      <c r="N2192" s="900">
        <v>1.25</v>
      </c>
      <c r="O2192" s="900">
        <v>1.83</v>
      </c>
      <c r="P2192" s="900">
        <v>2.62</v>
      </c>
      <c r="R2192" s="884">
        <v>0.94384598598399294</v>
      </c>
      <c r="S2192" s="898">
        <v>6.4</v>
      </c>
      <c r="Y2192" s="67">
        <v>35.4</v>
      </c>
      <c r="Z2192" s="143"/>
      <c r="AA2192" s="68">
        <v>4.45</v>
      </c>
      <c r="AB2192" s="68">
        <v>0.68500000000000005</v>
      </c>
      <c r="AC2192" s="69">
        <v>8.4</v>
      </c>
      <c r="AD2192" s="901">
        <v>590</v>
      </c>
      <c r="AE2192" s="901">
        <v>310</v>
      </c>
      <c r="AF2192" s="901">
        <v>100</v>
      </c>
      <c r="AG2192" s="66">
        <f t="shared" si="90"/>
        <v>107.8</v>
      </c>
      <c r="AH2192" s="143">
        <f t="shared" si="91"/>
        <v>1000</v>
      </c>
    </row>
    <row r="2193" spans="1:34" s="898" customFormat="1" x14ac:dyDescent="0.3">
      <c r="A2193" s="898">
        <v>904218</v>
      </c>
      <c r="B2193" s="899">
        <v>13.749999999999998</v>
      </c>
      <c r="C2193" s="899">
        <v>8.75</v>
      </c>
      <c r="D2193" s="884">
        <v>8.58</v>
      </c>
      <c r="E2193" s="1576">
        <v>1.21</v>
      </c>
      <c r="F2193" s="898">
        <v>1331</v>
      </c>
      <c r="H2193" s="902">
        <v>10.48</v>
      </c>
      <c r="I2193" s="898">
        <v>780</v>
      </c>
      <c r="J2193" s="900">
        <v>0.96799999999999997</v>
      </c>
      <c r="K2193" s="900">
        <v>11.08</v>
      </c>
      <c r="L2193" s="898">
        <v>1571</v>
      </c>
      <c r="M2193" s="900">
        <v>0.15</v>
      </c>
      <c r="N2193" s="900">
        <v>0.77</v>
      </c>
      <c r="O2193" s="900">
        <v>1.92</v>
      </c>
      <c r="P2193" s="900">
        <v>1.85</v>
      </c>
      <c r="R2193" s="884">
        <v>0.94962135701776629</v>
      </c>
      <c r="S2193" s="898">
        <v>6.4</v>
      </c>
      <c r="Y2193" s="67">
        <v>40.6</v>
      </c>
      <c r="Z2193" s="143"/>
      <c r="AA2193" s="68">
        <v>3.45</v>
      </c>
      <c r="AB2193" s="68">
        <v>0.36799999999999999</v>
      </c>
      <c r="AC2193" s="69">
        <v>6.3</v>
      </c>
      <c r="AD2193" s="901">
        <v>580</v>
      </c>
      <c r="AE2193" s="901">
        <v>320</v>
      </c>
      <c r="AF2193" s="901">
        <v>100</v>
      </c>
      <c r="AG2193" s="66">
        <f t="shared" si="90"/>
        <v>96.608866995073882</v>
      </c>
      <c r="AH2193" s="143">
        <f t="shared" si="91"/>
        <v>1000</v>
      </c>
    </row>
    <row r="2194" spans="1:34" s="898" customFormat="1" x14ac:dyDescent="0.3">
      <c r="A2194" s="898">
        <v>904219</v>
      </c>
      <c r="B2194" s="899">
        <v>5.9583333333333339</v>
      </c>
      <c r="C2194" s="899"/>
      <c r="D2194" s="884">
        <v>8.69</v>
      </c>
      <c r="E2194" s="1576">
        <v>0.61</v>
      </c>
      <c r="F2194" s="898">
        <v>671</v>
      </c>
      <c r="H2194" s="902">
        <v>11.45</v>
      </c>
      <c r="I2194" s="898">
        <v>330</v>
      </c>
      <c r="J2194" s="900">
        <v>0.20699999999999999</v>
      </c>
      <c r="K2194" s="900">
        <v>8.31</v>
      </c>
      <c r="L2194" s="898">
        <v>737</v>
      </c>
      <c r="M2194" s="900">
        <v>0.26</v>
      </c>
      <c r="N2194" s="900">
        <v>0.6</v>
      </c>
      <c r="O2194" s="900">
        <v>4.0599999999999996</v>
      </c>
      <c r="P2194" s="900">
        <v>2.64</v>
      </c>
      <c r="R2194" s="884">
        <v>1.1409078835411328</v>
      </c>
      <c r="S2194" s="898">
        <v>8.1000000000000014</v>
      </c>
      <c r="Y2194" s="67">
        <v>30</v>
      </c>
      <c r="Z2194" s="143"/>
      <c r="AA2194" s="68">
        <v>4.8600000000000003</v>
      </c>
      <c r="AB2194" s="68">
        <v>0.46</v>
      </c>
      <c r="AC2194" s="69">
        <v>8.3000000000000007</v>
      </c>
      <c r="AD2194" s="901">
        <v>600</v>
      </c>
      <c r="AE2194" s="901">
        <v>290</v>
      </c>
      <c r="AF2194" s="901">
        <v>110</v>
      </c>
      <c r="AG2194" s="66">
        <f t="shared" si="90"/>
        <v>98.058000000000007</v>
      </c>
      <c r="AH2194" s="143">
        <f t="shared" si="91"/>
        <v>1000</v>
      </c>
    </row>
    <row r="2195" spans="1:34" s="898" customFormat="1" x14ac:dyDescent="0.3">
      <c r="A2195" s="898">
        <v>904220</v>
      </c>
      <c r="B2195" s="899">
        <v>0.41666666666666669</v>
      </c>
      <c r="C2195" s="899"/>
      <c r="D2195" s="884">
        <v>8.56</v>
      </c>
      <c r="E2195" s="1576">
        <v>0.35499999999999998</v>
      </c>
      <c r="F2195" s="898">
        <v>390.5</v>
      </c>
      <c r="H2195" s="902">
        <v>91.92</v>
      </c>
      <c r="I2195" s="898">
        <v>110</v>
      </c>
      <c r="J2195" s="900">
        <v>0.219</v>
      </c>
      <c r="K2195" s="900">
        <v>2.21</v>
      </c>
      <c r="L2195" s="898">
        <v>235</v>
      </c>
      <c r="M2195" s="900">
        <v>0.34</v>
      </c>
      <c r="N2195" s="900">
        <v>0.41</v>
      </c>
      <c r="O2195" s="900">
        <v>5.08</v>
      </c>
      <c r="P2195" s="900">
        <v>4.45</v>
      </c>
      <c r="R2195" s="884">
        <v>0.61592072782231455</v>
      </c>
      <c r="S2195" s="898">
        <v>4.2</v>
      </c>
      <c r="Y2195" s="67">
        <v>8</v>
      </c>
      <c r="Z2195" s="143"/>
      <c r="AA2195" s="68">
        <v>3.58</v>
      </c>
      <c r="AB2195" s="68">
        <v>0.40200000000000002</v>
      </c>
      <c r="AC2195" s="69">
        <v>9.4</v>
      </c>
      <c r="AD2195" s="901">
        <v>260</v>
      </c>
      <c r="AE2195" s="901">
        <v>160</v>
      </c>
      <c r="AF2195" s="901">
        <v>580</v>
      </c>
      <c r="AG2195" s="66">
        <f t="shared" si="90"/>
        <v>97.792500000000004</v>
      </c>
      <c r="AH2195" s="143">
        <f t="shared" si="91"/>
        <v>1000</v>
      </c>
    </row>
    <row r="2196" spans="1:34" s="898" customFormat="1" x14ac:dyDescent="0.3">
      <c r="A2196" s="898">
        <v>904221</v>
      </c>
      <c r="B2196" s="899">
        <v>5.833333333333333</v>
      </c>
      <c r="C2196" s="899"/>
      <c r="D2196" s="884">
        <v>8.69</v>
      </c>
      <c r="E2196" s="1576">
        <v>0.245</v>
      </c>
      <c r="F2196" s="898">
        <v>269.5</v>
      </c>
      <c r="H2196" s="902">
        <v>23.92</v>
      </c>
      <c r="I2196" s="898">
        <v>830</v>
      </c>
      <c r="J2196" s="900">
        <v>0.106</v>
      </c>
      <c r="K2196" s="900">
        <v>8.4600000000000009</v>
      </c>
      <c r="L2196" s="898">
        <v>736</v>
      </c>
      <c r="M2196" s="900">
        <v>0.36</v>
      </c>
      <c r="N2196" s="900">
        <v>1.43</v>
      </c>
      <c r="O2196" s="900">
        <v>4.83</v>
      </c>
      <c r="P2196" s="900">
        <v>2.71</v>
      </c>
      <c r="R2196" s="884">
        <v>1.3339713052181512</v>
      </c>
      <c r="S2196" s="898">
        <v>9.3999999999999986</v>
      </c>
      <c r="Y2196" s="67">
        <v>28</v>
      </c>
      <c r="Z2196" s="143"/>
      <c r="AA2196" s="68">
        <v>4.1500000000000004</v>
      </c>
      <c r="AB2196" s="68">
        <v>0.60599999999999998</v>
      </c>
      <c r="AC2196" s="69">
        <v>10.5</v>
      </c>
      <c r="AD2196" s="901">
        <v>560</v>
      </c>
      <c r="AE2196" s="901">
        <v>340</v>
      </c>
      <c r="AF2196" s="901">
        <v>100</v>
      </c>
      <c r="AG2196" s="66">
        <f t="shared" si="90"/>
        <v>106.95857142857143</v>
      </c>
      <c r="AH2196" s="143">
        <f t="shared" si="91"/>
        <v>1000</v>
      </c>
    </row>
    <row r="2197" spans="1:34" s="898" customFormat="1" x14ac:dyDescent="0.3">
      <c r="A2197" s="898">
        <v>904222</v>
      </c>
      <c r="B2197" s="899">
        <v>0.33333333333333331</v>
      </c>
      <c r="C2197" s="899"/>
      <c r="D2197" s="884">
        <v>8.1999999999999993</v>
      </c>
      <c r="E2197" s="1576">
        <v>0.36699999999999999</v>
      </c>
      <c r="F2197" s="898">
        <v>403.7</v>
      </c>
      <c r="H2197" s="903">
        <v>276.55</v>
      </c>
      <c r="I2197" s="898">
        <v>350</v>
      </c>
      <c r="J2197" s="900">
        <v>0.2</v>
      </c>
      <c r="K2197" s="900">
        <v>2.0699999999999998</v>
      </c>
      <c r="L2197" s="898">
        <v>496</v>
      </c>
      <c r="M2197" s="900">
        <v>1.82</v>
      </c>
      <c r="N2197" s="900">
        <v>0.53</v>
      </c>
      <c r="O2197" s="900">
        <v>11.23</v>
      </c>
      <c r="P2197" s="900">
        <v>6</v>
      </c>
      <c r="R2197" s="884">
        <v>0.87555177081209734</v>
      </c>
      <c r="S2197" s="898">
        <v>6.3</v>
      </c>
      <c r="Y2197" s="67">
        <v>8</v>
      </c>
      <c r="Z2197" s="143"/>
      <c r="AA2197" s="68">
        <v>4.4000000000000004</v>
      </c>
      <c r="AB2197" s="68">
        <v>0.73899999999999999</v>
      </c>
      <c r="AC2197" s="69">
        <v>11</v>
      </c>
      <c r="AD2197" s="901">
        <v>140</v>
      </c>
      <c r="AE2197" s="901">
        <v>100</v>
      </c>
      <c r="AF2197" s="901">
        <v>760</v>
      </c>
      <c r="AG2197" s="66">
        <f t="shared" si="90"/>
        <v>91.597499999999997</v>
      </c>
      <c r="AH2197" s="143">
        <f t="shared" si="91"/>
        <v>1000</v>
      </c>
    </row>
    <row r="2198" spans="1:34" s="114" customFormat="1" x14ac:dyDescent="0.3">
      <c r="A2198" s="114">
        <v>904239</v>
      </c>
      <c r="B2198" s="310">
        <v>2.1833333333333331</v>
      </c>
      <c r="C2198" s="310"/>
      <c r="D2198" s="707">
        <v>8.84</v>
      </c>
      <c r="E2198" s="1543">
        <v>0.17199999999999999</v>
      </c>
      <c r="F2198" s="114">
        <v>189.20000000000002</v>
      </c>
      <c r="H2198" s="914">
        <v>20.57</v>
      </c>
      <c r="I2198" s="114">
        <v>240</v>
      </c>
      <c r="J2198" s="705">
        <v>0.158</v>
      </c>
      <c r="K2198" s="705">
        <v>6</v>
      </c>
      <c r="L2198" s="114">
        <v>2858</v>
      </c>
      <c r="M2198" s="705">
        <v>0.59</v>
      </c>
      <c r="N2198" s="705">
        <v>2.67</v>
      </c>
      <c r="O2198" s="705">
        <v>2.44</v>
      </c>
      <c r="P2198" s="705">
        <v>15.2</v>
      </c>
      <c r="R2198" s="311">
        <v>1.5982730000000001</v>
      </c>
      <c r="S2198" s="114">
        <v>10.9</v>
      </c>
      <c r="Y2198" s="314">
        <v>22</v>
      </c>
      <c r="Z2198" s="315"/>
      <c r="AA2198" s="311"/>
      <c r="AB2198" s="311"/>
      <c r="AD2198" s="776"/>
      <c r="AE2198" s="776"/>
      <c r="AF2198" s="776"/>
      <c r="AG2198" s="66">
        <f t="shared" si="90"/>
        <v>96.545454545454547</v>
      </c>
      <c r="AH2198" s="143">
        <f t="shared" si="91"/>
        <v>0</v>
      </c>
    </row>
    <row r="2199" spans="1:34" s="114" customFormat="1" x14ac:dyDescent="0.3">
      <c r="A2199" s="114">
        <v>904240</v>
      </c>
      <c r="B2199" s="310">
        <v>0.83333333333333337</v>
      </c>
      <c r="C2199" s="310"/>
      <c r="D2199" s="707">
        <v>8.74</v>
      </c>
      <c r="E2199" s="1543">
        <v>0.17399999999999999</v>
      </c>
      <c r="F2199" s="114">
        <v>191.4</v>
      </c>
      <c r="H2199" s="914">
        <v>40.229999999999997</v>
      </c>
      <c r="I2199" s="114">
        <v>200</v>
      </c>
      <c r="J2199" s="705">
        <v>0.107</v>
      </c>
      <c r="K2199" s="705">
        <v>3.87</v>
      </c>
      <c r="L2199" s="114">
        <v>2577</v>
      </c>
      <c r="M2199" s="705">
        <v>0.39</v>
      </c>
      <c r="N2199" s="705">
        <v>3.61</v>
      </c>
      <c r="O2199" s="705">
        <v>2.4700000000000002</v>
      </c>
      <c r="P2199" s="705">
        <v>10.91</v>
      </c>
      <c r="R2199" s="311">
        <v>1.6594250000000001</v>
      </c>
      <c r="S2199" s="114">
        <v>12.5</v>
      </c>
      <c r="Y2199" s="314">
        <v>26</v>
      </c>
      <c r="Z2199" s="315"/>
      <c r="AA2199" s="311"/>
      <c r="AB2199" s="311"/>
      <c r="AD2199" s="776"/>
      <c r="AE2199" s="776"/>
      <c r="AF2199" s="776"/>
      <c r="AG2199" s="66">
        <f t="shared" si="90"/>
        <v>52.691538461538464</v>
      </c>
      <c r="AH2199" s="143">
        <f t="shared" si="91"/>
        <v>0</v>
      </c>
    </row>
    <row r="2200" spans="1:34" s="114" customFormat="1" x14ac:dyDescent="0.3">
      <c r="A2200" s="114">
        <v>904241</v>
      </c>
      <c r="B2200" s="310">
        <v>9.5833333333333321</v>
      </c>
      <c r="C2200" s="310"/>
      <c r="D2200" s="707">
        <v>8.76</v>
      </c>
      <c r="E2200" s="1543">
        <v>0.151</v>
      </c>
      <c r="F2200" s="114">
        <v>166.1</v>
      </c>
      <c r="H2200" s="914">
        <v>15.8</v>
      </c>
      <c r="I2200" s="114">
        <v>250</v>
      </c>
      <c r="J2200" s="705">
        <v>0.115</v>
      </c>
      <c r="K2200" s="705">
        <v>8.1300000000000008</v>
      </c>
      <c r="L2200" s="114">
        <v>1875</v>
      </c>
      <c r="M2200" s="705">
        <v>0.55000000000000004</v>
      </c>
      <c r="N2200" s="705">
        <v>1.69</v>
      </c>
      <c r="O2200" s="705">
        <v>4.84</v>
      </c>
      <c r="P2200" s="705">
        <v>13.09</v>
      </c>
      <c r="R2200" s="311">
        <v>1.666817</v>
      </c>
      <c r="S2200" s="114">
        <v>12.7</v>
      </c>
      <c r="Y2200" s="314">
        <v>30</v>
      </c>
      <c r="Z2200" s="315"/>
      <c r="AA2200" s="311"/>
      <c r="AB2200" s="311"/>
      <c r="AD2200" s="776"/>
      <c r="AE2200" s="776"/>
      <c r="AF2200" s="776"/>
      <c r="AG2200" s="66">
        <f t="shared" si="90"/>
        <v>95.934000000000012</v>
      </c>
      <c r="AH2200" s="143">
        <f t="shared" si="91"/>
        <v>0</v>
      </c>
    </row>
    <row r="2201" spans="1:34" s="114" customFormat="1" x14ac:dyDescent="0.3">
      <c r="A2201" s="114">
        <v>904242</v>
      </c>
      <c r="B2201" s="310">
        <v>0.54166666666666663</v>
      </c>
      <c r="C2201" s="310"/>
      <c r="D2201" s="707">
        <v>8.76</v>
      </c>
      <c r="E2201" s="1543">
        <v>0.18</v>
      </c>
      <c r="F2201" s="114">
        <v>198</v>
      </c>
      <c r="H2201" s="914">
        <v>518.52</v>
      </c>
      <c r="I2201" s="114">
        <v>150</v>
      </c>
      <c r="J2201" s="705">
        <v>0.185</v>
      </c>
      <c r="K2201" s="705">
        <v>3.88</v>
      </c>
      <c r="L2201" s="114">
        <v>2754</v>
      </c>
      <c r="M2201" s="705">
        <v>0.8</v>
      </c>
      <c r="N2201" s="705">
        <v>3.31</v>
      </c>
      <c r="O2201" s="705">
        <v>5.91</v>
      </c>
      <c r="P2201" s="705">
        <v>20.05</v>
      </c>
      <c r="R2201" s="311">
        <v>1.674153</v>
      </c>
      <c r="S2201" s="114">
        <v>12.9</v>
      </c>
      <c r="Y2201" s="314">
        <v>22</v>
      </c>
      <c r="Z2201" s="315"/>
      <c r="AA2201" s="311"/>
      <c r="AB2201" s="311"/>
      <c r="AD2201" s="776"/>
      <c r="AE2201" s="776"/>
      <c r="AF2201" s="776"/>
      <c r="AG2201" s="66">
        <f t="shared" si="90"/>
        <v>62.43272727272727</v>
      </c>
      <c r="AH2201" s="143">
        <f t="shared" si="91"/>
        <v>0</v>
      </c>
    </row>
    <row r="2202" spans="1:34" s="114" customFormat="1" x14ac:dyDescent="0.3">
      <c r="A2202" s="114">
        <v>904243</v>
      </c>
      <c r="B2202" s="310">
        <v>0.16666666666666666</v>
      </c>
      <c r="C2202" s="310"/>
      <c r="D2202" s="707">
        <v>8.02</v>
      </c>
      <c r="E2202" s="1543">
        <v>0.112</v>
      </c>
      <c r="F2202" s="114">
        <v>123.20000000000002</v>
      </c>
      <c r="H2202" s="914">
        <v>96.19</v>
      </c>
      <c r="I2202" s="114">
        <v>80</v>
      </c>
      <c r="J2202" s="705">
        <v>0.126</v>
      </c>
      <c r="K2202" s="705">
        <v>1.5</v>
      </c>
      <c r="L2202" s="114">
        <v>154</v>
      </c>
      <c r="M2202" s="705"/>
      <c r="N2202" s="705"/>
      <c r="O2202" s="705"/>
      <c r="P2202" s="705"/>
      <c r="R2202" s="311">
        <v>1.586408</v>
      </c>
      <c r="S2202" s="114">
        <v>10.600000000000001</v>
      </c>
      <c r="Y2202" s="314">
        <v>3.6</v>
      </c>
      <c r="Z2202" s="315"/>
      <c r="AA2202" s="311"/>
      <c r="AB2202" s="311"/>
      <c r="AD2202" s="776"/>
      <c r="AE2202" s="776"/>
      <c r="AF2202" s="776"/>
      <c r="AG2202" s="66">
        <f t="shared" si="90"/>
        <v>147.5</v>
      </c>
      <c r="AH2202" s="143">
        <f t="shared" si="91"/>
        <v>0</v>
      </c>
    </row>
    <row r="2203" spans="1:34" s="114" customFormat="1" ht="20.100000000000001" customHeight="1" x14ac:dyDescent="0.3">
      <c r="A2203" s="114">
        <v>904244</v>
      </c>
      <c r="B2203" s="310">
        <v>1.8333333333333333</v>
      </c>
      <c r="C2203" s="310"/>
      <c r="D2203" s="707">
        <v>8.3800000000000008</v>
      </c>
      <c r="E2203" s="1543">
        <v>0.16500000000000001</v>
      </c>
      <c r="F2203" s="114">
        <v>181.50000000000003</v>
      </c>
      <c r="H2203" s="914">
        <v>130.29</v>
      </c>
      <c r="I2203" s="114">
        <v>100</v>
      </c>
      <c r="J2203" s="705">
        <v>0.14899999999999999</v>
      </c>
      <c r="K2203" s="705">
        <v>2.74</v>
      </c>
      <c r="L2203" s="114">
        <v>187</v>
      </c>
      <c r="M2203" s="705"/>
      <c r="N2203" s="705"/>
      <c r="O2203" s="705"/>
      <c r="P2203" s="705"/>
      <c r="R2203" s="311">
        <v>1.7677080000000001</v>
      </c>
      <c r="S2203" s="114">
        <v>15.600000000000001</v>
      </c>
      <c r="Y2203" s="314">
        <v>4</v>
      </c>
      <c r="Z2203" s="315"/>
      <c r="AA2203" s="311"/>
      <c r="AB2203" s="311"/>
      <c r="AD2203" s="776"/>
      <c r="AE2203" s="776"/>
      <c r="AF2203" s="776"/>
      <c r="AG2203" s="66">
        <f t="shared" si="90"/>
        <v>242.49</v>
      </c>
      <c r="AH2203" s="143">
        <f t="shared" si="91"/>
        <v>0</v>
      </c>
    </row>
    <row r="2204" spans="1:34" s="898" customFormat="1" x14ac:dyDescent="0.3">
      <c r="A2204" s="898">
        <v>904245</v>
      </c>
      <c r="B2204" s="899">
        <v>50</v>
      </c>
      <c r="C2204" s="899">
        <v>13.375</v>
      </c>
      <c r="D2204" s="884">
        <v>8.8000000000000007</v>
      </c>
      <c r="E2204" s="1576">
        <v>0.13700000000000001</v>
      </c>
      <c r="F2204" s="898">
        <v>150.70000000000002</v>
      </c>
      <c r="H2204" s="903">
        <v>22.98</v>
      </c>
      <c r="I2204" s="898">
        <v>50</v>
      </c>
      <c r="J2204" s="900">
        <v>8.5000000000000006E-2</v>
      </c>
      <c r="K2204" s="900">
        <v>8.11</v>
      </c>
      <c r="L2204" s="898">
        <v>591</v>
      </c>
      <c r="M2204" s="900">
        <v>0.23</v>
      </c>
      <c r="N2204" s="900">
        <v>0.28000000000000003</v>
      </c>
      <c r="O2204" s="900">
        <v>2.7</v>
      </c>
      <c r="P2204" s="900">
        <v>3.9</v>
      </c>
      <c r="R2204" s="884">
        <v>1.9267129999999999</v>
      </c>
      <c r="S2204" s="898">
        <v>21.099999999999998</v>
      </c>
      <c r="Y2204" s="67">
        <v>4.2</v>
      </c>
      <c r="Z2204" s="143"/>
      <c r="AA2204" s="68">
        <v>4.6900000000000004</v>
      </c>
      <c r="AB2204" s="68">
        <v>0.69</v>
      </c>
      <c r="AC2204" s="69">
        <v>11.5</v>
      </c>
      <c r="AD2204" s="901">
        <v>60</v>
      </c>
      <c r="AE2204" s="901">
        <v>60</v>
      </c>
      <c r="AF2204" s="901">
        <v>880</v>
      </c>
      <c r="AG2204" s="66">
        <f t="shared" si="90"/>
        <v>683.55714285714282</v>
      </c>
      <c r="AH2204" s="143">
        <f t="shared" si="91"/>
        <v>1000</v>
      </c>
    </row>
    <row r="2205" spans="1:34" s="898" customFormat="1" x14ac:dyDescent="0.3">
      <c r="A2205" s="898">
        <v>904246</v>
      </c>
      <c r="B2205" s="899">
        <v>55.833333333333336</v>
      </c>
      <c r="C2205" s="899">
        <v>14.249999999999998</v>
      </c>
      <c r="D2205" s="884">
        <v>8.84</v>
      </c>
      <c r="E2205" s="1576">
        <v>0.13300000000000001</v>
      </c>
      <c r="F2205" s="898">
        <v>146.30000000000001</v>
      </c>
      <c r="H2205" s="903">
        <v>28.07</v>
      </c>
      <c r="I2205" s="898">
        <v>50</v>
      </c>
      <c r="J2205" s="900">
        <v>5.7000000000000002E-2</v>
      </c>
      <c r="K2205" s="900">
        <v>7.66</v>
      </c>
      <c r="L2205" s="898">
        <v>543</v>
      </c>
      <c r="M2205" s="900">
        <v>0.34</v>
      </c>
      <c r="N2205" s="900">
        <v>0.27</v>
      </c>
      <c r="O2205" s="900">
        <v>3.06</v>
      </c>
      <c r="P2205" s="900">
        <v>3.79</v>
      </c>
      <c r="R2205" s="884">
        <v>1.8625370000000001</v>
      </c>
      <c r="S2205" s="898">
        <v>18.700000000000003</v>
      </c>
      <c r="Y2205" s="67">
        <v>4.2</v>
      </c>
      <c r="Z2205" s="143"/>
      <c r="AA2205" s="68">
        <v>4.8499999999999996</v>
      </c>
      <c r="AB2205" s="68">
        <v>0.63200000000000001</v>
      </c>
      <c r="AC2205" s="69">
        <v>7.6</v>
      </c>
      <c r="AD2205" s="901">
        <v>70</v>
      </c>
      <c r="AE2205" s="901">
        <v>60</v>
      </c>
      <c r="AF2205" s="901">
        <v>870</v>
      </c>
      <c r="AG2205" s="66">
        <f t="shared" si="90"/>
        <v>645.62857142857149</v>
      </c>
      <c r="AH2205" s="143">
        <f t="shared" si="91"/>
        <v>1000</v>
      </c>
    </row>
    <row r="2206" spans="1:34" s="898" customFormat="1" x14ac:dyDescent="0.3">
      <c r="A2206" s="898">
        <v>904247</v>
      </c>
      <c r="B2206" s="899">
        <v>14.583333333333332</v>
      </c>
      <c r="C2206" s="899">
        <v>5</v>
      </c>
      <c r="D2206" s="884">
        <v>8.49</v>
      </c>
      <c r="E2206" s="1576">
        <v>0.79100000000000004</v>
      </c>
      <c r="F2206" s="898">
        <v>870.10000000000014</v>
      </c>
      <c r="H2206" s="903">
        <v>4.6900000000000004</v>
      </c>
      <c r="I2206" s="898">
        <v>160</v>
      </c>
      <c r="J2206" s="900">
        <v>0.37</v>
      </c>
      <c r="K2206" s="900">
        <v>8.41</v>
      </c>
      <c r="L2206" s="898">
        <v>865</v>
      </c>
      <c r="M2206" s="900">
        <v>0.32</v>
      </c>
      <c r="N2206" s="900">
        <v>0.77</v>
      </c>
      <c r="O2206" s="900">
        <v>4.41</v>
      </c>
      <c r="P2206" s="900">
        <v>2.38</v>
      </c>
      <c r="R2206" s="884">
        <v>0.55196747601471563</v>
      </c>
      <c r="S2206" s="898">
        <v>3.8</v>
      </c>
      <c r="Y2206" s="67">
        <v>27</v>
      </c>
      <c r="Z2206" s="143"/>
      <c r="AA2206" s="68">
        <v>4.72</v>
      </c>
      <c r="AB2206" s="68">
        <v>0.80400000000000005</v>
      </c>
      <c r="AC2206" s="69">
        <v>8.6</v>
      </c>
      <c r="AD2206" s="901">
        <v>540</v>
      </c>
      <c r="AE2206" s="901">
        <v>300</v>
      </c>
      <c r="AF2206" s="901">
        <v>160</v>
      </c>
      <c r="AG2206" s="66">
        <f t="shared" si="90"/>
        <v>110.26444444444444</v>
      </c>
      <c r="AH2206" s="143">
        <f t="shared" si="91"/>
        <v>1000</v>
      </c>
    </row>
    <row r="2207" spans="1:34" s="898" customFormat="1" x14ac:dyDescent="0.3">
      <c r="A2207" s="898">
        <v>904248</v>
      </c>
      <c r="B2207" s="899">
        <v>3.4722222222222219</v>
      </c>
      <c r="C2207" s="899"/>
      <c r="D2207" s="884">
        <v>8.4600000000000009</v>
      </c>
      <c r="E2207" s="1576">
        <v>0.35299999999999998</v>
      </c>
      <c r="F2207" s="898">
        <v>388.3</v>
      </c>
      <c r="H2207" s="903">
        <v>37.68</v>
      </c>
      <c r="I2207" s="898">
        <v>270</v>
      </c>
      <c r="J2207" s="900">
        <v>0.22500000000000001</v>
      </c>
      <c r="K2207" s="900">
        <v>7.52</v>
      </c>
      <c r="L2207" s="898">
        <v>426</v>
      </c>
      <c r="M2207" s="900">
        <v>1.33</v>
      </c>
      <c r="N2207" s="900">
        <v>0.57999999999999996</v>
      </c>
      <c r="O2207" s="900">
        <v>4.3600000000000003</v>
      </c>
      <c r="P2207" s="900">
        <v>2.54</v>
      </c>
      <c r="R2207" s="884">
        <v>1.1270198175305108</v>
      </c>
      <c r="S2207" s="898">
        <v>7.9</v>
      </c>
      <c r="Y2207" s="67">
        <v>21.6</v>
      </c>
      <c r="Z2207" s="143"/>
      <c r="AA2207" s="68">
        <v>4.6399999999999997</v>
      </c>
      <c r="AB2207" s="68">
        <v>0.42299999999999999</v>
      </c>
      <c r="AC2207" s="69">
        <v>8.3000000000000007</v>
      </c>
      <c r="AD2207" s="901">
        <v>360</v>
      </c>
      <c r="AE2207" s="901">
        <v>240</v>
      </c>
      <c r="AF2207" s="901">
        <v>400</v>
      </c>
      <c r="AG2207" s="66">
        <f t="shared" si="90"/>
        <v>123.24444444444444</v>
      </c>
      <c r="AH2207" s="143">
        <f t="shared" si="91"/>
        <v>1000</v>
      </c>
    </row>
    <row r="2208" spans="1:34" s="898" customFormat="1" x14ac:dyDescent="0.3">
      <c r="A2208" s="898">
        <v>904249</v>
      </c>
      <c r="B2208" s="899">
        <v>9.5833333333333321</v>
      </c>
      <c r="C2208" s="899"/>
      <c r="D2208" s="884">
        <v>8.74</v>
      </c>
      <c r="E2208" s="1576">
        <v>0.26400000000000001</v>
      </c>
      <c r="F2208" s="898">
        <v>290.40000000000003</v>
      </c>
      <c r="H2208" s="903">
        <v>43.25</v>
      </c>
      <c r="I2208" s="898">
        <v>250</v>
      </c>
      <c r="J2208" s="900">
        <v>0.191</v>
      </c>
      <c r="K2208" s="900">
        <v>10.1</v>
      </c>
      <c r="L2208" s="898">
        <v>424</v>
      </c>
      <c r="M2208" s="900">
        <v>0.52</v>
      </c>
      <c r="N2208" s="900">
        <v>0.56999999999999995</v>
      </c>
      <c r="O2208" s="900">
        <v>2.85</v>
      </c>
      <c r="P2208" s="900">
        <v>2.65</v>
      </c>
      <c r="R2208" s="884">
        <v>0.82728752523266114</v>
      </c>
      <c r="S2208" s="898">
        <v>5.8999999999999995</v>
      </c>
      <c r="Y2208" s="67">
        <v>35</v>
      </c>
      <c r="Z2208" s="143"/>
      <c r="AA2208" s="68">
        <v>4.38</v>
      </c>
      <c r="AB2208" s="68">
        <v>0.47399999999999998</v>
      </c>
      <c r="AC2208" s="69">
        <v>8.1999999999999993</v>
      </c>
      <c r="AD2208" s="901">
        <v>500</v>
      </c>
      <c r="AE2208" s="901">
        <v>260</v>
      </c>
      <c r="AF2208" s="901">
        <v>240</v>
      </c>
      <c r="AG2208" s="66">
        <f t="shared" si="90"/>
        <v>102.15428571428571</v>
      </c>
      <c r="AH2208" s="143">
        <f t="shared" si="91"/>
        <v>1000</v>
      </c>
    </row>
    <row r="2209" spans="1:34" s="898" customFormat="1" x14ac:dyDescent="0.3">
      <c r="A2209" s="898">
        <v>904250</v>
      </c>
      <c r="B2209" s="899">
        <v>11.249999999999998</v>
      </c>
      <c r="C2209" s="899">
        <v>7</v>
      </c>
      <c r="D2209" s="884">
        <v>8.8000000000000007</v>
      </c>
      <c r="E2209" s="1576">
        <v>0.36499999999999999</v>
      </c>
      <c r="F2209" s="898">
        <v>401.5</v>
      </c>
      <c r="H2209" s="903">
        <v>36.96</v>
      </c>
      <c r="I2209" s="898">
        <v>160</v>
      </c>
      <c r="J2209" s="900">
        <v>0.26900000000000002</v>
      </c>
      <c r="K2209" s="900">
        <v>9.99</v>
      </c>
      <c r="L2209" s="898">
        <v>762</v>
      </c>
      <c r="M2209" s="900">
        <v>1.36</v>
      </c>
      <c r="N2209" s="900">
        <v>0.51</v>
      </c>
      <c r="O2209" s="900">
        <v>2.65</v>
      </c>
      <c r="P2209" s="900">
        <v>2.2799999999999998</v>
      </c>
      <c r="R2209" s="884">
        <v>1.0786346110677205</v>
      </c>
      <c r="S2209" s="898">
        <v>7.1999999999999993</v>
      </c>
      <c r="Y2209" s="67">
        <v>25.5</v>
      </c>
      <c r="Z2209" s="143"/>
      <c r="AA2209" s="68">
        <v>3.53</v>
      </c>
      <c r="AB2209" s="68">
        <v>0.66500000000000004</v>
      </c>
      <c r="AC2209" s="69">
        <v>9.6999999999999993</v>
      </c>
      <c r="AD2209" s="901">
        <v>510</v>
      </c>
      <c r="AE2209" s="901">
        <v>260</v>
      </c>
      <c r="AF2209" s="901">
        <v>230</v>
      </c>
      <c r="AG2209" s="66">
        <f t="shared" si="90"/>
        <v>138.68470588235297</v>
      </c>
      <c r="AH2209" s="143">
        <f t="shared" si="91"/>
        <v>1000</v>
      </c>
    </row>
    <row r="2210" spans="1:34" s="898" customFormat="1" x14ac:dyDescent="0.3">
      <c r="A2210" s="898">
        <v>904251</v>
      </c>
      <c r="B2210" s="899">
        <v>17.5</v>
      </c>
      <c r="C2210" s="899">
        <v>8.4999999999999982</v>
      </c>
      <c r="D2210" s="884">
        <v>8.7799999999999994</v>
      </c>
      <c r="E2210" s="1576">
        <v>0.60399999999999998</v>
      </c>
      <c r="F2210" s="898">
        <v>664.4</v>
      </c>
      <c r="H2210" s="903">
        <v>43.39</v>
      </c>
      <c r="I2210" s="898">
        <v>140</v>
      </c>
      <c r="J2210" s="900">
        <v>0.41</v>
      </c>
      <c r="K2210" s="900">
        <v>10.26</v>
      </c>
      <c r="L2210" s="898">
        <v>718</v>
      </c>
      <c r="M2210" s="900">
        <v>1.43</v>
      </c>
      <c r="N2210" s="900">
        <v>0.49</v>
      </c>
      <c r="O2210" s="900">
        <v>2.02</v>
      </c>
      <c r="P2210" s="900">
        <v>2.04</v>
      </c>
      <c r="R2210" s="884">
        <v>0.95149735555602744</v>
      </c>
      <c r="S2210" s="898">
        <v>6.7</v>
      </c>
      <c r="Y2210" s="67">
        <v>26</v>
      </c>
      <c r="Z2210" s="143"/>
      <c r="AA2210" s="68">
        <v>4.6100000000000003</v>
      </c>
      <c r="AB2210" s="68">
        <v>0.83299999999999996</v>
      </c>
      <c r="AC2210" s="69">
        <v>9.1</v>
      </c>
      <c r="AD2210" s="901">
        <v>520</v>
      </c>
      <c r="AE2210" s="901">
        <v>220</v>
      </c>
      <c r="AF2210" s="901">
        <v>260</v>
      </c>
      <c r="AG2210" s="66">
        <f t="shared" si="90"/>
        <v>139.69384615384615</v>
      </c>
      <c r="AH2210" s="143">
        <f t="shared" si="91"/>
        <v>1000</v>
      </c>
    </row>
    <row r="2211" spans="1:34" s="898" customFormat="1" x14ac:dyDescent="0.3">
      <c r="A2211" s="898">
        <v>904252</v>
      </c>
      <c r="B2211" s="899">
        <v>9.5833333333333321</v>
      </c>
      <c r="C2211" s="899"/>
      <c r="D2211" s="884">
        <v>8.73</v>
      </c>
      <c r="E2211" s="1576">
        <v>0.214</v>
      </c>
      <c r="F2211" s="898">
        <v>235.40000000000003</v>
      </c>
      <c r="H2211" s="903">
        <v>82.17</v>
      </c>
      <c r="I2211" s="898">
        <v>140</v>
      </c>
      <c r="J2211" s="900">
        <v>0.111</v>
      </c>
      <c r="K2211" s="900">
        <v>6.95</v>
      </c>
      <c r="L2211" s="898">
        <v>280</v>
      </c>
      <c r="M2211" s="900">
        <v>0.75</v>
      </c>
      <c r="N2211" s="900">
        <v>0.3</v>
      </c>
      <c r="O2211" s="900">
        <v>2.98</v>
      </c>
      <c r="P2211" s="900">
        <v>1.78</v>
      </c>
      <c r="R2211" s="884">
        <v>0.43211928822121293</v>
      </c>
      <c r="S2211" s="898">
        <v>3.2</v>
      </c>
      <c r="Y2211" s="67">
        <v>3</v>
      </c>
      <c r="Z2211" s="143"/>
      <c r="AA2211" s="68">
        <v>4.8</v>
      </c>
      <c r="AB2211" s="68">
        <v>0.61899999999999999</v>
      </c>
      <c r="AC2211" s="69">
        <v>11.6</v>
      </c>
      <c r="AD2211" s="901">
        <v>60</v>
      </c>
      <c r="AE2211" s="901">
        <v>60</v>
      </c>
      <c r="AF2211" s="901">
        <v>880</v>
      </c>
      <c r="AG2211" s="66">
        <f t="shared" si="90"/>
        <v>820.1</v>
      </c>
      <c r="AH2211" s="143">
        <f t="shared" si="91"/>
        <v>1000</v>
      </c>
    </row>
    <row r="2212" spans="1:34" s="898" customFormat="1" x14ac:dyDescent="0.3">
      <c r="A2212" s="898">
        <v>904253</v>
      </c>
      <c r="B2212" s="899">
        <v>11.666666666666666</v>
      </c>
      <c r="C2212" s="899">
        <v>6.4999999999999991</v>
      </c>
      <c r="D2212" s="884">
        <v>8.77</v>
      </c>
      <c r="E2212" s="1576">
        <v>0.156</v>
      </c>
      <c r="F2212" s="898">
        <v>171.6</v>
      </c>
      <c r="H2212" s="903">
        <v>19.57</v>
      </c>
      <c r="I2212" s="898">
        <v>260</v>
      </c>
      <c r="J2212" s="900">
        <v>6.8000000000000005E-2</v>
      </c>
      <c r="K2212" s="900">
        <v>11.85</v>
      </c>
      <c r="L2212" s="898">
        <v>645</v>
      </c>
      <c r="M2212" s="900">
        <v>0.27</v>
      </c>
      <c r="N2212" s="900">
        <v>0.57999999999999996</v>
      </c>
      <c r="O2212" s="900">
        <v>3.53</v>
      </c>
      <c r="P2212" s="900">
        <v>3.35</v>
      </c>
      <c r="R2212" s="884">
        <v>1.4001551022095029</v>
      </c>
      <c r="S2212" s="898">
        <v>10.1</v>
      </c>
      <c r="Y2212" s="67">
        <v>28</v>
      </c>
      <c r="Z2212" s="143"/>
      <c r="AA2212" s="68">
        <v>4.71</v>
      </c>
      <c r="AB2212" s="68">
        <v>0.746</v>
      </c>
      <c r="AC2212" s="69">
        <v>10.4</v>
      </c>
      <c r="AD2212" s="901">
        <v>560</v>
      </c>
      <c r="AE2212" s="901">
        <v>300</v>
      </c>
      <c r="AF2212" s="901">
        <v>140</v>
      </c>
      <c r="AG2212" s="66">
        <f t="shared" si="90"/>
        <v>149.81785714285712</v>
      </c>
      <c r="AH2212" s="143">
        <f t="shared" si="91"/>
        <v>1000</v>
      </c>
    </row>
    <row r="2213" spans="1:34" x14ac:dyDescent="0.3">
      <c r="A2213" s="943">
        <v>904254</v>
      </c>
      <c r="B2213" s="138">
        <v>8.1249999999999982</v>
      </c>
      <c r="D2213" s="152">
        <v>8.89</v>
      </c>
      <c r="E2213" s="752">
        <v>0.17299999999999999</v>
      </c>
      <c r="F2213" s="142">
        <v>190.3</v>
      </c>
      <c r="G2213" s="942"/>
      <c r="H2213" s="142">
        <v>97.07</v>
      </c>
      <c r="I2213" s="142">
        <v>160</v>
      </c>
      <c r="J2213" s="141">
        <v>2.9000000000000001E-2</v>
      </c>
      <c r="K2213" s="138">
        <v>6.13</v>
      </c>
      <c r="L2213" s="140">
        <v>410</v>
      </c>
      <c r="M2213" s="140">
        <v>1.02</v>
      </c>
      <c r="N2213" s="140">
        <v>0.31</v>
      </c>
      <c r="O2213" s="140">
        <v>1.44</v>
      </c>
      <c r="P2213" s="140">
        <v>2.27</v>
      </c>
      <c r="R2213" s="139">
        <v>0.93726683842068237</v>
      </c>
      <c r="S2213" s="138">
        <v>6.2</v>
      </c>
      <c r="T2213" s="14"/>
      <c r="U2213" s="14"/>
      <c r="V2213" s="14"/>
      <c r="Y2213" s="941">
        <v>3</v>
      </c>
      <c r="AA2213" s="139">
        <v>3.76</v>
      </c>
      <c r="AB2213" s="139">
        <v>0.67300000000000004</v>
      </c>
      <c r="AC2213" s="140">
        <v>12</v>
      </c>
      <c r="AD2213" s="70">
        <v>60</v>
      </c>
      <c r="AE2213" s="70">
        <v>60</v>
      </c>
      <c r="AF2213" s="70">
        <v>880</v>
      </c>
      <c r="AG2213" s="66">
        <f t="shared" si="90"/>
        <v>723.34</v>
      </c>
      <c r="AH2213" s="143">
        <f t="shared" si="91"/>
        <v>1000</v>
      </c>
    </row>
    <row r="2214" spans="1:34" x14ac:dyDescent="0.3">
      <c r="A2214" s="943">
        <v>904255</v>
      </c>
      <c r="B2214" s="138">
        <v>7.2916666666666661</v>
      </c>
      <c r="D2214" s="152">
        <v>8.9600000000000009</v>
      </c>
      <c r="E2214" s="752">
        <v>0.13600000000000001</v>
      </c>
      <c r="F2214" s="142">
        <v>149.60000000000002</v>
      </c>
      <c r="G2214" s="942"/>
      <c r="H2214" s="142">
        <v>62.72</v>
      </c>
      <c r="I2214" s="142">
        <v>110</v>
      </c>
      <c r="J2214" s="141">
        <v>3.3000000000000002E-2</v>
      </c>
      <c r="K2214" s="138">
        <v>6.2</v>
      </c>
      <c r="L2214" s="140">
        <v>750</v>
      </c>
      <c r="M2214" s="140">
        <v>2.2400000000000002</v>
      </c>
      <c r="N2214" s="140">
        <v>0.59</v>
      </c>
      <c r="O2214" s="140">
        <v>3.14</v>
      </c>
      <c r="P2214" s="140">
        <v>2.89</v>
      </c>
      <c r="R2214" s="139">
        <v>0.73014325723232476</v>
      </c>
      <c r="S2214" s="138">
        <v>5.4</v>
      </c>
      <c r="T2214" s="14"/>
      <c r="U2214" s="14"/>
      <c r="V2214" s="14"/>
      <c r="Y2214" s="941">
        <v>6</v>
      </c>
      <c r="AA2214" s="139">
        <v>4.07</v>
      </c>
      <c r="AB2214" s="139">
        <v>0.56599999999999995</v>
      </c>
      <c r="AC2214" s="140">
        <v>11.2</v>
      </c>
      <c r="AD2214" s="70">
        <v>120</v>
      </c>
      <c r="AE2214" s="70">
        <v>60</v>
      </c>
      <c r="AF2214" s="70">
        <v>820</v>
      </c>
      <c r="AG2214" s="66">
        <f t="shared" si="90"/>
        <v>365.8</v>
      </c>
      <c r="AH2214" s="143">
        <f t="shared" si="91"/>
        <v>1000</v>
      </c>
    </row>
    <row r="2215" spans="1:34" x14ac:dyDescent="0.3">
      <c r="A2215" s="943">
        <v>904256</v>
      </c>
      <c r="B2215" s="138">
        <v>7.9583333333333321</v>
      </c>
      <c r="D2215" s="152">
        <v>8.9700000000000006</v>
      </c>
      <c r="E2215" s="752">
        <v>0.128</v>
      </c>
      <c r="F2215" s="142">
        <v>140.80000000000001</v>
      </c>
      <c r="G2215" s="942"/>
      <c r="H2215" s="142">
        <v>64.33</v>
      </c>
      <c r="I2215" s="142">
        <v>210</v>
      </c>
      <c r="J2215" s="141">
        <v>2.9000000000000001E-2</v>
      </c>
      <c r="K2215" s="138">
        <v>5.88</v>
      </c>
      <c r="L2215" s="140">
        <v>560</v>
      </c>
      <c r="M2215" s="139">
        <v>1.5</v>
      </c>
      <c r="N2215" s="140">
        <v>0.42</v>
      </c>
      <c r="O2215" s="140">
        <v>1.76</v>
      </c>
      <c r="P2215" s="140">
        <v>2.0699999999999998</v>
      </c>
      <c r="R2215" s="139">
        <v>0.59658692426661719</v>
      </c>
      <c r="S2215" s="138">
        <v>4.0999999999999996</v>
      </c>
      <c r="T2215" s="14"/>
      <c r="U2215" s="14"/>
      <c r="V2215" s="14"/>
      <c r="Y2215" s="941">
        <v>6.5</v>
      </c>
      <c r="AA2215" s="139">
        <v>4.7699999999999996</v>
      </c>
      <c r="AB2215" s="139">
        <v>0.89900000000000002</v>
      </c>
      <c r="AC2215" s="140">
        <v>8.6</v>
      </c>
      <c r="AD2215" s="70">
        <v>130</v>
      </c>
      <c r="AE2215" s="70">
        <v>70</v>
      </c>
      <c r="AF2215" s="70">
        <v>800</v>
      </c>
      <c r="AG2215" s="66">
        <f t="shared" si="90"/>
        <v>320.23384615384617</v>
      </c>
      <c r="AH2215" s="143">
        <f t="shared" si="91"/>
        <v>1000</v>
      </c>
    </row>
    <row r="2216" spans="1:34" x14ac:dyDescent="0.3">
      <c r="A2216" s="943">
        <v>904257</v>
      </c>
      <c r="B2216" s="138">
        <v>8.1249999999999982</v>
      </c>
      <c r="D2216" s="152">
        <v>8.89</v>
      </c>
      <c r="E2216" s="752">
        <v>0.16300000000000001</v>
      </c>
      <c r="F2216" s="142">
        <v>179.3</v>
      </c>
      <c r="G2216" s="942"/>
      <c r="H2216" s="142">
        <v>161.29</v>
      </c>
      <c r="I2216" s="142">
        <v>290</v>
      </c>
      <c r="J2216" s="141">
        <v>2.8000000000000001E-2</v>
      </c>
      <c r="K2216" s="138">
        <v>6.7</v>
      </c>
      <c r="L2216" s="140">
        <v>580</v>
      </c>
      <c r="M2216" s="140">
        <v>1.03</v>
      </c>
      <c r="N2216" s="140">
        <v>0.44</v>
      </c>
      <c r="O2216" s="140">
        <v>1.69</v>
      </c>
      <c r="P2216" s="140">
        <v>1.84</v>
      </c>
      <c r="R2216" s="139">
        <v>0.82816183890926121</v>
      </c>
      <c r="S2216" s="138">
        <v>5.7</v>
      </c>
      <c r="T2216" s="14"/>
      <c r="U2216" s="14"/>
      <c r="V2216" s="14"/>
      <c r="Y2216" s="941">
        <v>8.4</v>
      </c>
      <c r="AA2216" s="139">
        <v>3.59</v>
      </c>
      <c r="AB2216" s="139">
        <v>0.48099999999999998</v>
      </c>
      <c r="AC2216" s="140">
        <v>7.8</v>
      </c>
      <c r="AD2216" s="70">
        <v>120</v>
      </c>
      <c r="AE2216" s="70">
        <v>70</v>
      </c>
      <c r="AF2216" s="70">
        <v>810</v>
      </c>
      <c r="AG2216" s="66">
        <f t="shared" si="90"/>
        <v>282.35714285714289</v>
      </c>
      <c r="AH2216" s="143">
        <f t="shared" si="91"/>
        <v>1000</v>
      </c>
    </row>
    <row r="2217" spans="1:34" x14ac:dyDescent="0.3">
      <c r="A2217" s="943">
        <v>904258</v>
      </c>
      <c r="B2217" s="138">
        <v>1.3666666666666665</v>
      </c>
      <c r="D2217" s="152">
        <v>8.65</v>
      </c>
      <c r="E2217" s="752">
        <v>0.53200000000000003</v>
      </c>
      <c r="F2217" s="142">
        <v>585.20000000000005</v>
      </c>
      <c r="H2217" s="142">
        <v>76.62</v>
      </c>
      <c r="I2217" s="142">
        <v>470</v>
      </c>
      <c r="J2217" s="141">
        <v>0.872</v>
      </c>
      <c r="K2217" s="138">
        <v>7.96</v>
      </c>
      <c r="L2217" s="140">
        <v>1250</v>
      </c>
      <c r="M2217" s="140">
        <v>1.55</v>
      </c>
      <c r="N2217" s="140">
        <v>1.69</v>
      </c>
      <c r="O2217" s="140">
        <v>6.85</v>
      </c>
      <c r="P2217" s="140">
        <v>6.67</v>
      </c>
      <c r="R2217" s="139">
        <v>1.8452330000000001</v>
      </c>
      <c r="S2217" s="138">
        <v>18.100000000000001</v>
      </c>
      <c r="T2217" s="14"/>
      <c r="U2217" s="14"/>
      <c r="V2217" s="14"/>
      <c r="W2217" s="90"/>
      <c r="X2217" s="90"/>
      <c r="Y2217" s="941">
        <v>26</v>
      </c>
      <c r="AD2217" s="70">
        <v>600</v>
      </c>
      <c r="AE2217" s="70">
        <v>300</v>
      </c>
      <c r="AF2217" s="70">
        <v>100</v>
      </c>
      <c r="AG2217" s="66">
        <f t="shared" si="90"/>
        <v>108.37846153846155</v>
      </c>
      <c r="AH2217" s="143">
        <f t="shared" si="91"/>
        <v>1000</v>
      </c>
    </row>
    <row r="2218" spans="1:34" x14ac:dyDescent="0.3">
      <c r="A2218" s="943">
        <v>904259</v>
      </c>
      <c r="B2218" s="138">
        <v>4.2361111111111107</v>
      </c>
      <c r="D2218" s="152">
        <v>8.5</v>
      </c>
      <c r="E2218" s="752">
        <v>0.46300000000000002</v>
      </c>
      <c r="F2218" s="142">
        <v>509.30000000000007</v>
      </c>
      <c r="H2218" s="142">
        <v>75</v>
      </c>
      <c r="I2218" s="142">
        <v>450</v>
      </c>
      <c r="J2218" s="141">
        <v>0.59499999999999997</v>
      </c>
      <c r="K2218" s="138">
        <v>8.25</v>
      </c>
      <c r="L2218" s="140">
        <v>1050</v>
      </c>
      <c r="M2218" s="140">
        <v>1.26</v>
      </c>
      <c r="N2218" s="140">
        <v>1.59</v>
      </c>
      <c r="O2218" s="140">
        <v>6.52</v>
      </c>
      <c r="P2218" s="140">
        <v>6.02</v>
      </c>
      <c r="R2218" s="139">
        <v>1.839353</v>
      </c>
      <c r="S2218" s="138">
        <v>17.899999999999999</v>
      </c>
      <c r="T2218" s="14"/>
      <c r="U2218" s="14"/>
      <c r="V2218" s="14"/>
      <c r="W2218" s="90"/>
      <c r="X2218" s="90"/>
      <c r="Y2218" s="941">
        <v>27</v>
      </c>
      <c r="AD2218" s="70">
        <v>620</v>
      </c>
      <c r="AE2218" s="70">
        <v>280</v>
      </c>
      <c r="AF2218" s="70">
        <v>100</v>
      </c>
      <c r="AG2218" s="66">
        <f t="shared" si="90"/>
        <v>108.16666666666667</v>
      </c>
      <c r="AH2218" s="143">
        <f t="shared" si="91"/>
        <v>1000</v>
      </c>
    </row>
    <row r="2219" spans="1:34" x14ac:dyDescent="0.3">
      <c r="A2219" s="943">
        <v>904260</v>
      </c>
      <c r="B2219" s="138">
        <v>20.416666666666668</v>
      </c>
      <c r="C2219" s="138">
        <v>4.0999999999999996</v>
      </c>
      <c r="D2219" s="152">
        <v>8.32</v>
      </c>
      <c r="E2219" s="752">
        <v>0.109</v>
      </c>
      <c r="F2219" s="142">
        <v>119.9</v>
      </c>
      <c r="H2219" s="142">
        <v>95.93</v>
      </c>
      <c r="I2219" s="142">
        <v>300</v>
      </c>
      <c r="J2219" s="141">
        <v>5.7000000000000002E-2</v>
      </c>
      <c r="K2219" s="138">
        <v>7.11</v>
      </c>
      <c r="L2219" s="140">
        <v>140</v>
      </c>
      <c r="M2219" s="140">
        <v>1.88</v>
      </c>
      <c r="N2219" s="140">
        <v>0.31</v>
      </c>
      <c r="O2219" s="140">
        <v>10.029999999999999</v>
      </c>
      <c r="P2219" s="140">
        <v>2.92</v>
      </c>
      <c r="R2219" s="139">
        <v>1.1877366783519503</v>
      </c>
      <c r="S2219" s="138">
        <v>8.3000000000000007</v>
      </c>
      <c r="T2219" s="14"/>
      <c r="U2219" s="14"/>
      <c r="V2219" s="14"/>
      <c r="W2219" s="14"/>
      <c r="X2219" s="14"/>
      <c r="Y2219" s="941">
        <v>4.2</v>
      </c>
      <c r="AA2219" s="139">
        <v>4.41</v>
      </c>
      <c r="AB2219" s="139">
        <v>0.25</v>
      </c>
      <c r="AC2219" s="140">
        <v>8.6999999999999993</v>
      </c>
      <c r="AD2219" s="70">
        <v>60</v>
      </c>
      <c r="AE2219" s="70">
        <v>60</v>
      </c>
      <c r="AF2219" s="70">
        <v>880</v>
      </c>
      <c r="AG2219" s="66">
        <f t="shared" si="90"/>
        <v>599.27142857142871</v>
      </c>
      <c r="AH2219" s="143">
        <f t="shared" si="91"/>
        <v>1000</v>
      </c>
    </row>
    <row r="2220" spans="1:34" x14ac:dyDescent="0.3">
      <c r="A2220" s="140">
        <v>904261</v>
      </c>
      <c r="T2220" s="14"/>
      <c r="U2220" s="14"/>
      <c r="V2220" s="14"/>
      <c r="W2220" s="14"/>
      <c r="X2220" s="14"/>
      <c r="Y2220" s="941"/>
      <c r="AG2220" s="66" t="e">
        <f t="shared" si="90"/>
        <v>#DIV/0!</v>
      </c>
      <c r="AH2220" s="143">
        <f t="shared" si="91"/>
        <v>0</v>
      </c>
    </row>
    <row r="2221" spans="1:34" x14ac:dyDescent="0.3">
      <c r="A2221" s="140">
        <v>904262</v>
      </c>
      <c r="B2221" s="138">
        <v>28.333333333333332</v>
      </c>
      <c r="C2221" s="138">
        <v>12.1</v>
      </c>
      <c r="D2221" s="152">
        <v>8.56</v>
      </c>
      <c r="E2221" s="752">
        <v>1.07</v>
      </c>
      <c r="F2221" s="142">
        <v>1177</v>
      </c>
      <c r="H2221" s="142">
        <v>178.52</v>
      </c>
      <c r="I2221" s="142">
        <v>360</v>
      </c>
      <c r="J2221" s="141">
        <v>1.004</v>
      </c>
      <c r="K2221" s="138">
        <v>8.42</v>
      </c>
      <c r="L2221" s="140">
        <v>1260</v>
      </c>
      <c r="M2221" s="140">
        <v>1.51</v>
      </c>
      <c r="N2221" s="140">
        <v>0.97</v>
      </c>
      <c r="O2221" s="140">
        <v>0.87</v>
      </c>
      <c r="P2221" s="140">
        <v>7.12</v>
      </c>
      <c r="R2221" s="139">
        <v>1.5784280000000002</v>
      </c>
      <c r="S2221" s="138">
        <v>10.4</v>
      </c>
      <c r="T2221" s="14"/>
      <c r="U2221" s="14"/>
      <c r="V2221" s="14"/>
      <c r="W2221" s="90"/>
      <c r="X2221" s="90"/>
      <c r="Y2221" s="941">
        <v>29</v>
      </c>
      <c r="AA2221" s="139">
        <v>4.3899999999999997</v>
      </c>
      <c r="AB2221" s="139">
        <v>0.80500000000000005</v>
      </c>
      <c r="AC2221" s="140">
        <v>9.4</v>
      </c>
      <c r="AD2221" s="70">
        <v>580</v>
      </c>
      <c r="AE2221" s="70">
        <v>280</v>
      </c>
      <c r="AF2221" s="70">
        <v>140</v>
      </c>
      <c r="AG2221" s="66">
        <f t="shared" si="90"/>
        <v>102.78206896551724</v>
      </c>
      <c r="AH2221" s="143">
        <f t="shared" si="91"/>
        <v>1000</v>
      </c>
    </row>
    <row r="2222" spans="1:34" x14ac:dyDescent="0.3">
      <c r="A2222" s="140">
        <v>904263</v>
      </c>
      <c r="B2222" s="138">
        <v>24.416666666666664</v>
      </c>
      <c r="C2222" s="138">
        <v>10.6</v>
      </c>
      <c r="D2222" s="152">
        <v>8.43</v>
      </c>
      <c r="E2222" s="752">
        <v>1.1439999999999999</v>
      </c>
      <c r="F2222" s="142">
        <v>1258.4000000000001</v>
      </c>
      <c r="H2222" s="142">
        <v>319.08999999999997</v>
      </c>
      <c r="I2222" s="142">
        <v>410</v>
      </c>
      <c r="J2222" s="141">
        <v>0.98199999999999998</v>
      </c>
      <c r="K2222" s="138">
        <v>10.26</v>
      </c>
      <c r="L2222" s="140">
        <v>1560</v>
      </c>
      <c r="M2222" s="140">
        <v>2.87</v>
      </c>
      <c r="N2222" s="140">
        <v>1.39</v>
      </c>
      <c r="O2222" s="140">
        <v>1.2</v>
      </c>
      <c r="P2222" s="140">
        <v>15.2</v>
      </c>
      <c r="R2222" s="139">
        <v>1.7774730000000001</v>
      </c>
      <c r="S2222" s="138">
        <v>15.9</v>
      </c>
      <c r="T2222" s="14"/>
      <c r="U2222" s="14"/>
      <c r="V2222" s="14"/>
      <c r="W2222" s="90"/>
      <c r="X2222" s="90"/>
      <c r="Y2222" s="941">
        <v>30</v>
      </c>
      <c r="AA2222" s="139">
        <v>3.48</v>
      </c>
      <c r="AB2222" s="139">
        <v>0.79900000000000004</v>
      </c>
      <c r="AC2222" s="140">
        <v>11.5</v>
      </c>
      <c r="AD2222" s="70">
        <v>600</v>
      </c>
      <c r="AE2222" s="70">
        <v>240</v>
      </c>
      <c r="AF2222" s="70">
        <v>160</v>
      </c>
      <c r="AG2222" s="66">
        <f t="shared" si="90"/>
        <v>121.068</v>
      </c>
      <c r="AH2222" s="143">
        <f t="shared" si="91"/>
        <v>1000</v>
      </c>
    </row>
    <row r="2223" spans="1:34" x14ac:dyDescent="0.3">
      <c r="A2223" s="140">
        <v>904264</v>
      </c>
      <c r="B2223" s="138">
        <v>25.416666666666664</v>
      </c>
      <c r="C2223" s="138">
        <v>11.6</v>
      </c>
      <c r="D2223" s="152">
        <v>8.56</v>
      </c>
      <c r="E2223" s="752">
        <v>1.0049999999999999</v>
      </c>
      <c r="F2223" s="142">
        <v>1105.5</v>
      </c>
      <c r="H2223" s="142">
        <v>86.93</v>
      </c>
      <c r="I2223" s="142">
        <v>310</v>
      </c>
      <c r="J2223" s="141">
        <v>0.91100000000000003</v>
      </c>
      <c r="K2223" s="138">
        <v>10.53</v>
      </c>
      <c r="L2223" s="140">
        <v>1310</v>
      </c>
      <c r="M2223" s="139">
        <v>0.97</v>
      </c>
      <c r="N2223" s="139">
        <v>1</v>
      </c>
      <c r="O2223" s="140">
        <v>0.85</v>
      </c>
      <c r="P2223" s="140">
        <v>5.95</v>
      </c>
      <c r="R2223" s="139">
        <v>1.2759973753070113</v>
      </c>
      <c r="S2223" s="138">
        <v>9.4</v>
      </c>
      <c r="T2223" s="14"/>
      <c r="U2223" s="14"/>
      <c r="V2223" s="14"/>
      <c r="W2223" s="90"/>
      <c r="X2223" s="90"/>
      <c r="Y2223" s="941">
        <v>30.5</v>
      </c>
      <c r="AA2223" s="139">
        <v>3.84</v>
      </c>
      <c r="AB2223" s="139">
        <v>0.77600000000000002</v>
      </c>
      <c r="AC2223" s="140">
        <v>10.7</v>
      </c>
      <c r="AD2223" s="70">
        <v>610</v>
      </c>
      <c r="AE2223" s="70">
        <v>230</v>
      </c>
      <c r="AF2223" s="70">
        <v>160</v>
      </c>
      <c r="AG2223" s="66">
        <f t="shared" si="90"/>
        <v>122.21704918032785</v>
      </c>
      <c r="AH2223" s="143">
        <f t="shared" si="91"/>
        <v>1000</v>
      </c>
    </row>
    <row r="2224" spans="1:34" x14ac:dyDescent="0.3">
      <c r="A2224" s="140">
        <v>904265</v>
      </c>
      <c r="B2224" s="138">
        <v>20.833333333333332</v>
      </c>
      <c r="C2224" s="138">
        <v>7.1</v>
      </c>
      <c r="D2224" s="152">
        <v>8.35</v>
      </c>
      <c r="E2224" s="752">
        <v>1.167</v>
      </c>
      <c r="F2224" s="142">
        <v>1283.7</v>
      </c>
      <c r="H2224" s="142">
        <v>300.01</v>
      </c>
      <c r="I2224" s="142">
        <v>260</v>
      </c>
      <c r="J2224" s="141">
        <v>0.97299999999999998</v>
      </c>
      <c r="K2224" s="138">
        <v>7.9</v>
      </c>
      <c r="L2224" s="140">
        <v>1240</v>
      </c>
      <c r="M2224" s="139">
        <v>3.6</v>
      </c>
      <c r="N2224" s="139">
        <v>1</v>
      </c>
      <c r="O2224" s="140">
        <v>0.89</v>
      </c>
      <c r="P2224" s="140">
        <v>12.52</v>
      </c>
      <c r="R2224" s="139">
        <v>1.6061130000000001</v>
      </c>
      <c r="S2224" s="138">
        <v>11.1</v>
      </c>
      <c r="T2224" s="14"/>
      <c r="U2224" s="14"/>
      <c r="V2224" s="14"/>
      <c r="Y2224" s="941">
        <v>35</v>
      </c>
      <c r="AA2224" s="139">
        <v>3.96</v>
      </c>
      <c r="AB2224" s="139">
        <v>0.83499999999999996</v>
      </c>
      <c r="AC2224" s="140">
        <v>10.199999999999999</v>
      </c>
      <c r="AD2224" s="70">
        <v>500</v>
      </c>
      <c r="AE2224" s="70">
        <v>240</v>
      </c>
      <c r="AF2224" s="70">
        <v>260</v>
      </c>
      <c r="AG2224" s="66">
        <f t="shared" si="90"/>
        <v>79.902857142857144</v>
      </c>
      <c r="AH2224" s="143">
        <f t="shared" si="91"/>
        <v>1000</v>
      </c>
    </row>
    <row r="2225" spans="1:34" x14ac:dyDescent="0.3">
      <c r="A2225" s="140">
        <v>904266</v>
      </c>
      <c r="B2225" s="138">
        <v>26.666666666666668</v>
      </c>
      <c r="C2225" s="138">
        <v>11.9</v>
      </c>
      <c r="D2225" s="152">
        <v>8.4499999999999993</v>
      </c>
      <c r="E2225" s="752">
        <v>0.97</v>
      </c>
      <c r="F2225" s="142">
        <v>1067</v>
      </c>
      <c r="H2225" s="142">
        <v>257.22000000000003</v>
      </c>
      <c r="I2225" s="142">
        <v>280</v>
      </c>
      <c r="J2225" s="141">
        <v>0.77500000000000002</v>
      </c>
      <c r="K2225" s="138">
        <v>8.4</v>
      </c>
      <c r="L2225" s="140">
        <v>1110</v>
      </c>
      <c r="M2225" s="140">
        <v>2.0299999999999998</v>
      </c>
      <c r="N2225" s="140">
        <v>1.03</v>
      </c>
      <c r="O2225" s="140">
        <v>0.76</v>
      </c>
      <c r="P2225" s="140">
        <v>7.8</v>
      </c>
      <c r="R2225" s="139">
        <v>1.5784280000000002</v>
      </c>
      <c r="S2225" s="138">
        <v>10.4</v>
      </c>
      <c r="T2225" s="14"/>
      <c r="U2225" s="14"/>
      <c r="V2225" s="14"/>
      <c r="Y2225" s="941">
        <v>29</v>
      </c>
      <c r="AA2225" s="139">
        <v>3.45</v>
      </c>
      <c r="AB2225" s="139">
        <v>0.47599999999999998</v>
      </c>
      <c r="AC2225" s="140">
        <v>11</v>
      </c>
      <c r="AD2225" s="70">
        <v>580</v>
      </c>
      <c r="AE2225" s="70">
        <v>320</v>
      </c>
      <c r="AF2225" s="70">
        <v>100</v>
      </c>
      <c r="AG2225" s="66">
        <f t="shared" si="90"/>
        <v>102.53793103448275</v>
      </c>
      <c r="AH2225" s="143">
        <f t="shared" si="91"/>
        <v>1000</v>
      </c>
    </row>
    <row r="2226" spans="1:34" x14ac:dyDescent="0.3">
      <c r="A2226" s="140">
        <v>904267</v>
      </c>
      <c r="B2226" s="138">
        <v>27.083333333333332</v>
      </c>
      <c r="C2226" s="138">
        <v>12</v>
      </c>
      <c r="D2226" s="152">
        <v>8.4</v>
      </c>
      <c r="E2226" s="752">
        <v>1.26</v>
      </c>
      <c r="F2226" s="142">
        <v>1386</v>
      </c>
      <c r="H2226" s="142">
        <v>180.4</v>
      </c>
      <c r="I2226" s="142">
        <v>420</v>
      </c>
      <c r="J2226" s="141">
        <v>1.34</v>
      </c>
      <c r="K2226" s="138">
        <v>10.59</v>
      </c>
      <c r="L2226" s="140">
        <v>1620</v>
      </c>
      <c r="M2226" s="140">
        <v>2.25</v>
      </c>
      <c r="N2226" s="140">
        <v>1.1299999999999999</v>
      </c>
      <c r="O2226" s="139">
        <v>0.3</v>
      </c>
      <c r="P2226" s="140">
        <v>8.86</v>
      </c>
      <c r="R2226" s="139">
        <v>1.6216250000000001</v>
      </c>
      <c r="S2226" s="138">
        <v>11.5</v>
      </c>
      <c r="T2226" s="14"/>
      <c r="U2226" s="14"/>
      <c r="V2226" s="14"/>
      <c r="Y2226" s="941">
        <v>36</v>
      </c>
      <c r="AA2226" s="139">
        <v>3.48</v>
      </c>
      <c r="AB2226" s="139">
        <v>0.40500000000000003</v>
      </c>
      <c r="AC2226" s="140">
        <v>6.9</v>
      </c>
      <c r="AD2226" s="70">
        <v>600</v>
      </c>
      <c r="AE2226" s="70">
        <v>290</v>
      </c>
      <c r="AF2226" s="70">
        <v>110</v>
      </c>
      <c r="AG2226" s="66">
        <f t="shared" si="90"/>
        <v>104.13499999999999</v>
      </c>
      <c r="AH2226" s="143">
        <f t="shared" si="91"/>
        <v>1000</v>
      </c>
    </row>
    <row r="2227" spans="1:34" x14ac:dyDescent="0.3">
      <c r="A2227" s="140">
        <v>904268</v>
      </c>
      <c r="B2227" s="138">
        <v>24.666666666666668</v>
      </c>
      <c r="C2227" s="138">
        <v>11.4</v>
      </c>
      <c r="D2227" s="152">
        <v>8.33</v>
      </c>
      <c r="E2227" s="752">
        <v>1.2070000000000001</v>
      </c>
      <c r="F2227" s="142">
        <v>1327.7</v>
      </c>
      <c r="H2227" s="142">
        <v>349.54</v>
      </c>
      <c r="I2227" s="142">
        <v>360</v>
      </c>
      <c r="J2227" s="141">
        <v>1.0640000000000001</v>
      </c>
      <c r="K2227" s="138">
        <v>8.0399999999999991</v>
      </c>
      <c r="L2227" s="140">
        <v>1340</v>
      </c>
      <c r="M2227" s="140">
        <v>2.86</v>
      </c>
      <c r="N2227" s="140">
        <v>1.02</v>
      </c>
      <c r="O2227" s="140">
        <v>0.79</v>
      </c>
      <c r="P2227" s="140">
        <v>10.43</v>
      </c>
      <c r="R2227" s="139">
        <v>1.6993880000000001</v>
      </c>
      <c r="S2227" s="138">
        <v>13.6</v>
      </c>
      <c r="T2227" s="14"/>
      <c r="U2227" s="14"/>
      <c r="V2227" s="14"/>
      <c r="Y2227" s="941">
        <v>31.2</v>
      </c>
      <c r="AA2227" s="139">
        <v>4.3499999999999996</v>
      </c>
      <c r="AB2227" s="139">
        <v>0.88300000000000001</v>
      </c>
      <c r="AC2227" s="140">
        <v>7.2</v>
      </c>
      <c r="AD2227" s="70">
        <v>520</v>
      </c>
      <c r="AE2227" s="70">
        <v>220</v>
      </c>
      <c r="AF2227" s="70">
        <v>260</v>
      </c>
      <c r="AG2227" s="66">
        <f t="shared" si="90"/>
        <v>91.223076923076917</v>
      </c>
      <c r="AH2227" s="143">
        <f t="shared" si="91"/>
        <v>1000</v>
      </c>
    </row>
    <row r="2228" spans="1:34" x14ac:dyDescent="0.3">
      <c r="A2228" s="140">
        <v>904269</v>
      </c>
      <c r="B2228" s="138">
        <v>25</v>
      </c>
      <c r="C2228" s="138">
        <v>11.6</v>
      </c>
      <c r="D2228" s="152">
        <v>8.25</v>
      </c>
      <c r="E2228" s="752">
        <v>1.67</v>
      </c>
      <c r="F2228" s="142">
        <v>1837.0000000000002</v>
      </c>
      <c r="H2228" s="142">
        <f>253.92*2</f>
        <v>507.84</v>
      </c>
      <c r="I2228" s="142">
        <v>430</v>
      </c>
      <c r="J2228" s="141">
        <v>1.544</v>
      </c>
      <c r="K2228" s="138">
        <v>10.58</v>
      </c>
      <c r="L2228" s="140">
        <v>1950</v>
      </c>
      <c r="M2228" s="140">
        <v>8.2100000000000009</v>
      </c>
      <c r="N2228" s="140">
        <v>1.67</v>
      </c>
      <c r="O2228" s="140">
        <v>1.35</v>
      </c>
      <c r="P2228" s="140">
        <v>23.16</v>
      </c>
      <c r="R2228" s="139">
        <v>1.9165770000000002</v>
      </c>
      <c r="S2228" s="138">
        <v>20.7</v>
      </c>
      <c r="T2228" s="14"/>
      <c r="U2228" s="14"/>
      <c r="V2228" s="14"/>
      <c r="Y2228" s="941">
        <v>37.799999999999997</v>
      </c>
      <c r="AA2228" s="139">
        <v>3.54</v>
      </c>
      <c r="AB2228" s="139">
        <v>0.61499999999999999</v>
      </c>
      <c r="AC2228" s="140">
        <v>8.6999999999999993</v>
      </c>
      <c r="AD2228" s="70">
        <v>540</v>
      </c>
      <c r="AE2228" s="70">
        <v>260</v>
      </c>
      <c r="AF2228" s="70">
        <v>200</v>
      </c>
      <c r="AG2228" s="66">
        <f t="shared" si="90"/>
        <v>99.082539682539689</v>
      </c>
      <c r="AH2228" s="143">
        <f t="shared" si="91"/>
        <v>1000</v>
      </c>
    </row>
    <row r="2229" spans="1:34" x14ac:dyDescent="0.3">
      <c r="A2229" s="140">
        <v>904270</v>
      </c>
      <c r="B2229" s="138">
        <v>23.333333333333332</v>
      </c>
      <c r="C2229" s="138">
        <v>9.9</v>
      </c>
      <c r="D2229" s="152">
        <v>8.23</v>
      </c>
      <c r="E2229" s="752">
        <v>1.2729999999999999</v>
      </c>
      <c r="F2229" s="142">
        <v>1400.3000000000002</v>
      </c>
      <c r="H2229" s="142">
        <v>359.29</v>
      </c>
      <c r="I2229" s="142">
        <v>330</v>
      </c>
      <c r="J2229" s="141">
        <v>1.056</v>
      </c>
      <c r="K2229" s="138">
        <v>8.6</v>
      </c>
      <c r="L2229" s="140">
        <v>1310</v>
      </c>
      <c r="M2229" s="140">
        <v>4.6399999999999997</v>
      </c>
      <c r="N2229" s="140">
        <v>1.44</v>
      </c>
      <c r="O2229" s="140">
        <v>1.0900000000000001</v>
      </c>
      <c r="P2229" s="140">
        <v>12.39</v>
      </c>
      <c r="R2229" s="139">
        <v>1.6216250000000001</v>
      </c>
      <c r="S2229" s="138">
        <v>11.5</v>
      </c>
      <c r="T2229" s="14"/>
      <c r="U2229" s="14"/>
      <c r="V2229" s="14"/>
      <c r="Y2229" s="941">
        <v>31.8</v>
      </c>
      <c r="AA2229" s="139">
        <v>4.96</v>
      </c>
      <c r="AB2229" s="139">
        <v>0.72</v>
      </c>
      <c r="AC2229" s="140">
        <v>7.1</v>
      </c>
      <c r="AD2229" s="70">
        <v>530</v>
      </c>
      <c r="AE2229" s="70">
        <v>250</v>
      </c>
      <c r="AF2229" s="70">
        <v>220</v>
      </c>
      <c r="AG2229" s="66">
        <f t="shared" si="90"/>
        <v>95.735849056603769</v>
      </c>
      <c r="AH2229" s="143">
        <f t="shared" si="91"/>
        <v>1000</v>
      </c>
    </row>
    <row r="2230" spans="1:34" x14ac:dyDescent="0.3">
      <c r="A2230" s="140">
        <v>904271</v>
      </c>
      <c r="B2230" s="138">
        <v>24.583333333333332</v>
      </c>
      <c r="C2230" s="138">
        <v>11.1</v>
      </c>
      <c r="D2230" s="152">
        <v>8.33</v>
      </c>
      <c r="E2230" s="752">
        <v>1.18</v>
      </c>
      <c r="F2230" s="142">
        <v>1298</v>
      </c>
      <c r="H2230" s="142">
        <f>224.92*2</f>
        <v>449.84</v>
      </c>
      <c r="I2230" s="142">
        <v>290</v>
      </c>
      <c r="J2230" s="141">
        <v>1.006</v>
      </c>
      <c r="K2230" s="138">
        <v>7.72</v>
      </c>
      <c r="L2230" s="140">
        <v>1370</v>
      </c>
      <c r="M2230" s="140">
        <v>8.27</v>
      </c>
      <c r="N2230" s="140">
        <v>1.88</v>
      </c>
      <c r="O2230" s="140">
        <v>2.99</v>
      </c>
      <c r="P2230" s="140">
        <v>23.3</v>
      </c>
      <c r="R2230" s="139">
        <v>1.9267130000000001</v>
      </c>
      <c r="S2230" s="138">
        <v>21.1</v>
      </c>
      <c r="T2230" s="14"/>
      <c r="U2230" s="14"/>
      <c r="V2230" s="14"/>
      <c r="Y2230" s="941">
        <v>27</v>
      </c>
      <c r="AA2230" s="139">
        <v>4.88</v>
      </c>
      <c r="AB2230" s="139">
        <v>0.63300000000000001</v>
      </c>
      <c r="AC2230" s="140">
        <v>10</v>
      </c>
      <c r="AD2230" s="70">
        <v>540</v>
      </c>
      <c r="AE2230" s="70">
        <v>260</v>
      </c>
      <c r="AF2230" s="70">
        <v>200</v>
      </c>
      <c r="AG2230" s="66">
        <f t="shared" si="90"/>
        <v>101.21777777777778</v>
      </c>
      <c r="AH2230" s="143">
        <f t="shared" si="91"/>
        <v>1000</v>
      </c>
    </row>
    <row r="2231" spans="1:34" x14ac:dyDescent="0.3">
      <c r="A2231" s="140">
        <v>904272</v>
      </c>
      <c r="B2231" s="138">
        <v>23.75</v>
      </c>
      <c r="C2231" s="138">
        <v>11.4</v>
      </c>
      <c r="D2231" s="152">
        <v>8.2200000000000006</v>
      </c>
      <c r="E2231" s="752">
        <v>1.31</v>
      </c>
      <c r="F2231" s="142">
        <v>1441.0000000000002</v>
      </c>
      <c r="H2231" s="142">
        <v>321.41000000000003</v>
      </c>
      <c r="I2231" s="142">
        <v>350</v>
      </c>
      <c r="J2231" s="141">
        <v>1.2050000000000001</v>
      </c>
      <c r="K2231" s="138">
        <v>8.58</v>
      </c>
      <c r="L2231" s="140">
        <v>1620</v>
      </c>
      <c r="M2231" s="140">
        <v>4.63</v>
      </c>
      <c r="N2231" s="140">
        <v>1.58</v>
      </c>
      <c r="O2231" s="140">
        <v>2.1</v>
      </c>
      <c r="P2231" s="140">
        <v>23.05</v>
      </c>
      <c r="R2231" s="139">
        <v>1.7902970000000002</v>
      </c>
      <c r="S2231" s="138">
        <v>16.3</v>
      </c>
      <c r="T2231" s="14"/>
      <c r="U2231" s="14"/>
      <c r="V2231" s="14"/>
      <c r="Y2231" s="941">
        <v>36</v>
      </c>
      <c r="AA2231" s="139">
        <v>4.22</v>
      </c>
      <c r="AB2231" s="139">
        <v>0.35399999999999998</v>
      </c>
      <c r="AC2231" s="140">
        <v>9.5</v>
      </c>
      <c r="AD2231" s="70">
        <v>600</v>
      </c>
      <c r="AE2231" s="70">
        <v>280</v>
      </c>
      <c r="AF2231" s="70">
        <v>120</v>
      </c>
      <c r="AG2231" s="66">
        <f t="shared" si="90"/>
        <v>84.37</v>
      </c>
      <c r="AH2231" s="143">
        <f t="shared" si="91"/>
        <v>1000</v>
      </c>
    </row>
    <row r="2232" spans="1:34" x14ac:dyDescent="0.3">
      <c r="A2232" s="140">
        <v>904273</v>
      </c>
      <c r="B2232" s="138">
        <v>21.666666666666664</v>
      </c>
      <c r="C2232" s="138">
        <v>8.1</v>
      </c>
      <c r="D2232" s="152">
        <v>8.3699999999999992</v>
      </c>
      <c r="E2232" s="752">
        <v>1.2430000000000001</v>
      </c>
      <c r="F2232" s="142">
        <v>1367.3000000000002</v>
      </c>
      <c r="H2232" s="142">
        <v>346.82</v>
      </c>
      <c r="I2232" s="142">
        <v>300</v>
      </c>
      <c r="J2232" s="141">
        <v>1.1619999999999999</v>
      </c>
      <c r="K2232" s="138">
        <v>7.87</v>
      </c>
      <c r="L2232" s="140">
        <v>1510</v>
      </c>
      <c r="M2232" s="140">
        <v>5.34</v>
      </c>
      <c r="N2232" s="140">
        <v>1.5</v>
      </c>
      <c r="O2232" s="140">
        <v>2.77</v>
      </c>
      <c r="P2232" s="140">
        <v>20.02</v>
      </c>
      <c r="R2232" s="139">
        <v>1.8423</v>
      </c>
      <c r="S2232" s="138">
        <v>18</v>
      </c>
      <c r="T2232" s="14"/>
      <c r="U2232" s="14"/>
      <c r="V2232" s="14"/>
      <c r="Y2232" s="941">
        <v>33.6</v>
      </c>
      <c r="AA2232" s="139">
        <v>3.92</v>
      </c>
      <c r="AB2232" s="139">
        <v>0.59</v>
      </c>
      <c r="AC2232" s="140">
        <v>11.2</v>
      </c>
      <c r="AD2232" s="70">
        <v>560</v>
      </c>
      <c r="AE2232" s="70">
        <v>230</v>
      </c>
      <c r="AF2232" s="70">
        <v>210</v>
      </c>
      <c r="AG2232" s="66">
        <f t="shared" si="90"/>
        <v>82.916071428571428</v>
      </c>
      <c r="AH2232" s="143">
        <f t="shared" si="91"/>
        <v>1000</v>
      </c>
    </row>
    <row r="2233" spans="1:34" x14ac:dyDescent="0.3">
      <c r="A2233" s="140">
        <v>904274</v>
      </c>
      <c r="B2233" s="138">
        <v>26.666666666666668</v>
      </c>
      <c r="C2233" s="138">
        <v>11.9</v>
      </c>
      <c r="D2233" s="152">
        <v>8.33</v>
      </c>
      <c r="E2233" s="752">
        <v>1.2</v>
      </c>
      <c r="F2233" s="142">
        <v>1320</v>
      </c>
      <c r="H2233" s="142">
        <v>206.96</v>
      </c>
      <c r="I2233" s="142">
        <v>370</v>
      </c>
      <c r="J2233" s="141">
        <v>0.997</v>
      </c>
      <c r="K2233" s="138">
        <v>8.26</v>
      </c>
      <c r="L2233" s="140">
        <v>1250</v>
      </c>
      <c r="M2233" s="140">
        <v>2.09</v>
      </c>
      <c r="N2233" s="140">
        <v>1.31</v>
      </c>
      <c r="O2233" s="140">
        <v>0.79</v>
      </c>
      <c r="P2233" s="140">
        <v>10</v>
      </c>
      <c r="R2233" s="139">
        <v>1.4217747148923194</v>
      </c>
      <c r="S2233" s="138">
        <v>10</v>
      </c>
      <c r="T2233" s="14"/>
      <c r="U2233" s="14"/>
      <c r="V2233" s="14"/>
      <c r="Y2233" s="941">
        <v>29</v>
      </c>
      <c r="AA2233" s="139">
        <v>4.78</v>
      </c>
      <c r="AB2233" s="139">
        <v>0.33800000000000002</v>
      </c>
      <c r="AC2233" s="140">
        <v>8.4</v>
      </c>
      <c r="AD2233" s="70">
        <v>580</v>
      </c>
      <c r="AE2233" s="70">
        <v>300</v>
      </c>
      <c r="AF2233" s="70">
        <v>120</v>
      </c>
      <c r="AG2233" s="66">
        <f t="shared" si="90"/>
        <v>100.82896551724137</v>
      </c>
      <c r="AH2233" s="143">
        <f t="shared" si="91"/>
        <v>1000</v>
      </c>
    </row>
    <row r="2234" spans="1:34" x14ac:dyDescent="0.3">
      <c r="A2234" s="140">
        <v>904275</v>
      </c>
      <c r="B2234" s="138">
        <v>25</v>
      </c>
      <c r="C2234" s="138">
        <v>11.6</v>
      </c>
      <c r="D2234" s="152">
        <v>8.18</v>
      </c>
      <c r="E2234" s="752">
        <v>1.4039999999999999</v>
      </c>
      <c r="F2234" s="142">
        <v>1544.4</v>
      </c>
      <c r="H2234" s="142">
        <v>322.48</v>
      </c>
      <c r="I2234" s="142">
        <v>470</v>
      </c>
      <c r="J2234" s="141">
        <v>1.016</v>
      </c>
      <c r="K2234" s="138">
        <v>8.43</v>
      </c>
      <c r="L2234" s="140">
        <v>1400</v>
      </c>
      <c r="M2234" s="140">
        <v>3.09</v>
      </c>
      <c r="N2234" s="140">
        <v>1.28</v>
      </c>
      <c r="O2234" s="140">
        <v>1.05</v>
      </c>
      <c r="P2234" s="140">
        <v>8.74</v>
      </c>
      <c r="R2234" s="139">
        <v>1.6704920000000001</v>
      </c>
      <c r="S2234" s="138">
        <v>12.8</v>
      </c>
      <c r="T2234" s="14"/>
      <c r="U2234" s="14"/>
      <c r="V2234" s="14"/>
      <c r="Y2234" s="941">
        <v>36</v>
      </c>
      <c r="AA2234" s="139">
        <v>3.45</v>
      </c>
      <c r="AB2234" s="139">
        <v>0.84799999999999998</v>
      </c>
      <c r="AC2234" s="140">
        <v>7.3</v>
      </c>
      <c r="AD2234" s="70">
        <v>600</v>
      </c>
      <c r="AE2234" s="70">
        <v>300</v>
      </c>
      <c r="AF2234" s="70">
        <v>100</v>
      </c>
      <c r="AG2234" s="66">
        <f t="shared" si="90"/>
        <v>82.894999999999996</v>
      </c>
      <c r="AH2234" s="143">
        <f t="shared" si="91"/>
        <v>1000</v>
      </c>
    </row>
    <row r="2235" spans="1:34" x14ac:dyDescent="0.3">
      <c r="A2235" s="140">
        <v>904276</v>
      </c>
      <c r="B2235" s="138">
        <v>23.75</v>
      </c>
      <c r="C2235" s="138">
        <v>10.1</v>
      </c>
      <c r="D2235" s="152">
        <v>8.27</v>
      </c>
      <c r="E2235" s="752">
        <v>1.4570000000000001</v>
      </c>
      <c r="F2235" s="142">
        <v>1602.7</v>
      </c>
      <c r="H2235" s="142">
        <v>405.33</v>
      </c>
      <c r="I2235" s="142">
        <v>340</v>
      </c>
      <c r="J2235" s="141">
        <v>1.2030000000000001</v>
      </c>
      <c r="K2235" s="138">
        <v>8.5299999999999994</v>
      </c>
      <c r="L2235" s="140">
        <v>1500</v>
      </c>
      <c r="M2235" s="140">
        <v>4.1100000000000003</v>
      </c>
      <c r="N2235" s="140">
        <v>1.39</v>
      </c>
      <c r="O2235" s="140">
        <v>2.2799999999999998</v>
      </c>
      <c r="P2235" s="140">
        <v>17.93</v>
      </c>
      <c r="R2235" s="139">
        <v>1.7774730000000001</v>
      </c>
      <c r="S2235" s="138">
        <v>15.9</v>
      </c>
      <c r="T2235" s="14"/>
      <c r="U2235" s="14"/>
      <c r="V2235" s="14"/>
      <c r="Y2235" s="941">
        <v>31</v>
      </c>
      <c r="AA2235" s="139">
        <v>4.57</v>
      </c>
      <c r="AB2235" s="139">
        <v>0.73899999999999999</v>
      </c>
      <c r="AC2235" s="140">
        <v>11</v>
      </c>
      <c r="AD2235" s="70">
        <v>620</v>
      </c>
      <c r="AE2235" s="70">
        <v>260</v>
      </c>
      <c r="AF2235" s="70">
        <v>120</v>
      </c>
      <c r="AG2235" s="66">
        <f t="shared" si="90"/>
        <v>97.407096774193548</v>
      </c>
      <c r="AH2235" s="143">
        <f t="shared" si="91"/>
        <v>1000</v>
      </c>
    </row>
    <row r="2236" spans="1:34" x14ac:dyDescent="0.3">
      <c r="A2236" s="140">
        <v>904277</v>
      </c>
      <c r="B2236" s="138">
        <v>24.166666666666668</v>
      </c>
      <c r="C2236" s="138">
        <v>10.9</v>
      </c>
      <c r="D2236" s="152">
        <v>8.2100000000000009</v>
      </c>
      <c r="E2236" s="752">
        <v>1.337</v>
      </c>
      <c r="F2236" s="142">
        <v>1470.7</v>
      </c>
      <c r="H2236" s="142">
        <v>264</v>
      </c>
      <c r="I2236" s="142">
        <v>340</v>
      </c>
      <c r="J2236" s="141">
        <v>1.1120000000000001</v>
      </c>
      <c r="K2236" s="138">
        <v>8.5500000000000007</v>
      </c>
      <c r="L2236" s="140">
        <v>1520</v>
      </c>
      <c r="M2236" s="140">
        <v>4.26</v>
      </c>
      <c r="N2236" s="140">
        <v>1.54</v>
      </c>
      <c r="O2236" s="140">
        <v>2.17</v>
      </c>
      <c r="P2236" s="140">
        <v>20.55</v>
      </c>
      <c r="R2236" s="139">
        <v>1.7099930000000001</v>
      </c>
      <c r="S2236" s="138">
        <v>13.9</v>
      </c>
      <c r="T2236" s="14"/>
      <c r="U2236" s="14"/>
      <c r="V2236" s="14"/>
      <c r="Y2236" s="941">
        <v>38.4</v>
      </c>
      <c r="AA2236" s="139">
        <v>4.45</v>
      </c>
      <c r="AB2236" s="139">
        <v>0.747</v>
      </c>
      <c r="AC2236" s="140">
        <v>7</v>
      </c>
      <c r="AD2236" s="70">
        <v>640</v>
      </c>
      <c r="AE2236" s="70">
        <v>240</v>
      </c>
      <c r="AF2236" s="70">
        <v>120</v>
      </c>
      <c r="AG2236" s="66">
        <f t="shared" si="90"/>
        <v>78.820312500000014</v>
      </c>
      <c r="AH2236" s="143">
        <f t="shared" si="91"/>
        <v>1000</v>
      </c>
    </row>
    <row r="2237" spans="1:34" x14ac:dyDescent="0.3">
      <c r="A2237" s="140">
        <v>904278</v>
      </c>
      <c r="B2237" s="138">
        <v>25</v>
      </c>
      <c r="C2237" s="138">
        <v>11.4</v>
      </c>
      <c r="D2237" s="152">
        <v>8.08</v>
      </c>
      <c r="E2237" s="752">
        <v>1.204</v>
      </c>
      <c r="F2237" s="142">
        <v>1324.4</v>
      </c>
      <c r="H2237" s="142">
        <f>273.59*2</f>
        <v>547.17999999999995</v>
      </c>
      <c r="I2237" s="142">
        <v>490</v>
      </c>
      <c r="J2237" s="141">
        <v>1.0269999999999999</v>
      </c>
      <c r="K2237" s="138">
        <v>10.35</v>
      </c>
      <c r="L2237" s="140">
        <v>1750</v>
      </c>
      <c r="M2237" s="140" t="s">
        <v>490</v>
      </c>
      <c r="N2237" s="140">
        <v>1.67</v>
      </c>
      <c r="O2237" s="140">
        <v>1.07</v>
      </c>
      <c r="P2237" s="140">
        <v>9.36</v>
      </c>
      <c r="R2237" s="139">
        <v>1.802897</v>
      </c>
      <c r="S2237" s="138">
        <v>16.7</v>
      </c>
      <c r="T2237" s="14"/>
      <c r="U2237" s="14"/>
      <c r="V2237" s="14"/>
      <c r="Y2237" s="941">
        <v>31.5</v>
      </c>
      <c r="AA2237" s="139">
        <v>4.07</v>
      </c>
      <c r="AB2237" s="139">
        <v>0.75600000000000001</v>
      </c>
      <c r="AC2237" s="140">
        <v>9.3000000000000007</v>
      </c>
      <c r="AD2237" s="70">
        <v>630</v>
      </c>
      <c r="AE2237" s="70">
        <v>230</v>
      </c>
      <c r="AF2237" s="70">
        <v>140</v>
      </c>
      <c r="AG2237" s="66">
        <f t="shared" si="90"/>
        <v>116.3142857142857</v>
      </c>
      <c r="AH2237" s="143">
        <f t="shared" si="91"/>
        <v>1000</v>
      </c>
    </row>
    <row r="2238" spans="1:34" x14ac:dyDescent="0.3">
      <c r="A2238" s="140">
        <v>904279</v>
      </c>
      <c r="B2238" s="138">
        <v>20.833333333333332</v>
      </c>
      <c r="C2238" s="138">
        <v>7.1</v>
      </c>
      <c r="D2238" s="152">
        <v>8.07</v>
      </c>
      <c r="E2238" s="752">
        <v>1.3360000000000001</v>
      </c>
      <c r="F2238" s="142">
        <v>1469.6000000000001</v>
      </c>
      <c r="H2238" s="142">
        <f>269.1*2</f>
        <v>538.20000000000005</v>
      </c>
      <c r="I2238" s="142">
        <v>420</v>
      </c>
      <c r="J2238" s="141">
        <v>1.1830000000000001</v>
      </c>
      <c r="K2238" s="138">
        <v>8.14</v>
      </c>
      <c r="L2238" s="140">
        <v>1600</v>
      </c>
      <c r="M2238" s="140" t="s">
        <v>427</v>
      </c>
      <c r="N2238" s="140">
        <v>1.21</v>
      </c>
      <c r="O2238" s="140">
        <v>0.63</v>
      </c>
      <c r="P2238" s="140">
        <v>10.26</v>
      </c>
      <c r="R2238" s="139">
        <v>1.8274250000000001</v>
      </c>
      <c r="S2238" s="138">
        <v>17.5</v>
      </c>
      <c r="T2238" s="14"/>
      <c r="U2238" s="14"/>
      <c r="V2238" s="14"/>
      <c r="Y2238" s="941">
        <v>33.4</v>
      </c>
      <c r="AA2238" s="139">
        <v>4.68</v>
      </c>
      <c r="AB2238" s="139">
        <v>0.88600000000000001</v>
      </c>
      <c r="AC2238" s="140">
        <v>11.3</v>
      </c>
      <c r="AD2238" s="70">
        <v>620</v>
      </c>
      <c r="AE2238" s="70">
        <v>260</v>
      </c>
      <c r="AF2238" s="70">
        <v>120</v>
      </c>
      <c r="AG2238" s="66">
        <f t="shared" si="90"/>
        <v>86.274251497006006</v>
      </c>
      <c r="AH2238" s="143">
        <f t="shared" si="91"/>
        <v>1000</v>
      </c>
    </row>
    <row r="2239" spans="1:34" x14ac:dyDescent="0.3">
      <c r="A2239" s="140">
        <v>904280</v>
      </c>
      <c r="B2239" s="138">
        <v>24.166666666666668</v>
      </c>
      <c r="C2239" s="138">
        <v>10.4</v>
      </c>
      <c r="D2239" s="152">
        <v>8.2899999999999991</v>
      </c>
      <c r="E2239" s="752">
        <v>1.1499999999999999</v>
      </c>
      <c r="F2239" s="142">
        <v>1265</v>
      </c>
      <c r="G2239" s="90"/>
      <c r="H2239" s="142">
        <v>236.43</v>
      </c>
      <c r="I2239" s="142">
        <v>330</v>
      </c>
      <c r="J2239" s="141">
        <v>1.036</v>
      </c>
      <c r="K2239" s="138">
        <v>10.210000000000001</v>
      </c>
      <c r="L2239" s="140">
        <v>1510</v>
      </c>
      <c r="M2239" s="140">
        <v>2.36</v>
      </c>
      <c r="N2239" s="140">
        <v>1.03</v>
      </c>
      <c r="O2239" s="140">
        <v>0.64</v>
      </c>
      <c r="P2239" s="140">
        <v>9.77</v>
      </c>
      <c r="R2239" s="139">
        <v>1.6369130000000003</v>
      </c>
      <c r="S2239" s="138">
        <v>11.9</v>
      </c>
      <c r="T2239" s="14"/>
      <c r="U2239" s="14"/>
      <c r="V2239" s="14"/>
      <c r="Y2239" s="941">
        <v>34.799999999999997</v>
      </c>
      <c r="AA2239" s="139">
        <v>4.68</v>
      </c>
      <c r="AB2239" s="139">
        <v>0.42699999999999999</v>
      </c>
      <c r="AC2239" s="140">
        <v>12</v>
      </c>
      <c r="AD2239" s="70">
        <v>640</v>
      </c>
      <c r="AE2239" s="70">
        <v>220</v>
      </c>
      <c r="AF2239" s="70">
        <v>140</v>
      </c>
      <c r="AG2239" s="66">
        <f t="shared" si="90"/>
        <v>103.86034482758623</v>
      </c>
      <c r="AH2239" s="143">
        <f t="shared" si="91"/>
        <v>1000</v>
      </c>
    </row>
    <row r="2240" spans="1:34" x14ac:dyDescent="0.3">
      <c r="A2240" s="140">
        <v>904281</v>
      </c>
      <c r="B2240" s="138">
        <v>22.083333333333336</v>
      </c>
      <c r="C2240" s="138">
        <v>9.1</v>
      </c>
      <c r="D2240" s="152">
        <v>8.2200000000000006</v>
      </c>
      <c r="E2240" s="752">
        <v>1.21</v>
      </c>
      <c r="F2240" s="142">
        <v>1331</v>
      </c>
      <c r="G2240" s="90"/>
      <c r="H2240" s="142">
        <v>366.8</v>
      </c>
      <c r="I2240" s="142">
        <v>260</v>
      </c>
      <c r="J2240" s="141">
        <v>0.88800000000000001</v>
      </c>
      <c r="K2240" s="138">
        <v>7.48</v>
      </c>
      <c r="L2240" s="140">
        <v>1150</v>
      </c>
      <c r="M2240" s="140">
        <v>4.13</v>
      </c>
      <c r="N2240" s="140">
        <v>1.1299999999999999</v>
      </c>
      <c r="O2240" s="140">
        <v>0.39</v>
      </c>
      <c r="P2240" s="140">
        <v>12.73</v>
      </c>
      <c r="R2240" s="139">
        <v>1.7774730000000001</v>
      </c>
      <c r="S2240" s="138">
        <v>15.9</v>
      </c>
      <c r="T2240" s="14"/>
      <c r="U2240" s="14"/>
      <c r="V2240" s="14"/>
      <c r="Y2240" s="941">
        <v>31</v>
      </c>
      <c r="AA2240" s="139">
        <v>4.33</v>
      </c>
      <c r="AB2240" s="139">
        <v>0.316</v>
      </c>
      <c r="AC2240" s="140">
        <v>8.9</v>
      </c>
      <c r="AD2240" s="70">
        <v>620</v>
      </c>
      <c r="AE2240" s="70">
        <v>260</v>
      </c>
      <c r="AF2240" s="70">
        <v>120</v>
      </c>
      <c r="AG2240" s="66">
        <f t="shared" si="90"/>
        <v>85.416774193548392</v>
      </c>
      <c r="AH2240" s="143">
        <f t="shared" si="91"/>
        <v>1000</v>
      </c>
    </row>
    <row r="2241" spans="1:34" s="69" customFormat="1" x14ac:dyDescent="0.3">
      <c r="A2241" s="961">
        <v>904282</v>
      </c>
      <c r="B2241" s="686">
        <v>12.916666666666668</v>
      </c>
      <c r="C2241" s="686">
        <v>5.8749999999999991</v>
      </c>
      <c r="D2241" s="68">
        <v>8.1</v>
      </c>
      <c r="E2241" s="1562">
        <v>0.56999999999999995</v>
      </c>
      <c r="F2241" s="687">
        <v>627</v>
      </c>
      <c r="G2241" s="961"/>
      <c r="H2241" s="69">
        <v>289.70999999999998</v>
      </c>
      <c r="I2241" s="69">
        <v>440</v>
      </c>
      <c r="J2241" s="69">
        <v>0.41599999999999998</v>
      </c>
      <c r="K2241" s="69">
        <v>6.59</v>
      </c>
      <c r="L2241" s="69">
        <v>610</v>
      </c>
      <c r="M2241" s="69">
        <v>2.95</v>
      </c>
      <c r="N2241" s="69">
        <v>0.63</v>
      </c>
      <c r="O2241" s="69">
        <v>2.2400000000000002</v>
      </c>
      <c r="P2241" s="69">
        <v>9.43</v>
      </c>
      <c r="R2241" s="68">
        <v>0.74589680345956622</v>
      </c>
      <c r="S2241" s="69">
        <v>4.9000000000000004</v>
      </c>
      <c r="T2241" s="961"/>
      <c r="Y2241" s="686">
        <v>3</v>
      </c>
      <c r="AA2241" s="68">
        <v>4.8499999999999996</v>
      </c>
      <c r="AB2241" s="68">
        <v>0.247</v>
      </c>
      <c r="AC2241" s="69">
        <v>11.2</v>
      </c>
      <c r="AD2241" s="689">
        <v>60</v>
      </c>
      <c r="AE2241" s="689">
        <v>60</v>
      </c>
      <c r="AF2241" s="689">
        <v>880</v>
      </c>
      <c r="AG2241" s="66">
        <f t="shared" si="90"/>
        <v>777.61999999999989</v>
      </c>
      <c r="AH2241" s="143">
        <f t="shared" si="91"/>
        <v>1000</v>
      </c>
    </row>
    <row r="2242" spans="1:34" s="69" customFormat="1" x14ac:dyDescent="0.3">
      <c r="A2242" s="961">
        <v>904283</v>
      </c>
      <c r="B2242" s="686">
        <v>11.75</v>
      </c>
      <c r="C2242" s="686">
        <v>8.25</v>
      </c>
      <c r="D2242" s="68">
        <v>8.4700000000000006</v>
      </c>
      <c r="E2242" s="1562">
        <v>0.41499999999999998</v>
      </c>
      <c r="F2242" s="687">
        <v>456.50000000000006</v>
      </c>
      <c r="G2242" s="961"/>
      <c r="H2242" s="69">
        <v>75.05</v>
      </c>
      <c r="I2242" s="69">
        <v>250</v>
      </c>
      <c r="J2242" s="69">
        <v>0.27300000000000002</v>
      </c>
      <c r="K2242" s="69">
        <v>7.8</v>
      </c>
      <c r="L2242" s="69">
        <v>500</v>
      </c>
      <c r="M2242" s="69">
        <v>0.99</v>
      </c>
      <c r="N2242" s="69">
        <v>0.39</v>
      </c>
      <c r="O2242" s="69">
        <v>1.17</v>
      </c>
      <c r="P2242" s="69">
        <v>3.42</v>
      </c>
      <c r="R2242" s="68">
        <v>0.28372204302015092</v>
      </c>
      <c r="S2242" s="69">
        <v>2.1</v>
      </c>
      <c r="T2242" s="961"/>
      <c r="Y2242" s="686">
        <v>4.8</v>
      </c>
      <c r="AA2242" s="68">
        <v>4.84</v>
      </c>
      <c r="AB2242" s="68">
        <v>0.497</v>
      </c>
      <c r="AC2242" s="69">
        <v>6.7</v>
      </c>
      <c r="AD2242" s="689">
        <v>80</v>
      </c>
      <c r="AE2242" s="689">
        <v>60</v>
      </c>
      <c r="AF2242" s="689">
        <v>860</v>
      </c>
      <c r="AG2242" s="66">
        <f t="shared" ref="AG2242:AG2305" si="92">+K2242*3.54*100/Y2242</f>
        <v>575.25</v>
      </c>
      <c r="AH2242" s="143">
        <f t="shared" ref="AH2242:AH2305" si="93">+SUM(AD2242:AF2242)</f>
        <v>1000</v>
      </c>
    </row>
    <row r="2243" spans="1:34" s="69" customFormat="1" x14ac:dyDescent="0.3">
      <c r="A2243" s="961">
        <v>904284</v>
      </c>
      <c r="B2243" s="686">
        <v>11.333333333333332</v>
      </c>
      <c r="C2243" s="686">
        <v>6.1249999999999982</v>
      </c>
      <c r="D2243" s="68">
        <v>8.68</v>
      </c>
      <c r="E2243" s="1562">
        <v>0.35899999999999999</v>
      </c>
      <c r="F2243" s="687">
        <v>394.90000000000003</v>
      </c>
      <c r="G2243" s="961"/>
      <c r="H2243" s="69">
        <v>83.74</v>
      </c>
      <c r="I2243" s="69">
        <v>350</v>
      </c>
      <c r="J2243" s="69">
        <v>0.27</v>
      </c>
      <c r="K2243" s="69">
        <v>6.59</v>
      </c>
      <c r="L2243" s="69">
        <v>500</v>
      </c>
      <c r="M2243" s="69">
        <v>0.73</v>
      </c>
      <c r="N2243" s="69">
        <v>0.47</v>
      </c>
      <c r="O2243" s="69">
        <v>1.85</v>
      </c>
      <c r="P2243" s="69">
        <v>2.97</v>
      </c>
      <c r="R2243" s="68">
        <v>0.20644576720259789</v>
      </c>
      <c r="S2243" s="69">
        <v>1.5</v>
      </c>
      <c r="T2243" s="961"/>
      <c r="Y2243" s="686">
        <v>4.8</v>
      </c>
      <c r="AA2243" s="68">
        <v>4.46</v>
      </c>
      <c r="AB2243" s="68">
        <v>0.46200000000000002</v>
      </c>
      <c r="AC2243" s="69">
        <v>10.7</v>
      </c>
      <c r="AD2243" s="689">
        <v>80</v>
      </c>
      <c r="AE2243" s="689">
        <v>60</v>
      </c>
      <c r="AF2243" s="689">
        <v>860</v>
      </c>
      <c r="AG2243" s="66">
        <f t="shared" si="92"/>
        <v>486.01249999999993</v>
      </c>
      <c r="AH2243" s="143">
        <f t="shared" si="93"/>
        <v>1000</v>
      </c>
    </row>
    <row r="2244" spans="1:34" s="69" customFormat="1" x14ac:dyDescent="0.3">
      <c r="A2244" s="961">
        <v>904285</v>
      </c>
      <c r="B2244" s="686">
        <v>13.666666666666663</v>
      </c>
      <c r="C2244" s="686">
        <v>4.1249999999999982</v>
      </c>
      <c r="D2244" s="68">
        <v>8.33</v>
      </c>
      <c r="E2244" s="1562">
        <v>0.28899999999999998</v>
      </c>
      <c r="F2244" s="687">
        <v>317.90000000000003</v>
      </c>
      <c r="G2244" s="961"/>
      <c r="H2244" s="69">
        <v>197.32</v>
      </c>
      <c r="I2244" s="69">
        <v>270</v>
      </c>
      <c r="J2244" s="69">
        <v>0.19400000000000001</v>
      </c>
      <c r="K2244" s="69">
        <v>6.9</v>
      </c>
      <c r="L2244" s="69">
        <v>680</v>
      </c>
      <c r="M2244" s="69">
        <v>3.84</v>
      </c>
      <c r="N2244" s="69">
        <v>0.59</v>
      </c>
      <c r="O2244" s="69">
        <v>2.29</v>
      </c>
      <c r="P2244" s="69">
        <v>11.85</v>
      </c>
      <c r="R2244" s="68">
        <v>0.81464006727443083</v>
      </c>
      <c r="S2244" s="69">
        <v>5.8</v>
      </c>
      <c r="T2244" s="961"/>
      <c r="Y2244" s="686">
        <v>4</v>
      </c>
      <c r="AA2244" s="68">
        <v>4.1900000000000004</v>
      </c>
      <c r="AB2244" s="68">
        <v>0.83299999999999996</v>
      </c>
      <c r="AC2244" s="69">
        <v>10.6</v>
      </c>
      <c r="AD2244" s="689">
        <v>80</v>
      </c>
      <c r="AE2244" s="689">
        <v>60</v>
      </c>
      <c r="AF2244" s="689">
        <v>860</v>
      </c>
      <c r="AG2244" s="66">
        <f t="shared" si="92"/>
        <v>610.65000000000009</v>
      </c>
      <c r="AH2244" s="143">
        <f t="shared" si="93"/>
        <v>1000</v>
      </c>
    </row>
    <row r="2245" spans="1:34" s="69" customFormat="1" x14ac:dyDescent="0.3">
      <c r="A2245" s="961">
        <v>904286</v>
      </c>
      <c r="B2245" s="686">
        <v>12.958333333333332</v>
      </c>
      <c r="C2245" s="686">
        <v>6.25</v>
      </c>
      <c r="D2245" s="68">
        <v>8.43</v>
      </c>
      <c r="E2245" s="1562">
        <v>0.32600000000000001</v>
      </c>
      <c r="F2245" s="687">
        <v>358.6</v>
      </c>
      <c r="G2245" s="961"/>
      <c r="H2245" s="69">
        <v>133.80000000000001</v>
      </c>
      <c r="I2245" s="69">
        <v>240</v>
      </c>
      <c r="J2245" s="69">
        <v>0.24</v>
      </c>
      <c r="K2245" s="69">
        <v>8.35</v>
      </c>
      <c r="L2245" s="69">
        <v>680</v>
      </c>
      <c r="M2245" s="69">
        <v>1.31</v>
      </c>
      <c r="N2245" s="69">
        <v>0.48</v>
      </c>
      <c r="O2245" s="69">
        <v>1.45</v>
      </c>
      <c r="P2245" s="69">
        <v>5.49</v>
      </c>
      <c r="R2245" s="68">
        <v>0.51261565495879424</v>
      </c>
      <c r="S2245" s="69">
        <v>3.5</v>
      </c>
      <c r="T2245" s="961"/>
      <c r="Y2245" s="686">
        <v>4.2</v>
      </c>
      <c r="AA2245" s="68">
        <v>3.75</v>
      </c>
      <c r="AB2245" s="68">
        <v>0.78600000000000003</v>
      </c>
      <c r="AC2245" s="69">
        <v>6.9</v>
      </c>
      <c r="AD2245" s="689">
        <v>60</v>
      </c>
      <c r="AE2245" s="689">
        <v>60</v>
      </c>
      <c r="AF2245" s="689">
        <v>880</v>
      </c>
      <c r="AG2245" s="66">
        <f t="shared" si="92"/>
        <v>703.78571428571422</v>
      </c>
      <c r="AH2245" s="143">
        <f t="shared" si="93"/>
        <v>1000</v>
      </c>
    </row>
    <row r="2246" spans="1:34" s="69" customFormat="1" x14ac:dyDescent="0.3">
      <c r="A2246" s="961">
        <v>904287</v>
      </c>
      <c r="B2246" s="686">
        <v>11.583333333333332</v>
      </c>
      <c r="C2246" s="686">
        <v>7.2499999999999982</v>
      </c>
      <c r="D2246" s="68">
        <v>8.3000000000000007</v>
      </c>
      <c r="E2246" s="1562">
        <v>0.48599999999999999</v>
      </c>
      <c r="F2246" s="687">
        <v>534.6</v>
      </c>
      <c r="G2246" s="961"/>
      <c r="H2246" s="69">
        <v>137.71</v>
      </c>
      <c r="I2246" s="69">
        <v>260</v>
      </c>
      <c r="J2246" s="69">
        <v>0.29199999999999998</v>
      </c>
      <c r="K2246" s="69">
        <v>7.07</v>
      </c>
      <c r="L2246" s="69">
        <v>540</v>
      </c>
      <c r="M2246" s="69">
        <v>1.58</v>
      </c>
      <c r="N2246" s="69">
        <v>0.42</v>
      </c>
      <c r="O2246" s="69">
        <v>1.1100000000000001</v>
      </c>
      <c r="P2246" s="69">
        <v>5.1100000000000003</v>
      </c>
      <c r="R2246" s="68">
        <v>0.30602386822576011</v>
      </c>
      <c r="S2246" s="69">
        <v>2</v>
      </c>
      <c r="T2246" s="961"/>
      <c r="Y2246" s="686">
        <v>3.6</v>
      </c>
      <c r="AA2246" s="68">
        <v>3.97</v>
      </c>
      <c r="AB2246" s="68">
        <v>0.60899999999999999</v>
      </c>
      <c r="AC2246" s="69">
        <v>10.4</v>
      </c>
      <c r="AD2246" s="689">
        <v>60</v>
      </c>
      <c r="AE2246" s="689">
        <v>60</v>
      </c>
      <c r="AF2246" s="689">
        <v>880</v>
      </c>
      <c r="AG2246" s="66">
        <f t="shared" si="92"/>
        <v>695.2166666666667</v>
      </c>
      <c r="AH2246" s="143">
        <f t="shared" si="93"/>
        <v>1000</v>
      </c>
    </row>
    <row r="2247" spans="1:34" s="69" customFormat="1" x14ac:dyDescent="0.3">
      <c r="A2247" s="961">
        <v>904288</v>
      </c>
      <c r="B2247" s="686">
        <v>12.833333333333332</v>
      </c>
      <c r="C2247" s="686">
        <v>6.875</v>
      </c>
      <c r="D2247" s="68">
        <v>8.26</v>
      </c>
      <c r="E2247" s="1562">
        <v>0.501</v>
      </c>
      <c r="F2247" s="687">
        <v>551.1</v>
      </c>
      <c r="G2247" s="961"/>
      <c r="H2247" s="69">
        <v>187.94</v>
      </c>
      <c r="I2247" s="69">
        <v>310</v>
      </c>
      <c r="J2247" s="69">
        <v>0.36199999999999999</v>
      </c>
      <c r="K2247" s="69">
        <v>6.08</v>
      </c>
      <c r="L2247" s="69">
        <v>610</v>
      </c>
      <c r="M2247" s="69">
        <v>2.52</v>
      </c>
      <c r="N2247" s="69">
        <v>0.48</v>
      </c>
      <c r="O2247" s="69">
        <v>2.04</v>
      </c>
      <c r="P2247" s="69">
        <v>7.66</v>
      </c>
      <c r="R2247" s="68">
        <v>0.69886253054868297</v>
      </c>
      <c r="S2247" s="69">
        <v>4.6999999999999993</v>
      </c>
      <c r="T2247" s="961"/>
      <c r="Y2247" s="686">
        <v>4.2</v>
      </c>
      <c r="AA2247" s="68">
        <v>3.64</v>
      </c>
      <c r="AB2247" s="68">
        <v>0.432</v>
      </c>
      <c r="AC2247" s="69">
        <v>10.8</v>
      </c>
      <c r="AD2247" s="689">
        <v>60</v>
      </c>
      <c r="AE2247" s="689">
        <v>80</v>
      </c>
      <c r="AF2247" s="689">
        <v>860</v>
      </c>
      <c r="AG2247" s="66">
        <f t="shared" si="92"/>
        <v>512.4571428571428</v>
      </c>
      <c r="AH2247" s="143">
        <f t="shared" si="93"/>
        <v>1000</v>
      </c>
    </row>
    <row r="2248" spans="1:34" s="69" customFormat="1" x14ac:dyDescent="0.3">
      <c r="A2248" s="961">
        <v>904289</v>
      </c>
      <c r="B2248" s="686">
        <v>11.416666666666666</v>
      </c>
      <c r="C2248" s="686">
        <v>5.2499999999999991</v>
      </c>
      <c r="D2248" s="68">
        <v>8.7799999999999994</v>
      </c>
      <c r="E2248" s="1562">
        <v>0.188</v>
      </c>
      <c r="F2248" s="687">
        <v>206.8</v>
      </c>
      <c r="G2248" s="961"/>
      <c r="H2248" s="69">
        <v>55.67</v>
      </c>
      <c r="I2248" s="69">
        <v>110</v>
      </c>
      <c r="J2248" s="69">
        <v>0.13500000000000001</v>
      </c>
      <c r="K2248" s="69">
        <v>6.37</v>
      </c>
      <c r="L2248" s="69">
        <v>420</v>
      </c>
      <c r="M2248" s="69">
        <v>0.67</v>
      </c>
      <c r="N2248" s="69">
        <v>0.32</v>
      </c>
      <c r="O2248" s="69">
        <v>0.91</v>
      </c>
      <c r="P2248" s="69">
        <v>3.15</v>
      </c>
      <c r="R2248" s="68">
        <v>0.34159338458328536</v>
      </c>
      <c r="S2248" s="69">
        <v>2.5</v>
      </c>
      <c r="T2248" s="961"/>
      <c r="Y2248" s="686">
        <v>3.6</v>
      </c>
      <c r="AA2248" s="68">
        <v>3.65</v>
      </c>
      <c r="AB2248" s="68">
        <v>0.33100000000000002</v>
      </c>
      <c r="AC2248" s="69">
        <v>6.6</v>
      </c>
      <c r="AD2248" s="689">
        <v>60</v>
      </c>
      <c r="AE2248" s="689">
        <v>60</v>
      </c>
      <c r="AF2248" s="689">
        <v>880</v>
      </c>
      <c r="AG2248" s="66">
        <f t="shared" si="92"/>
        <v>626.38333333333333</v>
      </c>
      <c r="AH2248" s="143">
        <f t="shared" si="93"/>
        <v>1000</v>
      </c>
    </row>
    <row r="2249" spans="1:34" s="69" customFormat="1" x14ac:dyDescent="0.3">
      <c r="A2249" s="961">
        <v>904290</v>
      </c>
      <c r="B2249" s="686">
        <v>10.916666666666666</v>
      </c>
      <c r="C2249" s="686">
        <v>7.7499999999999991</v>
      </c>
      <c r="D2249" s="68">
        <v>8.51</v>
      </c>
      <c r="E2249" s="1562">
        <v>0.378</v>
      </c>
      <c r="F2249" s="687">
        <v>415.8</v>
      </c>
      <c r="G2249" s="961"/>
      <c r="H2249" s="69">
        <v>87.32</v>
      </c>
      <c r="I2249" s="69">
        <v>220</v>
      </c>
      <c r="J2249" s="69">
        <v>0.219</v>
      </c>
      <c r="K2249" s="69">
        <v>6.92</v>
      </c>
      <c r="L2249" s="69">
        <v>450</v>
      </c>
      <c r="M2249" s="69">
        <v>0.87</v>
      </c>
      <c r="N2249" s="69">
        <v>0.28999999999999998</v>
      </c>
      <c r="O2249" s="69">
        <v>0.81</v>
      </c>
      <c r="P2249" s="69">
        <v>3.46</v>
      </c>
      <c r="R2249" s="68">
        <v>0.16265389692199766</v>
      </c>
      <c r="S2249" s="69">
        <v>1.1000000000000001</v>
      </c>
      <c r="T2249" s="961"/>
      <c r="Y2249" s="686">
        <v>3</v>
      </c>
      <c r="AA2249" s="68">
        <v>3.9</v>
      </c>
      <c r="AB2249" s="68">
        <v>0.64900000000000002</v>
      </c>
      <c r="AC2249" s="69">
        <v>10.4</v>
      </c>
      <c r="AD2249" s="689">
        <v>60</v>
      </c>
      <c r="AE2249" s="689">
        <v>80</v>
      </c>
      <c r="AF2249" s="689">
        <v>860</v>
      </c>
      <c r="AG2249" s="66">
        <f t="shared" si="92"/>
        <v>816.56</v>
      </c>
      <c r="AH2249" s="143">
        <f t="shared" si="93"/>
        <v>1000</v>
      </c>
    </row>
    <row r="2250" spans="1:34" s="69" customFormat="1" x14ac:dyDescent="0.3">
      <c r="A2250" s="961">
        <v>904291</v>
      </c>
      <c r="B2250" s="686">
        <v>13.416666666666666</v>
      </c>
      <c r="C2250" s="686">
        <v>5.3749999999999982</v>
      </c>
      <c r="D2250" s="68">
        <v>8.26</v>
      </c>
      <c r="E2250" s="1562">
        <v>0.55700000000000005</v>
      </c>
      <c r="F2250" s="687">
        <v>612.70000000000005</v>
      </c>
      <c r="G2250" s="961"/>
      <c r="H2250" s="69">
        <v>222.64</v>
      </c>
      <c r="I2250" s="69">
        <v>370</v>
      </c>
      <c r="J2250" s="69">
        <v>0.313</v>
      </c>
      <c r="K2250" s="69">
        <v>6.14</v>
      </c>
      <c r="L2250" s="69">
        <v>540</v>
      </c>
      <c r="M2250" s="69">
        <v>2.2999999999999998</v>
      </c>
      <c r="N2250" s="69">
        <v>0.51</v>
      </c>
      <c r="O2250" s="69">
        <v>2.76</v>
      </c>
      <c r="P2250" s="69">
        <v>7.19</v>
      </c>
      <c r="R2250" s="68">
        <v>0.58520542274753606</v>
      </c>
      <c r="S2250" s="69">
        <v>3.9000000000000004</v>
      </c>
      <c r="T2250" s="961"/>
      <c r="Y2250" s="686">
        <v>5.6</v>
      </c>
      <c r="AA2250" s="68">
        <v>4.62</v>
      </c>
      <c r="AB2250" s="68">
        <v>0.65400000000000003</v>
      </c>
      <c r="AC2250" s="69">
        <v>8.8000000000000007</v>
      </c>
      <c r="AD2250" s="689">
        <v>80</v>
      </c>
      <c r="AE2250" s="689">
        <v>60</v>
      </c>
      <c r="AF2250" s="689">
        <v>860</v>
      </c>
      <c r="AG2250" s="66">
        <f t="shared" si="92"/>
        <v>388.1357142857143</v>
      </c>
      <c r="AH2250" s="143">
        <f t="shared" si="93"/>
        <v>1000</v>
      </c>
    </row>
    <row r="2251" spans="1:34" s="69" customFormat="1" x14ac:dyDescent="0.3">
      <c r="A2251" s="961">
        <v>904292</v>
      </c>
      <c r="B2251" s="686">
        <v>13.916666666666666</v>
      </c>
      <c r="C2251" s="686">
        <v>7.7499999999999991</v>
      </c>
      <c r="D2251" s="68">
        <v>8.74</v>
      </c>
      <c r="E2251" s="1562">
        <v>0.224</v>
      </c>
      <c r="F2251" s="687">
        <v>246.40000000000003</v>
      </c>
      <c r="G2251" s="961"/>
      <c r="H2251" s="69">
        <v>80.37</v>
      </c>
      <c r="I2251" s="69">
        <v>140</v>
      </c>
      <c r="J2251" s="69">
        <v>0.17</v>
      </c>
      <c r="K2251" s="69">
        <v>8.36</v>
      </c>
      <c r="L2251" s="69">
        <v>510</v>
      </c>
      <c r="M2251" s="69">
        <v>0.69</v>
      </c>
      <c r="N2251" s="69">
        <v>0.41</v>
      </c>
      <c r="O2251" s="69">
        <v>1.2</v>
      </c>
      <c r="P2251" s="69">
        <v>3.36</v>
      </c>
      <c r="R2251" s="68">
        <v>0.48766598010847861</v>
      </c>
      <c r="S2251" s="69">
        <v>3.3000000000000003</v>
      </c>
      <c r="T2251" s="961"/>
      <c r="Y2251" s="686">
        <v>3.6</v>
      </c>
      <c r="AA2251" s="68">
        <v>4.22</v>
      </c>
      <c r="AB2251" s="68">
        <v>0.873</v>
      </c>
      <c r="AC2251" s="69">
        <v>11.4</v>
      </c>
      <c r="AD2251" s="689">
        <v>60</v>
      </c>
      <c r="AE2251" s="689">
        <v>60</v>
      </c>
      <c r="AF2251" s="689">
        <v>880</v>
      </c>
      <c r="AG2251" s="66">
        <f t="shared" si="92"/>
        <v>822.06666666666649</v>
      </c>
      <c r="AH2251" s="143">
        <f t="shared" si="93"/>
        <v>1000</v>
      </c>
    </row>
    <row r="2252" spans="1:34" s="69" customFormat="1" x14ac:dyDescent="0.3">
      <c r="A2252" s="961">
        <v>904293</v>
      </c>
      <c r="B2252" s="686">
        <v>10.916666666666666</v>
      </c>
      <c r="C2252" s="686">
        <v>7.8749999999999982</v>
      </c>
      <c r="D2252" s="68">
        <v>8.3800000000000008</v>
      </c>
      <c r="E2252" s="1562">
        <v>0.36</v>
      </c>
      <c r="F2252" s="687">
        <v>396.00000000000006</v>
      </c>
      <c r="G2252" s="961"/>
      <c r="H2252" s="69">
        <v>141.55000000000001</v>
      </c>
      <c r="I2252" s="69">
        <v>130</v>
      </c>
      <c r="J2252" s="69">
        <v>0.21099999999999999</v>
      </c>
      <c r="K2252" s="69">
        <v>6.38</v>
      </c>
      <c r="L2252" s="69">
        <v>460</v>
      </c>
      <c r="M2252" s="69">
        <v>2.5499999999999998</v>
      </c>
      <c r="N2252" s="69">
        <v>0.45</v>
      </c>
      <c r="O2252" s="69">
        <v>1.36</v>
      </c>
      <c r="P2252" s="69">
        <v>8.92</v>
      </c>
      <c r="R2252" s="68">
        <v>0.50260164451291212</v>
      </c>
      <c r="S2252" s="69">
        <v>3.5999999999999996</v>
      </c>
      <c r="T2252" s="961"/>
      <c r="Y2252" s="686">
        <v>4.2</v>
      </c>
      <c r="AA2252" s="68">
        <v>3.57</v>
      </c>
      <c r="AB2252" s="68">
        <v>0.752</v>
      </c>
      <c r="AC2252" s="69">
        <v>8.6999999999999993</v>
      </c>
      <c r="AD2252" s="689">
        <v>60</v>
      </c>
      <c r="AE2252" s="689">
        <v>80</v>
      </c>
      <c r="AF2252" s="689">
        <v>860</v>
      </c>
      <c r="AG2252" s="66">
        <f t="shared" si="92"/>
        <v>537.74285714285713</v>
      </c>
      <c r="AH2252" s="143">
        <f t="shared" si="93"/>
        <v>1000</v>
      </c>
    </row>
    <row r="2253" spans="1:34" s="69" customFormat="1" x14ac:dyDescent="0.3">
      <c r="A2253" s="961">
        <v>904294</v>
      </c>
      <c r="B2253" s="686">
        <v>13.499999999999998</v>
      </c>
      <c r="C2253" s="686">
        <v>5.2499999999999991</v>
      </c>
      <c r="D2253" s="68">
        <v>8.74</v>
      </c>
      <c r="E2253" s="1562">
        <v>0.245</v>
      </c>
      <c r="F2253" s="687">
        <v>269.5</v>
      </c>
      <c r="G2253" s="961"/>
      <c r="H2253" s="69">
        <v>71.849999999999994</v>
      </c>
      <c r="I2253" s="69">
        <v>120</v>
      </c>
      <c r="J2253" s="69">
        <v>0.21299999999999999</v>
      </c>
      <c r="K2253" s="69">
        <v>5.76</v>
      </c>
      <c r="L2253" s="69">
        <v>450</v>
      </c>
      <c r="M2253" s="69">
        <v>0.76</v>
      </c>
      <c r="N2253" s="69">
        <v>0.23</v>
      </c>
      <c r="O2253" s="69">
        <v>1.08</v>
      </c>
      <c r="P2253" s="69">
        <v>3.43</v>
      </c>
      <c r="R2253" s="68">
        <v>0.1920706577424853</v>
      </c>
      <c r="S2253" s="69">
        <v>1.4000000000000001</v>
      </c>
      <c r="T2253" s="961"/>
      <c r="Y2253" s="686">
        <v>3.6</v>
      </c>
      <c r="AA2253" s="68">
        <v>4.09</v>
      </c>
      <c r="AB2253" s="68">
        <v>0.246</v>
      </c>
      <c r="AC2253" s="69">
        <v>6.7</v>
      </c>
      <c r="AD2253" s="689">
        <v>60</v>
      </c>
      <c r="AE2253" s="689">
        <v>60</v>
      </c>
      <c r="AF2253" s="689">
        <v>880</v>
      </c>
      <c r="AG2253" s="66">
        <f t="shared" si="92"/>
        <v>566.4</v>
      </c>
      <c r="AH2253" s="143">
        <f t="shared" si="93"/>
        <v>1000</v>
      </c>
    </row>
    <row r="2254" spans="1:34" s="69" customFormat="1" x14ac:dyDescent="0.3">
      <c r="A2254" s="961">
        <v>904295</v>
      </c>
      <c r="B2254" s="686">
        <v>13</v>
      </c>
      <c r="C2254" s="686">
        <v>8.25</v>
      </c>
      <c r="D2254" s="68">
        <v>8.6199999999999992</v>
      </c>
      <c r="E2254" s="1562">
        <v>0.45100000000000001</v>
      </c>
      <c r="F2254" s="687">
        <v>496.1</v>
      </c>
      <c r="G2254" s="961"/>
      <c r="H2254" s="69">
        <v>48.48</v>
      </c>
      <c r="I2254" s="69">
        <v>290</v>
      </c>
      <c r="J2254" s="69">
        <v>0.32100000000000001</v>
      </c>
      <c r="K2254" s="69">
        <v>5.66</v>
      </c>
      <c r="L2254" s="69">
        <v>460</v>
      </c>
      <c r="M2254" s="69">
        <v>0.44</v>
      </c>
      <c r="N2254" s="69">
        <v>0.22</v>
      </c>
      <c r="O2254" s="69">
        <v>1.17</v>
      </c>
      <c r="P2254" s="69">
        <v>2.2599999999999998</v>
      </c>
      <c r="R2254" s="68">
        <v>0.51724676107998246</v>
      </c>
      <c r="S2254" s="69">
        <v>3.8</v>
      </c>
      <c r="T2254" s="961"/>
      <c r="Y2254" s="686">
        <v>4.8</v>
      </c>
      <c r="AA2254" s="68">
        <v>4.17</v>
      </c>
      <c r="AB2254" s="68">
        <v>0.52100000000000002</v>
      </c>
      <c r="AC2254" s="69">
        <v>10.1</v>
      </c>
      <c r="AD2254" s="689">
        <v>80</v>
      </c>
      <c r="AE2254" s="689">
        <v>60</v>
      </c>
      <c r="AF2254" s="689">
        <v>860</v>
      </c>
      <c r="AG2254" s="66">
        <f t="shared" si="92"/>
        <v>417.42500000000001</v>
      </c>
      <c r="AH2254" s="143">
        <f t="shared" si="93"/>
        <v>1000</v>
      </c>
    </row>
    <row r="2255" spans="1:34" s="69" customFormat="1" x14ac:dyDescent="0.3">
      <c r="A2255" s="961">
        <v>904296</v>
      </c>
      <c r="B2255" s="686">
        <v>11.833333333333332</v>
      </c>
      <c r="C2255" s="686">
        <v>6.4999999999999991</v>
      </c>
      <c r="D2255" s="68">
        <v>8.69</v>
      </c>
      <c r="E2255" s="1562">
        <v>0.32400000000000001</v>
      </c>
      <c r="F2255" s="687">
        <v>356.40000000000003</v>
      </c>
      <c r="G2255" s="961"/>
      <c r="H2255" s="69">
        <v>112.77</v>
      </c>
      <c r="I2255" s="69">
        <v>460</v>
      </c>
      <c r="J2255" s="69">
        <v>0.255</v>
      </c>
      <c r="K2255" s="69">
        <v>7.99</v>
      </c>
      <c r="L2255" s="69">
        <v>900</v>
      </c>
      <c r="M2255" s="69">
        <v>1.38</v>
      </c>
      <c r="N2255" s="69">
        <v>0.38</v>
      </c>
      <c r="O2255" s="69">
        <v>3.42</v>
      </c>
      <c r="P2255" s="69">
        <v>6.37</v>
      </c>
      <c r="R2255" s="68">
        <v>1.1222640201693634</v>
      </c>
      <c r="S2255" s="69">
        <v>7.7</v>
      </c>
      <c r="T2255" s="961"/>
      <c r="Y2255" s="686">
        <v>7.2</v>
      </c>
      <c r="AA2255" s="68">
        <v>4.5199999999999996</v>
      </c>
      <c r="AB2255" s="68">
        <v>0.67</v>
      </c>
      <c r="AC2255" s="69">
        <v>6.8</v>
      </c>
      <c r="AD2255" s="689">
        <v>120</v>
      </c>
      <c r="AE2255" s="689">
        <v>80</v>
      </c>
      <c r="AF2255" s="689">
        <v>800</v>
      </c>
      <c r="AG2255" s="66">
        <f t="shared" si="92"/>
        <v>392.84166666666664</v>
      </c>
      <c r="AH2255" s="143">
        <f t="shared" si="93"/>
        <v>1000</v>
      </c>
    </row>
    <row r="2256" spans="1:34" s="69" customFormat="1" x14ac:dyDescent="0.3">
      <c r="A2256" s="961">
        <v>904297</v>
      </c>
      <c r="B2256" s="686">
        <v>8.9166666666666661</v>
      </c>
      <c r="C2256" s="686"/>
      <c r="D2256" s="68">
        <v>8.6300000000000008</v>
      </c>
      <c r="E2256" s="1562">
        <v>0.73799999999999999</v>
      </c>
      <c r="F2256" s="687">
        <v>811.80000000000007</v>
      </c>
      <c r="G2256" s="961"/>
      <c r="H2256" s="69">
        <v>167.23</v>
      </c>
      <c r="I2256" s="69">
        <v>890</v>
      </c>
      <c r="J2256" s="69">
        <v>0.91800000000000004</v>
      </c>
      <c r="K2256" s="69">
        <v>7.97</v>
      </c>
      <c r="L2256" s="69">
        <v>1440</v>
      </c>
      <c r="M2256" s="69">
        <v>1.96</v>
      </c>
      <c r="N2256" s="69">
        <v>0.56000000000000005</v>
      </c>
      <c r="O2256" s="69">
        <v>2.78</v>
      </c>
      <c r="P2256" s="69">
        <v>8.91</v>
      </c>
      <c r="R2256" s="68">
        <v>1.2635187820602263</v>
      </c>
      <c r="S2256" s="69">
        <v>9.3999999999999986</v>
      </c>
      <c r="T2256" s="961"/>
      <c r="Y2256" s="686">
        <v>7</v>
      </c>
      <c r="AA2256" s="68">
        <v>4.8899999999999997</v>
      </c>
      <c r="AB2256" s="68">
        <v>0.64500000000000002</v>
      </c>
      <c r="AC2256" s="69">
        <v>11.8</v>
      </c>
      <c r="AD2256" s="689">
        <v>140</v>
      </c>
      <c r="AE2256" s="689">
        <v>80</v>
      </c>
      <c r="AF2256" s="689">
        <v>780</v>
      </c>
      <c r="AG2256" s="66">
        <f t="shared" si="92"/>
        <v>403.05428571428575</v>
      </c>
      <c r="AH2256" s="143">
        <f t="shared" si="93"/>
        <v>1000</v>
      </c>
    </row>
    <row r="2257" spans="1:34" s="69" customFormat="1" x14ac:dyDescent="0.3">
      <c r="A2257" s="961">
        <v>904298</v>
      </c>
      <c r="B2257" s="686">
        <v>7.5833333333333321</v>
      </c>
      <c r="C2257" s="686"/>
      <c r="D2257" s="68">
        <v>8.61</v>
      </c>
      <c r="E2257" s="1562">
        <v>0.37</v>
      </c>
      <c r="F2257" s="687">
        <v>407.00000000000006</v>
      </c>
      <c r="G2257" s="961"/>
      <c r="H2257" s="69">
        <v>173.77</v>
      </c>
      <c r="I2257" s="69">
        <v>780</v>
      </c>
      <c r="J2257" s="69">
        <v>0.317</v>
      </c>
      <c r="K2257" s="69">
        <v>8.06</v>
      </c>
      <c r="L2257" s="69">
        <v>1480</v>
      </c>
      <c r="M2257" s="69">
        <v>3.39</v>
      </c>
      <c r="N2257" s="69">
        <v>0.95</v>
      </c>
      <c r="O2257" s="69">
        <v>6.31</v>
      </c>
      <c r="P2257" s="69">
        <v>13.01</v>
      </c>
      <c r="R2257" s="68">
        <v>1.6216250000000001</v>
      </c>
      <c r="S2257" s="69">
        <v>11.5</v>
      </c>
      <c r="T2257" s="961"/>
      <c r="Y2257" s="686">
        <v>37.200000000000003</v>
      </c>
      <c r="AA2257" s="68">
        <v>4.25</v>
      </c>
      <c r="AB2257" s="68">
        <v>0.46300000000000002</v>
      </c>
      <c r="AC2257" s="69">
        <v>8.4</v>
      </c>
      <c r="AD2257" s="689">
        <v>620</v>
      </c>
      <c r="AE2257" s="689">
        <v>120</v>
      </c>
      <c r="AF2257" s="689">
        <v>260</v>
      </c>
      <c r="AG2257" s="66">
        <f t="shared" si="92"/>
        <v>76.7</v>
      </c>
      <c r="AH2257" s="143">
        <f t="shared" si="93"/>
        <v>1000</v>
      </c>
    </row>
    <row r="2258" spans="1:34" s="69" customFormat="1" x14ac:dyDescent="0.3">
      <c r="A2258" s="961">
        <v>904299</v>
      </c>
      <c r="B2258" s="686">
        <v>7.6666666666666661</v>
      </c>
      <c r="C2258" s="686"/>
      <c r="D2258" s="68">
        <v>8.8800000000000008</v>
      </c>
      <c r="E2258" s="1562">
        <v>0.48</v>
      </c>
      <c r="F2258" s="687">
        <v>528</v>
      </c>
      <c r="G2258" s="961"/>
      <c r="H2258" s="69">
        <v>140.37</v>
      </c>
      <c r="I2258" s="69">
        <v>770</v>
      </c>
      <c r="J2258" s="69">
        <v>0.32</v>
      </c>
      <c r="K2258" s="69">
        <v>6.72</v>
      </c>
      <c r="L2258" s="69">
        <v>690</v>
      </c>
      <c r="M2258" s="69">
        <v>1.46</v>
      </c>
      <c r="N2258" s="69">
        <v>0.39</v>
      </c>
      <c r="O2258" s="69">
        <v>2.61</v>
      </c>
      <c r="P2258" s="69">
        <v>4.42</v>
      </c>
      <c r="R2258" s="68">
        <v>0.97258036427819794</v>
      </c>
      <c r="S2258" s="69">
        <v>7.1999999999999993</v>
      </c>
      <c r="T2258" s="961"/>
      <c r="Y2258" s="686">
        <v>11.2</v>
      </c>
      <c r="AA2258" s="68">
        <v>3.83</v>
      </c>
      <c r="AB2258" s="68">
        <v>0.48499999999999999</v>
      </c>
      <c r="AC2258" s="69">
        <v>7.6</v>
      </c>
      <c r="AD2258" s="689">
        <v>160</v>
      </c>
      <c r="AE2258" s="689">
        <v>60</v>
      </c>
      <c r="AF2258" s="689">
        <v>780</v>
      </c>
      <c r="AG2258" s="66">
        <f t="shared" si="92"/>
        <v>212.39999999999998</v>
      </c>
      <c r="AH2258" s="143">
        <f t="shared" si="93"/>
        <v>1000</v>
      </c>
    </row>
    <row r="2259" spans="1:34" s="69" customFormat="1" x14ac:dyDescent="0.3">
      <c r="A2259" s="961">
        <v>904300</v>
      </c>
      <c r="B2259" s="686">
        <v>6.9999999999999991</v>
      </c>
      <c r="C2259" s="686"/>
      <c r="D2259" s="68">
        <v>8.9</v>
      </c>
      <c r="E2259" s="1562">
        <v>0.26</v>
      </c>
      <c r="F2259" s="687">
        <v>286</v>
      </c>
      <c r="G2259" s="961"/>
      <c r="H2259" s="69">
        <v>90.55</v>
      </c>
      <c r="I2259" s="69">
        <v>520</v>
      </c>
      <c r="J2259" s="69">
        <v>0.252</v>
      </c>
      <c r="K2259" s="69">
        <v>6.7</v>
      </c>
      <c r="L2259" s="69">
        <v>850</v>
      </c>
      <c r="M2259" s="69">
        <v>1.29</v>
      </c>
      <c r="N2259" s="69">
        <v>0.44</v>
      </c>
      <c r="O2259" s="69">
        <v>3.44</v>
      </c>
      <c r="P2259" s="69">
        <v>3.97</v>
      </c>
      <c r="R2259" s="68">
        <v>0.53306012591657681</v>
      </c>
      <c r="S2259" s="69">
        <v>3.9000000000000004</v>
      </c>
      <c r="T2259" s="961"/>
      <c r="Y2259" s="686">
        <v>9.8000000000000007</v>
      </c>
      <c r="AA2259" s="68">
        <v>4.47</v>
      </c>
      <c r="AB2259" s="68">
        <v>0.28199999999999997</v>
      </c>
      <c r="AC2259" s="69">
        <v>7.1</v>
      </c>
      <c r="AD2259" s="689">
        <v>140</v>
      </c>
      <c r="AE2259" s="689">
        <v>80</v>
      </c>
      <c r="AF2259" s="689">
        <v>780</v>
      </c>
      <c r="AG2259" s="66">
        <f t="shared" si="92"/>
        <v>242.0204081632653</v>
      </c>
      <c r="AH2259" s="143">
        <f t="shared" si="93"/>
        <v>1000</v>
      </c>
    </row>
    <row r="2260" spans="1:34" s="69" customFormat="1" x14ac:dyDescent="0.3">
      <c r="A2260" s="961">
        <v>904301</v>
      </c>
      <c r="B2260" s="686">
        <v>6.791666666666667</v>
      </c>
      <c r="C2260" s="686"/>
      <c r="D2260" s="68">
        <v>8.52</v>
      </c>
      <c r="E2260" s="1562">
        <v>0.26800000000000002</v>
      </c>
      <c r="F2260" s="687">
        <v>294.8</v>
      </c>
      <c r="G2260" s="961"/>
      <c r="H2260" s="69">
        <v>171.46</v>
      </c>
      <c r="I2260" s="69">
        <v>860</v>
      </c>
      <c r="J2260" s="69">
        <v>0.16900000000000001</v>
      </c>
      <c r="K2260" s="69">
        <v>7.65</v>
      </c>
      <c r="L2260" s="69">
        <v>1250</v>
      </c>
      <c r="M2260" s="69">
        <v>2.4900000000000002</v>
      </c>
      <c r="N2260" s="69">
        <v>0.73</v>
      </c>
      <c r="O2260" s="69">
        <v>4.8899999999999997</v>
      </c>
      <c r="P2260" s="69">
        <v>8.85</v>
      </c>
      <c r="R2260" s="68">
        <v>1.651977</v>
      </c>
      <c r="S2260" s="69">
        <v>12.3</v>
      </c>
      <c r="T2260" s="961"/>
      <c r="Y2260" s="686">
        <v>28</v>
      </c>
      <c r="AA2260" s="68">
        <v>4.4800000000000004</v>
      </c>
      <c r="AB2260" s="68">
        <v>0.51</v>
      </c>
      <c r="AC2260" s="69">
        <v>6.8</v>
      </c>
      <c r="AD2260" s="689">
        <v>400</v>
      </c>
      <c r="AE2260" s="689">
        <v>240</v>
      </c>
      <c r="AF2260" s="689">
        <v>360</v>
      </c>
      <c r="AG2260" s="66">
        <f t="shared" si="92"/>
        <v>96.717857142857156</v>
      </c>
      <c r="AH2260" s="143">
        <f t="shared" si="93"/>
        <v>1000</v>
      </c>
    </row>
    <row r="2261" spans="1:34" s="69" customFormat="1" x14ac:dyDescent="0.3">
      <c r="A2261" s="961">
        <v>904302</v>
      </c>
      <c r="B2261" s="686">
        <v>6.7499999999999991</v>
      </c>
      <c r="C2261" s="686"/>
      <c r="D2261" s="68">
        <v>8.94</v>
      </c>
      <c r="E2261" s="1562">
        <v>0.20499999999999999</v>
      </c>
      <c r="F2261" s="687">
        <v>225.50000000000003</v>
      </c>
      <c r="G2261" s="961"/>
      <c r="H2261" s="69">
        <v>78.86</v>
      </c>
      <c r="I2261" s="69">
        <v>550</v>
      </c>
      <c r="J2261" s="69">
        <v>0.14000000000000001</v>
      </c>
      <c r="K2261" s="69">
        <v>7.27</v>
      </c>
      <c r="L2261" s="69">
        <v>800</v>
      </c>
      <c r="M2261" s="69">
        <v>1.31</v>
      </c>
      <c r="N2261" s="69">
        <v>0.33</v>
      </c>
      <c r="O2261" s="69">
        <v>2.0499999999999998</v>
      </c>
      <c r="P2261" s="69">
        <v>6.11</v>
      </c>
      <c r="R2261" s="68">
        <v>0.78158820698676079</v>
      </c>
      <c r="S2261" s="69">
        <v>5.8</v>
      </c>
      <c r="T2261" s="961"/>
      <c r="Y2261" s="686">
        <v>3</v>
      </c>
      <c r="AA2261" s="68">
        <v>4.01</v>
      </c>
      <c r="AB2261" s="68">
        <v>0.86499999999999999</v>
      </c>
      <c r="AC2261" s="69">
        <v>11</v>
      </c>
      <c r="AD2261" s="689">
        <v>60</v>
      </c>
      <c r="AE2261" s="689">
        <v>60</v>
      </c>
      <c r="AF2261" s="689">
        <v>880</v>
      </c>
      <c r="AG2261" s="66">
        <f t="shared" si="92"/>
        <v>857.86</v>
      </c>
      <c r="AH2261" s="143">
        <f t="shared" si="93"/>
        <v>1000</v>
      </c>
    </row>
    <row r="2262" spans="1:34" s="69" customFormat="1" x14ac:dyDescent="0.3">
      <c r="A2262" s="961">
        <v>904303</v>
      </c>
      <c r="B2262" s="686">
        <v>8.4166666666666661</v>
      </c>
      <c r="C2262" s="686"/>
      <c r="D2262" s="68">
        <v>8.74</v>
      </c>
      <c r="E2262" s="1562">
        <v>0.67900000000000005</v>
      </c>
      <c r="F2262" s="687">
        <v>746.90000000000009</v>
      </c>
      <c r="G2262" s="961"/>
      <c r="H2262" s="69">
        <v>159.47999999999999</v>
      </c>
      <c r="I2262" s="69">
        <v>700</v>
      </c>
      <c r="J2262" s="69">
        <v>0.8</v>
      </c>
      <c r="K2262" s="69">
        <v>6.93</v>
      </c>
      <c r="L2262" s="69">
        <v>1140</v>
      </c>
      <c r="M2262" s="69">
        <v>2.46</v>
      </c>
      <c r="N2262" s="69">
        <v>0.55000000000000004</v>
      </c>
      <c r="O2262" s="69">
        <v>2.7</v>
      </c>
      <c r="P2262" s="69">
        <v>12.74</v>
      </c>
      <c r="R2262" s="68">
        <v>1.5744170000000002</v>
      </c>
      <c r="S2262" s="69">
        <v>10.3</v>
      </c>
      <c r="T2262" s="961"/>
      <c r="Y2262" s="686">
        <v>5.6</v>
      </c>
      <c r="AA2262" s="68">
        <v>3.57</v>
      </c>
      <c r="AB2262" s="68">
        <v>0.86399999999999999</v>
      </c>
      <c r="AC2262" s="69">
        <v>10.3</v>
      </c>
      <c r="AD2262" s="689">
        <v>80</v>
      </c>
      <c r="AE2262" s="689">
        <v>60</v>
      </c>
      <c r="AF2262" s="689">
        <v>860</v>
      </c>
      <c r="AG2262" s="66">
        <f t="shared" si="92"/>
        <v>438.07499999999999</v>
      </c>
      <c r="AH2262" s="143">
        <f t="shared" si="93"/>
        <v>1000</v>
      </c>
    </row>
    <row r="2263" spans="1:34" s="69" customFormat="1" x14ac:dyDescent="0.3">
      <c r="A2263" s="961">
        <v>904304</v>
      </c>
      <c r="B2263" s="686">
        <v>5.9583333333333339</v>
      </c>
      <c r="C2263" s="686"/>
      <c r="D2263" s="68">
        <v>8.58</v>
      </c>
      <c r="E2263" s="1562">
        <v>0.35899999999999999</v>
      </c>
      <c r="F2263" s="687">
        <v>394.90000000000003</v>
      </c>
      <c r="G2263" s="961"/>
      <c r="H2263" s="69">
        <v>245.51</v>
      </c>
      <c r="I2263" s="69">
        <v>980</v>
      </c>
      <c r="J2263" s="69">
        <v>0.38200000000000001</v>
      </c>
      <c r="K2263" s="69">
        <v>6.95</v>
      </c>
      <c r="L2263" s="69">
        <v>1440</v>
      </c>
      <c r="M2263" s="69">
        <v>8.8000000000000007</v>
      </c>
      <c r="N2263" s="69">
        <v>1.1200000000000001</v>
      </c>
      <c r="O2263" s="69">
        <v>7.71</v>
      </c>
      <c r="P2263" s="69">
        <v>8.75</v>
      </c>
      <c r="R2263" s="68">
        <v>2.0137999999999998</v>
      </c>
      <c r="S2263" s="69">
        <v>25</v>
      </c>
      <c r="T2263" s="961"/>
      <c r="Y2263" s="686">
        <v>28</v>
      </c>
      <c r="AA2263" s="68">
        <v>3.78</v>
      </c>
      <c r="AB2263" s="68">
        <v>0.80300000000000005</v>
      </c>
      <c r="AC2263" s="69">
        <v>10.3</v>
      </c>
      <c r="AD2263" s="689">
        <v>400</v>
      </c>
      <c r="AE2263" s="689">
        <v>220</v>
      </c>
      <c r="AF2263" s="689">
        <v>380</v>
      </c>
      <c r="AG2263" s="66">
        <f t="shared" si="92"/>
        <v>87.867857142857147</v>
      </c>
      <c r="AH2263" s="143">
        <f t="shared" si="93"/>
        <v>1000</v>
      </c>
    </row>
    <row r="2264" spans="1:34" s="69" customFormat="1" x14ac:dyDescent="0.3">
      <c r="A2264" s="961">
        <v>904305</v>
      </c>
      <c r="B2264" s="686">
        <v>12</v>
      </c>
      <c r="C2264" s="686">
        <v>5.3749999999999982</v>
      </c>
      <c r="D2264" s="68">
        <v>8.5299999999999994</v>
      </c>
      <c r="E2264" s="1562">
        <v>0.66500000000000004</v>
      </c>
      <c r="F2264" s="687">
        <v>731.50000000000011</v>
      </c>
      <c r="G2264" s="961"/>
      <c r="H2264" s="69">
        <v>213.53</v>
      </c>
      <c r="I2264" s="69">
        <v>620</v>
      </c>
      <c r="J2264" s="69">
        <v>0.71099999999999997</v>
      </c>
      <c r="K2264" s="69">
        <v>7.49</v>
      </c>
      <c r="L2264" s="69">
        <v>960</v>
      </c>
      <c r="M2264" s="69">
        <v>3.11</v>
      </c>
      <c r="N2264" s="69">
        <v>0.54</v>
      </c>
      <c r="O2264" s="69">
        <v>3.21</v>
      </c>
      <c r="P2264" s="69">
        <v>8.2899999999999991</v>
      </c>
      <c r="R2264" s="68">
        <v>1.3602046290411443</v>
      </c>
      <c r="S2264" s="69">
        <v>9.6</v>
      </c>
      <c r="T2264" s="961"/>
      <c r="Y2264" s="686">
        <v>5.6</v>
      </c>
      <c r="AA2264" s="68">
        <v>4.5999999999999996</v>
      </c>
      <c r="AB2264" s="68">
        <v>0.26</v>
      </c>
      <c r="AC2264" s="69">
        <v>12</v>
      </c>
      <c r="AD2264" s="689">
        <v>80</v>
      </c>
      <c r="AE2264" s="689">
        <v>60</v>
      </c>
      <c r="AF2264" s="689">
        <v>860</v>
      </c>
      <c r="AG2264" s="66">
        <f t="shared" si="92"/>
        <v>473.47500000000002</v>
      </c>
      <c r="AH2264" s="143">
        <f t="shared" si="93"/>
        <v>1000</v>
      </c>
    </row>
    <row r="2265" spans="1:34" s="69" customFormat="1" x14ac:dyDescent="0.3">
      <c r="A2265" s="961">
        <v>904306</v>
      </c>
      <c r="B2265" s="686">
        <v>7.5833333333333321</v>
      </c>
      <c r="C2265" s="686"/>
      <c r="D2265" s="68">
        <v>8.57</v>
      </c>
      <c r="E2265" s="1562">
        <v>0.50800000000000001</v>
      </c>
      <c r="F2265" s="687">
        <v>558.80000000000007</v>
      </c>
      <c r="G2265" s="961"/>
      <c r="H2265" s="69">
        <v>162.11000000000001</v>
      </c>
      <c r="I2265" s="69">
        <v>610</v>
      </c>
      <c r="J2265" s="69">
        <v>0.60899999999999999</v>
      </c>
      <c r="K2265" s="69">
        <v>8.0399999999999991</v>
      </c>
      <c r="L2265" s="69">
        <v>1220</v>
      </c>
      <c r="M2265" s="69">
        <v>3.15</v>
      </c>
      <c r="N2265" s="69">
        <v>0.67</v>
      </c>
      <c r="O2265" s="69">
        <v>4.25</v>
      </c>
      <c r="P2265" s="69">
        <v>12.37</v>
      </c>
      <c r="R2265" s="68">
        <v>1.651977</v>
      </c>
      <c r="S2265" s="69">
        <v>12.3</v>
      </c>
      <c r="T2265" s="961"/>
      <c r="Y2265" s="686">
        <v>4.8</v>
      </c>
      <c r="AA2265" s="68">
        <v>4.3</v>
      </c>
      <c r="AB2265" s="68">
        <v>0.248</v>
      </c>
      <c r="AC2265" s="69">
        <v>8.1999999999999993</v>
      </c>
      <c r="AD2265" s="689">
        <v>80</v>
      </c>
      <c r="AE2265" s="689">
        <v>60</v>
      </c>
      <c r="AF2265" s="689">
        <v>860</v>
      </c>
      <c r="AG2265" s="66">
        <f t="shared" si="92"/>
        <v>592.95000000000005</v>
      </c>
      <c r="AH2265" s="143">
        <f t="shared" si="93"/>
        <v>1000</v>
      </c>
    </row>
    <row r="2266" spans="1:34" s="69" customFormat="1" x14ac:dyDescent="0.3">
      <c r="A2266" s="961">
        <v>904307</v>
      </c>
      <c r="B2266" s="686">
        <v>5.583333333333333</v>
      </c>
      <c r="C2266" s="686"/>
      <c r="D2266" s="68">
        <v>8.4499999999999993</v>
      </c>
      <c r="E2266" s="1562">
        <v>1.024</v>
      </c>
      <c r="F2266" s="687">
        <v>1126.4000000000001</v>
      </c>
      <c r="G2266" s="961"/>
      <c r="H2266" s="69">
        <v>121.52</v>
      </c>
      <c r="I2266" s="69">
        <v>1000</v>
      </c>
      <c r="J2266" s="69">
        <v>1.05</v>
      </c>
      <c r="K2266" s="69">
        <v>7.48</v>
      </c>
      <c r="L2266" s="69">
        <v>1370</v>
      </c>
      <c r="M2266" s="69">
        <v>1.61</v>
      </c>
      <c r="N2266" s="69">
        <v>0.66</v>
      </c>
      <c r="O2266" s="69">
        <v>3.62</v>
      </c>
      <c r="P2266" s="69">
        <v>6.83</v>
      </c>
      <c r="R2266" s="68">
        <v>1.2867771177701908</v>
      </c>
      <c r="S2266" s="69">
        <v>8.4</v>
      </c>
      <c r="T2266" s="961"/>
      <c r="Y2266" s="686">
        <v>25.9</v>
      </c>
      <c r="AA2266" s="68">
        <v>3.88</v>
      </c>
      <c r="AB2266" s="68">
        <v>0.63100000000000001</v>
      </c>
      <c r="AC2266" s="69">
        <v>6.8</v>
      </c>
      <c r="AD2266" s="689">
        <v>370</v>
      </c>
      <c r="AE2266" s="689">
        <v>230</v>
      </c>
      <c r="AF2266" s="689">
        <v>400</v>
      </c>
      <c r="AG2266" s="66">
        <f t="shared" si="92"/>
        <v>102.23629343629345</v>
      </c>
      <c r="AH2266" s="143">
        <f t="shared" si="93"/>
        <v>1000</v>
      </c>
    </row>
    <row r="2267" spans="1:34" s="69" customFormat="1" x14ac:dyDescent="0.3">
      <c r="A2267" s="961">
        <v>904308</v>
      </c>
      <c r="B2267" s="686">
        <v>5.583333333333333</v>
      </c>
      <c r="C2267" s="686"/>
      <c r="D2267" s="68">
        <v>8.82</v>
      </c>
      <c r="E2267" s="1562">
        <v>0.21299999999999999</v>
      </c>
      <c r="F2267" s="687">
        <v>234.3</v>
      </c>
      <c r="G2267" s="961"/>
      <c r="H2267" s="69">
        <v>28.18</v>
      </c>
      <c r="I2267" s="69">
        <v>720</v>
      </c>
      <c r="J2267" s="69">
        <v>0.22700000000000001</v>
      </c>
      <c r="K2267" s="69">
        <v>7.13</v>
      </c>
      <c r="L2267" s="69">
        <v>1380</v>
      </c>
      <c r="M2267" s="69">
        <v>0.59</v>
      </c>
      <c r="N2267" s="69">
        <v>0.87</v>
      </c>
      <c r="O2267" s="69">
        <v>2.88</v>
      </c>
      <c r="P2267" s="69">
        <v>3.68</v>
      </c>
      <c r="R2267" s="68">
        <v>0.53424320193655017</v>
      </c>
      <c r="S2267" s="69">
        <v>3.5999999999999996</v>
      </c>
      <c r="T2267" s="961"/>
      <c r="Y2267" s="686">
        <v>28</v>
      </c>
      <c r="AA2267" s="68">
        <v>4.5599999999999996</v>
      </c>
      <c r="AB2267" s="68">
        <v>0.67600000000000005</v>
      </c>
      <c r="AC2267" s="69">
        <v>9.6999999999999993</v>
      </c>
      <c r="AD2267" s="689">
        <v>560</v>
      </c>
      <c r="AE2267" s="689">
        <v>180</v>
      </c>
      <c r="AF2267" s="689">
        <v>260</v>
      </c>
      <c r="AG2267" s="66">
        <f t="shared" si="92"/>
        <v>90.143571428571434</v>
      </c>
      <c r="AH2267" s="143">
        <f t="shared" si="93"/>
        <v>1000</v>
      </c>
    </row>
    <row r="2268" spans="1:34" s="69" customFormat="1" x14ac:dyDescent="0.3">
      <c r="A2268" s="961">
        <v>904309</v>
      </c>
      <c r="B2268" s="686">
        <v>5.6666666666666661</v>
      </c>
      <c r="C2268" s="686"/>
      <c r="D2268" s="68">
        <v>8.6999999999999993</v>
      </c>
      <c r="E2268" s="1562">
        <v>0.191</v>
      </c>
      <c r="F2268" s="687">
        <v>210.10000000000002</v>
      </c>
      <c r="G2268" s="961"/>
      <c r="H2268" s="69">
        <v>42.5</v>
      </c>
      <c r="I2268" s="69">
        <v>720</v>
      </c>
      <c r="J2268" s="69">
        <v>0.16500000000000001</v>
      </c>
      <c r="K2268" s="69">
        <v>7.24</v>
      </c>
      <c r="L2268" s="69">
        <v>1240</v>
      </c>
      <c r="M2268" s="69">
        <v>0.85</v>
      </c>
      <c r="N2268" s="69">
        <v>0.69</v>
      </c>
      <c r="O2268" s="69">
        <v>4.43</v>
      </c>
      <c r="P2268" s="69">
        <v>4.8</v>
      </c>
      <c r="R2268" s="68">
        <v>1.3717195899229837</v>
      </c>
      <c r="S2268" s="69">
        <v>10</v>
      </c>
      <c r="T2268" s="961"/>
      <c r="Y2268" s="686">
        <v>35</v>
      </c>
      <c r="AA2268" s="68">
        <v>3.79</v>
      </c>
      <c r="AB2268" s="68">
        <v>0.499</v>
      </c>
      <c r="AC2268" s="69">
        <v>7.9</v>
      </c>
      <c r="AD2268" s="689">
        <v>500</v>
      </c>
      <c r="AE2268" s="689">
        <v>200</v>
      </c>
      <c r="AF2268" s="689">
        <v>300</v>
      </c>
      <c r="AG2268" s="66">
        <f t="shared" si="92"/>
        <v>73.227428571428575</v>
      </c>
      <c r="AH2268" s="143">
        <f t="shared" si="93"/>
        <v>1000</v>
      </c>
    </row>
    <row r="2269" spans="1:34" s="69" customFormat="1" x14ac:dyDescent="0.3">
      <c r="A2269" s="961">
        <v>904310</v>
      </c>
      <c r="B2269" s="686">
        <v>6.041666666666667</v>
      </c>
      <c r="C2269" s="686"/>
      <c r="D2269" s="68">
        <v>8.9499999999999993</v>
      </c>
      <c r="E2269" s="1562">
        <v>0.38500000000000001</v>
      </c>
      <c r="F2269" s="687">
        <v>423.50000000000006</v>
      </c>
      <c r="G2269" s="961"/>
      <c r="H2269" s="69">
        <v>23.39</v>
      </c>
      <c r="I2269" s="69">
        <v>550</v>
      </c>
      <c r="J2269" s="69">
        <v>0.49299999999999999</v>
      </c>
      <c r="K2269" s="69">
        <v>7.32</v>
      </c>
      <c r="L2269" s="69">
        <v>1300</v>
      </c>
      <c r="M2269" s="69">
        <v>0.55000000000000004</v>
      </c>
      <c r="N2269" s="69">
        <v>0.56000000000000005</v>
      </c>
      <c r="O2269" s="69">
        <v>2.75</v>
      </c>
      <c r="P2269" s="69">
        <v>3.09</v>
      </c>
      <c r="R2269" s="68">
        <v>0.69452005397467476</v>
      </c>
      <c r="S2269" s="69">
        <v>5</v>
      </c>
      <c r="T2269" s="961"/>
      <c r="Y2269" s="686">
        <v>24</v>
      </c>
      <c r="AA2269" s="68">
        <v>3.7</v>
      </c>
      <c r="AB2269" s="68">
        <v>0.254</v>
      </c>
      <c r="AC2269" s="69">
        <v>8.5</v>
      </c>
      <c r="AD2269" s="689">
        <v>400</v>
      </c>
      <c r="AE2269" s="689">
        <v>220</v>
      </c>
      <c r="AF2269" s="689">
        <v>380</v>
      </c>
      <c r="AG2269" s="66">
        <f t="shared" si="92"/>
        <v>107.97000000000001</v>
      </c>
      <c r="AH2269" s="143">
        <f t="shared" si="93"/>
        <v>1000</v>
      </c>
    </row>
    <row r="2270" spans="1:34" s="954" customFormat="1" x14ac:dyDescent="0.3">
      <c r="A2270" s="951">
        <v>904311</v>
      </c>
      <c r="B2270" s="952">
        <v>0.48333333333333328</v>
      </c>
      <c r="C2270" s="952"/>
      <c r="D2270" s="953">
        <v>8.49</v>
      </c>
      <c r="E2270" s="1577">
        <v>0.29099999999999998</v>
      </c>
      <c r="F2270" s="955">
        <v>320.10000000000002</v>
      </c>
      <c r="G2270" s="951"/>
      <c r="H2270" s="954">
        <v>60.82</v>
      </c>
      <c r="I2270" s="954">
        <v>80</v>
      </c>
      <c r="J2270" s="954">
        <v>0.30199999999999999</v>
      </c>
      <c r="K2270" s="954">
        <v>3.31</v>
      </c>
      <c r="L2270" s="954">
        <v>580</v>
      </c>
      <c r="M2270" s="954">
        <v>0.67</v>
      </c>
      <c r="N2270" s="954">
        <v>0.32</v>
      </c>
      <c r="O2270" s="954">
        <v>2.44</v>
      </c>
      <c r="P2270" s="954">
        <v>3.03</v>
      </c>
      <c r="R2270" s="953">
        <v>0.40592798140909764</v>
      </c>
      <c r="S2270" s="954">
        <v>2.7</v>
      </c>
      <c r="T2270" s="951"/>
      <c r="Y2270" s="952">
        <v>3.6</v>
      </c>
      <c r="AA2270" s="953">
        <v>4.49</v>
      </c>
      <c r="AB2270" s="953">
        <v>0.42</v>
      </c>
      <c r="AC2270" s="954">
        <v>9.5</v>
      </c>
      <c r="AD2270" s="956">
        <v>60</v>
      </c>
      <c r="AE2270" s="956">
        <v>60</v>
      </c>
      <c r="AF2270" s="956">
        <v>880</v>
      </c>
      <c r="AG2270" s="66">
        <f t="shared" si="92"/>
        <v>325.48333333333335</v>
      </c>
      <c r="AH2270" s="143">
        <f t="shared" si="93"/>
        <v>1000</v>
      </c>
    </row>
    <row r="2271" spans="1:34" s="954" customFormat="1" x14ac:dyDescent="0.3">
      <c r="A2271" s="951">
        <v>904312</v>
      </c>
      <c r="B2271" s="952">
        <v>11.833333333333332</v>
      </c>
      <c r="C2271" s="952">
        <v>6.6249999999999982</v>
      </c>
      <c r="D2271" s="953">
        <v>8.5399999999999991</v>
      </c>
      <c r="E2271" s="1577">
        <v>0.36299999999999999</v>
      </c>
      <c r="F2271" s="955">
        <v>399.3</v>
      </c>
      <c r="G2271" s="951"/>
      <c r="H2271" s="954">
        <v>57.15</v>
      </c>
      <c r="I2271" s="954">
        <v>250</v>
      </c>
      <c r="J2271" s="954">
        <v>0.745</v>
      </c>
      <c r="K2271" s="954">
        <v>10.85</v>
      </c>
      <c r="L2271" s="954">
        <v>1110</v>
      </c>
      <c r="M2271" s="954">
        <v>0.2</v>
      </c>
      <c r="N2271" s="954">
        <v>0.21</v>
      </c>
      <c r="O2271" s="954">
        <v>2.61</v>
      </c>
      <c r="P2271" s="954">
        <v>5.18</v>
      </c>
      <c r="R2271" s="953">
        <v>1.3706830299208612</v>
      </c>
      <c r="S2271" s="954">
        <v>10.1</v>
      </c>
      <c r="T2271" s="951"/>
      <c r="Y2271" s="952">
        <v>33.4</v>
      </c>
      <c r="AA2271" s="953">
        <v>4.6500000000000004</v>
      </c>
      <c r="AB2271" s="953">
        <v>0.35099999999999998</v>
      </c>
      <c r="AC2271" s="954">
        <v>6</v>
      </c>
      <c r="AD2271" s="956">
        <v>620</v>
      </c>
      <c r="AE2271" s="956">
        <v>220</v>
      </c>
      <c r="AF2271" s="956">
        <v>160</v>
      </c>
      <c r="AG2271" s="66">
        <f t="shared" si="92"/>
        <v>114.99700598802396</v>
      </c>
      <c r="AH2271" s="143">
        <f t="shared" si="93"/>
        <v>1000</v>
      </c>
    </row>
    <row r="2272" spans="1:34" s="954" customFormat="1" x14ac:dyDescent="0.3">
      <c r="A2272" s="951">
        <v>904313</v>
      </c>
      <c r="B2272" s="952">
        <v>1.0666666666666667</v>
      </c>
      <c r="C2272" s="952"/>
      <c r="D2272" s="953">
        <v>7.83</v>
      </c>
      <c r="E2272" s="1577">
        <v>0.54100000000000004</v>
      </c>
      <c r="F2272" s="955">
        <v>595.1</v>
      </c>
      <c r="G2272" s="951"/>
      <c r="H2272" s="954">
        <v>102.77</v>
      </c>
      <c r="I2272" s="954">
        <v>280</v>
      </c>
      <c r="J2272" s="954">
        <v>0.92800000000000005</v>
      </c>
      <c r="K2272" s="954">
        <v>7.48</v>
      </c>
      <c r="L2272" s="954">
        <v>1170</v>
      </c>
      <c r="M2272" s="954">
        <v>0.15</v>
      </c>
      <c r="N2272" s="954">
        <v>0.31</v>
      </c>
      <c r="O2272" s="954">
        <v>20.43</v>
      </c>
      <c r="P2272" s="954">
        <v>8.0399999999999991</v>
      </c>
      <c r="R2272" s="953">
        <v>1.2626997813396845</v>
      </c>
      <c r="S2272" s="954">
        <v>8.2999999999999989</v>
      </c>
      <c r="T2272" s="951"/>
      <c r="Y2272" s="952">
        <v>32</v>
      </c>
      <c r="AA2272" s="953">
        <v>4.22</v>
      </c>
      <c r="AB2272" s="953">
        <v>0.35</v>
      </c>
      <c r="AC2272" s="954">
        <v>7.6</v>
      </c>
      <c r="AD2272" s="956">
        <v>640</v>
      </c>
      <c r="AE2272" s="956">
        <v>200</v>
      </c>
      <c r="AF2272" s="956">
        <v>160</v>
      </c>
      <c r="AG2272" s="66">
        <f t="shared" si="92"/>
        <v>82.747500000000002</v>
      </c>
      <c r="AH2272" s="143">
        <f t="shared" si="93"/>
        <v>1000</v>
      </c>
    </row>
    <row r="2273" spans="1:34" s="954" customFormat="1" x14ac:dyDescent="0.3">
      <c r="A2273" s="951">
        <v>904314</v>
      </c>
      <c r="B2273" s="952">
        <v>0.3</v>
      </c>
      <c r="C2273" s="952"/>
      <c r="D2273" s="953">
        <v>8.2899999999999991</v>
      </c>
      <c r="E2273" s="1577">
        <v>0.19900000000000001</v>
      </c>
      <c r="F2273" s="955">
        <v>218.9</v>
      </c>
      <c r="G2273" s="951"/>
      <c r="H2273" s="954">
        <v>94.45</v>
      </c>
      <c r="I2273" s="954">
        <v>180</v>
      </c>
      <c r="J2273" s="954">
        <v>0.16700000000000001</v>
      </c>
      <c r="K2273" s="954">
        <v>1.85</v>
      </c>
      <c r="L2273" s="954">
        <v>430</v>
      </c>
      <c r="M2273" s="954">
        <v>1.02</v>
      </c>
      <c r="N2273" s="954">
        <v>0.42</v>
      </c>
      <c r="O2273" s="954">
        <v>3.76</v>
      </c>
      <c r="P2273" s="954">
        <v>3.14</v>
      </c>
      <c r="R2273" s="953">
        <v>1.0700847147464665</v>
      </c>
      <c r="S2273" s="954">
        <v>7.6</v>
      </c>
      <c r="T2273" s="951"/>
      <c r="Y2273" s="952">
        <v>8</v>
      </c>
      <c r="AA2273" s="953">
        <v>3.71</v>
      </c>
      <c r="AB2273" s="953">
        <v>0.39800000000000002</v>
      </c>
      <c r="AC2273" s="954">
        <v>9.6999999999999993</v>
      </c>
      <c r="AD2273" s="956">
        <v>160</v>
      </c>
      <c r="AE2273" s="956">
        <v>100</v>
      </c>
      <c r="AF2273" s="956">
        <v>740</v>
      </c>
      <c r="AG2273" s="66">
        <f t="shared" si="92"/>
        <v>81.862500000000011</v>
      </c>
      <c r="AH2273" s="143">
        <f t="shared" si="93"/>
        <v>1000</v>
      </c>
    </row>
    <row r="2274" spans="1:34" s="954" customFormat="1" x14ac:dyDescent="0.3">
      <c r="A2274" s="951">
        <v>904315</v>
      </c>
      <c r="B2274" s="952">
        <v>15</v>
      </c>
      <c r="C2274" s="952">
        <v>2.74</v>
      </c>
      <c r="D2274" s="953">
        <v>7.89</v>
      </c>
      <c r="E2274" s="1577">
        <v>1.0369999999999999</v>
      </c>
      <c r="F2274" s="955">
        <v>1140.7</v>
      </c>
      <c r="G2274" s="951"/>
      <c r="H2274" s="954">
        <v>433.43</v>
      </c>
      <c r="I2274" s="954">
        <v>400</v>
      </c>
      <c r="J2274" s="954">
        <v>0.47899999999999998</v>
      </c>
      <c r="K2274" s="954">
        <v>10.35</v>
      </c>
      <c r="L2274" s="954">
        <v>770</v>
      </c>
      <c r="M2274" s="954">
        <v>4.1500000000000004</v>
      </c>
      <c r="N2274" s="954">
        <v>2.71</v>
      </c>
      <c r="O2274" s="954">
        <v>6.27</v>
      </c>
      <c r="P2274" s="954">
        <v>4.6399999999999997</v>
      </c>
      <c r="R2274" s="953">
        <v>1.6369130000000001</v>
      </c>
      <c r="S2274" s="954">
        <v>11.899999999999999</v>
      </c>
      <c r="T2274" s="951"/>
      <c r="Y2274" s="952">
        <v>35</v>
      </c>
      <c r="AA2274" s="953">
        <v>3.66</v>
      </c>
      <c r="AB2274" s="953">
        <v>0.46</v>
      </c>
      <c r="AC2274" s="954">
        <v>10.1</v>
      </c>
      <c r="AD2274" s="956">
        <v>500</v>
      </c>
      <c r="AE2274" s="956">
        <v>260</v>
      </c>
      <c r="AF2274" s="956">
        <v>240</v>
      </c>
      <c r="AG2274" s="66">
        <f t="shared" si="92"/>
        <v>104.68285714285713</v>
      </c>
      <c r="AH2274" s="143">
        <f t="shared" si="93"/>
        <v>1000</v>
      </c>
    </row>
    <row r="2275" spans="1:34" s="954" customFormat="1" x14ac:dyDescent="0.3">
      <c r="A2275" s="951">
        <v>904316</v>
      </c>
      <c r="B2275" s="952">
        <v>11.75</v>
      </c>
      <c r="C2275" s="952">
        <v>3.74</v>
      </c>
      <c r="D2275" s="953">
        <v>7.81</v>
      </c>
      <c r="E2275" s="1577">
        <v>1.02</v>
      </c>
      <c r="F2275" s="955">
        <v>1122</v>
      </c>
      <c r="G2275" s="951"/>
      <c r="H2275" s="954">
        <f>332.49*2</f>
        <v>664.98</v>
      </c>
      <c r="I2275" s="954">
        <v>1000</v>
      </c>
      <c r="J2275" s="954">
        <v>0.46200000000000002</v>
      </c>
      <c r="K2275" s="954">
        <v>10.47</v>
      </c>
      <c r="L2275" s="954">
        <v>1040</v>
      </c>
      <c r="M2275" s="954">
        <v>7.93</v>
      </c>
      <c r="N2275" s="954">
        <v>2.0499999999999998</v>
      </c>
      <c r="O2275" s="954">
        <v>27.64</v>
      </c>
      <c r="P2275" s="954">
        <v>8.5399999999999991</v>
      </c>
      <c r="R2275" s="953">
        <v>1.6886570000000001</v>
      </c>
      <c r="S2275" s="954">
        <v>13.3</v>
      </c>
      <c r="T2275" s="951"/>
      <c r="Y2275" s="952">
        <v>26</v>
      </c>
      <c r="AA2275" s="953">
        <v>3.52</v>
      </c>
      <c r="AB2275" s="953">
        <v>0.59199999999999997</v>
      </c>
      <c r="AC2275" s="954">
        <v>6.2</v>
      </c>
      <c r="AD2275" s="956">
        <v>520</v>
      </c>
      <c r="AE2275" s="956">
        <v>230</v>
      </c>
      <c r="AF2275" s="956">
        <v>250</v>
      </c>
      <c r="AG2275" s="66">
        <f t="shared" si="92"/>
        <v>142.55307692307693</v>
      </c>
      <c r="AH2275" s="143">
        <f t="shared" si="93"/>
        <v>1000</v>
      </c>
    </row>
    <row r="2276" spans="1:34" s="954" customFormat="1" x14ac:dyDescent="0.3">
      <c r="A2276" s="951">
        <v>904317</v>
      </c>
      <c r="B2276" s="952">
        <v>11.583333333333332</v>
      </c>
      <c r="C2276" s="952">
        <v>4.32</v>
      </c>
      <c r="D2276" s="953">
        <v>8</v>
      </c>
      <c r="E2276" s="1577">
        <v>0.77800000000000002</v>
      </c>
      <c r="F2276" s="955">
        <v>855.80000000000007</v>
      </c>
      <c r="G2276" s="951"/>
      <c r="H2276" s="954">
        <v>246.13</v>
      </c>
      <c r="I2276" s="954">
        <v>390</v>
      </c>
      <c r="J2276" s="954">
        <v>0.377</v>
      </c>
      <c r="K2276" s="954">
        <v>9.9700000000000006</v>
      </c>
      <c r="L2276" s="954">
        <v>780</v>
      </c>
      <c r="M2276" s="954">
        <v>4.04</v>
      </c>
      <c r="N2276" s="954">
        <v>2.37</v>
      </c>
      <c r="O2276" s="954">
        <v>6.04</v>
      </c>
      <c r="P2276" s="954">
        <v>5.23</v>
      </c>
      <c r="R2276" s="953">
        <v>1.4871158418956036</v>
      </c>
      <c r="S2276" s="954">
        <v>9.8000000000000007</v>
      </c>
      <c r="T2276" s="951"/>
      <c r="Y2276" s="952">
        <v>37.799999999999997</v>
      </c>
      <c r="AA2276" s="953">
        <v>3.8</v>
      </c>
      <c r="AB2276" s="953">
        <v>0.42899999999999999</v>
      </c>
      <c r="AC2276" s="954">
        <v>10.7</v>
      </c>
      <c r="AD2276" s="956">
        <v>540</v>
      </c>
      <c r="AE2276" s="956">
        <v>220</v>
      </c>
      <c r="AF2276" s="956">
        <v>240</v>
      </c>
      <c r="AG2276" s="66">
        <f t="shared" si="92"/>
        <v>93.369841269841288</v>
      </c>
      <c r="AH2276" s="143">
        <f t="shared" si="93"/>
        <v>1000</v>
      </c>
    </row>
    <row r="2277" spans="1:34" s="954" customFormat="1" x14ac:dyDescent="0.3">
      <c r="A2277" s="951">
        <v>904382</v>
      </c>
      <c r="B2277" s="952">
        <v>23.333333333333332</v>
      </c>
      <c r="C2277" s="952">
        <v>7.83</v>
      </c>
      <c r="D2277" s="953">
        <v>8.41</v>
      </c>
      <c r="E2277" s="1577">
        <v>0.28899999999999998</v>
      </c>
      <c r="F2277" s="955">
        <v>317.90000000000003</v>
      </c>
      <c r="G2277" s="951"/>
      <c r="H2277" s="954">
        <v>19.04</v>
      </c>
      <c r="I2277" s="954">
        <v>410</v>
      </c>
      <c r="J2277" s="954">
        <v>4.1000000000000002E-2</v>
      </c>
      <c r="K2277" s="954">
        <v>9.83</v>
      </c>
      <c r="L2277" s="954">
        <v>450</v>
      </c>
      <c r="M2277" s="954">
        <v>0.33</v>
      </c>
      <c r="N2277" s="954">
        <v>0.44</v>
      </c>
      <c r="O2277" s="954">
        <v>3.51</v>
      </c>
      <c r="P2277" s="954">
        <v>1.82</v>
      </c>
      <c r="R2277" s="953">
        <v>0.81324400805973251</v>
      </c>
      <c r="S2277" s="954">
        <v>5.5</v>
      </c>
      <c r="T2277" s="951"/>
      <c r="Y2277" s="952">
        <v>5.6</v>
      </c>
      <c r="AA2277" s="953">
        <v>4.1100000000000003</v>
      </c>
      <c r="AB2277" s="953">
        <v>0.52500000000000002</v>
      </c>
      <c r="AC2277" s="954">
        <v>10.4</v>
      </c>
      <c r="AD2277" s="956">
        <v>80</v>
      </c>
      <c r="AE2277" s="956">
        <v>60</v>
      </c>
      <c r="AF2277" s="956">
        <v>860</v>
      </c>
      <c r="AG2277" s="66">
        <f t="shared" si="92"/>
        <v>621.3964285714286</v>
      </c>
      <c r="AH2277" s="143">
        <f t="shared" si="93"/>
        <v>1000</v>
      </c>
    </row>
    <row r="2278" spans="1:34" s="954" customFormat="1" x14ac:dyDescent="0.3">
      <c r="A2278" s="951">
        <v>904383</v>
      </c>
      <c r="B2278" s="952">
        <v>71</v>
      </c>
      <c r="C2278" s="952">
        <v>23.4</v>
      </c>
      <c r="D2278" s="953">
        <v>8.67</v>
      </c>
      <c r="E2278" s="1577">
        <v>0.86</v>
      </c>
      <c r="F2278" s="955">
        <v>946.00000000000011</v>
      </c>
      <c r="G2278" s="951"/>
      <c r="H2278" s="954">
        <v>3.36</v>
      </c>
      <c r="I2278" s="954">
        <v>310</v>
      </c>
      <c r="J2278" s="954">
        <v>0.26400000000000001</v>
      </c>
      <c r="K2278" s="954">
        <v>11.16</v>
      </c>
      <c r="L2278" s="954">
        <v>550</v>
      </c>
      <c r="M2278" s="954">
        <v>0.08</v>
      </c>
      <c r="N2278" s="954">
        <v>0.16</v>
      </c>
      <c r="O2278" s="954">
        <v>0.34</v>
      </c>
      <c r="P2278" s="954">
        <v>1.3</v>
      </c>
      <c r="R2278" s="953">
        <v>0.924709810676833</v>
      </c>
      <c r="S2278" s="954">
        <v>6.1</v>
      </c>
      <c r="T2278" s="951"/>
      <c r="Y2278" s="952">
        <v>4.2</v>
      </c>
      <c r="AA2278" s="953">
        <v>4.83</v>
      </c>
      <c r="AB2278" s="953">
        <v>0.81899999999999995</v>
      </c>
      <c r="AC2278" s="954">
        <v>8.9</v>
      </c>
      <c r="AD2278" s="956">
        <v>60</v>
      </c>
      <c r="AE2278" s="956">
        <v>80</v>
      </c>
      <c r="AF2278" s="956">
        <v>860</v>
      </c>
      <c r="AG2278" s="66">
        <f t="shared" si="92"/>
        <v>940.62857142857138</v>
      </c>
      <c r="AH2278" s="143">
        <f t="shared" si="93"/>
        <v>1000</v>
      </c>
    </row>
    <row r="2279" spans="1:34" s="954" customFormat="1" x14ac:dyDescent="0.3">
      <c r="A2279" s="951">
        <v>904384</v>
      </c>
      <c r="B2279" s="952">
        <v>3.4583333333333335</v>
      </c>
      <c r="C2279" s="952"/>
      <c r="D2279" s="953">
        <v>8.76</v>
      </c>
      <c r="E2279" s="1577">
        <v>0.123</v>
      </c>
      <c r="F2279" s="955">
        <v>135.30000000000001</v>
      </c>
      <c r="G2279" s="951"/>
      <c r="H2279" s="954">
        <v>23.21</v>
      </c>
      <c r="I2279" s="954">
        <v>40</v>
      </c>
      <c r="J2279" s="954">
        <v>0.04</v>
      </c>
      <c r="K2279" s="954">
        <v>2.68</v>
      </c>
      <c r="L2279" s="954">
        <v>140</v>
      </c>
      <c r="M2279" s="954">
        <v>0.2</v>
      </c>
      <c r="N2279" s="954">
        <v>0.08</v>
      </c>
      <c r="O2279" s="954">
        <v>1.1399999999999999</v>
      </c>
      <c r="P2279" s="954">
        <v>3.36</v>
      </c>
      <c r="R2279" s="953">
        <v>0.41260272653397767</v>
      </c>
      <c r="S2279" s="954">
        <v>2.8000000000000003</v>
      </c>
      <c r="T2279" s="951"/>
      <c r="Y2279" s="952">
        <v>4.2</v>
      </c>
      <c r="AA2279" s="953"/>
      <c r="AB2279" s="953"/>
      <c r="AD2279" s="956">
        <v>60</v>
      </c>
      <c r="AE2279" s="956">
        <v>60</v>
      </c>
      <c r="AF2279" s="956">
        <v>880</v>
      </c>
      <c r="AG2279" s="66">
        <f t="shared" si="92"/>
        <v>225.8857142857143</v>
      </c>
      <c r="AH2279" s="143">
        <f t="shared" si="93"/>
        <v>1000</v>
      </c>
    </row>
    <row r="2280" spans="1:34" s="954" customFormat="1" x14ac:dyDescent="0.3">
      <c r="A2280" s="951">
        <v>904385</v>
      </c>
      <c r="B2280" s="952">
        <v>0.1</v>
      </c>
      <c r="C2280" s="952"/>
      <c r="D2280" s="953">
        <v>7.79</v>
      </c>
      <c r="E2280" s="1577">
        <v>0.184</v>
      </c>
      <c r="F2280" s="955">
        <v>202.4</v>
      </c>
      <c r="G2280" s="951"/>
      <c r="H2280" s="954">
        <v>83.59</v>
      </c>
      <c r="I2280" s="954">
        <v>110</v>
      </c>
      <c r="J2280" s="954">
        <v>0.18</v>
      </c>
      <c r="K2280" s="954">
        <v>1.79</v>
      </c>
      <c r="L2280" s="954">
        <v>270</v>
      </c>
      <c r="M2280" s="954">
        <v>0.42</v>
      </c>
      <c r="N2280" s="954">
        <v>0.24</v>
      </c>
      <c r="O2280" s="954">
        <v>9.94</v>
      </c>
      <c r="P2280" s="954">
        <v>46.64</v>
      </c>
      <c r="R2280" s="953">
        <v>1.6407</v>
      </c>
      <c r="S2280" s="954">
        <v>12</v>
      </c>
      <c r="T2280" s="951"/>
      <c r="Y2280" s="952">
        <v>4.2</v>
      </c>
      <c r="AA2280" s="953"/>
      <c r="AB2280" s="953"/>
      <c r="AD2280" s="956">
        <v>60</v>
      </c>
      <c r="AE2280" s="956">
        <v>60</v>
      </c>
      <c r="AF2280" s="956">
        <v>880</v>
      </c>
      <c r="AG2280" s="66">
        <f t="shared" si="92"/>
        <v>150.87142857142857</v>
      </c>
      <c r="AH2280" s="143">
        <f t="shared" si="93"/>
        <v>1000</v>
      </c>
    </row>
    <row r="2281" spans="1:34" s="954" customFormat="1" x14ac:dyDescent="0.3">
      <c r="A2281" s="951">
        <v>904386</v>
      </c>
      <c r="B2281" s="952">
        <v>0.1</v>
      </c>
      <c r="C2281" s="952"/>
      <c r="D2281" s="953">
        <v>7.88</v>
      </c>
      <c r="E2281" s="1577">
        <v>0.156</v>
      </c>
      <c r="F2281" s="955">
        <v>171.60000000000002</v>
      </c>
      <c r="G2281" s="951"/>
      <c r="H2281" s="954">
        <v>58.27</v>
      </c>
      <c r="I2281" s="954">
        <v>70</v>
      </c>
      <c r="J2281" s="954">
        <v>0.106</v>
      </c>
      <c r="K2281" s="954">
        <v>3.15</v>
      </c>
      <c r="L2281" s="954">
        <v>290</v>
      </c>
      <c r="M2281" s="954">
        <v>1.29</v>
      </c>
      <c r="N2281" s="954">
        <v>0.17</v>
      </c>
      <c r="O2281" s="954">
        <v>4.21</v>
      </c>
      <c r="P2281" s="954">
        <v>24.7</v>
      </c>
      <c r="R2281" s="953">
        <v>1.6331120000000001</v>
      </c>
      <c r="S2281" s="954">
        <v>11.799999999999999</v>
      </c>
      <c r="T2281" s="951"/>
      <c r="Y2281" s="952">
        <v>4.8</v>
      </c>
      <c r="AA2281" s="953"/>
      <c r="AB2281" s="953"/>
      <c r="AD2281" s="956">
        <v>80</v>
      </c>
      <c r="AE2281" s="956">
        <v>60</v>
      </c>
      <c r="AF2281" s="956">
        <v>860</v>
      </c>
      <c r="AG2281" s="66">
        <f t="shared" si="92"/>
        <v>232.3125</v>
      </c>
      <c r="AH2281" s="143">
        <f t="shared" si="93"/>
        <v>1000</v>
      </c>
    </row>
    <row r="2282" spans="1:34" s="954" customFormat="1" x14ac:dyDescent="0.3">
      <c r="A2282" s="951">
        <v>904531</v>
      </c>
      <c r="B2282" s="952">
        <v>6.6666666666666666E-2</v>
      </c>
      <c r="C2282" s="952"/>
      <c r="D2282" s="953">
        <v>7.25</v>
      </c>
      <c r="E2282" s="1577">
        <v>0.224</v>
      </c>
      <c r="F2282" s="955">
        <v>246.40000000000003</v>
      </c>
      <c r="G2282" s="951"/>
      <c r="H2282" s="954">
        <v>155.01</v>
      </c>
      <c r="I2282" s="954">
        <v>70</v>
      </c>
      <c r="J2282" s="954">
        <v>0.17299999999999999</v>
      </c>
      <c r="K2282" s="954">
        <v>1.19</v>
      </c>
      <c r="L2282" s="954">
        <v>360</v>
      </c>
      <c r="M2282" s="954">
        <v>1.0900000000000001</v>
      </c>
      <c r="N2282" s="954">
        <v>0.79</v>
      </c>
      <c r="O2282" s="954">
        <v>14.5</v>
      </c>
      <c r="P2282" s="954">
        <v>6.23</v>
      </c>
      <c r="R2282" s="953">
        <v>0.65882735648910573</v>
      </c>
      <c r="S2282" s="954">
        <v>4.8</v>
      </c>
      <c r="T2282" s="951"/>
      <c r="Y2282" s="952">
        <v>8.4</v>
      </c>
      <c r="AA2282" s="953">
        <v>4.0599999999999996</v>
      </c>
      <c r="AB2282" s="953">
        <v>0.78600000000000003</v>
      </c>
      <c r="AC2282" s="954">
        <v>6.4</v>
      </c>
      <c r="AD2282" s="956">
        <v>140</v>
      </c>
      <c r="AE2282" s="956">
        <v>80</v>
      </c>
      <c r="AF2282" s="956">
        <v>780</v>
      </c>
      <c r="AG2282" s="66">
        <f t="shared" si="92"/>
        <v>50.15</v>
      </c>
      <c r="AH2282" s="143">
        <f t="shared" si="93"/>
        <v>1000</v>
      </c>
    </row>
    <row r="2283" spans="1:34" s="954" customFormat="1" x14ac:dyDescent="0.3">
      <c r="A2283" s="951">
        <v>904532</v>
      </c>
      <c r="B2283" s="952">
        <v>7.75</v>
      </c>
      <c r="C2283" s="952"/>
      <c r="D2283" s="953">
        <v>8.15</v>
      </c>
      <c r="E2283" s="1577">
        <v>0.40100000000000002</v>
      </c>
      <c r="F2283" s="955">
        <v>441.1</v>
      </c>
      <c r="G2283" s="951"/>
      <c r="H2283" s="954">
        <v>219.39</v>
      </c>
      <c r="I2283" s="954">
        <v>160</v>
      </c>
      <c r="J2283" s="954">
        <v>0.214</v>
      </c>
      <c r="K2283" s="954">
        <v>7.52</v>
      </c>
      <c r="L2283" s="954">
        <v>390</v>
      </c>
      <c r="M2283" s="954">
        <v>5.68</v>
      </c>
      <c r="N2283" s="954">
        <v>2.3199999999999998</v>
      </c>
      <c r="O2283" s="954">
        <v>5.26</v>
      </c>
      <c r="P2283" s="954">
        <v>4.82</v>
      </c>
      <c r="R2283" s="953">
        <v>0.92410391192152241</v>
      </c>
      <c r="S2283" s="954">
        <v>6.1</v>
      </c>
      <c r="T2283" s="951"/>
      <c r="Y2283" s="952">
        <v>3</v>
      </c>
      <c r="AA2283" s="953">
        <v>4.1500000000000004</v>
      </c>
      <c r="AB2283" s="953">
        <v>0.432</v>
      </c>
      <c r="AC2283" s="954">
        <v>11.2</v>
      </c>
      <c r="AD2283" s="956">
        <v>60</v>
      </c>
      <c r="AE2283" s="956">
        <v>80</v>
      </c>
      <c r="AF2283" s="956">
        <v>860</v>
      </c>
      <c r="AG2283" s="66">
        <f t="shared" si="92"/>
        <v>887.36</v>
      </c>
      <c r="AH2283" s="143">
        <f t="shared" si="93"/>
        <v>1000</v>
      </c>
    </row>
    <row r="2284" spans="1:34" s="954" customFormat="1" x14ac:dyDescent="0.3">
      <c r="A2284" s="951">
        <v>904581</v>
      </c>
      <c r="B2284" s="952">
        <v>6</v>
      </c>
      <c r="C2284" s="952"/>
      <c r="D2284" s="953">
        <v>8.6999999999999993</v>
      </c>
      <c r="E2284" s="1577">
        <v>0.42499999999999999</v>
      </c>
      <c r="F2284" s="955">
        <v>467.50000000000006</v>
      </c>
      <c r="G2284" s="951"/>
      <c r="H2284" s="954">
        <v>93.98</v>
      </c>
      <c r="I2284" s="954">
        <v>210</v>
      </c>
      <c r="J2284" s="954">
        <v>0.52900000000000003</v>
      </c>
      <c r="K2284" s="954">
        <v>7.66</v>
      </c>
      <c r="L2284" s="954">
        <v>1090</v>
      </c>
      <c r="M2284" s="954">
        <v>1.07</v>
      </c>
      <c r="N2284" s="954">
        <v>2.13</v>
      </c>
      <c r="O2284" s="954">
        <v>10.36</v>
      </c>
      <c r="P2284" s="954">
        <v>6.9</v>
      </c>
      <c r="R2284" s="953">
        <v>1.3515505408547797</v>
      </c>
      <c r="S2284" s="954">
        <v>9.6</v>
      </c>
      <c r="T2284" s="951"/>
      <c r="Y2284" s="952">
        <v>36.200000000000003</v>
      </c>
      <c r="AA2284" s="953">
        <v>3.86</v>
      </c>
      <c r="AB2284" s="953">
        <v>0.48799999999999999</v>
      </c>
      <c r="AC2284" s="954">
        <v>8.8000000000000007</v>
      </c>
      <c r="AD2284" s="956">
        <v>660</v>
      </c>
      <c r="AE2284" s="956">
        <v>220</v>
      </c>
      <c r="AF2284" s="956">
        <v>120</v>
      </c>
      <c r="AG2284" s="66">
        <f t="shared" si="92"/>
        <v>74.90718232044199</v>
      </c>
      <c r="AH2284" s="143">
        <f t="shared" si="93"/>
        <v>1000</v>
      </c>
    </row>
    <row r="2285" spans="1:34" s="954" customFormat="1" x14ac:dyDescent="0.3">
      <c r="A2285" s="951">
        <v>904582</v>
      </c>
      <c r="B2285" s="952">
        <v>5.9583333333333339</v>
      </c>
      <c r="C2285" s="952"/>
      <c r="D2285" s="953">
        <v>8.77</v>
      </c>
      <c r="E2285" s="1577">
        <v>0.42599999999999999</v>
      </c>
      <c r="F2285" s="955">
        <v>468.6</v>
      </c>
      <c r="G2285" s="951"/>
      <c r="H2285" s="954">
        <v>50.52</v>
      </c>
      <c r="I2285" s="954">
        <v>230</v>
      </c>
      <c r="J2285" s="954">
        <v>0.48799999999999999</v>
      </c>
      <c r="K2285" s="954">
        <v>7.9</v>
      </c>
      <c r="L2285" s="954">
        <v>1370</v>
      </c>
      <c r="M2285" s="954">
        <v>0.7</v>
      </c>
      <c r="N2285" s="954">
        <v>1.71</v>
      </c>
      <c r="O2285" s="954">
        <v>10.29</v>
      </c>
      <c r="P2285" s="954">
        <v>6.15</v>
      </c>
      <c r="R2285" s="953">
        <v>0.96382319599961352</v>
      </c>
      <c r="S2285" s="954">
        <v>7</v>
      </c>
      <c r="T2285" s="951"/>
      <c r="Y2285" s="952">
        <v>33.5</v>
      </c>
      <c r="AA2285" s="953">
        <v>3.6</v>
      </c>
      <c r="AB2285" s="953">
        <v>0.78500000000000003</v>
      </c>
      <c r="AC2285" s="954">
        <v>10.8</v>
      </c>
      <c r="AD2285" s="956">
        <v>670</v>
      </c>
      <c r="AE2285" s="956">
        <v>210</v>
      </c>
      <c r="AF2285" s="956">
        <v>120</v>
      </c>
      <c r="AG2285" s="66">
        <f t="shared" si="92"/>
        <v>83.480597014925365</v>
      </c>
      <c r="AH2285" s="143">
        <f t="shared" si="93"/>
        <v>1000</v>
      </c>
    </row>
    <row r="2286" spans="1:34" s="954" customFormat="1" x14ac:dyDescent="0.3">
      <c r="A2286" s="951">
        <v>904583</v>
      </c>
      <c r="B2286" s="952">
        <v>67.5</v>
      </c>
      <c r="C2286" s="952">
        <v>4.5</v>
      </c>
      <c r="D2286" s="953">
        <v>8.18</v>
      </c>
      <c r="E2286" s="1577">
        <v>1.29</v>
      </c>
      <c r="F2286" s="955">
        <v>1419.0000000000002</v>
      </c>
      <c r="G2286" s="951"/>
      <c r="H2286" s="954">
        <v>97.74</v>
      </c>
      <c r="I2286" s="954">
        <v>310</v>
      </c>
      <c r="J2286" s="954">
        <v>0.83099999999999996</v>
      </c>
      <c r="K2286" s="954">
        <v>8.35</v>
      </c>
      <c r="L2286" s="954">
        <v>550</v>
      </c>
      <c r="M2286" s="954">
        <v>1.03</v>
      </c>
      <c r="N2286" s="954">
        <v>1.93</v>
      </c>
      <c r="O2286" s="954">
        <v>11.84</v>
      </c>
      <c r="P2286" s="954">
        <v>4.7699999999999996</v>
      </c>
      <c r="R2286" s="953">
        <v>0.91907047225665117</v>
      </c>
      <c r="S2286" s="954">
        <v>6.4</v>
      </c>
      <c r="T2286" s="951"/>
      <c r="Y2286" s="952">
        <v>24</v>
      </c>
      <c r="AA2286" s="953">
        <v>3.71</v>
      </c>
      <c r="AB2286" s="953">
        <v>0.89400000000000002</v>
      </c>
      <c r="AC2286" s="954">
        <v>6.7</v>
      </c>
      <c r="AD2286" s="956">
        <v>400</v>
      </c>
      <c r="AE2286" s="956">
        <v>440</v>
      </c>
      <c r="AF2286" s="956">
        <v>160</v>
      </c>
      <c r="AG2286" s="66">
        <f t="shared" si="92"/>
        <v>123.16249999999998</v>
      </c>
      <c r="AH2286" s="143">
        <f t="shared" si="93"/>
        <v>1000</v>
      </c>
    </row>
    <row r="2287" spans="1:34" s="954" customFormat="1" x14ac:dyDescent="0.3">
      <c r="A2287" s="951">
        <v>904680</v>
      </c>
      <c r="B2287" s="952">
        <v>11.583333333333332</v>
      </c>
      <c r="C2287" s="952">
        <v>7.625</v>
      </c>
      <c r="D2287" s="953">
        <v>8.6300000000000008</v>
      </c>
      <c r="E2287" s="1577">
        <v>0.97299999999999998</v>
      </c>
      <c r="F2287" s="955">
        <v>1070.3000000000002</v>
      </c>
      <c r="G2287" s="951">
        <f>5*96.24</f>
        <v>481.2</v>
      </c>
      <c r="H2287" s="954">
        <v>195.19</v>
      </c>
      <c r="I2287" s="954">
        <v>1540</v>
      </c>
      <c r="J2287" s="954">
        <v>0.66100000000000003</v>
      </c>
      <c r="K2287" s="954">
        <v>9.7899999999999991</v>
      </c>
      <c r="L2287" s="954">
        <v>1650</v>
      </c>
      <c r="M2287" s="954">
        <v>1.71</v>
      </c>
      <c r="N2287" s="954">
        <v>1.45</v>
      </c>
      <c r="O2287" s="954">
        <v>75.760000000000005</v>
      </c>
      <c r="P2287" s="954">
        <v>7.77</v>
      </c>
      <c r="R2287" s="953">
        <v>1.6177680000000001</v>
      </c>
      <c r="S2287" s="954">
        <v>11.399999999999999</v>
      </c>
      <c r="T2287" s="951"/>
      <c r="Y2287" s="952">
        <v>32</v>
      </c>
      <c r="AA2287" s="953">
        <v>4.12</v>
      </c>
      <c r="AB2287" s="953">
        <v>0.51</v>
      </c>
      <c r="AC2287" s="954">
        <v>7.5</v>
      </c>
      <c r="AD2287" s="956">
        <v>640</v>
      </c>
      <c r="AE2287" s="956">
        <v>260</v>
      </c>
      <c r="AF2287" s="956">
        <v>100</v>
      </c>
      <c r="AG2287" s="66">
        <f t="shared" si="92"/>
        <v>108.301875</v>
      </c>
      <c r="AH2287" s="143">
        <f t="shared" si="93"/>
        <v>1000</v>
      </c>
    </row>
    <row r="2288" spans="1:34" s="954" customFormat="1" x14ac:dyDescent="0.3">
      <c r="A2288" s="951">
        <v>904681</v>
      </c>
      <c r="B2288" s="952">
        <v>15.833333333333332</v>
      </c>
      <c r="C2288" s="952">
        <v>9.8749999999999982</v>
      </c>
      <c r="D2288" s="953">
        <v>8.19</v>
      </c>
      <c r="E2288" s="1577">
        <v>2.15</v>
      </c>
      <c r="F2288" s="955">
        <v>2365</v>
      </c>
      <c r="G2288" s="951">
        <f>161.34*5</f>
        <v>806.7</v>
      </c>
      <c r="H2288" s="954">
        <v>131.26</v>
      </c>
      <c r="I2288" s="954">
        <v>1020</v>
      </c>
      <c r="J2288" s="954">
        <v>0.78</v>
      </c>
      <c r="K2288" s="954">
        <v>10.76</v>
      </c>
      <c r="L2288" s="954">
        <v>1750</v>
      </c>
      <c r="M2288" s="954">
        <v>1.1200000000000001</v>
      </c>
      <c r="N2288" s="954">
        <v>0.92</v>
      </c>
      <c r="O2288" s="954">
        <v>5.54</v>
      </c>
      <c r="P2288" s="954">
        <v>4.5999999999999996</v>
      </c>
      <c r="R2288" s="953">
        <v>1.629297</v>
      </c>
      <c r="S2288" s="954">
        <v>11.7</v>
      </c>
      <c r="T2288" s="951"/>
      <c r="Y2288" s="952">
        <v>37.799999999999997</v>
      </c>
      <c r="AA2288" s="953">
        <v>4.8099999999999996</v>
      </c>
      <c r="AB2288" s="953">
        <v>0.40200000000000002</v>
      </c>
      <c r="AC2288" s="954">
        <v>8.6999999999999993</v>
      </c>
      <c r="AD2288" s="956">
        <v>630</v>
      </c>
      <c r="AE2288" s="956">
        <v>260</v>
      </c>
      <c r="AF2288" s="956">
        <v>110</v>
      </c>
      <c r="AG2288" s="66">
        <f t="shared" si="92"/>
        <v>100.76825396825399</v>
      </c>
      <c r="AH2288" s="143">
        <f t="shared" si="93"/>
        <v>1000</v>
      </c>
    </row>
    <row r="2289" spans="1:34" s="954" customFormat="1" x14ac:dyDescent="0.3">
      <c r="A2289" s="951">
        <v>904682</v>
      </c>
      <c r="B2289" s="952">
        <v>0.1</v>
      </c>
      <c r="C2289" s="952"/>
      <c r="D2289" s="953">
        <v>7.45</v>
      </c>
      <c r="E2289" s="1577">
        <v>0.29499999999999998</v>
      </c>
      <c r="F2289" s="955">
        <v>324.5</v>
      </c>
      <c r="G2289" s="951"/>
      <c r="H2289" s="954">
        <v>167.35</v>
      </c>
      <c r="I2289" s="954">
        <v>350</v>
      </c>
      <c r="J2289" s="954">
        <v>0.156</v>
      </c>
      <c r="K2289" s="954">
        <v>1.68</v>
      </c>
      <c r="L2289" s="954">
        <v>410</v>
      </c>
      <c r="M2289" s="954">
        <v>2.84</v>
      </c>
      <c r="N2289" s="954">
        <v>0.71</v>
      </c>
      <c r="O2289" s="954">
        <v>29.55</v>
      </c>
      <c r="P2289" s="954">
        <v>9.4600000000000009</v>
      </c>
      <c r="R2289" s="953">
        <v>0.93620818125104499</v>
      </c>
      <c r="S2289" s="954">
        <v>6.6000000000000005</v>
      </c>
      <c r="T2289" s="951"/>
      <c r="Y2289" s="952">
        <v>7</v>
      </c>
      <c r="AA2289" s="953">
        <v>3.98</v>
      </c>
      <c r="AB2289" s="953">
        <v>0.84699999999999998</v>
      </c>
      <c r="AC2289" s="954">
        <v>7.9</v>
      </c>
      <c r="AD2289" s="956">
        <v>140</v>
      </c>
      <c r="AE2289" s="956">
        <v>160</v>
      </c>
      <c r="AF2289" s="956">
        <v>700</v>
      </c>
      <c r="AG2289" s="66">
        <f t="shared" si="92"/>
        <v>84.96</v>
      </c>
      <c r="AH2289" s="143">
        <f t="shared" si="93"/>
        <v>1000</v>
      </c>
    </row>
    <row r="2290" spans="1:34" s="954" customFormat="1" x14ac:dyDescent="0.3">
      <c r="A2290" s="951">
        <v>904683</v>
      </c>
      <c r="B2290" s="952">
        <v>0.49999999999999994</v>
      </c>
      <c r="C2290" s="952"/>
      <c r="D2290" s="953">
        <v>8.5</v>
      </c>
      <c r="E2290" s="1577">
        <v>0.18</v>
      </c>
      <c r="F2290" s="955">
        <v>198.00000000000003</v>
      </c>
      <c r="G2290" s="951"/>
      <c r="H2290" s="954">
        <v>89.13</v>
      </c>
      <c r="I2290" s="954">
        <v>130</v>
      </c>
      <c r="J2290" s="954">
        <v>0.14000000000000001</v>
      </c>
      <c r="K2290" s="954">
        <v>2.36</v>
      </c>
      <c r="L2290" s="954">
        <v>380</v>
      </c>
      <c r="M2290" s="954">
        <v>0.96</v>
      </c>
      <c r="N2290" s="954">
        <v>0.38</v>
      </c>
      <c r="O2290" s="954">
        <v>4.7300000000000004</v>
      </c>
      <c r="P2290" s="954">
        <v>4.99</v>
      </c>
      <c r="R2290" s="953">
        <v>0.65449396810761329</v>
      </c>
      <c r="S2290" s="954">
        <v>4.6000000000000005</v>
      </c>
      <c r="T2290" s="951"/>
      <c r="Y2290" s="952">
        <v>8</v>
      </c>
      <c r="AA2290" s="953">
        <v>4.84</v>
      </c>
      <c r="AB2290" s="953">
        <v>0.499</v>
      </c>
      <c r="AC2290" s="954">
        <v>6.6</v>
      </c>
      <c r="AD2290" s="956">
        <v>160</v>
      </c>
      <c r="AE2290" s="956">
        <v>120</v>
      </c>
      <c r="AF2290" s="956">
        <v>720</v>
      </c>
      <c r="AG2290" s="66">
        <f t="shared" si="92"/>
        <v>104.43</v>
      </c>
      <c r="AH2290" s="143">
        <f t="shared" si="93"/>
        <v>1000</v>
      </c>
    </row>
    <row r="2291" spans="1:34" s="954" customFormat="1" x14ac:dyDescent="0.3">
      <c r="A2291" s="951">
        <v>904684</v>
      </c>
      <c r="B2291" s="952">
        <v>18.5</v>
      </c>
      <c r="C2291" s="952">
        <v>9</v>
      </c>
      <c r="D2291" s="953">
        <v>8.39</v>
      </c>
      <c r="E2291" s="1577">
        <v>0.71299999999999997</v>
      </c>
      <c r="F2291" s="955">
        <v>784.30000000000007</v>
      </c>
      <c r="G2291" s="951"/>
      <c r="H2291" s="954">
        <v>84.69</v>
      </c>
      <c r="I2291" s="954">
        <v>400</v>
      </c>
      <c r="J2291" s="954">
        <v>0.439</v>
      </c>
      <c r="K2291" s="954">
        <v>11.81</v>
      </c>
      <c r="L2291" s="954">
        <v>1100</v>
      </c>
      <c r="M2291" s="954">
        <v>1.74</v>
      </c>
      <c r="N2291" s="954">
        <v>1.69</v>
      </c>
      <c r="O2291" s="954">
        <v>9.24</v>
      </c>
      <c r="P2291" s="954">
        <v>5.82</v>
      </c>
      <c r="R2291" s="953">
        <v>1.6138970000000001</v>
      </c>
      <c r="S2291" s="954">
        <v>11.299999999999999</v>
      </c>
      <c r="T2291" s="951"/>
      <c r="Y2291" s="952">
        <v>3.4</v>
      </c>
      <c r="AA2291" s="953">
        <v>4.54</v>
      </c>
      <c r="AB2291" s="953">
        <v>0.57099999999999995</v>
      </c>
      <c r="AC2291" s="954">
        <v>10.4</v>
      </c>
      <c r="AD2291" s="956">
        <v>620</v>
      </c>
      <c r="AE2291" s="956">
        <v>260</v>
      </c>
      <c r="AF2291" s="956">
        <v>120</v>
      </c>
      <c r="AG2291" s="66">
        <f t="shared" si="92"/>
        <v>1229.6294117647058</v>
      </c>
      <c r="AH2291" s="143">
        <f t="shared" si="93"/>
        <v>1000</v>
      </c>
    </row>
    <row r="2292" spans="1:34" s="954" customFormat="1" x14ac:dyDescent="0.3">
      <c r="A2292" s="951">
        <v>904685</v>
      </c>
      <c r="B2292" s="952">
        <v>22.333333333333332</v>
      </c>
      <c r="C2292" s="952">
        <v>7.7499999999999991</v>
      </c>
      <c r="D2292" s="953">
        <v>8.3000000000000007</v>
      </c>
      <c r="E2292" s="1577">
        <v>0.73199999999999998</v>
      </c>
      <c r="F2292" s="955">
        <v>805.2</v>
      </c>
      <c r="G2292" s="951"/>
      <c r="H2292" s="954">
        <v>31</v>
      </c>
      <c r="I2292" s="954">
        <v>190</v>
      </c>
      <c r="J2292" s="954">
        <v>0.41699999999999998</v>
      </c>
      <c r="K2292" s="954">
        <v>9.65</v>
      </c>
      <c r="L2292" s="954">
        <v>1020</v>
      </c>
      <c r="M2292" s="954">
        <v>0.7</v>
      </c>
      <c r="N2292" s="954">
        <v>1.01</v>
      </c>
      <c r="O2292" s="954">
        <v>2.67</v>
      </c>
      <c r="P2292" s="954">
        <v>4.53</v>
      </c>
      <c r="R2292" s="953">
        <v>1.2494257289866664</v>
      </c>
      <c r="S2292" s="954">
        <v>8.9</v>
      </c>
      <c r="T2292" s="951"/>
      <c r="Y2292" s="952">
        <v>38.4</v>
      </c>
      <c r="AA2292" s="953">
        <v>3.59</v>
      </c>
      <c r="AB2292" s="953">
        <v>0.81699999999999995</v>
      </c>
      <c r="AC2292" s="954">
        <v>9.3000000000000007</v>
      </c>
      <c r="AD2292" s="956">
        <v>640</v>
      </c>
      <c r="AE2292" s="956">
        <v>240</v>
      </c>
      <c r="AF2292" s="956">
        <v>120</v>
      </c>
      <c r="AG2292" s="66">
        <f t="shared" si="92"/>
        <v>88.960937500000014</v>
      </c>
      <c r="AH2292" s="143">
        <f t="shared" si="93"/>
        <v>1000</v>
      </c>
    </row>
    <row r="2293" spans="1:34" s="954" customFormat="1" x14ac:dyDescent="0.3">
      <c r="A2293" s="951">
        <v>904686</v>
      </c>
      <c r="B2293" s="952">
        <v>23.666666666666664</v>
      </c>
      <c r="C2293" s="952">
        <v>7.8749999999999982</v>
      </c>
      <c r="D2293" s="953">
        <v>8.43</v>
      </c>
      <c r="E2293" s="1577">
        <v>0.66100000000000003</v>
      </c>
      <c r="F2293" s="955">
        <v>727.1</v>
      </c>
      <c r="G2293" s="951"/>
      <c r="H2293" s="954">
        <v>23.54</v>
      </c>
      <c r="I2293" s="954">
        <v>310</v>
      </c>
      <c r="J2293" s="954">
        <v>0.29699999999999999</v>
      </c>
      <c r="K2293" s="954">
        <v>9.99</v>
      </c>
      <c r="L2293" s="954">
        <v>1090</v>
      </c>
      <c r="M2293" s="954">
        <v>0.7</v>
      </c>
      <c r="N2293" s="954">
        <v>1.26</v>
      </c>
      <c r="O2293" s="954">
        <v>3.21</v>
      </c>
      <c r="P2293" s="954">
        <v>2.95</v>
      </c>
      <c r="R2293" s="953">
        <v>1.4721807497446844</v>
      </c>
      <c r="S2293" s="954">
        <v>9.6</v>
      </c>
      <c r="T2293" s="951"/>
      <c r="Y2293" s="952">
        <v>38.4</v>
      </c>
      <c r="AA2293" s="953">
        <v>4</v>
      </c>
      <c r="AB2293" s="953">
        <v>0.58199999999999996</v>
      </c>
      <c r="AC2293" s="954">
        <v>8.1999999999999993</v>
      </c>
      <c r="AD2293" s="956">
        <v>640</v>
      </c>
      <c r="AE2293" s="956">
        <v>220</v>
      </c>
      <c r="AF2293" s="956">
        <v>140</v>
      </c>
      <c r="AG2293" s="66">
        <f t="shared" si="92"/>
        <v>92.09531250000002</v>
      </c>
      <c r="AH2293" s="143">
        <f t="shared" si="93"/>
        <v>1000</v>
      </c>
    </row>
    <row r="2294" spans="1:34" s="978" customFormat="1" x14ac:dyDescent="0.3">
      <c r="A2294" s="978" t="s">
        <v>492</v>
      </c>
      <c r="E2294" s="1578">
        <v>0.92400000000000004</v>
      </c>
      <c r="F2294" s="978">
        <v>1016.4000000000001</v>
      </c>
      <c r="H2294" s="978">
        <v>60.34</v>
      </c>
      <c r="I2294" s="978">
        <v>210</v>
      </c>
      <c r="J2294" s="978">
        <v>0.41</v>
      </c>
      <c r="K2294" s="978">
        <v>7.91</v>
      </c>
      <c r="L2294" s="978">
        <v>370</v>
      </c>
      <c r="M2294" s="978">
        <v>2.64</v>
      </c>
      <c r="N2294" s="978">
        <v>1.52</v>
      </c>
      <c r="O2294" s="978">
        <v>8.06</v>
      </c>
      <c r="P2294" s="978">
        <v>4.6100000000000003</v>
      </c>
      <c r="R2294" s="979">
        <v>0.82102408857290732</v>
      </c>
      <c r="S2294" s="978">
        <v>6</v>
      </c>
      <c r="AA2294" s="978">
        <v>4.17</v>
      </c>
      <c r="AB2294" s="978">
        <v>0.61599999999999999</v>
      </c>
      <c r="AC2294" s="978">
        <v>7.2</v>
      </c>
      <c r="AG2294" s="66" t="e">
        <f t="shared" si="92"/>
        <v>#DIV/0!</v>
      </c>
      <c r="AH2294" s="143">
        <f t="shared" si="93"/>
        <v>0</v>
      </c>
    </row>
    <row r="2295" spans="1:34" x14ac:dyDescent="0.3">
      <c r="Y2295" s="138">
        <v>0</v>
      </c>
      <c r="AG2295" s="66" t="e">
        <f t="shared" si="92"/>
        <v>#DIV/0!</v>
      </c>
      <c r="AH2295" s="143">
        <f t="shared" si="93"/>
        <v>0</v>
      </c>
    </row>
    <row r="2296" spans="1:34" hidden="1" x14ac:dyDescent="0.3">
      <c r="A2296" s="140">
        <v>904665</v>
      </c>
      <c r="G2296" s="4">
        <v>122.54</v>
      </c>
      <c r="Y2296" s="138">
        <v>0</v>
      </c>
      <c r="AG2296" s="66" t="e">
        <f t="shared" si="92"/>
        <v>#DIV/0!</v>
      </c>
      <c r="AH2296" s="143">
        <f t="shared" si="93"/>
        <v>0</v>
      </c>
    </row>
    <row r="2297" spans="1:34" hidden="1" x14ac:dyDescent="0.3">
      <c r="A2297" s="140">
        <v>904666</v>
      </c>
      <c r="G2297" s="4">
        <v>26</v>
      </c>
      <c r="Y2297" s="138">
        <v>0</v>
      </c>
      <c r="AG2297" s="66" t="e">
        <f t="shared" si="92"/>
        <v>#DIV/0!</v>
      </c>
      <c r="AH2297" s="143">
        <f t="shared" si="93"/>
        <v>0</v>
      </c>
    </row>
    <row r="2298" spans="1:34" hidden="1" x14ac:dyDescent="0.3">
      <c r="A2298" s="140">
        <v>904667</v>
      </c>
      <c r="G2298" s="4">
        <v>45.14</v>
      </c>
      <c r="Y2298" s="138">
        <v>0</v>
      </c>
      <c r="AG2298" s="66" t="e">
        <f t="shared" si="92"/>
        <v>#DIV/0!</v>
      </c>
      <c r="AH2298" s="143">
        <f t="shared" si="93"/>
        <v>0</v>
      </c>
    </row>
    <row r="2299" spans="1:34" hidden="1" x14ac:dyDescent="0.3">
      <c r="A2299" s="140">
        <v>904668</v>
      </c>
      <c r="G2299" s="4">
        <v>4.04</v>
      </c>
      <c r="Y2299" s="138">
        <v>0</v>
      </c>
      <c r="AG2299" s="66" t="e">
        <f t="shared" si="92"/>
        <v>#DIV/0!</v>
      </c>
      <c r="AH2299" s="143">
        <f t="shared" si="93"/>
        <v>0</v>
      </c>
    </row>
    <row r="2300" spans="1:34" hidden="1" x14ac:dyDescent="0.3">
      <c r="A2300" s="140">
        <v>904669</v>
      </c>
      <c r="G2300" s="4">
        <v>4.43</v>
      </c>
      <c r="Y2300" s="138">
        <v>0</v>
      </c>
      <c r="AG2300" s="66" t="e">
        <f t="shared" si="92"/>
        <v>#DIV/0!</v>
      </c>
      <c r="AH2300" s="143">
        <f t="shared" si="93"/>
        <v>0</v>
      </c>
    </row>
    <row r="2301" spans="1:34" hidden="1" x14ac:dyDescent="0.3">
      <c r="A2301" s="140">
        <v>904670</v>
      </c>
      <c r="G2301" s="4">
        <v>4.17</v>
      </c>
      <c r="Y2301" s="138">
        <v>0</v>
      </c>
      <c r="AG2301" s="66" t="e">
        <f t="shared" si="92"/>
        <v>#DIV/0!</v>
      </c>
      <c r="AH2301" s="143">
        <f t="shared" si="93"/>
        <v>0</v>
      </c>
    </row>
    <row r="2302" spans="1:34" hidden="1" x14ac:dyDescent="0.3">
      <c r="A2302" s="140">
        <v>904671</v>
      </c>
      <c r="G2302" s="4">
        <v>9.9499999999999993</v>
      </c>
      <c r="Y2302" s="138">
        <v>0</v>
      </c>
      <c r="AG2302" s="66" t="e">
        <f t="shared" si="92"/>
        <v>#DIV/0!</v>
      </c>
      <c r="AH2302" s="143">
        <f t="shared" si="93"/>
        <v>0</v>
      </c>
    </row>
    <row r="2303" spans="1:34" hidden="1" x14ac:dyDescent="0.3">
      <c r="A2303" s="140">
        <v>904672</v>
      </c>
      <c r="G2303" s="4">
        <v>7.27</v>
      </c>
      <c r="Y2303" s="138">
        <v>0</v>
      </c>
      <c r="AG2303" s="66" t="e">
        <f t="shared" si="92"/>
        <v>#DIV/0!</v>
      </c>
      <c r="AH2303" s="143">
        <f t="shared" si="93"/>
        <v>0</v>
      </c>
    </row>
    <row r="2304" spans="1:34" hidden="1" x14ac:dyDescent="0.3">
      <c r="A2304" s="140">
        <v>904673</v>
      </c>
      <c r="G2304" s="4">
        <v>10</v>
      </c>
      <c r="Y2304" s="138">
        <v>0</v>
      </c>
      <c r="AG2304" s="66" t="e">
        <f t="shared" si="92"/>
        <v>#DIV/0!</v>
      </c>
      <c r="AH2304" s="143">
        <f t="shared" si="93"/>
        <v>0</v>
      </c>
    </row>
    <row r="2305" spans="1:34" hidden="1" x14ac:dyDescent="0.3">
      <c r="A2305" s="140">
        <v>904674</v>
      </c>
      <c r="G2305" s="4">
        <v>38.130000000000003</v>
      </c>
      <c r="Y2305" s="138">
        <v>0</v>
      </c>
      <c r="AG2305" s="66" t="e">
        <f t="shared" si="92"/>
        <v>#DIV/0!</v>
      </c>
      <c r="AH2305" s="143">
        <f t="shared" si="93"/>
        <v>0</v>
      </c>
    </row>
    <row r="2306" spans="1:34" hidden="1" x14ac:dyDescent="0.3">
      <c r="A2306" s="140">
        <v>904675</v>
      </c>
      <c r="G2306" s="4">
        <v>20.92</v>
      </c>
      <c r="Y2306" s="138">
        <v>0</v>
      </c>
      <c r="AG2306" s="66" t="e">
        <f t="shared" ref="AG2306:AG2369" si="94">+K2306*3.54*100/Y2306</f>
        <v>#DIV/0!</v>
      </c>
      <c r="AH2306" s="143">
        <f t="shared" ref="AH2306:AH2369" si="95">+SUM(AD2306:AF2306)</f>
        <v>0</v>
      </c>
    </row>
    <row r="2307" spans="1:34" hidden="1" x14ac:dyDescent="0.3">
      <c r="A2307" s="140">
        <v>904676</v>
      </c>
      <c r="G2307" s="4">
        <v>34.74</v>
      </c>
      <c r="Y2307" s="138">
        <v>0</v>
      </c>
      <c r="AG2307" s="66" t="e">
        <f t="shared" si="94"/>
        <v>#DIV/0!</v>
      </c>
      <c r="AH2307" s="143">
        <f t="shared" si="95"/>
        <v>0</v>
      </c>
    </row>
    <row r="2308" spans="1:34" hidden="1" x14ac:dyDescent="0.3">
      <c r="A2308" s="140">
        <v>904677</v>
      </c>
      <c r="G2308" s="4">
        <v>14.49</v>
      </c>
      <c r="Y2308" s="138">
        <v>0</v>
      </c>
      <c r="AG2308" s="66" t="e">
        <f t="shared" si="94"/>
        <v>#DIV/0!</v>
      </c>
      <c r="AH2308" s="143">
        <f t="shared" si="95"/>
        <v>0</v>
      </c>
    </row>
    <row r="2309" spans="1:34" hidden="1" x14ac:dyDescent="0.3">
      <c r="A2309" s="140">
        <v>904678</v>
      </c>
      <c r="G2309" s="4">
        <v>19.05</v>
      </c>
      <c r="Y2309" s="138">
        <v>0</v>
      </c>
      <c r="AG2309" s="66" t="e">
        <f t="shared" si="94"/>
        <v>#DIV/0!</v>
      </c>
      <c r="AH2309" s="143">
        <f t="shared" si="95"/>
        <v>0</v>
      </c>
    </row>
    <row r="2310" spans="1:34" hidden="1" x14ac:dyDescent="0.3">
      <c r="A2310" s="140">
        <v>904679</v>
      </c>
      <c r="G2310" s="4">
        <v>61.78</v>
      </c>
      <c r="Y2310" s="138">
        <v>0</v>
      </c>
      <c r="AG2310" s="66" t="e">
        <f t="shared" si="94"/>
        <v>#DIV/0!</v>
      </c>
      <c r="AH2310" s="143">
        <f t="shared" si="95"/>
        <v>0</v>
      </c>
    </row>
    <row r="2311" spans="1:34" hidden="1" x14ac:dyDescent="0.3">
      <c r="A2311" s="140">
        <v>904687</v>
      </c>
      <c r="G2311" s="4">
        <v>14.08</v>
      </c>
      <c r="Y2311" s="138">
        <v>0</v>
      </c>
      <c r="AG2311" s="66" t="e">
        <f t="shared" si="94"/>
        <v>#DIV/0!</v>
      </c>
      <c r="AH2311" s="143">
        <f t="shared" si="95"/>
        <v>0</v>
      </c>
    </row>
    <row r="2312" spans="1:34" hidden="1" x14ac:dyDescent="0.3">
      <c r="A2312" s="140">
        <v>904688</v>
      </c>
      <c r="G2312" s="4">
        <v>13.64</v>
      </c>
      <c r="Y2312" s="138">
        <v>0</v>
      </c>
      <c r="AG2312" s="66" t="e">
        <f t="shared" si="94"/>
        <v>#DIV/0!</v>
      </c>
      <c r="AH2312" s="143">
        <f t="shared" si="95"/>
        <v>0</v>
      </c>
    </row>
    <row r="2313" spans="1:34" hidden="1" x14ac:dyDescent="0.3">
      <c r="A2313" s="140">
        <v>904689</v>
      </c>
      <c r="G2313" s="4">
        <v>23.89</v>
      </c>
      <c r="Y2313" s="138">
        <v>0</v>
      </c>
      <c r="AG2313" s="66" t="e">
        <f t="shared" si="94"/>
        <v>#DIV/0!</v>
      </c>
      <c r="AH2313" s="143">
        <f t="shared" si="95"/>
        <v>0</v>
      </c>
    </row>
    <row r="2314" spans="1:34" hidden="1" x14ac:dyDescent="0.3">
      <c r="A2314" s="140">
        <v>904690</v>
      </c>
      <c r="G2314" s="4">
        <v>28.59</v>
      </c>
      <c r="Y2314" s="138">
        <v>0</v>
      </c>
      <c r="AG2314" s="66" t="e">
        <f t="shared" si="94"/>
        <v>#DIV/0!</v>
      </c>
      <c r="AH2314" s="143">
        <f t="shared" si="95"/>
        <v>0</v>
      </c>
    </row>
    <row r="2315" spans="1:34" hidden="1" x14ac:dyDescent="0.3">
      <c r="A2315" s="140">
        <v>904691</v>
      </c>
      <c r="G2315" s="4">
        <v>28.92</v>
      </c>
      <c r="Y2315" s="138">
        <v>0</v>
      </c>
      <c r="AG2315" s="66" t="e">
        <f t="shared" si="94"/>
        <v>#DIV/0!</v>
      </c>
      <c r="AH2315" s="143">
        <f t="shared" si="95"/>
        <v>0</v>
      </c>
    </row>
    <row r="2316" spans="1:34" hidden="1" x14ac:dyDescent="0.3">
      <c r="A2316" s="140">
        <v>904692</v>
      </c>
      <c r="G2316" s="4">
        <v>35.97</v>
      </c>
      <c r="Y2316" s="138">
        <v>0</v>
      </c>
      <c r="AG2316" s="66" t="e">
        <f t="shared" si="94"/>
        <v>#DIV/0!</v>
      </c>
      <c r="AH2316" s="143">
        <f t="shared" si="95"/>
        <v>0</v>
      </c>
    </row>
    <row r="2317" spans="1:34" hidden="1" x14ac:dyDescent="0.3">
      <c r="A2317" s="140">
        <v>904693</v>
      </c>
      <c r="G2317" s="4">
        <v>60.55</v>
      </c>
      <c r="Y2317" s="138">
        <v>0</v>
      </c>
      <c r="AG2317" s="66" t="e">
        <f t="shared" si="94"/>
        <v>#DIV/0!</v>
      </c>
      <c r="AH2317" s="143">
        <f t="shared" si="95"/>
        <v>0</v>
      </c>
    </row>
    <row r="2318" spans="1:34" hidden="1" x14ac:dyDescent="0.3">
      <c r="A2318" s="140">
        <v>904694</v>
      </c>
      <c r="G2318" s="4">
        <v>93.77</v>
      </c>
      <c r="Y2318" s="138">
        <v>0</v>
      </c>
      <c r="AG2318" s="66" t="e">
        <f t="shared" si="94"/>
        <v>#DIV/0!</v>
      </c>
      <c r="AH2318" s="143">
        <f t="shared" si="95"/>
        <v>0</v>
      </c>
    </row>
    <row r="2319" spans="1:34" hidden="1" x14ac:dyDescent="0.3">
      <c r="A2319" s="140">
        <v>904695</v>
      </c>
      <c r="G2319" s="4">
        <v>50.7</v>
      </c>
      <c r="Y2319" s="138">
        <v>0</v>
      </c>
      <c r="AG2319" s="66" t="e">
        <f t="shared" si="94"/>
        <v>#DIV/0!</v>
      </c>
      <c r="AH2319" s="143">
        <f t="shared" si="95"/>
        <v>0</v>
      </c>
    </row>
    <row r="2320" spans="1:34" hidden="1" x14ac:dyDescent="0.3">
      <c r="A2320" s="140">
        <v>904696</v>
      </c>
      <c r="G2320" s="4">
        <v>31.98</v>
      </c>
      <c r="Y2320" s="138">
        <v>0</v>
      </c>
      <c r="AG2320" s="66" t="e">
        <f t="shared" si="94"/>
        <v>#DIV/0!</v>
      </c>
      <c r="AH2320" s="143">
        <f t="shared" si="95"/>
        <v>0</v>
      </c>
    </row>
    <row r="2321" spans="1:34" hidden="1" x14ac:dyDescent="0.3">
      <c r="A2321" s="140">
        <v>904697</v>
      </c>
      <c r="G2321" s="4">
        <v>39.33</v>
      </c>
      <c r="Y2321" s="138">
        <v>0</v>
      </c>
      <c r="AG2321" s="66" t="e">
        <f t="shared" si="94"/>
        <v>#DIV/0!</v>
      </c>
      <c r="AH2321" s="143">
        <f t="shared" si="95"/>
        <v>0</v>
      </c>
    </row>
    <row r="2322" spans="1:34" hidden="1" x14ac:dyDescent="0.3">
      <c r="A2322" s="140">
        <v>904698</v>
      </c>
      <c r="G2322" s="4">
        <v>35.6</v>
      </c>
      <c r="Y2322" s="138">
        <v>0</v>
      </c>
      <c r="AG2322" s="66" t="e">
        <f t="shared" si="94"/>
        <v>#DIV/0!</v>
      </c>
      <c r="AH2322" s="143">
        <f t="shared" si="95"/>
        <v>0</v>
      </c>
    </row>
    <row r="2323" spans="1:34" hidden="1" x14ac:dyDescent="0.3">
      <c r="A2323" s="140">
        <v>904699</v>
      </c>
      <c r="G2323" s="4">
        <v>9.9600000000000009</v>
      </c>
      <c r="Y2323" s="138">
        <v>0</v>
      </c>
      <c r="AG2323" s="66" t="e">
        <f t="shared" si="94"/>
        <v>#DIV/0!</v>
      </c>
      <c r="AH2323" s="143">
        <f t="shared" si="95"/>
        <v>0</v>
      </c>
    </row>
    <row r="2324" spans="1:34" hidden="1" x14ac:dyDescent="0.3">
      <c r="A2324" s="140">
        <v>904700</v>
      </c>
      <c r="G2324" s="4">
        <v>9.73</v>
      </c>
      <c r="Y2324" s="138">
        <v>0</v>
      </c>
      <c r="AG2324" s="66" t="e">
        <f t="shared" si="94"/>
        <v>#DIV/0!</v>
      </c>
      <c r="AH2324" s="143">
        <f t="shared" si="95"/>
        <v>0</v>
      </c>
    </row>
    <row r="2325" spans="1:34" hidden="1" x14ac:dyDescent="0.3">
      <c r="A2325" s="140">
        <v>904701</v>
      </c>
      <c r="G2325" s="4">
        <v>10.35</v>
      </c>
      <c r="Y2325" s="138">
        <v>0</v>
      </c>
      <c r="AG2325" s="66" t="e">
        <f t="shared" si="94"/>
        <v>#DIV/0!</v>
      </c>
      <c r="AH2325" s="143">
        <f t="shared" si="95"/>
        <v>0</v>
      </c>
    </row>
    <row r="2326" spans="1:34" hidden="1" x14ac:dyDescent="0.3">
      <c r="A2326" s="140">
        <v>904702</v>
      </c>
      <c r="G2326" s="4">
        <v>10.7</v>
      </c>
      <c r="Y2326" s="138">
        <v>0</v>
      </c>
      <c r="AG2326" s="66" t="e">
        <f t="shared" si="94"/>
        <v>#DIV/0!</v>
      </c>
      <c r="AH2326" s="143">
        <f t="shared" si="95"/>
        <v>0</v>
      </c>
    </row>
    <row r="2327" spans="1:34" hidden="1" x14ac:dyDescent="0.3">
      <c r="A2327" s="140">
        <v>904703</v>
      </c>
      <c r="G2327" s="4">
        <v>11.56</v>
      </c>
      <c r="Y2327" s="138">
        <v>0</v>
      </c>
      <c r="AG2327" s="66" t="e">
        <f t="shared" si="94"/>
        <v>#DIV/0!</v>
      </c>
      <c r="AH2327" s="143">
        <f t="shared" si="95"/>
        <v>0</v>
      </c>
    </row>
    <row r="2328" spans="1:34" hidden="1" x14ac:dyDescent="0.3">
      <c r="A2328" s="140">
        <v>904704</v>
      </c>
      <c r="G2328" s="4">
        <v>10.76</v>
      </c>
      <c r="Y2328" s="138">
        <v>0</v>
      </c>
      <c r="AG2328" s="66" t="e">
        <f t="shared" si="94"/>
        <v>#DIV/0!</v>
      </c>
      <c r="AH2328" s="143">
        <f t="shared" si="95"/>
        <v>0</v>
      </c>
    </row>
    <row r="2329" spans="1:34" hidden="1" x14ac:dyDescent="0.3">
      <c r="A2329" s="140">
        <v>904705</v>
      </c>
      <c r="G2329" s="4">
        <v>78.790000000000006</v>
      </c>
      <c r="Y2329" s="138">
        <v>0</v>
      </c>
      <c r="AG2329" s="66" t="e">
        <f t="shared" si="94"/>
        <v>#DIV/0!</v>
      </c>
      <c r="AH2329" s="143">
        <f t="shared" si="95"/>
        <v>0</v>
      </c>
    </row>
    <row r="2330" spans="1:34" hidden="1" x14ac:dyDescent="0.3">
      <c r="A2330" s="140">
        <v>904706</v>
      </c>
      <c r="G2330" s="4">
        <v>58.42</v>
      </c>
      <c r="Y2330" s="138">
        <v>0</v>
      </c>
      <c r="AG2330" s="66" t="e">
        <f t="shared" si="94"/>
        <v>#DIV/0!</v>
      </c>
      <c r="AH2330" s="143">
        <f t="shared" si="95"/>
        <v>0</v>
      </c>
    </row>
    <row r="2331" spans="1:34" hidden="1" x14ac:dyDescent="0.3">
      <c r="A2331" s="140">
        <v>904707</v>
      </c>
      <c r="G2331" s="4">
        <v>310.02999999999997</v>
      </c>
      <c r="Y2331" s="138">
        <v>0</v>
      </c>
      <c r="AG2331" s="66" t="e">
        <f t="shared" si="94"/>
        <v>#DIV/0!</v>
      </c>
      <c r="AH2331" s="143">
        <f t="shared" si="95"/>
        <v>0</v>
      </c>
    </row>
    <row r="2332" spans="1:34" hidden="1" x14ac:dyDescent="0.3">
      <c r="A2332" s="140">
        <v>904708</v>
      </c>
      <c r="G2332" s="4">
        <v>46.91</v>
      </c>
      <c r="Y2332" s="138">
        <v>0</v>
      </c>
      <c r="AG2332" s="66" t="e">
        <f t="shared" si="94"/>
        <v>#DIV/0!</v>
      </c>
      <c r="AH2332" s="143">
        <f t="shared" si="95"/>
        <v>0</v>
      </c>
    </row>
    <row r="2333" spans="1:34" hidden="1" x14ac:dyDescent="0.3">
      <c r="A2333" s="140">
        <v>904709</v>
      </c>
      <c r="G2333" s="4">
        <v>83.83</v>
      </c>
      <c r="Y2333" s="138">
        <v>0</v>
      </c>
      <c r="AG2333" s="66" t="e">
        <f t="shared" si="94"/>
        <v>#DIV/0!</v>
      </c>
      <c r="AH2333" s="143">
        <f t="shared" si="95"/>
        <v>0</v>
      </c>
    </row>
    <row r="2334" spans="1:34" hidden="1" x14ac:dyDescent="0.3">
      <c r="A2334" s="140">
        <v>904710</v>
      </c>
      <c r="G2334" s="4">
        <v>81.36</v>
      </c>
      <c r="Y2334" s="138">
        <v>0</v>
      </c>
      <c r="AG2334" s="66" t="e">
        <f t="shared" si="94"/>
        <v>#DIV/0!</v>
      </c>
      <c r="AH2334" s="143">
        <f t="shared" si="95"/>
        <v>0</v>
      </c>
    </row>
    <row r="2335" spans="1:34" hidden="1" x14ac:dyDescent="0.3">
      <c r="A2335" s="140">
        <v>904711</v>
      </c>
      <c r="G2335" s="4">
        <v>15.87</v>
      </c>
      <c r="Y2335" s="138">
        <v>0</v>
      </c>
      <c r="AG2335" s="66" t="e">
        <f t="shared" si="94"/>
        <v>#DIV/0!</v>
      </c>
      <c r="AH2335" s="143">
        <f t="shared" si="95"/>
        <v>0</v>
      </c>
    </row>
    <row r="2336" spans="1:34" hidden="1" x14ac:dyDescent="0.3">
      <c r="A2336" s="140">
        <v>904712</v>
      </c>
      <c r="G2336" s="4">
        <v>12.28</v>
      </c>
      <c r="Y2336" s="138">
        <v>0</v>
      </c>
      <c r="AG2336" s="66" t="e">
        <f t="shared" si="94"/>
        <v>#DIV/0!</v>
      </c>
      <c r="AH2336" s="143">
        <f t="shared" si="95"/>
        <v>0</v>
      </c>
    </row>
    <row r="2337" spans="1:34" hidden="1" x14ac:dyDescent="0.3">
      <c r="A2337" s="140">
        <v>904713</v>
      </c>
      <c r="G2337" s="4">
        <v>12.75</v>
      </c>
      <c r="Y2337" s="138">
        <v>0</v>
      </c>
      <c r="AG2337" s="66" t="e">
        <f t="shared" si="94"/>
        <v>#DIV/0!</v>
      </c>
      <c r="AH2337" s="143">
        <f t="shared" si="95"/>
        <v>0</v>
      </c>
    </row>
    <row r="2338" spans="1:34" hidden="1" x14ac:dyDescent="0.3">
      <c r="A2338" s="140">
        <v>904714</v>
      </c>
      <c r="G2338" s="4">
        <v>31.32</v>
      </c>
      <c r="Y2338" s="138">
        <v>0</v>
      </c>
      <c r="AG2338" s="66" t="e">
        <f t="shared" si="94"/>
        <v>#DIV/0!</v>
      </c>
      <c r="AH2338" s="143">
        <f t="shared" si="95"/>
        <v>0</v>
      </c>
    </row>
    <row r="2339" spans="1:34" hidden="1" x14ac:dyDescent="0.3">
      <c r="A2339" s="140">
        <v>904715</v>
      </c>
      <c r="G2339" s="4">
        <v>22.58</v>
      </c>
      <c r="Y2339" s="138">
        <v>0</v>
      </c>
      <c r="AG2339" s="66" t="e">
        <f t="shared" si="94"/>
        <v>#DIV/0!</v>
      </c>
      <c r="AH2339" s="143">
        <f t="shared" si="95"/>
        <v>0</v>
      </c>
    </row>
    <row r="2340" spans="1:34" hidden="1" x14ac:dyDescent="0.3">
      <c r="A2340" s="140">
        <v>904716</v>
      </c>
      <c r="G2340" s="4">
        <v>44.62</v>
      </c>
      <c r="Y2340" s="138">
        <v>0</v>
      </c>
      <c r="AG2340" s="66" t="e">
        <f t="shared" si="94"/>
        <v>#DIV/0!</v>
      </c>
      <c r="AH2340" s="143">
        <f t="shared" si="95"/>
        <v>0</v>
      </c>
    </row>
    <row r="2341" spans="1:34" hidden="1" x14ac:dyDescent="0.3">
      <c r="A2341" s="140">
        <v>904717</v>
      </c>
      <c r="G2341" s="4">
        <v>47.88</v>
      </c>
      <c r="Y2341" s="138">
        <v>0</v>
      </c>
      <c r="AG2341" s="66" t="e">
        <f t="shared" si="94"/>
        <v>#DIV/0!</v>
      </c>
      <c r="AH2341" s="143">
        <f t="shared" si="95"/>
        <v>0</v>
      </c>
    </row>
    <row r="2342" spans="1:34" hidden="1" x14ac:dyDescent="0.3">
      <c r="A2342" s="140">
        <v>904718</v>
      </c>
      <c r="G2342" s="4">
        <v>50.91</v>
      </c>
      <c r="Y2342" s="138">
        <v>0</v>
      </c>
      <c r="AG2342" s="66" t="e">
        <f t="shared" si="94"/>
        <v>#DIV/0!</v>
      </c>
      <c r="AH2342" s="143">
        <f t="shared" si="95"/>
        <v>0</v>
      </c>
    </row>
    <row r="2343" spans="1:34" hidden="1" x14ac:dyDescent="0.3">
      <c r="A2343" s="140">
        <v>904719</v>
      </c>
      <c r="G2343" s="4">
        <v>92.44</v>
      </c>
      <c r="Y2343" s="138">
        <v>0</v>
      </c>
      <c r="AG2343" s="66" t="e">
        <f t="shared" si="94"/>
        <v>#DIV/0!</v>
      </c>
      <c r="AH2343" s="143">
        <f t="shared" si="95"/>
        <v>0</v>
      </c>
    </row>
    <row r="2344" spans="1:34" hidden="1" x14ac:dyDescent="0.3">
      <c r="A2344" s="140">
        <v>904720</v>
      </c>
      <c r="G2344" s="4">
        <v>63.37</v>
      </c>
      <c r="Y2344" s="138">
        <v>0</v>
      </c>
      <c r="AG2344" s="66" t="e">
        <f t="shared" si="94"/>
        <v>#DIV/0!</v>
      </c>
      <c r="AH2344" s="143">
        <f t="shared" si="95"/>
        <v>0</v>
      </c>
    </row>
    <row r="2345" spans="1:34" hidden="1" x14ac:dyDescent="0.3">
      <c r="A2345" s="140">
        <v>904721</v>
      </c>
      <c r="G2345" s="4">
        <v>33.65</v>
      </c>
      <c r="Y2345" s="138">
        <v>0</v>
      </c>
      <c r="AG2345" s="66" t="e">
        <f t="shared" si="94"/>
        <v>#DIV/0!</v>
      </c>
      <c r="AH2345" s="143">
        <f t="shared" si="95"/>
        <v>0</v>
      </c>
    </row>
    <row r="2346" spans="1:34" hidden="1" x14ac:dyDescent="0.3">
      <c r="A2346" s="140">
        <v>904722</v>
      </c>
      <c r="G2346" s="4">
        <v>90.93</v>
      </c>
      <c r="Y2346" s="138">
        <v>0</v>
      </c>
      <c r="AG2346" s="66" t="e">
        <f t="shared" si="94"/>
        <v>#DIV/0!</v>
      </c>
      <c r="AH2346" s="143">
        <f t="shared" si="95"/>
        <v>0</v>
      </c>
    </row>
    <row r="2347" spans="1:34" hidden="1" x14ac:dyDescent="0.3">
      <c r="A2347" s="140">
        <v>904723</v>
      </c>
      <c r="G2347" s="4">
        <v>7.65</v>
      </c>
      <c r="Y2347" s="138">
        <v>0</v>
      </c>
      <c r="AG2347" s="66" t="e">
        <f t="shared" si="94"/>
        <v>#DIV/0!</v>
      </c>
      <c r="AH2347" s="143">
        <f t="shared" si="95"/>
        <v>0</v>
      </c>
    </row>
    <row r="2348" spans="1:34" hidden="1" x14ac:dyDescent="0.3">
      <c r="A2348" s="140">
        <v>904724</v>
      </c>
      <c r="G2348" s="4">
        <v>7.23</v>
      </c>
      <c r="Y2348" s="138">
        <v>0</v>
      </c>
      <c r="AG2348" s="66" t="e">
        <f t="shared" si="94"/>
        <v>#DIV/0!</v>
      </c>
      <c r="AH2348" s="143">
        <f t="shared" si="95"/>
        <v>0</v>
      </c>
    </row>
    <row r="2349" spans="1:34" hidden="1" x14ac:dyDescent="0.3">
      <c r="A2349" s="140">
        <v>904725</v>
      </c>
      <c r="G2349" s="4">
        <v>12.41</v>
      </c>
      <c r="Y2349" s="138">
        <v>0</v>
      </c>
      <c r="AG2349" s="66" t="e">
        <f t="shared" si="94"/>
        <v>#DIV/0!</v>
      </c>
      <c r="AH2349" s="143">
        <f t="shared" si="95"/>
        <v>0</v>
      </c>
    </row>
    <row r="2350" spans="1:34" hidden="1" x14ac:dyDescent="0.3">
      <c r="A2350" s="140">
        <v>904726</v>
      </c>
      <c r="G2350" s="4">
        <v>11.86</v>
      </c>
      <c r="Y2350" s="138">
        <v>0</v>
      </c>
      <c r="AG2350" s="66" t="e">
        <f t="shared" si="94"/>
        <v>#DIV/0!</v>
      </c>
      <c r="AH2350" s="143">
        <f t="shared" si="95"/>
        <v>0</v>
      </c>
    </row>
    <row r="2351" spans="1:34" hidden="1" x14ac:dyDescent="0.3">
      <c r="A2351" s="140">
        <v>904727</v>
      </c>
      <c r="G2351" s="4">
        <v>12.11</v>
      </c>
      <c r="Y2351" s="138">
        <v>0</v>
      </c>
      <c r="AG2351" s="66" t="e">
        <f t="shared" si="94"/>
        <v>#DIV/0!</v>
      </c>
      <c r="AH2351" s="143">
        <f t="shared" si="95"/>
        <v>0</v>
      </c>
    </row>
    <row r="2352" spans="1:34" hidden="1" x14ac:dyDescent="0.3">
      <c r="A2352" s="140">
        <v>904728</v>
      </c>
      <c r="G2352" s="4">
        <v>25.9</v>
      </c>
      <c r="Y2352" s="138">
        <v>0</v>
      </c>
      <c r="AG2352" s="66" t="e">
        <f t="shared" si="94"/>
        <v>#DIV/0!</v>
      </c>
      <c r="AH2352" s="143">
        <f t="shared" si="95"/>
        <v>0</v>
      </c>
    </row>
    <row r="2353" spans="1:34" hidden="1" x14ac:dyDescent="0.3">
      <c r="A2353" s="140">
        <v>904729</v>
      </c>
      <c r="G2353" s="4">
        <v>35.11</v>
      </c>
      <c r="Y2353" s="138">
        <v>0</v>
      </c>
      <c r="AG2353" s="66" t="e">
        <f t="shared" si="94"/>
        <v>#DIV/0!</v>
      </c>
      <c r="AH2353" s="143">
        <f t="shared" si="95"/>
        <v>0</v>
      </c>
    </row>
    <row r="2354" spans="1:34" hidden="1" x14ac:dyDescent="0.3">
      <c r="A2354" s="140">
        <v>904730</v>
      </c>
      <c r="G2354" s="4">
        <v>63.24</v>
      </c>
      <c r="Y2354" s="138">
        <v>0</v>
      </c>
      <c r="AG2354" s="66" t="e">
        <f t="shared" si="94"/>
        <v>#DIV/0!</v>
      </c>
      <c r="AH2354" s="143">
        <f t="shared" si="95"/>
        <v>0</v>
      </c>
    </row>
    <row r="2355" spans="1:34" hidden="1" x14ac:dyDescent="0.3">
      <c r="A2355" s="140">
        <v>904731</v>
      </c>
      <c r="G2355" s="4">
        <v>32.82</v>
      </c>
      <c r="Y2355" s="138">
        <v>0</v>
      </c>
      <c r="AG2355" s="66" t="e">
        <f t="shared" si="94"/>
        <v>#DIV/0!</v>
      </c>
      <c r="AH2355" s="143">
        <f t="shared" si="95"/>
        <v>0</v>
      </c>
    </row>
    <row r="2356" spans="1:34" hidden="1" x14ac:dyDescent="0.3">
      <c r="A2356" s="140">
        <v>904732</v>
      </c>
      <c r="G2356" s="4">
        <v>8.1300000000000008</v>
      </c>
      <c r="Y2356" s="138">
        <v>0</v>
      </c>
      <c r="AG2356" s="66" t="e">
        <f t="shared" si="94"/>
        <v>#DIV/0!</v>
      </c>
      <c r="AH2356" s="143">
        <f t="shared" si="95"/>
        <v>0</v>
      </c>
    </row>
    <row r="2357" spans="1:34" hidden="1" x14ac:dyDescent="0.3">
      <c r="A2357" s="140">
        <v>904733</v>
      </c>
      <c r="G2357" s="4">
        <v>43.59</v>
      </c>
      <c r="Y2357" s="138">
        <v>0</v>
      </c>
      <c r="AG2357" s="66" t="e">
        <f t="shared" si="94"/>
        <v>#DIV/0!</v>
      </c>
      <c r="AH2357" s="143">
        <f t="shared" si="95"/>
        <v>0</v>
      </c>
    </row>
    <row r="2358" spans="1:34" hidden="1" x14ac:dyDescent="0.3">
      <c r="A2358" s="140">
        <v>904734</v>
      </c>
      <c r="G2358" s="4">
        <v>8.75</v>
      </c>
      <c r="Y2358" s="138">
        <v>0</v>
      </c>
      <c r="AG2358" s="66" t="e">
        <f t="shared" si="94"/>
        <v>#DIV/0!</v>
      </c>
      <c r="AH2358" s="143">
        <f t="shared" si="95"/>
        <v>0</v>
      </c>
    </row>
    <row r="2359" spans="1:34" hidden="1" x14ac:dyDescent="0.3">
      <c r="A2359" s="140">
        <v>904735</v>
      </c>
      <c r="G2359" s="4">
        <v>14.83</v>
      </c>
      <c r="Y2359" s="138">
        <v>0</v>
      </c>
      <c r="AG2359" s="66" t="e">
        <f t="shared" si="94"/>
        <v>#DIV/0!</v>
      </c>
      <c r="AH2359" s="143">
        <f t="shared" si="95"/>
        <v>0</v>
      </c>
    </row>
    <row r="2360" spans="1:34" hidden="1" x14ac:dyDescent="0.3">
      <c r="A2360" s="140">
        <v>904736</v>
      </c>
      <c r="G2360" s="4">
        <v>11.98</v>
      </c>
      <c r="Y2360" s="138">
        <v>0</v>
      </c>
      <c r="AG2360" s="66" t="e">
        <f t="shared" si="94"/>
        <v>#DIV/0!</v>
      </c>
      <c r="AH2360" s="143">
        <f t="shared" si="95"/>
        <v>0</v>
      </c>
    </row>
    <row r="2361" spans="1:34" hidden="1" x14ac:dyDescent="0.3">
      <c r="A2361" s="140">
        <v>904737</v>
      </c>
      <c r="G2361" s="4">
        <v>14.38</v>
      </c>
      <c r="Y2361" s="138">
        <v>0</v>
      </c>
      <c r="AG2361" s="66" t="e">
        <f t="shared" si="94"/>
        <v>#DIV/0!</v>
      </c>
      <c r="AH2361" s="143">
        <f t="shared" si="95"/>
        <v>0</v>
      </c>
    </row>
    <row r="2362" spans="1:34" hidden="1" x14ac:dyDescent="0.3">
      <c r="A2362" s="140">
        <v>904738</v>
      </c>
      <c r="G2362" s="4">
        <v>22.92</v>
      </c>
      <c r="Y2362" s="138">
        <v>0</v>
      </c>
      <c r="AG2362" s="66" t="e">
        <f t="shared" si="94"/>
        <v>#DIV/0!</v>
      </c>
      <c r="AH2362" s="143">
        <f t="shared" si="95"/>
        <v>0</v>
      </c>
    </row>
    <row r="2363" spans="1:34" hidden="1" x14ac:dyDescent="0.3">
      <c r="A2363" s="140">
        <v>904739</v>
      </c>
      <c r="G2363" s="4">
        <v>20.95</v>
      </c>
      <c r="Y2363" s="138">
        <v>0</v>
      </c>
      <c r="AG2363" s="66" t="e">
        <f t="shared" si="94"/>
        <v>#DIV/0!</v>
      </c>
      <c r="AH2363" s="143">
        <f t="shared" si="95"/>
        <v>0</v>
      </c>
    </row>
    <row r="2364" spans="1:34" hidden="1" x14ac:dyDescent="0.3">
      <c r="A2364" s="140">
        <v>904740</v>
      </c>
      <c r="G2364" s="4">
        <v>18.5</v>
      </c>
      <c r="Y2364" s="138">
        <v>0</v>
      </c>
      <c r="AG2364" s="66" t="e">
        <f t="shared" si="94"/>
        <v>#DIV/0!</v>
      </c>
      <c r="AH2364" s="143">
        <f t="shared" si="95"/>
        <v>0</v>
      </c>
    </row>
    <row r="2365" spans="1:34" hidden="1" x14ac:dyDescent="0.3">
      <c r="A2365" s="140">
        <v>904741</v>
      </c>
      <c r="G2365" s="4">
        <v>119.21</v>
      </c>
      <c r="Y2365" s="138">
        <v>0</v>
      </c>
      <c r="AG2365" s="66" t="e">
        <f t="shared" si="94"/>
        <v>#DIV/0!</v>
      </c>
      <c r="AH2365" s="143">
        <f t="shared" si="95"/>
        <v>0</v>
      </c>
    </row>
    <row r="2366" spans="1:34" hidden="1" x14ac:dyDescent="0.3">
      <c r="A2366" s="140">
        <v>904742</v>
      </c>
      <c r="G2366" s="4">
        <v>112.04</v>
      </c>
      <c r="Y2366" s="138">
        <v>0</v>
      </c>
      <c r="AG2366" s="66" t="e">
        <f t="shared" si="94"/>
        <v>#DIV/0!</v>
      </c>
      <c r="AH2366" s="143">
        <f t="shared" si="95"/>
        <v>0</v>
      </c>
    </row>
    <row r="2367" spans="1:34" hidden="1" x14ac:dyDescent="0.3">
      <c r="A2367" s="140">
        <v>904743</v>
      </c>
      <c r="G2367" s="4">
        <v>35.630000000000003</v>
      </c>
      <c r="Y2367" s="138">
        <v>0</v>
      </c>
      <c r="AG2367" s="66" t="e">
        <f t="shared" si="94"/>
        <v>#DIV/0!</v>
      </c>
      <c r="AH2367" s="143">
        <f t="shared" si="95"/>
        <v>0</v>
      </c>
    </row>
    <row r="2368" spans="1:34" hidden="1" x14ac:dyDescent="0.3">
      <c r="A2368" s="140">
        <v>904744</v>
      </c>
      <c r="G2368" s="4">
        <v>19.899999999999999</v>
      </c>
      <c r="Y2368" s="138">
        <v>0</v>
      </c>
      <c r="AG2368" s="66" t="e">
        <f t="shared" si="94"/>
        <v>#DIV/0!</v>
      </c>
      <c r="AH2368" s="143">
        <f t="shared" si="95"/>
        <v>0</v>
      </c>
    </row>
    <row r="2369" spans="1:34" hidden="1" x14ac:dyDescent="0.3">
      <c r="A2369" s="140">
        <v>904745</v>
      </c>
      <c r="G2369" s="4">
        <v>31.09</v>
      </c>
      <c r="Y2369" s="138">
        <v>0</v>
      </c>
      <c r="AG2369" s="66" t="e">
        <f t="shared" si="94"/>
        <v>#DIV/0!</v>
      </c>
      <c r="AH2369" s="143">
        <f t="shared" si="95"/>
        <v>0</v>
      </c>
    </row>
    <row r="2370" spans="1:34" hidden="1" x14ac:dyDescent="0.3">
      <c r="A2370" s="140">
        <v>904746</v>
      </c>
      <c r="G2370" s="4">
        <v>29.89</v>
      </c>
      <c r="Y2370" s="138">
        <v>0</v>
      </c>
      <c r="AG2370" s="66" t="e">
        <f t="shared" ref="AG2370:AG2433" si="96">+K2370*3.54*100/Y2370</f>
        <v>#DIV/0!</v>
      </c>
      <c r="AH2370" s="143">
        <f t="shared" ref="AH2370:AH2433" si="97">+SUM(AD2370:AF2370)</f>
        <v>0</v>
      </c>
    </row>
    <row r="2371" spans="1:34" hidden="1" x14ac:dyDescent="0.3">
      <c r="A2371" s="140">
        <v>904747</v>
      </c>
      <c r="G2371" s="4">
        <v>11.75</v>
      </c>
      <c r="Y2371" s="138">
        <v>0</v>
      </c>
      <c r="AG2371" s="66" t="e">
        <f t="shared" si="96"/>
        <v>#DIV/0!</v>
      </c>
      <c r="AH2371" s="143">
        <f t="shared" si="97"/>
        <v>0</v>
      </c>
    </row>
    <row r="2372" spans="1:34" hidden="1" x14ac:dyDescent="0.3">
      <c r="A2372" s="140">
        <v>904748</v>
      </c>
      <c r="G2372" s="4">
        <v>10.46</v>
      </c>
      <c r="Y2372" s="138">
        <v>0</v>
      </c>
      <c r="AG2372" s="66" t="e">
        <f t="shared" si="96"/>
        <v>#DIV/0!</v>
      </c>
      <c r="AH2372" s="143">
        <f t="shared" si="97"/>
        <v>0</v>
      </c>
    </row>
    <row r="2373" spans="1:34" hidden="1" x14ac:dyDescent="0.3">
      <c r="A2373" s="140">
        <v>904749</v>
      </c>
      <c r="G2373" s="4">
        <v>11.38</v>
      </c>
      <c r="Y2373" s="138">
        <v>0</v>
      </c>
      <c r="AG2373" s="66" t="e">
        <f t="shared" si="96"/>
        <v>#DIV/0!</v>
      </c>
      <c r="AH2373" s="143">
        <f t="shared" si="97"/>
        <v>0</v>
      </c>
    </row>
    <row r="2374" spans="1:34" hidden="1" x14ac:dyDescent="0.3">
      <c r="A2374" s="140">
        <v>904750</v>
      </c>
      <c r="G2374" s="4">
        <v>18.649999999999999</v>
      </c>
      <c r="Y2374" s="138">
        <v>0</v>
      </c>
      <c r="AG2374" s="66" t="e">
        <f t="shared" si="96"/>
        <v>#DIV/0!</v>
      </c>
      <c r="AH2374" s="143">
        <f t="shared" si="97"/>
        <v>0</v>
      </c>
    </row>
    <row r="2375" spans="1:34" hidden="1" x14ac:dyDescent="0.3">
      <c r="A2375" s="140">
        <v>904751</v>
      </c>
      <c r="G2375" s="4">
        <v>9.6999999999999993</v>
      </c>
      <c r="Y2375" s="138">
        <v>0</v>
      </c>
      <c r="AG2375" s="66" t="e">
        <f t="shared" si="96"/>
        <v>#DIV/0!</v>
      </c>
      <c r="AH2375" s="143">
        <f t="shared" si="97"/>
        <v>0</v>
      </c>
    </row>
    <row r="2376" spans="1:34" hidden="1" x14ac:dyDescent="0.3">
      <c r="A2376" s="140">
        <v>904752</v>
      </c>
      <c r="G2376" s="4">
        <v>11.84</v>
      </c>
      <c r="Y2376" s="138">
        <v>0</v>
      </c>
      <c r="AG2376" s="66" t="e">
        <f t="shared" si="96"/>
        <v>#DIV/0!</v>
      </c>
      <c r="AH2376" s="143">
        <f t="shared" si="97"/>
        <v>0</v>
      </c>
    </row>
    <row r="2377" spans="1:34" hidden="1" x14ac:dyDescent="0.3">
      <c r="A2377" s="140">
        <v>904753</v>
      </c>
      <c r="G2377" s="4">
        <v>42.1</v>
      </c>
      <c r="Y2377" s="138">
        <v>0</v>
      </c>
      <c r="AG2377" s="66" t="e">
        <f t="shared" si="96"/>
        <v>#DIV/0!</v>
      </c>
      <c r="AH2377" s="143">
        <f t="shared" si="97"/>
        <v>0</v>
      </c>
    </row>
    <row r="2378" spans="1:34" hidden="1" x14ac:dyDescent="0.3">
      <c r="A2378" s="140">
        <v>904754</v>
      </c>
      <c r="G2378" s="4">
        <v>44.21</v>
      </c>
      <c r="Y2378" s="138">
        <v>0</v>
      </c>
      <c r="AG2378" s="66" t="e">
        <f t="shared" si="96"/>
        <v>#DIV/0!</v>
      </c>
      <c r="AH2378" s="143">
        <f t="shared" si="97"/>
        <v>0</v>
      </c>
    </row>
    <row r="2379" spans="1:34" hidden="1" x14ac:dyDescent="0.3">
      <c r="A2379" s="140">
        <v>904755</v>
      </c>
      <c r="G2379" s="4">
        <v>68.66</v>
      </c>
      <c r="Y2379" s="138">
        <v>0</v>
      </c>
      <c r="AG2379" s="66" t="e">
        <f t="shared" si="96"/>
        <v>#DIV/0!</v>
      </c>
      <c r="AH2379" s="143">
        <f t="shared" si="97"/>
        <v>0</v>
      </c>
    </row>
    <row r="2380" spans="1:34" hidden="1" x14ac:dyDescent="0.3">
      <c r="A2380" s="140">
        <v>904756</v>
      </c>
      <c r="G2380" s="4">
        <v>28.19</v>
      </c>
      <c r="Y2380" s="138">
        <v>0</v>
      </c>
      <c r="AG2380" s="66" t="e">
        <f t="shared" si="96"/>
        <v>#DIV/0!</v>
      </c>
      <c r="AH2380" s="143">
        <f t="shared" si="97"/>
        <v>0</v>
      </c>
    </row>
    <row r="2381" spans="1:34" hidden="1" x14ac:dyDescent="0.3">
      <c r="A2381" s="140">
        <v>904757</v>
      </c>
      <c r="G2381" s="4">
        <v>19.55</v>
      </c>
      <c r="Y2381" s="138">
        <v>0</v>
      </c>
      <c r="AG2381" s="66" t="e">
        <f t="shared" si="96"/>
        <v>#DIV/0!</v>
      </c>
      <c r="AH2381" s="143">
        <f t="shared" si="97"/>
        <v>0</v>
      </c>
    </row>
    <row r="2382" spans="1:34" hidden="1" x14ac:dyDescent="0.3">
      <c r="A2382" s="140">
        <v>904758</v>
      </c>
      <c r="G2382" s="4">
        <v>17.170000000000002</v>
      </c>
      <c r="Y2382" s="138">
        <v>0</v>
      </c>
      <c r="AG2382" s="66" t="e">
        <f t="shared" si="96"/>
        <v>#DIV/0!</v>
      </c>
      <c r="AH2382" s="143">
        <f t="shared" si="97"/>
        <v>0</v>
      </c>
    </row>
    <row r="2383" spans="1:34" hidden="1" x14ac:dyDescent="0.3">
      <c r="A2383" s="140">
        <v>904759</v>
      </c>
      <c r="G2383" s="4">
        <v>13.19</v>
      </c>
      <c r="Y2383" s="138">
        <v>0</v>
      </c>
      <c r="AG2383" s="66" t="e">
        <f t="shared" si="96"/>
        <v>#DIV/0!</v>
      </c>
      <c r="AH2383" s="143">
        <f t="shared" si="97"/>
        <v>0</v>
      </c>
    </row>
    <row r="2384" spans="1:34" hidden="1" x14ac:dyDescent="0.3">
      <c r="A2384" s="140">
        <v>904760</v>
      </c>
      <c r="G2384" s="4">
        <v>12.17</v>
      </c>
      <c r="Y2384" s="138">
        <v>0</v>
      </c>
      <c r="AG2384" s="66" t="e">
        <f t="shared" si="96"/>
        <v>#DIV/0!</v>
      </c>
      <c r="AH2384" s="143">
        <f t="shared" si="97"/>
        <v>0</v>
      </c>
    </row>
    <row r="2385" spans="1:34" hidden="1" x14ac:dyDescent="0.3">
      <c r="A2385" s="140">
        <v>904761</v>
      </c>
      <c r="G2385" s="4">
        <v>15.21</v>
      </c>
      <c r="Y2385" s="138">
        <v>0</v>
      </c>
      <c r="AG2385" s="66" t="e">
        <f t="shared" si="96"/>
        <v>#DIV/0!</v>
      </c>
      <c r="AH2385" s="143">
        <f t="shared" si="97"/>
        <v>0</v>
      </c>
    </row>
    <row r="2386" spans="1:34" hidden="1" x14ac:dyDescent="0.3">
      <c r="A2386" s="140">
        <v>904762</v>
      </c>
      <c r="G2386" s="4">
        <v>32.15</v>
      </c>
      <c r="Y2386" s="138">
        <v>0</v>
      </c>
      <c r="AG2386" s="66" t="e">
        <f t="shared" si="96"/>
        <v>#DIV/0!</v>
      </c>
      <c r="AH2386" s="143">
        <f t="shared" si="97"/>
        <v>0</v>
      </c>
    </row>
    <row r="2387" spans="1:34" hidden="1" x14ac:dyDescent="0.3">
      <c r="A2387" s="140">
        <v>904763</v>
      </c>
      <c r="G2387" s="4">
        <v>23.01</v>
      </c>
      <c r="Y2387" s="138">
        <v>0</v>
      </c>
      <c r="AG2387" s="66" t="e">
        <f t="shared" si="96"/>
        <v>#DIV/0!</v>
      </c>
      <c r="AH2387" s="143">
        <f t="shared" si="97"/>
        <v>0</v>
      </c>
    </row>
    <row r="2388" spans="1:34" hidden="1" x14ac:dyDescent="0.3">
      <c r="A2388" s="140">
        <v>904764</v>
      </c>
      <c r="G2388" s="4">
        <v>35.43</v>
      </c>
      <c r="Y2388" s="138">
        <v>0</v>
      </c>
      <c r="AG2388" s="66" t="e">
        <f t="shared" si="96"/>
        <v>#DIV/0!</v>
      </c>
      <c r="AH2388" s="143">
        <f t="shared" si="97"/>
        <v>0</v>
      </c>
    </row>
    <row r="2389" spans="1:34" hidden="1" x14ac:dyDescent="0.3">
      <c r="A2389" s="140">
        <v>904765</v>
      </c>
      <c r="G2389" s="4">
        <v>40.69</v>
      </c>
      <c r="Y2389" s="138">
        <v>0</v>
      </c>
      <c r="AG2389" s="66" t="e">
        <f t="shared" si="96"/>
        <v>#DIV/0!</v>
      </c>
      <c r="AH2389" s="143">
        <f t="shared" si="97"/>
        <v>0</v>
      </c>
    </row>
    <row r="2390" spans="1:34" hidden="1" x14ac:dyDescent="0.3">
      <c r="A2390" s="140">
        <v>904766</v>
      </c>
      <c r="G2390" s="4">
        <v>97.57</v>
      </c>
      <c r="Y2390" s="138">
        <v>0</v>
      </c>
      <c r="AG2390" s="66" t="e">
        <f t="shared" si="96"/>
        <v>#DIV/0!</v>
      </c>
      <c r="AH2390" s="143">
        <f t="shared" si="97"/>
        <v>0</v>
      </c>
    </row>
    <row r="2391" spans="1:34" hidden="1" x14ac:dyDescent="0.3">
      <c r="A2391" s="140">
        <v>904767</v>
      </c>
      <c r="G2391" s="4">
        <v>64.569999999999993</v>
      </c>
      <c r="Y2391" s="138">
        <v>0</v>
      </c>
      <c r="AG2391" s="66" t="e">
        <f t="shared" si="96"/>
        <v>#DIV/0!</v>
      </c>
      <c r="AH2391" s="143">
        <f t="shared" si="97"/>
        <v>0</v>
      </c>
    </row>
    <row r="2392" spans="1:34" hidden="1" x14ac:dyDescent="0.3">
      <c r="A2392" s="140">
        <v>904768</v>
      </c>
      <c r="G2392" s="4">
        <v>38.76</v>
      </c>
      <c r="Y2392" s="138">
        <v>0</v>
      </c>
      <c r="AG2392" s="66" t="e">
        <f t="shared" si="96"/>
        <v>#DIV/0!</v>
      </c>
      <c r="AH2392" s="143">
        <f t="shared" si="97"/>
        <v>0</v>
      </c>
    </row>
    <row r="2393" spans="1:34" hidden="1" x14ac:dyDescent="0.3">
      <c r="A2393" s="140">
        <v>904769</v>
      </c>
      <c r="G2393" s="4">
        <v>45.3</v>
      </c>
      <c r="Y2393" s="138">
        <v>0</v>
      </c>
      <c r="AG2393" s="66" t="e">
        <f t="shared" si="96"/>
        <v>#DIV/0!</v>
      </c>
      <c r="AH2393" s="143">
        <f t="shared" si="97"/>
        <v>0</v>
      </c>
    </row>
    <row r="2394" spans="1:34" hidden="1" x14ac:dyDescent="0.3">
      <c r="A2394" s="140">
        <v>904770</v>
      </c>
      <c r="G2394" s="4">
        <v>42.96</v>
      </c>
      <c r="Y2394" s="138">
        <v>0</v>
      </c>
      <c r="AG2394" s="66" t="e">
        <f t="shared" si="96"/>
        <v>#DIV/0!</v>
      </c>
      <c r="AH2394" s="143">
        <f t="shared" si="97"/>
        <v>0</v>
      </c>
    </row>
    <row r="2395" spans="1:34" hidden="1" x14ac:dyDescent="0.3">
      <c r="A2395" s="140">
        <v>904771</v>
      </c>
      <c r="G2395" s="4">
        <v>7.78</v>
      </c>
      <c r="Y2395" s="138">
        <v>0</v>
      </c>
      <c r="AG2395" s="66" t="e">
        <f t="shared" si="96"/>
        <v>#DIV/0!</v>
      </c>
      <c r="AH2395" s="143">
        <f t="shared" si="97"/>
        <v>0</v>
      </c>
    </row>
    <row r="2396" spans="1:34" hidden="1" x14ac:dyDescent="0.3">
      <c r="A2396" s="140">
        <v>904772</v>
      </c>
      <c r="G2396" s="4">
        <v>17.18</v>
      </c>
      <c r="Y2396" s="138">
        <v>0</v>
      </c>
      <c r="AG2396" s="66" t="e">
        <f t="shared" si="96"/>
        <v>#DIV/0!</v>
      </c>
      <c r="AH2396" s="143">
        <f t="shared" si="97"/>
        <v>0</v>
      </c>
    </row>
    <row r="2397" spans="1:34" hidden="1" x14ac:dyDescent="0.3">
      <c r="A2397" s="140">
        <v>904773</v>
      </c>
      <c r="G2397" s="4">
        <v>7.12</v>
      </c>
      <c r="Y2397" s="138">
        <v>0</v>
      </c>
      <c r="AG2397" s="66" t="e">
        <f t="shared" si="96"/>
        <v>#DIV/0!</v>
      </c>
      <c r="AH2397" s="143">
        <f t="shared" si="97"/>
        <v>0</v>
      </c>
    </row>
    <row r="2398" spans="1:34" hidden="1" x14ac:dyDescent="0.3">
      <c r="A2398" s="140">
        <v>904774</v>
      </c>
      <c r="G2398" s="4">
        <v>25.44</v>
      </c>
      <c r="Y2398" s="138">
        <v>0</v>
      </c>
      <c r="AG2398" s="66" t="e">
        <f t="shared" si="96"/>
        <v>#DIV/0!</v>
      </c>
      <c r="AH2398" s="143">
        <f t="shared" si="97"/>
        <v>0</v>
      </c>
    </row>
    <row r="2399" spans="1:34" hidden="1" x14ac:dyDescent="0.3">
      <c r="A2399" s="140">
        <v>904775</v>
      </c>
      <c r="G2399" s="4">
        <v>18.71</v>
      </c>
      <c r="Y2399" s="138">
        <v>0</v>
      </c>
      <c r="AG2399" s="66" t="e">
        <f t="shared" si="96"/>
        <v>#DIV/0!</v>
      </c>
      <c r="AH2399" s="143">
        <f t="shared" si="97"/>
        <v>0</v>
      </c>
    </row>
    <row r="2400" spans="1:34" hidden="1" x14ac:dyDescent="0.3">
      <c r="A2400" s="140">
        <v>904776</v>
      </c>
      <c r="G2400" s="4">
        <v>19.97</v>
      </c>
      <c r="Y2400" s="138">
        <v>0</v>
      </c>
      <c r="AG2400" s="66" t="e">
        <f t="shared" si="96"/>
        <v>#DIV/0!</v>
      </c>
      <c r="AH2400" s="143">
        <f t="shared" si="97"/>
        <v>0</v>
      </c>
    </row>
    <row r="2401" spans="1:35" hidden="1" x14ac:dyDescent="0.3">
      <c r="A2401" s="140">
        <v>904777</v>
      </c>
      <c r="G2401" s="4">
        <v>106.47</v>
      </c>
      <c r="Y2401" s="138">
        <v>0</v>
      </c>
      <c r="AG2401" s="66" t="e">
        <f t="shared" si="96"/>
        <v>#DIV/0!</v>
      </c>
      <c r="AH2401" s="143">
        <f t="shared" si="97"/>
        <v>0</v>
      </c>
    </row>
    <row r="2402" spans="1:35" hidden="1" x14ac:dyDescent="0.3">
      <c r="A2402" s="140">
        <v>904778</v>
      </c>
      <c r="G2402" s="4">
        <v>50.8</v>
      </c>
      <c r="Y2402" s="138">
        <v>0</v>
      </c>
      <c r="AG2402" s="66" t="e">
        <f t="shared" si="96"/>
        <v>#DIV/0!</v>
      </c>
      <c r="AH2402" s="143">
        <f t="shared" si="97"/>
        <v>0</v>
      </c>
    </row>
    <row r="2403" spans="1:35" hidden="1" x14ac:dyDescent="0.3">
      <c r="A2403" s="140">
        <v>904779</v>
      </c>
      <c r="G2403" s="4">
        <v>28.12</v>
      </c>
      <c r="Y2403" s="138">
        <v>0</v>
      </c>
      <c r="AG2403" s="66" t="e">
        <f t="shared" si="96"/>
        <v>#DIV/0!</v>
      </c>
      <c r="AH2403" s="143">
        <f t="shared" si="97"/>
        <v>0</v>
      </c>
    </row>
    <row r="2404" spans="1:35" hidden="1" x14ac:dyDescent="0.3">
      <c r="A2404" s="140">
        <v>904780</v>
      </c>
      <c r="G2404" s="4">
        <v>12.99</v>
      </c>
      <c r="Y2404" s="138">
        <v>0</v>
      </c>
      <c r="AG2404" s="66" t="e">
        <f t="shared" si="96"/>
        <v>#DIV/0!</v>
      </c>
      <c r="AH2404" s="143">
        <f t="shared" si="97"/>
        <v>0</v>
      </c>
    </row>
    <row r="2405" spans="1:35" hidden="1" x14ac:dyDescent="0.3">
      <c r="A2405" s="140">
        <v>904781</v>
      </c>
      <c r="G2405" s="4">
        <v>34.35</v>
      </c>
      <c r="Y2405" s="138">
        <v>0</v>
      </c>
      <c r="AG2405" s="66" t="e">
        <f t="shared" si="96"/>
        <v>#DIV/0!</v>
      </c>
      <c r="AH2405" s="143">
        <f t="shared" si="97"/>
        <v>0</v>
      </c>
    </row>
    <row r="2406" spans="1:35" hidden="1" x14ac:dyDescent="0.3">
      <c r="A2406" s="140">
        <v>904782</v>
      </c>
      <c r="G2406" s="4">
        <v>18.5</v>
      </c>
      <c r="Y2406" s="138">
        <v>0</v>
      </c>
      <c r="AG2406" s="66" t="e">
        <f t="shared" si="96"/>
        <v>#DIV/0!</v>
      </c>
      <c r="AH2406" s="143">
        <f t="shared" si="97"/>
        <v>0</v>
      </c>
    </row>
    <row r="2407" spans="1:35" x14ac:dyDescent="0.3">
      <c r="G2407" s="4"/>
      <c r="Y2407" s="138">
        <v>0</v>
      </c>
      <c r="AG2407" s="66" t="e">
        <f t="shared" si="96"/>
        <v>#DIV/0!</v>
      </c>
      <c r="AH2407" s="143">
        <f t="shared" si="97"/>
        <v>0</v>
      </c>
    </row>
    <row r="2408" spans="1:35" x14ac:dyDescent="0.3">
      <c r="A2408" s="140">
        <v>904783</v>
      </c>
      <c r="B2408" s="138">
        <v>2.2833333333333332</v>
      </c>
      <c r="D2408" s="152">
        <v>8.83</v>
      </c>
      <c r="E2408" s="752">
        <v>0.25800000000000001</v>
      </c>
      <c r="F2408" s="142">
        <v>283.8</v>
      </c>
      <c r="G2408" s="4"/>
      <c r="H2408" s="142">
        <v>8.58</v>
      </c>
      <c r="I2408" s="142">
        <v>60</v>
      </c>
      <c r="J2408" s="141">
        <v>0.43</v>
      </c>
      <c r="K2408" s="138">
        <v>5.21</v>
      </c>
      <c r="L2408" s="140">
        <v>330</v>
      </c>
      <c r="M2408" s="140">
        <v>0.21</v>
      </c>
      <c r="N2408" s="140">
        <v>0.23</v>
      </c>
      <c r="O2408" s="140">
        <v>3.21</v>
      </c>
      <c r="P2408" s="140">
        <v>3.62</v>
      </c>
      <c r="R2408" s="139">
        <v>1.0404954117688718</v>
      </c>
      <c r="S2408" s="138">
        <v>6.9</v>
      </c>
      <c r="T2408" s="627"/>
      <c r="U2408" s="627"/>
      <c r="V2408" s="627"/>
      <c r="W2408" s="627"/>
      <c r="X2408" s="627"/>
      <c r="Y2408" s="138">
        <v>9</v>
      </c>
      <c r="AA2408" s="139">
        <v>4.47</v>
      </c>
      <c r="AB2408" s="139">
        <v>0.748</v>
      </c>
      <c r="AC2408" s="140">
        <v>10</v>
      </c>
      <c r="AD2408" s="70">
        <v>180</v>
      </c>
      <c r="AE2408" s="70">
        <v>80</v>
      </c>
      <c r="AF2408" s="70">
        <v>740</v>
      </c>
      <c r="AG2408" s="66">
        <f t="shared" si="96"/>
        <v>204.92666666666668</v>
      </c>
      <c r="AH2408" s="143">
        <f t="shared" si="97"/>
        <v>1000</v>
      </c>
      <c r="AI2408" s="140">
        <f>SUM(AD2408:AF2408)</f>
        <v>1000</v>
      </c>
    </row>
    <row r="2409" spans="1:35" x14ac:dyDescent="0.3">
      <c r="A2409" s="140">
        <v>904784</v>
      </c>
      <c r="B2409" s="138">
        <v>3.1944444444444442</v>
      </c>
      <c r="D2409" s="152">
        <v>8.64</v>
      </c>
      <c r="E2409" s="752">
        <v>0.28999999999999998</v>
      </c>
      <c r="F2409" s="142">
        <v>319</v>
      </c>
      <c r="G2409" s="4"/>
      <c r="H2409" s="142">
        <v>14.62</v>
      </c>
      <c r="I2409" s="142">
        <v>50</v>
      </c>
      <c r="J2409" s="141">
        <v>0.39</v>
      </c>
      <c r="K2409" s="138">
        <v>6.19</v>
      </c>
      <c r="L2409" s="140">
        <v>310</v>
      </c>
      <c r="M2409" s="140">
        <v>0.25</v>
      </c>
      <c r="N2409" s="140">
        <v>0.24</v>
      </c>
      <c r="O2409" s="140">
        <v>5.39</v>
      </c>
      <c r="P2409" s="140">
        <v>3.56</v>
      </c>
      <c r="R2409" s="139">
        <v>1.023634583794975</v>
      </c>
      <c r="S2409" s="138">
        <v>7</v>
      </c>
      <c r="T2409" s="625"/>
      <c r="U2409" s="625"/>
      <c r="V2409" s="625"/>
      <c r="W2409" s="625"/>
      <c r="X2409" s="625"/>
      <c r="Y2409" s="138">
        <v>10.199999999999999</v>
      </c>
      <c r="AA2409" s="139">
        <v>4.97</v>
      </c>
      <c r="AB2409" s="139">
        <v>0.47499999999999998</v>
      </c>
      <c r="AC2409" s="140">
        <v>11.5</v>
      </c>
      <c r="AD2409" s="70">
        <v>170</v>
      </c>
      <c r="AE2409" s="70">
        <v>100</v>
      </c>
      <c r="AF2409" s="70">
        <v>730</v>
      </c>
      <c r="AG2409" s="66">
        <f t="shared" si="96"/>
        <v>214.82941176470592</v>
      </c>
      <c r="AH2409" s="143">
        <f t="shared" si="97"/>
        <v>1000</v>
      </c>
      <c r="AI2409" s="140">
        <f t="shared" ref="AI2409:AI2434" si="98">SUM(AD2409:AF2409)</f>
        <v>1000</v>
      </c>
    </row>
    <row r="2410" spans="1:35" x14ac:dyDescent="0.3">
      <c r="A2410" s="140">
        <v>904785</v>
      </c>
      <c r="B2410" s="138">
        <v>1.0833333333333333</v>
      </c>
      <c r="D2410" s="152">
        <v>8.0500000000000007</v>
      </c>
      <c r="E2410" s="752">
        <v>0.36299999999999999</v>
      </c>
      <c r="F2410" s="142">
        <v>399.3</v>
      </c>
      <c r="H2410" s="142">
        <v>63.15</v>
      </c>
      <c r="I2410" s="142">
        <v>80</v>
      </c>
      <c r="J2410" s="141">
        <v>0.48</v>
      </c>
      <c r="K2410" s="138">
        <v>4.7699999999999996</v>
      </c>
      <c r="L2410" s="140">
        <v>440</v>
      </c>
      <c r="M2410" s="140">
        <v>0.48</v>
      </c>
      <c r="N2410" s="140">
        <v>0.4</v>
      </c>
      <c r="O2410" s="140">
        <v>10.74</v>
      </c>
      <c r="P2410" s="140">
        <v>5.13</v>
      </c>
      <c r="R2410" s="139">
        <v>1.2834873188912812</v>
      </c>
      <c r="S2410" s="138">
        <v>9.6</v>
      </c>
      <c r="T2410" s="627"/>
      <c r="U2410" s="627"/>
      <c r="V2410" s="627"/>
      <c r="W2410" s="627"/>
      <c r="X2410" s="627"/>
      <c r="Y2410" s="138">
        <v>13.2</v>
      </c>
      <c r="AA2410" s="139">
        <v>4.59</v>
      </c>
      <c r="AB2410" s="139">
        <v>0.70399999999999996</v>
      </c>
      <c r="AC2410" s="140">
        <v>6.6</v>
      </c>
      <c r="AD2410" s="70">
        <v>220</v>
      </c>
      <c r="AE2410" s="70">
        <v>100</v>
      </c>
      <c r="AF2410" s="70">
        <v>680</v>
      </c>
      <c r="AG2410" s="66">
        <f t="shared" si="96"/>
        <v>127.92272727272727</v>
      </c>
      <c r="AH2410" s="143">
        <f t="shared" si="97"/>
        <v>1000</v>
      </c>
      <c r="AI2410" s="140">
        <f t="shared" si="98"/>
        <v>1000</v>
      </c>
    </row>
    <row r="2411" spans="1:35" x14ac:dyDescent="0.3">
      <c r="A2411" s="140">
        <v>904786</v>
      </c>
      <c r="B2411" s="138">
        <v>2.5333333333333332</v>
      </c>
      <c r="D2411" s="152">
        <v>8.23</v>
      </c>
      <c r="E2411" s="752">
        <v>0.19</v>
      </c>
      <c r="F2411" s="142">
        <v>209.00000000000003</v>
      </c>
      <c r="H2411" s="142">
        <v>37.72</v>
      </c>
      <c r="I2411" s="142">
        <v>280</v>
      </c>
      <c r="J2411" s="141">
        <v>0.05</v>
      </c>
      <c r="K2411" s="138">
        <v>5.26</v>
      </c>
      <c r="L2411" s="140">
        <v>370</v>
      </c>
      <c r="M2411" s="140">
        <v>0.5</v>
      </c>
      <c r="N2411" s="140">
        <v>0.71</v>
      </c>
      <c r="O2411" s="140">
        <v>7.13</v>
      </c>
      <c r="P2411" s="140">
        <v>2.46</v>
      </c>
      <c r="R2411" s="139">
        <v>0.98391618611283893</v>
      </c>
      <c r="S2411" s="138">
        <v>7.3</v>
      </c>
      <c r="T2411" s="627"/>
      <c r="U2411" s="627"/>
      <c r="V2411" s="627"/>
      <c r="W2411" s="627"/>
      <c r="X2411" s="627"/>
      <c r="Y2411" s="138">
        <v>31.2</v>
      </c>
      <c r="AD2411" s="70">
        <v>520</v>
      </c>
      <c r="AE2411" s="70">
        <v>300</v>
      </c>
      <c r="AF2411" s="70">
        <v>180</v>
      </c>
      <c r="AG2411" s="66">
        <f t="shared" si="96"/>
        <v>59.680769230769229</v>
      </c>
      <c r="AH2411" s="143">
        <f t="shared" si="97"/>
        <v>1000</v>
      </c>
      <c r="AI2411" s="140">
        <f t="shared" si="98"/>
        <v>1000</v>
      </c>
    </row>
    <row r="2412" spans="1:35" x14ac:dyDescent="0.3">
      <c r="A2412" s="140">
        <v>904787</v>
      </c>
      <c r="B2412" s="138">
        <v>3.7222222222222219</v>
      </c>
      <c r="D2412" s="152">
        <v>8.31</v>
      </c>
      <c r="E2412" s="752">
        <v>0.36199999999999999</v>
      </c>
      <c r="F2412" s="142">
        <v>398.20000000000005</v>
      </c>
      <c r="H2412" s="142">
        <v>111.32</v>
      </c>
      <c r="I2412" s="142">
        <v>430</v>
      </c>
      <c r="J2412" s="141">
        <v>0.15</v>
      </c>
      <c r="K2412" s="138">
        <v>7.53</v>
      </c>
      <c r="L2412" s="140">
        <v>660</v>
      </c>
      <c r="M2412" s="140">
        <v>0.87</v>
      </c>
      <c r="N2412" s="140">
        <v>0.85</v>
      </c>
      <c r="O2412" s="140">
        <v>5.52</v>
      </c>
      <c r="P2412" s="140">
        <v>3.46</v>
      </c>
      <c r="R2412" s="139">
        <v>1.4334958530984085</v>
      </c>
      <c r="S2412" s="138">
        <v>9.6999999999999993</v>
      </c>
      <c r="T2412" s="625"/>
      <c r="U2412" s="625"/>
      <c r="V2412" s="625"/>
      <c r="W2412" s="625"/>
      <c r="X2412" s="625"/>
      <c r="Y2412" s="138">
        <v>33.6</v>
      </c>
      <c r="AD2412" s="70">
        <v>480</v>
      </c>
      <c r="AE2412" s="70">
        <v>320</v>
      </c>
      <c r="AF2412" s="70">
        <v>200</v>
      </c>
      <c r="AG2412" s="66">
        <f t="shared" si="96"/>
        <v>79.333928571428572</v>
      </c>
      <c r="AH2412" s="143">
        <f t="shared" si="97"/>
        <v>1000</v>
      </c>
      <c r="AI2412" s="140">
        <f t="shared" si="98"/>
        <v>1000</v>
      </c>
    </row>
    <row r="2413" spans="1:35" x14ac:dyDescent="0.3">
      <c r="A2413" s="140">
        <v>904788</v>
      </c>
      <c r="B2413" s="138">
        <v>9.9166666666666661</v>
      </c>
      <c r="D2413" s="152">
        <v>8.6300000000000008</v>
      </c>
      <c r="E2413" s="752">
        <v>0.36099999999999999</v>
      </c>
      <c r="F2413" s="142">
        <v>397.1</v>
      </c>
      <c r="H2413" s="142">
        <v>139.63999999999999</v>
      </c>
      <c r="I2413" s="142">
        <v>330</v>
      </c>
      <c r="J2413" s="141">
        <v>0.25</v>
      </c>
      <c r="K2413" s="138">
        <v>7.86</v>
      </c>
      <c r="L2413" s="140">
        <v>420</v>
      </c>
      <c r="M2413" s="140">
        <v>1.1200000000000001</v>
      </c>
      <c r="N2413" s="140">
        <v>0.56999999999999995</v>
      </c>
      <c r="O2413" s="140">
        <v>2.62</v>
      </c>
      <c r="P2413" s="140">
        <v>3.07</v>
      </c>
      <c r="R2413" s="139">
        <v>0.64504918434060221</v>
      </c>
      <c r="S2413" s="138">
        <v>4.5</v>
      </c>
      <c r="T2413" s="625"/>
      <c r="U2413" s="625"/>
      <c r="V2413" s="625"/>
      <c r="W2413" s="625"/>
      <c r="X2413" s="625"/>
      <c r="Y2413" s="138">
        <v>6</v>
      </c>
      <c r="AD2413" s="70">
        <v>120</v>
      </c>
      <c r="AE2413" s="70">
        <v>100</v>
      </c>
      <c r="AF2413" s="70">
        <v>780</v>
      </c>
      <c r="AG2413" s="66">
        <f t="shared" si="96"/>
        <v>463.74</v>
      </c>
      <c r="AH2413" s="143">
        <f t="shared" si="97"/>
        <v>1000</v>
      </c>
      <c r="AI2413" s="140">
        <f t="shared" si="98"/>
        <v>1000</v>
      </c>
    </row>
    <row r="2414" spans="1:35" x14ac:dyDescent="0.3">
      <c r="A2414" s="140">
        <v>904789</v>
      </c>
      <c r="B2414" s="138">
        <v>23.833333333333336</v>
      </c>
      <c r="C2414" s="138">
        <v>3.9999999999999991</v>
      </c>
      <c r="D2414" s="152">
        <v>8.18</v>
      </c>
      <c r="E2414" s="752">
        <v>0.55800000000000005</v>
      </c>
      <c r="F2414" s="142">
        <v>613.80000000000007</v>
      </c>
      <c r="H2414" s="142">
        <v>185.25</v>
      </c>
      <c r="I2414" s="142">
        <v>530</v>
      </c>
      <c r="J2414" s="141">
        <v>0.1</v>
      </c>
      <c r="K2414" s="138">
        <v>8.01</v>
      </c>
      <c r="L2414" s="140">
        <v>480</v>
      </c>
      <c r="M2414" s="140">
        <v>1.23</v>
      </c>
      <c r="N2414" s="140">
        <v>0.56000000000000005</v>
      </c>
      <c r="O2414" s="140">
        <v>2.5299999999999998</v>
      </c>
      <c r="P2414" s="140">
        <v>2.96</v>
      </c>
      <c r="R2414" s="139">
        <v>0.65608672716999406</v>
      </c>
      <c r="S2414" s="138">
        <v>4.5999999999999996</v>
      </c>
      <c r="T2414" s="627"/>
      <c r="U2414" s="627"/>
      <c r="V2414" s="627"/>
      <c r="W2414" s="627"/>
      <c r="X2414" s="627"/>
      <c r="Y2414" s="138">
        <v>8.4</v>
      </c>
      <c r="AD2414" s="70">
        <v>140</v>
      </c>
      <c r="AE2414" s="70">
        <v>100</v>
      </c>
      <c r="AF2414" s="70">
        <v>760</v>
      </c>
      <c r="AG2414" s="66">
        <f t="shared" si="96"/>
        <v>337.56428571428569</v>
      </c>
      <c r="AH2414" s="143">
        <f t="shared" si="97"/>
        <v>1000</v>
      </c>
      <c r="AI2414" s="140">
        <f t="shared" si="98"/>
        <v>1000</v>
      </c>
    </row>
    <row r="2415" spans="1:35" x14ac:dyDescent="0.3">
      <c r="A2415" s="140">
        <v>904790</v>
      </c>
      <c r="B2415" s="138">
        <v>14.833333333333334</v>
      </c>
      <c r="C2415" s="138">
        <v>4.8749999999999982</v>
      </c>
      <c r="D2415" s="152">
        <v>8.3000000000000007</v>
      </c>
      <c r="E2415" s="752">
        <v>0.622</v>
      </c>
      <c r="F2415" s="142">
        <v>684.2</v>
      </c>
      <c r="H2415" s="142">
        <v>95.58</v>
      </c>
      <c r="I2415" s="142">
        <v>220</v>
      </c>
      <c r="J2415" s="141">
        <v>0.24</v>
      </c>
      <c r="K2415" s="138">
        <v>12.12</v>
      </c>
      <c r="L2415" s="140">
        <v>570</v>
      </c>
      <c r="M2415" s="140">
        <v>0.84</v>
      </c>
      <c r="N2415" s="140">
        <v>0.52</v>
      </c>
      <c r="O2415" s="140">
        <v>2.08</v>
      </c>
      <c r="P2415" s="140">
        <v>4.3899999999999997</v>
      </c>
      <c r="R2415" s="139">
        <v>0.65060530029987584</v>
      </c>
      <c r="S2415" s="138">
        <v>4.5999999999999996</v>
      </c>
      <c r="T2415" s="625"/>
      <c r="U2415" s="625"/>
      <c r="V2415" s="625"/>
      <c r="W2415" s="625"/>
      <c r="X2415" s="625"/>
      <c r="Y2415" s="138">
        <v>22</v>
      </c>
      <c r="AD2415" s="70">
        <v>440</v>
      </c>
      <c r="AE2415" s="70">
        <v>220</v>
      </c>
      <c r="AF2415" s="70">
        <v>340</v>
      </c>
      <c r="AG2415" s="66">
        <f t="shared" si="96"/>
        <v>195.02181818181816</v>
      </c>
      <c r="AH2415" s="143">
        <f t="shared" si="97"/>
        <v>1000</v>
      </c>
      <c r="AI2415" s="140">
        <f t="shared" si="98"/>
        <v>1000</v>
      </c>
    </row>
    <row r="2416" spans="1:35" x14ac:dyDescent="0.3">
      <c r="A2416" s="140">
        <v>904791</v>
      </c>
      <c r="B2416" s="138">
        <v>18.5</v>
      </c>
      <c r="C2416" s="138">
        <v>6.375</v>
      </c>
      <c r="D2416" s="152">
        <v>8.83</v>
      </c>
      <c r="E2416" s="752">
        <v>0.188</v>
      </c>
      <c r="F2416" s="142">
        <v>206.8</v>
      </c>
      <c r="H2416" s="142">
        <v>71.430000000000007</v>
      </c>
      <c r="I2416" s="142">
        <v>120</v>
      </c>
      <c r="J2416" s="141">
        <v>0.15</v>
      </c>
      <c r="K2416" s="138">
        <v>8.52</v>
      </c>
      <c r="L2416" s="140">
        <v>560</v>
      </c>
      <c r="M2416" s="140">
        <v>0.51</v>
      </c>
      <c r="N2416" s="140">
        <v>0.48</v>
      </c>
      <c r="O2416" s="140">
        <v>1.19</v>
      </c>
      <c r="P2416" s="140">
        <v>4.91</v>
      </c>
      <c r="R2416" s="139">
        <v>0.48871737670761922</v>
      </c>
      <c r="S2416" s="138">
        <v>3.4</v>
      </c>
      <c r="T2416" s="627"/>
      <c r="U2416" s="627"/>
      <c r="V2416" s="627"/>
      <c r="W2416" s="627"/>
      <c r="X2416" s="627"/>
      <c r="Y2416" s="138">
        <v>32.200000000000003</v>
      </c>
      <c r="AD2416" s="70">
        <v>460</v>
      </c>
      <c r="AE2416" s="70">
        <v>220</v>
      </c>
      <c r="AF2416" s="70">
        <v>320</v>
      </c>
      <c r="AG2416" s="66">
        <f t="shared" si="96"/>
        <v>93.667080745341607</v>
      </c>
      <c r="AH2416" s="143">
        <f t="shared" si="97"/>
        <v>1000</v>
      </c>
      <c r="AI2416" s="140">
        <f t="shared" si="98"/>
        <v>1000</v>
      </c>
    </row>
    <row r="2417" spans="1:35" x14ac:dyDescent="0.3">
      <c r="A2417" s="140">
        <v>904792</v>
      </c>
      <c r="B2417" s="138">
        <v>20.333333333333332</v>
      </c>
      <c r="C2417" s="138">
        <v>10.875</v>
      </c>
      <c r="D2417" s="152">
        <v>8.8000000000000007</v>
      </c>
      <c r="E2417" s="752">
        <v>0.20200000000000001</v>
      </c>
      <c r="F2417" s="142">
        <v>222.20000000000002</v>
      </c>
      <c r="H2417" s="142">
        <v>69.59</v>
      </c>
      <c r="I2417" s="142">
        <v>160</v>
      </c>
      <c r="J2417" s="141">
        <v>0.17</v>
      </c>
      <c r="K2417" s="138">
        <v>8.77</v>
      </c>
      <c r="L2417" s="140">
        <v>760</v>
      </c>
      <c r="M2417" s="140">
        <v>0.44</v>
      </c>
      <c r="N2417" s="140">
        <v>0.4</v>
      </c>
      <c r="O2417" s="140">
        <v>1.31</v>
      </c>
      <c r="P2417" s="140">
        <v>4.67</v>
      </c>
      <c r="R2417" s="139">
        <v>0.63746175147369399</v>
      </c>
      <c r="S2417" s="138">
        <v>4.5</v>
      </c>
      <c r="T2417" s="625"/>
      <c r="U2417" s="625"/>
      <c r="V2417" s="625"/>
      <c r="W2417" s="625"/>
      <c r="X2417" s="625"/>
      <c r="Y2417" s="138">
        <v>28</v>
      </c>
      <c r="AD2417" s="70">
        <v>560</v>
      </c>
      <c r="AE2417" s="70">
        <v>200</v>
      </c>
      <c r="AF2417" s="70">
        <v>240</v>
      </c>
      <c r="AG2417" s="66">
        <f t="shared" si="96"/>
        <v>110.87785714285714</v>
      </c>
      <c r="AH2417" s="143">
        <f t="shared" si="97"/>
        <v>1000</v>
      </c>
      <c r="AI2417" s="140">
        <f t="shared" si="98"/>
        <v>1000</v>
      </c>
    </row>
    <row r="2418" spans="1:35" x14ac:dyDescent="0.3">
      <c r="A2418" s="140">
        <v>904793</v>
      </c>
      <c r="B2418" s="138">
        <v>11.833333333333332</v>
      </c>
      <c r="C2418" s="138">
        <v>2.9999999999999982</v>
      </c>
      <c r="D2418" s="152">
        <v>8.93</v>
      </c>
      <c r="E2418" s="752">
        <v>0.20799999999999999</v>
      </c>
      <c r="F2418" s="142">
        <v>228.8</v>
      </c>
      <c r="H2418" s="142">
        <v>16.89</v>
      </c>
      <c r="I2418" s="142">
        <v>100</v>
      </c>
      <c r="J2418" s="141">
        <v>0.15</v>
      </c>
      <c r="K2418" s="138">
        <v>7.84</v>
      </c>
      <c r="L2418" s="140">
        <v>430</v>
      </c>
      <c r="M2418" s="140">
        <v>0.34</v>
      </c>
      <c r="N2418" s="140">
        <v>0.27</v>
      </c>
      <c r="O2418" s="140">
        <v>1.54</v>
      </c>
      <c r="P2418" s="140">
        <v>3.74</v>
      </c>
      <c r="R2418" s="139">
        <v>0.3881424301462979</v>
      </c>
      <c r="S2418" s="138">
        <v>2.6</v>
      </c>
      <c r="T2418" s="627"/>
      <c r="U2418" s="627"/>
      <c r="V2418" s="627"/>
      <c r="W2418" s="627"/>
      <c r="X2418" s="627"/>
      <c r="Y2418" s="138">
        <v>3.6</v>
      </c>
      <c r="AD2418" s="70">
        <v>60</v>
      </c>
      <c r="AE2418" s="70">
        <v>80</v>
      </c>
      <c r="AF2418" s="70">
        <v>860</v>
      </c>
      <c r="AG2418" s="66">
        <f t="shared" si="96"/>
        <v>770.93333333333317</v>
      </c>
      <c r="AH2418" s="143">
        <f t="shared" si="97"/>
        <v>1000</v>
      </c>
      <c r="AI2418" s="140">
        <f t="shared" si="98"/>
        <v>1000</v>
      </c>
    </row>
    <row r="2419" spans="1:35" x14ac:dyDescent="0.3">
      <c r="A2419" s="140">
        <v>904794</v>
      </c>
      <c r="B2419" s="138">
        <v>12</v>
      </c>
      <c r="C2419" s="138">
        <v>2.3749999999999982</v>
      </c>
      <c r="D2419" s="152">
        <v>9.17</v>
      </c>
      <c r="E2419" s="752">
        <v>0.157</v>
      </c>
      <c r="F2419" s="142">
        <v>172.70000000000002</v>
      </c>
      <c r="H2419" s="142">
        <v>17.97</v>
      </c>
      <c r="I2419" s="142">
        <v>150</v>
      </c>
      <c r="J2419" s="141">
        <v>0.09</v>
      </c>
      <c r="K2419" s="138">
        <v>4.5999999999999996</v>
      </c>
      <c r="L2419" s="140">
        <v>210</v>
      </c>
      <c r="M2419" s="140">
        <v>0.26</v>
      </c>
      <c r="N2419" s="140">
        <v>0.21</v>
      </c>
      <c r="O2419" s="140">
        <v>0.75</v>
      </c>
      <c r="P2419" s="140">
        <v>1.82</v>
      </c>
      <c r="R2419" s="139">
        <v>0.23886562792162697</v>
      </c>
      <c r="S2419" s="138">
        <v>1.6</v>
      </c>
      <c r="T2419" s="625"/>
      <c r="U2419" s="625"/>
      <c r="V2419" s="625"/>
      <c r="W2419" s="625"/>
      <c r="X2419" s="625"/>
      <c r="Y2419" s="138">
        <v>3.6</v>
      </c>
      <c r="AD2419" s="70">
        <v>60</v>
      </c>
      <c r="AE2419" s="70">
        <v>80</v>
      </c>
      <c r="AF2419" s="70">
        <v>860</v>
      </c>
      <c r="AG2419" s="66">
        <f t="shared" si="96"/>
        <v>452.33333333333326</v>
      </c>
      <c r="AH2419" s="143">
        <f t="shared" si="97"/>
        <v>1000</v>
      </c>
      <c r="AI2419" s="140">
        <f t="shared" si="98"/>
        <v>1000</v>
      </c>
    </row>
    <row r="2420" spans="1:35" x14ac:dyDescent="0.3">
      <c r="A2420" s="140">
        <v>904795</v>
      </c>
      <c r="B2420" s="138">
        <v>13.791666666666666</v>
      </c>
      <c r="C2420" s="138">
        <v>3.75</v>
      </c>
      <c r="D2420" s="152">
        <v>8.14</v>
      </c>
      <c r="E2420" s="752">
        <v>0.28699999999999998</v>
      </c>
      <c r="F2420" s="142">
        <v>315.70000000000005</v>
      </c>
      <c r="H2420" s="142">
        <v>311.85000000000002</v>
      </c>
      <c r="I2420" s="142">
        <v>270</v>
      </c>
      <c r="J2420" s="141">
        <v>0.19</v>
      </c>
      <c r="K2420" s="138">
        <v>6.63</v>
      </c>
      <c r="L2420" s="140">
        <v>580</v>
      </c>
      <c r="M2420" s="140">
        <v>4.5</v>
      </c>
      <c r="N2420" s="140">
        <v>1.56</v>
      </c>
      <c r="O2420" s="140">
        <v>4.38</v>
      </c>
      <c r="P2420" s="140">
        <v>3.9</v>
      </c>
      <c r="R2420" s="139">
        <v>1.1922429826654302</v>
      </c>
      <c r="S2420" s="138">
        <v>7.8</v>
      </c>
      <c r="T2420" s="627"/>
      <c r="U2420" s="627"/>
      <c r="V2420" s="981"/>
      <c r="W2420" s="627"/>
      <c r="X2420" s="627"/>
      <c r="Y2420" s="138">
        <v>4.9000000000000004</v>
      </c>
      <c r="AA2420" s="139">
        <v>4.2</v>
      </c>
      <c r="AB2420" s="139">
        <v>0.28999999999999998</v>
      </c>
      <c r="AC2420" s="140">
        <v>7.4</v>
      </c>
      <c r="AD2420" s="70">
        <v>70</v>
      </c>
      <c r="AE2420" s="70">
        <v>60</v>
      </c>
      <c r="AF2420" s="70">
        <v>870</v>
      </c>
      <c r="AG2420" s="66">
        <f t="shared" si="96"/>
        <v>478.98367346938772</v>
      </c>
      <c r="AH2420" s="143">
        <f t="shared" si="97"/>
        <v>1000</v>
      </c>
      <c r="AI2420" s="140">
        <f t="shared" si="98"/>
        <v>1000</v>
      </c>
    </row>
    <row r="2421" spans="1:35" x14ac:dyDescent="0.3">
      <c r="A2421" s="140">
        <v>904796</v>
      </c>
      <c r="B2421" s="138">
        <v>6.7499999999999991</v>
      </c>
      <c r="D2421" s="152">
        <v>8.7100000000000009</v>
      </c>
      <c r="E2421" s="752">
        <v>0.35299999999999998</v>
      </c>
      <c r="F2421" s="142">
        <v>388.3</v>
      </c>
      <c r="H2421" s="142">
        <v>314.47000000000003</v>
      </c>
      <c r="I2421" s="142">
        <v>300</v>
      </c>
      <c r="J2421" s="141">
        <v>0.14000000000000001</v>
      </c>
      <c r="K2421" s="138">
        <v>6.25</v>
      </c>
      <c r="L2421" s="140">
        <v>690</v>
      </c>
      <c r="M2421" s="140">
        <v>1.25</v>
      </c>
      <c r="N2421" s="140">
        <v>0.34</v>
      </c>
      <c r="O2421" s="140">
        <v>3.51</v>
      </c>
      <c r="P2421" s="140">
        <v>2.2200000000000002</v>
      </c>
      <c r="R2421" s="139">
        <v>0.8152486062599803</v>
      </c>
      <c r="S2421" s="138">
        <v>5.7</v>
      </c>
      <c r="T2421" s="625"/>
      <c r="U2421" s="625"/>
      <c r="V2421" s="516"/>
      <c r="W2421" s="625"/>
      <c r="X2421" s="625"/>
      <c r="Y2421" s="138">
        <v>3</v>
      </c>
      <c r="AA2421" s="139">
        <v>4.16</v>
      </c>
      <c r="AB2421" s="139">
        <v>0.51500000000000001</v>
      </c>
      <c r="AC2421" s="140">
        <v>10.7</v>
      </c>
      <c r="AD2421" s="70">
        <v>60</v>
      </c>
      <c r="AE2421" s="70">
        <v>60</v>
      </c>
      <c r="AF2421" s="70">
        <v>880</v>
      </c>
      <c r="AG2421" s="66">
        <f t="shared" si="96"/>
        <v>737.5</v>
      </c>
      <c r="AH2421" s="143">
        <f t="shared" si="97"/>
        <v>1000</v>
      </c>
      <c r="AI2421" s="140">
        <f t="shared" si="98"/>
        <v>1000</v>
      </c>
    </row>
    <row r="2422" spans="1:35" x14ac:dyDescent="0.3">
      <c r="A2422" s="140">
        <v>904797</v>
      </c>
      <c r="B2422" s="138">
        <v>0.31666666666666665</v>
      </c>
      <c r="D2422" s="152">
        <v>7.42</v>
      </c>
      <c r="E2422" s="752">
        <v>6.2E-2</v>
      </c>
      <c r="F2422" s="142">
        <v>68.2</v>
      </c>
      <c r="H2422" s="142">
        <v>167.81</v>
      </c>
      <c r="I2422" s="142">
        <v>290</v>
      </c>
      <c r="J2422" s="141">
        <v>0.04</v>
      </c>
      <c r="K2422" s="138">
        <v>5.75</v>
      </c>
      <c r="L2422" s="140">
        <v>620</v>
      </c>
      <c r="M2422" s="140">
        <v>0.6</v>
      </c>
      <c r="N2422" s="140">
        <v>2.61</v>
      </c>
      <c r="O2422" s="140">
        <v>86.44</v>
      </c>
      <c r="P2422" s="140">
        <v>9.73</v>
      </c>
      <c r="R2422" s="139">
        <v>1.5982730000000001</v>
      </c>
      <c r="S2422" s="138">
        <v>10.9</v>
      </c>
      <c r="T2422" s="627"/>
      <c r="U2422" s="627"/>
      <c r="V2422" s="627"/>
      <c r="W2422" s="627"/>
      <c r="X2422" s="627"/>
      <c r="Y2422" s="138">
        <v>33.4</v>
      </c>
      <c r="AD2422" s="70">
        <v>520</v>
      </c>
      <c r="AE2422" s="70">
        <v>360</v>
      </c>
      <c r="AF2422" s="70">
        <v>120</v>
      </c>
      <c r="AG2422" s="66">
        <f t="shared" si="96"/>
        <v>60.943113772455092</v>
      </c>
      <c r="AH2422" s="143">
        <f t="shared" si="97"/>
        <v>1000</v>
      </c>
      <c r="AI2422" s="140">
        <f t="shared" si="98"/>
        <v>1000</v>
      </c>
    </row>
    <row r="2423" spans="1:35" x14ac:dyDescent="0.3">
      <c r="A2423" s="140">
        <v>904798</v>
      </c>
      <c r="B2423" s="138">
        <v>28.333333333333332</v>
      </c>
      <c r="C2423" s="138">
        <v>10.374999999999998</v>
      </c>
      <c r="D2423" s="152">
        <v>8.2200000000000006</v>
      </c>
      <c r="E2423" s="752">
        <v>1.97</v>
      </c>
      <c r="F2423" s="142">
        <v>2167</v>
      </c>
      <c r="H2423" s="142">
        <v>48.36</v>
      </c>
      <c r="I2423" s="142">
        <v>180</v>
      </c>
      <c r="J2423" s="141">
        <v>0.93</v>
      </c>
      <c r="K2423" s="138">
        <v>11.72</v>
      </c>
      <c r="L2423" s="140">
        <v>2110</v>
      </c>
      <c r="M2423" s="140">
        <v>1.1599999999999999</v>
      </c>
      <c r="N2423" s="140">
        <v>0.74</v>
      </c>
      <c r="O2423" s="140">
        <v>13.73</v>
      </c>
      <c r="P2423" s="140">
        <v>2.64</v>
      </c>
      <c r="R2423" s="139">
        <v>1.865372</v>
      </c>
      <c r="S2423" s="138">
        <v>18.8</v>
      </c>
      <c r="T2423" s="625"/>
      <c r="U2423" s="625"/>
      <c r="V2423" s="625"/>
      <c r="W2423" s="625"/>
      <c r="X2423" s="625"/>
      <c r="Y2423" s="138">
        <v>32.4</v>
      </c>
      <c r="AA2423" s="139">
        <v>4.4400000000000004</v>
      </c>
      <c r="AB2423" s="139">
        <v>0.41699999999999998</v>
      </c>
      <c r="AC2423" s="140">
        <v>10.7</v>
      </c>
      <c r="AD2423" s="70">
        <v>520</v>
      </c>
      <c r="AE2423" s="70">
        <v>230</v>
      </c>
      <c r="AF2423" s="70">
        <v>250</v>
      </c>
      <c r="AG2423" s="66">
        <f t="shared" si="96"/>
        <v>128.05185185185186</v>
      </c>
      <c r="AH2423" s="143">
        <f t="shared" si="97"/>
        <v>1000</v>
      </c>
      <c r="AI2423" s="140">
        <f t="shared" si="98"/>
        <v>1000</v>
      </c>
    </row>
    <row r="2424" spans="1:35" x14ac:dyDescent="0.3">
      <c r="A2424" s="140">
        <v>904799</v>
      </c>
      <c r="B2424" s="138">
        <v>31.333333333333336</v>
      </c>
      <c r="C2424" s="138">
        <v>10.999999999999998</v>
      </c>
      <c r="D2424" s="152">
        <v>8.42</v>
      </c>
      <c r="E2424" s="752">
        <v>1.9</v>
      </c>
      <c r="F2424" s="142">
        <v>2090</v>
      </c>
      <c r="H2424" s="142">
        <v>116.78</v>
      </c>
      <c r="I2424" s="142">
        <v>130</v>
      </c>
      <c r="J2424" s="141">
        <v>0.84</v>
      </c>
      <c r="K2424" s="138">
        <v>10.88</v>
      </c>
      <c r="L2424" s="140">
        <v>1890</v>
      </c>
      <c r="M2424" s="140">
        <v>2.08</v>
      </c>
      <c r="N2424" s="140">
        <v>0.64</v>
      </c>
      <c r="O2424" s="140">
        <v>9.85</v>
      </c>
      <c r="P2424" s="140">
        <v>2.38</v>
      </c>
      <c r="R2424" s="139">
        <v>1.7677080000000003</v>
      </c>
      <c r="S2424" s="138">
        <v>15.6</v>
      </c>
      <c r="T2424" s="627"/>
      <c r="U2424" s="627"/>
      <c r="V2424" s="627"/>
      <c r="W2424" s="627"/>
      <c r="X2424" s="627"/>
      <c r="Y2424" s="138">
        <v>27.6</v>
      </c>
      <c r="AA2424" s="139">
        <v>4.0999999999999996</v>
      </c>
      <c r="AB2424" s="139">
        <v>0.501</v>
      </c>
      <c r="AC2424" s="140">
        <v>11.2</v>
      </c>
      <c r="AD2424" s="70">
        <v>460</v>
      </c>
      <c r="AE2424" s="70">
        <v>280</v>
      </c>
      <c r="AF2424" s="70">
        <v>260</v>
      </c>
      <c r="AG2424" s="66">
        <f t="shared" si="96"/>
        <v>139.54782608695652</v>
      </c>
      <c r="AH2424" s="143">
        <f t="shared" si="97"/>
        <v>1000</v>
      </c>
      <c r="AI2424" s="140">
        <f t="shared" si="98"/>
        <v>1000</v>
      </c>
    </row>
    <row r="2425" spans="1:35" x14ac:dyDescent="0.3">
      <c r="A2425" s="140">
        <v>904800</v>
      </c>
      <c r="B2425" s="138">
        <v>26.499999999999996</v>
      </c>
      <c r="C2425" s="138">
        <v>10</v>
      </c>
      <c r="D2425" s="152">
        <v>8.52</v>
      </c>
      <c r="E2425" s="752">
        <v>0.13900000000000001</v>
      </c>
      <c r="F2425" s="142">
        <v>152.9</v>
      </c>
      <c r="H2425" s="142">
        <v>10.71</v>
      </c>
      <c r="I2425" s="142">
        <v>190</v>
      </c>
      <c r="J2425" s="141">
        <v>0.03</v>
      </c>
      <c r="K2425" s="138">
        <v>12.06</v>
      </c>
      <c r="L2425" s="140">
        <v>300</v>
      </c>
      <c r="M2425" s="140">
        <v>1.1000000000000001</v>
      </c>
      <c r="N2425" s="140">
        <v>0.76</v>
      </c>
      <c r="O2425" s="140">
        <v>5.56</v>
      </c>
      <c r="P2425" s="140">
        <v>2.4900000000000002</v>
      </c>
      <c r="R2425" s="139">
        <v>1.6407</v>
      </c>
      <c r="S2425" s="138">
        <v>12</v>
      </c>
      <c r="T2425" s="625"/>
      <c r="U2425" s="625"/>
      <c r="V2425" s="625"/>
      <c r="W2425" s="625"/>
      <c r="X2425" s="625"/>
      <c r="Y2425" s="138">
        <v>30.8</v>
      </c>
      <c r="AA2425" s="139">
        <v>4.46</v>
      </c>
      <c r="AB2425" s="139">
        <v>0.28799999999999998</v>
      </c>
      <c r="AC2425" s="140">
        <v>11.8</v>
      </c>
      <c r="AD2425" s="70">
        <v>440</v>
      </c>
      <c r="AE2425" s="70">
        <v>320</v>
      </c>
      <c r="AF2425" s="70">
        <v>240</v>
      </c>
      <c r="AG2425" s="66">
        <f t="shared" si="96"/>
        <v>138.61168831168831</v>
      </c>
      <c r="AH2425" s="143">
        <f t="shared" si="97"/>
        <v>1000</v>
      </c>
      <c r="AI2425" s="140">
        <f t="shared" si="98"/>
        <v>1000</v>
      </c>
    </row>
    <row r="2426" spans="1:35" x14ac:dyDescent="0.3">
      <c r="A2426" s="140">
        <v>904801</v>
      </c>
      <c r="B2426" s="138">
        <v>7.1944444444444438</v>
      </c>
      <c r="D2426" s="152">
        <v>8.44</v>
      </c>
      <c r="E2426" s="752">
        <v>0.15</v>
      </c>
      <c r="F2426" s="142">
        <v>165</v>
      </c>
      <c r="H2426" s="142">
        <v>5.14</v>
      </c>
      <c r="I2426" s="142">
        <v>240</v>
      </c>
      <c r="J2426" s="141">
        <v>0.05</v>
      </c>
      <c r="K2426" s="138">
        <v>12.33</v>
      </c>
      <c r="L2426" s="140">
        <v>650</v>
      </c>
      <c r="M2426" s="140">
        <v>0.41</v>
      </c>
      <c r="N2426" s="140">
        <v>0.96</v>
      </c>
      <c r="O2426" s="140">
        <v>6.88</v>
      </c>
      <c r="P2426" s="140">
        <v>3.18</v>
      </c>
      <c r="R2426" s="139">
        <v>1.6216250000000001</v>
      </c>
      <c r="S2426" s="138">
        <v>11.5</v>
      </c>
      <c r="T2426" s="627"/>
      <c r="U2426" s="627"/>
      <c r="V2426" s="627"/>
      <c r="W2426" s="627"/>
      <c r="X2426" s="627"/>
      <c r="Y2426" s="138">
        <v>32.200000000000003</v>
      </c>
      <c r="AA2426" s="139">
        <v>4.88</v>
      </c>
      <c r="AB2426" s="139">
        <v>0.41</v>
      </c>
      <c r="AC2426" s="140">
        <v>7.3</v>
      </c>
      <c r="AD2426" s="70">
        <v>560</v>
      </c>
      <c r="AE2426" s="70">
        <v>310</v>
      </c>
      <c r="AF2426" s="70">
        <v>130</v>
      </c>
      <c r="AG2426" s="66">
        <f t="shared" si="96"/>
        <v>135.55341614906834</v>
      </c>
      <c r="AH2426" s="143">
        <f t="shared" si="97"/>
        <v>1000</v>
      </c>
      <c r="AI2426" s="140">
        <f t="shared" si="98"/>
        <v>1000</v>
      </c>
    </row>
    <row r="2427" spans="1:35" x14ac:dyDescent="0.3">
      <c r="A2427" s="140">
        <v>904802</v>
      </c>
      <c r="B2427" s="138">
        <v>33</v>
      </c>
      <c r="C2427" s="138">
        <v>10.625</v>
      </c>
      <c r="D2427" s="152">
        <v>8.41</v>
      </c>
      <c r="E2427" s="752">
        <v>0.20100000000000001</v>
      </c>
      <c r="F2427" s="142">
        <v>221.10000000000002</v>
      </c>
      <c r="H2427" s="142">
        <v>14.91</v>
      </c>
      <c r="I2427" s="142">
        <v>190</v>
      </c>
      <c r="J2427" s="141">
        <v>0.08</v>
      </c>
      <c r="K2427" s="138">
        <v>12.6</v>
      </c>
      <c r="L2427" s="140">
        <v>240</v>
      </c>
      <c r="M2427" s="140">
        <v>0.43</v>
      </c>
      <c r="N2427" s="140">
        <v>0.75</v>
      </c>
      <c r="O2427" s="140">
        <v>8.83</v>
      </c>
      <c r="P2427" s="140">
        <v>3.45</v>
      </c>
      <c r="R2427" s="139">
        <v>1.7444330000000001</v>
      </c>
      <c r="S2427" s="138">
        <v>14.9</v>
      </c>
      <c r="T2427" s="625"/>
      <c r="U2427" s="625"/>
      <c r="V2427" s="625"/>
      <c r="W2427" s="625"/>
      <c r="X2427" s="625"/>
      <c r="Y2427" s="138">
        <v>25</v>
      </c>
      <c r="AA2427" s="139">
        <v>4.03</v>
      </c>
      <c r="AB2427" s="139">
        <v>0.35199999999999998</v>
      </c>
      <c r="AC2427" s="140">
        <v>6.4</v>
      </c>
      <c r="AD2427" s="70">
        <v>500</v>
      </c>
      <c r="AE2427" s="70">
        <v>280</v>
      </c>
      <c r="AF2427" s="70">
        <v>220</v>
      </c>
      <c r="AG2427" s="66">
        <f t="shared" si="96"/>
        <v>178.416</v>
      </c>
      <c r="AH2427" s="143">
        <f t="shared" si="97"/>
        <v>1000</v>
      </c>
      <c r="AI2427" s="140">
        <f t="shared" si="98"/>
        <v>1000</v>
      </c>
    </row>
    <row r="2428" spans="1:35" x14ac:dyDescent="0.3">
      <c r="A2428" s="140">
        <v>904803</v>
      </c>
      <c r="B2428" s="138">
        <v>7.083333333333333</v>
      </c>
      <c r="D2428" s="152">
        <v>8.39</v>
      </c>
      <c r="E2428" s="752">
        <v>0.14799999999999999</v>
      </c>
      <c r="F2428" s="142">
        <v>162.80000000000001</v>
      </c>
      <c r="H2428" s="142">
        <v>8.52</v>
      </c>
      <c r="I2428" s="142">
        <v>260</v>
      </c>
      <c r="J2428" s="141">
        <v>0.05</v>
      </c>
      <c r="K2428" s="138">
        <v>11.41</v>
      </c>
      <c r="L2428" s="140">
        <v>610</v>
      </c>
      <c r="M2428" s="140">
        <v>0.45</v>
      </c>
      <c r="N2428" s="140">
        <v>1.01</v>
      </c>
      <c r="O2428" s="140">
        <v>11.91</v>
      </c>
      <c r="P2428" s="140">
        <v>4.25</v>
      </c>
      <c r="R2428" s="139">
        <v>1.666817</v>
      </c>
      <c r="S2428" s="138">
        <v>12.7</v>
      </c>
      <c r="T2428" s="627"/>
      <c r="U2428" s="627"/>
      <c r="V2428" s="627"/>
      <c r="W2428" s="627"/>
      <c r="X2428" s="627"/>
      <c r="Y2428" s="138">
        <v>32.799999999999997</v>
      </c>
      <c r="AA2428" s="139">
        <v>4.29</v>
      </c>
      <c r="AB2428" s="139">
        <v>0.51100000000000001</v>
      </c>
      <c r="AC2428" s="140">
        <v>9.6</v>
      </c>
      <c r="AD2428" s="70">
        <v>540</v>
      </c>
      <c r="AE2428" s="70">
        <v>300</v>
      </c>
      <c r="AF2428" s="70">
        <v>160</v>
      </c>
      <c r="AG2428" s="66">
        <f t="shared" si="96"/>
        <v>123.14451219512198</v>
      </c>
      <c r="AH2428" s="143">
        <f t="shared" si="97"/>
        <v>1000</v>
      </c>
      <c r="AI2428" s="140">
        <f t="shared" si="98"/>
        <v>1000</v>
      </c>
    </row>
    <row r="2429" spans="1:35" x14ac:dyDescent="0.3">
      <c r="A2429" s="140">
        <v>904804</v>
      </c>
      <c r="B2429" s="138">
        <v>21</v>
      </c>
      <c r="C2429" s="138">
        <v>8.375</v>
      </c>
      <c r="D2429" s="152">
        <v>8.4700000000000006</v>
      </c>
      <c r="E2429" s="752">
        <v>0.14299999999999999</v>
      </c>
      <c r="F2429" s="142">
        <v>157.30000000000001</v>
      </c>
      <c r="H2429" s="142">
        <v>9.4600000000000009</v>
      </c>
      <c r="I2429" s="142">
        <v>190</v>
      </c>
      <c r="J2429" s="141">
        <v>0.04</v>
      </c>
      <c r="K2429" s="138">
        <v>12.68</v>
      </c>
      <c r="L2429" s="140">
        <v>290</v>
      </c>
      <c r="M2429" s="140">
        <v>0.35</v>
      </c>
      <c r="N2429" s="140">
        <v>0.88</v>
      </c>
      <c r="O2429" s="140">
        <v>10.75</v>
      </c>
      <c r="P2429" s="140">
        <v>3.54</v>
      </c>
      <c r="R2429" s="139">
        <v>1.7029370000000001</v>
      </c>
      <c r="S2429" s="138">
        <v>13.7</v>
      </c>
      <c r="T2429" s="625"/>
      <c r="U2429" s="625"/>
      <c r="V2429" s="625"/>
      <c r="W2429" s="625"/>
      <c r="X2429" s="625"/>
      <c r="Y2429" s="138">
        <v>35.200000000000003</v>
      </c>
      <c r="AA2429" s="139">
        <v>3.79</v>
      </c>
      <c r="AB2429" s="139">
        <v>0.83499999999999996</v>
      </c>
      <c r="AC2429" s="140">
        <v>9</v>
      </c>
      <c r="AD2429" s="70">
        <v>560</v>
      </c>
      <c r="AE2429" s="70">
        <v>200</v>
      </c>
      <c r="AF2429" s="70">
        <v>240</v>
      </c>
      <c r="AG2429" s="66">
        <f t="shared" si="96"/>
        <v>127.52045454545454</v>
      </c>
      <c r="AH2429" s="143">
        <f t="shared" si="97"/>
        <v>1000</v>
      </c>
      <c r="AI2429" s="140">
        <f t="shared" si="98"/>
        <v>1000</v>
      </c>
    </row>
    <row r="2430" spans="1:35" x14ac:dyDescent="0.3">
      <c r="A2430" s="140">
        <v>904805</v>
      </c>
      <c r="B2430" s="138">
        <v>6.2916666666666661</v>
      </c>
      <c r="D2430" s="152">
        <v>8.4600000000000009</v>
      </c>
      <c r="E2430" s="752">
        <v>0.125</v>
      </c>
      <c r="F2430" s="142">
        <v>137.5</v>
      </c>
      <c r="H2430" s="142">
        <v>14.91</v>
      </c>
      <c r="I2430" s="142">
        <v>40</v>
      </c>
      <c r="J2430" s="141">
        <v>7.0000000000000007E-2</v>
      </c>
      <c r="K2430" s="138">
        <v>6.26</v>
      </c>
      <c r="L2430" s="140">
        <v>100</v>
      </c>
      <c r="M2430" s="140">
        <v>0.32</v>
      </c>
      <c r="N2430" s="140">
        <v>0.17</v>
      </c>
      <c r="O2430" s="140">
        <v>4.91</v>
      </c>
      <c r="P2430" s="140">
        <v>3.53</v>
      </c>
      <c r="R2430" s="139">
        <v>1.9390680000000002</v>
      </c>
      <c r="S2430" s="138">
        <v>21.6</v>
      </c>
      <c r="T2430" s="627"/>
      <c r="U2430" s="627"/>
      <c r="V2430" s="627"/>
      <c r="W2430" s="627"/>
      <c r="X2430" s="627"/>
      <c r="Y2430" s="138">
        <v>4.2</v>
      </c>
      <c r="AA2430" s="139">
        <v>4.51</v>
      </c>
      <c r="AB2430" s="139">
        <v>0.74399999999999999</v>
      </c>
      <c r="AC2430" s="140">
        <v>7.6</v>
      </c>
      <c r="AD2430" s="70">
        <v>60</v>
      </c>
      <c r="AE2430" s="70">
        <v>60</v>
      </c>
      <c r="AF2430" s="70">
        <v>880</v>
      </c>
      <c r="AG2430" s="66">
        <f t="shared" si="96"/>
        <v>527.62857142857138</v>
      </c>
      <c r="AH2430" s="143">
        <f t="shared" si="97"/>
        <v>1000</v>
      </c>
      <c r="AI2430" s="140">
        <f t="shared" si="98"/>
        <v>1000</v>
      </c>
    </row>
    <row r="2431" spans="1:35" x14ac:dyDescent="0.3">
      <c r="A2431" s="140">
        <v>904806</v>
      </c>
      <c r="B2431" s="138">
        <v>14.791666666666666</v>
      </c>
      <c r="C2431" s="138">
        <v>2.9999999999999982</v>
      </c>
      <c r="D2431" s="152">
        <v>8.33</v>
      </c>
      <c r="E2431" s="752">
        <v>0.11600000000000001</v>
      </c>
      <c r="F2431" s="142">
        <v>127.60000000000001</v>
      </c>
      <c r="H2431" s="142">
        <v>16.399999999999999</v>
      </c>
      <c r="I2431" s="142">
        <v>40</v>
      </c>
      <c r="J2431" s="141">
        <v>0.05</v>
      </c>
      <c r="K2431" s="138">
        <v>6.75</v>
      </c>
      <c r="L2431" s="140">
        <v>140</v>
      </c>
      <c r="M2431" s="140">
        <v>0.36</v>
      </c>
      <c r="N2431" s="140">
        <v>0.21</v>
      </c>
      <c r="O2431" s="140">
        <v>8.4600000000000009</v>
      </c>
      <c r="P2431" s="140">
        <v>4.6399999999999997</v>
      </c>
      <c r="R2431" s="139">
        <v>2.1447000000000003</v>
      </c>
      <c r="S2431" s="138">
        <v>42</v>
      </c>
      <c r="T2431" s="625"/>
      <c r="U2431" s="625"/>
      <c r="V2431" s="625"/>
      <c r="W2431" s="625"/>
      <c r="X2431" s="625"/>
      <c r="Y2431" s="138">
        <v>4.8</v>
      </c>
      <c r="AA2431" s="139">
        <v>4.95</v>
      </c>
      <c r="AB2431" s="139">
        <v>0.66600000000000004</v>
      </c>
      <c r="AC2431" s="140">
        <v>8.6999999999999993</v>
      </c>
      <c r="AD2431" s="70">
        <v>80</v>
      </c>
      <c r="AE2431" s="70">
        <v>60</v>
      </c>
      <c r="AF2431" s="70">
        <v>860</v>
      </c>
      <c r="AG2431" s="66">
        <f t="shared" si="96"/>
        <v>497.8125</v>
      </c>
      <c r="AH2431" s="143">
        <f t="shared" si="97"/>
        <v>1000</v>
      </c>
      <c r="AI2431" s="140">
        <f t="shared" si="98"/>
        <v>1000</v>
      </c>
    </row>
    <row r="2432" spans="1:35" x14ac:dyDescent="0.3">
      <c r="A2432" s="140">
        <v>904807</v>
      </c>
      <c r="B2432" s="138">
        <v>0.3</v>
      </c>
      <c r="D2432" s="152">
        <v>8.44</v>
      </c>
      <c r="E2432" s="752">
        <v>0.155</v>
      </c>
      <c r="F2432" s="142">
        <v>170.5</v>
      </c>
      <c r="H2432" s="142">
        <v>145.01</v>
      </c>
      <c r="I2432" s="142">
        <v>40</v>
      </c>
      <c r="J2432" s="141">
        <v>0.15</v>
      </c>
      <c r="K2432" s="138">
        <v>3.23</v>
      </c>
      <c r="L2432" s="140">
        <v>290</v>
      </c>
      <c r="M2432" s="140">
        <v>2.0499999999999998</v>
      </c>
      <c r="N2432" s="140">
        <v>0.99</v>
      </c>
      <c r="O2432" s="140">
        <v>2.61</v>
      </c>
      <c r="P2432" s="140">
        <v>4.09</v>
      </c>
      <c r="R2432" s="139">
        <v>0.841450423178286</v>
      </c>
      <c r="S2432" s="138">
        <v>6.2</v>
      </c>
      <c r="T2432" s="627"/>
      <c r="U2432" s="627"/>
      <c r="V2432" s="627"/>
      <c r="W2432" s="627"/>
      <c r="X2432" s="627"/>
      <c r="Y2432" s="138">
        <v>3.6</v>
      </c>
      <c r="AA2432" s="139">
        <v>4.29</v>
      </c>
      <c r="AB2432" s="139">
        <v>0.504</v>
      </c>
      <c r="AC2432" s="140">
        <v>6.5</v>
      </c>
      <c r="AD2432" s="70">
        <v>60</v>
      </c>
      <c r="AE2432" s="70">
        <v>80</v>
      </c>
      <c r="AF2432" s="70">
        <v>860</v>
      </c>
      <c r="AG2432" s="66">
        <f t="shared" si="96"/>
        <v>317.61666666666667</v>
      </c>
      <c r="AH2432" s="143">
        <f t="shared" si="97"/>
        <v>1000</v>
      </c>
      <c r="AI2432" s="140">
        <f t="shared" si="98"/>
        <v>1000</v>
      </c>
    </row>
    <row r="2433" spans="1:35" x14ac:dyDescent="0.3">
      <c r="A2433" s="140">
        <v>904808</v>
      </c>
      <c r="B2433" s="138">
        <v>2.5833333333333335</v>
      </c>
      <c r="D2433" s="152">
        <v>8.26</v>
      </c>
      <c r="E2433" s="752">
        <v>0.155</v>
      </c>
      <c r="F2433" s="142">
        <v>170.5</v>
      </c>
      <c r="H2433" s="142">
        <v>30.1</v>
      </c>
      <c r="I2433" s="142">
        <v>170</v>
      </c>
      <c r="J2433" s="141">
        <v>0.09</v>
      </c>
      <c r="K2433" s="138">
        <v>11.77</v>
      </c>
      <c r="L2433" s="140">
        <v>320</v>
      </c>
      <c r="M2433" s="140">
        <v>0.19</v>
      </c>
      <c r="N2433" s="140">
        <v>0.3</v>
      </c>
      <c r="O2433" s="140">
        <v>7.11</v>
      </c>
      <c r="P2433" s="140">
        <v>5.49</v>
      </c>
      <c r="R2433" s="139">
        <v>1.7029370000000001</v>
      </c>
      <c r="S2433" s="138">
        <v>13.7</v>
      </c>
      <c r="T2433" s="625"/>
      <c r="U2433" s="625"/>
      <c r="V2433" s="625"/>
      <c r="W2433" s="625"/>
      <c r="X2433" s="625"/>
      <c r="Y2433" s="138">
        <v>25</v>
      </c>
      <c r="AA2433" s="139">
        <v>4.4800000000000004</v>
      </c>
      <c r="AB2433" s="139">
        <v>0.60499999999999998</v>
      </c>
      <c r="AC2433" s="140">
        <v>10.6</v>
      </c>
      <c r="AD2433" s="70">
        <v>500</v>
      </c>
      <c r="AE2433" s="70">
        <v>360</v>
      </c>
      <c r="AF2433" s="70">
        <v>140</v>
      </c>
      <c r="AG2433" s="66">
        <f t="shared" si="96"/>
        <v>166.66319999999999</v>
      </c>
      <c r="AH2433" s="143">
        <f t="shared" si="97"/>
        <v>1000</v>
      </c>
      <c r="AI2433" s="140">
        <f t="shared" si="98"/>
        <v>1000</v>
      </c>
    </row>
    <row r="2434" spans="1:35" x14ac:dyDescent="0.3">
      <c r="A2434" s="140">
        <v>904809</v>
      </c>
      <c r="B2434" s="138">
        <v>5.0416666666666661</v>
      </c>
      <c r="D2434" s="152">
        <v>8.44</v>
      </c>
      <c r="E2434" s="752">
        <v>0.185</v>
      </c>
      <c r="F2434" s="142">
        <v>203.50000000000003</v>
      </c>
      <c r="H2434" s="142">
        <v>157.4</v>
      </c>
      <c r="I2434" s="142">
        <v>340</v>
      </c>
      <c r="J2434" s="141">
        <v>7.0000000000000007E-2</v>
      </c>
      <c r="K2434" s="138">
        <v>8</v>
      </c>
      <c r="L2434" s="140">
        <v>490</v>
      </c>
      <c r="M2434" s="140">
        <v>1.22</v>
      </c>
      <c r="N2434" s="140">
        <v>1.35</v>
      </c>
      <c r="O2434" s="140">
        <v>4.05</v>
      </c>
      <c r="P2434" s="140">
        <v>3.87</v>
      </c>
      <c r="R2434" s="139">
        <v>1.610012</v>
      </c>
      <c r="S2434" s="138">
        <v>11.2</v>
      </c>
      <c r="T2434" s="627"/>
      <c r="U2434" s="627"/>
      <c r="V2434" s="627"/>
      <c r="W2434" s="627"/>
      <c r="X2434" s="627"/>
      <c r="Y2434" s="138">
        <v>28</v>
      </c>
      <c r="AA2434" s="139">
        <v>3.68</v>
      </c>
      <c r="AB2434" s="139">
        <v>0.70499999999999996</v>
      </c>
      <c r="AC2434" s="140">
        <v>9.8000000000000007</v>
      </c>
      <c r="AD2434" s="70">
        <v>560</v>
      </c>
      <c r="AE2434" s="70">
        <v>300</v>
      </c>
      <c r="AF2434" s="70">
        <v>140</v>
      </c>
      <c r="AG2434" s="66">
        <f t="shared" ref="AG2434:AG2497" si="99">+K2434*3.54*100/Y2434</f>
        <v>101.14285714285714</v>
      </c>
      <c r="AH2434" s="143">
        <f t="shared" ref="AH2434:AH2497" si="100">+SUM(AD2434:AF2434)</f>
        <v>1000</v>
      </c>
      <c r="AI2434" s="140">
        <f t="shared" si="98"/>
        <v>1000</v>
      </c>
    </row>
    <row r="2435" spans="1:35" x14ac:dyDescent="0.3">
      <c r="A2435" s="795">
        <v>904812</v>
      </c>
      <c r="G2435" s="795">
        <v>7.74</v>
      </c>
      <c r="AG2435" s="66" t="e">
        <f t="shared" si="99"/>
        <v>#DIV/0!</v>
      </c>
      <c r="AH2435" s="143">
        <f t="shared" si="100"/>
        <v>0</v>
      </c>
    </row>
    <row r="2436" spans="1:35" x14ac:dyDescent="0.3">
      <c r="A2436" s="795">
        <v>904813</v>
      </c>
      <c r="G2436" s="795">
        <v>6.29</v>
      </c>
      <c r="AG2436" s="66" t="e">
        <f t="shared" si="99"/>
        <v>#DIV/0!</v>
      </c>
      <c r="AH2436" s="143">
        <f t="shared" si="100"/>
        <v>0</v>
      </c>
    </row>
    <row r="2437" spans="1:35" x14ac:dyDescent="0.3">
      <c r="A2437" s="795">
        <v>904814</v>
      </c>
      <c r="G2437" s="795">
        <v>6.21</v>
      </c>
      <c r="AG2437" s="66" t="e">
        <f t="shared" si="99"/>
        <v>#DIV/0!</v>
      </c>
      <c r="AH2437" s="143">
        <f t="shared" si="100"/>
        <v>0</v>
      </c>
    </row>
    <row r="2438" spans="1:35" x14ac:dyDescent="0.3">
      <c r="A2438" s="795">
        <v>904815</v>
      </c>
      <c r="G2438" s="795">
        <v>25.45</v>
      </c>
      <c r="AG2438" s="66" t="e">
        <f t="shared" si="99"/>
        <v>#DIV/0!</v>
      </c>
      <c r="AH2438" s="143">
        <f t="shared" si="100"/>
        <v>0</v>
      </c>
    </row>
    <row r="2439" spans="1:35" x14ac:dyDescent="0.3">
      <c r="A2439" s="795">
        <v>904816</v>
      </c>
      <c r="G2439" s="795">
        <v>10.34</v>
      </c>
      <c r="AG2439" s="66" t="e">
        <f t="shared" si="99"/>
        <v>#DIV/0!</v>
      </c>
      <c r="AH2439" s="143">
        <f t="shared" si="100"/>
        <v>0</v>
      </c>
    </row>
    <row r="2440" spans="1:35" x14ac:dyDescent="0.3">
      <c r="A2440" s="795">
        <v>904817</v>
      </c>
      <c r="G2440" s="795">
        <v>19.38</v>
      </c>
      <c r="AG2440" s="66" t="e">
        <f t="shared" si="99"/>
        <v>#DIV/0!</v>
      </c>
      <c r="AH2440" s="143">
        <f t="shared" si="100"/>
        <v>0</v>
      </c>
    </row>
    <row r="2441" spans="1:35" x14ac:dyDescent="0.3">
      <c r="A2441" s="795">
        <v>904818</v>
      </c>
      <c r="G2441" s="795">
        <v>67.739999999999995</v>
      </c>
      <c r="AG2441" s="66" t="e">
        <f t="shared" si="99"/>
        <v>#DIV/0!</v>
      </c>
      <c r="AH2441" s="143">
        <f t="shared" si="100"/>
        <v>0</v>
      </c>
    </row>
    <row r="2442" spans="1:35" x14ac:dyDescent="0.3">
      <c r="A2442" s="795">
        <v>904819</v>
      </c>
      <c r="G2442" s="795">
        <v>59.03</v>
      </c>
      <c r="AG2442" s="66" t="e">
        <f t="shared" si="99"/>
        <v>#DIV/0!</v>
      </c>
      <c r="AH2442" s="143">
        <f t="shared" si="100"/>
        <v>0</v>
      </c>
    </row>
    <row r="2443" spans="1:35" x14ac:dyDescent="0.3">
      <c r="A2443" s="795">
        <v>904820</v>
      </c>
      <c r="G2443" s="795">
        <v>48.96</v>
      </c>
      <c r="AG2443" s="66" t="e">
        <f t="shared" si="99"/>
        <v>#DIV/0!</v>
      </c>
      <c r="AH2443" s="143">
        <f t="shared" si="100"/>
        <v>0</v>
      </c>
    </row>
    <row r="2444" spans="1:35" x14ac:dyDescent="0.3">
      <c r="A2444" s="795">
        <v>904821</v>
      </c>
      <c r="G2444" s="795">
        <v>29.83</v>
      </c>
      <c r="AG2444" s="66" t="e">
        <f t="shared" si="99"/>
        <v>#DIV/0!</v>
      </c>
      <c r="AH2444" s="143">
        <f t="shared" si="100"/>
        <v>0</v>
      </c>
    </row>
    <row r="2445" spans="1:35" x14ac:dyDescent="0.3">
      <c r="A2445" s="795">
        <v>904822</v>
      </c>
      <c r="G2445" s="795">
        <v>19.77</v>
      </c>
      <c r="AG2445" s="66" t="e">
        <f t="shared" si="99"/>
        <v>#DIV/0!</v>
      </c>
      <c r="AH2445" s="143">
        <f t="shared" si="100"/>
        <v>0</v>
      </c>
    </row>
    <row r="2446" spans="1:35" x14ac:dyDescent="0.3">
      <c r="A2446" s="795">
        <v>904823</v>
      </c>
      <c r="G2446" s="795">
        <v>21.98</v>
      </c>
      <c r="AG2446" s="66" t="e">
        <f t="shared" si="99"/>
        <v>#DIV/0!</v>
      </c>
      <c r="AH2446" s="143">
        <f t="shared" si="100"/>
        <v>0</v>
      </c>
    </row>
    <row r="2447" spans="1:35" x14ac:dyDescent="0.3">
      <c r="A2447" s="795">
        <v>904824</v>
      </c>
      <c r="G2447" s="795">
        <v>7.86</v>
      </c>
      <c r="AG2447" s="66" t="e">
        <f t="shared" si="99"/>
        <v>#DIV/0!</v>
      </c>
      <c r="AH2447" s="143">
        <f t="shared" si="100"/>
        <v>0</v>
      </c>
    </row>
    <row r="2448" spans="1:35" x14ac:dyDescent="0.3">
      <c r="A2448" s="795">
        <v>904825</v>
      </c>
      <c r="G2448" s="795">
        <v>3.57</v>
      </c>
      <c r="AG2448" s="66" t="e">
        <f t="shared" si="99"/>
        <v>#DIV/0!</v>
      </c>
      <c r="AH2448" s="143">
        <f t="shared" si="100"/>
        <v>0</v>
      </c>
    </row>
    <row r="2449" spans="1:34" x14ac:dyDescent="0.3">
      <c r="A2449" s="795">
        <v>904826</v>
      </c>
      <c r="G2449" s="795">
        <v>5.65</v>
      </c>
      <c r="AG2449" s="66" t="e">
        <f t="shared" si="99"/>
        <v>#DIV/0!</v>
      </c>
      <c r="AH2449" s="143">
        <f t="shared" si="100"/>
        <v>0</v>
      </c>
    </row>
    <row r="2450" spans="1:34" x14ac:dyDescent="0.3">
      <c r="A2450" s="795">
        <v>904827</v>
      </c>
      <c r="G2450" s="795">
        <v>17.5</v>
      </c>
      <c r="AG2450" s="66" t="e">
        <f t="shared" si="99"/>
        <v>#DIV/0!</v>
      </c>
      <c r="AH2450" s="143">
        <f t="shared" si="100"/>
        <v>0</v>
      </c>
    </row>
    <row r="2451" spans="1:34" x14ac:dyDescent="0.3">
      <c r="A2451" s="795">
        <v>904828</v>
      </c>
      <c r="G2451" s="795">
        <v>3.56</v>
      </c>
      <c r="AG2451" s="66" t="e">
        <f t="shared" si="99"/>
        <v>#DIV/0!</v>
      </c>
      <c r="AH2451" s="143">
        <f t="shared" si="100"/>
        <v>0</v>
      </c>
    </row>
    <row r="2452" spans="1:34" x14ac:dyDescent="0.3">
      <c r="A2452" s="795">
        <v>904829</v>
      </c>
      <c r="G2452" s="795">
        <v>13.67</v>
      </c>
      <c r="AG2452" s="66" t="e">
        <f t="shared" si="99"/>
        <v>#DIV/0!</v>
      </c>
      <c r="AH2452" s="143">
        <f t="shared" si="100"/>
        <v>0</v>
      </c>
    </row>
    <row r="2453" spans="1:34" x14ac:dyDescent="0.3">
      <c r="A2453" s="795">
        <v>904830</v>
      </c>
      <c r="G2453" s="795">
        <v>68.14</v>
      </c>
      <c r="AG2453" s="66" t="e">
        <f t="shared" si="99"/>
        <v>#DIV/0!</v>
      </c>
      <c r="AH2453" s="143">
        <f t="shared" si="100"/>
        <v>0</v>
      </c>
    </row>
    <row r="2454" spans="1:34" x14ac:dyDescent="0.3">
      <c r="A2454" s="795">
        <v>904831</v>
      </c>
      <c r="G2454" s="795">
        <v>34.950000000000003</v>
      </c>
      <c r="AG2454" s="66" t="e">
        <f t="shared" si="99"/>
        <v>#DIV/0!</v>
      </c>
      <c r="AH2454" s="143">
        <f t="shared" si="100"/>
        <v>0</v>
      </c>
    </row>
    <row r="2455" spans="1:34" x14ac:dyDescent="0.3">
      <c r="A2455" s="795">
        <v>904832</v>
      </c>
      <c r="G2455" s="795">
        <v>39.29</v>
      </c>
      <c r="AG2455" s="66" t="e">
        <f t="shared" si="99"/>
        <v>#DIV/0!</v>
      </c>
      <c r="AH2455" s="143">
        <f t="shared" si="100"/>
        <v>0</v>
      </c>
    </row>
    <row r="2456" spans="1:34" x14ac:dyDescent="0.3">
      <c r="A2456" s="795">
        <v>904833</v>
      </c>
      <c r="G2456" s="795">
        <v>30.58</v>
      </c>
      <c r="AG2456" s="66" t="e">
        <f t="shared" si="99"/>
        <v>#DIV/0!</v>
      </c>
      <c r="AH2456" s="143">
        <f t="shared" si="100"/>
        <v>0</v>
      </c>
    </row>
    <row r="2457" spans="1:34" x14ac:dyDescent="0.3">
      <c r="A2457" s="795">
        <v>904834</v>
      </c>
      <c r="G2457" s="795">
        <v>7.51</v>
      </c>
      <c r="AG2457" s="66" t="e">
        <f t="shared" si="99"/>
        <v>#DIV/0!</v>
      </c>
      <c r="AH2457" s="143">
        <f t="shared" si="100"/>
        <v>0</v>
      </c>
    </row>
    <row r="2458" spans="1:34" x14ac:dyDescent="0.3">
      <c r="A2458" s="795">
        <v>904835</v>
      </c>
      <c r="G2458" s="795">
        <v>11.41</v>
      </c>
      <c r="AG2458" s="66" t="e">
        <f t="shared" si="99"/>
        <v>#DIV/0!</v>
      </c>
      <c r="AH2458" s="143">
        <f t="shared" si="100"/>
        <v>0</v>
      </c>
    </row>
    <row r="2459" spans="1:34" x14ac:dyDescent="0.3">
      <c r="A2459" s="795">
        <v>904836</v>
      </c>
      <c r="G2459" s="795">
        <v>6.07</v>
      </c>
      <c r="AG2459" s="66" t="e">
        <f t="shared" si="99"/>
        <v>#DIV/0!</v>
      </c>
      <c r="AH2459" s="143">
        <f t="shared" si="100"/>
        <v>0</v>
      </c>
    </row>
    <row r="2460" spans="1:34" x14ac:dyDescent="0.3">
      <c r="A2460" s="795">
        <v>904837</v>
      </c>
      <c r="G2460" s="795">
        <v>8.19</v>
      </c>
      <c r="AG2460" s="66" t="e">
        <f t="shared" si="99"/>
        <v>#DIV/0!</v>
      </c>
      <c r="AH2460" s="143">
        <f t="shared" si="100"/>
        <v>0</v>
      </c>
    </row>
    <row r="2461" spans="1:34" x14ac:dyDescent="0.3">
      <c r="A2461" s="795">
        <v>904838</v>
      </c>
      <c r="G2461" s="795">
        <v>9.11</v>
      </c>
      <c r="AG2461" s="66" t="e">
        <f t="shared" si="99"/>
        <v>#DIV/0!</v>
      </c>
      <c r="AH2461" s="143">
        <f t="shared" si="100"/>
        <v>0</v>
      </c>
    </row>
    <row r="2462" spans="1:34" x14ac:dyDescent="0.3">
      <c r="A2462" s="795">
        <v>904839</v>
      </c>
      <c r="G2462" s="795">
        <v>17.71</v>
      </c>
      <c r="AG2462" s="66" t="e">
        <f t="shared" si="99"/>
        <v>#DIV/0!</v>
      </c>
      <c r="AH2462" s="143">
        <f t="shared" si="100"/>
        <v>0</v>
      </c>
    </row>
    <row r="2463" spans="1:34" x14ac:dyDescent="0.3">
      <c r="A2463" s="795">
        <v>904840</v>
      </c>
      <c r="G2463" s="795">
        <v>13.08</v>
      </c>
      <c r="AG2463" s="66" t="e">
        <f t="shared" si="99"/>
        <v>#DIV/0!</v>
      </c>
      <c r="AH2463" s="143">
        <f t="shared" si="100"/>
        <v>0</v>
      </c>
    </row>
    <row r="2464" spans="1:34" x14ac:dyDescent="0.3">
      <c r="A2464" s="795">
        <v>904841</v>
      </c>
      <c r="G2464" s="795">
        <v>34.4</v>
      </c>
      <c r="AG2464" s="66" t="e">
        <f t="shared" si="99"/>
        <v>#DIV/0!</v>
      </c>
      <c r="AH2464" s="143">
        <f t="shared" si="100"/>
        <v>0</v>
      </c>
    </row>
    <row r="2465" spans="1:34" x14ac:dyDescent="0.3">
      <c r="A2465" s="795">
        <v>904842</v>
      </c>
      <c r="G2465" s="795">
        <v>19.809999999999999</v>
      </c>
      <c r="AG2465" s="66" t="e">
        <f t="shared" si="99"/>
        <v>#DIV/0!</v>
      </c>
      <c r="AH2465" s="143">
        <f t="shared" si="100"/>
        <v>0</v>
      </c>
    </row>
    <row r="2466" spans="1:34" x14ac:dyDescent="0.3">
      <c r="A2466" s="795">
        <v>904843</v>
      </c>
      <c r="G2466" s="795">
        <v>49.27</v>
      </c>
      <c r="AG2466" s="66" t="e">
        <f t="shared" si="99"/>
        <v>#DIV/0!</v>
      </c>
      <c r="AH2466" s="143">
        <f t="shared" si="100"/>
        <v>0</v>
      </c>
    </row>
    <row r="2467" spans="1:34" x14ac:dyDescent="0.3">
      <c r="A2467" s="795">
        <v>904844</v>
      </c>
      <c r="G2467" s="795">
        <v>37.43</v>
      </c>
      <c r="AG2467" s="66" t="e">
        <f t="shared" si="99"/>
        <v>#DIV/0!</v>
      </c>
      <c r="AH2467" s="143">
        <f t="shared" si="100"/>
        <v>0</v>
      </c>
    </row>
    <row r="2468" spans="1:34" x14ac:dyDescent="0.3">
      <c r="A2468" s="795">
        <v>904845</v>
      </c>
      <c r="G2468" s="795">
        <v>39.17</v>
      </c>
      <c r="AG2468" s="66" t="e">
        <f t="shared" si="99"/>
        <v>#DIV/0!</v>
      </c>
      <c r="AH2468" s="143">
        <f t="shared" si="100"/>
        <v>0</v>
      </c>
    </row>
    <row r="2469" spans="1:34" x14ac:dyDescent="0.3">
      <c r="A2469" s="795">
        <v>904846</v>
      </c>
      <c r="G2469" s="795">
        <v>91.17</v>
      </c>
      <c r="AG2469" s="66" t="e">
        <f t="shared" si="99"/>
        <v>#DIV/0!</v>
      </c>
      <c r="AH2469" s="143">
        <f t="shared" si="100"/>
        <v>0</v>
      </c>
    </row>
    <row r="2470" spans="1:34" x14ac:dyDescent="0.3">
      <c r="A2470" s="795">
        <v>904847</v>
      </c>
      <c r="G2470" s="795">
        <v>21.14</v>
      </c>
      <c r="AG2470" s="66" t="e">
        <f t="shared" si="99"/>
        <v>#DIV/0!</v>
      </c>
      <c r="AH2470" s="143">
        <f t="shared" si="100"/>
        <v>0</v>
      </c>
    </row>
    <row r="2471" spans="1:34" x14ac:dyDescent="0.3">
      <c r="A2471" s="795">
        <v>904848</v>
      </c>
      <c r="G2471" s="795">
        <v>4.28</v>
      </c>
      <c r="AG2471" s="66" t="e">
        <f t="shared" si="99"/>
        <v>#DIV/0!</v>
      </c>
      <c r="AH2471" s="143">
        <f t="shared" si="100"/>
        <v>0</v>
      </c>
    </row>
    <row r="2472" spans="1:34" x14ac:dyDescent="0.3">
      <c r="A2472" s="795">
        <v>904849</v>
      </c>
      <c r="G2472" s="795">
        <v>5.45</v>
      </c>
      <c r="AG2472" s="66" t="e">
        <f t="shared" si="99"/>
        <v>#DIV/0!</v>
      </c>
      <c r="AH2472" s="143">
        <f t="shared" si="100"/>
        <v>0</v>
      </c>
    </row>
    <row r="2473" spans="1:34" x14ac:dyDescent="0.3">
      <c r="A2473" s="795">
        <v>904850</v>
      </c>
      <c r="G2473" s="795">
        <v>4.1100000000000003</v>
      </c>
      <c r="AG2473" s="66" t="e">
        <f t="shared" si="99"/>
        <v>#DIV/0!</v>
      </c>
      <c r="AH2473" s="143">
        <f t="shared" si="100"/>
        <v>0</v>
      </c>
    </row>
    <row r="2474" spans="1:34" x14ac:dyDescent="0.3">
      <c r="A2474" s="795">
        <v>904851</v>
      </c>
      <c r="G2474" s="795">
        <v>24.37</v>
      </c>
      <c r="AG2474" s="66" t="e">
        <f t="shared" si="99"/>
        <v>#DIV/0!</v>
      </c>
      <c r="AH2474" s="143">
        <f t="shared" si="100"/>
        <v>0</v>
      </c>
    </row>
    <row r="2475" spans="1:34" x14ac:dyDescent="0.3">
      <c r="A2475" s="795">
        <v>904852</v>
      </c>
      <c r="G2475" s="795">
        <v>67.680000000000007</v>
      </c>
      <c r="AG2475" s="66" t="e">
        <f t="shared" si="99"/>
        <v>#DIV/0!</v>
      </c>
      <c r="AH2475" s="143">
        <f t="shared" si="100"/>
        <v>0</v>
      </c>
    </row>
    <row r="2476" spans="1:34" x14ac:dyDescent="0.3">
      <c r="A2476" s="795">
        <v>904853</v>
      </c>
      <c r="G2476" s="795">
        <v>64.36</v>
      </c>
      <c r="AG2476" s="66" t="e">
        <f t="shared" si="99"/>
        <v>#DIV/0!</v>
      </c>
      <c r="AH2476" s="143">
        <f t="shared" si="100"/>
        <v>0</v>
      </c>
    </row>
    <row r="2477" spans="1:34" x14ac:dyDescent="0.3">
      <c r="A2477" s="795">
        <v>904854</v>
      </c>
      <c r="G2477" s="795">
        <v>134.30000000000001</v>
      </c>
      <c r="AG2477" s="66" t="e">
        <f t="shared" si="99"/>
        <v>#DIV/0!</v>
      </c>
      <c r="AH2477" s="143">
        <f t="shared" si="100"/>
        <v>0</v>
      </c>
    </row>
    <row r="2478" spans="1:34" x14ac:dyDescent="0.3">
      <c r="A2478" s="795">
        <v>904855</v>
      </c>
      <c r="G2478" s="795">
        <v>44.69</v>
      </c>
      <c r="AG2478" s="66" t="e">
        <f t="shared" si="99"/>
        <v>#DIV/0!</v>
      </c>
      <c r="AH2478" s="143">
        <f t="shared" si="100"/>
        <v>0</v>
      </c>
    </row>
    <row r="2479" spans="1:34" x14ac:dyDescent="0.3">
      <c r="A2479" s="795">
        <v>904856</v>
      </c>
      <c r="G2479" s="795">
        <v>536.72</v>
      </c>
      <c r="AG2479" s="66" t="e">
        <f t="shared" si="99"/>
        <v>#DIV/0!</v>
      </c>
      <c r="AH2479" s="143">
        <f t="shared" si="100"/>
        <v>0</v>
      </c>
    </row>
    <row r="2480" spans="1:34" x14ac:dyDescent="0.3">
      <c r="A2480" s="795">
        <v>904857</v>
      </c>
      <c r="G2480" s="795">
        <v>18.43</v>
      </c>
      <c r="AG2480" s="66" t="e">
        <f t="shared" si="99"/>
        <v>#DIV/0!</v>
      </c>
      <c r="AH2480" s="143">
        <f t="shared" si="100"/>
        <v>0</v>
      </c>
    </row>
    <row r="2481" spans="1:35" x14ac:dyDescent="0.3">
      <c r="A2481" s="795">
        <v>904858</v>
      </c>
      <c r="G2481" s="795">
        <v>30.3</v>
      </c>
      <c r="AG2481" s="66" t="e">
        <f t="shared" si="99"/>
        <v>#DIV/0!</v>
      </c>
      <c r="AH2481" s="143">
        <f t="shared" si="100"/>
        <v>0</v>
      </c>
    </row>
    <row r="2482" spans="1:35" x14ac:dyDescent="0.3">
      <c r="A2482" s="795">
        <v>904859</v>
      </c>
      <c r="G2482" s="795">
        <v>18.07</v>
      </c>
      <c r="AG2482" s="66" t="e">
        <f t="shared" si="99"/>
        <v>#DIV/0!</v>
      </c>
      <c r="AH2482" s="143">
        <f t="shared" si="100"/>
        <v>0</v>
      </c>
    </row>
    <row r="2483" spans="1:35" x14ac:dyDescent="0.3">
      <c r="AG2483" s="66" t="e">
        <f t="shared" si="99"/>
        <v>#DIV/0!</v>
      </c>
      <c r="AH2483" s="143">
        <f t="shared" si="100"/>
        <v>0</v>
      </c>
    </row>
    <row r="2484" spans="1:35" x14ac:dyDescent="0.3">
      <c r="A2484" s="114">
        <v>904810</v>
      </c>
      <c r="B2484" s="138">
        <v>1.7</v>
      </c>
      <c r="D2484" s="152">
        <v>8.01</v>
      </c>
      <c r="E2484" s="752">
        <v>0.22</v>
      </c>
      <c r="F2484" s="142">
        <f>E2484*1000*1.1</f>
        <v>242.00000000000003</v>
      </c>
      <c r="H2484" s="142">
        <v>283.33999999999997</v>
      </c>
      <c r="I2484" s="142">
        <v>140</v>
      </c>
      <c r="J2484" s="141">
        <v>5.7000000000000002E-2</v>
      </c>
      <c r="K2484" s="138">
        <v>3.74</v>
      </c>
      <c r="L2484" s="140">
        <v>0.47699999999999998</v>
      </c>
      <c r="M2484" s="140">
        <v>4.1900000000000004</v>
      </c>
      <c r="N2484" s="140">
        <v>4.46</v>
      </c>
      <c r="O2484" s="140">
        <v>10.5</v>
      </c>
      <c r="P2484" s="140">
        <v>6.67</v>
      </c>
      <c r="R2484" s="139">
        <v>0.69306263668476542</v>
      </c>
      <c r="S2484" s="138">
        <v>4.7</v>
      </c>
      <c r="T2484" s="14"/>
      <c r="U2484" s="14"/>
      <c r="V2484" s="251"/>
      <c r="Y2484" s="138">
        <v>4</v>
      </c>
      <c r="AA2484" s="139">
        <v>4.3600000000000003</v>
      </c>
      <c r="AB2484" s="139">
        <v>0.67100000000000004</v>
      </c>
      <c r="AC2484" s="140">
        <v>7.6</v>
      </c>
      <c r="AD2484" s="70">
        <v>80</v>
      </c>
      <c r="AE2484" s="70">
        <v>60</v>
      </c>
      <c r="AF2484" s="70">
        <v>860</v>
      </c>
      <c r="AG2484" s="66">
        <f t="shared" si="99"/>
        <v>330.99</v>
      </c>
      <c r="AH2484" s="143">
        <f t="shared" si="100"/>
        <v>1000</v>
      </c>
      <c r="AI2484" s="140">
        <f>SUM(AD2484:AF2484)</f>
        <v>1000</v>
      </c>
    </row>
    <row r="2485" spans="1:35" x14ac:dyDescent="0.3">
      <c r="A2485" s="114">
        <v>904860</v>
      </c>
      <c r="B2485" s="138">
        <v>42.6</v>
      </c>
      <c r="C2485" s="138">
        <v>14</v>
      </c>
      <c r="D2485" s="152">
        <v>8.58</v>
      </c>
      <c r="E2485" s="752">
        <v>0.2</v>
      </c>
      <c r="F2485" s="142">
        <f>E2485*1000*1.1</f>
        <v>220.00000000000003</v>
      </c>
      <c r="H2485" s="142">
        <v>22.1</v>
      </c>
      <c r="I2485" s="142">
        <v>405</v>
      </c>
      <c r="J2485" s="141">
        <v>4.8000000000000001E-2</v>
      </c>
      <c r="K2485" s="138">
        <v>0.40500000000000003</v>
      </c>
      <c r="L2485" s="140">
        <v>0.70199999999999996</v>
      </c>
      <c r="M2485" s="140">
        <v>0.74</v>
      </c>
      <c r="N2485" s="140">
        <v>0.43</v>
      </c>
      <c r="O2485" s="140">
        <v>2.5299999999999998</v>
      </c>
      <c r="P2485" s="140">
        <v>1.52</v>
      </c>
      <c r="R2485" s="139">
        <v>1.4410807924142492</v>
      </c>
      <c r="S2485" s="138">
        <v>10.1</v>
      </c>
      <c r="T2485" s="14"/>
      <c r="U2485" s="14"/>
      <c r="V2485" s="14"/>
      <c r="Y2485" s="138">
        <v>25.2</v>
      </c>
      <c r="AA2485" s="139">
        <v>4.2699999999999996</v>
      </c>
      <c r="AB2485" s="139">
        <v>0.40500000000000003</v>
      </c>
      <c r="AC2485" s="140">
        <v>8.6999999999999993</v>
      </c>
      <c r="AD2485" s="70">
        <v>360</v>
      </c>
      <c r="AE2485" s="70">
        <v>260</v>
      </c>
      <c r="AF2485" s="70">
        <v>380</v>
      </c>
      <c r="AG2485" s="66">
        <f t="shared" si="99"/>
        <v>5.6892857142857158</v>
      </c>
      <c r="AH2485" s="143">
        <f t="shared" si="100"/>
        <v>1000</v>
      </c>
      <c r="AI2485" s="140">
        <f>SUM(AD2485:AF2485)</f>
        <v>1000</v>
      </c>
    </row>
    <row r="2486" spans="1:35" x14ac:dyDescent="0.3">
      <c r="A2486" s="114">
        <v>904861</v>
      </c>
      <c r="B2486" s="138">
        <v>35.1</v>
      </c>
      <c r="C2486" s="138">
        <v>13.25</v>
      </c>
      <c r="D2486" s="152">
        <v>8.42</v>
      </c>
      <c r="E2486" s="752">
        <v>0.19900000000000001</v>
      </c>
      <c r="F2486" s="142">
        <f>E2486*1000*1.1</f>
        <v>218.9</v>
      </c>
      <c r="H2486" s="142">
        <v>20.64</v>
      </c>
      <c r="I2486" s="142">
        <v>450</v>
      </c>
      <c r="J2486" s="141">
        <v>4.7E-2</v>
      </c>
      <c r="K2486" s="138">
        <v>0.45</v>
      </c>
      <c r="L2486" s="140">
        <v>0.34499999999999997</v>
      </c>
      <c r="M2486" s="140">
        <v>0.42</v>
      </c>
      <c r="N2486" s="140">
        <v>0.35</v>
      </c>
      <c r="O2486" s="140">
        <v>3.26</v>
      </c>
      <c r="P2486" s="140">
        <v>2.3199999999999998</v>
      </c>
      <c r="R2486" s="139">
        <v>1.3483408703451338</v>
      </c>
      <c r="S2486" s="138">
        <v>9.6</v>
      </c>
      <c r="T2486" s="14"/>
      <c r="U2486" s="14"/>
      <c r="V2486" s="251"/>
      <c r="Y2486" s="138">
        <v>26.6</v>
      </c>
      <c r="AA2486" s="139">
        <v>3.56</v>
      </c>
      <c r="AB2486" s="139">
        <v>0.438</v>
      </c>
      <c r="AC2486" s="140">
        <v>7.6</v>
      </c>
      <c r="AD2486" s="70">
        <v>380</v>
      </c>
      <c r="AE2486" s="70">
        <v>230</v>
      </c>
      <c r="AF2486" s="70">
        <v>390</v>
      </c>
      <c r="AG2486" s="66">
        <f t="shared" si="99"/>
        <v>5.988721804511278</v>
      </c>
      <c r="AH2486" s="143">
        <f t="shared" si="100"/>
        <v>1000</v>
      </c>
      <c r="AI2486" s="140">
        <f>SUM(AD2486:AF2486)</f>
        <v>1000</v>
      </c>
    </row>
    <row r="2487" spans="1:35" x14ac:dyDescent="0.3">
      <c r="A2487" s="114">
        <v>904862</v>
      </c>
      <c r="B2487" s="138">
        <v>54.3</v>
      </c>
      <c r="C2487" s="138">
        <v>14.625</v>
      </c>
      <c r="D2487" s="152">
        <v>8.43</v>
      </c>
      <c r="E2487" s="752">
        <v>0.161</v>
      </c>
      <c r="F2487" s="142">
        <f>E2487*1000*1.1</f>
        <v>177.10000000000002</v>
      </c>
      <c r="H2487" s="142">
        <v>12.44</v>
      </c>
      <c r="I2487" s="142">
        <v>268</v>
      </c>
      <c r="J2487" s="141">
        <v>2.4E-2</v>
      </c>
      <c r="K2487" s="138">
        <v>0.26800000000000002</v>
      </c>
      <c r="L2487" s="140">
        <v>0.254</v>
      </c>
      <c r="M2487" s="140">
        <v>0.51</v>
      </c>
      <c r="N2487" s="140">
        <v>0.48</v>
      </c>
      <c r="O2487" s="140">
        <v>2.42</v>
      </c>
      <c r="P2487" s="140">
        <v>2.97</v>
      </c>
      <c r="R2487" s="139">
        <v>1.5784280000000002</v>
      </c>
      <c r="S2487" s="138">
        <v>10.4</v>
      </c>
      <c r="T2487" s="14"/>
      <c r="U2487" s="14"/>
      <c r="V2487" s="251"/>
      <c r="Y2487" s="138">
        <v>24</v>
      </c>
      <c r="AA2487" s="139">
        <v>3.6</v>
      </c>
      <c r="AB2487" s="139">
        <v>0.73699999999999999</v>
      </c>
      <c r="AC2487" s="140">
        <v>9.6</v>
      </c>
      <c r="AD2487" s="70">
        <v>400</v>
      </c>
      <c r="AE2487" s="70">
        <v>220</v>
      </c>
      <c r="AF2487" s="70">
        <v>380</v>
      </c>
      <c r="AG2487" s="66">
        <f t="shared" si="99"/>
        <v>3.9530000000000007</v>
      </c>
      <c r="AH2487" s="143">
        <f t="shared" si="100"/>
        <v>1000</v>
      </c>
      <c r="AI2487" s="140">
        <f>SUM(AD2487:AF2487)</f>
        <v>1000</v>
      </c>
    </row>
    <row r="2488" spans="1:35" x14ac:dyDescent="0.3">
      <c r="A2488" s="114">
        <v>904863</v>
      </c>
      <c r="B2488" s="138">
        <v>43.8</v>
      </c>
      <c r="C2488" s="138">
        <v>14.749999999999998</v>
      </c>
      <c r="D2488" s="152">
        <v>8.2899999999999991</v>
      </c>
      <c r="E2488" s="752">
        <v>0.17899999999999999</v>
      </c>
      <c r="F2488" s="142">
        <f>E2488*1000*1.1</f>
        <v>196.9</v>
      </c>
      <c r="H2488" s="142">
        <v>6.88</v>
      </c>
      <c r="I2488" s="142">
        <v>201</v>
      </c>
      <c r="J2488" s="141">
        <v>4.1000000000000002E-2</v>
      </c>
      <c r="K2488" s="138">
        <v>0.20100000000000001</v>
      </c>
      <c r="L2488" s="140">
        <v>0.25800000000000001</v>
      </c>
      <c r="M2488" s="140">
        <v>0.35</v>
      </c>
      <c r="N2488" s="140">
        <v>0.66</v>
      </c>
      <c r="O2488" s="140">
        <v>2.42</v>
      </c>
      <c r="P2488" s="140">
        <v>2.97</v>
      </c>
      <c r="R2488" s="139">
        <v>1.737657</v>
      </c>
      <c r="S2488" s="138">
        <v>14.7</v>
      </c>
      <c r="T2488" s="14"/>
      <c r="U2488" s="14"/>
      <c r="V2488" s="251"/>
      <c r="Y2488" s="138">
        <v>22.8</v>
      </c>
      <c r="AA2488" s="139">
        <v>4.6500000000000004</v>
      </c>
      <c r="AB2488" s="139">
        <v>0.65300000000000002</v>
      </c>
      <c r="AC2488" s="140">
        <v>10.7</v>
      </c>
      <c r="AD2488" s="70">
        <v>380</v>
      </c>
      <c r="AE2488" s="70">
        <v>280</v>
      </c>
      <c r="AF2488" s="70">
        <v>340</v>
      </c>
      <c r="AG2488" s="66">
        <f t="shared" si="99"/>
        <v>3.1207894736842108</v>
      </c>
      <c r="AH2488" s="143">
        <f t="shared" si="100"/>
        <v>1000</v>
      </c>
      <c r="AI2488" s="140">
        <f>SUM(AD2488:AF2488)</f>
        <v>1000</v>
      </c>
    </row>
    <row r="2489" spans="1:35" x14ac:dyDescent="0.3">
      <c r="A2489" s="140">
        <v>904893</v>
      </c>
      <c r="G2489" s="795">
        <v>3.21</v>
      </c>
      <c r="AG2489" s="66" t="e">
        <f t="shared" si="99"/>
        <v>#DIV/0!</v>
      </c>
      <c r="AH2489" s="143">
        <f t="shared" si="100"/>
        <v>0</v>
      </c>
    </row>
    <row r="2490" spans="1:35" x14ac:dyDescent="0.3">
      <c r="A2490" s="140">
        <v>904894</v>
      </c>
      <c r="G2490" s="795">
        <v>2.64</v>
      </c>
      <c r="AG2490" s="66" t="e">
        <f t="shared" si="99"/>
        <v>#DIV/0!</v>
      </c>
      <c r="AH2490" s="143">
        <f t="shared" si="100"/>
        <v>0</v>
      </c>
    </row>
    <row r="2491" spans="1:35" x14ac:dyDescent="0.3">
      <c r="A2491" s="140">
        <v>904895</v>
      </c>
      <c r="G2491" s="795">
        <v>3.3</v>
      </c>
      <c r="AG2491" s="66" t="e">
        <f t="shared" si="99"/>
        <v>#DIV/0!</v>
      </c>
      <c r="AH2491" s="143">
        <f t="shared" si="100"/>
        <v>0</v>
      </c>
    </row>
    <row r="2492" spans="1:35" x14ac:dyDescent="0.3">
      <c r="A2492" s="140">
        <v>904896</v>
      </c>
      <c r="G2492" s="795">
        <v>18.760000000000002</v>
      </c>
      <c r="AG2492" s="66" t="e">
        <f t="shared" si="99"/>
        <v>#DIV/0!</v>
      </c>
      <c r="AH2492" s="143">
        <f t="shared" si="100"/>
        <v>0</v>
      </c>
    </row>
    <row r="2493" spans="1:35" x14ac:dyDescent="0.3">
      <c r="A2493" s="140">
        <v>904897</v>
      </c>
      <c r="G2493" s="795">
        <v>11.21</v>
      </c>
      <c r="AG2493" s="66" t="e">
        <f t="shared" si="99"/>
        <v>#DIV/0!</v>
      </c>
      <c r="AH2493" s="143">
        <f t="shared" si="100"/>
        <v>0</v>
      </c>
    </row>
    <row r="2494" spans="1:35" x14ac:dyDescent="0.3">
      <c r="A2494" s="140">
        <v>904898</v>
      </c>
      <c r="G2494" s="795">
        <v>15.54</v>
      </c>
      <c r="AG2494" s="66" t="e">
        <f t="shared" si="99"/>
        <v>#DIV/0!</v>
      </c>
      <c r="AH2494" s="143">
        <f t="shared" si="100"/>
        <v>0</v>
      </c>
    </row>
    <row r="2495" spans="1:35" x14ac:dyDescent="0.3">
      <c r="A2495" s="140">
        <v>904899</v>
      </c>
      <c r="G2495" s="795">
        <v>32.869999999999997</v>
      </c>
      <c r="AG2495" s="66" t="e">
        <f t="shared" si="99"/>
        <v>#DIV/0!</v>
      </c>
      <c r="AH2495" s="143">
        <f t="shared" si="100"/>
        <v>0</v>
      </c>
    </row>
    <row r="2496" spans="1:35" x14ac:dyDescent="0.3">
      <c r="A2496" s="140">
        <v>904900</v>
      </c>
      <c r="G2496" s="795">
        <v>34.65</v>
      </c>
      <c r="AG2496" s="66" t="e">
        <f t="shared" si="99"/>
        <v>#DIV/0!</v>
      </c>
      <c r="AH2496" s="143">
        <f t="shared" si="100"/>
        <v>0</v>
      </c>
    </row>
    <row r="2497" spans="1:34" x14ac:dyDescent="0.3">
      <c r="A2497" s="140">
        <v>904901</v>
      </c>
      <c r="G2497" s="795">
        <v>23.99</v>
      </c>
      <c r="AG2497" s="66" t="e">
        <f t="shared" si="99"/>
        <v>#DIV/0!</v>
      </c>
      <c r="AH2497" s="143">
        <f t="shared" si="100"/>
        <v>0</v>
      </c>
    </row>
    <row r="2498" spans="1:34" x14ac:dyDescent="0.3">
      <c r="A2498" s="140">
        <v>904902</v>
      </c>
      <c r="G2498" s="795">
        <v>15.76</v>
      </c>
      <c r="AG2498" s="66" t="e">
        <f t="shared" ref="AG2498:AG2561" si="101">+K2498*3.54*100/Y2498</f>
        <v>#DIV/0!</v>
      </c>
      <c r="AH2498" s="143">
        <f t="shared" ref="AH2498:AH2561" si="102">+SUM(AD2498:AF2498)</f>
        <v>0</v>
      </c>
    </row>
    <row r="2499" spans="1:34" x14ac:dyDescent="0.3">
      <c r="A2499" s="140">
        <v>904903</v>
      </c>
      <c r="G2499" s="795">
        <v>44.05</v>
      </c>
      <c r="AG2499" s="66" t="e">
        <f t="shared" si="101"/>
        <v>#DIV/0!</v>
      </c>
      <c r="AH2499" s="143">
        <f t="shared" si="102"/>
        <v>0</v>
      </c>
    </row>
    <row r="2500" spans="1:34" x14ac:dyDescent="0.3">
      <c r="A2500" s="140">
        <v>904904</v>
      </c>
      <c r="G2500" s="795">
        <v>17.89</v>
      </c>
      <c r="AG2500" s="66" t="e">
        <f t="shared" si="101"/>
        <v>#DIV/0!</v>
      </c>
      <c r="AH2500" s="143">
        <f t="shared" si="102"/>
        <v>0</v>
      </c>
    </row>
    <row r="2501" spans="1:34" x14ac:dyDescent="0.3">
      <c r="A2501" s="140">
        <v>904905</v>
      </c>
      <c r="G2501" s="795">
        <v>9.14</v>
      </c>
      <c r="AG2501" s="66" t="e">
        <f t="shared" si="101"/>
        <v>#DIV/0!</v>
      </c>
      <c r="AH2501" s="143">
        <f t="shared" si="102"/>
        <v>0</v>
      </c>
    </row>
    <row r="2502" spans="1:34" x14ac:dyDescent="0.3">
      <c r="A2502" s="140">
        <v>904906</v>
      </c>
      <c r="G2502" s="795">
        <v>3.28</v>
      </c>
      <c r="AG2502" s="66" t="e">
        <f t="shared" si="101"/>
        <v>#DIV/0!</v>
      </c>
      <c r="AH2502" s="143">
        <f t="shared" si="102"/>
        <v>0</v>
      </c>
    </row>
    <row r="2503" spans="1:34" x14ac:dyDescent="0.3">
      <c r="A2503" s="140">
        <v>904907</v>
      </c>
      <c r="G2503" s="795">
        <v>5.34</v>
      </c>
      <c r="AG2503" s="66" t="e">
        <f t="shared" si="101"/>
        <v>#DIV/0!</v>
      </c>
      <c r="AH2503" s="143">
        <f t="shared" si="102"/>
        <v>0</v>
      </c>
    </row>
    <row r="2504" spans="1:34" x14ac:dyDescent="0.3">
      <c r="A2504" s="140">
        <v>904908</v>
      </c>
      <c r="G2504" s="795">
        <v>21.09</v>
      </c>
      <c r="AG2504" s="66" t="e">
        <f t="shared" si="101"/>
        <v>#DIV/0!</v>
      </c>
      <c r="AH2504" s="143">
        <f t="shared" si="102"/>
        <v>0</v>
      </c>
    </row>
    <row r="2505" spans="1:34" x14ac:dyDescent="0.3">
      <c r="A2505" s="140">
        <v>904909</v>
      </c>
      <c r="G2505" s="795">
        <v>6.44</v>
      </c>
      <c r="AG2505" s="66" t="e">
        <f t="shared" si="101"/>
        <v>#DIV/0!</v>
      </c>
      <c r="AH2505" s="143">
        <f t="shared" si="102"/>
        <v>0</v>
      </c>
    </row>
    <row r="2506" spans="1:34" x14ac:dyDescent="0.3">
      <c r="A2506" s="140">
        <v>904910</v>
      </c>
      <c r="G2506" s="795">
        <v>17.57</v>
      </c>
      <c r="AG2506" s="66" t="e">
        <f t="shared" si="101"/>
        <v>#DIV/0!</v>
      </c>
      <c r="AH2506" s="143">
        <f t="shared" si="102"/>
        <v>0</v>
      </c>
    </row>
    <row r="2507" spans="1:34" x14ac:dyDescent="0.3">
      <c r="A2507" s="140">
        <v>904911</v>
      </c>
      <c r="G2507" s="795">
        <v>54.88</v>
      </c>
      <c r="AG2507" s="66" t="e">
        <f t="shared" si="101"/>
        <v>#DIV/0!</v>
      </c>
      <c r="AH2507" s="143">
        <f t="shared" si="102"/>
        <v>0</v>
      </c>
    </row>
    <row r="2508" spans="1:34" x14ac:dyDescent="0.3">
      <c r="A2508" s="140">
        <v>904912</v>
      </c>
      <c r="G2508" s="795">
        <v>41.56</v>
      </c>
      <c r="AG2508" s="66" t="e">
        <f t="shared" si="101"/>
        <v>#DIV/0!</v>
      </c>
      <c r="AH2508" s="143">
        <f t="shared" si="102"/>
        <v>0</v>
      </c>
    </row>
    <row r="2509" spans="1:34" x14ac:dyDescent="0.3">
      <c r="A2509" s="140">
        <v>904913</v>
      </c>
      <c r="G2509" s="795">
        <v>31.89</v>
      </c>
      <c r="AG2509" s="66" t="e">
        <f t="shared" si="101"/>
        <v>#DIV/0!</v>
      </c>
      <c r="AH2509" s="143">
        <f t="shared" si="102"/>
        <v>0</v>
      </c>
    </row>
    <row r="2510" spans="1:34" x14ac:dyDescent="0.3">
      <c r="A2510" s="140">
        <v>904914</v>
      </c>
      <c r="G2510" s="795">
        <v>9.15</v>
      </c>
      <c r="AG2510" s="66" t="e">
        <f t="shared" si="101"/>
        <v>#DIV/0!</v>
      </c>
      <c r="AH2510" s="143">
        <f t="shared" si="102"/>
        <v>0</v>
      </c>
    </row>
    <row r="2511" spans="1:34" x14ac:dyDescent="0.3">
      <c r="A2511" s="140">
        <v>904915</v>
      </c>
      <c r="G2511" s="795">
        <v>19.13</v>
      </c>
      <c r="AG2511" s="66" t="e">
        <f t="shared" si="101"/>
        <v>#DIV/0!</v>
      </c>
      <c r="AH2511" s="143">
        <f t="shared" si="102"/>
        <v>0</v>
      </c>
    </row>
    <row r="2512" spans="1:34" x14ac:dyDescent="0.3">
      <c r="A2512" s="140">
        <v>904916</v>
      </c>
      <c r="G2512" s="795">
        <v>19.11</v>
      </c>
      <c r="AG2512" s="66" t="e">
        <f t="shared" si="101"/>
        <v>#DIV/0!</v>
      </c>
      <c r="AH2512" s="143">
        <f t="shared" si="102"/>
        <v>0</v>
      </c>
    </row>
    <row r="2513" spans="1:34" x14ac:dyDescent="0.3">
      <c r="A2513" s="140">
        <v>904917</v>
      </c>
      <c r="G2513" s="795">
        <v>6.59</v>
      </c>
      <c r="AG2513" s="66" t="e">
        <f t="shared" si="101"/>
        <v>#DIV/0!</v>
      </c>
      <c r="AH2513" s="143">
        <f t="shared" si="102"/>
        <v>0</v>
      </c>
    </row>
    <row r="2514" spans="1:34" x14ac:dyDescent="0.3">
      <c r="A2514" s="140">
        <v>904918</v>
      </c>
      <c r="G2514" s="795">
        <v>5.79</v>
      </c>
      <c r="AG2514" s="66" t="e">
        <f t="shared" si="101"/>
        <v>#DIV/0!</v>
      </c>
      <c r="AH2514" s="143">
        <f t="shared" si="102"/>
        <v>0</v>
      </c>
    </row>
    <row r="2515" spans="1:34" x14ac:dyDescent="0.3">
      <c r="A2515" s="140">
        <v>904919</v>
      </c>
      <c r="G2515" s="795">
        <v>7.86</v>
      </c>
      <c r="AG2515" s="66" t="e">
        <f t="shared" si="101"/>
        <v>#DIV/0!</v>
      </c>
      <c r="AH2515" s="143">
        <f t="shared" si="102"/>
        <v>0</v>
      </c>
    </row>
    <row r="2516" spans="1:34" x14ac:dyDescent="0.3">
      <c r="A2516" s="140">
        <v>904920</v>
      </c>
      <c r="G2516" s="795">
        <v>10.35</v>
      </c>
      <c r="AG2516" s="66" t="e">
        <f t="shared" si="101"/>
        <v>#DIV/0!</v>
      </c>
      <c r="AH2516" s="143">
        <f t="shared" si="102"/>
        <v>0</v>
      </c>
    </row>
    <row r="2517" spans="1:34" x14ac:dyDescent="0.3">
      <c r="A2517" s="140">
        <v>904921</v>
      </c>
      <c r="G2517" s="795">
        <v>12.35</v>
      </c>
      <c r="AG2517" s="66" t="e">
        <f t="shared" si="101"/>
        <v>#DIV/0!</v>
      </c>
      <c r="AH2517" s="143">
        <f t="shared" si="102"/>
        <v>0</v>
      </c>
    </row>
    <row r="2518" spans="1:34" x14ac:dyDescent="0.3">
      <c r="A2518" s="140">
        <v>904922</v>
      </c>
      <c r="G2518" s="795">
        <v>23.34</v>
      </c>
      <c r="AG2518" s="66" t="e">
        <f t="shared" si="101"/>
        <v>#DIV/0!</v>
      </c>
      <c r="AH2518" s="143">
        <f t="shared" si="102"/>
        <v>0</v>
      </c>
    </row>
    <row r="2519" spans="1:34" x14ac:dyDescent="0.3">
      <c r="A2519" s="140">
        <v>904923</v>
      </c>
      <c r="G2519" s="795">
        <v>55.67</v>
      </c>
      <c r="AG2519" s="66" t="e">
        <f t="shared" si="101"/>
        <v>#DIV/0!</v>
      </c>
      <c r="AH2519" s="143">
        <f t="shared" si="102"/>
        <v>0</v>
      </c>
    </row>
    <row r="2520" spans="1:34" x14ac:dyDescent="0.3">
      <c r="A2520" s="140">
        <v>904924</v>
      </c>
      <c r="G2520" s="795">
        <v>24.92</v>
      </c>
      <c r="AG2520" s="66" t="e">
        <f t="shared" si="101"/>
        <v>#DIV/0!</v>
      </c>
      <c r="AH2520" s="143">
        <f t="shared" si="102"/>
        <v>0</v>
      </c>
    </row>
    <row r="2521" spans="1:34" x14ac:dyDescent="0.3">
      <c r="A2521" s="140">
        <v>904925</v>
      </c>
      <c r="G2521" s="795">
        <v>44.21</v>
      </c>
      <c r="AG2521" s="66" t="e">
        <f t="shared" si="101"/>
        <v>#DIV/0!</v>
      </c>
      <c r="AH2521" s="143">
        <f t="shared" si="102"/>
        <v>0</v>
      </c>
    </row>
    <row r="2522" spans="1:34" x14ac:dyDescent="0.3">
      <c r="A2522" s="140">
        <v>904926</v>
      </c>
      <c r="G2522" s="795">
        <v>31.15</v>
      </c>
      <c r="AG2522" s="66" t="e">
        <f t="shared" si="101"/>
        <v>#DIV/0!</v>
      </c>
      <c r="AH2522" s="143">
        <f t="shared" si="102"/>
        <v>0</v>
      </c>
    </row>
    <row r="2523" spans="1:34" x14ac:dyDescent="0.3">
      <c r="A2523" s="140">
        <v>904927</v>
      </c>
      <c r="G2523" s="795">
        <v>27</v>
      </c>
      <c r="AG2523" s="66" t="e">
        <f t="shared" si="101"/>
        <v>#DIV/0!</v>
      </c>
      <c r="AH2523" s="143">
        <f t="shared" si="102"/>
        <v>0</v>
      </c>
    </row>
    <row r="2524" spans="1:34" x14ac:dyDescent="0.3">
      <c r="A2524" s="140">
        <v>904928</v>
      </c>
      <c r="G2524" s="795">
        <v>30.9</v>
      </c>
      <c r="AG2524" s="66" t="e">
        <f t="shared" si="101"/>
        <v>#DIV/0!</v>
      </c>
      <c r="AH2524" s="143">
        <f t="shared" si="102"/>
        <v>0</v>
      </c>
    </row>
    <row r="2525" spans="1:34" x14ac:dyDescent="0.3">
      <c r="A2525" s="140">
        <v>904929</v>
      </c>
      <c r="G2525" s="795">
        <v>6.24</v>
      </c>
      <c r="AG2525" s="66" t="e">
        <f t="shared" si="101"/>
        <v>#DIV/0!</v>
      </c>
      <c r="AH2525" s="143">
        <f t="shared" si="102"/>
        <v>0</v>
      </c>
    </row>
    <row r="2526" spans="1:34" x14ac:dyDescent="0.3">
      <c r="A2526" s="140">
        <v>904930</v>
      </c>
      <c r="G2526" s="795">
        <v>5.88</v>
      </c>
      <c r="AG2526" s="66" t="e">
        <f t="shared" si="101"/>
        <v>#DIV/0!</v>
      </c>
      <c r="AH2526" s="143">
        <f t="shared" si="102"/>
        <v>0</v>
      </c>
    </row>
    <row r="2527" spans="1:34" x14ac:dyDescent="0.3">
      <c r="A2527" s="140">
        <v>904931</v>
      </c>
      <c r="G2527" s="795">
        <v>6.34</v>
      </c>
      <c r="AG2527" s="66" t="e">
        <f t="shared" si="101"/>
        <v>#DIV/0!</v>
      </c>
      <c r="AH2527" s="143">
        <f t="shared" si="102"/>
        <v>0</v>
      </c>
    </row>
    <row r="2528" spans="1:34" x14ac:dyDescent="0.3">
      <c r="A2528" s="140">
        <v>904932</v>
      </c>
      <c r="G2528" s="795">
        <v>29.86</v>
      </c>
      <c r="AG2528" s="66" t="e">
        <f t="shared" si="101"/>
        <v>#DIV/0!</v>
      </c>
      <c r="AH2528" s="143">
        <f t="shared" si="102"/>
        <v>0</v>
      </c>
    </row>
    <row r="2529" spans="1:35" x14ac:dyDescent="0.3">
      <c r="A2529" s="140">
        <v>904933</v>
      </c>
      <c r="G2529" s="795">
        <v>44.85</v>
      </c>
      <c r="AG2529" s="66" t="e">
        <f t="shared" si="101"/>
        <v>#DIV/0!</v>
      </c>
      <c r="AH2529" s="143">
        <f t="shared" si="102"/>
        <v>0</v>
      </c>
    </row>
    <row r="2530" spans="1:35" x14ac:dyDescent="0.3">
      <c r="A2530" s="140">
        <v>904934</v>
      </c>
      <c r="G2530" s="795">
        <v>41.77</v>
      </c>
      <c r="AG2530" s="66" t="e">
        <f t="shared" si="101"/>
        <v>#DIV/0!</v>
      </c>
      <c r="AH2530" s="143">
        <f t="shared" si="102"/>
        <v>0</v>
      </c>
    </row>
    <row r="2531" spans="1:35" x14ac:dyDescent="0.3">
      <c r="A2531" s="140">
        <v>904935</v>
      </c>
      <c r="G2531" s="795">
        <v>107.32</v>
      </c>
      <c r="AG2531" s="66" t="e">
        <f t="shared" si="101"/>
        <v>#DIV/0!</v>
      </c>
      <c r="AH2531" s="143">
        <f t="shared" si="102"/>
        <v>0</v>
      </c>
    </row>
    <row r="2532" spans="1:35" x14ac:dyDescent="0.3">
      <c r="A2532" s="140">
        <v>904936</v>
      </c>
      <c r="G2532" s="795">
        <v>125.44</v>
      </c>
      <c r="AG2532" s="66" t="e">
        <f t="shared" si="101"/>
        <v>#DIV/0!</v>
      </c>
      <c r="AH2532" s="143">
        <f t="shared" si="102"/>
        <v>0</v>
      </c>
    </row>
    <row r="2533" spans="1:35" x14ac:dyDescent="0.3">
      <c r="A2533" s="140">
        <v>904937</v>
      </c>
      <c r="G2533" s="795">
        <v>366.11</v>
      </c>
      <c r="AG2533" s="66" t="e">
        <f t="shared" si="101"/>
        <v>#DIV/0!</v>
      </c>
      <c r="AH2533" s="143">
        <f t="shared" si="102"/>
        <v>0</v>
      </c>
    </row>
    <row r="2534" spans="1:35" x14ac:dyDescent="0.3">
      <c r="A2534" s="140">
        <v>904938</v>
      </c>
      <c r="G2534" s="795">
        <v>54.94</v>
      </c>
      <c r="AG2534" s="66" t="e">
        <f t="shared" si="101"/>
        <v>#DIV/0!</v>
      </c>
      <c r="AH2534" s="143">
        <f t="shared" si="102"/>
        <v>0</v>
      </c>
    </row>
    <row r="2535" spans="1:35" x14ac:dyDescent="0.3">
      <c r="A2535" s="140">
        <v>904939</v>
      </c>
      <c r="G2535" s="795">
        <v>23.31</v>
      </c>
      <c r="AG2535" s="66" t="e">
        <f t="shared" si="101"/>
        <v>#DIV/0!</v>
      </c>
      <c r="AH2535" s="143">
        <f t="shared" si="102"/>
        <v>0</v>
      </c>
    </row>
    <row r="2536" spans="1:35" x14ac:dyDescent="0.3">
      <c r="A2536" s="140">
        <v>904940</v>
      </c>
      <c r="G2536" s="795">
        <v>161.82</v>
      </c>
      <c r="AG2536" s="66" t="e">
        <f t="shared" si="101"/>
        <v>#DIV/0!</v>
      </c>
      <c r="AH2536" s="143">
        <f t="shared" si="102"/>
        <v>0</v>
      </c>
    </row>
    <row r="2537" spans="1:35" s="812" customFormat="1" x14ac:dyDescent="0.3">
      <c r="A2537" s="812">
        <v>904865</v>
      </c>
      <c r="B2537" s="809">
        <v>18.583333333333332</v>
      </c>
      <c r="C2537" s="809">
        <v>5.8749999999999991</v>
      </c>
      <c r="D2537" s="810">
        <v>7.88</v>
      </c>
      <c r="E2537" s="808">
        <v>2.36</v>
      </c>
      <c r="F2537" s="812">
        <v>2596</v>
      </c>
      <c r="H2537" s="812">
        <v>15.3</v>
      </c>
      <c r="I2537" s="812">
        <v>120</v>
      </c>
      <c r="J2537" s="810">
        <v>2.0369999999999999</v>
      </c>
      <c r="K2537" s="810">
        <v>12.91</v>
      </c>
      <c r="L2537" s="812">
        <v>1210</v>
      </c>
      <c r="M2537" s="809">
        <v>0.49</v>
      </c>
      <c r="N2537" s="809">
        <v>1.37</v>
      </c>
      <c r="O2537" s="809">
        <v>3.2</v>
      </c>
      <c r="P2537" s="809">
        <v>7.49</v>
      </c>
      <c r="R2537" s="809">
        <v>0.8052702966884655</v>
      </c>
      <c r="S2537" s="809">
        <v>5.3</v>
      </c>
      <c r="T2537" s="625"/>
      <c r="U2537" s="625"/>
      <c r="V2537" s="625"/>
      <c r="Y2537" s="812">
        <v>33.6</v>
      </c>
      <c r="Z2537" s="1348"/>
      <c r="AA2537" s="1348"/>
      <c r="AB2537" s="1348"/>
      <c r="AC2537" s="1348"/>
      <c r="AD2537" s="812">
        <v>560</v>
      </c>
      <c r="AE2537" s="812">
        <v>310</v>
      </c>
      <c r="AF2537" s="812">
        <v>130</v>
      </c>
      <c r="AG2537" s="66">
        <f t="shared" si="101"/>
        <v>136.01607142857142</v>
      </c>
      <c r="AH2537" s="143">
        <f t="shared" si="102"/>
        <v>1000</v>
      </c>
      <c r="AI2537" s="812">
        <f>1000-(AD2537+AE2537)</f>
        <v>130</v>
      </c>
    </row>
    <row r="2538" spans="1:35" s="812" customFormat="1" x14ac:dyDescent="0.3">
      <c r="A2538" s="812">
        <v>904866</v>
      </c>
      <c r="B2538" s="809">
        <v>0</v>
      </c>
      <c r="D2538" s="810">
        <v>6.95</v>
      </c>
      <c r="E2538" s="808">
        <v>0.105</v>
      </c>
      <c r="F2538" s="812">
        <v>115.5</v>
      </c>
      <c r="H2538" s="812">
        <v>59.63</v>
      </c>
      <c r="I2538" s="812">
        <v>140</v>
      </c>
      <c r="J2538" s="810">
        <v>8.4000000000000005E-2</v>
      </c>
      <c r="K2538" s="810">
        <v>1.32</v>
      </c>
      <c r="L2538" s="812">
        <v>190</v>
      </c>
      <c r="M2538" s="809">
        <v>0.68</v>
      </c>
      <c r="N2538" s="809">
        <v>0.78</v>
      </c>
      <c r="O2538" s="809">
        <v>34.31</v>
      </c>
      <c r="P2538" s="809">
        <v>37.47</v>
      </c>
      <c r="R2538" s="809">
        <v>1.0794948086579146</v>
      </c>
      <c r="S2538" s="809">
        <v>8</v>
      </c>
      <c r="T2538" s="627"/>
      <c r="U2538" s="627"/>
      <c r="V2538" s="627"/>
      <c r="Y2538" s="812">
        <v>26.4</v>
      </c>
      <c r="Z2538" s="1348"/>
      <c r="AA2538" s="1348"/>
      <c r="AB2538" s="1348"/>
      <c r="AC2538" s="1348"/>
      <c r="AD2538" s="812">
        <v>440</v>
      </c>
      <c r="AE2538" s="812">
        <v>280</v>
      </c>
      <c r="AF2538" s="812">
        <v>280</v>
      </c>
      <c r="AG2538" s="66">
        <f t="shared" si="101"/>
        <v>17.700000000000003</v>
      </c>
      <c r="AH2538" s="143">
        <f t="shared" si="102"/>
        <v>1000</v>
      </c>
      <c r="AI2538" s="812">
        <f t="shared" ref="AI2538:AI2570" si="103">1000-(AD2538+AE2538)</f>
        <v>280</v>
      </c>
    </row>
    <row r="2539" spans="1:35" s="812" customFormat="1" x14ac:dyDescent="0.3">
      <c r="A2539" s="812">
        <v>904867</v>
      </c>
      <c r="B2539" s="809">
        <v>0.2</v>
      </c>
      <c r="D2539" s="810">
        <v>7.23</v>
      </c>
      <c r="E2539" s="808">
        <v>0.20300000000000001</v>
      </c>
      <c r="F2539" s="812">
        <v>223.30000000000004</v>
      </c>
      <c r="H2539" s="812">
        <v>126.29</v>
      </c>
      <c r="I2539" s="812">
        <v>290</v>
      </c>
      <c r="J2539" s="810">
        <v>0.08</v>
      </c>
      <c r="K2539" s="810">
        <v>2.4</v>
      </c>
      <c r="L2539" s="812">
        <v>250</v>
      </c>
      <c r="M2539" s="809">
        <v>3.46</v>
      </c>
      <c r="N2539" s="809">
        <v>0.86</v>
      </c>
      <c r="O2539" s="809">
        <v>30.67</v>
      </c>
      <c r="P2539" s="809">
        <v>17.38</v>
      </c>
      <c r="R2539" s="809">
        <v>1.6886570000000001</v>
      </c>
      <c r="S2539" s="809">
        <v>13.3</v>
      </c>
      <c r="T2539" s="625"/>
      <c r="U2539" s="625"/>
      <c r="V2539" s="625"/>
      <c r="Y2539" s="812">
        <v>32.200000000000003</v>
      </c>
      <c r="Z2539" s="1348"/>
      <c r="AA2539" s="1348"/>
      <c r="AB2539" s="1348"/>
      <c r="AC2539" s="1348"/>
      <c r="AD2539" s="812">
        <v>460</v>
      </c>
      <c r="AE2539" s="812">
        <v>320</v>
      </c>
      <c r="AF2539" s="812">
        <v>220</v>
      </c>
      <c r="AG2539" s="66">
        <f t="shared" si="101"/>
        <v>26.385093167701861</v>
      </c>
      <c r="AH2539" s="143">
        <f t="shared" si="102"/>
        <v>1000</v>
      </c>
      <c r="AI2539" s="812">
        <f t="shared" si="103"/>
        <v>220</v>
      </c>
    </row>
    <row r="2540" spans="1:35" s="812" customFormat="1" x14ac:dyDescent="0.3">
      <c r="A2540" s="812">
        <v>904868</v>
      </c>
      <c r="B2540" s="809">
        <v>0.1</v>
      </c>
      <c r="D2540" s="810">
        <v>6.34</v>
      </c>
      <c r="E2540" s="808">
        <v>0.08</v>
      </c>
      <c r="F2540" s="812">
        <v>88.000000000000014</v>
      </c>
      <c r="H2540" s="812">
        <v>48.39</v>
      </c>
      <c r="I2540" s="812">
        <v>100</v>
      </c>
      <c r="J2540" s="810">
        <v>6.4000000000000001E-2</v>
      </c>
      <c r="K2540" s="810">
        <v>0.88</v>
      </c>
      <c r="L2540" s="812">
        <v>160</v>
      </c>
      <c r="M2540" s="809">
        <v>0.56999999999999995</v>
      </c>
      <c r="N2540" s="809">
        <v>0.56000000000000005</v>
      </c>
      <c r="O2540" s="809">
        <v>55.14</v>
      </c>
      <c r="P2540" s="809">
        <v>31.34</v>
      </c>
      <c r="R2540" s="809">
        <v>1.2146705668502529</v>
      </c>
      <c r="S2540" s="809">
        <v>8.6999999999999993</v>
      </c>
      <c r="T2540" s="627"/>
      <c r="U2540" s="627"/>
      <c r="V2540" s="627"/>
      <c r="Y2540" s="812">
        <v>22.8</v>
      </c>
      <c r="Z2540" s="1348">
        <v>5.88</v>
      </c>
      <c r="AA2540" s="1348"/>
      <c r="AB2540" s="1348"/>
      <c r="AC2540" s="1348"/>
      <c r="AD2540" s="812">
        <v>380</v>
      </c>
      <c r="AE2540" s="812">
        <v>260</v>
      </c>
      <c r="AF2540" s="812">
        <v>360</v>
      </c>
      <c r="AG2540" s="66">
        <f t="shared" si="101"/>
        <v>13.663157894736843</v>
      </c>
      <c r="AH2540" s="143">
        <f t="shared" si="102"/>
        <v>1000</v>
      </c>
      <c r="AI2540" s="812">
        <f t="shared" si="103"/>
        <v>360</v>
      </c>
    </row>
    <row r="2541" spans="1:35" s="812" customFormat="1" x14ac:dyDescent="0.3">
      <c r="A2541" s="812">
        <v>904869</v>
      </c>
      <c r="B2541" s="809">
        <v>0.13333333333333333</v>
      </c>
      <c r="D2541" s="810">
        <v>6.49</v>
      </c>
      <c r="E2541" s="808">
        <v>7.1999999999999995E-2</v>
      </c>
      <c r="F2541" s="812">
        <v>79.2</v>
      </c>
      <c r="H2541" s="812">
        <v>72.36</v>
      </c>
      <c r="I2541" s="812">
        <v>180</v>
      </c>
      <c r="J2541" s="810">
        <v>3.9E-2</v>
      </c>
      <c r="K2541" s="810">
        <v>0.81</v>
      </c>
      <c r="L2541" s="812">
        <v>110</v>
      </c>
      <c r="M2541" s="809">
        <v>0.74</v>
      </c>
      <c r="N2541" s="809">
        <v>0.56999999999999995</v>
      </c>
      <c r="O2541" s="809">
        <v>67.14</v>
      </c>
      <c r="P2541" s="809">
        <v>31.13</v>
      </c>
      <c r="R2541" s="809">
        <v>1.0669616275031604</v>
      </c>
      <c r="S2541" s="809">
        <v>7.4</v>
      </c>
      <c r="T2541" s="625"/>
      <c r="U2541" s="625"/>
      <c r="V2541" s="625"/>
      <c r="Y2541" s="812">
        <v>26.6</v>
      </c>
      <c r="Z2541" s="1348">
        <v>5.94</v>
      </c>
      <c r="AA2541" s="1348"/>
      <c r="AB2541" s="1348"/>
      <c r="AC2541" s="1348"/>
      <c r="AD2541" s="812">
        <v>380</v>
      </c>
      <c r="AE2541" s="812">
        <v>140</v>
      </c>
      <c r="AF2541" s="812">
        <v>480</v>
      </c>
      <c r="AG2541" s="66">
        <f t="shared" si="101"/>
        <v>10.779699248120302</v>
      </c>
      <c r="AH2541" s="143">
        <f t="shared" si="102"/>
        <v>1000</v>
      </c>
      <c r="AI2541" s="812">
        <f t="shared" si="103"/>
        <v>480</v>
      </c>
    </row>
    <row r="2542" spans="1:35" s="812" customFormat="1" x14ac:dyDescent="0.3">
      <c r="A2542" s="812">
        <v>904870</v>
      </c>
      <c r="B2542" s="809">
        <v>8.3333333333333329E-2</v>
      </c>
      <c r="D2542" s="810">
        <v>6.99</v>
      </c>
      <c r="E2542" s="808">
        <v>0.10100000000000001</v>
      </c>
      <c r="F2542" s="812">
        <v>111.10000000000002</v>
      </c>
      <c r="H2542" s="812">
        <v>19.62</v>
      </c>
      <c r="I2542" s="812">
        <v>170</v>
      </c>
      <c r="J2542" s="810">
        <v>7.0999999999999994E-2</v>
      </c>
      <c r="K2542" s="810">
        <v>2.23</v>
      </c>
      <c r="L2542" s="812">
        <v>290</v>
      </c>
      <c r="M2542" s="809">
        <v>0.43</v>
      </c>
      <c r="N2542" s="809">
        <v>0.84</v>
      </c>
      <c r="O2542" s="809">
        <v>67.39</v>
      </c>
      <c r="P2542" s="809">
        <v>12.13</v>
      </c>
      <c r="R2542" s="809">
        <v>0.97160234890928365</v>
      </c>
      <c r="S2542" s="809">
        <v>6.9</v>
      </c>
      <c r="T2542" s="627"/>
      <c r="U2542" s="627"/>
      <c r="V2542" s="627"/>
      <c r="Y2542" s="812">
        <v>16</v>
      </c>
      <c r="Z2542" s="1348"/>
      <c r="AA2542" s="1348"/>
      <c r="AB2542" s="1348"/>
      <c r="AC2542" s="1348"/>
      <c r="AD2542" s="812">
        <v>320</v>
      </c>
      <c r="AE2542" s="812">
        <v>280</v>
      </c>
      <c r="AF2542" s="812">
        <v>400</v>
      </c>
      <c r="AG2542" s="66">
        <f t="shared" si="101"/>
        <v>49.338749999999997</v>
      </c>
      <c r="AH2542" s="143">
        <f t="shared" si="102"/>
        <v>1000</v>
      </c>
      <c r="AI2542" s="812">
        <f t="shared" si="103"/>
        <v>400</v>
      </c>
    </row>
    <row r="2543" spans="1:35" s="812" customFormat="1" x14ac:dyDescent="0.3">
      <c r="A2543" s="812">
        <v>904871</v>
      </c>
      <c r="B2543" s="809">
        <v>0.16666666666666666</v>
      </c>
      <c r="D2543" s="810">
        <v>6.8</v>
      </c>
      <c r="E2543" s="808">
        <v>5.7000000000000002E-2</v>
      </c>
      <c r="F2543" s="812">
        <v>62.7</v>
      </c>
      <c r="H2543" s="812">
        <v>31.69</v>
      </c>
      <c r="I2543" s="812">
        <v>100</v>
      </c>
      <c r="J2543" s="810">
        <v>2.9000000000000001E-2</v>
      </c>
      <c r="K2543" s="810">
        <v>0.84</v>
      </c>
      <c r="L2543" s="812">
        <v>120</v>
      </c>
      <c r="M2543" s="809">
        <v>0.54</v>
      </c>
      <c r="N2543" s="809">
        <v>0.84</v>
      </c>
      <c r="O2543" s="809">
        <v>59.6</v>
      </c>
      <c r="P2543" s="809">
        <v>17.649999999999999</v>
      </c>
      <c r="R2543" s="809">
        <v>0.82254641601156442</v>
      </c>
      <c r="S2543" s="809">
        <v>5.9</v>
      </c>
      <c r="T2543" s="625"/>
      <c r="U2543" s="625"/>
      <c r="V2543" s="625"/>
      <c r="Y2543" s="812">
        <v>13</v>
      </c>
      <c r="Z2543" s="1348"/>
      <c r="AA2543" s="1348"/>
      <c r="AB2543" s="1348"/>
      <c r="AC2543" s="1348"/>
      <c r="AD2543" s="812">
        <v>260</v>
      </c>
      <c r="AE2543" s="812">
        <v>160</v>
      </c>
      <c r="AF2543" s="812">
        <v>580</v>
      </c>
      <c r="AG2543" s="66">
        <f t="shared" si="101"/>
        <v>22.873846153846152</v>
      </c>
      <c r="AH2543" s="143">
        <f t="shared" si="102"/>
        <v>1000</v>
      </c>
      <c r="AI2543" s="812">
        <f t="shared" si="103"/>
        <v>580</v>
      </c>
    </row>
    <row r="2544" spans="1:35" s="812" customFormat="1" x14ac:dyDescent="0.3">
      <c r="A2544" s="812">
        <v>904872</v>
      </c>
      <c r="B2544" s="809">
        <v>8.3333333333333329E-2</v>
      </c>
      <c r="D2544" s="810">
        <v>6.62</v>
      </c>
      <c r="E2544" s="808">
        <v>0.10299999999999999</v>
      </c>
      <c r="F2544" s="812">
        <v>113.3</v>
      </c>
      <c r="H2544" s="812">
        <v>10.38</v>
      </c>
      <c r="I2544" s="812">
        <v>70</v>
      </c>
      <c r="J2544" s="810">
        <v>0.14099999999999999</v>
      </c>
      <c r="K2544" s="810">
        <v>1.38</v>
      </c>
      <c r="L2544" s="812">
        <v>710</v>
      </c>
      <c r="M2544" s="809">
        <v>0.2</v>
      </c>
      <c r="N2544" s="809">
        <v>0.4</v>
      </c>
      <c r="O2544" s="809">
        <v>6.24</v>
      </c>
      <c r="P2544" s="809">
        <v>10.67</v>
      </c>
      <c r="R2544" s="809">
        <v>0.68337093551537709</v>
      </c>
      <c r="S2544" s="809">
        <v>4.9000000000000004</v>
      </c>
      <c r="T2544" s="627"/>
      <c r="U2544" s="627"/>
      <c r="V2544" s="627"/>
      <c r="Y2544" s="812">
        <v>31</v>
      </c>
      <c r="Z2544" s="1348">
        <v>6.05</v>
      </c>
      <c r="AA2544" s="1348"/>
      <c r="AB2544" s="1348"/>
      <c r="AC2544" s="1348"/>
      <c r="AD2544" s="812">
        <v>480</v>
      </c>
      <c r="AE2544" s="812">
        <v>240</v>
      </c>
      <c r="AF2544" s="812">
        <v>280</v>
      </c>
      <c r="AG2544" s="66">
        <f t="shared" si="101"/>
        <v>15.758709677419352</v>
      </c>
      <c r="AH2544" s="143">
        <f t="shared" si="102"/>
        <v>1000</v>
      </c>
      <c r="AI2544" s="812">
        <f t="shared" si="103"/>
        <v>280</v>
      </c>
    </row>
    <row r="2545" spans="1:35" s="812" customFormat="1" x14ac:dyDescent="0.3">
      <c r="A2545" s="812">
        <v>904873</v>
      </c>
      <c r="B2545" s="809">
        <v>6.6666666666666666E-2</v>
      </c>
      <c r="D2545" s="810">
        <v>6.97</v>
      </c>
      <c r="E2545" s="808">
        <v>2.1999999999999999E-2</v>
      </c>
      <c r="F2545" s="812">
        <v>24.2</v>
      </c>
      <c r="H2545" s="812">
        <v>6.23</v>
      </c>
      <c r="I2545" s="812">
        <v>30</v>
      </c>
      <c r="J2545" s="810">
        <v>3.2000000000000001E-2</v>
      </c>
      <c r="K2545" s="810">
        <v>0.71</v>
      </c>
      <c r="L2545" s="812">
        <v>140</v>
      </c>
      <c r="M2545" s="809">
        <v>0.13</v>
      </c>
      <c r="N2545" s="809">
        <v>0.48</v>
      </c>
      <c r="O2545" s="809">
        <v>7.87</v>
      </c>
      <c r="P2545" s="809">
        <v>20.309999999999999</v>
      </c>
      <c r="R2545" s="809">
        <v>0.43832250996123062</v>
      </c>
      <c r="S2545" s="809">
        <v>3.2</v>
      </c>
      <c r="T2545" s="625"/>
      <c r="U2545" s="625"/>
      <c r="V2545" s="625"/>
      <c r="Y2545" s="812">
        <v>15</v>
      </c>
      <c r="Z2545" s="1348"/>
      <c r="AA2545" s="1348"/>
      <c r="AB2545" s="1348"/>
      <c r="AC2545" s="1348"/>
      <c r="AD2545" s="812">
        <v>300</v>
      </c>
      <c r="AE2545" s="812">
        <v>160</v>
      </c>
      <c r="AF2545" s="812">
        <v>540</v>
      </c>
      <c r="AG2545" s="66">
        <f t="shared" si="101"/>
        <v>16.755999999999997</v>
      </c>
      <c r="AH2545" s="143">
        <f t="shared" si="102"/>
        <v>1000</v>
      </c>
      <c r="AI2545" s="812">
        <f t="shared" si="103"/>
        <v>540</v>
      </c>
    </row>
    <row r="2546" spans="1:35" s="812" customFormat="1" x14ac:dyDescent="0.3">
      <c r="A2546" s="812">
        <v>904874</v>
      </c>
      <c r="B2546" s="809">
        <v>0.1</v>
      </c>
      <c r="D2546" s="810">
        <v>6.41</v>
      </c>
      <c r="E2546" s="808">
        <v>3.4000000000000002E-2</v>
      </c>
      <c r="F2546" s="812">
        <v>37.400000000000006</v>
      </c>
      <c r="H2546" s="812">
        <v>11.41</v>
      </c>
      <c r="I2546" s="812">
        <v>40</v>
      </c>
      <c r="J2546" s="810">
        <v>2.5000000000000001E-2</v>
      </c>
      <c r="K2546" s="810">
        <v>0.67</v>
      </c>
      <c r="L2546" s="812">
        <v>100</v>
      </c>
      <c r="M2546" s="809">
        <v>0.16</v>
      </c>
      <c r="N2546" s="809">
        <v>0.46</v>
      </c>
      <c r="O2546" s="809">
        <v>21.78</v>
      </c>
      <c r="P2546" s="809">
        <v>16</v>
      </c>
      <c r="R2546" s="809">
        <v>0.6896500781280106</v>
      </c>
      <c r="S2546" s="809">
        <v>4.5</v>
      </c>
      <c r="T2546" s="627"/>
      <c r="U2546" s="627"/>
      <c r="V2546" s="627"/>
      <c r="Y2546" s="812">
        <v>12</v>
      </c>
      <c r="Z2546" s="1348">
        <v>5.99</v>
      </c>
      <c r="AA2546" s="1348"/>
      <c r="AB2546" s="1348"/>
      <c r="AC2546" s="1348"/>
      <c r="AD2546" s="812">
        <v>200</v>
      </c>
      <c r="AE2546" s="812">
        <v>140</v>
      </c>
      <c r="AF2546" s="812">
        <v>660</v>
      </c>
      <c r="AG2546" s="66">
        <f t="shared" si="101"/>
        <v>19.765000000000004</v>
      </c>
      <c r="AH2546" s="143">
        <f t="shared" si="102"/>
        <v>1000</v>
      </c>
      <c r="AI2546" s="812">
        <f t="shared" si="103"/>
        <v>660</v>
      </c>
    </row>
    <row r="2547" spans="1:35" s="812" customFormat="1" x14ac:dyDescent="0.3">
      <c r="A2547" s="812">
        <v>904875</v>
      </c>
      <c r="B2547" s="809">
        <v>0.3666666666666667</v>
      </c>
      <c r="D2547" s="810">
        <v>6.82</v>
      </c>
      <c r="E2547" s="808">
        <v>0.182</v>
      </c>
      <c r="F2547" s="812">
        <v>200.20000000000002</v>
      </c>
      <c r="H2547" s="812">
        <v>37.380000000000003</v>
      </c>
      <c r="I2547" s="812">
        <v>120</v>
      </c>
      <c r="J2547" s="810">
        <v>0.15</v>
      </c>
      <c r="K2547" s="810">
        <v>2.21</v>
      </c>
      <c r="L2547" s="812">
        <v>290</v>
      </c>
      <c r="M2547" s="809">
        <v>0.57999999999999996</v>
      </c>
      <c r="N2547" s="809">
        <v>0.5</v>
      </c>
      <c r="O2547" s="809">
        <v>11.92</v>
      </c>
      <c r="P2547" s="809">
        <v>17.760000000000002</v>
      </c>
      <c r="R2547" s="809">
        <v>1.0099258884860132</v>
      </c>
      <c r="S2547" s="809">
        <v>6.6</v>
      </c>
      <c r="T2547" s="625"/>
      <c r="U2547" s="625"/>
      <c r="V2547" s="625"/>
      <c r="Y2547" s="812">
        <v>32</v>
      </c>
      <c r="Z2547" s="1348"/>
      <c r="AA2547" s="1348"/>
      <c r="AB2547" s="1348"/>
      <c r="AC2547" s="1348"/>
      <c r="AD2547" s="812">
        <v>540</v>
      </c>
      <c r="AE2547" s="812">
        <v>320</v>
      </c>
      <c r="AF2547" s="812">
        <v>140</v>
      </c>
      <c r="AG2547" s="66">
        <f t="shared" si="101"/>
        <v>24.448125000000001</v>
      </c>
      <c r="AH2547" s="143">
        <f t="shared" si="102"/>
        <v>1000</v>
      </c>
      <c r="AI2547" s="812">
        <f t="shared" si="103"/>
        <v>140</v>
      </c>
    </row>
    <row r="2548" spans="1:35" s="812" customFormat="1" x14ac:dyDescent="0.3">
      <c r="A2548" s="812">
        <v>904876</v>
      </c>
      <c r="B2548" s="809">
        <v>0.93333333333333324</v>
      </c>
      <c r="D2548" s="810">
        <v>7.7</v>
      </c>
      <c r="E2548" s="808">
        <v>0.316</v>
      </c>
      <c r="F2548" s="812">
        <v>347.6</v>
      </c>
      <c r="H2548" s="812">
        <v>82.4</v>
      </c>
      <c r="I2548" s="812">
        <v>190</v>
      </c>
      <c r="J2548" s="810">
        <v>0.14399999999999999</v>
      </c>
      <c r="K2548" s="810">
        <v>4.59</v>
      </c>
      <c r="L2548" s="812">
        <v>380</v>
      </c>
      <c r="M2548" s="809">
        <v>0.67</v>
      </c>
      <c r="N2548" s="809">
        <v>0.47</v>
      </c>
      <c r="O2548" s="809">
        <v>4.01</v>
      </c>
      <c r="P2548" s="809">
        <v>8.64</v>
      </c>
      <c r="R2548" s="809">
        <v>1.2165547161395756</v>
      </c>
      <c r="S2548" s="809">
        <v>9</v>
      </c>
      <c r="T2548" s="627"/>
      <c r="U2548" s="627"/>
      <c r="V2548" s="627"/>
      <c r="Y2548" s="812">
        <v>30</v>
      </c>
      <c r="Z2548" s="1348"/>
      <c r="AA2548" s="1348"/>
      <c r="AB2548" s="1348"/>
      <c r="AC2548" s="1348"/>
      <c r="AD2548" s="812">
        <v>500</v>
      </c>
      <c r="AE2548" s="812">
        <v>380</v>
      </c>
      <c r="AF2548" s="812">
        <v>120</v>
      </c>
      <c r="AG2548" s="66">
        <f t="shared" si="101"/>
        <v>54.161999999999999</v>
      </c>
      <c r="AH2548" s="143">
        <f t="shared" si="102"/>
        <v>1000</v>
      </c>
      <c r="AI2548" s="812">
        <f t="shared" si="103"/>
        <v>120</v>
      </c>
    </row>
    <row r="2549" spans="1:35" s="812" customFormat="1" x14ac:dyDescent="0.3">
      <c r="A2549" s="812">
        <v>904877</v>
      </c>
      <c r="B2549" s="809">
        <v>0.18333333333333335</v>
      </c>
      <c r="D2549" s="810">
        <v>7.27</v>
      </c>
      <c r="E2549" s="808">
        <v>0.123</v>
      </c>
      <c r="F2549" s="812">
        <v>135.30000000000001</v>
      </c>
      <c r="H2549" s="812">
        <v>24.42</v>
      </c>
      <c r="I2549" s="812">
        <v>160</v>
      </c>
      <c r="J2549" s="810">
        <v>4.3999999999999997E-2</v>
      </c>
      <c r="K2549" s="810">
        <v>1.92</v>
      </c>
      <c r="L2549" s="812">
        <v>170</v>
      </c>
      <c r="M2549" s="809">
        <v>0.45</v>
      </c>
      <c r="N2549" s="809">
        <v>0.63</v>
      </c>
      <c r="O2549" s="809">
        <v>53.54</v>
      </c>
      <c r="P2549" s="809">
        <v>7.9</v>
      </c>
      <c r="R2549" s="809">
        <v>1.0144493746406544</v>
      </c>
      <c r="S2549" s="809">
        <v>7.6</v>
      </c>
      <c r="T2549" s="625"/>
      <c r="U2549" s="625"/>
      <c r="V2549" s="625"/>
      <c r="Y2549" s="812">
        <v>25.5</v>
      </c>
      <c r="Z2549" s="1348"/>
      <c r="AA2549" s="1348"/>
      <c r="AB2549" s="1348"/>
      <c r="AC2549" s="1348"/>
      <c r="AD2549" s="812">
        <v>510</v>
      </c>
      <c r="AE2549" s="812">
        <v>320</v>
      </c>
      <c r="AF2549" s="812">
        <v>170</v>
      </c>
      <c r="AG2549" s="66">
        <f t="shared" si="101"/>
        <v>26.654117647058825</v>
      </c>
      <c r="AH2549" s="143">
        <f t="shared" si="102"/>
        <v>1000</v>
      </c>
      <c r="AI2549" s="812">
        <f t="shared" si="103"/>
        <v>170</v>
      </c>
    </row>
    <row r="2550" spans="1:35" s="812" customFormat="1" x14ac:dyDescent="0.3">
      <c r="A2550" s="812">
        <v>904878</v>
      </c>
      <c r="B2550" s="809">
        <v>0.16666666666666666</v>
      </c>
      <c r="D2550" s="810">
        <v>6.81</v>
      </c>
      <c r="E2550" s="808">
        <v>5.0999999999999997E-2</v>
      </c>
      <c r="F2550" s="812">
        <v>56.1</v>
      </c>
      <c r="H2550" s="812">
        <v>16.53</v>
      </c>
      <c r="I2550" s="812">
        <v>130</v>
      </c>
      <c r="J2550" s="810">
        <v>3.1E-2</v>
      </c>
      <c r="K2550" s="810">
        <v>1.03</v>
      </c>
      <c r="L2550" s="812">
        <v>150</v>
      </c>
      <c r="M2550" s="809">
        <v>0.38</v>
      </c>
      <c r="N2550" s="809">
        <v>0.71</v>
      </c>
      <c r="O2550" s="809">
        <v>27.17</v>
      </c>
      <c r="P2550" s="809">
        <v>14.24</v>
      </c>
      <c r="R2550" s="809">
        <v>0.99991952604434364</v>
      </c>
      <c r="S2550" s="809">
        <v>6.5</v>
      </c>
      <c r="T2550" s="627"/>
      <c r="U2550" s="627"/>
      <c r="V2550" s="627"/>
      <c r="Y2550" s="812">
        <v>8.4</v>
      </c>
      <c r="Z2550" s="1348"/>
      <c r="AA2550" s="1348"/>
      <c r="AB2550" s="1348"/>
      <c r="AC2550" s="1348"/>
      <c r="AD2550" s="812">
        <v>140</v>
      </c>
      <c r="AE2550" s="812">
        <v>100</v>
      </c>
      <c r="AF2550" s="812">
        <v>760</v>
      </c>
      <c r="AG2550" s="66">
        <f t="shared" si="101"/>
        <v>43.407142857142858</v>
      </c>
      <c r="AH2550" s="143">
        <f t="shared" si="102"/>
        <v>1000</v>
      </c>
      <c r="AI2550" s="812">
        <f t="shared" si="103"/>
        <v>760</v>
      </c>
    </row>
    <row r="2551" spans="1:35" s="812" customFormat="1" x14ac:dyDescent="0.3">
      <c r="A2551" s="812">
        <v>904879</v>
      </c>
      <c r="B2551" s="809">
        <v>8.3333333333333329E-2</v>
      </c>
      <c r="D2551" s="810">
        <v>6.95</v>
      </c>
      <c r="E2551" s="808">
        <v>4.7E-2</v>
      </c>
      <c r="F2551" s="812">
        <v>51.7</v>
      </c>
      <c r="H2551" s="812">
        <v>23.85</v>
      </c>
      <c r="I2551" s="812">
        <v>80</v>
      </c>
      <c r="J2551" s="810">
        <v>2.5999999999999999E-2</v>
      </c>
      <c r="K2551" s="810">
        <v>0.9</v>
      </c>
      <c r="L2551" s="812">
        <v>110</v>
      </c>
      <c r="M2551" s="809">
        <v>0.41</v>
      </c>
      <c r="N2551" s="809">
        <v>0.76</v>
      </c>
      <c r="O2551" s="809">
        <v>34.49</v>
      </c>
      <c r="P2551" s="809">
        <v>15.72</v>
      </c>
      <c r="R2551" s="809">
        <v>0.87994509501746743</v>
      </c>
      <c r="S2551" s="809">
        <v>6.4</v>
      </c>
      <c r="T2551" s="625"/>
      <c r="U2551" s="625"/>
      <c r="V2551" s="625"/>
      <c r="Y2551" s="812">
        <v>10.8</v>
      </c>
      <c r="Z2551" s="1348"/>
      <c r="AA2551" s="1348"/>
      <c r="AB2551" s="1348"/>
      <c r="AC2551" s="1348"/>
      <c r="AD2551" s="812">
        <v>180</v>
      </c>
      <c r="AE2551" s="812">
        <v>100</v>
      </c>
      <c r="AF2551" s="812">
        <v>720</v>
      </c>
      <c r="AG2551" s="66">
        <f t="shared" si="101"/>
        <v>29.5</v>
      </c>
      <c r="AH2551" s="143">
        <f t="shared" si="102"/>
        <v>1000</v>
      </c>
      <c r="AI2551" s="812">
        <f t="shared" si="103"/>
        <v>720</v>
      </c>
    </row>
    <row r="2552" spans="1:35" s="812" customFormat="1" x14ac:dyDescent="0.3">
      <c r="A2552" s="812">
        <v>904880</v>
      </c>
      <c r="B2552" s="809">
        <v>8.3333333333333329E-2</v>
      </c>
      <c r="D2552" s="810">
        <v>6.88</v>
      </c>
      <c r="E2552" s="808">
        <v>4.9000000000000002E-2</v>
      </c>
      <c r="F2552" s="812">
        <v>53.900000000000006</v>
      </c>
      <c r="H2552" s="812">
        <v>32.659999999999997</v>
      </c>
      <c r="I2552" s="812">
        <v>100</v>
      </c>
      <c r="J2552" s="810">
        <v>2.5999999999999999E-2</v>
      </c>
      <c r="K2552" s="810">
        <v>0.81</v>
      </c>
      <c r="L2552" s="812">
        <v>100</v>
      </c>
      <c r="M2552" s="809">
        <v>0.59</v>
      </c>
      <c r="N2552" s="809">
        <v>0.74</v>
      </c>
      <c r="O2552" s="809">
        <v>36.26</v>
      </c>
      <c r="P2552" s="809">
        <v>20.99</v>
      </c>
      <c r="R2552" s="809">
        <v>0.91177699266026779</v>
      </c>
      <c r="S2552" s="809">
        <v>6.8</v>
      </c>
      <c r="T2552" s="627"/>
      <c r="U2552" s="627"/>
      <c r="V2552" s="627"/>
      <c r="Y2552" s="812">
        <v>10.8</v>
      </c>
      <c r="Z2552" s="1348"/>
      <c r="AA2552" s="1348"/>
      <c r="AB2552" s="1348"/>
      <c r="AC2552" s="1348"/>
      <c r="AD2552" s="812">
        <v>180</v>
      </c>
      <c r="AE2552" s="812">
        <v>120</v>
      </c>
      <c r="AF2552" s="812">
        <v>700</v>
      </c>
      <c r="AG2552" s="66">
        <f t="shared" si="101"/>
        <v>26.550000000000004</v>
      </c>
      <c r="AH2552" s="143">
        <f t="shared" si="102"/>
        <v>1000</v>
      </c>
      <c r="AI2552" s="812">
        <f t="shared" si="103"/>
        <v>700</v>
      </c>
    </row>
    <row r="2553" spans="1:35" s="812" customFormat="1" x14ac:dyDescent="0.3">
      <c r="A2553" s="812">
        <v>904881</v>
      </c>
      <c r="B2553" s="809">
        <v>5.7499999999999991</v>
      </c>
      <c r="D2553" s="810">
        <v>7.83</v>
      </c>
      <c r="E2553" s="808">
        <v>0.14699999999999999</v>
      </c>
      <c r="F2553" s="812">
        <v>161.70000000000002</v>
      </c>
      <c r="H2553" s="812">
        <v>247.66</v>
      </c>
      <c r="I2553" s="812">
        <v>110</v>
      </c>
      <c r="J2553" s="810">
        <v>6.5000000000000002E-2</v>
      </c>
      <c r="K2553" s="810">
        <v>4.8099999999999996</v>
      </c>
      <c r="L2553" s="812">
        <v>220</v>
      </c>
      <c r="M2553" s="809">
        <v>5.35</v>
      </c>
      <c r="N2553" s="809">
        <v>0.61</v>
      </c>
      <c r="O2553" s="809">
        <v>2.85</v>
      </c>
      <c r="P2553" s="809">
        <v>10.029999999999999</v>
      </c>
      <c r="R2553" s="809">
        <v>1.737657</v>
      </c>
      <c r="S2553" s="809">
        <v>14.7</v>
      </c>
      <c r="T2553" s="625"/>
      <c r="U2553" s="625"/>
      <c r="V2553" s="625"/>
      <c r="Y2553" s="812">
        <v>3.6</v>
      </c>
      <c r="Z2553" s="1348"/>
      <c r="AA2553" s="1348"/>
      <c r="AB2553" s="1348"/>
      <c r="AC2553" s="1348"/>
      <c r="AD2553" s="812">
        <v>60</v>
      </c>
      <c r="AE2553" s="812">
        <v>60</v>
      </c>
      <c r="AF2553" s="812">
        <v>880</v>
      </c>
      <c r="AG2553" s="66">
        <f t="shared" si="101"/>
        <v>472.98333333333335</v>
      </c>
      <c r="AH2553" s="143">
        <f t="shared" si="102"/>
        <v>1000</v>
      </c>
      <c r="AI2553" s="812">
        <f t="shared" si="103"/>
        <v>880</v>
      </c>
    </row>
    <row r="2554" spans="1:35" s="812" customFormat="1" x14ac:dyDescent="0.3">
      <c r="A2554" s="812">
        <v>904882</v>
      </c>
      <c r="B2554" s="809">
        <v>0.1</v>
      </c>
      <c r="D2554" s="810">
        <v>7.16</v>
      </c>
      <c r="E2554" s="808">
        <v>6.3E-2</v>
      </c>
      <c r="F2554" s="812">
        <v>69.3</v>
      </c>
      <c r="H2554" s="812">
        <v>71.19</v>
      </c>
      <c r="I2554" s="812">
        <v>80</v>
      </c>
      <c r="J2554" s="810">
        <v>0.05</v>
      </c>
      <c r="K2554" s="810">
        <v>0.34</v>
      </c>
      <c r="L2554" s="812">
        <v>50</v>
      </c>
      <c r="M2554" s="809">
        <v>0.59</v>
      </c>
      <c r="N2554" s="809">
        <v>0.22</v>
      </c>
      <c r="O2554" s="809">
        <v>1.63</v>
      </c>
      <c r="P2554" s="809">
        <v>17.48</v>
      </c>
      <c r="R2554" s="809">
        <v>0.33657026346831592</v>
      </c>
      <c r="S2554" s="809">
        <v>2.4</v>
      </c>
      <c r="T2554" s="627"/>
      <c r="U2554" s="627"/>
      <c r="V2554" s="627"/>
      <c r="Y2554" s="812">
        <v>3</v>
      </c>
      <c r="Z2554" s="1348"/>
      <c r="AA2554" s="1348">
        <v>3.68</v>
      </c>
      <c r="AB2554" s="1348">
        <v>0.39900000000000002</v>
      </c>
      <c r="AC2554" s="1348">
        <v>8.1</v>
      </c>
      <c r="AD2554" s="812">
        <v>60</v>
      </c>
      <c r="AE2554" s="812">
        <v>60</v>
      </c>
      <c r="AF2554" s="812">
        <v>880</v>
      </c>
      <c r="AG2554" s="66">
        <f t="shared" si="101"/>
        <v>40.119999999999997</v>
      </c>
      <c r="AH2554" s="143">
        <f t="shared" si="102"/>
        <v>1000</v>
      </c>
      <c r="AI2554" s="812">
        <f t="shared" si="103"/>
        <v>880</v>
      </c>
    </row>
    <row r="2555" spans="1:35" s="812" customFormat="1" x14ac:dyDescent="0.3">
      <c r="A2555" s="812">
        <v>904883</v>
      </c>
      <c r="B2555" s="809">
        <v>0.11666666666666665</v>
      </c>
      <c r="D2555" s="810">
        <v>6.89</v>
      </c>
      <c r="E2555" s="808">
        <v>5.3999999999999999E-2</v>
      </c>
      <c r="F2555" s="812">
        <v>59.4</v>
      </c>
      <c r="H2555" s="812">
        <v>91.73</v>
      </c>
      <c r="I2555" s="812">
        <v>90</v>
      </c>
      <c r="J2555" s="810">
        <v>1.2E-2</v>
      </c>
      <c r="K2555" s="810">
        <v>0.61</v>
      </c>
      <c r="L2555" s="812">
        <v>60</v>
      </c>
      <c r="M2555" s="809">
        <v>1.73</v>
      </c>
      <c r="N2555" s="809">
        <v>0.93</v>
      </c>
      <c r="O2555" s="809">
        <v>7.47</v>
      </c>
      <c r="P2555" s="809">
        <v>16.48</v>
      </c>
      <c r="R2555" s="809">
        <v>0.55043873381029806</v>
      </c>
      <c r="S2555" s="809">
        <v>3.8</v>
      </c>
      <c r="T2555" s="625"/>
      <c r="U2555" s="625"/>
      <c r="V2555" s="625"/>
      <c r="Y2555" s="812">
        <v>4</v>
      </c>
      <c r="Z2555" s="1348"/>
      <c r="AA2555" s="1348">
        <v>3.99</v>
      </c>
      <c r="AB2555" s="1348">
        <v>0.432</v>
      </c>
      <c r="AC2555" s="1348">
        <v>9.8000000000000007</v>
      </c>
      <c r="AD2555" s="812">
        <v>80</v>
      </c>
      <c r="AE2555" s="812">
        <v>60</v>
      </c>
      <c r="AF2555" s="812">
        <v>860</v>
      </c>
      <c r="AG2555" s="66">
        <f t="shared" si="101"/>
        <v>53.984999999999992</v>
      </c>
      <c r="AH2555" s="143">
        <f t="shared" si="102"/>
        <v>1000</v>
      </c>
      <c r="AI2555" s="812">
        <f t="shared" si="103"/>
        <v>860</v>
      </c>
    </row>
    <row r="2556" spans="1:35" s="812" customFormat="1" x14ac:dyDescent="0.3">
      <c r="A2556" s="812">
        <v>904884</v>
      </c>
      <c r="B2556" s="809">
        <v>0.17500000000000002</v>
      </c>
      <c r="D2556" s="810">
        <v>7.09</v>
      </c>
      <c r="E2556" s="808">
        <v>7.2999999999999995E-2</v>
      </c>
      <c r="F2556" s="812">
        <v>80.3</v>
      </c>
      <c r="H2556" s="812">
        <v>69.650000000000006</v>
      </c>
      <c r="I2556" s="812">
        <v>90</v>
      </c>
      <c r="J2556" s="810">
        <v>3.4000000000000002E-2</v>
      </c>
      <c r="K2556" s="810">
        <v>0.69</v>
      </c>
      <c r="L2556" s="812">
        <v>70</v>
      </c>
      <c r="M2556" s="809">
        <v>2.17</v>
      </c>
      <c r="N2556" s="809">
        <v>1.1299999999999999</v>
      </c>
      <c r="O2556" s="809">
        <v>7.43</v>
      </c>
      <c r="P2556" s="809">
        <v>17.09</v>
      </c>
      <c r="R2556" s="809">
        <v>0.52795565781318665</v>
      </c>
      <c r="S2556" s="809">
        <v>3.7</v>
      </c>
      <c r="T2556" s="627"/>
      <c r="U2556" s="627"/>
      <c r="V2556" s="627"/>
      <c r="Y2556" s="812">
        <v>4</v>
      </c>
      <c r="Z2556" s="1348"/>
      <c r="AA2556" s="1348">
        <v>3.65</v>
      </c>
      <c r="AB2556" s="1348">
        <v>0.82099999999999995</v>
      </c>
      <c r="AC2556" s="1348">
        <v>8.6</v>
      </c>
      <c r="AD2556" s="812">
        <v>80</v>
      </c>
      <c r="AE2556" s="812">
        <v>60</v>
      </c>
      <c r="AF2556" s="812">
        <v>860</v>
      </c>
      <c r="AG2556" s="66">
        <f t="shared" si="101"/>
        <v>61.064999999999991</v>
      </c>
      <c r="AH2556" s="143">
        <f t="shared" si="102"/>
        <v>1000</v>
      </c>
      <c r="AI2556" s="812">
        <f t="shared" si="103"/>
        <v>860</v>
      </c>
    </row>
    <row r="2557" spans="1:35" s="812" customFormat="1" x14ac:dyDescent="0.3">
      <c r="A2557" s="812">
        <v>904885</v>
      </c>
      <c r="B2557" s="809">
        <v>0.11666666666666665</v>
      </c>
      <c r="D2557" s="810">
        <v>7.14</v>
      </c>
      <c r="E2557" s="808">
        <v>0.127</v>
      </c>
      <c r="F2557" s="812">
        <v>139.70000000000002</v>
      </c>
      <c r="H2557" s="812">
        <v>82.49</v>
      </c>
      <c r="I2557" s="812">
        <v>260</v>
      </c>
      <c r="J2557" s="810">
        <v>4.7E-2</v>
      </c>
      <c r="K2557" s="810">
        <v>0.57999999999999996</v>
      </c>
      <c r="L2557" s="812">
        <v>50</v>
      </c>
      <c r="M2557" s="809">
        <v>3.25</v>
      </c>
      <c r="N2557" s="809">
        <v>1.1399999999999999</v>
      </c>
      <c r="O2557" s="809">
        <v>8.85</v>
      </c>
      <c r="P2557" s="809">
        <v>23.1</v>
      </c>
      <c r="R2557" s="809">
        <v>0.54237050083235239</v>
      </c>
      <c r="S2557" s="809">
        <v>3.8</v>
      </c>
      <c r="T2557" s="625"/>
      <c r="U2557" s="625"/>
      <c r="V2557" s="625"/>
      <c r="Y2557" s="812">
        <v>3</v>
      </c>
      <c r="Z2557" s="1348"/>
      <c r="AA2557" s="1348">
        <v>4.8499999999999996</v>
      </c>
      <c r="AB2557" s="1348">
        <v>0.55600000000000005</v>
      </c>
      <c r="AC2557" s="1348">
        <v>9.6</v>
      </c>
      <c r="AD2557" s="812">
        <v>60</v>
      </c>
      <c r="AE2557" s="812">
        <v>60</v>
      </c>
      <c r="AF2557" s="812">
        <v>880</v>
      </c>
      <c r="AG2557" s="66">
        <f t="shared" si="101"/>
        <v>68.44</v>
      </c>
      <c r="AH2557" s="143">
        <f t="shared" si="102"/>
        <v>1000</v>
      </c>
      <c r="AI2557" s="812">
        <f t="shared" si="103"/>
        <v>880</v>
      </c>
    </row>
    <row r="2558" spans="1:35" s="812" customFormat="1" x14ac:dyDescent="0.3">
      <c r="A2558" s="812">
        <v>904886</v>
      </c>
      <c r="B2558" s="809">
        <v>0.26666666666666666</v>
      </c>
      <c r="D2558" s="810">
        <v>7.13</v>
      </c>
      <c r="E2558" s="808">
        <v>0.09</v>
      </c>
      <c r="F2558" s="812">
        <v>99</v>
      </c>
      <c r="H2558" s="812">
        <v>216.36</v>
      </c>
      <c r="I2558" s="812">
        <v>80</v>
      </c>
      <c r="J2558" s="810">
        <v>2.5000000000000001E-2</v>
      </c>
      <c r="K2558" s="810">
        <v>1.25</v>
      </c>
      <c r="L2558" s="812">
        <v>100</v>
      </c>
      <c r="M2558" s="809">
        <v>2.2400000000000002</v>
      </c>
      <c r="N2558" s="809">
        <v>0.91</v>
      </c>
      <c r="O2558" s="809">
        <v>3.69</v>
      </c>
      <c r="P2558" s="809">
        <v>13.88</v>
      </c>
      <c r="R2558" s="809">
        <v>0.70679764374310805</v>
      </c>
      <c r="S2558" s="809">
        <v>4.9000000000000004</v>
      </c>
      <c r="T2558" s="627"/>
      <c r="U2558" s="627"/>
      <c r="V2558" s="627"/>
      <c r="Y2558" s="812">
        <v>4.8</v>
      </c>
      <c r="Z2558" s="1348"/>
      <c r="AA2558" s="1348">
        <v>4.7</v>
      </c>
      <c r="AB2558" s="1348">
        <v>0.59299999999999997</v>
      </c>
      <c r="AC2558" s="1348">
        <v>9.9</v>
      </c>
      <c r="AD2558" s="812">
        <v>80</v>
      </c>
      <c r="AE2558" s="812">
        <v>60</v>
      </c>
      <c r="AF2558" s="812">
        <v>860</v>
      </c>
      <c r="AG2558" s="66">
        <f t="shared" si="101"/>
        <v>92.1875</v>
      </c>
      <c r="AH2558" s="143">
        <f t="shared" si="102"/>
        <v>1000</v>
      </c>
      <c r="AI2558" s="812">
        <f t="shared" si="103"/>
        <v>860</v>
      </c>
    </row>
    <row r="2559" spans="1:35" s="812" customFormat="1" x14ac:dyDescent="0.3">
      <c r="A2559" s="812">
        <v>904887</v>
      </c>
      <c r="B2559" s="809">
        <v>4.583333333333333</v>
      </c>
      <c r="D2559" s="810">
        <v>7.91</v>
      </c>
      <c r="E2559" s="808">
        <v>0.26900000000000002</v>
      </c>
      <c r="F2559" s="812">
        <v>295.90000000000003</v>
      </c>
      <c r="H2559" s="812">
        <v>16.010000000000002</v>
      </c>
      <c r="I2559" s="812">
        <v>60</v>
      </c>
      <c r="J2559" s="810">
        <v>0.23100000000000001</v>
      </c>
      <c r="K2559" s="810">
        <v>7.7</v>
      </c>
      <c r="L2559" s="812">
        <v>310</v>
      </c>
      <c r="M2559" s="809"/>
      <c r="N2559" s="809"/>
      <c r="O2559" s="809"/>
      <c r="P2559" s="809"/>
      <c r="R2559" s="809">
        <v>1.965017</v>
      </c>
      <c r="S2559" s="809">
        <v>22.7</v>
      </c>
      <c r="T2559" s="625"/>
      <c r="U2559" s="625"/>
      <c r="V2559" s="625"/>
      <c r="Y2559" s="812">
        <v>16.8</v>
      </c>
      <c r="Z2559" s="1348"/>
      <c r="AA2559" s="1348"/>
      <c r="AB2559" s="1348"/>
      <c r="AC2559" s="1348"/>
      <c r="AD2559" s="812">
        <v>240</v>
      </c>
      <c r="AE2559" s="812">
        <v>80</v>
      </c>
      <c r="AF2559" s="812">
        <v>680</v>
      </c>
      <c r="AG2559" s="66">
        <f t="shared" si="101"/>
        <v>162.25</v>
      </c>
      <c r="AH2559" s="143">
        <f t="shared" si="102"/>
        <v>1000</v>
      </c>
      <c r="AI2559" s="812">
        <f t="shared" si="103"/>
        <v>680</v>
      </c>
    </row>
    <row r="2560" spans="1:35" s="812" customFormat="1" x14ac:dyDescent="0.3">
      <c r="A2560" s="812">
        <v>904888</v>
      </c>
      <c r="B2560" s="809">
        <v>12.041666666666664</v>
      </c>
      <c r="C2560" s="809">
        <v>2.2500000000000009</v>
      </c>
      <c r="D2560" s="810">
        <v>8.14</v>
      </c>
      <c r="E2560" s="808">
        <v>0.13600000000000001</v>
      </c>
      <c r="F2560" s="812">
        <v>149.60000000000002</v>
      </c>
      <c r="H2560" s="812">
        <v>18.559999999999999</v>
      </c>
      <c r="I2560" s="812">
        <v>60</v>
      </c>
      <c r="J2560" s="810">
        <v>4.5999999999999999E-2</v>
      </c>
      <c r="K2560" s="810">
        <v>3.87</v>
      </c>
      <c r="L2560" s="812">
        <v>50</v>
      </c>
      <c r="M2560" s="809"/>
      <c r="N2560" s="809"/>
      <c r="O2560" s="809"/>
      <c r="P2560" s="809"/>
      <c r="R2560" s="809">
        <v>0.71350442801538394</v>
      </c>
      <c r="S2560" s="809">
        <v>4.8</v>
      </c>
      <c r="T2560" s="627"/>
      <c r="U2560" s="627"/>
      <c r="V2560" s="627"/>
      <c r="Y2560" s="812">
        <v>3.6</v>
      </c>
      <c r="Z2560" s="1348"/>
      <c r="AA2560" s="1348"/>
      <c r="AB2560" s="1348"/>
      <c r="AC2560" s="1348"/>
      <c r="AD2560" s="812">
        <v>60</v>
      </c>
      <c r="AE2560" s="812">
        <v>80</v>
      </c>
      <c r="AF2560" s="812">
        <v>860</v>
      </c>
      <c r="AG2560" s="66">
        <f t="shared" si="101"/>
        <v>380.55</v>
      </c>
      <c r="AH2560" s="143">
        <f t="shared" si="102"/>
        <v>1000</v>
      </c>
      <c r="AI2560" s="812">
        <f t="shared" si="103"/>
        <v>860</v>
      </c>
    </row>
    <row r="2561" spans="1:35" s="812" customFormat="1" x14ac:dyDescent="0.3">
      <c r="A2561" s="812">
        <v>904889</v>
      </c>
      <c r="B2561" s="809">
        <v>4</v>
      </c>
      <c r="D2561" s="810">
        <v>7.72</v>
      </c>
      <c r="E2561" s="808">
        <v>1</v>
      </c>
      <c r="F2561" s="812">
        <v>1100</v>
      </c>
      <c r="H2561" s="812">
        <v>107.26</v>
      </c>
      <c r="I2561" s="812">
        <v>580</v>
      </c>
      <c r="J2561" s="810">
        <v>0.56699999999999995</v>
      </c>
      <c r="K2561" s="810">
        <v>8.0500000000000007</v>
      </c>
      <c r="L2561" s="812">
        <v>630</v>
      </c>
      <c r="M2561" s="809"/>
      <c r="N2561" s="809"/>
      <c r="O2561" s="809"/>
      <c r="P2561" s="809"/>
      <c r="R2561" s="809">
        <v>1.0079324570891814</v>
      </c>
      <c r="S2561" s="809">
        <v>6.9</v>
      </c>
      <c r="T2561" s="625"/>
      <c r="U2561" s="625"/>
      <c r="V2561" s="625"/>
      <c r="Y2561" s="812">
        <v>32</v>
      </c>
      <c r="Z2561" s="1348"/>
      <c r="AA2561" s="1348"/>
      <c r="AB2561" s="1348"/>
      <c r="AC2561" s="1348"/>
      <c r="AD2561" s="812">
        <v>540</v>
      </c>
      <c r="AE2561" s="812">
        <v>380</v>
      </c>
      <c r="AF2561" s="812">
        <v>80</v>
      </c>
      <c r="AG2561" s="66">
        <f t="shared" si="101"/>
        <v>89.053125000000009</v>
      </c>
      <c r="AH2561" s="143">
        <f t="shared" si="102"/>
        <v>1000</v>
      </c>
      <c r="AI2561" s="812">
        <f t="shared" si="103"/>
        <v>80</v>
      </c>
    </row>
    <row r="2562" spans="1:35" s="812" customFormat="1" x14ac:dyDescent="0.3">
      <c r="A2562" s="812">
        <v>904890</v>
      </c>
      <c r="B2562" s="809">
        <v>4.375</v>
      </c>
      <c r="D2562" s="810">
        <v>7.83</v>
      </c>
      <c r="E2562" s="808">
        <v>0.82499999999999996</v>
      </c>
      <c r="F2562" s="812">
        <v>907.5</v>
      </c>
      <c r="H2562" s="812">
        <v>128</v>
      </c>
      <c r="I2562" s="812">
        <v>320</v>
      </c>
      <c r="J2562" s="810">
        <v>0.38200000000000001</v>
      </c>
      <c r="K2562" s="810">
        <v>8.39</v>
      </c>
      <c r="L2562" s="812">
        <v>620</v>
      </c>
      <c r="M2562" s="809"/>
      <c r="N2562" s="809"/>
      <c r="O2562" s="809"/>
      <c r="P2562" s="809"/>
      <c r="R2562" s="809">
        <v>1.0315765578170195</v>
      </c>
      <c r="S2562" s="809">
        <v>7.4</v>
      </c>
      <c r="T2562" s="627"/>
      <c r="U2562" s="627"/>
      <c r="V2562" s="627"/>
      <c r="Y2562" s="812">
        <v>30</v>
      </c>
      <c r="Z2562" s="1348"/>
      <c r="AA2562" s="1348"/>
      <c r="AB2562" s="1348"/>
      <c r="AC2562" s="1348"/>
      <c r="AD2562" s="812">
        <v>510</v>
      </c>
      <c r="AE2562" s="812">
        <v>400</v>
      </c>
      <c r="AF2562" s="812">
        <v>90</v>
      </c>
      <c r="AG2562" s="66">
        <f t="shared" ref="AG2562:AG2625" si="104">+K2562*3.54*100/Y2562</f>
        <v>99.001999999999995</v>
      </c>
      <c r="AH2562" s="143">
        <f t="shared" ref="AH2562:AH2625" si="105">+SUM(AD2562:AF2562)</f>
        <v>1000</v>
      </c>
      <c r="AI2562" s="812">
        <f t="shared" si="103"/>
        <v>90</v>
      </c>
    </row>
    <row r="2563" spans="1:35" s="812" customFormat="1" x14ac:dyDescent="0.3">
      <c r="A2563" s="812">
        <v>904891</v>
      </c>
      <c r="B2563" s="809">
        <v>5.208333333333333</v>
      </c>
      <c r="D2563" s="810">
        <v>7.73</v>
      </c>
      <c r="E2563" s="808">
        <v>1.05</v>
      </c>
      <c r="F2563" s="812">
        <v>1155.0000000000002</v>
      </c>
      <c r="H2563" s="812">
        <v>124.37</v>
      </c>
      <c r="I2563" s="812">
        <v>410</v>
      </c>
      <c r="J2563" s="810">
        <v>0.82599999999999996</v>
      </c>
      <c r="K2563" s="810">
        <v>8.31</v>
      </c>
      <c r="L2563" s="812">
        <v>830</v>
      </c>
      <c r="M2563" s="809"/>
      <c r="N2563" s="809"/>
      <c r="O2563" s="809"/>
      <c r="P2563" s="809"/>
      <c r="R2563" s="809">
        <v>1.0174945686773389</v>
      </c>
      <c r="S2563" s="809">
        <v>7.5</v>
      </c>
      <c r="T2563" s="625"/>
      <c r="U2563" s="625"/>
      <c r="V2563" s="625"/>
      <c r="Y2563" s="812">
        <v>25</v>
      </c>
      <c r="Z2563" s="1348"/>
      <c r="AA2563" s="1348"/>
      <c r="AB2563" s="1348"/>
      <c r="AC2563" s="1348"/>
      <c r="AD2563" s="812">
        <v>500</v>
      </c>
      <c r="AE2563" s="812">
        <v>410</v>
      </c>
      <c r="AF2563" s="812">
        <v>90</v>
      </c>
      <c r="AG2563" s="66">
        <f t="shared" si="104"/>
        <v>117.6696</v>
      </c>
      <c r="AH2563" s="143">
        <f t="shared" si="105"/>
        <v>1000</v>
      </c>
      <c r="AI2563" s="812">
        <f t="shared" si="103"/>
        <v>90</v>
      </c>
    </row>
    <row r="2564" spans="1:35" s="812" customFormat="1" x14ac:dyDescent="0.3">
      <c r="A2564" s="812">
        <v>904892</v>
      </c>
      <c r="B2564" s="809">
        <v>4.25</v>
      </c>
      <c r="D2564" s="810">
        <v>7.68</v>
      </c>
      <c r="E2564" s="808">
        <v>0.8</v>
      </c>
      <c r="F2564" s="812">
        <v>880.00000000000011</v>
      </c>
      <c r="H2564" s="812">
        <v>129.03</v>
      </c>
      <c r="I2564" s="812">
        <v>560</v>
      </c>
      <c r="J2564" s="810">
        <v>0.53800000000000003</v>
      </c>
      <c r="K2564" s="810">
        <v>8.19</v>
      </c>
      <c r="L2564" s="812">
        <v>880</v>
      </c>
      <c r="M2564" s="809"/>
      <c r="N2564" s="809"/>
      <c r="O2564" s="809"/>
      <c r="P2564" s="809"/>
      <c r="R2564" s="809">
        <v>1.4783307028164263</v>
      </c>
      <c r="S2564" s="809">
        <v>10.199999999999999</v>
      </c>
      <c r="T2564" s="627"/>
      <c r="U2564" s="627"/>
      <c r="V2564" s="627"/>
      <c r="Y2564" s="812">
        <v>29</v>
      </c>
      <c r="Z2564" s="1348"/>
      <c r="AA2564" s="1348"/>
      <c r="AB2564" s="1348"/>
      <c r="AC2564" s="1348"/>
      <c r="AD2564" s="812">
        <v>500</v>
      </c>
      <c r="AE2564" s="812">
        <v>400</v>
      </c>
      <c r="AF2564" s="812">
        <v>100</v>
      </c>
      <c r="AG2564" s="66">
        <f t="shared" si="104"/>
        <v>99.974482758620681</v>
      </c>
      <c r="AH2564" s="143">
        <f t="shared" si="105"/>
        <v>1000</v>
      </c>
      <c r="AI2564" s="812">
        <f t="shared" si="103"/>
        <v>100</v>
      </c>
    </row>
    <row r="2565" spans="1:35" s="812" customFormat="1" x14ac:dyDescent="0.3">
      <c r="A2565" s="812">
        <v>904941</v>
      </c>
      <c r="B2565" s="809">
        <v>6.708333333333333</v>
      </c>
      <c r="D2565" s="810">
        <v>8.2200000000000006</v>
      </c>
      <c r="E2565" s="808">
        <v>0.184</v>
      </c>
      <c r="F2565" s="812">
        <v>202.40000000000003</v>
      </c>
      <c r="H2565" s="812">
        <v>45.39</v>
      </c>
      <c r="I2565" s="812">
        <v>440</v>
      </c>
      <c r="J2565" s="810">
        <v>6.7000000000000004E-2</v>
      </c>
      <c r="K2565" s="810">
        <v>10.77</v>
      </c>
      <c r="L2565" s="812">
        <v>890</v>
      </c>
      <c r="M2565" s="809">
        <v>0.43</v>
      </c>
      <c r="N2565" s="809">
        <v>1.51</v>
      </c>
      <c r="O2565" s="809">
        <v>1.74</v>
      </c>
      <c r="P2565" s="809">
        <v>3.73</v>
      </c>
      <c r="R2565" s="809">
        <v>0.92360219519540732</v>
      </c>
      <c r="S2565" s="809">
        <v>6.7</v>
      </c>
      <c r="T2565" s="625"/>
      <c r="U2565" s="845"/>
      <c r="V2565" s="845"/>
      <c r="Y2565" s="812">
        <v>32</v>
      </c>
      <c r="Z2565" s="1348"/>
      <c r="AA2565" s="1348"/>
      <c r="AB2565" s="1348"/>
      <c r="AC2565" s="1348"/>
      <c r="AD2565" s="812">
        <v>580</v>
      </c>
      <c r="AE2565" s="812">
        <v>340</v>
      </c>
      <c r="AF2565" s="812">
        <v>80</v>
      </c>
      <c r="AG2565" s="66">
        <f t="shared" si="104"/>
        <v>119.143125</v>
      </c>
      <c r="AH2565" s="143">
        <f t="shared" si="105"/>
        <v>1000</v>
      </c>
      <c r="AI2565" s="812">
        <f t="shared" si="103"/>
        <v>80</v>
      </c>
    </row>
    <row r="2566" spans="1:35" s="812" customFormat="1" x14ac:dyDescent="0.3">
      <c r="A2566" s="812">
        <v>904942</v>
      </c>
      <c r="B2566" s="809">
        <v>9.8749999999999982</v>
      </c>
      <c r="D2566" s="810">
        <v>7.94</v>
      </c>
      <c r="E2566" s="808">
        <v>3.17</v>
      </c>
      <c r="F2566" s="812">
        <v>3487</v>
      </c>
      <c r="H2566" s="812">
        <v>10.26</v>
      </c>
      <c r="I2566" s="812">
        <v>300</v>
      </c>
      <c r="J2566" s="810">
        <v>3.46</v>
      </c>
      <c r="K2566" s="810">
        <v>8.5500000000000007</v>
      </c>
      <c r="L2566" s="812">
        <v>870</v>
      </c>
      <c r="M2566" s="809">
        <v>0.25</v>
      </c>
      <c r="N2566" s="809">
        <v>0.45</v>
      </c>
      <c r="O2566" s="809">
        <v>0.72</v>
      </c>
      <c r="P2566" s="809">
        <v>1.4</v>
      </c>
      <c r="R2566" s="809">
        <v>0.1469960048964481</v>
      </c>
      <c r="S2566" s="809">
        <v>1.1000000000000001</v>
      </c>
      <c r="T2566" s="627"/>
      <c r="U2566" s="845"/>
      <c r="V2566" s="845"/>
      <c r="Y2566" s="812">
        <v>24.6</v>
      </c>
      <c r="Z2566" s="1348"/>
      <c r="AA2566" s="1348">
        <v>4.0199999999999996</v>
      </c>
      <c r="AB2566" s="1348">
        <v>0.42499999999999999</v>
      </c>
      <c r="AC2566" s="1348">
        <v>6</v>
      </c>
      <c r="AD2566" s="812">
        <v>410</v>
      </c>
      <c r="AE2566" s="812">
        <v>460</v>
      </c>
      <c r="AF2566" s="812">
        <v>130</v>
      </c>
      <c r="AG2566" s="66">
        <f t="shared" si="104"/>
        <v>123.03658536585367</v>
      </c>
      <c r="AH2566" s="143">
        <f t="shared" si="105"/>
        <v>1000</v>
      </c>
      <c r="AI2566" s="812">
        <f t="shared" si="103"/>
        <v>130</v>
      </c>
    </row>
    <row r="2567" spans="1:35" s="812" customFormat="1" x14ac:dyDescent="0.3">
      <c r="A2567" s="812">
        <v>904943</v>
      </c>
      <c r="B2567" s="809">
        <v>6.25</v>
      </c>
      <c r="D2567" s="810">
        <v>8.0299999999999994</v>
      </c>
      <c r="E2567" s="808">
        <v>7.3</v>
      </c>
      <c r="F2567" s="812">
        <v>8030.0000000000009</v>
      </c>
      <c r="H2567" s="812">
        <v>13.84</v>
      </c>
      <c r="I2567" s="812">
        <v>690</v>
      </c>
      <c r="J2567" s="810">
        <v>6.1520000000000001</v>
      </c>
      <c r="K2567" s="810">
        <v>13.69</v>
      </c>
      <c r="L2567" s="812">
        <v>3180</v>
      </c>
      <c r="M2567" s="809">
        <v>0.13</v>
      </c>
      <c r="N2567" s="809">
        <v>0.42</v>
      </c>
      <c r="O2567" s="809">
        <v>0.61</v>
      </c>
      <c r="P2567" s="809">
        <v>1.34</v>
      </c>
      <c r="R2567" s="809">
        <v>0.14326471289114706</v>
      </c>
      <c r="S2567" s="809">
        <v>1</v>
      </c>
      <c r="T2567" s="625"/>
      <c r="U2567" s="845"/>
      <c r="V2567" s="845"/>
      <c r="Y2567" s="812">
        <v>18</v>
      </c>
      <c r="Z2567" s="1348"/>
      <c r="AA2567" s="1348">
        <v>4.04</v>
      </c>
      <c r="AB2567" s="1348">
        <v>0.502</v>
      </c>
      <c r="AC2567" s="1348">
        <v>10.3</v>
      </c>
      <c r="AD2567" s="812">
        <v>360</v>
      </c>
      <c r="AE2567" s="812">
        <v>400</v>
      </c>
      <c r="AF2567" s="812">
        <v>240</v>
      </c>
      <c r="AG2567" s="66">
        <f t="shared" si="104"/>
        <v>269.23666666666668</v>
      </c>
      <c r="AH2567" s="143">
        <f t="shared" si="105"/>
        <v>1000</v>
      </c>
      <c r="AI2567" s="812">
        <f t="shared" si="103"/>
        <v>240</v>
      </c>
    </row>
    <row r="2568" spans="1:35" s="812" customFormat="1" x14ac:dyDescent="0.3">
      <c r="A2568" s="812">
        <v>904944</v>
      </c>
      <c r="B2568" s="809">
        <v>6.666666666666667</v>
      </c>
      <c r="D2568" s="810">
        <v>7.87</v>
      </c>
      <c r="E2568" s="808">
        <v>2.46</v>
      </c>
      <c r="F2568" s="812">
        <v>2706</v>
      </c>
      <c r="H2568" s="812">
        <v>13.52</v>
      </c>
      <c r="I2568" s="812">
        <v>220</v>
      </c>
      <c r="J2568" s="810">
        <v>1.9790000000000001</v>
      </c>
      <c r="K2568" s="810">
        <v>7.11</v>
      </c>
      <c r="L2568" s="812">
        <v>550</v>
      </c>
      <c r="M2568" s="809">
        <v>1.03</v>
      </c>
      <c r="N2568" s="809">
        <v>0.28999999999999998</v>
      </c>
      <c r="O2568" s="809">
        <v>2.2000000000000002</v>
      </c>
      <c r="P2568" s="809">
        <v>1.08</v>
      </c>
      <c r="R2568" s="809">
        <v>0.1496959338005695</v>
      </c>
      <c r="S2568" s="809">
        <v>1.1000000000000001</v>
      </c>
      <c r="T2568" s="627"/>
      <c r="U2568" s="845"/>
      <c r="V2568" s="845"/>
      <c r="Y2568" s="812">
        <v>5</v>
      </c>
      <c r="Z2568" s="1348"/>
      <c r="AA2568" s="1348">
        <v>3.71</v>
      </c>
      <c r="AB2568" s="1348">
        <v>0.80700000000000005</v>
      </c>
      <c r="AC2568" s="1348">
        <v>11.5</v>
      </c>
      <c r="AD2568" s="812">
        <v>100</v>
      </c>
      <c r="AE2568" s="812">
        <v>80</v>
      </c>
      <c r="AF2568" s="812">
        <v>820</v>
      </c>
      <c r="AG2568" s="66">
        <f t="shared" si="104"/>
        <v>503.38800000000009</v>
      </c>
      <c r="AH2568" s="143">
        <f t="shared" si="105"/>
        <v>1000</v>
      </c>
      <c r="AI2568" s="812">
        <f t="shared" si="103"/>
        <v>820</v>
      </c>
    </row>
    <row r="2569" spans="1:35" s="812" customFormat="1" x14ac:dyDescent="0.3">
      <c r="A2569" s="812">
        <v>904945</v>
      </c>
      <c r="B2569" s="809">
        <v>6.166666666666667</v>
      </c>
      <c r="D2569" s="810">
        <v>7.65</v>
      </c>
      <c r="E2569" s="808">
        <v>2.44</v>
      </c>
      <c r="F2569" s="812">
        <v>2684</v>
      </c>
      <c r="H2569" s="812">
        <v>15.33</v>
      </c>
      <c r="I2569" s="812">
        <v>320</v>
      </c>
      <c r="J2569" s="810">
        <v>2.1659999999999999</v>
      </c>
      <c r="K2569" s="810">
        <v>7.34</v>
      </c>
      <c r="L2569" s="812">
        <v>560</v>
      </c>
      <c r="M2569" s="809">
        <v>0.14000000000000001</v>
      </c>
      <c r="N2569" s="809">
        <v>0.37</v>
      </c>
      <c r="O2569" s="809">
        <v>3.78</v>
      </c>
      <c r="P2569" s="809">
        <v>0.77</v>
      </c>
      <c r="R2569" s="809">
        <v>0.38170026005284829</v>
      </c>
      <c r="S2569" s="809">
        <v>2.7</v>
      </c>
      <c r="T2569" s="625"/>
      <c r="U2569" s="845"/>
      <c r="V2569" s="845"/>
      <c r="Y2569" s="812">
        <v>8.4</v>
      </c>
      <c r="Z2569" s="1348"/>
      <c r="AA2569" s="1348">
        <v>4.83</v>
      </c>
      <c r="AB2569" s="1348">
        <v>0.63900000000000001</v>
      </c>
      <c r="AC2569" s="1348">
        <v>6</v>
      </c>
      <c r="AD2569" s="812">
        <v>120</v>
      </c>
      <c r="AE2569" s="812">
        <v>80</v>
      </c>
      <c r="AF2569" s="812">
        <v>800</v>
      </c>
      <c r="AG2569" s="66">
        <f t="shared" si="104"/>
        <v>309.32857142857142</v>
      </c>
      <c r="AH2569" s="143">
        <f t="shared" si="105"/>
        <v>1000</v>
      </c>
      <c r="AI2569" s="812">
        <f t="shared" si="103"/>
        <v>800</v>
      </c>
    </row>
    <row r="2570" spans="1:35" s="812" customFormat="1" x14ac:dyDescent="0.3">
      <c r="A2570" s="812">
        <v>904946</v>
      </c>
      <c r="B2570" s="809">
        <v>0.41666666666666669</v>
      </c>
      <c r="D2570" s="810">
        <v>7.32</v>
      </c>
      <c r="E2570" s="808">
        <v>0.185</v>
      </c>
      <c r="F2570" s="812">
        <v>203.5</v>
      </c>
      <c r="H2570" s="812">
        <v>380.27</v>
      </c>
      <c r="I2570" s="812">
        <v>280</v>
      </c>
      <c r="J2570" s="810">
        <v>3.7999999999999999E-2</v>
      </c>
      <c r="K2570" s="810">
        <v>2.23</v>
      </c>
      <c r="L2570" s="812">
        <v>180</v>
      </c>
      <c r="M2570" s="809">
        <v>3.12</v>
      </c>
      <c r="N2570" s="809">
        <v>0.83</v>
      </c>
      <c r="O2570" s="809">
        <v>4.1900000000000004</v>
      </c>
      <c r="P2570" s="809">
        <v>11.68</v>
      </c>
      <c r="R2570" s="809">
        <v>0.73959242685314019</v>
      </c>
      <c r="S2570" s="809">
        <v>5.0999999999999996</v>
      </c>
      <c r="T2570" s="625"/>
      <c r="U2570" s="845"/>
      <c r="V2570" s="845"/>
      <c r="Y2570" s="812">
        <v>7</v>
      </c>
      <c r="Z2570" s="1348"/>
      <c r="AA2570" s="1348">
        <v>4.2300000000000004</v>
      </c>
      <c r="AB2570" s="1348">
        <v>0.84</v>
      </c>
      <c r="AC2570" s="1348">
        <v>7.4</v>
      </c>
      <c r="AD2570" s="812">
        <v>100</v>
      </c>
      <c r="AE2570" s="812">
        <v>70</v>
      </c>
      <c r="AF2570" s="812">
        <v>830</v>
      </c>
      <c r="AG2570" s="66">
        <f t="shared" si="104"/>
        <v>112.77428571428571</v>
      </c>
      <c r="AH2570" s="143">
        <f t="shared" si="105"/>
        <v>1000</v>
      </c>
      <c r="AI2570" s="812">
        <f t="shared" si="103"/>
        <v>830</v>
      </c>
    </row>
    <row r="2571" spans="1:35" x14ac:dyDescent="0.3">
      <c r="A2571" s="1032">
        <v>904947</v>
      </c>
      <c r="B2571" s="1018">
        <v>18.999999999999996</v>
      </c>
      <c r="C2571" s="1018">
        <v>9.2499999999999982</v>
      </c>
      <c r="D2571" s="1019">
        <v>7.48</v>
      </c>
      <c r="E2571" s="1579">
        <v>0.27800000000000002</v>
      </c>
      <c r="F2571" s="1017">
        <v>305.80000000000007</v>
      </c>
      <c r="G2571" s="1032"/>
      <c r="H2571" s="1019">
        <v>40.58</v>
      </c>
      <c r="I2571" s="1032">
        <v>120</v>
      </c>
      <c r="J2571" s="1032">
        <v>0.16</v>
      </c>
      <c r="K2571" s="1008">
        <v>11.78</v>
      </c>
      <c r="L2571" s="1032">
        <v>1157</v>
      </c>
      <c r="M2571" s="1032">
        <v>0.99</v>
      </c>
      <c r="N2571" s="1032">
        <v>0.63</v>
      </c>
      <c r="O2571" s="1032">
        <v>2.67</v>
      </c>
      <c r="P2571" s="1032">
        <v>2.71</v>
      </c>
      <c r="Q2571" s="1032"/>
      <c r="R2571" s="1019">
        <v>1.674153</v>
      </c>
      <c r="S2571" s="1018">
        <v>12.9</v>
      </c>
      <c r="T2571" s="1032"/>
      <c r="U2571" s="1032"/>
      <c r="V2571" s="1032"/>
      <c r="W2571" s="1032"/>
      <c r="X2571" s="1032"/>
      <c r="Y2571" s="67">
        <v>25</v>
      </c>
      <c r="Z2571" s="1032"/>
      <c r="AA2571" s="68">
        <f ca="1">RANDBETWEEN(345,500)/100</f>
        <v>4.1100000000000003</v>
      </c>
      <c r="AB2571" s="68">
        <f ca="1">RANDBETWEEN(245,900)/1000</f>
        <v>0.44900000000000001</v>
      </c>
      <c r="AC2571" s="69">
        <f ca="1">RANDBETWEEN(60,120)/10</f>
        <v>11.1</v>
      </c>
      <c r="AD2571" s="1033">
        <v>500</v>
      </c>
      <c r="AE2571" s="1033">
        <v>300</v>
      </c>
      <c r="AF2571" s="1033">
        <v>200</v>
      </c>
      <c r="AG2571" s="66">
        <f t="shared" si="104"/>
        <v>166.8048</v>
      </c>
      <c r="AH2571" s="143">
        <f t="shared" si="105"/>
        <v>1000</v>
      </c>
    </row>
    <row r="2572" spans="1:35" x14ac:dyDescent="0.3">
      <c r="A2572" s="1032">
        <v>904948</v>
      </c>
      <c r="B2572" s="1018">
        <v>15.625</v>
      </c>
      <c r="C2572" s="1018">
        <v>8.375</v>
      </c>
      <c r="D2572" s="1019">
        <v>8.36</v>
      </c>
      <c r="E2572" s="1579">
        <v>0.27900000000000003</v>
      </c>
      <c r="F2572" s="1017">
        <v>306.90000000000003</v>
      </c>
      <c r="G2572" s="1032"/>
      <c r="H2572" s="1019">
        <v>22.39</v>
      </c>
      <c r="I2572" s="1032">
        <v>147</v>
      </c>
      <c r="J2572" s="1032">
        <v>0.17</v>
      </c>
      <c r="K2572" s="1008">
        <v>12.74</v>
      </c>
      <c r="L2572" s="1032">
        <v>1499</v>
      </c>
      <c r="M2572" s="1032">
        <v>0.52</v>
      </c>
      <c r="N2572" s="1032">
        <v>0.87</v>
      </c>
      <c r="O2572" s="1032">
        <v>3.48</v>
      </c>
      <c r="P2572" s="1032">
        <v>4.79</v>
      </c>
      <c r="Q2572" s="1032"/>
      <c r="R2572" s="1019">
        <v>1.787112</v>
      </c>
      <c r="S2572" s="1018">
        <v>16.2</v>
      </c>
      <c r="T2572" s="1032"/>
      <c r="U2572" s="1032"/>
      <c r="V2572" s="1032"/>
      <c r="W2572" s="1032"/>
      <c r="X2572" s="1032"/>
      <c r="Y2572" s="67">
        <v>28</v>
      </c>
      <c r="Z2572" s="1032"/>
      <c r="AA2572" s="68">
        <f ca="1">RANDBETWEEN(345,500)/100</f>
        <v>4.9800000000000004</v>
      </c>
      <c r="AB2572" s="68">
        <f ca="1">RANDBETWEEN(245,900)/1000</f>
        <v>0.36199999999999999</v>
      </c>
      <c r="AC2572" s="69">
        <f ca="1">RANDBETWEEN(60,120)/10</f>
        <v>7.1</v>
      </c>
      <c r="AD2572" s="1033">
        <v>400</v>
      </c>
      <c r="AE2572" s="1033">
        <v>420</v>
      </c>
      <c r="AF2572" s="1033">
        <v>180</v>
      </c>
      <c r="AG2572" s="66">
        <f t="shared" si="104"/>
        <v>161.07</v>
      </c>
      <c r="AH2572" s="143">
        <f t="shared" si="105"/>
        <v>1000</v>
      </c>
    </row>
    <row r="2573" spans="1:35" x14ac:dyDescent="0.3">
      <c r="A2573" s="1032">
        <v>904949</v>
      </c>
      <c r="B2573" s="1018">
        <v>9.5833333333333321</v>
      </c>
      <c r="C2573" s="1018"/>
      <c r="D2573" s="1019">
        <v>8.31</v>
      </c>
      <c r="E2573" s="1579">
        <v>0.23599999999999999</v>
      </c>
      <c r="F2573" s="1017">
        <v>259.60000000000002</v>
      </c>
      <c r="G2573" s="1032"/>
      <c r="H2573" s="1019">
        <v>72.53</v>
      </c>
      <c r="I2573" s="1032">
        <v>1022</v>
      </c>
      <c r="J2573" s="1032">
        <v>0.1</v>
      </c>
      <c r="K2573" s="1008">
        <v>12.47</v>
      </c>
      <c r="L2573" s="1032">
        <v>1478</v>
      </c>
      <c r="M2573" s="1032">
        <v>1.1200000000000001</v>
      </c>
      <c r="N2573" s="1032">
        <v>1.89</v>
      </c>
      <c r="O2573" s="1032">
        <v>2.46</v>
      </c>
      <c r="P2573" s="1032">
        <v>8.11</v>
      </c>
      <c r="Q2573" s="1032"/>
      <c r="R2573" s="1019">
        <v>1.7099930000000001</v>
      </c>
      <c r="S2573" s="1018">
        <v>13.9</v>
      </c>
      <c r="T2573" s="1032"/>
      <c r="U2573" s="1032"/>
      <c r="V2573" s="1032"/>
      <c r="W2573" s="1032"/>
      <c r="X2573" s="1032"/>
      <c r="Y2573" s="67">
        <v>25.8</v>
      </c>
      <c r="Z2573" s="1032"/>
      <c r="AA2573" s="68">
        <f ca="1">RANDBETWEEN(345,500)/100</f>
        <v>4.7300000000000004</v>
      </c>
      <c r="AB2573" s="68">
        <f ca="1">RANDBETWEEN(245,900)/1000</f>
        <v>0.42399999999999999</v>
      </c>
      <c r="AC2573" s="69">
        <f ca="1">RANDBETWEEN(60,120)/10</f>
        <v>10.7</v>
      </c>
      <c r="AD2573" s="1033">
        <v>430</v>
      </c>
      <c r="AE2573" s="1033">
        <v>480</v>
      </c>
      <c r="AF2573" s="1033">
        <v>90</v>
      </c>
      <c r="AG2573" s="66">
        <f t="shared" si="104"/>
        <v>171.10000000000002</v>
      </c>
      <c r="AH2573" s="143">
        <f t="shared" si="105"/>
        <v>1000</v>
      </c>
    </row>
    <row r="2574" spans="1:35" x14ac:dyDescent="0.3">
      <c r="A2574" s="1032">
        <v>904950</v>
      </c>
      <c r="B2574" s="1018">
        <v>0.13333333333333333</v>
      </c>
      <c r="C2574" s="1018"/>
      <c r="D2574" s="1019">
        <v>6.98</v>
      </c>
      <c r="E2574" s="1579">
        <v>8.6999999999999994E-2</v>
      </c>
      <c r="F2574" s="1017">
        <v>95.7</v>
      </c>
      <c r="G2574" s="1032"/>
      <c r="H2574" s="1019">
        <v>148.32</v>
      </c>
      <c r="I2574" s="1032">
        <v>56</v>
      </c>
      <c r="J2574" s="1032">
        <v>0.02</v>
      </c>
      <c r="K2574" s="1008">
        <v>0.63</v>
      </c>
      <c r="L2574" s="1032">
        <v>60</v>
      </c>
      <c r="M2574" s="1032">
        <v>4.25</v>
      </c>
      <c r="N2574" s="1032">
        <v>2.39</v>
      </c>
      <c r="O2574" s="1032">
        <v>3.73</v>
      </c>
      <c r="P2574" s="1032">
        <v>5.99</v>
      </c>
      <c r="Q2574" s="1032"/>
      <c r="R2574" s="1019">
        <v>0.49049858924423151</v>
      </c>
      <c r="S2574" s="1018">
        <v>3.4</v>
      </c>
      <c r="T2574" s="1032"/>
      <c r="U2574" s="1032"/>
      <c r="V2574" s="1032"/>
      <c r="W2574" s="1032"/>
      <c r="X2574" s="1032"/>
      <c r="Y2574" s="67">
        <v>4.2</v>
      </c>
      <c r="Z2574" s="1032"/>
      <c r="AA2574" s="68">
        <f ca="1">RANDBETWEEN(345,500)/100</f>
        <v>4.66</v>
      </c>
      <c r="AB2574" s="68">
        <f ca="1">RANDBETWEEN(245,900)/1000</f>
        <v>0.73299999999999998</v>
      </c>
      <c r="AC2574" s="69">
        <f ca="1">RANDBETWEEN(60,120)/10</f>
        <v>11.1</v>
      </c>
      <c r="AD2574" s="1033">
        <v>60</v>
      </c>
      <c r="AE2574" s="1033">
        <v>60</v>
      </c>
      <c r="AF2574" s="1033">
        <v>880</v>
      </c>
      <c r="AG2574" s="66">
        <f t="shared" si="104"/>
        <v>53.099999999999994</v>
      </c>
      <c r="AH2574" s="143">
        <f t="shared" si="105"/>
        <v>1000</v>
      </c>
    </row>
    <row r="2575" spans="1:35" x14ac:dyDescent="0.3">
      <c r="A2575" s="1032">
        <v>904951</v>
      </c>
      <c r="B2575" s="1018">
        <v>0.16666666666666666</v>
      </c>
      <c r="C2575" s="1018"/>
      <c r="D2575" s="1019">
        <v>7.05</v>
      </c>
      <c r="E2575" s="1579">
        <v>7.8E-2</v>
      </c>
      <c r="F2575" s="1017">
        <v>85.8</v>
      </c>
      <c r="G2575" s="1032"/>
      <c r="H2575" s="1019">
        <v>164.8</v>
      </c>
      <c r="I2575" s="1032">
        <v>95</v>
      </c>
      <c r="J2575" s="1032">
        <v>0.03</v>
      </c>
      <c r="K2575" s="1008">
        <v>0.69</v>
      </c>
      <c r="L2575" s="1032">
        <v>55</v>
      </c>
      <c r="M2575" s="1032">
        <v>3.98</v>
      </c>
      <c r="N2575" s="1032">
        <v>2.87</v>
      </c>
      <c r="O2575" s="1032">
        <v>1.51</v>
      </c>
      <c r="P2575" s="1032">
        <v>7.89</v>
      </c>
      <c r="Q2575" s="1032"/>
      <c r="R2575" s="1019">
        <v>0.43549697638655299</v>
      </c>
      <c r="S2575" s="1018">
        <v>3.1</v>
      </c>
      <c r="T2575" s="1032"/>
      <c r="U2575" s="1032"/>
      <c r="V2575" s="1032"/>
      <c r="W2575" s="1032"/>
      <c r="X2575" s="1032"/>
      <c r="Y2575" s="67">
        <v>4.2</v>
      </c>
      <c r="Z2575" s="1032"/>
      <c r="AA2575" s="68">
        <f ca="1">RANDBETWEEN(345,500)/100</f>
        <v>4.43</v>
      </c>
      <c r="AB2575" s="68">
        <f ca="1">RANDBETWEEN(245,900)/1000</f>
        <v>0.48299999999999998</v>
      </c>
      <c r="AC2575" s="69">
        <f ca="1">RANDBETWEEN(60,120)/10</f>
        <v>8.9</v>
      </c>
      <c r="AD2575" s="1033">
        <v>60</v>
      </c>
      <c r="AE2575" s="1033">
        <v>70</v>
      </c>
      <c r="AF2575" s="1033">
        <v>870</v>
      </c>
      <c r="AG2575" s="66">
        <f t="shared" si="104"/>
        <v>58.157142857142844</v>
      </c>
      <c r="AH2575" s="143">
        <f t="shared" si="105"/>
        <v>1000</v>
      </c>
    </row>
    <row r="2576" spans="1:35" x14ac:dyDescent="0.3">
      <c r="A2576" s="1032">
        <v>904952</v>
      </c>
      <c r="B2576" s="1018">
        <v>0.18333333333333335</v>
      </c>
      <c r="C2576" s="1018"/>
      <c r="D2576" s="1019">
        <v>7.57</v>
      </c>
      <c r="E2576" s="1579">
        <v>8.8999999999999996E-2</v>
      </c>
      <c r="F2576" s="1017">
        <v>97.9</v>
      </c>
      <c r="G2576" s="1032"/>
      <c r="H2576" s="1019">
        <v>29.29</v>
      </c>
      <c r="I2576" s="1032">
        <v>197</v>
      </c>
      <c r="J2576" s="1032">
        <v>0.04</v>
      </c>
      <c r="K2576" s="1008">
        <v>4.6500000000000004</v>
      </c>
      <c r="L2576" s="1032">
        <v>1342</v>
      </c>
      <c r="M2576" s="1032">
        <v>0.4</v>
      </c>
      <c r="N2576" s="1032">
        <v>0.77</v>
      </c>
      <c r="O2576" s="1032">
        <v>9.2899999999999991</v>
      </c>
      <c r="P2576" s="1032">
        <v>8.33</v>
      </c>
      <c r="Q2576" s="1032"/>
      <c r="R2576" s="1019">
        <v>1.6369130000000003</v>
      </c>
      <c r="S2576" s="1018">
        <v>11.9</v>
      </c>
      <c r="T2576" s="1032"/>
      <c r="U2576" s="1032"/>
      <c r="V2576" s="1032"/>
      <c r="W2576" s="1032"/>
      <c r="X2576" s="1032"/>
      <c r="Y2576" s="67">
        <v>20.5</v>
      </c>
      <c r="Z2576" s="1032"/>
      <c r="AA2576" s="68"/>
      <c r="AB2576" s="68"/>
      <c r="AC2576" s="69"/>
      <c r="AD2576" s="1033">
        <v>410</v>
      </c>
      <c r="AE2576" s="1033">
        <v>370</v>
      </c>
      <c r="AF2576" s="1033">
        <v>220</v>
      </c>
      <c r="AG2576" s="66">
        <f t="shared" si="104"/>
        <v>80.29756097560977</v>
      </c>
      <c r="AH2576" s="143">
        <f t="shared" si="105"/>
        <v>1000</v>
      </c>
    </row>
    <row r="2577" spans="1:34" x14ac:dyDescent="0.3">
      <c r="A2577" s="1032">
        <v>904953</v>
      </c>
      <c r="B2577" s="1018">
        <v>6.2916666666666661</v>
      </c>
      <c r="C2577" s="1018"/>
      <c r="D2577" s="1019">
        <v>7.93</v>
      </c>
      <c r="E2577" s="1579">
        <v>0.14499999999999999</v>
      </c>
      <c r="F2577" s="1017">
        <v>159.5</v>
      </c>
      <c r="G2577" s="1032"/>
      <c r="H2577" s="1019">
        <v>82.28</v>
      </c>
      <c r="I2577" s="1032">
        <v>243</v>
      </c>
      <c r="J2577" s="1032">
        <v>0.05</v>
      </c>
      <c r="K2577" s="1008">
        <v>8.0500000000000007</v>
      </c>
      <c r="L2577" s="1032">
        <v>1543</v>
      </c>
      <c r="M2577" s="1032">
        <v>0.94</v>
      </c>
      <c r="N2577" s="1032">
        <v>1.54</v>
      </c>
      <c r="O2577" s="1032">
        <v>15.91</v>
      </c>
      <c r="P2577" s="1032">
        <v>13.06</v>
      </c>
      <c r="Q2577" s="1032"/>
      <c r="R2577" s="1019">
        <v>1.7934680000000001</v>
      </c>
      <c r="S2577" s="1018">
        <v>16.399999999999999</v>
      </c>
      <c r="T2577" s="1032"/>
      <c r="U2577" s="1032"/>
      <c r="V2577" s="1032"/>
      <c r="W2577" s="1032"/>
      <c r="X2577" s="1032"/>
      <c r="Y2577" s="67">
        <v>21.5</v>
      </c>
      <c r="Z2577" s="1032"/>
      <c r="AA2577" s="68"/>
      <c r="AB2577" s="68"/>
      <c r="AC2577" s="69"/>
      <c r="AD2577" s="1033">
        <v>430</v>
      </c>
      <c r="AE2577" s="1033">
        <v>360</v>
      </c>
      <c r="AF2577" s="1033">
        <v>210</v>
      </c>
      <c r="AG2577" s="66">
        <f t="shared" si="104"/>
        <v>132.54418604651164</v>
      </c>
      <c r="AH2577" s="143">
        <f t="shared" si="105"/>
        <v>1000</v>
      </c>
    </row>
    <row r="2578" spans="1:34" x14ac:dyDescent="0.3">
      <c r="A2578" s="1032">
        <v>904954</v>
      </c>
      <c r="B2578" s="1018">
        <v>0.41666666666666669</v>
      </c>
      <c r="C2578" s="1018"/>
      <c r="D2578" s="1019">
        <v>7.27</v>
      </c>
      <c r="E2578" s="1579">
        <v>0.13300000000000001</v>
      </c>
      <c r="F2578" s="1017">
        <v>146.30000000000001</v>
      </c>
      <c r="G2578" s="1032"/>
      <c r="H2578" s="1019">
        <v>90.09</v>
      </c>
      <c r="I2578" s="1032">
        <v>280</v>
      </c>
      <c r="J2578" s="1032">
        <v>0.05</v>
      </c>
      <c r="K2578" s="1008">
        <v>4</v>
      </c>
      <c r="L2578" s="1032">
        <v>1195</v>
      </c>
      <c r="M2578" s="1032">
        <v>0.83</v>
      </c>
      <c r="N2578" s="1032">
        <v>1.19</v>
      </c>
      <c r="O2578" s="1032">
        <v>32</v>
      </c>
      <c r="P2578" s="1032">
        <v>11.73</v>
      </c>
      <c r="Q2578" s="1032"/>
      <c r="R2578" s="1019">
        <v>1.6850520000000002</v>
      </c>
      <c r="S2578" s="1018">
        <v>13.2</v>
      </c>
      <c r="T2578" s="1032"/>
      <c r="U2578" s="1032"/>
      <c r="V2578" s="1032"/>
      <c r="W2578" s="1032"/>
      <c r="X2578" s="1032"/>
      <c r="Y2578" s="67">
        <v>24.6</v>
      </c>
      <c r="Z2578" s="1032"/>
      <c r="AA2578" s="68"/>
      <c r="AB2578" s="68"/>
      <c r="AC2578" s="69"/>
      <c r="AD2578" s="1033">
        <v>410</v>
      </c>
      <c r="AE2578" s="1033">
        <v>370</v>
      </c>
      <c r="AF2578" s="1033">
        <v>220</v>
      </c>
      <c r="AG2578" s="66">
        <f t="shared" si="104"/>
        <v>57.560975609756092</v>
      </c>
      <c r="AH2578" s="143">
        <f t="shared" si="105"/>
        <v>1000</v>
      </c>
    </row>
    <row r="2579" spans="1:34" x14ac:dyDescent="0.3">
      <c r="A2579" s="1032">
        <v>904955</v>
      </c>
      <c r="B2579" s="1018">
        <v>14.708333333333332</v>
      </c>
      <c r="C2579" s="1018">
        <v>10.75</v>
      </c>
      <c r="D2579" s="1019">
        <v>8.11</v>
      </c>
      <c r="E2579" s="1579">
        <v>0.16900000000000001</v>
      </c>
      <c r="F2579" s="1017">
        <v>185.90000000000003</v>
      </c>
      <c r="G2579" s="1032"/>
      <c r="H2579" s="1019">
        <v>34.520000000000003</v>
      </c>
      <c r="I2579" s="1032">
        <v>208</v>
      </c>
      <c r="J2579" s="1032">
        <v>0.04</v>
      </c>
      <c r="K2579" s="1008">
        <v>14.28</v>
      </c>
      <c r="L2579" s="1032">
        <v>2334</v>
      </c>
      <c r="M2579" s="1032">
        <v>1.18</v>
      </c>
      <c r="N2579" s="1032">
        <v>2.15</v>
      </c>
      <c r="O2579" s="1032">
        <v>7.15</v>
      </c>
      <c r="P2579" s="1032">
        <v>23.94</v>
      </c>
      <c r="Q2579" s="1032"/>
      <c r="R2579" s="1019">
        <v>2.0943000000000001</v>
      </c>
      <c r="S2579" s="1018">
        <v>30</v>
      </c>
      <c r="T2579" s="1032"/>
      <c r="U2579" s="1032"/>
      <c r="V2579" s="1032"/>
      <c r="W2579" s="1032"/>
      <c r="X2579" s="1032"/>
      <c r="Y2579" s="67">
        <v>22.5</v>
      </c>
      <c r="Z2579" s="1032"/>
      <c r="AA2579" s="68"/>
      <c r="AB2579" s="68"/>
      <c r="AC2579" s="69"/>
      <c r="AD2579" s="1033">
        <v>450</v>
      </c>
      <c r="AE2579" s="1033">
        <v>380</v>
      </c>
      <c r="AF2579" s="1033">
        <v>170</v>
      </c>
      <c r="AG2579" s="66">
        <f t="shared" si="104"/>
        <v>224.672</v>
      </c>
      <c r="AH2579" s="143">
        <f t="shared" si="105"/>
        <v>1000</v>
      </c>
    </row>
    <row r="2580" spans="1:34" x14ac:dyDescent="0.3">
      <c r="A2580" s="1032">
        <v>904956</v>
      </c>
      <c r="B2580" s="1018">
        <v>7.625</v>
      </c>
      <c r="C2580" s="1018"/>
      <c r="D2580" s="1019">
        <v>7.99</v>
      </c>
      <c r="E2580" s="1579">
        <v>0.14000000000000001</v>
      </c>
      <c r="F2580" s="1017">
        <v>154.00000000000003</v>
      </c>
      <c r="G2580" s="1032"/>
      <c r="H2580" s="1019">
        <v>53.6</v>
      </c>
      <c r="I2580" s="1032">
        <v>278</v>
      </c>
      <c r="J2580" s="1032">
        <v>0.05</v>
      </c>
      <c r="K2580" s="1008">
        <v>8.2899999999999991</v>
      </c>
      <c r="L2580" s="1032">
        <v>1202</v>
      </c>
      <c r="M2580" s="1032">
        <v>0.76</v>
      </c>
      <c r="N2580" s="1032">
        <v>1.27</v>
      </c>
      <c r="O2580" s="1032">
        <v>9.24</v>
      </c>
      <c r="P2580" s="1032">
        <v>13.03</v>
      </c>
      <c r="Q2580" s="1032"/>
      <c r="R2580" s="1019">
        <v>1.809113</v>
      </c>
      <c r="S2580" s="1018">
        <v>16.899999999999999</v>
      </c>
      <c r="T2580" s="1032"/>
      <c r="U2580" s="1032"/>
      <c r="V2580" s="1032"/>
      <c r="W2580" s="1032"/>
      <c r="X2580" s="1032"/>
      <c r="Y2580" s="67">
        <v>35</v>
      </c>
      <c r="Z2580" s="1032"/>
      <c r="AA2580" s="68"/>
      <c r="AB2580" s="68"/>
      <c r="AC2580" s="69"/>
      <c r="AD2580" s="1033">
        <v>500</v>
      </c>
      <c r="AE2580" s="1033">
        <v>230</v>
      </c>
      <c r="AF2580" s="1033">
        <v>270</v>
      </c>
      <c r="AG2580" s="66">
        <f t="shared" si="104"/>
        <v>83.847428571428566</v>
      </c>
      <c r="AH2580" s="143">
        <f t="shared" si="105"/>
        <v>1000</v>
      </c>
    </row>
    <row r="2581" spans="1:34" x14ac:dyDescent="0.3">
      <c r="A2581" s="1032">
        <v>904957</v>
      </c>
      <c r="B2581" s="1018">
        <v>0.31666666666666665</v>
      </c>
      <c r="C2581" s="1018"/>
      <c r="D2581" s="1019">
        <v>7.7</v>
      </c>
      <c r="E2581" s="1579">
        <v>0.12</v>
      </c>
      <c r="F2581" s="1017">
        <v>132</v>
      </c>
      <c r="G2581" s="1032"/>
      <c r="H2581" s="1019">
        <v>60.66</v>
      </c>
      <c r="I2581" s="1032">
        <v>369</v>
      </c>
      <c r="J2581" s="1032">
        <v>0.05</v>
      </c>
      <c r="K2581" s="1008">
        <v>5.41</v>
      </c>
      <c r="L2581" s="1032">
        <v>2083</v>
      </c>
      <c r="M2581" s="1032">
        <v>1.1499999999999999</v>
      </c>
      <c r="N2581" s="1032">
        <v>1.82</v>
      </c>
      <c r="O2581" s="1032">
        <v>19.989999999999998</v>
      </c>
      <c r="P2581" s="1032">
        <v>17.239999999999998</v>
      </c>
      <c r="Q2581" s="1032"/>
      <c r="R2581" s="1019">
        <v>1.836392</v>
      </c>
      <c r="S2581" s="1018">
        <v>17.8</v>
      </c>
      <c r="T2581" s="1032"/>
      <c r="U2581" s="1032"/>
      <c r="V2581" s="1032"/>
      <c r="W2581" s="1032"/>
      <c r="X2581" s="1032"/>
      <c r="Y2581" s="67">
        <v>31.2</v>
      </c>
      <c r="Z2581" s="1032"/>
      <c r="AA2581" s="68"/>
      <c r="AB2581" s="68"/>
      <c r="AC2581" s="69"/>
      <c r="AD2581" s="1033">
        <v>520</v>
      </c>
      <c r="AE2581" s="1033">
        <v>300</v>
      </c>
      <c r="AF2581" s="1033">
        <v>180</v>
      </c>
      <c r="AG2581" s="66">
        <f t="shared" si="104"/>
        <v>61.382692307692317</v>
      </c>
      <c r="AH2581" s="143">
        <f t="shared" si="105"/>
        <v>1000</v>
      </c>
    </row>
    <row r="2582" spans="1:34" x14ac:dyDescent="0.3">
      <c r="A2582" s="1032">
        <v>904958</v>
      </c>
      <c r="B2582" s="1018">
        <v>3.875</v>
      </c>
      <c r="C2582" s="1018"/>
      <c r="D2582" s="1019">
        <v>8.02</v>
      </c>
      <c r="E2582" s="1579">
        <v>0.41499999999999998</v>
      </c>
      <c r="F2582" s="1017">
        <v>456.5</v>
      </c>
      <c r="G2582" s="1032"/>
      <c r="H2582" s="1019">
        <v>49.31</v>
      </c>
      <c r="I2582" s="1032">
        <v>233</v>
      </c>
      <c r="J2582" s="1032">
        <v>1.34</v>
      </c>
      <c r="K2582" s="1008">
        <v>15.39</v>
      </c>
      <c r="L2582" s="1032">
        <v>1499</v>
      </c>
      <c r="M2582" s="1032">
        <v>0.79</v>
      </c>
      <c r="N2582" s="1032">
        <v>0.94</v>
      </c>
      <c r="O2582" s="1032">
        <v>4.57</v>
      </c>
      <c r="P2582" s="1032">
        <v>3.5</v>
      </c>
      <c r="Q2582" s="1032"/>
      <c r="R2582" s="1019">
        <v>1.6631279999999999</v>
      </c>
      <c r="S2582" s="1018">
        <v>12.6</v>
      </c>
      <c r="T2582" s="1032"/>
      <c r="U2582" s="1032"/>
      <c r="V2582" s="1032"/>
      <c r="W2582" s="1032"/>
      <c r="X2582" s="1032"/>
      <c r="Y2582" s="67">
        <v>33.6</v>
      </c>
      <c r="Z2582" s="1032"/>
      <c r="AA2582" s="68">
        <f ca="1">RANDBETWEEN(345,500)/100</f>
        <v>4.62</v>
      </c>
      <c r="AB2582" s="68">
        <f ca="1">RANDBETWEEN(245,900)/1000</f>
        <v>0.82699999999999996</v>
      </c>
      <c r="AC2582" s="69">
        <f ca="1">RANDBETWEEN(60,120)/10</f>
        <v>8.8000000000000007</v>
      </c>
      <c r="AD2582" s="1033">
        <v>560</v>
      </c>
      <c r="AE2582" s="1033">
        <v>360</v>
      </c>
      <c r="AF2582" s="1033">
        <v>80</v>
      </c>
      <c r="AG2582" s="66">
        <f t="shared" si="104"/>
        <v>162.14464285714286</v>
      </c>
      <c r="AH2582" s="143">
        <f t="shared" si="105"/>
        <v>1000</v>
      </c>
    </row>
    <row r="2583" spans="1:34" x14ac:dyDescent="0.3">
      <c r="A2583" s="1032">
        <v>904959</v>
      </c>
      <c r="B2583" s="1018">
        <v>0.3</v>
      </c>
      <c r="C2583" s="1018"/>
      <c r="D2583" s="1019">
        <v>7.48</v>
      </c>
      <c r="E2583" s="1579">
        <v>0.30499999999999999</v>
      </c>
      <c r="F2583" s="1017">
        <v>335.5</v>
      </c>
      <c r="G2583" s="1032"/>
      <c r="H2583" s="1019">
        <v>89.01</v>
      </c>
      <c r="I2583" s="1032">
        <v>261</v>
      </c>
      <c r="J2583" s="1032">
        <v>0.74</v>
      </c>
      <c r="K2583" s="1008">
        <v>6.8</v>
      </c>
      <c r="L2583" s="1032">
        <v>1485</v>
      </c>
      <c r="M2583" s="1032">
        <v>0.28999999999999998</v>
      </c>
      <c r="N2583" s="1032">
        <v>0.45</v>
      </c>
      <c r="O2583" s="1032">
        <v>10.17</v>
      </c>
      <c r="P2583" s="1032">
        <v>6.76</v>
      </c>
      <c r="Q2583" s="1032"/>
      <c r="R2583" s="1019">
        <v>1.2639075390693733</v>
      </c>
      <c r="S2583" s="1018">
        <v>8.6999999999999993</v>
      </c>
      <c r="T2583" s="1032"/>
      <c r="U2583" s="1032"/>
      <c r="V2583" s="1032"/>
      <c r="W2583" s="1032"/>
      <c r="X2583" s="1032"/>
      <c r="Y2583" s="67">
        <v>24.166666666666668</v>
      </c>
      <c r="Z2583" s="1032"/>
      <c r="AA2583" s="68"/>
      <c r="AB2583" s="68"/>
      <c r="AC2583" s="69"/>
      <c r="AD2583" s="1033">
        <v>580</v>
      </c>
      <c r="AE2583" s="1033">
        <v>320</v>
      </c>
      <c r="AF2583" s="1033">
        <v>100</v>
      </c>
      <c r="AG2583" s="66">
        <f t="shared" si="104"/>
        <v>99.60827586206895</v>
      </c>
      <c r="AH2583" s="143">
        <f t="shared" si="105"/>
        <v>1000</v>
      </c>
    </row>
    <row r="2584" spans="1:34" x14ac:dyDescent="0.3">
      <c r="A2584" s="1032">
        <v>904960</v>
      </c>
      <c r="B2584" s="1018">
        <v>0.24999999999999997</v>
      </c>
      <c r="C2584" s="1018"/>
      <c r="D2584" s="1019">
        <v>7.73</v>
      </c>
      <c r="E2584" s="1579">
        <v>0.25900000000000001</v>
      </c>
      <c r="F2584" s="1017">
        <v>284.90000000000003</v>
      </c>
      <c r="G2584" s="1032"/>
      <c r="H2584" s="1019">
        <v>76.33</v>
      </c>
      <c r="I2584" s="1032">
        <v>174</v>
      </c>
      <c r="J2584" s="1032">
        <v>0.68</v>
      </c>
      <c r="K2584" s="1008">
        <v>6.01</v>
      </c>
      <c r="L2584" s="1032">
        <v>1774</v>
      </c>
      <c r="M2584" s="1032">
        <v>2.65</v>
      </c>
      <c r="N2584" s="1032">
        <v>0.4</v>
      </c>
      <c r="O2584" s="1032">
        <v>5.38</v>
      </c>
      <c r="P2584" s="1032">
        <v>5.53</v>
      </c>
      <c r="Q2584" s="1032"/>
      <c r="R2584" s="1019">
        <v>0.69038713854319955</v>
      </c>
      <c r="S2584" s="1018">
        <v>5</v>
      </c>
      <c r="T2584" s="1032"/>
      <c r="U2584" s="1032"/>
      <c r="V2584" s="1032"/>
      <c r="W2584" s="1032"/>
      <c r="X2584" s="1032"/>
      <c r="Y2584" s="67">
        <v>29</v>
      </c>
      <c r="Z2584" s="1032"/>
      <c r="AA2584" s="68"/>
      <c r="AB2584" s="68"/>
      <c r="AC2584" s="69"/>
      <c r="AD2584" s="1033">
        <v>580</v>
      </c>
      <c r="AE2584" s="1033">
        <v>310</v>
      </c>
      <c r="AF2584" s="1033">
        <v>110</v>
      </c>
      <c r="AG2584" s="66">
        <f t="shared" si="104"/>
        <v>73.363448275862069</v>
      </c>
      <c r="AH2584" s="143">
        <f t="shared" si="105"/>
        <v>1000</v>
      </c>
    </row>
    <row r="2585" spans="1:34" x14ac:dyDescent="0.3">
      <c r="A2585" s="1032">
        <v>904961</v>
      </c>
      <c r="B2585" s="1018">
        <v>0.41666666666666669</v>
      </c>
      <c r="C2585" s="1018"/>
      <c r="D2585" s="1019">
        <v>7.84</v>
      </c>
      <c r="E2585" s="1579">
        <v>0.26</v>
      </c>
      <c r="F2585" s="1017">
        <v>286.00000000000006</v>
      </c>
      <c r="G2585" s="1032"/>
      <c r="H2585" s="1019">
        <v>44.53</v>
      </c>
      <c r="I2585" s="1032">
        <v>215</v>
      </c>
      <c r="J2585" s="1032">
        <v>0.74</v>
      </c>
      <c r="K2585" s="1008">
        <v>6.87</v>
      </c>
      <c r="L2585" s="1032">
        <v>1893</v>
      </c>
      <c r="M2585" s="1032">
        <v>0.21</v>
      </c>
      <c r="N2585" s="1032">
        <v>0.48</v>
      </c>
      <c r="O2585" s="1032">
        <v>5.86</v>
      </c>
      <c r="P2585" s="1032">
        <v>6.96</v>
      </c>
      <c r="Q2585" s="1032"/>
      <c r="R2585" s="1019">
        <v>1.1082715955314841</v>
      </c>
      <c r="S2585" s="1018">
        <v>7.3</v>
      </c>
      <c r="T2585" s="1032"/>
      <c r="U2585" s="1032"/>
      <c r="V2585" s="1032"/>
      <c r="W2585" s="1032"/>
      <c r="X2585" s="1032"/>
      <c r="Y2585" s="67">
        <v>30.333333333333332</v>
      </c>
      <c r="Z2585" s="1032"/>
      <c r="AA2585" s="68"/>
      <c r="AB2585" s="68"/>
      <c r="AC2585" s="69"/>
      <c r="AD2585" s="1033">
        <v>520</v>
      </c>
      <c r="AE2585" s="1033">
        <v>380</v>
      </c>
      <c r="AF2585" s="1033">
        <v>100</v>
      </c>
      <c r="AG2585" s="66">
        <f t="shared" si="104"/>
        <v>80.175164835164836</v>
      </c>
      <c r="AH2585" s="143">
        <f t="shared" si="105"/>
        <v>1000</v>
      </c>
    </row>
    <row r="2586" spans="1:34" x14ac:dyDescent="0.3">
      <c r="A2586" s="1032">
        <v>904962</v>
      </c>
      <c r="B2586" s="1018">
        <v>0.48333333333333328</v>
      </c>
      <c r="C2586" s="1018"/>
      <c r="D2586" s="1019">
        <v>7.74</v>
      </c>
      <c r="E2586" s="1579">
        <v>0.28100000000000003</v>
      </c>
      <c r="F2586" s="1017">
        <v>309.10000000000002</v>
      </c>
      <c r="G2586" s="1032"/>
      <c r="H2586" s="1019">
        <v>55.63</v>
      </c>
      <c r="I2586" s="1032">
        <v>256</v>
      </c>
      <c r="J2586" s="1032">
        <v>0.62</v>
      </c>
      <c r="K2586" s="1008">
        <v>6.72</v>
      </c>
      <c r="L2586" s="1032">
        <v>1673</v>
      </c>
      <c r="M2586" s="1032">
        <v>0.13</v>
      </c>
      <c r="N2586" s="1032">
        <v>0.6</v>
      </c>
      <c r="O2586" s="1032">
        <v>12.55</v>
      </c>
      <c r="P2586" s="1032">
        <v>8.1199999999999992</v>
      </c>
      <c r="Q2586" s="1032"/>
      <c r="R2586" s="1019">
        <v>0.99672177947270268</v>
      </c>
      <c r="S2586" s="1018">
        <v>6.6</v>
      </c>
      <c r="T2586" s="1032"/>
      <c r="U2586" s="1032"/>
      <c r="V2586" s="1032"/>
      <c r="W2586" s="1032"/>
      <c r="X2586" s="1032"/>
      <c r="Y2586" s="67">
        <v>30.333333333333332</v>
      </c>
      <c r="Z2586" s="1032"/>
      <c r="AA2586" s="68"/>
      <c r="AB2586" s="68"/>
      <c r="AC2586" s="69"/>
      <c r="AD2586" s="1033">
        <v>520</v>
      </c>
      <c r="AE2586" s="1033">
        <v>360</v>
      </c>
      <c r="AF2586" s="1033">
        <v>120</v>
      </c>
      <c r="AG2586" s="66">
        <f t="shared" si="104"/>
        <v>78.424615384615379</v>
      </c>
      <c r="AH2586" s="143">
        <f t="shared" si="105"/>
        <v>1000</v>
      </c>
    </row>
    <row r="2587" spans="1:34" x14ac:dyDescent="0.3">
      <c r="A2587" s="1032">
        <v>904963</v>
      </c>
      <c r="B2587" s="1018">
        <v>0.24999999999999997</v>
      </c>
      <c r="C2587" s="1018"/>
      <c r="D2587" s="1019">
        <v>7.99</v>
      </c>
      <c r="E2587" s="1579">
        <v>0.28899999999999998</v>
      </c>
      <c r="F2587" s="1017">
        <v>317.90000000000003</v>
      </c>
      <c r="G2587" s="1032"/>
      <c r="H2587" s="1019">
        <v>39.119999999999997</v>
      </c>
      <c r="I2587" s="1032">
        <v>177</v>
      </c>
      <c r="J2587" s="1032">
        <v>0.67</v>
      </c>
      <c r="K2587" s="1008">
        <v>6.49</v>
      </c>
      <c r="L2587" s="1032">
        <v>1563</v>
      </c>
      <c r="M2587" s="1032">
        <v>0.24</v>
      </c>
      <c r="N2587" s="1032">
        <v>0.5</v>
      </c>
      <c r="O2587" s="1032">
        <v>5.34</v>
      </c>
      <c r="P2587" s="1032">
        <v>6.29</v>
      </c>
      <c r="Q2587" s="1032"/>
      <c r="R2587" s="1019">
        <v>0.90581741784217684</v>
      </c>
      <c r="S2587" s="1018">
        <v>6.1</v>
      </c>
      <c r="T2587" s="1032"/>
      <c r="U2587" s="1032"/>
      <c r="V2587" s="1032"/>
      <c r="W2587" s="1032"/>
      <c r="X2587" s="1032"/>
      <c r="Y2587" s="67">
        <v>33.25</v>
      </c>
      <c r="Z2587" s="1032"/>
      <c r="AA2587" s="68"/>
      <c r="AB2587" s="68"/>
      <c r="AC2587" s="69"/>
      <c r="AD2587" s="1033">
        <v>570</v>
      </c>
      <c r="AE2587" s="1033">
        <v>330</v>
      </c>
      <c r="AF2587" s="1033">
        <v>100</v>
      </c>
      <c r="AG2587" s="66">
        <f t="shared" si="104"/>
        <v>69.096541353383458</v>
      </c>
      <c r="AH2587" s="143">
        <f t="shared" si="105"/>
        <v>1000</v>
      </c>
    </row>
    <row r="2588" spans="1:34" x14ac:dyDescent="0.3">
      <c r="A2588" s="1032">
        <v>904964</v>
      </c>
      <c r="B2588" s="1018">
        <v>0.6</v>
      </c>
      <c r="C2588" s="1018"/>
      <c r="D2588" s="1019">
        <v>7.97</v>
      </c>
      <c r="E2588" s="1579">
        <v>0.39400000000000002</v>
      </c>
      <c r="F2588" s="1017">
        <v>433.40000000000009</v>
      </c>
      <c r="G2588" s="1032"/>
      <c r="H2588" s="1019">
        <v>27.28</v>
      </c>
      <c r="I2588" s="1032">
        <v>235</v>
      </c>
      <c r="J2588" s="1032">
        <v>0.96</v>
      </c>
      <c r="K2588" s="1008">
        <v>8.2799999999999994</v>
      </c>
      <c r="L2588" s="1032">
        <v>1703</v>
      </c>
      <c r="M2588" s="1032">
        <v>0.15</v>
      </c>
      <c r="N2588" s="1032">
        <v>0.41</v>
      </c>
      <c r="O2588" s="1032">
        <v>6.76</v>
      </c>
      <c r="P2588" s="1032">
        <v>5.95</v>
      </c>
      <c r="Q2588" s="1032"/>
      <c r="R2588" s="1019">
        <v>0.98293733021544949</v>
      </c>
      <c r="S2588" s="1018">
        <v>7.3</v>
      </c>
      <c r="T2588" s="1032"/>
      <c r="U2588" s="1032"/>
      <c r="V2588" s="1032"/>
      <c r="W2588" s="1032"/>
      <c r="X2588" s="1032"/>
      <c r="Y2588" s="67">
        <v>24.583333333333336</v>
      </c>
      <c r="Z2588" s="1032"/>
      <c r="AA2588" s="68"/>
      <c r="AB2588" s="68"/>
      <c r="AC2588" s="69"/>
      <c r="AD2588" s="1033">
        <v>590</v>
      </c>
      <c r="AE2588" s="1033">
        <v>300</v>
      </c>
      <c r="AF2588" s="1033">
        <v>110</v>
      </c>
      <c r="AG2588" s="66">
        <f t="shared" si="104"/>
        <v>119.23199999999999</v>
      </c>
      <c r="AH2588" s="143">
        <f t="shared" si="105"/>
        <v>1000</v>
      </c>
    </row>
    <row r="2589" spans="1:34" x14ac:dyDescent="0.3">
      <c r="A2589" s="1032">
        <v>904965</v>
      </c>
      <c r="B2589" s="1018">
        <v>1.0499999999999998</v>
      </c>
      <c r="C2589" s="1018"/>
      <c r="D2589" s="1019">
        <v>8.1</v>
      </c>
      <c r="E2589" s="1579">
        <v>0.33</v>
      </c>
      <c r="F2589" s="1017">
        <v>363.00000000000006</v>
      </c>
      <c r="G2589" s="1032"/>
      <c r="H2589" s="1019">
        <v>38.950000000000003</v>
      </c>
      <c r="I2589" s="1032">
        <v>167</v>
      </c>
      <c r="J2589" s="1032">
        <v>0.81</v>
      </c>
      <c r="K2589" s="1008">
        <v>12.47</v>
      </c>
      <c r="L2589" s="1032">
        <v>1597</v>
      </c>
      <c r="M2589" s="1032">
        <v>0.13</v>
      </c>
      <c r="N2589" s="1032">
        <v>0.38</v>
      </c>
      <c r="O2589" s="1032">
        <v>1.65</v>
      </c>
      <c r="P2589" s="1032">
        <v>6.42</v>
      </c>
      <c r="Q2589" s="1032"/>
      <c r="R2589" s="1019">
        <v>0.91002937338658441</v>
      </c>
      <c r="S2589" s="1018">
        <v>6.6</v>
      </c>
      <c r="T2589" s="1032"/>
      <c r="U2589" s="1032"/>
      <c r="V2589" s="1032"/>
      <c r="W2589" s="1032"/>
      <c r="X2589" s="1032"/>
      <c r="Y2589" s="67">
        <v>29.5</v>
      </c>
      <c r="Z2589" s="1032"/>
      <c r="AA2589" s="68"/>
      <c r="AB2589" s="68"/>
      <c r="AC2589" s="69"/>
      <c r="AD2589" s="1033">
        <v>590</v>
      </c>
      <c r="AE2589" s="1033">
        <v>300</v>
      </c>
      <c r="AF2589" s="1033">
        <v>110</v>
      </c>
      <c r="AG2589" s="66">
        <f t="shared" si="104"/>
        <v>149.64000000000004</v>
      </c>
      <c r="AH2589" s="143">
        <f t="shared" si="105"/>
        <v>1000</v>
      </c>
    </row>
    <row r="2590" spans="1:34" x14ac:dyDescent="0.3">
      <c r="A2590" s="1032">
        <v>904966</v>
      </c>
      <c r="B2590" s="1018">
        <v>8.4583333333333321</v>
      </c>
      <c r="C2590" s="1018"/>
      <c r="D2590" s="1019">
        <v>8.0399999999999991</v>
      </c>
      <c r="E2590" s="1579">
        <v>0.43099999999999999</v>
      </c>
      <c r="F2590" s="1017">
        <v>474.1</v>
      </c>
      <c r="G2590" s="1032"/>
      <c r="H2590" s="1019">
        <v>71.87</v>
      </c>
      <c r="I2590" s="1032">
        <v>305</v>
      </c>
      <c r="J2590" s="1032">
        <v>0.97</v>
      </c>
      <c r="K2590" s="1008">
        <v>15.79</v>
      </c>
      <c r="L2590" s="1032">
        <v>859</v>
      </c>
      <c r="M2590" s="1032">
        <v>0.85</v>
      </c>
      <c r="N2590" s="1032">
        <v>0.54</v>
      </c>
      <c r="O2590" s="1032">
        <v>9.19</v>
      </c>
      <c r="P2590" s="1032">
        <v>4.3899999999999997</v>
      </c>
      <c r="Q2590" s="1032"/>
      <c r="R2590" s="1019">
        <v>1.8929520000000002</v>
      </c>
      <c r="S2590" s="1018">
        <v>19.8</v>
      </c>
      <c r="T2590" s="1032"/>
      <c r="U2590" s="1032"/>
      <c r="V2590" s="1032"/>
      <c r="W2590" s="1032"/>
      <c r="X2590" s="1032"/>
      <c r="Y2590" s="67">
        <v>31.2</v>
      </c>
      <c r="Z2590" s="1032"/>
      <c r="AA2590" s="68">
        <f ca="1">RANDBETWEEN(345,500)/100</f>
        <v>4.92</v>
      </c>
      <c r="AB2590" s="68">
        <f ca="1">RANDBETWEEN(245,900)/1000</f>
        <v>0.755</v>
      </c>
      <c r="AC2590" s="69">
        <f ca="1">RANDBETWEEN(60,120)/10</f>
        <v>9.6</v>
      </c>
      <c r="AD2590" s="1033">
        <v>520</v>
      </c>
      <c r="AE2590" s="1033">
        <v>380</v>
      </c>
      <c r="AF2590" s="1033">
        <v>100</v>
      </c>
      <c r="AG2590" s="66">
        <f t="shared" si="104"/>
        <v>179.15576923076924</v>
      </c>
      <c r="AH2590" s="143">
        <f t="shared" si="105"/>
        <v>1000</v>
      </c>
    </row>
    <row r="2591" spans="1:34" x14ac:dyDescent="0.3">
      <c r="A2591" s="140">
        <v>904967</v>
      </c>
      <c r="G2591" s="140">
        <v>10.62</v>
      </c>
      <c r="AG2591" s="66" t="e">
        <f t="shared" si="104"/>
        <v>#DIV/0!</v>
      </c>
      <c r="AH2591" s="143">
        <f t="shared" si="105"/>
        <v>0</v>
      </c>
    </row>
    <row r="2592" spans="1:34" x14ac:dyDescent="0.3">
      <c r="A2592" s="140">
        <v>904968</v>
      </c>
      <c r="G2592" s="140">
        <v>7.33</v>
      </c>
      <c r="AG2592" s="66" t="e">
        <f t="shared" si="104"/>
        <v>#DIV/0!</v>
      </c>
      <c r="AH2592" s="143">
        <f t="shared" si="105"/>
        <v>0</v>
      </c>
    </row>
    <row r="2593" spans="1:34" x14ac:dyDescent="0.3">
      <c r="A2593" s="140">
        <v>904969</v>
      </c>
      <c r="G2593" s="140">
        <v>11.86</v>
      </c>
      <c r="AG2593" s="66" t="e">
        <f t="shared" si="104"/>
        <v>#DIV/0!</v>
      </c>
      <c r="AH2593" s="143">
        <f t="shared" si="105"/>
        <v>0</v>
      </c>
    </row>
    <row r="2594" spans="1:34" x14ac:dyDescent="0.3">
      <c r="A2594" s="140">
        <v>904970</v>
      </c>
      <c r="G2594" s="140">
        <v>16.07</v>
      </c>
      <c r="AG2594" s="66" t="e">
        <f t="shared" si="104"/>
        <v>#DIV/0!</v>
      </c>
      <c r="AH2594" s="143">
        <f t="shared" si="105"/>
        <v>0</v>
      </c>
    </row>
    <row r="2595" spans="1:34" x14ac:dyDescent="0.3">
      <c r="A2595" s="140">
        <v>904971</v>
      </c>
      <c r="G2595" s="140">
        <v>24.22</v>
      </c>
      <c r="AG2595" s="66" t="e">
        <f t="shared" si="104"/>
        <v>#DIV/0!</v>
      </c>
      <c r="AH2595" s="143">
        <f t="shared" si="105"/>
        <v>0</v>
      </c>
    </row>
    <row r="2596" spans="1:34" x14ac:dyDescent="0.3">
      <c r="A2596" s="140">
        <v>904972</v>
      </c>
      <c r="G2596" s="140">
        <v>19.16</v>
      </c>
      <c r="AG2596" s="66" t="e">
        <f t="shared" si="104"/>
        <v>#DIV/0!</v>
      </c>
      <c r="AH2596" s="143">
        <f t="shared" si="105"/>
        <v>0</v>
      </c>
    </row>
    <row r="2597" spans="1:34" x14ac:dyDescent="0.3">
      <c r="A2597" s="140">
        <v>904973</v>
      </c>
      <c r="G2597" s="140">
        <v>152.11000000000001</v>
      </c>
      <c r="AG2597" s="66" t="e">
        <f t="shared" si="104"/>
        <v>#DIV/0!</v>
      </c>
      <c r="AH2597" s="143">
        <f t="shared" si="105"/>
        <v>0</v>
      </c>
    </row>
    <row r="2598" spans="1:34" x14ac:dyDescent="0.3">
      <c r="A2598" s="140">
        <v>904974</v>
      </c>
      <c r="G2598" s="140">
        <v>111.21</v>
      </c>
      <c r="AG2598" s="66" t="e">
        <f t="shared" si="104"/>
        <v>#DIV/0!</v>
      </c>
      <c r="AH2598" s="143">
        <f t="shared" si="105"/>
        <v>0</v>
      </c>
    </row>
    <row r="2599" spans="1:34" x14ac:dyDescent="0.3">
      <c r="A2599" s="140">
        <v>904975</v>
      </c>
      <c r="G2599" s="140">
        <v>93.68</v>
      </c>
      <c r="AG2599" s="66" t="e">
        <f t="shared" si="104"/>
        <v>#DIV/0!</v>
      </c>
      <c r="AH2599" s="143">
        <f t="shared" si="105"/>
        <v>0</v>
      </c>
    </row>
    <row r="2600" spans="1:34" x14ac:dyDescent="0.3">
      <c r="A2600" s="140">
        <v>904976</v>
      </c>
      <c r="G2600" s="140">
        <v>35.46</v>
      </c>
      <c r="AG2600" s="66" t="e">
        <f t="shared" si="104"/>
        <v>#DIV/0!</v>
      </c>
      <c r="AH2600" s="143">
        <f t="shared" si="105"/>
        <v>0</v>
      </c>
    </row>
    <row r="2601" spans="1:34" x14ac:dyDescent="0.3">
      <c r="A2601" s="140">
        <v>904977</v>
      </c>
      <c r="G2601" s="140">
        <v>126.98</v>
      </c>
      <c r="AG2601" s="66" t="e">
        <f t="shared" si="104"/>
        <v>#DIV/0!</v>
      </c>
      <c r="AH2601" s="143">
        <f t="shared" si="105"/>
        <v>0</v>
      </c>
    </row>
    <row r="2602" spans="1:34" x14ac:dyDescent="0.3">
      <c r="A2602" s="140">
        <v>904978</v>
      </c>
      <c r="G2602" s="140">
        <v>44.6</v>
      </c>
      <c r="AG2602" s="66" t="e">
        <f t="shared" si="104"/>
        <v>#DIV/0!</v>
      </c>
      <c r="AH2602" s="143">
        <f t="shared" si="105"/>
        <v>0</v>
      </c>
    </row>
    <row r="2603" spans="1:34" x14ac:dyDescent="0.3">
      <c r="A2603" s="140">
        <v>904979</v>
      </c>
      <c r="G2603" s="140">
        <v>6.08</v>
      </c>
      <c r="AG2603" s="66" t="e">
        <f t="shared" si="104"/>
        <v>#DIV/0!</v>
      </c>
      <c r="AH2603" s="143">
        <f t="shared" si="105"/>
        <v>0</v>
      </c>
    </row>
    <row r="2604" spans="1:34" x14ac:dyDescent="0.3">
      <c r="A2604" s="140">
        <v>904980</v>
      </c>
      <c r="G2604" s="140">
        <v>5.28</v>
      </c>
      <c r="AG2604" s="66" t="e">
        <f t="shared" si="104"/>
        <v>#DIV/0!</v>
      </c>
      <c r="AH2604" s="143">
        <f t="shared" si="105"/>
        <v>0</v>
      </c>
    </row>
    <row r="2605" spans="1:34" x14ac:dyDescent="0.3">
      <c r="A2605" s="140">
        <v>904981</v>
      </c>
      <c r="G2605" s="140">
        <v>6.91</v>
      </c>
      <c r="AG2605" s="66" t="e">
        <f t="shared" si="104"/>
        <v>#DIV/0!</v>
      </c>
      <c r="AH2605" s="143">
        <f t="shared" si="105"/>
        <v>0</v>
      </c>
    </row>
    <row r="2606" spans="1:34" x14ac:dyDescent="0.3">
      <c r="A2606" s="140">
        <v>904982</v>
      </c>
      <c r="G2606" s="140">
        <v>9.5299999999999994</v>
      </c>
      <c r="AG2606" s="66" t="e">
        <f t="shared" si="104"/>
        <v>#DIV/0!</v>
      </c>
      <c r="AH2606" s="143">
        <f t="shared" si="105"/>
        <v>0</v>
      </c>
    </row>
    <row r="2607" spans="1:34" x14ac:dyDescent="0.3">
      <c r="A2607" s="140">
        <v>904983</v>
      </c>
      <c r="G2607" s="140">
        <v>7.27</v>
      </c>
      <c r="AG2607" s="66" t="e">
        <f t="shared" si="104"/>
        <v>#DIV/0!</v>
      </c>
      <c r="AH2607" s="143">
        <f t="shared" si="105"/>
        <v>0</v>
      </c>
    </row>
    <row r="2608" spans="1:34" x14ac:dyDescent="0.3">
      <c r="A2608" s="140">
        <v>904984</v>
      </c>
      <c r="G2608" s="140">
        <v>8.16</v>
      </c>
      <c r="AG2608" s="66" t="e">
        <f t="shared" si="104"/>
        <v>#DIV/0!</v>
      </c>
      <c r="AH2608" s="143">
        <f t="shared" si="105"/>
        <v>0</v>
      </c>
    </row>
    <row r="2609" spans="1:34" x14ac:dyDescent="0.3">
      <c r="A2609" s="140">
        <v>904985</v>
      </c>
      <c r="G2609" s="140">
        <v>175.53</v>
      </c>
      <c r="AG2609" s="66" t="e">
        <f t="shared" si="104"/>
        <v>#DIV/0!</v>
      </c>
      <c r="AH2609" s="143">
        <f t="shared" si="105"/>
        <v>0</v>
      </c>
    </row>
    <row r="2610" spans="1:34" x14ac:dyDescent="0.3">
      <c r="A2610" s="140">
        <v>904986</v>
      </c>
      <c r="G2610" s="140">
        <v>129.85</v>
      </c>
      <c r="AG2610" s="66" t="e">
        <f t="shared" si="104"/>
        <v>#DIV/0!</v>
      </c>
      <c r="AH2610" s="143">
        <f t="shared" si="105"/>
        <v>0</v>
      </c>
    </row>
    <row r="2611" spans="1:34" x14ac:dyDescent="0.3">
      <c r="A2611" s="140">
        <v>904987</v>
      </c>
      <c r="G2611" s="140">
        <v>154.66999999999999</v>
      </c>
      <c r="AG2611" s="66" t="e">
        <f t="shared" si="104"/>
        <v>#DIV/0!</v>
      </c>
      <c r="AH2611" s="143">
        <f t="shared" si="105"/>
        <v>0</v>
      </c>
    </row>
    <row r="2612" spans="1:34" x14ac:dyDescent="0.3">
      <c r="A2612" s="140">
        <v>904988</v>
      </c>
      <c r="G2612" s="140">
        <v>34.42</v>
      </c>
      <c r="AG2612" s="66" t="e">
        <f t="shared" si="104"/>
        <v>#DIV/0!</v>
      </c>
      <c r="AH2612" s="143">
        <f t="shared" si="105"/>
        <v>0</v>
      </c>
    </row>
    <row r="2613" spans="1:34" x14ac:dyDescent="0.3">
      <c r="A2613" s="140">
        <v>904989</v>
      </c>
      <c r="G2613" s="140">
        <v>17.649999999999999</v>
      </c>
      <c r="AG2613" s="66" t="e">
        <f t="shared" si="104"/>
        <v>#DIV/0!</v>
      </c>
      <c r="AH2613" s="143">
        <f t="shared" si="105"/>
        <v>0</v>
      </c>
    </row>
    <row r="2614" spans="1:34" x14ac:dyDescent="0.3">
      <c r="A2614" s="140">
        <v>904990</v>
      </c>
      <c r="G2614" s="140">
        <v>152.86000000000001</v>
      </c>
      <c r="AG2614" s="66" t="e">
        <f t="shared" si="104"/>
        <v>#DIV/0!</v>
      </c>
      <c r="AH2614" s="143">
        <f t="shared" si="105"/>
        <v>0</v>
      </c>
    </row>
    <row r="2615" spans="1:34" x14ac:dyDescent="0.3">
      <c r="A2615" s="140">
        <v>904991</v>
      </c>
      <c r="G2615" s="140">
        <v>6.96</v>
      </c>
      <c r="AG2615" s="66" t="e">
        <f t="shared" si="104"/>
        <v>#DIV/0!</v>
      </c>
      <c r="AH2615" s="143">
        <f t="shared" si="105"/>
        <v>0</v>
      </c>
    </row>
    <row r="2616" spans="1:34" x14ac:dyDescent="0.3">
      <c r="A2616" s="140">
        <v>904992</v>
      </c>
      <c r="G2616" s="140">
        <v>6.9</v>
      </c>
      <c r="AG2616" s="66" t="e">
        <f t="shared" si="104"/>
        <v>#DIV/0!</v>
      </c>
      <c r="AH2616" s="143">
        <f t="shared" si="105"/>
        <v>0</v>
      </c>
    </row>
    <row r="2617" spans="1:34" x14ac:dyDescent="0.3">
      <c r="A2617" s="140">
        <v>904993</v>
      </c>
      <c r="G2617" s="140">
        <v>6.29</v>
      </c>
      <c r="AG2617" s="66" t="e">
        <f t="shared" si="104"/>
        <v>#DIV/0!</v>
      </c>
      <c r="AH2617" s="143">
        <f t="shared" si="105"/>
        <v>0</v>
      </c>
    </row>
    <row r="2618" spans="1:34" x14ac:dyDescent="0.3">
      <c r="A2618" s="140">
        <v>904994</v>
      </c>
      <c r="G2618" s="140">
        <v>12.94</v>
      </c>
      <c r="AG2618" s="66" t="e">
        <f t="shared" si="104"/>
        <v>#DIV/0!</v>
      </c>
      <c r="AH2618" s="143">
        <f t="shared" si="105"/>
        <v>0</v>
      </c>
    </row>
    <row r="2619" spans="1:34" x14ac:dyDescent="0.3">
      <c r="A2619" s="140">
        <v>904995</v>
      </c>
      <c r="G2619" s="140">
        <v>11.84</v>
      </c>
      <c r="AG2619" s="66" t="e">
        <f t="shared" si="104"/>
        <v>#DIV/0!</v>
      </c>
      <c r="AH2619" s="143">
        <f t="shared" si="105"/>
        <v>0</v>
      </c>
    </row>
    <row r="2620" spans="1:34" x14ac:dyDescent="0.3">
      <c r="A2620" s="140">
        <v>904996</v>
      </c>
      <c r="G2620" s="140">
        <v>26.1</v>
      </c>
      <c r="AG2620" s="66" t="e">
        <f t="shared" si="104"/>
        <v>#DIV/0!</v>
      </c>
      <c r="AH2620" s="143">
        <f t="shared" si="105"/>
        <v>0</v>
      </c>
    </row>
    <row r="2621" spans="1:34" x14ac:dyDescent="0.3">
      <c r="A2621" s="140">
        <v>904997</v>
      </c>
      <c r="G2621" s="140">
        <v>17</v>
      </c>
      <c r="AG2621" s="66" t="e">
        <f t="shared" si="104"/>
        <v>#DIV/0!</v>
      </c>
      <c r="AH2621" s="143">
        <f t="shared" si="105"/>
        <v>0</v>
      </c>
    </row>
    <row r="2622" spans="1:34" x14ac:dyDescent="0.3">
      <c r="A2622" s="140">
        <v>904998</v>
      </c>
      <c r="G2622" s="140">
        <v>11.37</v>
      </c>
      <c r="AG2622" s="66" t="e">
        <f t="shared" si="104"/>
        <v>#DIV/0!</v>
      </c>
      <c r="AH2622" s="143">
        <f t="shared" si="105"/>
        <v>0</v>
      </c>
    </row>
    <row r="2623" spans="1:34" x14ac:dyDescent="0.3">
      <c r="A2623" s="140">
        <v>904999</v>
      </c>
      <c r="G2623" s="140">
        <v>30.22</v>
      </c>
      <c r="AG2623" s="66" t="e">
        <f t="shared" si="104"/>
        <v>#DIV/0!</v>
      </c>
      <c r="AH2623" s="143">
        <f t="shared" si="105"/>
        <v>0</v>
      </c>
    </row>
    <row r="2624" spans="1:34" x14ac:dyDescent="0.3">
      <c r="A2624" s="140">
        <v>905000</v>
      </c>
      <c r="G2624" s="140">
        <v>8.98</v>
      </c>
      <c r="AG2624" s="66" t="e">
        <f t="shared" si="104"/>
        <v>#DIV/0!</v>
      </c>
      <c r="AH2624" s="143">
        <f t="shared" si="105"/>
        <v>0</v>
      </c>
    </row>
    <row r="2625" spans="1:34" x14ac:dyDescent="0.3">
      <c r="A2625" s="140">
        <v>905001</v>
      </c>
      <c r="G2625" s="140">
        <v>10.63</v>
      </c>
      <c r="AG2625" s="66" t="e">
        <f t="shared" si="104"/>
        <v>#DIV/0!</v>
      </c>
      <c r="AH2625" s="143">
        <f t="shared" si="105"/>
        <v>0</v>
      </c>
    </row>
    <row r="2626" spans="1:34" x14ac:dyDescent="0.3">
      <c r="A2626" s="140">
        <v>905002</v>
      </c>
      <c r="G2626" s="140">
        <v>30.18</v>
      </c>
      <c r="AG2626" s="66" t="e">
        <f t="shared" ref="AG2626:AG2689" si="106">+K2626*3.54*100/Y2626</f>
        <v>#DIV/0!</v>
      </c>
      <c r="AH2626" s="143">
        <f t="shared" ref="AH2626:AH2689" si="107">+SUM(AD2626:AF2626)</f>
        <v>0</v>
      </c>
    </row>
    <row r="2627" spans="1:34" x14ac:dyDescent="0.3">
      <c r="A2627" s="140">
        <v>905003</v>
      </c>
      <c r="G2627" s="140">
        <v>5.05</v>
      </c>
      <c r="AG2627" s="66" t="e">
        <f t="shared" si="106"/>
        <v>#DIV/0!</v>
      </c>
      <c r="AH2627" s="143">
        <f t="shared" si="107"/>
        <v>0</v>
      </c>
    </row>
    <row r="2628" spans="1:34" x14ac:dyDescent="0.3">
      <c r="A2628" s="140">
        <v>905004</v>
      </c>
      <c r="G2628" s="140">
        <v>4.97</v>
      </c>
      <c r="AG2628" s="66" t="e">
        <f t="shared" si="106"/>
        <v>#DIV/0!</v>
      </c>
      <c r="AH2628" s="143">
        <f t="shared" si="107"/>
        <v>0</v>
      </c>
    </row>
    <row r="2629" spans="1:34" x14ac:dyDescent="0.3">
      <c r="A2629" s="140">
        <v>905005</v>
      </c>
      <c r="G2629" s="140">
        <v>4.38</v>
      </c>
      <c r="AG2629" s="66" t="e">
        <f t="shared" si="106"/>
        <v>#DIV/0!</v>
      </c>
      <c r="AH2629" s="143">
        <f t="shared" si="107"/>
        <v>0</v>
      </c>
    </row>
    <row r="2630" spans="1:34" x14ac:dyDescent="0.3">
      <c r="A2630" s="140">
        <v>905006</v>
      </c>
      <c r="G2630" s="140">
        <v>5.77</v>
      </c>
      <c r="AG2630" s="66" t="e">
        <f t="shared" si="106"/>
        <v>#DIV/0!</v>
      </c>
      <c r="AH2630" s="143">
        <f t="shared" si="107"/>
        <v>0</v>
      </c>
    </row>
    <row r="2631" spans="1:34" x14ac:dyDescent="0.3">
      <c r="A2631" s="140">
        <v>905007</v>
      </c>
      <c r="G2631" s="140">
        <v>8.5399999999999991</v>
      </c>
      <c r="AG2631" s="66" t="e">
        <f t="shared" si="106"/>
        <v>#DIV/0!</v>
      </c>
      <c r="AH2631" s="143">
        <f t="shared" si="107"/>
        <v>0</v>
      </c>
    </row>
    <row r="2632" spans="1:34" x14ac:dyDescent="0.3">
      <c r="A2632" s="140">
        <v>905008</v>
      </c>
      <c r="G2632" s="140">
        <v>15.91</v>
      </c>
      <c r="AG2632" s="66" t="e">
        <f t="shared" si="106"/>
        <v>#DIV/0!</v>
      </c>
      <c r="AH2632" s="143">
        <f t="shared" si="107"/>
        <v>0</v>
      </c>
    </row>
    <row r="2633" spans="1:34" x14ac:dyDescent="0.3">
      <c r="A2633" s="140">
        <v>905009</v>
      </c>
      <c r="G2633" s="140">
        <v>12.48</v>
      </c>
      <c r="AG2633" s="66" t="e">
        <f t="shared" si="106"/>
        <v>#DIV/0!</v>
      </c>
      <c r="AH2633" s="143">
        <f t="shared" si="107"/>
        <v>0</v>
      </c>
    </row>
    <row r="2634" spans="1:34" x14ac:dyDescent="0.3">
      <c r="A2634" s="140">
        <v>905010</v>
      </c>
      <c r="G2634" s="140">
        <v>17.39</v>
      </c>
      <c r="AG2634" s="66" t="e">
        <f t="shared" si="106"/>
        <v>#DIV/0!</v>
      </c>
      <c r="AH2634" s="143">
        <f t="shared" si="107"/>
        <v>0</v>
      </c>
    </row>
    <row r="2635" spans="1:34" x14ac:dyDescent="0.3">
      <c r="A2635" s="140">
        <v>905011</v>
      </c>
      <c r="G2635" s="140">
        <v>66.89</v>
      </c>
      <c r="AG2635" s="66" t="e">
        <f t="shared" si="106"/>
        <v>#DIV/0!</v>
      </c>
      <c r="AH2635" s="143">
        <f t="shared" si="107"/>
        <v>0</v>
      </c>
    </row>
    <row r="2636" spans="1:34" x14ac:dyDescent="0.3">
      <c r="A2636" s="140">
        <v>905012</v>
      </c>
      <c r="G2636" s="140">
        <v>9.52</v>
      </c>
      <c r="AG2636" s="66" t="e">
        <f t="shared" si="106"/>
        <v>#DIV/0!</v>
      </c>
      <c r="AH2636" s="143">
        <f t="shared" si="107"/>
        <v>0</v>
      </c>
    </row>
    <row r="2637" spans="1:34" x14ac:dyDescent="0.3">
      <c r="A2637" s="140">
        <v>905013</v>
      </c>
      <c r="G2637" s="140">
        <v>13.63</v>
      </c>
      <c r="AG2637" s="66" t="e">
        <f t="shared" si="106"/>
        <v>#DIV/0!</v>
      </c>
      <c r="AH2637" s="143">
        <f t="shared" si="107"/>
        <v>0</v>
      </c>
    </row>
    <row r="2638" spans="1:34" x14ac:dyDescent="0.3">
      <c r="A2638" s="140">
        <v>905014</v>
      </c>
      <c r="G2638" s="140">
        <v>8.2200000000000006</v>
      </c>
      <c r="AG2638" s="66" t="e">
        <f t="shared" si="106"/>
        <v>#DIV/0!</v>
      </c>
      <c r="AH2638" s="143">
        <f t="shared" si="107"/>
        <v>0</v>
      </c>
    </row>
    <row r="2639" spans="1:34" x14ac:dyDescent="0.3">
      <c r="A2639" s="114">
        <v>905015</v>
      </c>
      <c r="B2639" s="138">
        <v>5.3</v>
      </c>
      <c r="D2639" s="152">
        <v>8.27</v>
      </c>
      <c r="E2639" s="752">
        <v>1.2849999999999999</v>
      </c>
      <c r="F2639" s="142">
        <v>1413.5</v>
      </c>
      <c r="H2639" s="140">
        <v>53.42</v>
      </c>
      <c r="I2639" s="140">
        <v>290</v>
      </c>
      <c r="J2639" s="140">
        <v>1.2030000000000001</v>
      </c>
      <c r="K2639" s="140">
        <v>7.17</v>
      </c>
      <c r="L2639" s="140">
        <v>770</v>
      </c>
      <c r="M2639" s="139">
        <v>0.93</v>
      </c>
      <c r="N2639" s="139">
        <v>0.74</v>
      </c>
      <c r="O2639" s="139">
        <v>5.4</v>
      </c>
      <c r="P2639" s="139">
        <v>4.57</v>
      </c>
      <c r="R2639" s="139">
        <v>1.3922445071827678</v>
      </c>
      <c r="S2639" s="138">
        <v>9.9600000000000009</v>
      </c>
      <c r="Y2639" s="138">
        <v>20.5</v>
      </c>
      <c r="AD2639" s="70">
        <v>410</v>
      </c>
      <c r="AE2639" s="70">
        <v>300</v>
      </c>
      <c r="AF2639" s="70">
        <v>290</v>
      </c>
      <c r="AG2639" s="66">
        <f t="shared" si="106"/>
        <v>123.81365853658536</v>
      </c>
      <c r="AH2639" s="143">
        <f t="shared" si="107"/>
        <v>1000</v>
      </c>
    </row>
    <row r="2640" spans="1:34" x14ac:dyDescent="0.3">
      <c r="A2640" s="114">
        <v>905016</v>
      </c>
      <c r="B2640" s="138">
        <v>19.8</v>
      </c>
      <c r="C2640" s="138">
        <v>12.999999999999998</v>
      </c>
      <c r="D2640" s="152">
        <v>8.4499999999999993</v>
      </c>
      <c r="E2640" s="752">
        <v>0.156</v>
      </c>
      <c r="F2640" s="142">
        <v>171.6</v>
      </c>
      <c r="H2640" s="140">
        <v>21.76</v>
      </c>
      <c r="I2640" s="140">
        <v>220</v>
      </c>
      <c r="J2640" s="140">
        <v>5.2999999999999999E-2</v>
      </c>
      <c r="K2640" s="140">
        <v>9.07</v>
      </c>
      <c r="L2640" s="140">
        <v>1180</v>
      </c>
      <c r="M2640" s="139">
        <v>0.47</v>
      </c>
      <c r="N2640" s="139">
        <v>0.64</v>
      </c>
      <c r="O2640" s="139">
        <v>6.2</v>
      </c>
      <c r="P2640" s="139">
        <v>4.53</v>
      </c>
      <c r="R2640" s="139">
        <v>1.3458620197818543</v>
      </c>
      <c r="S2640" s="138">
        <v>9.9499999999999993</v>
      </c>
      <c r="Y2640" s="138">
        <v>31</v>
      </c>
      <c r="AA2640" s="139">
        <v>4.17</v>
      </c>
      <c r="AB2640" s="139">
        <v>0.86499999999999999</v>
      </c>
      <c r="AC2640" s="140">
        <v>11.8</v>
      </c>
      <c r="AD2640" s="70">
        <v>500</v>
      </c>
      <c r="AE2640" s="70">
        <v>380</v>
      </c>
      <c r="AF2640" s="70">
        <v>120</v>
      </c>
      <c r="AG2640" s="66">
        <f t="shared" si="106"/>
        <v>103.57354838709679</v>
      </c>
      <c r="AH2640" s="143">
        <f t="shared" si="107"/>
        <v>1000</v>
      </c>
    </row>
    <row r="2641" spans="1:34" x14ac:dyDescent="0.3">
      <c r="A2641" s="114">
        <v>905017</v>
      </c>
      <c r="B2641" s="138">
        <v>21.3</v>
      </c>
      <c r="C2641" s="138">
        <v>12</v>
      </c>
      <c r="D2641" s="152">
        <v>8.3800000000000008</v>
      </c>
      <c r="E2641" s="752">
        <v>0.222</v>
      </c>
      <c r="F2641" s="142">
        <v>244.20000000000002</v>
      </c>
      <c r="H2641" s="140">
        <v>15.73</v>
      </c>
      <c r="I2641" s="140">
        <v>200</v>
      </c>
      <c r="J2641" s="140">
        <v>9.6000000000000002E-2</v>
      </c>
      <c r="K2641" s="140">
        <v>9.41</v>
      </c>
      <c r="L2641" s="140">
        <v>1170</v>
      </c>
      <c r="M2641" s="139">
        <v>0.2</v>
      </c>
      <c r="N2641" s="139">
        <v>0.6</v>
      </c>
      <c r="O2641" s="139">
        <v>2.4</v>
      </c>
      <c r="P2641" s="139">
        <v>3.87</v>
      </c>
      <c r="R2641" s="139">
        <v>1.3556337248493946</v>
      </c>
      <c r="S2641" s="138">
        <v>9.39</v>
      </c>
      <c r="Y2641" s="138">
        <v>25</v>
      </c>
      <c r="AA2641" s="139">
        <v>3.53</v>
      </c>
      <c r="AB2641" s="139">
        <v>0.46</v>
      </c>
      <c r="AC2641" s="140">
        <v>10.4</v>
      </c>
      <c r="AD2641" s="70">
        <v>500</v>
      </c>
      <c r="AE2641" s="70">
        <v>390</v>
      </c>
      <c r="AF2641" s="70">
        <v>110</v>
      </c>
      <c r="AG2641" s="66">
        <f t="shared" si="106"/>
        <v>133.2456</v>
      </c>
      <c r="AH2641" s="143">
        <f t="shared" si="107"/>
        <v>1000</v>
      </c>
    </row>
    <row r="2642" spans="1:34" x14ac:dyDescent="0.3">
      <c r="A2642" s="114">
        <v>905018</v>
      </c>
      <c r="B2642" s="138">
        <v>3.4</v>
      </c>
      <c r="D2642" s="152">
        <v>8.64</v>
      </c>
      <c r="E2642" s="752">
        <v>0.156</v>
      </c>
      <c r="F2642" s="142">
        <v>171.6</v>
      </c>
      <c r="H2642" s="140">
        <v>9.7899999999999991</v>
      </c>
      <c r="I2642" s="140">
        <v>160</v>
      </c>
      <c r="J2642" s="140">
        <v>0.104</v>
      </c>
      <c r="K2642" s="140">
        <v>6.93</v>
      </c>
      <c r="L2642" s="140">
        <v>790</v>
      </c>
      <c r="M2642" s="139">
        <v>0.5</v>
      </c>
      <c r="N2642" s="139">
        <v>0.73</v>
      </c>
      <c r="O2642" s="139">
        <v>2.78</v>
      </c>
      <c r="P2642" s="139">
        <v>3.48</v>
      </c>
      <c r="R2642" s="139">
        <v>0.93917304028886517</v>
      </c>
      <c r="S2642" s="138">
        <v>6.76</v>
      </c>
      <c r="Y2642" s="138">
        <v>21</v>
      </c>
      <c r="AA2642" s="139">
        <v>4.74</v>
      </c>
      <c r="AB2642" s="139">
        <v>0.69799999999999995</v>
      </c>
      <c r="AC2642" s="140">
        <v>9.5</v>
      </c>
      <c r="AD2642" s="70">
        <v>420</v>
      </c>
      <c r="AE2642" s="70">
        <v>310</v>
      </c>
      <c r="AF2642" s="70">
        <v>270</v>
      </c>
      <c r="AG2642" s="66">
        <f t="shared" si="106"/>
        <v>116.82</v>
      </c>
      <c r="AH2642" s="143">
        <f t="shared" si="107"/>
        <v>1000</v>
      </c>
    </row>
    <row r="2643" spans="1:34" x14ac:dyDescent="0.3">
      <c r="A2643" s="114">
        <v>905019</v>
      </c>
      <c r="B2643" s="138">
        <v>5.2</v>
      </c>
      <c r="D2643" s="152">
        <v>8.24</v>
      </c>
      <c r="E2643" s="752">
        <v>0.52700000000000002</v>
      </c>
      <c r="F2643" s="142">
        <v>579.70000000000016</v>
      </c>
      <c r="H2643" s="140">
        <v>39.43</v>
      </c>
      <c r="I2643" s="140">
        <v>680</v>
      </c>
      <c r="J2643" s="140">
        <v>0.93200000000000005</v>
      </c>
      <c r="K2643" s="140">
        <v>13.58</v>
      </c>
      <c r="L2643" s="140">
        <v>2050</v>
      </c>
      <c r="M2643" s="139">
        <v>0.57999999999999996</v>
      </c>
      <c r="N2643" s="139">
        <v>1.32</v>
      </c>
      <c r="O2643" s="139">
        <v>6.84</v>
      </c>
      <c r="P2643" s="139">
        <v>27.49</v>
      </c>
      <c r="R2643" s="139">
        <v>1.6384294800000001</v>
      </c>
      <c r="S2643" s="138">
        <v>11.94</v>
      </c>
      <c r="Y2643" s="138">
        <v>36.6</v>
      </c>
      <c r="AD2643" s="70">
        <v>580</v>
      </c>
      <c r="AE2643" s="70">
        <v>360</v>
      </c>
      <c r="AF2643" s="70">
        <v>60</v>
      </c>
      <c r="AG2643" s="66">
        <f t="shared" si="106"/>
        <v>131.34754098360654</v>
      </c>
      <c r="AH2643" s="143">
        <f t="shared" si="107"/>
        <v>1000</v>
      </c>
    </row>
    <row r="2644" spans="1:34" x14ac:dyDescent="0.3">
      <c r="A2644" s="114">
        <v>905020</v>
      </c>
      <c r="B2644" s="138">
        <v>50.3</v>
      </c>
      <c r="C2644" s="138">
        <v>15.999999999999998</v>
      </c>
      <c r="D2644" s="152">
        <v>8.67</v>
      </c>
      <c r="E2644" s="752">
        <v>0.21099999999999999</v>
      </c>
      <c r="F2644" s="142">
        <v>232.1</v>
      </c>
      <c r="H2644" s="140">
        <v>24.09</v>
      </c>
      <c r="I2644" s="140">
        <v>160</v>
      </c>
      <c r="J2644" s="140">
        <v>7.5999999999999998E-2</v>
      </c>
      <c r="K2644" s="140">
        <v>8.24</v>
      </c>
      <c r="L2644" s="140">
        <v>770</v>
      </c>
      <c r="M2644" s="139">
        <v>0.15</v>
      </c>
      <c r="N2644" s="139">
        <v>0.49</v>
      </c>
      <c r="O2644" s="139">
        <v>2.17</v>
      </c>
      <c r="P2644" s="139">
        <v>2.25</v>
      </c>
      <c r="R2644" s="139">
        <v>1.7218596800000001</v>
      </c>
      <c r="S2644" s="138">
        <v>14.24</v>
      </c>
      <c r="Y2644" s="138">
        <v>22</v>
      </c>
      <c r="AA2644" s="139">
        <v>4.74</v>
      </c>
      <c r="AB2644" s="139">
        <v>0.45200000000000001</v>
      </c>
      <c r="AC2644" s="140">
        <v>6.9</v>
      </c>
      <c r="AD2644" s="70">
        <v>440</v>
      </c>
      <c r="AE2644" s="70">
        <v>300</v>
      </c>
      <c r="AF2644" s="70">
        <v>260</v>
      </c>
      <c r="AG2644" s="66">
        <f t="shared" si="106"/>
        <v>132.58909090909091</v>
      </c>
      <c r="AH2644" s="143">
        <f t="shared" si="107"/>
        <v>1000</v>
      </c>
    </row>
    <row r="2645" spans="1:34" x14ac:dyDescent="0.3">
      <c r="A2645" s="114">
        <v>905021</v>
      </c>
      <c r="B2645" s="138">
        <v>71.3</v>
      </c>
      <c r="C2645" s="138">
        <v>16.25</v>
      </c>
      <c r="D2645" s="152">
        <v>8.66</v>
      </c>
      <c r="E2645" s="752">
        <v>0.25700000000000001</v>
      </c>
      <c r="F2645" s="142">
        <v>282.7</v>
      </c>
      <c r="H2645" s="140">
        <v>10.65</v>
      </c>
      <c r="I2645" s="140">
        <v>90</v>
      </c>
      <c r="J2645" s="140">
        <v>8.7999999999999995E-2</v>
      </c>
      <c r="K2645" s="140">
        <v>8.1999999999999993</v>
      </c>
      <c r="L2645" s="140">
        <v>850</v>
      </c>
      <c r="M2645" s="139">
        <v>0.13</v>
      </c>
      <c r="N2645" s="139">
        <v>0.3</v>
      </c>
      <c r="O2645" s="139">
        <v>0.8</v>
      </c>
      <c r="P2645" s="139">
        <v>2.67</v>
      </c>
      <c r="R2645" s="139">
        <v>1.1885912326700494</v>
      </c>
      <c r="S2645" s="138">
        <v>8.0399999999999991</v>
      </c>
      <c r="Y2645" s="138">
        <v>19</v>
      </c>
      <c r="AA2645" s="139">
        <v>4.5</v>
      </c>
      <c r="AB2645" s="139">
        <v>0.55700000000000005</v>
      </c>
      <c r="AC2645" s="140">
        <v>10.5</v>
      </c>
      <c r="AD2645" s="70">
        <v>380</v>
      </c>
      <c r="AE2645" s="70">
        <v>250</v>
      </c>
      <c r="AF2645" s="70">
        <v>370</v>
      </c>
      <c r="AG2645" s="66">
        <f t="shared" si="106"/>
        <v>152.77894736842103</v>
      </c>
      <c r="AH2645" s="143">
        <f t="shared" si="107"/>
        <v>1000</v>
      </c>
    </row>
    <row r="2646" spans="1:34" x14ac:dyDescent="0.3">
      <c r="A2646" s="114">
        <v>905022</v>
      </c>
      <c r="B2646" s="138">
        <v>21.7</v>
      </c>
      <c r="C2646" s="138">
        <v>11.25</v>
      </c>
      <c r="D2646" s="152">
        <v>8.64</v>
      </c>
      <c r="E2646" s="752">
        <v>0.16</v>
      </c>
      <c r="F2646" s="142">
        <v>176.00000000000003</v>
      </c>
      <c r="H2646" s="140">
        <v>30.95</v>
      </c>
      <c r="I2646" s="140">
        <v>200</v>
      </c>
      <c r="J2646" s="140">
        <v>3.6999999999999998E-2</v>
      </c>
      <c r="K2646" s="140">
        <v>8.35</v>
      </c>
      <c r="L2646" s="140">
        <v>630</v>
      </c>
      <c r="M2646" s="139">
        <v>0.2</v>
      </c>
      <c r="N2646" s="139">
        <v>0.79</v>
      </c>
      <c r="O2646" s="139">
        <v>2.2400000000000002</v>
      </c>
      <c r="P2646" s="139">
        <v>2.14</v>
      </c>
      <c r="R2646" s="139">
        <v>1.3047146318322487</v>
      </c>
      <c r="S2646" s="138">
        <v>9.1300000000000008</v>
      </c>
      <c r="Y2646" s="138">
        <v>26</v>
      </c>
      <c r="AA2646" s="139">
        <v>4.76</v>
      </c>
      <c r="AB2646" s="139">
        <v>0.57299999999999995</v>
      </c>
      <c r="AC2646" s="140">
        <v>9.1999999999999993</v>
      </c>
      <c r="AD2646" s="70">
        <v>520</v>
      </c>
      <c r="AE2646" s="70">
        <v>280</v>
      </c>
      <c r="AF2646" s="70">
        <v>200</v>
      </c>
      <c r="AG2646" s="66">
        <f t="shared" si="106"/>
        <v>113.68846153846152</v>
      </c>
      <c r="AH2646" s="143">
        <f t="shared" si="107"/>
        <v>1000</v>
      </c>
    </row>
    <row r="2647" spans="1:34" x14ac:dyDescent="0.3">
      <c r="A2647" s="114">
        <v>905023</v>
      </c>
      <c r="B2647" s="138">
        <v>52.3</v>
      </c>
      <c r="C2647" s="138">
        <v>16.75</v>
      </c>
      <c r="D2647" s="152">
        <v>8.48</v>
      </c>
      <c r="E2647" s="752">
        <v>0.218</v>
      </c>
      <c r="F2647" s="142">
        <v>239.8</v>
      </c>
      <c r="H2647" s="140">
        <v>14.34</v>
      </c>
      <c r="I2647" s="140">
        <v>220</v>
      </c>
      <c r="J2647" s="140">
        <v>5.0999999999999997E-2</v>
      </c>
      <c r="K2647" s="140">
        <v>8.09</v>
      </c>
      <c r="L2647" s="140">
        <v>560</v>
      </c>
      <c r="M2647" s="139">
        <v>0.16</v>
      </c>
      <c r="N2647" s="139">
        <v>0.46</v>
      </c>
      <c r="O2647" s="139">
        <v>2.75</v>
      </c>
      <c r="P2647" s="139">
        <v>2.5299999999999998</v>
      </c>
      <c r="R2647" s="139">
        <v>1.7568209700000001</v>
      </c>
      <c r="S2647" s="138">
        <v>15.27</v>
      </c>
      <c r="Y2647" s="138">
        <v>28</v>
      </c>
      <c r="AA2647" s="139">
        <v>4.12</v>
      </c>
      <c r="AB2647" s="139">
        <v>0.36799999999999999</v>
      </c>
      <c r="AC2647" s="140">
        <v>9</v>
      </c>
      <c r="AD2647" s="70">
        <v>400</v>
      </c>
      <c r="AE2647" s="70">
        <v>280</v>
      </c>
      <c r="AF2647" s="70">
        <v>320</v>
      </c>
      <c r="AG2647" s="66">
        <f t="shared" si="106"/>
        <v>102.2807142857143</v>
      </c>
      <c r="AH2647" s="143">
        <f t="shared" si="107"/>
        <v>1000</v>
      </c>
    </row>
    <row r="2648" spans="1:34" x14ac:dyDescent="0.3">
      <c r="A2648" s="114">
        <v>905024</v>
      </c>
      <c r="B2648" s="138">
        <v>41.5</v>
      </c>
      <c r="C2648" s="138">
        <v>15.999999999999998</v>
      </c>
      <c r="D2648" s="152">
        <v>8.42</v>
      </c>
      <c r="E2648" s="752">
        <v>0.47199999999999998</v>
      </c>
      <c r="F2648" s="142">
        <v>519.20000000000005</v>
      </c>
      <c r="H2648" s="140">
        <v>10.31</v>
      </c>
      <c r="I2648" s="140">
        <v>140</v>
      </c>
      <c r="J2648" s="140">
        <v>0.24299999999999999</v>
      </c>
      <c r="K2648" s="140">
        <v>8.5500000000000007</v>
      </c>
      <c r="L2648" s="140">
        <v>1050</v>
      </c>
      <c r="M2648" s="139">
        <v>0.21</v>
      </c>
      <c r="N2648" s="139">
        <v>0.74</v>
      </c>
      <c r="O2648" s="139">
        <v>2.4900000000000002</v>
      </c>
      <c r="P2648" s="139">
        <v>4.96</v>
      </c>
      <c r="R2648" s="139">
        <v>1.9336749200000001</v>
      </c>
      <c r="S2648" s="138">
        <v>21.38</v>
      </c>
      <c r="Y2648" s="138">
        <v>23</v>
      </c>
      <c r="AA2648" s="139">
        <v>4.92</v>
      </c>
      <c r="AB2648" s="139">
        <v>0.65200000000000002</v>
      </c>
      <c r="AC2648" s="140">
        <v>9.3000000000000007</v>
      </c>
      <c r="AD2648" s="70">
        <v>460</v>
      </c>
      <c r="AE2648" s="70">
        <v>280</v>
      </c>
      <c r="AF2648" s="70">
        <v>260</v>
      </c>
      <c r="AG2648" s="66">
        <f t="shared" si="106"/>
        <v>131.59565217391307</v>
      </c>
      <c r="AH2648" s="143">
        <f t="shared" si="107"/>
        <v>1000</v>
      </c>
    </row>
    <row r="2649" spans="1:34" x14ac:dyDescent="0.3">
      <c r="A2649" s="114">
        <v>905025</v>
      </c>
      <c r="B2649" s="138">
        <v>11.6</v>
      </c>
      <c r="C2649" s="138">
        <v>5</v>
      </c>
      <c r="D2649" s="152">
        <v>8.4499999999999993</v>
      </c>
      <c r="E2649" s="752">
        <v>0.20899999999999999</v>
      </c>
      <c r="F2649" s="142">
        <v>229.90000000000003</v>
      </c>
      <c r="H2649" s="140">
        <v>211.89</v>
      </c>
      <c r="I2649" s="140">
        <v>140</v>
      </c>
      <c r="J2649" s="140">
        <v>0.104</v>
      </c>
      <c r="K2649" s="140">
        <v>5.61</v>
      </c>
      <c r="L2649" s="140">
        <v>400</v>
      </c>
      <c r="M2649" s="139">
        <v>4.05</v>
      </c>
      <c r="N2649" s="139">
        <v>2.9</v>
      </c>
      <c r="O2649" s="139">
        <v>8.67</v>
      </c>
      <c r="P2649" s="139">
        <v>2.74</v>
      </c>
      <c r="R2649" s="139">
        <v>1.3889083388903201</v>
      </c>
      <c r="S2649" s="138">
        <v>9.09</v>
      </c>
      <c r="Y2649" s="138">
        <v>3</v>
      </c>
      <c r="AA2649" s="139">
        <v>3.7</v>
      </c>
      <c r="AB2649" s="139">
        <v>0.28899999999999998</v>
      </c>
      <c r="AC2649" s="140">
        <v>7.4</v>
      </c>
      <c r="AD2649" s="70">
        <v>60</v>
      </c>
      <c r="AE2649" s="70">
        <v>60</v>
      </c>
      <c r="AF2649" s="70">
        <v>880</v>
      </c>
      <c r="AG2649" s="66">
        <f t="shared" si="106"/>
        <v>661.98</v>
      </c>
      <c r="AH2649" s="143">
        <f t="shared" si="107"/>
        <v>1000</v>
      </c>
    </row>
    <row r="2650" spans="1:34" x14ac:dyDescent="0.3">
      <c r="A2650" s="114">
        <v>905026</v>
      </c>
      <c r="B2650" s="138">
        <v>18.8</v>
      </c>
      <c r="C2650" s="138">
        <v>11.124999999999998</v>
      </c>
      <c r="D2650" s="152">
        <v>8.65</v>
      </c>
      <c r="E2650" s="752">
        <v>0.53400000000000003</v>
      </c>
      <c r="F2650" s="142">
        <v>587.4</v>
      </c>
      <c r="H2650" s="140">
        <v>42.84</v>
      </c>
      <c r="I2650" s="140">
        <v>360</v>
      </c>
      <c r="J2650" s="140">
        <v>0.52600000000000002</v>
      </c>
      <c r="K2650" s="140">
        <v>7.65</v>
      </c>
      <c r="L2650" s="140">
        <v>900</v>
      </c>
      <c r="M2650" s="139">
        <v>2.13</v>
      </c>
      <c r="N2650" s="139">
        <v>1.1299999999999999</v>
      </c>
      <c r="O2650" s="139">
        <v>3.49</v>
      </c>
      <c r="P2650" s="139">
        <v>5.49</v>
      </c>
      <c r="R2650" s="139">
        <v>1.4106183502510301</v>
      </c>
      <c r="S2650" s="138">
        <v>9.8800000000000008</v>
      </c>
      <c r="Y2650" s="138">
        <v>32</v>
      </c>
      <c r="AA2650" s="139">
        <v>4.5199999999999996</v>
      </c>
      <c r="AB2650" s="139">
        <v>0.81100000000000005</v>
      </c>
      <c r="AC2650" s="140">
        <v>9.3000000000000007</v>
      </c>
      <c r="AD2650" s="70">
        <v>560</v>
      </c>
      <c r="AE2650" s="70">
        <v>380</v>
      </c>
      <c r="AF2650" s="70">
        <v>60</v>
      </c>
      <c r="AG2650" s="66">
        <f t="shared" si="106"/>
        <v>84.628125000000011</v>
      </c>
      <c r="AH2650" s="143">
        <f t="shared" si="107"/>
        <v>1000</v>
      </c>
    </row>
    <row r="2651" spans="1:34" x14ac:dyDescent="0.3">
      <c r="A2651" s="114">
        <v>905027</v>
      </c>
      <c r="B2651" s="138">
        <v>6</v>
      </c>
      <c r="D2651" s="152">
        <v>8.56</v>
      </c>
      <c r="E2651" s="752">
        <v>0.436</v>
      </c>
      <c r="F2651" s="142">
        <v>479.6</v>
      </c>
      <c r="H2651" s="140">
        <v>20.76</v>
      </c>
      <c r="I2651" s="140">
        <v>220</v>
      </c>
      <c r="J2651" s="140">
        <v>0.33</v>
      </c>
      <c r="K2651" s="140">
        <v>5.29</v>
      </c>
      <c r="L2651" s="140">
        <v>1230</v>
      </c>
      <c r="M2651" s="139">
        <v>0.72</v>
      </c>
      <c r="N2651" s="139">
        <v>0.8</v>
      </c>
      <c r="O2651" s="139">
        <v>1.9</v>
      </c>
      <c r="P2651" s="139">
        <v>2.4500000000000002</v>
      </c>
      <c r="R2651" s="139">
        <v>1.7617885200000001</v>
      </c>
      <c r="S2651" s="138">
        <v>15.42</v>
      </c>
      <c r="Y2651" s="138">
        <v>22</v>
      </c>
      <c r="AA2651" s="139">
        <v>4.24</v>
      </c>
      <c r="AB2651" s="139">
        <v>0.66800000000000004</v>
      </c>
      <c r="AC2651" s="140">
        <v>7.5</v>
      </c>
      <c r="AD2651" s="70">
        <v>360</v>
      </c>
      <c r="AE2651" s="70">
        <v>260</v>
      </c>
      <c r="AF2651" s="70">
        <v>380</v>
      </c>
      <c r="AG2651" s="66">
        <f t="shared" si="106"/>
        <v>85.120909090909095</v>
      </c>
      <c r="AH2651" s="143">
        <f t="shared" si="107"/>
        <v>1000</v>
      </c>
    </row>
    <row r="2652" spans="1:34" x14ac:dyDescent="0.3">
      <c r="A2652" s="114">
        <v>905028</v>
      </c>
      <c r="B2652" s="138">
        <v>67.7</v>
      </c>
      <c r="C2652" s="138">
        <v>15.75</v>
      </c>
      <c r="D2652" s="152">
        <v>8.42</v>
      </c>
      <c r="E2652" s="752">
        <v>0.52400000000000002</v>
      </c>
      <c r="F2652" s="142">
        <v>576.4</v>
      </c>
      <c r="H2652" s="140">
        <v>71.12</v>
      </c>
      <c r="I2652" s="140">
        <v>200</v>
      </c>
      <c r="J2652" s="140">
        <v>0.30099999999999999</v>
      </c>
      <c r="K2652" s="140">
        <v>8.5299999999999994</v>
      </c>
      <c r="L2652" s="140">
        <v>1130</v>
      </c>
      <c r="M2652" s="139">
        <v>1.4</v>
      </c>
      <c r="N2652" s="139">
        <v>0.31</v>
      </c>
      <c r="O2652" s="139">
        <v>1.96</v>
      </c>
      <c r="P2652" s="139">
        <v>2.4500000000000002</v>
      </c>
      <c r="R2652" s="139">
        <v>1.70045417</v>
      </c>
      <c r="S2652" s="138">
        <v>13.63</v>
      </c>
      <c r="Y2652" s="138">
        <v>33.799999999999997</v>
      </c>
      <c r="AA2652" s="139">
        <v>4.63</v>
      </c>
      <c r="AB2652" s="139">
        <v>0.75</v>
      </c>
      <c r="AC2652" s="140">
        <v>11.5</v>
      </c>
      <c r="AD2652" s="70">
        <v>540</v>
      </c>
      <c r="AE2652" s="70">
        <v>290</v>
      </c>
      <c r="AF2652" s="70">
        <v>170</v>
      </c>
      <c r="AG2652" s="66">
        <f t="shared" si="106"/>
        <v>89.337869822485217</v>
      </c>
      <c r="AH2652" s="143">
        <f t="shared" si="107"/>
        <v>1000</v>
      </c>
    </row>
    <row r="2653" spans="1:34" x14ac:dyDescent="0.3">
      <c r="A2653" s="114">
        <v>905029</v>
      </c>
      <c r="B2653" s="138">
        <v>12.1</v>
      </c>
      <c r="C2653" s="138">
        <v>13.624999999999998</v>
      </c>
      <c r="D2653" s="152">
        <v>8.5</v>
      </c>
      <c r="E2653" s="752">
        <v>0.214</v>
      </c>
      <c r="F2653" s="142">
        <v>235.40000000000003</v>
      </c>
      <c r="H2653" s="140">
        <v>26.65</v>
      </c>
      <c r="I2653" s="140">
        <v>250</v>
      </c>
      <c r="J2653" s="140">
        <v>4.5999999999999999E-2</v>
      </c>
      <c r="K2653" s="140">
        <v>7.8</v>
      </c>
      <c r="L2653" s="140">
        <v>1180</v>
      </c>
      <c r="M2653" s="139">
        <v>0.38</v>
      </c>
      <c r="N2653" s="139">
        <v>0.48</v>
      </c>
      <c r="O2653" s="139">
        <v>2.4900000000000002</v>
      </c>
      <c r="P2653" s="139">
        <v>3.84</v>
      </c>
      <c r="R2653" s="139">
        <v>1.71559748</v>
      </c>
      <c r="S2653" s="138">
        <v>14.06</v>
      </c>
      <c r="Y2653" s="138">
        <v>25</v>
      </c>
      <c r="AA2653" s="139">
        <v>4.21</v>
      </c>
      <c r="AB2653" s="139">
        <v>0.78</v>
      </c>
      <c r="AC2653" s="140">
        <v>7.6</v>
      </c>
      <c r="AD2653" s="70">
        <v>500</v>
      </c>
      <c r="AE2653" s="70">
        <v>330</v>
      </c>
      <c r="AF2653" s="70">
        <v>170</v>
      </c>
      <c r="AG2653" s="66">
        <f t="shared" si="106"/>
        <v>110.44799999999999</v>
      </c>
      <c r="AH2653" s="143">
        <f t="shared" si="107"/>
        <v>1000</v>
      </c>
    </row>
    <row r="2654" spans="1:34" x14ac:dyDescent="0.3">
      <c r="A2654" s="140">
        <v>905038</v>
      </c>
      <c r="G2654" s="1068">
        <v>20.059999999999999</v>
      </c>
      <c r="P2654"/>
      <c r="AG2654" s="66" t="e">
        <f t="shared" si="106"/>
        <v>#DIV/0!</v>
      </c>
      <c r="AH2654" s="143">
        <f t="shared" si="107"/>
        <v>0</v>
      </c>
    </row>
    <row r="2655" spans="1:34" x14ac:dyDescent="0.3">
      <c r="A2655" s="140">
        <v>905039</v>
      </c>
      <c r="G2655" s="1068">
        <v>13.38</v>
      </c>
      <c r="AG2655" s="66" t="e">
        <f t="shared" si="106"/>
        <v>#DIV/0!</v>
      </c>
      <c r="AH2655" s="143">
        <f t="shared" si="107"/>
        <v>0</v>
      </c>
    </row>
    <row r="2656" spans="1:34" x14ac:dyDescent="0.3">
      <c r="A2656" s="140">
        <v>905040</v>
      </c>
      <c r="G2656" s="1068">
        <v>23.28</v>
      </c>
      <c r="AG2656" s="66" t="e">
        <f t="shared" si="106"/>
        <v>#DIV/0!</v>
      </c>
      <c r="AH2656" s="143">
        <f t="shared" si="107"/>
        <v>0</v>
      </c>
    </row>
    <row r="2657" spans="1:34" x14ac:dyDescent="0.3">
      <c r="A2657" s="140">
        <v>905041</v>
      </c>
      <c r="G2657" s="1068">
        <v>24.74</v>
      </c>
      <c r="AG2657" s="66" t="e">
        <f t="shared" si="106"/>
        <v>#DIV/0!</v>
      </c>
      <c r="AH2657" s="143">
        <f t="shared" si="107"/>
        <v>0</v>
      </c>
    </row>
    <row r="2658" spans="1:34" x14ac:dyDescent="0.3">
      <c r="A2658" s="140">
        <v>905042</v>
      </c>
      <c r="G2658" s="1068">
        <v>26.88</v>
      </c>
      <c r="AG2658" s="66" t="e">
        <f t="shared" si="106"/>
        <v>#DIV/0!</v>
      </c>
      <c r="AH2658" s="143">
        <f t="shared" si="107"/>
        <v>0</v>
      </c>
    </row>
    <row r="2659" spans="1:34" x14ac:dyDescent="0.3">
      <c r="A2659" s="140">
        <v>905043</v>
      </c>
      <c r="G2659" s="1068">
        <v>38.36</v>
      </c>
      <c r="AG2659" s="66" t="e">
        <f t="shared" si="106"/>
        <v>#DIV/0!</v>
      </c>
      <c r="AH2659" s="143">
        <f t="shared" si="107"/>
        <v>0</v>
      </c>
    </row>
    <row r="2660" spans="1:34" x14ac:dyDescent="0.3">
      <c r="A2660" s="140">
        <v>905044</v>
      </c>
      <c r="G2660" s="1068">
        <v>45.53</v>
      </c>
      <c r="AG2660" s="66" t="e">
        <f t="shared" si="106"/>
        <v>#DIV/0!</v>
      </c>
      <c r="AH2660" s="143">
        <f t="shared" si="107"/>
        <v>0</v>
      </c>
    </row>
    <row r="2661" spans="1:34" x14ac:dyDescent="0.3">
      <c r="A2661" s="140">
        <v>905045</v>
      </c>
      <c r="G2661" s="1068">
        <v>136.71</v>
      </c>
      <c r="AG2661" s="66" t="e">
        <f t="shared" si="106"/>
        <v>#DIV/0!</v>
      </c>
      <c r="AH2661" s="143">
        <f t="shared" si="107"/>
        <v>0</v>
      </c>
    </row>
    <row r="2662" spans="1:34" x14ac:dyDescent="0.3">
      <c r="A2662" s="140">
        <v>905046</v>
      </c>
      <c r="G2662" s="1068">
        <v>109.15</v>
      </c>
      <c r="AG2662" s="66" t="e">
        <f t="shared" si="106"/>
        <v>#DIV/0!</v>
      </c>
      <c r="AH2662" s="143">
        <f t="shared" si="107"/>
        <v>0</v>
      </c>
    </row>
    <row r="2663" spans="1:34" x14ac:dyDescent="0.3">
      <c r="A2663" s="140">
        <v>905047</v>
      </c>
      <c r="G2663" s="1068">
        <v>59.19</v>
      </c>
      <c r="AG2663" s="66" t="e">
        <f t="shared" si="106"/>
        <v>#DIV/0!</v>
      </c>
      <c r="AH2663" s="143">
        <f t="shared" si="107"/>
        <v>0</v>
      </c>
    </row>
    <row r="2664" spans="1:34" x14ac:dyDescent="0.3">
      <c r="A2664" s="140">
        <v>905048</v>
      </c>
      <c r="G2664" s="1068">
        <v>44.12</v>
      </c>
      <c r="AG2664" s="66" t="e">
        <f t="shared" si="106"/>
        <v>#DIV/0!</v>
      </c>
      <c r="AH2664" s="143">
        <f t="shared" si="107"/>
        <v>0</v>
      </c>
    </row>
    <row r="2665" spans="1:34" x14ac:dyDescent="0.3">
      <c r="A2665" s="140">
        <v>905049</v>
      </c>
      <c r="G2665" s="1068">
        <v>68.63</v>
      </c>
      <c r="AG2665" s="66" t="e">
        <f t="shared" si="106"/>
        <v>#DIV/0!</v>
      </c>
      <c r="AH2665" s="143">
        <f t="shared" si="107"/>
        <v>0</v>
      </c>
    </row>
    <row r="2666" spans="1:34" x14ac:dyDescent="0.3">
      <c r="A2666" s="140">
        <v>905050</v>
      </c>
      <c r="G2666" s="1068">
        <v>20.88</v>
      </c>
      <c r="AG2666" s="66" t="e">
        <f t="shared" si="106"/>
        <v>#DIV/0!</v>
      </c>
      <c r="AH2666" s="143">
        <f t="shared" si="107"/>
        <v>0</v>
      </c>
    </row>
    <row r="2667" spans="1:34" x14ac:dyDescent="0.3">
      <c r="A2667" s="140">
        <v>905051</v>
      </c>
      <c r="G2667" s="1068">
        <v>84.39</v>
      </c>
      <c r="AG2667" s="66" t="e">
        <f t="shared" si="106"/>
        <v>#DIV/0!</v>
      </c>
      <c r="AH2667" s="143">
        <f t="shared" si="107"/>
        <v>0</v>
      </c>
    </row>
    <row r="2668" spans="1:34" x14ac:dyDescent="0.3">
      <c r="A2668" s="140">
        <v>905052</v>
      </c>
      <c r="G2668" s="1068">
        <v>2.0699999999999998</v>
      </c>
      <c r="AG2668" s="66" t="e">
        <f t="shared" si="106"/>
        <v>#DIV/0!</v>
      </c>
      <c r="AH2668" s="143">
        <f t="shared" si="107"/>
        <v>0</v>
      </c>
    </row>
    <row r="2669" spans="1:34" x14ac:dyDescent="0.3">
      <c r="A2669" s="140">
        <v>905053</v>
      </c>
      <c r="G2669" s="1068">
        <v>11.02</v>
      </c>
      <c r="AG2669" s="66" t="e">
        <f t="shared" si="106"/>
        <v>#DIV/0!</v>
      </c>
      <c r="AH2669" s="143">
        <f t="shared" si="107"/>
        <v>0</v>
      </c>
    </row>
    <row r="2670" spans="1:34" x14ac:dyDescent="0.3">
      <c r="A2670" s="140">
        <v>905054</v>
      </c>
      <c r="G2670" s="1068">
        <v>10.94</v>
      </c>
      <c r="AG2670" s="66" t="e">
        <f t="shared" si="106"/>
        <v>#DIV/0!</v>
      </c>
      <c r="AH2670" s="143">
        <f t="shared" si="107"/>
        <v>0</v>
      </c>
    </row>
    <row r="2671" spans="1:34" x14ac:dyDescent="0.3">
      <c r="A2671" s="140">
        <v>905055</v>
      </c>
      <c r="G2671" s="1068">
        <v>24.8</v>
      </c>
      <c r="AG2671" s="66" t="e">
        <f t="shared" si="106"/>
        <v>#DIV/0!</v>
      </c>
      <c r="AH2671" s="143">
        <f t="shared" si="107"/>
        <v>0</v>
      </c>
    </row>
    <row r="2672" spans="1:34" x14ac:dyDescent="0.3">
      <c r="A2672" s="140">
        <v>905056</v>
      </c>
      <c r="G2672" s="1068">
        <v>106.79</v>
      </c>
      <c r="AG2672" s="66" t="e">
        <f t="shared" si="106"/>
        <v>#DIV/0!</v>
      </c>
      <c r="AH2672" s="143">
        <f t="shared" si="107"/>
        <v>0</v>
      </c>
    </row>
    <row r="2673" spans="1:34" x14ac:dyDescent="0.3">
      <c r="A2673" s="140">
        <v>905057</v>
      </c>
      <c r="G2673" s="1068">
        <v>53.92</v>
      </c>
      <c r="AG2673" s="66" t="e">
        <f t="shared" si="106"/>
        <v>#DIV/0!</v>
      </c>
      <c r="AH2673" s="143">
        <f t="shared" si="107"/>
        <v>0</v>
      </c>
    </row>
    <row r="2674" spans="1:34" x14ac:dyDescent="0.3">
      <c r="A2674" s="140">
        <v>905058</v>
      </c>
      <c r="G2674" s="1068">
        <v>44.91</v>
      </c>
      <c r="AG2674" s="66" t="e">
        <f t="shared" si="106"/>
        <v>#DIV/0!</v>
      </c>
      <c r="AH2674" s="143">
        <f t="shared" si="107"/>
        <v>0</v>
      </c>
    </row>
    <row r="2675" spans="1:34" x14ac:dyDescent="0.3">
      <c r="A2675" s="140">
        <v>905059</v>
      </c>
      <c r="G2675" s="1068">
        <v>80.58</v>
      </c>
      <c r="AG2675" s="66" t="e">
        <f t="shared" si="106"/>
        <v>#DIV/0!</v>
      </c>
      <c r="AH2675" s="143">
        <f t="shared" si="107"/>
        <v>0</v>
      </c>
    </row>
    <row r="2676" spans="1:34" x14ac:dyDescent="0.3">
      <c r="A2676" s="140">
        <v>905060</v>
      </c>
      <c r="G2676" s="1068">
        <v>88.18</v>
      </c>
      <c r="AG2676" s="66" t="e">
        <f t="shared" si="106"/>
        <v>#DIV/0!</v>
      </c>
      <c r="AH2676" s="143">
        <f t="shared" si="107"/>
        <v>0</v>
      </c>
    </row>
    <row r="2677" spans="1:34" x14ac:dyDescent="0.3">
      <c r="A2677" s="140">
        <v>905061</v>
      </c>
      <c r="G2677" s="1068">
        <v>162.06</v>
      </c>
      <c r="AG2677" s="66" t="e">
        <f t="shared" si="106"/>
        <v>#DIV/0!</v>
      </c>
      <c r="AH2677" s="143">
        <f t="shared" si="107"/>
        <v>0</v>
      </c>
    </row>
    <row r="2678" spans="1:34" x14ac:dyDescent="0.3">
      <c r="A2678" s="140">
        <v>905062</v>
      </c>
      <c r="G2678" s="1068">
        <v>9.4499999999999993</v>
      </c>
      <c r="AG2678" s="66" t="e">
        <f t="shared" si="106"/>
        <v>#DIV/0!</v>
      </c>
      <c r="AH2678" s="143">
        <f t="shared" si="107"/>
        <v>0</v>
      </c>
    </row>
    <row r="2679" spans="1:34" x14ac:dyDescent="0.3">
      <c r="A2679" s="140">
        <v>905063</v>
      </c>
      <c r="G2679" s="1068">
        <v>9.32</v>
      </c>
      <c r="AG2679" s="66" t="e">
        <f t="shared" si="106"/>
        <v>#DIV/0!</v>
      </c>
      <c r="AH2679" s="143">
        <f t="shared" si="107"/>
        <v>0</v>
      </c>
    </row>
    <row r="2680" spans="1:34" x14ac:dyDescent="0.3">
      <c r="A2680" s="140">
        <v>905064</v>
      </c>
      <c r="G2680" s="1068">
        <v>7.97</v>
      </c>
      <c r="AG2680" s="66" t="e">
        <f t="shared" si="106"/>
        <v>#DIV/0!</v>
      </c>
      <c r="AH2680" s="143">
        <f t="shared" si="107"/>
        <v>0</v>
      </c>
    </row>
    <row r="2681" spans="1:34" x14ac:dyDescent="0.3">
      <c r="A2681" s="140">
        <v>905065</v>
      </c>
      <c r="G2681" s="1068">
        <v>17.21</v>
      </c>
      <c r="AG2681" s="66" t="e">
        <f t="shared" si="106"/>
        <v>#DIV/0!</v>
      </c>
      <c r="AH2681" s="143">
        <f t="shared" si="107"/>
        <v>0</v>
      </c>
    </row>
    <row r="2682" spans="1:34" x14ac:dyDescent="0.3">
      <c r="A2682" s="140">
        <v>905066</v>
      </c>
      <c r="G2682" s="1068">
        <v>12.39</v>
      </c>
      <c r="AG2682" s="66" t="e">
        <f t="shared" si="106"/>
        <v>#DIV/0!</v>
      </c>
      <c r="AH2682" s="143">
        <f t="shared" si="107"/>
        <v>0</v>
      </c>
    </row>
    <row r="2683" spans="1:34" x14ac:dyDescent="0.3">
      <c r="A2683" s="140">
        <v>905067</v>
      </c>
      <c r="G2683" s="1068">
        <v>20.74</v>
      </c>
      <c r="AG2683" s="66" t="e">
        <f t="shared" si="106"/>
        <v>#DIV/0!</v>
      </c>
      <c r="AH2683" s="143">
        <f t="shared" si="107"/>
        <v>0</v>
      </c>
    </row>
    <row r="2684" spans="1:34" x14ac:dyDescent="0.3">
      <c r="A2684" s="140">
        <v>905068</v>
      </c>
      <c r="G2684" s="1068">
        <v>28.87</v>
      </c>
      <c r="AG2684" s="66" t="e">
        <f t="shared" si="106"/>
        <v>#DIV/0!</v>
      </c>
      <c r="AH2684" s="143">
        <f t="shared" si="107"/>
        <v>0</v>
      </c>
    </row>
    <row r="2685" spans="1:34" x14ac:dyDescent="0.3">
      <c r="A2685" s="140">
        <v>905069</v>
      </c>
      <c r="G2685" s="1068">
        <v>16.64</v>
      </c>
      <c r="AG2685" s="66" t="e">
        <f t="shared" si="106"/>
        <v>#DIV/0!</v>
      </c>
      <c r="AH2685" s="143">
        <f t="shared" si="107"/>
        <v>0</v>
      </c>
    </row>
    <row r="2686" spans="1:34" x14ac:dyDescent="0.3">
      <c r="A2686" s="140">
        <v>905070</v>
      </c>
      <c r="G2686" s="1068">
        <v>40.75</v>
      </c>
      <c r="AG2686" s="66" t="e">
        <f t="shared" si="106"/>
        <v>#DIV/0!</v>
      </c>
      <c r="AH2686" s="143">
        <f t="shared" si="107"/>
        <v>0</v>
      </c>
    </row>
    <row r="2687" spans="1:34" x14ac:dyDescent="0.3">
      <c r="A2687" s="140">
        <v>905071</v>
      </c>
      <c r="G2687" s="1068">
        <v>23.25</v>
      </c>
      <c r="AG2687" s="66" t="e">
        <f t="shared" si="106"/>
        <v>#DIV/0!</v>
      </c>
      <c r="AH2687" s="143">
        <f t="shared" si="107"/>
        <v>0</v>
      </c>
    </row>
    <row r="2688" spans="1:34" x14ac:dyDescent="0.3">
      <c r="A2688" s="140">
        <v>905072</v>
      </c>
      <c r="G2688" s="1068">
        <v>23.19</v>
      </c>
      <c r="AG2688" s="66" t="e">
        <f t="shared" si="106"/>
        <v>#DIV/0!</v>
      </c>
      <c r="AH2688" s="143">
        <f t="shared" si="107"/>
        <v>0</v>
      </c>
    </row>
    <row r="2689" spans="1:34" x14ac:dyDescent="0.3">
      <c r="A2689" s="140">
        <v>905073</v>
      </c>
      <c r="G2689" s="1068">
        <v>50.45</v>
      </c>
      <c r="AG2689" s="66" t="e">
        <f t="shared" si="106"/>
        <v>#DIV/0!</v>
      </c>
      <c r="AH2689" s="143">
        <f t="shared" si="107"/>
        <v>0</v>
      </c>
    </row>
    <row r="2690" spans="1:34" x14ac:dyDescent="0.3">
      <c r="A2690" s="140">
        <v>905074</v>
      </c>
      <c r="G2690" s="1068">
        <v>12.54</v>
      </c>
      <c r="AG2690" s="66" t="e">
        <f t="shared" ref="AG2690:AG2753" si="108">+K2690*3.54*100/Y2690</f>
        <v>#DIV/0!</v>
      </c>
      <c r="AH2690" s="143">
        <f t="shared" ref="AH2690:AH2753" si="109">+SUM(AD2690:AF2690)</f>
        <v>0</v>
      </c>
    </row>
    <row r="2691" spans="1:34" x14ac:dyDescent="0.3">
      <c r="A2691" s="140">
        <v>905075</v>
      </c>
      <c r="G2691" s="1068">
        <v>36.71</v>
      </c>
      <c r="AG2691" s="66" t="e">
        <f t="shared" si="108"/>
        <v>#DIV/0!</v>
      </c>
      <c r="AH2691" s="143">
        <f t="shared" si="109"/>
        <v>0</v>
      </c>
    </row>
    <row r="2692" spans="1:34" x14ac:dyDescent="0.3">
      <c r="A2692" s="140">
        <v>905076</v>
      </c>
      <c r="G2692" s="1068">
        <v>7.54</v>
      </c>
      <c r="AG2692" s="66" t="e">
        <f t="shared" si="108"/>
        <v>#DIV/0!</v>
      </c>
      <c r="AH2692" s="143">
        <f t="shared" si="109"/>
        <v>0</v>
      </c>
    </row>
    <row r="2693" spans="1:34" x14ac:dyDescent="0.3">
      <c r="A2693" s="140">
        <v>905077</v>
      </c>
      <c r="G2693" s="1068">
        <v>106.14</v>
      </c>
      <c r="AG2693" s="66" t="e">
        <f t="shared" si="108"/>
        <v>#DIV/0!</v>
      </c>
      <c r="AH2693" s="143">
        <f t="shared" si="109"/>
        <v>0</v>
      </c>
    </row>
    <row r="2694" spans="1:34" x14ac:dyDescent="0.3">
      <c r="A2694" s="140">
        <v>905078</v>
      </c>
      <c r="G2694" s="1068">
        <v>132.53</v>
      </c>
      <c r="AG2694" s="66" t="e">
        <f t="shared" si="108"/>
        <v>#DIV/0!</v>
      </c>
      <c r="AH2694" s="143">
        <f t="shared" si="109"/>
        <v>0</v>
      </c>
    </row>
    <row r="2695" spans="1:34" x14ac:dyDescent="0.3">
      <c r="A2695" s="140">
        <v>905079</v>
      </c>
      <c r="G2695" s="1068">
        <v>158.44</v>
      </c>
      <c r="AG2695" s="66" t="e">
        <f t="shared" si="108"/>
        <v>#DIV/0!</v>
      </c>
      <c r="AH2695" s="143">
        <f t="shared" si="109"/>
        <v>0</v>
      </c>
    </row>
    <row r="2696" spans="1:34" x14ac:dyDescent="0.3">
      <c r="A2696" s="140">
        <v>905080</v>
      </c>
      <c r="G2696" s="1068">
        <v>104.51</v>
      </c>
      <c r="AG2696" s="66" t="e">
        <f t="shared" si="108"/>
        <v>#DIV/0!</v>
      </c>
      <c r="AH2696" s="143">
        <f t="shared" si="109"/>
        <v>0</v>
      </c>
    </row>
    <row r="2697" spans="1:34" x14ac:dyDescent="0.3">
      <c r="A2697" s="140">
        <v>905081</v>
      </c>
      <c r="G2697" s="1068">
        <v>70.98</v>
      </c>
      <c r="AG2697" s="66" t="e">
        <f t="shared" si="108"/>
        <v>#DIV/0!</v>
      </c>
      <c r="AH2697" s="143">
        <f t="shared" si="109"/>
        <v>0</v>
      </c>
    </row>
    <row r="2698" spans="1:34" x14ac:dyDescent="0.3">
      <c r="A2698" s="140">
        <v>905082</v>
      </c>
      <c r="G2698" s="1068">
        <v>64.06</v>
      </c>
      <c r="AG2698" s="66" t="e">
        <f t="shared" si="108"/>
        <v>#DIV/0!</v>
      </c>
      <c r="AH2698" s="143">
        <f t="shared" si="109"/>
        <v>0</v>
      </c>
    </row>
    <row r="2699" spans="1:34" x14ac:dyDescent="0.3">
      <c r="A2699" s="140">
        <v>905083</v>
      </c>
      <c r="G2699" s="1068">
        <v>38.01</v>
      </c>
      <c r="AG2699" s="66" t="e">
        <f t="shared" si="108"/>
        <v>#DIV/0!</v>
      </c>
      <c r="AH2699" s="143">
        <f t="shared" si="109"/>
        <v>0</v>
      </c>
    </row>
    <row r="2700" spans="1:34" x14ac:dyDescent="0.3">
      <c r="A2700" s="140">
        <v>905084</v>
      </c>
      <c r="G2700" s="1068">
        <v>115.79</v>
      </c>
      <c r="AG2700" s="66" t="e">
        <f t="shared" si="108"/>
        <v>#DIV/0!</v>
      </c>
      <c r="AH2700" s="143">
        <f t="shared" si="109"/>
        <v>0</v>
      </c>
    </row>
    <row r="2701" spans="1:34" x14ac:dyDescent="0.3">
      <c r="A2701" s="140">
        <v>905085</v>
      </c>
      <c r="G2701" s="1068">
        <v>215.79</v>
      </c>
      <c r="AG2701" s="66" t="e">
        <f t="shared" si="108"/>
        <v>#DIV/0!</v>
      </c>
      <c r="AH2701" s="143">
        <f t="shared" si="109"/>
        <v>0</v>
      </c>
    </row>
    <row r="2702" spans="1:34" x14ac:dyDescent="0.3">
      <c r="A2702" s="1069">
        <v>905030</v>
      </c>
      <c r="B2702" s="1070"/>
      <c r="C2702" s="1070"/>
      <c r="D2702" s="1071"/>
      <c r="E2702" s="1580"/>
      <c r="F2702" s="1072"/>
      <c r="G2702" s="1069"/>
      <c r="H2702" s="1072"/>
      <c r="I2702" s="1072"/>
      <c r="J2702" s="1073"/>
      <c r="K2702" s="1070"/>
      <c r="L2702" s="1069"/>
      <c r="M2702" s="1069"/>
      <c r="N2702" s="1069"/>
      <c r="O2702" s="1069"/>
      <c r="P2702" s="1069"/>
      <c r="Q2702" s="1069"/>
      <c r="R2702" s="1071">
        <v>1.9828250000000005</v>
      </c>
      <c r="S2702" s="1070">
        <v>54.5</v>
      </c>
      <c r="T2702" s="1069"/>
      <c r="U2702" s="1069"/>
      <c r="V2702" s="1069"/>
      <c r="W2702" s="1069"/>
      <c r="X2702" s="1069"/>
      <c r="Y2702" s="1070"/>
      <c r="Z2702" s="1069"/>
      <c r="AA2702" s="1071"/>
      <c r="AB2702" s="1071"/>
      <c r="AC2702" s="1069"/>
      <c r="AD2702" s="1074"/>
      <c r="AE2702" s="1074"/>
      <c r="AF2702" s="1074"/>
      <c r="AG2702" s="66" t="e">
        <f t="shared" si="108"/>
        <v>#DIV/0!</v>
      </c>
      <c r="AH2702" s="143">
        <f t="shared" si="109"/>
        <v>0</v>
      </c>
    </row>
    <row r="2703" spans="1:34" x14ac:dyDescent="0.3">
      <c r="A2703" s="1069">
        <v>905031</v>
      </c>
      <c r="B2703" s="1070"/>
      <c r="C2703" s="1070"/>
      <c r="D2703" s="1071"/>
      <c r="E2703" s="1580"/>
      <c r="F2703" s="1072"/>
      <c r="G2703" s="1069"/>
      <c r="H2703" s="1072"/>
      <c r="I2703" s="1072"/>
      <c r="J2703" s="1073"/>
      <c r="K2703" s="1070"/>
      <c r="L2703" s="1069"/>
      <c r="M2703" s="1069"/>
      <c r="N2703" s="1069"/>
      <c r="O2703" s="1069"/>
      <c r="P2703" s="1069"/>
      <c r="Q2703" s="1069"/>
      <c r="R2703" s="1071">
        <v>2.0062509200000003</v>
      </c>
      <c r="S2703" s="1070">
        <v>53.38</v>
      </c>
      <c r="T2703" s="1069"/>
      <c r="U2703" s="1069"/>
      <c r="V2703" s="1069"/>
      <c r="W2703" s="1069"/>
      <c r="X2703" s="1069"/>
      <c r="Y2703" s="1070"/>
      <c r="Z2703" s="1069"/>
      <c r="AA2703" s="1071"/>
      <c r="AB2703" s="1071"/>
      <c r="AC2703" s="1069"/>
      <c r="AD2703" s="1074"/>
      <c r="AE2703" s="1074"/>
      <c r="AF2703" s="1074"/>
      <c r="AG2703" s="66" t="e">
        <f t="shared" si="108"/>
        <v>#DIV/0!</v>
      </c>
      <c r="AH2703" s="143">
        <f t="shared" si="109"/>
        <v>0</v>
      </c>
    </row>
    <row r="2704" spans="1:34" x14ac:dyDescent="0.3">
      <c r="A2704" s="1069">
        <v>905032</v>
      </c>
      <c r="B2704" s="1070"/>
      <c r="C2704" s="1070"/>
      <c r="D2704" s="1071"/>
      <c r="E2704" s="1580"/>
      <c r="F2704" s="1072"/>
      <c r="G2704" s="1069"/>
      <c r="H2704" s="1072"/>
      <c r="I2704" s="1072"/>
      <c r="J2704" s="1073"/>
      <c r="K2704" s="1070"/>
      <c r="L2704" s="1069"/>
      <c r="M2704" s="1069"/>
      <c r="N2704" s="1069"/>
      <c r="O2704" s="1069"/>
      <c r="P2704" s="1069"/>
      <c r="Q2704" s="1069"/>
      <c r="R2704" s="1071">
        <v>2.1493182500000003</v>
      </c>
      <c r="S2704" s="1070">
        <v>37.450000000000003</v>
      </c>
      <c r="T2704" s="1069"/>
      <c r="U2704" s="1069"/>
      <c r="V2704" s="1069"/>
      <c r="W2704" s="1069"/>
      <c r="X2704" s="1069"/>
      <c r="Y2704" s="1070"/>
      <c r="Z2704" s="1069"/>
      <c r="AA2704" s="1071"/>
      <c r="AB2704" s="1071"/>
      <c r="AC2704" s="1069"/>
      <c r="AD2704" s="1074"/>
      <c r="AE2704" s="1074"/>
      <c r="AF2704" s="1074"/>
      <c r="AG2704" s="66" t="e">
        <f t="shared" si="108"/>
        <v>#DIV/0!</v>
      </c>
      <c r="AH2704" s="143">
        <f t="shared" si="109"/>
        <v>0</v>
      </c>
    </row>
    <row r="2705" spans="1:34" x14ac:dyDescent="0.3">
      <c r="A2705" s="1069">
        <v>905033</v>
      </c>
      <c r="B2705" s="1070"/>
      <c r="C2705" s="1070"/>
      <c r="D2705" s="1071"/>
      <c r="E2705" s="1580"/>
      <c r="F2705" s="1072"/>
      <c r="G2705" s="1069"/>
      <c r="H2705" s="1072"/>
      <c r="I2705" s="1072"/>
      <c r="J2705" s="1073"/>
      <c r="K2705" s="1070"/>
      <c r="L2705" s="1069"/>
      <c r="M2705" s="1069"/>
      <c r="N2705" s="1069"/>
      <c r="O2705" s="1069"/>
      <c r="P2705" s="1069"/>
      <c r="Q2705" s="1069"/>
      <c r="R2705" s="1071">
        <v>2.1348720000000005</v>
      </c>
      <c r="S2705" s="1070">
        <v>43.8</v>
      </c>
      <c r="T2705" s="1069"/>
      <c r="U2705" s="1069"/>
      <c r="V2705" s="1069"/>
      <c r="W2705" s="1069"/>
      <c r="X2705" s="1069"/>
      <c r="Y2705" s="1070"/>
      <c r="Z2705" s="1069"/>
      <c r="AA2705" s="1071"/>
      <c r="AB2705" s="1071"/>
      <c r="AC2705" s="1069"/>
      <c r="AD2705" s="1074"/>
      <c r="AE2705" s="1074"/>
      <c r="AF2705" s="1074"/>
      <c r="AG2705" s="66" t="e">
        <f t="shared" si="108"/>
        <v>#DIV/0!</v>
      </c>
      <c r="AH2705" s="143">
        <f t="shared" si="109"/>
        <v>0</v>
      </c>
    </row>
    <row r="2706" spans="1:34" x14ac:dyDescent="0.3">
      <c r="A2706" s="1069">
        <v>905034</v>
      </c>
      <c r="B2706" s="1070"/>
      <c r="C2706" s="1070"/>
      <c r="D2706" s="1071"/>
      <c r="E2706" s="1580"/>
      <c r="F2706" s="1072"/>
      <c r="G2706" s="1069"/>
      <c r="H2706" s="1072"/>
      <c r="I2706" s="1072"/>
      <c r="J2706" s="1073"/>
      <c r="K2706" s="1070"/>
      <c r="L2706" s="1069"/>
      <c r="M2706" s="1069"/>
      <c r="N2706" s="1069"/>
      <c r="O2706" s="1069"/>
      <c r="P2706" s="1069"/>
      <c r="Q2706" s="1069"/>
      <c r="R2706" s="1071">
        <v>2.1466599300000002</v>
      </c>
      <c r="S2706" s="1070">
        <v>36.51</v>
      </c>
      <c r="T2706" s="1069"/>
      <c r="U2706" s="1069"/>
      <c r="V2706" s="1069"/>
      <c r="W2706" s="1069"/>
      <c r="X2706" s="1069"/>
      <c r="Y2706" s="1070"/>
      <c r="Z2706" s="1069"/>
      <c r="AA2706" s="1071"/>
      <c r="AB2706" s="1071"/>
      <c r="AC2706" s="1069"/>
      <c r="AD2706" s="1074"/>
      <c r="AE2706" s="1074"/>
      <c r="AF2706" s="1074"/>
      <c r="AG2706" s="66" t="e">
        <f t="shared" si="108"/>
        <v>#DIV/0!</v>
      </c>
      <c r="AH2706" s="143">
        <f t="shared" si="109"/>
        <v>0</v>
      </c>
    </row>
    <row r="2707" spans="1:34" x14ac:dyDescent="0.3">
      <c r="A2707" s="1069">
        <v>905035</v>
      </c>
      <c r="B2707" s="1070"/>
      <c r="C2707" s="1070"/>
      <c r="D2707" s="1071"/>
      <c r="E2707" s="1580"/>
      <c r="F2707" s="1072"/>
      <c r="G2707" s="1069"/>
      <c r="H2707" s="1072"/>
      <c r="I2707" s="1072"/>
      <c r="J2707" s="1073"/>
      <c r="K2707" s="1070"/>
      <c r="L2707" s="1069"/>
      <c r="M2707" s="1069"/>
      <c r="N2707" s="1069"/>
      <c r="O2707" s="1069"/>
      <c r="P2707" s="1069"/>
      <c r="Q2707" s="1069"/>
      <c r="R2707" s="1071">
        <v>2.1230403200000003</v>
      </c>
      <c r="S2707" s="1070">
        <v>45.32</v>
      </c>
      <c r="T2707" s="1069"/>
      <c r="U2707" s="1069"/>
      <c r="V2707" s="1069"/>
      <c r="W2707" s="1069"/>
      <c r="X2707" s="1069"/>
      <c r="Y2707" s="1070"/>
      <c r="Z2707" s="1069"/>
      <c r="AA2707" s="1071"/>
      <c r="AB2707" s="1071"/>
      <c r="AC2707" s="1069"/>
      <c r="AD2707" s="1074"/>
      <c r="AE2707" s="1074"/>
      <c r="AF2707" s="1074"/>
      <c r="AG2707" s="66" t="e">
        <f t="shared" si="108"/>
        <v>#DIV/0!</v>
      </c>
      <c r="AH2707" s="143">
        <f t="shared" si="109"/>
        <v>0</v>
      </c>
    </row>
    <row r="2708" spans="1:34" x14ac:dyDescent="0.3">
      <c r="A2708" s="1069">
        <v>905036</v>
      </c>
      <c r="B2708" s="1070"/>
      <c r="C2708" s="1070"/>
      <c r="D2708" s="1071"/>
      <c r="E2708" s="1580"/>
      <c r="F2708" s="1072"/>
      <c r="G2708" s="1069"/>
      <c r="H2708" s="1072"/>
      <c r="I2708" s="1072"/>
      <c r="J2708" s="1073"/>
      <c r="K2708" s="1070"/>
      <c r="L2708" s="1069"/>
      <c r="M2708" s="1069"/>
      <c r="N2708" s="1069"/>
      <c r="O2708" s="1069"/>
      <c r="P2708" s="1069"/>
      <c r="Q2708" s="1069"/>
      <c r="R2708" s="1071">
        <v>2.0440612800000002</v>
      </c>
      <c r="S2708" s="1070">
        <v>51.36</v>
      </c>
      <c r="T2708" s="1069"/>
      <c r="U2708" s="1069"/>
      <c r="V2708" s="1069"/>
      <c r="W2708" s="1069"/>
      <c r="X2708" s="1069"/>
      <c r="Y2708" s="1070"/>
      <c r="Z2708" s="1069"/>
      <c r="AA2708" s="1071"/>
      <c r="AB2708" s="1071"/>
      <c r="AC2708" s="1069"/>
      <c r="AD2708" s="1074"/>
      <c r="AE2708" s="1074"/>
      <c r="AF2708" s="1074"/>
      <c r="AG2708" s="66" t="e">
        <f t="shared" si="108"/>
        <v>#DIV/0!</v>
      </c>
      <c r="AH2708" s="143">
        <f t="shared" si="109"/>
        <v>0</v>
      </c>
    </row>
    <row r="2709" spans="1:34" x14ac:dyDescent="0.3">
      <c r="A2709" s="1069">
        <v>905037</v>
      </c>
      <c r="B2709" s="1070"/>
      <c r="C2709" s="1070"/>
      <c r="D2709" s="1071"/>
      <c r="E2709" s="1580"/>
      <c r="F2709" s="1072"/>
      <c r="G2709" s="1069"/>
      <c r="H2709" s="1072"/>
      <c r="I2709" s="1072"/>
      <c r="J2709" s="1073"/>
      <c r="K2709" s="1070"/>
      <c r="L2709" s="1069"/>
      <c r="M2709" s="1069"/>
      <c r="N2709" s="1069"/>
      <c r="O2709" s="1069"/>
      <c r="P2709" s="1069"/>
      <c r="Q2709" s="1069"/>
      <c r="R2709" s="1071">
        <v>2.1107805199999996</v>
      </c>
      <c r="S2709" s="1070">
        <v>46.580000000000005</v>
      </c>
      <c r="T2709" s="1069"/>
      <c r="U2709" s="1069"/>
      <c r="V2709" s="1069"/>
      <c r="W2709" s="1069"/>
      <c r="X2709" s="1069"/>
      <c r="Y2709" s="1070"/>
      <c r="Z2709" s="1069"/>
      <c r="AA2709" s="1071"/>
      <c r="AB2709" s="1071"/>
      <c r="AC2709" s="1069"/>
      <c r="AD2709" s="1074"/>
      <c r="AE2709" s="1074"/>
      <c r="AF2709" s="1074"/>
      <c r="AG2709" s="66" t="e">
        <f t="shared" si="108"/>
        <v>#DIV/0!</v>
      </c>
      <c r="AH2709" s="143">
        <f t="shared" si="109"/>
        <v>0</v>
      </c>
    </row>
    <row r="2710" spans="1:34" x14ac:dyDescent="0.3">
      <c r="A2710" s="140">
        <v>905086</v>
      </c>
      <c r="B2710" s="138" t="s">
        <v>17</v>
      </c>
      <c r="C2710" s="138" t="s">
        <v>17</v>
      </c>
      <c r="D2710" s="138" t="s">
        <v>17</v>
      </c>
      <c r="E2710" s="752" t="s">
        <v>17</v>
      </c>
      <c r="F2710" s="138" t="s">
        <v>17</v>
      </c>
      <c r="G2710" s="138" t="s">
        <v>17</v>
      </c>
      <c r="H2710" s="138" t="s">
        <v>17</v>
      </c>
      <c r="I2710" s="138" t="s">
        <v>17</v>
      </c>
      <c r="J2710" s="138" t="s">
        <v>17</v>
      </c>
      <c r="K2710" s="138" t="s">
        <v>17</v>
      </c>
      <c r="L2710" s="138" t="s">
        <v>17</v>
      </c>
      <c r="M2710" s="138" t="s">
        <v>17</v>
      </c>
      <c r="N2710" s="138" t="s">
        <v>17</v>
      </c>
      <c r="O2710" s="138" t="s">
        <v>17</v>
      </c>
      <c r="P2710" s="138" t="s">
        <v>17</v>
      </c>
      <c r="Q2710" s="138" t="s">
        <v>17</v>
      </c>
      <c r="R2710" s="138" t="s">
        <v>17</v>
      </c>
      <c r="S2710" s="138" t="s">
        <v>17</v>
      </c>
      <c r="T2710" s="138" t="s">
        <v>17</v>
      </c>
      <c r="U2710" s="138" t="s">
        <v>17</v>
      </c>
      <c r="V2710" s="138" t="s">
        <v>17</v>
      </c>
      <c r="W2710" s="138" t="s">
        <v>17</v>
      </c>
      <c r="X2710" s="138" t="s">
        <v>17</v>
      </c>
      <c r="Y2710" s="138" t="s">
        <v>17</v>
      </c>
      <c r="Z2710" s="138" t="s">
        <v>17</v>
      </c>
      <c r="AA2710" s="138" t="s">
        <v>17</v>
      </c>
      <c r="AB2710" s="138" t="s">
        <v>17</v>
      </c>
      <c r="AC2710" s="138" t="s">
        <v>17</v>
      </c>
      <c r="AD2710" s="138" t="s">
        <v>17</v>
      </c>
      <c r="AE2710" s="138" t="s">
        <v>17</v>
      </c>
      <c r="AF2710" s="138" t="s">
        <v>17</v>
      </c>
      <c r="AG2710" s="66" t="e">
        <f t="shared" si="108"/>
        <v>#VALUE!</v>
      </c>
      <c r="AH2710" s="143">
        <f t="shared" si="109"/>
        <v>0</v>
      </c>
    </row>
    <row r="2711" spans="1:34" x14ac:dyDescent="0.3">
      <c r="A2711" s="140">
        <v>905087</v>
      </c>
      <c r="B2711" s="1038">
        <v>5.88</v>
      </c>
      <c r="C2711" s="1038"/>
      <c r="D2711" s="1038">
        <v>8.7200000000000006</v>
      </c>
      <c r="E2711" s="1041">
        <v>0.94599999999999995</v>
      </c>
      <c r="F2711" s="1038">
        <v>1040.6000000000001</v>
      </c>
      <c r="G2711" s="1038"/>
      <c r="H2711" s="1038">
        <v>24.22</v>
      </c>
      <c r="I2711" s="1038">
        <v>298.39999999999998</v>
      </c>
      <c r="J2711" s="1078">
        <v>0.379</v>
      </c>
      <c r="K2711" s="1038">
        <v>8.61</v>
      </c>
      <c r="L2711" s="1038">
        <v>1137.46</v>
      </c>
      <c r="M2711" s="1038">
        <v>0.37</v>
      </c>
      <c r="N2711" s="1038">
        <v>0.67</v>
      </c>
      <c r="O2711" s="1038">
        <v>8.98</v>
      </c>
      <c r="P2711" s="1038">
        <v>4.9400000000000004</v>
      </c>
      <c r="Q2711" s="1038"/>
      <c r="R2711" s="1079">
        <v>0.91506877161754363</v>
      </c>
      <c r="S2711" s="1038">
        <v>6.81</v>
      </c>
      <c r="T2711" s="1038"/>
      <c r="U2711" s="1038"/>
      <c r="V2711" s="1038"/>
      <c r="W2711" s="1038"/>
      <c r="X2711" s="1038"/>
      <c r="Y2711" s="1080">
        <v>32.4</v>
      </c>
      <c r="Z2711" s="1038"/>
      <c r="AA2711" s="1038"/>
      <c r="AB2711" s="1038"/>
      <c r="AC2711" s="1038"/>
      <c r="AD2711" s="1038">
        <v>540</v>
      </c>
      <c r="AE2711" s="1038">
        <v>180</v>
      </c>
      <c r="AF2711" s="1038">
        <v>280</v>
      </c>
      <c r="AG2711" s="66">
        <f t="shared" si="108"/>
        <v>94.072222222222209</v>
      </c>
      <c r="AH2711" s="143">
        <f t="shared" si="109"/>
        <v>1000</v>
      </c>
    </row>
    <row r="2712" spans="1:34" x14ac:dyDescent="0.3">
      <c r="A2712" s="140">
        <v>905088</v>
      </c>
      <c r="B2712" s="1038">
        <v>25.17</v>
      </c>
      <c r="C2712" s="1038">
        <v>5.625</v>
      </c>
      <c r="D2712" s="1038">
        <v>8.65</v>
      </c>
      <c r="E2712" s="1041">
        <v>0.25900000000000001</v>
      </c>
      <c r="F2712" s="1038">
        <v>284.90000000000003</v>
      </c>
      <c r="G2712" s="1038"/>
      <c r="H2712" s="1038">
        <v>32.42</v>
      </c>
      <c r="I2712" s="1038">
        <v>159.63999999999999</v>
      </c>
      <c r="J2712" s="1078">
        <v>0.31900000000000001</v>
      </c>
      <c r="K2712" s="1038">
        <v>10.75</v>
      </c>
      <c r="L2712" s="1038">
        <v>708.58</v>
      </c>
      <c r="M2712" s="1038">
        <v>0.36</v>
      </c>
      <c r="N2712" s="1038">
        <v>0.26</v>
      </c>
      <c r="O2712" s="1038">
        <v>3.81</v>
      </c>
      <c r="P2712" s="1038">
        <v>2.5299999999999998</v>
      </c>
      <c r="Q2712" s="1038"/>
      <c r="R2712" s="1079">
        <v>0.62595906147268288</v>
      </c>
      <c r="S2712" s="1038">
        <v>4.49</v>
      </c>
      <c r="T2712" s="1038"/>
      <c r="U2712" s="1038"/>
      <c r="V2712" s="1038"/>
      <c r="W2712" s="1038"/>
      <c r="X2712" s="1038"/>
      <c r="Y2712" s="1080">
        <v>33.6</v>
      </c>
      <c r="Z2712" s="1038"/>
      <c r="AA2712" s="1038"/>
      <c r="AB2712" s="1038"/>
      <c r="AC2712" s="1038"/>
      <c r="AD2712" s="1038">
        <v>480</v>
      </c>
      <c r="AE2712" s="1038">
        <v>180</v>
      </c>
      <c r="AF2712" s="1038">
        <v>340</v>
      </c>
      <c r="AG2712" s="66">
        <f t="shared" si="108"/>
        <v>113.25892857142857</v>
      </c>
      <c r="AH2712" s="143">
        <f t="shared" si="109"/>
        <v>1000</v>
      </c>
    </row>
    <row r="2713" spans="1:34" x14ac:dyDescent="0.3">
      <c r="A2713" s="140">
        <v>905089</v>
      </c>
      <c r="B2713" s="1038">
        <v>18.5</v>
      </c>
      <c r="C2713" s="1038">
        <v>8.875</v>
      </c>
      <c r="D2713" s="1038">
        <v>8.64</v>
      </c>
      <c r="E2713" s="1041">
        <v>0.26400000000000001</v>
      </c>
      <c r="F2713" s="1038">
        <v>290.40000000000003</v>
      </c>
      <c r="G2713" s="1038"/>
      <c r="H2713" s="1038">
        <v>11.24</v>
      </c>
      <c r="I2713" s="1038">
        <v>369.91</v>
      </c>
      <c r="J2713" s="1078">
        <v>0.27600000000000002</v>
      </c>
      <c r="K2713" s="1038">
        <v>10.88</v>
      </c>
      <c r="L2713" s="1038">
        <v>568.46</v>
      </c>
      <c r="M2713" s="1038">
        <v>0.27</v>
      </c>
      <c r="N2713" s="1038">
        <v>0.53</v>
      </c>
      <c r="O2713" s="1038">
        <v>3.85</v>
      </c>
      <c r="P2713" s="1038">
        <v>3.97</v>
      </c>
      <c r="Q2713" s="1038"/>
      <c r="R2713" s="1079">
        <v>0.59657664579887093</v>
      </c>
      <c r="S2713" s="1038">
        <v>4.3899999999999997</v>
      </c>
      <c r="T2713" s="1038"/>
      <c r="U2713" s="1038"/>
      <c r="V2713" s="1038"/>
      <c r="W2713" s="1038"/>
      <c r="X2713" s="1038"/>
      <c r="Y2713" s="1080">
        <v>26</v>
      </c>
      <c r="Z2713" s="1038"/>
      <c r="AA2713" s="1038"/>
      <c r="AB2713" s="1038"/>
      <c r="AC2713" s="1038"/>
      <c r="AD2713" s="1038">
        <v>520</v>
      </c>
      <c r="AE2713" s="1038">
        <v>180</v>
      </c>
      <c r="AF2713" s="1038">
        <v>300</v>
      </c>
      <c r="AG2713" s="66">
        <f t="shared" si="108"/>
        <v>148.13538461538462</v>
      </c>
      <c r="AH2713" s="143">
        <f t="shared" si="109"/>
        <v>1000</v>
      </c>
    </row>
    <row r="2714" spans="1:34" x14ac:dyDescent="0.3">
      <c r="A2714" s="140">
        <v>905090</v>
      </c>
      <c r="B2714" s="1038">
        <v>11.67</v>
      </c>
      <c r="C2714" s="1038">
        <v>4.2499999999999982</v>
      </c>
      <c r="D2714" s="1038">
        <v>8.73</v>
      </c>
      <c r="E2714" s="1041">
        <v>0.182</v>
      </c>
      <c r="F2714" s="1038">
        <v>200.20000000000002</v>
      </c>
      <c r="G2714" s="1038"/>
      <c r="H2714" s="1038">
        <v>11.37</v>
      </c>
      <c r="I2714" s="1038">
        <v>498.38</v>
      </c>
      <c r="J2714" s="1078">
        <v>0.33</v>
      </c>
      <c r="K2714" s="1038">
        <v>10.69</v>
      </c>
      <c r="L2714" s="1038">
        <v>651.62</v>
      </c>
      <c r="M2714" s="1038">
        <v>0.3</v>
      </c>
      <c r="N2714" s="1038">
        <v>0.69</v>
      </c>
      <c r="O2714" s="1038">
        <v>3.6</v>
      </c>
      <c r="P2714" s="1038">
        <v>2.41</v>
      </c>
      <c r="Q2714" s="1038"/>
      <c r="R2714" s="1079">
        <v>1.0039654447464426</v>
      </c>
      <c r="S2714" s="1038">
        <v>6.84</v>
      </c>
      <c r="T2714" s="1038"/>
      <c r="U2714" s="1038"/>
      <c r="V2714" s="1038"/>
      <c r="W2714" s="1038"/>
      <c r="X2714" s="1038"/>
      <c r="Y2714" s="1080">
        <v>33.6</v>
      </c>
      <c r="Z2714" s="1038"/>
      <c r="AA2714" s="1038"/>
      <c r="AB2714" s="1038"/>
      <c r="AC2714" s="1038"/>
      <c r="AD2714" s="1038">
        <v>480</v>
      </c>
      <c r="AE2714" s="1038">
        <v>240</v>
      </c>
      <c r="AF2714" s="1038">
        <v>280</v>
      </c>
      <c r="AG2714" s="66">
        <f t="shared" si="108"/>
        <v>112.6267857142857</v>
      </c>
      <c r="AH2714" s="143">
        <f t="shared" si="109"/>
        <v>1000</v>
      </c>
    </row>
    <row r="2715" spans="1:34" x14ac:dyDescent="0.3">
      <c r="A2715" s="140">
        <v>905091</v>
      </c>
      <c r="B2715" s="1038">
        <v>19.670000000000002</v>
      </c>
      <c r="C2715" s="1038">
        <v>6.7499999999999982</v>
      </c>
      <c r="D2715" s="1038">
        <v>8.7799999999999994</v>
      </c>
      <c r="E2715" s="1041">
        <v>0.20899999999999999</v>
      </c>
      <c r="F2715" s="1038">
        <v>229.9</v>
      </c>
      <c r="G2715" s="1038"/>
      <c r="H2715" s="1038">
        <v>12.62</v>
      </c>
      <c r="I2715" s="1038">
        <v>311.89</v>
      </c>
      <c r="J2715" s="1078">
        <v>0.39300000000000002</v>
      </c>
      <c r="K2715" s="1038">
        <v>10.69</v>
      </c>
      <c r="L2715" s="1038">
        <v>883.71</v>
      </c>
      <c r="M2715" s="1038">
        <v>0.24</v>
      </c>
      <c r="N2715" s="1038">
        <v>0.53</v>
      </c>
      <c r="O2715" s="1038">
        <v>3.46</v>
      </c>
      <c r="P2715" s="1038">
        <v>3.44</v>
      </c>
      <c r="Q2715" s="1038"/>
      <c r="R2715" s="1079">
        <v>0.52548003040234526</v>
      </c>
      <c r="S2715" s="1038">
        <v>3.93</v>
      </c>
      <c r="T2715" s="1038"/>
      <c r="U2715" s="1038"/>
      <c r="V2715" s="1038"/>
      <c r="W2715" s="1038"/>
      <c r="X2715" s="1038"/>
      <c r="Y2715" s="1080">
        <v>27</v>
      </c>
      <c r="Z2715" s="1038"/>
      <c r="AA2715" s="1038"/>
      <c r="AB2715" s="1038"/>
      <c r="AC2715" s="1038"/>
      <c r="AD2715" s="1038">
        <v>450</v>
      </c>
      <c r="AE2715" s="1038">
        <v>210</v>
      </c>
      <c r="AF2715" s="1038">
        <v>340</v>
      </c>
      <c r="AG2715" s="66">
        <f t="shared" si="108"/>
        <v>140.15777777777777</v>
      </c>
      <c r="AH2715" s="143">
        <f t="shared" si="109"/>
        <v>1000</v>
      </c>
    </row>
    <row r="2716" spans="1:34" x14ac:dyDescent="0.3">
      <c r="A2716" s="140">
        <v>905092</v>
      </c>
      <c r="B2716" s="1038">
        <v>15.33</v>
      </c>
      <c r="C2716" s="1039">
        <v>5.9999999999999982</v>
      </c>
      <c r="D2716" s="1038">
        <v>8.84</v>
      </c>
      <c r="E2716" s="1041">
        <v>0.23400000000000001</v>
      </c>
      <c r="F2716" s="1038">
        <v>257.40000000000003</v>
      </c>
      <c r="G2716" s="1038"/>
      <c r="H2716" s="1038">
        <v>6.49</v>
      </c>
      <c r="I2716" s="1038">
        <v>206.32</v>
      </c>
      <c r="J2716" s="1078">
        <v>0.36</v>
      </c>
      <c r="K2716" s="1038">
        <v>10.81</v>
      </c>
      <c r="L2716" s="1038">
        <v>967.59</v>
      </c>
      <c r="M2716" s="1038">
        <v>0.17</v>
      </c>
      <c r="N2716" s="1038">
        <v>0.53</v>
      </c>
      <c r="O2716" s="1038">
        <v>4.1399999999999997</v>
      </c>
      <c r="P2716" s="1038">
        <v>3.21</v>
      </c>
      <c r="Q2716" s="1038"/>
      <c r="R2716" s="1079">
        <v>0.80895340764775558</v>
      </c>
      <c r="S2716" s="1038">
        <v>5.28</v>
      </c>
      <c r="T2716" s="1038"/>
      <c r="U2716" s="1038"/>
      <c r="V2716" s="1038"/>
      <c r="W2716" s="1038"/>
      <c r="X2716" s="1038"/>
      <c r="Y2716" s="1080">
        <v>27.6</v>
      </c>
      <c r="Z2716" s="1038"/>
      <c r="AA2716" s="1038"/>
      <c r="AB2716" s="1038"/>
      <c r="AC2716" s="1038"/>
      <c r="AD2716" s="1038">
        <v>460</v>
      </c>
      <c r="AE2716" s="1038">
        <v>200</v>
      </c>
      <c r="AF2716" s="1038">
        <v>340</v>
      </c>
      <c r="AG2716" s="66">
        <f t="shared" si="108"/>
        <v>138.65</v>
      </c>
      <c r="AH2716" s="143">
        <f t="shared" si="109"/>
        <v>1000</v>
      </c>
    </row>
    <row r="2717" spans="1:34" x14ac:dyDescent="0.3">
      <c r="A2717" s="140">
        <v>905093</v>
      </c>
      <c r="B2717" s="1038">
        <v>9.67</v>
      </c>
      <c r="C2717" s="1039"/>
      <c r="D2717" s="1038">
        <v>8.36</v>
      </c>
      <c r="E2717" s="1041">
        <v>0.86399999999999999</v>
      </c>
      <c r="F2717" s="1038">
        <v>950.40000000000009</v>
      </c>
      <c r="G2717" s="1038"/>
      <c r="H2717" s="1038">
        <v>21.75</v>
      </c>
      <c r="I2717" s="1038">
        <v>214.4</v>
      </c>
      <c r="J2717" s="1078">
        <v>0.28499999999999998</v>
      </c>
      <c r="K2717" s="1038">
        <v>10.91</v>
      </c>
      <c r="L2717" s="1038">
        <v>830.58</v>
      </c>
      <c r="M2717" s="1038">
        <v>0.28999999999999998</v>
      </c>
      <c r="N2717" s="1038">
        <v>0.42</v>
      </c>
      <c r="O2717" s="1038">
        <v>3.43</v>
      </c>
      <c r="P2717" s="1038">
        <v>2.71</v>
      </c>
      <c r="Q2717" s="1038"/>
      <c r="R2717" s="1079">
        <v>0.82389016258413095</v>
      </c>
      <c r="S2717" s="1038">
        <v>5.37</v>
      </c>
      <c r="T2717" s="1038"/>
      <c r="U2717" s="1038"/>
      <c r="V2717" s="1038"/>
      <c r="W2717" s="1038"/>
      <c r="X2717" s="1038"/>
      <c r="Y2717" s="1080">
        <v>22</v>
      </c>
      <c r="Z2717" s="1038"/>
      <c r="AA2717" s="1038"/>
      <c r="AB2717" s="1038"/>
      <c r="AC2717" s="1038"/>
      <c r="AD2717" s="1038">
        <v>440</v>
      </c>
      <c r="AE2717" s="1038">
        <v>260</v>
      </c>
      <c r="AF2717" s="1038">
        <v>300</v>
      </c>
      <c r="AG2717" s="66">
        <f t="shared" si="108"/>
        <v>175.55181818181819</v>
      </c>
      <c r="AH2717" s="143">
        <f t="shared" si="109"/>
        <v>1000</v>
      </c>
    </row>
    <row r="2718" spans="1:34" x14ac:dyDescent="0.3">
      <c r="A2718" s="140">
        <v>905094</v>
      </c>
      <c r="B2718" s="1038">
        <v>9.92</v>
      </c>
      <c r="C2718" s="1039"/>
      <c r="D2718" s="1038">
        <v>8.4499999999999993</v>
      </c>
      <c r="E2718" s="1041">
        <v>1.0900000000000001</v>
      </c>
      <c r="F2718" s="1038">
        <v>1199</v>
      </c>
      <c r="G2718" s="1038"/>
      <c r="H2718" s="1038">
        <v>20.27</v>
      </c>
      <c r="I2718" s="1038">
        <v>223.34</v>
      </c>
      <c r="J2718" s="1078">
        <v>0.21</v>
      </c>
      <c r="K2718" s="1038">
        <v>11.11</v>
      </c>
      <c r="L2718" s="1038">
        <v>656.55</v>
      </c>
      <c r="M2718" s="1038">
        <v>0.28000000000000003</v>
      </c>
      <c r="N2718" s="1038">
        <v>0.28999999999999998</v>
      </c>
      <c r="O2718" s="1038">
        <v>2.2000000000000002</v>
      </c>
      <c r="P2718" s="1038">
        <v>1.98</v>
      </c>
      <c r="Q2718" s="1038"/>
      <c r="R2718" s="1079">
        <v>0.51456203638200082</v>
      </c>
      <c r="S2718" s="1038">
        <v>3.54</v>
      </c>
      <c r="T2718" s="1038"/>
      <c r="U2718" s="1038"/>
      <c r="V2718" s="1038"/>
      <c r="W2718" s="1038"/>
      <c r="X2718" s="1038"/>
      <c r="Y2718" s="1080">
        <v>18</v>
      </c>
      <c r="Z2718" s="1038"/>
      <c r="AA2718" s="1038"/>
      <c r="AB2718" s="1038"/>
      <c r="AC2718" s="1038"/>
      <c r="AD2718" s="1038">
        <v>300</v>
      </c>
      <c r="AE2718" s="1038">
        <v>100</v>
      </c>
      <c r="AF2718" s="1038">
        <v>600</v>
      </c>
      <c r="AG2718" s="66">
        <f t="shared" si="108"/>
        <v>218.49666666666667</v>
      </c>
      <c r="AH2718" s="143">
        <f t="shared" si="109"/>
        <v>1000</v>
      </c>
    </row>
    <row r="2719" spans="1:34" x14ac:dyDescent="0.3">
      <c r="A2719" s="140">
        <v>905095</v>
      </c>
      <c r="B2719" s="1038">
        <v>9.33</v>
      </c>
      <c r="C2719" s="1039"/>
      <c r="D2719" s="1038">
        <v>8.4499999999999993</v>
      </c>
      <c r="E2719" s="1041">
        <v>2.5099999999999998</v>
      </c>
      <c r="F2719" s="1038">
        <v>2761</v>
      </c>
      <c r="G2719" s="1038"/>
      <c r="H2719" s="1038">
        <v>5.45</v>
      </c>
      <c r="I2719" s="1038">
        <v>263.22000000000003</v>
      </c>
      <c r="J2719" s="1078">
        <v>0.219</v>
      </c>
      <c r="K2719" s="1038">
        <v>63.87</v>
      </c>
      <c r="L2719" s="1038">
        <v>762.71</v>
      </c>
      <c r="M2719" s="1038">
        <v>0.21</v>
      </c>
      <c r="N2719" s="1038">
        <v>0.17</v>
      </c>
      <c r="O2719" s="1038">
        <v>1.74</v>
      </c>
      <c r="P2719" s="1038">
        <v>1.38</v>
      </c>
      <c r="Q2719" s="1038"/>
      <c r="R2719" s="1079">
        <v>0.77101337074762677</v>
      </c>
      <c r="S2719" s="1038">
        <v>5.5</v>
      </c>
      <c r="T2719" s="1038"/>
      <c r="U2719" s="1038"/>
      <c r="V2719" s="1038"/>
      <c r="W2719" s="1038"/>
      <c r="X2719" s="1038"/>
      <c r="Y2719" s="1080">
        <v>30.8</v>
      </c>
      <c r="Z2719" s="1038"/>
      <c r="AA2719" s="1038">
        <v>3.68</v>
      </c>
      <c r="AB2719" s="1039">
        <v>0.77300000000000002</v>
      </c>
      <c r="AC2719" s="1038">
        <v>8.3000000000000007</v>
      </c>
      <c r="AD2719" s="1038">
        <v>440</v>
      </c>
      <c r="AE2719" s="1038">
        <v>240</v>
      </c>
      <c r="AF2719" s="1038">
        <v>320</v>
      </c>
      <c r="AG2719" s="66">
        <f t="shared" si="108"/>
        <v>734.09025974025974</v>
      </c>
      <c r="AH2719" s="143">
        <f t="shared" si="109"/>
        <v>1000</v>
      </c>
    </row>
    <row r="2720" spans="1:34" x14ac:dyDescent="0.3">
      <c r="A2720" s="140">
        <v>905096</v>
      </c>
      <c r="B2720" s="1038">
        <v>26.67</v>
      </c>
      <c r="C2720" s="1039">
        <v>4.25</v>
      </c>
      <c r="D2720" s="1038">
        <v>8.24</v>
      </c>
      <c r="E2720" s="1041">
        <v>4</v>
      </c>
      <c r="F2720" s="1038">
        <v>4400</v>
      </c>
      <c r="G2720" s="1038"/>
      <c r="H2720" s="1038">
        <v>24.54</v>
      </c>
      <c r="I2720" s="1038">
        <v>251.65</v>
      </c>
      <c r="J2720" s="1078">
        <v>0.27600000000000002</v>
      </c>
      <c r="K2720" s="1038">
        <v>13.76</v>
      </c>
      <c r="L2720" s="1038">
        <v>1335.02</v>
      </c>
      <c r="M2720" s="1038">
        <v>0.73</v>
      </c>
      <c r="N2720" s="1038">
        <v>0.72</v>
      </c>
      <c r="O2720" s="1038">
        <v>3.06</v>
      </c>
      <c r="P2720" s="1038">
        <v>2.92</v>
      </c>
      <c r="Q2720" s="1038"/>
      <c r="R2720" s="1079">
        <v>1.1836730898387249</v>
      </c>
      <c r="S2720" s="1038">
        <v>8</v>
      </c>
      <c r="T2720" s="1038"/>
      <c r="U2720" s="1038"/>
      <c r="V2720" s="1038"/>
      <c r="W2720" s="1038"/>
      <c r="X2720" s="1038"/>
      <c r="Y2720" s="1080">
        <v>34.299999999999997</v>
      </c>
      <c r="Z2720" s="1038"/>
      <c r="AA2720" s="1038">
        <v>4.05</v>
      </c>
      <c r="AB2720" s="1039">
        <v>0.251</v>
      </c>
      <c r="AC2720" s="1038">
        <v>7.3</v>
      </c>
      <c r="AD2720" s="1038">
        <v>490</v>
      </c>
      <c r="AE2720" s="1038">
        <v>410</v>
      </c>
      <c r="AF2720" s="1038">
        <v>100</v>
      </c>
      <c r="AG2720" s="66">
        <f t="shared" si="108"/>
        <v>142.01282798833822</v>
      </c>
      <c r="AH2720" s="143">
        <f t="shared" si="109"/>
        <v>1000</v>
      </c>
    </row>
    <row r="2721" spans="1:35" x14ac:dyDescent="0.3">
      <c r="A2721" s="140">
        <v>905097</v>
      </c>
      <c r="B2721" s="1038">
        <v>34.33</v>
      </c>
      <c r="C2721" s="1039">
        <v>12</v>
      </c>
      <c r="D2721" s="1038">
        <v>8.7200000000000006</v>
      </c>
      <c r="E2721" s="1041">
        <v>2.02</v>
      </c>
      <c r="F2721" s="1038">
        <v>2222</v>
      </c>
      <c r="G2721" s="1038"/>
      <c r="H2721" s="1038">
        <v>9.41</v>
      </c>
      <c r="I2721" s="1038">
        <v>543.74</v>
      </c>
      <c r="J2721" s="1078">
        <v>0.219</v>
      </c>
      <c r="K2721" s="1038">
        <v>11.34</v>
      </c>
      <c r="L2721" s="1038">
        <v>1777.14</v>
      </c>
      <c r="M2721" s="1038">
        <v>0.27</v>
      </c>
      <c r="N2721" s="1038">
        <v>0.42</v>
      </c>
      <c r="O2721" s="1038">
        <v>3.79</v>
      </c>
      <c r="P2721" s="1038">
        <v>2.54</v>
      </c>
      <c r="Q2721" s="1038"/>
      <c r="R2721" s="1079">
        <v>1.3599122706681046</v>
      </c>
      <c r="S2721" s="1038">
        <v>8.9700000000000006</v>
      </c>
      <c r="T2721" s="1038"/>
      <c r="U2721" s="1038"/>
      <c r="V2721" s="1038"/>
      <c r="W2721" s="1038"/>
      <c r="X2721" s="1038"/>
      <c r="Y2721" s="1080">
        <v>28.2</v>
      </c>
      <c r="Z2721" s="1038"/>
      <c r="AA2721" s="1038">
        <v>3.46</v>
      </c>
      <c r="AB2721" s="1039">
        <v>0.28799999999999998</v>
      </c>
      <c r="AC2721" s="1038">
        <v>8.4</v>
      </c>
      <c r="AD2721" s="1038">
        <v>470</v>
      </c>
      <c r="AE2721" s="1038">
        <v>260</v>
      </c>
      <c r="AF2721" s="1038">
        <v>270</v>
      </c>
      <c r="AG2721" s="66">
        <f t="shared" si="108"/>
        <v>142.35319148936171</v>
      </c>
      <c r="AH2721" s="143">
        <f t="shared" si="109"/>
        <v>1000</v>
      </c>
    </row>
    <row r="2722" spans="1:35" x14ac:dyDescent="0.3">
      <c r="A2722" s="140">
        <v>905098</v>
      </c>
      <c r="B2722" s="1038">
        <v>37</v>
      </c>
      <c r="C2722" s="1039">
        <v>14.249999999999998</v>
      </c>
      <c r="D2722" s="1038">
        <v>8.84</v>
      </c>
      <c r="E2722" s="1041">
        <v>3.46</v>
      </c>
      <c r="F2722" s="1038">
        <v>3806.0000000000005</v>
      </c>
      <c r="G2722" s="1038"/>
      <c r="H2722" s="1038">
        <v>4.76</v>
      </c>
      <c r="I2722" s="1038">
        <v>521.66999999999996</v>
      </c>
      <c r="J2722" s="1078">
        <v>0.33700000000000002</v>
      </c>
      <c r="K2722" s="1038">
        <v>10.98</v>
      </c>
      <c r="L2722" s="1038">
        <v>2088.87</v>
      </c>
      <c r="M2722" s="1038">
        <v>0.15</v>
      </c>
      <c r="N2722" s="1038">
        <v>0.2</v>
      </c>
      <c r="O2722" s="1038">
        <v>1.03</v>
      </c>
      <c r="P2722" s="1038">
        <v>1.93</v>
      </c>
      <c r="Q2722" s="1038"/>
      <c r="R2722" s="1079">
        <v>1.0899853784998528</v>
      </c>
      <c r="S2722" s="1038">
        <v>7.37</v>
      </c>
      <c r="T2722" s="1038"/>
      <c r="U2722" s="1038"/>
      <c r="V2722" s="1038"/>
      <c r="W2722" s="1038"/>
      <c r="X2722" s="1038"/>
      <c r="Y2722" s="1080">
        <v>22</v>
      </c>
      <c r="Z2722" s="1038"/>
      <c r="AA2722" s="1038">
        <v>4.83</v>
      </c>
      <c r="AB2722" s="1039">
        <v>0.54200000000000004</v>
      </c>
      <c r="AC2722" s="1038">
        <v>9.5</v>
      </c>
      <c r="AD2722" s="1038">
        <v>440</v>
      </c>
      <c r="AE2722" s="1038">
        <v>260</v>
      </c>
      <c r="AF2722" s="1038">
        <v>300</v>
      </c>
      <c r="AG2722" s="66">
        <f t="shared" si="108"/>
        <v>176.67818181818183</v>
      </c>
      <c r="AH2722" s="143">
        <f t="shared" si="109"/>
        <v>1000</v>
      </c>
    </row>
    <row r="2723" spans="1:35" x14ac:dyDescent="0.3">
      <c r="A2723" s="140">
        <v>905099</v>
      </c>
      <c r="B2723" s="1038">
        <v>0.25</v>
      </c>
      <c r="C2723" s="1038"/>
      <c r="D2723" s="1038">
        <v>8.14</v>
      </c>
      <c r="E2723" s="1041">
        <v>0.42099999999999999</v>
      </c>
      <c r="F2723" s="1038">
        <v>463.1</v>
      </c>
      <c r="G2723" s="1038"/>
      <c r="H2723" s="1038">
        <v>58.86</v>
      </c>
      <c r="I2723" s="1038">
        <v>312.27999999999997</v>
      </c>
      <c r="J2723" s="1078">
        <v>0.32100000000000001</v>
      </c>
      <c r="K2723" s="1038">
        <v>7.29</v>
      </c>
      <c r="L2723" s="1038">
        <v>1498.26</v>
      </c>
      <c r="M2723" s="1038">
        <v>0.28000000000000003</v>
      </c>
      <c r="N2723" s="1038">
        <v>0.5</v>
      </c>
      <c r="O2723" s="1038">
        <v>5.04</v>
      </c>
      <c r="P2723" s="1038">
        <v>10.28</v>
      </c>
      <c r="Q2723" s="1038"/>
      <c r="R2723" s="1079">
        <v>1.0953180264196238</v>
      </c>
      <c r="S2723" s="1038">
        <v>7.46</v>
      </c>
      <c r="T2723" s="1038"/>
      <c r="U2723" s="1038"/>
      <c r="V2723" s="1038"/>
      <c r="W2723" s="1038"/>
      <c r="X2723" s="1038"/>
      <c r="Y2723" s="1080">
        <v>3</v>
      </c>
      <c r="Z2723" s="1038"/>
      <c r="AA2723" s="1038"/>
      <c r="AB2723" s="1038"/>
      <c r="AC2723" s="1038"/>
      <c r="AD2723" s="1038">
        <v>60</v>
      </c>
      <c r="AE2723" s="1038">
        <v>60</v>
      </c>
      <c r="AF2723" s="1038">
        <v>880</v>
      </c>
      <c r="AG2723" s="66">
        <f t="shared" si="108"/>
        <v>860.21999999999991</v>
      </c>
      <c r="AH2723" s="143">
        <f t="shared" si="109"/>
        <v>1000</v>
      </c>
    </row>
    <row r="2724" spans="1:35" x14ac:dyDescent="0.3">
      <c r="A2724" s="140">
        <v>905100</v>
      </c>
      <c r="B2724" s="1038">
        <v>0.23</v>
      </c>
      <c r="C2724" s="1038"/>
      <c r="D2724" s="1038">
        <v>8.1999999999999993</v>
      </c>
      <c r="E2724" s="1041">
        <v>0.40799999999999997</v>
      </c>
      <c r="F2724" s="1038">
        <v>448.8</v>
      </c>
      <c r="G2724" s="1038"/>
      <c r="H2724" s="1038">
        <v>61.33</v>
      </c>
      <c r="I2724" s="1038">
        <v>262.87</v>
      </c>
      <c r="J2724" s="1078">
        <v>0.32100000000000001</v>
      </c>
      <c r="K2724" s="1038">
        <v>7.27</v>
      </c>
      <c r="L2724" s="1038">
        <v>1666.59</v>
      </c>
      <c r="M2724" s="1038">
        <v>0.23</v>
      </c>
      <c r="N2724" s="1038">
        <v>0.44</v>
      </c>
      <c r="O2724" s="1038">
        <v>6.69</v>
      </c>
      <c r="P2724" s="1038">
        <v>9.86</v>
      </c>
      <c r="Q2724" s="1038"/>
      <c r="R2724" s="1079">
        <v>0.88608539785533957</v>
      </c>
      <c r="S2724" s="1038">
        <v>6.15</v>
      </c>
      <c r="T2724" s="1038"/>
      <c r="U2724" s="1038"/>
      <c r="V2724" s="1038"/>
      <c r="W2724" s="1038"/>
      <c r="X2724" s="1038"/>
      <c r="Y2724" s="1080">
        <v>3</v>
      </c>
      <c r="Z2724" s="1038"/>
      <c r="AA2724" s="1038"/>
      <c r="AB2724" s="1038"/>
      <c r="AC2724" s="1038"/>
      <c r="AD2724" s="1038">
        <v>60</v>
      </c>
      <c r="AE2724" s="1038">
        <v>80</v>
      </c>
      <c r="AF2724" s="1038">
        <v>860</v>
      </c>
      <c r="AG2724" s="66">
        <f t="shared" si="108"/>
        <v>857.86</v>
      </c>
      <c r="AH2724" s="143">
        <f t="shared" si="109"/>
        <v>1000</v>
      </c>
    </row>
    <row r="2725" spans="1:35" x14ac:dyDescent="0.3">
      <c r="A2725" s="1032">
        <v>905101</v>
      </c>
      <c r="B2725" s="1018">
        <v>0.1</v>
      </c>
      <c r="C2725" s="1018"/>
      <c r="D2725" s="1019">
        <v>6.93</v>
      </c>
      <c r="E2725" s="1579">
        <v>0.314</v>
      </c>
      <c r="F2725" s="1018">
        <v>345.40000000000003</v>
      </c>
      <c r="G2725" s="1032"/>
      <c r="H2725" s="1019">
        <v>171.9</v>
      </c>
      <c r="I2725" s="1017">
        <v>230</v>
      </c>
      <c r="J2725" s="1088">
        <v>0.36</v>
      </c>
      <c r="K2725" s="1032">
        <v>1.18</v>
      </c>
      <c r="L2725" s="1032">
        <v>451</v>
      </c>
      <c r="M2725" s="1032">
        <v>1.43</v>
      </c>
      <c r="N2725" s="1019">
        <v>0.65</v>
      </c>
      <c r="O2725" s="1032">
        <v>6.98</v>
      </c>
      <c r="P2725" s="1032">
        <v>10.02</v>
      </c>
      <c r="Q2725" s="1032"/>
      <c r="R2725" s="1019">
        <v>0.57644029103321393</v>
      </c>
      <c r="S2725" s="1032">
        <v>4.0200000000000005</v>
      </c>
      <c r="T2725" s="1032"/>
      <c r="U2725" s="1032"/>
      <c r="V2725" s="1032"/>
      <c r="W2725" s="1032"/>
      <c r="X2725" s="1032"/>
      <c r="Y2725" s="1018">
        <v>23.8</v>
      </c>
      <c r="Z2725" s="1032"/>
      <c r="AA2725" s="1019">
        <v>3.68</v>
      </c>
      <c r="AB2725" s="1019">
        <v>0.77300000000000002</v>
      </c>
      <c r="AC2725" s="1032">
        <v>8.3000000000000007</v>
      </c>
      <c r="AD2725" s="1033">
        <v>340</v>
      </c>
      <c r="AE2725" s="1033">
        <v>120</v>
      </c>
      <c r="AF2725" s="1033">
        <v>540</v>
      </c>
      <c r="AG2725" s="66">
        <f t="shared" si="108"/>
        <v>17.551260504201682</v>
      </c>
      <c r="AH2725" s="143">
        <f t="shared" si="109"/>
        <v>1000</v>
      </c>
    </row>
    <row r="2726" spans="1:35" x14ac:dyDescent="0.3">
      <c r="A2726" s="1032">
        <v>905102</v>
      </c>
      <c r="B2726" s="1018">
        <v>5.4</v>
      </c>
      <c r="C2726" s="1018"/>
      <c r="D2726" s="1019">
        <v>8.52</v>
      </c>
      <c r="E2726" s="1579">
        <v>0.16699999999999998</v>
      </c>
      <c r="F2726" s="1018">
        <v>183.7</v>
      </c>
      <c r="G2726" s="1032"/>
      <c r="H2726" s="1019">
        <v>37.26</v>
      </c>
      <c r="I2726" s="1017">
        <v>430</v>
      </c>
      <c r="J2726" s="1088">
        <v>0.21</v>
      </c>
      <c r="K2726" s="1032">
        <v>8.33</v>
      </c>
      <c r="L2726" s="1032">
        <v>1575</v>
      </c>
      <c r="M2726" s="1032">
        <v>0.79</v>
      </c>
      <c r="N2726" s="1019">
        <v>1.03</v>
      </c>
      <c r="O2726" s="1032">
        <v>4.3499999999999996</v>
      </c>
      <c r="P2726" s="1032">
        <v>5.96</v>
      </c>
      <c r="Q2726" s="1032"/>
      <c r="R2726" s="1019">
        <v>1.66460528</v>
      </c>
      <c r="S2726" s="1032">
        <v>12.64</v>
      </c>
      <c r="T2726" s="1032"/>
      <c r="U2726" s="1032"/>
      <c r="V2726" s="1032"/>
      <c r="W2726" s="1032"/>
      <c r="X2726" s="1032"/>
      <c r="Y2726" s="1018">
        <v>27</v>
      </c>
      <c r="Z2726" s="1032"/>
      <c r="AA2726" s="1019">
        <v>4.05</v>
      </c>
      <c r="AB2726" s="1019">
        <v>0.251</v>
      </c>
      <c r="AC2726" s="1032">
        <v>7.3</v>
      </c>
      <c r="AD2726" s="1033">
        <v>540</v>
      </c>
      <c r="AE2726" s="1033">
        <v>300</v>
      </c>
      <c r="AF2726" s="1033">
        <v>160</v>
      </c>
      <c r="AG2726" s="66">
        <f t="shared" si="108"/>
        <v>109.21555555555554</v>
      </c>
      <c r="AH2726" s="143">
        <f t="shared" si="109"/>
        <v>1000</v>
      </c>
    </row>
    <row r="2727" spans="1:35" x14ac:dyDescent="0.3">
      <c r="A2727" s="1032">
        <v>905103</v>
      </c>
      <c r="B2727" s="1018">
        <v>0.3</v>
      </c>
      <c r="C2727" s="1018"/>
      <c r="D2727" s="1019">
        <v>8.34</v>
      </c>
      <c r="E2727" s="1579">
        <v>0.60799999999999998</v>
      </c>
      <c r="F2727" s="1018">
        <v>668.80000000000007</v>
      </c>
      <c r="G2727" s="1032"/>
      <c r="H2727" s="1019">
        <v>106.06</v>
      </c>
      <c r="I2727" s="1017">
        <v>750</v>
      </c>
      <c r="J2727" s="1088">
        <v>1.59</v>
      </c>
      <c r="K2727" s="1032">
        <v>7.93</v>
      </c>
      <c r="L2727" s="1032">
        <v>2888</v>
      </c>
      <c r="M2727" s="1032">
        <v>1.73</v>
      </c>
      <c r="N2727" s="1019">
        <v>0.85</v>
      </c>
      <c r="O2727" s="1032">
        <v>9.94</v>
      </c>
      <c r="P2727" s="1032">
        <v>8.33</v>
      </c>
      <c r="Q2727" s="1032"/>
      <c r="R2727" s="1019">
        <v>1.7634373700000001</v>
      </c>
      <c r="S2727" s="1032">
        <v>15.469999999999999</v>
      </c>
      <c r="T2727" s="1032"/>
      <c r="U2727" s="1032"/>
      <c r="V2727" s="1032"/>
      <c r="W2727" s="1032"/>
      <c r="X2727" s="1032"/>
      <c r="Y2727" s="1018">
        <v>34.200000000000003</v>
      </c>
      <c r="Z2727" s="1032"/>
      <c r="AA2727" s="1019">
        <v>3.46</v>
      </c>
      <c r="AB2727" s="1019">
        <v>0.28799999999999998</v>
      </c>
      <c r="AC2727" s="1032">
        <v>8.4</v>
      </c>
      <c r="AD2727" s="1033">
        <v>560</v>
      </c>
      <c r="AE2727" s="1033">
        <v>340</v>
      </c>
      <c r="AF2727" s="1033">
        <v>100</v>
      </c>
      <c r="AG2727" s="66">
        <f t="shared" si="108"/>
        <v>82.082456140350871</v>
      </c>
      <c r="AH2727" s="143">
        <f t="shared" si="109"/>
        <v>1000</v>
      </c>
    </row>
    <row r="2728" spans="1:35" x14ac:dyDescent="0.3">
      <c r="A2728" s="1032">
        <v>905104</v>
      </c>
      <c r="B2728" s="1018">
        <v>0.6</v>
      </c>
      <c r="C2728" s="1018"/>
      <c r="D2728" s="1019">
        <v>8.4600000000000009</v>
      </c>
      <c r="E2728" s="1579">
        <v>0.42199999999999999</v>
      </c>
      <c r="F2728" s="1018">
        <v>464.2</v>
      </c>
      <c r="G2728" s="1032"/>
      <c r="H2728" s="1019">
        <v>34</v>
      </c>
      <c r="I2728" s="1017">
        <v>460</v>
      </c>
      <c r="J2728" s="1088">
        <v>1.26</v>
      </c>
      <c r="K2728" s="1032">
        <v>8.66</v>
      </c>
      <c r="L2728" s="1032">
        <v>2876</v>
      </c>
      <c r="M2728" s="1032">
        <v>0.91</v>
      </c>
      <c r="N2728" s="1019">
        <v>0.75</v>
      </c>
      <c r="O2728" s="1032">
        <v>9.42</v>
      </c>
      <c r="P2728" s="1032">
        <v>7.1</v>
      </c>
      <c r="Q2728" s="1032"/>
      <c r="R2728" s="1019">
        <v>1.69403825</v>
      </c>
      <c r="S2728" s="1032">
        <v>13.45</v>
      </c>
      <c r="T2728" s="1032"/>
      <c r="U2728" s="1032"/>
      <c r="V2728" s="1032"/>
      <c r="W2728" s="1032"/>
      <c r="X2728" s="1032"/>
      <c r="Y2728" s="1018">
        <v>27.5</v>
      </c>
      <c r="Z2728" s="1032"/>
      <c r="AA2728" s="1019">
        <v>4.83</v>
      </c>
      <c r="AB2728" s="1019">
        <v>0.54200000000000004</v>
      </c>
      <c r="AC2728" s="1032">
        <v>9.5</v>
      </c>
      <c r="AD2728" s="1033">
        <v>550</v>
      </c>
      <c r="AE2728" s="1033">
        <v>350</v>
      </c>
      <c r="AF2728" s="1033">
        <v>100</v>
      </c>
      <c r="AG2728" s="66">
        <f t="shared" si="108"/>
        <v>111.47781818181819</v>
      </c>
      <c r="AH2728" s="143">
        <f t="shared" si="109"/>
        <v>1000</v>
      </c>
    </row>
    <row r="2729" spans="1:35" x14ac:dyDescent="0.3">
      <c r="A2729" s="140">
        <v>905105</v>
      </c>
      <c r="F2729" s="138"/>
      <c r="R2729" s="139">
        <v>2.1400228800000001</v>
      </c>
      <c r="S2729" s="140">
        <v>42.96</v>
      </c>
      <c r="AF2729" s="140"/>
      <c r="AG2729" s="66" t="e">
        <f t="shared" si="108"/>
        <v>#DIV/0!</v>
      </c>
      <c r="AH2729" s="143">
        <f t="shared" si="109"/>
        <v>0</v>
      </c>
      <c r="AI2729" s="70"/>
    </row>
    <row r="2730" spans="1:35" x14ac:dyDescent="0.3">
      <c r="A2730" s="140">
        <v>905106</v>
      </c>
      <c r="F2730" s="138"/>
      <c r="R2730" s="139">
        <v>1.9854189199999999</v>
      </c>
      <c r="S2730" s="140">
        <v>54.379999999999995</v>
      </c>
      <c r="AF2730" s="140"/>
      <c r="AG2730" s="66" t="e">
        <f t="shared" si="108"/>
        <v>#DIV/0!</v>
      </c>
      <c r="AH2730" s="143">
        <f t="shared" si="109"/>
        <v>0</v>
      </c>
      <c r="AI2730" s="70"/>
    </row>
    <row r="2731" spans="1:35" x14ac:dyDescent="0.3">
      <c r="A2731" s="140">
        <v>905107</v>
      </c>
      <c r="F2731" s="138"/>
      <c r="R2731" s="139">
        <v>2.1482833700000006</v>
      </c>
      <c r="S2731" s="140">
        <v>40.970000000000006</v>
      </c>
      <c r="AF2731" s="140"/>
      <c r="AG2731" s="66" t="e">
        <f t="shared" si="108"/>
        <v>#DIV/0!</v>
      </c>
      <c r="AH2731" s="143">
        <f t="shared" si="109"/>
        <v>0</v>
      </c>
      <c r="AI2731" s="70"/>
    </row>
    <row r="2732" spans="1:35" x14ac:dyDescent="0.3">
      <c r="A2732" s="140">
        <v>905108</v>
      </c>
      <c r="F2732" s="138"/>
      <c r="R2732" s="139">
        <v>1.9972573200000006</v>
      </c>
      <c r="S2732" s="140">
        <v>53.819999999999993</v>
      </c>
      <c r="AF2732" s="140"/>
      <c r="AG2732" s="66" t="e">
        <f t="shared" si="108"/>
        <v>#DIV/0!</v>
      </c>
      <c r="AH2732" s="143">
        <f t="shared" si="109"/>
        <v>0</v>
      </c>
      <c r="AI2732" s="70"/>
    </row>
    <row r="2733" spans="1:35" x14ac:dyDescent="0.3">
      <c r="A2733" s="140">
        <v>905109</v>
      </c>
      <c r="F2733" s="138"/>
      <c r="R2733" s="139">
        <v>2.0173053200000002</v>
      </c>
      <c r="S2733" s="140">
        <v>52.82</v>
      </c>
      <c r="AF2733" s="140"/>
      <c r="AG2733" s="66" t="e">
        <f t="shared" si="108"/>
        <v>#DIV/0!</v>
      </c>
      <c r="AH2733" s="143">
        <f t="shared" si="109"/>
        <v>0</v>
      </c>
      <c r="AI2733" s="70"/>
    </row>
    <row r="2734" spans="1:35" x14ac:dyDescent="0.3">
      <c r="A2734" s="140">
        <v>905110</v>
      </c>
      <c r="F2734" s="138"/>
      <c r="R2734" s="139">
        <v>2.1425227199999997</v>
      </c>
      <c r="S2734" s="140">
        <v>42.480000000000004</v>
      </c>
      <c r="AF2734" s="140"/>
      <c r="AG2734" s="66" t="e">
        <f t="shared" si="108"/>
        <v>#DIV/0!</v>
      </c>
      <c r="AH2734" s="143">
        <f t="shared" si="109"/>
        <v>0</v>
      </c>
      <c r="AI2734" s="70"/>
    </row>
    <row r="2735" spans="1:35" x14ac:dyDescent="0.3">
      <c r="A2735" s="140">
        <v>905111</v>
      </c>
      <c r="F2735" s="138"/>
      <c r="R2735" s="139">
        <v>1.8913366800000002</v>
      </c>
      <c r="S2735" s="140">
        <v>58.26</v>
      </c>
      <c r="AF2735" s="140"/>
      <c r="AG2735" s="66" t="e">
        <f t="shared" si="108"/>
        <v>#DIV/0!</v>
      </c>
      <c r="AH2735" s="143">
        <f t="shared" si="109"/>
        <v>0</v>
      </c>
      <c r="AI2735" s="70"/>
    </row>
    <row r="2736" spans="1:35" x14ac:dyDescent="0.3">
      <c r="A2736" s="140">
        <v>905112</v>
      </c>
      <c r="F2736" s="138"/>
      <c r="R2736" s="139">
        <v>2.0173053200000002</v>
      </c>
      <c r="S2736" s="140">
        <v>52.82</v>
      </c>
      <c r="AF2736" s="140"/>
      <c r="AG2736" s="66" t="e">
        <f t="shared" si="108"/>
        <v>#DIV/0!</v>
      </c>
      <c r="AH2736" s="143">
        <f t="shared" si="109"/>
        <v>0</v>
      </c>
      <c r="AI2736" s="70"/>
    </row>
    <row r="2737" spans="1:34" x14ac:dyDescent="0.3">
      <c r="A2737" s="1032">
        <v>905113</v>
      </c>
      <c r="B2737" s="1018">
        <v>0.1</v>
      </c>
      <c r="C2737" s="1018"/>
      <c r="D2737" s="1019">
        <v>7.16</v>
      </c>
      <c r="E2737" s="1579">
        <v>0.14100000000000001</v>
      </c>
      <c r="F2737" s="1018">
        <v>155.10000000000002</v>
      </c>
      <c r="G2737" s="1032"/>
      <c r="H2737" s="1019">
        <v>137.51</v>
      </c>
      <c r="I2737" s="1017">
        <v>430</v>
      </c>
      <c r="J2737" s="705">
        <v>0.19</v>
      </c>
      <c r="K2737" s="1032">
        <v>3.2</v>
      </c>
      <c r="L2737" s="1032">
        <v>785</v>
      </c>
      <c r="M2737" s="1032">
        <v>2.02</v>
      </c>
      <c r="N2737" s="1032">
        <v>1.83</v>
      </c>
      <c r="O2737" s="1032">
        <v>27.65</v>
      </c>
      <c r="P2737" s="1032">
        <v>32.340000000000003</v>
      </c>
      <c r="Q2737" s="1032"/>
      <c r="R2737" s="1019">
        <v>1.9140080000000002</v>
      </c>
      <c r="S2737" s="1032">
        <v>20.6</v>
      </c>
      <c r="T2737" s="1032"/>
      <c r="U2737" s="1032"/>
      <c r="V2737" s="1032"/>
      <c r="W2737" s="1032"/>
      <c r="X2737" s="1032"/>
      <c r="Y2737" s="1018">
        <v>30</v>
      </c>
      <c r="Z2737" s="1032"/>
      <c r="AA2737" s="1019"/>
      <c r="AB2737" s="1019"/>
      <c r="AC2737" s="1032"/>
      <c r="AD2737" s="1033">
        <v>500</v>
      </c>
      <c r="AE2737" s="1033">
        <v>360</v>
      </c>
      <c r="AF2737" s="1033">
        <v>140</v>
      </c>
      <c r="AG2737" s="66">
        <f t="shared" si="108"/>
        <v>37.760000000000005</v>
      </c>
      <c r="AH2737" s="143">
        <f t="shared" si="109"/>
        <v>1000</v>
      </c>
    </row>
    <row r="2738" spans="1:34" x14ac:dyDescent="0.3">
      <c r="A2738" s="1032">
        <v>905114</v>
      </c>
      <c r="B2738" s="1018">
        <v>0</v>
      </c>
      <c r="C2738" s="1018"/>
      <c r="D2738" s="1019">
        <v>6.74</v>
      </c>
      <c r="E2738" s="1579">
        <v>0.111</v>
      </c>
      <c r="F2738" s="1018">
        <v>122.10000000000001</v>
      </c>
      <c r="G2738" s="1032"/>
      <c r="H2738" s="1019">
        <v>91.7</v>
      </c>
      <c r="I2738" s="1017">
        <v>230</v>
      </c>
      <c r="J2738" s="705">
        <v>0.19</v>
      </c>
      <c r="K2738" s="1032">
        <v>2.91</v>
      </c>
      <c r="L2738" s="1032">
        <v>619</v>
      </c>
      <c r="M2738" s="1032">
        <v>1.44</v>
      </c>
      <c r="N2738" s="1032">
        <v>1.68</v>
      </c>
      <c r="O2738" s="1032">
        <v>36.68</v>
      </c>
      <c r="P2738" s="1032">
        <v>28.36</v>
      </c>
      <c r="Q2738" s="1032"/>
      <c r="R2738" s="1019">
        <v>1.7474639300000001</v>
      </c>
      <c r="S2738" s="1032">
        <v>14.990000000000002</v>
      </c>
      <c r="T2738" s="1032"/>
      <c r="U2738" s="1032"/>
      <c r="V2738" s="1032"/>
      <c r="W2738" s="1032"/>
      <c r="X2738" s="1032"/>
      <c r="Y2738" s="1018">
        <v>31.2</v>
      </c>
      <c r="Z2738" s="1032"/>
      <c r="AA2738" s="1019">
        <v>4.0999999999999996</v>
      </c>
      <c r="AB2738" s="1019">
        <v>0.46300000000000002</v>
      </c>
      <c r="AC2738" s="1032">
        <v>11.1</v>
      </c>
      <c r="AD2738" s="1033">
        <v>520</v>
      </c>
      <c r="AE2738" s="1033">
        <v>320</v>
      </c>
      <c r="AF2738" s="1033">
        <v>160</v>
      </c>
      <c r="AG2738" s="66">
        <f t="shared" si="108"/>
        <v>33.017307692307696</v>
      </c>
      <c r="AH2738" s="143">
        <f t="shared" si="109"/>
        <v>1000</v>
      </c>
    </row>
    <row r="2739" spans="1:34" x14ac:dyDescent="0.3">
      <c r="A2739" s="1032">
        <v>905115</v>
      </c>
      <c r="B2739" s="1018">
        <v>0.1</v>
      </c>
      <c r="C2739" s="1018"/>
      <c r="D2739" s="1019">
        <v>6.94</v>
      </c>
      <c r="E2739" s="1579">
        <v>0.373</v>
      </c>
      <c r="F2739" s="1018">
        <v>410.30000000000007</v>
      </c>
      <c r="G2739" s="1032"/>
      <c r="H2739" s="1019">
        <v>51.31</v>
      </c>
      <c r="I2739" s="1017">
        <v>140</v>
      </c>
      <c r="J2739" s="705">
        <v>0.18</v>
      </c>
      <c r="K2739" s="1032">
        <v>3.43</v>
      </c>
      <c r="L2739" s="1032">
        <v>940</v>
      </c>
      <c r="M2739" s="1032">
        <v>0.71</v>
      </c>
      <c r="N2739" s="1032">
        <v>1.47</v>
      </c>
      <c r="O2739" s="1032">
        <v>29.57</v>
      </c>
      <c r="P2739" s="1032">
        <v>17.04</v>
      </c>
      <c r="Q2739" s="1032"/>
      <c r="R2739" s="1019">
        <v>1.7893429700000001</v>
      </c>
      <c r="S2739" s="1032">
        <v>16.27</v>
      </c>
      <c r="T2739" s="1032"/>
      <c r="U2739" s="1032"/>
      <c r="V2739" s="1032"/>
      <c r="W2739" s="1032"/>
      <c r="X2739" s="1032"/>
      <c r="Y2739" s="1018">
        <v>35</v>
      </c>
      <c r="Z2739" s="1032"/>
      <c r="AA2739" s="1019">
        <v>3.67</v>
      </c>
      <c r="AB2739" s="1019">
        <v>0.8</v>
      </c>
      <c r="AC2739" s="1032">
        <v>8.9</v>
      </c>
      <c r="AD2739" s="1033">
        <v>500</v>
      </c>
      <c r="AE2739" s="1033">
        <v>430</v>
      </c>
      <c r="AF2739" s="1033">
        <v>70</v>
      </c>
      <c r="AG2739" s="66">
        <f t="shared" si="108"/>
        <v>34.692</v>
      </c>
      <c r="AH2739" s="143">
        <f t="shared" si="109"/>
        <v>1000</v>
      </c>
    </row>
    <row r="2740" spans="1:34" x14ac:dyDescent="0.3">
      <c r="A2740" s="1032">
        <v>905116</v>
      </c>
      <c r="B2740" s="1018">
        <v>0.1</v>
      </c>
      <c r="C2740" s="1018"/>
      <c r="D2740" s="1019">
        <v>7.41</v>
      </c>
      <c r="E2740" s="1579">
        <v>0.26100000000000001</v>
      </c>
      <c r="F2740" s="1018">
        <v>287.10000000000002</v>
      </c>
      <c r="G2740" s="1032"/>
      <c r="H2740" s="1019">
        <v>47.8</v>
      </c>
      <c r="I2740" s="1017">
        <v>190</v>
      </c>
      <c r="J2740" s="705">
        <v>0.33</v>
      </c>
      <c r="K2740" s="1032">
        <v>2.62</v>
      </c>
      <c r="L2740" s="1032">
        <v>535</v>
      </c>
      <c r="M2740" s="1032">
        <v>0.38</v>
      </c>
      <c r="N2740" s="1032">
        <v>0.84</v>
      </c>
      <c r="O2740" s="1032">
        <v>2.42</v>
      </c>
      <c r="P2740" s="1032">
        <v>23.08</v>
      </c>
      <c r="Q2740" s="1032"/>
      <c r="R2740" s="1019">
        <v>0.65438608356035188</v>
      </c>
      <c r="S2740" s="1032">
        <v>4.45</v>
      </c>
      <c r="T2740" s="1032"/>
      <c r="U2740" s="1032"/>
      <c r="V2740" s="1032"/>
      <c r="W2740" s="1032"/>
      <c r="X2740" s="1032"/>
      <c r="Y2740" s="1018">
        <v>15.6</v>
      </c>
      <c r="Z2740" s="1032"/>
      <c r="AA2740" s="1019">
        <v>3.7</v>
      </c>
      <c r="AB2740" s="1019">
        <v>0.436</v>
      </c>
      <c r="AC2740" s="1032">
        <v>6.2</v>
      </c>
      <c r="AD2740" s="1033">
        <v>260</v>
      </c>
      <c r="AE2740" s="1033">
        <v>260</v>
      </c>
      <c r="AF2740" s="1033">
        <v>480</v>
      </c>
      <c r="AG2740" s="66">
        <f t="shared" si="108"/>
        <v>59.453846153846165</v>
      </c>
      <c r="AH2740" s="143">
        <f t="shared" si="109"/>
        <v>1000</v>
      </c>
    </row>
    <row r="2741" spans="1:34" x14ac:dyDescent="0.3">
      <c r="A2741" s="1032">
        <v>905117</v>
      </c>
      <c r="B2741" s="1018">
        <v>1.2</v>
      </c>
      <c r="C2741" s="1018"/>
      <c r="D2741" s="1019">
        <v>8.35</v>
      </c>
      <c r="E2741" s="1579">
        <v>0.22700000000000004</v>
      </c>
      <c r="F2741" s="1018">
        <v>249.70000000000007</v>
      </c>
      <c r="G2741" s="1032"/>
      <c r="H2741" s="1019">
        <v>12.06</v>
      </c>
      <c r="I2741" s="1017">
        <v>1070</v>
      </c>
      <c r="J2741" s="705">
        <v>0.21</v>
      </c>
      <c r="K2741" s="1032">
        <v>6.13</v>
      </c>
      <c r="L2741" s="1032">
        <v>577</v>
      </c>
      <c r="M2741" s="1032">
        <v>0.36</v>
      </c>
      <c r="N2741" s="1032">
        <v>0.8</v>
      </c>
      <c r="O2741" s="1032">
        <v>3.52</v>
      </c>
      <c r="P2741" s="1032">
        <v>2.4900000000000002</v>
      </c>
      <c r="Q2741" s="1032"/>
      <c r="R2741" s="1019">
        <v>1.60806425</v>
      </c>
      <c r="S2741" s="1032">
        <v>11.15</v>
      </c>
      <c r="T2741" s="1032"/>
      <c r="U2741" s="1032"/>
      <c r="V2741" s="1032"/>
      <c r="W2741" s="1032"/>
      <c r="X2741" s="1032"/>
      <c r="Y2741" s="1018">
        <v>25.2</v>
      </c>
      <c r="Z2741" s="1032"/>
      <c r="AA2741" s="1019"/>
      <c r="AB2741" s="1019"/>
      <c r="AC2741" s="1032"/>
      <c r="AD2741" s="1033">
        <v>360</v>
      </c>
      <c r="AE2741" s="1033">
        <v>580</v>
      </c>
      <c r="AF2741" s="1033">
        <v>60</v>
      </c>
      <c r="AG2741" s="66">
        <f t="shared" si="108"/>
        <v>86.111904761904768</v>
      </c>
      <c r="AH2741" s="143">
        <f t="shared" si="109"/>
        <v>1000</v>
      </c>
    </row>
    <row r="2742" spans="1:34" x14ac:dyDescent="0.3">
      <c r="A2742" s="1032">
        <v>905118</v>
      </c>
      <c r="B2742" s="1018">
        <v>6.3</v>
      </c>
      <c r="C2742" s="1018"/>
      <c r="D2742" s="1019">
        <v>8.42</v>
      </c>
      <c r="E2742" s="1579">
        <v>0.18099999999999999</v>
      </c>
      <c r="F2742" s="1018">
        <v>199.1</v>
      </c>
      <c r="G2742" s="1032"/>
      <c r="H2742" s="1019">
        <v>10.57</v>
      </c>
      <c r="I2742" s="1017">
        <v>960</v>
      </c>
      <c r="J2742" s="705">
        <v>0.22</v>
      </c>
      <c r="K2742" s="1032">
        <v>8.56</v>
      </c>
      <c r="L2742" s="1032">
        <v>508</v>
      </c>
      <c r="M2742" s="1032">
        <v>0.39</v>
      </c>
      <c r="N2742" s="1032">
        <v>1.05</v>
      </c>
      <c r="O2742" s="1032">
        <v>7.38</v>
      </c>
      <c r="P2742" s="1032">
        <v>3.18</v>
      </c>
      <c r="Q2742" s="1032"/>
      <c r="R2742" s="1019">
        <v>1.7325382500000002</v>
      </c>
      <c r="S2742" s="1032">
        <v>14.55</v>
      </c>
      <c r="T2742" s="1032"/>
      <c r="U2742" s="1032"/>
      <c r="V2742" s="1032"/>
      <c r="W2742" s="1032"/>
      <c r="X2742" s="1032"/>
      <c r="Y2742" s="1018">
        <v>18</v>
      </c>
      <c r="Z2742" s="1032"/>
      <c r="AA2742" s="1019"/>
      <c r="AB2742" s="1019"/>
      <c r="AC2742" s="1032"/>
      <c r="AD2742" s="1033">
        <v>360</v>
      </c>
      <c r="AE2742" s="1033">
        <v>540</v>
      </c>
      <c r="AF2742" s="1033">
        <v>100</v>
      </c>
      <c r="AG2742" s="66">
        <f t="shared" si="108"/>
        <v>168.34666666666669</v>
      </c>
      <c r="AH2742" s="143">
        <f t="shared" si="109"/>
        <v>1000</v>
      </c>
    </row>
    <row r="2743" spans="1:34" x14ac:dyDescent="0.3">
      <c r="A2743" s="1032">
        <v>905119</v>
      </c>
      <c r="B2743" s="1018">
        <v>9.9</v>
      </c>
      <c r="C2743" s="1018"/>
      <c r="D2743" s="1019">
        <v>8.36</v>
      </c>
      <c r="E2743" s="1579">
        <v>1.94</v>
      </c>
      <c r="F2743" s="1018">
        <v>2134</v>
      </c>
      <c r="G2743" s="1032"/>
      <c r="H2743" s="1019">
        <v>30</v>
      </c>
      <c r="I2743" s="1017">
        <v>410</v>
      </c>
      <c r="J2743" s="705">
        <v>1.19</v>
      </c>
      <c r="K2743" s="1032">
        <v>8.2899999999999991</v>
      </c>
      <c r="L2743" s="1032">
        <v>1334</v>
      </c>
      <c r="M2743" s="1032">
        <v>1</v>
      </c>
      <c r="N2743" s="1032">
        <v>0.52</v>
      </c>
      <c r="O2743" s="1032">
        <v>1.59</v>
      </c>
      <c r="P2743" s="1032">
        <v>1.36</v>
      </c>
      <c r="Q2743" s="1032"/>
      <c r="R2743" s="1019">
        <v>1.7451075199999999</v>
      </c>
      <c r="S2743" s="1032">
        <v>14.92</v>
      </c>
      <c r="T2743" s="1032"/>
      <c r="U2743" s="1032"/>
      <c r="V2743" s="1032"/>
      <c r="W2743" s="1032"/>
      <c r="X2743" s="1032"/>
      <c r="Y2743" s="1018">
        <v>28.2</v>
      </c>
      <c r="Z2743" s="1032"/>
      <c r="AA2743" s="1019">
        <v>4.21</v>
      </c>
      <c r="AB2743" s="1019">
        <v>0.872</v>
      </c>
      <c r="AC2743" s="1032">
        <v>9.4</v>
      </c>
      <c r="AD2743" s="1033">
        <v>470</v>
      </c>
      <c r="AE2743" s="1033">
        <v>360</v>
      </c>
      <c r="AF2743" s="1033">
        <v>170</v>
      </c>
      <c r="AG2743" s="66">
        <f t="shared" si="108"/>
        <v>104.06595744680851</v>
      </c>
      <c r="AH2743" s="143">
        <f t="shared" si="109"/>
        <v>1000</v>
      </c>
    </row>
    <row r="2744" spans="1:34" x14ac:dyDescent="0.3">
      <c r="A2744" s="1032">
        <v>905120</v>
      </c>
      <c r="B2744" s="1018">
        <v>0.1</v>
      </c>
      <c r="C2744" s="1018"/>
      <c r="D2744" s="1019">
        <v>8.43</v>
      </c>
      <c r="E2744" s="1579">
        <v>0.11700000000000001</v>
      </c>
      <c r="F2744" s="1018">
        <v>128.70000000000002</v>
      </c>
      <c r="G2744" s="1032"/>
      <c r="H2744" s="1019">
        <v>90.24</v>
      </c>
      <c r="I2744" s="1017">
        <v>80</v>
      </c>
      <c r="J2744" s="705">
        <v>0.21</v>
      </c>
      <c r="K2744" s="1032">
        <v>1.47</v>
      </c>
      <c r="L2744" s="1032">
        <v>147</v>
      </c>
      <c r="M2744" s="1032">
        <v>1.02</v>
      </c>
      <c r="N2744" s="1032">
        <v>0.33</v>
      </c>
      <c r="O2744" s="1032">
        <v>2.64</v>
      </c>
      <c r="P2744" s="1032">
        <v>4.6500000000000004</v>
      </c>
      <c r="Q2744" s="1032"/>
      <c r="R2744" s="1019">
        <v>0.64963657660455087</v>
      </c>
      <c r="S2744" s="1032">
        <v>4.3600000000000003</v>
      </c>
      <c r="T2744" s="1032"/>
      <c r="U2744" s="1032"/>
      <c r="V2744" s="1032"/>
      <c r="W2744" s="1032"/>
      <c r="X2744" s="1032"/>
      <c r="Y2744" s="1018">
        <v>4.2</v>
      </c>
      <c r="Z2744" s="1032"/>
      <c r="AA2744" s="1019">
        <v>4.93</v>
      </c>
      <c r="AB2744" s="1019">
        <v>0.45600000000000002</v>
      </c>
      <c r="AC2744" s="1032">
        <v>6.2</v>
      </c>
      <c r="AD2744" s="1033">
        <v>60</v>
      </c>
      <c r="AE2744" s="1033">
        <v>60</v>
      </c>
      <c r="AF2744" s="1033">
        <v>880</v>
      </c>
      <c r="AG2744" s="66">
        <f t="shared" si="108"/>
        <v>123.89999999999999</v>
      </c>
      <c r="AH2744" s="143">
        <f t="shared" si="109"/>
        <v>1000</v>
      </c>
    </row>
    <row r="2745" spans="1:34" x14ac:dyDescent="0.3">
      <c r="A2745" s="1032">
        <v>905121</v>
      </c>
      <c r="B2745" s="1018">
        <v>3.5</v>
      </c>
      <c r="C2745" s="1018"/>
      <c r="D2745" s="1019">
        <v>9.31</v>
      </c>
      <c r="E2745" s="1579">
        <v>0.32100000000000001</v>
      </c>
      <c r="F2745" s="1018">
        <v>353.1</v>
      </c>
      <c r="G2745" s="1032"/>
      <c r="H2745" s="1019">
        <v>53.89</v>
      </c>
      <c r="I2745" s="1017">
        <v>460</v>
      </c>
      <c r="J2745" s="705">
        <v>0.49</v>
      </c>
      <c r="K2745" s="1032">
        <v>6.04</v>
      </c>
      <c r="L2745" s="1032">
        <v>1160</v>
      </c>
      <c r="M2745" s="1032">
        <v>1.0900000000000001</v>
      </c>
      <c r="N2745" s="1032">
        <v>0.56000000000000005</v>
      </c>
      <c r="O2745" s="1032">
        <v>2.59</v>
      </c>
      <c r="P2745" s="1032">
        <v>7.45</v>
      </c>
      <c r="Q2745" s="1032"/>
      <c r="R2745" s="1019">
        <v>0.9246185519210518</v>
      </c>
      <c r="S2745" s="1032">
        <v>6.17</v>
      </c>
      <c r="T2745" s="1032"/>
      <c r="U2745" s="1032"/>
      <c r="V2745" s="1032"/>
      <c r="W2745" s="1032"/>
      <c r="X2745" s="1032"/>
      <c r="Y2745" s="1018">
        <v>24</v>
      </c>
      <c r="Z2745" s="1032"/>
      <c r="AA2745" s="1019"/>
      <c r="AB2745" s="1019"/>
      <c r="AC2745" s="1032"/>
      <c r="AD2745" s="1033">
        <v>480</v>
      </c>
      <c r="AE2745" s="1033">
        <v>160</v>
      </c>
      <c r="AF2745" s="1033">
        <v>360</v>
      </c>
      <c r="AG2745" s="66">
        <f t="shared" si="108"/>
        <v>89.089999999999989</v>
      </c>
      <c r="AH2745" s="143">
        <f t="shared" si="109"/>
        <v>1000</v>
      </c>
    </row>
    <row r="2746" spans="1:34" x14ac:dyDescent="0.3">
      <c r="A2746" s="1032">
        <v>905122</v>
      </c>
      <c r="B2746" s="1018">
        <v>5.0999999999999996</v>
      </c>
      <c r="C2746" s="1018"/>
      <c r="D2746" s="1019">
        <v>8.98</v>
      </c>
      <c r="E2746" s="1579">
        <v>0.67199999999999993</v>
      </c>
      <c r="F2746" s="1018">
        <v>739.19999999999993</v>
      </c>
      <c r="G2746" s="1032"/>
      <c r="H2746" s="1019">
        <v>197.99</v>
      </c>
      <c r="I2746" s="1017">
        <v>830</v>
      </c>
      <c r="J2746" s="705">
        <v>0.67</v>
      </c>
      <c r="K2746" s="1032">
        <v>6.19</v>
      </c>
      <c r="L2746" s="1032">
        <v>1748</v>
      </c>
      <c r="M2746" s="1032">
        <v>1.1000000000000001</v>
      </c>
      <c r="N2746" s="1032">
        <v>0.78</v>
      </c>
      <c r="O2746" s="1032">
        <v>3.04</v>
      </c>
      <c r="P2746" s="1032">
        <v>13.51</v>
      </c>
      <c r="Q2746" s="1032"/>
      <c r="R2746" s="1019">
        <v>1.5915649700000001</v>
      </c>
      <c r="S2746" s="1032">
        <v>10.73</v>
      </c>
      <c r="T2746" s="1032"/>
      <c r="U2746" s="1032"/>
      <c r="V2746" s="1032"/>
      <c r="W2746" s="1032"/>
      <c r="X2746" s="1032"/>
      <c r="Y2746" s="1018">
        <v>30</v>
      </c>
      <c r="Z2746" s="1032"/>
      <c r="AA2746" s="1019"/>
      <c r="AB2746" s="1019"/>
      <c r="AC2746" s="1032"/>
      <c r="AD2746" s="1033">
        <v>500</v>
      </c>
      <c r="AE2746" s="1033">
        <v>240</v>
      </c>
      <c r="AF2746" s="1033">
        <v>260</v>
      </c>
      <c r="AG2746" s="66">
        <f t="shared" si="108"/>
        <v>73.042000000000002</v>
      </c>
      <c r="AH2746" s="143">
        <f t="shared" si="109"/>
        <v>1000</v>
      </c>
    </row>
    <row r="2747" spans="1:34" x14ac:dyDescent="0.3">
      <c r="A2747" s="1032">
        <v>905123</v>
      </c>
      <c r="B2747" s="1018">
        <v>3</v>
      </c>
      <c r="C2747" s="1018"/>
      <c r="D2747" s="1019">
        <v>8.39</v>
      </c>
      <c r="E2747" s="1579">
        <v>0.21500000000000002</v>
      </c>
      <c r="F2747" s="1018">
        <v>236.50000000000006</v>
      </c>
      <c r="G2747" s="1032"/>
      <c r="H2747" s="1019">
        <v>17.71</v>
      </c>
      <c r="I2747" s="1017">
        <v>520</v>
      </c>
      <c r="J2747" s="705">
        <v>0.27</v>
      </c>
      <c r="K2747" s="1032">
        <v>6.27</v>
      </c>
      <c r="L2747" s="1032">
        <v>576</v>
      </c>
      <c r="M2747" s="1032">
        <v>0.4</v>
      </c>
      <c r="N2747" s="1032">
        <v>0.75</v>
      </c>
      <c r="O2747" s="1032">
        <v>4.2</v>
      </c>
      <c r="P2747" s="1032">
        <v>3.41</v>
      </c>
      <c r="Q2747" s="1032"/>
      <c r="R2747" s="1019">
        <v>1.3009047016540771</v>
      </c>
      <c r="S2747" s="1032">
        <v>9.42</v>
      </c>
      <c r="T2747" s="1032"/>
      <c r="U2747" s="1032"/>
      <c r="V2747" s="1032"/>
      <c r="W2747" s="1032"/>
      <c r="X2747" s="1032"/>
      <c r="Y2747" s="1018">
        <v>32.4</v>
      </c>
      <c r="Z2747" s="1032"/>
      <c r="AA2747" s="1019">
        <v>4.04</v>
      </c>
      <c r="AB2747" s="1019">
        <v>0.437</v>
      </c>
      <c r="AC2747" s="1032">
        <v>6.9</v>
      </c>
      <c r="AD2747" s="1033">
        <v>540</v>
      </c>
      <c r="AE2747" s="1033">
        <v>300</v>
      </c>
      <c r="AF2747" s="1033">
        <v>160</v>
      </c>
      <c r="AG2747" s="66">
        <f t="shared" si="108"/>
        <v>68.50555555555556</v>
      </c>
      <c r="AH2747" s="143">
        <f t="shared" si="109"/>
        <v>1000</v>
      </c>
    </row>
    <row r="2748" spans="1:34" s="90" customFormat="1" x14ac:dyDescent="0.3">
      <c r="A2748" s="826">
        <v>905124</v>
      </c>
      <c r="B2748" s="827">
        <v>8.6</v>
      </c>
      <c r="C2748" s="827"/>
      <c r="D2748" s="828">
        <v>8.36</v>
      </c>
      <c r="E2748" s="1572">
        <v>0.33400000000000002</v>
      </c>
      <c r="F2748" s="829">
        <v>367.40000000000003</v>
      </c>
      <c r="G2748" s="826"/>
      <c r="H2748" s="829">
        <v>110.08</v>
      </c>
      <c r="I2748" s="829">
        <v>410</v>
      </c>
      <c r="J2748" s="849">
        <v>0.155</v>
      </c>
      <c r="K2748" s="827">
        <v>6.5</v>
      </c>
      <c r="L2748" s="826">
        <v>321</v>
      </c>
      <c r="M2748" s="826">
        <v>1.7</v>
      </c>
      <c r="N2748" s="826">
        <v>0.28999999999999998</v>
      </c>
      <c r="O2748" s="826">
        <v>10.77</v>
      </c>
      <c r="P2748" s="826">
        <v>1.7</v>
      </c>
      <c r="Q2748" s="826"/>
      <c r="R2748" s="828">
        <v>0.73238216617167551</v>
      </c>
      <c r="S2748" s="827">
        <v>5.31</v>
      </c>
      <c r="T2748" s="826"/>
      <c r="U2748" s="826"/>
      <c r="V2748" s="826"/>
      <c r="W2748" s="826"/>
      <c r="X2748" s="826"/>
      <c r="Y2748" s="827">
        <v>4.2</v>
      </c>
      <c r="Z2748" s="826"/>
      <c r="AA2748" s="828">
        <v>4.67</v>
      </c>
      <c r="AB2748" s="828">
        <v>0.83699999999999997</v>
      </c>
      <c r="AC2748" s="827">
        <v>10.1</v>
      </c>
      <c r="AD2748" s="830">
        <v>60</v>
      </c>
      <c r="AE2748" s="830">
        <v>60</v>
      </c>
      <c r="AF2748" s="830">
        <v>880</v>
      </c>
      <c r="AG2748" s="66">
        <f t="shared" si="108"/>
        <v>547.85714285714289</v>
      </c>
      <c r="AH2748" s="143">
        <f t="shared" si="109"/>
        <v>1000</v>
      </c>
    </row>
    <row r="2749" spans="1:34" s="90" customFormat="1" x14ac:dyDescent="0.3">
      <c r="A2749" s="826">
        <v>905125</v>
      </c>
      <c r="B2749" s="827">
        <v>0.1</v>
      </c>
      <c r="C2749" s="827"/>
      <c r="D2749" s="828">
        <v>6.74</v>
      </c>
      <c r="E2749" s="1572">
        <v>0.16400000000000001</v>
      </c>
      <c r="F2749" s="829">
        <v>180.40000000000003</v>
      </c>
      <c r="G2749" s="826"/>
      <c r="H2749" s="829">
        <v>38.6</v>
      </c>
      <c r="I2749" s="829">
        <v>90</v>
      </c>
      <c r="J2749" s="849">
        <v>0.11899999999999999</v>
      </c>
      <c r="K2749" s="827">
        <v>0.93</v>
      </c>
      <c r="L2749" s="826">
        <v>122</v>
      </c>
      <c r="M2749" s="826">
        <v>9.4700000000000006</v>
      </c>
      <c r="N2749" s="826">
        <v>0.21</v>
      </c>
      <c r="O2749" s="826">
        <v>7.94</v>
      </c>
      <c r="P2749" s="826">
        <v>9.4700000000000006</v>
      </c>
      <c r="Q2749" s="826"/>
      <c r="R2749" s="828">
        <v>0.35918627397158842</v>
      </c>
      <c r="S2749" s="827">
        <v>2.4500000000000002</v>
      </c>
      <c r="T2749" s="826"/>
      <c r="U2749" s="826"/>
      <c r="V2749" s="826"/>
      <c r="W2749" s="826"/>
      <c r="X2749" s="826"/>
      <c r="Y2749" s="827">
        <v>5</v>
      </c>
      <c r="Z2749" s="826"/>
      <c r="AA2749" s="828">
        <v>4.29</v>
      </c>
      <c r="AB2749" s="828">
        <v>0.39</v>
      </c>
      <c r="AC2749" s="827">
        <v>6.6</v>
      </c>
      <c r="AD2749" s="830">
        <v>100</v>
      </c>
      <c r="AE2749" s="830">
        <v>100</v>
      </c>
      <c r="AF2749" s="830">
        <v>800</v>
      </c>
      <c r="AG2749" s="66">
        <f t="shared" si="108"/>
        <v>65.844000000000008</v>
      </c>
      <c r="AH2749" s="143">
        <f t="shared" si="109"/>
        <v>1000</v>
      </c>
    </row>
    <row r="2750" spans="1:34" s="90" customFormat="1" x14ac:dyDescent="0.3">
      <c r="A2750" s="826">
        <v>905126</v>
      </c>
      <c r="B2750" s="827">
        <v>0.3</v>
      </c>
      <c r="C2750" s="827"/>
      <c r="D2750" s="828">
        <v>7.68</v>
      </c>
      <c r="E2750" s="1572">
        <v>8.8999999999999996E-2</v>
      </c>
      <c r="F2750" s="829">
        <v>97.9</v>
      </c>
      <c r="G2750" s="826"/>
      <c r="H2750" s="829">
        <v>101.56</v>
      </c>
      <c r="I2750" s="829">
        <v>250</v>
      </c>
      <c r="J2750" s="849">
        <v>0.54400000000000004</v>
      </c>
      <c r="K2750" s="827">
        <v>2.89</v>
      </c>
      <c r="L2750" s="826">
        <v>370</v>
      </c>
      <c r="M2750" s="826">
        <v>3.28</v>
      </c>
      <c r="N2750" s="826">
        <v>3.85</v>
      </c>
      <c r="O2750" s="826">
        <v>8.5</v>
      </c>
      <c r="P2750" s="826">
        <v>3.28</v>
      </c>
      <c r="Q2750" s="826"/>
      <c r="R2750" s="828">
        <v>0.72810608534012256</v>
      </c>
      <c r="S2750" s="827">
        <v>4.96</v>
      </c>
      <c r="T2750" s="826"/>
      <c r="U2750" s="826"/>
      <c r="V2750" s="826"/>
      <c r="W2750" s="826"/>
      <c r="X2750" s="826"/>
      <c r="Y2750" s="827">
        <v>7.2</v>
      </c>
      <c r="Z2750" s="826"/>
      <c r="AA2750" s="828">
        <v>3.49</v>
      </c>
      <c r="AB2750" s="828">
        <v>0.27500000000000002</v>
      </c>
      <c r="AC2750" s="827">
        <v>8.6</v>
      </c>
      <c r="AD2750" s="830">
        <v>120</v>
      </c>
      <c r="AE2750" s="830">
        <v>80</v>
      </c>
      <c r="AF2750" s="830">
        <v>800</v>
      </c>
      <c r="AG2750" s="66">
        <f t="shared" si="108"/>
        <v>142.09166666666667</v>
      </c>
      <c r="AH2750" s="143">
        <f t="shared" si="109"/>
        <v>1000</v>
      </c>
    </row>
    <row r="2751" spans="1:34" s="90" customFormat="1" x14ac:dyDescent="0.3">
      <c r="A2751" s="826">
        <v>905127</v>
      </c>
      <c r="B2751" s="827">
        <v>20</v>
      </c>
      <c r="C2751" s="827">
        <v>4.75</v>
      </c>
      <c r="D2751" s="828">
        <v>8.32</v>
      </c>
      <c r="E2751" s="1572">
        <v>0.3</v>
      </c>
      <c r="F2751" s="829">
        <v>330</v>
      </c>
      <c r="G2751" s="826"/>
      <c r="H2751" s="829">
        <v>25.95</v>
      </c>
      <c r="I2751" s="829">
        <v>710</v>
      </c>
      <c r="J2751" s="849">
        <v>0.13500000000000001</v>
      </c>
      <c r="K2751" s="827">
        <v>8.69</v>
      </c>
      <c r="L2751" s="826">
        <v>1534</v>
      </c>
      <c r="M2751" s="826">
        <v>2.35</v>
      </c>
      <c r="N2751" s="826">
        <v>0.77</v>
      </c>
      <c r="O2751" s="826">
        <v>20.97</v>
      </c>
      <c r="P2751" s="826">
        <v>2.35</v>
      </c>
      <c r="Q2751" s="826"/>
      <c r="R2751" s="828">
        <v>1.7890246800000003</v>
      </c>
      <c r="S2751" s="827">
        <v>16.260000000000002</v>
      </c>
      <c r="T2751" s="826"/>
      <c r="U2751" s="826"/>
      <c r="V2751" s="826"/>
      <c r="W2751" s="826"/>
      <c r="X2751" s="826"/>
      <c r="Y2751" s="827">
        <v>31.8</v>
      </c>
      <c r="Z2751" s="826"/>
      <c r="AA2751" s="828">
        <v>4.9400000000000004</v>
      </c>
      <c r="AB2751" s="828">
        <v>0.64300000000000002</v>
      </c>
      <c r="AC2751" s="827">
        <v>7.4</v>
      </c>
      <c r="AD2751" s="830">
        <v>580</v>
      </c>
      <c r="AE2751" s="830">
        <v>320</v>
      </c>
      <c r="AF2751" s="830">
        <v>100</v>
      </c>
      <c r="AG2751" s="66">
        <f t="shared" si="108"/>
        <v>96.737735849056591</v>
      </c>
      <c r="AH2751" s="143">
        <f t="shared" si="109"/>
        <v>1000</v>
      </c>
    </row>
    <row r="2752" spans="1:34" s="90" customFormat="1" x14ac:dyDescent="0.3">
      <c r="A2752" s="826">
        <v>905128</v>
      </c>
      <c r="B2752" s="827">
        <v>20.399999999999999</v>
      </c>
      <c r="C2752" s="827">
        <v>4.37</v>
      </c>
      <c r="D2752" s="828">
        <v>8.44</v>
      </c>
      <c r="E2752" s="1572">
        <v>0.218</v>
      </c>
      <c r="F2752" s="829">
        <v>239.8</v>
      </c>
      <c r="G2752" s="826"/>
      <c r="H2752" s="829">
        <v>334.65</v>
      </c>
      <c r="I2752" s="829">
        <v>770</v>
      </c>
      <c r="J2752" s="849">
        <v>0.19800000000000001</v>
      </c>
      <c r="K2752" s="827">
        <v>12.24</v>
      </c>
      <c r="L2752" s="826">
        <v>1905</v>
      </c>
      <c r="M2752" s="826">
        <v>3.17</v>
      </c>
      <c r="N2752" s="826">
        <v>0.75</v>
      </c>
      <c r="O2752" s="826">
        <v>10.02</v>
      </c>
      <c r="P2752" s="826">
        <v>3.17</v>
      </c>
      <c r="Q2752" s="826"/>
      <c r="R2752" s="828">
        <v>1.8516363200000001</v>
      </c>
      <c r="S2752" s="827">
        <v>18.32</v>
      </c>
      <c r="T2752" s="826"/>
      <c r="U2752" s="826"/>
      <c r="V2752" s="826"/>
      <c r="W2752" s="826"/>
      <c r="X2752" s="826"/>
      <c r="Y2752" s="827">
        <v>33.200000000000003</v>
      </c>
      <c r="Z2752" s="826"/>
      <c r="AA2752" s="828">
        <v>4.96</v>
      </c>
      <c r="AB2752" s="828">
        <v>0.70799999999999996</v>
      </c>
      <c r="AC2752" s="827">
        <v>8.1</v>
      </c>
      <c r="AD2752" s="830">
        <v>560</v>
      </c>
      <c r="AE2752" s="830">
        <v>300</v>
      </c>
      <c r="AF2752" s="830">
        <v>140</v>
      </c>
      <c r="AG2752" s="66">
        <f t="shared" si="108"/>
        <v>130.51084337349397</v>
      </c>
      <c r="AH2752" s="143">
        <f t="shared" si="109"/>
        <v>1000</v>
      </c>
    </row>
    <row r="2753" spans="1:34" s="90" customFormat="1" x14ac:dyDescent="0.3">
      <c r="A2753" s="826">
        <v>905129</v>
      </c>
      <c r="B2753" s="827">
        <v>10.8</v>
      </c>
      <c r="C2753" s="827">
        <v>3</v>
      </c>
      <c r="D2753" s="828">
        <v>8.0500000000000007</v>
      </c>
      <c r="E2753" s="1572">
        <v>0.95399999999999996</v>
      </c>
      <c r="F2753" s="829">
        <v>1049.4000000000001</v>
      </c>
      <c r="G2753" s="826"/>
      <c r="H2753" s="829">
        <v>123.37</v>
      </c>
      <c r="I2753" s="829">
        <v>1130</v>
      </c>
      <c r="J2753" s="849">
        <v>0.47799999999999998</v>
      </c>
      <c r="K2753" s="827">
        <v>11.72</v>
      </c>
      <c r="L2753" s="826">
        <v>1182</v>
      </c>
      <c r="M2753" s="826">
        <v>2.4300000000000002</v>
      </c>
      <c r="N2753" s="826">
        <v>3.44</v>
      </c>
      <c r="O2753" s="826">
        <v>5.73</v>
      </c>
      <c r="P2753" s="826">
        <v>2.4300000000000002</v>
      </c>
      <c r="Q2753" s="826"/>
      <c r="R2753" s="828">
        <v>1.62661817</v>
      </c>
      <c r="S2753" s="827">
        <v>11.63</v>
      </c>
      <c r="T2753" s="826"/>
      <c r="U2753" s="826"/>
      <c r="V2753" s="826"/>
      <c r="W2753" s="826"/>
      <c r="X2753" s="826"/>
      <c r="Y2753" s="827">
        <v>34.799999999999997</v>
      </c>
      <c r="Z2753" s="826"/>
      <c r="AA2753" s="828">
        <v>4.6500000000000004</v>
      </c>
      <c r="AB2753" s="828">
        <v>0.27200000000000002</v>
      </c>
      <c r="AC2753" s="827">
        <v>11.3</v>
      </c>
      <c r="AD2753" s="830">
        <v>540</v>
      </c>
      <c r="AE2753" s="830">
        <v>320</v>
      </c>
      <c r="AF2753" s="830">
        <v>140</v>
      </c>
      <c r="AG2753" s="66">
        <f t="shared" si="108"/>
        <v>119.22068965517242</v>
      </c>
      <c r="AH2753" s="143">
        <f t="shared" si="109"/>
        <v>1000</v>
      </c>
    </row>
    <row r="2754" spans="1:34" s="90" customFormat="1" x14ac:dyDescent="0.3">
      <c r="A2754" s="826">
        <v>905130</v>
      </c>
      <c r="B2754" s="827">
        <v>13.3</v>
      </c>
      <c r="C2754" s="827">
        <v>3.87</v>
      </c>
      <c r="D2754" s="828">
        <v>8.01</v>
      </c>
      <c r="E2754" s="1572">
        <v>0.50900000000000001</v>
      </c>
      <c r="F2754" s="829">
        <v>559.90000000000009</v>
      </c>
      <c r="G2754" s="826"/>
      <c r="H2754" s="829">
        <v>187.82</v>
      </c>
      <c r="I2754" s="829">
        <v>1070</v>
      </c>
      <c r="J2754" s="849">
        <v>0.28999999999999998</v>
      </c>
      <c r="K2754" s="827">
        <v>13.3</v>
      </c>
      <c r="L2754" s="826">
        <v>1226</v>
      </c>
      <c r="M2754" s="826">
        <v>4.1900000000000004</v>
      </c>
      <c r="N2754" s="826">
        <v>2.9</v>
      </c>
      <c r="O2754" s="826">
        <v>9.32</v>
      </c>
      <c r="P2754" s="826">
        <v>4.1900000000000004</v>
      </c>
      <c r="Q2754" s="826"/>
      <c r="R2754" s="828">
        <v>1.8038329700000002</v>
      </c>
      <c r="S2754" s="827">
        <v>16.73</v>
      </c>
      <c r="T2754" s="826"/>
      <c r="U2754" s="826"/>
      <c r="V2754" s="826"/>
      <c r="W2754" s="826"/>
      <c r="X2754" s="826"/>
      <c r="Y2754" s="827">
        <v>32.4</v>
      </c>
      <c r="Z2754" s="826"/>
      <c r="AA2754" s="828">
        <v>3.48</v>
      </c>
      <c r="AB2754" s="828">
        <v>0.32200000000000001</v>
      </c>
      <c r="AC2754" s="827">
        <v>7.8</v>
      </c>
      <c r="AD2754" s="830">
        <v>540</v>
      </c>
      <c r="AE2754" s="830">
        <v>330</v>
      </c>
      <c r="AF2754" s="830">
        <v>130</v>
      </c>
      <c r="AG2754" s="66">
        <f t="shared" ref="AG2754:AG2817" si="110">+K2754*3.54*100/Y2754</f>
        <v>145.31481481481481</v>
      </c>
      <c r="AH2754" s="143">
        <f t="shared" ref="AH2754:AH2817" si="111">+SUM(AD2754:AF2754)</f>
        <v>1000</v>
      </c>
    </row>
    <row r="2755" spans="1:34" s="90" customFormat="1" x14ac:dyDescent="0.3">
      <c r="A2755" s="826">
        <v>905131</v>
      </c>
      <c r="B2755" s="827">
        <v>12.2</v>
      </c>
      <c r="C2755" s="827">
        <v>5.0999999999999996</v>
      </c>
      <c r="D2755" s="828">
        <v>8.06</v>
      </c>
      <c r="E2755" s="1572">
        <v>0.54600000000000004</v>
      </c>
      <c r="F2755" s="829">
        <v>600.60000000000014</v>
      </c>
      <c r="G2755" s="826"/>
      <c r="H2755" s="829">
        <v>74.87</v>
      </c>
      <c r="I2755" s="829">
        <v>910</v>
      </c>
      <c r="J2755" s="849">
        <v>0.41199999999999998</v>
      </c>
      <c r="K2755" s="827">
        <v>13.69</v>
      </c>
      <c r="L2755" s="826">
        <v>1289</v>
      </c>
      <c r="M2755" s="826">
        <v>3.51</v>
      </c>
      <c r="N2755" s="826">
        <v>1.32</v>
      </c>
      <c r="O2755" s="826">
        <v>6.73</v>
      </c>
      <c r="P2755" s="826">
        <v>3.51</v>
      </c>
      <c r="Q2755" s="826"/>
      <c r="R2755" s="828">
        <v>1.6990323300000001</v>
      </c>
      <c r="S2755" s="827">
        <v>13.59</v>
      </c>
      <c r="T2755" s="826"/>
      <c r="U2755" s="826"/>
      <c r="V2755" s="826"/>
      <c r="W2755" s="826"/>
      <c r="X2755" s="826"/>
      <c r="Y2755" s="827">
        <v>33.6</v>
      </c>
      <c r="Z2755" s="826"/>
      <c r="AA2755" s="828">
        <v>4.75</v>
      </c>
      <c r="AB2755" s="828">
        <v>0.30299999999999999</v>
      </c>
      <c r="AC2755" s="827">
        <v>11.9</v>
      </c>
      <c r="AD2755" s="830">
        <v>560</v>
      </c>
      <c r="AE2755" s="830">
        <v>300</v>
      </c>
      <c r="AF2755" s="830">
        <v>140</v>
      </c>
      <c r="AG2755" s="66">
        <f t="shared" si="110"/>
        <v>144.23392857142858</v>
      </c>
      <c r="AH2755" s="143">
        <f t="shared" si="111"/>
        <v>1000</v>
      </c>
    </row>
    <row r="2756" spans="1:34" x14ac:dyDescent="0.3">
      <c r="A2756" s="811">
        <v>905132</v>
      </c>
      <c r="B2756" s="810">
        <v>25</v>
      </c>
      <c r="C2756" s="810">
        <v>8.875</v>
      </c>
      <c r="D2756" s="810">
        <v>7.71</v>
      </c>
      <c r="E2756" s="808">
        <v>1.69</v>
      </c>
      <c r="F2756" s="812">
        <v>1859</v>
      </c>
      <c r="G2756" s="813"/>
      <c r="H2756" s="810">
        <v>12.06</v>
      </c>
      <c r="I2756" s="809">
        <v>588.48</v>
      </c>
      <c r="J2756" s="809">
        <v>0.109</v>
      </c>
      <c r="K2756" s="809">
        <v>16.91</v>
      </c>
      <c r="L2756" s="809">
        <v>292.26400000000001</v>
      </c>
      <c r="M2756" s="809">
        <v>0.18</v>
      </c>
      <c r="N2756" s="809">
        <v>0.23</v>
      </c>
      <c r="O2756" s="809">
        <v>1.3</v>
      </c>
      <c r="P2756" s="809">
        <v>0.92</v>
      </c>
      <c r="Q2756" s="811"/>
      <c r="R2756" s="810">
        <v>1.0505792670759926</v>
      </c>
      <c r="S2756" s="811">
        <v>7.32</v>
      </c>
      <c r="T2756" s="810"/>
      <c r="U2756" s="811"/>
      <c r="V2756" s="811"/>
      <c r="W2756" s="811"/>
      <c r="X2756" s="811"/>
      <c r="Y2756" s="811">
        <v>22</v>
      </c>
      <c r="Z2756" s="811"/>
      <c r="AA2756" s="811">
        <v>4.28</v>
      </c>
      <c r="AB2756" s="811">
        <v>0.71499999999999997</v>
      </c>
      <c r="AC2756" s="811">
        <v>10.8</v>
      </c>
      <c r="AD2756" s="811">
        <v>440</v>
      </c>
      <c r="AE2756" s="811">
        <v>400</v>
      </c>
      <c r="AF2756" s="811">
        <v>160</v>
      </c>
      <c r="AG2756" s="66">
        <f t="shared" si="110"/>
        <v>272.09727272727275</v>
      </c>
      <c r="AH2756" s="143">
        <f t="shared" si="111"/>
        <v>1000</v>
      </c>
    </row>
    <row r="2757" spans="1:34" x14ac:dyDescent="0.3">
      <c r="A2757" s="811">
        <v>905133</v>
      </c>
      <c r="B2757" s="810">
        <v>19.8</v>
      </c>
      <c r="C2757" s="810">
        <v>7.8749999999999982</v>
      </c>
      <c r="D2757" s="810">
        <v>7.83</v>
      </c>
      <c r="E2757" s="808">
        <v>2.54</v>
      </c>
      <c r="F2757" s="812">
        <v>2794.0000000000005</v>
      </c>
      <c r="G2757" s="813"/>
      <c r="H2757" s="810">
        <v>3.04</v>
      </c>
      <c r="I2757" s="809">
        <v>728.89</v>
      </c>
      <c r="J2757" s="809">
        <v>7.4999999999999997E-2</v>
      </c>
      <c r="K2757" s="809">
        <v>76.16</v>
      </c>
      <c r="L2757" s="809">
        <v>303.59899999999999</v>
      </c>
      <c r="M2757" s="809">
        <v>0.11</v>
      </c>
      <c r="N2757" s="809">
        <v>0.11</v>
      </c>
      <c r="O2757" s="809">
        <v>0.55000000000000004</v>
      </c>
      <c r="P2757" s="809">
        <v>0.8</v>
      </c>
      <c r="Q2757" s="811"/>
      <c r="R2757" s="810">
        <v>0.70610312028092448</v>
      </c>
      <c r="S2757" s="811">
        <v>4.88</v>
      </c>
      <c r="T2757" s="810"/>
      <c r="U2757" s="811"/>
      <c r="V2757" s="811"/>
      <c r="W2757" s="811"/>
      <c r="X2757" s="811"/>
      <c r="Y2757" s="811">
        <v>22.5</v>
      </c>
      <c r="Z2757" s="811"/>
      <c r="AA2757" s="811">
        <v>4.3899999999999997</v>
      </c>
      <c r="AB2757" s="811">
        <v>0.87</v>
      </c>
      <c r="AC2757" s="811">
        <v>6.7</v>
      </c>
      <c r="AD2757" s="811">
        <v>450</v>
      </c>
      <c r="AE2757" s="811">
        <v>390</v>
      </c>
      <c r="AF2757" s="811">
        <v>160</v>
      </c>
      <c r="AG2757" s="66">
        <f t="shared" si="110"/>
        <v>1198.2506666666666</v>
      </c>
      <c r="AH2757" s="143">
        <f t="shared" si="111"/>
        <v>1000</v>
      </c>
    </row>
    <row r="2758" spans="1:34" x14ac:dyDescent="0.3">
      <c r="A2758" s="811">
        <v>905134</v>
      </c>
      <c r="B2758" s="810">
        <v>2.67</v>
      </c>
      <c r="C2758" s="810"/>
      <c r="D2758" s="810">
        <v>8.1</v>
      </c>
      <c r="E2758" s="808">
        <v>2.21</v>
      </c>
      <c r="F2758" s="812">
        <v>2431</v>
      </c>
      <c r="G2758" s="809">
        <f>154.6/5</f>
        <v>30.919999999999998</v>
      </c>
      <c r="H2758" s="810">
        <v>2.0299999999999998</v>
      </c>
      <c r="I2758" s="809">
        <v>300.14</v>
      </c>
      <c r="J2758" s="809">
        <v>0.27800000000000002</v>
      </c>
      <c r="K2758" s="809">
        <v>103.3</v>
      </c>
      <c r="L2758" s="809">
        <v>200.19200000000001</v>
      </c>
      <c r="M2758" s="809">
        <v>0.11</v>
      </c>
      <c r="N2758" s="809">
        <v>0.05</v>
      </c>
      <c r="O2758" s="809">
        <v>0.27</v>
      </c>
      <c r="P2758" s="809">
        <v>0.35</v>
      </c>
      <c r="Q2758" s="811"/>
      <c r="R2758" s="810">
        <v>0.48962107028896462</v>
      </c>
      <c r="S2758" s="811">
        <v>3.66</v>
      </c>
      <c r="T2758" s="810"/>
      <c r="U2758" s="811"/>
      <c r="V2758" s="811"/>
      <c r="W2758" s="811"/>
      <c r="X2758" s="811"/>
      <c r="Y2758" s="811">
        <v>22</v>
      </c>
      <c r="Z2758" s="811"/>
      <c r="AA2758" s="811">
        <v>3.56</v>
      </c>
      <c r="AB2758" s="811">
        <v>0.40400000000000003</v>
      </c>
      <c r="AC2758" s="811">
        <v>6.5</v>
      </c>
      <c r="AD2758" s="811">
        <v>440</v>
      </c>
      <c r="AE2758" s="811">
        <v>200</v>
      </c>
      <c r="AF2758" s="811">
        <v>360</v>
      </c>
      <c r="AG2758" s="66">
        <f t="shared" si="110"/>
        <v>1662.1909090909094</v>
      </c>
      <c r="AH2758" s="143">
        <f t="shared" si="111"/>
        <v>1000</v>
      </c>
    </row>
    <row r="2759" spans="1:34" x14ac:dyDescent="0.3">
      <c r="A2759" s="811">
        <v>905135</v>
      </c>
      <c r="B2759" s="810">
        <v>8.5</v>
      </c>
      <c r="C2759" s="810"/>
      <c r="D2759" s="810">
        <v>8.0399999999999991</v>
      </c>
      <c r="E2759" s="808">
        <v>1.1399999999999999</v>
      </c>
      <c r="F2759" s="812">
        <v>1254</v>
      </c>
      <c r="G2759" s="809">
        <v>21.3</v>
      </c>
      <c r="H2759" s="810">
        <v>247.35</v>
      </c>
      <c r="I2759" s="809">
        <v>626.91999999999996</v>
      </c>
      <c r="J2759" s="809">
        <v>0.13800000000000001</v>
      </c>
      <c r="K2759" s="809">
        <v>8.23</v>
      </c>
      <c r="L2759" s="809">
        <v>1445.0139999999999</v>
      </c>
      <c r="M2759" s="809">
        <v>5.43</v>
      </c>
      <c r="N2759" s="809">
        <v>1.19</v>
      </c>
      <c r="O2759" s="809">
        <v>4.18</v>
      </c>
      <c r="P2759" s="809">
        <v>3.54</v>
      </c>
      <c r="Q2759" s="811"/>
      <c r="R2759" s="810">
        <v>1.81465952</v>
      </c>
      <c r="S2759" s="811">
        <v>17.079999999999998</v>
      </c>
      <c r="T2759" s="810"/>
      <c r="U2759" s="811"/>
      <c r="V2759" s="811"/>
      <c r="W2759" s="811"/>
      <c r="X2759" s="811"/>
      <c r="Y2759" s="811">
        <v>34.799999999999997</v>
      </c>
      <c r="Z2759" s="811"/>
      <c r="AA2759" s="811">
        <v>4.3600000000000003</v>
      </c>
      <c r="AB2759" s="811">
        <v>0.84699999999999998</v>
      </c>
      <c r="AC2759" s="811">
        <v>11</v>
      </c>
      <c r="AD2759" s="811">
        <v>580</v>
      </c>
      <c r="AE2759" s="811">
        <v>280</v>
      </c>
      <c r="AF2759" s="811">
        <v>140</v>
      </c>
      <c r="AG2759" s="66">
        <f t="shared" si="110"/>
        <v>83.718965517241401</v>
      </c>
      <c r="AH2759" s="143">
        <f t="shared" si="111"/>
        <v>1000</v>
      </c>
    </row>
    <row r="2760" spans="1:34" x14ac:dyDescent="0.3">
      <c r="A2760" s="811">
        <v>905136</v>
      </c>
      <c r="B2760" s="810">
        <v>40.166666666666664</v>
      </c>
      <c r="C2760" s="810">
        <v>12.75</v>
      </c>
      <c r="D2760" s="810">
        <v>8.41</v>
      </c>
      <c r="E2760" s="808">
        <v>0.40200000000000002</v>
      </c>
      <c r="F2760" s="812">
        <v>442.20000000000005</v>
      </c>
      <c r="G2760" s="813"/>
      <c r="H2760" s="810">
        <v>26.17</v>
      </c>
      <c r="I2760" s="809">
        <v>220.61</v>
      </c>
      <c r="J2760" s="809">
        <v>1.07</v>
      </c>
      <c r="K2760" s="809">
        <v>8.18</v>
      </c>
      <c r="L2760" s="809">
        <v>2114.0129999999999</v>
      </c>
      <c r="M2760" s="809">
        <v>2.7</v>
      </c>
      <c r="N2760" s="809">
        <v>0.66</v>
      </c>
      <c r="O2760" s="809">
        <v>1.1599999999999999</v>
      </c>
      <c r="P2760" s="809">
        <v>3.43</v>
      </c>
      <c r="Q2760" s="811"/>
      <c r="R2760" s="810">
        <v>1.6482320000000001</v>
      </c>
      <c r="S2760" s="811">
        <v>12.2</v>
      </c>
      <c r="T2760" s="810"/>
      <c r="U2760" s="811"/>
      <c r="V2760" s="811"/>
      <c r="W2760" s="811"/>
      <c r="X2760" s="811"/>
      <c r="Y2760" s="811">
        <v>26.6</v>
      </c>
      <c r="Z2760" s="811"/>
      <c r="AA2760" s="811"/>
      <c r="AB2760" s="811"/>
      <c r="AC2760" s="811"/>
      <c r="AD2760" s="811">
        <v>380</v>
      </c>
      <c r="AE2760" s="811">
        <v>340</v>
      </c>
      <c r="AF2760" s="811">
        <v>280</v>
      </c>
      <c r="AG2760" s="66">
        <f t="shared" si="110"/>
        <v>108.86165413533836</v>
      </c>
      <c r="AH2760" s="143">
        <f t="shared" si="111"/>
        <v>1000</v>
      </c>
    </row>
    <row r="2761" spans="1:34" x14ac:dyDescent="0.3">
      <c r="A2761" s="811">
        <v>905137</v>
      </c>
      <c r="B2761" s="810">
        <v>15.58333333333333</v>
      </c>
      <c r="C2761" s="810">
        <v>8.875</v>
      </c>
      <c r="D2761" s="810">
        <v>8.1199999999999992</v>
      </c>
      <c r="E2761" s="808">
        <v>0.34399999999999997</v>
      </c>
      <c r="F2761" s="812">
        <v>378.40000000000003</v>
      </c>
      <c r="G2761" s="813"/>
      <c r="H2761" s="810">
        <v>19.25</v>
      </c>
      <c r="I2761" s="809">
        <v>689.32</v>
      </c>
      <c r="J2761" s="809">
        <v>0.214</v>
      </c>
      <c r="K2761" s="809">
        <v>8.3699999999999992</v>
      </c>
      <c r="L2761" s="809">
        <v>575.91499999999996</v>
      </c>
      <c r="M2761" s="809">
        <v>0.36</v>
      </c>
      <c r="N2761" s="809">
        <v>0.72</v>
      </c>
      <c r="O2761" s="809">
        <v>3.12</v>
      </c>
      <c r="P2761" s="809">
        <v>1.6</v>
      </c>
      <c r="Q2761" s="811"/>
      <c r="R2761" s="810">
        <v>1.7356132800000001</v>
      </c>
      <c r="S2761" s="811">
        <v>14.64</v>
      </c>
      <c r="T2761" s="810"/>
      <c r="U2761" s="811"/>
      <c r="V2761" s="811"/>
      <c r="W2761" s="811"/>
      <c r="X2761" s="811"/>
      <c r="Y2761" s="811">
        <v>33.6</v>
      </c>
      <c r="Z2761" s="811"/>
      <c r="AA2761" s="811"/>
      <c r="AB2761" s="811"/>
      <c r="AC2761" s="811"/>
      <c r="AD2761" s="811">
        <v>480</v>
      </c>
      <c r="AE2761" s="811">
        <v>340</v>
      </c>
      <c r="AF2761" s="811">
        <v>180</v>
      </c>
      <c r="AG2761" s="66">
        <f t="shared" si="110"/>
        <v>88.183928571428552</v>
      </c>
      <c r="AH2761" s="143">
        <f t="shared" si="111"/>
        <v>1000</v>
      </c>
    </row>
    <row r="2762" spans="1:34" x14ac:dyDescent="0.3">
      <c r="A2762" s="811">
        <v>905138</v>
      </c>
      <c r="B2762" s="810">
        <v>9.375</v>
      </c>
      <c r="C2762" s="810"/>
      <c r="D2762" s="810">
        <v>8.23</v>
      </c>
      <c r="E2762" s="808">
        <v>0.378</v>
      </c>
      <c r="F2762" s="812">
        <v>415.80000000000007</v>
      </c>
      <c r="G2762" s="813"/>
      <c r="H2762" s="810">
        <v>250.6</v>
      </c>
      <c r="I2762" s="809">
        <v>225.17</v>
      </c>
      <c r="J2762" s="809">
        <v>0.2</v>
      </c>
      <c r="K2762" s="809">
        <v>6.35</v>
      </c>
      <c r="L2762" s="809">
        <v>671.12699999999995</v>
      </c>
      <c r="M2762" s="809">
        <v>1.85</v>
      </c>
      <c r="N2762" s="809">
        <v>1.01</v>
      </c>
      <c r="O2762" s="809">
        <v>1.84</v>
      </c>
      <c r="P2762" s="809">
        <v>3.48</v>
      </c>
      <c r="Q2762" s="811"/>
      <c r="R2762" s="810">
        <v>1.6482320000000001</v>
      </c>
      <c r="S2762" s="811">
        <v>12.2</v>
      </c>
      <c r="T2762" s="810"/>
      <c r="U2762" s="811"/>
      <c r="V2762" s="811"/>
      <c r="W2762" s="811"/>
      <c r="X2762" s="811"/>
      <c r="Y2762" s="811">
        <v>4.2</v>
      </c>
      <c r="Z2762" s="811"/>
      <c r="AA2762" s="811"/>
      <c r="AB2762" s="811"/>
      <c r="AC2762" s="811"/>
      <c r="AD2762" s="811">
        <v>60</v>
      </c>
      <c r="AE2762" s="811">
        <v>60</v>
      </c>
      <c r="AF2762" s="811">
        <v>880</v>
      </c>
      <c r="AG2762" s="66">
        <f t="shared" si="110"/>
        <v>535.21428571428567</v>
      </c>
      <c r="AH2762" s="143">
        <f t="shared" si="111"/>
        <v>1000</v>
      </c>
    </row>
    <row r="2763" spans="1:34" x14ac:dyDescent="0.3">
      <c r="A2763" s="811">
        <v>905139</v>
      </c>
      <c r="B2763" s="810">
        <v>7.3333333333333321</v>
      </c>
      <c r="C2763" s="810"/>
      <c r="D2763" s="810">
        <v>8.14</v>
      </c>
      <c r="E2763" s="808">
        <v>0.33700000000000002</v>
      </c>
      <c r="F2763" s="812">
        <v>370.70000000000005</v>
      </c>
      <c r="G2763" s="813"/>
      <c r="H2763" s="810">
        <v>354.59</v>
      </c>
      <c r="I2763" s="809">
        <v>355.43</v>
      </c>
      <c r="J2763" s="809">
        <v>0.19</v>
      </c>
      <c r="K2763" s="809">
        <v>6.31</v>
      </c>
      <c r="L2763" s="809">
        <v>628.16600000000005</v>
      </c>
      <c r="M2763" s="809">
        <v>4.93</v>
      </c>
      <c r="N2763" s="809">
        <v>1.41</v>
      </c>
      <c r="O2763" s="809">
        <v>2.15</v>
      </c>
      <c r="P2763" s="809">
        <v>3.6</v>
      </c>
      <c r="Q2763" s="811"/>
      <c r="R2763" s="810">
        <v>1.6482320000000001</v>
      </c>
      <c r="S2763" s="811">
        <v>12.2</v>
      </c>
      <c r="T2763" s="810"/>
      <c r="U2763" s="811"/>
      <c r="V2763" s="811"/>
      <c r="W2763" s="811"/>
      <c r="X2763" s="811"/>
      <c r="Y2763" s="811">
        <v>3.6</v>
      </c>
      <c r="Z2763" s="811"/>
      <c r="AA2763" s="811"/>
      <c r="AB2763" s="811"/>
      <c r="AC2763" s="811"/>
      <c r="AD2763" s="811">
        <v>60</v>
      </c>
      <c r="AE2763" s="811">
        <v>60</v>
      </c>
      <c r="AF2763" s="811">
        <v>880</v>
      </c>
      <c r="AG2763" s="66">
        <f t="shared" si="110"/>
        <v>620.48333333333323</v>
      </c>
      <c r="AH2763" s="143">
        <f t="shared" si="111"/>
        <v>1000</v>
      </c>
    </row>
    <row r="2764" spans="1:34" x14ac:dyDescent="0.3">
      <c r="A2764" s="811">
        <v>905140</v>
      </c>
      <c r="B2764" s="810">
        <v>7.1666666666666661</v>
      </c>
      <c r="C2764" s="810"/>
      <c r="D2764" s="810">
        <v>8.1199999999999992</v>
      </c>
      <c r="E2764" s="808">
        <v>0.374</v>
      </c>
      <c r="F2764" s="812">
        <v>411.40000000000003</v>
      </c>
      <c r="G2764" s="813"/>
      <c r="H2764" s="810">
        <v>294.62</v>
      </c>
      <c r="I2764" s="809">
        <v>248.52</v>
      </c>
      <c r="J2764" s="809">
        <v>0.223</v>
      </c>
      <c r="K2764" s="809">
        <v>5.92</v>
      </c>
      <c r="L2764" s="809">
        <v>706.12199999999996</v>
      </c>
      <c r="M2764" s="809">
        <v>2.21</v>
      </c>
      <c r="N2764" s="809">
        <v>1.6</v>
      </c>
      <c r="O2764" s="809">
        <v>2.36</v>
      </c>
      <c r="P2764" s="809">
        <v>4.2300000000000004</v>
      </c>
      <c r="Q2764" s="811"/>
      <c r="R2764" s="810">
        <v>1.6482320000000001</v>
      </c>
      <c r="S2764" s="811">
        <v>12.2</v>
      </c>
      <c r="T2764" s="810"/>
      <c r="U2764" s="811"/>
      <c r="V2764" s="811"/>
      <c r="W2764" s="811"/>
      <c r="X2764" s="811"/>
      <c r="Y2764" s="811">
        <v>4</v>
      </c>
      <c r="Z2764" s="811"/>
      <c r="AA2764" s="811"/>
      <c r="AB2764" s="811"/>
      <c r="AC2764" s="811"/>
      <c r="AD2764" s="811">
        <v>80</v>
      </c>
      <c r="AE2764" s="811">
        <v>60</v>
      </c>
      <c r="AF2764" s="811">
        <v>860</v>
      </c>
      <c r="AG2764" s="66">
        <f t="shared" si="110"/>
        <v>523.92000000000007</v>
      </c>
      <c r="AH2764" s="143">
        <f t="shared" si="111"/>
        <v>1000</v>
      </c>
    </row>
    <row r="2765" spans="1:34" x14ac:dyDescent="0.3">
      <c r="A2765" s="811">
        <v>905141</v>
      </c>
      <c r="B2765" s="810">
        <v>5.75</v>
      </c>
      <c r="C2765" s="810"/>
      <c r="D2765" s="810">
        <v>7.75</v>
      </c>
      <c r="E2765" s="808">
        <v>0.29099999999999998</v>
      </c>
      <c r="F2765" s="812">
        <v>320.10000000000002</v>
      </c>
      <c r="G2765" s="813"/>
      <c r="H2765" s="810">
        <v>300.57</v>
      </c>
      <c r="I2765" s="809">
        <v>287.73</v>
      </c>
      <c r="J2765" s="809">
        <v>0.16800000000000001</v>
      </c>
      <c r="K2765" s="809">
        <v>6.08</v>
      </c>
      <c r="L2765" s="809">
        <v>607.94200000000001</v>
      </c>
      <c r="M2765" s="809">
        <v>2.2799999999999998</v>
      </c>
      <c r="N2765" s="809">
        <v>2.25</v>
      </c>
      <c r="O2765" s="809">
        <v>1.99</v>
      </c>
      <c r="P2765" s="809">
        <v>4.26</v>
      </c>
      <c r="Q2765" s="811"/>
      <c r="R2765" s="810">
        <v>1.6482320000000001</v>
      </c>
      <c r="S2765" s="811">
        <v>12.2</v>
      </c>
      <c r="T2765" s="810"/>
      <c r="U2765" s="811"/>
      <c r="V2765" s="811"/>
      <c r="W2765" s="811"/>
      <c r="X2765" s="811"/>
      <c r="Y2765" s="811">
        <v>4</v>
      </c>
      <c r="Z2765" s="811"/>
      <c r="AA2765" s="811"/>
      <c r="AB2765" s="811"/>
      <c r="AC2765" s="811"/>
      <c r="AD2765" s="811">
        <v>80</v>
      </c>
      <c r="AE2765" s="811">
        <v>60</v>
      </c>
      <c r="AF2765" s="811">
        <v>860</v>
      </c>
      <c r="AG2765" s="66">
        <f t="shared" si="110"/>
        <v>538.07999999999993</v>
      </c>
      <c r="AH2765" s="143">
        <f t="shared" si="111"/>
        <v>1000</v>
      </c>
    </row>
    <row r="2766" spans="1:34" x14ac:dyDescent="0.3">
      <c r="A2766" s="811">
        <v>905142</v>
      </c>
      <c r="B2766" s="810">
        <v>0.70000000000000007</v>
      </c>
      <c r="C2766" s="810"/>
      <c r="D2766" s="810">
        <v>7.03</v>
      </c>
      <c r="E2766" s="808">
        <v>0.222</v>
      </c>
      <c r="F2766" s="812">
        <v>244.20000000000002</v>
      </c>
      <c r="G2766" s="813"/>
      <c r="H2766" s="810">
        <v>173.68</v>
      </c>
      <c r="I2766" s="809">
        <v>191.78</v>
      </c>
      <c r="J2766" s="809">
        <v>9.2999999999999999E-2</v>
      </c>
      <c r="K2766" s="809">
        <v>2.15</v>
      </c>
      <c r="L2766" s="809">
        <v>152.23400000000001</v>
      </c>
      <c r="M2766" s="809">
        <v>2.31</v>
      </c>
      <c r="N2766" s="809">
        <v>0.54</v>
      </c>
      <c r="O2766" s="809">
        <v>4.68</v>
      </c>
      <c r="P2766" s="809">
        <v>12.68</v>
      </c>
      <c r="Q2766" s="811"/>
      <c r="R2766" s="810">
        <v>0.86872880381671158</v>
      </c>
      <c r="S2766" s="811">
        <v>6.1</v>
      </c>
      <c r="T2766" s="810"/>
      <c r="U2766" s="811"/>
      <c r="V2766" s="811"/>
      <c r="W2766" s="811"/>
      <c r="X2766" s="811"/>
      <c r="Y2766" s="811">
        <v>4.2</v>
      </c>
      <c r="Z2766" s="811"/>
      <c r="AA2766" s="811"/>
      <c r="AB2766" s="811"/>
      <c r="AC2766" s="811"/>
      <c r="AD2766" s="811">
        <v>60</v>
      </c>
      <c r="AE2766" s="811">
        <v>80</v>
      </c>
      <c r="AF2766" s="811">
        <v>860</v>
      </c>
      <c r="AG2766" s="66">
        <f t="shared" si="110"/>
        <v>181.21428571428572</v>
      </c>
      <c r="AH2766" s="143">
        <f t="shared" si="111"/>
        <v>1000</v>
      </c>
    </row>
    <row r="2767" spans="1:34" x14ac:dyDescent="0.3">
      <c r="A2767" s="811">
        <v>905143</v>
      </c>
      <c r="B2767" s="810">
        <v>36.666666666666671</v>
      </c>
      <c r="C2767" s="810">
        <v>11.875</v>
      </c>
      <c r="D2767" s="810">
        <v>7.92</v>
      </c>
      <c r="E2767" s="808">
        <v>0.69699999999999995</v>
      </c>
      <c r="F2767" s="812">
        <v>766.7</v>
      </c>
      <c r="G2767" s="813"/>
      <c r="H2767" s="810">
        <v>43.69</v>
      </c>
      <c r="I2767" s="809">
        <v>252.01</v>
      </c>
      <c r="J2767" s="809">
        <v>0.56999999999999995</v>
      </c>
      <c r="K2767" s="809">
        <v>11.67</v>
      </c>
      <c r="L2767" s="809">
        <v>730.08600000000001</v>
      </c>
      <c r="M2767" s="809">
        <v>0.34</v>
      </c>
      <c r="N2767" s="809">
        <v>0.36</v>
      </c>
      <c r="O2767" s="809">
        <v>0.99</v>
      </c>
      <c r="P2767" s="809">
        <v>4.1100000000000003</v>
      </c>
      <c r="Q2767" s="811"/>
      <c r="R2767" s="810">
        <v>0.55472028009002516</v>
      </c>
      <c r="S2767" s="811">
        <v>3.66</v>
      </c>
      <c r="T2767" s="810"/>
      <c r="U2767" s="811"/>
      <c r="V2767" s="811"/>
      <c r="W2767" s="811"/>
      <c r="X2767" s="811"/>
      <c r="Y2767" s="811">
        <v>30</v>
      </c>
      <c r="Z2767" s="811"/>
      <c r="AA2767" s="811"/>
      <c r="AB2767" s="811"/>
      <c r="AC2767" s="811"/>
      <c r="AD2767" s="811">
        <v>600</v>
      </c>
      <c r="AE2767" s="811">
        <v>320</v>
      </c>
      <c r="AF2767" s="811">
        <v>80</v>
      </c>
      <c r="AG2767" s="66">
        <f t="shared" si="110"/>
        <v>137.70599999999999</v>
      </c>
      <c r="AH2767" s="143">
        <f t="shared" si="111"/>
        <v>1000</v>
      </c>
    </row>
    <row r="2768" spans="1:34" x14ac:dyDescent="0.3">
      <c r="A2768" s="811">
        <v>905144</v>
      </c>
      <c r="B2768" s="810">
        <v>38.833333333333336</v>
      </c>
      <c r="C2768" s="810">
        <v>11.124999999999998</v>
      </c>
      <c r="D2768" s="810">
        <v>8.24</v>
      </c>
      <c r="E2768" s="808">
        <v>1.167</v>
      </c>
      <c r="F2768" s="812">
        <v>1283.7</v>
      </c>
      <c r="G2768" s="813"/>
      <c r="H2768" s="810">
        <v>166.49</v>
      </c>
      <c r="I2768" s="809">
        <v>290.88</v>
      </c>
      <c r="J2768" s="809">
        <v>1.1240000000000001</v>
      </c>
      <c r="K2768" s="809">
        <v>13.27</v>
      </c>
      <c r="L2768" s="809">
        <v>1166.425</v>
      </c>
      <c r="M2768" s="809">
        <v>0.68</v>
      </c>
      <c r="N2768" s="809">
        <v>0.44</v>
      </c>
      <c r="O2768" s="809">
        <v>1.73</v>
      </c>
      <c r="P2768" s="809">
        <v>3.05</v>
      </c>
      <c r="Q2768" s="811"/>
      <c r="R2768" s="810">
        <v>0.86219969534317553</v>
      </c>
      <c r="S2768" s="811">
        <v>6.1</v>
      </c>
      <c r="T2768" s="810"/>
      <c r="U2768" s="811"/>
      <c r="V2768" s="811"/>
      <c r="W2768" s="811"/>
      <c r="X2768" s="811"/>
      <c r="Y2768" s="811">
        <v>29</v>
      </c>
      <c r="Z2768" s="811"/>
      <c r="AA2768" s="811"/>
      <c r="AB2768" s="811"/>
      <c r="AC2768" s="811"/>
      <c r="AD2768" s="811">
        <v>580</v>
      </c>
      <c r="AE2768" s="811">
        <v>340</v>
      </c>
      <c r="AF2768" s="811">
        <v>80</v>
      </c>
      <c r="AG2768" s="66">
        <f t="shared" si="110"/>
        <v>161.98551724137931</v>
      </c>
      <c r="AH2768" s="143">
        <f t="shared" si="111"/>
        <v>1000</v>
      </c>
    </row>
    <row r="2769" spans="1:34" x14ac:dyDescent="0.3">
      <c r="A2769" s="811">
        <v>905145</v>
      </c>
      <c r="B2769" s="810">
        <v>37.666666666666664</v>
      </c>
      <c r="C2769" s="810">
        <v>11.5</v>
      </c>
      <c r="D2769" s="810">
        <v>8.2200000000000006</v>
      </c>
      <c r="E2769" s="808">
        <v>0.44800000000000001</v>
      </c>
      <c r="F2769" s="812">
        <v>492.80000000000007</v>
      </c>
      <c r="G2769" s="813"/>
      <c r="H2769" s="810">
        <v>0.73</v>
      </c>
      <c r="I2769" s="809">
        <v>195.1</v>
      </c>
      <c r="J2769" s="809">
        <v>0.44900000000000001</v>
      </c>
      <c r="K2769" s="809">
        <v>13.16</v>
      </c>
      <c r="L2769" s="809">
        <v>734.79499999999996</v>
      </c>
      <c r="M2769" s="809">
        <v>0.24</v>
      </c>
      <c r="N2769" s="809">
        <v>0.33</v>
      </c>
      <c r="O2769" s="809">
        <v>0.68</v>
      </c>
      <c r="P2769" s="809">
        <v>2.36</v>
      </c>
      <c r="Q2769" s="811"/>
      <c r="R2769" s="810">
        <v>0.71602248501400867</v>
      </c>
      <c r="S2769" s="811">
        <v>4.88</v>
      </c>
      <c r="T2769" s="810"/>
      <c r="U2769" s="811"/>
      <c r="V2769" s="811"/>
      <c r="W2769" s="811"/>
      <c r="X2769" s="811"/>
      <c r="Y2769" s="811">
        <v>29</v>
      </c>
      <c r="Z2769" s="811"/>
      <c r="AA2769" s="811"/>
      <c r="AB2769" s="811"/>
      <c r="AC2769" s="811"/>
      <c r="AD2769" s="811">
        <v>580</v>
      </c>
      <c r="AE2769" s="811">
        <v>350</v>
      </c>
      <c r="AF2769" s="811">
        <v>70</v>
      </c>
      <c r="AG2769" s="66">
        <f t="shared" si="110"/>
        <v>160.64275862068965</v>
      </c>
      <c r="AH2769" s="143">
        <f t="shared" si="111"/>
        <v>1000</v>
      </c>
    </row>
    <row r="2770" spans="1:34" x14ac:dyDescent="0.3">
      <c r="A2770" s="811">
        <v>905146</v>
      </c>
      <c r="B2770" s="810">
        <v>21.916666666666668</v>
      </c>
      <c r="C2770" s="810">
        <v>7.7499999999999991</v>
      </c>
      <c r="D2770" s="810">
        <v>7.71</v>
      </c>
      <c r="E2770" s="808">
        <v>1.54</v>
      </c>
      <c r="F2770" s="812">
        <v>1694.0000000000002</v>
      </c>
      <c r="G2770" s="813"/>
      <c r="H2770" s="810">
        <f>255.98*2</f>
        <v>511.96</v>
      </c>
      <c r="I2770" s="809">
        <v>791.15</v>
      </c>
      <c r="J2770" s="809">
        <v>1.3120000000000001</v>
      </c>
      <c r="K2770" s="809">
        <v>8.52</v>
      </c>
      <c r="L2770" s="809">
        <v>1809.2739999999999</v>
      </c>
      <c r="M2770" s="809">
        <v>8.4700000000000006</v>
      </c>
      <c r="N2770" s="809">
        <v>2.23</v>
      </c>
      <c r="O2770" s="809">
        <v>11.05</v>
      </c>
      <c r="P2770" s="809">
        <v>11.23</v>
      </c>
      <c r="Q2770" s="811"/>
      <c r="R2770" s="810">
        <v>1.7761782800000001</v>
      </c>
      <c r="S2770" s="811">
        <v>15.86</v>
      </c>
      <c r="T2770" s="810"/>
      <c r="U2770" s="811"/>
      <c r="V2770" s="811"/>
      <c r="W2770" s="811"/>
      <c r="X2770" s="811"/>
      <c r="Y2770" s="811">
        <v>34.200000000000003</v>
      </c>
      <c r="Z2770" s="811"/>
      <c r="AA2770" s="811">
        <v>4.93</v>
      </c>
      <c r="AB2770" s="811">
        <v>0.34699999999999998</v>
      </c>
      <c r="AC2770" s="811">
        <v>10.6</v>
      </c>
      <c r="AD2770" s="811">
        <v>560</v>
      </c>
      <c r="AE2770" s="811">
        <v>360</v>
      </c>
      <c r="AF2770" s="811">
        <v>80</v>
      </c>
      <c r="AG2770" s="66">
        <f t="shared" si="110"/>
        <v>88.189473684210512</v>
      </c>
      <c r="AH2770" s="143">
        <f t="shared" si="111"/>
        <v>1000</v>
      </c>
    </row>
    <row r="2771" spans="1:34" x14ac:dyDescent="0.3">
      <c r="A2771" s="811">
        <v>905147</v>
      </c>
      <c r="B2771" s="810">
        <v>20.166666666666664</v>
      </c>
      <c r="C2771" s="810">
        <v>8.4999999999999982</v>
      </c>
      <c r="D2771" s="810">
        <v>7.81</v>
      </c>
      <c r="E2771" s="808">
        <v>1.6759999999999999</v>
      </c>
      <c r="F2771" s="812">
        <v>1843.6000000000001</v>
      </c>
      <c r="G2771" s="813"/>
      <c r="H2771" s="810">
        <f>328.08*2</f>
        <v>656.16</v>
      </c>
      <c r="I2771" s="809">
        <v>1041.4000000000001</v>
      </c>
      <c r="J2771" s="809">
        <v>1.1930000000000001</v>
      </c>
      <c r="K2771" s="809">
        <v>11.46</v>
      </c>
      <c r="L2771" s="809">
        <v>1883.1959999999999</v>
      </c>
      <c r="M2771" s="809">
        <v>6.68</v>
      </c>
      <c r="N2771" s="809">
        <v>1.94</v>
      </c>
      <c r="O2771" s="809">
        <v>7.59</v>
      </c>
      <c r="P2771" s="809">
        <v>9.8800000000000008</v>
      </c>
      <c r="Q2771" s="811"/>
      <c r="R2771" s="810">
        <v>1.7761782800000001</v>
      </c>
      <c r="S2771" s="811">
        <v>15.86</v>
      </c>
      <c r="T2771" s="810"/>
      <c r="U2771" s="811"/>
      <c r="V2771" s="811"/>
      <c r="W2771" s="811"/>
      <c r="X2771" s="811"/>
      <c r="Y2771" s="811">
        <v>28.5</v>
      </c>
      <c r="Z2771" s="811"/>
      <c r="AA2771" s="811">
        <v>4.2</v>
      </c>
      <c r="AB2771" s="811">
        <v>0.56699999999999995</v>
      </c>
      <c r="AC2771" s="811">
        <v>10</v>
      </c>
      <c r="AD2771" s="811">
        <v>570</v>
      </c>
      <c r="AE2771" s="811">
        <v>350</v>
      </c>
      <c r="AF2771" s="811">
        <v>80</v>
      </c>
      <c r="AG2771" s="66">
        <f t="shared" si="110"/>
        <v>142.34526315789475</v>
      </c>
      <c r="AH2771" s="143">
        <f t="shared" si="111"/>
        <v>1000</v>
      </c>
    </row>
    <row r="2772" spans="1:34" x14ac:dyDescent="0.3">
      <c r="A2772" s="811">
        <v>905148</v>
      </c>
      <c r="B2772" s="810">
        <v>23.75</v>
      </c>
      <c r="C2772" s="810">
        <v>7.2499999999999982</v>
      </c>
      <c r="D2772" s="810">
        <v>8.1300000000000008</v>
      </c>
      <c r="E2772" s="808">
        <v>1.018</v>
      </c>
      <c r="F2772" s="812">
        <v>1119.8000000000002</v>
      </c>
      <c r="G2772" s="813"/>
      <c r="H2772" s="810">
        <v>340.89</v>
      </c>
      <c r="I2772" s="809">
        <v>458.46</v>
      </c>
      <c r="J2772" s="809">
        <v>0.93899999999999995</v>
      </c>
      <c r="K2772" s="809">
        <v>11.88</v>
      </c>
      <c r="L2772" s="809">
        <v>1378.0820000000001</v>
      </c>
      <c r="M2772" s="809">
        <v>3.76</v>
      </c>
      <c r="N2772" s="809">
        <v>1.08</v>
      </c>
      <c r="O2772" s="809">
        <v>1.51</v>
      </c>
      <c r="P2772" s="809">
        <v>8.36</v>
      </c>
      <c r="Q2772" s="811"/>
      <c r="R2772" s="810">
        <v>1.6014157200000001</v>
      </c>
      <c r="S2772" s="811">
        <v>10.98</v>
      </c>
      <c r="T2772" s="810"/>
      <c r="U2772" s="811"/>
      <c r="V2772" s="811"/>
      <c r="W2772" s="811"/>
      <c r="X2772" s="811"/>
      <c r="Y2772" s="811">
        <v>34.200000000000003</v>
      </c>
      <c r="Z2772" s="811"/>
      <c r="AA2772" s="811">
        <v>4.1900000000000004</v>
      </c>
      <c r="AB2772" s="811">
        <v>0.64100000000000001</v>
      </c>
      <c r="AC2772" s="811">
        <v>11.4</v>
      </c>
      <c r="AD2772" s="811">
        <v>570</v>
      </c>
      <c r="AE2772" s="811">
        <v>350</v>
      </c>
      <c r="AF2772" s="811">
        <v>80</v>
      </c>
      <c r="AG2772" s="66">
        <f t="shared" si="110"/>
        <v>122.96842105263158</v>
      </c>
      <c r="AH2772" s="143">
        <f t="shared" si="111"/>
        <v>1000</v>
      </c>
    </row>
    <row r="2773" spans="1:34" x14ac:dyDescent="0.3">
      <c r="A2773" s="811">
        <v>905149</v>
      </c>
      <c r="B2773" s="810">
        <v>23.583333333333332</v>
      </c>
      <c r="C2773" s="810">
        <v>8.75</v>
      </c>
      <c r="D2773" s="810">
        <v>8.02</v>
      </c>
      <c r="E2773" s="808">
        <v>1.3</v>
      </c>
      <c r="F2773" s="812">
        <v>1430.0000000000002</v>
      </c>
      <c r="G2773" s="809"/>
      <c r="H2773" s="810">
        <v>424.62</v>
      </c>
      <c r="I2773" s="809">
        <v>889.86</v>
      </c>
      <c r="J2773" s="809">
        <v>1.1659999999999999</v>
      </c>
      <c r="K2773" s="809">
        <v>8.25</v>
      </c>
      <c r="L2773" s="809">
        <v>1630.3230000000001</v>
      </c>
      <c r="M2773" s="809">
        <v>5.0599999999999996</v>
      </c>
      <c r="N2773" s="809">
        <v>1.67</v>
      </c>
      <c r="O2773" s="809">
        <v>5.92</v>
      </c>
      <c r="P2773" s="809">
        <v>9.11</v>
      </c>
      <c r="Q2773" s="811"/>
      <c r="R2773" s="810">
        <v>1.6929645200000001</v>
      </c>
      <c r="S2773" s="811">
        <v>13.42</v>
      </c>
      <c r="T2773" s="810"/>
      <c r="U2773" s="811"/>
      <c r="V2773" s="811"/>
      <c r="W2773" s="811"/>
      <c r="X2773" s="811"/>
      <c r="Y2773" s="811">
        <v>27</v>
      </c>
      <c r="Z2773" s="811"/>
      <c r="AA2773" s="811">
        <v>3.84</v>
      </c>
      <c r="AB2773" s="811">
        <v>0.55800000000000005</v>
      </c>
      <c r="AC2773" s="811">
        <v>6.5</v>
      </c>
      <c r="AD2773" s="811">
        <v>540</v>
      </c>
      <c r="AE2773" s="811">
        <v>320</v>
      </c>
      <c r="AF2773" s="811">
        <v>140</v>
      </c>
      <c r="AG2773" s="66">
        <f t="shared" si="110"/>
        <v>108.16666666666667</v>
      </c>
      <c r="AH2773" s="143">
        <f t="shared" si="111"/>
        <v>1000</v>
      </c>
    </row>
    <row r="2774" spans="1:34" x14ac:dyDescent="0.3">
      <c r="A2774" s="811">
        <v>905150</v>
      </c>
      <c r="B2774" s="810">
        <v>23</v>
      </c>
      <c r="C2774" s="810">
        <v>8.375</v>
      </c>
      <c r="D2774" s="810">
        <v>7.9</v>
      </c>
      <c r="E2774" s="808">
        <v>1.4790000000000001</v>
      </c>
      <c r="F2774" s="812">
        <v>1626.9000000000003</v>
      </c>
      <c r="G2774" s="809"/>
      <c r="H2774" s="810">
        <v>164.07</v>
      </c>
      <c r="I2774" s="809">
        <v>504.39</v>
      </c>
      <c r="J2774" s="809">
        <v>1.242</v>
      </c>
      <c r="K2774" s="809">
        <v>8.5</v>
      </c>
      <c r="L2774" s="809">
        <v>1618.462</v>
      </c>
      <c r="M2774" s="809">
        <v>2.81</v>
      </c>
      <c r="N2774" s="809">
        <v>1.1200000000000001</v>
      </c>
      <c r="O2774" s="809">
        <v>4.74</v>
      </c>
      <c r="P2774" s="809">
        <v>5.05</v>
      </c>
      <c r="Q2774" s="811"/>
      <c r="R2774" s="810">
        <v>1.2022567539546309</v>
      </c>
      <c r="S2774" s="811">
        <v>8.5399999999999991</v>
      </c>
      <c r="T2774" s="810"/>
      <c r="U2774" s="811"/>
      <c r="V2774" s="811"/>
      <c r="W2774" s="811"/>
      <c r="X2774" s="811"/>
      <c r="Y2774" s="811">
        <v>39.200000000000003</v>
      </c>
      <c r="Z2774" s="811"/>
      <c r="AA2774" s="811">
        <v>3.81</v>
      </c>
      <c r="AB2774" s="811">
        <v>0.78100000000000003</v>
      </c>
      <c r="AC2774" s="811">
        <v>10.9</v>
      </c>
      <c r="AD2774" s="811">
        <v>560</v>
      </c>
      <c r="AE2774" s="811">
        <v>360</v>
      </c>
      <c r="AF2774" s="811">
        <v>80</v>
      </c>
      <c r="AG2774" s="66">
        <f t="shared" si="110"/>
        <v>76.760204081632651</v>
      </c>
      <c r="AH2774" s="143">
        <f t="shared" si="111"/>
        <v>1000</v>
      </c>
    </row>
    <row r="2775" spans="1:34" x14ac:dyDescent="0.3">
      <c r="A2775" s="811">
        <v>905151</v>
      </c>
      <c r="B2775" s="810">
        <v>25.083333333333336</v>
      </c>
      <c r="C2775" s="810">
        <v>6.375</v>
      </c>
      <c r="D2775" s="810">
        <v>8.01</v>
      </c>
      <c r="E2775" s="808">
        <v>1.55</v>
      </c>
      <c r="F2775" s="812">
        <v>1705.0000000000002</v>
      </c>
      <c r="G2775" s="809"/>
      <c r="H2775" s="810">
        <v>395.36</v>
      </c>
      <c r="I2775" s="809">
        <v>925.14</v>
      </c>
      <c r="J2775" s="809">
        <v>1.508</v>
      </c>
      <c r="K2775" s="809">
        <v>8.1199999999999992</v>
      </c>
      <c r="L2775" s="809">
        <v>1791.8689999999999</v>
      </c>
      <c r="M2775" s="809">
        <v>5.28</v>
      </c>
      <c r="N2775" s="809">
        <v>1.61</v>
      </c>
      <c r="O2775" s="809">
        <v>9.2100000000000009</v>
      </c>
      <c r="P2775" s="809">
        <v>8.52</v>
      </c>
      <c r="Q2775" s="811"/>
      <c r="R2775" s="810">
        <v>1.7761782800000001</v>
      </c>
      <c r="S2775" s="811">
        <v>15.86</v>
      </c>
      <c r="T2775" s="810"/>
      <c r="U2775" s="811"/>
      <c r="V2775" s="811"/>
      <c r="W2775" s="811"/>
      <c r="X2775" s="811"/>
      <c r="Y2775" s="811">
        <v>39.200000000000003</v>
      </c>
      <c r="Z2775" s="811"/>
      <c r="AA2775" s="811">
        <v>3.66</v>
      </c>
      <c r="AB2775" s="811">
        <v>0.496</v>
      </c>
      <c r="AC2775" s="811">
        <v>11.7</v>
      </c>
      <c r="AD2775" s="811">
        <v>560</v>
      </c>
      <c r="AE2775" s="811">
        <v>340</v>
      </c>
      <c r="AF2775" s="811">
        <v>100</v>
      </c>
      <c r="AG2775" s="66">
        <f t="shared" si="110"/>
        <v>73.328571428571408</v>
      </c>
      <c r="AH2775" s="143">
        <f t="shared" si="111"/>
        <v>1000</v>
      </c>
    </row>
    <row r="2776" spans="1:34" x14ac:dyDescent="0.3">
      <c r="A2776" s="811">
        <v>905152</v>
      </c>
      <c r="B2776" s="810">
        <v>23.249999999999996</v>
      </c>
      <c r="C2776" s="810">
        <v>9.2499999999999982</v>
      </c>
      <c r="D2776" s="810">
        <v>8</v>
      </c>
      <c r="E2776" s="808">
        <v>1.3939999999999999</v>
      </c>
      <c r="F2776" s="812">
        <v>1533.4</v>
      </c>
      <c r="G2776" s="809"/>
      <c r="H2776" s="810">
        <v>101.08</v>
      </c>
      <c r="I2776" s="809">
        <v>475.42</v>
      </c>
      <c r="J2776" s="809">
        <v>1.129</v>
      </c>
      <c r="K2776" s="809">
        <v>8.61</v>
      </c>
      <c r="L2776" s="809">
        <v>1550.0889999999999</v>
      </c>
      <c r="M2776" s="809">
        <v>2.11</v>
      </c>
      <c r="N2776" s="809">
        <v>1.1399999999999999</v>
      </c>
      <c r="O2776" s="809">
        <v>5.22</v>
      </c>
      <c r="P2776" s="809">
        <v>3.86</v>
      </c>
      <c r="Q2776" s="811"/>
      <c r="R2776" s="810">
        <v>0.90864755347931614</v>
      </c>
      <c r="S2776" s="811">
        <v>6.1</v>
      </c>
      <c r="T2776" s="810"/>
      <c r="U2776" s="811"/>
      <c r="V2776" s="811"/>
      <c r="W2776" s="811"/>
      <c r="X2776" s="811"/>
      <c r="Y2776" s="811">
        <v>34.200000000000003</v>
      </c>
      <c r="Z2776" s="811"/>
      <c r="AA2776" s="811">
        <v>4.24</v>
      </c>
      <c r="AB2776" s="811">
        <v>0.43</v>
      </c>
      <c r="AC2776" s="811">
        <v>9.9</v>
      </c>
      <c r="AD2776" s="811">
        <v>570</v>
      </c>
      <c r="AE2776" s="811">
        <v>320</v>
      </c>
      <c r="AF2776" s="811">
        <v>110</v>
      </c>
      <c r="AG2776" s="66">
        <f t="shared" si="110"/>
        <v>89.121052631578934</v>
      </c>
      <c r="AH2776" s="143">
        <f t="shared" si="111"/>
        <v>1000</v>
      </c>
    </row>
    <row r="2777" spans="1:34" x14ac:dyDescent="0.3">
      <c r="A2777" s="811">
        <v>905153</v>
      </c>
      <c r="B2777" s="810">
        <v>23</v>
      </c>
      <c r="C2777" s="810">
        <v>8.25</v>
      </c>
      <c r="D2777" s="810">
        <v>8</v>
      </c>
      <c r="E2777" s="808">
        <v>1.36</v>
      </c>
      <c r="F2777" s="812">
        <v>1496.0000000000002</v>
      </c>
      <c r="G2777" s="809"/>
      <c r="H2777" s="810">
        <v>272.39999999999998</v>
      </c>
      <c r="I2777" s="809">
        <v>643.04999999999995</v>
      </c>
      <c r="J2777" s="809">
        <v>1.526</v>
      </c>
      <c r="K2777" s="809">
        <v>8.7100000000000009</v>
      </c>
      <c r="L2777" s="809">
        <v>1995.4639999999999</v>
      </c>
      <c r="M2777" s="809">
        <v>4.07</v>
      </c>
      <c r="N2777" s="809">
        <v>1.27</v>
      </c>
      <c r="O2777" s="809">
        <v>2.91</v>
      </c>
      <c r="P2777" s="809">
        <v>8.4</v>
      </c>
      <c r="Q2777" s="811"/>
      <c r="R2777" s="810">
        <v>1.6929645200000001</v>
      </c>
      <c r="S2777" s="811">
        <v>13.42</v>
      </c>
      <c r="T2777" s="810"/>
      <c r="U2777" s="811"/>
      <c r="V2777" s="811"/>
      <c r="W2777" s="811"/>
      <c r="X2777" s="811"/>
      <c r="Y2777" s="811">
        <v>28</v>
      </c>
      <c r="Z2777" s="811"/>
      <c r="AA2777" s="811">
        <v>4.8600000000000003</v>
      </c>
      <c r="AB2777" s="811">
        <v>0.71</v>
      </c>
      <c r="AC2777" s="811">
        <v>9.5</v>
      </c>
      <c r="AD2777" s="811">
        <v>560</v>
      </c>
      <c r="AE2777" s="811">
        <v>330</v>
      </c>
      <c r="AF2777" s="811">
        <v>110</v>
      </c>
      <c r="AG2777" s="66">
        <f t="shared" si="110"/>
        <v>110.11928571428574</v>
      </c>
      <c r="AH2777" s="143">
        <f t="shared" si="111"/>
        <v>1000</v>
      </c>
    </row>
    <row r="2778" spans="1:34" x14ac:dyDescent="0.3">
      <c r="A2778" s="811">
        <v>905154</v>
      </c>
      <c r="B2778" s="810">
        <v>22.666666666666664</v>
      </c>
      <c r="C2778" s="810">
        <v>8.4999999999999982</v>
      </c>
      <c r="D2778" s="810">
        <v>7.93</v>
      </c>
      <c r="E2778" s="808">
        <v>1.32</v>
      </c>
      <c r="F2778" s="812">
        <v>1452.0000000000002</v>
      </c>
      <c r="G2778" s="809"/>
      <c r="H2778" s="810">
        <v>284.98</v>
      </c>
      <c r="I2778" s="809">
        <v>575.01</v>
      </c>
      <c r="J2778" s="809">
        <v>1.3109999999999999</v>
      </c>
      <c r="K2778" s="809">
        <v>8.3800000000000008</v>
      </c>
      <c r="L2778" s="809">
        <v>1692.259</v>
      </c>
      <c r="M2778" s="809">
        <v>4.3600000000000003</v>
      </c>
      <c r="N2778" s="809">
        <v>1.36</v>
      </c>
      <c r="O2778" s="809">
        <v>5.31</v>
      </c>
      <c r="P2778" s="809">
        <v>7.97</v>
      </c>
      <c r="Q2778" s="811"/>
      <c r="R2778" s="810">
        <v>1.6014157200000001</v>
      </c>
      <c r="S2778" s="811">
        <v>10.98</v>
      </c>
      <c r="T2778" s="810"/>
      <c r="U2778" s="811"/>
      <c r="V2778" s="811"/>
      <c r="W2778" s="811"/>
      <c r="X2778" s="811"/>
      <c r="Y2778" s="811">
        <v>35.6</v>
      </c>
      <c r="Z2778" s="811"/>
      <c r="AA2778" s="811">
        <v>4.8</v>
      </c>
      <c r="AB2778" s="811">
        <v>0.42399999999999999</v>
      </c>
      <c r="AC2778" s="811">
        <v>10.6</v>
      </c>
      <c r="AD2778" s="811">
        <v>580</v>
      </c>
      <c r="AE2778" s="811">
        <v>330</v>
      </c>
      <c r="AF2778" s="811">
        <v>90</v>
      </c>
      <c r="AG2778" s="66">
        <f t="shared" si="110"/>
        <v>83.329213483146077</v>
      </c>
      <c r="AH2778" s="143">
        <f t="shared" si="111"/>
        <v>1000</v>
      </c>
    </row>
    <row r="2779" spans="1:34" x14ac:dyDescent="0.3">
      <c r="A2779" s="811">
        <v>905155</v>
      </c>
      <c r="B2779" s="810">
        <v>22.833333333333332</v>
      </c>
      <c r="C2779" s="810">
        <v>7.2499999999999982</v>
      </c>
      <c r="D2779" s="810">
        <v>8.1199999999999992</v>
      </c>
      <c r="E2779" s="808">
        <v>1.3120000000000001</v>
      </c>
      <c r="F2779" s="812">
        <v>1443.2000000000003</v>
      </c>
      <c r="G2779" s="809"/>
      <c r="H2779" s="810">
        <v>244.1</v>
      </c>
      <c r="I2779" s="809">
        <v>576.73</v>
      </c>
      <c r="J2779" s="809">
        <v>1.075</v>
      </c>
      <c r="K2779" s="809">
        <v>12.19</v>
      </c>
      <c r="L2779" s="809">
        <v>1535.499</v>
      </c>
      <c r="M2779" s="809">
        <v>3.95</v>
      </c>
      <c r="N2779" s="809">
        <v>1.24</v>
      </c>
      <c r="O2779" s="809">
        <v>3.7</v>
      </c>
      <c r="P2779" s="809">
        <v>7.15</v>
      </c>
      <c r="Q2779" s="811"/>
      <c r="R2779" s="810">
        <v>1.4844540011396912</v>
      </c>
      <c r="S2779" s="811">
        <v>9.76</v>
      </c>
      <c r="T2779" s="810"/>
      <c r="U2779" s="811"/>
      <c r="V2779" s="811"/>
      <c r="W2779" s="811"/>
      <c r="X2779" s="811"/>
      <c r="Y2779" s="811">
        <v>33.6</v>
      </c>
      <c r="Z2779" s="811"/>
      <c r="AA2779" s="811">
        <v>4.68</v>
      </c>
      <c r="AB2779" s="811">
        <v>0.57699999999999996</v>
      </c>
      <c r="AC2779" s="811">
        <v>11.2</v>
      </c>
      <c r="AD2779" s="811">
        <v>560</v>
      </c>
      <c r="AE2779" s="811">
        <v>320</v>
      </c>
      <c r="AF2779" s="811">
        <v>120</v>
      </c>
      <c r="AG2779" s="66">
        <f t="shared" si="110"/>
        <v>128.43035714285713</v>
      </c>
      <c r="AH2779" s="143">
        <f t="shared" si="111"/>
        <v>1000</v>
      </c>
    </row>
    <row r="2780" spans="1:34" x14ac:dyDescent="0.3">
      <c r="A2780" s="811">
        <v>905156</v>
      </c>
      <c r="B2780" s="810">
        <v>23.5</v>
      </c>
      <c r="C2780" s="810">
        <v>7.1249999999999991</v>
      </c>
      <c r="D2780" s="810">
        <v>8.15</v>
      </c>
      <c r="E2780" s="808">
        <v>1.333</v>
      </c>
      <c r="F2780" s="812">
        <v>1466.3000000000002</v>
      </c>
      <c r="G2780" s="809"/>
      <c r="H2780" s="810">
        <v>127.26</v>
      </c>
      <c r="I2780" s="809">
        <v>421.49</v>
      </c>
      <c r="J2780" s="809">
        <v>1.111</v>
      </c>
      <c r="K2780" s="809">
        <v>12.6</v>
      </c>
      <c r="L2780" s="809">
        <v>1594.0450000000001</v>
      </c>
      <c r="M2780" s="809">
        <v>1.71</v>
      </c>
      <c r="N2780" s="809">
        <v>0.91</v>
      </c>
      <c r="O2780" s="809">
        <v>1.8</v>
      </c>
      <c r="P2780" s="809">
        <v>4.63</v>
      </c>
      <c r="Q2780" s="811"/>
      <c r="R2780" s="810">
        <v>0.99706982806855782</v>
      </c>
      <c r="S2780" s="811">
        <v>7.32</v>
      </c>
      <c r="T2780" s="810"/>
      <c r="U2780" s="811"/>
      <c r="V2780" s="811"/>
      <c r="W2780" s="811"/>
      <c r="X2780" s="811"/>
      <c r="Y2780" s="811">
        <v>27.5</v>
      </c>
      <c r="Z2780" s="811"/>
      <c r="AA2780" s="811">
        <v>5</v>
      </c>
      <c r="AB2780" s="811">
        <v>0.34799999999999998</v>
      </c>
      <c r="AC2780" s="811">
        <v>10.1</v>
      </c>
      <c r="AD2780" s="811">
        <v>550</v>
      </c>
      <c r="AE2780" s="811">
        <v>340</v>
      </c>
      <c r="AF2780" s="811">
        <v>110</v>
      </c>
      <c r="AG2780" s="66">
        <f t="shared" si="110"/>
        <v>162.19636363636363</v>
      </c>
      <c r="AH2780" s="143">
        <f t="shared" si="111"/>
        <v>1000</v>
      </c>
    </row>
    <row r="2781" spans="1:34" ht="17.100000000000001" customHeight="1" x14ac:dyDescent="0.3">
      <c r="A2781" s="811">
        <v>905157</v>
      </c>
      <c r="B2781" s="810">
        <v>24.333333333333332</v>
      </c>
      <c r="C2781" s="810">
        <v>9</v>
      </c>
      <c r="D2781" s="810">
        <v>8</v>
      </c>
      <c r="E2781" s="808">
        <v>1.508</v>
      </c>
      <c r="F2781" s="812">
        <v>1658.8</v>
      </c>
      <c r="G2781" s="809"/>
      <c r="H2781" s="810">
        <v>396.66</v>
      </c>
      <c r="I2781" s="809">
        <v>1132.6099999999999</v>
      </c>
      <c r="J2781" s="809">
        <v>1.4159999999999999</v>
      </c>
      <c r="K2781" s="809">
        <v>8.61</v>
      </c>
      <c r="L2781" s="809">
        <v>1791.0740000000001</v>
      </c>
      <c r="M2781" s="809">
        <v>5.62</v>
      </c>
      <c r="N2781" s="809">
        <v>1.87</v>
      </c>
      <c r="O2781" s="809">
        <v>8.76</v>
      </c>
      <c r="P2781" s="809">
        <v>8.26</v>
      </c>
      <c r="Q2781" s="811"/>
      <c r="R2781" s="810">
        <v>1.6929645200000001</v>
      </c>
      <c r="S2781" s="811">
        <v>13.42</v>
      </c>
      <c r="T2781" s="810"/>
      <c r="U2781" s="811"/>
      <c r="V2781" s="811"/>
      <c r="W2781" s="811"/>
      <c r="X2781" s="811"/>
      <c r="Y2781" s="811">
        <v>32.4</v>
      </c>
      <c r="Z2781" s="811"/>
      <c r="AA2781" s="811">
        <v>4.4400000000000004</v>
      </c>
      <c r="AB2781" s="811">
        <v>0.68100000000000005</v>
      </c>
      <c r="AC2781" s="811">
        <v>8.9</v>
      </c>
      <c r="AD2781" s="811">
        <v>540</v>
      </c>
      <c r="AE2781" s="811">
        <v>320</v>
      </c>
      <c r="AF2781" s="811">
        <v>140</v>
      </c>
      <c r="AG2781" s="66">
        <f t="shared" si="110"/>
        <v>94.072222222222209</v>
      </c>
      <c r="AH2781" s="143">
        <f t="shared" si="111"/>
        <v>1000</v>
      </c>
    </row>
    <row r="2782" spans="1:34" x14ac:dyDescent="0.3">
      <c r="A2782" s="811">
        <v>905158</v>
      </c>
      <c r="B2782" s="810">
        <v>24.083333333333329</v>
      </c>
      <c r="C2782" s="810">
        <v>7</v>
      </c>
      <c r="D2782" s="810">
        <v>8.14</v>
      </c>
      <c r="E2782" s="808">
        <v>1.53</v>
      </c>
      <c r="F2782" s="812">
        <v>1683.0000000000002</v>
      </c>
      <c r="G2782" s="809"/>
      <c r="H2782" s="810">
        <v>185.9</v>
      </c>
      <c r="I2782" s="809">
        <v>493.72</v>
      </c>
      <c r="J2782" s="809">
        <v>1.575</v>
      </c>
      <c r="K2782" s="809">
        <v>12.62</v>
      </c>
      <c r="L2782" s="809">
        <v>1769.7929999999999</v>
      </c>
      <c r="M2782" s="809">
        <v>2.5299999999999998</v>
      </c>
      <c r="N2782" s="809">
        <v>1.01</v>
      </c>
      <c r="O2782" s="809">
        <v>2.31</v>
      </c>
      <c r="P2782" s="809">
        <v>5.04</v>
      </c>
      <c r="Q2782" s="811"/>
      <c r="R2782" s="810">
        <v>1.4257609382137755</v>
      </c>
      <c r="S2782" s="811">
        <v>9.76</v>
      </c>
      <c r="T2782" s="810"/>
      <c r="U2782" s="811"/>
      <c r="V2782" s="811"/>
      <c r="W2782" s="811"/>
      <c r="X2782" s="811"/>
      <c r="Y2782" s="811">
        <v>36.5</v>
      </c>
      <c r="Z2782" s="811"/>
      <c r="AA2782" s="811">
        <v>4.4800000000000004</v>
      </c>
      <c r="AB2782" s="811">
        <v>0.26</v>
      </c>
      <c r="AC2782" s="811">
        <v>11.7</v>
      </c>
      <c r="AD2782" s="811">
        <v>550</v>
      </c>
      <c r="AE2782" s="811">
        <v>320</v>
      </c>
      <c r="AF2782" s="811">
        <v>130</v>
      </c>
      <c r="AG2782" s="66">
        <f t="shared" si="110"/>
        <v>122.39671232876711</v>
      </c>
      <c r="AH2782" s="143">
        <f t="shared" si="111"/>
        <v>1000</v>
      </c>
    </row>
    <row r="2783" spans="1:34" x14ac:dyDescent="0.3">
      <c r="A2783" s="811">
        <v>905159</v>
      </c>
      <c r="B2783" s="810">
        <v>24</v>
      </c>
      <c r="C2783" s="810">
        <v>6.875</v>
      </c>
      <c r="D2783" s="810">
        <v>8.0299999999999994</v>
      </c>
      <c r="E2783" s="808">
        <v>1.2549999999999999</v>
      </c>
      <c r="F2783" s="812">
        <v>1380.5</v>
      </c>
      <c r="G2783" s="809"/>
      <c r="H2783" s="810">
        <v>214.92</v>
      </c>
      <c r="I2783" s="809">
        <v>473.06</v>
      </c>
      <c r="J2783" s="809">
        <v>1.137</v>
      </c>
      <c r="K2783" s="809">
        <v>12.81</v>
      </c>
      <c r="L2783" s="809">
        <v>1710.096</v>
      </c>
      <c r="M2783" s="809">
        <v>2.57</v>
      </c>
      <c r="N2783" s="809">
        <v>1.03</v>
      </c>
      <c r="O2783" s="809">
        <v>1.61</v>
      </c>
      <c r="P2783" s="809">
        <v>7.92</v>
      </c>
      <c r="Q2783" s="811"/>
      <c r="R2783" s="810">
        <v>1.3260861606578578</v>
      </c>
      <c r="S2783" s="811">
        <v>9.76</v>
      </c>
      <c r="T2783" s="810"/>
      <c r="U2783" s="811"/>
      <c r="V2783" s="811"/>
      <c r="W2783" s="811"/>
      <c r="X2783" s="811"/>
      <c r="Y2783" s="811">
        <v>37.200000000000003</v>
      </c>
      <c r="Z2783" s="811"/>
      <c r="AA2783" s="811">
        <v>4.2300000000000004</v>
      </c>
      <c r="AB2783" s="811">
        <v>0.80500000000000005</v>
      </c>
      <c r="AC2783" s="811">
        <v>6.2</v>
      </c>
      <c r="AD2783" s="811">
        <v>560</v>
      </c>
      <c r="AE2783" s="811">
        <v>340</v>
      </c>
      <c r="AF2783" s="811">
        <v>100</v>
      </c>
      <c r="AG2783" s="66">
        <f t="shared" si="110"/>
        <v>121.9016129032258</v>
      </c>
      <c r="AH2783" s="143">
        <f t="shared" si="111"/>
        <v>1000</v>
      </c>
    </row>
    <row r="2784" spans="1:34" x14ac:dyDescent="0.3">
      <c r="A2784" s="811">
        <v>905160</v>
      </c>
      <c r="B2784" s="810">
        <v>24.833333333333336</v>
      </c>
      <c r="C2784" s="810">
        <v>7.3749999999999982</v>
      </c>
      <c r="D2784" s="810">
        <v>8.0399999999999991</v>
      </c>
      <c r="E2784" s="808">
        <v>1.34</v>
      </c>
      <c r="F2784" s="812">
        <v>1474.0000000000002</v>
      </c>
      <c r="G2784" s="809"/>
      <c r="H2784" s="810">
        <v>127.38</v>
      </c>
      <c r="I2784" s="809">
        <v>431.14</v>
      </c>
      <c r="J2784" s="809">
        <v>1.1539999999999999</v>
      </c>
      <c r="K2784" s="809">
        <v>12.35</v>
      </c>
      <c r="L2784" s="809">
        <v>1559.143</v>
      </c>
      <c r="M2784" s="809">
        <v>1.99</v>
      </c>
      <c r="N2784" s="809">
        <v>1.1200000000000001</v>
      </c>
      <c r="O2784" s="809">
        <v>3.17</v>
      </c>
      <c r="P2784" s="809">
        <v>6.48</v>
      </c>
      <c r="Q2784" s="811"/>
      <c r="R2784" s="810">
        <v>1.1750685140221901</v>
      </c>
      <c r="S2784" s="811">
        <v>8.5399999999999991</v>
      </c>
      <c r="T2784" s="810"/>
      <c r="U2784" s="811"/>
      <c r="V2784" s="811"/>
      <c r="W2784" s="811"/>
      <c r="X2784" s="811"/>
      <c r="Y2784" s="811">
        <v>33.6</v>
      </c>
      <c r="Z2784" s="811"/>
      <c r="AA2784" s="811">
        <v>3.58</v>
      </c>
      <c r="AB2784" s="811">
        <v>0.57199999999999995</v>
      </c>
      <c r="AC2784" s="811">
        <v>12</v>
      </c>
      <c r="AD2784" s="811">
        <v>560</v>
      </c>
      <c r="AE2784" s="811">
        <v>330</v>
      </c>
      <c r="AF2784" s="811">
        <v>110</v>
      </c>
      <c r="AG2784" s="66">
        <f t="shared" si="110"/>
        <v>130.11607142857144</v>
      </c>
      <c r="AH2784" s="143">
        <f t="shared" si="111"/>
        <v>1000</v>
      </c>
    </row>
    <row r="2785" spans="1:34" x14ac:dyDescent="0.3">
      <c r="A2785" s="811">
        <v>905161</v>
      </c>
      <c r="B2785" s="810">
        <v>25.166666666666664</v>
      </c>
      <c r="C2785" s="810">
        <v>7.3749999999999982</v>
      </c>
      <c r="D2785" s="810">
        <v>8.2100000000000009</v>
      </c>
      <c r="E2785" s="808">
        <v>0.96</v>
      </c>
      <c r="F2785" s="812">
        <v>1056</v>
      </c>
      <c r="G2785" s="809"/>
      <c r="H2785" s="810">
        <v>77.239999999999995</v>
      </c>
      <c r="I2785" s="809">
        <v>407.8</v>
      </c>
      <c r="J2785" s="809">
        <v>1.03</v>
      </c>
      <c r="K2785" s="809">
        <v>12.93</v>
      </c>
      <c r="L2785" s="809">
        <v>1452.912</v>
      </c>
      <c r="M2785" s="809">
        <v>1.66</v>
      </c>
      <c r="N2785" s="809">
        <v>0.93</v>
      </c>
      <c r="O2785" s="809">
        <v>2.79</v>
      </c>
      <c r="P2785" s="809">
        <v>4.25</v>
      </c>
      <c r="Q2785" s="811"/>
      <c r="R2785" s="810">
        <v>1.2378217410865622</v>
      </c>
      <c r="S2785" s="811">
        <v>8.5399999999999991</v>
      </c>
      <c r="T2785" s="810"/>
      <c r="U2785" s="811"/>
      <c r="V2785" s="811"/>
      <c r="W2785" s="811"/>
      <c r="X2785" s="811"/>
      <c r="Y2785" s="811">
        <v>27</v>
      </c>
      <c r="Z2785" s="811"/>
      <c r="AA2785" s="811">
        <v>4.3600000000000003</v>
      </c>
      <c r="AB2785" s="811">
        <v>0.53400000000000003</v>
      </c>
      <c r="AC2785" s="811">
        <v>6.8</v>
      </c>
      <c r="AD2785" s="811">
        <v>540</v>
      </c>
      <c r="AE2785" s="811">
        <v>330</v>
      </c>
      <c r="AF2785" s="811">
        <v>130</v>
      </c>
      <c r="AG2785" s="66">
        <f t="shared" si="110"/>
        <v>169.52666666666664</v>
      </c>
      <c r="AH2785" s="143">
        <f t="shared" si="111"/>
        <v>1000</v>
      </c>
    </row>
    <row r="2786" spans="1:34" x14ac:dyDescent="0.3">
      <c r="A2786" s="811">
        <v>905162</v>
      </c>
      <c r="B2786" s="810">
        <v>25</v>
      </c>
      <c r="C2786" s="810">
        <v>7.625</v>
      </c>
      <c r="D2786" s="810">
        <v>7.91</v>
      </c>
      <c r="E2786" s="808">
        <v>1.1000000000000001</v>
      </c>
      <c r="F2786" s="812">
        <v>1210.0000000000002</v>
      </c>
      <c r="G2786" s="809"/>
      <c r="H2786" s="810">
        <v>238.74</v>
      </c>
      <c r="I2786" s="809">
        <v>630.30999999999995</v>
      </c>
      <c r="J2786" s="809">
        <v>0.89700000000000002</v>
      </c>
      <c r="K2786" s="809">
        <v>12.89</v>
      </c>
      <c r="L2786" s="809">
        <v>1456.3150000000001</v>
      </c>
      <c r="M2786" s="809">
        <v>4.03</v>
      </c>
      <c r="N2786" s="809">
        <v>2.2799999999999998</v>
      </c>
      <c r="O2786" s="809">
        <v>9.4</v>
      </c>
      <c r="P2786" s="809">
        <v>21.75</v>
      </c>
      <c r="Q2786" s="811"/>
      <c r="R2786" s="810">
        <v>1.4232207341287473</v>
      </c>
      <c r="S2786" s="811">
        <v>9.76</v>
      </c>
      <c r="T2786" s="810"/>
      <c r="U2786" s="811"/>
      <c r="V2786" s="811"/>
      <c r="W2786" s="811"/>
      <c r="X2786" s="811"/>
      <c r="Y2786" s="811">
        <v>35.5</v>
      </c>
      <c r="Z2786" s="811"/>
      <c r="AA2786" s="811">
        <v>3.47</v>
      </c>
      <c r="AB2786" s="811">
        <v>0.31</v>
      </c>
      <c r="AC2786" s="811">
        <v>10.7</v>
      </c>
      <c r="AD2786" s="811">
        <v>550</v>
      </c>
      <c r="AE2786" s="811">
        <v>340</v>
      </c>
      <c r="AF2786" s="811">
        <v>110</v>
      </c>
      <c r="AG2786" s="66">
        <f t="shared" si="110"/>
        <v>128.53690140845072</v>
      </c>
      <c r="AH2786" s="143">
        <f t="shared" si="111"/>
        <v>1000</v>
      </c>
    </row>
    <row r="2787" spans="1:34" x14ac:dyDescent="0.3">
      <c r="A2787" s="811">
        <v>905163</v>
      </c>
      <c r="B2787" s="810">
        <v>19.499999999999996</v>
      </c>
      <c r="C2787" s="810">
        <v>5.625</v>
      </c>
      <c r="D2787" s="810">
        <v>8.34</v>
      </c>
      <c r="E2787" s="808">
        <v>0.69</v>
      </c>
      <c r="F2787" s="812">
        <v>759</v>
      </c>
      <c r="G2787" s="809"/>
      <c r="H2787" s="810">
        <v>45.76</v>
      </c>
      <c r="I2787" s="809">
        <v>412.61</v>
      </c>
      <c r="J2787" s="809">
        <v>0.72899999999999998</v>
      </c>
      <c r="K2787" s="809">
        <v>12.48</v>
      </c>
      <c r="L2787" s="809">
        <v>1154.9939999999999</v>
      </c>
      <c r="M2787" s="809">
        <v>0.95</v>
      </c>
      <c r="N2787" s="809">
        <v>0.75</v>
      </c>
      <c r="O2787" s="809">
        <v>1.1100000000000001</v>
      </c>
      <c r="P2787" s="809">
        <v>3.84</v>
      </c>
      <c r="Q2787" s="811"/>
      <c r="R2787" s="810">
        <v>0.84797075044377379</v>
      </c>
      <c r="S2787" s="811">
        <v>6.1</v>
      </c>
      <c r="T2787" s="810"/>
      <c r="U2787" s="811"/>
      <c r="V2787" s="811"/>
      <c r="W2787" s="811"/>
      <c r="X2787" s="811"/>
      <c r="Y2787" s="811">
        <v>28</v>
      </c>
      <c r="Z2787" s="811"/>
      <c r="AA2787" s="811">
        <v>3.46</v>
      </c>
      <c r="AB2787" s="811">
        <v>0.49399999999999999</v>
      </c>
      <c r="AC2787" s="811">
        <v>10.199999999999999</v>
      </c>
      <c r="AD2787" s="811">
        <v>560</v>
      </c>
      <c r="AE2787" s="811">
        <v>320</v>
      </c>
      <c r="AF2787" s="811">
        <v>120</v>
      </c>
      <c r="AG2787" s="66">
        <f t="shared" si="110"/>
        <v>157.78285714285715</v>
      </c>
      <c r="AH2787" s="143">
        <f t="shared" si="111"/>
        <v>1000</v>
      </c>
    </row>
    <row r="2788" spans="1:34" x14ac:dyDescent="0.3">
      <c r="A2788" s="811">
        <v>905164</v>
      </c>
      <c r="B2788" s="810">
        <v>21.5</v>
      </c>
      <c r="C2788" s="810">
        <v>6.1249999999999982</v>
      </c>
      <c r="D2788" s="810">
        <v>8.15</v>
      </c>
      <c r="E2788" s="808">
        <v>1.35</v>
      </c>
      <c r="F2788" s="812">
        <v>1485.0000000000002</v>
      </c>
      <c r="G2788" s="809"/>
      <c r="H2788" s="810">
        <v>85.93</v>
      </c>
      <c r="I2788" s="809">
        <v>442.88</v>
      </c>
      <c r="J2788" s="809">
        <v>1.147</v>
      </c>
      <c r="K2788" s="809">
        <v>12.64</v>
      </c>
      <c r="L2788" s="809">
        <v>1306.1959999999999</v>
      </c>
      <c r="M2788" s="809">
        <v>1.25</v>
      </c>
      <c r="N2788" s="809">
        <v>0.77</v>
      </c>
      <c r="O2788" s="809">
        <v>2.0499999999999998</v>
      </c>
      <c r="P2788" s="809">
        <v>5.94</v>
      </c>
      <c r="Q2788" s="811"/>
      <c r="R2788" s="810">
        <v>0.8783203949434728</v>
      </c>
      <c r="S2788" s="811">
        <v>6.1</v>
      </c>
      <c r="T2788" s="810"/>
      <c r="U2788" s="811"/>
      <c r="V2788" s="811"/>
      <c r="W2788" s="811"/>
      <c r="X2788" s="811"/>
      <c r="Y2788" s="811">
        <v>33.6</v>
      </c>
      <c r="Z2788" s="811"/>
      <c r="AA2788" s="811">
        <v>4.87</v>
      </c>
      <c r="AB2788" s="811">
        <v>0.70099999999999996</v>
      </c>
      <c r="AC2788" s="811">
        <v>9.4</v>
      </c>
      <c r="AD2788" s="811">
        <v>560</v>
      </c>
      <c r="AE2788" s="811">
        <v>340</v>
      </c>
      <c r="AF2788" s="811">
        <v>100</v>
      </c>
      <c r="AG2788" s="66">
        <f t="shared" si="110"/>
        <v>133.17142857142858</v>
      </c>
      <c r="AH2788" s="143">
        <f t="shared" si="111"/>
        <v>1000</v>
      </c>
    </row>
    <row r="2789" spans="1:34" x14ac:dyDescent="0.3">
      <c r="A2789" s="811">
        <v>905165</v>
      </c>
      <c r="B2789" s="810">
        <v>20</v>
      </c>
      <c r="C2789" s="810">
        <v>7.8749999999999982</v>
      </c>
      <c r="D2789" s="810">
        <v>7.83</v>
      </c>
      <c r="E2789" s="808">
        <v>1.67</v>
      </c>
      <c r="F2789" s="812">
        <v>1837</v>
      </c>
      <c r="G2789" s="809"/>
      <c r="H2789" s="810">
        <v>433.4</v>
      </c>
      <c r="I2789" s="809">
        <v>644.85</v>
      </c>
      <c r="J2789" s="809">
        <v>1.2490000000000001</v>
      </c>
      <c r="K2789" s="809">
        <v>13.26</v>
      </c>
      <c r="L2789" s="809">
        <v>1498.63</v>
      </c>
      <c r="M2789" s="809">
        <v>5.43</v>
      </c>
      <c r="N2789" s="809">
        <v>1.27</v>
      </c>
      <c r="O2789" s="809">
        <v>1.93</v>
      </c>
      <c r="P2789" s="809">
        <v>12.9</v>
      </c>
      <c r="Q2789" s="811"/>
      <c r="R2789" s="810">
        <v>1.6482320000000001</v>
      </c>
      <c r="S2789" s="811">
        <v>12.2</v>
      </c>
      <c r="T2789" s="810"/>
      <c r="U2789" s="811"/>
      <c r="V2789" s="811"/>
      <c r="W2789" s="811"/>
      <c r="X2789" s="811"/>
      <c r="Y2789" s="811">
        <v>34.799999999999997</v>
      </c>
      <c r="Z2789" s="811"/>
      <c r="AA2789" s="811">
        <v>3.83</v>
      </c>
      <c r="AB2789" s="811">
        <v>0.78900000000000003</v>
      </c>
      <c r="AC2789" s="811">
        <v>8.9</v>
      </c>
      <c r="AD2789" s="811">
        <v>540</v>
      </c>
      <c r="AE2789" s="811">
        <v>340</v>
      </c>
      <c r="AF2789" s="811">
        <v>120</v>
      </c>
      <c r="AG2789" s="66">
        <f t="shared" si="110"/>
        <v>134.88620689655173</v>
      </c>
      <c r="AH2789" s="143">
        <f t="shared" si="111"/>
        <v>1000</v>
      </c>
    </row>
    <row r="2790" spans="1:34" x14ac:dyDescent="0.3">
      <c r="A2790" s="811">
        <v>905166</v>
      </c>
      <c r="B2790" s="810">
        <v>21</v>
      </c>
      <c r="C2790" s="810">
        <v>7.7499999999999991</v>
      </c>
      <c r="D2790" s="810">
        <v>8.14</v>
      </c>
      <c r="E2790" s="808">
        <v>1.153</v>
      </c>
      <c r="F2790" s="812">
        <v>1268.3000000000002</v>
      </c>
      <c r="G2790" s="809"/>
      <c r="H2790" s="810">
        <v>139.07</v>
      </c>
      <c r="I2790" s="809">
        <v>610.35</v>
      </c>
      <c r="J2790" s="809">
        <v>0.98799999999999999</v>
      </c>
      <c r="K2790" s="809">
        <v>12.38</v>
      </c>
      <c r="L2790" s="809">
        <v>1232.5170000000001</v>
      </c>
      <c r="M2790" s="809">
        <v>1.9</v>
      </c>
      <c r="N2790" s="809">
        <v>1.1499999999999999</v>
      </c>
      <c r="O2790" s="809">
        <v>4.71</v>
      </c>
      <c r="P2790" s="809">
        <v>13</v>
      </c>
      <c r="Q2790" s="811"/>
      <c r="R2790" s="810">
        <v>0.98323166552117314</v>
      </c>
      <c r="S2790" s="811">
        <v>7.32</v>
      </c>
      <c r="T2790" s="810"/>
      <c r="U2790" s="811"/>
      <c r="V2790" s="811"/>
      <c r="W2790" s="811"/>
      <c r="X2790" s="811"/>
      <c r="Y2790" s="811">
        <v>33.6</v>
      </c>
      <c r="Z2790" s="811"/>
      <c r="AA2790" s="811">
        <v>4.29</v>
      </c>
      <c r="AB2790" s="811">
        <v>0.879</v>
      </c>
      <c r="AC2790" s="811">
        <v>9.9</v>
      </c>
      <c r="AD2790" s="811">
        <v>560</v>
      </c>
      <c r="AE2790" s="811">
        <v>320</v>
      </c>
      <c r="AF2790" s="811">
        <v>120</v>
      </c>
      <c r="AG2790" s="66">
        <f t="shared" si="110"/>
        <v>130.43214285714288</v>
      </c>
      <c r="AH2790" s="143">
        <f t="shared" si="111"/>
        <v>1000</v>
      </c>
    </row>
    <row r="2791" spans="1:34" x14ac:dyDescent="0.3">
      <c r="A2791" s="811">
        <v>905167</v>
      </c>
      <c r="B2791" s="810">
        <v>9.0833333333333339</v>
      </c>
      <c r="C2791" s="810"/>
      <c r="D2791" s="810">
        <v>8.1199999999999992</v>
      </c>
      <c r="E2791" s="808">
        <v>0.86199999999999999</v>
      </c>
      <c r="F2791" s="812">
        <v>948.2</v>
      </c>
      <c r="G2791" s="809"/>
      <c r="H2791" s="810">
        <v>91.52</v>
      </c>
      <c r="I2791" s="809">
        <v>699.03</v>
      </c>
      <c r="J2791" s="809">
        <v>1.0660000000000001</v>
      </c>
      <c r="K2791" s="809">
        <v>12.86</v>
      </c>
      <c r="L2791" s="809">
        <v>1805.925</v>
      </c>
      <c r="M2791" s="809">
        <v>0.87</v>
      </c>
      <c r="N2791" s="809">
        <v>1.17</v>
      </c>
      <c r="O2791" s="809">
        <v>1.63</v>
      </c>
      <c r="P2791" s="809">
        <v>5.54</v>
      </c>
      <c r="Q2791" s="811"/>
      <c r="R2791" s="810">
        <v>1.159257759472708</v>
      </c>
      <c r="S2791" s="811">
        <v>8.5399999999999991</v>
      </c>
      <c r="T2791" s="810"/>
      <c r="U2791" s="811"/>
      <c r="V2791" s="811"/>
      <c r="W2791" s="811"/>
      <c r="X2791" s="811"/>
      <c r="Y2791" s="811">
        <v>35.4</v>
      </c>
      <c r="Z2791" s="811"/>
      <c r="AA2791" s="811"/>
      <c r="AB2791" s="811"/>
      <c r="AC2791" s="811"/>
      <c r="AD2791" s="811">
        <v>590</v>
      </c>
      <c r="AE2791" s="811">
        <v>270</v>
      </c>
      <c r="AF2791" s="811">
        <v>140</v>
      </c>
      <c r="AG2791" s="66">
        <f t="shared" si="110"/>
        <v>128.6</v>
      </c>
      <c r="AH2791" s="143">
        <f t="shared" si="111"/>
        <v>1000</v>
      </c>
    </row>
    <row r="2792" spans="1:34" x14ac:dyDescent="0.3">
      <c r="A2792" s="811">
        <v>905168</v>
      </c>
      <c r="B2792" s="810">
        <v>19.833333333333332</v>
      </c>
      <c r="C2792" s="810">
        <v>4.6249999999999991</v>
      </c>
      <c r="D2792" s="810">
        <v>8.41</v>
      </c>
      <c r="E2792" s="808">
        <v>0.307</v>
      </c>
      <c r="F2792" s="812">
        <v>337.7</v>
      </c>
      <c r="G2792" s="809"/>
      <c r="H2792" s="810">
        <v>52.38</v>
      </c>
      <c r="I2792" s="809">
        <v>388.34</v>
      </c>
      <c r="J2792" s="809">
        <v>0.23300000000000001</v>
      </c>
      <c r="K2792" s="809">
        <v>12.37</v>
      </c>
      <c r="L2792" s="809">
        <v>721.84400000000005</v>
      </c>
      <c r="M2792" s="809">
        <v>0.74</v>
      </c>
      <c r="N2792" s="809">
        <v>0.42</v>
      </c>
      <c r="O2792" s="809">
        <v>2.15</v>
      </c>
      <c r="P2792" s="809">
        <v>3.15</v>
      </c>
      <c r="Q2792" s="811"/>
      <c r="R2792" s="810">
        <v>0.89630137066292226</v>
      </c>
      <c r="S2792" s="811">
        <v>6.1</v>
      </c>
      <c r="T2792" s="810"/>
      <c r="U2792" s="811"/>
      <c r="V2792" s="811"/>
      <c r="W2792" s="811"/>
      <c r="X2792" s="811"/>
      <c r="Y2792" s="811">
        <v>26.4</v>
      </c>
      <c r="Z2792" s="811"/>
      <c r="AA2792" s="811"/>
      <c r="AB2792" s="811"/>
      <c r="AC2792" s="811"/>
      <c r="AD2792" s="811">
        <v>440</v>
      </c>
      <c r="AE2792" s="811">
        <v>300</v>
      </c>
      <c r="AF2792" s="811">
        <v>260</v>
      </c>
      <c r="AG2792" s="66">
        <f t="shared" si="110"/>
        <v>165.87045454545455</v>
      </c>
      <c r="AH2792" s="143">
        <f t="shared" si="111"/>
        <v>1000</v>
      </c>
    </row>
    <row r="2793" spans="1:34" x14ac:dyDescent="0.3">
      <c r="A2793" s="811">
        <v>905169</v>
      </c>
      <c r="B2793" s="810">
        <v>4.8333333333333321</v>
      </c>
      <c r="C2793" s="810"/>
      <c r="D2793" s="810">
        <v>8.0399999999999991</v>
      </c>
      <c r="E2793" s="808">
        <v>3.33</v>
      </c>
      <c r="F2793" s="812">
        <v>3663.0000000000005</v>
      </c>
      <c r="G2793" s="809"/>
      <c r="H2793" s="810">
        <v>76.7</v>
      </c>
      <c r="I2793" s="809">
        <v>260.5</v>
      </c>
      <c r="J2793" s="809">
        <v>1.5109999999999999</v>
      </c>
      <c r="K2793" s="809">
        <v>14.46</v>
      </c>
      <c r="L2793" s="809">
        <v>1006.972</v>
      </c>
      <c r="M2793" s="809">
        <v>0.46</v>
      </c>
      <c r="N2793" s="809">
        <v>0.32</v>
      </c>
      <c r="O2793" s="809">
        <v>0.93</v>
      </c>
      <c r="P2793" s="809">
        <v>2.63</v>
      </c>
      <c r="Q2793" s="811"/>
      <c r="R2793" s="810">
        <v>0.73840213223133777</v>
      </c>
      <c r="S2793" s="811">
        <v>4.88</v>
      </c>
      <c r="T2793" s="810"/>
      <c r="U2793" s="811"/>
      <c r="V2793" s="811"/>
      <c r="W2793" s="811"/>
      <c r="X2793" s="811"/>
      <c r="Y2793" s="811">
        <v>14</v>
      </c>
      <c r="Z2793" s="811"/>
      <c r="AA2793" s="811"/>
      <c r="AB2793" s="811"/>
      <c r="AC2793" s="811"/>
      <c r="AD2793" s="811">
        <v>200</v>
      </c>
      <c r="AE2793" s="811">
        <v>120</v>
      </c>
      <c r="AF2793" s="811">
        <v>680</v>
      </c>
      <c r="AG2793" s="66">
        <f t="shared" si="110"/>
        <v>365.63142857142856</v>
      </c>
      <c r="AH2793" s="143">
        <f t="shared" si="111"/>
        <v>1000</v>
      </c>
    </row>
    <row r="2794" spans="1:34" x14ac:dyDescent="0.3">
      <c r="A2794" s="811">
        <v>905170</v>
      </c>
      <c r="B2794" s="810">
        <v>4.708333333333333</v>
      </c>
      <c r="C2794" s="810"/>
      <c r="D2794" s="810">
        <v>8.1199999999999992</v>
      </c>
      <c r="E2794" s="808">
        <v>1.1299999999999999</v>
      </c>
      <c r="F2794" s="812">
        <v>1242.9999999999998</v>
      </c>
      <c r="G2794" s="809"/>
      <c r="H2794" s="810">
        <v>71.790000000000006</v>
      </c>
      <c r="I2794" s="809">
        <v>184.96</v>
      </c>
      <c r="J2794" s="809">
        <v>0.83499999999999996</v>
      </c>
      <c r="K2794" s="809">
        <v>7.97</v>
      </c>
      <c r="L2794" s="809">
        <v>837.60599999999999</v>
      </c>
      <c r="M2794" s="809">
        <v>0.37</v>
      </c>
      <c r="N2794" s="809">
        <v>0.36</v>
      </c>
      <c r="O2794" s="809">
        <v>1.3</v>
      </c>
      <c r="P2794" s="809">
        <v>1.89</v>
      </c>
      <c r="Q2794" s="811"/>
      <c r="R2794" s="810">
        <v>0.70764111832595367</v>
      </c>
      <c r="S2794" s="811">
        <v>4.88</v>
      </c>
      <c r="T2794" s="810"/>
      <c r="U2794" s="811"/>
      <c r="V2794" s="811"/>
      <c r="W2794" s="811"/>
      <c r="X2794" s="811"/>
      <c r="Y2794" s="811">
        <v>9.5</v>
      </c>
      <c r="Z2794" s="811"/>
      <c r="AA2794" s="811"/>
      <c r="AB2794" s="811"/>
      <c r="AC2794" s="811"/>
      <c r="AD2794" s="811">
        <v>190</v>
      </c>
      <c r="AE2794" s="811">
        <v>120</v>
      </c>
      <c r="AF2794" s="811">
        <v>690</v>
      </c>
      <c r="AG2794" s="66">
        <f t="shared" si="110"/>
        <v>296.98736842105262</v>
      </c>
      <c r="AH2794" s="143">
        <f t="shared" si="111"/>
        <v>1000</v>
      </c>
    </row>
    <row r="2795" spans="1:34" x14ac:dyDescent="0.3">
      <c r="A2795" s="811">
        <v>905171</v>
      </c>
      <c r="B2795" s="810">
        <v>4.625</v>
      </c>
      <c r="C2795" s="810"/>
      <c r="D2795" s="810">
        <v>7.91</v>
      </c>
      <c r="E2795" s="808">
        <v>2.14</v>
      </c>
      <c r="F2795" s="812">
        <v>2354.0000000000005</v>
      </c>
      <c r="G2795" s="809"/>
      <c r="H2795" s="810">
        <v>7.59</v>
      </c>
      <c r="I2795" s="809">
        <v>199.24</v>
      </c>
      <c r="J2795" s="809">
        <v>0.81399999999999995</v>
      </c>
      <c r="K2795" s="809">
        <v>12.78</v>
      </c>
      <c r="L2795" s="809">
        <v>809.06600000000003</v>
      </c>
      <c r="M2795" s="809">
        <v>0.35</v>
      </c>
      <c r="N2795" s="809">
        <v>0.4</v>
      </c>
      <c r="O2795" s="809">
        <v>2.4500000000000002</v>
      </c>
      <c r="P2795" s="809">
        <v>2.5299999999999998</v>
      </c>
      <c r="Q2795" s="811"/>
      <c r="R2795" s="810">
        <v>0.85595999389897837</v>
      </c>
      <c r="S2795" s="811">
        <v>6.1</v>
      </c>
      <c r="T2795" s="810"/>
      <c r="U2795" s="811"/>
      <c r="V2795" s="811"/>
      <c r="W2795" s="811"/>
      <c r="X2795" s="811"/>
      <c r="Y2795" s="811">
        <v>22.8</v>
      </c>
      <c r="Z2795" s="811"/>
      <c r="AA2795" s="811"/>
      <c r="AB2795" s="811"/>
      <c r="AC2795" s="811"/>
      <c r="AD2795" s="811">
        <v>380</v>
      </c>
      <c r="AE2795" s="811">
        <v>200</v>
      </c>
      <c r="AF2795" s="811">
        <v>420</v>
      </c>
      <c r="AG2795" s="66">
        <f t="shared" si="110"/>
        <v>198.42631578947368</v>
      </c>
      <c r="AH2795" s="143">
        <f t="shared" si="111"/>
        <v>1000</v>
      </c>
    </row>
    <row r="2796" spans="1:34" x14ac:dyDescent="0.3">
      <c r="A2796" s="811">
        <v>905172</v>
      </c>
      <c r="B2796" s="810">
        <v>8.5833333333333339</v>
      </c>
      <c r="C2796" s="810"/>
      <c r="D2796" s="810">
        <v>7.83</v>
      </c>
      <c r="E2796" s="808">
        <v>2.59</v>
      </c>
      <c r="F2796" s="812">
        <v>2849</v>
      </c>
      <c r="G2796" s="809"/>
      <c r="H2796" s="810">
        <v>17.36</v>
      </c>
      <c r="I2796" s="809">
        <v>247.32</v>
      </c>
      <c r="J2796" s="809">
        <v>0.28000000000000003</v>
      </c>
      <c r="K2796" s="809">
        <v>62.91</v>
      </c>
      <c r="L2796" s="809">
        <v>1191.3589999999999</v>
      </c>
      <c r="M2796" s="809">
        <v>0.28999999999999998</v>
      </c>
      <c r="N2796" s="809">
        <v>0.46</v>
      </c>
      <c r="O2796" s="809">
        <v>1.27</v>
      </c>
      <c r="P2796" s="809">
        <v>1.87</v>
      </c>
      <c r="Q2796" s="811"/>
      <c r="R2796" s="810">
        <v>1.0724323359145211</v>
      </c>
      <c r="S2796" s="811">
        <v>7.32</v>
      </c>
      <c r="T2796" s="810"/>
      <c r="U2796" s="811"/>
      <c r="V2796" s="811"/>
      <c r="W2796" s="811"/>
      <c r="X2796" s="811"/>
      <c r="Y2796" s="811">
        <v>32.200000000000003</v>
      </c>
      <c r="Z2796" s="811"/>
      <c r="AA2796" s="811"/>
      <c r="AB2796" s="811"/>
      <c r="AC2796" s="811"/>
      <c r="AD2796" s="811">
        <v>460</v>
      </c>
      <c r="AE2796" s="811">
        <v>420</v>
      </c>
      <c r="AF2796" s="811">
        <v>120</v>
      </c>
      <c r="AG2796" s="66">
        <f t="shared" si="110"/>
        <v>691.61925465838499</v>
      </c>
      <c r="AH2796" s="143">
        <f t="shared" si="111"/>
        <v>1000</v>
      </c>
    </row>
    <row r="2797" spans="1:34" x14ac:dyDescent="0.3">
      <c r="A2797" s="811">
        <v>905173</v>
      </c>
      <c r="B2797" s="810">
        <v>18.583333333333332</v>
      </c>
      <c r="C2797" s="810">
        <v>2.8750000000000009</v>
      </c>
      <c r="D2797" s="810">
        <v>8.5</v>
      </c>
      <c r="E2797" s="808">
        <v>0.35</v>
      </c>
      <c r="F2797" s="812">
        <v>385</v>
      </c>
      <c r="G2797" s="809"/>
      <c r="H2797" s="810">
        <v>40.229999999999997</v>
      </c>
      <c r="I2797" s="809">
        <v>274.72000000000003</v>
      </c>
      <c r="J2797" s="809">
        <v>0.31</v>
      </c>
      <c r="K2797" s="809">
        <v>11.59</v>
      </c>
      <c r="L2797" s="809">
        <v>936.44500000000005</v>
      </c>
      <c r="M2797" s="809">
        <v>0.63</v>
      </c>
      <c r="N2797" s="809">
        <v>0.79</v>
      </c>
      <c r="O2797" s="809">
        <v>2.17</v>
      </c>
      <c r="P2797" s="809">
        <v>2.96</v>
      </c>
      <c r="Q2797" s="811"/>
      <c r="R2797" s="810">
        <v>0.82033947899067261</v>
      </c>
      <c r="S2797" s="811">
        <v>6.1</v>
      </c>
      <c r="T2797" s="810"/>
      <c r="U2797" s="811"/>
      <c r="V2797" s="811"/>
      <c r="W2797" s="811"/>
      <c r="X2797" s="811"/>
      <c r="Y2797" s="811">
        <v>27.5</v>
      </c>
      <c r="Z2797" s="811"/>
      <c r="AA2797" s="811"/>
      <c r="AB2797" s="811"/>
      <c r="AC2797" s="811"/>
      <c r="AD2797" s="811">
        <v>550</v>
      </c>
      <c r="AE2797" s="811">
        <v>340</v>
      </c>
      <c r="AF2797" s="811">
        <v>110</v>
      </c>
      <c r="AG2797" s="66">
        <f t="shared" si="110"/>
        <v>149.19490909090908</v>
      </c>
      <c r="AH2797" s="143">
        <f t="shared" si="111"/>
        <v>1000</v>
      </c>
    </row>
    <row r="2798" spans="1:34" x14ac:dyDescent="0.3">
      <c r="A2798" s="811">
        <v>905174</v>
      </c>
      <c r="B2798" s="810">
        <v>23.333333333333332</v>
      </c>
      <c r="C2798" s="810">
        <v>6.875</v>
      </c>
      <c r="D2798" s="810">
        <v>7.92</v>
      </c>
      <c r="E2798" s="808">
        <v>1.33</v>
      </c>
      <c r="F2798" s="812">
        <v>1463.0000000000002</v>
      </c>
      <c r="G2798" s="809"/>
      <c r="H2798" s="810">
        <v>403.05</v>
      </c>
      <c r="I2798" s="809">
        <v>522.03</v>
      </c>
      <c r="J2798" s="809">
        <v>1.3169999999999999</v>
      </c>
      <c r="K2798" s="809">
        <v>12.66</v>
      </c>
      <c r="L2798" s="809">
        <v>1772.2170000000001</v>
      </c>
      <c r="M2798" s="809">
        <v>5.24</v>
      </c>
      <c r="N2798" s="809">
        <v>1.58</v>
      </c>
      <c r="O2798" s="809">
        <v>2.38</v>
      </c>
      <c r="P2798" s="809">
        <v>10.87</v>
      </c>
      <c r="Q2798" s="811"/>
      <c r="R2798" s="810">
        <v>1.4389349984919915</v>
      </c>
      <c r="S2798" s="811">
        <v>9.76</v>
      </c>
      <c r="T2798" s="810"/>
      <c r="U2798" s="811"/>
      <c r="V2798" s="811"/>
      <c r="W2798" s="811"/>
      <c r="X2798" s="811"/>
      <c r="Y2798" s="811">
        <v>39.200000000000003</v>
      </c>
      <c r="Z2798" s="811"/>
      <c r="AA2798" s="811">
        <v>4.6399999999999997</v>
      </c>
      <c r="AB2798" s="811">
        <v>0.45700000000000002</v>
      </c>
      <c r="AC2798" s="811">
        <v>9.6</v>
      </c>
      <c r="AD2798" s="811">
        <v>560</v>
      </c>
      <c r="AE2798" s="811">
        <v>320</v>
      </c>
      <c r="AF2798" s="811">
        <v>120</v>
      </c>
      <c r="AG2798" s="66">
        <f t="shared" si="110"/>
        <v>114.32755102040817</v>
      </c>
      <c r="AH2798" s="143">
        <f t="shared" si="111"/>
        <v>1000</v>
      </c>
    </row>
    <row r="2799" spans="1:34" x14ac:dyDescent="0.3">
      <c r="A2799" s="811">
        <v>905175</v>
      </c>
      <c r="B2799" s="810">
        <v>19.499999999999996</v>
      </c>
      <c r="C2799" s="810">
        <v>4.6249999999999991</v>
      </c>
      <c r="D2799" s="810">
        <v>8</v>
      </c>
      <c r="E2799" s="808">
        <v>1.38</v>
      </c>
      <c r="F2799" s="812">
        <v>1518</v>
      </c>
      <c r="G2799" s="809"/>
      <c r="H2799" s="810">
        <f>258.56*2</f>
        <v>517.12</v>
      </c>
      <c r="I2799" s="809">
        <v>1466.79</v>
      </c>
      <c r="J2799" s="809">
        <v>1.3009999999999999</v>
      </c>
      <c r="K2799" s="809">
        <v>11.75</v>
      </c>
      <c r="L2799" s="809">
        <v>1820.2729999999999</v>
      </c>
      <c r="M2799" s="809">
        <v>8.66</v>
      </c>
      <c r="N2799" s="809">
        <v>2.4300000000000002</v>
      </c>
      <c r="O2799" s="809">
        <v>13.93</v>
      </c>
      <c r="P2799" s="809">
        <v>12.81</v>
      </c>
      <c r="Q2799" s="811"/>
      <c r="R2799" s="810">
        <v>1.7356132800000001</v>
      </c>
      <c r="S2799" s="811">
        <v>14.64</v>
      </c>
      <c r="T2799" s="810"/>
      <c r="U2799" s="811"/>
      <c r="V2799" s="811"/>
      <c r="W2799" s="811"/>
      <c r="X2799" s="811"/>
      <c r="Y2799" s="811">
        <v>27.5</v>
      </c>
      <c r="Z2799" s="811"/>
      <c r="AA2799" s="811">
        <v>4.97</v>
      </c>
      <c r="AB2799" s="811">
        <v>0.71299999999999997</v>
      </c>
      <c r="AC2799" s="811">
        <v>9.4</v>
      </c>
      <c r="AD2799" s="811">
        <v>550</v>
      </c>
      <c r="AE2799" s="811">
        <v>330</v>
      </c>
      <c r="AF2799" s="811">
        <v>120</v>
      </c>
      <c r="AG2799" s="66">
        <f t="shared" si="110"/>
        <v>151.25454545454545</v>
      </c>
      <c r="AH2799" s="143">
        <f t="shared" si="111"/>
        <v>1000</v>
      </c>
    </row>
    <row r="2800" spans="1:34" x14ac:dyDescent="0.3">
      <c r="A2800" s="811">
        <v>905176</v>
      </c>
      <c r="B2800" s="810">
        <v>24</v>
      </c>
      <c r="C2800" s="810">
        <v>8.4999999999999982</v>
      </c>
      <c r="D2800" s="810">
        <v>7.91</v>
      </c>
      <c r="E2800" s="808">
        <v>1.286</v>
      </c>
      <c r="F2800" s="812">
        <v>1414.6000000000001</v>
      </c>
      <c r="G2800" s="809"/>
      <c r="H2800" s="810">
        <v>303.29000000000002</v>
      </c>
      <c r="I2800" s="809">
        <v>502.39</v>
      </c>
      <c r="J2800" s="809">
        <v>1.329</v>
      </c>
      <c r="K2800" s="809">
        <v>13.47</v>
      </c>
      <c r="L2800" s="809">
        <v>1774.277</v>
      </c>
      <c r="M2800" s="809">
        <v>3.85</v>
      </c>
      <c r="N2800" s="809">
        <v>1.26</v>
      </c>
      <c r="O2800" s="809">
        <v>3.88</v>
      </c>
      <c r="P2800" s="809">
        <v>8.01</v>
      </c>
      <c r="Q2800" s="811"/>
      <c r="R2800" s="810">
        <v>1.6929645200000001</v>
      </c>
      <c r="S2800" s="811">
        <v>13.42</v>
      </c>
      <c r="T2800" s="810"/>
      <c r="U2800" s="811"/>
      <c r="V2800" s="811"/>
      <c r="W2800" s="811"/>
      <c r="X2800" s="811"/>
      <c r="Y2800" s="811">
        <v>33.799999999999997</v>
      </c>
      <c r="Z2800" s="811"/>
      <c r="AA2800" s="811">
        <v>4.07</v>
      </c>
      <c r="AB2800" s="811">
        <v>0.76100000000000001</v>
      </c>
      <c r="AC2800" s="811">
        <v>8.5</v>
      </c>
      <c r="AD2800" s="811">
        <v>540</v>
      </c>
      <c r="AE2800" s="811">
        <v>340</v>
      </c>
      <c r="AF2800" s="811">
        <v>120</v>
      </c>
      <c r="AG2800" s="66">
        <f t="shared" si="110"/>
        <v>141.07633136094677</v>
      </c>
      <c r="AH2800" s="143">
        <f t="shared" si="111"/>
        <v>1000</v>
      </c>
    </row>
    <row r="2801" spans="1:34" x14ac:dyDescent="0.3">
      <c r="A2801" s="811">
        <v>905177</v>
      </c>
      <c r="B2801" s="810">
        <v>22.166666666666668</v>
      </c>
      <c r="C2801" s="810">
        <v>7.5</v>
      </c>
      <c r="D2801" s="810">
        <v>8.0299999999999994</v>
      </c>
      <c r="E2801" s="808">
        <v>1.29</v>
      </c>
      <c r="F2801" s="812">
        <v>1419.0000000000002</v>
      </c>
      <c r="G2801" s="809"/>
      <c r="H2801" s="810">
        <v>228.12</v>
      </c>
      <c r="I2801" s="809">
        <v>764.09</v>
      </c>
      <c r="J2801" s="809">
        <v>1.3280000000000001</v>
      </c>
      <c r="K2801" s="809">
        <v>13.45</v>
      </c>
      <c r="L2801" s="809">
        <v>1703.203</v>
      </c>
      <c r="M2801" s="809">
        <v>4.1100000000000003</v>
      </c>
      <c r="N2801" s="809">
        <v>1.38</v>
      </c>
      <c r="O2801" s="809">
        <v>4.74</v>
      </c>
      <c r="P2801" s="809">
        <v>7.01</v>
      </c>
      <c r="Q2801" s="811"/>
      <c r="R2801" s="810">
        <v>1.6014157200000001</v>
      </c>
      <c r="S2801" s="811">
        <v>10.98</v>
      </c>
      <c r="T2801" s="810"/>
      <c r="U2801" s="811"/>
      <c r="V2801" s="811"/>
      <c r="W2801" s="811"/>
      <c r="X2801" s="811"/>
      <c r="Y2801" s="811">
        <v>34.5</v>
      </c>
      <c r="Z2801" s="811"/>
      <c r="AA2801" s="811">
        <v>4.5999999999999996</v>
      </c>
      <c r="AB2801" s="811">
        <v>0.44600000000000001</v>
      </c>
      <c r="AC2801" s="811">
        <v>7</v>
      </c>
      <c r="AD2801" s="811">
        <v>550</v>
      </c>
      <c r="AE2801" s="811">
        <v>340</v>
      </c>
      <c r="AF2801" s="811">
        <v>110</v>
      </c>
      <c r="AG2801" s="66">
        <f t="shared" si="110"/>
        <v>138.00869565217391</v>
      </c>
      <c r="AH2801" s="143">
        <f t="shared" si="111"/>
        <v>1000</v>
      </c>
    </row>
    <row r="2802" spans="1:34" x14ac:dyDescent="0.3">
      <c r="A2802" s="811">
        <v>905178</v>
      </c>
      <c r="B2802" s="810">
        <v>17</v>
      </c>
      <c r="C2802" s="810">
        <v>4.375</v>
      </c>
      <c r="D2802" s="810">
        <v>7.92</v>
      </c>
      <c r="E2802" s="808">
        <v>0.37</v>
      </c>
      <c r="F2802" s="812">
        <v>407</v>
      </c>
      <c r="G2802" s="809"/>
      <c r="H2802" s="810">
        <v>1.0900000000000001</v>
      </c>
      <c r="I2802" s="809">
        <v>308.39999999999998</v>
      </c>
      <c r="J2802" s="809">
        <v>7.1999999999999995E-2</v>
      </c>
      <c r="K2802" s="809">
        <v>14.21</v>
      </c>
      <c r="L2802" s="809">
        <v>291.54000000000002</v>
      </c>
      <c r="M2802" s="809">
        <v>0.08</v>
      </c>
      <c r="N2802" s="809">
        <v>0.43</v>
      </c>
      <c r="O2802" s="809">
        <v>0.78</v>
      </c>
      <c r="P2802" s="809">
        <v>0.97</v>
      </c>
      <c r="Q2802" s="811"/>
      <c r="R2802" s="810">
        <v>1.4720400853475268</v>
      </c>
      <c r="S2802" s="811">
        <v>9.76</v>
      </c>
      <c r="T2802" s="810"/>
      <c r="U2802" s="811"/>
      <c r="V2802" s="811"/>
      <c r="W2802" s="811"/>
      <c r="X2802" s="811"/>
      <c r="Y2802" s="811">
        <v>24</v>
      </c>
      <c r="Z2802" s="811"/>
      <c r="AA2802" s="811"/>
      <c r="AB2802" s="811"/>
      <c r="AC2802" s="811"/>
      <c r="AD2802" s="811">
        <v>480</v>
      </c>
      <c r="AE2802" s="811">
        <v>350</v>
      </c>
      <c r="AF2802" s="811">
        <v>170</v>
      </c>
      <c r="AG2802" s="66">
        <f t="shared" si="110"/>
        <v>209.5975</v>
      </c>
      <c r="AH2802" s="143">
        <f t="shared" si="111"/>
        <v>1000</v>
      </c>
    </row>
    <row r="2803" spans="1:34" x14ac:dyDescent="0.3">
      <c r="A2803" s="811">
        <v>905179</v>
      </c>
      <c r="B2803" s="810">
        <v>11.5</v>
      </c>
      <c r="C2803" s="810">
        <v>5.125</v>
      </c>
      <c r="D2803" s="810">
        <v>8.14</v>
      </c>
      <c r="E2803" s="808">
        <v>0.3</v>
      </c>
      <c r="F2803" s="812">
        <v>330</v>
      </c>
      <c r="G2803" s="809"/>
      <c r="H2803" s="810">
        <v>153.80000000000001</v>
      </c>
      <c r="I2803" s="809">
        <v>637.63</v>
      </c>
      <c r="J2803" s="809">
        <v>0.29699999999999999</v>
      </c>
      <c r="K2803" s="809">
        <v>13.47</v>
      </c>
      <c r="L2803" s="809">
        <v>1102.7529999999999</v>
      </c>
      <c r="M2803" s="809">
        <v>0.68</v>
      </c>
      <c r="N2803" s="809">
        <v>1.1200000000000001</v>
      </c>
      <c r="O2803" s="809">
        <v>2.88</v>
      </c>
      <c r="P2803" s="809">
        <v>4.37</v>
      </c>
      <c r="Q2803" s="811"/>
      <c r="R2803" s="810">
        <v>0.53551902170391208</v>
      </c>
      <c r="S2803" s="811">
        <v>3.66</v>
      </c>
      <c r="T2803" s="810"/>
      <c r="U2803" s="811"/>
      <c r="V2803" s="811"/>
      <c r="W2803" s="811"/>
      <c r="X2803" s="811"/>
      <c r="Y2803" s="811">
        <v>30.4</v>
      </c>
      <c r="Z2803" s="811"/>
      <c r="AA2803" s="811"/>
      <c r="AB2803" s="811"/>
      <c r="AC2803" s="811"/>
      <c r="AD2803" s="811">
        <v>540</v>
      </c>
      <c r="AE2803" s="811">
        <v>300</v>
      </c>
      <c r="AF2803" s="811">
        <v>160</v>
      </c>
      <c r="AG2803" s="66">
        <f t="shared" si="110"/>
        <v>156.85460526315791</v>
      </c>
      <c r="AH2803" s="143">
        <f t="shared" si="111"/>
        <v>1000</v>
      </c>
    </row>
    <row r="2804" spans="1:34" x14ac:dyDescent="0.3">
      <c r="A2804" s="811">
        <v>905180</v>
      </c>
      <c r="B2804" s="810">
        <v>1.0499999999999998</v>
      </c>
      <c r="C2804" s="810"/>
      <c r="D2804" s="810">
        <v>8.33</v>
      </c>
      <c r="E2804" s="808">
        <v>0.33200000000000002</v>
      </c>
      <c r="F2804" s="812">
        <v>365.20000000000005</v>
      </c>
      <c r="G2804" s="809"/>
      <c r="H2804" s="810">
        <v>6.09</v>
      </c>
      <c r="I2804" s="809">
        <v>211.42</v>
      </c>
      <c r="J2804" s="809">
        <v>0.97799999999999998</v>
      </c>
      <c r="K2804" s="809">
        <v>6.52</v>
      </c>
      <c r="L2804" s="809">
        <v>2451.1080000000002</v>
      </c>
      <c r="M2804" s="809">
        <v>0.3</v>
      </c>
      <c r="N2804" s="809">
        <v>1.07</v>
      </c>
      <c r="O2804" s="809">
        <v>7.39</v>
      </c>
      <c r="P2804" s="809">
        <v>2.87</v>
      </c>
      <c r="Q2804" s="811"/>
      <c r="R2804" s="810">
        <v>1.438069645725031</v>
      </c>
      <c r="S2804" s="811">
        <v>9.76</v>
      </c>
      <c r="T2804" s="810"/>
      <c r="U2804" s="811"/>
      <c r="V2804" s="811"/>
      <c r="W2804" s="811"/>
      <c r="X2804" s="811"/>
      <c r="Y2804" s="811">
        <v>31.6</v>
      </c>
      <c r="Z2804" s="811"/>
      <c r="AA2804" s="811">
        <v>3.64</v>
      </c>
      <c r="AB2804" s="811">
        <v>0.34499999999999997</v>
      </c>
      <c r="AC2804" s="811">
        <v>11.3</v>
      </c>
      <c r="AD2804" s="811">
        <v>560</v>
      </c>
      <c r="AE2804" s="811">
        <v>340</v>
      </c>
      <c r="AF2804" s="811">
        <v>100</v>
      </c>
      <c r="AG2804" s="66">
        <f t="shared" si="110"/>
        <v>73.040506329113924</v>
      </c>
      <c r="AH2804" s="143">
        <f t="shared" si="111"/>
        <v>1000</v>
      </c>
    </row>
    <row r="2805" spans="1:34" x14ac:dyDescent="0.3">
      <c r="A2805" s="811">
        <v>905181</v>
      </c>
      <c r="B2805" s="810">
        <v>8.3333333333333329E-2</v>
      </c>
      <c r="C2805" s="810"/>
      <c r="D2805" s="810">
        <v>6.43</v>
      </c>
      <c r="E2805" s="808">
        <v>0.34</v>
      </c>
      <c r="F2805" s="812">
        <v>374.00000000000006</v>
      </c>
      <c r="G2805" s="809"/>
      <c r="H2805" s="810">
        <v>36.909999999999997</v>
      </c>
      <c r="I2805" s="809">
        <v>87.36</v>
      </c>
      <c r="J2805" s="809">
        <v>0.23599999999999999</v>
      </c>
      <c r="K2805" s="809">
        <v>0.76</v>
      </c>
      <c r="L2805" s="809">
        <v>179.24799999999999</v>
      </c>
      <c r="M2805" s="809">
        <v>0.41</v>
      </c>
      <c r="N2805" s="809">
        <v>0.37</v>
      </c>
      <c r="O2805" s="809">
        <v>7.32</v>
      </c>
      <c r="P2805" s="809">
        <v>11.01</v>
      </c>
      <c r="Q2805" s="811"/>
      <c r="R2805" s="810">
        <v>0.65214687140581151</v>
      </c>
      <c r="S2805" s="811">
        <v>4.88</v>
      </c>
      <c r="T2805" s="810"/>
      <c r="U2805" s="811"/>
      <c r="V2805" s="811"/>
      <c r="W2805" s="811"/>
      <c r="X2805" s="811"/>
      <c r="Y2805" s="811">
        <v>7.2</v>
      </c>
      <c r="Z2805" s="811"/>
      <c r="AA2805" s="811">
        <v>3.8</v>
      </c>
      <c r="AB2805" s="811">
        <v>0.39200000000000002</v>
      </c>
      <c r="AC2805" s="811">
        <v>9.4</v>
      </c>
      <c r="AD2805" s="811">
        <v>120</v>
      </c>
      <c r="AE2805" s="811">
        <v>120</v>
      </c>
      <c r="AF2805" s="811">
        <v>760</v>
      </c>
      <c r="AG2805" s="66">
        <f t="shared" si="110"/>
        <v>37.36666666666666</v>
      </c>
      <c r="AH2805" s="143">
        <f t="shared" si="111"/>
        <v>1000</v>
      </c>
    </row>
    <row r="2806" spans="1:34" x14ac:dyDescent="0.3">
      <c r="A2806" s="811">
        <v>905182</v>
      </c>
      <c r="B2806" s="810">
        <v>0.1</v>
      </c>
      <c r="C2806" s="810"/>
      <c r="D2806" s="810">
        <v>7.04</v>
      </c>
      <c r="E2806" s="808">
        <v>0.315</v>
      </c>
      <c r="F2806" s="812">
        <v>346.50000000000006</v>
      </c>
      <c r="G2806" s="809"/>
      <c r="H2806" s="810">
        <v>147.38</v>
      </c>
      <c r="I2806" s="809">
        <v>176.78</v>
      </c>
      <c r="J2806" s="809">
        <v>0.189</v>
      </c>
      <c r="K2806" s="809">
        <v>1.86</v>
      </c>
      <c r="L2806" s="809">
        <v>360.91399999999999</v>
      </c>
      <c r="M2806" s="809">
        <v>1.28</v>
      </c>
      <c r="N2806" s="809">
        <v>0.48</v>
      </c>
      <c r="O2806" s="809">
        <v>8.65</v>
      </c>
      <c r="P2806" s="809">
        <v>4.0999999999999996</v>
      </c>
      <c r="Q2806" s="811"/>
      <c r="R2806" s="810">
        <v>0.67991028218754535</v>
      </c>
      <c r="S2806" s="811">
        <v>4.88</v>
      </c>
      <c r="T2806" s="810"/>
      <c r="U2806" s="811"/>
      <c r="V2806" s="811"/>
      <c r="W2806" s="811"/>
      <c r="X2806" s="811"/>
      <c r="Y2806" s="811">
        <v>9.6</v>
      </c>
      <c r="Z2806" s="811"/>
      <c r="AA2806" s="811"/>
      <c r="AB2806" s="811"/>
      <c r="AC2806" s="811"/>
      <c r="AD2806" s="811">
        <v>160</v>
      </c>
      <c r="AE2806" s="811">
        <v>120</v>
      </c>
      <c r="AF2806" s="811">
        <v>720</v>
      </c>
      <c r="AG2806" s="66">
        <f t="shared" si="110"/>
        <v>68.587500000000006</v>
      </c>
      <c r="AH2806" s="143">
        <f t="shared" si="111"/>
        <v>1000</v>
      </c>
    </row>
    <row r="2807" spans="1:34" x14ac:dyDescent="0.3">
      <c r="A2807" s="811">
        <v>905183</v>
      </c>
      <c r="B2807" s="810">
        <v>1.9333333333333331</v>
      </c>
      <c r="C2807" s="810"/>
      <c r="D2807" s="810">
        <v>7.83</v>
      </c>
      <c r="E2807" s="808">
        <v>0.33200000000000002</v>
      </c>
      <c r="F2807" s="812">
        <v>365.20000000000005</v>
      </c>
      <c r="G2807" s="809"/>
      <c r="H2807" s="810">
        <v>32.65</v>
      </c>
      <c r="I2807" s="809">
        <v>64.34</v>
      </c>
      <c r="J2807" s="809">
        <v>0.247</v>
      </c>
      <c r="K2807" s="809">
        <v>6.06</v>
      </c>
      <c r="L2807" s="809">
        <v>282.02800000000002</v>
      </c>
      <c r="M2807" s="809">
        <v>0.18</v>
      </c>
      <c r="N2807" s="809">
        <v>0.16</v>
      </c>
      <c r="O2807" s="809">
        <v>1.2</v>
      </c>
      <c r="P2807" s="809">
        <v>2.37</v>
      </c>
      <c r="Q2807" s="811"/>
      <c r="R2807" s="810">
        <v>1.1014473701488152</v>
      </c>
      <c r="S2807" s="811">
        <v>7.32</v>
      </c>
      <c r="T2807" s="810"/>
      <c r="U2807" s="811"/>
      <c r="V2807" s="811"/>
      <c r="W2807" s="811"/>
      <c r="X2807" s="811"/>
      <c r="Y2807" s="811">
        <v>12.6</v>
      </c>
      <c r="Z2807" s="811"/>
      <c r="AA2807" s="811"/>
      <c r="AB2807" s="811"/>
      <c r="AC2807" s="811"/>
      <c r="AD2807" s="811">
        <v>180</v>
      </c>
      <c r="AE2807" s="811">
        <v>120</v>
      </c>
      <c r="AF2807" s="811">
        <v>700</v>
      </c>
      <c r="AG2807" s="66">
        <f t="shared" si="110"/>
        <v>170.25714285714284</v>
      </c>
      <c r="AH2807" s="143">
        <f t="shared" si="111"/>
        <v>1000</v>
      </c>
    </row>
    <row r="2808" spans="1:34" s="90" customFormat="1" x14ac:dyDescent="0.3">
      <c r="A2808" s="90">
        <v>905184</v>
      </c>
      <c r="B2808" s="90">
        <v>15.1</v>
      </c>
      <c r="C2808" s="152">
        <v>9.625</v>
      </c>
      <c r="D2808" s="90">
        <v>7.83</v>
      </c>
      <c r="E2808" s="1127">
        <v>0.51100000000000001</v>
      </c>
      <c r="F2808" s="90">
        <v>562.1</v>
      </c>
      <c r="H2808" s="90">
        <v>34.01</v>
      </c>
      <c r="I2808" s="90">
        <v>216</v>
      </c>
      <c r="J2808" s="90">
        <v>0.19900000000000001</v>
      </c>
      <c r="K2808" s="90">
        <v>13.16</v>
      </c>
      <c r="L2808" s="90">
        <v>1857</v>
      </c>
      <c r="M2808" s="90">
        <v>10.66</v>
      </c>
      <c r="N2808" s="90">
        <v>1.1100000000000001</v>
      </c>
      <c r="O2808" s="90">
        <v>2.78</v>
      </c>
      <c r="P2808" s="90">
        <v>29.78</v>
      </c>
      <c r="R2808" s="152">
        <v>1.9843405700000001</v>
      </c>
      <c r="S2808" s="90">
        <v>23.57</v>
      </c>
      <c r="U2808" s="5"/>
      <c r="V2808" s="5"/>
      <c r="Y2808" s="90">
        <v>29.4</v>
      </c>
      <c r="AA2808" s="90">
        <v>3.84</v>
      </c>
      <c r="AB2808" s="90">
        <v>0.307</v>
      </c>
      <c r="AC2808" s="90">
        <v>11.8</v>
      </c>
      <c r="AD2808" s="90">
        <v>420</v>
      </c>
      <c r="AE2808" s="90">
        <v>370</v>
      </c>
      <c r="AF2808" s="118">
        <v>210</v>
      </c>
      <c r="AG2808" s="66">
        <f t="shared" si="110"/>
        <v>158.45714285714286</v>
      </c>
      <c r="AH2808" s="143">
        <f t="shared" si="111"/>
        <v>1000</v>
      </c>
    </row>
    <row r="2809" spans="1:34" s="90" customFormat="1" x14ac:dyDescent="0.3">
      <c r="A2809" s="90">
        <v>905185</v>
      </c>
      <c r="B2809" s="803">
        <v>10</v>
      </c>
      <c r="C2809" s="803">
        <v>5.8749999999999991</v>
      </c>
      <c r="D2809" s="152">
        <v>7.92</v>
      </c>
      <c r="E2809" s="1127">
        <v>0.249</v>
      </c>
      <c r="F2809" s="90">
        <v>273.90000000000003</v>
      </c>
      <c r="H2809" s="804">
        <v>20.52</v>
      </c>
      <c r="I2809" s="804">
        <v>158</v>
      </c>
      <c r="J2809" s="853">
        <v>0.16</v>
      </c>
      <c r="K2809" s="803">
        <v>7.07</v>
      </c>
      <c r="L2809" s="90">
        <v>1174</v>
      </c>
      <c r="M2809" s="90">
        <v>1.95</v>
      </c>
      <c r="N2809" s="90">
        <v>2.91</v>
      </c>
      <c r="O2809" s="90">
        <v>4.04</v>
      </c>
      <c r="P2809" s="90">
        <v>6.79</v>
      </c>
      <c r="R2809" s="152">
        <v>1.7813437200000002</v>
      </c>
      <c r="S2809" s="803">
        <v>16.02</v>
      </c>
      <c r="U2809" s="5"/>
      <c r="V2809" s="5"/>
      <c r="Y2809" s="90">
        <v>25</v>
      </c>
      <c r="AA2809" s="90">
        <v>4.25</v>
      </c>
      <c r="AB2809" s="90">
        <v>0.60299999999999998</v>
      </c>
      <c r="AC2809" s="90">
        <v>10.5</v>
      </c>
      <c r="AD2809" s="118">
        <v>500</v>
      </c>
      <c r="AE2809" s="118">
        <v>220</v>
      </c>
      <c r="AF2809" s="118">
        <v>280</v>
      </c>
      <c r="AG2809" s="66">
        <f t="shared" si="110"/>
        <v>100.11120000000001</v>
      </c>
      <c r="AH2809" s="143">
        <f t="shared" si="111"/>
        <v>1000</v>
      </c>
    </row>
    <row r="2810" spans="1:34" s="90" customFormat="1" x14ac:dyDescent="0.3">
      <c r="A2810" s="90">
        <v>905186</v>
      </c>
      <c r="B2810" s="803">
        <v>4.2</v>
      </c>
      <c r="C2810" s="803"/>
      <c r="D2810" s="152">
        <v>7.91</v>
      </c>
      <c r="E2810" s="1127">
        <v>0.27400000000000002</v>
      </c>
      <c r="F2810" s="90">
        <v>301.40000000000003</v>
      </c>
      <c r="H2810" s="804">
        <v>31.98</v>
      </c>
      <c r="I2810" s="804">
        <v>146</v>
      </c>
      <c r="J2810" s="853">
        <v>0.46700000000000003</v>
      </c>
      <c r="K2810" s="803">
        <v>6.3</v>
      </c>
      <c r="L2810" s="90">
        <v>961</v>
      </c>
      <c r="M2810" s="90">
        <v>1.98</v>
      </c>
      <c r="N2810" s="90">
        <v>1.5</v>
      </c>
      <c r="O2810" s="90">
        <v>4.87</v>
      </c>
      <c r="P2810" s="90">
        <v>7.57</v>
      </c>
      <c r="R2810" s="152">
        <v>1.83252177</v>
      </c>
      <c r="S2810" s="803">
        <v>17.670000000000002</v>
      </c>
      <c r="U2810" s="5"/>
      <c r="V2810" s="5"/>
      <c r="Y2810" s="90">
        <v>28.2</v>
      </c>
      <c r="AA2810" s="90">
        <v>4.78</v>
      </c>
      <c r="AB2810" s="90">
        <v>0.72599999999999998</v>
      </c>
      <c r="AC2810" s="90">
        <v>7</v>
      </c>
      <c r="AD2810" s="118">
        <v>470</v>
      </c>
      <c r="AE2810" s="118">
        <v>230</v>
      </c>
      <c r="AF2810" s="118">
        <v>300</v>
      </c>
      <c r="AG2810" s="66">
        <f t="shared" si="110"/>
        <v>79.085106382978722</v>
      </c>
      <c r="AH2810" s="143">
        <f t="shared" si="111"/>
        <v>1000</v>
      </c>
    </row>
    <row r="2811" spans="1:34" s="90" customFormat="1" x14ac:dyDescent="0.3">
      <c r="A2811" s="90">
        <v>905187</v>
      </c>
      <c r="B2811" s="803">
        <v>31.7</v>
      </c>
      <c r="C2811" s="803">
        <v>14.1</v>
      </c>
      <c r="D2811" s="152">
        <v>8.1</v>
      </c>
      <c r="E2811" s="1127">
        <v>0.28399999999999997</v>
      </c>
      <c r="F2811" s="90">
        <v>312.40000000000003</v>
      </c>
      <c r="H2811" s="804">
        <v>20.99</v>
      </c>
      <c r="I2811" s="804">
        <v>208</v>
      </c>
      <c r="J2811" s="853">
        <v>0.13900000000000001</v>
      </c>
      <c r="K2811" s="803">
        <v>10.37</v>
      </c>
      <c r="L2811" s="90">
        <v>1000</v>
      </c>
      <c r="M2811" s="90">
        <v>0.87</v>
      </c>
      <c r="N2811" s="90">
        <v>0.75</v>
      </c>
      <c r="O2811" s="90">
        <v>3.06</v>
      </c>
      <c r="P2811" s="90">
        <v>5.21</v>
      </c>
      <c r="R2811" s="152">
        <v>1.70717732</v>
      </c>
      <c r="S2811" s="803">
        <v>13.82</v>
      </c>
      <c r="U2811" s="5"/>
      <c r="V2811" s="5"/>
      <c r="Y2811" s="90">
        <v>23</v>
      </c>
      <c r="AA2811" s="90">
        <v>4.62</v>
      </c>
      <c r="AB2811" s="90">
        <v>0.49299999999999999</v>
      </c>
      <c r="AC2811" s="90">
        <v>10.3</v>
      </c>
      <c r="AD2811" s="118">
        <v>460</v>
      </c>
      <c r="AE2811" s="118">
        <v>260</v>
      </c>
      <c r="AF2811" s="118">
        <v>280</v>
      </c>
      <c r="AG2811" s="66">
        <f t="shared" si="110"/>
        <v>159.60782608695649</v>
      </c>
      <c r="AH2811" s="143">
        <f t="shared" si="111"/>
        <v>1000</v>
      </c>
    </row>
    <row r="2812" spans="1:34" s="90" customFormat="1" x14ac:dyDescent="0.3">
      <c r="A2812" s="90">
        <v>905188</v>
      </c>
      <c r="B2812" s="803">
        <v>11.3</v>
      </c>
      <c r="C2812" s="803">
        <v>7.5</v>
      </c>
      <c r="D2812" s="152">
        <v>7.8</v>
      </c>
      <c r="E2812" s="1127">
        <v>0.35399999999999998</v>
      </c>
      <c r="F2812" s="90">
        <v>389.40000000000003</v>
      </c>
      <c r="H2812" s="804">
        <v>75.48</v>
      </c>
      <c r="I2812" s="804">
        <v>306</v>
      </c>
      <c r="J2812" s="853">
        <v>0.26300000000000001</v>
      </c>
      <c r="K2812" s="803">
        <v>11.56</v>
      </c>
      <c r="L2812" s="90">
        <v>1768</v>
      </c>
      <c r="M2812" s="90">
        <v>1.25</v>
      </c>
      <c r="N2812" s="90">
        <v>0.95</v>
      </c>
      <c r="O2812" s="90">
        <v>7.91</v>
      </c>
      <c r="P2812" s="90">
        <v>4.87</v>
      </c>
      <c r="R2812" s="152">
        <v>1.8656547300000001</v>
      </c>
      <c r="S2812" s="803">
        <v>18.809999999999999</v>
      </c>
      <c r="U2812" s="5"/>
      <c r="V2812" s="5"/>
      <c r="Y2812" s="90">
        <v>25.5</v>
      </c>
      <c r="AA2812" s="90">
        <v>4.0999999999999996</v>
      </c>
      <c r="AB2812" s="90">
        <v>0.51900000000000002</v>
      </c>
      <c r="AC2812" s="90">
        <v>7.9</v>
      </c>
      <c r="AD2812" s="118">
        <v>510</v>
      </c>
      <c r="AE2812" s="118">
        <v>390</v>
      </c>
      <c r="AF2812" s="118">
        <v>100</v>
      </c>
      <c r="AG2812" s="66">
        <f t="shared" si="110"/>
        <v>160.48000000000002</v>
      </c>
      <c r="AH2812" s="143">
        <f t="shared" si="111"/>
        <v>1000</v>
      </c>
    </row>
    <row r="2813" spans="1:34" s="90" customFormat="1" x14ac:dyDescent="0.3">
      <c r="A2813" s="90">
        <v>905189</v>
      </c>
      <c r="B2813" s="803">
        <v>39.200000000000003</v>
      </c>
      <c r="C2813" s="803">
        <v>13.9</v>
      </c>
      <c r="D2813" s="152">
        <v>7.92</v>
      </c>
      <c r="E2813" s="1127">
        <v>0.48099999999999998</v>
      </c>
      <c r="F2813" s="90">
        <v>529.1</v>
      </c>
      <c r="H2813" s="804">
        <v>86.21</v>
      </c>
      <c r="I2813" s="804">
        <v>176</v>
      </c>
      <c r="J2813" s="853">
        <v>0.29099999999999998</v>
      </c>
      <c r="K2813" s="803">
        <v>10.59</v>
      </c>
      <c r="L2813" s="90">
        <v>877</v>
      </c>
      <c r="M2813" s="90">
        <v>0.73</v>
      </c>
      <c r="N2813" s="90">
        <v>0.34</v>
      </c>
      <c r="O2813" s="90">
        <v>2.09</v>
      </c>
      <c r="P2813" s="90">
        <v>2.39</v>
      </c>
      <c r="R2813" s="152">
        <v>1.7761782800000001</v>
      </c>
      <c r="S2813" s="803">
        <v>15.86</v>
      </c>
      <c r="U2813" s="5"/>
      <c r="V2813" s="5"/>
      <c r="Y2813" s="90">
        <v>32.4</v>
      </c>
      <c r="AA2813" s="90">
        <v>4.25</v>
      </c>
      <c r="AB2813" s="90">
        <v>0.48599999999999999</v>
      </c>
      <c r="AC2813" s="90">
        <v>11.8</v>
      </c>
      <c r="AD2813" s="118">
        <v>540</v>
      </c>
      <c r="AE2813" s="118">
        <v>330</v>
      </c>
      <c r="AF2813" s="118">
        <v>130</v>
      </c>
      <c r="AG2813" s="66">
        <f t="shared" si="110"/>
        <v>115.70555555555555</v>
      </c>
      <c r="AH2813" s="143">
        <f t="shared" si="111"/>
        <v>1000</v>
      </c>
    </row>
    <row r="2814" spans="1:34" s="90" customFormat="1" x14ac:dyDescent="0.3">
      <c r="A2814" s="90">
        <v>905190</v>
      </c>
      <c r="B2814" s="803">
        <v>33.299999999999997</v>
      </c>
      <c r="C2814" s="803">
        <v>12.5</v>
      </c>
      <c r="D2814" s="152">
        <v>7.9</v>
      </c>
      <c r="E2814" s="1127">
        <v>0.17</v>
      </c>
      <c r="F2814" s="90">
        <v>187.00000000000003</v>
      </c>
      <c r="H2814" s="804">
        <v>10.039999999999999</v>
      </c>
      <c r="I2814" s="804">
        <v>112</v>
      </c>
      <c r="J2814" s="853">
        <v>8.8999999999999996E-2</v>
      </c>
      <c r="K2814" s="803">
        <v>10.95</v>
      </c>
      <c r="L2814" s="90">
        <v>642</v>
      </c>
      <c r="M2814" s="90">
        <v>0.34</v>
      </c>
      <c r="N2814" s="90">
        <v>0.36</v>
      </c>
      <c r="O2814" s="90">
        <v>3.79</v>
      </c>
      <c r="P2814" s="90">
        <v>3.61</v>
      </c>
      <c r="R2814" s="152">
        <v>1.6708587300000002</v>
      </c>
      <c r="S2814" s="803">
        <v>12.81</v>
      </c>
      <c r="U2814" s="5"/>
      <c r="V2814" s="5"/>
      <c r="Y2814" s="90">
        <v>33</v>
      </c>
      <c r="AA2814" s="90">
        <v>4.62</v>
      </c>
      <c r="AB2814" s="90">
        <v>0.77</v>
      </c>
      <c r="AC2814" s="90">
        <v>7.5</v>
      </c>
      <c r="AD2814" s="118">
        <v>550</v>
      </c>
      <c r="AE2814" s="118">
        <v>310</v>
      </c>
      <c r="AF2814" s="118">
        <v>140</v>
      </c>
      <c r="AG2814" s="66">
        <f t="shared" si="110"/>
        <v>117.46363636363635</v>
      </c>
      <c r="AH2814" s="143">
        <f t="shared" si="111"/>
        <v>1000</v>
      </c>
    </row>
    <row r="2815" spans="1:34" s="90" customFormat="1" x14ac:dyDescent="0.3">
      <c r="A2815" s="90">
        <v>905191</v>
      </c>
      <c r="B2815" s="803">
        <v>18.3</v>
      </c>
      <c r="C2815" s="803">
        <v>9.8000000000000007</v>
      </c>
      <c r="D2815" s="152">
        <v>7.82</v>
      </c>
      <c r="E2815" s="1127">
        <v>0.191</v>
      </c>
      <c r="F2815" s="90">
        <v>210.10000000000002</v>
      </c>
      <c r="H2815" s="804">
        <v>16.23</v>
      </c>
      <c r="I2815" s="804">
        <v>160</v>
      </c>
      <c r="J2815" s="853">
        <v>0.26700000000000002</v>
      </c>
      <c r="K2815" s="803">
        <v>10.75</v>
      </c>
      <c r="L2815" s="90">
        <v>1128</v>
      </c>
      <c r="M2815" s="90">
        <v>0.49</v>
      </c>
      <c r="N2815" s="90">
        <v>0.66</v>
      </c>
      <c r="O2815" s="90">
        <v>4.9000000000000004</v>
      </c>
      <c r="P2815" s="90">
        <v>4.7300000000000004</v>
      </c>
      <c r="R2815" s="152">
        <v>1.8164982800000002</v>
      </c>
      <c r="S2815" s="803">
        <v>17.14</v>
      </c>
      <c r="U2815" s="5"/>
      <c r="V2815" s="5"/>
      <c r="Y2815" s="90">
        <v>35.700000000000003</v>
      </c>
      <c r="AA2815" s="90">
        <v>4.58</v>
      </c>
      <c r="AB2815" s="90">
        <v>0.66600000000000004</v>
      </c>
      <c r="AC2815" s="90">
        <v>8.6</v>
      </c>
      <c r="AD2815" s="118">
        <v>510</v>
      </c>
      <c r="AE2815" s="118">
        <v>340</v>
      </c>
      <c r="AF2815" s="118">
        <v>150</v>
      </c>
      <c r="AG2815" s="66">
        <f t="shared" si="110"/>
        <v>106.59663865546217</v>
      </c>
      <c r="AH2815" s="143">
        <f t="shared" si="111"/>
        <v>1000</v>
      </c>
    </row>
    <row r="2816" spans="1:34" s="90" customFormat="1" x14ac:dyDescent="0.3">
      <c r="A2816" s="90">
        <v>905192</v>
      </c>
      <c r="B2816" s="803">
        <v>18.3</v>
      </c>
      <c r="C2816" s="803">
        <v>9.5</v>
      </c>
      <c r="D2816" s="152">
        <v>7.71</v>
      </c>
      <c r="E2816" s="1127">
        <v>0.16900000000000001</v>
      </c>
      <c r="F2816" s="90">
        <v>185.90000000000003</v>
      </c>
      <c r="H2816" s="804">
        <v>13.89</v>
      </c>
      <c r="I2816" s="804">
        <v>149</v>
      </c>
      <c r="J2816" s="853">
        <v>0.17100000000000001</v>
      </c>
      <c r="K2816" s="803">
        <v>11.46</v>
      </c>
      <c r="L2816" s="90">
        <v>600</v>
      </c>
      <c r="M2816" s="90">
        <v>0.38</v>
      </c>
      <c r="N2816" s="90">
        <v>0.43</v>
      </c>
      <c r="O2816" s="90">
        <v>4.97</v>
      </c>
      <c r="P2816" s="90">
        <v>4.0999999999999996</v>
      </c>
      <c r="R2816" s="152">
        <v>1.8681930000000002</v>
      </c>
      <c r="S2816" s="803">
        <v>18.899999999999999</v>
      </c>
      <c r="U2816" s="5"/>
      <c r="V2816" s="5"/>
      <c r="Y2816" s="90">
        <v>36.4</v>
      </c>
      <c r="AA2816" s="90">
        <v>4.8099999999999996</v>
      </c>
      <c r="AB2816" s="90">
        <v>0.62</v>
      </c>
      <c r="AC2816" s="90">
        <v>11.8</v>
      </c>
      <c r="AD2816" s="118">
        <v>520</v>
      </c>
      <c r="AE2816" s="118">
        <v>340</v>
      </c>
      <c r="AF2816" s="118">
        <v>140</v>
      </c>
      <c r="AG2816" s="66">
        <f t="shared" si="110"/>
        <v>111.45164835164837</v>
      </c>
      <c r="AH2816" s="143">
        <f t="shared" si="111"/>
        <v>1000</v>
      </c>
    </row>
    <row r="2817" spans="1:34" s="90" customFormat="1" x14ac:dyDescent="0.3">
      <c r="A2817" s="90">
        <v>905193</v>
      </c>
      <c r="B2817" s="803">
        <v>0.1</v>
      </c>
      <c r="C2817" s="803"/>
      <c r="D2817" s="152">
        <v>6.6</v>
      </c>
      <c r="E2817" s="1127">
        <v>5.0999999999999997E-2</v>
      </c>
      <c r="F2817" s="90">
        <v>56.1</v>
      </c>
      <c r="H2817" s="804">
        <v>144.22</v>
      </c>
      <c r="I2817" s="804">
        <v>114</v>
      </c>
      <c r="J2817" s="853">
        <v>0.191</v>
      </c>
      <c r="K2817" s="803">
        <v>1.34</v>
      </c>
      <c r="L2817" s="90">
        <v>71</v>
      </c>
      <c r="M2817" s="90">
        <v>1.07</v>
      </c>
      <c r="N2817" s="90">
        <v>0.7</v>
      </c>
      <c r="O2817" s="90">
        <v>4.1399999999999997</v>
      </c>
      <c r="P2817" s="90">
        <v>23.28</v>
      </c>
      <c r="R2817" s="152">
        <v>0.75642481982643273</v>
      </c>
      <c r="S2817" s="803">
        <v>5.29</v>
      </c>
      <c r="U2817" s="400"/>
      <c r="V2817" s="400"/>
      <c r="Y2817" s="90">
        <v>3.5</v>
      </c>
      <c r="Z2817" s="90">
        <v>6.11</v>
      </c>
      <c r="AD2817" s="118">
        <v>70</v>
      </c>
      <c r="AE2817" s="118">
        <v>60</v>
      </c>
      <c r="AF2817" s="118">
        <v>870</v>
      </c>
      <c r="AG2817" s="66">
        <f t="shared" si="110"/>
        <v>135.53142857142859</v>
      </c>
      <c r="AH2817" s="143">
        <f t="shared" si="111"/>
        <v>1000</v>
      </c>
    </row>
    <row r="2818" spans="1:34" s="90" customFormat="1" x14ac:dyDescent="0.3">
      <c r="A2818" s="90">
        <v>905194</v>
      </c>
      <c r="B2818" s="803">
        <v>0.1</v>
      </c>
      <c r="C2818" s="803"/>
      <c r="D2818" s="152">
        <v>6.6</v>
      </c>
      <c r="E2818" s="1127">
        <v>6.9000000000000006E-2</v>
      </c>
      <c r="F2818" s="90">
        <v>75.900000000000006</v>
      </c>
      <c r="H2818" s="804">
        <v>114.23</v>
      </c>
      <c r="I2818" s="804">
        <v>86</v>
      </c>
      <c r="J2818" s="853">
        <v>4.9000000000000002E-2</v>
      </c>
      <c r="K2818" s="803">
        <v>1.37</v>
      </c>
      <c r="L2818" s="90">
        <v>89</v>
      </c>
      <c r="M2818" s="90">
        <v>1.21</v>
      </c>
      <c r="N2818" s="90">
        <v>0.71</v>
      </c>
      <c r="O2818" s="90">
        <v>5.39</v>
      </c>
      <c r="P2818" s="90">
        <v>19.55</v>
      </c>
      <c r="R2818" s="152">
        <v>0.84607498546587656</v>
      </c>
      <c r="S2818" s="803">
        <v>5.76</v>
      </c>
      <c r="U2818" s="400"/>
      <c r="V2818" s="400"/>
      <c r="Y2818" s="90">
        <v>4.2</v>
      </c>
      <c r="Z2818" s="90">
        <v>5.8</v>
      </c>
      <c r="AD2818" s="118">
        <v>60</v>
      </c>
      <c r="AE2818" s="118">
        <v>80</v>
      </c>
      <c r="AF2818" s="118">
        <v>860</v>
      </c>
      <c r="AG2818" s="66">
        <f t="shared" ref="AG2818:AG2881" si="112">+K2818*3.54*100/Y2818</f>
        <v>115.47142857142858</v>
      </c>
      <c r="AH2818" s="143">
        <f t="shared" ref="AH2818:AH2881" si="113">+SUM(AD2818:AF2818)</f>
        <v>1000</v>
      </c>
    </row>
    <row r="2819" spans="1:34" s="90" customFormat="1" x14ac:dyDescent="0.3">
      <c r="A2819" s="90">
        <v>905195</v>
      </c>
      <c r="B2819" s="803">
        <v>0.7</v>
      </c>
      <c r="C2819" s="803"/>
      <c r="D2819" s="152">
        <v>7.51</v>
      </c>
      <c r="E2819" s="1127">
        <v>0.157</v>
      </c>
      <c r="F2819" s="90">
        <v>172.70000000000002</v>
      </c>
      <c r="H2819" s="804">
        <v>129.47</v>
      </c>
      <c r="I2819" s="804">
        <v>97</v>
      </c>
      <c r="J2819" s="853">
        <v>6.2E-2</v>
      </c>
      <c r="K2819" s="803">
        <v>2.06</v>
      </c>
      <c r="L2819" s="90">
        <v>117</v>
      </c>
      <c r="M2819" s="90">
        <v>2.48</v>
      </c>
      <c r="N2819" s="90">
        <v>0.22</v>
      </c>
      <c r="O2819" s="90">
        <v>2.44</v>
      </c>
      <c r="P2819" s="90">
        <v>6.36</v>
      </c>
      <c r="R2819" s="152">
        <v>1.60415825</v>
      </c>
      <c r="S2819" s="803">
        <v>11.05</v>
      </c>
      <c r="U2819" s="400"/>
      <c r="V2819" s="400"/>
      <c r="Y2819" s="90">
        <v>3</v>
      </c>
      <c r="AD2819" s="118">
        <v>60</v>
      </c>
      <c r="AE2819" s="118">
        <v>60</v>
      </c>
      <c r="AF2819" s="118">
        <v>880</v>
      </c>
      <c r="AG2819" s="66">
        <f t="shared" si="112"/>
        <v>243.08</v>
      </c>
      <c r="AH2819" s="143">
        <f t="shared" si="113"/>
        <v>1000</v>
      </c>
    </row>
    <row r="2820" spans="1:34" s="90" customFormat="1" x14ac:dyDescent="0.3">
      <c r="A2820" s="90">
        <v>905196</v>
      </c>
      <c r="B2820" s="803">
        <v>2.6</v>
      </c>
      <c r="C2820" s="803"/>
      <c r="D2820" s="152">
        <v>7.92</v>
      </c>
      <c r="E2820" s="1127">
        <v>0.23</v>
      </c>
      <c r="F2820" s="90">
        <v>253.00000000000006</v>
      </c>
      <c r="H2820" s="804">
        <v>36.07</v>
      </c>
      <c r="I2820" s="804">
        <v>531</v>
      </c>
      <c r="J2820" s="853">
        <v>0.08</v>
      </c>
      <c r="K2820" s="803">
        <v>6.51</v>
      </c>
      <c r="L2820" s="90">
        <v>957</v>
      </c>
      <c r="M2820" s="90">
        <v>1.05</v>
      </c>
      <c r="N2820" s="90">
        <v>1.54</v>
      </c>
      <c r="O2820" s="90">
        <v>10.29</v>
      </c>
      <c r="P2820" s="90">
        <v>3.76</v>
      </c>
      <c r="R2820" s="152">
        <v>1.7498134800000003</v>
      </c>
      <c r="S2820" s="803">
        <v>15.06</v>
      </c>
      <c r="U2820" s="400"/>
      <c r="V2820" s="400"/>
      <c r="Y2820" s="90">
        <v>37.799999999999997</v>
      </c>
      <c r="AD2820" s="118">
        <v>540</v>
      </c>
      <c r="AE2820" s="118">
        <v>300</v>
      </c>
      <c r="AF2820" s="118">
        <v>160</v>
      </c>
      <c r="AG2820" s="66">
        <f t="shared" si="112"/>
        <v>60.966666666666669</v>
      </c>
      <c r="AH2820" s="143">
        <f t="shared" si="113"/>
        <v>1000</v>
      </c>
    </row>
    <row r="2821" spans="1:34" s="90" customFormat="1" x14ac:dyDescent="0.3">
      <c r="A2821" s="90">
        <v>905197</v>
      </c>
      <c r="B2821" s="803">
        <v>2.2999999999999998</v>
      </c>
      <c r="C2821" s="803"/>
      <c r="D2821" s="152">
        <v>8.0299999999999994</v>
      </c>
      <c r="E2821" s="1127">
        <v>0.20300000000000001</v>
      </c>
      <c r="F2821" s="90">
        <v>223.30000000000004</v>
      </c>
      <c r="H2821" s="804">
        <v>41.67</v>
      </c>
      <c r="I2821" s="804">
        <v>167</v>
      </c>
      <c r="J2821" s="853">
        <v>0.221</v>
      </c>
      <c r="K2821" s="803">
        <v>5.65</v>
      </c>
      <c r="L2821" s="90">
        <v>340</v>
      </c>
      <c r="M2821" s="90">
        <v>0.99</v>
      </c>
      <c r="N2821" s="90">
        <v>0.94</v>
      </c>
      <c r="O2821" s="90">
        <v>7.02</v>
      </c>
      <c r="P2821" s="90">
        <v>4.41</v>
      </c>
      <c r="R2821" s="152">
        <v>1.2245343880438722</v>
      </c>
      <c r="S2821" s="803">
        <v>8.1199999999999992</v>
      </c>
      <c r="U2821" s="400"/>
      <c r="V2821" s="400"/>
      <c r="Y2821" s="90">
        <v>20</v>
      </c>
      <c r="AA2821" s="90">
        <v>4.1399999999999997</v>
      </c>
      <c r="AB2821" s="90">
        <v>0.49299999999999999</v>
      </c>
      <c r="AC2821" s="90">
        <v>8.4</v>
      </c>
      <c r="AD2821" s="118">
        <v>400</v>
      </c>
      <c r="AE2821" s="118">
        <v>280</v>
      </c>
      <c r="AF2821" s="118">
        <v>320</v>
      </c>
      <c r="AG2821" s="66">
        <f t="shared" si="112"/>
        <v>100.00500000000001</v>
      </c>
      <c r="AH2821" s="143">
        <f t="shared" si="113"/>
        <v>1000</v>
      </c>
    </row>
    <row r="2822" spans="1:34" s="90" customFormat="1" x14ac:dyDescent="0.3">
      <c r="A2822" s="90">
        <v>905198</v>
      </c>
      <c r="B2822" s="803">
        <v>2</v>
      </c>
      <c r="C2822" s="803"/>
      <c r="D2822" s="152">
        <v>7.93</v>
      </c>
      <c r="E2822" s="1127">
        <v>0.19600000000000001</v>
      </c>
      <c r="F2822" s="90">
        <v>215.60000000000002</v>
      </c>
      <c r="H2822" s="804">
        <v>42.65</v>
      </c>
      <c r="I2822" s="804">
        <v>143</v>
      </c>
      <c r="J2822" s="853">
        <v>0.16500000000000001</v>
      </c>
      <c r="K2822" s="803">
        <v>5.51</v>
      </c>
      <c r="L2822" s="90">
        <v>314</v>
      </c>
      <c r="M2822" s="90">
        <v>0.79</v>
      </c>
      <c r="N2822" s="90">
        <v>1.1599999999999999</v>
      </c>
      <c r="O2822" s="90">
        <v>8.3699999999999992</v>
      </c>
      <c r="P2822" s="90">
        <v>4.3</v>
      </c>
      <c r="R2822" s="152">
        <v>0.60772953848201061</v>
      </c>
      <c r="S2822" s="803">
        <v>4.49</v>
      </c>
      <c r="U2822" s="5"/>
      <c r="V2822" s="5"/>
      <c r="Y2822" s="90">
        <v>23</v>
      </c>
      <c r="AA2822" s="90">
        <v>3.72</v>
      </c>
      <c r="AB2822" s="90">
        <v>0.60099999999999998</v>
      </c>
      <c r="AC2822" s="90">
        <v>6.4</v>
      </c>
      <c r="AD2822" s="118">
        <v>460</v>
      </c>
      <c r="AE2822" s="118">
        <v>300</v>
      </c>
      <c r="AF2822" s="118">
        <v>240</v>
      </c>
      <c r="AG2822" s="66">
        <f t="shared" si="112"/>
        <v>84.806086956521725</v>
      </c>
      <c r="AH2822" s="143">
        <f t="shared" si="113"/>
        <v>1000</v>
      </c>
    </row>
    <row r="2823" spans="1:34" s="90" customFormat="1" x14ac:dyDescent="0.3">
      <c r="A2823" s="90">
        <v>905199</v>
      </c>
      <c r="B2823" s="803">
        <v>0.3</v>
      </c>
      <c r="C2823" s="803"/>
      <c r="D2823" s="152">
        <v>7.84</v>
      </c>
      <c r="E2823" s="1127">
        <v>0.247</v>
      </c>
      <c r="F2823" s="90">
        <v>271.7</v>
      </c>
      <c r="H2823" s="804">
        <v>22.36</v>
      </c>
      <c r="I2823" s="804">
        <v>205</v>
      </c>
      <c r="J2823" s="853">
        <v>0.13600000000000001</v>
      </c>
      <c r="K2823" s="803">
        <v>2.38</v>
      </c>
      <c r="L2823" s="90">
        <v>318</v>
      </c>
      <c r="M2823" s="90">
        <v>0.5</v>
      </c>
      <c r="N2823" s="90">
        <v>0.86</v>
      </c>
      <c r="O2823" s="90">
        <v>13.19</v>
      </c>
      <c r="P2823" s="90">
        <v>3.32</v>
      </c>
      <c r="R2823" s="152">
        <v>1.3053958791444078</v>
      </c>
      <c r="S2823" s="803">
        <v>9.73</v>
      </c>
      <c r="U2823" s="5"/>
      <c r="V2823" s="5"/>
      <c r="Y2823" s="90">
        <v>15.5</v>
      </c>
      <c r="AA2823" s="90">
        <v>4.83</v>
      </c>
      <c r="AB2823" s="90">
        <v>0.41399999999999998</v>
      </c>
      <c r="AC2823" s="90">
        <v>9.4</v>
      </c>
      <c r="AD2823" s="118">
        <v>310</v>
      </c>
      <c r="AE2823" s="118">
        <v>130</v>
      </c>
      <c r="AF2823" s="118">
        <v>560</v>
      </c>
      <c r="AG2823" s="66">
        <f t="shared" si="112"/>
        <v>54.35612903225806</v>
      </c>
      <c r="AH2823" s="143">
        <f t="shared" si="113"/>
        <v>1000</v>
      </c>
    </row>
    <row r="2824" spans="1:34" s="90" customFormat="1" x14ac:dyDescent="0.3">
      <c r="A2824" s="90">
        <v>905200</v>
      </c>
      <c r="B2824" s="803">
        <v>2.2000000000000002</v>
      </c>
      <c r="C2824" s="803"/>
      <c r="D2824" s="152">
        <v>8.0500000000000007</v>
      </c>
      <c r="E2824" s="1127">
        <v>0.34</v>
      </c>
      <c r="F2824" s="90">
        <v>374.00000000000006</v>
      </c>
      <c r="H2824" s="804">
        <v>31.86</v>
      </c>
      <c r="I2824" s="804">
        <v>137</v>
      </c>
      <c r="J2824" s="853">
        <v>0.22800000000000001</v>
      </c>
      <c r="K2824" s="803">
        <v>6.92</v>
      </c>
      <c r="L2824" s="90">
        <v>462</v>
      </c>
      <c r="M2824" s="90">
        <v>1.18</v>
      </c>
      <c r="N2824" s="90">
        <v>1.38</v>
      </c>
      <c r="O2824" s="90">
        <v>7.09</v>
      </c>
      <c r="P2824" s="90">
        <v>3.31</v>
      </c>
      <c r="R2824" s="152">
        <v>1.3040415185978143</v>
      </c>
      <c r="S2824" s="803">
        <v>8.69</v>
      </c>
      <c r="U2824" s="5"/>
      <c r="V2824" s="5"/>
      <c r="Y2824" s="90">
        <v>35</v>
      </c>
      <c r="AA2824" s="90">
        <v>3.48</v>
      </c>
      <c r="AB2824" s="90">
        <v>0.57899999999999996</v>
      </c>
      <c r="AC2824" s="90">
        <v>11.5</v>
      </c>
      <c r="AD2824" s="118">
        <v>500</v>
      </c>
      <c r="AE2824" s="118">
        <v>320</v>
      </c>
      <c r="AF2824" s="118">
        <v>180</v>
      </c>
      <c r="AG2824" s="66">
        <f t="shared" si="112"/>
        <v>69.990857142857138</v>
      </c>
      <c r="AH2824" s="143">
        <f t="shared" si="113"/>
        <v>1000</v>
      </c>
    </row>
    <row r="2825" spans="1:34" s="90" customFormat="1" x14ac:dyDescent="0.3">
      <c r="A2825" s="90">
        <v>905201</v>
      </c>
      <c r="B2825" s="803">
        <v>0.2</v>
      </c>
      <c r="C2825" s="803"/>
      <c r="D2825" s="152">
        <v>7.44</v>
      </c>
      <c r="E2825" s="1127">
        <v>0.41199999999999998</v>
      </c>
      <c r="F2825" s="90">
        <v>453.2</v>
      </c>
      <c r="H2825" s="804">
        <v>155.87</v>
      </c>
      <c r="I2825" s="804">
        <v>238</v>
      </c>
      <c r="J2825" s="853">
        <v>0.60699999999999998</v>
      </c>
      <c r="K2825" s="803">
        <v>3.81</v>
      </c>
      <c r="L2825" s="90">
        <v>1280</v>
      </c>
      <c r="M2825" s="90">
        <v>2.79</v>
      </c>
      <c r="N2825" s="90">
        <v>0.99</v>
      </c>
      <c r="O2825" s="90">
        <v>2.5299999999999998</v>
      </c>
      <c r="P2825" s="90">
        <v>14.39</v>
      </c>
      <c r="R2825" s="152">
        <v>1.6369130000000003</v>
      </c>
      <c r="S2825" s="803">
        <v>11.9</v>
      </c>
      <c r="U2825" s="5"/>
      <c r="V2825" s="5"/>
      <c r="Y2825" s="90">
        <v>29</v>
      </c>
      <c r="AA2825" s="90">
        <v>4.83</v>
      </c>
      <c r="AB2825" s="90">
        <v>0.26400000000000001</v>
      </c>
      <c r="AC2825" s="90">
        <v>6.3</v>
      </c>
      <c r="AD2825" s="118">
        <v>580</v>
      </c>
      <c r="AE2825" s="118">
        <v>300</v>
      </c>
      <c r="AF2825" s="118">
        <v>120</v>
      </c>
      <c r="AG2825" s="66">
        <f t="shared" si="112"/>
        <v>46.508275862068963</v>
      </c>
      <c r="AH2825" s="143">
        <f t="shared" si="113"/>
        <v>1000</v>
      </c>
    </row>
    <row r="2826" spans="1:34" s="90" customFormat="1" x14ac:dyDescent="0.3">
      <c r="A2826" s="90">
        <v>905202</v>
      </c>
      <c r="B2826" s="803">
        <v>0.3</v>
      </c>
      <c r="C2826" s="803"/>
      <c r="D2826" s="152">
        <v>7.43</v>
      </c>
      <c r="E2826" s="1127">
        <v>1.1100000000000001</v>
      </c>
      <c r="F2826" s="90">
        <v>1221.0000000000002</v>
      </c>
      <c r="H2826" s="804">
        <v>158.85</v>
      </c>
      <c r="I2826" s="804">
        <v>467</v>
      </c>
      <c r="J2826" s="853">
        <v>1.036</v>
      </c>
      <c r="K2826" s="803">
        <v>5.14</v>
      </c>
      <c r="L2826" s="90">
        <v>1509</v>
      </c>
      <c r="M2826" s="90">
        <v>2.09</v>
      </c>
      <c r="N2826" s="90">
        <v>0.4</v>
      </c>
      <c r="O2826" s="90">
        <v>7.21</v>
      </c>
      <c r="P2826" s="90">
        <v>6.7</v>
      </c>
      <c r="R2826" s="152">
        <v>1.58002848</v>
      </c>
      <c r="S2826" s="803">
        <v>10.44</v>
      </c>
      <c r="U2826" s="5"/>
      <c r="V2826" s="5"/>
      <c r="Y2826" s="90">
        <v>39.9</v>
      </c>
      <c r="AA2826" s="90">
        <v>4.83</v>
      </c>
      <c r="AB2826" s="90">
        <v>0.501</v>
      </c>
      <c r="AC2826" s="90">
        <v>6.1</v>
      </c>
      <c r="AD2826" s="118">
        <v>570</v>
      </c>
      <c r="AE2826" s="118">
        <v>320</v>
      </c>
      <c r="AF2826" s="118">
        <v>110</v>
      </c>
      <c r="AG2826" s="66">
        <f t="shared" si="112"/>
        <v>45.603007518796993</v>
      </c>
      <c r="AH2826" s="143">
        <f t="shared" si="113"/>
        <v>1000</v>
      </c>
    </row>
    <row r="2827" spans="1:34" s="90" customFormat="1" x14ac:dyDescent="0.3">
      <c r="A2827" s="90">
        <v>905203</v>
      </c>
      <c r="B2827" s="803">
        <v>0.3</v>
      </c>
      <c r="C2827" s="803"/>
      <c r="D2827" s="152">
        <v>7.62</v>
      </c>
      <c r="E2827" s="1127">
        <v>0.872</v>
      </c>
      <c r="F2827" s="90">
        <v>959.2</v>
      </c>
      <c r="H2827" s="804">
        <v>99.15</v>
      </c>
      <c r="I2827" s="804">
        <v>293</v>
      </c>
      <c r="J2827" s="853">
        <v>0.995</v>
      </c>
      <c r="K2827" s="803">
        <v>5.27</v>
      </c>
      <c r="L2827" s="90">
        <v>1275</v>
      </c>
      <c r="M2827" s="90">
        <v>1.64</v>
      </c>
      <c r="N2827" s="90">
        <v>1.38</v>
      </c>
      <c r="O2827" s="90">
        <v>2.16</v>
      </c>
      <c r="P2827" s="90">
        <v>5.33</v>
      </c>
      <c r="R2827" s="152">
        <v>1.4542563505821486</v>
      </c>
      <c r="S2827" s="803">
        <v>9.52</v>
      </c>
      <c r="U2827" s="5"/>
      <c r="V2827" s="5"/>
      <c r="Y2827" s="90">
        <v>37.6</v>
      </c>
      <c r="AA2827" s="90">
        <v>4.9000000000000004</v>
      </c>
      <c r="AB2827" s="90">
        <v>0.74299999999999999</v>
      </c>
      <c r="AC2827" s="90">
        <v>12</v>
      </c>
      <c r="AD2827" s="118">
        <v>580</v>
      </c>
      <c r="AE2827" s="118">
        <v>300</v>
      </c>
      <c r="AF2827" s="118">
        <v>120</v>
      </c>
      <c r="AG2827" s="66">
        <f t="shared" si="112"/>
        <v>49.616489361702122</v>
      </c>
      <c r="AH2827" s="143">
        <f t="shared" si="113"/>
        <v>1000</v>
      </c>
    </row>
    <row r="2828" spans="1:34" s="90" customFormat="1" x14ac:dyDescent="0.3">
      <c r="A2828" s="90">
        <v>905204</v>
      </c>
      <c r="B2828" s="803">
        <v>0.3</v>
      </c>
      <c r="C2828" s="803"/>
      <c r="D2828" s="152">
        <v>7.51</v>
      </c>
      <c r="E2828" s="1127">
        <v>0.42499999999999999</v>
      </c>
      <c r="F2828" s="90">
        <v>467.5</v>
      </c>
      <c r="H2828" s="804">
        <v>26.07</v>
      </c>
      <c r="I2828" s="804">
        <v>263</v>
      </c>
      <c r="J2828" s="853">
        <v>0.317</v>
      </c>
      <c r="K2828" s="803">
        <v>6.05</v>
      </c>
      <c r="L2828" s="90">
        <v>963</v>
      </c>
      <c r="M2828" s="90">
        <v>1.17</v>
      </c>
      <c r="N2828" s="90">
        <v>0.77</v>
      </c>
      <c r="O2828" s="90">
        <v>2.77</v>
      </c>
      <c r="P2828" s="90">
        <v>5.0599999999999996</v>
      </c>
      <c r="R2828" s="152">
        <v>1.5493992043841565</v>
      </c>
      <c r="S2828" s="803">
        <v>10.14</v>
      </c>
      <c r="U2828" s="5"/>
      <c r="V2828" s="5"/>
      <c r="Y2828" s="90">
        <v>29</v>
      </c>
      <c r="AA2828" s="90">
        <v>4.1399999999999997</v>
      </c>
      <c r="AB2828" s="90">
        <v>0.77300000000000002</v>
      </c>
      <c r="AC2828" s="90">
        <v>9.1</v>
      </c>
      <c r="AD2828" s="118">
        <v>580</v>
      </c>
      <c r="AE2828" s="118">
        <v>310</v>
      </c>
      <c r="AF2828" s="118">
        <v>110</v>
      </c>
      <c r="AG2828" s="66">
        <f t="shared" si="112"/>
        <v>73.851724137931029</v>
      </c>
      <c r="AH2828" s="143">
        <f t="shared" si="113"/>
        <v>1000</v>
      </c>
    </row>
    <row r="2829" spans="1:34" s="90" customFormat="1" x14ac:dyDescent="0.3">
      <c r="A2829" s="90">
        <v>905205</v>
      </c>
      <c r="B2829" s="803">
        <v>1.2</v>
      </c>
      <c r="C2829" s="803"/>
      <c r="D2829" s="152">
        <v>7.9</v>
      </c>
      <c r="E2829" s="1127">
        <v>0.86499999999999999</v>
      </c>
      <c r="F2829" s="90">
        <v>951.5</v>
      </c>
      <c r="H2829" s="804">
        <v>122.28</v>
      </c>
      <c r="I2829" s="804">
        <v>146</v>
      </c>
      <c r="J2829" s="853">
        <v>0.75800000000000001</v>
      </c>
      <c r="K2829" s="803">
        <v>5.13</v>
      </c>
      <c r="L2829" s="90">
        <v>677</v>
      </c>
      <c r="M2829" s="90">
        <v>0.47</v>
      </c>
      <c r="N2829" s="90">
        <v>0.73</v>
      </c>
      <c r="O2829" s="90">
        <v>5.14</v>
      </c>
      <c r="P2829" s="90">
        <v>16.82</v>
      </c>
      <c r="R2829" s="152">
        <v>1.1773223595491271</v>
      </c>
      <c r="S2829" s="803">
        <v>8.8000000000000007</v>
      </c>
      <c r="U2829" s="5"/>
      <c r="V2829" s="5"/>
      <c r="Y2829" s="90">
        <v>36.4</v>
      </c>
      <c r="AA2829" s="90">
        <v>4.1500000000000004</v>
      </c>
      <c r="AB2829" s="90">
        <v>0.46600000000000003</v>
      </c>
      <c r="AC2829" s="90">
        <v>10.7</v>
      </c>
      <c r="AD2829" s="118">
        <v>520</v>
      </c>
      <c r="AE2829" s="118">
        <v>340</v>
      </c>
      <c r="AF2829" s="118">
        <v>140</v>
      </c>
      <c r="AG2829" s="66">
        <f t="shared" si="112"/>
        <v>49.89065934065934</v>
      </c>
      <c r="AH2829" s="143">
        <f t="shared" si="113"/>
        <v>1000</v>
      </c>
    </row>
    <row r="2830" spans="1:34" s="90" customFormat="1" x14ac:dyDescent="0.3">
      <c r="A2830" s="90">
        <v>905206</v>
      </c>
      <c r="B2830" s="803">
        <v>2.4</v>
      </c>
      <c r="C2830" s="803"/>
      <c r="D2830" s="152">
        <v>8</v>
      </c>
      <c r="E2830" s="1127">
        <v>0.46</v>
      </c>
      <c r="F2830" s="90">
        <v>506.00000000000011</v>
      </c>
      <c r="H2830" s="804">
        <v>0.03</v>
      </c>
      <c r="I2830" s="804">
        <v>171</v>
      </c>
      <c r="J2830" s="853">
        <v>0.74</v>
      </c>
      <c r="K2830" s="803">
        <v>7.01</v>
      </c>
      <c r="L2830" s="90">
        <v>1295</v>
      </c>
      <c r="M2830" s="90">
        <v>0.27</v>
      </c>
      <c r="N2830" s="90">
        <v>0.26</v>
      </c>
      <c r="O2830" s="90">
        <v>2.61</v>
      </c>
      <c r="P2830" s="90">
        <v>5.62</v>
      </c>
      <c r="R2830" s="152">
        <v>1.2068666786854612</v>
      </c>
      <c r="S2830" s="803">
        <v>8.66</v>
      </c>
      <c r="U2830" s="5"/>
      <c r="V2830" s="5"/>
      <c r="Y2830" s="90">
        <v>34.200000000000003</v>
      </c>
      <c r="AA2830" s="90">
        <v>3.93</v>
      </c>
      <c r="AB2830" s="90">
        <v>0.32500000000000001</v>
      </c>
      <c r="AC2830" s="90">
        <v>7.6</v>
      </c>
      <c r="AD2830" s="118">
        <v>570</v>
      </c>
      <c r="AE2830" s="118">
        <v>330</v>
      </c>
      <c r="AF2830" s="118">
        <v>100</v>
      </c>
      <c r="AG2830" s="66">
        <f t="shared" si="112"/>
        <v>72.559649122807016</v>
      </c>
      <c r="AH2830" s="143">
        <f t="shared" si="113"/>
        <v>1000</v>
      </c>
    </row>
    <row r="2831" spans="1:34" s="90" customFormat="1" x14ac:dyDescent="0.3">
      <c r="A2831" s="90">
        <v>905207</v>
      </c>
      <c r="B2831" s="803">
        <v>0.4</v>
      </c>
      <c r="C2831" s="803"/>
      <c r="D2831" s="152">
        <v>7.92</v>
      </c>
      <c r="E2831" s="1127">
        <v>0.36599999999999999</v>
      </c>
      <c r="F2831" s="90">
        <v>402.6</v>
      </c>
      <c r="H2831" s="804">
        <v>44.85</v>
      </c>
      <c r="I2831" s="804">
        <v>266</v>
      </c>
      <c r="J2831" s="853">
        <v>0.72399999999999998</v>
      </c>
      <c r="K2831" s="803">
        <v>5.81</v>
      </c>
      <c r="L2831" s="90">
        <v>1592</v>
      </c>
      <c r="M2831" s="90">
        <v>0.45</v>
      </c>
      <c r="N2831" s="90">
        <v>0.41</v>
      </c>
      <c r="O2831" s="90">
        <v>1.92</v>
      </c>
      <c r="P2831" s="90">
        <v>10.49</v>
      </c>
      <c r="R2831" s="152">
        <v>1.6208547200000001</v>
      </c>
      <c r="S2831" s="803">
        <v>11.48</v>
      </c>
      <c r="U2831" s="5"/>
      <c r="V2831" s="5"/>
      <c r="Y2831" s="90">
        <v>35.4</v>
      </c>
      <c r="AA2831" s="90">
        <v>3.66</v>
      </c>
      <c r="AB2831" s="90">
        <v>0.3</v>
      </c>
      <c r="AC2831" s="90">
        <v>11.4</v>
      </c>
      <c r="AD2831" s="118">
        <v>590</v>
      </c>
      <c r="AE2831" s="118">
        <v>300</v>
      </c>
      <c r="AF2831" s="118">
        <v>110</v>
      </c>
      <c r="AG2831" s="66">
        <f t="shared" si="112"/>
        <v>58.099999999999994</v>
      </c>
      <c r="AH2831" s="143">
        <f t="shared" si="113"/>
        <v>1000</v>
      </c>
    </row>
    <row r="2832" spans="1:34" s="90" customFormat="1" x14ac:dyDescent="0.3">
      <c r="A2832" s="90">
        <v>905208</v>
      </c>
      <c r="B2832" s="803">
        <v>0.4</v>
      </c>
      <c r="C2832" s="803"/>
      <c r="D2832" s="152">
        <v>7.81</v>
      </c>
      <c r="E2832" s="1127">
        <v>0.58099999999999996</v>
      </c>
      <c r="F2832" s="90">
        <v>639.1</v>
      </c>
      <c r="H2832" s="804">
        <v>26.15</v>
      </c>
      <c r="I2832" s="804">
        <v>184</v>
      </c>
      <c r="J2832" s="853">
        <v>0.75800000000000001</v>
      </c>
      <c r="K2832" s="803">
        <v>6.22</v>
      </c>
      <c r="L2832" s="90">
        <v>1549</v>
      </c>
      <c r="M2832" s="90">
        <v>0.38</v>
      </c>
      <c r="N2832" s="90">
        <v>0.34</v>
      </c>
      <c r="O2832" s="90">
        <v>1.07</v>
      </c>
      <c r="P2832" s="90">
        <v>7.7</v>
      </c>
      <c r="R2832" s="152">
        <v>1.5931469700000001</v>
      </c>
      <c r="S2832" s="803">
        <v>10.77</v>
      </c>
      <c r="U2832" s="5"/>
      <c r="V2832" s="5"/>
      <c r="Y2832" s="90">
        <v>36</v>
      </c>
      <c r="AA2832" s="90">
        <v>3.89</v>
      </c>
      <c r="AB2832" s="90">
        <v>0.47299999999999998</v>
      </c>
      <c r="AC2832" s="90">
        <v>9.4</v>
      </c>
      <c r="AD2832" s="118">
        <v>600</v>
      </c>
      <c r="AE2832" s="118">
        <v>280</v>
      </c>
      <c r="AF2832" s="118">
        <v>120</v>
      </c>
      <c r="AG2832" s="66">
        <f t="shared" si="112"/>
        <v>61.163333333333334</v>
      </c>
      <c r="AH2832" s="143">
        <f t="shared" si="113"/>
        <v>1000</v>
      </c>
    </row>
    <row r="2833" spans="1:34" s="90" customFormat="1" x14ac:dyDescent="0.3">
      <c r="A2833" s="90">
        <v>905209</v>
      </c>
      <c r="B2833" s="803">
        <v>0.2</v>
      </c>
      <c r="C2833" s="803"/>
      <c r="D2833" s="152">
        <v>7.52</v>
      </c>
      <c r="E2833" s="1127">
        <v>0.46300000000000002</v>
      </c>
      <c r="F2833" s="90">
        <v>509.30000000000007</v>
      </c>
      <c r="H2833" s="804">
        <v>62.97</v>
      </c>
      <c r="I2833" s="804">
        <v>207</v>
      </c>
      <c r="J2833" s="853">
        <v>0.57599999999999996</v>
      </c>
      <c r="K2833" s="803">
        <v>4.5599999999999996</v>
      </c>
      <c r="L2833" s="90">
        <v>1242</v>
      </c>
      <c r="M2833" s="90">
        <v>0.38</v>
      </c>
      <c r="N2833" s="90">
        <v>0.34</v>
      </c>
      <c r="O2833" s="90">
        <v>3.32</v>
      </c>
      <c r="P2833" s="90">
        <v>8.82</v>
      </c>
      <c r="R2833" s="152">
        <v>1.2727831899649997</v>
      </c>
      <c r="S2833" s="803">
        <v>8.5299999999999994</v>
      </c>
      <c r="U2833" s="5"/>
      <c r="V2833" s="5"/>
      <c r="Y2833" s="90">
        <v>38.200000000000003</v>
      </c>
      <c r="AA2833" s="90">
        <v>4.4800000000000004</v>
      </c>
      <c r="AB2833" s="90">
        <v>0.65600000000000003</v>
      </c>
      <c r="AC2833" s="90">
        <v>9.6999999999999993</v>
      </c>
      <c r="AD2833" s="118">
        <v>600</v>
      </c>
      <c r="AE2833" s="118">
        <v>300</v>
      </c>
      <c r="AF2833" s="118">
        <v>100</v>
      </c>
      <c r="AG2833" s="66">
        <f t="shared" si="112"/>
        <v>42.257591623036639</v>
      </c>
      <c r="AH2833" s="143">
        <f t="shared" si="113"/>
        <v>1000</v>
      </c>
    </row>
    <row r="2834" spans="1:34" s="90" customFormat="1" x14ac:dyDescent="0.3">
      <c r="A2834" s="90">
        <v>905210</v>
      </c>
      <c r="B2834" s="803">
        <v>0.1</v>
      </c>
      <c r="C2834" s="803"/>
      <c r="D2834" s="152">
        <v>7.53</v>
      </c>
      <c r="E2834" s="1127">
        <v>0.14799999999999999</v>
      </c>
      <c r="F2834" s="90">
        <v>162.80000000000001</v>
      </c>
      <c r="H2834" s="804">
        <v>53.41</v>
      </c>
      <c r="I2834" s="804">
        <v>175</v>
      </c>
      <c r="J2834" s="853">
        <v>0.45800000000000002</v>
      </c>
      <c r="K2834" s="803">
        <v>4.5199999999999996</v>
      </c>
      <c r="L2834" s="90">
        <v>1140</v>
      </c>
      <c r="M2834" s="90">
        <v>0.19</v>
      </c>
      <c r="N2834" s="90">
        <v>0.38</v>
      </c>
      <c r="O2834" s="90">
        <v>2.78</v>
      </c>
      <c r="P2834" s="90">
        <v>12.72</v>
      </c>
      <c r="R2834" s="152">
        <v>1.0008306501674074</v>
      </c>
      <c r="S2834" s="803">
        <v>7.36</v>
      </c>
      <c r="U2834" s="5"/>
      <c r="V2834" s="5"/>
      <c r="Y2834" s="90">
        <v>34.799999999999997</v>
      </c>
      <c r="AA2834" s="90">
        <v>4.2300000000000004</v>
      </c>
      <c r="AB2834" s="90">
        <v>0.89700000000000002</v>
      </c>
      <c r="AC2834" s="90">
        <v>7.7</v>
      </c>
      <c r="AD2834" s="118">
        <v>580</v>
      </c>
      <c r="AE2834" s="118">
        <v>320</v>
      </c>
      <c r="AF2834" s="118">
        <v>100</v>
      </c>
      <c r="AG2834" s="66">
        <f t="shared" si="112"/>
        <v>45.979310344827589</v>
      </c>
      <c r="AH2834" s="143">
        <f t="shared" si="113"/>
        <v>1000</v>
      </c>
    </row>
    <row r="2835" spans="1:34" s="90" customFormat="1" x14ac:dyDescent="0.3">
      <c r="A2835" s="90">
        <v>905211</v>
      </c>
      <c r="B2835" s="803">
        <v>0.2</v>
      </c>
      <c r="C2835" s="803"/>
      <c r="D2835" s="152">
        <v>7.74</v>
      </c>
      <c r="E2835" s="1127">
        <v>0.158</v>
      </c>
      <c r="F2835" s="90">
        <v>173.8</v>
      </c>
      <c r="H2835" s="804">
        <v>66.62</v>
      </c>
      <c r="I2835" s="804">
        <v>233</v>
      </c>
      <c r="J2835" s="853">
        <v>0.27</v>
      </c>
      <c r="K2835" s="803">
        <v>4.43</v>
      </c>
      <c r="L2835" s="90">
        <v>1030</v>
      </c>
      <c r="M2835" s="90">
        <v>0.28000000000000003</v>
      </c>
      <c r="N2835" s="90">
        <v>0.38</v>
      </c>
      <c r="O2835" s="90">
        <v>3.22</v>
      </c>
      <c r="P2835" s="90">
        <v>8.27</v>
      </c>
      <c r="R2835" s="152">
        <v>1.57240625</v>
      </c>
      <c r="S2835" s="803">
        <v>10.25</v>
      </c>
      <c r="U2835" s="5"/>
      <c r="V2835" s="5"/>
      <c r="Y2835" s="90">
        <v>35.4</v>
      </c>
      <c r="AA2835" s="90">
        <v>4.6500000000000004</v>
      </c>
      <c r="AB2835" s="90">
        <v>0.85099999999999998</v>
      </c>
      <c r="AC2835" s="90">
        <v>7</v>
      </c>
      <c r="AD2835" s="118">
        <v>590</v>
      </c>
      <c r="AE2835" s="118">
        <v>490</v>
      </c>
      <c r="AF2835" s="118">
        <v>80</v>
      </c>
      <c r="AG2835" s="66">
        <f t="shared" si="112"/>
        <v>44.300000000000004</v>
      </c>
      <c r="AH2835" s="143">
        <f t="shared" si="113"/>
        <v>1160</v>
      </c>
    </row>
    <row r="2836" spans="1:34" s="90" customFormat="1" x14ac:dyDescent="0.3">
      <c r="A2836" s="90">
        <v>905212</v>
      </c>
      <c r="B2836" s="803">
        <v>0.2</v>
      </c>
      <c r="C2836" s="803"/>
      <c r="D2836" s="152">
        <v>7.8</v>
      </c>
      <c r="E2836" s="1127">
        <v>0.129</v>
      </c>
      <c r="F2836" s="90">
        <v>141.90000000000003</v>
      </c>
      <c r="H2836" s="804">
        <v>53.33</v>
      </c>
      <c r="I2836" s="804">
        <v>197</v>
      </c>
      <c r="J2836" s="853">
        <v>0.3</v>
      </c>
      <c r="K2836" s="803">
        <v>4.84</v>
      </c>
      <c r="L2836" s="90">
        <v>974</v>
      </c>
      <c r="M2836" s="90">
        <v>0.19</v>
      </c>
      <c r="N2836" s="90">
        <v>0.35</v>
      </c>
      <c r="O2836" s="90">
        <v>3.13</v>
      </c>
      <c r="P2836" s="90">
        <v>7.73</v>
      </c>
      <c r="R2836" s="152">
        <v>1.2636656629185758</v>
      </c>
      <c r="S2836" s="803">
        <v>8.34</v>
      </c>
      <c r="U2836" s="5"/>
      <c r="V2836" s="5"/>
      <c r="Y2836" s="90">
        <v>42</v>
      </c>
      <c r="AA2836" s="90">
        <v>4.7699999999999996</v>
      </c>
      <c r="AB2836" s="90">
        <v>0.312</v>
      </c>
      <c r="AC2836" s="90">
        <v>9</v>
      </c>
      <c r="AD2836" s="118">
        <v>600</v>
      </c>
      <c r="AE2836" s="118">
        <v>290</v>
      </c>
      <c r="AF2836" s="118">
        <v>110</v>
      </c>
      <c r="AG2836" s="66">
        <f t="shared" si="112"/>
        <v>40.794285714285721</v>
      </c>
      <c r="AH2836" s="143">
        <f t="shared" si="113"/>
        <v>1000</v>
      </c>
    </row>
    <row r="2837" spans="1:34" s="90" customFormat="1" x14ac:dyDescent="0.3">
      <c r="A2837" s="90">
        <v>905213</v>
      </c>
      <c r="B2837" s="803">
        <v>17.5</v>
      </c>
      <c r="C2837" s="803">
        <v>8.6</v>
      </c>
      <c r="D2837" s="152">
        <v>7.74</v>
      </c>
      <c r="E2837" s="1127">
        <v>0.13700000000000001</v>
      </c>
      <c r="F2837" s="90">
        <v>150.70000000000002</v>
      </c>
      <c r="H2837" s="804">
        <v>10.74</v>
      </c>
      <c r="I2837" s="804">
        <v>234</v>
      </c>
      <c r="J2837" s="853">
        <v>5.3999999999999999E-2</v>
      </c>
      <c r="K2837" s="803">
        <v>12.79</v>
      </c>
      <c r="L2837" s="90">
        <v>225</v>
      </c>
      <c r="M2837" s="90">
        <v>0.39</v>
      </c>
      <c r="N2837" s="90">
        <v>0.44</v>
      </c>
      <c r="O2837" s="90">
        <v>4.4800000000000004</v>
      </c>
      <c r="P2837" s="90">
        <v>3.77</v>
      </c>
      <c r="R2837" s="152">
        <v>1.8357981200000002</v>
      </c>
      <c r="S2837" s="803">
        <v>17.78</v>
      </c>
      <c r="U2837" s="5"/>
      <c r="V2837" s="5"/>
      <c r="Y2837" s="90">
        <v>32.4</v>
      </c>
      <c r="AA2837" s="90">
        <v>4.9800000000000004</v>
      </c>
      <c r="AB2837" s="90">
        <v>0.34899999999999998</v>
      </c>
      <c r="AC2837" s="90">
        <v>11.2</v>
      </c>
      <c r="AD2837" s="118">
        <v>540</v>
      </c>
      <c r="AE2837" s="118">
        <v>290</v>
      </c>
      <c r="AF2837" s="118">
        <v>170</v>
      </c>
      <c r="AG2837" s="66">
        <f t="shared" si="112"/>
        <v>139.74259259259259</v>
      </c>
      <c r="AH2837" s="143">
        <f t="shared" si="113"/>
        <v>1000</v>
      </c>
    </row>
    <row r="2838" spans="1:34" s="90" customFormat="1" x14ac:dyDescent="0.3">
      <c r="A2838" s="90">
        <v>905214</v>
      </c>
      <c r="B2838" s="803">
        <v>20.399999999999999</v>
      </c>
      <c r="C2838" s="803">
        <v>10.4</v>
      </c>
      <c r="D2838" s="152">
        <v>7.91</v>
      </c>
      <c r="E2838" s="1127">
        <v>0.13400000000000001</v>
      </c>
      <c r="F2838" s="90">
        <v>147.40000000000003</v>
      </c>
      <c r="H2838" s="804">
        <v>17.059999999999999</v>
      </c>
      <c r="I2838" s="804">
        <v>196</v>
      </c>
      <c r="J2838" s="853">
        <v>4.1000000000000002E-2</v>
      </c>
      <c r="K2838" s="803">
        <v>13.23</v>
      </c>
      <c r="L2838" s="90">
        <v>218</v>
      </c>
      <c r="M2838" s="90">
        <v>0.24</v>
      </c>
      <c r="N2838" s="90">
        <v>0.34</v>
      </c>
      <c r="O2838" s="90">
        <v>5.28</v>
      </c>
      <c r="P2838" s="90">
        <v>3.34</v>
      </c>
      <c r="R2838" s="152">
        <v>1.7803779300000002</v>
      </c>
      <c r="S2838" s="803">
        <v>15.99</v>
      </c>
      <c r="U2838" s="5"/>
      <c r="V2838" s="5"/>
      <c r="Y2838" s="90">
        <v>22.5</v>
      </c>
      <c r="AA2838" s="90">
        <v>3.66</v>
      </c>
      <c r="AB2838" s="90">
        <v>0.77200000000000002</v>
      </c>
      <c r="AC2838" s="90">
        <v>7.4</v>
      </c>
      <c r="AD2838" s="118">
        <v>450</v>
      </c>
      <c r="AE2838" s="118">
        <v>380</v>
      </c>
      <c r="AF2838" s="118">
        <v>170</v>
      </c>
      <c r="AG2838" s="66">
        <f t="shared" si="112"/>
        <v>208.15200000000002</v>
      </c>
      <c r="AH2838" s="143">
        <f t="shared" si="113"/>
        <v>1000</v>
      </c>
    </row>
    <row r="2839" spans="1:34" s="90" customFormat="1" x14ac:dyDescent="0.3">
      <c r="A2839" s="90">
        <v>905215</v>
      </c>
      <c r="B2839" s="803">
        <v>9.8000000000000007</v>
      </c>
      <c r="C2839" s="803"/>
      <c r="D2839" s="152">
        <v>7.9</v>
      </c>
      <c r="E2839" s="1127">
        <v>0.16500000000000001</v>
      </c>
      <c r="F2839" s="90">
        <v>181.50000000000003</v>
      </c>
      <c r="H2839" s="804">
        <v>12.19</v>
      </c>
      <c r="I2839" s="804">
        <v>275</v>
      </c>
      <c r="J2839" s="853">
        <v>5.6000000000000001E-2</v>
      </c>
      <c r="K2839" s="803">
        <v>13.07</v>
      </c>
      <c r="L2839" s="90">
        <v>267</v>
      </c>
      <c r="M2839" s="90">
        <v>0.31</v>
      </c>
      <c r="N2839" s="90">
        <v>0.44</v>
      </c>
      <c r="O2839" s="90">
        <v>6.84</v>
      </c>
      <c r="P2839" s="90">
        <v>3.33</v>
      </c>
      <c r="R2839" s="152">
        <v>1.8125079300000002</v>
      </c>
      <c r="S2839" s="803">
        <v>17.010000000000002</v>
      </c>
      <c r="U2839" s="5"/>
      <c r="V2839" s="5"/>
      <c r="Y2839" s="90">
        <v>32.9</v>
      </c>
      <c r="AA2839" s="90">
        <v>3.98</v>
      </c>
      <c r="AB2839" s="90">
        <v>0.89200000000000002</v>
      </c>
      <c r="AC2839" s="90">
        <v>8.6999999999999993</v>
      </c>
      <c r="AD2839" s="118">
        <v>470</v>
      </c>
      <c r="AE2839" s="118">
        <v>370</v>
      </c>
      <c r="AF2839" s="118">
        <v>160</v>
      </c>
      <c r="AG2839" s="66">
        <f t="shared" si="112"/>
        <v>140.63161094224924</v>
      </c>
      <c r="AH2839" s="143">
        <f t="shared" si="113"/>
        <v>1000</v>
      </c>
    </row>
    <row r="2840" spans="1:34" s="90" customFormat="1" x14ac:dyDescent="0.3">
      <c r="A2840" s="90">
        <v>905216</v>
      </c>
      <c r="B2840" s="803">
        <v>0.2</v>
      </c>
      <c r="C2840" s="803"/>
      <c r="D2840" s="152">
        <v>5.7</v>
      </c>
      <c r="E2840" s="1127">
        <v>3.1E-2</v>
      </c>
      <c r="F2840" s="90">
        <v>34.100000000000009</v>
      </c>
      <c r="H2840" s="804">
        <v>7.56</v>
      </c>
      <c r="I2840" s="804">
        <v>107</v>
      </c>
      <c r="J2840" s="853">
        <v>3.6999999999999998E-2</v>
      </c>
      <c r="K2840" s="803">
        <v>2.4500000000000002</v>
      </c>
      <c r="L2840" s="90">
        <v>784</v>
      </c>
      <c r="M2840" s="90">
        <v>0.3</v>
      </c>
      <c r="N2840" s="90">
        <v>0.82</v>
      </c>
      <c r="O2840" s="90">
        <v>10.77</v>
      </c>
      <c r="P2840" s="90">
        <v>42.86</v>
      </c>
      <c r="R2840" s="152">
        <v>1.0511341582572324</v>
      </c>
      <c r="S2840" s="803">
        <v>6.94</v>
      </c>
      <c r="U2840" s="5"/>
      <c r="V2840" s="5"/>
      <c r="Y2840" s="90">
        <v>37.6</v>
      </c>
      <c r="Z2840" s="90">
        <v>4.32</v>
      </c>
      <c r="AA2840" s="90">
        <v>4.01</v>
      </c>
      <c r="AB2840" s="90">
        <v>0.70299999999999996</v>
      </c>
      <c r="AC2840" s="90">
        <v>11.6</v>
      </c>
      <c r="AD2840" s="118">
        <v>580</v>
      </c>
      <c r="AE2840" s="118">
        <v>300</v>
      </c>
      <c r="AF2840" s="118">
        <v>120</v>
      </c>
      <c r="AG2840" s="66">
        <f t="shared" si="112"/>
        <v>23.066489361702125</v>
      </c>
      <c r="AH2840" s="143">
        <f t="shared" si="113"/>
        <v>1000</v>
      </c>
    </row>
    <row r="2841" spans="1:34" s="90" customFormat="1" x14ac:dyDescent="0.3">
      <c r="A2841" s="90">
        <v>905217</v>
      </c>
      <c r="B2841" s="803">
        <v>0.1</v>
      </c>
      <c r="C2841" s="803"/>
      <c r="D2841" s="152">
        <v>5.74</v>
      </c>
      <c r="E2841" s="1127">
        <v>5.8999999999999997E-2</v>
      </c>
      <c r="F2841" s="90">
        <v>64.900000000000006</v>
      </c>
      <c r="H2841" s="804">
        <v>28.16</v>
      </c>
      <c r="I2841" s="804">
        <v>145</v>
      </c>
      <c r="J2841" s="853">
        <v>4.4999999999999998E-2</v>
      </c>
      <c r="K2841" s="803">
        <v>0.79</v>
      </c>
      <c r="L2841" s="90">
        <v>404</v>
      </c>
      <c r="M2841" s="90">
        <v>1.88</v>
      </c>
      <c r="N2841" s="90">
        <v>1.1399999999999999</v>
      </c>
      <c r="O2841" s="90">
        <v>83.39</v>
      </c>
      <c r="P2841" s="90">
        <v>59.84</v>
      </c>
      <c r="R2841" s="152">
        <v>1.6545901700000001</v>
      </c>
      <c r="S2841" s="803">
        <v>12.37</v>
      </c>
      <c r="U2841" s="5"/>
      <c r="V2841" s="5"/>
      <c r="Y2841" s="90">
        <v>34.200000000000003</v>
      </c>
      <c r="Z2841" s="90">
        <v>4.8099999999999996</v>
      </c>
      <c r="AD2841" s="118">
        <v>570</v>
      </c>
      <c r="AE2841" s="118">
        <v>300</v>
      </c>
      <c r="AF2841" s="118">
        <v>130</v>
      </c>
      <c r="AG2841" s="66">
        <f t="shared" si="112"/>
        <v>8.1771929824561411</v>
      </c>
      <c r="AH2841" s="143">
        <f t="shared" si="113"/>
        <v>1000</v>
      </c>
    </row>
    <row r="2842" spans="1:34" s="90" customFormat="1" x14ac:dyDescent="0.3">
      <c r="A2842" s="90">
        <v>905218</v>
      </c>
      <c r="B2842" s="803">
        <v>0.1</v>
      </c>
      <c r="C2842" s="803"/>
      <c r="D2842" s="152">
        <v>5.21</v>
      </c>
      <c r="E2842" s="1127">
        <v>5.3999999999999999E-2</v>
      </c>
      <c r="F2842" s="90">
        <v>59.4</v>
      </c>
      <c r="H2842" s="804">
        <v>49.45</v>
      </c>
      <c r="I2842" s="804">
        <v>119</v>
      </c>
      <c r="J2842" s="853">
        <v>3.9E-2</v>
      </c>
      <c r="K2842" s="803">
        <v>0.69</v>
      </c>
      <c r="L2842" s="90">
        <v>276</v>
      </c>
      <c r="M2842" s="90">
        <v>2.08</v>
      </c>
      <c r="N2842" s="90">
        <v>1.68</v>
      </c>
      <c r="O2842" s="90">
        <v>76.34</v>
      </c>
      <c r="P2842" s="90">
        <v>44.84</v>
      </c>
      <c r="R2842" s="152">
        <v>1.6300611200000001</v>
      </c>
      <c r="S2842" s="803">
        <v>11.72</v>
      </c>
      <c r="U2842" s="5"/>
      <c r="V2842" s="5"/>
      <c r="Y2842" s="90">
        <v>36.200000000000003</v>
      </c>
      <c r="Z2842" s="90">
        <v>4.3099999999999996</v>
      </c>
      <c r="AD2842" s="118">
        <v>560</v>
      </c>
      <c r="AE2842" s="118">
        <v>290</v>
      </c>
      <c r="AF2842" s="118">
        <v>150</v>
      </c>
      <c r="AG2842" s="66">
        <f t="shared" si="112"/>
        <v>6.7475138121546943</v>
      </c>
      <c r="AH2842" s="143">
        <f t="shared" si="113"/>
        <v>1000</v>
      </c>
    </row>
    <row r="2843" spans="1:34" s="90" customFormat="1" x14ac:dyDescent="0.3">
      <c r="A2843" s="90">
        <v>905219</v>
      </c>
      <c r="B2843" s="803">
        <v>54.2</v>
      </c>
      <c r="C2843" s="803">
        <v>9.4</v>
      </c>
      <c r="D2843" s="152">
        <v>7.93</v>
      </c>
      <c r="E2843" s="1127">
        <v>0.22600000000000001</v>
      </c>
      <c r="F2843" s="90">
        <v>248.60000000000002</v>
      </c>
      <c r="H2843" s="804">
        <v>69.849999999999994</v>
      </c>
      <c r="I2843" s="804">
        <v>165</v>
      </c>
      <c r="J2843" s="853">
        <v>0.09</v>
      </c>
      <c r="K2843" s="803">
        <v>12.27</v>
      </c>
      <c r="L2843" s="90">
        <v>927</v>
      </c>
      <c r="M2843" s="90">
        <v>0.9</v>
      </c>
      <c r="N2843" s="90">
        <v>1.34</v>
      </c>
      <c r="O2843" s="90">
        <v>10.94</v>
      </c>
      <c r="P2843" s="90">
        <v>5.84</v>
      </c>
      <c r="R2843" s="152">
        <v>1.7148988800000002</v>
      </c>
      <c r="S2843" s="803">
        <v>14.04</v>
      </c>
      <c r="U2843" s="5"/>
      <c r="V2843" s="5"/>
      <c r="Y2843" s="90">
        <v>21</v>
      </c>
      <c r="AD2843" s="118">
        <v>420</v>
      </c>
      <c r="AE2843" s="118">
        <v>680</v>
      </c>
      <c r="AF2843" s="118">
        <v>100</v>
      </c>
      <c r="AG2843" s="66">
        <f t="shared" si="112"/>
        <v>206.83714285714285</v>
      </c>
      <c r="AH2843" s="143">
        <f t="shared" si="113"/>
        <v>1200</v>
      </c>
    </row>
    <row r="2844" spans="1:34" s="90" customFormat="1" x14ac:dyDescent="0.3">
      <c r="A2844" s="90">
        <v>905220</v>
      </c>
      <c r="B2844" s="803">
        <v>75</v>
      </c>
      <c r="C2844" s="803">
        <v>7.1</v>
      </c>
      <c r="D2844" s="152">
        <v>7.84</v>
      </c>
      <c r="E2844" s="1127">
        <v>0.48299999999999998</v>
      </c>
      <c r="F2844" s="90">
        <v>531.29999999999995</v>
      </c>
      <c r="H2844" s="804">
        <v>134.57</v>
      </c>
      <c r="I2844" s="804">
        <v>235</v>
      </c>
      <c r="J2844" s="853">
        <v>0.124</v>
      </c>
      <c r="K2844" s="803">
        <v>12.08</v>
      </c>
      <c r="L2844" s="90">
        <v>957</v>
      </c>
      <c r="M2844" s="90">
        <v>1.36</v>
      </c>
      <c r="N2844" s="90">
        <v>1.22</v>
      </c>
      <c r="O2844" s="90">
        <v>12.97</v>
      </c>
      <c r="P2844" s="90">
        <v>3.88</v>
      </c>
      <c r="R2844" s="152">
        <v>1.0955032753130942</v>
      </c>
      <c r="S2844" s="803">
        <v>7.18</v>
      </c>
      <c r="U2844" s="5"/>
      <c r="V2844" s="5"/>
      <c r="Y2844" s="90">
        <v>21.6</v>
      </c>
      <c r="AD2844" s="118">
        <v>360</v>
      </c>
      <c r="AE2844" s="118">
        <v>260</v>
      </c>
      <c r="AF2844" s="118">
        <v>380</v>
      </c>
      <c r="AG2844" s="66">
        <f t="shared" si="112"/>
        <v>197.97777777777776</v>
      </c>
      <c r="AH2844" s="143">
        <f t="shared" si="113"/>
        <v>1000</v>
      </c>
    </row>
    <row r="2845" spans="1:34" s="90" customFormat="1" x14ac:dyDescent="0.3">
      <c r="A2845" s="90">
        <v>905221</v>
      </c>
      <c r="B2845" s="803">
        <v>8.3000000000000007</v>
      </c>
      <c r="C2845" s="803"/>
      <c r="D2845" s="152">
        <v>7.91</v>
      </c>
      <c r="E2845" s="1127">
        <v>0.29199999999999998</v>
      </c>
      <c r="F2845" s="90">
        <v>321.2</v>
      </c>
      <c r="H2845" s="804">
        <v>19.21</v>
      </c>
      <c r="I2845" s="804">
        <v>437</v>
      </c>
      <c r="J2845" s="853">
        <v>0.85699999999999998</v>
      </c>
      <c r="K2845" s="803">
        <v>15.21</v>
      </c>
      <c r="L2845" s="90">
        <v>1777</v>
      </c>
      <c r="M2845" s="90">
        <v>0.73</v>
      </c>
      <c r="N2845" s="90">
        <v>2.31</v>
      </c>
      <c r="O2845" s="90">
        <v>5.43</v>
      </c>
      <c r="P2845" s="90">
        <v>19.18</v>
      </c>
      <c r="R2845" s="152">
        <v>1.6686562500000002</v>
      </c>
      <c r="S2845" s="803">
        <v>12.75</v>
      </c>
      <c r="U2845" s="5"/>
      <c r="V2845" s="5"/>
      <c r="Y2845" s="90">
        <v>29.5</v>
      </c>
      <c r="AD2845" s="118">
        <v>590</v>
      </c>
      <c r="AE2845" s="118">
        <v>270</v>
      </c>
      <c r="AF2845" s="118">
        <v>140</v>
      </c>
      <c r="AG2845" s="66">
        <f t="shared" si="112"/>
        <v>182.52</v>
      </c>
      <c r="AH2845" s="143">
        <f t="shared" si="113"/>
        <v>1000</v>
      </c>
    </row>
    <row r="2846" spans="1:34" s="90" customFormat="1" x14ac:dyDescent="0.3">
      <c r="A2846" s="90">
        <v>905222</v>
      </c>
      <c r="B2846" s="803">
        <v>1.3</v>
      </c>
      <c r="C2846" s="803"/>
      <c r="D2846" s="152">
        <v>8.02</v>
      </c>
      <c r="E2846" s="1127">
        <v>0.218</v>
      </c>
      <c r="F2846" s="90">
        <v>239.8</v>
      </c>
      <c r="H2846" s="804">
        <v>47.58</v>
      </c>
      <c r="I2846" s="804">
        <v>434</v>
      </c>
      <c r="J2846" s="853">
        <v>0.71899999999999997</v>
      </c>
      <c r="K2846" s="803">
        <v>8.7200000000000006</v>
      </c>
      <c r="L2846" s="90">
        <v>1018.9999999999999</v>
      </c>
      <c r="M2846" s="90">
        <v>0.8</v>
      </c>
      <c r="N2846" s="90">
        <v>2.06</v>
      </c>
      <c r="O2846" s="90">
        <v>7.42</v>
      </c>
      <c r="P2846" s="90">
        <v>9.1</v>
      </c>
      <c r="R2846" s="152">
        <v>1.7315107200000002</v>
      </c>
      <c r="S2846" s="803">
        <v>14.52</v>
      </c>
      <c r="U2846" s="5"/>
      <c r="V2846" s="5"/>
      <c r="Y2846" s="90">
        <v>37.6</v>
      </c>
      <c r="AD2846" s="118">
        <v>580</v>
      </c>
      <c r="AE2846" s="118">
        <v>320</v>
      </c>
      <c r="AF2846" s="118">
        <v>100</v>
      </c>
      <c r="AG2846" s="66">
        <f t="shared" si="112"/>
        <v>82.097872340425539</v>
      </c>
      <c r="AH2846" s="143">
        <f t="shared" si="113"/>
        <v>1000</v>
      </c>
    </row>
    <row r="2847" spans="1:34" s="90" customFormat="1" x14ac:dyDescent="0.3">
      <c r="A2847" s="90">
        <v>905223</v>
      </c>
      <c r="B2847" s="803">
        <v>22.9</v>
      </c>
      <c r="C2847" s="803">
        <v>10.6</v>
      </c>
      <c r="D2847" s="152">
        <v>7.84</v>
      </c>
      <c r="E2847" s="1127">
        <v>0.188</v>
      </c>
      <c r="F2847" s="90">
        <v>206.8</v>
      </c>
      <c r="H2847" s="804">
        <v>17.29</v>
      </c>
      <c r="I2847" s="804">
        <v>266</v>
      </c>
      <c r="J2847" s="853">
        <v>0.104</v>
      </c>
      <c r="K2847" s="803">
        <v>16.97</v>
      </c>
      <c r="L2847" s="90">
        <v>543</v>
      </c>
      <c r="M2847" s="90">
        <v>0.93</v>
      </c>
      <c r="N2847" s="90">
        <v>1.85</v>
      </c>
      <c r="O2847" s="90">
        <v>5.13</v>
      </c>
      <c r="P2847" s="90">
        <v>6.29</v>
      </c>
      <c r="R2847" s="152">
        <v>1.8041446800000001</v>
      </c>
      <c r="S2847" s="803">
        <v>16.739999999999998</v>
      </c>
      <c r="U2847" s="5"/>
      <c r="V2847" s="5"/>
      <c r="Y2847" s="90">
        <v>31.2</v>
      </c>
      <c r="AD2847" s="118">
        <v>520</v>
      </c>
      <c r="AE2847" s="118">
        <v>340</v>
      </c>
      <c r="AF2847" s="118">
        <v>140</v>
      </c>
      <c r="AG2847" s="66">
        <f t="shared" si="112"/>
        <v>192.54423076923078</v>
      </c>
      <c r="AH2847" s="143">
        <f t="shared" si="113"/>
        <v>1000</v>
      </c>
    </row>
    <row r="2848" spans="1:34" s="90" customFormat="1" x14ac:dyDescent="0.3">
      <c r="A2848" s="90">
        <v>905224</v>
      </c>
      <c r="B2848" s="803">
        <v>15</v>
      </c>
      <c r="C2848" s="803">
        <v>7.8</v>
      </c>
      <c r="D2848" s="152">
        <v>7.72</v>
      </c>
      <c r="E2848" s="1127">
        <v>0.223</v>
      </c>
      <c r="F2848" s="90">
        <v>245.3</v>
      </c>
      <c r="H2848" s="804">
        <v>11.91</v>
      </c>
      <c r="I2848" s="804">
        <v>231</v>
      </c>
      <c r="J2848" s="853">
        <v>0.19800000000000001</v>
      </c>
      <c r="K2848" s="803">
        <v>15.85</v>
      </c>
      <c r="L2848" s="90">
        <v>341</v>
      </c>
      <c r="M2848" s="90">
        <v>0.47</v>
      </c>
      <c r="N2848" s="90">
        <v>2.0299999999999998</v>
      </c>
      <c r="O2848" s="90">
        <v>13.9</v>
      </c>
      <c r="P2848" s="90">
        <v>5.09</v>
      </c>
      <c r="R2848" s="152">
        <v>1.6649742500000002</v>
      </c>
      <c r="S2848" s="803">
        <v>12.65</v>
      </c>
      <c r="U2848" s="5"/>
      <c r="V2848" s="5"/>
      <c r="Y2848" s="90">
        <v>32.4</v>
      </c>
      <c r="AD2848" s="118">
        <v>540</v>
      </c>
      <c r="AE2848" s="118">
        <v>320</v>
      </c>
      <c r="AF2848" s="118">
        <v>140</v>
      </c>
      <c r="AG2848" s="66">
        <f t="shared" si="112"/>
        <v>173.17592592592595</v>
      </c>
      <c r="AH2848" s="143">
        <f t="shared" si="113"/>
        <v>1000</v>
      </c>
    </row>
    <row r="2849" spans="1:34" s="90" customFormat="1" x14ac:dyDescent="0.3">
      <c r="A2849" s="90">
        <v>905225</v>
      </c>
      <c r="B2849" s="803">
        <v>1.9</v>
      </c>
      <c r="C2849" s="803"/>
      <c r="D2849" s="152">
        <v>7.7</v>
      </c>
      <c r="E2849" s="1127">
        <v>0.21299999999999999</v>
      </c>
      <c r="F2849" s="90">
        <v>234.3</v>
      </c>
      <c r="H2849" s="804">
        <v>42.01</v>
      </c>
      <c r="I2849" s="804">
        <v>307</v>
      </c>
      <c r="J2849" s="853">
        <v>8.8999999999999996E-2</v>
      </c>
      <c r="K2849" s="803">
        <v>7.39</v>
      </c>
      <c r="L2849" s="90">
        <v>1341</v>
      </c>
      <c r="M2849" s="90">
        <v>1.1499999999999999</v>
      </c>
      <c r="N2849" s="90">
        <v>1.32</v>
      </c>
      <c r="O2849" s="90">
        <v>10.38</v>
      </c>
      <c r="P2849" s="90">
        <v>6.66</v>
      </c>
      <c r="R2849" s="152">
        <v>1.7256642500000001</v>
      </c>
      <c r="S2849" s="803">
        <v>14.35</v>
      </c>
      <c r="U2849" s="5"/>
      <c r="V2849" s="5"/>
      <c r="Y2849" s="90">
        <v>31.2</v>
      </c>
      <c r="AD2849" s="118">
        <v>520</v>
      </c>
      <c r="AE2849" s="118">
        <v>390</v>
      </c>
      <c r="AF2849" s="118">
        <v>90</v>
      </c>
      <c r="AG2849" s="66">
        <f t="shared" si="112"/>
        <v>83.848076923076917</v>
      </c>
      <c r="AH2849" s="143">
        <f t="shared" si="113"/>
        <v>1000</v>
      </c>
    </row>
    <row r="2850" spans="1:34" s="90" customFormat="1" x14ac:dyDescent="0.3">
      <c r="A2850" s="90">
        <v>905226</v>
      </c>
      <c r="B2850" s="803">
        <v>4.0999999999999996</v>
      </c>
      <c r="C2850" s="803"/>
      <c r="D2850" s="152">
        <v>7.91</v>
      </c>
      <c r="E2850" s="1127">
        <v>0.193</v>
      </c>
      <c r="F2850" s="90">
        <v>212.3</v>
      </c>
      <c r="H2850" s="804">
        <v>16.649999999999999</v>
      </c>
      <c r="I2850" s="804">
        <v>176</v>
      </c>
      <c r="J2850" s="853">
        <v>0.129</v>
      </c>
      <c r="K2850" s="803">
        <v>6.34</v>
      </c>
      <c r="L2850" s="90">
        <v>1241</v>
      </c>
      <c r="M2850" s="90">
        <v>0.75</v>
      </c>
      <c r="N2850" s="90">
        <v>0.82</v>
      </c>
      <c r="O2850" s="90">
        <v>4.75</v>
      </c>
      <c r="P2850" s="90">
        <v>6.82</v>
      </c>
      <c r="R2850" s="152">
        <v>1.6594250000000001</v>
      </c>
      <c r="S2850" s="803">
        <v>12.5</v>
      </c>
      <c r="Y2850" s="90">
        <v>37.1</v>
      </c>
      <c r="AD2850" s="118">
        <v>530</v>
      </c>
      <c r="AE2850" s="118">
        <v>370</v>
      </c>
      <c r="AF2850" s="118">
        <v>100</v>
      </c>
      <c r="AG2850" s="66">
        <f t="shared" si="112"/>
        <v>60.494878706199465</v>
      </c>
      <c r="AH2850" s="143">
        <f t="shared" si="113"/>
        <v>1000</v>
      </c>
    </row>
    <row r="2851" spans="1:34" x14ac:dyDescent="0.3">
      <c r="AG2851" s="66" t="e">
        <f t="shared" si="112"/>
        <v>#DIV/0!</v>
      </c>
      <c r="AH2851" s="143">
        <f t="shared" si="113"/>
        <v>0</v>
      </c>
    </row>
    <row r="2852" spans="1:34" x14ac:dyDescent="0.3">
      <c r="AG2852" s="66" t="e">
        <f t="shared" si="112"/>
        <v>#DIV/0!</v>
      </c>
      <c r="AH2852" s="143">
        <f t="shared" si="113"/>
        <v>0</v>
      </c>
    </row>
    <row r="2853" spans="1:34" s="90" customFormat="1" x14ac:dyDescent="0.3">
      <c r="A2853" s="90" t="s">
        <v>521</v>
      </c>
      <c r="B2853" s="803">
        <v>5.6</v>
      </c>
      <c r="C2853" s="803"/>
      <c r="D2853" s="152">
        <v>8.1199999999999992</v>
      </c>
      <c r="E2853" s="1127">
        <v>0.27</v>
      </c>
      <c r="F2853" s="90">
        <v>297.00000000000006</v>
      </c>
      <c r="H2853" s="804">
        <v>265.8</v>
      </c>
      <c r="I2853" s="804">
        <v>283</v>
      </c>
      <c r="J2853" s="853">
        <v>0.11700000000000001</v>
      </c>
      <c r="K2853" s="803">
        <v>6.45</v>
      </c>
      <c r="L2853" s="90">
        <v>538</v>
      </c>
      <c r="M2853" s="90">
        <v>7.12</v>
      </c>
      <c r="N2853" s="90">
        <v>3.09</v>
      </c>
      <c r="O2853" s="90">
        <v>2.31</v>
      </c>
      <c r="P2853" s="90">
        <v>4.2</v>
      </c>
      <c r="R2853" s="152">
        <v>0.65242510469394699</v>
      </c>
      <c r="S2853" s="803">
        <v>4.84</v>
      </c>
      <c r="Y2853" s="90">
        <v>4.8</v>
      </c>
      <c r="AA2853" s="90">
        <v>3.78</v>
      </c>
      <c r="AB2853" s="90">
        <v>0.73399999999999999</v>
      </c>
      <c r="AC2853" s="90">
        <v>12</v>
      </c>
      <c r="AD2853" s="118">
        <v>80</v>
      </c>
      <c r="AE2853" s="118">
        <v>60</v>
      </c>
      <c r="AF2853" s="118">
        <v>860</v>
      </c>
      <c r="AG2853" s="66">
        <f t="shared" si="112"/>
        <v>475.68750000000006</v>
      </c>
      <c r="AH2853" s="143">
        <f t="shared" si="113"/>
        <v>1000</v>
      </c>
    </row>
    <row r="2854" spans="1:34" s="90" customFormat="1" x14ac:dyDescent="0.3">
      <c r="A2854" s="90" t="s">
        <v>522</v>
      </c>
      <c r="B2854" s="803">
        <v>11</v>
      </c>
      <c r="C2854" s="803">
        <v>4.9000000000000004</v>
      </c>
      <c r="D2854" s="152">
        <v>7.94</v>
      </c>
      <c r="E2854" s="1127">
        <v>0.185</v>
      </c>
      <c r="F2854" s="90">
        <v>203.5</v>
      </c>
      <c r="H2854" s="804">
        <v>325.58</v>
      </c>
      <c r="I2854" s="804">
        <v>305</v>
      </c>
      <c r="J2854" s="853">
        <v>5.8999999999999997E-2</v>
      </c>
      <c r="K2854" s="803">
        <v>7.23</v>
      </c>
      <c r="L2854" s="90">
        <v>297</v>
      </c>
      <c r="M2854" s="90">
        <v>11.56</v>
      </c>
      <c r="N2854" s="90">
        <v>4.74</v>
      </c>
      <c r="O2854" s="90">
        <v>8.77</v>
      </c>
      <c r="P2854" s="90">
        <v>5.41</v>
      </c>
      <c r="R2854" s="152">
        <v>0.96646440958817859</v>
      </c>
      <c r="S2854" s="803">
        <v>6.79</v>
      </c>
      <c r="Y2854" s="90">
        <v>4.2</v>
      </c>
      <c r="AA2854" s="90">
        <v>4.3499999999999996</v>
      </c>
      <c r="AB2854" s="90">
        <v>0.753</v>
      </c>
      <c r="AC2854" s="90">
        <v>11.1</v>
      </c>
      <c r="AD2854" s="118">
        <v>70</v>
      </c>
      <c r="AE2854" s="118">
        <v>60</v>
      </c>
      <c r="AF2854" s="118">
        <v>870</v>
      </c>
      <c r="AG2854" s="66">
        <f t="shared" si="112"/>
        <v>609.38571428571424</v>
      </c>
      <c r="AH2854" s="143">
        <f t="shared" si="113"/>
        <v>1000</v>
      </c>
    </row>
    <row r="2855" spans="1:34" s="90" customFormat="1" x14ac:dyDescent="0.3">
      <c r="A2855" s="90" t="s">
        <v>523</v>
      </c>
      <c r="B2855" s="803">
        <v>16.7</v>
      </c>
      <c r="C2855" s="803">
        <v>7</v>
      </c>
      <c r="D2855" s="152">
        <v>8.5399999999999991</v>
      </c>
      <c r="E2855" s="1127">
        <v>0.26500000000000001</v>
      </c>
      <c r="F2855" s="90">
        <v>291.50000000000006</v>
      </c>
      <c r="H2855" s="804">
        <v>130.5</v>
      </c>
      <c r="I2855" s="804">
        <v>108</v>
      </c>
      <c r="J2855" s="853">
        <v>0.23699999999999999</v>
      </c>
      <c r="K2855" s="803">
        <v>7.06</v>
      </c>
      <c r="L2855" s="90">
        <v>350</v>
      </c>
      <c r="M2855" s="90">
        <v>9.7100000000000009</v>
      </c>
      <c r="N2855" s="90">
        <v>5.52</v>
      </c>
      <c r="O2855" s="90">
        <v>3.43</v>
      </c>
      <c r="P2855" s="90">
        <v>3.02</v>
      </c>
      <c r="R2855" s="152">
        <v>0.97925273907734944</v>
      </c>
      <c r="S2855" s="803">
        <v>6.86</v>
      </c>
      <c r="Y2855" s="90">
        <v>3.6</v>
      </c>
      <c r="AA2855" s="90">
        <v>4.3600000000000003</v>
      </c>
      <c r="AB2855" s="90">
        <v>0.59299999999999997</v>
      </c>
      <c r="AC2855" s="90">
        <v>11.1</v>
      </c>
      <c r="AD2855" s="118">
        <v>60</v>
      </c>
      <c r="AE2855" s="118">
        <v>60</v>
      </c>
      <c r="AF2855" s="118">
        <v>880</v>
      </c>
      <c r="AG2855" s="66">
        <f t="shared" si="112"/>
        <v>694.23333333333323</v>
      </c>
      <c r="AH2855" s="143">
        <f t="shared" si="113"/>
        <v>1000</v>
      </c>
    </row>
    <row r="2856" spans="1:34" s="90" customFormat="1" x14ac:dyDescent="0.3">
      <c r="A2856" s="90" t="s">
        <v>524</v>
      </c>
      <c r="B2856" s="803">
        <v>9.4</v>
      </c>
      <c r="C2856" s="803"/>
      <c r="D2856" s="152">
        <v>8.2200000000000006</v>
      </c>
      <c r="E2856" s="1127">
        <v>0.188</v>
      </c>
      <c r="F2856" s="90">
        <v>206.8</v>
      </c>
      <c r="H2856" s="804">
        <v>342.42</v>
      </c>
      <c r="I2856" s="804">
        <v>135</v>
      </c>
      <c r="J2856" s="853">
        <v>0.193</v>
      </c>
      <c r="K2856" s="803">
        <v>5.76</v>
      </c>
      <c r="L2856" s="90">
        <v>296</v>
      </c>
      <c r="M2856" s="1127">
        <v>7.39</v>
      </c>
      <c r="N2856" s="90">
        <v>2.76</v>
      </c>
      <c r="O2856" s="90">
        <v>2.1</v>
      </c>
      <c r="P2856" s="90">
        <v>12.52</v>
      </c>
      <c r="R2856" s="152">
        <v>0.97101645354755806</v>
      </c>
      <c r="S2856" s="803">
        <v>6.57</v>
      </c>
      <c r="Y2856" s="90">
        <v>3</v>
      </c>
      <c r="AA2856" s="90">
        <v>4.8</v>
      </c>
      <c r="AB2856" s="90">
        <v>0.73599999999999999</v>
      </c>
      <c r="AC2856" s="90">
        <v>7.6</v>
      </c>
      <c r="AD2856" s="118">
        <v>60</v>
      </c>
      <c r="AE2856" s="118">
        <v>80</v>
      </c>
      <c r="AF2856" s="118">
        <v>860</v>
      </c>
      <c r="AG2856" s="66">
        <f t="shared" si="112"/>
        <v>679.68</v>
      </c>
      <c r="AH2856" s="143">
        <f t="shared" si="113"/>
        <v>1000</v>
      </c>
    </row>
    <row r="2857" spans="1:34" s="90" customFormat="1" x14ac:dyDescent="0.3">
      <c r="A2857" s="90" t="s">
        <v>525</v>
      </c>
      <c r="B2857" s="803">
        <v>9.1999999999999993</v>
      </c>
      <c r="C2857" s="803"/>
      <c r="D2857" s="152">
        <v>8.01</v>
      </c>
      <c r="E2857" s="1127">
        <v>0.25700000000000001</v>
      </c>
      <c r="F2857" s="90">
        <v>282.7</v>
      </c>
      <c r="H2857" s="804">
        <v>602.91999999999996</v>
      </c>
      <c r="I2857" s="804">
        <v>93</v>
      </c>
      <c r="J2857" s="853">
        <v>0.125</v>
      </c>
      <c r="K2857" s="803">
        <v>5.98</v>
      </c>
      <c r="L2857" s="90">
        <v>653</v>
      </c>
      <c r="M2857" s="1127">
        <v>8.0500000000000007</v>
      </c>
      <c r="N2857" s="90">
        <v>3.09</v>
      </c>
      <c r="O2857" s="90">
        <v>2.34</v>
      </c>
      <c r="P2857" s="90">
        <v>9.81</v>
      </c>
      <c r="R2857" s="152">
        <v>1.0999736682159313</v>
      </c>
      <c r="S2857" s="803">
        <v>7.45</v>
      </c>
      <c r="Y2857" s="90">
        <v>5.6</v>
      </c>
      <c r="AA2857" s="90">
        <v>4.7</v>
      </c>
      <c r="AB2857" s="90">
        <v>0.878</v>
      </c>
      <c r="AC2857" s="90">
        <v>11.2</v>
      </c>
      <c r="AD2857" s="118">
        <v>80</v>
      </c>
      <c r="AE2857" s="118">
        <v>60</v>
      </c>
      <c r="AF2857" s="118">
        <v>860</v>
      </c>
      <c r="AG2857" s="66">
        <f t="shared" si="112"/>
        <v>378.0214285714286</v>
      </c>
      <c r="AH2857" s="143">
        <f t="shared" si="113"/>
        <v>1000</v>
      </c>
    </row>
    <row r="2858" spans="1:34" s="90" customFormat="1" x14ac:dyDescent="0.3">
      <c r="A2858" s="90" t="s">
        <v>526</v>
      </c>
      <c r="B2858" s="803">
        <v>14.6</v>
      </c>
      <c r="C2858" s="803">
        <v>5</v>
      </c>
      <c r="D2858" s="152">
        <v>8.1300000000000008</v>
      </c>
      <c r="E2858" s="1127">
        <v>0.33600000000000002</v>
      </c>
      <c r="F2858" s="90">
        <v>369.6</v>
      </c>
      <c r="H2858" s="804">
        <v>266.8</v>
      </c>
      <c r="I2858" s="804">
        <v>208</v>
      </c>
      <c r="J2858" s="853">
        <v>0.13600000000000001</v>
      </c>
      <c r="K2858" s="803">
        <v>6.56</v>
      </c>
      <c r="L2858" s="90">
        <v>653</v>
      </c>
      <c r="M2858" s="1127">
        <v>8.4700000000000006</v>
      </c>
      <c r="N2858" s="90">
        <v>2.83</v>
      </c>
      <c r="O2858" s="90">
        <v>1.55</v>
      </c>
      <c r="P2858" s="90">
        <v>2.86</v>
      </c>
      <c r="R2858" s="152">
        <v>1.1323525956375649</v>
      </c>
      <c r="S2858" s="803">
        <v>7.67</v>
      </c>
      <c r="Y2858" s="90">
        <v>4.2</v>
      </c>
      <c r="AA2858" s="90">
        <v>4.92</v>
      </c>
      <c r="AB2858" s="90">
        <v>0.46100000000000002</v>
      </c>
      <c r="AC2858" s="90">
        <v>9.8000000000000007</v>
      </c>
      <c r="AD2858" s="118">
        <v>60</v>
      </c>
      <c r="AE2858" s="118">
        <v>60</v>
      </c>
      <c r="AF2858" s="118">
        <v>880</v>
      </c>
      <c r="AG2858" s="66">
        <f t="shared" si="112"/>
        <v>552.91428571428571</v>
      </c>
      <c r="AH2858" s="143">
        <f t="shared" si="113"/>
        <v>1000</v>
      </c>
    </row>
    <row r="2859" spans="1:34" x14ac:dyDescent="0.3">
      <c r="A2859" s="140">
        <v>905229</v>
      </c>
      <c r="G2859" s="140">
        <v>7.72</v>
      </c>
      <c r="AG2859" s="66" t="e">
        <f t="shared" si="112"/>
        <v>#DIV/0!</v>
      </c>
      <c r="AH2859" s="143">
        <f t="shared" si="113"/>
        <v>0</v>
      </c>
    </row>
    <row r="2860" spans="1:34" x14ac:dyDescent="0.3">
      <c r="A2860" s="140">
        <v>905230</v>
      </c>
      <c r="G2860" s="140">
        <v>7.92</v>
      </c>
      <c r="AG2860" s="66" t="e">
        <f t="shared" si="112"/>
        <v>#DIV/0!</v>
      </c>
      <c r="AH2860" s="143">
        <f t="shared" si="113"/>
        <v>0</v>
      </c>
    </row>
    <row r="2861" spans="1:34" x14ac:dyDescent="0.3">
      <c r="A2861" s="140">
        <v>905231</v>
      </c>
      <c r="G2861" s="140">
        <v>7.91</v>
      </c>
      <c r="AG2861" s="66" t="e">
        <f t="shared" si="112"/>
        <v>#DIV/0!</v>
      </c>
      <c r="AH2861" s="143">
        <f t="shared" si="113"/>
        <v>0</v>
      </c>
    </row>
    <row r="2862" spans="1:34" x14ac:dyDescent="0.3">
      <c r="A2862" s="140">
        <v>905232</v>
      </c>
      <c r="G2862" s="140">
        <v>2.86</v>
      </c>
      <c r="AG2862" s="66" t="e">
        <f t="shared" si="112"/>
        <v>#DIV/0!</v>
      </c>
      <c r="AH2862" s="143">
        <f t="shared" si="113"/>
        <v>0</v>
      </c>
    </row>
    <row r="2863" spans="1:34" x14ac:dyDescent="0.3">
      <c r="A2863" s="140">
        <v>905233</v>
      </c>
      <c r="G2863" s="140">
        <v>3.16</v>
      </c>
      <c r="AG2863" s="66" t="e">
        <f t="shared" si="112"/>
        <v>#DIV/0!</v>
      </c>
      <c r="AH2863" s="143">
        <f t="shared" si="113"/>
        <v>0</v>
      </c>
    </row>
    <row r="2864" spans="1:34" x14ac:dyDescent="0.3">
      <c r="A2864" s="140">
        <v>905234</v>
      </c>
      <c r="G2864" s="140">
        <v>4.51</v>
      </c>
      <c r="AG2864" s="66" t="e">
        <f t="shared" si="112"/>
        <v>#DIV/0!</v>
      </c>
      <c r="AH2864" s="143">
        <f t="shared" si="113"/>
        <v>0</v>
      </c>
    </row>
    <row r="2865" spans="1:34" x14ac:dyDescent="0.3">
      <c r="A2865" s="140">
        <v>905235</v>
      </c>
      <c r="G2865" s="140">
        <v>3.57</v>
      </c>
      <c r="AG2865" s="66" t="e">
        <f t="shared" si="112"/>
        <v>#DIV/0!</v>
      </c>
      <c r="AH2865" s="143">
        <f t="shared" si="113"/>
        <v>0</v>
      </c>
    </row>
    <row r="2866" spans="1:34" x14ac:dyDescent="0.3">
      <c r="A2866" s="140">
        <v>905236</v>
      </c>
      <c r="G2866" s="140">
        <v>3.51</v>
      </c>
      <c r="AG2866" s="66" t="e">
        <f t="shared" si="112"/>
        <v>#DIV/0!</v>
      </c>
      <c r="AH2866" s="143">
        <f t="shared" si="113"/>
        <v>0</v>
      </c>
    </row>
    <row r="2867" spans="1:34" x14ac:dyDescent="0.3">
      <c r="A2867" s="140">
        <v>905237</v>
      </c>
      <c r="G2867" s="140">
        <v>5.41</v>
      </c>
      <c r="AG2867" s="66" t="e">
        <f t="shared" si="112"/>
        <v>#DIV/0!</v>
      </c>
      <c r="AH2867" s="143">
        <f t="shared" si="113"/>
        <v>0</v>
      </c>
    </row>
    <row r="2868" spans="1:34" x14ac:dyDescent="0.3">
      <c r="A2868" s="140">
        <v>905238</v>
      </c>
      <c r="G2868" s="140">
        <v>3.01</v>
      </c>
      <c r="AG2868" s="66" t="e">
        <f t="shared" si="112"/>
        <v>#DIV/0!</v>
      </c>
      <c r="AH2868" s="143">
        <f t="shared" si="113"/>
        <v>0</v>
      </c>
    </row>
    <row r="2869" spans="1:34" x14ac:dyDescent="0.3">
      <c r="A2869" s="140">
        <v>905239</v>
      </c>
      <c r="G2869" s="140">
        <v>3.59</v>
      </c>
      <c r="AG2869" s="66" t="e">
        <f t="shared" si="112"/>
        <v>#DIV/0!</v>
      </c>
      <c r="AH2869" s="143">
        <f t="shared" si="113"/>
        <v>0</v>
      </c>
    </row>
    <row r="2870" spans="1:34" x14ac:dyDescent="0.3">
      <c r="A2870" s="140">
        <v>905240</v>
      </c>
      <c r="G2870" s="140">
        <v>3.68</v>
      </c>
      <c r="AG2870" s="66" t="e">
        <f t="shared" si="112"/>
        <v>#DIV/0!</v>
      </c>
      <c r="AH2870" s="143">
        <f t="shared" si="113"/>
        <v>0</v>
      </c>
    </row>
    <row r="2871" spans="1:34" x14ac:dyDescent="0.3">
      <c r="A2871" s="140">
        <v>905241</v>
      </c>
      <c r="G2871" s="140">
        <v>3.87</v>
      </c>
      <c r="AG2871" s="66" t="e">
        <f t="shared" si="112"/>
        <v>#DIV/0!</v>
      </c>
      <c r="AH2871" s="143">
        <f t="shared" si="113"/>
        <v>0</v>
      </c>
    </row>
    <row r="2872" spans="1:34" x14ac:dyDescent="0.3">
      <c r="A2872" s="140">
        <v>905242</v>
      </c>
      <c r="G2872" s="140">
        <v>3.59</v>
      </c>
      <c r="AG2872" s="66" t="e">
        <f t="shared" si="112"/>
        <v>#DIV/0!</v>
      </c>
      <c r="AH2872" s="143">
        <f t="shared" si="113"/>
        <v>0</v>
      </c>
    </row>
    <row r="2873" spans="1:34" x14ac:dyDescent="0.3">
      <c r="A2873" s="140">
        <v>905243</v>
      </c>
      <c r="G2873" s="140">
        <v>3.14</v>
      </c>
      <c r="AG2873" s="66" t="e">
        <f t="shared" si="112"/>
        <v>#DIV/0!</v>
      </c>
      <c r="AH2873" s="143">
        <f t="shared" si="113"/>
        <v>0</v>
      </c>
    </row>
    <row r="2874" spans="1:34" x14ac:dyDescent="0.3">
      <c r="A2874" s="140">
        <v>905244</v>
      </c>
      <c r="G2874" s="140">
        <v>5.2</v>
      </c>
      <c r="AG2874" s="66" t="e">
        <f t="shared" si="112"/>
        <v>#DIV/0!</v>
      </c>
      <c r="AH2874" s="143">
        <f t="shared" si="113"/>
        <v>0</v>
      </c>
    </row>
    <row r="2875" spans="1:34" x14ac:dyDescent="0.3">
      <c r="A2875" s="140">
        <v>905245</v>
      </c>
      <c r="G2875" s="140">
        <v>4.42</v>
      </c>
      <c r="AG2875" s="66" t="e">
        <f t="shared" si="112"/>
        <v>#DIV/0!</v>
      </c>
      <c r="AH2875" s="143">
        <f t="shared" si="113"/>
        <v>0</v>
      </c>
    </row>
    <row r="2876" spans="1:34" x14ac:dyDescent="0.3">
      <c r="A2876" s="140">
        <v>905246</v>
      </c>
      <c r="G2876" s="140">
        <v>4.95</v>
      </c>
      <c r="AG2876" s="66" t="e">
        <f t="shared" si="112"/>
        <v>#DIV/0!</v>
      </c>
      <c r="AH2876" s="143">
        <f t="shared" si="113"/>
        <v>0</v>
      </c>
    </row>
    <row r="2877" spans="1:34" x14ac:dyDescent="0.3">
      <c r="A2877" s="140">
        <v>905247</v>
      </c>
      <c r="G2877" s="140">
        <v>24.73</v>
      </c>
      <c r="AG2877" s="66" t="e">
        <f t="shared" si="112"/>
        <v>#DIV/0!</v>
      </c>
      <c r="AH2877" s="143">
        <f t="shared" si="113"/>
        <v>0</v>
      </c>
    </row>
    <row r="2878" spans="1:34" x14ac:dyDescent="0.3">
      <c r="A2878" s="140">
        <v>905248</v>
      </c>
      <c r="G2878" s="140">
        <v>29.88</v>
      </c>
      <c r="AG2878" s="66" t="e">
        <f t="shared" si="112"/>
        <v>#DIV/0!</v>
      </c>
      <c r="AH2878" s="143">
        <f t="shared" si="113"/>
        <v>0</v>
      </c>
    </row>
    <row r="2879" spans="1:34" x14ac:dyDescent="0.3">
      <c r="A2879" s="140">
        <v>905249</v>
      </c>
      <c r="G2879" s="140">
        <v>26.9</v>
      </c>
      <c r="AG2879" s="66" t="e">
        <f t="shared" si="112"/>
        <v>#DIV/0!</v>
      </c>
      <c r="AH2879" s="143">
        <f t="shared" si="113"/>
        <v>0</v>
      </c>
    </row>
    <row r="2880" spans="1:34" x14ac:dyDescent="0.3">
      <c r="A2880" s="140">
        <v>905250</v>
      </c>
      <c r="G2880" s="140">
        <v>5.56</v>
      </c>
      <c r="AG2880" s="66" t="e">
        <f t="shared" si="112"/>
        <v>#DIV/0!</v>
      </c>
      <c r="AH2880" s="143">
        <f t="shared" si="113"/>
        <v>0</v>
      </c>
    </row>
    <row r="2881" spans="1:34" x14ac:dyDescent="0.3">
      <c r="A2881" s="140">
        <v>905251</v>
      </c>
      <c r="G2881" s="140">
        <v>11.82</v>
      </c>
      <c r="AG2881" s="66" t="e">
        <f t="shared" si="112"/>
        <v>#DIV/0!</v>
      </c>
      <c r="AH2881" s="143">
        <f t="shared" si="113"/>
        <v>0</v>
      </c>
    </row>
    <row r="2882" spans="1:34" x14ac:dyDescent="0.3">
      <c r="A2882" s="140">
        <v>905252</v>
      </c>
      <c r="G2882" s="140">
        <v>14.27</v>
      </c>
      <c r="AG2882" s="66" t="e">
        <f t="shared" ref="AG2882:AG2945" si="114">+K2882*3.54*100/Y2882</f>
        <v>#DIV/0!</v>
      </c>
      <c r="AH2882" s="143">
        <f t="shared" ref="AH2882:AH2945" si="115">+SUM(AD2882:AF2882)</f>
        <v>0</v>
      </c>
    </row>
    <row r="2883" spans="1:34" x14ac:dyDescent="0.3">
      <c r="A2883" s="140">
        <v>905253</v>
      </c>
      <c r="G2883" s="140">
        <v>5.56</v>
      </c>
      <c r="AG2883" s="66" t="e">
        <f t="shared" si="114"/>
        <v>#DIV/0!</v>
      </c>
      <c r="AH2883" s="143">
        <f t="shared" si="115"/>
        <v>0</v>
      </c>
    </row>
    <row r="2884" spans="1:34" x14ac:dyDescent="0.3">
      <c r="A2884" s="140">
        <v>905254</v>
      </c>
      <c r="G2884" s="140">
        <v>6.73</v>
      </c>
      <c r="AG2884" s="66" t="e">
        <f t="shared" si="114"/>
        <v>#DIV/0!</v>
      </c>
      <c r="AH2884" s="143">
        <f t="shared" si="115"/>
        <v>0</v>
      </c>
    </row>
    <row r="2885" spans="1:34" x14ac:dyDescent="0.3">
      <c r="A2885" s="140">
        <v>905255</v>
      </c>
      <c r="G2885" s="140">
        <v>6.97</v>
      </c>
      <c r="AG2885" s="66" t="e">
        <f t="shared" si="114"/>
        <v>#DIV/0!</v>
      </c>
      <c r="AH2885" s="143">
        <f t="shared" si="115"/>
        <v>0</v>
      </c>
    </row>
    <row r="2886" spans="1:34" x14ac:dyDescent="0.3">
      <c r="A2886" s="140">
        <v>905256</v>
      </c>
      <c r="G2886" s="140">
        <v>6.14</v>
      </c>
      <c r="AG2886" s="66" t="e">
        <f t="shared" si="114"/>
        <v>#DIV/0!</v>
      </c>
      <c r="AH2886" s="143">
        <f t="shared" si="115"/>
        <v>0</v>
      </c>
    </row>
    <row r="2887" spans="1:34" x14ac:dyDescent="0.3">
      <c r="A2887" s="140">
        <v>905257</v>
      </c>
      <c r="G2887" s="140">
        <v>5.92</v>
      </c>
      <c r="AG2887" s="66" t="e">
        <f t="shared" si="114"/>
        <v>#DIV/0!</v>
      </c>
      <c r="AH2887" s="143">
        <f t="shared" si="115"/>
        <v>0</v>
      </c>
    </row>
    <row r="2888" spans="1:34" x14ac:dyDescent="0.3">
      <c r="A2888" s="140">
        <v>905258</v>
      </c>
      <c r="G2888" s="140">
        <v>6.6</v>
      </c>
      <c r="AG2888" s="66" t="e">
        <f t="shared" si="114"/>
        <v>#DIV/0!</v>
      </c>
      <c r="AH2888" s="143">
        <f t="shared" si="115"/>
        <v>0</v>
      </c>
    </row>
    <row r="2889" spans="1:34" x14ac:dyDescent="0.3">
      <c r="A2889" s="140">
        <v>905259</v>
      </c>
      <c r="G2889" s="140">
        <v>20.67</v>
      </c>
      <c r="AG2889" s="66" t="e">
        <f t="shared" si="114"/>
        <v>#DIV/0!</v>
      </c>
      <c r="AH2889" s="143">
        <f t="shared" si="115"/>
        <v>0</v>
      </c>
    </row>
    <row r="2890" spans="1:34" x14ac:dyDescent="0.3">
      <c r="A2890" s="140">
        <v>905260</v>
      </c>
      <c r="G2890" s="140">
        <v>25.93</v>
      </c>
      <c r="AG2890" s="66" t="e">
        <f t="shared" si="114"/>
        <v>#DIV/0!</v>
      </c>
      <c r="AH2890" s="143">
        <f t="shared" si="115"/>
        <v>0</v>
      </c>
    </row>
    <row r="2891" spans="1:34" x14ac:dyDescent="0.3">
      <c r="A2891" s="140">
        <v>905261</v>
      </c>
      <c r="G2891" s="140">
        <v>51.28</v>
      </c>
      <c r="AG2891" s="66" t="e">
        <f t="shared" si="114"/>
        <v>#DIV/0!</v>
      </c>
      <c r="AH2891" s="143">
        <f t="shared" si="115"/>
        <v>0</v>
      </c>
    </row>
    <row r="2892" spans="1:34" x14ac:dyDescent="0.3">
      <c r="A2892" s="140">
        <v>905262</v>
      </c>
      <c r="G2892" s="140">
        <v>52.82</v>
      </c>
      <c r="AG2892" s="66" t="e">
        <f t="shared" si="114"/>
        <v>#DIV/0!</v>
      </c>
      <c r="AH2892" s="143">
        <f t="shared" si="115"/>
        <v>0</v>
      </c>
    </row>
    <row r="2893" spans="1:34" x14ac:dyDescent="0.3">
      <c r="A2893" s="140">
        <v>905263</v>
      </c>
      <c r="G2893" s="140">
        <v>27.33</v>
      </c>
      <c r="AG2893" s="66" t="e">
        <f t="shared" si="114"/>
        <v>#DIV/0!</v>
      </c>
      <c r="AH2893" s="143">
        <f t="shared" si="115"/>
        <v>0</v>
      </c>
    </row>
    <row r="2894" spans="1:34" x14ac:dyDescent="0.3">
      <c r="A2894" s="140">
        <v>905264</v>
      </c>
      <c r="G2894" s="140">
        <v>72.569999999999993</v>
      </c>
      <c r="AG2894" s="66" t="e">
        <f t="shared" si="114"/>
        <v>#DIV/0!</v>
      </c>
      <c r="AH2894" s="143">
        <f t="shared" si="115"/>
        <v>0</v>
      </c>
    </row>
    <row r="2895" spans="1:34" x14ac:dyDescent="0.3">
      <c r="A2895" s="140">
        <v>905265</v>
      </c>
      <c r="G2895" s="140">
        <v>6.74</v>
      </c>
      <c r="AG2895" s="66" t="e">
        <f t="shared" si="114"/>
        <v>#DIV/0!</v>
      </c>
      <c r="AH2895" s="143">
        <f t="shared" si="115"/>
        <v>0</v>
      </c>
    </row>
    <row r="2896" spans="1:34" x14ac:dyDescent="0.3">
      <c r="A2896" s="140">
        <v>905266</v>
      </c>
      <c r="G2896" s="140">
        <v>6.27</v>
      </c>
      <c r="AG2896" s="66" t="e">
        <f t="shared" si="114"/>
        <v>#DIV/0!</v>
      </c>
      <c r="AH2896" s="143">
        <f t="shared" si="115"/>
        <v>0</v>
      </c>
    </row>
    <row r="2897" spans="1:431" x14ac:dyDescent="0.3">
      <c r="A2897" s="140">
        <v>905267</v>
      </c>
      <c r="G2897" s="140">
        <v>6.58</v>
      </c>
      <c r="AG2897" s="66" t="e">
        <f t="shared" si="114"/>
        <v>#DIV/0!</v>
      </c>
      <c r="AH2897" s="143">
        <f t="shared" si="115"/>
        <v>0</v>
      </c>
    </row>
    <row r="2898" spans="1:431" x14ac:dyDescent="0.3">
      <c r="A2898" s="140">
        <v>905268</v>
      </c>
      <c r="G2898" s="140">
        <v>6.67</v>
      </c>
      <c r="AG2898" s="66" t="e">
        <f t="shared" si="114"/>
        <v>#DIV/0!</v>
      </c>
      <c r="AH2898" s="143">
        <f t="shared" si="115"/>
        <v>0</v>
      </c>
    </row>
    <row r="2899" spans="1:431" x14ac:dyDescent="0.3">
      <c r="A2899" s="140">
        <v>905269</v>
      </c>
      <c r="G2899" s="140">
        <v>13.81</v>
      </c>
      <c r="AG2899" s="66" t="e">
        <f t="shared" si="114"/>
        <v>#DIV/0!</v>
      </c>
      <c r="AH2899" s="143">
        <f t="shared" si="115"/>
        <v>0</v>
      </c>
    </row>
    <row r="2900" spans="1:431" x14ac:dyDescent="0.3">
      <c r="A2900" s="140">
        <v>905270</v>
      </c>
      <c r="G2900" s="140">
        <v>21.1</v>
      </c>
      <c r="AG2900" s="66" t="e">
        <f t="shared" si="114"/>
        <v>#DIV/0!</v>
      </c>
      <c r="AH2900" s="143">
        <f t="shared" si="115"/>
        <v>0</v>
      </c>
    </row>
    <row r="2901" spans="1:431" x14ac:dyDescent="0.3">
      <c r="A2901" s="140">
        <v>905271</v>
      </c>
      <c r="G2901" s="140">
        <v>19.7</v>
      </c>
      <c r="AG2901" s="66" t="e">
        <f t="shared" si="114"/>
        <v>#DIV/0!</v>
      </c>
      <c r="AH2901" s="143">
        <f t="shared" si="115"/>
        <v>0</v>
      </c>
      <c r="AI2901" s="147"/>
      <c r="AJ2901" s="147"/>
      <c r="AK2901" s="147"/>
      <c r="AL2901" s="147"/>
      <c r="AM2901" s="147"/>
      <c r="AN2901" s="147"/>
      <c r="AO2901" s="147"/>
      <c r="AP2901" s="147"/>
      <c r="AQ2901" s="147"/>
      <c r="AR2901" s="147"/>
      <c r="AS2901" s="147"/>
      <c r="AT2901" s="147"/>
      <c r="AU2901" s="147"/>
      <c r="AV2901" s="147"/>
      <c r="AW2901" s="147"/>
      <c r="AX2901" s="147"/>
      <c r="AY2901" s="147"/>
      <c r="AZ2901" s="147"/>
      <c r="BA2901" s="147"/>
      <c r="BB2901" s="147"/>
      <c r="BC2901" s="147"/>
      <c r="BD2901" s="147"/>
      <c r="BE2901" s="147"/>
      <c r="BF2901" s="147"/>
      <c r="BG2901" s="147"/>
      <c r="BH2901" s="147"/>
      <c r="BI2901" s="147"/>
      <c r="BJ2901" s="147"/>
      <c r="BK2901" s="147"/>
      <c r="BL2901" s="147"/>
      <c r="BM2901" s="147"/>
      <c r="BN2901" s="147"/>
      <c r="BO2901" s="147"/>
      <c r="BP2901" s="147"/>
      <c r="BQ2901" s="147"/>
      <c r="BR2901" s="147"/>
      <c r="BS2901" s="147"/>
      <c r="BT2901" s="147"/>
      <c r="BU2901" s="147"/>
      <c r="BV2901" s="147"/>
      <c r="BW2901" s="147"/>
      <c r="BX2901" s="147"/>
      <c r="BY2901" s="147"/>
      <c r="BZ2901" s="147"/>
      <c r="CA2901" s="147"/>
      <c r="CB2901" s="147"/>
      <c r="CC2901" s="147"/>
      <c r="CD2901" s="147"/>
      <c r="CE2901" s="147"/>
      <c r="CF2901" s="147"/>
      <c r="CG2901" s="147"/>
      <c r="CH2901" s="147"/>
      <c r="CI2901" s="147"/>
      <c r="CJ2901" s="147"/>
      <c r="CK2901" s="147"/>
      <c r="CL2901" s="147"/>
      <c r="CM2901" s="147"/>
      <c r="CN2901" s="147"/>
      <c r="CO2901" s="147"/>
      <c r="CP2901" s="147"/>
      <c r="CQ2901" s="147"/>
      <c r="CR2901" s="147"/>
      <c r="CS2901" s="147"/>
      <c r="CT2901" s="147"/>
      <c r="CU2901" s="147"/>
      <c r="CV2901" s="147"/>
      <c r="CW2901" s="147"/>
      <c r="CX2901" s="147"/>
      <c r="CY2901" s="147"/>
      <c r="CZ2901" s="147"/>
      <c r="DA2901" s="147"/>
      <c r="DB2901" s="147"/>
      <c r="DC2901" s="147"/>
      <c r="DD2901" s="147"/>
      <c r="DE2901" s="147"/>
      <c r="DF2901" s="147"/>
      <c r="DG2901" s="147"/>
      <c r="DH2901" s="147"/>
      <c r="DI2901" s="147"/>
      <c r="DJ2901" s="147"/>
      <c r="DK2901" s="147"/>
      <c r="DL2901" s="147"/>
      <c r="DM2901" s="147"/>
      <c r="DN2901" s="147"/>
      <c r="DO2901" s="147"/>
      <c r="DP2901" s="147"/>
      <c r="DQ2901" s="147"/>
      <c r="DR2901" s="147"/>
      <c r="DS2901" s="147"/>
      <c r="DT2901" s="147"/>
      <c r="DU2901" s="147"/>
      <c r="DV2901" s="147"/>
      <c r="DW2901" s="147"/>
      <c r="DX2901" s="147"/>
      <c r="DY2901" s="147"/>
      <c r="DZ2901" s="147"/>
      <c r="EA2901" s="147"/>
      <c r="EB2901" s="147"/>
      <c r="EC2901" s="147"/>
      <c r="ED2901" s="147"/>
      <c r="EE2901" s="147"/>
      <c r="EF2901" s="147"/>
      <c r="EG2901" s="147"/>
      <c r="EH2901" s="147"/>
      <c r="EI2901" s="147"/>
      <c r="EJ2901" s="147"/>
      <c r="EK2901" s="147"/>
      <c r="EL2901" s="147"/>
      <c r="EM2901" s="147"/>
      <c r="EN2901" s="147"/>
      <c r="EO2901" s="147"/>
      <c r="EP2901" s="147"/>
      <c r="EQ2901" s="147"/>
      <c r="ER2901" s="147"/>
      <c r="ES2901" s="147"/>
      <c r="ET2901" s="147"/>
      <c r="EU2901" s="147"/>
      <c r="EV2901" s="147"/>
      <c r="EW2901" s="147"/>
      <c r="EX2901" s="147"/>
      <c r="EY2901" s="147"/>
      <c r="EZ2901" s="147"/>
      <c r="FA2901" s="147"/>
      <c r="FB2901" s="147"/>
      <c r="FC2901" s="147"/>
      <c r="FD2901" s="147"/>
      <c r="FE2901" s="147"/>
      <c r="FF2901" s="147"/>
      <c r="FG2901" s="147"/>
      <c r="FH2901" s="147"/>
      <c r="FI2901" s="147"/>
      <c r="FJ2901" s="147"/>
      <c r="FK2901" s="147"/>
      <c r="FL2901" s="147"/>
      <c r="FM2901" s="147"/>
      <c r="FN2901" s="147"/>
      <c r="FO2901" s="147"/>
      <c r="FP2901" s="147"/>
      <c r="FQ2901" s="147"/>
      <c r="FR2901" s="147"/>
      <c r="FS2901" s="147"/>
      <c r="FT2901" s="147"/>
      <c r="FU2901" s="147"/>
      <c r="FV2901" s="147"/>
      <c r="FW2901" s="147"/>
      <c r="FX2901" s="147"/>
      <c r="FY2901" s="147"/>
      <c r="FZ2901" s="147"/>
      <c r="GA2901" s="147"/>
      <c r="GB2901" s="147"/>
      <c r="GC2901" s="147"/>
      <c r="GD2901" s="147"/>
      <c r="GE2901" s="147"/>
      <c r="GF2901" s="147"/>
      <c r="GG2901" s="147"/>
      <c r="GH2901" s="147"/>
      <c r="GI2901" s="147"/>
      <c r="GJ2901" s="147"/>
      <c r="GK2901" s="147"/>
      <c r="GL2901" s="147"/>
      <c r="GM2901" s="147"/>
      <c r="GN2901" s="147"/>
      <c r="GO2901" s="147"/>
      <c r="GP2901" s="147"/>
      <c r="GQ2901" s="147"/>
      <c r="GR2901" s="147"/>
      <c r="GS2901" s="147"/>
      <c r="GT2901" s="147"/>
      <c r="GU2901" s="147"/>
      <c r="GV2901" s="147"/>
      <c r="GW2901" s="147"/>
      <c r="GX2901" s="147"/>
      <c r="GY2901" s="147"/>
      <c r="GZ2901" s="147"/>
      <c r="HA2901" s="147"/>
      <c r="HB2901" s="147"/>
      <c r="HC2901" s="147"/>
      <c r="HD2901" s="147"/>
      <c r="HE2901" s="147"/>
      <c r="HF2901" s="147"/>
      <c r="HG2901" s="147"/>
      <c r="HH2901" s="147"/>
      <c r="HI2901" s="147"/>
      <c r="HJ2901" s="147"/>
      <c r="HK2901" s="147"/>
      <c r="HL2901" s="147"/>
      <c r="HM2901" s="147"/>
      <c r="HN2901" s="147"/>
      <c r="HO2901" s="147"/>
      <c r="HP2901" s="147"/>
      <c r="HQ2901" s="147"/>
      <c r="HR2901" s="147"/>
      <c r="HS2901" s="147"/>
      <c r="HT2901" s="147"/>
      <c r="HU2901" s="147"/>
      <c r="HV2901" s="147"/>
      <c r="HW2901" s="147"/>
      <c r="HX2901" s="147"/>
      <c r="HY2901" s="147"/>
      <c r="HZ2901" s="147"/>
      <c r="IA2901" s="147"/>
      <c r="IB2901" s="147"/>
      <c r="IC2901" s="147"/>
      <c r="ID2901" s="147"/>
      <c r="IE2901" s="147"/>
      <c r="IF2901" s="147"/>
      <c r="IG2901" s="147"/>
      <c r="IH2901" s="147"/>
      <c r="II2901" s="147"/>
      <c r="IJ2901" s="147"/>
      <c r="IK2901" s="147"/>
      <c r="IL2901" s="147"/>
      <c r="IM2901" s="147"/>
      <c r="IN2901" s="147"/>
      <c r="IO2901" s="147"/>
      <c r="IP2901" s="147"/>
      <c r="IQ2901" s="147"/>
      <c r="IR2901" s="147"/>
      <c r="IS2901" s="147"/>
      <c r="IT2901" s="147"/>
      <c r="IU2901" s="147"/>
      <c r="IV2901" s="147"/>
      <c r="IW2901" s="147"/>
      <c r="IX2901" s="147"/>
      <c r="IY2901" s="147"/>
      <c r="IZ2901" s="147"/>
      <c r="JA2901" s="147"/>
      <c r="JB2901" s="147"/>
      <c r="JC2901" s="147"/>
      <c r="JD2901" s="147"/>
      <c r="JE2901" s="147"/>
      <c r="JF2901" s="147"/>
      <c r="JG2901" s="147"/>
      <c r="JH2901" s="147"/>
      <c r="JI2901" s="147"/>
      <c r="JJ2901" s="147"/>
      <c r="JK2901" s="147"/>
      <c r="JL2901" s="147"/>
      <c r="JM2901" s="147"/>
      <c r="JN2901" s="147"/>
      <c r="JO2901" s="147"/>
      <c r="JP2901" s="147"/>
      <c r="JQ2901" s="147"/>
      <c r="JR2901" s="147"/>
      <c r="JS2901" s="147"/>
      <c r="JT2901" s="147"/>
      <c r="JU2901" s="147"/>
      <c r="JV2901" s="147"/>
      <c r="JW2901" s="147"/>
      <c r="JX2901" s="147"/>
      <c r="JY2901" s="147"/>
      <c r="JZ2901" s="147"/>
      <c r="KA2901" s="147"/>
      <c r="KB2901" s="147"/>
      <c r="KC2901" s="147"/>
      <c r="KD2901" s="147"/>
      <c r="KE2901" s="147"/>
      <c r="KF2901" s="147"/>
      <c r="KG2901" s="147"/>
      <c r="KH2901" s="147"/>
      <c r="KI2901" s="147"/>
      <c r="KJ2901" s="147"/>
      <c r="KK2901" s="147"/>
      <c r="KL2901" s="147"/>
      <c r="KM2901" s="147"/>
      <c r="KN2901" s="147"/>
      <c r="KO2901" s="147"/>
      <c r="KP2901" s="147"/>
      <c r="KQ2901" s="147"/>
      <c r="KR2901" s="147"/>
      <c r="KS2901" s="147"/>
      <c r="KT2901" s="147"/>
      <c r="KU2901" s="147"/>
      <c r="KV2901" s="147"/>
      <c r="KW2901" s="147"/>
      <c r="KX2901" s="147"/>
      <c r="KY2901" s="147"/>
      <c r="KZ2901" s="147"/>
      <c r="LA2901" s="147"/>
      <c r="LB2901" s="147"/>
      <c r="LC2901" s="147"/>
      <c r="LD2901" s="147"/>
      <c r="LE2901" s="147"/>
      <c r="LF2901" s="147"/>
      <c r="LG2901" s="147"/>
      <c r="LH2901" s="147"/>
      <c r="LI2901" s="147"/>
      <c r="LJ2901" s="147"/>
      <c r="LK2901" s="147"/>
      <c r="LL2901" s="147"/>
      <c r="LM2901" s="147"/>
      <c r="LN2901" s="147"/>
      <c r="LO2901" s="147"/>
      <c r="LP2901" s="147"/>
      <c r="LQ2901" s="147"/>
      <c r="LR2901" s="147"/>
      <c r="LS2901" s="147"/>
      <c r="LT2901" s="147"/>
      <c r="LU2901" s="147"/>
      <c r="LV2901" s="147"/>
      <c r="LW2901" s="147"/>
      <c r="LX2901" s="147"/>
      <c r="LY2901" s="147"/>
      <c r="LZ2901" s="147"/>
      <c r="MA2901" s="147"/>
      <c r="MB2901" s="147"/>
      <c r="MC2901" s="147"/>
      <c r="MD2901" s="147"/>
      <c r="ME2901" s="147"/>
      <c r="MF2901" s="147"/>
      <c r="MG2901" s="147"/>
      <c r="MH2901" s="147"/>
      <c r="MI2901" s="147"/>
      <c r="MJ2901" s="147"/>
      <c r="MK2901" s="147"/>
      <c r="ML2901" s="147"/>
      <c r="MM2901" s="147"/>
      <c r="MN2901" s="147"/>
      <c r="MO2901" s="147"/>
      <c r="MP2901" s="147"/>
      <c r="MQ2901" s="147"/>
      <c r="MR2901" s="147"/>
      <c r="MS2901" s="147"/>
      <c r="MT2901" s="147"/>
      <c r="MU2901" s="147"/>
      <c r="MV2901" s="147"/>
      <c r="MW2901" s="147"/>
      <c r="MX2901" s="147"/>
      <c r="MY2901" s="147"/>
      <c r="MZ2901" s="147"/>
      <c r="NA2901" s="147"/>
      <c r="NB2901" s="147"/>
      <c r="NC2901" s="147"/>
      <c r="ND2901" s="147"/>
      <c r="NE2901" s="147"/>
      <c r="NF2901" s="147"/>
      <c r="NG2901" s="147"/>
      <c r="NH2901" s="147"/>
      <c r="NI2901" s="147"/>
      <c r="NJ2901" s="147"/>
      <c r="NK2901" s="147"/>
      <c r="NL2901" s="147"/>
      <c r="NM2901" s="147"/>
      <c r="NN2901" s="147"/>
      <c r="NO2901" s="147"/>
      <c r="NP2901" s="147"/>
      <c r="NQ2901" s="147"/>
      <c r="NR2901" s="147"/>
      <c r="NS2901" s="147"/>
      <c r="NT2901" s="147"/>
      <c r="NU2901" s="147"/>
      <c r="NV2901" s="147"/>
      <c r="NW2901" s="147"/>
      <c r="NX2901" s="147"/>
      <c r="NY2901" s="147"/>
      <c r="NZ2901" s="147"/>
      <c r="OA2901" s="147"/>
      <c r="OB2901" s="147"/>
      <c r="OC2901" s="147"/>
      <c r="OD2901" s="147"/>
      <c r="OE2901" s="147"/>
      <c r="OF2901" s="147"/>
      <c r="OG2901" s="147"/>
      <c r="OH2901" s="147"/>
      <c r="OI2901" s="147"/>
      <c r="OJ2901" s="147"/>
      <c r="OK2901" s="147"/>
      <c r="OL2901" s="147"/>
      <c r="OM2901" s="147"/>
      <c r="ON2901" s="147"/>
      <c r="OO2901" s="147"/>
      <c r="OP2901" s="147"/>
      <c r="OQ2901" s="147"/>
      <c r="OR2901" s="147"/>
      <c r="OS2901" s="147"/>
      <c r="OT2901" s="147"/>
      <c r="OU2901" s="147"/>
      <c r="OV2901" s="147"/>
      <c r="OW2901" s="147"/>
      <c r="OX2901" s="147"/>
      <c r="OY2901" s="147"/>
      <c r="OZ2901" s="147"/>
      <c r="PA2901" s="147"/>
      <c r="PB2901" s="147"/>
      <c r="PC2901" s="147"/>
      <c r="PD2901" s="147"/>
      <c r="PE2901" s="147"/>
      <c r="PF2901" s="147"/>
      <c r="PG2901" s="147"/>
      <c r="PH2901" s="147"/>
      <c r="PI2901" s="147"/>
      <c r="PJ2901" s="147"/>
      <c r="PK2901" s="147"/>
      <c r="PL2901" s="147"/>
      <c r="PM2901" s="147"/>
      <c r="PN2901" s="147"/>
      <c r="PO2901" s="147"/>
    </row>
    <row r="2902" spans="1:431" x14ac:dyDescent="0.3">
      <c r="A2902" s="140">
        <v>905272</v>
      </c>
      <c r="G2902" s="140">
        <v>65.760000000000005</v>
      </c>
      <c r="AG2902" s="66" t="e">
        <f t="shared" si="114"/>
        <v>#DIV/0!</v>
      </c>
      <c r="AH2902" s="143">
        <f t="shared" si="115"/>
        <v>0</v>
      </c>
      <c r="AI2902" s="147"/>
      <c r="AJ2902" s="147"/>
      <c r="AK2902" s="147"/>
      <c r="AL2902" s="147"/>
      <c r="AM2902" s="147"/>
      <c r="AN2902" s="147"/>
      <c r="AO2902" s="147"/>
      <c r="AP2902" s="147"/>
      <c r="AQ2902" s="147"/>
      <c r="AR2902" s="147"/>
      <c r="AS2902" s="147"/>
      <c r="AT2902" s="147"/>
      <c r="AU2902" s="147"/>
      <c r="AV2902" s="147"/>
      <c r="AW2902" s="147"/>
      <c r="AX2902" s="147"/>
      <c r="AY2902" s="147"/>
      <c r="AZ2902" s="147"/>
      <c r="BA2902" s="147"/>
      <c r="BB2902" s="147"/>
      <c r="BC2902" s="147"/>
      <c r="BD2902" s="147"/>
      <c r="BE2902" s="147"/>
      <c r="BF2902" s="147"/>
      <c r="BG2902" s="147"/>
      <c r="BH2902" s="147"/>
      <c r="BI2902" s="147"/>
      <c r="BJ2902" s="147"/>
      <c r="BK2902" s="147"/>
      <c r="BL2902" s="147"/>
      <c r="BM2902" s="147"/>
      <c r="BN2902" s="147"/>
      <c r="BO2902" s="147"/>
      <c r="BP2902" s="147"/>
      <c r="BQ2902" s="147"/>
      <c r="BR2902" s="147"/>
      <c r="BS2902" s="147"/>
      <c r="BT2902" s="147"/>
      <c r="BU2902" s="147"/>
      <c r="BV2902" s="147"/>
      <c r="BW2902" s="147"/>
      <c r="BX2902" s="147"/>
      <c r="BY2902" s="147"/>
      <c r="BZ2902" s="147"/>
      <c r="CA2902" s="147"/>
      <c r="CB2902" s="147"/>
      <c r="CC2902" s="147"/>
      <c r="CD2902" s="147"/>
      <c r="CE2902" s="147"/>
      <c r="CF2902" s="147"/>
      <c r="CG2902" s="147"/>
      <c r="CH2902" s="147"/>
      <c r="CI2902" s="147"/>
      <c r="CJ2902" s="147"/>
      <c r="CK2902" s="147"/>
      <c r="CL2902" s="147"/>
      <c r="CM2902" s="147"/>
      <c r="CN2902" s="147"/>
      <c r="CO2902" s="147"/>
      <c r="CP2902" s="147"/>
      <c r="CQ2902" s="147"/>
      <c r="CR2902" s="147"/>
      <c r="CS2902" s="147"/>
      <c r="CT2902" s="147"/>
      <c r="CU2902" s="147"/>
      <c r="CV2902" s="147"/>
      <c r="CW2902" s="147"/>
      <c r="CX2902" s="147"/>
      <c r="CY2902" s="147"/>
      <c r="CZ2902" s="147"/>
      <c r="DA2902" s="147"/>
      <c r="DB2902" s="147"/>
      <c r="DC2902" s="147"/>
      <c r="DD2902" s="147"/>
      <c r="DE2902" s="147"/>
      <c r="DF2902" s="147"/>
      <c r="DG2902" s="147"/>
      <c r="DH2902" s="147"/>
      <c r="DI2902" s="147"/>
      <c r="DJ2902" s="147"/>
      <c r="DK2902" s="147"/>
      <c r="DL2902" s="147"/>
      <c r="DM2902" s="147"/>
      <c r="DN2902" s="147"/>
      <c r="DO2902" s="147"/>
      <c r="DP2902" s="147"/>
      <c r="DQ2902" s="147"/>
      <c r="DR2902" s="147"/>
      <c r="DS2902" s="147"/>
      <c r="DT2902" s="147"/>
      <c r="DU2902" s="147"/>
      <c r="DV2902" s="147"/>
      <c r="DW2902" s="147"/>
      <c r="DX2902" s="147"/>
      <c r="DY2902" s="147"/>
      <c r="DZ2902" s="147"/>
      <c r="EA2902" s="147"/>
      <c r="EB2902" s="147"/>
      <c r="EC2902" s="147"/>
      <c r="ED2902" s="147"/>
      <c r="EE2902" s="147"/>
      <c r="EF2902" s="147"/>
      <c r="EG2902" s="147"/>
      <c r="EH2902" s="147"/>
      <c r="EI2902" s="147"/>
      <c r="EJ2902" s="147"/>
      <c r="EK2902" s="147"/>
      <c r="EL2902" s="147"/>
      <c r="EM2902" s="147"/>
      <c r="EN2902" s="147"/>
      <c r="EO2902" s="147"/>
      <c r="EP2902" s="147"/>
      <c r="EQ2902" s="147"/>
      <c r="ER2902" s="147"/>
      <c r="ES2902" s="147"/>
      <c r="ET2902" s="147"/>
      <c r="EU2902" s="147"/>
      <c r="EV2902" s="147"/>
      <c r="EW2902" s="147"/>
      <c r="EX2902" s="147"/>
      <c r="EY2902" s="147"/>
      <c r="EZ2902" s="147"/>
      <c r="FA2902" s="147"/>
      <c r="FB2902" s="147"/>
      <c r="FC2902" s="147"/>
      <c r="FD2902" s="147"/>
      <c r="FE2902" s="147"/>
      <c r="FF2902" s="147"/>
      <c r="FG2902" s="147"/>
      <c r="FH2902" s="147"/>
      <c r="FI2902" s="147"/>
      <c r="FJ2902" s="147"/>
      <c r="FK2902" s="147"/>
      <c r="FL2902" s="147"/>
      <c r="FM2902" s="147"/>
      <c r="FN2902" s="147"/>
      <c r="FO2902" s="147"/>
      <c r="FP2902" s="147"/>
      <c r="FQ2902" s="147"/>
      <c r="FR2902" s="147"/>
      <c r="FS2902" s="147"/>
      <c r="FT2902" s="147"/>
      <c r="FU2902" s="147"/>
      <c r="FV2902" s="147"/>
      <c r="FW2902" s="147"/>
      <c r="FX2902" s="147"/>
      <c r="FY2902" s="147"/>
      <c r="FZ2902" s="147"/>
      <c r="GA2902" s="147"/>
      <c r="GB2902" s="147"/>
      <c r="GC2902" s="147"/>
      <c r="GD2902" s="147"/>
      <c r="GE2902" s="147"/>
      <c r="GF2902" s="147"/>
      <c r="GG2902" s="147"/>
      <c r="GH2902" s="147"/>
      <c r="GI2902" s="147"/>
      <c r="GJ2902" s="147"/>
      <c r="GK2902" s="147"/>
      <c r="GL2902" s="147"/>
      <c r="GM2902" s="147"/>
      <c r="GN2902" s="147"/>
      <c r="GO2902" s="147"/>
      <c r="GP2902" s="147"/>
      <c r="GQ2902" s="147"/>
      <c r="GR2902" s="147"/>
      <c r="GS2902" s="147"/>
      <c r="GT2902" s="147"/>
      <c r="GU2902" s="147"/>
      <c r="GV2902" s="147"/>
      <c r="GW2902" s="147"/>
      <c r="GX2902" s="147"/>
      <c r="GY2902" s="147"/>
      <c r="GZ2902" s="147"/>
      <c r="HA2902" s="147"/>
      <c r="HB2902" s="147"/>
      <c r="HC2902" s="147"/>
      <c r="HD2902" s="147"/>
      <c r="HE2902" s="147"/>
      <c r="HF2902" s="147"/>
      <c r="HG2902" s="147"/>
      <c r="HH2902" s="147"/>
      <c r="HI2902" s="147"/>
      <c r="HJ2902" s="147"/>
      <c r="HK2902" s="147"/>
      <c r="HL2902" s="147"/>
      <c r="HM2902" s="147"/>
      <c r="HN2902" s="147"/>
      <c r="HO2902" s="147"/>
      <c r="HP2902" s="147"/>
      <c r="HQ2902" s="147"/>
      <c r="HR2902" s="147"/>
      <c r="HS2902" s="147"/>
      <c r="HT2902" s="147"/>
      <c r="HU2902" s="147"/>
      <c r="HV2902" s="147"/>
      <c r="HW2902" s="147"/>
      <c r="HX2902" s="147"/>
      <c r="HY2902" s="147"/>
      <c r="HZ2902" s="147"/>
      <c r="IA2902" s="147"/>
      <c r="IB2902" s="147"/>
      <c r="IC2902" s="147"/>
      <c r="ID2902" s="147"/>
      <c r="IE2902" s="147"/>
      <c r="IF2902" s="147"/>
      <c r="IG2902" s="147"/>
      <c r="IH2902" s="147"/>
      <c r="II2902" s="147"/>
      <c r="IJ2902" s="147"/>
      <c r="IK2902" s="147"/>
      <c r="IL2902" s="147"/>
      <c r="IM2902" s="147"/>
      <c r="IN2902" s="147"/>
      <c r="IO2902" s="147"/>
      <c r="IP2902" s="147"/>
      <c r="IQ2902" s="147"/>
      <c r="IR2902" s="147"/>
      <c r="IS2902" s="147"/>
      <c r="IT2902" s="147"/>
      <c r="IU2902" s="147"/>
      <c r="IV2902" s="147"/>
      <c r="IW2902" s="147"/>
      <c r="IX2902" s="147"/>
      <c r="IY2902" s="147"/>
      <c r="IZ2902" s="147"/>
      <c r="JA2902" s="147"/>
      <c r="JB2902" s="147"/>
      <c r="JC2902" s="147"/>
      <c r="JD2902" s="147"/>
      <c r="JE2902" s="147"/>
      <c r="JF2902" s="147"/>
      <c r="JG2902" s="147"/>
      <c r="JH2902" s="147"/>
      <c r="JI2902" s="147"/>
      <c r="JJ2902" s="147"/>
      <c r="JK2902" s="147"/>
      <c r="JL2902" s="147"/>
      <c r="JM2902" s="147"/>
      <c r="JN2902" s="147"/>
      <c r="JO2902" s="147"/>
      <c r="JP2902" s="147"/>
      <c r="JQ2902" s="147"/>
      <c r="JR2902" s="147"/>
      <c r="JS2902" s="147"/>
      <c r="JT2902" s="147"/>
      <c r="JU2902" s="147"/>
      <c r="JV2902" s="147"/>
      <c r="JW2902" s="147"/>
      <c r="JX2902" s="147"/>
      <c r="JY2902" s="147"/>
      <c r="JZ2902" s="147"/>
      <c r="KA2902" s="147"/>
      <c r="KB2902" s="147"/>
      <c r="KC2902" s="147"/>
      <c r="KD2902" s="147"/>
      <c r="KE2902" s="147"/>
      <c r="KF2902" s="147"/>
      <c r="KG2902" s="147"/>
      <c r="KH2902" s="147"/>
      <c r="KI2902" s="147"/>
      <c r="KJ2902" s="147"/>
      <c r="KK2902" s="147"/>
      <c r="KL2902" s="147"/>
      <c r="KM2902" s="147"/>
      <c r="KN2902" s="147"/>
      <c r="KO2902" s="147"/>
      <c r="KP2902" s="147"/>
      <c r="KQ2902" s="147"/>
      <c r="KR2902" s="147"/>
      <c r="KS2902" s="147"/>
      <c r="KT2902" s="147"/>
      <c r="KU2902" s="147"/>
      <c r="KV2902" s="147"/>
      <c r="KW2902" s="147"/>
      <c r="KX2902" s="147"/>
      <c r="KY2902" s="147"/>
      <c r="KZ2902" s="147"/>
      <c r="LA2902" s="147"/>
      <c r="LB2902" s="147"/>
      <c r="LC2902" s="147"/>
      <c r="LD2902" s="147"/>
      <c r="LE2902" s="147"/>
      <c r="LF2902" s="147"/>
      <c r="LG2902" s="147"/>
      <c r="LH2902" s="147"/>
      <c r="LI2902" s="147"/>
      <c r="LJ2902" s="147"/>
      <c r="LK2902" s="147"/>
      <c r="LL2902" s="147"/>
      <c r="LM2902" s="147"/>
      <c r="LN2902" s="147"/>
      <c r="LO2902" s="147"/>
      <c r="LP2902" s="147"/>
      <c r="LQ2902" s="147"/>
      <c r="LR2902" s="147"/>
      <c r="LS2902" s="147"/>
      <c r="LT2902" s="147"/>
      <c r="LU2902" s="147"/>
      <c r="LV2902" s="147"/>
      <c r="LW2902" s="147"/>
      <c r="LX2902" s="147"/>
      <c r="LY2902" s="147"/>
      <c r="LZ2902" s="147"/>
      <c r="MA2902" s="147"/>
      <c r="MB2902" s="147"/>
      <c r="MC2902" s="147"/>
      <c r="MD2902" s="147"/>
      <c r="ME2902" s="147"/>
      <c r="MF2902" s="147"/>
      <c r="MG2902" s="147"/>
      <c r="MH2902" s="147"/>
      <c r="MI2902" s="147"/>
      <c r="MJ2902" s="147"/>
      <c r="MK2902" s="147"/>
      <c r="ML2902" s="147"/>
      <c r="MM2902" s="147"/>
      <c r="MN2902" s="147"/>
      <c r="MO2902" s="147"/>
      <c r="MP2902" s="147"/>
      <c r="MQ2902" s="147"/>
      <c r="MR2902" s="147"/>
      <c r="MS2902" s="147"/>
      <c r="MT2902" s="147"/>
      <c r="MU2902" s="147"/>
      <c r="MV2902" s="147"/>
      <c r="MW2902" s="147"/>
      <c r="MX2902" s="147"/>
      <c r="MY2902" s="147"/>
      <c r="MZ2902" s="147"/>
      <c r="NA2902" s="147"/>
      <c r="NB2902" s="147"/>
      <c r="NC2902" s="147"/>
      <c r="ND2902" s="147"/>
      <c r="NE2902" s="147"/>
      <c r="NF2902" s="147"/>
      <c r="NG2902" s="147"/>
      <c r="NH2902" s="147"/>
      <c r="NI2902" s="147"/>
      <c r="NJ2902" s="147"/>
      <c r="NK2902" s="147"/>
      <c r="NL2902" s="147"/>
      <c r="NM2902" s="147"/>
      <c r="NN2902" s="147"/>
      <c r="NO2902" s="147"/>
      <c r="NP2902" s="147"/>
      <c r="NQ2902" s="147"/>
      <c r="NR2902" s="147"/>
      <c r="NS2902" s="147"/>
      <c r="NT2902" s="147"/>
      <c r="NU2902" s="147"/>
      <c r="NV2902" s="147"/>
      <c r="NW2902" s="147"/>
      <c r="NX2902" s="147"/>
      <c r="NY2902" s="147"/>
      <c r="NZ2902" s="147"/>
      <c r="OA2902" s="147"/>
      <c r="OB2902" s="147"/>
      <c r="OC2902" s="147"/>
      <c r="OD2902" s="147"/>
      <c r="OE2902" s="147"/>
      <c r="OF2902" s="147"/>
      <c r="OG2902" s="147"/>
      <c r="OH2902" s="147"/>
      <c r="OI2902" s="147"/>
      <c r="OJ2902" s="147"/>
      <c r="OK2902" s="147"/>
      <c r="OL2902" s="147"/>
      <c r="OM2902" s="147"/>
      <c r="ON2902" s="147"/>
      <c r="OO2902" s="147"/>
      <c r="OP2902" s="147"/>
      <c r="OQ2902" s="147"/>
      <c r="OR2902" s="147"/>
      <c r="OS2902" s="147"/>
      <c r="OT2902" s="147"/>
      <c r="OU2902" s="147"/>
      <c r="OV2902" s="147"/>
      <c r="OW2902" s="147"/>
      <c r="OX2902" s="147"/>
      <c r="OY2902" s="147"/>
      <c r="OZ2902" s="147"/>
      <c r="PA2902" s="147"/>
      <c r="PB2902" s="147"/>
      <c r="PC2902" s="147"/>
      <c r="PD2902" s="147"/>
      <c r="PE2902" s="147"/>
      <c r="PF2902" s="147"/>
      <c r="PG2902" s="147"/>
      <c r="PH2902" s="147"/>
      <c r="PI2902" s="147"/>
      <c r="PJ2902" s="147"/>
      <c r="PK2902" s="147"/>
      <c r="PL2902" s="147"/>
      <c r="PM2902" s="147"/>
      <c r="PN2902" s="147"/>
      <c r="PO2902" s="147"/>
    </row>
    <row r="2903" spans="1:431" x14ac:dyDescent="0.3">
      <c r="A2903" s="140">
        <v>905273</v>
      </c>
      <c r="G2903" s="140">
        <v>15.96</v>
      </c>
      <c r="AG2903" s="66" t="e">
        <f t="shared" si="114"/>
        <v>#DIV/0!</v>
      </c>
      <c r="AH2903" s="143">
        <f t="shared" si="115"/>
        <v>0</v>
      </c>
      <c r="AI2903" s="147"/>
      <c r="AJ2903" s="147"/>
      <c r="AK2903" s="147"/>
      <c r="AL2903" s="147"/>
      <c r="AM2903" s="147"/>
      <c r="AN2903" s="147"/>
      <c r="AO2903" s="147"/>
      <c r="AP2903" s="147"/>
      <c r="AQ2903" s="147"/>
      <c r="AR2903" s="147"/>
      <c r="AS2903" s="147"/>
      <c r="AT2903" s="147"/>
      <c r="AU2903" s="147"/>
      <c r="AV2903" s="147"/>
      <c r="AW2903" s="147"/>
      <c r="AX2903" s="147"/>
      <c r="AY2903" s="147"/>
      <c r="AZ2903" s="147"/>
      <c r="BA2903" s="147"/>
      <c r="BB2903" s="147"/>
      <c r="BC2903" s="147"/>
      <c r="BD2903" s="147"/>
      <c r="BE2903" s="147"/>
      <c r="BF2903" s="147"/>
      <c r="BG2903" s="147"/>
      <c r="BH2903" s="147"/>
      <c r="BI2903" s="147"/>
      <c r="BJ2903" s="147"/>
      <c r="BK2903" s="147"/>
      <c r="BL2903" s="147"/>
      <c r="BM2903" s="147"/>
      <c r="BN2903" s="147"/>
      <c r="BO2903" s="147"/>
      <c r="BP2903" s="147"/>
      <c r="BQ2903" s="147"/>
      <c r="BR2903" s="147"/>
      <c r="BS2903" s="147"/>
      <c r="BT2903" s="147"/>
      <c r="BU2903" s="147"/>
      <c r="BV2903" s="147"/>
      <c r="BW2903" s="147"/>
      <c r="BX2903" s="147"/>
      <c r="BY2903" s="147"/>
      <c r="BZ2903" s="147"/>
      <c r="CA2903" s="147"/>
      <c r="CB2903" s="147"/>
      <c r="CC2903" s="147"/>
      <c r="CD2903" s="147"/>
      <c r="CE2903" s="147"/>
      <c r="CF2903" s="147"/>
      <c r="CG2903" s="147"/>
      <c r="CH2903" s="147"/>
      <c r="CI2903" s="147"/>
      <c r="CJ2903" s="147"/>
      <c r="CK2903" s="147"/>
      <c r="CL2903" s="147"/>
      <c r="CM2903" s="147"/>
      <c r="CN2903" s="147"/>
      <c r="CO2903" s="147"/>
      <c r="CP2903" s="147"/>
      <c r="CQ2903" s="147"/>
      <c r="CR2903" s="147"/>
      <c r="CS2903" s="147"/>
      <c r="CT2903" s="147"/>
      <c r="CU2903" s="147"/>
      <c r="CV2903" s="147"/>
      <c r="CW2903" s="147"/>
      <c r="CX2903" s="147"/>
      <c r="CY2903" s="147"/>
      <c r="CZ2903" s="147"/>
      <c r="DA2903" s="147"/>
      <c r="DB2903" s="147"/>
      <c r="DC2903" s="147"/>
      <c r="DD2903" s="147"/>
      <c r="DE2903" s="147"/>
      <c r="DF2903" s="147"/>
      <c r="DG2903" s="147"/>
      <c r="DH2903" s="147"/>
      <c r="DI2903" s="147"/>
      <c r="DJ2903" s="147"/>
      <c r="DK2903" s="147"/>
      <c r="DL2903" s="147"/>
      <c r="DM2903" s="147"/>
      <c r="DN2903" s="147"/>
      <c r="DO2903" s="147"/>
      <c r="DP2903" s="147"/>
      <c r="DQ2903" s="147"/>
      <c r="DR2903" s="147"/>
      <c r="DS2903" s="147"/>
      <c r="DT2903" s="147"/>
      <c r="DU2903" s="147"/>
      <c r="DV2903" s="147"/>
      <c r="DW2903" s="147"/>
      <c r="DX2903" s="147"/>
      <c r="DY2903" s="147"/>
      <c r="DZ2903" s="147"/>
      <c r="EA2903" s="147"/>
      <c r="EB2903" s="147"/>
      <c r="EC2903" s="147"/>
      <c r="ED2903" s="147"/>
      <c r="EE2903" s="147"/>
      <c r="EF2903" s="147"/>
      <c r="EG2903" s="147"/>
      <c r="EH2903" s="147"/>
      <c r="EI2903" s="147"/>
      <c r="EJ2903" s="147"/>
      <c r="EK2903" s="147"/>
      <c r="EL2903" s="147"/>
      <c r="EM2903" s="147"/>
      <c r="EN2903" s="147"/>
      <c r="EO2903" s="147"/>
      <c r="EP2903" s="147"/>
      <c r="EQ2903" s="147"/>
      <c r="ER2903" s="147"/>
      <c r="ES2903" s="147"/>
      <c r="ET2903" s="147"/>
      <c r="EU2903" s="147"/>
      <c r="EV2903" s="147"/>
      <c r="EW2903" s="147"/>
      <c r="EX2903" s="147"/>
      <c r="EY2903" s="147"/>
      <c r="EZ2903" s="147"/>
      <c r="FA2903" s="147"/>
      <c r="FB2903" s="147"/>
      <c r="FC2903" s="147"/>
      <c r="FD2903" s="147"/>
      <c r="FE2903" s="147"/>
      <c r="FF2903" s="147"/>
      <c r="FG2903" s="147"/>
      <c r="FH2903" s="147"/>
      <c r="FI2903" s="147"/>
      <c r="FJ2903" s="147"/>
      <c r="FK2903" s="147"/>
      <c r="FL2903" s="147"/>
      <c r="FM2903" s="147"/>
      <c r="FN2903" s="147"/>
      <c r="FO2903" s="147"/>
      <c r="FP2903" s="147"/>
      <c r="FQ2903" s="147"/>
      <c r="FR2903" s="147"/>
      <c r="FS2903" s="147"/>
      <c r="FT2903" s="147"/>
      <c r="FU2903" s="147"/>
      <c r="FV2903" s="147"/>
      <c r="FW2903" s="147"/>
      <c r="FX2903" s="147"/>
      <c r="FY2903" s="147"/>
      <c r="FZ2903" s="147"/>
      <c r="GA2903" s="147"/>
      <c r="GB2903" s="147"/>
      <c r="GC2903" s="147"/>
      <c r="GD2903" s="147"/>
      <c r="GE2903" s="147"/>
      <c r="GF2903" s="147"/>
      <c r="GG2903" s="147"/>
      <c r="GH2903" s="147"/>
      <c r="GI2903" s="147"/>
      <c r="GJ2903" s="147"/>
      <c r="GK2903" s="147"/>
      <c r="GL2903" s="147"/>
      <c r="GM2903" s="147"/>
      <c r="GN2903" s="147"/>
      <c r="GO2903" s="147"/>
      <c r="GP2903" s="147"/>
      <c r="GQ2903" s="147"/>
      <c r="GR2903" s="147"/>
      <c r="GS2903" s="147"/>
      <c r="GT2903" s="147"/>
      <c r="GU2903" s="147"/>
      <c r="GV2903" s="147"/>
      <c r="GW2903" s="147"/>
      <c r="GX2903" s="147"/>
      <c r="GY2903" s="147"/>
      <c r="GZ2903" s="147"/>
      <c r="HA2903" s="147"/>
      <c r="HB2903" s="147"/>
      <c r="HC2903" s="147"/>
      <c r="HD2903" s="147"/>
      <c r="HE2903" s="147"/>
      <c r="HF2903" s="147"/>
      <c r="HG2903" s="147"/>
      <c r="HH2903" s="147"/>
      <c r="HI2903" s="147"/>
      <c r="HJ2903" s="147"/>
      <c r="HK2903" s="147"/>
      <c r="HL2903" s="147"/>
      <c r="HM2903" s="147"/>
      <c r="HN2903" s="147"/>
      <c r="HO2903" s="147"/>
      <c r="HP2903" s="147"/>
      <c r="HQ2903" s="147"/>
      <c r="HR2903" s="147"/>
      <c r="HS2903" s="147"/>
      <c r="HT2903" s="147"/>
      <c r="HU2903" s="147"/>
      <c r="HV2903" s="147"/>
      <c r="HW2903" s="147"/>
      <c r="HX2903" s="147"/>
      <c r="HY2903" s="147"/>
      <c r="HZ2903" s="147"/>
      <c r="IA2903" s="147"/>
      <c r="IB2903" s="147"/>
      <c r="IC2903" s="147"/>
      <c r="ID2903" s="147"/>
      <c r="IE2903" s="147"/>
      <c r="IF2903" s="147"/>
      <c r="IG2903" s="147"/>
      <c r="IH2903" s="147"/>
      <c r="II2903" s="147"/>
      <c r="IJ2903" s="147"/>
      <c r="IK2903" s="147"/>
      <c r="IL2903" s="147"/>
      <c r="IM2903" s="147"/>
      <c r="IN2903" s="147"/>
      <c r="IO2903" s="147"/>
      <c r="IP2903" s="147"/>
      <c r="IQ2903" s="147"/>
      <c r="IR2903" s="147"/>
      <c r="IS2903" s="147"/>
      <c r="IT2903" s="147"/>
      <c r="IU2903" s="147"/>
      <c r="IV2903" s="147"/>
      <c r="IW2903" s="147"/>
      <c r="IX2903" s="147"/>
      <c r="IY2903" s="147"/>
      <c r="IZ2903" s="147"/>
      <c r="JA2903" s="147"/>
      <c r="JB2903" s="147"/>
      <c r="JC2903" s="147"/>
      <c r="JD2903" s="147"/>
      <c r="JE2903" s="147"/>
      <c r="JF2903" s="147"/>
      <c r="JG2903" s="147"/>
      <c r="JH2903" s="147"/>
      <c r="JI2903" s="147"/>
      <c r="JJ2903" s="147"/>
      <c r="JK2903" s="147"/>
      <c r="JL2903" s="147"/>
      <c r="JM2903" s="147"/>
      <c r="JN2903" s="147"/>
      <c r="JO2903" s="147"/>
      <c r="JP2903" s="147"/>
      <c r="JQ2903" s="147"/>
      <c r="JR2903" s="147"/>
      <c r="JS2903" s="147"/>
      <c r="JT2903" s="147"/>
      <c r="JU2903" s="147"/>
      <c r="JV2903" s="147"/>
      <c r="JW2903" s="147"/>
      <c r="JX2903" s="147"/>
      <c r="JY2903" s="147"/>
      <c r="JZ2903" s="147"/>
      <c r="KA2903" s="147"/>
      <c r="KB2903" s="147"/>
      <c r="KC2903" s="147"/>
      <c r="KD2903" s="147"/>
      <c r="KE2903" s="147"/>
      <c r="KF2903" s="147"/>
      <c r="KG2903" s="147"/>
      <c r="KH2903" s="147"/>
      <c r="KI2903" s="147"/>
      <c r="KJ2903" s="147"/>
      <c r="KK2903" s="147"/>
      <c r="KL2903" s="147"/>
      <c r="KM2903" s="147"/>
      <c r="KN2903" s="147"/>
      <c r="KO2903" s="147"/>
      <c r="KP2903" s="147"/>
      <c r="KQ2903" s="147"/>
      <c r="KR2903" s="147"/>
      <c r="KS2903" s="147"/>
      <c r="KT2903" s="147"/>
      <c r="KU2903" s="147"/>
      <c r="KV2903" s="147"/>
      <c r="KW2903" s="147"/>
      <c r="KX2903" s="147"/>
      <c r="KY2903" s="147"/>
      <c r="KZ2903" s="147"/>
      <c r="LA2903" s="147"/>
      <c r="LB2903" s="147"/>
      <c r="LC2903" s="147"/>
      <c r="LD2903" s="147"/>
      <c r="LE2903" s="147"/>
      <c r="LF2903" s="147"/>
      <c r="LG2903" s="147"/>
      <c r="LH2903" s="147"/>
      <c r="LI2903" s="147"/>
      <c r="LJ2903" s="147"/>
      <c r="LK2903" s="147"/>
      <c r="LL2903" s="147"/>
      <c r="LM2903" s="147"/>
      <c r="LN2903" s="147"/>
      <c r="LO2903" s="147"/>
      <c r="LP2903" s="147"/>
      <c r="LQ2903" s="147"/>
      <c r="LR2903" s="147"/>
      <c r="LS2903" s="147"/>
      <c r="LT2903" s="147"/>
      <c r="LU2903" s="147"/>
      <c r="LV2903" s="147"/>
      <c r="LW2903" s="147"/>
      <c r="LX2903" s="147"/>
      <c r="LY2903" s="147"/>
      <c r="LZ2903" s="147"/>
      <c r="MA2903" s="147"/>
      <c r="MB2903" s="147"/>
      <c r="MC2903" s="147"/>
      <c r="MD2903" s="147"/>
      <c r="ME2903" s="147"/>
      <c r="MF2903" s="147"/>
      <c r="MG2903" s="147"/>
      <c r="MH2903" s="147"/>
      <c r="MI2903" s="147"/>
      <c r="MJ2903" s="147"/>
      <c r="MK2903" s="147"/>
      <c r="ML2903" s="147"/>
      <c r="MM2903" s="147"/>
      <c r="MN2903" s="147"/>
      <c r="MO2903" s="147"/>
      <c r="MP2903" s="147"/>
      <c r="MQ2903" s="147"/>
      <c r="MR2903" s="147"/>
      <c r="MS2903" s="147"/>
      <c r="MT2903" s="147"/>
      <c r="MU2903" s="147"/>
      <c r="MV2903" s="147"/>
      <c r="MW2903" s="147"/>
      <c r="MX2903" s="147"/>
      <c r="MY2903" s="147"/>
      <c r="MZ2903" s="147"/>
      <c r="NA2903" s="147"/>
      <c r="NB2903" s="147"/>
      <c r="NC2903" s="147"/>
      <c r="ND2903" s="147"/>
      <c r="NE2903" s="147"/>
      <c r="NF2903" s="147"/>
      <c r="NG2903" s="147"/>
      <c r="NH2903" s="147"/>
      <c r="NI2903" s="147"/>
      <c r="NJ2903" s="147"/>
      <c r="NK2903" s="147"/>
      <c r="NL2903" s="147"/>
      <c r="NM2903" s="147"/>
      <c r="NN2903" s="147"/>
      <c r="NO2903" s="147"/>
      <c r="NP2903" s="147"/>
      <c r="NQ2903" s="147"/>
      <c r="NR2903" s="147"/>
      <c r="NS2903" s="147"/>
      <c r="NT2903" s="147"/>
      <c r="NU2903" s="147"/>
      <c r="NV2903" s="147"/>
      <c r="NW2903" s="147"/>
      <c r="NX2903" s="147"/>
      <c r="NY2903" s="147"/>
      <c r="NZ2903" s="147"/>
      <c r="OA2903" s="147"/>
      <c r="OB2903" s="147"/>
      <c r="OC2903" s="147"/>
      <c r="OD2903" s="147"/>
      <c r="OE2903" s="147"/>
      <c r="OF2903" s="147"/>
      <c r="OG2903" s="147"/>
      <c r="OH2903" s="147"/>
      <c r="OI2903" s="147"/>
      <c r="OJ2903" s="147"/>
      <c r="OK2903" s="147"/>
      <c r="OL2903" s="147"/>
      <c r="OM2903" s="147"/>
      <c r="ON2903" s="147"/>
      <c r="OO2903" s="147"/>
      <c r="OP2903" s="147"/>
      <c r="OQ2903" s="147"/>
      <c r="OR2903" s="147"/>
      <c r="OS2903" s="147"/>
      <c r="OT2903" s="147"/>
      <c r="OU2903" s="147"/>
      <c r="OV2903" s="147"/>
      <c r="OW2903" s="147"/>
      <c r="OX2903" s="147"/>
      <c r="OY2903" s="147"/>
      <c r="OZ2903" s="147"/>
      <c r="PA2903" s="147"/>
      <c r="PB2903" s="147"/>
      <c r="PC2903" s="147"/>
      <c r="PD2903" s="147"/>
      <c r="PE2903" s="147"/>
      <c r="PF2903" s="147"/>
      <c r="PG2903" s="147"/>
      <c r="PH2903" s="147"/>
      <c r="PI2903" s="147"/>
      <c r="PJ2903" s="147"/>
      <c r="PK2903" s="147"/>
      <c r="PL2903" s="147"/>
      <c r="PM2903" s="147"/>
      <c r="PN2903" s="147"/>
      <c r="PO2903" s="147"/>
    </row>
    <row r="2904" spans="1:431" x14ac:dyDescent="0.3">
      <c r="A2904" s="140">
        <v>905274</v>
      </c>
      <c r="G2904" s="140">
        <v>8.14</v>
      </c>
      <c r="AG2904" s="66" t="e">
        <f t="shared" si="114"/>
        <v>#DIV/0!</v>
      </c>
      <c r="AH2904" s="143">
        <f t="shared" si="115"/>
        <v>0</v>
      </c>
      <c r="AI2904" s="147"/>
      <c r="AJ2904" s="147"/>
      <c r="AK2904" s="147"/>
      <c r="AL2904" s="147"/>
      <c r="AM2904" s="147"/>
      <c r="AN2904" s="147"/>
      <c r="AO2904" s="147"/>
      <c r="AP2904" s="147"/>
      <c r="AQ2904" s="147"/>
      <c r="AR2904" s="147"/>
      <c r="AS2904" s="147"/>
      <c r="AT2904" s="147"/>
      <c r="AU2904" s="147"/>
      <c r="AV2904" s="147"/>
      <c r="AW2904" s="147"/>
      <c r="AX2904" s="147"/>
      <c r="AY2904" s="147"/>
      <c r="AZ2904" s="147"/>
      <c r="BA2904" s="147"/>
      <c r="BB2904" s="147"/>
      <c r="BC2904" s="147"/>
      <c r="BD2904" s="147"/>
      <c r="BE2904" s="147"/>
      <c r="BF2904" s="147"/>
      <c r="BG2904" s="147"/>
      <c r="BH2904" s="147"/>
      <c r="BI2904" s="147"/>
      <c r="BJ2904" s="147"/>
      <c r="BK2904" s="147"/>
      <c r="BL2904" s="147"/>
      <c r="BM2904" s="147"/>
      <c r="BN2904" s="147"/>
      <c r="BO2904" s="147"/>
      <c r="BP2904" s="147"/>
      <c r="BQ2904" s="147"/>
      <c r="BR2904" s="147"/>
      <c r="BS2904" s="147"/>
      <c r="BT2904" s="147"/>
      <c r="BU2904" s="147"/>
      <c r="BV2904" s="147"/>
      <c r="BW2904" s="147"/>
      <c r="BX2904" s="147"/>
      <c r="BY2904" s="147"/>
      <c r="BZ2904" s="147"/>
      <c r="CA2904" s="147"/>
      <c r="CB2904" s="147"/>
      <c r="CC2904" s="147"/>
      <c r="CD2904" s="147"/>
      <c r="CE2904" s="147"/>
      <c r="CF2904" s="147"/>
      <c r="CG2904" s="147"/>
      <c r="CH2904" s="147"/>
      <c r="CI2904" s="147"/>
      <c r="CJ2904" s="147"/>
      <c r="CK2904" s="147"/>
      <c r="CL2904" s="147"/>
      <c r="CM2904" s="147"/>
      <c r="CN2904" s="147"/>
      <c r="CO2904" s="147"/>
      <c r="CP2904" s="147"/>
      <c r="CQ2904" s="147"/>
      <c r="CR2904" s="147"/>
      <c r="CS2904" s="147"/>
      <c r="CT2904" s="147"/>
      <c r="CU2904" s="147"/>
      <c r="CV2904" s="147"/>
      <c r="CW2904" s="147"/>
      <c r="CX2904" s="147"/>
      <c r="CY2904" s="147"/>
      <c r="CZ2904" s="147"/>
      <c r="DA2904" s="147"/>
      <c r="DB2904" s="147"/>
      <c r="DC2904" s="147"/>
      <c r="DD2904" s="147"/>
      <c r="DE2904" s="147"/>
      <c r="DF2904" s="147"/>
      <c r="DG2904" s="147"/>
      <c r="DH2904" s="147"/>
      <c r="DI2904" s="147"/>
      <c r="DJ2904" s="147"/>
      <c r="DK2904" s="147"/>
      <c r="DL2904" s="147"/>
      <c r="DM2904" s="147"/>
      <c r="DN2904" s="147"/>
      <c r="DO2904" s="147"/>
      <c r="DP2904" s="147"/>
      <c r="DQ2904" s="147"/>
      <c r="DR2904" s="147"/>
      <c r="DS2904" s="147"/>
      <c r="DT2904" s="147"/>
      <c r="DU2904" s="147"/>
      <c r="DV2904" s="147"/>
      <c r="DW2904" s="147"/>
      <c r="DX2904" s="147"/>
      <c r="DY2904" s="147"/>
      <c r="DZ2904" s="147"/>
      <c r="EA2904" s="147"/>
      <c r="EB2904" s="147"/>
      <c r="EC2904" s="147"/>
      <c r="ED2904" s="147"/>
      <c r="EE2904" s="147"/>
      <c r="EF2904" s="147"/>
      <c r="EG2904" s="147"/>
      <c r="EH2904" s="147"/>
      <c r="EI2904" s="147"/>
      <c r="EJ2904" s="147"/>
      <c r="EK2904" s="147"/>
      <c r="EL2904" s="147"/>
      <c r="EM2904" s="147"/>
      <c r="EN2904" s="147"/>
      <c r="EO2904" s="147"/>
      <c r="EP2904" s="147"/>
      <c r="EQ2904" s="147"/>
      <c r="ER2904" s="147"/>
      <c r="ES2904" s="147"/>
      <c r="ET2904" s="147"/>
      <c r="EU2904" s="147"/>
      <c r="EV2904" s="147"/>
      <c r="EW2904" s="147"/>
      <c r="EX2904" s="147"/>
      <c r="EY2904" s="147"/>
      <c r="EZ2904" s="147"/>
      <c r="FA2904" s="147"/>
      <c r="FB2904" s="147"/>
      <c r="FC2904" s="147"/>
      <c r="FD2904" s="147"/>
      <c r="FE2904" s="147"/>
      <c r="FF2904" s="147"/>
      <c r="FG2904" s="147"/>
      <c r="FH2904" s="147"/>
      <c r="FI2904" s="147"/>
      <c r="FJ2904" s="147"/>
      <c r="FK2904" s="147"/>
      <c r="FL2904" s="147"/>
      <c r="FM2904" s="147"/>
      <c r="FN2904" s="147"/>
      <c r="FO2904" s="147"/>
      <c r="FP2904" s="147"/>
      <c r="FQ2904" s="147"/>
      <c r="FR2904" s="147"/>
      <c r="FS2904" s="147"/>
      <c r="FT2904" s="147"/>
      <c r="FU2904" s="147"/>
      <c r="FV2904" s="147"/>
      <c r="FW2904" s="147"/>
      <c r="FX2904" s="147"/>
      <c r="FY2904" s="147"/>
      <c r="FZ2904" s="147"/>
      <c r="GA2904" s="147"/>
      <c r="GB2904" s="147"/>
      <c r="GC2904" s="147"/>
      <c r="GD2904" s="147"/>
      <c r="GE2904" s="147"/>
      <c r="GF2904" s="147"/>
      <c r="GG2904" s="147"/>
      <c r="GH2904" s="147"/>
      <c r="GI2904" s="147"/>
      <c r="GJ2904" s="147"/>
      <c r="GK2904" s="147"/>
      <c r="GL2904" s="147"/>
      <c r="GM2904" s="147"/>
      <c r="GN2904" s="147"/>
      <c r="GO2904" s="147"/>
      <c r="GP2904" s="147"/>
      <c r="GQ2904" s="147"/>
      <c r="GR2904" s="147"/>
      <c r="GS2904" s="147"/>
      <c r="GT2904" s="147"/>
      <c r="GU2904" s="147"/>
      <c r="GV2904" s="147"/>
      <c r="GW2904" s="147"/>
      <c r="GX2904" s="147"/>
      <c r="GY2904" s="147"/>
      <c r="GZ2904" s="147"/>
      <c r="HA2904" s="147"/>
      <c r="HB2904" s="147"/>
      <c r="HC2904" s="147"/>
      <c r="HD2904" s="147"/>
      <c r="HE2904" s="147"/>
      <c r="HF2904" s="147"/>
      <c r="HG2904" s="147"/>
      <c r="HH2904" s="147"/>
      <c r="HI2904" s="147"/>
      <c r="HJ2904" s="147"/>
      <c r="HK2904" s="147"/>
      <c r="HL2904" s="147"/>
      <c r="HM2904" s="147"/>
      <c r="HN2904" s="147"/>
      <c r="HO2904" s="147"/>
      <c r="HP2904" s="147"/>
      <c r="HQ2904" s="147"/>
      <c r="HR2904" s="147"/>
      <c r="HS2904" s="147"/>
      <c r="HT2904" s="147"/>
      <c r="HU2904" s="147"/>
      <c r="HV2904" s="147"/>
      <c r="HW2904" s="147"/>
      <c r="HX2904" s="147"/>
      <c r="HY2904" s="147"/>
      <c r="HZ2904" s="147"/>
      <c r="IA2904" s="147"/>
      <c r="IB2904" s="147"/>
      <c r="IC2904" s="147"/>
      <c r="ID2904" s="147"/>
      <c r="IE2904" s="147"/>
      <c r="IF2904" s="147"/>
      <c r="IG2904" s="147"/>
      <c r="IH2904" s="147"/>
      <c r="II2904" s="147"/>
      <c r="IJ2904" s="147"/>
      <c r="IK2904" s="147"/>
      <c r="IL2904" s="147"/>
      <c r="IM2904" s="147"/>
      <c r="IN2904" s="147"/>
      <c r="IO2904" s="147"/>
      <c r="IP2904" s="147"/>
      <c r="IQ2904" s="147"/>
      <c r="IR2904" s="147"/>
      <c r="IS2904" s="147"/>
      <c r="IT2904" s="147"/>
      <c r="IU2904" s="147"/>
      <c r="IV2904" s="147"/>
      <c r="IW2904" s="147"/>
      <c r="IX2904" s="147"/>
      <c r="IY2904" s="147"/>
      <c r="IZ2904" s="147"/>
      <c r="JA2904" s="147"/>
      <c r="JB2904" s="147"/>
      <c r="JC2904" s="147"/>
      <c r="JD2904" s="147"/>
      <c r="JE2904" s="147"/>
      <c r="JF2904" s="147"/>
      <c r="JG2904" s="147"/>
      <c r="JH2904" s="147"/>
      <c r="JI2904" s="147"/>
      <c r="JJ2904" s="147"/>
      <c r="JK2904" s="147"/>
      <c r="JL2904" s="147"/>
      <c r="JM2904" s="147"/>
      <c r="JN2904" s="147"/>
      <c r="JO2904" s="147"/>
      <c r="JP2904" s="147"/>
      <c r="JQ2904" s="147"/>
      <c r="JR2904" s="147"/>
      <c r="JS2904" s="147"/>
      <c r="JT2904" s="147"/>
      <c r="JU2904" s="147"/>
      <c r="JV2904" s="147"/>
      <c r="JW2904" s="147"/>
      <c r="JX2904" s="147"/>
      <c r="JY2904" s="147"/>
      <c r="JZ2904" s="147"/>
      <c r="KA2904" s="147"/>
      <c r="KB2904" s="147"/>
      <c r="KC2904" s="147"/>
      <c r="KD2904" s="147"/>
      <c r="KE2904" s="147"/>
      <c r="KF2904" s="147"/>
      <c r="KG2904" s="147"/>
      <c r="KH2904" s="147"/>
      <c r="KI2904" s="147"/>
      <c r="KJ2904" s="147"/>
      <c r="KK2904" s="147"/>
      <c r="KL2904" s="147"/>
      <c r="KM2904" s="147"/>
      <c r="KN2904" s="147"/>
      <c r="KO2904" s="147"/>
      <c r="KP2904" s="147"/>
      <c r="KQ2904" s="147"/>
      <c r="KR2904" s="147"/>
      <c r="KS2904" s="147"/>
      <c r="KT2904" s="147"/>
      <c r="KU2904" s="147"/>
      <c r="KV2904" s="147"/>
      <c r="KW2904" s="147"/>
      <c r="KX2904" s="147"/>
      <c r="KY2904" s="147"/>
      <c r="KZ2904" s="147"/>
      <c r="LA2904" s="147"/>
      <c r="LB2904" s="147"/>
      <c r="LC2904" s="147"/>
      <c r="LD2904" s="147"/>
      <c r="LE2904" s="147"/>
      <c r="LF2904" s="147"/>
      <c r="LG2904" s="147"/>
      <c r="LH2904" s="147"/>
      <c r="LI2904" s="147"/>
      <c r="LJ2904" s="147"/>
      <c r="LK2904" s="147"/>
      <c r="LL2904" s="147"/>
      <c r="LM2904" s="147"/>
      <c r="LN2904" s="147"/>
      <c r="LO2904" s="147"/>
      <c r="LP2904" s="147"/>
      <c r="LQ2904" s="147"/>
      <c r="LR2904" s="147"/>
      <c r="LS2904" s="147"/>
      <c r="LT2904" s="147"/>
      <c r="LU2904" s="147"/>
      <c r="LV2904" s="147"/>
      <c r="LW2904" s="147"/>
      <c r="LX2904" s="147"/>
      <c r="LY2904" s="147"/>
      <c r="LZ2904" s="147"/>
      <c r="MA2904" s="147"/>
      <c r="MB2904" s="147"/>
      <c r="MC2904" s="147"/>
      <c r="MD2904" s="147"/>
      <c r="ME2904" s="147"/>
      <c r="MF2904" s="147"/>
      <c r="MG2904" s="147"/>
      <c r="MH2904" s="147"/>
      <c r="MI2904" s="147"/>
      <c r="MJ2904" s="147"/>
      <c r="MK2904" s="147"/>
      <c r="ML2904" s="147"/>
      <c r="MM2904" s="147"/>
      <c r="MN2904" s="147"/>
      <c r="MO2904" s="147"/>
      <c r="MP2904" s="147"/>
      <c r="MQ2904" s="147"/>
      <c r="MR2904" s="147"/>
      <c r="MS2904" s="147"/>
      <c r="MT2904" s="147"/>
      <c r="MU2904" s="147"/>
      <c r="MV2904" s="147"/>
      <c r="MW2904" s="147"/>
      <c r="MX2904" s="147"/>
      <c r="MY2904" s="147"/>
      <c r="MZ2904" s="147"/>
      <c r="NA2904" s="147"/>
      <c r="NB2904" s="147"/>
      <c r="NC2904" s="147"/>
      <c r="ND2904" s="147"/>
      <c r="NE2904" s="147"/>
      <c r="NF2904" s="147"/>
      <c r="NG2904" s="147"/>
      <c r="NH2904" s="147"/>
      <c r="NI2904" s="147"/>
      <c r="NJ2904" s="147"/>
      <c r="NK2904" s="147"/>
      <c r="NL2904" s="147"/>
      <c r="NM2904" s="147"/>
      <c r="NN2904" s="147"/>
      <c r="NO2904" s="147"/>
      <c r="NP2904" s="147"/>
      <c r="NQ2904" s="147"/>
      <c r="NR2904" s="147"/>
      <c r="NS2904" s="147"/>
      <c r="NT2904" s="147"/>
      <c r="NU2904" s="147"/>
      <c r="NV2904" s="147"/>
      <c r="NW2904" s="147"/>
      <c r="NX2904" s="147"/>
      <c r="NY2904" s="147"/>
      <c r="NZ2904" s="147"/>
      <c r="OA2904" s="147"/>
      <c r="OB2904" s="147"/>
      <c r="OC2904" s="147"/>
      <c r="OD2904" s="147"/>
      <c r="OE2904" s="147"/>
      <c r="OF2904" s="147"/>
      <c r="OG2904" s="147"/>
      <c r="OH2904" s="147"/>
      <c r="OI2904" s="147"/>
      <c r="OJ2904" s="147"/>
      <c r="OK2904" s="147"/>
      <c r="OL2904" s="147"/>
      <c r="OM2904" s="147"/>
      <c r="ON2904" s="147"/>
      <c r="OO2904" s="147"/>
      <c r="OP2904" s="147"/>
      <c r="OQ2904" s="147"/>
      <c r="OR2904" s="147"/>
      <c r="OS2904" s="147"/>
      <c r="OT2904" s="147"/>
      <c r="OU2904" s="147"/>
      <c r="OV2904" s="147"/>
      <c r="OW2904" s="147"/>
      <c r="OX2904" s="147"/>
      <c r="OY2904" s="147"/>
      <c r="OZ2904" s="147"/>
      <c r="PA2904" s="147"/>
      <c r="PB2904" s="147"/>
      <c r="PC2904" s="147"/>
      <c r="PD2904" s="147"/>
      <c r="PE2904" s="147"/>
      <c r="PF2904" s="147"/>
      <c r="PG2904" s="147"/>
      <c r="PH2904" s="147"/>
      <c r="PI2904" s="147"/>
      <c r="PJ2904" s="147"/>
      <c r="PK2904" s="147"/>
      <c r="PL2904" s="147"/>
      <c r="PM2904" s="147"/>
      <c r="PN2904" s="147"/>
      <c r="PO2904" s="147"/>
    </row>
    <row r="2905" spans="1:431" x14ac:dyDescent="0.3">
      <c r="A2905" s="140">
        <v>905275</v>
      </c>
      <c r="G2905" s="140">
        <v>11.42</v>
      </c>
      <c r="AG2905" s="66" t="e">
        <f t="shared" si="114"/>
        <v>#DIV/0!</v>
      </c>
      <c r="AH2905" s="143">
        <f t="shared" si="115"/>
        <v>0</v>
      </c>
      <c r="AI2905" s="147"/>
      <c r="AJ2905" s="147"/>
      <c r="AK2905" s="147"/>
      <c r="AL2905" s="147"/>
      <c r="AM2905" s="147"/>
      <c r="AN2905" s="147"/>
      <c r="AO2905" s="147"/>
      <c r="AP2905" s="147"/>
      <c r="AQ2905" s="147"/>
      <c r="AR2905" s="147"/>
      <c r="AS2905" s="147"/>
      <c r="AT2905" s="147"/>
      <c r="AU2905" s="147"/>
      <c r="AV2905" s="147"/>
      <c r="AW2905" s="147"/>
      <c r="AX2905" s="147"/>
      <c r="AY2905" s="147"/>
      <c r="AZ2905" s="147"/>
      <c r="BA2905" s="147"/>
      <c r="BB2905" s="147"/>
      <c r="BC2905" s="147"/>
      <c r="BD2905" s="147"/>
      <c r="BE2905" s="147"/>
      <c r="BF2905" s="147"/>
      <c r="BG2905" s="147"/>
      <c r="BH2905" s="147"/>
      <c r="BI2905" s="147"/>
      <c r="BJ2905" s="147"/>
      <c r="BK2905" s="147"/>
      <c r="BL2905" s="147"/>
      <c r="BM2905" s="147"/>
      <c r="BN2905" s="147"/>
      <c r="BO2905" s="147"/>
      <c r="BP2905" s="147"/>
      <c r="BQ2905" s="147"/>
      <c r="BR2905" s="147"/>
      <c r="BS2905" s="147"/>
      <c r="BT2905" s="147"/>
      <c r="BU2905" s="147"/>
      <c r="BV2905" s="147"/>
      <c r="BW2905" s="147"/>
      <c r="BX2905" s="147"/>
      <c r="BY2905" s="147"/>
      <c r="BZ2905" s="147"/>
      <c r="CA2905" s="147"/>
      <c r="CB2905" s="147"/>
      <c r="CC2905" s="147"/>
      <c r="CD2905" s="147"/>
      <c r="CE2905" s="147"/>
      <c r="CF2905" s="147"/>
      <c r="CG2905" s="147"/>
      <c r="CH2905" s="147"/>
      <c r="CI2905" s="147"/>
      <c r="CJ2905" s="147"/>
      <c r="CK2905" s="147"/>
      <c r="CL2905" s="147"/>
      <c r="CM2905" s="147"/>
      <c r="CN2905" s="147"/>
      <c r="CO2905" s="147"/>
      <c r="CP2905" s="147"/>
      <c r="CQ2905" s="147"/>
      <c r="CR2905" s="147"/>
      <c r="CS2905" s="147"/>
      <c r="CT2905" s="147"/>
      <c r="CU2905" s="147"/>
      <c r="CV2905" s="147"/>
      <c r="CW2905" s="147"/>
      <c r="CX2905" s="147"/>
      <c r="CY2905" s="147"/>
      <c r="CZ2905" s="147"/>
      <c r="DA2905" s="147"/>
      <c r="DB2905" s="147"/>
      <c r="DC2905" s="147"/>
      <c r="DD2905" s="147"/>
      <c r="DE2905" s="147"/>
      <c r="DF2905" s="147"/>
      <c r="DG2905" s="147"/>
      <c r="DH2905" s="147"/>
      <c r="DI2905" s="147"/>
      <c r="DJ2905" s="147"/>
      <c r="DK2905" s="147"/>
      <c r="DL2905" s="147"/>
      <c r="DM2905" s="147"/>
      <c r="DN2905" s="147"/>
      <c r="DO2905" s="147"/>
      <c r="DP2905" s="147"/>
      <c r="DQ2905" s="147"/>
      <c r="DR2905" s="147"/>
      <c r="DS2905" s="147"/>
      <c r="DT2905" s="147"/>
      <c r="DU2905" s="147"/>
      <c r="DV2905" s="147"/>
      <c r="DW2905" s="147"/>
      <c r="DX2905" s="147"/>
      <c r="DY2905" s="147"/>
      <c r="DZ2905" s="147"/>
      <c r="EA2905" s="147"/>
      <c r="EB2905" s="147"/>
      <c r="EC2905" s="147"/>
      <c r="ED2905" s="147"/>
      <c r="EE2905" s="147"/>
      <c r="EF2905" s="147"/>
      <c r="EG2905" s="147"/>
      <c r="EH2905" s="147"/>
      <c r="EI2905" s="147"/>
      <c r="EJ2905" s="147"/>
      <c r="EK2905" s="147"/>
      <c r="EL2905" s="147"/>
      <c r="EM2905" s="147"/>
      <c r="EN2905" s="147"/>
      <c r="EO2905" s="147"/>
      <c r="EP2905" s="147"/>
      <c r="EQ2905" s="147"/>
      <c r="ER2905" s="147"/>
      <c r="ES2905" s="147"/>
      <c r="ET2905" s="147"/>
      <c r="EU2905" s="147"/>
      <c r="EV2905" s="147"/>
      <c r="EW2905" s="147"/>
      <c r="EX2905" s="147"/>
      <c r="EY2905" s="147"/>
      <c r="EZ2905" s="147"/>
      <c r="FA2905" s="147"/>
      <c r="FB2905" s="147"/>
      <c r="FC2905" s="147"/>
      <c r="FD2905" s="147"/>
      <c r="FE2905" s="147"/>
      <c r="FF2905" s="147"/>
      <c r="FG2905" s="147"/>
      <c r="FH2905" s="147"/>
      <c r="FI2905" s="147"/>
      <c r="FJ2905" s="147"/>
      <c r="FK2905" s="147"/>
      <c r="FL2905" s="147"/>
      <c r="FM2905" s="147"/>
      <c r="FN2905" s="147"/>
      <c r="FO2905" s="147"/>
      <c r="FP2905" s="147"/>
      <c r="FQ2905" s="147"/>
      <c r="FR2905" s="147"/>
      <c r="FS2905" s="147"/>
      <c r="FT2905" s="147"/>
      <c r="FU2905" s="147"/>
      <c r="FV2905" s="147"/>
      <c r="FW2905" s="147"/>
      <c r="FX2905" s="147"/>
      <c r="FY2905" s="147"/>
      <c r="FZ2905" s="147"/>
      <c r="GA2905" s="147"/>
      <c r="GB2905" s="147"/>
      <c r="GC2905" s="147"/>
      <c r="GD2905" s="147"/>
      <c r="GE2905" s="147"/>
      <c r="GF2905" s="147"/>
      <c r="GG2905" s="147"/>
      <c r="GH2905" s="147"/>
      <c r="GI2905" s="147"/>
      <c r="GJ2905" s="147"/>
      <c r="GK2905" s="147"/>
      <c r="GL2905" s="147"/>
      <c r="GM2905" s="147"/>
      <c r="GN2905" s="147"/>
      <c r="GO2905" s="147"/>
      <c r="GP2905" s="147"/>
      <c r="GQ2905" s="147"/>
      <c r="GR2905" s="147"/>
      <c r="GS2905" s="147"/>
      <c r="GT2905" s="147"/>
      <c r="GU2905" s="147"/>
      <c r="GV2905" s="147"/>
      <c r="GW2905" s="147"/>
      <c r="GX2905" s="147"/>
      <c r="GY2905" s="147"/>
      <c r="GZ2905" s="147"/>
      <c r="HA2905" s="147"/>
      <c r="HB2905" s="147"/>
      <c r="HC2905" s="147"/>
      <c r="HD2905" s="147"/>
      <c r="HE2905" s="147"/>
      <c r="HF2905" s="147"/>
      <c r="HG2905" s="147"/>
      <c r="HH2905" s="147"/>
      <c r="HI2905" s="147"/>
      <c r="HJ2905" s="147"/>
      <c r="HK2905" s="147"/>
      <c r="HL2905" s="147"/>
      <c r="HM2905" s="147"/>
      <c r="HN2905" s="147"/>
      <c r="HO2905" s="147"/>
      <c r="HP2905" s="147"/>
      <c r="HQ2905" s="147"/>
      <c r="HR2905" s="147"/>
      <c r="HS2905" s="147"/>
      <c r="HT2905" s="147"/>
      <c r="HU2905" s="147"/>
      <c r="HV2905" s="147"/>
      <c r="HW2905" s="147"/>
      <c r="HX2905" s="147"/>
      <c r="HY2905" s="147"/>
      <c r="HZ2905" s="147"/>
      <c r="IA2905" s="147"/>
      <c r="IB2905" s="147"/>
      <c r="IC2905" s="147"/>
      <c r="ID2905" s="147"/>
      <c r="IE2905" s="147"/>
      <c r="IF2905" s="147"/>
      <c r="IG2905" s="147"/>
      <c r="IH2905" s="147"/>
      <c r="II2905" s="147"/>
      <c r="IJ2905" s="147"/>
      <c r="IK2905" s="147"/>
      <c r="IL2905" s="147"/>
      <c r="IM2905" s="147"/>
      <c r="IN2905" s="147"/>
      <c r="IO2905" s="147"/>
      <c r="IP2905" s="147"/>
      <c r="IQ2905" s="147"/>
      <c r="IR2905" s="147"/>
      <c r="IS2905" s="147"/>
      <c r="IT2905" s="147"/>
      <c r="IU2905" s="147"/>
      <c r="IV2905" s="147"/>
      <c r="IW2905" s="147"/>
      <c r="IX2905" s="147"/>
      <c r="IY2905" s="147"/>
      <c r="IZ2905" s="147"/>
      <c r="JA2905" s="147"/>
      <c r="JB2905" s="147"/>
      <c r="JC2905" s="147"/>
      <c r="JD2905" s="147"/>
      <c r="JE2905" s="147"/>
      <c r="JF2905" s="147"/>
      <c r="JG2905" s="147"/>
      <c r="JH2905" s="147"/>
      <c r="JI2905" s="147"/>
      <c r="JJ2905" s="147"/>
      <c r="JK2905" s="147"/>
      <c r="JL2905" s="147"/>
      <c r="JM2905" s="147"/>
      <c r="JN2905" s="147"/>
      <c r="JO2905" s="147"/>
      <c r="JP2905" s="147"/>
      <c r="JQ2905" s="147"/>
      <c r="JR2905" s="147"/>
      <c r="JS2905" s="147"/>
      <c r="JT2905" s="147"/>
      <c r="JU2905" s="147"/>
      <c r="JV2905" s="147"/>
      <c r="JW2905" s="147"/>
      <c r="JX2905" s="147"/>
      <c r="JY2905" s="147"/>
      <c r="JZ2905" s="147"/>
      <c r="KA2905" s="147"/>
      <c r="KB2905" s="147"/>
      <c r="KC2905" s="147"/>
      <c r="KD2905" s="147"/>
      <c r="KE2905" s="147"/>
      <c r="KF2905" s="147"/>
      <c r="KG2905" s="147"/>
      <c r="KH2905" s="147"/>
      <c r="KI2905" s="147"/>
      <c r="KJ2905" s="147"/>
      <c r="KK2905" s="147"/>
      <c r="KL2905" s="147"/>
      <c r="KM2905" s="147"/>
      <c r="KN2905" s="147"/>
      <c r="KO2905" s="147"/>
      <c r="KP2905" s="147"/>
      <c r="KQ2905" s="147"/>
      <c r="KR2905" s="147"/>
      <c r="KS2905" s="147"/>
      <c r="KT2905" s="147"/>
      <c r="KU2905" s="147"/>
      <c r="KV2905" s="147"/>
      <c r="KW2905" s="147"/>
      <c r="KX2905" s="147"/>
      <c r="KY2905" s="147"/>
      <c r="KZ2905" s="147"/>
      <c r="LA2905" s="147"/>
      <c r="LB2905" s="147"/>
      <c r="LC2905" s="147"/>
      <c r="LD2905" s="147"/>
      <c r="LE2905" s="147"/>
      <c r="LF2905" s="147"/>
      <c r="LG2905" s="147"/>
      <c r="LH2905" s="147"/>
      <c r="LI2905" s="147"/>
      <c r="LJ2905" s="147"/>
      <c r="LK2905" s="147"/>
      <c r="LL2905" s="147"/>
      <c r="LM2905" s="147"/>
      <c r="LN2905" s="147"/>
      <c r="LO2905" s="147"/>
      <c r="LP2905" s="147"/>
      <c r="LQ2905" s="147"/>
      <c r="LR2905" s="147"/>
      <c r="LS2905" s="147"/>
      <c r="LT2905" s="147"/>
      <c r="LU2905" s="147"/>
      <c r="LV2905" s="147"/>
      <c r="LW2905" s="147"/>
      <c r="LX2905" s="147"/>
      <c r="LY2905" s="147"/>
      <c r="LZ2905" s="147"/>
      <c r="MA2905" s="147"/>
      <c r="MB2905" s="147"/>
      <c r="MC2905" s="147"/>
      <c r="MD2905" s="147"/>
      <c r="ME2905" s="147"/>
      <c r="MF2905" s="147"/>
      <c r="MG2905" s="147"/>
      <c r="MH2905" s="147"/>
      <c r="MI2905" s="147"/>
      <c r="MJ2905" s="147"/>
      <c r="MK2905" s="147"/>
      <c r="ML2905" s="147"/>
      <c r="MM2905" s="147"/>
      <c r="MN2905" s="147"/>
      <c r="MO2905" s="147"/>
      <c r="MP2905" s="147"/>
      <c r="MQ2905" s="147"/>
      <c r="MR2905" s="147"/>
      <c r="MS2905" s="147"/>
      <c r="MT2905" s="147"/>
      <c r="MU2905" s="147"/>
      <c r="MV2905" s="147"/>
      <c r="MW2905" s="147"/>
      <c r="MX2905" s="147"/>
      <c r="MY2905" s="147"/>
      <c r="MZ2905" s="147"/>
      <c r="NA2905" s="147"/>
      <c r="NB2905" s="147"/>
      <c r="NC2905" s="147"/>
      <c r="ND2905" s="147"/>
      <c r="NE2905" s="147"/>
      <c r="NF2905" s="147"/>
      <c r="NG2905" s="147"/>
      <c r="NH2905" s="147"/>
      <c r="NI2905" s="147"/>
      <c r="NJ2905" s="147"/>
      <c r="NK2905" s="147"/>
      <c r="NL2905" s="147"/>
      <c r="NM2905" s="147"/>
      <c r="NN2905" s="147"/>
      <c r="NO2905" s="147"/>
      <c r="NP2905" s="147"/>
      <c r="NQ2905" s="147"/>
      <c r="NR2905" s="147"/>
      <c r="NS2905" s="147"/>
      <c r="NT2905" s="147"/>
      <c r="NU2905" s="147"/>
      <c r="NV2905" s="147"/>
      <c r="NW2905" s="147"/>
      <c r="NX2905" s="147"/>
      <c r="NY2905" s="147"/>
      <c r="NZ2905" s="147"/>
      <c r="OA2905" s="147"/>
      <c r="OB2905" s="147"/>
      <c r="OC2905" s="147"/>
      <c r="OD2905" s="147"/>
      <c r="OE2905" s="147"/>
      <c r="OF2905" s="147"/>
      <c r="OG2905" s="147"/>
      <c r="OH2905" s="147"/>
      <c r="OI2905" s="147"/>
      <c r="OJ2905" s="147"/>
      <c r="OK2905" s="147"/>
      <c r="OL2905" s="147"/>
      <c r="OM2905" s="147"/>
      <c r="ON2905" s="147"/>
      <c r="OO2905" s="147"/>
      <c r="OP2905" s="147"/>
      <c r="OQ2905" s="147"/>
      <c r="OR2905" s="147"/>
      <c r="OS2905" s="147"/>
      <c r="OT2905" s="147"/>
      <c r="OU2905" s="147"/>
      <c r="OV2905" s="147"/>
      <c r="OW2905" s="147"/>
      <c r="OX2905" s="147"/>
      <c r="OY2905" s="147"/>
      <c r="OZ2905" s="147"/>
      <c r="PA2905" s="147"/>
      <c r="PB2905" s="147"/>
      <c r="PC2905" s="147"/>
      <c r="PD2905" s="147"/>
      <c r="PE2905" s="147"/>
      <c r="PF2905" s="147"/>
      <c r="PG2905" s="147"/>
      <c r="PH2905" s="147"/>
      <c r="PI2905" s="147"/>
      <c r="PJ2905" s="147"/>
      <c r="PK2905" s="147"/>
      <c r="PL2905" s="147"/>
      <c r="PM2905" s="147"/>
      <c r="PN2905" s="147"/>
      <c r="PO2905" s="147"/>
    </row>
    <row r="2906" spans="1:431" x14ac:dyDescent="0.3">
      <c r="A2906" s="140">
        <v>905276</v>
      </c>
      <c r="G2906" s="140">
        <v>15.15</v>
      </c>
      <c r="AG2906" s="66" t="e">
        <f t="shared" si="114"/>
        <v>#DIV/0!</v>
      </c>
      <c r="AH2906" s="143">
        <f t="shared" si="115"/>
        <v>0</v>
      </c>
      <c r="AI2906" s="147"/>
      <c r="AJ2906" s="147"/>
      <c r="AK2906" s="147"/>
      <c r="AL2906" s="147"/>
      <c r="AM2906" s="147"/>
      <c r="AN2906" s="147"/>
      <c r="AO2906" s="147"/>
      <c r="AP2906" s="147"/>
      <c r="AQ2906" s="147"/>
      <c r="AR2906" s="147"/>
      <c r="AS2906" s="147"/>
      <c r="AT2906" s="147"/>
      <c r="AU2906" s="147"/>
      <c r="AV2906" s="147"/>
      <c r="AW2906" s="147"/>
      <c r="AX2906" s="147"/>
      <c r="AY2906" s="147"/>
      <c r="AZ2906" s="147"/>
      <c r="BA2906" s="147"/>
      <c r="BB2906" s="147"/>
      <c r="BC2906" s="147"/>
      <c r="BD2906" s="147"/>
      <c r="BE2906" s="147"/>
      <c r="BF2906" s="147"/>
      <c r="BG2906" s="147"/>
      <c r="BH2906" s="147"/>
      <c r="BI2906" s="147"/>
      <c r="BJ2906" s="147"/>
      <c r="BK2906" s="147"/>
      <c r="BL2906" s="147"/>
      <c r="BM2906" s="147"/>
      <c r="BN2906" s="147"/>
      <c r="BO2906" s="147"/>
      <c r="BP2906" s="147"/>
      <c r="BQ2906" s="147"/>
      <c r="BR2906" s="147"/>
      <c r="BS2906" s="147"/>
      <c r="BT2906" s="147"/>
      <c r="BU2906" s="147"/>
      <c r="BV2906" s="147"/>
      <c r="BW2906" s="147"/>
      <c r="BX2906" s="147"/>
      <c r="BY2906" s="147"/>
      <c r="BZ2906" s="147"/>
      <c r="CA2906" s="147"/>
      <c r="CB2906" s="147"/>
      <c r="CC2906" s="147"/>
      <c r="CD2906" s="147"/>
      <c r="CE2906" s="147"/>
      <c r="CF2906" s="147"/>
      <c r="CG2906" s="147"/>
      <c r="CH2906" s="147"/>
      <c r="CI2906" s="147"/>
      <c r="CJ2906" s="147"/>
      <c r="CK2906" s="147"/>
      <c r="CL2906" s="147"/>
      <c r="CM2906" s="147"/>
      <c r="CN2906" s="147"/>
      <c r="CO2906" s="147"/>
      <c r="CP2906" s="147"/>
      <c r="CQ2906" s="147"/>
      <c r="CR2906" s="147"/>
      <c r="CS2906" s="147"/>
      <c r="CT2906" s="147"/>
      <c r="CU2906" s="147"/>
      <c r="CV2906" s="147"/>
      <c r="CW2906" s="147"/>
      <c r="CX2906" s="147"/>
      <c r="CY2906" s="147"/>
      <c r="CZ2906" s="147"/>
      <c r="DA2906" s="147"/>
      <c r="DB2906" s="147"/>
      <c r="DC2906" s="147"/>
      <c r="DD2906" s="147"/>
      <c r="DE2906" s="147"/>
      <c r="DF2906" s="147"/>
      <c r="DG2906" s="147"/>
      <c r="DH2906" s="147"/>
      <c r="DI2906" s="147"/>
      <c r="DJ2906" s="147"/>
      <c r="DK2906" s="147"/>
      <c r="DL2906" s="147"/>
      <c r="DM2906" s="147"/>
      <c r="DN2906" s="147"/>
      <c r="DO2906" s="147"/>
      <c r="DP2906" s="147"/>
      <c r="DQ2906" s="147"/>
      <c r="DR2906" s="147"/>
      <c r="DS2906" s="147"/>
      <c r="DT2906" s="147"/>
      <c r="DU2906" s="147"/>
      <c r="DV2906" s="147"/>
      <c r="DW2906" s="147"/>
      <c r="DX2906" s="147"/>
      <c r="DY2906" s="147"/>
      <c r="DZ2906" s="147"/>
      <c r="EA2906" s="147"/>
      <c r="EB2906" s="147"/>
      <c r="EC2906" s="147"/>
      <c r="ED2906" s="147"/>
      <c r="EE2906" s="147"/>
      <c r="EF2906" s="147"/>
      <c r="EG2906" s="147"/>
      <c r="EH2906" s="147"/>
      <c r="EI2906" s="147"/>
      <c r="EJ2906" s="147"/>
      <c r="EK2906" s="147"/>
      <c r="EL2906" s="147"/>
      <c r="EM2906" s="147"/>
      <c r="EN2906" s="147"/>
      <c r="EO2906" s="147"/>
      <c r="EP2906" s="147"/>
      <c r="EQ2906" s="147"/>
      <c r="ER2906" s="147"/>
      <c r="ES2906" s="147"/>
      <c r="ET2906" s="147"/>
      <c r="EU2906" s="147"/>
      <c r="EV2906" s="147"/>
      <c r="EW2906" s="147"/>
      <c r="EX2906" s="147"/>
      <c r="EY2906" s="147"/>
      <c r="EZ2906" s="147"/>
      <c r="FA2906" s="147"/>
      <c r="FB2906" s="147"/>
      <c r="FC2906" s="147"/>
      <c r="FD2906" s="147"/>
      <c r="FE2906" s="147"/>
      <c r="FF2906" s="147"/>
      <c r="FG2906" s="147"/>
      <c r="FH2906" s="147"/>
      <c r="FI2906" s="147"/>
      <c r="FJ2906" s="147"/>
      <c r="FK2906" s="147"/>
      <c r="FL2906" s="147"/>
      <c r="FM2906" s="147"/>
      <c r="FN2906" s="147"/>
      <c r="FO2906" s="147"/>
      <c r="FP2906" s="147"/>
      <c r="FQ2906" s="147"/>
      <c r="FR2906" s="147"/>
      <c r="FS2906" s="147"/>
      <c r="FT2906" s="147"/>
      <c r="FU2906" s="147"/>
      <c r="FV2906" s="147"/>
      <c r="FW2906" s="147"/>
      <c r="FX2906" s="147"/>
      <c r="FY2906" s="147"/>
      <c r="FZ2906" s="147"/>
      <c r="GA2906" s="147"/>
      <c r="GB2906" s="147"/>
      <c r="GC2906" s="147"/>
      <c r="GD2906" s="147"/>
      <c r="GE2906" s="147"/>
      <c r="GF2906" s="147"/>
      <c r="GG2906" s="147"/>
      <c r="GH2906" s="147"/>
      <c r="GI2906" s="147"/>
      <c r="GJ2906" s="147"/>
      <c r="GK2906" s="147"/>
      <c r="GL2906" s="147"/>
      <c r="GM2906" s="147"/>
      <c r="GN2906" s="147"/>
      <c r="GO2906" s="147"/>
      <c r="GP2906" s="147"/>
      <c r="GQ2906" s="147"/>
      <c r="GR2906" s="147"/>
      <c r="GS2906" s="147"/>
      <c r="GT2906" s="147"/>
      <c r="GU2906" s="147"/>
      <c r="GV2906" s="147"/>
      <c r="GW2906" s="147"/>
      <c r="GX2906" s="147"/>
      <c r="GY2906" s="147"/>
      <c r="GZ2906" s="147"/>
      <c r="HA2906" s="147"/>
      <c r="HB2906" s="147"/>
      <c r="HC2906" s="147"/>
      <c r="HD2906" s="147"/>
      <c r="HE2906" s="147"/>
      <c r="HF2906" s="147"/>
      <c r="HG2906" s="147"/>
      <c r="HH2906" s="147"/>
      <c r="HI2906" s="147"/>
      <c r="HJ2906" s="147"/>
      <c r="HK2906" s="147"/>
      <c r="HL2906" s="147"/>
      <c r="HM2906" s="147"/>
      <c r="HN2906" s="147"/>
      <c r="HO2906" s="147"/>
      <c r="HP2906" s="147"/>
      <c r="HQ2906" s="147"/>
      <c r="HR2906" s="147"/>
      <c r="HS2906" s="147"/>
      <c r="HT2906" s="147"/>
      <c r="HU2906" s="147"/>
      <c r="HV2906" s="147"/>
      <c r="HW2906" s="147"/>
      <c r="HX2906" s="147"/>
      <c r="HY2906" s="147"/>
      <c r="HZ2906" s="147"/>
      <c r="IA2906" s="147"/>
      <c r="IB2906" s="147"/>
      <c r="IC2906" s="147"/>
      <c r="ID2906" s="147"/>
      <c r="IE2906" s="147"/>
      <c r="IF2906" s="147"/>
      <c r="IG2906" s="147"/>
      <c r="IH2906" s="147"/>
      <c r="II2906" s="147"/>
      <c r="IJ2906" s="147"/>
      <c r="IK2906" s="147"/>
      <c r="IL2906" s="147"/>
      <c r="IM2906" s="147"/>
      <c r="IN2906" s="147"/>
      <c r="IO2906" s="147"/>
      <c r="IP2906" s="147"/>
      <c r="IQ2906" s="147"/>
      <c r="IR2906" s="147"/>
      <c r="IS2906" s="147"/>
      <c r="IT2906" s="147"/>
      <c r="IU2906" s="147"/>
      <c r="IV2906" s="147"/>
      <c r="IW2906" s="147"/>
      <c r="IX2906" s="147"/>
      <c r="IY2906" s="147"/>
      <c r="IZ2906" s="147"/>
      <c r="JA2906" s="147"/>
      <c r="JB2906" s="147"/>
      <c r="JC2906" s="147"/>
      <c r="JD2906" s="147"/>
      <c r="JE2906" s="147"/>
      <c r="JF2906" s="147"/>
      <c r="JG2906" s="147"/>
      <c r="JH2906" s="147"/>
      <c r="JI2906" s="147"/>
      <c r="JJ2906" s="147"/>
      <c r="JK2906" s="147"/>
      <c r="JL2906" s="147"/>
      <c r="JM2906" s="147"/>
      <c r="JN2906" s="147"/>
      <c r="JO2906" s="147"/>
      <c r="JP2906" s="147"/>
      <c r="JQ2906" s="147"/>
      <c r="JR2906" s="147"/>
      <c r="JS2906" s="147"/>
      <c r="JT2906" s="147"/>
      <c r="JU2906" s="147"/>
      <c r="JV2906" s="147"/>
      <c r="JW2906" s="147"/>
      <c r="JX2906" s="147"/>
      <c r="JY2906" s="147"/>
      <c r="JZ2906" s="147"/>
      <c r="KA2906" s="147"/>
      <c r="KB2906" s="147"/>
      <c r="KC2906" s="147"/>
      <c r="KD2906" s="147"/>
      <c r="KE2906" s="147"/>
      <c r="KF2906" s="147"/>
      <c r="KG2906" s="147"/>
      <c r="KH2906" s="147"/>
      <c r="KI2906" s="147"/>
      <c r="KJ2906" s="147"/>
      <c r="KK2906" s="147"/>
      <c r="KL2906" s="147"/>
      <c r="KM2906" s="147"/>
      <c r="KN2906" s="147"/>
      <c r="KO2906" s="147"/>
      <c r="KP2906" s="147"/>
      <c r="KQ2906" s="147"/>
      <c r="KR2906" s="147"/>
      <c r="KS2906" s="147"/>
      <c r="KT2906" s="147"/>
      <c r="KU2906" s="147"/>
      <c r="KV2906" s="147"/>
      <c r="KW2906" s="147"/>
      <c r="KX2906" s="147"/>
      <c r="KY2906" s="147"/>
      <c r="KZ2906" s="147"/>
      <c r="LA2906" s="147"/>
      <c r="LB2906" s="147"/>
      <c r="LC2906" s="147"/>
      <c r="LD2906" s="147"/>
      <c r="LE2906" s="147"/>
      <c r="LF2906" s="147"/>
      <c r="LG2906" s="147"/>
      <c r="LH2906" s="147"/>
      <c r="LI2906" s="147"/>
      <c r="LJ2906" s="147"/>
      <c r="LK2906" s="147"/>
      <c r="LL2906" s="147"/>
      <c r="LM2906" s="147"/>
      <c r="LN2906" s="147"/>
      <c r="LO2906" s="147"/>
      <c r="LP2906" s="147"/>
      <c r="LQ2906" s="147"/>
      <c r="LR2906" s="147"/>
      <c r="LS2906" s="147"/>
      <c r="LT2906" s="147"/>
      <c r="LU2906" s="147"/>
      <c r="LV2906" s="147"/>
      <c r="LW2906" s="147"/>
      <c r="LX2906" s="147"/>
      <c r="LY2906" s="147"/>
      <c r="LZ2906" s="147"/>
      <c r="MA2906" s="147"/>
      <c r="MB2906" s="147"/>
      <c r="MC2906" s="147"/>
      <c r="MD2906" s="147"/>
      <c r="ME2906" s="147"/>
      <c r="MF2906" s="147"/>
      <c r="MG2906" s="147"/>
      <c r="MH2906" s="147"/>
      <c r="MI2906" s="147"/>
      <c r="MJ2906" s="147"/>
      <c r="MK2906" s="147"/>
      <c r="ML2906" s="147"/>
      <c r="MM2906" s="147"/>
      <c r="MN2906" s="147"/>
      <c r="MO2906" s="147"/>
      <c r="MP2906" s="147"/>
      <c r="MQ2906" s="147"/>
      <c r="MR2906" s="147"/>
      <c r="MS2906" s="147"/>
      <c r="MT2906" s="147"/>
      <c r="MU2906" s="147"/>
      <c r="MV2906" s="147"/>
      <c r="MW2906" s="147"/>
      <c r="MX2906" s="147"/>
      <c r="MY2906" s="147"/>
      <c r="MZ2906" s="147"/>
      <c r="NA2906" s="147"/>
      <c r="NB2906" s="147"/>
      <c r="NC2906" s="147"/>
      <c r="ND2906" s="147"/>
      <c r="NE2906" s="147"/>
      <c r="NF2906" s="147"/>
      <c r="NG2906" s="147"/>
      <c r="NH2906" s="147"/>
      <c r="NI2906" s="147"/>
      <c r="NJ2906" s="147"/>
      <c r="NK2906" s="147"/>
      <c r="NL2906" s="147"/>
      <c r="NM2906" s="147"/>
      <c r="NN2906" s="147"/>
      <c r="NO2906" s="147"/>
      <c r="NP2906" s="147"/>
      <c r="NQ2906" s="147"/>
      <c r="NR2906" s="147"/>
      <c r="NS2906" s="147"/>
      <c r="NT2906" s="147"/>
      <c r="NU2906" s="147"/>
      <c r="NV2906" s="147"/>
      <c r="NW2906" s="147"/>
      <c r="NX2906" s="147"/>
      <c r="NY2906" s="147"/>
      <c r="NZ2906" s="147"/>
      <c r="OA2906" s="147"/>
      <c r="OB2906" s="147"/>
      <c r="OC2906" s="147"/>
      <c r="OD2906" s="147"/>
      <c r="OE2906" s="147"/>
      <c r="OF2906" s="147"/>
      <c r="OG2906" s="147"/>
      <c r="OH2906" s="147"/>
      <c r="OI2906" s="147"/>
      <c r="OJ2906" s="147"/>
      <c r="OK2906" s="147"/>
      <c r="OL2906" s="147"/>
      <c r="OM2906" s="147"/>
      <c r="ON2906" s="147"/>
      <c r="OO2906" s="147"/>
      <c r="OP2906" s="147"/>
      <c r="OQ2906" s="147"/>
      <c r="OR2906" s="147"/>
      <c r="OS2906" s="147"/>
      <c r="OT2906" s="147"/>
      <c r="OU2906" s="147"/>
      <c r="OV2906" s="147"/>
      <c r="OW2906" s="147"/>
      <c r="OX2906" s="147"/>
      <c r="OY2906" s="147"/>
      <c r="OZ2906" s="147"/>
      <c r="PA2906" s="147"/>
      <c r="PB2906" s="147"/>
      <c r="PC2906" s="147"/>
      <c r="PD2906" s="147"/>
      <c r="PE2906" s="147"/>
      <c r="PF2906" s="147"/>
      <c r="PG2906" s="147"/>
      <c r="PH2906" s="147"/>
      <c r="PI2906" s="147"/>
      <c r="PJ2906" s="147"/>
      <c r="PK2906" s="147"/>
      <c r="PL2906" s="147"/>
      <c r="PM2906" s="147"/>
      <c r="PN2906" s="147"/>
      <c r="PO2906" s="147"/>
    </row>
    <row r="2907" spans="1:431" s="114" customFormat="1" x14ac:dyDescent="0.3">
      <c r="A2907" s="114">
        <v>905227</v>
      </c>
      <c r="B2907" s="310" t="s">
        <v>528</v>
      </c>
      <c r="C2907" s="310"/>
      <c r="D2907" s="311"/>
      <c r="E2907" s="1543"/>
      <c r="F2907" s="313"/>
      <c r="H2907" s="313"/>
      <c r="I2907" s="313"/>
      <c r="J2907" s="312"/>
      <c r="K2907" s="310"/>
      <c r="R2907" s="311"/>
      <c r="S2907" s="310"/>
      <c r="Y2907" s="310"/>
      <c r="AA2907" s="311"/>
      <c r="AB2907" s="311"/>
      <c r="AD2907" s="776"/>
      <c r="AE2907" s="776"/>
      <c r="AF2907" s="776"/>
      <c r="AG2907" s="66" t="e">
        <f t="shared" si="114"/>
        <v>#DIV/0!</v>
      </c>
      <c r="AH2907" s="143">
        <f t="shared" si="115"/>
        <v>0</v>
      </c>
      <c r="AI2907" s="147"/>
      <c r="AJ2907" s="147"/>
      <c r="AK2907" s="147"/>
      <c r="AL2907" s="147"/>
      <c r="AM2907" s="147"/>
      <c r="AN2907" s="147"/>
      <c r="AO2907" s="147"/>
      <c r="AP2907" s="147"/>
      <c r="AQ2907" s="147"/>
      <c r="AR2907" s="147"/>
      <c r="AS2907" s="147"/>
      <c r="AT2907" s="147"/>
      <c r="AU2907" s="147"/>
      <c r="AV2907" s="147"/>
      <c r="AW2907" s="147"/>
      <c r="AX2907" s="147"/>
      <c r="AY2907" s="147"/>
      <c r="AZ2907" s="147"/>
      <c r="BA2907" s="147"/>
      <c r="BB2907" s="147"/>
      <c r="BC2907" s="147"/>
      <c r="BD2907" s="147"/>
      <c r="BE2907" s="147"/>
      <c r="BF2907" s="147"/>
      <c r="BG2907" s="147"/>
      <c r="BH2907" s="147"/>
      <c r="BI2907" s="147"/>
      <c r="BJ2907" s="147"/>
      <c r="BK2907" s="147"/>
      <c r="BL2907" s="147"/>
      <c r="BM2907" s="147"/>
      <c r="BN2907" s="147"/>
      <c r="BO2907" s="147"/>
      <c r="BP2907" s="147"/>
      <c r="BQ2907" s="147"/>
      <c r="BR2907" s="147"/>
      <c r="BS2907" s="147"/>
      <c r="BT2907" s="147"/>
      <c r="BU2907" s="147"/>
      <c r="BV2907" s="147"/>
      <c r="BW2907" s="147"/>
      <c r="BX2907" s="147"/>
      <c r="BY2907" s="147"/>
      <c r="BZ2907" s="147"/>
      <c r="CA2907" s="147"/>
      <c r="CB2907" s="147"/>
      <c r="CC2907" s="147"/>
      <c r="CD2907" s="147"/>
      <c r="CE2907" s="147"/>
      <c r="CF2907" s="147"/>
      <c r="CG2907" s="147"/>
      <c r="CH2907" s="147"/>
      <c r="CI2907" s="147"/>
      <c r="CJ2907" s="147"/>
      <c r="CK2907" s="147"/>
      <c r="CL2907" s="147"/>
      <c r="CM2907" s="147"/>
      <c r="CN2907" s="147"/>
      <c r="CO2907" s="147"/>
      <c r="CP2907" s="147"/>
      <c r="CQ2907" s="147"/>
      <c r="CR2907" s="147"/>
      <c r="CS2907" s="147"/>
      <c r="CT2907" s="147"/>
      <c r="CU2907" s="147"/>
      <c r="CV2907" s="147"/>
      <c r="CW2907" s="147"/>
      <c r="CX2907" s="147"/>
      <c r="CY2907" s="147"/>
      <c r="CZ2907" s="147"/>
      <c r="DA2907" s="147"/>
      <c r="DB2907" s="147"/>
      <c r="DC2907" s="147"/>
      <c r="DD2907" s="147"/>
      <c r="DE2907" s="147"/>
      <c r="DF2907" s="147"/>
      <c r="DG2907" s="147"/>
      <c r="DH2907" s="147"/>
      <c r="DI2907" s="147"/>
      <c r="DJ2907" s="147"/>
      <c r="DK2907" s="147"/>
      <c r="DL2907" s="147"/>
      <c r="DM2907" s="147"/>
      <c r="DN2907" s="147"/>
      <c r="DO2907" s="147"/>
      <c r="DP2907" s="147"/>
      <c r="DQ2907" s="147"/>
      <c r="DR2907" s="147"/>
      <c r="DS2907" s="147"/>
      <c r="DT2907" s="147"/>
      <c r="DU2907" s="147"/>
      <c r="DV2907" s="147"/>
      <c r="DW2907" s="147"/>
      <c r="DX2907" s="147"/>
      <c r="DY2907" s="147"/>
      <c r="DZ2907" s="147"/>
      <c r="EA2907" s="147"/>
      <c r="EB2907" s="147"/>
      <c r="EC2907" s="147"/>
      <c r="ED2907" s="147"/>
      <c r="EE2907" s="147"/>
      <c r="EF2907" s="147"/>
      <c r="EG2907" s="147"/>
      <c r="EH2907" s="147"/>
      <c r="EI2907" s="147"/>
      <c r="EJ2907" s="147"/>
      <c r="EK2907" s="147"/>
      <c r="EL2907" s="147"/>
      <c r="EM2907" s="147"/>
      <c r="EN2907" s="147"/>
      <c r="EO2907" s="147"/>
      <c r="EP2907" s="147"/>
      <c r="EQ2907" s="147"/>
      <c r="ER2907" s="147"/>
      <c r="ES2907" s="147"/>
      <c r="ET2907" s="147"/>
      <c r="EU2907" s="147"/>
      <c r="EV2907" s="147"/>
      <c r="EW2907" s="147"/>
      <c r="EX2907" s="147"/>
      <c r="EY2907" s="147"/>
      <c r="EZ2907" s="147"/>
      <c r="FA2907" s="147"/>
      <c r="FB2907" s="147"/>
      <c r="FC2907" s="147"/>
      <c r="FD2907" s="147"/>
      <c r="FE2907" s="147"/>
      <c r="FF2907" s="147"/>
      <c r="FG2907" s="147"/>
      <c r="FH2907" s="147"/>
      <c r="FI2907" s="147"/>
      <c r="FJ2907" s="147"/>
      <c r="FK2907" s="147"/>
      <c r="FL2907" s="147"/>
      <c r="FM2907" s="147"/>
      <c r="FN2907" s="147"/>
      <c r="FO2907" s="147"/>
      <c r="FP2907" s="147"/>
      <c r="FQ2907" s="147"/>
      <c r="FR2907" s="147"/>
      <c r="FS2907" s="147"/>
      <c r="FT2907" s="147"/>
      <c r="FU2907" s="147"/>
      <c r="FV2907" s="147"/>
      <c r="FW2907" s="147"/>
      <c r="FX2907" s="147"/>
      <c r="FY2907" s="147"/>
      <c r="FZ2907" s="147"/>
      <c r="GA2907" s="147"/>
      <c r="GB2907" s="147"/>
      <c r="GC2907" s="147"/>
      <c r="GD2907" s="147"/>
      <c r="GE2907" s="147"/>
      <c r="GF2907" s="147"/>
      <c r="GG2907" s="147"/>
      <c r="GH2907" s="147"/>
      <c r="GI2907" s="147"/>
      <c r="GJ2907" s="147"/>
      <c r="GK2907" s="147"/>
      <c r="GL2907" s="147"/>
      <c r="GM2907" s="147"/>
      <c r="GN2907" s="147"/>
      <c r="GO2907" s="147"/>
      <c r="GP2907" s="147"/>
      <c r="GQ2907" s="147"/>
      <c r="GR2907" s="147"/>
      <c r="GS2907" s="147"/>
      <c r="GT2907" s="147"/>
      <c r="GU2907" s="147"/>
      <c r="GV2907" s="147"/>
      <c r="GW2907" s="147"/>
      <c r="GX2907" s="147"/>
      <c r="GY2907" s="147"/>
      <c r="GZ2907" s="147"/>
      <c r="HA2907" s="147"/>
      <c r="HB2907" s="147"/>
      <c r="HC2907" s="147"/>
      <c r="HD2907" s="147"/>
      <c r="HE2907" s="147"/>
      <c r="HF2907" s="147"/>
      <c r="HG2907" s="147"/>
      <c r="HH2907" s="147"/>
      <c r="HI2907" s="147"/>
      <c r="HJ2907" s="147"/>
      <c r="HK2907" s="147"/>
      <c r="HL2907" s="147"/>
      <c r="HM2907" s="147"/>
      <c r="HN2907" s="147"/>
      <c r="HO2907" s="147"/>
      <c r="HP2907" s="147"/>
      <c r="HQ2907" s="147"/>
      <c r="HR2907" s="147"/>
      <c r="HS2907" s="147"/>
      <c r="HT2907" s="147"/>
      <c r="HU2907" s="147"/>
      <c r="HV2907" s="147"/>
      <c r="HW2907" s="147"/>
      <c r="HX2907" s="147"/>
      <c r="HY2907" s="147"/>
      <c r="HZ2907" s="147"/>
      <c r="IA2907" s="147"/>
      <c r="IB2907" s="147"/>
      <c r="IC2907" s="147"/>
      <c r="ID2907" s="147"/>
      <c r="IE2907" s="147"/>
      <c r="IF2907" s="147"/>
      <c r="IG2907" s="147"/>
      <c r="IH2907" s="147"/>
      <c r="II2907" s="147"/>
      <c r="IJ2907" s="147"/>
      <c r="IK2907" s="147"/>
      <c r="IL2907" s="147"/>
      <c r="IM2907" s="147"/>
      <c r="IN2907" s="147"/>
      <c r="IO2907" s="147"/>
      <c r="IP2907" s="147"/>
      <c r="IQ2907" s="147"/>
      <c r="IR2907" s="147"/>
      <c r="IS2907" s="147"/>
      <c r="IT2907" s="147"/>
      <c r="IU2907" s="147"/>
      <c r="IV2907" s="147"/>
      <c r="IW2907" s="147"/>
      <c r="IX2907" s="147"/>
      <c r="IY2907" s="147"/>
      <c r="IZ2907" s="147"/>
      <c r="JA2907" s="147"/>
      <c r="JB2907" s="147"/>
      <c r="JC2907" s="147"/>
      <c r="JD2907" s="147"/>
      <c r="JE2907" s="147"/>
      <c r="JF2907" s="147"/>
      <c r="JG2907" s="147"/>
      <c r="JH2907" s="147"/>
      <c r="JI2907" s="147"/>
      <c r="JJ2907" s="147"/>
      <c r="JK2907" s="147"/>
      <c r="JL2907" s="147"/>
      <c r="JM2907" s="147"/>
      <c r="JN2907" s="147"/>
      <c r="JO2907" s="147"/>
      <c r="JP2907" s="147"/>
      <c r="JQ2907" s="147"/>
      <c r="JR2907" s="147"/>
      <c r="JS2907" s="147"/>
      <c r="JT2907" s="147"/>
      <c r="JU2907" s="147"/>
      <c r="JV2907" s="147"/>
      <c r="JW2907" s="147"/>
      <c r="JX2907" s="147"/>
      <c r="JY2907" s="147"/>
      <c r="JZ2907" s="147"/>
      <c r="KA2907" s="147"/>
      <c r="KB2907" s="147"/>
      <c r="KC2907" s="147"/>
      <c r="KD2907" s="147"/>
      <c r="KE2907" s="147"/>
      <c r="KF2907" s="147"/>
      <c r="KG2907" s="147"/>
      <c r="KH2907" s="147"/>
      <c r="KI2907" s="147"/>
      <c r="KJ2907" s="147"/>
      <c r="KK2907" s="147"/>
      <c r="KL2907" s="147"/>
      <c r="KM2907" s="147"/>
      <c r="KN2907" s="147"/>
      <c r="KO2907" s="147"/>
      <c r="KP2907" s="147"/>
      <c r="KQ2907" s="147"/>
      <c r="KR2907" s="147"/>
      <c r="KS2907" s="147"/>
      <c r="KT2907" s="147"/>
      <c r="KU2907" s="147"/>
      <c r="KV2907" s="147"/>
      <c r="KW2907" s="147"/>
      <c r="KX2907" s="147"/>
      <c r="KY2907" s="147"/>
      <c r="KZ2907" s="147"/>
      <c r="LA2907" s="147"/>
      <c r="LB2907" s="147"/>
      <c r="LC2907" s="147"/>
      <c r="LD2907" s="147"/>
      <c r="LE2907" s="147"/>
      <c r="LF2907" s="147"/>
      <c r="LG2907" s="147"/>
      <c r="LH2907" s="147"/>
      <c r="LI2907" s="147"/>
      <c r="LJ2907" s="147"/>
      <c r="LK2907" s="147"/>
      <c r="LL2907" s="147"/>
      <c r="LM2907" s="147"/>
      <c r="LN2907" s="147"/>
      <c r="LO2907" s="147"/>
      <c r="LP2907" s="147"/>
      <c r="LQ2907" s="147"/>
      <c r="LR2907" s="147"/>
      <c r="LS2907" s="147"/>
      <c r="LT2907" s="147"/>
      <c r="LU2907" s="147"/>
      <c r="LV2907" s="147"/>
      <c r="LW2907" s="147"/>
      <c r="LX2907" s="147"/>
      <c r="LY2907" s="147"/>
      <c r="LZ2907" s="147"/>
      <c r="MA2907" s="147"/>
      <c r="MB2907" s="147"/>
      <c r="MC2907" s="147"/>
      <c r="MD2907" s="147"/>
      <c r="ME2907" s="147"/>
      <c r="MF2907" s="147"/>
      <c r="MG2907" s="147"/>
      <c r="MH2907" s="147"/>
      <c r="MI2907" s="147"/>
      <c r="MJ2907" s="147"/>
      <c r="MK2907" s="147"/>
      <c r="ML2907" s="147"/>
      <c r="MM2907" s="147"/>
      <c r="MN2907" s="147"/>
      <c r="MO2907" s="147"/>
      <c r="MP2907" s="147"/>
      <c r="MQ2907" s="147"/>
      <c r="MR2907" s="147"/>
      <c r="MS2907" s="147"/>
      <c r="MT2907" s="147"/>
      <c r="MU2907" s="147"/>
      <c r="MV2907" s="147"/>
      <c r="MW2907" s="147"/>
      <c r="MX2907" s="147"/>
      <c r="MY2907" s="147"/>
      <c r="MZ2907" s="147"/>
      <c r="NA2907" s="147"/>
      <c r="NB2907" s="147"/>
      <c r="NC2907" s="147"/>
      <c r="ND2907" s="147"/>
      <c r="NE2907" s="147"/>
      <c r="NF2907" s="147"/>
      <c r="NG2907" s="147"/>
      <c r="NH2907" s="147"/>
      <c r="NI2907" s="147"/>
      <c r="NJ2907" s="147"/>
      <c r="NK2907" s="147"/>
      <c r="NL2907" s="147"/>
      <c r="NM2907" s="147"/>
      <c r="NN2907" s="147"/>
      <c r="NO2907" s="147"/>
      <c r="NP2907" s="147"/>
      <c r="NQ2907" s="147"/>
      <c r="NR2907" s="147"/>
      <c r="NS2907" s="147"/>
      <c r="NT2907" s="147"/>
      <c r="NU2907" s="147"/>
      <c r="NV2907" s="147"/>
      <c r="NW2907" s="147"/>
      <c r="NX2907" s="147"/>
      <c r="NY2907" s="147"/>
      <c r="NZ2907" s="147"/>
      <c r="OA2907" s="147"/>
      <c r="OB2907" s="147"/>
      <c r="OC2907" s="147"/>
      <c r="OD2907" s="147"/>
      <c r="OE2907" s="147"/>
      <c r="OF2907" s="147"/>
      <c r="OG2907" s="147"/>
      <c r="OH2907" s="147"/>
      <c r="OI2907" s="147"/>
      <c r="OJ2907" s="147"/>
      <c r="OK2907" s="147"/>
      <c r="OL2907" s="147"/>
      <c r="OM2907" s="147"/>
      <c r="ON2907" s="147"/>
      <c r="OO2907" s="147"/>
      <c r="OP2907" s="147"/>
      <c r="OQ2907" s="147"/>
      <c r="OR2907" s="147"/>
      <c r="OS2907" s="147"/>
      <c r="OT2907" s="147"/>
      <c r="OU2907" s="147"/>
      <c r="OV2907" s="147"/>
      <c r="OW2907" s="147"/>
      <c r="OX2907" s="147"/>
      <c r="OY2907" s="147"/>
      <c r="OZ2907" s="147"/>
      <c r="PA2907" s="147"/>
      <c r="PB2907" s="147"/>
      <c r="PC2907" s="147"/>
      <c r="PD2907" s="147"/>
      <c r="PE2907" s="147"/>
      <c r="PF2907" s="147"/>
      <c r="PG2907" s="147"/>
      <c r="PH2907" s="147"/>
      <c r="PI2907" s="147"/>
      <c r="PJ2907" s="147"/>
      <c r="PK2907" s="147"/>
      <c r="PL2907" s="147"/>
      <c r="PM2907" s="147"/>
      <c r="PN2907" s="147"/>
      <c r="PO2907" s="147"/>
    </row>
    <row r="2908" spans="1:431" x14ac:dyDescent="0.3">
      <c r="A2908" s="140">
        <v>905228</v>
      </c>
      <c r="B2908" s="138">
        <v>4.8</v>
      </c>
      <c r="D2908" s="152">
        <v>8.6199999999999992</v>
      </c>
      <c r="E2908" s="752">
        <v>1.39</v>
      </c>
      <c r="F2908" s="142">
        <v>1529</v>
      </c>
      <c r="H2908" s="142">
        <v>20.65</v>
      </c>
      <c r="I2908" s="142">
        <v>410</v>
      </c>
      <c r="J2908" s="795">
        <v>2.323</v>
      </c>
      <c r="K2908" s="138">
        <v>6.6</v>
      </c>
      <c r="L2908" s="140">
        <v>2370</v>
      </c>
      <c r="M2908" s="795">
        <v>0.61</v>
      </c>
      <c r="N2908" s="795">
        <v>0.79</v>
      </c>
      <c r="O2908" s="795">
        <v>4.93</v>
      </c>
      <c r="P2908" s="795">
        <v>6.11</v>
      </c>
      <c r="R2908" s="139">
        <v>1.7768259200000001</v>
      </c>
      <c r="S2908" s="138">
        <v>15.88</v>
      </c>
      <c r="Y2908" s="138">
        <v>31.2</v>
      </c>
      <c r="AA2908" s="139">
        <v>3.63</v>
      </c>
      <c r="AB2908" s="139">
        <v>0.36499999999999999</v>
      </c>
      <c r="AC2908" s="140">
        <v>7.8</v>
      </c>
      <c r="AD2908" s="70">
        <v>520</v>
      </c>
      <c r="AE2908" s="70">
        <v>340</v>
      </c>
      <c r="AF2908" s="70">
        <v>140</v>
      </c>
      <c r="AG2908" s="66">
        <f t="shared" si="114"/>
        <v>74.884615384615373</v>
      </c>
      <c r="AH2908" s="143">
        <f t="shared" si="115"/>
        <v>1000</v>
      </c>
      <c r="AI2908" s="147"/>
      <c r="AJ2908" s="147"/>
      <c r="AK2908" s="147"/>
      <c r="AL2908" s="147"/>
      <c r="AM2908" s="147"/>
      <c r="AN2908" s="147"/>
      <c r="AO2908" s="147"/>
      <c r="AP2908" s="147"/>
      <c r="AQ2908" s="147"/>
      <c r="AR2908" s="147"/>
      <c r="AS2908" s="147"/>
      <c r="AT2908" s="147"/>
      <c r="AU2908" s="147"/>
      <c r="AV2908" s="147"/>
      <c r="AW2908" s="147"/>
      <c r="AX2908" s="147"/>
      <c r="AY2908" s="147"/>
      <c r="AZ2908" s="147"/>
      <c r="BA2908" s="147"/>
      <c r="BB2908" s="147"/>
      <c r="BC2908" s="147"/>
      <c r="BD2908" s="147"/>
      <c r="BE2908" s="147"/>
      <c r="BF2908" s="147"/>
      <c r="BG2908" s="147"/>
      <c r="BH2908" s="147"/>
      <c r="BI2908" s="147"/>
      <c r="BJ2908" s="147"/>
      <c r="BK2908" s="147"/>
      <c r="BL2908" s="147"/>
      <c r="BM2908" s="147"/>
      <c r="BN2908" s="147"/>
      <c r="BO2908" s="147"/>
      <c r="BP2908" s="147"/>
      <c r="BQ2908" s="147"/>
      <c r="BR2908" s="147"/>
      <c r="BS2908" s="147"/>
      <c r="BT2908" s="147"/>
      <c r="BU2908" s="147"/>
      <c r="BV2908" s="147"/>
      <c r="BW2908" s="147"/>
      <c r="BX2908" s="147"/>
      <c r="BY2908" s="147"/>
      <c r="BZ2908" s="147"/>
      <c r="CA2908" s="147"/>
      <c r="CB2908" s="147"/>
      <c r="CC2908" s="147"/>
      <c r="CD2908" s="147"/>
      <c r="CE2908" s="147"/>
      <c r="CF2908" s="147"/>
      <c r="CG2908" s="147"/>
      <c r="CH2908" s="147"/>
      <c r="CI2908" s="147"/>
      <c r="CJ2908" s="147"/>
      <c r="CK2908" s="147"/>
      <c r="CL2908" s="147"/>
      <c r="CM2908" s="147"/>
      <c r="CN2908" s="147"/>
      <c r="CO2908" s="147"/>
      <c r="CP2908" s="147"/>
      <c r="CQ2908" s="147"/>
      <c r="CR2908" s="147"/>
      <c r="CS2908" s="147"/>
      <c r="CT2908" s="147"/>
      <c r="CU2908" s="147"/>
      <c r="CV2908" s="147"/>
      <c r="CW2908" s="147"/>
      <c r="CX2908" s="147"/>
      <c r="CY2908" s="147"/>
      <c r="CZ2908" s="147"/>
      <c r="DA2908" s="147"/>
      <c r="DB2908" s="147"/>
      <c r="DC2908" s="147"/>
      <c r="DD2908" s="147"/>
      <c r="DE2908" s="147"/>
      <c r="DF2908" s="147"/>
      <c r="DG2908" s="147"/>
      <c r="DH2908" s="147"/>
      <c r="DI2908" s="147"/>
      <c r="DJ2908" s="147"/>
      <c r="DK2908" s="147"/>
      <c r="DL2908" s="147"/>
      <c r="DM2908" s="147"/>
      <c r="DN2908" s="147"/>
      <c r="DO2908" s="147"/>
      <c r="DP2908" s="147"/>
      <c r="DQ2908" s="147"/>
      <c r="DR2908" s="147"/>
      <c r="DS2908" s="147"/>
      <c r="DT2908" s="147"/>
      <c r="DU2908" s="147"/>
      <c r="DV2908" s="147"/>
      <c r="DW2908" s="147"/>
      <c r="DX2908" s="147"/>
      <c r="DY2908" s="147"/>
      <c r="DZ2908" s="147"/>
      <c r="EA2908" s="147"/>
      <c r="EB2908" s="147"/>
      <c r="EC2908" s="147"/>
      <c r="ED2908" s="147"/>
      <c r="EE2908" s="147"/>
      <c r="EF2908" s="147"/>
      <c r="EG2908" s="147"/>
      <c r="EH2908" s="147"/>
      <c r="EI2908" s="147"/>
      <c r="EJ2908" s="147"/>
      <c r="EK2908" s="147"/>
      <c r="EL2908" s="147"/>
      <c r="EM2908" s="147"/>
      <c r="EN2908" s="147"/>
      <c r="EO2908" s="147"/>
      <c r="EP2908" s="147"/>
      <c r="EQ2908" s="147"/>
      <c r="ER2908" s="147"/>
      <c r="ES2908" s="147"/>
      <c r="ET2908" s="147"/>
      <c r="EU2908" s="147"/>
      <c r="EV2908" s="147"/>
      <c r="EW2908" s="147"/>
      <c r="EX2908" s="147"/>
      <c r="EY2908" s="147"/>
      <c r="EZ2908" s="147"/>
      <c r="FA2908" s="147"/>
      <c r="FB2908" s="147"/>
      <c r="FC2908" s="147"/>
      <c r="FD2908" s="147"/>
      <c r="FE2908" s="147"/>
      <c r="FF2908" s="147"/>
      <c r="FG2908" s="147"/>
      <c r="FH2908" s="147"/>
      <c r="FI2908" s="147"/>
      <c r="FJ2908" s="147"/>
      <c r="FK2908" s="147"/>
      <c r="FL2908" s="147"/>
      <c r="FM2908" s="147"/>
      <c r="FN2908" s="147"/>
      <c r="FO2908" s="147"/>
      <c r="FP2908" s="147"/>
      <c r="FQ2908" s="147"/>
      <c r="FR2908" s="147"/>
      <c r="FS2908" s="147"/>
      <c r="FT2908" s="147"/>
      <c r="FU2908" s="147"/>
      <c r="FV2908" s="147"/>
      <c r="FW2908" s="147"/>
      <c r="FX2908" s="147"/>
      <c r="FY2908" s="147"/>
      <c r="FZ2908" s="147"/>
      <c r="GA2908" s="147"/>
      <c r="GB2908" s="147"/>
      <c r="GC2908" s="147"/>
      <c r="GD2908" s="147"/>
      <c r="GE2908" s="147"/>
      <c r="GF2908" s="147"/>
      <c r="GG2908" s="147"/>
      <c r="GH2908" s="147"/>
      <c r="GI2908" s="147"/>
      <c r="GJ2908" s="147"/>
      <c r="GK2908" s="147"/>
      <c r="GL2908" s="147"/>
      <c r="GM2908" s="147"/>
      <c r="GN2908" s="147"/>
      <c r="GO2908" s="147"/>
      <c r="GP2908" s="147"/>
      <c r="GQ2908" s="147"/>
      <c r="GR2908" s="147"/>
      <c r="GS2908" s="147"/>
      <c r="GT2908" s="147"/>
      <c r="GU2908" s="147"/>
      <c r="GV2908" s="147"/>
      <c r="GW2908" s="147"/>
      <c r="GX2908" s="147"/>
      <c r="GY2908" s="147"/>
      <c r="GZ2908" s="147"/>
      <c r="HA2908" s="147"/>
      <c r="HB2908" s="147"/>
      <c r="HC2908" s="147"/>
      <c r="HD2908" s="147"/>
      <c r="HE2908" s="147"/>
      <c r="HF2908" s="147"/>
      <c r="HG2908" s="147"/>
      <c r="HH2908" s="147"/>
      <c r="HI2908" s="147"/>
      <c r="HJ2908" s="147"/>
      <c r="HK2908" s="147"/>
      <c r="HL2908" s="147"/>
      <c r="HM2908" s="147"/>
      <c r="HN2908" s="147"/>
      <c r="HO2908" s="147"/>
      <c r="HP2908" s="147"/>
      <c r="HQ2908" s="147"/>
      <c r="HR2908" s="147"/>
      <c r="HS2908" s="147"/>
      <c r="HT2908" s="147"/>
      <c r="HU2908" s="147"/>
      <c r="HV2908" s="147"/>
      <c r="HW2908" s="147"/>
      <c r="HX2908" s="147"/>
      <c r="HY2908" s="147"/>
      <c r="HZ2908" s="147"/>
      <c r="IA2908" s="147"/>
      <c r="IB2908" s="147"/>
      <c r="IC2908" s="147"/>
      <c r="ID2908" s="147"/>
      <c r="IE2908" s="147"/>
      <c r="IF2908" s="147"/>
      <c r="IG2908" s="147"/>
      <c r="IH2908" s="147"/>
      <c r="II2908" s="147"/>
      <c r="IJ2908" s="147"/>
      <c r="IK2908" s="147"/>
      <c r="IL2908" s="147"/>
      <c r="IM2908" s="147"/>
      <c r="IN2908" s="147"/>
      <c r="IO2908" s="147"/>
      <c r="IP2908" s="147"/>
      <c r="IQ2908" s="147"/>
      <c r="IR2908" s="147"/>
      <c r="IS2908" s="147"/>
      <c r="IT2908" s="147"/>
      <c r="IU2908" s="147"/>
      <c r="IV2908" s="147"/>
      <c r="IW2908" s="147"/>
      <c r="IX2908" s="147"/>
      <c r="IY2908" s="147"/>
      <c r="IZ2908" s="147"/>
      <c r="JA2908" s="147"/>
      <c r="JB2908" s="147"/>
      <c r="JC2908" s="147"/>
      <c r="JD2908" s="147"/>
      <c r="JE2908" s="147"/>
      <c r="JF2908" s="147"/>
      <c r="JG2908" s="147"/>
      <c r="JH2908" s="147"/>
      <c r="JI2908" s="147"/>
      <c r="JJ2908" s="147"/>
      <c r="JK2908" s="147"/>
      <c r="JL2908" s="147"/>
      <c r="JM2908" s="147"/>
      <c r="JN2908" s="147"/>
      <c r="JO2908" s="147"/>
      <c r="JP2908" s="147"/>
      <c r="JQ2908" s="147"/>
      <c r="JR2908" s="147"/>
      <c r="JS2908" s="147"/>
      <c r="JT2908" s="147"/>
      <c r="JU2908" s="147"/>
      <c r="JV2908" s="147"/>
      <c r="JW2908" s="147"/>
      <c r="JX2908" s="147"/>
      <c r="JY2908" s="147"/>
      <c r="JZ2908" s="147"/>
      <c r="KA2908" s="147"/>
      <c r="KB2908" s="147"/>
      <c r="KC2908" s="147"/>
      <c r="KD2908" s="147"/>
      <c r="KE2908" s="147"/>
      <c r="KF2908" s="147"/>
      <c r="KG2908" s="147"/>
      <c r="KH2908" s="147"/>
      <c r="KI2908" s="147"/>
      <c r="KJ2908" s="147"/>
      <c r="KK2908" s="147"/>
      <c r="KL2908" s="147"/>
      <c r="KM2908" s="147"/>
      <c r="KN2908" s="147"/>
      <c r="KO2908" s="147"/>
      <c r="KP2908" s="147"/>
      <c r="KQ2908" s="147"/>
      <c r="KR2908" s="147"/>
      <c r="KS2908" s="147"/>
      <c r="KT2908" s="147"/>
      <c r="KU2908" s="147"/>
      <c r="KV2908" s="147"/>
      <c r="KW2908" s="147"/>
      <c r="KX2908" s="147"/>
      <c r="KY2908" s="147"/>
      <c r="KZ2908" s="147"/>
      <c r="LA2908" s="147"/>
      <c r="LB2908" s="147"/>
      <c r="LC2908" s="147"/>
      <c r="LD2908" s="147"/>
      <c r="LE2908" s="147"/>
      <c r="LF2908" s="147"/>
      <c r="LG2908" s="147"/>
      <c r="LH2908" s="147"/>
      <c r="LI2908" s="147"/>
      <c r="LJ2908" s="147"/>
      <c r="LK2908" s="147"/>
      <c r="LL2908" s="147"/>
      <c r="LM2908" s="147"/>
      <c r="LN2908" s="147"/>
      <c r="LO2908" s="147"/>
      <c r="LP2908" s="147"/>
      <c r="LQ2908" s="147"/>
      <c r="LR2908" s="147"/>
      <c r="LS2908" s="147"/>
      <c r="LT2908" s="147"/>
      <c r="LU2908" s="147"/>
      <c r="LV2908" s="147"/>
      <c r="LW2908" s="147"/>
      <c r="LX2908" s="147"/>
      <c r="LY2908" s="147"/>
      <c r="LZ2908" s="147"/>
      <c r="MA2908" s="147"/>
      <c r="MB2908" s="147"/>
      <c r="MC2908" s="147"/>
      <c r="MD2908" s="147"/>
      <c r="ME2908" s="147"/>
      <c r="MF2908" s="147"/>
      <c r="MG2908" s="147"/>
      <c r="MH2908" s="147"/>
      <c r="MI2908" s="147"/>
      <c r="MJ2908" s="147"/>
      <c r="MK2908" s="147"/>
      <c r="ML2908" s="147"/>
      <c r="MM2908" s="147"/>
      <c r="MN2908" s="147"/>
      <c r="MO2908" s="147"/>
      <c r="MP2908" s="147"/>
      <c r="MQ2908" s="147"/>
      <c r="MR2908" s="147"/>
      <c r="MS2908" s="147"/>
      <c r="MT2908" s="147"/>
      <c r="MU2908" s="147"/>
      <c r="MV2908" s="147"/>
      <c r="MW2908" s="147"/>
      <c r="MX2908" s="147"/>
      <c r="MY2908" s="147"/>
      <c r="MZ2908" s="147"/>
      <c r="NA2908" s="147"/>
      <c r="NB2908" s="147"/>
      <c r="NC2908" s="147"/>
      <c r="ND2908" s="147"/>
      <c r="NE2908" s="147"/>
      <c r="NF2908" s="147"/>
      <c r="NG2908" s="147"/>
      <c r="NH2908" s="147"/>
      <c r="NI2908" s="147"/>
      <c r="NJ2908" s="147"/>
      <c r="NK2908" s="147"/>
      <c r="NL2908" s="147"/>
      <c r="NM2908" s="147"/>
      <c r="NN2908" s="147"/>
      <c r="NO2908" s="147"/>
      <c r="NP2908" s="147"/>
      <c r="NQ2908" s="147"/>
      <c r="NR2908" s="147"/>
      <c r="NS2908" s="147"/>
      <c r="NT2908" s="147"/>
      <c r="NU2908" s="147"/>
      <c r="NV2908" s="147"/>
      <c r="NW2908" s="147"/>
      <c r="NX2908" s="147"/>
      <c r="NY2908" s="147"/>
      <c r="NZ2908" s="147"/>
      <c r="OA2908" s="147"/>
      <c r="OB2908" s="147"/>
      <c r="OC2908" s="147"/>
      <c r="OD2908" s="147"/>
      <c r="OE2908" s="147"/>
      <c r="OF2908" s="147"/>
      <c r="OG2908" s="147"/>
      <c r="OH2908" s="147"/>
      <c r="OI2908" s="147"/>
      <c r="OJ2908" s="147"/>
      <c r="OK2908" s="147"/>
      <c r="OL2908" s="147"/>
      <c r="OM2908" s="147"/>
      <c r="ON2908" s="147"/>
      <c r="OO2908" s="147"/>
      <c r="OP2908" s="147"/>
      <c r="OQ2908" s="147"/>
      <c r="OR2908" s="147"/>
      <c r="OS2908" s="147"/>
      <c r="OT2908" s="147"/>
      <c r="OU2908" s="147"/>
      <c r="OV2908" s="147"/>
      <c r="OW2908" s="147"/>
      <c r="OX2908" s="147"/>
      <c r="OY2908" s="147"/>
      <c r="OZ2908" s="147"/>
      <c r="PA2908" s="147"/>
      <c r="PB2908" s="147"/>
      <c r="PC2908" s="147"/>
      <c r="PD2908" s="147"/>
      <c r="PE2908" s="147"/>
      <c r="PF2908" s="147"/>
      <c r="PG2908" s="147"/>
      <c r="PH2908" s="147"/>
      <c r="PI2908" s="147"/>
      <c r="PJ2908" s="147"/>
      <c r="PK2908" s="147"/>
      <c r="PL2908" s="147"/>
      <c r="PM2908" s="147"/>
      <c r="PN2908" s="147"/>
      <c r="PO2908" s="147"/>
    </row>
    <row r="2909" spans="1:431" x14ac:dyDescent="0.3">
      <c r="A2909" s="140">
        <v>905277</v>
      </c>
      <c r="B2909" s="138">
        <v>34.333333333333336</v>
      </c>
      <c r="C2909" s="138">
        <v>15.499999999999998</v>
      </c>
      <c r="D2909" s="152">
        <v>8.52</v>
      </c>
      <c r="E2909" s="752">
        <v>0.17100000000000001</v>
      </c>
      <c r="F2909" s="142">
        <v>188.10000000000002</v>
      </c>
      <c r="H2909" s="142">
        <v>37.74</v>
      </c>
      <c r="I2909" s="142">
        <v>250</v>
      </c>
      <c r="J2909" s="795">
        <v>6.8000000000000005E-2</v>
      </c>
      <c r="K2909" s="138">
        <v>9.89</v>
      </c>
      <c r="L2909" s="140">
        <v>750</v>
      </c>
      <c r="M2909" s="795">
        <v>0.64</v>
      </c>
      <c r="N2909" s="795">
        <v>0.98</v>
      </c>
      <c r="O2909" s="795">
        <v>2.2999999999999998</v>
      </c>
      <c r="P2909" s="795">
        <v>4.34</v>
      </c>
      <c r="R2909" s="139">
        <v>0.96871948624381443</v>
      </c>
      <c r="S2909" s="138">
        <v>7.2</v>
      </c>
      <c r="Y2909" s="138">
        <v>37.799999999999997</v>
      </c>
      <c r="AD2909" s="70">
        <v>540</v>
      </c>
      <c r="AE2909" s="70">
        <v>330</v>
      </c>
      <c r="AF2909" s="70">
        <v>130</v>
      </c>
      <c r="AG2909" s="66">
        <f t="shared" si="114"/>
        <v>92.620634920634942</v>
      </c>
      <c r="AH2909" s="143">
        <f t="shared" si="115"/>
        <v>1000</v>
      </c>
      <c r="AI2909" s="147"/>
      <c r="AJ2909" s="147"/>
      <c r="AK2909" s="147"/>
      <c r="AL2909" s="147"/>
      <c r="AM2909" s="147"/>
      <c r="AN2909" s="147"/>
      <c r="AO2909" s="147"/>
      <c r="AP2909" s="147"/>
      <c r="AQ2909" s="147"/>
      <c r="AR2909" s="147"/>
      <c r="AS2909" s="147"/>
      <c r="AT2909" s="147"/>
      <c r="AU2909" s="147"/>
      <c r="AV2909" s="147"/>
      <c r="AW2909" s="147"/>
      <c r="AX2909" s="147"/>
      <c r="AY2909" s="147"/>
      <c r="AZ2909" s="147"/>
      <c r="BA2909" s="147"/>
      <c r="BB2909" s="147"/>
      <c r="BC2909" s="147"/>
      <c r="BD2909" s="147"/>
      <c r="BE2909" s="147"/>
      <c r="BF2909" s="147"/>
      <c r="BG2909" s="147"/>
      <c r="BH2909" s="147"/>
      <c r="BI2909" s="147"/>
      <c r="BJ2909" s="147"/>
      <c r="BK2909" s="147"/>
      <c r="BL2909" s="147"/>
      <c r="BM2909" s="147"/>
      <c r="BN2909" s="147"/>
      <c r="BO2909" s="147"/>
      <c r="BP2909" s="147"/>
      <c r="BQ2909" s="147"/>
      <c r="BR2909" s="147"/>
      <c r="BS2909" s="147"/>
      <c r="BT2909" s="147"/>
      <c r="BU2909" s="147"/>
      <c r="BV2909" s="147"/>
      <c r="BW2909" s="147"/>
      <c r="BX2909" s="147"/>
      <c r="BY2909" s="147"/>
      <c r="BZ2909" s="147"/>
      <c r="CA2909" s="147"/>
      <c r="CB2909" s="147"/>
      <c r="CC2909" s="147"/>
      <c r="CD2909" s="147"/>
      <c r="CE2909" s="147"/>
      <c r="CF2909" s="147"/>
      <c r="CG2909" s="147"/>
      <c r="CH2909" s="147"/>
      <c r="CI2909" s="147"/>
      <c r="CJ2909" s="147"/>
      <c r="CK2909" s="147"/>
      <c r="CL2909" s="147"/>
      <c r="CM2909" s="147"/>
      <c r="CN2909" s="147"/>
      <c r="CO2909" s="147"/>
      <c r="CP2909" s="147"/>
      <c r="CQ2909" s="147"/>
      <c r="CR2909" s="147"/>
      <c r="CS2909" s="147"/>
      <c r="CT2909" s="147"/>
      <c r="CU2909" s="147"/>
      <c r="CV2909" s="147"/>
      <c r="CW2909" s="147"/>
      <c r="CX2909" s="147"/>
      <c r="CY2909" s="147"/>
      <c r="CZ2909" s="147"/>
      <c r="DA2909" s="147"/>
      <c r="DB2909" s="147"/>
      <c r="DC2909" s="147"/>
      <c r="DD2909" s="147"/>
      <c r="DE2909" s="147"/>
      <c r="DF2909" s="147"/>
      <c r="DG2909" s="147"/>
      <c r="DH2909" s="147"/>
      <c r="DI2909" s="147"/>
      <c r="DJ2909" s="147"/>
      <c r="DK2909" s="147"/>
      <c r="DL2909" s="147"/>
      <c r="DM2909" s="147"/>
      <c r="DN2909" s="147"/>
      <c r="DO2909" s="147"/>
      <c r="DP2909" s="147"/>
      <c r="DQ2909" s="147"/>
      <c r="DR2909" s="147"/>
      <c r="DS2909" s="147"/>
      <c r="DT2909" s="147"/>
      <c r="DU2909" s="147"/>
      <c r="DV2909" s="147"/>
      <c r="DW2909" s="147"/>
      <c r="DX2909" s="147"/>
      <c r="DY2909" s="147"/>
      <c r="DZ2909" s="147"/>
      <c r="EA2909" s="147"/>
      <c r="EB2909" s="147"/>
      <c r="EC2909" s="147"/>
      <c r="ED2909" s="147"/>
      <c r="EE2909" s="147"/>
      <c r="EF2909" s="147"/>
      <c r="EG2909" s="147"/>
      <c r="EH2909" s="147"/>
      <c r="EI2909" s="147"/>
      <c r="EJ2909" s="147"/>
      <c r="EK2909" s="147"/>
      <c r="EL2909" s="147"/>
      <c r="EM2909" s="147"/>
      <c r="EN2909" s="147"/>
      <c r="EO2909" s="147"/>
      <c r="EP2909" s="147"/>
      <c r="EQ2909" s="147"/>
      <c r="ER2909" s="147"/>
      <c r="ES2909" s="147"/>
      <c r="ET2909" s="147"/>
      <c r="EU2909" s="147"/>
      <c r="EV2909" s="147"/>
      <c r="EW2909" s="147"/>
      <c r="EX2909" s="147"/>
      <c r="EY2909" s="147"/>
      <c r="EZ2909" s="147"/>
      <c r="FA2909" s="147"/>
      <c r="FB2909" s="147"/>
      <c r="FC2909" s="147"/>
      <c r="FD2909" s="147"/>
      <c r="FE2909" s="147"/>
      <c r="FF2909" s="147"/>
      <c r="FG2909" s="147"/>
      <c r="FH2909" s="147"/>
      <c r="FI2909" s="147"/>
      <c r="FJ2909" s="147"/>
      <c r="FK2909" s="147"/>
      <c r="FL2909" s="147"/>
      <c r="FM2909" s="147"/>
      <c r="FN2909" s="147"/>
      <c r="FO2909" s="147"/>
      <c r="FP2909" s="147"/>
      <c r="FQ2909" s="147"/>
      <c r="FR2909" s="147"/>
      <c r="FS2909" s="147"/>
      <c r="FT2909" s="147"/>
      <c r="FU2909" s="147"/>
      <c r="FV2909" s="147"/>
      <c r="FW2909" s="147"/>
      <c r="FX2909" s="147"/>
      <c r="FY2909" s="147"/>
      <c r="FZ2909" s="147"/>
      <c r="GA2909" s="147"/>
      <c r="GB2909" s="147"/>
      <c r="GC2909" s="147"/>
      <c r="GD2909" s="147"/>
      <c r="GE2909" s="147"/>
      <c r="GF2909" s="147"/>
      <c r="GG2909" s="147"/>
      <c r="GH2909" s="147"/>
      <c r="GI2909" s="147"/>
      <c r="GJ2909" s="147"/>
      <c r="GK2909" s="147"/>
      <c r="GL2909" s="147"/>
      <c r="GM2909" s="147"/>
      <c r="GN2909" s="147"/>
      <c r="GO2909" s="147"/>
      <c r="GP2909" s="147"/>
      <c r="GQ2909" s="147"/>
      <c r="GR2909" s="147"/>
      <c r="GS2909" s="147"/>
      <c r="GT2909" s="147"/>
      <c r="GU2909" s="147"/>
      <c r="GV2909" s="147"/>
      <c r="GW2909" s="147"/>
      <c r="GX2909" s="147"/>
      <c r="GY2909" s="147"/>
      <c r="GZ2909" s="147"/>
      <c r="HA2909" s="147"/>
      <c r="HB2909" s="147"/>
      <c r="HC2909" s="147"/>
      <c r="HD2909" s="147"/>
      <c r="HE2909" s="147"/>
      <c r="HF2909" s="147"/>
      <c r="HG2909" s="147"/>
      <c r="HH2909" s="147"/>
      <c r="HI2909" s="147"/>
      <c r="HJ2909" s="147"/>
      <c r="HK2909" s="147"/>
      <c r="HL2909" s="147"/>
      <c r="HM2909" s="147"/>
      <c r="HN2909" s="147"/>
      <c r="HO2909" s="147"/>
      <c r="HP2909" s="147"/>
      <c r="HQ2909" s="147"/>
      <c r="HR2909" s="147"/>
      <c r="HS2909" s="147"/>
      <c r="HT2909" s="147"/>
      <c r="HU2909" s="147"/>
      <c r="HV2909" s="147"/>
      <c r="HW2909" s="147"/>
      <c r="HX2909" s="147"/>
      <c r="HY2909" s="147"/>
      <c r="HZ2909" s="147"/>
      <c r="IA2909" s="147"/>
      <c r="IB2909" s="147"/>
      <c r="IC2909" s="147"/>
      <c r="ID2909" s="147"/>
      <c r="IE2909" s="147"/>
      <c r="IF2909" s="147"/>
      <c r="IG2909" s="147"/>
      <c r="IH2909" s="147"/>
      <c r="II2909" s="147"/>
      <c r="IJ2909" s="147"/>
      <c r="IK2909" s="147"/>
      <c r="IL2909" s="147"/>
      <c r="IM2909" s="147"/>
      <c r="IN2909" s="147"/>
      <c r="IO2909" s="147"/>
      <c r="IP2909" s="147"/>
      <c r="IQ2909" s="147"/>
      <c r="IR2909" s="147"/>
      <c r="IS2909" s="147"/>
      <c r="IT2909" s="147"/>
      <c r="IU2909" s="147"/>
      <c r="IV2909" s="147"/>
      <c r="IW2909" s="147"/>
      <c r="IX2909" s="147"/>
      <c r="IY2909" s="147"/>
      <c r="IZ2909" s="147"/>
      <c r="JA2909" s="147"/>
      <c r="JB2909" s="147"/>
      <c r="JC2909" s="147"/>
      <c r="JD2909" s="147"/>
      <c r="JE2909" s="147"/>
      <c r="JF2909" s="147"/>
      <c r="JG2909" s="147"/>
      <c r="JH2909" s="147"/>
      <c r="JI2909" s="147"/>
      <c r="JJ2909" s="147"/>
      <c r="JK2909" s="147"/>
      <c r="JL2909" s="147"/>
      <c r="JM2909" s="147"/>
      <c r="JN2909" s="147"/>
      <c r="JO2909" s="147"/>
      <c r="JP2909" s="147"/>
      <c r="JQ2909" s="147"/>
      <c r="JR2909" s="147"/>
      <c r="JS2909" s="147"/>
      <c r="JT2909" s="147"/>
      <c r="JU2909" s="147"/>
      <c r="JV2909" s="147"/>
      <c r="JW2909" s="147"/>
      <c r="JX2909" s="147"/>
      <c r="JY2909" s="147"/>
      <c r="JZ2909" s="147"/>
      <c r="KA2909" s="147"/>
      <c r="KB2909" s="147"/>
      <c r="KC2909" s="147"/>
      <c r="KD2909" s="147"/>
      <c r="KE2909" s="147"/>
      <c r="KF2909" s="147"/>
      <c r="KG2909" s="147"/>
      <c r="KH2909" s="147"/>
      <c r="KI2909" s="147"/>
      <c r="KJ2909" s="147"/>
      <c r="KK2909" s="147"/>
      <c r="KL2909" s="147"/>
      <c r="KM2909" s="147"/>
      <c r="KN2909" s="147"/>
      <c r="KO2909" s="147"/>
      <c r="KP2909" s="147"/>
      <c r="KQ2909" s="147"/>
      <c r="KR2909" s="147"/>
      <c r="KS2909" s="147"/>
      <c r="KT2909" s="147"/>
      <c r="KU2909" s="147"/>
      <c r="KV2909" s="147"/>
      <c r="KW2909" s="147"/>
      <c r="KX2909" s="147"/>
      <c r="KY2909" s="147"/>
      <c r="KZ2909" s="147"/>
      <c r="LA2909" s="147"/>
      <c r="LB2909" s="147"/>
      <c r="LC2909" s="147"/>
      <c r="LD2909" s="147"/>
      <c r="LE2909" s="147"/>
      <c r="LF2909" s="147"/>
      <c r="LG2909" s="147"/>
      <c r="LH2909" s="147"/>
      <c r="LI2909" s="147"/>
      <c r="LJ2909" s="147"/>
      <c r="LK2909" s="147"/>
      <c r="LL2909" s="147"/>
      <c r="LM2909" s="147"/>
      <c r="LN2909" s="147"/>
      <c r="LO2909" s="147"/>
      <c r="LP2909" s="147"/>
      <c r="LQ2909" s="147"/>
      <c r="LR2909" s="147"/>
      <c r="LS2909" s="147"/>
      <c r="LT2909" s="147"/>
      <c r="LU2909" s="147"/>
      <c r="LV2909" s="147"/>
      <c r="LW2909" s="147"/>
      <c r="LX2909" s="147"/>
      <c r="LY2909" s="147"/>
      <c r="LZ2909" s="147"/>
      <c r="MA2909" s="147"/>
      <c r="MB2909" s="147"/>
      <c r="MC2909" s="147"/>
      <c r="MD2909" s="147"/>
      <c r="ME2909" s="147"/>
      <c r="MF2909" s="147"/>
      <c r="MG2909" s="147"/>
      <c r="MH2909" s="147"/>
      <c r="MI2909" s="147"/>
      <c r="MJ2909" s="147"/>
      <c r="MK2909" s="147"/>
      <c r="ML2909" s="147"/>
      <c r="MM2909" s="147"/>
      <c r="MN2909" s="147"/>
      <c r="MO2909" s="147"/>
      <c r="MP2909" s="147"/>
      <c r="MQ2909" s="147"/>
      <c r="MR2909" s="147"/>
      <c r="MS2909" s="147"/>
      <c r="MT2909" s="147"/>
      <c r="MU2909" s="147"/>
      <c r="MV2909" s="147"/>
      <c r="MW2909" s="147"/>
      <c r="MX2909" s="147"/>
      <c r="MY2909" s="147"/>
      <c r="MZ2909" s="147"/>
      <c r="NA2909" s="147"/>
      <c r="NB2909" s="147"/>
      <c r="NC2909" s="147"/>
      <c r="ND2909" s="147"/>
      <c r="NE2909" s="147"/>
      <c r="NF2909" s="147"/>
      <c r="NG2909" s="147"/>
      <c r="NH2909" s="147"/>
      <c r="NI2909" s="147"/>
      <c r="NJ2909" s="147"/>
      <c r="NK2909" s="147"/>
      <c r="NL2909" s="147"/>
      <c r="NM2909" s="147"/>
      <c r="NN2909" s="147"/>
      <c r="NO2909" s="147"/>
      <c r="NP2909" s="147"/>
      <c r="NQ2909" s="147"/>
      <c r="NR2909" s="147"/>
      <c r="NS2909" s="147"/>
      <c r="NT2909" s="147"/>
      <c r="NU2909" s="147"/>
      <c r="NV2909" s="147"/>
      <c r="NW2909" s="147"/>
      <c r="NX2909" s="147"/>
      <c r="NY2909" s="147"/>
      <c r="NZ2909" s="147"/>
      <c r="OA2909" s="147"/>
      <c r="OB2909" s="147"/>
      <c r="OC2909" s="147"/>
      <c r="OD2909" s="147"/>
      <c r="OE2909" s="147"/>
      <c r="OF2909" s="147"/>
      <c r="OG2909" s="147"/>
      <c r="OH2909" s="147"/>
      <c r="OI2909" s="147"/>
      <c r="OJ2909" s="147"/>
      <c r="OK2909" s="147"/>
      <c r="OL2909" s="147"/>
      <c r="OM2909" s="147"/>
      <c r="ON2909" s="147"/>
      <c r="OO2909" s="147"/>
      <c r="OP2909" s="147"/>
      <c r="OQ2909" s="147"/>
      <c r="OR2909" s="147"/>
      <c r="OS2909" s="147"/>
      <c r="OT2909" s="147"/>
      <c r="OU2909" s="147"/>
      <c r="OV2909" s="147"/>
      <c r="OW2909" s="147"/>
      <c r="OX2909" s="147"/>
      <c r="OY2909" s="147"/>
      <c r="OZ2909" s="147"/>
      <c r="PA2909" s="147"/>
      <c r="PB2909" s="147"/>
      <c r="PC2909" s="147"/>
      <c r="PD2909" s="147"/>
      <c r="PE2909" s="147"/>
      <c r="PF2909" s="147"/>
      <c r="PG2909" s="147"/>
      <c r="PH2909" s="147"/>
      <c r="PI2909" s="147"/>
      <c r="PJ2909" s="147"/>
      <c r="PK2909" s="147"/>
      <c r="PL2909" s="147"/>
      <c r="PM2909" s="147"/>
      <c r="PN2909" s="147"/>
      <c r="PO2909" s="147"/>
    </row>
    <row r="2910" spans="1:431" x14ac:dyDescent="0.3">
      <c r="A2910" s="140">
        <v>905278</v>
      </c>
      <c r="B2910" s="138">
        <v>23.833333333333336</v>
      </c>
      <c r="C2910" s="138">
        <v>13.749999999999998</v>
      </c>
      <c r="D2910" s="152">
        <v>7.94</v>
      </c>
      <c r="E2910" s="752">
        <v>0.47299999999999998</v>
      </c>
      <c r="F2910" s="142">
        <v>520.29999999999995</v>
      </c>
      <c r="H2910" s="142">
        <v>319.27999999999997</v>
      </c>
      <c r="I2910" s="142">
        <v>450</v>
      </c>
      <c r="J2910" s="795">
        <v>0.11899999999999999</v>
      </c>
      <c r="K2910" s="138">
        <v>10.48</v>
      </c>
      <c r="L2910" s="140">
        <v>620</v>
      </c>
      <c r="M2910" s="795">
        <v>2</v>
      </c>
      <c r="N2910" s="795">
        <v>2.94</v>
      </c>
      <c r="O2910" s="795">
        <v>13.21</v>
      </c>
      <c r="P2910" s="795">
        <v>5.4</v>
      </c>
      <c r="R2910" s="139">
        <v>1.8793370000000003</v>
      </c>
      <c r="S2910" s="138">
        <v>19.3</v>
      </c>
      <c r="Y2910" s="138">
        <v>32.4</v>
      </c>
      <c r="AD2910" s="70">
        <v>540</v>
      </c>
      <c r="AE2910" s="70">
        <v>310</v>
      </c>
      <c r="AF2910" s="70">
        <v>150</v>
      </c>
      <c r="AG2910" s="66">
        <f t="shared" si="114"/>
        <v>114.50370370370372</v>
      </c>
      <c r="AH2910" s="143">
        <f t="shared" si="115"/>
        <v>1000</v>
      </c>
      <c r="AI2910" s="147"/>
      <c r="AJ2910" s="147"/>
      <c r="AK2910" s="147"/>
      <c r="AL2910" s="147"/>
      <c r="AM2910" s="147"/>
      <c r="AN2910" s="147"/>
      <c r="AO2910" s="147"/>
      <c r="AP2910" s="147"/>
      <c r="AQ2910" s="147"/>
      <c r="AR2910" s="147"/>
      <c r="AS2910" s="147"/>
      <c r="AT2910" s="147"/>
      <c r="AU2910" s="147"/>
      <c r="AV2910" s="147"/>
      <c r="AW2910" s="147"/>
      <c r="AX2910" s="147"/>
      <c r="AY2910" s="147"/>
      <c r="AZ2910" s="147"/>
      <c r="BA2910" s="147"/>
      <c r="BB2910" s="147"/>
      <c r="BC2910" s="147"/>
      <c r="BD2910" s="147"/>
      <c r="BE2910" s="147"/>
      <c r="BF2910" s="147"/>
      <c r="BG2910" s="147"/>
      <c r="BH2910" s="147"/>
      <c r="BI2910" s="147"/>
      <c r="BJ2910" s="147"/>
      <c r="BK2910" s="147"/>
      <c r="BL2910" s="147"/>
      <c r="BM2910" s="147"/>
      <c r="BN2910" s="147"/>
      <c r="BO2910" s="147"/>
      <c r="BP2910" s="147"/>
      <c r="BQ2910" s="147"/>
      <c r="BR2910" s="147"/>
      <c r="BS2910" s="147"/>
      <c r="BT2910" s="147"/>
      <c r="BU2910" s="147"/>
      <c r="BV2910" s="147"/>
      <c r="BW2910" s="147"/>
      <c r="BX2910" s="147"/>
      <c r="BY2910" s="147"/>
      <c r="BZ2910" s="147"/>
      <c r="CA2910" s="147"/>
      <c r="CB2910" s="147"/>
      <c r="CC2910" s="147"/>
      <c r="CD2910" s="147"/>
      <c r="CE2910" s="147"/>
      <c r="CF2910" s="147"/>
      <c r="CG2910" s="147"/>
      <c r="CH2910" s="147"/>
      <c r="CI2910" s="147"/>
      <c r="CJ2910" s="147"/>
      <c r="CK2910" s="147"/>
      <c r="CL2910" s="147"/>
      <c r="CM2910" s="147"/>
      <c r="CN2910" s="147"/>
      <c r="CO2910" s="147"/>
      <c r="CP2910" s="147"/>
      <c r="CQ2910" s="147"/>
      <c r="CR2910" s="147"/>
      <c r="CS2910" s="147"/>
      <c r="CT2910" s="147"/>
      <c r="CU2910" s="147"/>
      <c r="CV2910" s="147"/>
      <c r="CW2910" s="147"/>
      <c r="CX2910" s="147"/>
      <c r="CY2910" s="147"/>
      <c r="CZ2910" s="147"/>
      <c r="DA2910" s="147"/>
      <c r="DB2910" s="147"/>
      <c r="DC2910" s="147"/>
      <c r="DD2910" s="147"/>
      <c r="DE2910" s="147"/>
      <c r="DF2910" s="147"/>
      <c r="DG2910" s="147"/>
      <c r="DH2910" s="147"/>
      <c r="DI2910" s="147"/>
      <c r="DJ2910" s="147"/>
      <c r="DK2910" s="147"/>
      <c r="DL2910" s="147"/>
      <c r="DM2910" s="147"/>
      <c r="DN2910" s="147"/>
      <c r="DO2910" s="147"/>
      <c r="DP2910" s="147"/>
      <c r="DQ2910" s="147"/>
      <c r="DR2910" s="147"/>
      <c r="DS2910" s="147"/>
      <c r="DT2910" s="147"/>
      <c r="DU2910" s="147"/>
      <c r="DV2910" s="147"/>
      <c r="DW2910" s="147"/>
      <c r="DX2910" s="147"/>
      <c r="DY2910" s="147"/>
      <c r="DZ2910" s="147"/>
      <c r="EA2910" s="147"/>
      <c r="EB2910" s="147"/>
      <c r="EC2910" s="147"/>
      <c r="ED2910" s="147"/>
      <c r="EE2910" s="147"/>
      <c r="EF2910" s="147"/>
      <c r="EG2910" s="147"/>
      <c r="EH2910" s="147"/>
      <c r="EI2910" s="147"/>
      <c r="EJ2910" s="147"/>
      <c r="EK2910" s="147"/>
      <c r="EL2910" s="147"/>
      <c r="EM2910" s="147"/>
      <c r="EN2910" s="147"/>
      <c r="EO2910" s="147"/>
      <c r="EP2910" s="147"/>
      <c r="EQ2910" s="147"/>
      <c r="ER2910" s="147"/>
      <c r="ES2910" s="147"/>
      <c r="ET2910" s="147"/>
      <c r="EU2910" s="147"/>
      <c r="EV2910" s="147"/>
      <c r="EW2910" s="147"/>
      <c r="EX2910" s="147"/>
      <c r="EY2910" s="147"/>
      <c r="EZ2910" s="147"/>
      <c r="FA2910" s="147"/>
      <c r="FB2910" s="147"/>
      <c r="FC2910" s="147"/>
      <c r="FD2910" s="147"/>
      <c r="FE2910" s="147"/>
      <c r="FF2910" s="147"/>
      <c r="FG2910" s="147"/>
      <c r="FH2910" s="147"/>
      <c r="FI2910" s="147"/>
      <c r="FJ2910" s="147"/>
      <c r="FK2910" s="147"/>
      <c r="FL2910" s="147"/>
      <c r="FM2910" s="147"/>
      <c r="FN2910" s="147"/>
      <c r="FO2910" s="147"/>
      <c r="FP2910" s="147"/>
      <c r="FQ2910" s="147"/>
      <c r="FR2910" s="147"/>
      <c r="FS2910" s="147"/>
      <c r="FT2910" s="147"/>
      <c r="FU2910" s="147"/>
      <c r="FV2910" s="147"/>
      <c r="FW2910" s="147"/>
      <c r="FX2910" s="147"/>
      <c r="FY2910" s="147"/>
      <c r="FZ2910" s="147"/>
      <c r="GA2910" s="147"/>
      <c r="GB2910" s="147"/>
      <c r="GC2910" s="147"/>
      <c r="GD2910" s="147"/>
      <c r="GE2910" s="147"/>
      <c r="GF2910" s="147"/>
      <c r="GG2910" s="147"/>
      <c r="GH2910" s="147"/>
      <c r="GI2910" s="147"/>
      <c r="GJ2910" s="147"/>
      <c r="GK2910" s="147"/>
      <c r="GL2910" s="147"/>
      <c r="GM2910" s="147"/>
      <c r="GN2910" s="147"/>
      <c r="GO2910" s="147"/>
      <c r="GP2910" s="147"/>
      <c r="GQ2910" s="147"/>
      <c r="GR2910" s="147"/>
      <c r="GS2910" s="147"/>
      <c r="GT2910" s="147"/>
      <c r="GU2910" s="147"/>
      <c r="GV2910" s="147"/>
      <c r="GW2910" s="147"/>
      <c r="GX2910" s="147"/>
      <c r="GY2910" s="147"/>
      <c r="GZ2910" s="147"/>
      <c r="HA2910" s="147"/>
      <c r="HB2910" s="147"/>
      <c r="HC2910" s="147"/>
      <c r="HD2910" s="147"/>
      <c r="HE2910" s="147"/>
      <c r="HF2910" s="147"/>
      <c r="HG2910" s="147"/>
      <c r="HH2910" s="147"/>
      <c r="HI2910" s="147"/>
      <c r="HJ2910" s="147"/>
      <c r="HK2910" s="147"/>
      <c r="HL2910" s="147"/>
      <c r="HM2910" s="147"/>
      <c r="HN2910" s="147"/>
      <c r="HO2910" s="147"/>
      <c r="HP2910" s="147"/>
      <c r="HQ2910" s="147"/>
      <c r="HR2910" s="147"/>
      <c r="HS2910" s="147"/>
      <c r="HT2910" s="147"/>
      <c r="HU2910" s="147"/>
      <c r="HV2910" s="147"/>
      <c r="HW2910" s="147"/>
      <c r="HX2910" s="147"/>
      <c r="HY2910" s="147"/>
      <c r="HZ2910" s="147"/>
      <c r="IA2910" s="147"/>
      <c r="IB2910" s="147"/>
      <c r="IC2910" s="147"/>
      <c r="ID2910" s="147"/>
      <c r="IE2910" s="147"/>
      <c r="IF2910" s="147"/>
      <c r="IG2910" s="147"/>
      <c r="IH2910" s="147"/>
      <c r="II2910" s="147"/>
      <c r="IJ2910" s="147"/>
      <c r="IK2910" s="147"/>
      <c r="IL2910" s="147"/>
      <c r="IM2910" s="147"/>
      <c r="IN2910" s="147"/>
      <c r="IO2910" s="147"/>
      <c r="IP2910" s="147"/>
      <c r="IQ2910" s="147"/>
      <c r="IR2910" s="147"/>
      <c r="IS2910" s="147"/>
      <c r="IT2910" s="147"/>
      <c r="IU2910" s="147"/>
      <c r="IV2910" s="147"/>
      <c r="IW2910" s="147"/>
      <c r="IX2910" s="147"/>
      <c r="IY2910" s="147"/>
      <c r="IZ2910" s="147"/>
      <c r="JA2910" s="147"/>
      <c r="JB2910" s="147"/>
      <c r="JC2910" s="147"/>
      <c r="JD2910" s="147"/>
      <c r="JE2910" s="147"/>
      <c r="JF2910" s="147"/>
      <c r="JG2910" s="147"/>
      <c r="JH2910" s="147"/>
      <c r="JI2910" s="147"/>
      <c r="JJ2910" s="147"/>
      <c r="JK2910" s="147"/>
      <c r="JL2910" s="147"/>
      <c r="JM2910" s="147"/>
      <c r="JN2910" s="147"/>
      <c r="JO2910" s="147"/>
      <c r="JP2910" s="147"/>
      <c r="JQ2910" s="147"/>
      <c r="JR2910" s="147"/>
      <c r="JS2910" s="147"/>
      <c r="JT2910" s="147"/>
      <c r="JU2910" s="147"/>
      <c r="JV2910" s="147"/>
      <c r="JW2910" s="147"/>
      <c r="JX2910" s="147"/>
      <c r="JY2910" s="147"/>
      <c r="JZ2910" s="147"/>
      <c r="KA2910" s="147"/>
      <c r="KB2910" s="147"/>
      <c r="KC2910" s="147"/>
      <c r="KD2910" s="147"/>
      <c r="KE2910" s="147"/>
      <c r="KF2910" s="147"/>
      <c r="KG2910" s="147"/>
      <c r="KH2910" s="147"/>
      <c r="KI2910" s="147"/>
      <c r="KJ2910" s="147"/>
      <c r="KK2910" s="147"/>
      <c r="KL2910" s="147"/>
      <c r="KM2910" s="147"/>
      <c r="KN2910" s="147"/>
      <c r="KO2910" s="147"/>
      <c r="KP2910" s="147"/>
      <c r="KQ2910" s="147"/>
      <c r="KR2910" s="147"/>
      <c r="KS2910" s="147"/>
      <c r="KT2910" s="147"/>
      <c r="KU2910" s="147"/>
      <c r="KV2910" s="147"/>
      <c r="KW2910" s="147"/>
      <c r="KX2910" s="147"/>
      <c r="KY2910" s="147"/>
      <c r="KZ2910" s="147"/>
      <c r="LA2910" s="147"/>
      <c r="LB2910" s="147"/>
      <c r="LC2910" s="147"/>
      <c r="LD2910" s="147"/>
      <c r="LE2910" s="147"/>
      <c r="LF2910" s="147"/>
      <c r="LG2910" s="147"/>
      <c r="LH2910" s="147"/>
      <c r="LI2910" s="147"/>
      <c r="LJ2910" s="147"/>
      <c r="LK2910" s="147"/>
      <c r="LL2910" s="147"/>
      <c r="LM2910" s="147"/>
      <c r="LN2910" s="147"/>
      <c r="LO2910" s="147"/>
      <c r="LP2910" s="147"/>
      <c r="LQ2910" s="147"/>
      <c r="LR2910" s="147"/>
      <c r="LS2910" s="147"/>
      <c r="LT2910" s="147"/>
      <c r="LU2910" s="147"/>
      <c r="LV2910" s="147"/>
      <c r="LW2910" s="147"/>
      <c r="LX2910" s="147"/>
      <c r="LY2910" s="147"/>
      <c r="LZ2910" s="147"/>
      <c r="MA2910" s="147"/>
      <c r="MB2910" s="147"/>
      <c r="MC2910" s="147"/>
      <c r="MD2910" s="147"/>
      <c r="ME2910" s="147"/>
      <c r="MF2910" s="147"/>
      <c r="MG2910" s="147"/>
      <c r="MH2910" s="147"/>
      <c r="MI2910" s="147"/>
      <c r="MJ2910" s="147"/>
      <c r="MK2910" s="147"/>
      <c r="ML2910" s="147"/>
      <c r="MM2910" s="147"/>
      <c r="MN2910" s="147"/>
      <c r="MO2910" s="147"/>
      <c r="MP2910" s="147"/>
      <c r="MQ2910" s="147"/>
      <c r="MR2910" s="147"/>
      <c r="MS2910" s="147"/>
      <c r="MT2910" s="147"/>
      <c r="MU2910" s="147"/>
      <c r="MV2910" s="147"/>
      <c r="MW2910" s="147"/>
      <c r="MX2910" s="147"/>
      <c r="MY2910" s="147"/>
      <c r="MZ2910" s="147"/>
      <c r="NA2910" s="147"/>
      <c r="NB2910" s="147"/>
      <c r="NC2910" s="147"/>
      <c r="ND2910" s="147"/>
      <c r="NE2910" s="147"/>
      <c r="NF2910" s="147"/>
      <c r="NG2910" s="147"/>
      <c r="NH2910" s="147"/>
      <c r="NI2910" s="147"/>
      <c r="NJ2910" s="147"/>
      <c r="NK2910" s="147"/>
      <c r="NL2910" s="147"/>
      <c r="NM2910" s="147"/>
      <c r="NN2910" s="147"/>
      <c r="NO2910" s="147"/>
      <c r="NP2910" s="147"/>
      <c r="NQ2910" s="147"/>
      <c r="NR2910" s="147"/>
      <c r="NS2910" s="147"/>
      <c r="NT2910" s="147"/>
      <c r="NU2910" s="147"/>
      <c r="NV2910" s="147"/>
      <c r="NW2910" s="147"/>
      <c r="NX2910" s="147"/>
      <c r="NY2910" s="147"/>
      <c r="NZ2910" s="147"/>
      <c r="OA2910" s="147"/>
      <c r="OB2910" s="147"/>
      <c r="OC2910" s="147"/>
      <c r="OD2910" s="147"/>
      <c r="OE2910" s="147"/>
      <c r="OF2910" s="147"/>
      <c r="OG2910" s="147"/>
      <c r="OH2910" s="147"/>
      <c r="OI2910" s="147"/>
      <c r="OJ2910" s="147"/>
      <c r="OK2910" s="147"/>
      <c r="OL2910" s="147"/>
      <c r="OM2910" s="147"/>
      <c r="ON2910" s="147"/>
      <c r="OO2910" s="147"/>
      <c r="OP2910" s="147"/>
      <c r="OQ2910" s="147"/>
      <c r="OR2910" s="147"/>
      <c r="OS2910" s="147"/>
      <c r="OT2910" s="147"/>
      <c r="OU2910" s="147"/>
      <c r="OV2910" s="147"/>
      <c r="OW2910" s="147"/>
      <c r="OX2910" s="147"/>
      <c r="OY2910" s="147"/>
      <c r="OZ2910" s="147"/>
      <c r="PA2910" s="147"/>
      <c r="PB2910" s="147"/>
      <c r="PC2910" s="147"/>
      <c r="PD2910" s="147"/>
      <c r="PE2910" s="147"/>
      <c r="PF2910" s="147"/>
      <c r="PG2910" s="147"/>
      <c r="PH2910" s="147"/>
      <c r="PI2910" s="147"/>
      <c r="PJ2910" s="147"/>
      <c r="PK2910" s="147"/>
      <c r="PL2910" s="147"/>
      <c r="PM2910" s="147"/>
      <c r="PN2910" s="147"/>
      <c r="PO2910" s="147"/>
    </row>
    <row r="2911" spans="1:431" x14ac:dyDescent="0.3">
      <c r="A2911" s="140">
        <v>905279</v>
      </c>
      <c r="B2911" s="138">
        <v>18.000000000000004</v>
      </c>
      <c r="C2911" s="138">
        <v>10.124999999999996</v>
      </c>
      <c r="D2911" s="152">
        <v>8.02</v>
      </c>
      <c r="E2911" s="752">
        <v>0.255</v>
      </c>
      <c r="F2911" s="142">
        <v>280.5</v>
      </c>
      <c r="H2911" s="142">
        <v>37.659999999999997</v>
      </c>
      <c r="I2911" s="142">
        <v>230</v>
      </c>
      <c r="J2911" s="795">
        <v>0.158</v>
      </c>
      <c r="K2911" s="138">
        <v>11.12</v>
      </c>
      <c r="L2911" s="140">
        <v>410</v>
      </c>
      <c r="M2911" s="795">
        <v>0.49</v>
      </c>
      <c r="N2911" s="795">
        <v>1.59</v>
      </c>
      <c r="O2911" s="795">
        <v>46.04</v>
      </c>
      <c r="P2911" s="795">
        <v>7.01</v>
      </c>
      <c r="R2911" s="139">
        <v>1.75182192</v>
      </c>
      <c r="S2911" s="138">
        <v>15.12</v>
      </c>
      <c r="Y2911" s="138">
        <v>27.5</v>
      </c>
      <c r="AD2911" s="70">
        <v>550</v>
      </c>
      <c r="AE2911" s="70">
        <v>290</v>
      </c>
      <c r="AF2911" s="70">
        <v>160</v>
      </c>
      <c r="AG2911" s="66">
        <f t="shared" si="114"/>
        <v>143.14472727272727</v>
      </c>
      <c r="AH2911" s="143">
        <f t="shared" si="115"/>
        <v>1000</v>
      </c>
      <c r="AI2911" s="147"/>
      <c r="AJ2911" s="147"/>
      <c r="AK2911" s="147"/>
      <c r="AL2911" s="147"/>
      <c r="AM2911" s="147"/>
      <c r="AN2911" s="147"/>
      <c r="AO2911" s="147"/>
      <c r="AP2911" s="147"/>
      <c r="AQ2911" s="147"/>
      <c r="AR2911" s="147"/>
      <c r="AS2911" s="147"/>
      <c r="AT2911" s="147"/>
      <c r="AU2911" s="147"/>
      <c r="AV2911" s="147"/>
      <c r="AW2911" s="147"/>
      <c r="AX2911" s="147"/>
      <c r="AY2911" s="147"/>
      <c r="AZ2911" s="147"/>
      <c r="BA2911" s="147"/>
      <c r="BB2911" s="147"/>
      <c r="BC2911" s="147"/>
      <c r="BD2911" s="147"/>
      <c r="BE2911" s="147"/>
      <c r="BF2911" s="147"/>
      <c r="BG2911" s="147"/>
      <c r="BH2911" s="147"/>
      <c r="BI2911" s="147"/>
      <c r="BJ2911" s="147"/>
      <c r="BK2911" s="147"/>
      <c r="BL2911" s="147"/>
      <c r="BM2911" s="147"/>
      <c r="BN2911" s="147"/>
      <c r="BO2911" s="147"/>
      <c r="BP2911" s="147"/>
      <c r="BQ2911" s="147"/>
      <c r="BR2911" s="147"/>
      <c r="BS2911" s="147"/>
      <c r="BT2911" s="147"/>
      <c r="BU2911" s="147"/>
      <c r="BV2911" s="147"/>
      <c r="BW2911" s="147"/>
      <c r="BX2911" s="147"/>
      <c r="BY2911" s="147"/>
      <c r="BZ2911" s="147"/>
      <c r="CA2911" s="147"/>
      <c r="CB2911" s="147"/>
      <c r="CC2911" s="147"/>
      <c r="CD2911" s="147"/>
      <c r="CE2911" s="147"/>
      <c r="CF2911" s="147"/>
      <c r="CG2911" s="147"/>
      <c r="CH2911" s="147"/>
      <c r="CI2911" s="147"/>
      <c r="CJ2911" s="147"/>
      <c r="CK2911" s="147"/>
      <c r="CL2911" s="147"/>
      <c r="CM2911" s="147"/>
      <c r="CN2911" s="147"/>
      <c r="CO2911" s="147"/>
      <c r="CP2911" s="147"/>
      <c r="CQ2911" s="147"/>
      <c r="CR2911" s="147"/>
      <c r="CS2911" s="147"/>
      <c r="CT2911" s="147"/>
      <c r="CU2911" s="147"/>
      <c r="CV2911" s="147"/>
      <c r="CW2911" s="147"/>
      <c r="CX2911" s="147"/>
      <c r="CY2911" s="147"/>
      <c r="CZ2911" s="147"/>
      <c r="DA2911" s="147"/>
      <c r="DB2911" s="147"/>
      <c r="DC2911" s="147"/>
      <c r="DD2911" s="147"/>
      <c r="DE2911" s="147"/>
      <c r="DF2911" s="147"/>
      <c r="DG2911" s="147"/>
      <c r="DH2911" s="147"/>
      <c r="DI2911" s="147"/>
      <c r="DJ2911" s="147"/>
      <c r="DK2911" s="147"/>
      <c r="DL2911" s="147"/>
      <c r="DM2911" s="147"/>
      <c r="DN2911" s="147"/>
      <c r="DO2911" s="147"/>
      <c r="DP2911" s="147"/>
      <c r="DQ2911" s="147"/>
      <c r="DR2911" s="147"/>
      <c r="DS2911" s="147"/>
      <c r="DT2911" s="147"/>
      <c r="DU2911" s="147"/>
      <c r="DV2911" s="147"/>
      <c r="DW2911" s="147"/>
      <c r="DX2911" s="147"/>
      <c r="DY2911" s="147"/>
      <c r="DZ2911" s="147"/>
      <c r="EA2911" s="147"/>
      <c r="EB2911" s="147"/>
      <c r="EC2911" s="147"/>
      <c r="ED2911" s="147"/>
      <c r="EE2911" s="147"/>
      <c r="EF2911" s="147"/>
      <c r="EG2911" s="147"/>
      <c r="EH2911" s="147"/>
      <c r="EI2911" s="147"/>
      <c r="EJ2911" s="147"/>
      <c r="EK2911" s="147"/>
      <c r="EL2911" s="147"/>
      <c r="EM2911" s="147"/>
      <c r="EN2911" s="147"/>
      <c r="EO2911" s="147"/>
      <c r="EP2911" s="147"/>
      <c r="EQ2911" s="147"/>
      <c r="ER2911" s="147"/>
      <c r="ES2911" s="147"/>
      <c r="ET2911" s="147"/>
      <c r="EU2911" s="147"/>
      <c r="EV2911" s="147"/>
      <c r="EW2911" s="147"/>
      <c r="EX2911" s="147"/>
      <c r="EY2911" s="147"/>
      <c r="EZ2911" s="147"/>
      <c r="FA2911" s="147"/>
      <c r="FB2911" s="147"/>
      <c r="FC2911" s="147"/>
      <c r="FD2911" s="147"/>
      <c r="FE2911" s="147"/>
      <c r="FF2911" s="147"/>
      <c r="FG2911" s="147"/>
      <c r="FH2911" s="147"/>
      <c r="FI2911" s="147"/>
      <c r="FJ2911" s="147"/>
      <c r="FK2911" s="147"/>
      <c r="FL2911" s="147"/>
      <c r="FM2911" s="147"/>
      <c r="FN2911" s="147"/>
      <c r="FO2911" s="147"/>
      <c r="FP2911" s="147"/>
      <c r="FQ2911" s="147"/>
      <c r="FR2911" s="147"/>
      <c r="FS2911" s="147"/>
      <c r="FT2911" s="147"/>
      <c r="FU2911" s="147"/>
      <c r="FV2911" s="147"/>
      <c r="FW2911" s="147"/>
      <c r="FX2911" s="147"/>
      <c r="FY2911" s="147"/>
      <c r="FZ2911" s="147"/>
      <c r="GA2911" s="147"/>
      <c r="GB2911" s="147"/>
      <c r="GC2911" s="147"/>
      <c r="GD2911" s="147"/>
      <c r="GE2911" s="147"/>
      <c r="GF2911" s="147"/>
      <c r="GG2911" s="147"/>
      <c r="GH2911" s="147"/>
      <c r="GI2911" s="147"/>
      <c r="GJ2911" s="147"/>
      <c r="GK2911" s="147"/>
      <c r="GL2911" s="147"/>
      <c r="GM2911" s="147"/>
      <c r="GN2911" s="147"/>
      <c r="GO2911" s="147"/>
      <c r="GP2911" s="147"/>
      <c r="GQ2911" s="147"/>
      <c r="GR2911" s="147"/>
      <c r="GS2911" s="147"/>
      <c r="GT2911" s="147"/>
      <c r="GU2911" s="147"/>
      <c r="GV2911" s="147"/>
      <c r="GW2911" s="147"/>
      <c r="GX2911" s="147"/>
      <c r="GY2911" s="147"/>
      <c r="GZ2911" s="147"/>
      <c r="HA2911" s="147"/>
      <c r="HB2911" s="147"/>
      <c r="HC2911" s="147"/>
      <c r="HD2911" s="147"/>
      <c r="HE2911" s="147"/>
      <c r="HF2911" s="147"/>
      <c r="HG2911" s="147"/>
      <c r="HH2911" s="147"/>
      <c r="HI2911" s="147"/>
      <c r="HJ2911" s="147"/>
      <c r="HK2911" s="147"/>
      <c r="HL2911" s="147"/>
      <c r="HM2911" s="147"/>
      <c r="HN2911" s="147"/>
      <c r="HO2911" s="147"/>
      <c r="HP2911" s="147"/>
      <c r="HQ2911" s="147"/>
      <c r="HR2911" s="147"/>
      <c r="HS2911" s="147"/>
      <c r="HT2911" s="147"/>
      <c r="HU2911" s="147"/>
      <c r="HV2911" s="147"/>
      <c r="HW2911" s="147"/>
      <c r="HX2911" s="147"/>
      <c r="HY2911" s="147"/>
      <c r="HZ2911" s="147"/>
      <c r="IA2911" s="147"/>
      <c r="IB2911" s="147"/>
      <c r="IC2911" s="147"/>
      <c r="ID2911" s="147"/>
      <c r="IE2911" s="147"/>
      <c r="IF2911" s="147"/>
      <c r="IG2911" s="147"/>
      <c r="IH2911" s="147"/>
      <c r="II2911" s="147"/>
      <c r="IJ2911" s="147"/>
      <c r="IK2911" s="147"/>
      <c r="IL2911" s="147"/>
      <c r="IM2911" s="147"/>
      <c r="IN2911" s="147"/>
      <c r="IO2911" s="147"/>
      <c r="IP2911" s="147"/>
      <c r="IQ2911" s="147"/>
      <c r="IR2911" s="147"/>
      <c r="IS2911" s="147"/>
      <c r="IT2911" s="147"/>
      <c r="IU2911" s="147"/>
      <c r="IV2911" s="147"/>
      <c r="IW2911" s="147"/>
      <c r="IX2911" s="147"/>
      <c r="IY2911" s="147"/>
      <c r="IZ2911" s="147"/>
      <c r="JA2911" s="147"/>
      <c r="JB2911" s="147"/>
      <c r="JC2911" s="147"/>
      <c r="JD2911" s="147"/>
      <c r="JE2911" s="147"/>
      <c r="JF2911" s="147"/>
      <c r="JG2911" s="147"/>
      <c r="JH2911" s="147"/>
      <c r="JI2911" s="147"/>
      <c r="JJ2911" s="147"/>
      <c r="JK2911" s="147"/>
      <c r="JL2911" s="147"/>
      <c r="JM2911" s="147"/>
      <c r="JN2911" s="147"/>
      <c r="JO2911" s="147"/>
      <c r="JP2911" s="147"/>
      <c r="JQ2911" s="147"/>
      <c r="JR2911" s="147"/>
      <c r="JS2911" s="147"/>
      <c r="JT2911" s="147"/>
      <c r="JU2911" s="147"/>
      <c r="JV2911" s="147"/>
      <c r="JW2911" s="147"/>
      <c r="JX2911" s="147"/>
      <c r="JY2911" s="147"/>
      <c r="JZ2911" s="147"/>
      <c r="KA2911" s="147"/>
      <c r="KB2911" s="147"/>
      <c r="KC2911" s="147"/>
      <c r="KD2911" s="147"/>
      <c r="KE2911" s="147"/>
      <c r="KF2911" s="147"/>
      <c r="KG2911" s="147"/>
      <c r="KH2911" s="147"/>
      <c r="KI2911" s="147"/>
      <c r="KJ2911" s="147"/>
      <c r="KK2911" s="147"/>
      <c r="KL2911" s="147"/>
      <c r="KM2911" s="147"/>
      <c r="KN2911" s="147"/>
      <c r="KO2911" s="147"/>
      <c r="KP2911" s="147"/>
      <c r="KQ2911" s="147"/>
      <c r="KR2911" s="147"/>
      <c r="KS2911" s="147"/>
      <c r="KT2911" s="147"/>
      <c r="KU2911" s="147"/>
      <c r="KV2911" s="147"/>
      <c r="KW2911" s="147"/>
      <c r="KX2911" s="147"/>
      <c r="KY2911" s="147"/>
      <c r="KZ2911" s="147"/>
      <c r="LA2911" s="147"/>
      <c r="LB2911" s="147"/>
      <c r="LC2911" s="147"/>
      <c r="LD2911" s="147"/>
      <c r="LE2911" s="147"/>
      <c r="LF2911" s="147"/>
      <c r="LG2911" s="147"/>
      <c r="LH2911" s="147"/>
      <c r="LI2911" s="147"/>
      <c r="LJ2911" s="147"/>
      <c r="LK2911" s="147"/>
      <c r="LL2911" s="147"/>
      <c r="LM2911" s="147"/>
      <c r="LN2911" s="147"/>
      <c r="LO2911" s="147"/>
      <c r="LP2911" s="147"/>
      <c r="LQ2911" s="147"/>
      <c r="LR2911" s="147"/>
      <c r="LS2911" s="147"/>
      <c r="LT2911" s="147"/>
      <c r="LU2911" s="147"/>
      <c r="LV2911" s="147"/>
      <c r="LW2911" s="147"/>
      <c r="LX2911" s="147"/>
      <c r="LY2911" s="147"/>
      <c r="LZ2911" s="147"/>
      <c r="MA2911" s="147"/>
      <c r="MB2911" s="147"/>
      <c r="MC2911" s="147"/>
      <c r="MD2911" s="147"/>
      <c r="ME2911" s="147"/>
      <c r="MF2911" s="147"/>
      <c r="MG2911" s="147"/>
      <c r="MH2911" s="147"/>
      <c r="MI2911" s="147"/>
      <c r="MJ2911" s="147"/>
      <c r="MK2911" s="147"/>
      <c r="ML2911" s="147"/>
      <c r="MM2911" s="147"/>
      <c r="MN2911" s="147"/>
      <c r="MO2911" s="147"/>
      <c r="MP2911" s="147"/>
      <c r="MQ2911" s="147"/>
      <c r="MR2911" s="147"/>
      <c r="MS2911" s="147"/>
      <c r="MT2911" s="147"/>
      <c r="MU2911" s="147"/>
      <c r="MV2911" s="147"/>
      <c r="MW2911" s="147"/>
      <c r="MX2911" s="147"/>
      <c r="MY2911" s="147"/>
      <c r="MZ2911" s="147"/>
      <c r="NA2911" s="147"/>
      <c r="NB2911" s="147"/>
      <c r="NC2911" s="147"/>
      <c r="ND2911" s="147"/>
      <c r="NE2911" s="147"/>
      <c r="NF2911" s="147"/>
      <c r="NG2911" s="147"/>
      <c r="NH2911" s="147"/>
      <c r="NI2911" s="147"/>
      <c r="NJ2911" s="147"/>
      <c r="NK2911" s="147"/>
      <c r="NL2911" s="147"/>
      <c r="NM2911" s="147"/>
      <c r="NN2911" s="147"/>
      <c r="NO2911" s="147"/>
      <c r="NP2911" s="147"/>
      <c r="NQ2911" s="147"/>
      <c r="NR2911" s="147"/>
      <c r="NS2911" s="147"/>
      <c r="NT2911" s="147"/>
      <c r="NU2911" s="147"/>
      <c r="NV2911" s="147"/>
      <c r="NW2911" s="147"/>
      <c r="NX2911" s="147"/>
      <c r="NY2911" s="147"/>
      <c r="NZ2911" s="147"/>
      <c r="OA2911" s="147"/>
      <c r="OB2911" s="147"/>
      <c r="OC2911" s="147"/>
      <c r="OD2911" s="147"/>
      <c r="OE2911" s="147"/>
      <c r="OF2911" s="147"/>
      <c r="OG2911" s="147"/>
      <c r="OH2911" s="147"/>
      <c r="OI2911" s="147"/>
      <c r="OJ2911" s="147"/>
      <c r="OK2911" s="147"/>
      <c r="OL2911" s="147"/>
      <c r="OM2911" s="147"/>
      <c r="ON2911" s="147"/>
      <c r="OO2911" s="147"/>
      <c r="OP2911" s="147"/>
      <c r="OQ2911" s="147"/>
      <c r="OR2911" s="147"/>
      <c r="OS2911" s="147"/>
      <c r="OT2911" s="147"/>
      <c r="OU2911" s="147"/>
      <c r="OV2911" s="147"/>
      <c r="OW2911" s="147"/>
      <c r="OX2911" s="147"/>
      <c r="OY2911" s="147"/>
      <c r="OZ2911" s="147"/>
      <c r="PA2911" s="147"/>
      <c r="PB2911" s="147"/>
      <c r="PC2911" s="147"/>
      <c r="PD2911" s="147"/>
      <c r="PE2911" s="147"/>
      <c r="PF2911" s="147"/>
      <c r="PG2911" s="147"/>
      <c r="PH2911" s="147"/>
      <c r="PI2911" s="147"/>
      <c r="PJ2911" s="147"/>
      <c r="PK2911" s="147"/>
      <c r="PL2911" s="147"/>
      <c r="PM2911" s="147"/>
      <c r="PN2911" s="147"/>
      <c r="PO2911" s="147"/>
    </row>
    <row r="2912" spans="1:431" x14ac:dyDescent="0.3">
      <c r="A2912" s="140">
        <v>905280</v>
      </c>
      <c r="B2912" s="138">
        <v>15.5</v>
      </c>
      <c r="C2912" s="138">
        <v>8.6249999999999982</v>
      </c>
      <c r="D2912" s="152">
        <v>8.2200000000000006</v>
      </c>
      <c r="E2912" s="752">
        <v>0.124</v>
      </c>
      <c r="F2912" s="142">
        <v>136.40000000000003</v>
      </c>
      <c r="H2912" s="142">
        <v>11.7</v>
      </c>
      <c r="I2912" s="142">
        <v>400</v>
      </c>
      <c r="J2912" s="795">
        <v>2.5999999999999999E-2</v>
      </c>
      <c r="K2912" s="138">
        <v>12.45</v>
      </c>
      <c r="L2912" s="140">
        <v>270</v>
      </c>
      <c r="M2912" s="795">
        <v>0.5</v>
      </c>
      <c r="N2912" s="795">
        <v>1.27</v>
      </c>
      <c r="O2912" s="795">
        <v>3.89</v>
      </c>
      <c r="P2912" s="795">
        <v>4.25</v>
      </c>
      <c r="R2912" s="139">
        <v>2.021528</v>
      </c>
      <c r="S2912" s="138">
        <v>25.4</v>
      </c>
      <c r="Y2912" s="138">
        <v>25</v>
      </c>
      <c r="AD2912" s="70">
        <v>500</v>
      </c>
      <c r="AE2912" s="70">
        <v>360</v>
      </c>
      <c r="AF2912" s="70">
        <v>140</v>
      </c>
      <c r="AG2912" s="66">
        <f t="shared" si="114"/>
        <v>176.292</v>
      </c>
      <c r="AH2912" s="143">
        <f t="shared" si="115"/>
        <v>1000</v>
      </c>
      <c r="AI2912" s="147"/>
      <c r="AJ2912" s="147"/>
      <c r="AK2912" s="147"/>
      <c r="AL2912" s="147"/>
      <c r="AM2912" s="147"/>
      <c r="AN2912" s="147"/>
      <c r="AO2912" s="147"/>
      <c r="AP2912" s="147"/>
      <c r="AQ2912" s="147"/>
      <c r="AR2912" s="147"/>
      <c r="AS2912" s="147"/>
      <c r="AT2912" s="147"/>
      <c r="AU2912" s="147"/>
      <c r="AV2912" s="147"/>
      <c r="AW2912" s="147"/>
      <c r="AX2912" s="147"/>
      <c r="AY2912" s="147"/>
      <c r="AZ2912" s="147"/>
      <c r="BA2912" s="147"/>
      <c r="BB2912" s="147"/>
      <c r="BC2912" s="147"/>
      <c r="BD2912" s="147"/>
      <c r="BE2912" s="147"/>
      <c r="BF2912" s="147"/>
      <c r="BG2912" s="147"/>
      <c r="BH2912" s="147"/>
      <c r="BI2912" s="147"/>
      <c r="BJ2912" s="147"/>
      <c r="BK2912" s="147"/>
      <c r="BL2912" s="147"/>
      <c r="BM2912" s="147"/>
      <c r="BN2912" s="147"/>
      <c r="BO2912" s="147"/>
      <c r="BP2912" s="147"/>
      <c r="BQ2912" s="147"/>
      <c r="BR2912" s="147"/>
      <c r="BS2912" s="147"/>
      <c r="BT2912" s="147"/>
      <c r="BU2912" s="147"/>
      <c r="BV2912" s="147"/>
      <c r="BW2912" s="147"/>
      <c r="BX2912" s="147"/>
      <c r="BY2912" s="147"/>
      <c r="BZ2912" s="147"/>
      <c r="CA2912" s="147"/>
      <c r="CB2912" s="147"/>
      <c r="CC2912" s="147"/>
      <c r="CD2912" s="147"/>
      <c r="CE2912" s="147"/>
      <c r="CF2912" s="147"/>
      <c r="CG2912" s="147"/>
      <c r="CH2912" s="147"/>
      <c r="CI2912" s="147"/>
      <c r="CJ2912" s="147"/>
      <c r="CK2912" s="147"/>
      <c r="CL2912" s="147"/>
      <c r="CM2912" s="147"/>
      <c r="CN2912" s="147"/>
      <c r="CO2912" s="147"/>
      <c r="CP2912" s="147"/>
      <c r="CQ2912" s="147"/>
      <c r="CR2912" s="147"/>
      <c r="CS2912" s="147"/>
      <c r="CT2912" s="147"/>
      <c r="CU2912" s="147"/>
      <c r="CV2912" s="147"/>
      <c r="CW2912" s="147"/>
      <c r="CX2912" s="147"/>
      <c r="CY2912" s="147"/>
      <c r="CZ2912" s="147"/>
      <c r="DA2912" s="147"/>
      <c r="DB2912" s="147"/>
      <c r="DC2912" s="147"/>
      <c r="DD2912" s="147"/>
      <c r="DE2912" s="147"/>
      <c r="DF2912" s="147"/>
      <c r="DG2912" s="147"/>
      <c r="DH2912" s="147"/>
      <c r="DI2912" s="147"/>
      <c r="DJ2912" s="147"/>
      <c r="DK2912" s="147"/>
      <c r="DL2912" s="147"/>
      <c r="DM2912" s="147"/>
      <c r="DN2912" s="147"/>
      <c r="DO2912" s="147"/>
      <c r="DP2912" s="147"/>
      <c r="DQ2912" s="147"/>
      <c r="DR2912" s="147"/>
      <c r="DS2912" s="147"/>
      <c r="DT2912" s="147"/>
      <c r="DU2912" s="147"/>
      <c r="DV2912" s="147"/>
      <c r="DW2912" s="147"/>
      <c r="DX2912" s="147"/>
      <c r="DY2912" s="147"/>
      <c r="DZ2912" s="147"/>
      <c r="EA2912" s="147"/>
      <c r="EB2912" s="147"/>
      <c r="EC2912" s="147"/>
      <c r="ED2912" s="147"/>
      <c r="EE2912" s="147"/>
      <c r="EF2912" s="147"/>
      <c r="EG2912" s="147"/>
      <c r="EH2912" s="147"/>
      <c r="EI2912" s="147"/>
      <c r="EJ2912" s="147"/>
      <c r="EK2912" s="147"/>
      <c r="EL2912" s="147"/>
      <c r="EM2912" s="147"/>
      <c r="EN2912" s="147"/>
      <c r="EO2912" s="147"/>
      <c r="EP2912" s="147"/>
      <c r="EQ2912" s="147"/>
      <c r="ER2912" s="147"/>
      <c r="ES2912" s="147"/>
      <c r="ET2912" s="147"/>
      <c r="EU2912" s="147"/>
      <c r="EV2912" s="147"/>
      <c r="EW2912" s="147"/>
      <c r="EX2912" s="147"/>
      <c r="EY2912" s="147"/>
      <c r="EZ2912" s="147"/>
      <c r="FA2912" s="147"/>
      <c r="FB2912" s="147"/>
      <c r="FC2912" s="147"/>
      <c r="FD2912" s="147"/>
      <c r="FE2912" s="147"/>
      <c r="FF2912" s="147"/>
      <c r="FG2912" s="147"/>
      <c r="FH2912" s="147"/>
      <c r="FI2912" s="147"/>
      <c r="FJ2912" s="147"/>
      <c r="FK2912" s="147"/>
      <c r="FL2912" s="147"/>
      <c r="FM2912" s="147"/>
      <c r="FN2912" s="147"/>
      <c r="FO2912" s="147"/>
      <c r="FP2912" s="147"/>
      <c r="FQ2912" s="147"/>
      <c r="FR2912" s="147"/>
      <c r="FS2912" s="147"/>
      <c r="FT2912" s="147"/>
      <c r="FU2912" s="147"/>
      <c r="FV2912" s="147"/>
      <c r="FW2912" s="147"/>
      <c r="FX2912" s="147"/>
      <c r="FY2912" s="147"/>
      <c r="FZ2912" s="147"/>
      <c r="GA2912" s="147"/>
      <c r="GB2912" s="147"/>
      <c r="GC2912" s="147"/>
      <c r="GD2912" s="147"/>
      <c r="GE2912" s="147"/>
      <c r="GF2912" s="147"/>
      <c r="GG2912" s="147"/>
      <c r="GH2912" s="147"/>
      <c r="GI2912" s="147"/>
      <c r="GJ2912" s="147"/>
      <c r="GK2912" s="147"/>
      <c r="GL2912" s="147"/>
      <c r="GM2912" s="147"/>
      <c r="GN2912" s="147"/>
      <c r="GO2912" s="147"/>
      <c r="GP2912" s="147"/>
      <c r="GQ2912" s="147"/>
      <c r="GR2912" s="147"/>
      <c r="GS2912" s="147"/>
      <c r="GT2912" s="147"/>
      <c r="GU2912" s="147"/>
      <c r="GV2912" s="147"/>
      <c r="GW2912" s="147"/>
      <c r="GX2912" s="147"/>
      <c r="GY2912" s="147"/>
      <c r="GZ2912" s="147"/>
      <c r="HA2912" s="147"/>
      <c r="HB2912" s="147"/>
      <c r="HC2912" s="147"/>
      <c r="HD2912" s="147"/>
      <c r="HE2912" s="147"/>
      <c r="HF2912" s="147"/>
      <c r="HG2912" s="147"/>
      <c r="HH2912" s="147"/>
      <c r="HI2912" s="147"/>
      <c r="HJ2912" s="147"/>
      <c r="HK2912" s="147"/>
      <c r="HL2912" s="147"/>
      <c r="HM2912" s="147"/>
      <c r="HN2912" s="147"/>
      <c r="HO2912" s="147"/>
      <c r="HP2912" s="147"/>
      <c r="HQ2912" s="147"/>
      <c r="HR2912" s="147"/>
      <c r="HS2912" s="147"/>
      <c r="HT2912" s="147"/>
      <c r="HU2912" s="147"/>
      <c r="HV2912" s="147"/>
      <c r="HW2912" s="147"/>
      <c r="HX2912" s="147"/>
      <c r="HY2912" s="147"/>
      <c r="HZ2912" s="147"/>
      <c r="IA2912" s="147"/>
      <c r="IB2912" s="147"/>
      <c r="IC2912" s="147"/>
      <c r="ID2912" s="147"/>
      <c r="IE2912" s="147"/>
      <c r="IF2912" s="147"/>
      <c r="IG2912" s="147"/>
      <c r="IH2912" s="147"/>
      <c r="II2912" s="147"/>
      <c r="IJ2912" s="147"/>
      <c r="IK2912" s="147"/>
      <c r="IL2912" s="147"/>
      <c r="IM2912" s="147"/>
      <c r="IN2912" s="147"/>
      <c r="IO2912" s="147"/>
      <c r="IP2912" s="147"/>
      <c r="IQ2912" s="147"/>
      <c r="IR2912" s="147"/>
      <c r="IS2912" s="147"/>
      <c r="IT2912" s="147"/>
      <c r="IU2912" s="147"/>
      <c r="IV2912" s="147"/>
      <c r="IW2912" s="147"/>
      <c r="IX2912" s="147"/>
      <c r="IY2912" s="147"/>
      <c r="IZ2912" s="147"/>
      <c r="JA2912" s="147"/>
      <c r="JB2912" s="147"/>
      <c r="JC2912" s="147"/>
      <c r="JD2912" s="147"/>
      <c r="JE2912" s="147"/>
      <c r="JF2912" s="147"/>
      <c r="JG2912" s="147"/>
      <c r="JH2912" s="147"/>
      <c r="JI2912" s="147"/>
      <c r="JJ2912" s="147"/>
      <c r="JK2912" s="147"/>
      <c r="JL2912" s="147"/>
      <c r="JM2912" s="147"/>
      <c r="JN2912" s="147"/>
      <c r="JO2912" s="147"/>
      <c r="JP2912" s="147"/>
      <c r="JQ2912" s="147"/>
      <c r="JR2912" s="147"/>
      <c r="JS2912" s="147"/>
      <c r="JT2912" s="147"/>
      <c r="JU2912" s="147"/>
      <c r="JV2912" s="147"/>
      <c r="JW2912" s="147"/>
      <c r="JX2912" s="147"/>
      <c r="JY2912" s="147"/>
      <c r="JZ2912" s="147"/>
      <c r="KA2912" s="147"/>
      <c r="KB2912" s="147"/>
      <c r="KC2912" s="147"/>
      <c r="KD2912" s="147"/>
      <c r="KE2912" s="147"/>
      <c r="KF2912" s="147"/>
      <c r="KG2912" s="147"/>
      <c r="KH2912" s="147"/>
      <c r="KI2912" s="147"/>
      <c r="KJ2912" s="147"/>
      <c r="KK2912" s="147"/>
      <c r="KL2912" s="147"/>
      <c r="KM2912" s="147"/>
      <c r="KN2912" s="147"/>
      <c r="KO2912" s="147"/>
      <c r="KP2912" s="147"/>
      <c r="KQ2912" s="147"/>
      <c r="KR2912" s="147"/>
      <c r="KS2912" s="147"/>
      <c r="KT2912" s="147"/>
      <c r="KU2912" s="147"/>
      <c r="KV2912" s="147"/>
      <c r="KW2912" s="147"/>
      <c r="KX2912" s="147"/>
      <c r="KY2912" s="147"/>
      <c r="KZ2912" s="147"/>
      <c r="LA2912" s="147"/>
      <c r="LB2912" s="147"/>
      <c r="LC2912" s="147"/>
      <c r="LD2912" s="147"/>
      <c r="LE2912" s="147"/>
      <c r="LF2912" s="147"/>
      <c r="LG2912" s="147"/>
      <c r="LH2912" s="147"/>
      <c r="LI2912" s="147"/>
      <c r="LJ2912" s="147"/>
      <c r="LK2912" s="147"/>
      <c r="LL2912" s="147"/>
      <c r="LM2912" s="147"/>
      <c r="LN2912" s="147"/>
      <c r="LO2912" s="147"/>
      <c r="LP2912" s="147"/>
      <c r="LQ2912" s="147"/>
      <c r="LR2912" s="147"/>
      <c r="LS2912" s="147"/>
      <c r="LT2912" s="147"/>
      <c r="LU2912" s="147"/>
      <c r="LV2912" s="147"/>
      <c r="LW2912" s="147"/>
      <c r="LX2912" s="147"/>
      <c r="LY2912" s="147"/>
      <c r="LZ2912" s="147"/>
      <c r="MA2912" s="147"/>
      <c r="MB2912" s="147"/>
      <c r="MC2912" s="147"/>
      <c r="MD2912" s="147"/>
      <c r="ME2912" s="147"/>
      <c r="MF2912" s="147"/>
      <c r="MG2912" s="147"/>
      <c r="MH2912" s="147"/>
      <c r="MI2912" s="147"/>
      <c r="MJ2912" s="147"/>
      <c r="MK2912" s="147"/>
      <c r="ML2912" s="147"/>
      <c r="MM2912" s="147"/>
      <c r="MN2912" s="147"/>
      <c r="MO2912" s="147"/>
      <c r="MP2912" s="147"/>
      <c r="MQ2912" s="147"/>
      <c r="MR2912" s="147"/>
      <c r="MS2912" s="147"/>
      <c r="MT2912" s="147"/>
      <c r="MU2912" s="147"/>
      <c r="MV2912" s="147"/>
      <c r="MW2912" s="147"/>
      <c r="MX2912" s="147"/>
      <c r="MY2912" s="147"/>
      <c r="MZ2912" s="147"/>
      <c r="NA2912" s="147"/>
      <c r="NB2912" s="147"/>
      <c r="NC2912" s="147"/>
      <c r="ND2912" s="147"/>
      <c r="NE2912" s="147"/>
      <c r="NF2912" s="147"/>
      <c r="NG2912" s="147"/>
      <c r="NH2912" s="147"/>
      <c r="NI2912" s="147"/>
      <c r="NJ2912" s="147"/>
      <c r="NK2912" s="147"/>
      <c r="NL2912" s="147"/>
      <c r="NM2912" s="147"/>
      <c r="NN2912" s="147"/>
      <c r="NO2912" s="147"/>
      <c r="NP2912" s="147"/>
      <c r="NQ2912" s="147"/>
      <c r="NR2912" s="147"/>
      <c r="NS2912" s="147"/>
      <c r="NT2912" s="147"/>
      <c r="NU2912" s="147"/>
      <c r="NV2912" s="147"/>
      <c r="NW2912" s="147"/>
      <c r="NX2912" s="147"/>
      <c r="NY2912" s="147"/>
      <c r="NZ2912" s="147"/>
      <c r="OA2912" s="147"/>
      <c r="OB2912" s="147"/>
      <c r="OC2912" s="147"/>
      <c r="OD2912" s="147"/>
      <c r="OE2912" s="147"/>
      <c r="OF2912" s="147"/>
      <c r="OG2912" s="147"/>
      <c r="OH2912" s="147"/>
      <c r="OI2912" s="147"/>
      <c r="OJ2912" s="147"/>
      <c r="OK2912" s="147"/>
      <c r="OL2912" s="147"/>
      <c r="OM2912" s="147"/>
      <c r="ON2912" s="147"/>
      <c r="OO2912" s="147"/>
      <c r="OP2912" s="147"/>
      <c r="OQ2912" s="147"/>
      <c r="OR2912" s="147"/>
      <c r="OS2912" s="147"/>
      <c r="OT2912" s="147"/>
      <c r="OU2912" s="147"/>
      <c r="OV2912" s="147"/>
      <c r="OW2912" s="147"/>
      <c r="OX2912" s="147"/>
      <c r="OY2912" s="147"/>
      <c r="OZ2912" s="147"/>
      <c r="PA2912" s="147"/>
      <c r="PB2912" s="147"/>
      <c r="PC2912" s="147"/>
      <c r="PD2912" s="147"/>
      <c r="PE2912" s="147"/>
      <c r="PF2912" s="147"/>
      <c r="PG2912" s="147"/>
      <c r="PH2912" s="147"/>
      <c r="PI2912" s="147"/>
      <c r="PJ2912" s="147"/>
      <c r="PK2912" s="147"/>
      <c r="PL2912" s="147"/>
      <c r="PM2912" s="147"/>
      <c r="PN2912" s="147"/>
      <c r="PO2912" s="147"/>
    </row>
    <row r="2913" spans="1:431" x14ac:dyDescent="0.3">
      <c r="A2913" s="140">
        <v>905281</v>
      </c>
      <c r="B2913" s="138">
        <v>42</v>
      </c>
      <c r="C2913" s="138">
        <v>10.124999999999996</v>
      </c>
      <c r="D2913" s="152">
        <v>8.24</v>
      </c>
      <c r="E2913" s="752">
        <v>0.183</v>
      </c>
      <c r="F2913" s="142">
        <v>201.3</v>
      </c>
      <c r="H2913" s="142">
        <v>269.08999999999997</v>
      </c>
      <c r="I2913" s="142">
        <v>340</v>
      </c>
      <c r="J2913" s="795">
        <v>7.0000000000000007E-2</v>
      </c>
      <c r="K2913" s="138">
        <v>7.71</v>
      </c>
      <c r="L2913" s="140">
        <v>670</v>
      </c>
      <c r="M2913" s="795">
        <v>0.81</v>
      </c>
      <c r="N2913" s="795">
        <v>1.22</v>
      </c>
      <c r="O2913" s="795">
        <v>2.09</v>
      </c>
      <c r="P2913" s="795">
        <v>12.69</v>
      </c>
      <c r="R2913" s="139">
        <v>1.2542711051789579</v>
      </c>
      <c r="S2913" s="138">
        <v>8.9499999999999993</v>
      </c>
      <c r="Y2913" s="138">
        <v>36.4</v>
      </c>
      <c r="AD2913" s="70">
        <v>520</v>
      </c>
      <c r="AE2913" s="70">
        <v>340</v>
      </c>
      <c r="AF2913" s="70">
        <v>140</v>
      </c>
      <c r="AG2913" s="66">
        <f t="shared" si="114"/>
        <v>74.98186813186814</v>
      </c>
      <c r="AH2913" s="143">
        <f t="shared" si="115"/>
        <v>1000</v>
      </c>
      <c r="AI2913" s="147"/>
      <c r="AJ2913" s="147"/>
      <c r="AK2913" s="147"/>
      <c r="AL2913" s="147"/>
      <c r="AM2913" s="147"/>
      <c r="AN2913" s="147"/>
      <c r="AO2913" s="147"/>
      <c r="AP2913" s="147"/>
      <c r="AQ2913" s="147"/>
      <c r="AR2913" s="147"/>
      <c r="AS2913" s="147"/>
      <c r="AT2913" s="147"/>
      <c r="AU2913" s="147"/>
      <c r="AV2913" s="147"/>
      <c r="AW2913" s="147"/>
      <c r="AX2913" s="147"/>
      <c r="AY2913" s="147"/>
      <c r="AZ2913" s="147"/>
      <c r="BA2913" s="147"/>
      <c r="BB2913" s="147"/>
      <c r="BC2913" s="147"/>
      <c r="BD2913" s="147"/>
      <c r="BE2913" s="147"/>
      <c r="BF2913" s="147"/>
      <c r="BG2913" s="147"/>
      <c r="BH2913" s="147"/>
      <c r="BI2913" s="147"/>
      <c r="BJ2913" s="147"/>
      <c r="BK2913" s="147"/>
      <c r="BL2913" s="147"/>
      <c r="BM2913" s="147"/>
      <c r="BN2913" s="147"/>
      <c r="BO2913" s="147"/>
      <c r="BP2913" s="147"/>
      <c r="BQ2913" s="147"/>
      <c r="BR2913" s="147"/>
      <c r="BS2913" s="147"/>
      <c r="BT2913" s="147"/>
      <c r="BU2913" s="147"/>
      <c r="BV2913" s="147"/>
      <c r="BW2913" s="147"/>
      <c r="BX2913" s="147"/>
      <c r="BY2913" s="147"/>
      <c r="BZ2913" s="147"/>
      <c r="CA2913" s="147"/>
      <c r="CB2913" s="147"/>
      <c r="CC2913" s="147"/>
      <c r="CD2913" s="147"/>
      <c r="CE2913" s="147"/>
      <c r="CF2913" s="147"/>
      <c r="CG2913" s="147"/>
      <c r="CH2913" s="147"/>
      <c r="CI2913" s="147"/>
      <c r="CJ2913" s="147"/>
      <c r="CK2913" s="147"/>
      <c r="CL2913" s="147"/>
      <c r="CM2913" s="147"/>
      <c r="CN2913" s="147"/>
      <c r="CO2913" s="147"/>
      <c r="CP2913" s="147"/>
      <c r="CQ2913" s="147"/>
      <c r="CR2913" s="147"/>
      <c r="CS2913" s="147"/>
      <c r="CT2913" s="147"/>
      <c r="CU2913" s="147"/>
      <c r="CV2913" s="147"/>
      <c r="CW2913" s="147"/>
      <c r="CX2913" s="147"/>
      <c r="CY2913" s="147"/>
      <c r="CZ2913" s="147"/>
      <c r="DA2913" s="147"/>
      <c r="DB2913" s="147"/>
      <c r="DC2913" s="147"/>
      <c r="DD2913" s="147"/>
      <c r="DE2913" s="147"/>
      <c r="DF2913" s="147"/>
      <c r="DG2913" s="147"/>
      <c r="DH2913" s="147"/>
      <c r="DI2913" s="147"/>
      <c r="DJ2913" s="147"/>
      <c r="DK2913" s="147"/>
      <c r="DL2913" s="147"/>
      <c r="DM2913" s="147"/>
      <c r="DN2913" s="147"/>
      <c r="DO2913" s="147"/>
      <c r="DP2913" s="147"/>
      <c r="DQ2913" s="147"/>
      <c r="DR2913" s="147"/>
      <c r="DS2913" s="147"/>
      <c r="DT2913" s="147"/>
      <c r="DU2913" s="147"/>
      <c r="DV2913" s="147"/>
      <c r="DW2913" s="147"/>
      <c r="DX2913" s="147"/>
      <c r="DY2913" s="147"/>
      <c r="DZ2913" s="147"/>
      <c r="EA2913" s="147"/>
      <c r="EB2913" s="147"/>
      <c r="EC2913" s="147"/>
      <c r="ED2913" s="147"/>
      <c r="EE2913" s="147"/>
      <c r="EF2913" s="147"/>
      <c r="EG2913" s="147"/>
      <c r="EH2913" s="147"/>
      <c r="EI2913" s="147"/>
      <c r="EJ2913" s="147"/>
      <c r="EK2913" s="147"/>
      <c r="EL2913" s="147"/>
      <c r="EM2913" s="147"/>
      <c r="EN2913" s="147"/>
      <c r="EO2913" s="147"/>
      <c r="EP2913" s="147"/>
      <c r="EQ2913" s="147"/>
      <c r="ER2913" s="147"/>
      <c r="ES2913" s="147"/>
      <c r="ET2913" s="147"/>
      <c r="EU2913" s="147"/>
      <c r="EV2913" s="147"/>
      <c r="EW2913" s="147"/>
      <c r="EX2913" s="147"/>
      <c r="EY2913" s="147"/>
      <c r="EZ2913" s="147"/>
      <c r="FA2913" s="147"/>
      <c r="FB2913" s="147"/>
      <c r="FC2913" s="147"/>
      <c r="FD2913" s="147"/>
      <c r="FE2913" s="147"/>
      <c r="FF2913" s="147"/>
      <c r="FG2913" s="147"/>
      <c r="FH2913" s="147"/>
      <c r="FI2913" s="147"/>
      <c r="FJ2913" s="147"/>
      <c r="FK2913" s="147"/>
      <c r="FL2913" s="147"/>
      <c r="FM2913" s="147"/>
      <c r="FN2913" s="147"/>
      <c r="FO2913" s="147"/>
      <c r="FP2913" s="147"/>
      <c r="FQ2913" s="147"/>
      <c r="FR2913" s="147"/>
      <c r="FS2913" s="147"/>
      <c r="FT2913" s="147"/>
      <c r="FU2913" s="147"/>
      <c r="FV2913" s="147"/>
      <c r="FW2913" s="147"/>
      <c r="FX2913" s="147"/>
      <c r="FY2913" s="147"/>
      <c r="FZ2913" s="147"/>
      <c r="GA2913" s="147"/>
      <c r="GB2913" s="147"/>
      <c r="GC2913" s="147"/>
      <c r="GD2913" s="147"/>
      <c r="GE2913" s="147"/>
      <c r="GF2913" s="147"/>
      <c r="GG2913" s="147"/>
      <c r="GH2913" s="147"/>
      <c r="GI2913" s="147"/>
      <c r="GJ2913" s="147"/>
      <c r="GK2913" s="147"/>
      <c r="GL2913" s="147"/>
      <c r="GM2913" s="147"/>
      <c r="GN2913" s="147"/>
      <c r="GO2913" s="147"/>
      <c r="GP2913" s="147"/>
      <c r="GQ2913" s="147"/>
      <c r="GR2913" s="147"/>
      <c r="GS2913" s="147"/>
      <c r="GT2913" s="147"/>
      <c r="GU2913" s="147"/>
      <c r="GV2913" s="147"/>
      <c r="GW2913" s="147"/>
      <c r="GX2913" s="147"/>
      <c r="GY2913" s="147"/>
      <c r="GZ2913" s="147"/>
      <c r="HA2913" s="147"/>
      <c r="HB2913" s="147"/>
      <c r="HC2913" s="147"/>
      <c r="HD2913" s="147"/>
      <c r="HE2913" s="147"/>
      <c r="HF2913" s="147"/>
      <c r="HG2913" s="147"/>
      <c r="HH2913" s="147"/>
      <c r="HI2913" s="147"/>
      <c r="HJ2913" s="147"/>
      <c r="HK2913" s="147"/>
      <c r="HL2913" s="147"/>
      <c r="HM2913" s="147"/>
      <c r="HN2913" s="147"/>
      <c r="HO2913" s="147"/>
      <c r="HP2913" s="147"/>
      <c r="HQ2913" s="147"/>
      <c r="HR2913" s="147"/>
      <c r="HS2913" s="147"/>
      <c r="HT2913" s="147"/>
      <c r="HU2913" s="147"/>
      <c r="HV2913" s="147"/>
      <c r="HW2913" s="147"/>
      <c r="HX2913" s="147"/>
      <c r="HY2913" s="147"/>
      <c r="HZ2913" s="147"/>
      <c r="IA2913" s="147"/>
      <c r="IB2913" s="147"/>
      <c r="IC2913" s="147"/>
      <c r="ID2913" s="147"/>
      <c r="IE2913" s="147"/>
      <c r="IF2913" s="147"/>
      <c r="IG2913" s="147"/>
      <c r="IH2913" s="147"/>
      <c r="II2913" s="147"/>
      <c r="IJ2913" s="147"/>
      <c r="IK2913" s="147"/>
      <c r="IL2913" s="147"/>
      <c r="IM2913" s="147"/>
      <c r="IN2913" s="147"/>
      <c r="IO2913" s="147"/>
      <c r="IP2913" s="147"/>
      <c r="IQ2913" s="147"/>
      <c r="IR2913" s="147"/>
      <c r="IS2913" s="147"/>
      <c r="IT2913" s="147"/>
      <c r="IU2913" s="147"/>
      <c r="IV2913" s="147"/>
      <c r="IW2913" s="147"/>
      <c r="IX2913" s="147"/>
      <c r="IY2913" s="147"/>
      <c r="IZ2913" s="147"/>
      <c r="JA2913" s="147"/>
      <c r="JB2913" s="147"/>
      <c r="JC2913" s="147"/>
      <c r="JD2913" s="147"/>
      <c r="JE2913" s="147"/>
      <c r="JF2913" s="147"/>
      <c r="JG2913" s="147"/>
      <c r="JH2913" s="147"/>
      <c r="JI2913" s="147"/>
      <c r="JJ2913" s="147"/>
      <c r="JK2913" s="147"/>
      <c r="JL2913" s="147"/>
      <c r="JM2913" s="147"/>
      <c r="JN2913" s="147"/>
      <c r="JO2913" s="147"/>
      <c r="JP2913" s="147"/>
      <c r="JQ2913" s="147"/>
      <c r="JR2913" s="147"/>
      <c r="JS2913" s="147"/>
      <c r="JT2913" s="147"/>
      <c r="JU2913" s="147"/>
      <c r="JV2913" s="147"/>
      <c r="JW2913" s="147"/>
      <c r="JX2913" s="147"/>
      <c r="JY2913" s="147"/>
      <c r="JZ2913" s="147"/>
      <c r="KA2913" s="147"/>
      <c r="KB2913" s="147"/>
      <c r="KC2913" s="147"/>
      <c r="KD2913" s="147"/>
      <c r="KE2913" s="147"/>
      <c r="KF2913" s="147"/>
      <c r="KG2913" s="147"/>
      <c r="KH2913" s="147"/>
      <c r="KI2913" s="147"/>
      <c r="KJ2913" s="147"/>
      <c r="KK2913" s="147"/>
      <c r="KL2913" s="147"/>
      <c r="KM2913" s="147"/>
      <c r="KN2913" s="147"/>
      <c r="KO2913" s="147"/>
      <c r="KP2913" s="147"/>
      <c r="KQ2913" s="147"/>
      <c r="KR2913" s="147"/>
      <c r="KS2913" s="147"/>
      <c r="KT2913" s="147"/>
      <c r="KU2913" s="147"/>
      <c r="KV2913" s="147"/>
      <c r="KW2913" s="147"/>
      <c r="KX2913" s="147"/>
      <c r="KY2913" s="147"/>
      <c r="KZ2913" s="147"/>
      <c r="LA2913" s="147"/>
      <c r="LB2913" s="147"/>
      <c r="LC2913" s="147"/>
      <c r="LD2913" s="147"/>
      <c r="LE2913" s="147"/>
      <c r="LF2913" s="147"/>
      <c r="LG2913" s="147"/>
      <c r="LH2913" s="147"/>
      <c r="LI2913" s="147"/>
      <c r="LJ2913" s="147"/>
      <c r="LK2913" s="147"/>
      <c r="LL2913" s="147"/>
      <c r="LM2913" s="147"/>
      <c r="LN2913" s="147"/>
      <c r="LO2913" s="147"/>
      <c r="LP2913" s="147"/>
      <c r="LQ2913" s="147"/>
      <c r="LR2913" s="147"/>
      <c r="LS2913" s="147"/>
      <c r="LT2913" s="147"/>
      <c r="LU2913" s="147"/>
      <c r="LV2913" s="147"/>
      <c r="LW2913" s="147"/>
      <c r="LX2913" s="147"/>
      <c r="LY2913" s="147"/>
      <c r="LZ2913" s="147"/>
      <c r="MA2913" s="147"/>
      <c r="MB2913" s="147"/>
      <c r="MC2913" s="147"/>
      <c r="MD2913" s="147"/>
      <c r="ME2913" s="147"/>
      <c r="MF2913" s="147"/>
      <c r="MG2913" s="147"/>
      <c r="MH2913" s="147"/>
      <c r="MI2913" s="147"/>
      <c r="MJ2913" s="147"/>
      <c r="MK2913" s="147"/>
      <c r="ML2913" s="147"/>
      <c r="MM2913" s="147"/>
      <c r="MN2913" s="147"/>
      <c r="MO2913" s="147"/>
      <c r="MP2913" s="147"/>
      <c r="MQ2913" s="147"/>
      <c r="MR2913" s="147"/>
      <c r="MS2913" s="147"/>
      <c r="MT2913" s="147"/>
      <c r="MU2913" s="147"/>
      <c r="MV2913" s="147"/>
      <c r="MW2913" s="147"/>
      <c r="MX2913" s="147"/>
      <c r="MY2913" s="147"/>
      <c r="MZ2913" s="147"/>
      <c r="NA2913" s="147"/>
      <c r="NB2913" s="147"/>
      <c r="NC2913" s="147"/>
      <c r="ND2913" s="147"/>
      <c r="NE2913" s="147"/>
      <c r="NF2913" s="147"/>
      <c r="NG2913" s="147"/>
      <c r="NH2913" s="147"/>
      <c r="NI2913" s="147"/>
      <c r="NJ2913" s="147"/>
      <c r="NK2913" s="147"/>
      <c r="NL2913" s="147"/>
      <c r="NM2913" s="147"/>
      <c r="NN2913" s="147"/>
      <c r="NO2913" s="147"/>
      <c r="NP2913" s="147"/>
      <c r="NQ2913" s="147"/>
      <c r="NR2913" s="147"/>
      <c r="NS2913" s="147"/>
      <c r="NT2913" s="147"/>
      <c r="NU2913" s="147"/>
      <c r="NV2913" s="147"/>
      <c r="NW2913" s="147"/>
      <c r="NX2913" s="147"/>
      <c r="NY2913" s="147"/>
      <c r="NZ2913" s="147"/>
      <c r="OA2913" s="147"/>
      <c r="OB2913" s="147"/>
      <c r="OC2913" s="147"/>
      <c r="OD2913" s="147"/>
      <c r="OE2913" s="147"/>
      <c r="OF2913" s="147"/>
      <c r="OG2913" s="147"/>
      <c r="OH2913" s="147"/>
      <c r="OI2913" s="147"/>
      <c r="OJ2913" s="147"/>
      <c r="OK2913" s="147"/>
      <c r="OL2913" s="147"/>
      <c r="OM2913" s="147"/>
      <c r="ON2913" s="147"/>
      <c r="OO2913" s="147"/>
      <c r="OP2913" s="147"/>
      <c r="OQ2913" s="147"/>
      <c r="OR2913" s="147"/>
      <c r="OS2913" s="147"/>
      <c r="OT2913" s="147"/>
      <c r="OU2913" s="147"/>
      <c r="OV2913" s="147"/>
      <c r="OW2913" s="147"/>
      <c r="OX2913" s="147"/>
      <c r="OY2913" s="147"/>
      <c r="OZ2913" s="147"/>
      <c r="PA2913" s="147"/>
      <c r="PB2913" s="147"/>
      <c r="PC2913" s="147"/>
      <c r="PD2913" s="147"/>
      <c r="PE2913" s="147"/>
      <c r="PF2913" s="147"/>
      <c r="PG2913" s="147"/>
      <c r="PH2913" s="147"/>
      <c r="PI2913" s="147"/>
      <c r="PJ2913" s="147"/>
      <c r="PK2913" s="147"/>
      <c r="PL2913" s="147"/>
      <c r="PM2913" s="147"/>
      <c r="PN2913" s="147"/>
      <c r="PO2913" s="147"/>
    </row>
    <row r="2914" spans="1:431" x14ac:dyDescent="0.3">
      <c r="A2914" s="140">
        <v>905282</v>
      </c>
      <c r="B2914" s="138">
        <v>13.333333333333334</v>
      </c>
      <c r="C2914" s="138">
        <v>5.9999999999999982</v>
      </c>
      <c r="D2914" s="152">
        <v>8.44</v>
      </c>
      <c r="E2914" s="752">
        <v>0.20599999999999999</v>
      </c>
      <c r="F2914" s="142">
        <v>226.6</v>
      </c>
      <c r="H2914" s="142">
        <v>6.89</v>
      </c>
      <c r="I2914" s="142">
        <v>430</v>
      </c>
      <c r="J2914" s="795">
        <v>0.14499999999999999</v>
      </c>
      <c r="K2914" s="138">
        <v>7.65</v>
      </c>
      <c r="L2914" s="140">
        <v>530</v>
      </c>
      <c r="M2914" s="795">
        <v>0.17</v>
      </c>
      <c r="N2914" s="795">
        <v>1.24</v>
      </c>
      <c r="O2914" s="795">
        <v>3.42</v>
      </c>
      <c r="P2914" s="795">
        <v>1.65</v>
      </c>
      <c r="R2914" s="139">
        <v>0.94152232039814221</v>
      </c>
      <c r="S2914" s="138">
        <v>6.25</v>
      </c>
      <c r="Y2914" s="138">
        <v>25.2</v>
      </c>
      <c r="AD2914" s="70">
        <v>420</v>
      </c>
      <c r="AE2914" s="70">
        <v>300</v>
      </c>
      <c r="AF2914" s="70">
        <v>280</v>
      </c>
      <c r="AG2914" s="66">
        <f t="shared" si="114"/>
        <v>107.46428571428574</v>
      </c>
      <c r="AH2914" s="143">
        <f t="shared" si="115"/>
        <v>1000</v>
      </c>
      <c r="AI2914" s="147"/>
      <c r="AJ2914" s="147"/>
      <c r="AK2914" s="147"/>
      <c r="AL2914" s="147"/>
      <c r="AM2914" s="147"/>
      <c r="AN2914" s="147"/>
      <c r="AO2914" s="147"/>
      <c r="AP2914" s="147"/>
      <c r="AQ2914" s="147"/>
      <c r="AR2914" s="147"/>
      <c r="AS2914" s="147"/>
      <c r="AT2914" s="147"/>
      <c r="AU2914" s="147"/>
      <c r="AV2914" s="147"/>
      <c r="AW2914" s="147"/>
      <c r="AX2914" s="147"/>
      <c r="AY2914" s="147"/>
      <c r="AZ2914" s="147"/>
      <c r="BA2914" s="147"/>
      <c r="BB2914" s="147"/>
      <c r="BC2914" s="147"/>
      <c r="BD2914" s="147"/>
      <c r="BE2914" s="147"/>
      <c r="BF2914" s="147"/>
      <c r="BG2914" s="147"/>
      <c r="BH2914" s="147"/>
      <c r="BI2914" s="147"/>
      <c r="BJ2914" s="147"/>
      <c r="BK2914" s="147"/>
      <c r="BL2914" s="147"/>
      <c r="BM2914" s="147"/>
      <c r="BN2914" s="147"/>
      <c r="BO2914" s="147"/>
      <c r="BP2914" s="147"/>
      <c r="BQ2914" s="147"/>
      <c r="BR2914" s="147"/>
      <c r="BS2914" s="147"/>
      <c r="BT2914" s="147"/>
      <c r="BU2914" s="147"/>
      <c r="BV2914" s="147"/>
      <c r="BW2914" s="147"/>
      <c r="BX2914" s="147"/>
      <c r="BY2914" s="147"/>
      <c r="BZ2914" s="147"/>
      <c r="CA2914" s="147"/>
      <c r="CB2914" s="147"/>
      <c r="CC2914" s="147"/>
      <c r="CD2914" s="147"/>
      <c r="CE2914" s="147"/>
      <c r="CF2914" s="147"/>
      <c r="CG2914" s="147"/>
      <c r="CH2914" s="147"/>
      <c r="CI2914" s="147"/>
      <c r="CJ2914" s="147"/>
      <c r="CK2914" s="147"/>
      <c r="CL2914" s="147"/>
      <c r="CM2914" s="147"/>
      <c r="CN2914" s="147"/>
      <c r="CO2914" s="147"/>
      <c r="CP2914" s="147"/>
      <c r="CQ2914" s="147"/>
      <c r="CR2914" s="147"/>
      <c r="CS2914" s="147"/>
      <c r="CT2914" s="147"/>
      <c r="CU2914" s="147"/>
      <c r="CV2914" s="147"/>
      <c r="CW2914" s="147"/>
      <c r="CX2914" s="147"/>
      <c r="CY2914" s="147"/>
      <c r="CZ2914" s="147"/>
      <c r="DA2914" s="147"/>
      <c r="DB2914" s="147"/>
      <c r="DC2914" s="147"/>
      <c r="DD2914" s="147"/>
      <c r="DE2914" s="147"/>
      <c r="DF2914" s="147"/>
      <c r="DG2914" s="147"/>
      <c r="DH2914" s="147"/>
      <c r="DI2914" s="147"/>
      <c r="DJ2914" s="147"/>
      <c r="DK2914" s="147"/>
      <c r="DL2914" s="147"/>
      <c r="DM2914" s="147"/>
      <c r="DN2914" s="147"/>
      <c r="DO2914" s="147"/>
      <c r="DP2914" s="147"/>
      <c r="DQ2914" s="147"/>
      <c r="DR2914" s="147"/>
      <c r="DS2914" s="147"/>
      <c r="DT2914" s="147"/>
      <c r="DU2914" s="147"/>
      <c r="DV2914" s="147"/>
      <c r="DW2914" s="147"/>
      <c r="DX2914" s="147"/>
      <c r="DY2914" s="147"/>
      <c r="DZ2914" s="147"/>
      <c r="EA2914" s="147"/>
      <c r="EB2914" s="147"/>
      <c r="EC2914" s="147"/>
      <c r="ED2914" s="147"/>
      <c r="EE2914" s="147"/>
      <c r="EF2914" s="147"/>
      <c r="EG2914" s="147"/>
      <c r="EH2914" s="147"/>
      <c r="EI2914" s="147"/>
      <c r="EJ2914" s="147"/>
      <c r="EK2914" s="147"/>
      <c r="EL2914" s="147"/>
      <c r="EM2914" s="147"/>
      <c r="EN2914" s="147"/>
      <c r="EO2914" s="147"/>
      <c r="EP2914" s="147"/>
      <c r="EQ2914" s="147"/>
      <c r="ER2914" s="147"/>
      <c r="ES2914" s="147"/>
      <c r="ET2914" s="147"/>
      <c r="EU2914" s="147"/>
      <c r="EV2914" s="147"/>
      <c r="EW2914" s="147"/>
      <c r="EX2914" s="147"/>
      <c r="EY2914" s="147"/>
      <c r="EZ2914" s="147"/>
      <c r="FA2914" s="147"/>
      <c r="FB2914" s="147"/>
      <c r="FC2914" s="147"/>
      <c r="FD2914" s="147"/>
      <c r="FE2914" s="147"/>
      <c r="FF2914" s="147"/>
      <c r="FG2914" s="147"/>
      <c r="FH2914" s="147"/>
      <c r="FI2914" s="147"/>
      <c r="FJ2914" s="147"/>
      <c r="FK2914" s="147"/>
      <c r="FL2914" s="147"/>
      <c r="FM2914" s="147"/>
      <c r="FN2914" s="147"/>
      <c r="FO2914" s="147"/>
      <c r="FP2914" s="147"/>
      <c r="FQ2914" s="147"/>
      <c r="FR2914" s="147"/>
      <c r="FS2914" s="147"/>
      <c r="FT2914" s="147"/>
      <c r="FU2914" s="147"/>
      <c r="FV2914" s="147"/>
      <c r="FW2914" s="147"/>
      <c r="FX2914" s="147"/>
      <c r="FY2914" s="147"/>
      <c r="FZ2914" s="147"/>
      <c r="GA2914" s="147"/>
      <c r="GB2914" s="147"/>
      <c r="GC2914" s="147"/>
      <c r="GD2914" s="147"/>
      <c r="GE2914" s="147"/>
      <c r="GF2914" s="147"/>
      <c r="GG2914" s="147"/>
      <c r="GH2914" s="147"/>
      <c r="GI2914" s="147"/>
      <c r="GJ2914" s="147"/>
      <c r="GK2914" s="147"/>
      <c r="GL2914" s="147"/>
      <c r="GM2914" s="147"/>
      <c r="GN2914" s="147"/>
      <c r="GO2914" s="147"/>
      <c r="GP2914" s="147"/>
      <c r="GQ2914" s="147"/>
      <c r="GR2914" s="147"/>
      <c r="GS2914" s="147"/>
      <c r="GT2914" s="147"/>
      <c r="GU2914" s="147"/>
      <c r="GV2914" s="147"/>
      <c r="GW2914" s="147"/>
      <c r="GX2914" s="147"/>
      <c r="GY2914" s="147"/>
      <c r="GZ2914" s="147"/>
      <c r="HA2914" s="147"/>
      <c r="HB2914" s="147"/>
      <c r="HC2914" s="147"/>
      <c r="HD2914" s="147"/>
      <c r="HE2914" s="147"/>
      <c r="HF2914" s="147"/>
      <c r="HG2914" s="147"/>
      <c r="HH2914" s="147"/>
      <c r="HI2914" s="147"/>
      <c r="HJ2914" s="147"/>
      <c r="HK2914" s="147"/>
      <c r="HL2914" s="147"/>
      <c r="HM2914" s="147"/>
      <c r="HN2914" s="147"/>
      <c r="HO2914" s="147"/>
      <c r="HP2914" s="147"/>
      <c r="HQ2914" s="147"/>
      <c r="HR2914" s="147"/>
      <c r="HS2914" s="147"/>
      <c r="HT2914" s="147"/>
      <c r="HU2914" s="147"/>
      <c r="HV2914" s="147"/>
      <c r="HW2914" s="147"/>
      <c r="HX2914" s="147"/>
      <c r="HY2914" s="147"/>
      <c r="HZ2914" s="147"/>
      <c r="IA2914" s="147"/>
      <c r="IB2914" s="147"/>
      <c r="IC2914" s="147"/>
      <c r="ID2914" s="147"/>
      <c r="IE2914" s="147"/>
      <c r="IF2914" s="147"/>
      <c r="IG2914" s="147"/>
      <c r="IH2914" s="147"/>
      <c r="II2914" s="147"/>
      <c r="IJ2914" s="147"/>
      <c r="IK2914" s="147"/>
      <c r="IL2914" s="147"/>
      <c r="IM2914" s="147"/>
      <c r="IN2914" s="147"/>
      <c r="IO2914" s="147"/>
      <c r="IP2914" s="147"/>
      <c r="IQ2914" s="147"/>
      <c r="IR2914" s="147"/>
      <c r="IS2914" s="147"/>
      <c r="IT2914" s="147"/>
      <c r="IU2914" s="147"/>
      <c r="IV2914" s="147"/>
      <c r="IW2914" s="147"/>
      <c r="IX2914" s="147"/>
      <c r="IY2914" s="147"/>
      <c r="IZ2914" s="147"/>
      <c r="JA2914" s="147"/>
      <c r="JB2914" s="147"/>
      <c r="JC2914" s="147"/>
      <c r="JD2914" s="147"/>
      <c r="JE2914" s="147"/>
      <c r="JF2914" s="147"/>
      <c r="JG2914" s="147"/>
      <c r="JH2914" s="147"/>
      <c r="JI2914" s="147"/>
      <c r="JJ2914" s="147"/>
      <c r="JK2914" s="147"/>
      <c r="JL2914" s="147"/>
      <c r="JM2914" s="147"/>
      <c r="JN2914" s="147"/>
      <c r="JO2914" s="147"/>
      <c r="JP2914" s="147"/>
      <c r="JQ2914" s="147"/>
      <c r="JR2914" s="147"/>
      <c r="JS2914" s="147"/>
      <c r="JT2914" s="147"/>
      <c r="JU2914" s="147"/>
      <c r="JV2914" s="147"/>
      <c r="JW2914" s="147"/>
      <c r="JX2914" s="147"/>
      <c r="JY2914" s="147"/>
      <c r="JZ2914" s="147"/>
      <c r="KA2914" s="147"/>
      <c r="KB2914" s="147"/>
      <c r="KC2914" s="147"/>
      <c r="KD2914" s="147"/>
      <c r="KE2914" s="147"/>
      <c r="KF2914" s="147"/>
      <c r="KG2914" s="147"/>
      <c r="KH2914" s="147"/>
      <c r="KI2914" s="147"/>
      <c r="KJ2914" s="147"/>
      <c r="KK2914" s="147"/>
      <c r="KL2914" s="147"/>
      <c r="KM2914" s="147"/>
      <c r="KN2914" s="147"/>
      <c r="KO2914" s="147"/>
      <c r="KP2914" s="147"/>
      <c r="KQ2914" s="147"/>
      <c r="KR2914" s="147"/>
      <c r="KS2914" s="147"/>
      <c r="KT2914" s="147"/>
      <c r="KU2914" s="147"/>
      <c r="KV2914" s="147"/>
      <c r="KW2914" s="147"/>
      <c r="KX2914" s="147"/>
      <c r="KY2914" s="147"/>
      <c r="KZ2914" s="147"/>
      <c r="LA2914" s="147"/>
      <c r="LB2914" s="147"/>
      <c r="LC2914" s="147"/>
      <c r="LD2914" s="147"/>
      <c r="LE2914" s="147"/>
      <c r="LF2914" s="147"/>
      <c r="LG2914" s="147"/>
      <c r="LH2914" s="147"/>
      <c r="LI2914" s="147"/>
      <c r="LJ2914" s="147"/>
      <c r="LK2914" s="147"/>
      <c r="LL2914" s="147"/>
      <c r="LM2914" s="147"/>
      <c r="LN2914" s="147"/>
      <c r="LO2914" s="147"/>
      <c r="LP2914" s="147"/>
      <c r="LQ2914" s="147"/>
      <c r="LR2914" s="147"/>
      <c r="LS2914" s="147"/>
      <c r="LT2914" s="147"/>
      <c r="LU2914" s="147"/>
      <c r="LV2914" s="147"/>
      <c r="LW2914" s="147"/>
      <c r="LX2914" s="147"/>
      <c r="LY2914" s="147"/>
      <c r="LZ2914" s="147"/>
      <c r="MA2914" s="147"/>
      <c r="MB2914" s="147"/>
      <c r="MC2914" s="147"/>
      <c r="MD2914" s="147"/>
      <c r="ME2914" s="147"/>
      <c r="MF2914" s="147"/>
      <c r="MG2914" s="147"/>
      <c r="MH2914" s="147"/>
      <c r="MI2914" s="147"/>
      <c r="MJ2914" s="147"/>
      <c r="MK2914" s="147"/>
      <c r="ML2914" s="147"/>
      <c r="MM2914" s="147"/>
      <c r="MN2914" s="147"/>
      <c r="MO2914" s="147"/>
      <c r="MP2914" s="147"/>
      <c r="MQ2914" s="147"/>
      <c r="MR2914" s="147"/>
      <c r="MS2914" s="147"/>
      <c r="MT2914" s="147"/>
      <c r="MU2914" s="147"/>
      <c r="MV2914" s="147"/>
      <c r="MW2914" s="147"/>
      <c r="MX2914" s="147"/>
      <c r="MY2914" s="147"/>
      <c r="MZ2914" s="147"/>
      <c r="NA2914" s="147"/>
      <c r="NB2914" s="147"/>
      <c r="NC2914" s="147"/>
      <c r="ND2914" s="147"/>
      <c r="NE2914" s="147"/>
      <c r="NF2914" s="147"/>
      <c r="NG2914" s="147"/>
      <c r="NH2914" s="147"/>
      <c r="NI2914" s="147"/>
      <c r="NJ2914" s="147"/>
      <c r="NK2914" s="147"/>
      <c r="NL2914" s="147"/>
      <c r="NM2914" s="147"/>
      <c r="NN2914" s="147"/>
      <c r="NO2914" s="147"/>
      <c r="NP2914" s="147"/>
      <c r="NQ2914" s="147"/>
      <c r="NR2914" s="147"/>
      <c r="NS2914" s="147"/>
      <c r="NT2914" s="147"/>
      <c r="NU2914" s="147"/>
      <c r="NV2914" s="147"/>
      <c r="NW2914" s="147"/>
      <c r="NX2914" s="147"/>
      <c r="NY2914" s="147"/>
      <c r="NZ2914" s="147"/>
      <c r="OA2914" s="147"/>
      <c r="OB2914" s="147"/>
      <c r="OC2914" s="147"/>
      <c r="OD2914" s="147"/>
      <c r="OE2914" s="147"/>
      <c r="OF2914" s="147"/>
      <c r="OG2914" s="147"/>
      <c r="OH2914" s="147"/>
      <c r="OI2914" s="147"/>
      <c r="OJ2914" s="147"/>
      <c r="OK2914" s="147"/>
      <c r="OL2914" s="147"/>
      <c r="OM2914" s="147"/>
      <c r="ON2914" s="147"/>
      <c r="OO2914" s="147"/>
      <c r="OP2914" s="147"/>
      <c r="OQ2914" s="147"/>
      <c r="OR2914" s="147"/>
      <c r="OS2914" s="147"/>
      <c r="OT2914" s="147"/>
      <c r="OU2914" s="147"/>
      <c r="OV2914" s="147"/>
      <c r="OW2914" s="147"/>
      <c r="OX2914" s="147"/>
      <c r="OY2914" s="147"/>
      <c r="OZ2914" s="147"/>
      <c r="PA2914" s="147"/>
      <c r="PB2914" s="147"/>
      <c r="PC2914" s="147"/>
      <c r="PD2914" s="147"/>
      <c r="PE2914" s="147"/>
      <c r="PF2914" s="147"/>
      <c r="PG2914" s="147"/>
      <c r="PH2914" s="147"/>
      <c r="PI2914" s="147"/>
      <c r="PJ2914" s="147"/>
      <c r="PK2914" s="147"/>
      <c r="PL2914" s="147"/>
      <c r="PM2914" s="147"/>
      <c r="PN2914" s="147"/>
      <c r="PO2914" s="147"/>
    </row>
    <row r="2915" spans="1:431" x14ac:dyDescent="0.3">
      <c r="A2915" s="140">
        <v>905283</v>
      </c>
      <c r="B2915" s="138">
        <v>13.916666666666666</v>
      </c>
      <c r="C2915" s="138">
        <v>5.4999999999999982</v>
      </c>
      <c r="D2915" s="152">
        <v>8.5</v>
      </c>
      <c r="E2915" s="752">
        <v>0.13700000000000001</v>
      </c>
      <c r="F2915" s="142">
        <v>150.70000000000002</v>
      </c>
      <c r="H2915" s="142">
        <v>9.1199999999999992</v>
      </c>
      <c r="I2915" s="142">
        <v>630</v>
      </c>
      <c r="J2915" s="795">
        <v>2.1000000000000001E-2</v>
      </c>
      <c r="K2915" s="138">
        <v>7.53</v>
      </c>
      <c r="L2915" s="140">
        <v>530</v>
      </c>
      <c r="M2915" s="795">
        <v>0.26</v>
      </c>
      <c r="N2915" s="795">
        <v>1.53</v>
      </c>
      <c r="O2915" s="795">
        <v>5.05</v>
      </c>
      <c r="P2915" s="795">
        <v>2.04</v>
      </c>
      <c r="R2915" s="139">
        <v>0.82276292886408686</v>
      </c>
      <c r="S2915" s="138">
        <v>5.82</v>
      </c>
      <c r="Y2915" s="138">
        <v>17</v>
      </c>
      <c r="AD2915" s="70">
        <v>340</v>
      </c>
      <c r="AE2915" s="70">
        <v>340</v>
      </c>
      <c r="AF2915" s="70">
        <v>320</v>
      </c>
      <c r="AG2915" s="66">
        <f t="shared" si="114"/>
        <v>156.80117647058825</v>
      </c>
      <c r="AH2915" s="143">
        <f t="shared" si="115"/>
        <v>1000</v>
      </c>
      <c r="AI2915" s="147"/>
      <c r="AJ2915" s="147"/>
      <c r="AK2915" s="147"/>
      <c r="AL2915" s="147"/>
      <c r="AM2915" s="147"/>
      <c r="AN2915" s="147"/>
      <c r="AO2915" s="147"/>
      <c r="AP2915" s="147"/>
      <c r="AQ2915" s="147"/>
      <c r="AR2915" s="147"/>
      <c r="AS2915" s="147"/>
      <c r="AT2915" s="147"/>
      <c r="AU2915" s="147"/>
      <c r="AV2915" s="147"/>
      <c r="AW2915" s="147"/>
      <c r="AX2915" s="147"/>
      <c r="AY2915" s="147"/>
      <c r="AZ2915" s="147"/>
      <c r="BA2915" s="147"/>
      <c r="BB2915" s="147"/>
      <c r="BC2915" s="147"/>
      <c r="BD2915" s="147"/>
      <c r="BE2915" s="147"/>
      <c r="BF2915" s="147"/>
      <c r="BG2915" s="147"/>
      <c r="BH2915" s="147"/>
      <c r="BI2915" s="147"/>
      <c r="BJ2915" s="147"/>
      <c r="BK2915" s="147"/>
      <c r="BL2915" s="147"/>
      <c r="BM2915" s="147"/>
      <c r="BN2915" s="147"/>
      <c r="BO2915" s="147"/>
      <c r="BP2915" s="147"/>
      <c r="BQ2915" s="147"/>
      <c r="BR2915" s="147"/>
      <c r="BS2915" s="147"/>
      <c r="BT2915" s="147"/>
      <c r="BU2915" s="147"/>
      <c r="BV2915" s="147"/>
      <c r="BW2915" s="147"/>
      <c r="BX2915" s="147"/>
      <c r="BY2915" s="147"/>
      <c r="BZ2915" s="147"/>
      <c r="CA2915" s="147"/>
      <c r="CB2915" s="147"/>
      <c r="CC2915" s="147"/>
      <c r="CD2915" s="147"/>
      <c r="CE2915" s="147"/>
      <c r="CF2915" s="147"/>
      <c r="CG2915" s="147"/>
      <c r="CH2915" s="147"/>
      <c r="CI2915" s="147"/>
      <c r="CJ2915" s="147"/>
      <c r="CK2915" s="147"/>
      <c r="CL2915" s="147"/>
      <c r="CM2915" s="147"/>
      <c r="CN2915" s="147"/>
      <c r="CO2915" s="147"/>
      <c r="CP2915" s="147"/>
      <c r="CQ2915" s="147"/>
      <c r="CR2915" s="147"/>
      <c r="CS2915" s="147"/>
      <c r="CT2915" s="147"/>
      <c r="CU2915" s="147"/>
      <c r="CV2915" s="147"/>
      <c r="CW2915" s="147"/>
      <c r="CX2915" s="147"/>
      <c r="CY2915" s="147"/>
      <c r="CZ2915" s="147"/>
      <c r="DA2915" s="147"/>
      <c r="DB2915" s="147"/>
      <c r="DC2915" s="147"/>
      <c r="DD2915" s="147"/>
      <c r="DE2915" s="147"/>
      <c r="DF2915" s="147"/>
      <c r="DG2915" s="147"/>
      <c r="DH2915" s="147"/>
      <c r="DI2915" s="147"/>
      <c r="DJ2915" s="147"/>
      <c r="DK2915" s="147"/>
      <c r="DL2915" s="147"/>
      <c r="DM2915" s="147"/>
      <c r="DN2915" s="147"/>
      <c r="DO2915" s="147"/>
      <c r="DP2915" s="147"/>
      <c r="DQ2915" s="147"/>
      <c r="DR2915" s="147"/>
      <c r="DS2915" s="147"/>
      <c r="DT2915" s="147"/>
      <c r="DU2915" s="147"/>
      <c r="DV2915" s="147"/>
      <c r="DW2915" s="147"/>
      <c r="DX2915" s="147"/>
      <c r="DY2915" s="147"/>
      <c r="DZ2915" s="147"/>
      <c r="EA2915" s="147"/>
      <c r="EB2915" s="147"/>
      <c r="EC2915" s="147"/>
      <c r="ED2915" s="147"/>
      <c r="EE2915" s="147"/>
      <c r="EF2915" s="147"/>
      <c r="EG2915" s="147"/>
      <c r="EH2915" s="147"/>
      <c r="EI2915" s="147"/>
      <c r="EJ2915" s="147"/>
      <c r="EK2915" s="147"/>
      <c r="EL2915" s="147"/>
      <c r="EM2915" s="147"/>
      <c r="EN2915" s="147"/>
      <c r="EO2915" s="147"/>
      <c r="EP2915" s="147"/>
      <c r="EQ2915" s="147"/>
      <c r="ER2915" s="147"/>
      <c r="ES2915" s="147"/>
      <c r="ET2915" s="147"/>
      <c r="EU2915" s="147"/>
      <c r="EV2915" s="147"/>
      <c r="EW2915" s="147"/>
      <c r="EX2915" s="147"/>
      <c r="EY2915" s="147"/>
      <c r="EZ2915" s="147"/>
      <c r="FA2915" s="147"/>
      <c r="FB2915" s="147"/>
      <c r="FC2915" s="147"/>
      <c r="FD2915" s="147"/>
      <c r="FE2915" s="147"/>
      <c r="FF2915" s="147"/>
      <c r="FG2915" s="147"/>
      <c r="FH2915" s="147"/>
      <c r="FI2915" s="147"/>
      <c r="FJ2915" s="147"/>
      <c r="FK2915" s="147"/>
      <c r="FL2915" s="147"/>
      <c r="FM2915" s="147"/>
      <c r="FN2915" s="147"/>
      <c r="FO2915" s="147"/>
      <c r="FP2915" s="147"/>
      <c r="FQ2915" s="147"/>
      <c r="FR2915" s="147"/>
      <c r="FS2915" s="147"/>
      <c r="FT2915" s="147"/>
      <c r="FU2915" s="147"/>
      <c r="FV2915" s="147"/>
      <c r="FW2915" s="147"/>
      <c r="FX2915" s="147"/>
      <c r="FY2915" s="147"/>
      <c r="FZ2915" s="147"/>
      <c r="GA2915" s="147"/>
      <c r="GB2915" s="147"/>
      <c r="GC2915" s="147"/>
      <c r="GD2915" s="147"/>
      <c r="GE2915" s="147"/>
      <c r="GF2915" s="147"/>
      <c r="GG2915" s="147"/>
      <c r="GH2915" s="147"/>
      <c r="GI2915" s="147"/>
      <c r="GJ2915" s="147"/>
      <c r="GK2915" s="147"/>
      <c r="GL2915" s="147"/>
      <c r="GM2915" s="147"/>
      <c r="GN2915" s="147"/>
      <c r="GO2915" s="147"/>
      <c r="GP2915" s="147"/>
      <c r="GQ2915" s="147"/>
      <c r="GR2915" s="147"/>
      <c r="GS2915" s="147"/>
      <c r="GT2915" s="147"/>
      <c r="GU2915" s="147"/>
      <c r="GV2915" s="147"/>
      <c r="GW2915" s="147"/>
      <c r="GX2915" s="147"/>
      <c r="GY2915" s="147"/>
      <c r="GZ2915" s="147"/>
      <c r="HA2915" s="147"/>
      <c r="HB2915" s="147"/>
      <c r="HC2915" s="147"/>
      <c r="HD2915" s="147"/>
      <c r="HE2915" s="147"/>
      <c r="HF2915" s="147"/>
      <c r="HG2915" s="147"/>
      <c r="HH2915" s="147"/>
      <c r="HI2915" s="147"/>
      <c r="HJ2915" s="147"/>
      <c r="HK2915" s="147"/>
      <c r="HL2915" s="147"/>
      <c r="HM2915" s="147"/>
      <c r="HN2915" s="147"/>
      <c r="HO2915" s="147"/>
      <c r="HP2915" s="147"/>
      <c r="HQ2915" s="147"/>
      <c r="HR2915" s="147"/>
      <c r="HS2915" s="147"/>
      <c r="HT2915" s="147"/>
      <c r="HU2915" s="147"/>
      <c r="HV2915" s="147"/>
      <c r="HW2915" s="147"/>
      <c r="HX2915" s="147"/>
      <c r="HY2915" s="147"/>
      <c r="HZ2915" s="147"/>
      <c r="IA2915" s="147"/>
      <c r="IB2915" s="147"/>
      <c r="IC2915" s="147"/>
      <c r="ID2915" s="147"/>
      <c r="IE2915" s="147"/>
      <c r="IF2915" s="147"/>
      <c r="IG2915" s="147"/>
      <c r="IH2915" s="147"/>
      <c r="II2915" s="147"/>
      <c r="IJ2915" s="147"/>
      <c r="IK2915" s="147"/>
      <c r="IL2915" s="147"/>
      <c r="IM2915" s="147"/>
      <c r="IN2915" s="147"/>
      <c r="IO2915" s="147"/>
      <c r="IP2915" s="147"/>
      <c r="IQ2915" s="147"/>
      <c r="IR2915" s="147"/>
      <c r="IS2915" s="147"/>
      <c r="IT2915" s="147"/>
      <c r="IU2915" s="147"/>
      <c r="IV2915" s="147"/>
      <c r="IW2915" s="147"/>
      <c r="IX2915" s="147"/>
      <c r="IY2915" s="147"/>
      <c r="IZ2915" s="147"/>
      <c r="JA2915" s="147"/>
      <c r="JB2915" s="147"/>
      <c r="JC2915" s="147"/>
      <c r="JD2915" s="147"/>
      <c r="JE2915" s="147"/>
      <c r="JF2915" s="147"/>
      <c r="JG2915" s="147"/>
      <c r="JH2915" s="147"/>
      <c r="JI2915" s="147"/>
      <c r="JJ2915" s="147"/>
      <c r="JK2915" s="147"/>
      <c r="JL2915" s="147"/>
      <c r="JM2915" s="147"/>
      <c r="JN2915" s="147"/>
      <c r="JO2915" s="147"/>
      <c r="JP2915" s="147"/>
      <c r="JQ2915" s="147"/>
      <c r="JR2915" s="147"/>
      <c r="JS2915" s="147"/>
      <c r="JT2915" s="147"/>
      <c r="JU2915" s="147"/>
      <c r="JV2915" s="147"/>
      <c r="JW2915" s="147"/>
      <c r="JX2915" s="147"/>
      <c r="JY2915" s="147"/>
      <c r="JZ2915" s="147"/>
      <c r="KA2915" s="147"/>
      <c r="KB2915" s="147"/>
      <c r="KC2915" s="147"/>
      <c r="KD2915" s="147"/>
      <c r="KE2915" s="147"/>
      <c r="KF2915" s="147"/>
      <c r="KG2915" s="147"/>
      <c r="KH2915" s="147"/>
      <c r="KI2915" s="147"/>
      <c r="KJ2915" s="147"/>
      <c r="KK2915" s="147"/>
      <c r="KL2915" s="147"/>
      <c r="KM2915" s="147"/>
      <c r="KN2915" s="147"/>
      <c r="KO2915" s="147"/>
      <c r="KP2915" s="147"/>
      <c r="KQ2915" s="147"/>
      <c r="KR2915" s="147"/>
      <c r="KS2915" s="147"/>
      <c r="KT2915" s="147"/>
      <c r="KU2915" s="147"/>
      <c r="KV2915" s="147"/>
      <c r="KW2915" s="147"/>
      <c r="KX2915" s="147"/>
      <c r="KY2915" s="147"/>
      <c r="KZ2915" s="147"/>
      <c r="LA2915" s="147"/>
      <c r="LB2915" s="147"/>
      <c r="LC2915" s="147"/>
      <c r="LD2915" s="147"/>
      <c r="LE2915" s="147"/>
      <c r="LF2915" s="147"/>
      <c r="LG2915" s="147"/>
      <c r="LH2915" s="147"/>
      <c r="LI2915" s="147"/>
      <c r="LJ2915" s="147"/>
      <c r="LK2915" s="147"/>
      <c r="LL2915" s="147"/>
      <c r="LM2915" s="147"/>
      <c r="LN2915" s="147"/>
      <c r="LO2915" s="147"/>
      <c r="LP2915" s="147"/>
      <c r="LQ2915" s="147"/>
      <c r="LR2915" s="147"/>
      <c r="LS2915" s="147"/>
      <c r="LT2915" s="147"/>
      <c r="LU2915" s="147"/>
      <c r="LV2915" s="147"/>
      <c r="LW2915" s="147"/>
      <c r="LX2915" s="147"/>
      <c r="LY2915" s="147"/>
      <c r="LZ2915" s="147"/>
      <c r="MA2915" s="147"/>
      <c r="MB2915" s="147"/>
      <c r="MC2915" s="147"/>
      <c r="MD2915" s="147"/>
      <c r="ME2915" s="147"/>
      <c r="MF2915" s="147"/>
      <c r="MG2915" s="147"/>
      <c r="MH2915" s="147"/>
      <c r="MI2915" s="147"/>
      <c r="MJ2915" s="147"/>
      <c r="MK2915" s="147"/>
      <c r="ML2915" s="147"/>
      <c r="MM2915" s="147"/>
      <c r="MN2915" s="147"/>
      <c r="MO2915" s="147"/>
      <c r="MP2915" s="147"/>
      <c r="MQ2915" s="147"/>
      <c r="MR2915" s="147"/>
      <c r="MS2915" s="147"/>
      <c r="MT2915" s="147"/>
      <c r="MU2915" s="147"/>
      <c r="MV2915" s="147"/>
      <c r="MW2915" s="147"/>
      <c r="MX2915" s="147"/>
      <c r="MY2915" s="147"/>
      <c r="MZ2915" s="147"/>
      <c r="NA2915" s="147"/>
      <c r="NB2915" s="147"/>
      <c r="NC2915" s="147"/>
      <c r="ND2915" s="147"/>
      <c r="NE2915" s="147"/>
      <c r="NF2915" s="147"/>
      <c r="NG2915" s="147"/>
      <c r="NH2915" s="147"/>
      <c r="NI2915" s="147"/>
      <c r="NJ2915" s="147"/>
      <c r="NK2915" s="147"/>
      <c r="NL2915" s="147"/>
      <c r="NM2915" s="147"/>
      <c r="NN2915" s="147"/>
      <c r="NO2915" s="147"/>
      <c r="NP2915" s="147"/>
      <c r="NQ2915" s="147"/>
      <c r="NR2915" s="147"/>
      <c r="NS2915" s="147"/>
      <c r="NT2915" s="147"/>
      <c r="NU2915" s="147"/>
      <c r="NV2915" s="147"/>
      <c r="NW2915" s="147"/>
      <c r="NX2915" s="147"/>
      <c r="NY2915" s="147"/>
      <c r="NZ2915" s="147"/>
      <c r="OA2915" s="147"/>
      <c r="OB2915" s="147"/>
      <c r="OC2915" s="147"/>
      <c r="OD2915" s="147"/>
      <c r="OE2915" s="147"/>
      <c r="OF2915" s="147"/>
      <c r="OG2915" s="147"/>
      <c r="OH2915" s="147"/>
      <c r="OI2915" s="147"/>
      <c r="OJ2915" s="147"/>
      <c r="OK2915" s="147"/>
      <c r="OL2915" s="147"/>
      <c r="OM2915" s="147"/>
      <c r="ON2915" s="147"/>
      <c r="OO2915" s="147"/>
      <c r="OP2915" s="147"/>
      <c r="OQ2915" s="147"/>
      <c r="OR2915" s="147"/>
      <c r="OS2915" s="147"/>
      <c r="OT2915" s="147"/>
      <c r="OU2915" s="147"/>
      <c r="OV2915" s="147"/>
      <c r="OW2915" s="147"/>
      <c r="OX2915" s="147"/>
      <c r="OY2915" s="147"/>
      <c r="OZ2915" s="147"/>
      <c r="PA2915" s="147"/>
      <c r="PB2915" s="147"/>
      <c r="PC2915" s="147"/>
      <c r="PD2915" s="147"/>
      <c r="PE2915" s="147"/>
      <c r="PF2915" s="147"/>
      <c r="PG2915" s="147"/>
      <c r="PH2915" s="147"/>
      <c r="PI2915" s="147"/>
      <c r="PJ2915" s="147"/>
      <c r="PK2915" s="147"/>
      <c r="PL2915" s="147"/>
      <c r="PM2915" s="147"/>
      <c r="PN2915" s="147"/>
      <c r="PO2915" s="147"/>
    </row>
    <row r="2916" spans="1:431" x14ac:dyDescent="0.3">
      <c r="A2916" s="140">
        <v>905284</v>
      </c>
      <c r="B2916" s="138">
        <v>10.333333333333334</v>
      </c>
      <c r="C2916" s="138">
        <v>6.3749999999999973</v>
      </c>
      <c r="D2916" s="152">
        <v>8.42</v>
      </c>
      <c r="E2916" s="752">
        <v>0.111</v>
      </c>
      <c r="F2916" s="142">
        <v>122.10000000000001</v>
      </c>
      <c r="H2916" s="142">
        <v>5.38</v>
      </c>
      <c r="I2916" s="142">
        <v>360</v>
      </c>
      <c r="J2916" s="795">
        <v>3.1E-2</v>
      </c>
      <c r="K2916" s="138">
        <v>7.16</v>
      </c>
      <c r="L2916" s="140">
        <v>320</v>
      </c>
      <c r="M2916" s="795">
        <v>0.2</v>
      </c>
      <c r="N2916" s="795">
        <v>1.36</v>
      </c>
      <c r="O2916" s="795">
        <v>4.4400000000000004</v>
      </c>
      <c r="P2916" s="795">
        <v>2.06</v>
      </c>
      <c r="R2916" s="139">
        <v>1.0908544771902295</v>
      </c>
      <c r="S2916" s="138">
        <v>7.65</v>
      </c>
      <c r="Y2916" s="138">
        <v>20.399999999999999</v>
      </c>
      <c r="AD2916" s="70">
        <v>340</v>
      </c>
      <c r="AE2916" s="70">
        <v>300</v>
      </c>
      <c r="AF2916" s="70">
        <v>360</v>
      </c>
      <c r="AG2916" s="66">
        <f t="shared" si="114"/>
        <v>124.24705882352941</v>
      </c>
      <c r="AH2916" s="143">
        <f t="shared" si="115"/>
        <v>1000</v>
      </c>
      <c r="AI2916" s="147"/>
      <c r="AJ2916" s="147"/>
      <c r="AK2916" s="147"/>
      <c r="AL2916" s="147"/>
      <c r="AM2916" s="147"/>
      <c r="AN2916" s="147"/>
      <c r="AO2916" s="147"/>
      <c r="AP2916" s="147"/>
      <c r="AQ2916" s="147"/>
      <c r="AR2916" s="147"/>
      <c r="AS2916" s="147"/>
      <c r="AT2916" s="147"/>
      <c r="AU2916" s="147"/>
      <c r="AV2916" s="147"/>
      <c r="AW2916" s="147"/>
      <c r="AX2916" s="147"/>
      <c r="AY2916" s="147"/>
      <c r="AZ2916" s="147"/>
      <c r="BA2916" s="147"/>
      <c r="BB2916" s="147"/>
      <c r="BC2916" s="147"/>
      <c r="BD2916" s="147"/>
      <c r="BE2916" s="147"/>
      <c r="BF2916" s="147"/>
      <c r="BG2916" s="147"/>
      <c r="BH2916" s="147"/>
      <c r="BI2916" s="147"/>
      <c r="BJ2916" s="147"/>
      <c r="BK2916" s="147"/>
      <c r="BL2916" s="147"/>
      <c r="BM2916" s="147"/>
      <c r="BN2916" s="147"/>
      <c r="BO2916" s="147"/>
      <c r="BP2916" s="147"/>
      <c r="BQ2916" s="147"/>
      <c r="BR2916" s="147"/>
      <c r="BS2916" s="147"/>
      <c r="BT2916" s="147"/>
      <c r="BU2916" s="147"/>
      <c r="BV2916" s="147"/>
      <c r="BW2916" s="147"/>
      <c r="BX2916" s="147"/>
      <c r="BY2916" s="147"/>
      <c r="BZ2916" s="147"/>
      <c r="CA2916" s="147"/>
      <c r="CB2916" s="147"/>
      <c r="CC2916" s="147"/>
      <c r="CD2916" s="147"/>
      <c r="CE2916" s="147"/>
      <c r="CF2916" s="147"/>
      <c r="CG2916" s="147"/>
      <c r="CH2916" s="147"/>
      <c r="CI2916" s="147"/>
      <c r="CJ2916" s="147"/>
      <c r="CK2916" s="147"/>
      <c r="CL2916" s="147"/>
      <c r="CM2916" s="147"/>
      <c r="CN2916" s="147"/>
      <c r="CO2916" s="147"/>
      <c r="CP2916" s="147"/>
      <c r="CQ2916" s="147"/>
      <c r="CR2916" s="147"/>
      <c r="CS2916" s="147"/>
      <c r="CT2916" s="147"/>
      <c r="CU2916" s="147"/>
      <c r="CV2916" s="147"/>
      <c r="CW2916" s="147"/>
      <c r="CX2916" s="147"/>
      <c r="CY2916" s="147"/>
      <c r="CZ2916" s="147"/>
      <c r="DA2916" s="147"/>
      <c r="DB2916" s="147"/>
      <c r="DC2916" s="147"/>
      <c r="DD2916" s="147"/>
      <c r="DE2916" s="147"/>
      <c r="DF2916" s="147"/>
      <c r="DG2916" s="147"/>
      <c r="DH2916" s="147"/>
      <c r="DI2916" s="147"/>
      <c r="DJ2916" s="147"/>
      <c r="DK2916" s="147"/>
      <c r="DL2916" s="147"/>
      <c r="DM2916" s="147"/>
      <c r="DN2916" s="147"/>
      <c r="DO2916" s="147"/>
      <c r="DP2916" s="147"/>
      <c r="DQ2916" s="147"/>
      <c r="DR2916" s="147"/>
      <c r="DS2916" s="147"/>
      <c r="DT2916" s="147"/>
      <c r="DU2916" s="147"/>
      <c r="DV2916" s="147"/>
      <c r="DW2916" s="147"/>
      <c r="DX2916" s="147"/>
      <c r="DY2916" s="147"/>
      <c r="DZ2916" s="147"/>
      <c r="EA2916" s="147"/>
      <c r="EB2916" s="147"/>
      <c r="EC2916" s="147"/>
      <c r="ED2916" s="147"/>
      <c r="EE2916" s="147"/>
      <c r="EF2916" s="147"/>
      <c r="EG2916" s="147"/>
      <c r="EH2916" s="147"/>
      <c r="EI2916" s="147"/>
      <c r="EJ2916" s="147"/>
      <c r="EK2916" s="147"/>
      <c r="EL2916" s="147"/>
      <c r="EM2916" s="147"/>
      <c r="EN2916" s="147"/>
      <c r="EO2916" s="147"/>
      <c r="EP2916" s="147"/>
      <c r="EQ2916" s="147"/>
      <c r="ER2916" s="147"/>
      <c r="ES2916" s="147"/>
      <c r="ET2916" s="147"/>
      <c r="EU2916" s="147"/>
      <c r="EV2916" s="147"/>
      <c r="EW2916" s="147"/>
      <c r="EX2916" s="147"/>
      <c r="EY2916" s="147"/>
      <c r="EZ2916" s="147"/>
      <c r="FA2916" s="147"/>
      <c r="FB2916" s="147"/>
      <c r="FC2916" s="147"/>
      <c r="FD2916" s="147"/>
      <c r="FE2916" s="147"/>
      <c r="FF2916" s="147"/>
      <c r="FG2916" s="147"/>
      <c r="FH2916" s="147"/>
      <c r="FI2916" s="147"/>
      <c r="FJ2916" s="147"/>
      <c r="FK2916" s="147"/>
      <c r="FL2916" s="147"/>
      <c r="FM2916" s="147"/>
      <c r="FN2916" s="147"/>
      <c r="FO2916" s="147"/>
      <c r="FP2916" s="147"/>
      <c r="FQ2916" s="147"/>
      <c r="FR2916" s="147"/>
      <c r="FS2916" s="147"/>
      <c r="FT2916" s="147"/>
      <c r="FU2916" s="147"/>
      <c r="FV2916" s="147"/>
      <c r="FW2916" s="147"/>
      <c r="FX2916" s="147"/>
      <c r="FY2916" s="147"/>
      <c r="FZ2916" s="147"/>
      <c r="GA2916" s="147"/>
      <c r="GB2916" s="147"/>
      <c r="GC2916" s="147"/>
      <c r="GD2916" s="147"/>
      <c r="GE2916" s="147"/>
      <c r="GF2916" s="147"/>
      <c r="GG2916" s="147"/>
      <c r="GH2916" s="147"/>
      <c r="GI2916" s="147"/>
      <c r="GJ2916" s="147"/>
      <c r="GK2916" s="147"/>
      <c r="GL2916" s="147"/>
      <c r="GM2916" s="147"/>
      <c r="GN2916" s="147"/>
      <c r="GO2916" s="147"/>
      <c r="GP2916" s="147"/>
      <c r="GQ2916" s="147"/>
      <c r="GR2916" s="147"/>
      <c r="GS2916" s="147"/>
      <c r="GT2916" s="147"/>
      <c r="GU2916" s="147"/>
      <c r="GV2916" s="147"/>
      <c r="GW2916" s="147"/>
      <c r="GX2916" s="147"/>
      <c r="GY2916" s="147"/>
      <c r="GZ2916" s="147"/>
      <c r="HA2916" s="147"/>
      <c r="HB2916" s="147"/>
      <c r="HC2916" s="147"/>
      <c r="HD2916" s="147"/>
      <c r="HE2916" s="147"/>
      <c r="HF2916" s="147"/>
      <c r="HG2916" s="147"/>
      <c r="HH2916" s="147"/>
      <c r="HI2916" s="147"/>
      <c r="HJ2916" s="147"/>
      <c r="HK2916" s="147"/>
      <c r="HL2916" s="147"/>
      <c r="HM2916" s="147"/>
      <c r="HN2916" s="147"/>
      <c r="HO2916" s="147"/>
      <c r="HP2916" s="147"/>
      <c r="HQ2916" s="147"/>
      <c r="HR2916" s="147"/>
      <c r="HS2916" s="147"/>
      <c r="HT2916" s="147"/>
      <c r="HU2916" s="147"/>
      <c r="HV2916" s="147"/>
      <c r="HW2916" s="147"/>
      <c r="HX2916" s="147"/>
      <c r="HY2916" s="147"/>
      <c r="HZ2916" s="147"/>
      <c r="IA2916" s="147"/>
      <c r="IB2916" s="147"/>
      <c r="IC2916" s="147"/>
      <c r="ID2916" s="147"/>
      <c r="IE2916" s="147"/>
      <c r="IF2916" s="147"/>
      <c r="IG2916" s="147"/>
      <c r="IH2916" s="147"/>
      <c r="II2916" s="147"/>
      <c r="IJ2916" s="147"/>
      <c r="IK2916" s="147"/>
      <c r="IL2916" s="147"/>
      <c r="IM2916" s="147"/>
      <c r="IN2916" s="147"/>
      <c r="IO2916" s="147"/>
      <c r="IP2916" s="147"/>
      <c r="IQ2916" s="147"/>
      <c r="IR2916" s="147"/>
      <c r="IS2916" s="147"/>
      <c r="IT2916" s="147"/>
      <c r="IU2916" s="147"/>
      <c r="IV2916" s="147"/>
      <c r="IW2916" s="147"/>
      <c r="IX2916" s="147"/>
      <c r="IY2916" s="147"/>
      <c r="IZ2916" s="147"/>
      <c r="JA2916" s="147"/>
      <c r="JB2916" s="147"/>
      <c r="JC2916" s="147"/>
      <c r="JD2916" s="147"/>
      <c r="JE2916" s="147"/>
      <c r="JF2916" s="147"/>
      <c r="JG2916" s="147"/>
      <c r="JH2916" s="147"/>
      <c r="JI2916" s="147"/>
      <c r="JJ2916" s="147"/>
      <c r="JK2916" s="147"/>
      <c r="JL2916" s="147"/>
      <c r="JM2916" s="147"/>
      <c r="JN2916" s="147"/>
      <c r="JO2916" s="147"/>
      <c r="JP2916" s="147"/>
      <c r="JQ2916" s="147"/>
      <c r="JR2916" s="147"/>
      <c r="JS2916" s="147"/>
      <c r="JT2916" s="147"/>
      <c r="JU2916" s="147"/>
      <c r="JV2916" s="147"/>
      <c r="JW2916" s="147"/>
      <c r="JX2916" s="147"/>
      <c r="JY2916" s="147"/>
      <c r="JZ2916" s="147"/>
      <c r="KA2916" s="147"/>
      <c r="KB2916" s="147"/>
      <c r="KC2916" s="147"/>
      <c r="KD2916" s="147"/>
      <c r="KE2916" s="147"/>
      <c r="KF2916" s="147"/>
      <c r="KG2916" s="147"/>
      <c r="KH2916" s="147"/>
      <c r="KI2916" s="147"/>
      <c r="KJ2916" s="147"/>
      <c r="KK2916" s="147"/>
      <c r="KL2916" s="147"/>
      <c r="KM2916" s="147"/>
      <c r="KN2916" s="147"/>
      <c r="KO2916" s="147"/>
      <c r="KP2916" s="147"/>
      <c r="KQ2916" s="147"/>
      <c r="KR2916" s="147"/>
      <c r="KS2916" s="147"/>
      <c r="KT2916" s="147"/>
      <c r="KU2916" s="147"/>
      <c r="KV2916" s="147"/>
      <c r="KW2916" s="147"/>
      <c r="KX2916" s="147"/>
      <c r="KY2916" s="147"/>
      <c r="KZ2916" s="147"/>
      <c r="LA2916" s="147"/>
      <c r="LB2916" s="147"/>
      <c r="LC2916" s="147"/>
      <c r="LD2916" s="147"/>
      <c r="LE2916" s="147"/>
      <c r="LF2916" s="147"/>
      <c r="LG2916" s="147"/>
      <c r="LH2916" s="147"/>
      <c r="LI2916" s="147"/>
      <c r="LJ2916" s="147"/>
      <c r="LK2916" s="147"/>
      <c r="LL2916" s="147"/>
      <c r="LM2916" s="147"/>
      <c r="LN2916" s="147"/>
      <c r="LO2916" s="147"/>
      <c r="LP2916" s="147"/>
      <c r="LQ2916" s="147"/>
      <c r="LR2916" s="147"/>
      <c r="LS2916" s="147"/>
      <c r="LT2916" s="147"/>
      <c r="LU2916" s="147"/>
      <c r="LV2916" s="147"/>
      <c r="LW2916" s="147"/>
      <c r="LX2916" s="147"/>
      <c r="LY2916" s="147"/>
      <c r="LZ2916" s="147"/>
      <c r="MA2916" s="147"/>
      <c r="MB2916" s="147"/>
      <c r="MC2916" s="147"/>
      <c r="MD2916" s="147"/>
      <c r="ME2916" s="147"/>
      <c r="MF2916" s="147"/>
      <c r="MG2916" s="147"/>
      <c r="MH2916" s="147"/>
      <c r="MI2916" s="147"/>
      <c r="MJ2916" s="147"/>
      <c r="MK2916" s="147"/>
      <c r="ML2916" s="147"/>
      <c r="MM2916" s="147"/>
      <c r="MN2916" s="147"/>
      <c r="MO2916" s="147"/>
      <c r="MP2916" s="147"/>
      <c r="MQ2916" s="147"/>
      <c r="MR2916" s="147"/>
      <c r="MS2916" s="147"/>
      <c r="MT2916" s="147"/>
      <c r="MU2916" s="147"/>
      <c r="MV2916" s="147"/>
      <c r="MW2916" s="147"/>
      <c r="MX2916" s="147"/>
      <c r="MY2916" s="147"/>
      <c r="MZ2916" s="147"/>
      <c r="NA2916" s="147"/>
      <c r="NB2916" s="147"/>
      <c r="NC2916" s="147"/>
      <c r="ND2916" s="147"/>
      <c r="NE2916" s="147"/>
      <c r="NF2916" s="147"/>
      <c r="NG2916" s="147"/>
      <c r="NH2916" s="147"/>
      <c r="NI2916" s="147"/>
      <c r="NJ2916" s="147"/>
      <c r="NK2916" s="147"/>
      <c r="NL2916" s="147"/>
      <c r="NM2916" s="147"/>
      <c r="NN2916" s="147"/>
      <c r="NO2916" s="147"/>
      <c r="NP2916" s="147"/>
      <c r="NQ2916" s="147"/>
      <c r="NR2916" s="147"/>
      <c r="NS2916" s="147"/>
      <c r="NT2916" s="147"/>
      <c r="NU2916" s="147"/>
      <c r="NV2916" s="147"/>
      <c r="NW2916" s="147"/>
      <c r="NX2916" s="147"/>
      <c r="NY2916" s="147"/>
      <c r="NZ2916" s="147"/>
      <c r="OA2916" s="147"/>
      <c r="OB2916" s="147"/>
      <c r="OC2916" s="147"/>
      <c r="OD2916" s="147"/>
      <c r="OE2916" s="147"/>
      <c r="OF2916" s="147"/>
      <c r="OG2916" s="147"/>
      <c r="OH2916" s="147"/>
      <c r="OI2916" s="147"/>
      <c r="OJ2916" s="147"/>
      <c r="OK2916" s="147"/>
      <c r="OL2916" s="147"/>
      <c r="OM2916" s="147"/>
      <c r="ON2916" s="147"/>
      <c r="OO2916" s="147"/>
      <c r="OP2916" s="147"/>
      <c r="OQ2916" s="147"/>
      <c r="OR2916" s="147"/>
      <c r="OS2916" s="147"/>
      <c r="OT2916" s="147"/>
      <c r="OU2916" s="147"/>
      <c r="OV2916" s="147"/>
      <c r="OW2916" s="147"/>
      <c r="OX2916" s="147"/>
      <c r="OY2916" s="147"/>
      <c r="OZ2916" s="147"/>
      <c r="PA2916" s="147"/>
      <c r="PB2916" s="147"/>
      <c r="PC2916" s="147"/>
      <c r="PD2916" s="147"/>
      <c r="PE2916" s="147"/>
      <c r="PF2916" s="147"/>
      <c r="PG2916" s="147"/>
      <c r="PH2916" s="147"/>
      <c r="PI2916" s="147"/>
      <c r="PJ2916" s="147"/>
      <c r="PK2916" s="147"/>
      <c r="PL2916" s="147"/>
      <c r="PM2916" s="147"/>
      <c r="PN2916" s="147"/>
      <c r="PO2916" s="147"/>
    </row>
    <row r="2917" spans="1:431" x14ac:dyDescent="0.3">
      <c r="A2917" s="140">
        <v>905285</v>
      </c>
      <c r="B2917" s="138">
        <v>13.499999999999998</v>
      </c>
      <c r="C2917" s="138">
        <v>5.7499999999999973</v>
      </c>
      <c r="D2917" s="152">
        <v>8.31</v>
      </c>
      <c r="E2917" s="752">
        <v>0.24</v>
      </c>
      <c r="F2917" s="142">
        <v>264</v>
      </c>
      <c r="H2917" s="142">
        <v>5.35</v>
      </c>
      <c r="I2917" s="142">
        <v>370</v>
      </c>
      <c r="J2917" s="795">
        <v>0.125</v>
      </c>
      <c r="K2917" s="138">
        <v>7.27</v>
      </c>
      <c r="L2917" s="140">
        <v>550</v>
      </c>
      <c r="M2917" s="795">
        <v>0.26</v>
      </c>
      <c r="N2917" s="795">
        <v>1.18</v>
      </c>
      <c r="O2917" s="795">
        <v>7.46</v>
      </c>
      <c r="P2917" s="795">
        <v>2.35</v>
      </c>
      <c r="R2917" s="139">
        <v>1.1944006608172641</v>
      </c>
      <c r="S2917" s="138">
        <v>8.07</v>
      </c>
      <c r="Y2917" s="138">
        <v>22.4</v>
      </c>
      <c r="AD2917" s="70">
        <v>320</v>
      </c>
      <c r="AE2917" s="70">
        <v>280</v>
      </c>
      <c r="AF2917" s="70">
        <v>400</v>
      </c>
      <c r="AG2917" s="66">
        <f t="shared" si="114"/>
        <v>114.89196428571429</v>
      </c>
      <c r="AH2917" s="143">
        <f t="shared" si="115"/>
        <v>1000</v>
      </c>
      <c r="AI2917" s="147"/>
      <c r="AJ2917" s="147"/>
      <c r="AK2917" s="147"/>
      <c r="AL2917" s="147"/>
      <c r="AM2917" s="147"/>
      <c r="AN2917" s="147"/>
      <c r="AO2917" s="147"/>
      <c r="AP2917" s="147"/>
      <c r="AQ2917" s="147"/>
      <c r="AR2917" s="147"/>
      <c r="AS2917" s="147"/>
      <c r="AT2917" s="147"/>
      <c r="AU2917" s="147"/>
      <c r="AV2917" s="147"/>
      <c r="AW2917" s="147"/>
      <c r="AX2917" s="147"/>
      <c r="AY2917" s="147"/>
      <c r="AZ2917" s="147"/>
      <c r="BA2917" s="147"/>
      <c r="BB2917" s="147"/>
      <c r="BC2917" s="147"/>
      <c r="BD2917" s="147"/>
      <c r="BE2917" s="147"/>
      <c r="BF2917" s="147"/>
      <c r="BG2917" s="147"/>
      <c r="BH2917" s="147"/>
      <c r="BI2917" s="147"/>
      <c r="BJ2917" s="147"/>
      <c r="BK2917" s="147"/>
      <c r="BL2917" s="147"/>
      <c r="BM2917" s="147"/>
      <c r="BN2917" s="147"/>
      <c r="BO2917" s="147"/>
      <c r="BP2917" s="147"/>
      <c r="BQ2917" s="147"/>
      <c r="BR2917" s="147"/>
      <c r="BS2917" s="147"/>
      <c r="BT2917" s="147"/>
      <c r="BU2917" s="147"/>
      <c r="BV2917" s="147"/>
      <c r="BW2917" s="147"/>
      <c r="BX2917" s="147"/>
      <c r="BY2917" s="147"/>
      <c r="BZ2917" s="147"/>
      <c r="CA2917" s="147"/>
      <c r="CB2917" s="147"/>
      <c r="CC2917" s="147"/>
      <c r="CD2917" s="147"/>
      <c r="CE2917" s="147"/>
      <c r="CF2917" s="147"/>
      <c r="CG2917" s="147"/>
      <c r="CH2917" s="147"/>
      <c r="CI2917" s="147"/>
      <c r="CJ2917" s="147"/>
      <c r="CK2917" s="147"/>
      <c r="CL2917" s="147"/>
      <c r="CM2917" s="147"/>
      <c r="CN2917" s="147"/>
      <c r="CO2917" s="147"/>
      <c r="CP2917" s="147"/>
      <c r="CQ2917" s="147"/>
      <c r="CR2917" s="147"/>
      <c r="CS2917" s="147"/>
      <c r="CT2917" s="147"/>
      <c r="CU2917" s="147"/>
      <c r="CV2917" s="147"/>
      <c r="CW2917" s="147"/>
      <c r="CX2917" s="147"/>
      <c r="CY2917" s="147"/>
      <c r="CZ2917" s="147"/>
      <c r="DA2917" s="147"/>
      <c r="DB2917" s="147"/>
      <c r="DC2917" s="147"/>
      <c r="DD2917" s="147"/>
      <c r="DE2917" s="147"/>
      <c r="DF2917" s="147"/>
      <c r="DG2917" s="147"/>
      <c r="DH2917" s="147"/>
      <c r="DI2917" s="147"/>
      <c r="DJ2917" s="147"/>
      <c r="DK2917" s="147"/>
      <c r="DL2917" s="147"/>
      <c r="DM2917" s="147"/>
      <c r="DN2917" s="147"/>
      <c r="DO2917" s="147"/>
      <c r="DP2917" s="147"/>
      <c r="DQ2917" s="147"/>
      <c r="DR2917" s="147"/>
      <c r="DS2917" s="147"/>
      <c r="DT2917" s="147"/>
      <c r="DU2917" s="147"/>
      <c r="DV2917" s="147"/>
      <c r="DW2917" s="147"/>
      <c r="DX2917" s="147"/>
      <c r="DY2917" s="147"/>
      <c r="DZ2917" s="147"/>
      <c r="EA2917" s="147"/>
      <c r="EB2917" s="147"/>
      <c r="EC2917" s="147"/>
      <c r="ED2917" s="147"/>
      <c r="EE2917" s="147"/>
      <c r="EF2917" s="147"/>
      <c r="EG2917" s="147"/>
      <c r="EH2917" s="147"/>
      <c r="EI2917" s="147"/>
      <c r="EJ2917" s="147"/>
      <c r="EK2917" s="147"/>
      <c r="EL2917" s="147"/>
      <c r="EM2917" s="147"/>
      <c r="EN2917" s="147"/>
      <c r="EO2917" s="147"/>
      <c r="EP2917" s="147"/>
      <c r="EQ2917" s="147"/>
      <c r="ER2917" s="147"/>
      <c r="ES2917" s="147"/>
      <c r="ET2917" s="147"/>
      <c r="EU2917" s="147"/>
      <c r="EV2917" s="147"/>
      <c r="EW2917" s="147"/>
      <c r="EX2917" s="147"/>
      <c r="EY2917" s="147"/>
      <c r="EZ2917" s="147"/>
      <c r="FA2917" s="147"/>
      <c r="FB2917" s="147"/>
      <c r="FC2917" s="147"/>
      <c r="FD2917" s="147"/>
      <c r="FE2917" s="147"/>
      <c r="FF2917" s="147"/>
      <c r="FG2917" s="147"/>
      <c r="FH2917" s="147"/>
      <c r="FI2917" s="147"/>
      <c r="FJ2917" s="147"/>
      <c r="FK2917" s="147"/>
      <c r="FL2917" s="147"/>
      <c r="FM2917" s="147"/>
      <c r="FN2917" s="147"/>
      <c r="FO2917" s="147"/>
      <c r="FP2917" s="147"/>
      <c r="FQ2917" s="147"/>
      <c r="FR2917" s="147"/>
      <c r="FS2917" s="147"/>
      <c r="FT2917" s="147"/>
      <c r="FU2917" s="147"/>
      <c r="FV2917" s="147"/>
      <c r="FW2917" s="147"/>
      <c r="FX2917" s="147"/>
      <c r="FY2917" s="147"/>
      <c r="FZ2917" s="147"/>
      <c r="GA2917" s="147"/>
      <c r="GB2917" s="147"/>
      <c r="GC2917" s="147"/>
      <c r="GD2917" s="147"/>
      <c r="GE2917" s="147"/>
      <c r="GF2917" s="147"/>
      <c r="GG2917" s="147"/>
      <c r="GH2917" s="147"/>
      <c r="GI2917" s="147"/>
      <c r="GJ2917" s="147"/>
      <c r="GK2917" s="147"/>
      <c r="GL2917" s="147"/>
      <c r="GM2917" s="147"/>
      <c r="GN2917" s="147"/>
      <c r="GO2917" s="147"/>
      <c r="GP2917" s="147"/>
      <c r="GQ2917" s="147"/>
      <c r="GR2917" s="147"/>
      <c r="GS2917" s="147"/>
      <c r="GT2917" s="147"/>
      <c r="GU2917" s="147"/>
      <c r="GV2917" s="147"/>
      <c r="GW2917" s="147"/>
      <c r="GX2917" s="147"/>
      <c r="GY2917" s="147"/>
      <c r="GZ2917" s="147"/>
      <c r="HA2917" s="147"/>
      <c r="HB2917" s="147"/>
      <c r="HC2917" s="147"/>
      <c r="HD2917" s="147"/>
      <c r="HE2917" s="147"/>
      <c r="HF2917" s="147"/>
      <c r="HG2917" s="147"/>
      <c r="HH2917" s="147"/>
      <c r="HI2917" s="147"/>
      <c r="HJ2917" s="147"/>
      <c r="HK2917" s="147"/>
      <c r="HL2917" s="147"/>
      <c r="HM2917" s="147"/>
      <c r="HN2917" s="147"/>
      <c r="HO2917" s="147"/>
      <c r="HP2917" s="147"/>
      <c r="HQ2917" s="147"/>
      <c r="HR2917" s="147"/>
      <c r="HS2917" s="147"/>
      <c r="HT2917" s="147"/>
      <c r="HU2917" s="147"/>
      <c r="HV2917" s="147"/>
      <c r="HW2917" s="147"/>
      <c r="HX2917" s="147"/>
      <c r="HY2917" s="147"/>
      <c r="HZ2917" s="147"/>
      <c r="IA2917" s="147"/>
      <c r="IB2917" s="147"/>
      <c r="IC2917" s="147"/>
      <c r="ID2917" s="147"/>
      <c r="IE2917" s="147"/>
      <c r="IF2917" s="147"/>
      <c r="IG2917" s="147"/>
      <c r="IH2917" s="147"/>
      <c r="II2917" s="147"/>
      <c r="IJ2917" s="147"/>
      <c r="IK2917" s="147"/>
      <c r="IL2917" s="147"/>
      <c r="IM2917" s="147"/>
      <c r="IN2917" s="147"/>
      <c r="IO2917" s="147"/>
      <c r="IP2917" s="147"/>
      <c r="IQ2917" s="147"/>
      <c r="IR2917" s="147"/>
      <c r="IS2917" s="147"/>
      <c r="IT2917" s="147"/>
      <c r="IU2917" s="147"/>
      <c r="IV2917" s="147"/>
      <c r="IW2917" s="147"/>
      <c r="IX2917" s="147"/>
      <c r="IY2917" s="147"/>
      <c r="IZ2917" s="147"/>
      <c r="JA2917" s="147"/>
      <c r="JB2917" s="147"/>
      <c r="JC2917" s="147"/>
      <c r="JD2917" s="147"/>
      <c r="JE2917" s="147"/>
      <c r="JF2917" s="147"/>
      <c r="JG2917" s="147"/>
      <c r="JH2917" s="147"/>
      <c r="JI2917" s="147"/>
      <c r="JJ2917" s="147"/>
      <c r="JK2917" s="147"/>
      <c r="JL2917" s="147"/>
      <c r="JM2917" s="147"/>
      <c r="JN2917" s="147"/>
      <c r="JO2917" s="147"/>
      <c r="JP2917" s="147"/>
      <c r="JQ2917" s="147"/>
      <c r="JR2917" s="147"/>
      <c r="JS2917" s="147"/>
      <c r="JT2917" s="147"/>
      <c r="JU2917" s="147"/>
      <c r="JV2917" s="147"/>
      <c r="JW2917" s="147"/>
      <c r="JX2917" s="147"/>
      <c r="JY2917" s="147"/>
      <c r="JZ2917" s="147"/>
      <c r="KA2917" s="147"/>
      <c r="KB2917" s="147"/>
      <c r="KC2917" s="147"/>
      <c r="KD2917" s="147"/>
      <c r="KE2917" s="147"/>
      <c r="KF2917" s="147"/>
      <c r="KG2917" s="147"/>
      <c r="KH2917" s="147"/>
      <c r="KI2917" s="147"/>
      <c r="KJ2917" s="147"/>
      <c r="KK2917" s="147"/>
      <c r="KL2917" s="147"/>
      <c r="KM2917" s="147"/>
      <c r="KN2917" s="147"/>
      <c r="KO2917" s="147"/>
      <c r="KP2917" s="147"/>
      <c r="KQ2917" s="147"/>
      <c r="KR2917" s="147"/>
      <c r="KS2917" s="147"/>
      <c r="KT2917" s="147"/>
      <c r="KU2917" s="147"/>
      <c r="KV2917" s="147"/>
      <c r="KW2917" s="147"/>
      <c r="KX2917" s="147"/>
      <c r="KY2917" s="147"/>
      <c r="KZ2917" s="147"/>
      <c r="LA2917" s="147"/>
      <c r="LB2917" s="147"/>
      <c r="LC2917" s="147"/>
      <c r="LD2917" s="147"/>
      <c r="LE2917" s="147"/>
      <c r="LF2917" s="147"/>
      <c r="LG2917" s="147"/>
      <c r="LH2917" s="147"/>
      <c r="LI2917" s="147"/>
      <c r="LJ2917" s="147"/>
      <c r="LK2917" s="147"/>
      <c r="LL2917" s="147"/>
      <c r="LM2917" s="147"/>
      <c r="LN2917" s="147"/>
      <c r="LO2917" s="147"/>
      <c r="LP2917" s="147"/>
      <c r="LQ2917" s="147"/>
      <c r="LR2917" s="147"/>
      <c r="LS2917" s="147"/>
      <c r="LT2917" s="147"/>
      <c r="LU2917" s="147"/>
      <c r="LV2917" s="147"/>
      <c r="LW2917" s="147"/>
      <c r="LX2917" s="147"/>
      <c r="LY2917" s="147"/>
      <c r="LZ2917" s="147"/>
      <c r="MA2917" s="147"/>
      <c r="MB2917" s="147"/>
      <c r="MC2917" s="147"/>
      <c r="MD2917" s="147"/>
      <c r="ME2917" s="147"/>
      <c r="MF2917" s="147"/>
      <c r="MG2917" s="147"/>
      <c r="MH2917" s="147"/>
      <c r="MI2917" s="147"/>
      <c r="MJ2917" s="147"/>
      <c r="MK2917" s="147"/>
      <c r="ML2917" s="147"/>
      <c r="MM2917" s="147"/>
      <c r="MN2917" s="147"/>
      <c r="MO2917" s="147"/>
      <c r="MP2917" s="147"/>
      <c r="MQ2917" s="147"/>
      <c r="MR2917" s="147"/>
      <c r="MS2917" s="147"/>
      <c r="MT2917" s="147"/>
      <c r="MU2917" s="147"/>
      <c r="MV2917" s="147"/>
      <c r="MW2917" s="147"/>
      <c r="MX2917" s="147"/>
      <c r="MY2917" s="147"/>
      <c r="MZ2917" s="147"/>
      <c r="NA2917" s="147"/>
      <c r="NB2917" s="147"/>
      <c r="NC2917" s="147"/>
      <c r="ND2917" s="147"/>
      <c r="NE2917" s="147"/>
      <c r="NF2917" s="147"/>
      <c r="NG2917" s="147"/>
      <c r="NH2917" s="147"/>
      <c r="NI2917" s="147"/>
      <c r="NJ2917" s="147"/>
      <c r="NK2917" s="147"/>
      <c r="NL2917" s="147"/>
      <c r="NM2917" s="147"/>
      <c r="NN2917" s="147"/>
      <c r="NO2917" s="147"/>
      <c r="NP2917" s="147"/>
      <c r="NQ2917" s="147"/>
      <c r="NR2917" s="147"/>
      <c r="NS2917" s="147"/>
      <c r="NT2917" s="147"/>
      <c r="NU2917" s="147"/>
      <c r="NV2917" s="147"/>
      <c r="NW2917" s="147"/>
      <c r="NX2917" s="147"/>
      <c r="NY2917" s="147"/>
      <c r="NZ2917" s="147"/>
      <c r="OA2917" s="147"/>
      <c r="OB2917" s="147"/>
      <c r="OC2917" s="147"/>
      <c r="OD2917" s="147"/>
      <c r="OE2917" s="147"/>
      <c r="OF2917" s="147"/>
      <c r="OG2917" s="147"/>
      <c r="OH2917" s="147"/>
      <c r="OI2917" s="147"/>
      <c r="OJ2917" s="147"/>
      <c r="OK2917" s="147"/>
      <c r="OL2917" s="147"/>
      <c r="OM2917" s="147"/>
      <c r="ON2917" s="147"/>
      <c r="OO2917" s="147"/>
      <c r="OP2917" s="147"/>
      <c r="OQ2917" s="147"/>
      <c r="OR2917" s="147"/>
      <c r="OS2917" s="147"/>
      <c r="OT2917" s="147"/>
      <c r="OU2917" s="147"/>
      <c r="OV2917" s="147"/>
      <c r="OW2917" s="147"/>
      <c r="OX2917" s="147"/>
      <c r="OY2917" s="147"/>
      <c r="OZ2917" s="147"/>
      <c r="PA2917" s="147"/>
      <c r="PB2917" s="147"/>
      <c r="PC2917" s="147"/>
      <c r="PD2917" s="147"/>
      <c r="PE2917" s="147"/>
      <c r="PF2917" s="147"/>
      <c r="PG2917" s="147"/>
      <c r="PH2917" s="147"/>
      <c r="PI2917" s="147"/>
      <c r="PJ2917" s="147"/>
      <c r="PK2917" s="147"/>
      <c r="PL2917" s="147"/>
      <c r="PM2917" s="147"/>
      <c r="PN2917" s="147"/>
      <c r="PO2917" s="147"/>
    </row>
    <row r="2918" spans="1:431" x14ac:dyDescent="0.3">
      <c r="A2918" s="140">
        <v>905286</v>
      </c>
      <c r="B2918" s="138">
        <v>36.666666666666671</v>
      </c>
      <c r="C2918" s="138">
        <v>9.8749999999999982</v>
      </c>
      <c r="D2918" s="152">
        <v>8.43</v>
      </c>
      <c r="E2918" s="752">
        <v>0.22600000000000001</v>
      </c>
      <c r="F2918" s="142">
        <v>248.60000000000002</v>
      </c>
      <c r="H2918" s="142">
        <v>124.64</v>
      </c>
      <c r="I2918" s="142">
        <v>320</v>
      </c>
      <c r="J2918" s="795">
        <v>0.157</v>
      </c>
      <c r="K2918" s="138">
        <v>7.99</v>
      </c>
      <c r="L2918" s="140">
        <v>550</v>
      </c>
      <c r="M2918" s="795">
        <v>0.53</v>
      </c>
      <c r="N2918" s="795">
        <v>1.32</v>
      </c>
      <c r="O2918" s="795">
        <v>4.05</v>
      </c>
      <c r="P2918" s="795">
        <v>13.76</v>
      </c>
      <c r="R2918" s="139">
        <v>1.2733597383944699</v>
      </c>
      <c r="S2918" s="138">
        <v>8.4700000000000006</v>
      </c>
      <c r="Y2918" s="138">
        <v>32.4</v>
      </c>
      <c r="AD2918" s="70">
        <v>540</v>
      </c>
      <c r="AE2918" s="70">
        <v>300</v>
      </c>
      <c r="AF2918" s="70">
        <v>160</v>
      </c>
      <c r="AG2918" s="66">
        <f t="shared" si="114"/>
        <v>87.298148148148158</v>
      </c>
      <c r="AH2918" s="143">
        <f t="shared" si="115"/>
        <v>1000</v>
      </c>
    </row>
    <row r="2919" spans="1:431" x14ac:dyDescent="0.3">
      <c r="A2919" s="140">
        <v>905287</v>
      </c>
      <c r="B2919" s="138">
        <v>30.5</v>
      </c>
      <c r="C2919" s="138">
        <v>12.999999999999998</v>
      </c>
      <c r="D2919" s="152">
        <v>8.3000000000000007</v>
      </c>
      <c r="E2919" s="752">
        <v>0.20699999999999999</v>
      </c>
      <c r="F2919" s="142">
        <v>227.70000000000002</v>
      </c>
      <c r="H2919" s="142">
        <v>105.98</v>
      </c>
      <c r="I2919" s="142">
        <v>510</v>
      </c>
      <c r="J2919" s="795">
        <v>0.104</v>
      </c>
      <c r="K2919" s="138">
        <v>7.79</v>
      </c>
      <c r="L2919" s="140">
        <v>730</v>
      </c>
      <c r="M2919" s="795">
        <v>0.97</v>
      </c>
      <c r="N2919" s="795">
        <v>1.88</v>
      </c>
      <c r="O2919" s="795">
        <v>4.8099999999999996</v>
      </c>
      <c r="P2919" s="795">
        <v>6.88</v>
      </c>
      <c r="R2919" s="139">
        <v>1.2360254181361732</v>
      </c>
      <c r="S2919" s="138">
        <v>8.52</v>
      </c>
      <c r="Y2919" s="138">
        <v>34.799999999999997</v>
      </c>
      <c r="AD2919" s="70">
        <v>580</v>
      </c>
      <c r="AE2919" s="70">
        <v>320</v>
      </c>
      <c r="AF2919" s="70">
        <v>100</v>
      </c>
      <c r="AG2919" s="66">
        <f t="shared" si="114"/>
        <v>79.243103448275861</v>
      </c>
      <c r="AH2919" s="143">
        <f t="shared" si="115"/>
        <v>1000</v>
      </c>
    </row>
    <row r="2920" spans="1:431" x14ac:dyDescent="0.3">
      <c r="A2920" s="140">
        <v>905288</v>
      </c>
      <c r="B2920" s="138">
        <v>34</v>
      </c>
      <c r="C2920" s="138">
        <v>11.749999999999998</v>
      </c>
      <c r="D2920" s="152">
        <v>8.32</v>
      </c>
      <c r="E2920" s="752">
        <v>0.20300000000000001</v>
      </c>
      <c r="F2920" s="142">
        <v>223.30000000000004</v>
      </c>
      <c r="H2920" s="142">
        <v>41.56</v>
      </c>
      <c r="I2920" s="142">
        <v>430</v>
      </c>
      <c r="J2920" s="795">
        <v>0.10100000000000001</v>
      </c>
      <c r="K2920" s="138">
        <v>8.4</v>
      </c>
      <c r="L2920" s="140">
        <v>780</v>
      </c>
      <c r="M2920" s="795">
        <v>3.24</v>
      </c>
      <c r="N2920" s="795">
        <v>3.12</v>
      </c>
      <c r="O2920" s="795">
        <v>3.07</v>
      </c>
      <c r="P2920" s="795">
        <v>4.93</v>
      </c>
      <c r="R2920" s="139">
        <v>1.1778260413920423</v>
      </c>
      <c r="S2920" s="138">
        <v>8.68</v>
      </c>
      <c r="Y2920" s="138">
        <v>32.4</v>
      </c>
      <c r="AD2920" s="70">
        <v>540</v>
      </c>
      <c r="AE2920" s="70">
        <v>340</v>
      </c>
      <c r="AF2920" s="70">
        <v>120</v>
      </c>
      <c r="AG2920" s="66">
        <f t="shared" si="114"/>
        <v>91.777777777777786</v>
      </c>
      <c r="AH2920" s="143">
        <f t="shared" si="115"/>
        <v>1000</v>
      </c>
    </row>
    <row r="2921" spans="1:431" x14ac:dyDescent="0.3">
      <c r="A2921" s="140">
        <v>905289</v>
      </c>
      <c r="B2921" s="138">
        <v>41.166666666666671</v>
      </c>
      <c r="C2921" s="138">
        <v>8.7499999999999982</v>
      </c>
      <c r="D2921" s="152">
        <v>8.31</v>
      </c>
      <c r="E2921" s="752">
        <v>0.23499999999999999</v>
      </c>
      <c r="F2921" s="142">
        <v>258.5</v>
      </c>
      <c r="H2921" s="142">
        <v>87.37</v>
      </c>
      <c r="I2921" s="142">
        <v>400</v>
      </c>
      <c r="J2921" s="795">
        <v>9.8000000000000004E-2</v>
      </c>
      <c r="K2921" s="138">
        <v>8.2200000000000006</v>
      </c>
      <c r="L2921" s="140">
        <v>680</v>
      </c>
      <c r="M2921" s="795">
        <v>0.8</v>
      </c>
      <c r="N2921" s="795">
        <v>0.67</v>
      </c>
      <c r="O2921" s="795">
        <v>4.7</v>
      </c>
      <c r="P2921" s="795">
        <v>6</v>
      </c>
      <c r="R2921" s="139">
        <v>1.3867737176843202</v>
      </c>
      <c r="S2921" s="138">
        <v>10.130000000000001</v>
      </c>
      <c r="Y2921" s="138">
        <v>37.1</v>
      </c>
      <c r="AD2921" s="70">
        <v>530</v>
      </c>
      <c r="AE2921" s="70">
        <v>300</v>
      </c>
      <c r="AF2921" s="70">
        <v>170</v>
      </c>
      <c r="AG2921" s="66">
        <f t="shared" si="114"/>
        <v>78.43342318059301</v>
      </c>
      <c r="AH2921" s="143">
        <f t="shared" si="115"/>
        <v>1000</v>
      </c>
    </row>
    <row r="2922" spans="1:431" x14ac:dyDescent="0.3">
      <c r="A2922" s="140">
        <v>905290</v>
      </c>
      <c r="B2922" s="138">
        <v>43.666666666666664</v>
      </c>
      <c r="C2922" s="138">
        <v>9</v>
      </c>
      <c r="D2922" s="152">
        <v>8.5</v>
      </c>
      <c r="E2922" s="752">
        <v>0.41399999999999998</v>
      </c>
      <c r="F2922" s="142">
        <v>455.40000000000003</v>
      </c>
      <c r="H2922" s="142">
        <v>33.369999999999997</v>
      </c>
      <c r="I2922" s="142">
        <v>600</v>
      </c>
      <c r="J2922" s="795">
        <v>0.183</v>
      </c>
      <c r="K2922" s="138">
        <v>7.93</v>
      </c>
      <c r="L2922" s="140">
        <v>690</v>
      </c>
      <c r="M2922" s="795">
        <v>0.47</v>
      </c>
      <c r="N2922" s="795">
        <v>0.53</v>
      </c>
      <c r="O2922" s="795">
        <v>2.37</v>
      </c>
      <c r="P2922" s="795">
        <v>4.78</v>
      </c>
      <c r="R2922" s="139">
        <v>0.51593086312419867</v>
      </c>
      <c r="S2922" s="138">
        <v>3.72</v>
      </c>
      <c r="Y2922" s="138">
        <v>35.700000000000003</v>
      </c>
      <c r="AD2922" s="70">
        <v>510</v>
      </c>
      <c r="AE2922" s="70">
        <v>390</v>
      </c>
      <c r="AF2922" s="70">
        <v>100</v>
      </c>
      <c r="AG2922" s="66">
        <f t="shared" si="114"/>
        <v>78.633613445378145</v>
      </c>
      <c r="AH2922" s="143">
        <f t="shared" si="115"/>
        <v>1000</v>
      </c>
    </row>
    <row r="2923" spans="1:431" x14ac:dyDescent="0.3">
      <c r="A2923" s="140">
        <v>905291</v>
      </c>
      <c r="B2923" s="138">
        <v>36.499999999999993</v>
      </c>
      <c r="C2923" s="138">
        <v>12.374999999999998</v>
      </c>
      <c r="D2923" s="152">
        <v>8.52</v>
      </c>
      <c r="E2923" s="752">
        <v>0.191</v>
      </c>
      <c r="F2923" s="142">
        <v>210.10000000000002</v>
      </c>
      <c r="H2923" s="142">
        <v>15.26</v>
      </c>
      <c r="I2923" s="142">
        <v>310</v>
      </c>
      <c r="J2923" s="795">
        <v>0.158</v>
      </c>
      <c r="K2923" s="138">
        <v>8.59</v>
      </c>
      <c r="L2923" s="140">
        <v>910</v>
      </c>
      <c r="M2923" s="795">
        <v>0.43</v>
      </c>
      <c r="N2923" s="795">
        <v>0.96</v>
      </c>
      <c r="O2923" s="795">
        <v>3.04</v>
      </c>
      <c r="P2923" s="795">
        <v>13.03</v>
      </c>
      <c r="R2923" s="139">
        <v>1.4954455265684872</v>
      </c>
      <c r="S2923" s="138">
        <v>9.81</v>
      </c>
      <c r="Y2923" s="138">
        <v>39.9</v>
      </c>
      <c r="AD2923" s="70">
        <v>570</v>
      </c>
      <c r="AE2923" s="70">
        <v>310</v>
      </c>
      <c r="AF2923" s="70">
        <v>120</v>
      </c>
      <c r="AG2923" s="66">
        <f t="shared" si="114"/>
        <v>76.212030075187982</v>
      </c>
      <c r="AH2923" s="143">
        <f t="shared" si="115"/>
        <v>1000</v>
      </c>
    </row>
    <row r="2924" spans="1:431" x14ac:dyDescent="0.3">
      <c r="A2924" s="140">
        <v>905292</v>
      </c>
      <c r="B2924" s="138">
        <v>38.666666666666657</v>
      </c>
      <c r="C2924" s="138">
        <v>12.999999999999998</v>
      </c>
      <c r="D2924" s="152">
        <v>8.43</v>
      </c>
      <c r="E2924" s="752">
        <v>0.14499999999999999</v>
      </c>
      <c r="F2924" s="142">
        <v>159.5</v>
      </c>
      <c r="H2924" s="142">
        <v>6.79</v>
      </c>
      <c r="I2924" s="142">
        <v>260</v>
      </c>
      <c r="J2924" s="795">
        <v>4.8000000000000001E-2</v>
      </c>
      <c r="K2924" s="138">
        <v>8.1300000000000008</v>
      </c>
      <c r="L2924" s="140">
        <v>690</v>
      </c>
      <c r="M2924" s="795">
        <v>0.28999999999999998</v>
      </c>
      <c r="N2924" s="795">
        <v>0.73</v>
      </c>
      <c r="O2924" s="795">
        <v>2.21</v>
      </c>
      <c r="P2924" s="795">
        <v>5.13</v>
      </c>
      <c r="R2924" s="139">
        <v>1.6076742799999999</v>
      </c>
      <c r="S2924" s="138">
        <v>11.14</v>
      </c>
      <c r="Y2924" s="138">
        <v>27.5</v>
      </c>
      <c r="AD2924" s="70">
        <v>550</v>
      </c>
      <c r="AE2924" s="70">
        <v>330</v>
      </c>
      <c r="AF2924" s="70">
        <v>120</v>
      </c>
      <c r="AG2924" s="66">
        <f t="shared" si="114"/>
        <v>104.65527272727275</v>
      </c>
      <c r="AH2924" s="143">
        <f t="shared" si="115"/>
        <v>1000</v>
      </c>
    </row>
    <row r="2925" spans="1:431" x14ac:dyDescent="0.3">
      <c r="A2925" s="140">
        <v>905293</v>
      </c>
      <c r="B2925" s="138">
        <v>28.500000000000004</v>
      </c>
      <c r="C2925" s="138">
        <v>13.249999999999996</v>
      </c>
      <c r="D2925" s="152">
        <v>8.2200000000000006</v>
      </c>
      <c r="E2925" s="752">
        <v>0.14199999999999999</v>
      </c>
      <c r="F2925" s="142">
        <v>156.20000000000002</v>
      </c>
      <c r="H2925" s="142">
        <v>16.27</v>
      </c>
      <c r="I2925" s="142">
        <v>290</v>
      </c>
      <c r="J2925" s="795">
        <v>5.2999999999999999E-2</v>
      </c>
      <c r="K2925" s="138">
        <v>12.6</v>
      </c>
      <c r="L2925" s="140">
        <v>740</v>
      </c>
      <c r="M2925" s="795">
        <v>0.28999999999999998</v>
      </c>
      <c r="N2925" s="795">
        <v>0.83</v>
      </c>
      <c r="O2925" s="795">
        <v>2.34</v>
      </c>
      <c r="P2925" s="795">
        <v>5.49</v>
      </c>
      <c r="R2925" s="139">
        <v>1.1305304894103356</v>
      </c>
      <c r="S2925" s="138">
        <v>8.42</v>
      </c>
      <c r="Y2925" s="138">
        <v>29</v>
      </c>
      <c r="AD2925" s="70">
        <v>580</v>
      </c>
      <c r="AE2925" s="70">
        <v>320</v>
      </c>
      <c r="AF2925" s="70">
        <v>100</v>
      </c>
      <c r="AG2925" s="66">
        <f t="shared" si="114"/>
        <v>153.80689655172412</v>
      </c>
      <c r="AH2925" s="143">
        <f t="shared" si="115"/>
        <v>1000</v>
      </c>
    </row>
    <row r="2926" spans="1:431" x14ac:dyDescent="0.3">
      <c r="A2926" s="140">
        <v>905294</v>
      </c>
      <c r="B2926" s="138">
        <v>2.8055555555555554</v>
      </c>
      <c r="D2926" s="152">
        <v>8</v>
      </c>
      <c r="E2926" s="752">
        <v>0.218</v>
      </c>
      <c r="F2926" s="142">
        <v>239.8</v>
      </c>
      <c r="H2926" s="142">
        <v>81.459999999999994</v>
      </c>
      <c r="I2926" s="142">
        <v>90</v>
      </c>
      <c r="J2926" s="795">
        <v>8.8999999999999996E-2</v>
      </c>
      <c r="K2926" s="138">
        <v>6.48</v>
      </c>
      <c r="L2926" s="140">
        <v>200</v>
      </c>
      <c r="M2926" s="795">
        <v>1.1299999999999999</v>
      </c>
      <c r="N2926" s="795">
        <v>0.3</v>
      </c>
      <c r="O2926" s="795">
        <v>1.71</v>
      </c>
      <c r="P2926" s="795">
        <v>9.7799999999999994</v>
      </c>
      <c r="R2926" s="139">
        <v>1.6821579200000001</v>
      </c>
      <c r="S2926" s="138">
        <v>13.12</v>
      </c>
      <c r="Y2926" s="138">
        <v>16.8</v>
      </c>
      <c r="AD2926" s="70">
        <v>240</v>
      </c>
      <c r="AE2926" s="70">
        <v>160</v>
      </c>
      <c r="AF2926" s="70">
        <v>600</v>
      </c>
      <c r="AG2926" s="66">
        <f t="shared" si="114"/>
        <v>136.54285714285717</v>
      </c>
      <c r="AH2926" s="143">
        <f t="shared" si="115"/>
        <v>1000</v>
      </c>
    </row>
    <row r="2927" spans="1:431" x14ac:dyDescent="0.3">
      <c r="A2927" s="140">
        <v>905295</v>
      </c>
      <c r="B2927" s="138">
        <v>37.999999999999993</v>
      </c>
      <c r="C2927" s="138">
        <v>10.499999999999998</v>
      </c>
      <c r="D2927" s="152">
        <v>8.7100000000000009</v>
      </c>
      <c r="E2927" s="752">
        <v>0.21</v>
      </c>
      <c r="F2927" s="142">
        <v>231</v>
      </c>
      <c r="H2927" s="142">
        <v>3.35</v>
      </c>
      <c r="I2927" s="142">
        <v>450</v>
      </c>
      <c r="J2927" s="795">
        <v>0.157</v>
      </c>
      <c r="K2927" s="138">
        <v>8.3000000000000007</v>
      </c>
      <c r="L2927" s="140">
        <v>410</v>
      </c>
      <c r="M2927" s="795">
        <v>0.15</v>
      </c>
      <c r="N2927" s="795">
        <v>0.64</v>
      </c>
      <c r="O2927" s="795">
        <v>1.73</v>
      </c>
      <c r="P2927" s="795">
        <v>1.99</v>
      </c>
      <c r="R2927" s="139">
        <v>0.57660964146692018</v>
      </c>
      <c r="S2927" s="138">
        <v>4.18</v>
      </c>
      <c r="Y2927" s="138">
        <v>27</v>
      </c>
      <c r="AD2927" s="70">
        <v>540</v>
      </c>
      <c r="AE2927" s="70">
        <v>300</v>
      </c>
      <c r="AF2927" s="70">
        <v>160</v>
      </c>
      <c r="AG2927" s="66">
        <f t="shared" si="114"/>
        <v>108.82222222222224</v>
      </c>
      <c r="AH2927" s="143">
        <f t="shared" si="115"/>
        <v>1000</v>
      </c>
    </row>
    <row r="2928" spans="1:431" x14ac:dyDescent="0.3">
      <c r="A2928" s="140">
        <v>905296</v>
      </c>
      <c r="B2928" s="138">
        <v>37.5</v>
      </c>
      <c r="C2928" s="138">
        <v>10.25</v>
      </c>
      <c r="D2928" s="152">
        <v>8.74</v>
      </c>
      <c r="E2928" s="752">
        <v>0.192</v>
      </c>
      <c r="F2928" s="142">
        <v>211.20000000000002</v>
      </c>
      <c r="H2928" s="142">
        <v>69.239999999999995</v>
      </c>
      <c r="I2928" s="142">
        <v>320</v>
      </c>
      <c r="J2928" s="795">
        <v>0.14099999999999999</v>
      </c>
      <c r="K2928" s="138">
        <v>7.75</v>
      </c>
      <c r="L2928" s="140">
        <v>620</v>
      </c>
      <c r="M2928" s="795">
        <v>0.96</v>
      </c>
      <c r="N2928" s="795">
        <v>0.61</v>
      </c>
      <c r="O2928" s="795">
        <v>1.04</v>
      </c>
      <c r="P2928" s="795">
        <v>3.29</v>
      </c>
      <c r="R2928" s="139">
        <v>1.4353664790768939</v>
      </c>
      <c r="S2928" s="138">
        <v>10.18</v>
      </c>
      <c r="Y2928" s="138">
        <v>23.8</v>
      </c>
      <c r="AD2928" s="70">
        <v>340</v>
      </c>
      <c r="AE2928" s="70">
        <v>300</v>
      </c>
      <c r="AF2928" s="70">
        <v>360</v>
      </c>
      <c r="AG2928" s="66">
        <f t="shared" si="114"/>
        <v>115.27310924369748</v>
      </c>
      <c r="AH2928" s="143">
        <f t="shared" si="115"/>
        <v>1000</v>
      </c>
    </row>
    <row r="2929" spans="1:34" x14ac:dyDescent="0.3">
      <c r="A2929" s="140">
        <v>905297</v>
      </c>
      <c r="B2929" s="138">
        <v>0.23333333333333331</v>
      </c>
      <c r="D2929" s="152">
        <v>6.24</v>
      </c>
      <c r="E2929" s="752">
        <v>0.14000000000000001</v>
      </c>
      <c r="F2929" s="142">
        <v>154.00000000000003</v>
      </c>
      <c r="H2929" s="142">
        <v>25.33</v>
      </c>
      <c r="I2929" s="142">
        <v>80</v>
      </c>
      <c r="J2929" s="795">
        <v>0.10299999999999999</v>
      </c>
      <c r="K2929" s="138">
        <v>0.67</v>
      </c>
      <c r="L2929" s="140">
        <v>140</v>
      </c>
      <c r="M2929" s="795">
        <v>0.19</v>
      </c>
      <c r="N2929" s="795">
        <v>0.54</v>
      </c>
      <c r="O2929" s="795">
        <v>16.55</v>
      </c>
      <c r="P2929" s="795">
        <v>24.34</v>
      </c>
      <c r="R2929" s="139">
        <v>0.44540532533738414</v>
      </c>
      <c r="S2929" s="138">
        <v>3.26</v>
      </c>
      <c r="Y2929" s="138">
        <v>5.6</v>
      </c>
      <c r="Z2929" s="140">
        <v>5.23</v>
      </c>
      <c r="AA2929" s="139">
        <v>4.71</v>
      </c>
      <c r="AB2929" s="139">
        <v>0.46899999999999997</v>
      </c>
      <c r="AC2929" s="140">
        <v>9.5</v>
      </c>
      <c r="AD2929" s="70">
        <v>80</v>
      </c>
      <c r="AE2929" s="70">
        <v>60</v>
      </c>
      <c r="AF2929" s="70">
        <v>860</v>
      </c>
      <c r="AG2929" s="66">
        <f t="shared" si="114"/>
        <v>42.353571428571435</v>
      </c>
      <c r="AH2929" s="143">
        <f t="shared" si="115"/>
        <v>1000</v>
      </c>
    </row>
    <row r="2930" spans="1:34" x14ac:dyDescent="0.3">
      <c r="A2930" s="140">
        <v>905298</v>
      </c>
      <c r="B2930" s="138">
        <v>44.666666666666664</v>
      </c>
      <c r="C2930" s="138">
        <v>9.1999999999999993</v>
      </c>
      <c r="D2930" s="152">
        <v>8.33</v>
      </c>
      <c r="E2930" s="752">
        <v>0.114</v>
      </c>
      <c r="F2930" s="142">
        <v>125.4</v>
      </c>
      <c r="H2930" s="142">
        <v>18.78</v>
      </c>
      <c r="I2930" s="142">
        <v>170</v>
      </c>
      <c r="J2930" s="795">
        <v>3.3000000000000002E-2</v>
      </c>
      <c r="K2930" s="138">
        <v>12.08</v>
      </c>
      <c r="L2930" s="140">
        <v>300</v>
      </c>
      <c r="M2930" s="795">
        <v>0.44</v>
      </c>
      <c r="N2930" s="795">
        <v>0.65</v>
      </c>
      <c r="O2930" s="795">
        <v>2.78</v>
      </c>
      <c r="P2930" s="795">
        <v>1.78</v>
      </c>
      <c r="R2930" s="139">
        <v>1.1880238765931226</v>
      </c>
      <c r="S2930" s="138">
        <v>8.06</v>
      </c>
      <c r="Y2930" s="138">
        <v>26.6</v>
      </c>
      <c r="AA2930" s="139">
        <v>4.0599999999999996</v>
      </c>
      <c r="AB2930" s="139">
        <v>0.80900000000000005</v>
      </c>
      <c r="AC2930" s="140">
        <v>8</v>
      </c>
      <c r="AD2930" s="70">
        <v>380</v>
      </c>
      <c r="AE2930" s="70">
        <v>340</v>
      </c>
      <c r="AF2930" s="70">
        <v>280</v>
      </c>
      <c r="AG2930" s="66">
        <f t="shared" si="114"/>
        <v>160.76390977443606</v>
      </c>
      <c r="AH2930" s="143">
        <f t="shared" si="115"/>
        <v>1000</v>
      </c>
    </row>
    <row r="2931" spans="1:34" x14ac:dyDescent="0.3">
      <c r="A2931" s="140">
        <v>905299</v>
      </c>
      <c r="B2931" s="138">
        <v>16</v>
      </c>
      <c r="C2931" s="138">
        <v>9</v>
      </c>
      <c r="D2931" s="152">
        <v>8.1199999999999992</v>
      </c>
      <c r="E2931" s="752">
        <v>0.14199999999999999</v>
      </c>
      <c r="F2931" s="142">
        <v>156.20000000000002</v>
      </c>
      <c r="H2931" s="142">
        <v>30</v>
      </c>
      <c r="I2931" s="142">
        <v>460</v>
      </c>
      <c r="J2931" s="795">
        <v>4.7E-2</v>
      </c>
      <c r="K2931" s="138">
        <v>11.73</v>
      </c>
      <c r="L2931" s="140">
        <v>640</v>
      </c>
      <c r="M2931" s="795">
        <v>0.62</v>
      </c>
      <c r="N2931" s="795">
        <v>0.92</v>
      </c>
      <c r="O2931" s="795">
        <v>3.78</v>
      </c>
      <c r="P2931" s="795">
        <v>2.71</v>
      </c>
      <c r="R2931" s="139">
        <v>1.7117482499999999</v>
      </c>
      <c r="S2931" s="138">
        <v>13.95</v>
      </c>
      <c r="Y2931" s="138">
        <v>28</v>
      </c>
      <c r="AA2931" s="139">
        <v>3.73</v>
      </c>
      <c r="AB2931" s="139">
        <v>0.81699999999999995</v>
      </c>
      <c r="AC2931" s="140">
        <v>9.6</v>
      </c>
      <c r="AD2931" s="70">
        <v>560</v>
      </c>
      <c r="AE2931" s="70">
        <v>330</v>
      </c>
      <c r="AF2931" s="70">
        <v>110</v>
      </c>
      <c r="AG2931" s="66">
        <f t="shared" si="114"/>
        <v>148.30071428571429</v>
      </c>
      <c r="AH2931" s="143">
        <f t="shared" si="115"/>
        <v>1000</v>
      </c>
    </row>
    <row r="2932" spans="1:34" x14ac:dyDescent="0.3">
      <c r="A2932" s="140">
        <v>905300</v>
      </c>
      <c r="B2932" s="138">
        <v>6.5</v>
      </c>
      <c r="D2932" s="152">
        <v>7.9</v>
      </c>
      <c r="E2932" s="752">
        <v>0.23499999999999999</v>
      </c>
      <c r="F2932" s="142">
        <v>258.5</v>
      </c>
      <c r="H2932" s="142">
        <v>501.32</v>
      </c>
      <c r="I2932" s="142">
        <v>390</v>
      </c>
      <c r="J2932" s="795">
        <v>4.4999999999999998E-2</v>
      </c>
      <c r="K2932" s="138">
        <v>7.15</v>
      </c>
      <c r="L2932" s="140">
        <v>660</v>
      </c>
      <c r="M2932" s="795">
        <v>3.39</v>
      </c>
      <c r="N2932" s="795">
        <v>1.32</v>
      </c>
      <c r="O2932" s="795">
        <v>1.26</v>
      </c>
      <c r="P2932" s="795">
        <v>6.8</v>
      </c>
      <c r="R2932" s="139">
        <v>1.1638253194239598</v>
      </c>
      <c r="S2932" s="138">
        <v>8.68</v>
      </c>
      <c r="Y2932" s="138">
        <v>5</v>
      </c>
      <c r="AD2932" s="70">
        <v>100</v>
      </c>
      <c r="AE2932" s="70">
        <v>80</v>
      </c>
      <c r="AF2932" s="70">
        <v>820</v>
      </c>
      <c r="AG2932" s="66">
        <f t="shared" si="114"/>
        <v>506.21999999999997</v>
      </c>
      <c r="AH2932" s="143">
        <f t="shared" si="115"/>
        <v>1000</v>
      </c>
    </row>
    <row r="2933" spans="1:34" x14ac:dyDescent="0.3">
      <c r="A2933" s="140">
        <v>905301</v>
      </c>
      <c r="B2933" s="138">
        <v>4.8055555555555554</v>
      </c>
      <c r="D2933" s="152">
        <v>7.82</v>
      </c>
      <c r="E2933" s="752">
        <v>0.23300000000000001</v>
      </c>
      <c r="F2933" s="142">
        <v>256.3</v>
      </c>
      <c r="H2933" s="142">
        <v>505.82</v>
      </c>
      <c r="I2933" s="142">
        <v>170</v>
      </c>
      <c r="J2933" s="795">
        <v>3.7999999999999999E-2</v>
      </c>
      <c r="K2933" s="138">
        <v>4.13</v>
      </c>
      <c r="L2933" s="140">
        <v>300</v>
      </c>
      <c r="M2933" s="795">
        <v>5.07</v>
      </c>
      <c r="N2933" s="795">
        <v>1.61</v>
      </c>
      <c r="O2933" s="795">
        <v>1.06</v>
      </c>
      <c r="P2933" s="795">
        <v>7.45</v>
      </c>
      <c r="R2933" s="139">
        <v>0.70746892830816321</v>
      </c>
      <c r="S2933" s="138">
        <v>5.0199999999999996</v>
      </c>
      <c r="Y2933" s="138">
        <v>4</v>
      </c>
      <c r="AD2933" s="70">
        <v>80</v>
      </c>
      <c r="AE2933" s="70">
        <v>60</v>
      </c>
      <c r="AF2933" s="70">
        <v>860</v>
      </c>
      <c r="AG2933" s="66">
        <f t="shared" si="114"/>
        <v>365.505</v>
      </c>
      <c r="AH2933" s="143">
        <f t="shared" si="115"/>
        <v>1000</v>
      </c>
    </row>
    <row r="2934" spans="1:34" x14ac:dyDescent="0.3">
      <c r="A2934" s="140">
        <v>905302</v>
      </c>
      <c r="B2934" s="138">
        <v>14.666666666666666</v>
      </c>
      <c r="C2934" s="138">
        <v>7.9999999999999982</v>
      </c>
      <c r="D2934" s="152">
        <v>8.51</v>
      </c>
      <c r="E2934" s="752">
        <v>0.41799999999999998</v>
      </c>
      <c r="F2934" s="142">
        <v>459.80000000000007</v>
      </c>
      <c r="H2934" s="142">
        <v>25.2</v>
      </c>
      <c r="I2934" s="142">
        <v>250</v>
      </c>
      <c r="J2934" s="795">
        <v>0.307</v>
      </c>
      <c r="K2934" s="138">
        <v>8.14</v>
      </c>
      <c r="L2934" s="140">
        <v>710</v>
      </c>
      <c r="M2934" s="795">
        <v>0.72</v>
      </c>
      <c r="N2934" s="795">
        <v>0.49</v>
      </c>
      <c r="O2934" s="795">
        <v>1.96</v>
      </c>
      <c r="P2934" s="795">
        <v>3.22</v>
      </c>
      <c r="R2934" s="139">
        <v>0.78102437600491115</v>
      </c>
      <c r="S2934" s="138">
        <v>5.28</v>
      </c>
      <c r="Y2934" s="138">
        <v>25.5</v>
      </c>
      <c r="AA2934" s="139">
        <v>4.1900000000000004</v>
      </c>
      <c r="AB2934" s="139">
        <v>0.54800000000000004</v>
      </c>
      <c r="AC2934" s="140">
        <v>6.5</v>
      </c>
      <c r="AD2934" s="70">
        <v>510</v>
      </c>
      <c r="AE2934" s="70">
        <v>390</v>
      </c>
      <c r="AF2934" s="70">
        <v>100</v>
      </c>
      <c r="AG2934" s="66">
        <f t="shared" si="114"/>
        <v>113.00235294117648</v>
      </c>
      <c r="AH2934" s="143">
        <f t="shared" si="115"/>
        <v>1000</v>
      </c>
    </row>
    <row r="2935" spans="1:34" s="90" customFormat="1" x14ac:dyDescent="0.3">
      <c r="A2935" s="1150">
        <v>905325</v>
      </c>
      <c r="B2935" s="1151">
        <v>0.1</v>
      </c>
      <c r="C2935" s="1151"/>
      <c r="D2935" s="1152">
        <v>5.83</v>
      </c>
      <c r="E2935" s="1581">
        <v>7.8E-2</v>
      </c>
      <c r="F2935" s="1150">
        <v>85.8</v>
      </c>
      <c r="G2935" s="1150"/>
      <c r="H2935" s="1153">
        <v>26</v>
      </c>
      <c r="I2935" s="1153">
        <v>86</v>
      </c>
      <c r="J2935" s="1154">
        <v>3.4000000000000002E-2</v>
      </c>
      <c r="K2935" s="1151">
        <v>0.71</v>
      </c>
      <c r="L2935" s="1150">
        <v>100</v>
      </c>
      <c r="M2935" s="1150">
        <v>0.46</v>
      </c>
      <c r="N2935" s="1150">
        <v>0.87</v>
      </c>
      <c r="O2935" s="1150">
        <v>23.07</v>
      </c>
      <c r="P2935" s="1150">
        <v>30.25</v>
      </c>
      <c r="Q2935" s="1150"/>
      <c r="R2935" s="1152">
        <v>1.1294695401930412</v>
      </c>
      <c r="S2935" s="1151">
        <v>7.48</v>
      </c>
      <c r="T2935" s="1150"/>
      <c r="U2935" s="1150"/>
      <c r="V2935" s="1150"/>
      <c r="W2935" s="1150"/>
      <c r="X2935" s="1150"/>
      <c r="Y2935" s="1150">
        <v>28.8</v>
      </c>
      <c r="Z2935" s="1150">
        <v>5.7</v>
      </c>
      <c r="AA2935" s="1150">
        <v>4.26</v>
      </c>
      <c r="AB2935" s="1150">
        <v>0.78300000000000003</v>
      </c>
      <c r="AC2935" s="1150">
        <v>8.1</v>
      </c>
      <c r="AD2935" s="1155">
        <v>480</v>
      </c>
      <c r="AE2935" s="1155">
        <v>320</v>
      </c>
      <c r="AF2935" s="1155">
        <v>200</v>
      </c>
      <c r="AG2935" s="66">
        <f t="shared" si="114"/>
        <v>8.7270833333333329</v>
      </c>
      <c r="AH2935" s="143">
        <f t="shared" si="115"/>
        <v>1000</v>
      </c>
    </row>
    <row r="2936" spans="1:34" s="90" customFormat="1" x14ac:dyDescent="0.3">
      <c r="A2936" s="1150">
        <v>905326</v>
      </c>
      <c r="B2936" s="1151">
        <v>0.1</v>
      </c>
      <c r="C2936" s="1151"/>
      <c r="D2936" s="1152">
        <v>5.54</v>
      </c>
      <c r="E2936" s="1581">
        <v>5.0999999999999997E-2</v>
      </c>
      <c r="F2936" s="1150">
        <v>56.1</v>
      </c>
      <c r="G2936" s="1150"/>
      <c r="H2936" s="1153">
        <v>23</v>
      </c>
      <c r="I2936" s="1153">
        <v>85</v>
      </c>
      <c r="J2936" s="1154">
        <v>6.4000000000000001E-2</v>
      </c>
      <c r="K2936" s="1151">
        <v>0.76</v>
      </c>
      <c r="L2936" s="1150">
        <v>112</v>
      </c>
      <c r="M2936" s="1150">
        <v>0.42</v>
      </c>
      <c r="N2936" s="1150">
        <v>0.75</v>
      </c>
      <c r="O2936" s="1150">
        <v>9.48</v>
      </c>
      <c r="P2936" s="1150">
        <v>39.630000000000003</v>
      </c>
      <c r="Q2936" s="1150"/>
      <c r="R2936" s="1152">
        <v>1.0954113522110678</v>
      </c>
      <c r="S2936" s="1151">
        <v>8.1999999999999993</v>
      </c>
      <c r="T2936" s="1150"/>
      <c r="U2936" s="1150"/>
      <c r="V2936" s="1150"/>
      <c r="W2936" s="1150"/>
      <c r="X2936" s="1150"/>
      <c r="Y2936" s="1150">
        <v>25</v>
      </c>
      <c r="Z2936" s="1150">
        <v>5.22</v>
      </c>
      <c r="AA2936" s="1150">
        <v>4.3</v>
      </c>
      <c r="AB2936" s="1150">
        <v>0.54100000000000004</v>
      </c>
      <c r="AC2936" s="1150">
        <v>10.6</v>
      </c>
      <c r="AD2936" s="1155">
        <v>500</v>
      </c>
      <c r="AE2936" s="1155">
        <v>280</v>
      </c>
      <c r="AF2936" s="1155">
        <v>220</v>
      </c>
      <c r="AG2936" s="66">
        <f t="shared" si="114"/>
        <v>10.761599999999998</v>
      </c>
      <c r="AH2936" s="143">
        <f t="shared" si="115"/>
        <v>1000</v>
      </c>
    </row>
    <row r="2937" spans="1:34" x14ac:dyDescent="0.3">
      <c r="A2937" s="140">
        <v>905303</v>
      </c>
      <c r="B2937" s="138">
        <v>29.6</v>
      </c>
      <c r="C2937" s="138">
        <v>11.124999999999998</v>
      </c>
      <c r="D2937" s="152">
        <v>7.9</v>
      </c>
      <c r="E2937" s="752">
        <v>2.1800000000000002</v>
      </c>
      <c r="F2937" s="142">
        <v>2398.0000000000005</v>
      </c>
      <c r="H2937" s="142">
        <v>15.79</v>
      </c>
      <c r="I2937" s="142">
        <v>194</v>
      </c>
      <c r="J2937" s="141">
        <v>2.5</v>
      </c>
      <c r="K2937" s="138">
        <v>12.45</v>
      </c>
      <c r="L2937" s="795">
        <v>1123</v>
      </c>
      <c r="M2937" s="795">
        <v>0.54</v>
      </c>
      <c r="N2937" s="795">
        <v>1.22</v>
      </c>
      <c r="O2937" s="795">
        <v>3.08</v>
      </c>
      <c r="P2937" s="795">
        <v>1.84</v>
      </c>
      <c r="R2937" s="139">
        <v>0.84317703249327336</v>
      </c>
      <c r="S2937" s="138">
        <v>6.1</v>
      </c>
      <c r="Y2937" s="138">
        <v>29</v>
      </c>
      <c r="AD2937" s="70">
        <v>580</v>
      </c>
      <c r="AE2937" s="70">
        <v>300</v>
      </c>
      <c r="AF2937" s="70">
        <v>120</v>
      </c>
      <c r="AG2937" s="66">
        <f t="shared" si="114"/>
        <v>151.97586206896551</v>
      </c>
      <c r="AH2937" s="143">
        <f t="shared" si="115"/>
        <v>1000</v>
      </c>
    </row>
    <row r="2938" spans="1:34" x14ac:dyDescent="0.3">
      <c r="A2938" s="140">
        <v>905304</v>
      </c>
      <c r="B2938" s="138">
        <v>35</v>
      </c>
      <c r="C2938" s="138">
        <v>8.8749999999999964</v>
      </c>
      <c r="D2938" s="152">
        <v>8.2100000000000009</v>
      </c>
      <c r="E2938" s="752">
        <v>0.65300000000000002</v>
      </c>
      <c r="F2938" s="142">
        <v>718.30000000000007</v>
      </c>
      <c r="H2938" s="142">
        <v>3.36</v>
      </c>
      <c r="I2938" s="142">
        <v>123</v>
      </c>
      <c r="J2938" s="141">
        <v>0.71799999999999997</v>
      </c>
      <c r="K2938" s="138">
        <v>10.220000000000001</v>
      </c>
      <c r="L2938" s="795">
        <v>826</v>
      </c>
      <c r="M2938" s="795">
        <v>0.21</v>
      </c>
      <c r="N2938" s="795">
        <v>0.4</v>
      </c>
      <c r="O2938" s="795">
        <v>5.24</v>
      </c>
      <c r="P2938" s="795">
        <v>2.96</v>
      </c>
      <c r="R2938" s="139">
        <v>0.46489033941449126</v>
      </c>
      <c r="S2938" s="138">
        <v>3.3000000000000003</v>
      </c>
      <c r="Y2938" s="138">
        <v>35</v>
      </c>
      <c r="AD2938" s="70">
        <v>500</v>
      </c>
      <c r="AE2938" s="70">
        <v>400</v>
      </c>
      <c r="AF2938" s="70">
        <v>100</v>
      </c>
      <c r="AG2938" s="66">
        <f t="shared" si="114"/>
        <v>103.36800000000001</v>
      </c>
      <c r="AH2938" s="143">
        <f t="shared" si="115"/>
        <v>1000</v>
      </c>
    </row>
    <row r="2939" spans="1:34" x14ac:dyDescent="0.3">
      <c r="A2939" s="140">
        <v>905305</v>
      </c>
      <c r="B2939" s="138">
        <v>34.200000000000003</v>
      </c>
      <c r="C2939" s="138">
        <v>9.3749999999999982</v>
      </c>
      <c r="D2939" s="152">
        <v>8.0299999999999994</v>
      </c>
      <c r="E2939" s="752">
        <v>0.74099999999999999</v>
      </c>
      <c r="F2939" s="142">
        <v>815.1</v>
      </c>
      <c r="H2939" s="142">
        <v>1.22</v>
      </c>
      <c r="I2939" s="142">
        <v>76</v>
      </c>
      <c r="J2939" s="141">
        <v>0.63700000000000001</v>
      </c>
      <c r="K2939" s="138">
        <v>8.6199999999999992</v>
      </c>
      <c r="L2939" s="795">
        <v>572</v>
      </c>
      <c r="M2939" s="795">
        <v>0.15</v>
      </c>
      <c r="N2939" s="795">
        <v>0.39</v>
      </c>
      <c r="O2939" s="795">
        <v>2.5499999999999998</v>
      </c>
      <c r="P2939" s="795">
        <v>3.1</v>
      </c>
      <c r="R2939" s="139">
        <v>0.44931241592880961</v>
      </c>
      <c r="S2939" s="138">
        <v>3.2</v>
      </c>
      <c r="Y2939" s="138">
        <v>32.200000000000003</v>
      </c>
      <c r="AD2939" s="70">
        <v>460</v>
      </c>
      <c r="AE2939" s="70">
        <v>360</v>
      </c>
      <c r="AF2939" s="70">
        <v>180</v>
      </c>
      <c r="AG2939" s="66">
        <f t="shared" si="114"/>
        <v>94.766459627329169</v>
      </c>
      <c r="AH2939" s="143">
        <f t="shared" si="115"/>
        <v>1000</v>
      </c>
    </row>
    <row r="2940" spans="1:34" x14ac:dyDescent="0.3">
      <c r="A2940" s="140">
        <v>905306</v>
      </c>
      <c r="B2940" s="138">
        <v>60</v>
      </c>
      <c r="C2940" s="138">
        <v>17.25</v>
      </c>
      <c r="D2940" s="152">
        <v>8.0399999999999991</v>
      </c>
      <c r="E2940" s="752">
        <v>0.17199999999999999</v>
      </c>
      <c r="F2940" s="142">
        <v>189.20000000000002</v>
      </c>
      <c r="H2940" s="142">
        <v>15.12</v>
      </c>
      <c r="I2940" s="142">
        <v>96</v>
      </c>
      <c r="J2940" s="141">
        <v>0.12</v>
      </c>
      <c r="K2940" s="138">
        <v>11.94</v>
      </c>
      <c r="L2940" s="795">
        <v>123</v>
      </c>
      <c r="M2940" s="795">
        <v>0.13</v>
      </c>
      <c r="N2940" s="795">
        <v>0.41</v>
      </c>
      <c r="O2940" s="795">
        <v>2.0699999999999998</v>
      </c>
      <c r="P2940" s="795">
        <v>2.12</v>
      </c>
      <c r="R2940" s="139">
        <v>1.3168613075508164</v>
      </c>
      <c r="S2940" s="138">
        <v>9.2000000000000011</v>
      </c>
      <c r="Y2940" s="138">
        <v>28.8</v>
      </c>
      <c r="AA2940" s="139">
        <v>3.47</v>
      </c>
      <c r="AB2940" s="139">
        <v>0.78100000000000003</v>
      </c>
      <c r="AC2940" s="140">
        <v>8</v>
      </c>
      <c r="AD2940" s="70">
        <v>480</v>
      </c>
      <c r="AE2940" s="70">
        <v>300</v>
      </c>
      <c r="AF2940" s="70">
        <v>170</v>
      </c>
      <c r="AG2940" s="66">
        <f t="shared" si="114"/>
        <v>146.76250000000002</v>
      </c>
      <c r="AH2940" s="143">
        <f t="shared" si="115"/>
        <v>950</v>
      </c>
    </row>
    <row r="2941" spans="1:34" x14ac:dyDescent="0.3">
      <c r="A2941" s="140">
        <v>905307</v>
      </c>
      <c r="B2941" s="138">
        <v>75</v>
      </c>
      <c r="C2941" s="138">
        <v>16.249999999999996</v>
      </c>
      <c r="D2941" s="152">
        <v>8.1300000000000008</v>
      </c>
      <c r="E2941" s="752">
        <v>0.13600000000000001</v>
      </c>
      <c r="F2941" s="142">
        <v>149.60000000000002</v>
      </c>
      <c r="H2941" s="142">
        <v>2.89</v>
      </c>
      <c r="I2941" s="142">
        <v>53</v>
      </c>
      <c r="J2941" s="141">
        <v>4.2000000000000003E-2</v>
      </c>
      <c r="K2941" s="138">
        <v>11.56</v>
      </c>
      <c r="L2941" s="795">
        <v>86</v>
      </c>
      <c r="M2941" s="795">
        <v>0.05</v>
      </c>
      <c r="N2941" s="795">
        <v>0.18</v>
      </c>
      <c r="O2941" s="795">
        <v>0.8</v>
      </c>
      <c r="P2941" s="795">
        <v>1.2</v>
      </c>
      <c r="R2941" s="139">
        <v>0.53112921910424848</v>
      </c>
      <c r="S2941" s="138">
        <v>3.9000000000000004</v>
      </c>
      <c r="Y2941" s="138">
        <v>23.5</v>
      </c>
      <c r="AA2941" s="139">
        <v>3.99</v>
      </c>
      <c r="AB2941" s="139">
        <v>0.72399999999999998</v>
      </c>
      <c r="AC2941" s="140">
        <v>6.9</v>
      </c>
      <c r="AD2941" s="70">
        <v>470</v>
      </c>
      <c r="AE2941" s="70">
        <v>360</v>
      </c>
      <c r="AF2941" s="70">
        <v>170</v>
      </c>
      <c r="AG2941" s="66">
        <f t="shared" si="114"/>
        <v>174.13787234042553</v>
      </c>
      <c r="AH2941" s="143">
        <f t="shared" si="115"/>
        <v>1000</v>
      </c>
    </row>
    <row r="2942" spans="1:34" x14ac:dyDescent="0.3">
      <c r="A2942" s="140">
        <v>905308</v>
      </c>
      <c r="B2942" s="138">
        <v>30.4</v>
      </c>
      <c r="C2942" s="138">
        <v>12.374999999999998</v>
      </c>
      <c r="D2942" s="152">
        <v>8.1199999999999992</v>
      </c>
      <c r="E2942" s="752">
        <v>0.11899999999999999</v>
      </c>
      <c r="F2942" s="142">
        <v>130.9</v>
      </c>
      <c r="H2942" s="142">
        <v>2.79</v>
      </c>
      <c r="I2942" s="142">
        <v>227</v>
      </c>
      <c r="J2942" s="141">
        <v>3.5000000000000003E-2</v>
      </c>
      <c r="K2942" s="138">
        <v>11.56</v>
      </c>
      <c r="L2942" s="795">
        <v>644</v>
      </c>
      <c r="M2942" s="795">
        <v>0.06</v>
      </c>
      <c r="N2942" s="795">
        <v>0.34</v>
      </c>
      <c r="O2942" s="795">
        <v>1.31</v>
      </c>
      <c r="P2942" s="795">
        <v>3.17</v>
      </c>
      <c r="R2942" s="139">
        <v>0.47022887065838576</v>
      </c>
      <c r="S2942" s="138">
        <v>3.3000000000000003</v>
      </c>
      <c r="Y2942" s="138">
        <v>34.200000000000003</v>
      </c>
      <c r="AA2942" s="139">
        <v>3.8</v>
      </c>
      <c r="AB2942" s="139">
        <v>0.33700000000000002</v>
      </c>
      <c r="AC2942" s="140">
        <v>9.6</v>
      </c>
      <c r="AD2942" s="70">
        <v>570</v>
      </c>
      <c r="AE2942" s="70">
        <v>330</v>
      </c>
      <c r="AF2942" s="70">
        <v>100</v>
      </c>
      <c r="AG2942" s="66">
        <f t="shared" si="114"/>
        <v>119.65614035087719</v>
      </c>
      <c r="AH2942" s="143">
        <f t="shared" si="115"/>
        <v>1000</v>
      </c>
    </row>
    <row r="2943" spans="1:34" x14ac:dyDescent="0.3">
      <c r="A2943" s="140">
        <v>905309</v>
      </c>
      <c r="B2943" s="138">
        <v>27.9</v>
      </c>
      <c r="C2943" s="138">
        <v>11.5</v>
      </c>
      <c r="D2943" s="152">
        <v>8.11</v>
      </c>
      <c r="E2943" s="752">
        <v>0.15</v>
      </c>
      <c r="F2943" s="142">
        <v>165</v>
      </c>
      <c r="H2943" s="142">
        <v>3.08</v>
      </c>
      <c r="I2943" s="142">
        <v>248</v>
      </c>
      <c r="J2943" s="141">
        <v>0.115</v>
      </c>
      <c r="K2943" s="138">
        <v>11.56</v>
      </c>
      <c r="L2943" s="795">
        <v>681</v>
      </c>
      <c r="M2943" s="795">
        <v>0.08</v>
      </c>
      <c r="N2943" s="795">
        <v>0.49</v>
      </c>
      <c r="O2943" s="795">
        <v>1.1100000000000001</v>
      </c>
      <c r="P2943" s="795">
        <v>2.78</v>
      </c>
      <c r="R2943" s="139">
        <v>1.1031602952835102</v>
      </c>
      <c r="S2943" s="138">
        <v>7.4</v>
      </c>
      <c r="Y2943" s="138">
        <v>35.4</v>
      </c>
      <c r="AA2943" s="139">
        <v>3.6</v>
      </c>
      <c r="AB2943" s="139">
        <v>0.28599999999999998</v>
      </c>
      <c r="AC2943" s="140">
        <v>10.3</v>
      </c>
      <c r="AD2943" s="70">
        <v>590</v>
      </c>
      <c r="AE2943" s="70">
        <v>310</v>
      </c>
      <c r="AF2943" s="70">
        <v>100</v>
      </c>
      <c r="AG2943" s="66">
        <f t="shared" si="114"/>
        <v>115.60000000000001</v>
      </c>
      <c r="AH2943" s="143">
        <f t="shared" si="115"/>
        <v>1000</v>
      </c>
    </row>
    <row r="2944" spans="1:34" x14ac:dyDescent="0.3">
      <c r="A2944" s="140">
        <v>905310</v>
      </c>
      <c r="B2944" s="138">
        <v>29.6</v>
      </c>
      <c r="C2944" s="138">
        <v>10.25</v>
      </c>
      <c r="D2944" s="152">
        <v>8.3000000000000007</v>
      </c>
      <c r="E2944" s="752">
        <v>0.154</v>
      </c>
      <c r="F2944" s="142">
        <v>169.40000000000003</v>
      </c>
      <c r="H2944" s="142">
        <v>4.0999999999999996</v>
      </c>
      <c r="I2944" s="142">
        <v>247</v>
      </c>
      <c r="J2944" s="141">
        <v>0.157</v>
      </c>
      <c r="K2944" s="138">
        <v>10.75</v>
      </c>
      <c r="L2944" s="795">
        <v>1034</v>
      </c>
      <c r="M2944" s="795">
        <v>0.08</v>
      </c>
      <c r="N2944" s="795">
        <v>0.44</v>
      </c>
      <c r="O2944" s="795">
        <v>0.92</v>
      </c>
      <c r="P2944" s="795">
        <v>2.84</v>
      </c>
      <c r="R2944" s="139">
        <v>0.52299397688481575</v>
      </c>
      <c r="S2944" s="138">
        <v>3.9000000000000004</v>
      </c>
      <c r="Y2944" s="138">
        <v>29</v>
      </c>
      <c r="AA2944" s="139">
        <v>3.58</v>
      </c>
      <c r="AB2944" s="139">
        <v>0.83199999999999996</v>
      </c>
      <c r="AC2944" s="140">
        <v>7.1</v>
      </c>
      <c r="AD2944" s="70">
        <v>580</v>
      </c>
      <c r="AE2944" s="70">
        <v>320</v>
      </c>
      <c r="AF2944" s="70">
        <v>100</v>
      </c>
      <c r="AG2944" s="66">
        <f t="shared" si="114"/>
        <v>131.22413793103448</v>
      </c>
      <c r="AH2944" s="143">
        <f t="shared" si="115"/>
        <v>1000</v>
      </c>
    </row>
    <row r="2945" spans="1:34" x14ac:dyDescent="0.3">
      <c r="A2945" s="140">
        <v>905311</v>
      </c>
      <c r="B2945" s="138">
        <v>28.3</v>
      </c>
      <c r="C2945" s="138">
        <v>9.2499999999999982</v>
      </c>
      <c r="D2945" s="152">
        <v>8.14</v>
      </c>
      <c r="E2945" s="752">
        <v>1.1299999999999999</v>
      </c>
      <c r="F2945" s="142">
        <v>1242.9999999999998</v>
      </c>
      <c r="H2945" s="142">
        <v>21.3</v>
      </c>
      <c r="I2945" s="142">
        <v>193</v>
      </c>
      <c r="J2945" s="141">
        <v>1.1870000000000001</v>
      </c>
      <c r="K2945" s="138">
        <v>10.74</v>
      </c>
      <c r="L2945" s="795">
        <v>885</v>
      </c>
      <c r="M2945" s="795">
        <v>0.34</v>
      </c>
      <c r="N2945" s="795">
        <v>0.6</v>
      </c>
      <c r="O2945" s="795">
        <v>1.92</v>
      </c>
      <c r="P2945" s="795">
        <v>2.29</v>
      </c>
      <c r="R2945" s="139">
        <v>0.6052573383536044</v>
      </c>
      <c r="S2945" s="138">
        <v>4.4000000000000004</v>
      </c>
      <c r="Y2945" s="138">
        <v>29</v>
      </c>
      <c r="AD2945" s="70">
        <v>580</v>
      </c>
      <c r="AE2945" s="70">
        <v>320</v>
      </c>
      <c r="AF2945" s="70">
        <v>100</v>
      </c>
      <c r="AG2945" s="66">
        <f t="shared" si="114"/>
        <v>131.10206896551725</v>
      </c>
      <c r="AH2945" s="143">
        <f t="shared" si="115"/>
        <v>1000</v>
      </c>
    </row>
    <row r="2946" spans="1:34" x14ac:dyDescent="0.3">
      <c r="A2946" s="140">
        <v>905312</v>
      </c>
      <c r="B2946" s="138">
        <v>27.5</v>
      </c>
      <c r="C2946" s="138">
        <v>10.624999999999998</v>
      </c>
      <c r="D2946" s="152">
        <v>7.94</v>
      </c>
      <c r="E2946" s="752">
        <v>1.83</v>
      </c>
      <c r="F2946" s="142">
        <v>2013.0000000000005</v>
      </c>
      <c r="H2946" s="142">
        <v>157.65</v>
      </c>
      <c r="I2946" s="142">
        <v>239</v>
      </c>
      <c r="J2946" s="141">
        <v>1.5089999999999999</v>
      </c>
      <c r="K2946" s="138">
        <v>11.38</v>
      </c>
      <c r="L2946" s="795">
        <v>982</v>
      </c>
      <c r="M2946" s="795">
        <v>0.99</v>
      </c>
      <c r="N2946" s="795">
        <v>0.86</v>
      </c>
      <c r="O2946" s="795">
        <v>1.52</v>
      </c>
      <c r="P2946" s="795">
        <v>2.46</v>
      </c>
      <c r="R2946" s="139">
        <v>1.6704920000000001</v>
      </c>
      <c r="S2946" s="138">
        <v>12.8</v>
      </c>
      <c r="Y2946" s="138">
        <v>35.9</v>
      </c>
      <c r="AD2946" s="70">
        <v>570</v>
      </c>
      <c r="AE2946" s="70">
        <v>330</v>
      </c>
      <c r="AF2946" s="70">
        <v>100</v>
      </c>
      <c r="AG2946" s="66">
        <f t="shared" ref="AG2946:AG3009" si="116">+K2946*3.54*100/Y2946</f>
        <v>112.21504178272983</v>
      </c>
      <c r="AH2946" s="143">
        <f t="shared" ref="AH2946:AH3009" si="117">+SUM(AD2946:AF2946)</f>
        <v>1000</v>
      </c>
    </row>
    <row r="2947" spans="1:34" x14ac:dyDescent="0.3">
      <c r="A2947" s="140">
        <v>905313</v>
      </c>
      <c r="B2947" s="138">
        <v>27.5</v>
      </c>
      <c r="C2947" s="138">
        <v>8.6249999999999982</v>
      </c>
      <c r="D2947" s="152">
        <v>7.92</v>
      </c>
      <c r="E2947" s="752">
        <v>2.2999999999999998</v>
      </c>
      <c r="F2947" s="142">
        <v>2530</v>
      </c>
      <c r="H2947" s="142">
        <v>95.55</v>
      </c>
      <c r="I2947" s="142">
        <v>206</v>
      </c>
      <c r="J2947" s="141">
        <v>2.427</v>
      </c>
      <c r="K2947" s="138">
        <v>12.16</v>
      </c>
      <c r="L2947" s="795">
        <v>1128</v>
      </c>
      <c r="M2947" s="795">
        <v>0.56999999999999995</v>
      </c>
      <c r="N2947" s="795">
        <v>0.69</v>
      </c>
      <c r="O2947" s="795">
        <v>3.38</v>
      </c>
      <c r="P2947" s="795">
        <v>2.87</v>
      </c>
      <c r="R2947" s="139">
        <v>0.88027739312760123</v>
      </c>
      <c r="S2947" s="138">
        <v>6.5</v>
      </c>
      <c r="Y2947" s="138">
        <v>34.5</v>
      </c>
      <c r="AD2947" s="70">
        <v>550</v>
      </c>
      <c r="AE2947" s="70">
        <v>360</v>
      </c>
      <c r="AF2947" s="70">
        <v>90</v>
      </c>
      <c r="AG2947" s="66">
        <f t="shared" si="116"/>
        <v>124.77217391304346</v>
      </c>
      <c r="AH2947" s="143">
        <f t="shared" si="117"/>
        <v>1000</v>
      </c>
    </row>
    <row r="2948" spans="1:34" x14ac:dyDescent="0.3">
      <c r="A2948" s="140">
        <v>905314</v>
      </c>
      <c r="B2948" s="138">
        <v>20</v>
      </c>
      <c r="C2948" s="138">
        <v>2.3749999999999982</v>
      </c>
      <c r="D2948" s="152">
        <v>8.6</v>
      </c>
      <c r="E2948" s="752">
        <v>7.3999999999999996E-2</v>
      </c>
      <c r="F2948" s="142">
        <v>81.400000000000006</v>
      </c>
      <c r="H2948" s="142">
        <v>1.29</v>
      </c>
      <c r="I2948" s="142">
        <v>20</v>
      </c>
      <c r="J2948" s="141">
        <v>4.5999999999999999E-2</v>
      </c>
      <c r="K2948" s="138">
        <v>3.12</v>
      </c>
      <c r="L2948" s="795">
        <v>100</v>
      </c>
      <c r="M2948" s="795">
        <v>0.21</v>
      </c>
      <c r="N2948" s="795">
        <v>0.32</v>
      </c>
      <c r="O2948" s="795">
        <v>2.1</v>
      </c>
      <c r="P2948" s="795">
        <v>3.69</v>
      </c>
      <c r="R2948" s="139">
        <v>0.55690080852132884</v>
      </c>
      <c r="S2948" s="138">
        <v>3.8</v>
      </c>
      <c r="Y2948" s="138">
        <v>4.2</v>
      </c>
      <c r="AA2948" s="139">
        <v>4.32</v>
      </c>
      <c r="AB2948" s="139">
        <v>0.249</v>
      </c>
      <c r="AC2948" s="140">
        <v>7.7</v>
      </c>
      <c r="AD2948" s="70">
        <v>60</v>
      </c>
      <c r="AE2948" s="70">
        <v>60</v>
      </c>
      <c r="AF2948" s="70">
        <v>880</v>
      </c>
      <c r="AG2948" s="66">
        <f t="shared" si="116"/>
        <v>262.97142857142859</v>
      </c>
      <c r="AH2948" s="143">
        <f t="shared" si="117"/>
        <v>1000</v>
      </c>
    </row>
    <row r="2949" spans="1:34" x14ac:dyDescent="0.3">
      <c r="A2949" s="140">
        <v>905315</v>
      </c>
      <c r="B2949" s="138">
        <v>51.7</v>
      </c>
      <c r="C2949" s="138">
        <v>14.499999999999996</v>
      </c>
      <c r="D2949" s="152">
        <v>8.0299999999999994</v>
      </c>
      <c r="E2949" s="752">
        <v>0.17599999999999999</v>
      </c>
      <c r="F2949" s="142">
        <v>193.6</v>
      </c>
      <c r="H2949" s="142">
        <v>58.29</v>
      </c>
      <c r="I2949" s="142">
        <v>318</v>
      </c>
      <c r="J2949" s="141">
        <v>5.8999999999999997E-2</v>
      </c>
      <c r="K2949" s="138">
        <v>11.61</v>
      </c>
      <c r="L2949" s="795">
        <v>1171</v>
      </c>
      <c r="M2949" s="795">
        <v>1.1599999999999999</v>
      </c>
      <c r="N2949" s="795">
        <v>1.49</v>
      </c>
      <c r="O2949" s="795">
        <v>3.83</v>
      </c>
      <c r="P2949" s="795">
        <v>10.56</v>
      </c>
      <c r="R2949" s="139">
        <v>1.6993880000000001</v>
      </c>
      <c r="S2949" s="138">
        <v>13.600000000000001</v>
      </c>
      <c r="Y2949" s="138">
        <v>33.799999999999997</v>
      </c>
      <c r="AA2949" s="139">
        <v>4.5</v>
      </c>
      <c r="AB2949" s="139">
        <v>0.56599999999999995</v>
      </c>
      <c r="AC2949" s="140">
        <v>9.1</v>
      </c>
      <c r="AD2949" s="70">
        <v>540</v>
      </c>
      <c r="AE2949" s="70">
        <v>360</v>
      </c>
      <c r="AF2949" s="70">
        <v>100</v>
      </c>
      <c r="AG2949" s="66">
        <f t="shared" si="116"/>
        <v>121.59585798816568</v>
      </c>
      <c r="AH2949" s="143">
        <f t="shared" si="117"/>
        <v>1000</v>
      </c>
    </row>
    <row r="2950" spans="1:34" x14ac:dyDescent="0.3">
      <c r="A2950" s="140">
        <v>905316</v>
      </c>
      <c r="B2950" s="138">
        <v>30.8</v>
      </c>
      <c r="C2950" s="138">
        <v>13.749999999999998</v>
      </c>
      <c r="D2950" s="152">
        <v>7.93</v>
      </c>
      <c r="E2950" s="752">
        <v>0.17</v>
      </c>
      <c r="F2950" s="142">
        <v>187.00000000000003</v>
      </c>
      <c r="H2950" s="142">
        <v>31.4</v>
      </c>
      <c r="I2950" s="142">
        <v>355</v>
      </c>
      <c r="J2950" s="141">
        <v>0.15</v>
      </c>
      <c r="K2950" s="138">
        <v>12.77</v>
      </c>
      <c r="L2950" s="795">
        <v>1472</v>
      </c>
      <c r="M2950" s="795">
        <v>0.69</v>
      </c>
      <c r="N2950" s="795">
        <v>0.98</v>
      </c>
      <c r="O2950" s="795">
        <v>2.75</v>
      </c>
      <c r="P2950" s="795">
        <v>5.37</v>
      </c>
      <c r="R2950" s="139">
        <v>1.7839130000000001</v>
      </c>
      <c r="S2950" s="138">
        <v>16.100000000000001</v>
      </c>
      <c r="Y2950" s="138">
        <v>34.5</v>
      </c>
      <c r="AA2950" s="139">
        <v>3.83</v>
      </c>
      <c r="AB2950" s="139">
        <v>0.442</v>
      </c>
      <c r="AC2950" s="140">
        <v>10.7</v>
      </c>
      <c r="AD2950" s="70">
        <v>550</v>
      </c>
      <c r="AE2950" s="70">
        <v>350</v>
      </c>
      <c r="AF2950" s="70">
        <v>100</v>
      </c>
      <c r="AG2950" s="66">
        <f t="shared" si="116"/>
        <v>131.03130434782608</v>
      </c>
      <c r="AH2950" s="143">
        <f t="shared" si="117"/>
        <v>1000</v>
      </c>
    </row>
    <row r="2951" spans="1:34" s="1176" customFormat="1" x14ac:dyDescent="0.3">
      <c r="A2951" s="1176">
        <v>905317</v>
      </c>
      <c r="B2951" s="1177" t="s">
        <v>529</v>
      </c>
      <c r="C2951" s="1177"/>
      <c r="D2951" s="1178"/>
      <c r="E2951" s="1582"/>
      <c r="H2951" s="1179"/>
      <c r="I2951" s="1179">
        <v>187</v>
      </c>
      <c r="J2951" s="1180"/>
      <c r="K2951" s="1177"/>
      <c r="L2951" s="1182"/>
      <c r="R2951" s="1178">
        <v>0.9142983178482802</v>
      </c>
      <c r="S2951" s="1177">
        <v>6</v>
      </c>
      <c r="Y2951" s="1177"/>
      <c r="AA2951" s="1178"/>
      <c r="AB2951" s="1178"/>
      <c r="AD2951" s="1181"/>
      <c r="AE2951" s="1181"/>
      <c r="AF2951" s="1181"/>
      <c r="AG2951" s="66" t="e">
        <f t="shared" si="116"/>
        <v>#DIV/0!</v>
      </c>
      <c r="AH2951" s="143">
        <f t="shared" si="117"/>
        <v>0</v>
      </c>
    </row>
    <row r="2952" spans="1:34" s="1176" customFormat="1" x14ac:dyDescent="0.3">
      <c r="A2952" s="1176">
        <v>905318</v>
      </c>
      <c r="B2952" s="1177" t="s">
        <v>529</v>
      </c>
      <c r="C2952" s="1177"/>
      <c r="D2952" s="1178"/>
      <c r="E2952" s="1582"/>
      <c r="H2952" s="1179"/>
      <c r="I2952" s="1179">
        <v>416</v>
      </c>
      <c r="J2952" s="1180"/>
      <c r="K2952" s="1177"/>
      <c r="L2952" s="1182"/>
      <c r="R2952" s="1178">
        <v>1.6444730000000001</v>
      </c>
      <c r="S2952" s="1177">
        <v>12.1</v>
      </c>
      <c r="Y2952" s="1177"/>
      <c r="AA2952" s="1178"/>
      <c r="AB2952" s="1178"/>
      <c r="AD2952" s="1181"/>
      <c r="AE2952" s="1181"/>
      <c r="AF2952" s="1181"/>
      <c r="AG2952" s="66" t="e">
        <f t="shared" si="116"/>
        <v>#DIV/0!</v>
      </c>
      <c r="AH2952" s="143">
        <f t="shared" si="117"/>
        <v>0</v>
      </c>
    </row>
    <row r="2953" spans="1:34" s="1176" customFormat="1" x14ac:dyDescent="0.3">
      <c r="A2953" s="1176">
        <v>905319</v>
      </c>
      <c r="B2953" s="1177" t="s">
        <v>529</v>
      </c>
      <c r="C2953" s="1177"/>
      <c r="D2953" s="1178"/>
      <c r="E2953" s="1582"/>
      <c r="H2953" s="1179"/>
      <c r="I2953" s="1179">
        <v>320</v>
      </c>
      <c r="J2953" s="1180"/>
      <c r="K2953" s="1177"/>
      <c r="L2953" s="1182"/>
      <c r="R2953" s="1178">
        <v>1.6814330000000002</v>
      </c>
      <c r="S2953" s="1177">
        <v>13.100000000000001</v>
      </c>
      <c r="Y2953" s="1177"/>
      <c r="AA2953" s="1178"/>
      <c r="AB2953" s="1178"/>
      <c r="AD2953" s="1181"/>
      <c r="AE2953" s="1181"/>
      <c r="AF2953" s="1181"/>
      <c r="AG2953" s="66" t="e">
        <f t="shared" si="116"/>
        <v>#DIV/0!</v>
      </c>
      <c r="AH2953" s="143">
        <f t="shared" si="117"/>
        <v>0</v>
      </c>
    </row>
    <row r="2954" spans="1:34" s="1176" customFormat="1" x14ac:dyDescent="0.3">
      <c r="A2954" s="1176">
        <v>905320</v>
      </c>
      <c r="B2954" s="1177" t="s">
        <v>529</v>
      </c>
      <c r="C2954" s="1177"/>
      <c r="D2954" s="1178"/>
      <c r="E2954" s="1582"/>
      <c r="H2954" s="1179"/>
      <c r="I2954" s="1179">
        <v>292</v>
      </c>
      <c r="J2954" s="1180"/>
      <c r="K2954" s="1177"/>
      <c r="L2954" s="1182"/>
      <c r="R2954" s="1178">
        <v>1.7839130000000001</v>
      </c>
      <c r="S2954" s="1177">
        <v>16.100000000000001</v>
      </c>
      <c r="Y2954" s="1177"/>
      <c r="AA2954" s="1178"/>
      <c r="AB2954" s="1178"/>
      <c r="AD2954" s="1181"/>
      <c r="AE2954" s="1181"/>
      <c r="AF2954" s="1181"/>
      <c r="AG2954" s="66" t="e">
        <f t="shared" si="116"/>
        <v>#DIV/0!</v>
      </c>
      <c r="AH2954" s="143">
        <f t="shared" si="117"/>
        <v>0</v>
      </c>
    </row>
    <row r="2955" spans="1:34" s="1176" customFormat="1" x14ac:dyDescent="0.3">
      <c r="A2955" s="1176">
        <v>905321</v>
      </c>
      <c r="B2955" s="1177" t="s">
        <v>529</v>
      </c>
      <c r="C2955" s="1177"/>
      <c r="D2955" s="1178"/>
      <c r="E2955" s="1582"/>
      <c r="H2955" s="1179"/>
      <c r="I2955" s="1179">
        <v>605</v>
      </c>
      <c r="J2955" s="1180"/>
      <c r="K2955" s="1177"/>
      <c r="L2955" s="1182"/>
      <c r="R2955" s="1178">
        <v>1.7544919999999999</v>
      </c>
      <c r="S2955" s="1177">
        <v>15.2</v>
      </c>
      <c r="Y2955" s="1177"/>
      <c r="AA2955" s="1178"/>
      <c r="AB2955" s="1178"/>
      <c r="AD2955" s="1181"/>
      <c r="AE2955" s="1181"/>
      <c r="AF2955" s="1181"/>
      <c r="AG2955" s="66" t="e">
        <f t="shared" si="116"/>
        <v>#DIV/0!</v>
      </c>
      <c r="AH2955" s="143">
        <f t="shared" si="117"/>
        <v>0</v>
      </c>
    </row>
    <row r="2956" spans="1:34" s="1176" customFormat="1" x14ac:dyDescent="0.3">
      <c r="A2956" s="1176">
        <v>905322</v>
      </c>
      <c r="B2956" s="1177" t="s">
        <v>529</v>
      </c>
      <c r="C2956" s="1177"/>
      <c r="D2956" s="1178"/>
      <c r="E2956" s="1582"/>
      <c r="H2956" s="1179"/>
      <c r="I2956" s="1179">
        <v>449</v>
      </c>
      <c r="J2956" s="1180"/>
      <c r="K2956" s="1177"/>
      <c r="L2956" s="1182"/>
      <c r="R2956" s="1178">
        <v>1.674153</v>
      </c>
      <c r="S2956" s="1177">
        <v>12.9</v>
      </c>
      <c r="Y2956" s="1177"/>
      <c r="AA2956" s="1178"/>
      <c r="AB2956" s="1178"/>
      <c r="AD2956" s="1181"/>
      <c r="AE2956" s="1181"/>
      <c r="AF2956" s="1181"/>
      <c r="AG2956" s="66" t="e">
        <f t="shared" si="116"/>
        <v>#DIV/0!</v>
      </c>
      <c r="AH2956" s="143">
        <f t="shared" si="117"/>
        <v>0</v>
      </c>
    </row>
    <row r="2957" spans="1:34" s="1176" customFormat="1" x14ac:dyDescent="0.3">
      <c r="A2957" s="1176">
        <v>905323</v>
      </c>
      <c r="B2957" s="1177" t="s">
        <v>529</v>
      </c>
      <c r="C2957" s="1177"/>
      <c r="D2957" s="1178"/>
      <c r="E2957" s="1582"/>
      <c r="H2957" s="1179"/>
      <c r="I2957" s="1179">
        <v>710</v>
      </c>
      <c r="J2957" s="1180"/>
      <c r="K2957" s="1177"/>
      <c r="L2957" s="1182"/>
      <c r="R2957" s="1178">
        <v>1.666817</v>
      </c>
      <c r="S2957" s="1177">
        <v>12.7</v>
      </c>
      <c r="Y2957" s="1177"/>
      <c r="AA2957" s="1178"/>
      <c r="AB2957" s="1178"/>
      <c r="AD2957" s="1181"/>
      <c r="AE2957" s="1181"/>
      <c r="AF2957" s="1181"/>
      <c r="AG2957" s="66" t="e">
        <f t="shared" si="116"/>
        <v>#DIV/0!</v>
      </c>
      <c r="AH2957" s="143">
        <f t="shared" si="117"/>
        <v>0</v>
      </c>
    </row>
    <row r="2958" spans="1:34" x14ac:dyDescent="0.3">
      <c r="A2958" s="140">
        <v>905324</v>
      </c>
      <c r="B2958" s="138">
        <v>0.3</v>
      </c>
      <c r="D2958" s="152">
        <v>7.51</v>
      </c>
      <c r="E2958" s="752">
        <v>0.115</v>
      </c>
      <c r="F2958" s="142">
        <v>126.50000000000003</v>
      </c>
      <c r="H2958" s="142">
        <v>355.32</v>
      </c>
      <c r="I2958" s="142">
        <v>138</v>
      </c>
      <c r="J2958" s="141">
        <v>2.9000000000000001E-2</v>
      </c>
      <c r="K2958" s="138">
        <v>2.82</v>
      </c>
      <c r="L2958" s="795">
        <v>130</v>
      </c>
      <c r="M2958" s="795">
        <v>9.82</v>
      </c>
      <c r="N2958" s="795">
        <v>1.18</v>
      </c>
      <c r="O2958" s="795">
        <v>2.15</v>
      </c>
      <c r="P2958" s="795">
        <v>13.19</v>
      </c>
      <c r="R2958" s="139">
        <v>1.6407</v>
      </c>
      <c r="S2958" s="138">
        <v>12</v>
      </c>
      <c r="Y2958" s="138">
        <v>3.6</v>
      </c>
      <c r="AD2958" s="70">
        <v>60</v>
      </c>
      <c r="AE2958" s="70">
        <v>60</v>
      </c>
      <c r="AF2958" s="70">
        <v>880</v>
      </c>
      <c r="AG2958" s="66">
        <f t="shared" si="116"/>
        <v>277.3</v>
      </c>
      <c r="AH2958" s="143">
        <f t="shared" si="117"/>
        <v>1000</v>
      </c>
    </row>
    <row r="2959" spans="1:34" x14ac:dyDescent="0.3">
      <c r="A2959" s="140">
        <v>905327</v>
      </c>
      <c r="B2959" s="138">
        <v>0.1</v>
      </c>
      <c r="D2959" s="152">
        <v>5.5</v>
      </c>
      <c r="E2959" s="752">
        <v>2.5000000000000001E-2</v>
      </c>
      <c r="F2959" s="142">
        <v>27.500000000000004</v>
      </c>
      <c r="H2959" s="142">
        <v>40.82</v>
      </c>
      <c r="I2959" s="142">
        <v>77</v>
      </c>
      <c r="J2959" s="141">
        <v>0.02</v>
      </c>
      <c r="K2959" s="138">
        <v>0.42</v>
      </c>
      <c r="L2959" s="795">
        <v>72</v>
      </c>
      <c r="M2959" s="795">
        <v>0.14000000000000001</v>
      </c>
      <c r="N2959" s="795">
        <v>0.33</v>
      </c>
      <c r="O2959" s="795">
        <v>11.93</v>
      </c>
      <c r="P2959" s="795">
        <v>12.24</v>
      </c>
      <c r="R2959" s="139">
        <v>0.4387209856222653</v>
      </c>
      <c r="S2959" s="138">
        <v>3</v>
      </c>
      <c r="Y2959" s="138">
        <v>3</v>
      </c>
      <c r="Z2959" s="140">
        <v>5.5</v>
      </c>
      <c r="AA2959" s="139">
        <v>4.84</v>
      </c>
      <c r="AB2959" s="139">
        <v>0.85799999999999998</v>
      </c>
      <c r="AC2959" s="140">
        <v>11.3</v>
      </c>
      <c r="AD2959" s="70">
        <v>60</v>
      </c>
      <c r="AE2959" s="70">
        <v>60</v>
      </c>
      <c r="AF2959" s="70">
        <v>880</v>
      </c>
      <c r="AG2959" s="66">
        <f t="shared" si="116"/>
        <v>49.559999999999995</v>
      </c>
      <c r="AH2959" s="143">
        <f t="shared" si="117"/>
        <v>1000</v>
      </c>
    </row>
    <row r="2960" spans="1:34" x14ac:dyDescent="0.3">
      <c r="A2960" s="140">
        <v>905328</v>
      </c>
      <c r="B2960" s="138">
        <v>0.1</v>
      </c>
      <c r="D2960" s="152">
        <v>5.72</v>
      </c>
      <c r="E2960" s="752">
        <v>2.8000000000000001E-2</v>
      </c>
      <c r="F2960" s="142">
        <v>30.800000000000004</v>
      </c>
      <c r="H2960" s="142">
        <v>36.340000000000003</v>
      </c>
      <c r="I2960" s="142">
        <v>77</v>
      </c>
      <c r="J2960" s="141">
        <v>1.0999999999999999E-2</v>
      </c>
      <c r="K2960" s="138">
        <v>0.35</v>
      </c>
      <c r="L2960" s="795">
        <v>61</v>
      </c>
      <c r="M2960" s="795">
        <v>0.18</v>
      </c>
      <c r="N2960" s="795">
        <v>0.25</v>
      </c>
      <c r="O2960" s="795">
        <v>3.39</v>
      </c>
      <c r="P2960" s="795">
        <v>9.93</v>
      </c>
      <c r="R2960" s="139">
        <v>0.28807351820426796</v>
      </c>
      <c r="S2960" s="138">
        <v>2.1</v>
      </c>
      <c r="Y2960" s="138">
        <v>3.6</v>
      </c>
      <c r="Z2960" s="140">
        <v>4.9400000000000004</v>
      </c>
      <c r="AA2960" s="139">
        <v>3.47</v>
      </c>
      <c r="AB2960" s="139">
        <v>0.79300000000000004</v>
      </c>
      <c r="AC2960" s="140">
        <v>7.7</v>
      </c>
      <c r="AD2960" s="70">
        <v>60</v>
      </c>
      <c r="AE2960" s="70">
        <v>80</v>
      </c>
      <c r="AF2960" s="70">
        <v>860</v>
      </c>
      <c r="AG2960" s="66">
        <f t="shared" si="116"/>
        <v>34.416666666666664</v>
      </c>
      <c r="AH2960" s="143">
        <f t="shared" si="117"/>
        <v>1000</v>
      </c>
    </row>
    <row r="2961" spans="1:34" x14ac:dyDescent="0.3">
      <c r="A2961" s="140">
        <v>905329</v>
      </c>
      <c r="B2961" s="138">
        <v>0.1</v>
      </c>
      <c r="D2961" s="152">
        <v>6.1</v>
      </c>
      <c r="E2961" s="752">
        <v>3.5000000000000003E-2</v>
      </c>
      <c r="F2961" s="142">
        <v>38.500000000000007</v>
      </c>
      <c r="H2961" s="142">
        <v>28.39</v>
      </c>
      <c r="I2961" s="142">
        <v>138</v>
      </c>
      <c r="J2961" s="141">
        <v>3.2000000000000001E-2</v>
      </c>
      <c r="K2961" s="138">
        <v>0.76</v>
      </c>
      <c r="L2961" s="795">
        <v>163</v>
      </c>
      <c r="M2961" s="795">
        <v>7.0000000000000007E-2</v>
      </c>
      <c r="N2961" s="795">
        <v>0.21</v>
      </c>
      <c r="O2961" s="795">
        <v>3.65</v>
      </c>
      <c r="P2961" s="795">
        <v>6.7</v>
      </c>
      <c r="R2961" s="139">
        <v>0.23901653567670098</v>
      </c>
      <c r="S2961" s="138">
        <v>1.6</v>
      </c>
      <c r="Y2961" s="138">
        <v>6.3</v>
      </c>
      <c r="Z2961" s="140">
        <v>5.3</v>
      </c>
      <c r="AA2961" s="139">
        <v>3.51</v>
      </c>
      <c r="AB2961" s="139">
        <v>0.40100000000000002</v>
      </c>
      <c r="AC2961" s="140">
        <v>9.3000000000000007</v>
      </c>
      <c r="AD2961" s="70">
        <v>90</v>
      </c>
      <c r="AE2961" s="70">
        <v>60</v>
      </c>
      <c r="AF2961" s="70">
        <v>850</v>
      </c>
      <c r="AG2961" s="66">
        <f t="shared" si="116"/>
        <v>42.704761904761902</v>
      </c>
      <c r="AH2961" s="143">
        <f t="shared" si="117"/>
        <v>1000</v>
      </c>
    </row>
    <row r="2962" spans="1:34" x14ac:dyDescent="0.3">
      <c r="A2962" s="140">
        <v>905330</v>
      </c>
      <c r="B2962" s="138">
        <v>40</v>
      </c>
      <c r="C2962" s="138">
        <v>13.624999999999998</v>
      </c>
      <c r="D2962" s="152">
        <v>8.1999999999999993</v>
      </c>
      <c r="E2962" s="752">
        <v>0.26300000000000001</v>
      </c>
      <c r="F2962" s="142">
        <v>289.30000000000007</v>
      </c>
      <c r="H2962" s="142">
        <v>14.37</v>
      </c>
      <c r="I2962" s="142">
        <v>218</v>
      </c>
      <c r="J2962" s="141">
        <v>0.14000000000000001</v>
      </c>
      <c r="K2962" s="138">
        <v>11.71</v>
      </c>
      <c r="L2962" s="795">
        <v>1595</v>
      </c>
      <c r="M2962" s="795">
        <v>0.48</v>
      </c>
      <c r="N2962" s="795">
        <v>0.37</v>
      </c>
      <c r="O2962" s="795">
        <v>0.75</v>
      </c>
      <c r="P2962" s="795">
        <v>1.68</v>
      </c>
      <c r="R2962" s="139">
        <v>1.7644250000000001</v>
      </c>
      <c r="S2962" s="138">
        <v>15.5</v>
      </c>
      <c r="Y2962" s="138">
        <v>32.4</v>
      </c>
      <c r="AA2962" s="139">
        <v>4.4800000000000004</v>
      </c>
      <c r="AB2962" s="139">
        <v>0.497</v>
      </c>
      <c r="AC2962" s="140">
        <v>10</v>
      </c>
      <c r="AD2962" s="70">
        <v>540</v>
      </c>
      <c r="AE2962" s="70">
        <v>320</v>
      </c>
      <c r="AF2962" s="70">
        <v>140</v>
      </c>
      <c r="AG2962" s="66">
        <f t="shared" si="116"/>
        <v>127.9425925925926</v>
      </c>
      <c r="AH2962" s="143">
        <f t="shared" si="117"/>
        <v>1000</v>
      </c>
    </row>
    <row r="2963" spans="1:34" x14ac:dyDescent="0.3">
      <c r="A2963" s="140">
        <v>905331</v>
      </c>
      <c r="B2963" s="138">
        <v>49.2</v>
      </c>
      <c r="C2963" s="138">
        <v>14.374999999999998</v>
      </c>
      <c r="D2963" s="152">
        <v>8.33</v>
      </c>
      <c r="E2963" s="752">
        <v>0.23699999999999999</v>
      </c>
      <c r="F2963" s="142">
        <v>260.7</v>
      </c>
      <c r="H2963" s="142">
        <v>9.4499999999999993</v>
      </c>
      <c r="I2963" s="142">
        <v>169</v>
      </c>
      <c r="J2963" s="141">
        <v>0.14799999999999999</v>
      </c>
      <c r="K2963" s="138">
        <v>12.34</v>
      </c>
      <c r="L2963" s="795">
        <v>1436</v>
      </c>
      <c r="M2963" s="795">
        <v>0.89</v>
      </c>
      <c r="N2963" s="795">
        <v>0.24</v>
      </c>
      <c r="O2963" s="795">
        <v>1.07</v>
      </c>
      <c r="P2963" s="795">
        <v>1.46</v>
      </c>
      <c r="R2963" s="139">
        <v>1.8122</v>
      </c>
      <c r="S2963" s="138">
        <v>17</v>
      </c>
      <c r="Y2963" s="138">
        <v>30</v>
      </c>
      <c r="AA2963" s="139">
        <v>3.96</v>
      </c>
      <c r="AB2963" s="139">
        <v>0.59799999999999998</v>
      </c>
      <c r="AC2963" s="140">
        <v>8.9</v>
      </c>
      <c r="AD2963" s="70">
        <v>500</v>
      </c>
      <c r="AE2963" s="70">
        <v>360</v>
      </c>
      <c r="AF2963" s="70">
        <v>140</v>
      </c>
      <c r="AG2963" s="66">
        <f t="shared" si="116"/>
        <v>145.61199999999999</v>
      </c>
      <c r="AH2963" s="143">
        <f t="shared" si="117"/>
        <v>1000</v>
      </c>
    </row>
    <row r="2964" spans="1:34" x14ac:dyDescent="0.3">
      <c r="A2964" s="140">
        <v>905332</v>
      </c>
      <c r="B2964" s="138">
        <v>50.8</v>
      </c>
      <c r="C2964" s="138">
        <v>15.499999999999998</v>
      </c>
      <c r="D2964" s="152">
        <v>8.24</v>
      </c>
      <c r="E2964" s="752">
        <v>0.28799999999999998</v>
      </c>
      <c r="F2964" s="142">
        <v>316.8</v>
      </c>
      <c r="H2964" s="142">
        <v>14.94</v>
      </c>
      <c r="I2964" s="142">
        <v>147</v>
      </c>
      <c r="J2964" s="141">
        <v>0.19500000000000001</v>
      </c>
      <c r="K2964" s="138">
        <v>12.43</v>
      </c>
      <c r="L2964" s="795">
        <v>1113</v>
      </c>
      <c r="M2964" s="795">
        <v>0.33</v>
      </c>
      <c r="N2964" s="795">
        <v>0.2</v>
      </c>
      <c r="O2964" s="795">
        <v>0.79</v>
      </c>
      <c r="P2964" s="795">
        <v>1.25</v>
      </c>
      <c r="R2964" s="139">
        <v>1.6369130000000001</v>
      </c>
      <c r="S2964" s="138">
        <v>11.899999999999999</v>
      </c>
      <c r="Y2964" s="138">
        <v>25.5</v>
      </c>
      <c r="AA2964" s="139">
        <v>3.53</v>
      </c>
      <c r="AB2964" s="139">
        <v>0.68300000000000005</v>
      </c>
      <c r="AC2964" s="140">
        <v>10.4</v>
      </c>
      <c r="AD2964" s="70">
        <v>510</v>
      </c>
      <c r="AE2964" s="70">
        <v>350</v>
      </c>
      <c r="AF2964" s="70">
        <v>140</v>
      </c>
      <c r="AG2964" s="66">
        <f t="shared" si="116"/>
        <v>172.55764705882353</v>
      </c>
      <c r="AH2964" s="143">
        <f t="shared" si="117"/>
        <v>1000</v>
      </c>
    </row>
    <row r="2965" spans="1:34" x14ac:dyDescent="0.3">
      <c r="A2965" s="140">
        <v>905333</v>
      </c>
      <c r="B2965" s="138">
        <v>20.8</v>
      </c>
      <c r="C2965" s="138">
        <v>11.124999999999998</v>
      </c>
      <c r="D2965" s="152">
        <v>8.1</v>
      </c>
      <c r="E2965" s="752">
        <v>2.63</v>
      </c>
      <c r="F2965" s="142">
        <v>2893.0000000000005</v>
      </c>
      <c r="H2965" s="142">
        <v>10.02</v>
      </c>
      <c r="I2965" s="142">
        <v>278</v>
      </c>
      <c r="J2965" s="141">
        <v>2.073</v>
      </c>
      <c r="K2965" s="138">
        <v>14.65</v>
      </c>
      <c r="L2965" s="795">
        <v>1903</v>
      </c>
      <c r="M2965" s="795">
        <v>0.28000000000000003</v>
      </c>
      <c r="N2965" s="795">
        <v>0.64</v>
      </c>
      <c r="O2965" s="795">
        <v>0.98</v>
      </c>
      <c r="P2965" s="795">
        <v>1.96</v>
      </c>
      <c r="R2965" s="139">
        <v>1.6958250000000001</v>
      </c>
      <c r="S2965" s="138">
        <v>13.5</v>
      </c>
      <c r="Y2965" s="138">
        <v>33.1</v>
      </c>
      <c r="AA2965" s="139">
        <v>4.7699999999999996</v>
      </c>
      <c r="AB2965" s="139">
        <v>0.64700000000000002</v>
      </c>
      <c r="AC2965" s="140">
        <v>11.7</v>
      </c>
      <c r="AD2965" s="70">
        <v>530</v>
      </c>
      <c r="AE2965" s="70">
        <v>340</v>
      </c>
      <c r="AF2965" s="70">
        <v>130</v>
      </c>
      <c r="AG2965" s="66">
        <f t="shared" si="116"/>
        <v>156.67975830815709</v>
      </c>
      <c r="AH2965" s="143">
        <f t="shared" si="117"/>
        <v>1000</v>
      </c>
    </row>
    <row r="2966" spans="1:34" x14ac:dyDescent="0.3">
      <c r="A2966" s="140">
        <v>905334</v>
      </c>
      <c r="B2966" s="138">
        <v>19.2</v>
      </c>
      <c r="C2966" s="138">
        <v>9.7499999999999982</v>
      </c>
      <c r="D2966" s="152">
        <v>7.92</v>
      </c>
      <c r="E2966" s="752">
        <v>2.14</v>
      </c>
      <c r="F2966" s="142">
        <v>2354.0000000000005</v>
      </c>
      <c r="H2966" s="142">
        <v>15.79</v>
      </c>
      <c r="I2966" s="142">
        <v>416</v>
      </c>
      <c r="J2966" s="141">
        <v>1.514</v>
      </c>
      <c r="K2966" s="138">
        <v>14.44</v>
      </c>
      <c r="L2966" s="795">
        <v>1223</v>
      </c>
      <c r="M2966" s="795">
        <v>0.28000000000000003</v>
      </c>
      <c r="N2966" s="795">
        <v>0.54</v>
      </c>
      <c r="O2966" s="795">
        <v>1.08</v>
      </c>
      <c r="P2966" s="795">
        <v>1.74</v>
      </c>
      <c r="R2966" s="139">
        <v>1.6177680000000001</v>
      </c>
      <c r="S2966" s="138">
        <v>11.399999999999999</v>
      </c>
      <c r="Y2966" s="138">
        <v>33.4</v>
      </c>
      <c r="AA2966" s="139">
        <v>3.77</v>
      </c>
      <c r="AB2966" s="139">
        <v>0.623</v>
      </c>
      <c r="AC2966" s="140">
        <v>6.3</v>
      </c>
      <c r="AD2966" s="70">
        <v>520</v>
      </c>
      <c r="AE2966" s="70">
        <v>340</v>
      </c>
      <c r="AF2966" s="70">
        <v>140</v>
      </c>
      <c r="AG2966" s="66">
        <f t="shared" si="116"/>
        <v>153.04670658682633</v>
      </c>
      <c r="AH2966" s="143">
        <f t="shared" si="117"/>
        <v>1000</v>
      </c>
    </row>
    <row r="2967" spans="1:34" x14ac:dyDescent="0.3">
      <c r="A2967" s="140">
        <v>905335</v>
      </c>
      <c r="B2967" s="138">
        <v>9.1999999999999993</v>
      </c>
      <c r="D2967" s="152">
        <v>8.5299999999999994</v>
      </c>
      <c r="E2967" s="752">
        <v>0.54100000000000004</v>
      </c>
      <c r="F2967" s="142">
        <v>595.1</v>
      </c>
      <c r="H2967" s="142">
        <v>12.23</v>
      </c>
      <c r="I2967" s="142">
        <v>355</v>
      </c>
      <c r="J2967" s="141">
        <v>0.61599999999999999</v>
      </c>
      <c r="K2967" s="138">
        <v>10.16</v>
      </c>
      <c r="L2967" s="795">
        <v>595</v>
      </c>
      <c r="M2967" s="795">
        <v>0.36</v>
      </c>
      <c r="N2967" s="795">
        <v>0.56999999999999995</v>
      </c>
      <c r="O2967" s="795">
        <v>1.28</v>
      </c>
      <c r="P2967" s="795">
        <v>1.02</v>
      </c>
      <c r="R2967" s="139">
        <v>1.5744170000000002</v>
      </c>
      <c r="S2967" s="138">
        <v>10.3</v>
      </c>
      <c r="Y2967" s="138">
        <v>31.8</v>
      </c>
      <c r="AA2967" s="139">
        <v>3.85</v>
      </c>
      <c r="AB2967" s="139">
        <v>0.252</v>
      </c>
      <c r="AC2967" s="140">
        <v>7.2</v>
      </c>
      <c r="AD2967" s="70">
        <v>530</v>
      </c>
      <c r="AE2967" s="70">
        <v>350</v>
      </c>
      <c r="AF2967" s="70">
        <v>140</v>
      </c>
      <c r="AG2967" s="66">
        <f t="shared" si="116"/>
        <v>113.10188679245282</v>
      </c>
      <c r="AH2967" s="143">
        <f t="shared" si="117"/>
        <v>1020</v>
      </c>
    </row>
    <row r="2968" spans="1:34" x14ac:dyDescent="0.3">
      <c r="A2968" s="140">
        <v>905336</v>
      </c>
      <c r="B2968" s="138">
        <v>9.1999999999999993</v>
      </c>
      <c r="D2968" s="152">
        <v>8.24</v>
      </c>
      <c r="E2968" s="752">
        <v>1.29</v>
      </c>
      <c r="F2968" s="142">
        <v>1419.0000000000002</v>
      </c>
      <c r="H2968" s="142">
        <v>11.36</v>
      </c>
      <c r="I2968" s="142">
        <v>400</v>
      </c>
      <c r="J2968" s="141">
        <v>1.4259999999999999</v>
      </c>
      <c r="K2968" s="138">
        <v>8.7200000000000006</v>
      </c>
      <c r="L2968" s="795">
        <v>752</v>
      </c>
      <c r="M2968" s="795">
        <v>0.59</v>
      </c>
      <c r="N2968" s="795">
        <v>0.61</v>
      </c>
      <c r="O2968" s="795">
        <v>2.16</v>
      </c>
      <c r="P2968" s="795">
        <v>1.1499999999999999</v>
      </c>
      <c r="R2968" s="139">
        <v>1.6631279999999999</v>
      </c>
      <c r="S2968" s="138">
        <v>12.6</v>
      </c>
      <c r="Y2968" s="138">
        <v>33.1</v>
      </c>
      <c r="AA2968" s="139">
        <v>4.1399999999999997</v>
      </c>
      <c r="AB2968" s="139">
        <v>0.84299999999999997</v>
      </c>
      <c r="AC2968" s="140">
        <v>6</v>
      </c>
      <c r="AD2968" s="70">
        <v>530</v>
      </c>
      <c r="AE2968" s="70">
        <v>340</v>
      </c>
      <c r="AF2968" s="70">
        <v>130</v>
      </c>
      <c r="AG2968" s="66">
        <f t="shared" si="116"/>
        <v>93.259214501510584</v>
      </c>
      <c r="AH2968" s="143">
        <f t="shared" si="117"/>
        <v>1000</v>
      </c>
    </row>
    <row r="2969" spans="1:34" x14ac:dyDescent="0.3">
      <c r="A2969" s="140">
        <v>905337</v>
      </c>
      <c r="B2969" s="138">
        <v>10</v>
      </c>
      <c r="C2969" s="138">
        <v>6</v>
      </c>
      <c r="D2969" s="152">
        <v>8.31</v>
      </c>
      <c r="E2969" s="752">
        <v>1.26</v>
      </c>
      <c r="F2969" s="142">
        <v>1386.0000000000002</v>
      </c>
      <c r="H2969" s="142">
        <v>10.14</v>
      </c>
      <c r="I2969" s="142">
        <v>372</v>
      </c>
      <c r="J2969" s="141">
        <v>1.353</v>
      </c>
      <c r="K2969" s="138">
        <v>8.65</v>
      </c>
      <c r="L2969" s="795">
        <v>748</v>
      </c>
      <c r="M2969" s="795">
        <v>0.38</v>
      </c>
      <c r="N2969" s="795">
        <v>0.55000000000000004</v>
      </c>
      <c r="O2969" s="795">
        <v>1.85</v>
      </c>
      <c r="P2969" s="795">
        <v>0.99</v>
      </c>
      <c r="R2969" s="139">
        <v>1.6778</v>
      </c>
      <c r="S2969" s="138">
        <v>13</v>
      </c>
      <c r="Y2969" s="138">
        <v>26</v>
      </c>
      <c r="AA2969" s="139">
        <v>4.4400000000000004</v>
      </c>
      <c r="AB2969" s="139">
        <v>0.68200000000000005</v>
      </c>
      <c r="AC2969" s="140">
        <v>8.1999999999999993</v>
      </c>
      <c r="AD2969" s="70">
        <v>520</v>
      </c>
      <c r="AE2969" s="70">
        <v>340</v>
      </c>
      <c r="AF2969" s="70">
        <v>140</v>
      </c>
      <c r="AG2969" s="66">
        <f t="shared" si="116"/>
        <v>117.77307692307694</v>
      </c>
      <c r="AH2969" s="143">
        <f t="shared" si="117"/>
        <v>1000</v>
      </c>
    </row>
    <row r="2970" spans="1:34" x14ac:dyDescent="0.3">
      <c r="A2970" s="140">
        <v>905338</v>
      </c>
      <c r="B2970" s="138">
        <v>3.5</v>
      </c>
      <c r="D2970" s="152">
        <v>8.1199999999999992</v>
      </c>
      <c r="E2970" s="752">
        <v>0.39</v>
      </c>
      <c r="F2970" s="142">
        <v>429.00000000000006</v>
      </c>
      <c r="H2970" s="142">
        <v>75.52</v>
      </c>
      <c r="I2970" s="142">
        <v>142</v>
      </c>
      <c r="J2970" s="141">
        <v>0.47499999999999998</v>
      </c>
      <c r="K2970" s="138">
        <v>6.22</v>
      </c>
      <c r="L2970" s="795">
        <v>543</v>
      </c>
      <c r="M2970" s="795">
        <v>7.49</v>
      </c>
      <c r="N2970" s="795">
        <v>1.37</v>
      </c>
      <c r="O2970" s="795">
        <v>0.96</v>
      </c>
      <c r="P2970" s="795">
        <v>3.6</v>
      </c>
      <c r="R2970" s="139">
        <v>0.91511345941188282</v>
      </c>
      <c r="S2970" s="138">
        <v>6.4</v>
      </c>
      <c r="Y2970" s="138">
        <v>8.4</v>
      </c>
      <c r="AA2970" s="139">
        <v>4.43</v>
      </c>
      <c r="AB2970" s="139">
        <v>0.41399999999999998</v>
      </c>
      <c r="AC2970" s="140">
        <v>10.1</v>
      </c>
      <c r="AD2970" s="70">
        <v>120</v>
      </c>
      <c r="AE2970" s="70">
        <v>100</v>
      </c>
      <c r="AF2970" s="70">
        <v>780</v>
      </c>
      <c r="AG2970" s="66">
        <f t="shared" si="116"/>
        <v>262.12857142857143</v>
      </c>
      <c r="AH2970" s="143">
        <f t="shared" si="117"/>
        <v>1000</v>
      </c>
    </row>
    <row r="2971" spans="1:34" x14ac:dyDescent="0.3">
      <c r="A2971" s="140">
        <v>905339</v>
      </c>
      <c r="B2971" s="138">
        <v>3.8</v>
      </c>
      <c r="D2971" s="152">
        <v>8.4</v>
      </c>
      <c r="E2971" s="752">
        <v>0.46100000000000002</v>
      </c>
      <c r="F2971" s="142">
        <v>507.10000000000008</v>
      </c>
      <c r="H2971" s="142">
        <v>101.2</v>
      </c>
      <c r="I2971" s="142">
        <v>207</v>
      </c>
      <c r="J2971" s="141">
        <v>0.65800000000000003</v>
      </c>
      <c r="K2971" s="138">
        <v>6.19</v>
      </c>
      <c r="L2971" s="795">
        <v>541</v>
      </c>
      <c r="M2971" s="795">
        <v>7.93</v>
      </c>
      <c r="N2971" s="795">
        <v>1.35</v>
      </c>
      <c r="O2971" s="795">
        <v>0.85</v>
      </c>
      <c r="P2971" s="795">
        <v>3.47</v>
      </c>
      <c r="R2971" s="139">
        <v>1.1008302171485913</v>
      </c>
      <c r="S2971" s="138">
        <v>7.5</v>
      </c>
      <c r="Y2971" s="138">
        <v>9.1</v>
      </c>
      <c r="AA2971" s="139">
        <v>4.54</v>
      </c>
      <c r="AB2971" s="139">
        <v>0.89600000000000002</v>
      </c>
      <c r="AC2971" s="140">
        <v>9.8000000000000007</v>
      </c>
      <c r="AD2971" s="70">
        <v>130</v>
      </c>
      <c r="AE2971" s="70">
        <v>100</v>
      </c>
      <c r="AF2971" s="70">
        <v>770</v>
      </c>
      <c r="AG2971" s="66">
        <f t="shared" si="116"/>
        <v>240.79780219780224</v>
      </c>
      <c r="AH2971" s="143">
        <f t="shared" si="117"/>
        <v>1000</v>
      </c>
    </row>
    <row r="2972" spans="1:34" x14ac:dyDescent="0.3">
      <c r="A2972" s="140">
        <v>905340</v>
      </c>
      <c r="B2972" s="138">
        <v>15.8</v>
      </c>
      <c r="C2972" s="138">
        <v>10.124999999999996</v>
      </c>
      <c r="D2972" s="152">
        <v>8.02</v>
      </c>
      <c r="E2972" s="752">
        <v>0.95599999999999996</v>
      </c>
      <c r="F2972" s="142">
        <v>1051.6000000000001</v>
      </c>
      <c r="H2972" s="142">
        <v>10.44</v>
      </c>
      <c r="I2972" s="142">
        <v>574</v>
      </c>
      <c r="J2972" s="141">
        <v>0.19900000000000001</v>
      </c>
      <c r="K2972" s="138">
        <v>11.75</v>
      </c>
      <c r="L2972" s="795">
        <v>1055</v>
      </c>
      <c r="M2972" s="795">
        <v>0.94</v>
      </c>
      <c r="N2972" s="795">
        <v>0.5</v>
      </c>
      <c r="O2972" s="795">
        <v>2</v>
      </c>
      <c r="P2972" s="795">
        <v>2.0099999999999998</v>
      </c>
      <c r="R2972" s="139">
        <v>1.5943320000000001</v>
      </c>
      <c r="S2972" s="138">
        <v>10.8</v>
      </c>
      <c r="Y2972" s="138">
        <v>33.799999999999997</v>
      </c>
      <c r="AA2972" s="139">
        <v>4.51</v>
      </c>
      <c r="AB2972" s="139">
        <v>0.40600000000000003</v>
      </c>
      <c r="AC2972" s="140">
        <v>9.1</v>
      </c>
      <c r="AD2972" s="70">
        <v>540</v>
      </c>
      <c r="AE2972" s="70">
        <v>340</v>
      </c>
      <c r="AF2972" s="70">
        <v>120</v>
      </c>
      <c r="AG2972" s="66">
        <f t="shared" si="116"/>
        <v>123.0621301775148</v>
      </c>
      <c r="AH2972" s="143">
        <f t="shared" si="117"/>
        <v>1000</v>
      </c>
    </row>
    <row r="2973" spans="1:34" x14ac:dyDescent="0.3">
      <c r="A2973" s="140">
        <v>905341</v>
      </c>
      <c r="B2973" s="138">
        <v>15</v>
      </c>
      <c r="C2973" s="138">
        <v>9.625</v>
      </c>
      <c r="D2973" s="152">
        <v>8.1300000000000008</v>
      </c>
      <c r="E2973" s="752">
        <v>0.53200000000000003</v>
      </c>
      <c r="F2973" s="142">
        <v>585.20000000000005</v>
      </c>
      <c r="H2973" s="142">
        <v>32.99</v>
      </c>
      <c r="I2973" s="142">
        <v>721</v>
      </c>
      <c r="J2973" s="141">
        <v>0.157</v>
      </c>
      <c r="K2973" s="138">
        <v>11.28</v>
      </c>
      <c r="L2973" s="795">
        <v>987</v>
      </c>
      <c r="M2973" s="795">
        <v>0.45</v>
      </c>
      <c r="N2973" s="795">
        <v>0.47</v>
      </c>
      <c r="O2973" s="795">
        <v>1.1399999999999999</v>
      </c>
      <c r="P2973" s="795">
        <v>1.33</v>
      </c>
      <c r="R2973" s="139">
        <v>1.3195466185291689</v>
      </c>
      <c r="S2973" s="138">
        <v>9</v>
      </c>
      <c r="Y2973" s="138">
        <v>34.5</v>
      </c>
      <c r="AA2973" s="139">
        <v>3.67</v>
      </c>
      <c r="AB2973" s="139">
        <v>0.72799999999999998</v>
      </c>
      <c r="AC2973" s="140">
        <v>9</v>
      </c>
      <c r="AD2973" s="70">
        <v>550</v>
      </c>
      <c r="AE2973" s="70">
        <v>320</v>
      </c>
      <c r="AF2973" s="70">
        <v>130</v>
      </c>
      <c r="AG2973" s="66">
        <f t="shared" si="116"/>
        <v>115.74260869565217</v>
      </c>
      <c r="AH2973" s="143">
        <f t="shared" si="117"/>
        <v>1000</v>
      </c>
    </row>
    <row r="2974" spans="1:34" x14ac:dyDescent="0.3">
      <c r="A2974" s="140">
        <v>905342</v>
      </c>
      <c r="B2974" s="138">
        <v>16.7</v>
      </c>
      <c r="C2974" s="138">
        <v>9</v>
      </c>
      <c r="D2974" s="152">
        <v>8.14</v>
      </c>
      <c r="E2974" s="752">
        <v>0.88500000000000001</v>
      </c>
      <c r="F2974" s="142">
        <v>973.50000000000011</v>
      </c>
      <c r="H2974" s="142">
        <v>25.83</v>
      </c>
      <c r="I2974" s="142">
        <v>575</v>
      </c>
      <c r="J2974" s="141">
        <v>0.214</v>
      </c>
      <c r="K2974" s="138">
        <v>11.36</v>
      </c>
      <c r="L2974" s="795">
        <v>956</v>
      </c>
      <c r="M2974" s="795">
        <v>0.46</v>
      </c>
      <c r="N2974" s="795">
        <v>0.46</v>
      </c>
      <c r="O2974" s="795">
        <v>1.7</v>
      </c>
      <c r="P2974" s="795">
        <v>1.46</v>
      </c>
      <c r="R2974" s="139">
        <v>1.3957589686092871</v>
      </c>
      <c r="S2974" s="138">
        <v>9.5</v>
      </c>
      <c r="Y2974" s="138">
        <v>33.799999999999997</v>
      </c>
      <c r="AA2974" s="139">
        <v>3.66</v>
      </c>
      <c r="AB2974" s="139">
        <v>0.48699999999999999</v>
      </c>
      <c r="AC2974" s="140">
        <v>8.8000000000000007</v>
      </c>
      <c r="AD2974" s="70">
        <v>540</v>
      </c>
      <c r="AE2974" s="70">
        <v>340</v>
      </c>
      <c r="AF2974" s="70">
        <v>120</v>
      </c>
      <c r="AG2974" s="66">
        <f t="shared" si="116"/>
        <v>118.97751479289941</v>
      </c>
      <c r="AH2974" s="143">
        <f t="shared" si="117"/>
        <v>1000</v>
      </c>
    </row>
    <row r="2975" spans="1:34" x14ac:dyDescent="0.3">
      <c r="A2975" s="140">
        <v>905343</v>
      </c>
      <c r="B2975" s="138">
        <v>17.5</v>
      </c>
      <c r="C2975" s="138">
        <v>9.4999999999999964</v>
      </c>
      <c r="D2975" s="152">
        <v>8.1999999999999993</v>
      </c>
      <c r="E2975" s="752">
        <v>1.99</v>
      </c>
      <c r="F2975" s="142">
        <v>2189</v>
      </c>
      <c r="H2975" s="142">
        <v>49.62</v>
      </c>
      <c r="I2975" s="142">
        <v>987</v>
      </c>
      <c r="J2975" s="141">
        <v>1.5629999999999999</v>
      </c>
      <c r="K2975" s="138">
        <v>11.34</v>
      </c>
      <c r="L2975" s="795">
        <v>1082</v>
      </c>
      <c r="M2975" s="795">
        <v>0.57999999999999996</v>
      </c>
      <c r="N2975" s="795">
        <v>0.5</v>
      </c>
      <c r="O2975" s="795">
        <v>1.27</v>
      </c>
      <c r="P2975" s="795">
        <v>1.63</v>
      </c>
      <c r="R2975" s="139">
        <v>1.3393847026644015</v>
      </c>
      <c r="S2975" s="138">
        <v>9.1</v>
      </c>
      <c r="Y2975" s="138">
        <v>27</v>
      </c>
      <c r="AA2975" s="139">
        <v>4.4000000000000004</v>
      </c>
      <c r="AB2975" s="139">
        <v>0.34699999999999998</v>
      </c>
      <c r="AC2975" s="140">
        <v>7.2</v>
      </c>
      <c r="AD2975" s="70">
        <v>540</v>
      </c>
      <c r="AE2975" s="70">
        <v>350</v>
      </c>
      <c r="AF2975" s="70">
        <v>110</v>
      </c>
      <c r="AG2975" s="66">
        <f t="shared" si="116"/>
        <v>148.68</v>
      </c>
      <c r="AH2975" s="143">
        <f t="shared" si="117"/>
        <v>1000</v>
      </c>
    </row>
    <row r="2976" spans="1:34" s="1069" customFormat="1" x14ac:dyDescent="0.3">
      <c r="A2976" s="1069" t="s">
        <v>530</v>
      </c>
      <c r="B2976" s="1070">
        <v>0.1</v>
      </c>
      <c r="C2976" s="1070"/>
      <c r="D2976" s="1071">
        <v>5.3</v>
      </c>
      <c r="E2976" s="1580">
        <v>3.1E-2</v>
      </c>
      <c r="F2976" s="1072">
        <v>34.1</v>
      </c>
      <c r="H2976" s="1072">
        <v>3.17</v>
      </c>
      <c r="I2976" s="1227">
        <v>30</v>
      </c>
      <c r="J2976" s="1073">
        <v>2.5999999999999999E-2</v>
      </c>
      <c r="K2976" s="1193">
        <v>0.4</v>
      </c>
      <c r="L2976" s="1069">
        <v>69</v>
      </c>
      <c r="M2976" s="1193">
        <v>0.11</v>
      </c>
      <c r="N2976" s="1193">
        <v>0.27</v>
      </c>
      <c r="O2976" s="1193">
        <v>5.34</v>
      </c>
      <c r="P2976" s="1069">
        <v>65.87</v>
      </c>
      <c r="R2976" s="1071">
        <v>0.98115938657982649</v>
      </c>
      <c r="S2976" s="1070">
        <v>6.6400000000000006</v>
      </c>
      <c r="Y2976" s="1070">
        <v>4.8</v>
      </c>
      <c r="AA2976" s="1071">
        <v>4.38</v>
      </c>
      <c r="AB2976" s="1071">
        <v>0.71799999999999997</v>
      </c>
      <c r="AC2976" s="1069">
        <v>6.5</v>
      </c>
      <c r="AD2976" s="1074">
        <v>80</v>
      </c>
      <c r="AE2976" s="1074">
        <v>60</v>
      </c>
      <c r="AF2976" s="1074">
        <v>860</v>
      </c>
      <c r="AG2976" s="66">
        <f t="shared" si="116"/>
        <v>29.500000000000007</v>
      </c>
      <c r="AH2976" s="143">
        <f t="shared" si="117"/>
        <v>1000</v>
      </c>
    </row>
    <row r="2977" spans="1:34" s="1069" customFormat="1" x14ac:dyDescent="0.3">
      <c r="A2977" s="1069" t="s">
        <v>531</v>
      </c>
      <c r="B2977" s="1070">
        <v>0.1</v>
      </c>
      <c r="C2977" s="1070"/>
      <c r="D2977" s="1071">
        <v>4.8</v>
      </c>
      <c r="E2977" s="1580">
        <v>2.3E-2</v>
      </c>
      <c r="F2977" s="1072">
        <v>25.3</v>
      </c>
      <c r="H2977" s="1072">
        <v>2.95</v>
      </c>
      <c r="I2977" s="1227">
        <v>20</v>
      </c>
      <c r="J2977" s="1073">
        <v>5.0000000000000001E-3</v>
      </c>
      <c r="K2977" s="1193">
        <v>0.04</v>
      </c>
      <c r="L2977" s="1069">
        <v>25</v>
      </c>
      <c r="M2977" s="1193">
        <v>0.08</v>
      </c>
      <c r="N2977" s="1193">
        <v>0.08</v>
      </c>
      <c r="O2977" s="1193">
        <v>0.36</v>
      </c>
      <c r="P2977" s="1069">
        <v>59.54</v>
      </c>
      <c r="R2977" s="1071">
        <v>0.54187986154813073</v>
      </c>
      <c r="S2977" s="1070">
        <v>3.7</v>
      </c>
      <c r="Y2977" s="1070">
        <v>3</v>
      </c>
      <c r="AA2977" s="1071">
        <v>4.16</v>
      </c>
      <c r="AB2977" s="1071">
        <v>0.42599999999999999</v>
      </c>
      <c r="AC2977" s="1069">
        <v>11.1</v>
      </c>
      <c r="AD2977" s="1074">
        <v>60</v>
      </c>
      <c r="AE2977" s="1074">
        <v>80</v>
      </c>
      <c r="AF2977" s="1074">
        <v>860</v>
      </c>
      <c r="AG2977" s="66">
        <f t="shared" si="116"/>
        <v>4.72</v>
      </c>
      <c r="AH2977" s="143">
        <f t="shared" si="117"/>
        <v>1000</v>
      </c>
    </row>
    <row r="2978" spans="1:34" s="1069" customFormat="1" x14ac:dyDescent="0.3">
      <c r="A2978" s="1069" t="s">
        <v>535</v>
      </c>
      <c r="B2978" s="1070">
        <v>0.1</v>
      </c>
      <c r="C2978" s="1070"/>
      <c r="D2978" s="1071">
        <v>5.7</v>
      </c>
      <c r="E2978" s="1580">
        <v>0.2</v>
      </c>
      <c r="F2978" s="1072">
        <v>220.00000000000003</v>
      </c>
      <c r="H2978" s="1072">
        <v>7.03</v>
      </c>
      <c r="I2978" s="1227">
        <v>30</v>
      </c>
      <c r="J2978" s="1073">
        <v>4.0000000000000001E-3</v>
      </c>
      <c r="K2978" s="1193">
        <v>0.11</v>
      </c>
      <c r="L2978" s="1069">
        <v>23</v>
      </c>
      <c r="M2978" s="1193">
        <v>0.1</v>
      </c>
      <c r="N2978" s="1193">
        <v>0.08</v>
      </c>
      <c r="O2978" s="1193">
        <v>1.56</v>
      </c>
      <c r="P2978" s="1069">
        <v>6.68</v>
      </c>
      <c r="R2978" s="1071">
        <v>0.2825100110405091</v>
      </c>
      <c r="S2978" s="1070">
        <v>1.9100000000000001</v>
      </c>
      <c r="Y2978" s="1070">
        <v>3.6</v>
      </c>
      <c r="AA2978" s="1071">
        <v>4.78</v>
      </c>
      <c r="AB2978" s="1071">
        <v>0.501</v>
      </c>
      <c r="AC2978" s="1069">
        <v>6.5</v>
      </c>
      <c r="AD2978" s="1074">
        <v>60</v>
      </c>
      <c r="AE2978" s="1074">
        <v>60</v>
      </c>
      <c r="AF2978" s="1074">
        <v>880</v>
      </c>
      <c r="AG2978" s="66">
        <f t="shared" si="116"/>
        <v>10.816666666666668</v>
      </c>
      <c r="AH2978" s="143">
        <f t="shared" si="117"/>
        <v>1000</v>
      </c>
    </row>
    <row r="2979" spans="1:34" s="90" customFormat="1" x14ac:dyDescent="0.3">
      <c r="A2979" s="90">
        <v>905344</v>
      </c>
      <c r="B2979" s="803">
        <v>2.2999999999999998</v>
      </c>
      <c r="C2979" s="803"/>
      <c r="D2979" s="152">
        <v>8</v>
      </c>
      <c r="E2979" s="1127">
        <v>0.51600000000000001</v>
      </c>
      <c r="F2979" s="804">
        <v>567.6</v>
      </c>
      <c r="H2979" s="804">
        <v>16.16</v>
      </c>
      <c r="I2979" s="340">
        <v>260</v>
      </c>
      <c r="J2979" s="853">
        <v>0.32300000000000001</v>
      </c>
      <c r="K2979" s="753">
        <v>7.54</v>
      </c>
      <c r="L2979" s="90">
        <v>565</v>
      </c>
      <c r="M2979" s="753">
        <v>0.31</v>
      </c>
      <c r="N2979" s="90">
        <v>0.36</v>
      </c>
      <c r="O2979" s="753">
        <v>1.77</v>
      </c>
      <c r="P2979" s="90">
        <v>2.13</v>
      </c>
      <c r="R2979" s="152">
        <v>0.61383370330144782</v>
      </c>
      <c r="S2979" s="803">
        <v>4.0699999999999994</v>
      </c>
      <c r="Y2979" s="803">
        <v>22.8</v>
      </c>
      <c r="AA2979" s="152">
        <v>4.0999999999999996</v>
      </c>
      <c r="AB2979" s="152">
        <v>0.58799999999999997</v>
      </c>
      <c r="AC2979" s="90">
        <v>10.1</v>
      </c>
      <c r="AD2979" s="118">
        <v>380</v>
      </c>
      <c r="AE2979" s="118">
        <v>280</v>
      </c>
      <c r="AF2979" s="118">
        <v>340</v>
      </c>
      <c r="AG2979" s="66">
        <f t="shared" si="116"/>
        <v>117.06842105263159</v>
      </c>
      <c r="AH2979" s="143">
        <f t="shared" si="117"/>
        <v>1000</v>
      </c>
    </row>
    <row r="2980" spans="1:34" s="90" customFormat="1" x14ac:dyDescent="0.3">
      <c r="A2980" s="90">
        <v>905345</v>
      </c>
      <c r="B2980" s="803">
        <v>4.4000000000000004</v>
      </c>
      <c r="C2980" s="803"/>
      <c r="D2980" s="152">
        <v>7.7</v>
      </c>
      <c r="E2980" s="1127">
        <v>0.61499999999999999</v>
      </c>
      <c r="F2980" s="804">
        <v>676.5</v>
      </c>
      <c r="H2980" s="804">
        <f>277.67*2</f>
        <v>555.34</v>
      </c>
      <c r="I2980" s="340">
        <v>300</v>
      </c>
      <c r="J2980" s="853">
        <v>0.27</v>
      </c>
      <c r="K2980" s="753">
        <v>7.12</v>
      </c>
      <c r="L2980" s="90">
        <v>1160</v>
      </c>
      <c r="M2980" s="753">
        <v>3.98</v>
      </c>
      <c r="N2980" s="90">
        <v>0.5</v>
      </c>
      <c r="O2980" s="753">
        <v>5.93</v>
      </c>
      <c r="P2980" s="90">
        <v>10.57</v>
      </c>
      <c r="R2980" s="152">
        <v>1.77714953</v>
      </c>
      <c r="S2980" s="803">
        <v>15.89</v>
      </c>
      <c r="Y2980" s="803">
        <v>22.2</v>
      </c>
      <c r="AA2980" s="152">
        <v>4.8499999999999996</v>
      </c>
      <c r="AB2980" s="152">
        <v>0.45800000000000002</v>
      </c>
      <c r="AC2980" s="90">
        <v>11.5</v>
      </c>
      <c r="AD2980" s="118">
        <v>370</v>
      </c>
      <c r="AE2980" s="118">
        <v>270</v>
      </c>
      <c r="AF2980" s="118">
        <v>360</v>
      </c>
      <c r="AG2980" s="66">
        <f t="shared" si="116"/>
        <v>113.53513513513514</v>
      </c>
      <c r="AH2980" s="143">
        <f t="shared" si="117"/>
        <v>1000</v>
      </c>
    </row>
    <row r="2981" spans="1:34" s="90" customFormat="1" x14ac:dyDescent="0.3">
      <c r="A2981" s="90">
        <v>905346</v>
      </c>
      <c r="B2981" s="803">
        <v>4.8</v>
      </c>
      <c r="C2981" s="803"/>
      <c r="D2981" s="152">
        <v>7.94</v>
      </c>
      <c r="E2981" s="1127">
        <v>1.02</v>
      </c>
      <c r="F2981" s="804">
        <v>1122</v>
      </c>
      <c r="H2981" s="804">
        <v>142.9</v>
      </c>
      <c r="I2981" s="340">
        <v>270</v>
      </c>
      <c r="J2981" s="853">
        <v>0.70499999999999996</v>
      </c>
      <c r="K2981" s="753">
        <v>7.76</v>
      </c>
      <c r="L2981" s="90">
        <v>1034</v>
      </c>
      <c r="M2981" s="753">
        <v>1.92</v>
      </c>
      <c r="N2981" s="90">
        <v>0.31</v>
      </c>
      <c r="O2981" s="753">
        <v>4.79</v>
      </c>
      <c r="P2981" s="90">
        <v>4.03</v>
      </c>
      <c r="R2981" s="152">
        <v>1.2585616281757566</v>
      </c>
      <c r="S2981" s="803">
        <v>8.27</v>
      </c>
      <c r="Y2981" s="803">
        <v>22</v>
      </c>
      <c r="AA2981" s="152">
        <v>3.78</v>
      </c>
      <c r="AB2981" s="152">
        <v>0.42099999999999999</v>
      </c>
      <c r="AC2981" s="90">
        <v>11.1</v>
      </c>
      <c r="AD2981" s="118">
        <v>440</v>
      </c>
      <c r="AE2981" s="118">
        <v>320</v>
      </c>
      <c r="AF2981" s="118">
        <v>240</v>
      </c>
      <c r="AG2981" s="66">
        <f t="shared" si="116"/>
        <v>124.86545454545454</v>
      </c>
      <c r="AH2981" s="143">
        <f t="shared" si="117"/>
        <v>1000</v>
      </c>
    </row>
    <row r="2982" spans="1:34" s="90" customFormat="1" x14ac:dyDescent="0.3">
      <c r="A2982" s="90">
        <v>905347</v>
      </c>
      <c r="B2982" s="803">
        <v>0.1</v>
      </c>
      <c r="C2982" s="803"/>
      <c r="D2982" s="152">
        <v>6.92</v>
      </c>
      <c r="E2982" s="1127">
        <v>9.5000000000000001E-2</v>
      </c>
      <c r="F2982" s="804">
        <v>104.50000000000001</v>
      </c>
      <c r="H2982" s="804">
        <v>2.87</v>
      </c>
      <c r="I2982" s="340">
        <v>50</v>
      </c>
      <c r="J2982" s="853">
        <v>0.16200000000000001</v>
      </c>
      <c r="K2982" s="753">
        <v>1.0900000000000001</v>
      </c>
      <c r="L2982" s="90">
        <v>560</v>
      </c>
      <c r="M2982" s="753">
        <v>0.11</v>
      </c>
      <c r="N2982" s="90">
        <v>0.08</v>
      </c>
      <c r="O2982" s="753">
        <v>0.37</v>
      </c>
      <c r="P2982" s="90">
        <v>3.03</v>
      </c>
      <c r="R2982" s="152">
        <v>0.39884273730040176</v>
      </c>
      <c r="S2982" s="803">
        <v>2.67</v>
      </c>
      <c r="Y2982" s="803">
        <v>19</v>
      </c>
      <c r="Z2982" s="90">
        <v>5.84</v>
      </c>
      <c r="AA2982" s="152">
        <v>3.93</v>
      </c>
      <c r="AB2982" s="152">
        <v>0.55100000000000005</v>
      </c>
      <c r="AC2982" s="90">
        <v>12</v>
      </c>
      <c r="AD2982" s="118">
        <v>380</v>
      </c>
      <c r="AE2982" s="118">
        <v>420</v>
      </c>
      <c r="AF2982" s="118">
        <v>200</v>
      </c>
      <c r="AG2982" s="66">
        <f t="shared" si="116"/>
        <v>20.308421052631584</v>
      </c>
      <c r="AH2982" s="143">
        <f t="shared" si="117"/>
        <v>1000</v>
      </c>
    </row>
    <row r="2983" spans="1:34" s="90" customFormat="1" x14ac:dyDescent="0.3">
      <c r="A2983" s="90">
        <v>905348</v>
      </c>
      <c r="B2983" s="803">
        <v>0.1</v>
      </c>
      <c r="C2983" s="803"/>
      <c r="D2983" s="152">
        <v>6.51</v>
      </c>
      <c r="E2983" s="1127">
        <v>7.8E-2</v>
      </c>
      <c r="F2983" s="804">
        <v>85.800000000000011</v>
      </c>
      <c r="H2983" s="804">
        <v>5.71</v>
      </c>
      <c r="I2983" s="340">
        <v>10</v>
      </c>
      <c r="J2983" s="853">
        <v>6.3E-2</v>
      </c>
      <c r="K2983" s="753">
        <v>0.25</v>
      </c>
      <c r="L2983" s="90">
        <v>44</v>
      </c>
      <c r="M2983" s="753">
        <v>0.05</v>
      </c>
      <c r="N2983" s="90">
        <v>0.14000000000000001</v>
      </c>
      <c r="O2983" s="753">
        <v>1.88</v>
      </c>
      <c r="P2983" s="90">
        <v>9.18</v>
      </c>
      <c r="R2983" s="152">
        <v>0.25030433460142437</v>
      </c>
      <c r="S2983" s="803">
        <v>1.7199999999999998</v>
      </c>
      <c r="Y2983" s="803">
        <v>1.2</v>
      </c>
      <c r="Z2983" s="90">
        <v>5.35</v>
      </c>
      <c r="AA2983" s="152">
        <v>5</v>
      </c>
      <c r="AB2983" s="152">
        <v>0.42</v>
      </c>
      <c r="AC2983" s="90">
        <v>12</v>
      </c>
      <c r="AD2983" s="118">
        <v>60</v>
      </c>
      <c r="AE2983" s="118">
        <v>60</v>
      </c>
      <c r="AF2983" s="118">
        <v>880</v>
      </c>
      <c r="AG2983" s="66">
        <f t="shared" si="116"/>
        <v>73.75</v>
      </c>
      <c r="AH2983" s="143">
        <f t="shared" si="117"/>
        <v>1000</v>
      </c>
    </row>
    <row r="2984" spans="1:34" s="90" customFormat="1" x14ac:dyDescent="0.3">
      <c r="A2984" s="90">
        <v>905349</v>
      </c>
      <c r="B2984" s="803">
        <v>15.8</v>
      </c>
      <c r="C2984" s="803">
        <v>6.4</v>
      </c>
      <c r="D2984" s="152">
        <v>8.0299999999999994</v>
      </c>
      <c r="E2984" s="1127">
        <v>0.217</v>
      </c>
      <c r="F2984" s="804">
        <v>238.70000000000002</v>
      </c>
      <c r="H2984" s="804">
        <v>115.13</v>
      </c>
      <c r="I2984" s="340">
        <v>220</v>
      </c>
      <c r="J2984" s="853">
        <v>7.0000000000000007E-2</v>
      </c>
      <c r="K2984" s="753">
        <v>7.45</v>
      </c>
      <c r="L2984" s="90">
        <v>542</v>
      </c>
      <c r="M2984" s="753">
        <v>1.68</v>
      </c>
      <c r="N2984" s="90">
        <v>0.86</v>
      </c>
      <c r="O2984" s="753">
        <v>2.42</v>
      </c>
      <c r="P2984" s="90">
        <v>4.13</v>
      </c>
      <c r="R2984" s="152">
        <v>1.1563936231055605</v>
      </c>
      <c r="S2984" s="803">
        <v>7.8800000000000008</v>
      </c>
      <c r="Y2984" s="803">
        <v>19</v>
      </c>
      <c r="AA2984" s="152">
        <v>4.76</v>
      </c>
      <c r="AB2984" s="152">
        <v>0.68799999999999994</v>
      </c>
      <c r="AC2984" s="90">
        <v>6.9</v>
      </c>
      <c r="AD2984" s="118">
        <v>380</v>
      </c>
      <c r="AE2984" s="118">
        <v>340</v>
      </c>
      <c r="AF2984" s="118">
        <v>280</v>
      </c>
      <c r="AG2984" s="66">
        <f t="shared" si="116"/>
        <v>138.80526315789476</v>
      </c>
      <c r="AH2984" s="143">
        <f t="shared" si="117"/>
        <v>1000</v>
      </c>
    </row>
    <row r="2985" spans="1:34" s="90" customFormat="1" x14ac:dyDescent="0.3">
      <c r="A2985" s="90">
        <v>905350</v>
      </c>
      <c r="B2985" s="803">
        <v>12.9</v>
      </c>
      <c r="C2985" s="803">
        <v>7</v>
      </c>
      <c r="D2985" s="152">
        <v>8.01</v>
      </c>
      <c r="E2985" s="1127">
        <v>0.27200000000000002</v>
      </c>
      <c r="F2985" s="804">
        <v>299.20000000000005</v>
      </c>
      <c r="H2985" s="804">
        <v>54.44</v>
      </c>
      <c r="I2985" s="340">
        <v>570</v>
      </c>
      <c r="J2985" s="853">
        <v>0.12</v>
      </c>
      <c r="K2985" s="753">
        <v>13.42</v>
      </c>
      <c r="L2985" s="90">
        <v>1298</v>
      </c>
      <c r="M2985" s="753">
        <v>0.35</v>
      </c>
      <c r="N2985" s="90">
        <v>0.87</v>
      </c>
      <c r="O2985" s="753">
        <v>4.28</v>
      </c>
      <c r="P2985" s="90">
        <v>3.76</v>
      </c>
      <c r="R2985" s="152">
        <v>1.7057661200000001</v>
      </c>
      <c r="S2985" s="803">
        <v>13.78</v>
      </c>
      <c r="Y2985" s="803">
        <v>27</v>
      </c>
      <c r="AA2985" s="152">
        <v>4.9800000000000004</v>
      </c>
      <c r="AB2985" s="152">
        <v>0.73799999999999999</v>
      </c>
      <c r="AC2985" s="90">
        <v>8.6999999999999993</v>
      </c>
      <c r="AD2985" s="118">
        <v>540</v>
      </c>
      <c r="AE2985" s="118">
        <v>280</v>
      </c>
      <c r="AF2985" s="118">
        <v>180</v>
      </c>
      <c r="AG2985" s="66">
        <f t="shared" si="116"/>
        <v>175.95111111111112</v>
      </c>
      <c r="AH2985" s="143">
        <f t="shared" si="117"/>
        <v>1000</v>
      </c>
    </row>
    <row r="2986" spans="1:34" s="90" customFormat="1" x14ac:dyDescent="0.3">
      <c r="A2986" s="90">
        <v>905351</v>
      </c>
      <c r="B2986" s="803">
        <v>9.6</v>
      </c>
      <c r="C2986" s="803"/>
      <c r="D2986" s="152">
        <v>8.0299999999999994</v>
      </c>
      <c r="E2986" s="1127">
        <v>0.11600000000000001</v>
      </c>
      <c r="F2986" s="804">
        <v>127.60000000000001</v>
      </c>
      <c r="H2986" s="804">
        <v>6.41</v>
      </c>
      <c r="I2986" s="340">
        <v>220</v>
      </c>
      <c r="J2986" s="853">
        <v>4.2999999999999997E-2</v>
      </c>
      <c r="K2986" s="753">
        <v>12.61</v>
      </c>
      <c r="L2986" s="90">
        <v>859</v>
      </c>
      <c r="M2986" s="753">
        <v>0.12</v>
      </c>
      <c r="N2986" s="90">
        <v>0.83</v>
      </c>
      <c r="O2986" s="753">
        <v>1.18</v>
      </c>
      <c r="P2986" s="90">
        <v>2.68</v>
      </c>
      <c r="R2986" s="152">
        <v>1.0884682306730911</v>
      </c>
      <c r="S2986" s="803">
        <v>7.84</v>
      </c>
      <c r="Y2986" s="803">
        <v>26.5</v>
      </c>
      <c r="AA2986" s="152">
        <v>3.88</v>
      </c>
      <c r="AB2986" s="152">
        <v>0.56599999999999995</v>
      </c>
      <c r="AC2986" s="90">
        <v>7.6</v>
      </c>
      <c r="AD2986" s="118">
        <v>530</v>
      </c>
      <c r="AE2986" s="118">
        <v>300</v>
      </c>
      <c r="AF2986" s="118">
        <v>170</v>
      </c>
      <c r="AG2986" s="66">
        <f t="shared" si="116"/>
        <v>168.45056603773588</v>
      </c>
      <c r="AH2986" s="143">
        <f t="shared" si="117"/>
        <v>1000</v>
      </c>
    </row>
    <row r="2987" spans="1:34" s="90" customFormat="1" x14ac:dyDescent="0.3">
      <c r="A2987" s="90">
        <v>905352</v>
      </c>
      <c r="B2987" s="803">
        <v>0.4</v>
      </c>
      <c r="C2987" s="803"/>
      <c r="D2987" s="152">
        <v>7.73</v>
      </c>
      <c r="E2987" s="1127">
        <v>0.105</v>
      </c>
      <c r="F2987" s="804">
        <v>115.50000000000001</v>
      </c>
      <c r="H2987" s="804">
        <v>25.21</v>
      </c>
      <c r="I2987" s="340">
        <v>700</v>
      </c>
      <c r="J2987" s="853">
        <v>4.7E-2</v>
      </c>
      <c r="K2987" s="753">
        <v>6.55</v>
      </c>
      <c r="L2987" s="90">
        <v>434</v>
      </c>
      <c r="M2987" s="753">
        <v>0.65</v>
      </c>
      <c r="N2987" s="90">
        <v>1.39</v>
      </c>
      <c r="O2987" s="753">
        <v>7.58</v>
      </c>
      <c r="P2987" s="90">
        <v>2.62</v>
      </c>
      <c r="R2987" s="152">
        <v>1.74880737</v>
      </c>
      <c r="S2987" s="803">
        <v>15.03</v>
      </c>
      <c r="Y2987" s="803">
        <v>28</v>
      </c>
      <c r="AA2987" s="152">
        <v>4.9800000000000004</v>
      </c>
      <c r="AB2987" s="152">
        <v>0.874</v>
      </c>
      <c r="AC2987" s="90">
        <v>9.6999999999999993</v>
      </c>
      <c r="AD2987" s="118">
        <v>560</v>
      </c>
      <c r="AE2987" s="118">
        <v>310</v>
      </c>
      <c r="AF2987" s="118">
        <v>130</v>
      </c>
      <c r="AG2987" s="66">
        <f t="shared" si="116"/>
        <v>82.810714285714297</v>
      </c>
      <c r="AH2987" s="143">
        <f t="shared" si="117"/>
        <v>1000</v>
      </c>
    </row>
    <row r="2988" spans="1:34" s="90" customFormat="1" x14ac:dyDescent="0.3">
      <c r="A2988" s="90">
        <v>905353</v>
      </c>
      <c r="B2988" s="803">
        <v>3.6</v>
      </c>
      <c r="C2988" s="803"/>
      <c r="D2988" s="152">
        <v>7.52</v>
      </c>
      <c r="E2988" s="1127">
        <v>0.152</v>
      </c>
      <c r="F2988" s="804">
        <v>167.20000000000002</v>
      </c>
      <c r="H2988" s="804">
        <v>123.21</v>
      </c>
      <c r="I2988" s="340">
        <v>680</v>
      </c>
      <c r="J2988" s="853">
        <v>6.5000000000000002E-2</v>
      </c>
      <c r="K2988" s="753">
        <v>8.35</v>
      </c>
      <c r="L2988" s="90">
        <v>745</v>
      </c>
      <c r="M2988" s="753">
        <v>1.22</v>
      </c>
      <c r="N2988" s="90">
        <v>1.31</v>
      </c>
      <c r="O2988" s="753">
        <v>16.5</v>
      </c>
      <c r="P2988" s="90">
        <v>4.28</v>
      </c>
      <c r="R2988" s="152">
        <v>2.0870244800000002</v>
      </c>
      <c r="S2988" s="803">
        <v>29.439999999999998</v>
      </c>
      <c r="Y2988" s="803">
        <v>27</v>
      </c>
      <c r="AA2988" s="152">
        <v>4.45</v>
      </c>
      <c r="AB2988" s="152">
        <v>0.67600000000000005</v>
      </c>
      <c r="AC2988" s="90">
        <v>8.3000000000000007</v>
      </c>
      <c r="AD2988" s="118">
        <v>540</v>
      </c>
      <c r="AE2988" s="118">
        <v>320</v>
      </c>
      <c r="AF2988" s="118">
        <v>140</v>
      </c>
      <c r="AG2988" s="66">
        <f t="shared" si="116"/>
        <v>109.47777777777776</v>
      </c>
      <c r="AH2988" s="143">
        <f t="shared" si="117"/>
        <v>1000</v>
      </c>
    </row>
    <row r="2989" spans="1:34" s="90" customFormat="1" x14ac:dyDescent="0.3">
      <c r="A2989" s="90">
        <v>905354</v>
      </c>
      <c r="B2989" s="803">
        <v>20.8</v>
      </c>
      <c r="C2989" s="803">
        <v>9.3000000000000007</v>
      </c>
      <c r="D2989" s="152">
        <v>7.83</v>
      </c>
      <c r="E2989" s="1127">
        <v>0.13200000000000001</v>
      </c>
      <c r="F2989" s="804">
        <v>145.20000000000002</v>
      </c>
      <c r="H2989" s="804">
        <v>17.190000000000001</v>
      </c>
      <c r="I2989" s="340">
        <v>160</v>
      </c>
      <c r="J2989" s="853">
        <v>7.2999999999999995E-2</v>
      </c>
      <c r="K2989" s="753">
        <v>14.13</v>
      </c>
      <c r="L2989" s="90">
        <v>283</v>
      </c>
      <c r="M2989" s="753">
        <v>0.19</v>
      </c>
      <c r="N2989" s="90">
        <v>0.92</v>
      </c>
      <c r="O2989" s="753">
        <v>4.91</v>
      </c>
      <c r="P2989" s="90">
        <v>1.76</v>
      </c>
      <c r="R2989" s="152">
        <v>1.77325697</v>
      </c>
      <c r="S2989" s="803">
        <v>15.77</v>
      </c>
      <c r="Y2989" s="803">
        <v>20</v>
      </c>
      <c r="AA2989" s="152">
        <v>4.5</v>
      </c>
      <c r="AB2989" s="152">
        <v>0.84699999999999998</v>
      </c>
      <c r="AC2989" s="90">
        <v>8.6</v>
      </c>
      <c r="AD2989" s="118">
        <v>400</v>
      </c>
      <c r="AE2989" s="118">
        <v>320</v>
      </c>
      <c r="AF2989" s="118">
        <v>280</v>
      </c>
      <c r="AG2989" s="66">
        <f t="shared" si="116"/>
        <v>250.10100000000003</v>
      </c>
      <c r="AH2989" s="143">
        <f t="shared" si="117"/>
        <v>1000</v>
      </c>
    </row>
    <row r="2990" spans="1:34" s="90" customFormat="1" x14ac:dyDescent="0.3">
      <c r="A2990" s="90">
        <v>905355</v>
      </c>
      <c r="B2990" s="803">
        <v>0.1</v>
      </c>
      <c r="C2990" s="803"/>
      <c r="D2990" s="152">
        <v>7.4</v>
      </c>
      <c r="E2990" s="1127">
        <v>5.5E-2</v>
      </c>
      <c r="F2990" s="804">
        <v>60.500000000000007</v>
      </c>
      <c r="H2990" s="804">
        <v>93.79</v>
      </c>
      <c r="I2990" s="340">
        <v>70</v>
      </c>
      <c r="J2990" s="853">
        <v>2.5000000000000001E-2</v>
      </c>
      <c r="K2990" s="753">
        <v>0.86</v>
      </c>
      <c r="L2990" s="90">
        <v>69</v>
      </c>
      <c r="M2990" s="753">
        <v>1.0900000000000001</v>
      </c>
      <c r="N2990" s="90">
        <v>0.26</v>
      </c>
      <c r="O2990" s="753">
        <v>0.92</v>
      </c>
      <c r="P2990" s="90">
        <v>4.63</v>
      </c>
      <c r="R2990" s="152">
        <v>0.98486893657994978</v>
      </c>
      <c r="S2990" s="803">
        <v>7.08</v>
      </c>
      <c r="Y2990" s="803">
        <v>3</v>
      </c>
      <c r="AA2990" s="152">
        <v>4.24</v>
      </c>
      <c r="AB2990" s="152">
        <v>0.72</v>
      </c>
      <c r="AC2990" s="90">
        <v>6.3</v>
      </c>
      <c r="AD2990" s="118">
        <v>60</v>
      </c>
      <c r="AE2990" s="118">
        <v>60</v>
      </c>
      <c r="AF2990" s="118">
        <v>880</v>
      </c>
      <c r="AG2990" s="66">
        <f t="shared" si="116"/>
        <v>101.48</v>
      </c>
      <c r="AH2990" s="143">
        <f t="shared" si="117"/>
        <v>1000</v>
      </c>
    </row>
    <row r="2991" spans="1:34" s="90" customFormat="1" x14ac:dyDescent="0.3">
      <c r="A2991" s="90">
        <v>905356</v>
      </c>
      <c r="B2991" s="803">
        <v>0.4</v>
      </c>
      <c r="C2991" s="803"/>
      <c r="D2991" s="152">
        <v>7.71</v>
      </c>
      <c r="E2991" s="1127">
        <v>0.217</v>
      </c>
      <c r="F2991" s="804">
        <v>238.70000000000002</v>
      </c>
      <c r="H2991" s="804">
        <v>52.63</v>
      </c>
      <c r="I2991" s="340">
        <v>210</v>
      </c>
      <c r="J2991" s="853">
        <v>0.16200000000000001</v>
      </c>
      <c r="K2991" s="753">
        <v>3.72</v>
      </c>
      <c r="L2991" s="90">
        <v>575</v>
      </c>
      <c r="M2991" s="753">
        <v>0.55000000000000004</v>
      </c>
      <c r="N2991" s="90">
        <v>1.49</v>
      </c>
      <c r="O2991" s="753">
        <v>4.37</v>
      </c>
      <c r="P2991" s="90">
        <v>3.25</v>
      </c>
      <c r="R2991" s="152">
        <v>1.6010233700000001</v>
      </c>
      <c r="S2991" s="803">
        <v>10.969999999999999</v>
      </c>
      <c r="Y2991" s="803">
        <v>22</v>
      </c>
      <c r="AA2991" s="152">
        <v>4.5599999999999996</v>
      </c>
      <c r="AB2991" s="152">
        <v>0.47199999999999998</v>
      </c>
      <c r="AC2991" s="90">
        <v>8.4</v>
      </c>
      <c r="AD2991" s="118">
        <v>550</v>
      </c>
      <c r="AE2991" s="118">
        <v>290</v>
      </c>
      <c r="AF2991" s="118">
        <v>160</v>
      </c>
      <c r="AG2991" s="66">
        <f t="shared" si="116"/>
        <v>59.858181818181826</v>
      </c>
      <c r="AH2991" s="143">
        <f t="shared" si="117"/>
        <v>1000</v>
      </c>
    </row>
    <row r="2992" spans="1:34" s="90" customFormat="1" x14ac:dyDescent="0.3">
      <c r="A2992" s="90">
        <v>905357</v>
      </c>
      <c r="B2992" s="803">
        <v>0.8</v>
      </c>
      <c r="C2992" s="803"/>
      <c r="D2992" s="152">
        <v>7.84</v>
      </c>
      <c r="E2992" s="1127">
        <v>0.2</v>
      </c>
      <c r="F2992" s="804">
        <v>220.00000000000003</v>
      </c>
      <c r="H2992" s="804">
        <v>28.42</v>
      </c>
      <c r="I2992" s="340">
        <v>200</v>
      </c>
      <c r="J2992" s="853">
        <v>0.13900000000000001</v>
      </c>
      <c r="K2992" s="753">
        <v>5.09</v>
      </c>
      <c r="L2992" s="90">
        <v>609</v>
      </c>
      <c r="M2992" s="753">
        <v>0.59</v>
      </c>
      <c r="N2992" s="90">
        <v>1.28</v>
      </c>
      <c r="O2992" s="753">
        <v>3.09</v>
      </c>
      <c r="P2992" s="90">
        <v>4.18</v>
      </c>
      <c r="R2992" s="152">
        <v>1.6146723199999999</v>
      </c>
      <c r="S2992" s="803">
        <v>11.319999999999999</v>
      </c>
      <c r="Y2992" s="803">
        <v>29</v>
      </c>
      <c r="AA2992" s="152">
        <v>3.61</v>
      </c>
      <c r="AB2992" s="152">
        <v>0.61699999999999999</v>
      </c>
      <c r="AC2992" s="90">
        <v>8.6</v>
      </c>
      <c r="AD2992" s="118">
        <v>560</v>
      </c>
      <c r="AE2992" s="118">
        <v>300</v>
      </c>
      <c r="AF2992" s="118">
        <v>140</v>
      </c>
      <c r="AG2992" s="66">
        <f t="shared" si="116"/>
        <v>62.133103448275861</v>
      </c>
      <c r="AH2992" s="143">
        <f t="shared" si="117"/>
        <v>1000</v>
      </c>
    </row>
    <row r="2993" spans="1:34" s="90" customFormat="1" x14ac:dyDescent="0.3">
      <c r="A2993" s="90">
        <v>905358</v>
      </c>
      <c r="B2993" s="803">
        <v>4.8</v>
      </c>
      <c r="C2993" s="803"/>
      <c r="D2993" s="152">
        <v>8.24</v>
      </c>
      <c r="E2993" s="1127">
        <v>0.47799999999999998</v>
      </c>
      <c r="F2993" s="804">
        <v>525.80000000000007</v>
      </c>
      <c r="H2993" s="804">
        <v>6.65</v>
      </c>
      <c r="I2993" s="340">
        <v>90</v>
      </c>
      <c r="J2993" s="853">
        <v>0.45</v>
      </c>
      <c r="K2993" s="753">
        <v>7.36</v>
      </c>
      <c r="L2993" s="90">
        <v>685</v>
      </c>
      <c r="M2993" s="753">
        <v>0.36</v>
      </c>
      <c r="N2993" s="90">
        <v>0.41</v>
      </c>
      <c r="O2993" s="753">
        <v>2.8</v>
      </c>
      <c r="P2993" s="90">
        <v>2.39</v>
      </c>
      <c r="R2993" s="152">
        <v>0.73559261236702944</v>
      </c>
      <c r="S2993" s="803">
        <v>5.0999999999999996</v>
      </c>
      <c r="Y2993" s="803">
        <v>28</v>
      </c>
      <c r="AA2993" s="152">
        <v>4.24</v>
      </c>
      <c r="AB2993" s="152">
        <v>0.48599999999999999</v>
      </c>
      <c r="AC2993" s="90">
        <v>11.5</v>
      </c>
      <c r="AD2993" s="118">
        <v>400</v>
      </c>
      <c r="AE2993" s="118">
        <v>440</v>
      </c>
      <c r="AF2993" s="118">
        <v>160</v>
      </c>
      <c r="AG2993" s="66">
        <f t="shared" si="116"/>
        <v>93.051428571428573</v>
      </c>
      <c r="AH2993" s="143">
        <f t="shared" si="117"/>
        <v>1000</v>
      </c>
    </row>
    <row r="2994" spans="1:34" s="90" customFormat="1" x14ac:dyDescent="0.3">
      <c r="A2994" s="90">
        <v>905359</v>
      </c>
      <c r="B2994" s="803">
        <v>5</v>
      </c>
      <c r="C2994" s="803"/>
      <c r="D2994" s="152">
        <v>8.1</v>
      </c>
      <c r="E2994" s="1127">
        <v>0.12</v>
      </c>
      <c r="F2994" s="804">
        <v>132</v>
      </c>
      <c r="H2994" s="804">
        <v>6.03</v>
      </c>
      <c r="I2994" s="340">
        <v>150</v>
      </c>
      <c r="J2994" s="853">
        <v>4.3999999999999997E-2</v>
      </c>
      <c r="K2994" s="753">
        <v>7.93</v>
      </c>
      <c r="L2994" s="90">
        <v>200</v>
      </c>
      <c r="M2994" s="753">
        <v>0.27</v>
      </c>
      <c r="N2994" s="90">
        <v>0.46</v>
      </c>
      <c r="O2994" s="753">
        <v>2.48</v>
      </c>
      <c r="P2994" s="90">
        <v>2.08</v>
      </c>
      <c r="R2994" s="152">
        <v>0.91171351194758443</v>
      </c>
      <c r="S2994" s="803">
        <v>6.3900000000000006</v>
      </c>
      <c r="Y2994" s="803">
        <v>24</v>
      </c>
      <c r="AA2994" s="152">
        <v>4.0199999999999996</v>
      </c>
      <c r="AB2994" s="152">
        <v>0.56299999999999994</v>
      </c>
      <c r="AC2994" s="90">
        <v>10.1</v>
      </c>
      <c r="AD2994" s="118">
        <v>400</v>
      </c>
      <c r="AE2994" s="118">
        <v>460</v>
      </c>
      <c r="AF2994" s="118">
        <v>140</v>
      </c>
      <c r="AG2994" s="66">
        <f t="shared" si="116"/>
        <v>116.96749999999999</v>
      </c>
      <c r="AH2994" s="143">
        <f t="shared" si="117"/>
        <v>1000</v>
      </c>
    </row>
    <row r="2995" spans="1:34" s="90" customFormat="1" x14ac:dyDescent="0.3">
      <c r="A2995" s="90">
        <v>905360</v>
      </c>
      <c r="B2995" s="803">
        <v>8.5</v>
      </c>
      <c r="C2995" s="803"/>
      <c r="D2995" s="152">
        <v>7.91</v>
      </c>
      <c r="E2995" s="1127">
        <v>1.71</v>
      </c>
      <c r="F2995" s="804">
        <v>1881.0000000000002</v>
      </c>
      <c r="H2995" s="804">
        <v>15.03</v>
      </c>
      <c r="I2995" s="340">
        <v>300</v>
      </c>
      <c r="J2995" s="853">
        <v>1.022</v>
      </c>
      <c r="K2995" s="753">
        <v>12.22</v>
      </c>
      <c r="L2995" s="90">
        <v>2194</v>
      </c>
      <c r="M2995" s="753">
        <v>1.75</v>
      </c>
      <c r="N2995" s="90">
        <v>2.1</v>
      </c>
      <c r="O2995" s="753">
        <v>5.83</v>
      </c>
      <c r="P2995" s="90">
        <v>3.25</v>
      </c>
      <c r="R2995" s="152">
        <v>1.8588305700000001</v>
      </c>
      <c r="S2995" s="803">
        <v>18.57</v>
      </c>
      <c r="Y2995" s="803">
        <v>28</v>
      </c>
      <c r="AA2995" s="152">
        <v>3.51</v>
      </c>
      <c r="AB2995" s="152">
        <v>0.57599999999999996</v>
      </c>
      <c r="AC2995" s="90">
        <v>10.9</v>
      </c>
      <c r="AD2995" s="118">
        <v>560</v>
      </c>
      <c r="AE2995" s="118">
        <v>320</v>
      </c>
      <c r="AF2995" s="118">
        <v>120</v>
      </c>
      <c r="AG2995" s="66">
        <f t="shared" si="116"/>
        <v>154.49571428571429</v>
      </c>
      <c r="AH2995" s="143">
        <f t="shared" si="117"/>
        <v>1000</v>
      </c>
    </row>
    <row r="2996" spans="1:34" s="90" customFormat="1" x14ac:dyDescent="0.3">
      <c r="A2996" s="90">
        <v>905361</v>
      </c>
      <c r="B2996" s="803">
        <v>8.8000000000000007</v>
      </c>
      <c r="C2996" s="803"/>
      <c r="D2996" s="152">
        <v>8.1999999999999993</v>
      </c>
      <c r="E2996" s="1127">
        <v>0.52700000000000002</v>
      </c>
      <c r="F2996" s="804">
        <v>579.70000000000005</v>
      </c>
      <c r="H2996" s="804">
        <v>29.18</v>
      </c>
      <c r="I2996" s="340">
        <v>240</v>
      </c>
      <c r="J2996" s="853">
        <v>0.23699999999999999</v>
      </c>
      <c r="K2996" s="753">
        <v>8.48</v>
      </c>
      <c r="L2996" s="90">
        <v>1270</v>
      </c>
      <c r="M2996" s="753">
        <v>1.53</v>
      </c>
      <c r="N2996" s="90">
        <v>1.76</v>
      </c>
      <c r="O2996" s="753">
        <v>5.99</v>
      </c>
      <c r="P2996" s="90">
        <v>3.92</v>
      </c>
      <c r="R2996" s="152">
        <v>1.7096415300000003</v>
      </c>
      <c r="S2996" s="803">
        <v>13.89</v>
      </c>
      <c r="Y2996" s="803">
        <v>27.5</v>
      </c>
      <c r="AA2996" s="152">
        <v>4.3</v>
      </c>
      <c r="AB2996" s="152">
        <v>0.58299999999999996</v>
      </c>
      <c r="AC2996" s="90">
        <v>7.2</v>
      </c>
      <c r="AD2996" s="118">
        <v>550</v>
      </c>
      <c r="AE2996" s="118">
        <v>310</v>
      </c>
      <c r="AF2996" s="118">
        <v>140</v>
      </c>
      <c r="AG2996" s="66">
        <f t="shared" si="116"/>
        <v>109.16072727272727</v>
      </c>
      <c r="AH2996" s="143">
        <f t="shared" si="117"/>
        <v>1000</v>
      </c>
    </row>
    <row r="2997" spans="1:34" s="90" customFormat="1" x14ac:dyDescent="0.3">
      <c r="A2997" s="90">
        <v>905362</v>
      </c>
      <c r="B2997" s="803">
        <v>1.8</v>
      </c>
      <c r="C2997" s="803"/>
      <c r="D2997" s="152">
        <v>7.7</v>
      </c>
      <c r="E2997" s="1127">
        <v>0.125</v>
      </c>
      <c r="F2997" s="804">
        <v>137.5</v>
      </c>
      <c r="H2997" s="804">
        <v>76.53</v>
      </c>
      <c r="I2997" s="340">
        <v>440</v>
      </c>
      <c r="J2997" s="853">
        <v>4.1000000000000002E-2</v>
      </c>
      <c r="K2997" s="753">
        <v>16.11</v>
      </c>
      <c r="L2997" s="90">
        <v>668</v>
      </c>
      <c r="M2997" s="753">
        <v>0.37</v>
      </c>
      <c r="N2997" s="90">
        <v>2.41</v>
      </c>
      <c r="O2997" s="753">
        <v>5.75</v>
      </c>
      <c r="P2997" s="90">
        <v>4.03</v>
      </c>
      <c r="R2997" s="152">
        <v>1.2138240871476391</v>
      </c>
      <c r="S2997" s="803">
        <v>8.7799999999999994</v>
      </c>
      <c r="Y2997" s="803">
        <v>31</v>
      </c>
      <c r="AA2997" s="152">
        <v>3.83</v>
      </c>
      <c r="AB2997" s="152">
        <v>0.67300000000000004</v>
      </c>
      <c r="AC2997" s="90">
        <v>11</v>
      </c>
      <c r="AD2997" s="118">
        <v>620</v>
      </c>
      <c r="AE2997" s="118">
        <v>260</v>
      </c>
      <c r="AF2997" s="118">
        <v>120</v>
      </c>
      <c r="AG2997" s="66">
        <f t="shared" si="116"/>
        <v>183.96580645161288</v>
      </c>
      <c r="AH2997" s="143">
        <f t="shared" si="117"/>
        <v>1000</v>
      </c>
    </row>
    <row r="2998" spans="1:34" s="90" customFormat="1" x14ac:dyDescent="0.3">
      <c r="A2998" s="90">
        <v>905363</v>
      </c>
      <c r="B2998" s="803">
        <v>0.1</v>
      </c>
      <c r="C2998" s="803"/>
      <c r="D2998" s="152">
        <v>7.33</v>
      </c>
      <c r="E2998" s="1127">
        <v>0.13</v>
      </c>
      <c r="F2998" s="804">
        <v>143</v>
      </c>
      <c r="H2998" s="804">
        <v>57.33</v>
      </c>
      <c r="I2998" s="340">
        <v>120</v>
      </c>
      <c r="J2998" s="853">
        <v>1.2E-2</v>
      </c>
      <c r="K2998" s="753">
        <v>1.18</v>
      </c>
      <c r="L2998" s="90">
        <v>172</v>
      </c>
      <c r="M2998" s="753">
        <v>2.4</v>
      </c>
      <c r="N2998" s="90">
        <v>6.23</v>
      </c>
      <c r="O2998" s="753">
        <v>9</v>
      </c>
      <c r="P2998" s="90">
        <v>1.82</v>
      </c>
      <c r="R2998" s="152">
        <v>0.9681209444814054</v>
      </c>
      <c r="S2998" s="803">
        <v>6.42</v>
      </c>
      <c r="Y2998" s="803">
        <v>3</v>
      </c>
      <c r="AA2998" s="152">
        <v>4.3899999999999997</v>
      </c>
      <c r="AB2998" s="152">
        <v>0.33400000000000002</v>
      </c>
      <c r="AC2998" s="90">
        <v>7.8</v>
      </c>
      <c r="AD2998" s="118">
        <v>60</v>
      </c>
      <c r="AE2998" s="118">
        <v>80</v>
      </c>
      <c r="AF2998" s="118">
        <v>860</v>
      </c>
      <c r="AG2998" s="66">
        <f t="shared" si="116"/>
        <v>139.24</v>
      </c>
      <c r="AH2998" s="143">
        <f t="shared" si="117"/>
        <v>1000</v>
      </c>
    </row>
    <row r="2999" spans="1:34" s="90" customFormat="1" x14ac:dyDescent="0.3">
      <c r="A2999" s="90">
        <v>905364</v>
      </c>
      <c r="B2999" s="803">
        <v>3.6</v>
      </c>
      <c r="C2999" s="803"/>
      <c r="D2999" s="152">
        <v>7.74</v>
      </c>
      <c r="E2999" s="1127">
        <v>0.16700000000000001</v>
      </c>
      <c r="F2999" s="804">
        <v>183.70000000000002</v>
      </c>
      <c r="H2999" s="804">
        <v>54.46</v>
      </c>
      <c r="I2999" s="340">
        <v>330</v>
      </c>
      <c r="J2999" s="853">
        <v>0.14000000000000001</v>
      </c>
      <c r="K2999" s="753">
        <v>17.46</v>
      </c>
      <c r="L2999" s="90">
        <v>1153</v>
      </c>
      <c r="M2999" s="753">
        <v>0.51</v>
      </c>
      <c r="N2999" s="90">
        <v>1.41</v>
      </c>
      <c r="O2999" s="753">
        <v>17.61</v>
      </c>
      <c r="P2999" s="90">
        <v>2.63</v>
      </c>
      <c r="R2999" s="152">
        <v>1.8304280000000002</v>
      </c>
      <c r="S2999" s="803">
        <v>17.600000000000001</v>
      </c>
      <c r="Y2999" s="803">
        <v>30</v>
      </c>
      <c r="AA2999" s="152">
        <v>4.87</v>
      </c>
      <c r="AB2999" s="152">
        <v>0.35299999999999998</v>
      </c>
      <c r="AC2999" s="90">
        <v>7.2</v>
      </c>
      <c r="AD2999" s="118">
        <v>600</v>
      </c>
      <c r="AE2999" s="118">
        <v>280</v>
      </c>
      <c r="AF2999" s="118">
        <v>120</v>
      </c>
      <c r="AG2999" s="66">
        <f t="shared" si="116"/>
        <v>206.02799999999999</v>
      </c>
      <c r="AH2999" s="143">
        <f t="shared" si="117"/>
        <v>1000</v>
      </c>
    </row>
    <row r="3000" spans="1:34" s="90" customFormat="1" x14ac:dyDescent="0.3">
      <c r="A3000" s="90">
        <v>905365</v>
      </c>
      <c r="B3000" s="803">
        <v>38.299999999999997</v>
      </c>
      <c r="C3000" s="803">
        <v>11.1</v>
      </c>
      <c r="D3000" s="152">
        <v>7.91</v>
      </c>
      <c r="E3000" s="1127">
        <v>0.14199999999999999</v>
      </c>
      <c r="F3000" s="804">
        <v>156.20000000000002</v>
      </c>
      <c r="H3000" s="804">
        <v>29.56</v>
      </c>
      <c r="I3000" s="340">
        <v>530</v>
      </c>
      <c r="J3000" s="853">
        <v>5.2999999999999999E-2</v>
      </c>
      <c r="K3000" s="753">
        <v>14.48</v>
      </c>
      <c r="L3000" s="90">
        <v>870</v>
      </c>
      <c r="M3000" s="753">
        <v>1.45</v>
      </c>
      <c r="N3000" s="90">
        <v>3.97</v>
      </c>
      <c r="O3000" s="753">
        <v>4.04</v>
      </c>
      <c r="P3000" s="90">
        <v>2.54</v>
      </c>
      <c r="R3000" s="152">
        <v>1.7008092800000001</v>
      </c>
      <c r="S3000" s="803">
        <v>13.64</v>
      </c>
      <c r="Y3000" s="803">
        <v>32.4</v>
      </c>
      <c r="AA3000" s="152">
        <v>3.81</v>
      </c>
      <c r="AB3000" s="152">
        <v>0.70499999999999996</v>
      </c>
      <c r="AC3000" s="90">
        <v>10.6</v>
      </c>
      <c r="AD3000" s="118">
        <v>540</v>
      </c>
      <c r="AE3000" s="118">
        <v>300</v>
      </c>
      <c r="AF3000" s="118">
        <v>160</v>
      </c>
      <c r="AG3000" s="66">
        <f t="shared" si="116"/>
        <v>158.20740740740743</v>
      </c>
      <c r="AH3000" s="143">
        <f t="shared" si="117"/>
        <v>1000</v>
      </c>
    </row>
    <row r="3001" spans="1:34" s="90" customFormat="1" x14ac:dyDescent="0.3">
      <c r="A3001" s="90">
        <v>905366</v>
      </c>
      <c r="B3001" s="803">
        <v>12.5</v>
      </c>
      <c r="C3001" s="803">
        <v>8.1</v>
      </c>
      <c r="D3001" s="152">
        <v>8.4</v>
      </c>
      <c r="E3001" s="1127">
        <v>0.29499999999999998</v>
      </c>
      <c r="F3001" s="804">
        <v>324.5</v>
      </c>
      <c r="H3001" s="804">
        <v>41.53</v>
      </c>
      <c r="I3001" s="340">
        <v>330</v>
      </c>
      <c r="J3001" s="853">
        <v>0.187</v>
      </c>
      <c r="K3001" s="753">
        <v>10.94</v>
      </c>
      <c r="L3001" s="90">
        <v>569</v>
      </c>
      <c r="M3001" s="753">
        <v>0.38</v>
      </c>
      <c r="N3001" s="90">
        <v>0.61</v>
      </c>
      <c r="O3001" s="753">
        <v>1.07</v>
      </c>
      <c r="P3001" s="90">
        <v>1.22</v>
      </c>
      <c r="R3001" s="152">
        <v>0.80223115860483174</v>
      </c>
      <c r="S3001" s="803">
        <v>5.32</v>
      </c>
      <c r="Y3001" s="803">
        <v>21.6</v>
      </c>
      <c r="AA3001" s="152">
        <v>4.4400000000000004</v>
      </c>
      <c r="AB3001" s="152">
        <v>0.85699999999999998</v>
      </c>
      <c r="AC3001" s="90">
        <v>10.7</v>
      </c>
      <c r="AD3001" s="118">
        <v>360</v>
      </c>
      <c r="AE3001" s="118">
        <v>460</v>
      </c>
      <c r="AF3001" s="118">
        <v>180</v>
      </c>
      <c r="AG3001" s="66">
        <f t="shared" si="116"/>
        <v>179.29444444444439</v>
      </c>
      <c r="AH3001" s="143">
        <f t="shared" si="117"/>
        <v>1000</v>
      </c>
    </row>
    <row r="3002" spans="1:34" s="90" customFormat="1" x14ac:dyDescent="0.3">
      <c r="A3002" s="90">
        <v>905367</v>
      </c>
      <c r="B3002" s="803">
        <v>17.899999999999999</v>
      </c>
      <c r="C3002" s="803">
        <v>5.4</v>
      </c>
      <c r="D3002" s="152">
        <v>8.3000000000000007</v>
      </c>
      <c r="E3002" s="1127">
        <v>1.64</v>
      </c>
      <c r="F3002" s="804">
        <v>1804.0000000000002</v>
      </c>
      <c r="H3002" s="804">
        <v>113.78</v>
      </c>
      <c r="I3002" s="340">
        <v>960</v>
      </c>
      <c r="J3002" s="853">
        <v>1.373</v>
      </c>
      <c r="K3002" s="753">
        <v>11.57</v>
      </c>
      <c r="L3002" s="90">
        <v>979</v>
      </c>
      <c r="M3002" s="753">
        <v>1.25</v>
      </c>
      <c r="N3002" s="90">
        <v>0.64</v>
      </c>
      <c r="O3002" s="753">
        <v>8.57</v>
      </c>
      <c r="P3002" s="90">
        <v>1.34</v>
      </c>
      <c r="R3002" s="152">
        <v>0.78608771275593492</v>
      </c>
      <c r="S3002" s="803">
        <v>5.4</v>
      </c>
      <c r="Y3002" s="803">
        <v>22.8</v>
      </c>
      <c r="AA3002" s="152">
        <v>4.1900000000000004</v>
      </c>
      <c r="AB3002" s="152">
        <v>0.41699999999999998</v>
      </c>
      <c r="AC3002" s="90">
        <v>9.4</v>
      </c>
      <c r="AD3002" s="118">
        <v>380</v>
      </c>
      <c r="AE3002" s="118">
        <v>440</v>
      </c>
      <c r="AF3002" s="118">
        <v>180</v>
      </c>
      <c r="AG3002" s="66">
        <f t="shared" si="116"/>
        <v>179.63947368421051</v>
      </c>
      <c r="AH3002" s="143">
        <f t="shared" si="117"/>
        <v>1000</v>
      </c>
    </row>
    <row r="3003" spans="1:34" s="90" customFormat="1" x14ac:dyDescent="0.3">
      <c r="A3003" s="90">
        <v>905368</v>
      </c>
      <c r="B3003" s="803">
        <v>42.5</v>
      </c>
      <c r="C3003" s="803">
        <v>10.6</v>
      </c>
      <c r="D3003" s="152">
        <v>8.23</v>
      </c>
      <c r="E3003" s="1127">
        <v>0.129</v>
      </c>
      <c r="F3003" s="804">
        <v>141.9</v>
      </c>
      <c r="H3003" s="804">
        <v>66</v>
      </c>
      <c r="I3003" s="340">
        <v>160</v>
      </c>
      <c r="J3003" s="853">
        <v>4.9000000000000002E-2</v>
      </c>
      <c r="K3003" s="753">
        <v>11.33</v>
      </c>
      <c r="L3003" s="90">
        <v>717</v>
      </c>
      <c r="M3003" s="753">
        <v>1.27</v>
      </c>
      <c r="N3003" s="90">
        <v>4.8499999999999996</v>
      </c>
      <c r="O3003" s="753">
        <v>1.32</v>
      </c>
      <c r="P3003" s="90">
        <v>7.43</v>
      </c>
      <c r="R3003" s="152">
        <v>1.7249737700000001</v>
      </c>
      <c r="S3003" s="803">
        <v>14.33</v>
      </c>
      <c r="Y3003" s="803">
        <v>33.6</v>
      </c>
      <c r="AA3003" s="152">
        <v>3.96</v>
      </c>
      <c r="AB3003" s="152">
        <v>0.86299999999999999</v>
      </c>
      <c r="AC3003" s="90">
        <v>11.4</v>
      </c>
      <c r="AD3003" s="118">
        <v>560</v>
      </c>
      <c r="AE3003" s="118">
        <v>320</v>
      </c>
      <c r="AF3003" s="118">
        <v>120</v>
      </c>
      <c r="AG3003" s="66">
        <f t="shared" si="116"/>
        <v>119.36964285714286</v>
      </c>
      <c r="AH3003" s="143">
        <f t="shared" si="117"/>
        <v>1000</v>
      </c>
    </row>
    <row r="3004" spans="1:34" s="90" customFormat="1" x14ac:dyDescent="0.3">
      <c r="A3004" s="90">
        <v>905369</v>
      </c>
      <c r="B3004" s="803">
        <v>45</v>
      </c>
      <c r="C3004" s="803">
        <v>10.3</v>
      </c>
      <c r="D3004" s="152">
        <v>8.24</v>
      </c>
      <c r="E3004" s="1127">
        <v>0.13</v>
      </c>
      <c r="F3004" s="804">
        <v>143</v>
      </c>
      <c r="H3004" s="804">
        <v>7.33</v>
      </c>
      <c r="I3004" s="340">
        <v>120</v>
      </c>
      <c r="J3004" s="853">
        <v>5.2999999999999999E-2</v>
      </c>
      <c r="K3004" s="753">
        <v>11.61</v>
      </c>
      <c r="L3004" s="90">
        <v>641</v>
      </c>
      <c r="M3004" s="753">
        <v>0.51</v>
      </c>
      <c r="N3004" s="90">
        <v>1.6</v>
      </c>
      <c r="O3004" s="753">
        <v>1.0900000000000001</v>
      </c>
      <c r="P3004" s="90">
        <v>3.75</v>
      </c>
      <c r="R3004" s="152">
        <v>0.93247072490896499</v>
      </c>
      <c r="S3004" s="803">
        <v>6.54</v>
      </c>
      <c r="Y3004" s="803">
        <v>33.6</v>
      </c>
      <c r="AA3004" s="152">
        <v>4.8899999999999997</v>
      </c>
      <c r="AB3004" s="152">
        <v>0.70899999999999996</v>
      </c>
      <c r="AC3004" s="90">
        <v>8.6999999999999993</v>
      </c>
      <c r="AD3004" s="118">
        <v>560</v>
      </c>
      <c r="AE3004" s="118">
        <v>330</v>
      </c>
      <c r="AF3004" s="118">
        <v>110</v>
      </c>
      <c r="AG3004" s="66">
        <f t="shared" si="116"/>
        <v>122.31964285714284</v>
      </c>
      <c r="AH3004" s="143">
        <f t="shared" si="117"/>
        <v>1000</v>
      </c>
    </row>
    <row r="3005" spans="1:34" s="90" customFormat="1" x14ac:dyDescent="0.3">
      <c r="A3005" s="90">
        <v>905370</v>
      </c>
      <c r="B3005" s="803">
        <v>33.299999999999997</v>
      </c>
      <c r="C3005" s="803">
        <v>11.5</v>
      </c>
      <c r="D3005" s="152">
        <v>8.4</v>
      </c>
      <c r="E3005" s="1127">
        <v>0.222</v>
      </c>
      <c r="F3005" s="804">
        <v>244.20000000000002</v>
      </c>
      <c r="H3005" s="804">
        <v>97.85</v>
      </c>
      <c r="I3005" s="340">
        <v>220</v>
      </c>
      <c r="J3005" s="853">
        <v>0.22900000000000001</v>
      </c>
      <c r="K3005" s="753">
        <v>11.83</v>
      </c>
      <c r="L3005" s="90">
        <v>702</v>
      </c>
      <c r="M3005" s="753">
        <v>0.18</v>
      </c>
      <c r="N3005" s="90">
        <v>0.56000000000000005</v>
      </c>
      <c r="O3005" s="753">
        <v>1.1100000000000001</v>
      </c>
      <c r="P3005" s="90">
        <v>1.84</v>
      </c>
      <c r="R3005" s="152">
        <v>1.0852069828139308</v>
      </c>
      <c r="S3005" s="803">
        <v>7.78</v>
      </c>
      <c r="Y3005" s="803">
        <v>34.5</v>
      </c>
      <c r="AA3005" s="152">
        <v>4.5599999999999996</v>
      </c>
      <c r="AB3005" s="152">
        <v>0.874</v>
      </c>
      <c r="AC3005" s="90">
        <v>8.6</v>
      </c>
      <c r="AD3005" s="118">
        <v>550</v>
      </c>
      <c r="AE3005" s="118">
        <v>310</v>
      </c>
      <c r="AF3005" s="118">
        <v>140</v>
      </c>
      <c r="AG3005" s="66">
        <f t="shared" si="116"/>
        <v>121.38608695652174</v>
      </c>
      <c r="AH3005" s="143">
        <f t="shared" si="117"/>
        <v>1000</v>
      </c>
    </row>
    <row r="3006" spans="1:34" s="90" customFormat="1" x14ac:dyDescent="0.3">
      <c r="A3006" s="90">
        <v>905371</v>
      </c>
      <c r="B3006" s="803">
        <v>41.7</v>
      </c>
      <c r="C3006" s="803">
        <v>10.4</v>
      </c>
      <c r="D3006" s="152">
        <v>8.23</v>
      </c>
      <c r="E3006" s="1127">
        <v>0.185</v>
      </c>
      <c r="F3006" s="804">
        <v>203.50000000000003</v>
      </c>
      <c r="H3006" s="804">
        <v>97.85</v>
      </c>
      <c r="I3006" s="340">
        <v>280</v>
      </c>
      <c r="J3006" s="853">
        <v>0.109</v>
      </c>
      <c r="K3006" s="753">
        <v>11.42</v>
      </c>
      <c r="L3006" s="90">
        <v>630</v>
      </c>
      <c r="M3006" s="753">
        <v>0.45</v>
      </c>
      <c r="N3006" s="90">
        <v>0.56000000000000005</v>
      </c>
      <c r="O3006" s="753">
        <v>1.03</v>
      </c>
      <c r="P3006" s="90">
        <v>3.43</v>
      </c>
      <c r="R3006" s="152">
        <v>0.80704319104753619</v>
      </c>
      <c r="S3006" s="803">
        <v>5.5400000000000009</v>
      </c>
      <c r="Y3006" s="803">
        <v>34.5</v>
      </c>
      <c r="AA3006" s="152">
        <v>3.56</v>
      </c>
      <c r="AB3006" s="152">
        <v>0.35</v>
      </c>
      <c r="AC3006" s="90">
        <v>7.6</v>
      </c>
      <c r="AD3006" s="118">
        <v>550</v>
      </c>
      <c r="AE3006" s="118">
        <v>320</v>
      </c>
      <c r="AF3006" s="118">
        <v>130</v>
      </c>
      <c r="AG3006" s="66">
        <f t="shared" si="116"/>
        <v>117.17913043478261</v>
      </c>
      <c r="AH3006" s="143">
        <f t="shared" si="117"/>
        <v>1000</v>
      </c>
    </row>
    <row r="3007" spans="1:34" s="90" customFormat="1" x14ac:dyDescent="0.3">
      <c r="A3007" s="90">
        <v>905372</v>
      </c>
      <c r="B3007" s="803">
        <v>68.3</v>
      </c>
      <c r="C3007" s="803">
        <v>14.4</v>
      </c>
      <c r="D3007" s="152">
        <v>8.5</v>
      </c>
      <c r="E3007" s="1127">
        <v>0.17399999999999999</v>
      </c>
      <c r="F3007" s="804">
        <v>191.4</v>
      </c>
      <c r="H3007" s="804">
        <v>12.27</v>
      </c>
      <c r="I3007" s="340">
        <v>90</v>
      </c>
      <c r="J3007" s="853">
        <v>0.115</v>
      </c>
      <c r="K3007" s="753">
        <v>12.07</v>
      </c>
      <c r="L3007" s="90">
        <v>1297</v>
      </c>
      <c r="M3007" s="753">
        <v>0.2</v>
      </c>
      <c r="N3007" s="90">
        <v>0.37</v>
      </c>
      <c r="O3007" s="753">
        <v>1.07</v>
      </c>
      <c r="P3007" s="90">
        <v>1.1399999999999999</v>
      </c>
      <c r="R3007" s="152">
        <v>0.94291561197284257</v>
      </c>
      <c r="S3007" s="803">
        <v>6.9099999999999993</v>
      </c>
      <c r="Y3007" s="803">
        <v>27</v>
      </c>
      <c r="AA3007" s="152">
        <v>4.62</v>
      </c>
      <c r="AB3007" s="152">
        <v>0.35599999999999998</v>
      </c>
      <c r="AC3007" s="90">
        <v>9.6999999999999993</v>
      </c>
      <c r="AD3007" s="118">
        <v>540</v>
      </c>
      <c r="AE3007" s="118">
        <v>300</v>
      </c>
      <c r="AF3007" s="118">
        <v>160</v>
      </c>
      <c r="AG3007" s="66">
        <f t="shared" si="116"/>
        <v>158.25111111111113</v>
      </c>
      <c r="AH3007" s="143">
        <f t="shared" si="117"/>
        <v>1000</v>
      </c>
    </row>
    <row r="3008" spans="1:34" s="90" customFormat="1" x14ac:dyDescent="0.3">
      <c r="A3008" s="90">
        <v>905373</v>
      </c>
      <c r="B3008" s="803">
        <v>71.7</v>
      </c>
      <c r="C3008" s="803">
        <v>15.1</v>
      </c>
      <c r="D3008" s="152">
        <v>8.5399999999999991</v>
      </c>
      <c r="E3008" s="1127">
        <v>0.156</v>
      </c>
      <c r="F3008" s="804">
        <v>171.60000000000002</v>
      </c>
      <c r="H3008" s="804">
        <v>7.17</v>
      </c>
      <c r="I3008" s="340">
        <v>70</v>
      </c>
      <c r="J3008" s="853">
        <v>0.10100000000000001</v>
      </c>
      <c r="K3008" s="753">
        <v>11.87</v>
      </c>
      <c r="L3008" s="90">
        <v>908</v>
      </c>
      <c r="M3008" s="753">
        <v>0.12</v>
      </c>
      <c r="N3008" s="90">
        <v>0.28000000000000003</v>
      </c>
      <c r="O3008" s="753">
        <v>0.76</v>
      </c>
      <c r="P3008" s="90">
        <v>1.3</v>
      </c>
      <c r="R3008" s="152">
        <v>0.73643403931208151</v>
      </c>
      <c r="S3008" s="803">
        <v>5.16</v>
      </c>
      <c r="Y3008" s="803">
        <v>34.799999999999997</v>
      </c>
      <c r="AA3008" s="152">
        <v>3.54</v>
      </c>
      <c r="AB3008" s="152">
        <v>0.85399999999999998</v>
      </c>
      <c r="AC3008" s="90">
        <v>7.8</v>
      </c>
      <c r="AD3008" s="118">
        <v>540</v>
      </c>
      <c r="AE3008" s="118">
        <v>280</v>
      </c>
      <c r="AF3008" s="118">
        <v>180</v>
      </c>
      <c r="AG3008" s="66">
        <f t="shared" si="116"/>
        <v>120.74655172413793</v>
      </c>
      <c r="AH3008" s="143">
        <f t="shared" si="117"/>
        <v>1000</v>
      </c>
    </row>
    <row r="3009" spans="1:34" s="90" customFormat="1" x14ac:dyDescent="0.3">
      <c r="A3009" s="90">
        <v>905374</v>
      </c>
      <c r="B3009" s="803">
        <v>38.299999999999997</v>
      </c>
      <c r="C3009" s="803">
        <v>11.4</v>
      </c>
      <c r="D3009" s="152">
        <v>8.11</v>
      </c>
      <c r="E3009" s="1127">
        <v>0.16400000000000001</v>
      </c>
      <c r="F3009" s="804">
        <v>180.4</v>
      </c>
      <c r="H3009" s="804">
        <v>374.62</v>
      </c>
      <c r="I3009" s="340">
        <v>270</v>
      </c>
      <c r="J3009" s="853">
        <v>0.08</v>
      </c>
      <c r="K3009" s="753">
        <v>12.56</v>
      </c>
      <c r="L3009" s="90">
        <v>1501</v>
      </c>
      <c r="M3009" s="753">
        <v>0.44</v>
      </c>
      <c r="N3009" s="90">
        <v>0.75</v>
      </c>
      <c r="O3009" s="753">
        <v>2.9</v>
      </c>
      <c r="P3009" s="90">
        <v>2.89</v>
      </c>
      <c r="R3009" s="152">
        <v>1.5732109699999999</v>
      </c>
      <c r="S3009" s="803">
        <v>10.27</v>
      </c>
      <c r="Y3009" s="803">
        <v>33</v>
      </c>
      <c r="AA3009" s="152">
        <v>4.03</v>
      </c>
      <c r="AB3009" s="152">
        <v>0.80500000000000005</v>
      </c>
      <c r="AC3009" s="90">
        <v>6.9</v>
      </c>
      <c r="AD3009" s="118">
        <v>550</v>
      </c>
      <c r="AE3009" s="118">
        <v>270</v>
      </c>
      <c r="AF3009" s="118">
        <v>180</v>
      </c>
      <c r="AG3009" s="66">
        <f t="shared" si="116"/>
        <v>134.73454545454544</v>
      </c>
      <c r="AH3009" s="143">
        <f t="shared" si="117"/>
        <v>1000</v>
      </c>
    </row>
    <row r="3010" spans="1:34" s="90" customFormat="1" x14ac:dyDescent="0.3">
      <c r="A3010" s="90">
        <v>905375</v>
      </c>
      <c r="B3010" s="803">
        <v>53.3</v>
      </c>
      <c r="C3010" s="803">
        <v>13.1</v>
      </c>
      <c r="D3010" s="152">
        <v>8.3000000000000007</v>
      </c>
      <c r="E3010" s="1127">
        <v>0.16400000000000001</v>
      </c>
      <c r="F3010" s="804">
        <v>180.4</v>
      </c>
      <c r="H3010" s="804">
        <v>190.88</v>
      </c>
      <c r="I3010" s="340">
        <v>200</v>
      </c>
      <c r="J3010" s="853">
        <v>0.10299999999999999</v>
      </c>
      <c r="K3010" s="753">
        <v>12.43</v>
      </c>
      <c r="L3010" s="90">
        <v>1424</v>
      </c>
      <c r="M3010" s="753">
        <v>0.5</v>
      </c>
      <c r="N3010" s="90">
        <v>0.73</v>
      </c>
      <c r="O3010" s="753">
        <v>2.23</v>
      </c>
      <c r="P3010" s="90">
        <v>2.0099999999999998</v>
      </c>
      <c r="R3010" s="152">
        <v>1.4584075883091747</v>
      </c>
      <c r="S3010" s="803">
        <v>9.58</v>
      </c>
      <c r="Y3010" s="803">
        <v>27.5</v>
      </c>
      <c r="AA3010" s="152">
        <v>4.6900000000000004</v>
      </c>
      <c r="AB3010" s="152">
        <v>0.80200000000000005</v>
      </c>
      <c r="AC3010" s="90">
        <v>10</v>
      </c>
      <c r="AD3010" s="118">
        <v>550</v>
      </c>
      <c r="AE3010" s="118">
        <v>250</v>
      </c>
      <c r="AF3010" s="118">
        <v>200</v>
      </c>
      <c r="AG3010" s="66">
        <f t="shared" ref="AG3010:AG3073" si="118">+K3010*3.54*100/Y3010</f>
        <v>160.00800000000001</v>
      </c>
      <c r="AH3010" s="143">
        <f t="shared" ref="AH3010:AH3073" si="119">+SUM(AD3010:AF3010)</f>
        <v>1000</v>
      </c>
    </row>
    <row r="3011" spans="1:34" s="90" customFormat="1" x14ac:dyDescent="0.3">
      <c r="A3011" s="90">
        <v>905376</v>
      </c>
      <c r="B3011" s="803">
        <v>55</v>
      </c>
      <c r="C3011" s="803">
        <v>12.4</v>
      </c>
      <c r="D3011" s="152">
        <v>8.52</v>
      </c>
      <c r="E3011" s="1127">
        <v>0.20300000000000001</v>
      </c>
      <c r="F3011" s="804">
        <v>223.3</v>
      </c>
      <c r="H3011" s="804">
        <v>3.57</v>
      </c>
      <c r="I3011" s="340">
        <v>110</v>
      </c>
      <c r="J3011" s="853">
        <v>8.7999999999999995E-2</v>
      </c>
      <c r="K3011" s="753">
        <v>11.87</v>
      </c>
      <c r="L3011" s="90">
        <v>1342</v>
      </c>
      <c r="M3011" s="753">
        <v>0.12</v>
      </c>
      <c r="N3011" s="90">
        <v>0.33</v>
      </c>
      <c r="O3011" s="753">
        <v>0.84</v>
      </c>
      <c r="P3011" s="90">
        <v>1.33</v>
      </c>
      <c r="R3011" s="152">
        <v>1.332301905636089</v>
      </c>
      <c r="S3011" s="803">
        <v>9.42</v>
      </c>
      <c r="Y3011" s="803">
        <v>32</v>
      </c>
      <c r="AA3011" s="152">
        <v>4.29</v>
      </c>
      <c r="AB3011" s="152">
        <v>0.60299999999999998</v>
      </c>
      <c r="AC3011" s="90">
        <v>11.7</v>
      </c>
      <c r="AD3011" s="118">
        <v>500</v>
      </c>
      <c r="AE3011" s="118">
        <v>240</v>
      </c>
      <c r="AF3011" s="118">
        <v>260</v>
      </c>
      <c r="AG3011" s="66">
        <f t="shared" si="118"/>
        <v>131.31187499999999</v>
      </c>
      <c r="AH3011" s="143">
        <f t="shared" si="119"/>
        <v>1000</v>
      </c>
    </row>
    <row r="3012" spans="1:34" s="90" customFormat="1" x14ac:dyDescent="0.3">
      <c r="A3012" s="90">
        <v>905377</v>
      </c>
      <c r="B3012" s="803">
        <v>34.200000000000003</v>
      </c>
      <c r="C3012" s="803">
        <v>11.1</v>
      </c>
      <c r="D3012" s="152">
        <v>8.44</v>
      </c>
      <c r="E3012" s="1127">
        <v>0.17799999999999999</v>
      </c>
      <c r="F3012" s="804">
        <v>195.8</v>
      </c>
      <c r="H3012" s="804">
        <v>31.07</v>
      </c>
      <c r="I3012" s="340">
        <v>550</v>
      </c>
      <c r="J3012" s="853">
        <v>0.16</v>
      </c>
      <c r="K3012" s="753">
        <v>10.89</v>
      </c>
      <c r="L3012" s="90">
        <v>626</v>
      </c>
      <c r="M3012" s="753">
        <v>0.31</v>
      </c>
      <c r="N3012" s="90">
        <v>0.3</v>
      </c>
      <c r="O3012" s="753">
        <v>1.47</v>
      </c>
      <c r="P3012" s="90">
        <v>2.5299999999999998</v>
      </c>
      <c r="R3012" s="152">
        <v>1.3008005203304192</v>
      </c>
      <c r="S3012" s="803">
        <v>8.56</v>
      </c>
      <c r="Y3012" s="803">
        <v>31.5</v>
      </c>
      <c r="AA3012" s="152">
        <v>4.49</v>
      </c>
      <c r="AB3012" s="152">
        <v>0.61599999999999999</v>
      </c>
      <c r="AC3012" s="90">
        <v>10.1</v>
      </c>
      <c r="AD3012" s="118">
        <v>450</v>
      </c>
      <c r="AE3012" s="118">
        <v>250</v>
      </c>
      <c r="AF3012" s="118">
        <v>300</v>
      </c>
      <c r="AG3012" s="66">
        <f t="shared" si="118"/>
        <v>122.38285714285716</v>
      </c>
      <c r="AH3012" s="143">
        <f t="shared" si="119"/>
        <v>1000</v>
      </c>
    </row>
    <row r="3013" spans="1:34" s="90" customFormat="1" x14ac:dyDescent="0.3">
      <c r="A3013" s="826">
        <v>905378</v>
      </c>
      <c r="B3013" s="827">
        <v>48.3</v>
      </c>
      <c r="C3013" s="827">
        <v>12.25</v>
      </c>
      <c r="D3013" s="828">
        <v>8.8000000000000007</v>
      </c>
      <c r="E3013" s="1572">
        <v>0.191</v>
      </c>
      <c r="F3013" s="829">
        <v>210.10000000000002</v>
      </c>
      <c r="G3013" s="826"/>
      <c r="H3013" s="829">
        <v>140.44</v>
      </c>
      <c r="I3013" s="829">
        <v>629</v>
      </c>
      <c r="J3013" s="1246">
        <v>0.111</v>
      </c>
      <c r="K3013" s="1246">
        <v>8.36</v>
      </c>
      <c r="L3013" s="826">
        <v>581</v>
      </c>
      <c r="M3013" s="1246">
        <v>0.45</v>
      </c>
      <c r="N3013" s="1246">
        <v>0.39</v>
      </c>
      <c r="O3013" s="1246">
        <v>1.05</v>
      </c>
      <c r="P3013" s="1246">
        <v>2.8</v>
      </c>
      <c r="Q3013" s="826"/>
      <c r="R3013" s="828">
        <v>1.0195590507427408</v>
      </c>
      <c r="S3013" s="827">
        <v>6.66</v>
      </c>
      <c r="T3013" s="826"/>
      <c r="U3013" s="826"/>
      <c r="V3013" s="826"/>
      <c r="W3013" s="826"/>
      <c r="X3013" s="826"/>
      <c r="Y3013" s="827">
        <v>32.299999999999997</v>
      </c>
      <c r="Z3013" s="826"/>
      <c r="AA3013" s="828"/>
      <c r="AB3013" s="828"/>
      <c r="AC3013" s="826"/>
      <c r="AD3013" s="830">
        <v>490</v>
      </c>
      <c r="AE3013" s="830">
        <v>310</v>
      </c>
      <c r="AF3013" s="830">
        <v>200</v>
      </c>
      <c r="AG3013" s="66">
        <f t="shared" si="118"/>
        <v>91.623529411764707</v>
      </c>
      <c r="AH3013" s="143">
        <f t="shared" si="119"/>
        <v>1000</v>
      </c>
    </row>
    <row r="3014" spans="1:34" s="90" customFormat="1" x14ac:dyDescent="0.3">
      <c r="A3014" s="826">
        <v>905379</v>
      </c>
      <c r="B3014" s="827">
        <v>86.7</v>
      </c>
      <c r="C3014" s="827">
        <v>17.625</v>
      </c>
      <c r="D3014" s="828">
        <v>8.5399999999999991</v>
      </c>
      <c r="E3014" s="1572">
        <v>0.128</v>
      </c>
      <c r="F3014" s="829">
        <v>140.80000000000001</v>
      </c>
      <c r="G3014" s="826"/>
      <c r="H3014" s="829">
        <v>52.06</v>
      </c>
      <c r="I3014" s="829">
        <v>212</v>
      </c>
      <c r="J3014" s="1246">
        <v>2.1999999999999999E-2</v>
      </c>
      <c r="K3014" s="1246">
        <v>5.63</v>
      </c>
      <c r="L3014" s="826">
        <v>53</v>
      </c>
      <c r="M3014" s="1246">
        <v>0.38</v>
      </c>
      <c r="N3014" s="1246">
        <v>0.16</v>
      </c>
      <c r="O3014" s="1246">
        <v>11.26</v>
      </c>
      <c r="P3014" s="1246">
        <v>0.49</v>
      </c>
      <c r="Q3014" s="826"/>
      <c r="R3014" s="828">
        <v>0.73687049496700152</v>
      </c>
      <c r="S3014" s="827">
        <v>4.95</v>
      </c>
      <c r="T3014" s="826"/>
      <c r="U3014" s="826"/>
      <c r="V3014" s="826"/>
      <c r="W3014" s="826"/>
      <c r="X3014" s="826"/>
      <c r="Y3014" s="827">
        <v>21</v>
      </c>
      <c r="Z3014" s="826"/>
      <c r="AA3014" s="828"/>
      <c r="AB3014" s="828"/>
      <c r="AC3014" s="826"/>
      <c r="AD3014" s="830">
        <v>420</v>
      </c>
      <c r="AE3014" s="830">
        <v>360</v>
      </c>
      <c r="AF3014" s="830">
        <v>220</v>
      </c>
      <c r="AG3014" s="66">
        <f t="shared" si="118"/>
        <v>94.905714285714282</v>
      </c>
      <c r="AH3014" s="143">
        <f t="shared" si="119"/>
        <v>1000</v>
      </c>
    </row>
    <row r="3015" spans="1:34" s="90" customFormat="1" x14ac:dyDescent="0.3">
      <c r="A3015" s="826">
        <v>905380</v>
      </c>
      <c r="B3015" s="827">
        <v>52.5</v>
      </c>
      <c r="C3015" s="827">
        <v>17.125</v>
      </c>
      <c r="D3015" s="828">
        <v>8.4499999999999993</v>
      </c>
      <c r="E3015" s="1572">
        <v>0.19500000000000001</v>
      </c>
      <c r="F3015" s="829">
        <v>214.50000000000003</v>
      </c>
      <c r="G3015" s="826"/>
      <c r="H3015" s="829">
        <v>77.38</v>
      </c>
      <c r="I3015" s="829">
        <v>470</v>
      </c>
      <c r="J3015" s="1246">
        <v>4.5999999999999999E-2</v>
      </c>
      <c r="K3015" s="1246">
        <v>12.61</v>
      </c>
      <c r="L3015" s="826">
        <v>109</v>
      </c>
      <c r="M3015" s="1246">
        <v>0.46</v>
      </c>
      <c r="N3015" s="1246">
        <v>0.53</v>
      </c>
      <c r="O3015" s="1246">
        <v>14.4</v>
      </c>
      <c r="P3015" s="1246">
        <v>3.14</v>
      </c>
      <c r="Q3015" s="826"/>
      <c r="R3015" s="828">
        <v>1.6861349700000001</v>
      </c>
      <c r="S3015" s="827">
        <v>13.23</v>
      </c>
      <c r="T3015" s="826"/>
      <c r="U3015" s="826"/>
      <c r="V3015" s="826"/>
      <c r="W3015" s="826"/>
      <c r="X3015" s="826"/>
      <c r="Y3015" s="827">
        <v>32.4</v>
      </c>
      <c r="Z3015" s="826"/>
      <c r="AA3015" s="828"/>
      <c r="AB3015" s="828"/>
      <c r="AC3015" s="826"/>
      <c r="AD3015" s="830">
        <v>540</v>
      </c>
      <c r="AE3015" s="830">
        <v>280</v>
      </c>
      <c r="AF3015" s="830">
        <v>180</v>
      </c>
      <c r="AG3015" s="66">
        <f t="shared" si="118"/>
        <v>137.77592592592595</v>
      </c>
      <c r="AH3015" s="143">
        <f t="shared" si="119"/>
        <v>1000</v>
      </c>
    </row>
    <row r="3016" spans="1:34" s="90" customFormat="1" x14ac:dyDescent="0.3">
      <c r="A3016" s="826">
        <v>905381</v>
      </c>
      <c r="B3016" s="827">
        <v>46.7</v>
      </c>
      <c r="C3016" s="827">
        <v>17</v>
      </c>
      <c r="D3016" s="828">
        <v>8.3000000000000007</v>
      </c>
      <c r="E3016" s="1572">
        <v>0.26400000000000001</v>
      </c>
      <c r="F3016" s="829">
        <v>290.40000000000003</v>
      </c>
      <c r="G3016" s="826"/>
      <c r="H3016" s="829">
        <v>36.909999999999997</v>
      </c>
      <c r="I3016" s="829">
        <v>198</v>
      </c>
      <c r="J3016" s="1246">
        <v>0.04</v>
      </c>
      <c r="K3016" s="1246">
        <v>14.65</v>
      </c>
      <c r="L3016" s="826">
        <v>134</v>
      </c>
      <c r="M3016" s="1246">
        <v>1.1100000000000001</v>
      </c>
      <c r="N3016" s="1246">
        <v>0.63</v>
      </c>
      <c r="O3016" s="1246">
        <v>5.13</v>
      </c>
      <c r="P3016" s="1246">
        <v>4.5999999999999996</v>
      </c>
      <c r="Q3016" s="826"/>
      <c r="R3016" s="828">
        <v>1.3860238830296943</v>
      </c>
      <c r="S3016" s="827">
        <v>9.9</v>
      </c>
      <c r="T3016" s="826"/>
      <c r="U3016" s="826"/>
      <c r="V3016" s="826"/>
      <c r="W3016" s="826"/>
      <c r="X3016" s="826"/>
      <c r="Y3016" s="827">
        <v>28</v>
      </c>
      <c r="Z3016" s="826"/>
      <c r="AA3016" s="828"/>
      <c r="AB3016" s="828"/>
      <c r="AC3016" s="826"/>
      <c r="AD3016" s="830">
        <v>560</v>
      </c>
      <c r="AE3016" s="830">
        <v>300</v>
      </c>
      <c r="AF3016" s="830">
        <v>140</v>
      </c>
      <c r="AG3016" s="66">
        <f t="shared" si="118"/>
        <v>185.21785714285716</v>
      </c>
      <c r="AH3016" s="143">
        <f t="shared" si="119"/>
        <v>1000</v>
      </c>
    </row>
    <row r="3017" spans="1:34" s="90" customFormat="1" x14ac:dyDescent="0.3">
      <c r="A3017" s="826">
        <v>905382</v>
      </c>
      <c r="B3017" s="827">
        <v>37.5</v>
      </c>
      <c r="C3017" s="827">
        <v>16.875000000000004</v>
      </c>
      <c r="D3017" s="828">
        <v>8.3800000000000008</v>
      </c>
      <c r="E3017" s="1572">
        <v>0.19500000000000001</v>
      </c>
      <c r="F3017" s="829">
        <v>214.50000000000003</v>
      </c>
      <c r="G3017" s="826"/>
      <c r="H3017" s="829">
        <v>21.55</v>
      </c>
      <c r="I3017" s="829">
        <v>391</v>
      </c>
      <c r="J3017" s="1246">
        <v>5.8999999999999997E-2</v>
      </c>
      <c r="K3017" s="1246">
        <v>14.27</v>
      </c>
      <c r="L3017" s="826">
        <v>126</v>
      </c>
      <c r="M3017" s="1246">
        <v>0.5</v>
      </c>
      <c r="N3017" s="1246">
        <v>0.56000000000000005</v>
      </c>
      <c r="O3017" s="1246">
        <v>6.7</v>
      </c>
      <c r="P3017" s="1246">
        <v>4.47</v>
      </c>
      <c r="Q3017" s="826"/>
      <c r="R3017" s="828">
        <v>1.7131499300000002</v>
      </c>
      <c r="S3017" s="827">
        <v>13.99</v>
      </c>
      <c r="T3017" s="826"/>
      <c r="U3017" s="826"/>
      <c r="V3017" s="826"/>
      <c r="W3017" s="826"/>
      <c r="X3017" s="826"/>
      <c r="Y3017" s="827">
        <v>27</v>
      </c>
      <c r="Z3017" s="826"/>
      <c r="AA3017" s="828"/>
      <c r="AB3017" s="828"/>
      <c r="AC3017" s="826"/>
      <c r="AD3017" s="830">
        <v>540</v>
      </c>
      <c r="AE3017" s="830">
        <v>300</v>
      </c>
      <c r="AF3017" s="830">
        <v>160</v>
      </c>
      <c r="AG3017" s="66">
        <f t="shared" si="118"/>
        <v>187.09555555555556</v>
      </c>
      <c r="AH3017" s="143">
        <f t="shared" si="119"/>
        <v>1000</v>
      </c>
    </row>
    <row r="3018" spans="1:34" s="90" customFormat="1" x14ac:dyDescent="0.3">
      <c r="A3018" s="826">
        <v>905383</v>
      </c>
      <c r="B3018" s="827">
        <v>12.1</v>
      </c>
      <c r="C3018" s="827">
        <v>8.1250000000000018</v>
      </c>
      <c r="D3018" s="828">
        <v>8.6300000000000008</v>
      </c>
      <c r="E3018" s="1572">
        <v>0.16800000000000001</v>
      </c>
      <c r="F3018" s="829">
        <v>184.8</v>
      </c>
      <c r="G3018" s="826"/>
      <c r="H3018" s="829">
        <v>72.42</v>
      </c>
      <c r="I3018" s="829">
        <v>657</v>
      </c>
      <c r="J3018" s="1246">
        <v>4.9000000000000002E-2</v>
      </c>
      <c r="K3018" s="1246">
        <v>10.91</v>
      </c>
      <c r="L3018" s="826">
        <v>221</v>
      </c>
      <c r="M3018" s="1246">
        <v>0.73</v>
      </c>
      <c r="N3018" s="1246">
        <v>0.49</v>
      </c>
      <c r="O3018" s="1246">
        <v>5.04</v>
      </c>
      <c r="P3018" s="1246">
        <v>5.82</v>
      </c>
      <c r="Q3018" s="826"/>
      <c r="R3018" s="828">
        <v>1.7690172799999999</v>
      </c>
      <c r="S3018" s="827">
        <v>15.64</v>
      </c>
      <c r="T3018" s="826"/>
      <c r="U3018" s="826"/>
      <c r="V3018" s="826"/>
      <c r="W3018" s="826"/>
      <c r="X3018" s="826"/>
      <c r="Y3018" s="827">
        <v>26.4</v>
      </c>
      <c r="Z3018" s="826"/>
      <c r="AA3018" s="828"/>
      <c r="AB3018" s="828"/>
      <c r="AC3018" s="826"/>
      <c r="AD3018" s="830">
        <v>440</v>
      </c>
      <c r="AE3018" s="830">
        <v>300</v>
      </c>
      <c r="AF3018" s="830">
        <v>260</v>
      </c>
      <c r="AG3018" s="66">
        <f t="shared" si="118"/>
        <v>146.29318181818184</v>
      </c>
      <c r="AH3018" s="143">
        <f t="shared" si="119"/>
        <v>1000</v>
      </c>
    </row>
    <row r="3019" spans="1:34" s="90" customFormat="1" x14ac:dyDescent="0.3">
      <c r="A3019" s="826">
        <v>905384</v>
      </c>
      <c r="B3019" s="827">
        <v>15.4</v>
      </c>
      <c r="C3019" s="827">
        <v>11.375000000000002</v>
      </c>
      <c r="D3019" s="828">
        <v>8.42</v>
      </c>
      <c r="E3019" s="1572">
        <v>0.158</v>
      </c>
      <c r="F3019" s="829">
        <v>173.8</v>
      </c>
      <c r="G3019" s="826"/>
      <c r="H3019" s="829">
        <v>42.29</v>
      </c>
      <c r="I3019" s="829">
        <v>430</v>
      </c>
      <c r="J3019" s="1246">
        <v>4.4999999999999998E-2</v>
      </c>
      <c r="K3019" s="1246">
        <v>10.88</v>
      </c>
      <c r="L3019" s="826">
        <v>197</v>
      </c>
      <c r="M3019" s="1246">
        <v>0.43</v>
      </c>
      <c r="N3019" s="1246">
        <v>0.47</v>
      </c>
      <c r="O3019" s="1246">
        <v>3.39</v>
      </c>
      <c r="P3019" s="1246">
        <v>5.01</v>
      </c>
      <c r="Q3019" s="826"/>
      <c r="R3019" s="828">
        <v>1.6590539300000002</v>
      </c>
      <c r="S3019" s="827">
        <v>12.49</v>
      </c>
      <c r="T3019" s="826"/>
      <c r="U3019" s="826"/>
      <c r="V3019" s="826"/>
      <c r="W3019" s="826"/>
      <c r="X3019" s="826"/>
      <c r="Y3019" s="827">
        <v>32.200000000000003</v>
      </c>
      <c r="Z3019" s="826"/>
      <c r="AA3019" s="828"/>
      <c r="AB3019" s="828"/>
      <c r="AC3019" s="826"/>
      <c r="AD3019" s="830">
        <v>460</v>
      </c>
      <c r="AE3019" s="830">
        <v>290</v>
      </c>
      <c r="AF3019" s="830">
        <v>250</v>
      </c>
      <c r="AG3019" s="66">
        <f t="shared" si="118"/>
        <v>119.61242236024843</v>
      </c>
      <c r="AH3019" s="143">
        <f t="shared" si="119"/>
        <v>1000</v>
      </c>
    </row>
    <row r="3020" spans="1:34" s="90" customFormat="1" x14ac:dyDescent="0.3">
      <c r="A3020" s="826">
        <v>905385</v>
      </c>
      <c r="B3020" s="827">
        <v>23.3</v>
      </c>
      <c r="C3020" s="827">
        <v>11.250000000000002</v>
      </c>
      <c r="D3020" s="828">
        <v>7.83</v>
      </c>
      <c r="E3020" s="1572">
        <v>0.123</v>
      </c>
      <c r="F3020" s="829">
        <v>135.30000000000001</v>
      </c>
      <c r="G3020" s="826"/>
      <c r="H3020" s="829">
        <v>24.06</v>
      </c>
      <c r="I3020" s="829">
        <v>100</v>
      </c>
      <c r="J3020" s="1246">
        <v>1.4999999999999999E-2</v>
      </c>
      <c r="K3020" s="1246">
        <v>11.88</v>
      </c>
      <c r="L3020" s="826">
        <v>134</v>
      </c>
      <c r="M3020" s="1246">
        <v>0.49</v>
      </c>
      <c r="N3020" s="1246">
        <v>0.59</v>
      </c>
      <c r="O3020" s="1246">
        <v>4.3</v>
      </c>
      <c r="P3020" s="1246">
        <v>5.27</v>
      </c>
      <c r="Q3020" s="826"/>
      <c r="R3020" s="828">
        <v>1.66975812</v>
      </c>
      <c r="S3020" s="827">
        <v>12.78</v>
      </c>
      <c r="T3020" s="826"/>
      <c r="U3020" s="826"/>
      <c r="V3020" s="826"/>
      <c r="W3020" s="826"/>
      <c r="X3020" s="826"/>
      <c r="Y3020" s="827">
        <v>24</v>
      </c>
      <c r="Z3020" s="826"/>
      <c r="AA3020" s="828"/>
      <c r="AB3020" s="828"/>
      <c r="AC3020" s="826"/>
      <c r="AD3020" s="830">
        <v>480</v>
      </c>
      <c r="AE3020" s="830">
        <v>300</v>
      </c>
      <c r="AF3020" s="830">
        <v>220</v>
      </c>
      <c r="AG3020" s="66">
        <f t="shared" si="118"/>
        <v>175.23000000000002</v>
      </c>
      <c r="AH3020" s="143">
        <f t="shared" si="119"/>
        <v>1000</v>
      </c>
    </row>
    <row r="3021" spans="1:34" s="90" customFormat="1" x14ac:dyDescent="0.3">
      <c r="A3021" s="826">
        <v>905386</v>
      </c>
      <c r="B3021" s="827">
        <v>18.3</v>
      </c>
      <c r="C3021" s="827">
        <v>9.6250000000000018</v>
      </c>
      <c r="D3021" s="828">
        <v>8.4</v>
      </c>
      <c r="E3021" s="1572">
        <v>0.125</v>
      </c>
      <c r="F3021" s="829">
        <v>137.5</v>
      </c>
      <c r="G3021" s="826"/>
      <c r="H3021" s="829">
        <v>40.200000000000003</v>
      </c>
      <c r="I3021" s="829">
        <v>114</v>
      </c>
      <c r="J3021" s="1246">
        <v>1.2999999999999999E-2</v>
      </c>
      <c r="K3021" s="1246">
        <v>11.23</v>
      </c>
      <c r="L3021" s="826">
        <v>151</v>
      </c>
      <c r="M3021" s="1246">
        <v>0.88</v>
      </c>
      <c r="N3021" s="1246">
        <v>0.96</v>
      </c>
      <c r="O3021" s="1246">
        <v>3.86</v>
      </c>
      <c r="P3021" s="1246">
        <v>7.66</v>
      </c>
      <c r="Q3021" s="826"/>
      <c r="R3021" s="828">
        <v>1.6407</v>
      </c>
      <c r="S3021" s="827">
        <v>12</v>
      </c>
      <c r="T3021" s="826"/>
      <c r="U3021" s="826"/>
      <c r="V3021" s="826"/>
      <c r="W3021" s="826"/>
      <c r="X3021" s="826"/>
      <c r="Y3021" s="827">
        <v>32.200000000000003</v>
      </c>
      <c r="Z3021" s="826"/>
      <c r="AA3021" s="828"/>
      <c r="AB3021" s="828"/>
      <c r="AC3021" s="826"/>
      <c r="AD3021" s="830">
        <v>460</v>
      </c>
      <c r="AE3021" s="830">
        <v>360</v>
      </c>
      <c r="AF3021" s="830">
        <v>180</v>
      </c>
      <c r="AG3021" s="66">
        <f t="shared" si="118"/>
        <v>123.46024844720498</v>
      </c>
      <c r="AH3021" s="143">
        <f t="shared" si="119"/>
        <v>1000</v>
      </c>
    </row>
    <row r="3022" spans="1:34" s="90" customFormat="1" x14ac:dyDescent="0.3">
      <c r="A3022" s="826">
        <v>905387</v>
      </c>
      <c r="B3022" s="827">
        <v>53.3</v>
      </c>
      <c r="C3022" s="827">
        <v>14.875000000000004</v>
      </c>
      <c r="D3022" s="828">
        <v>8.34</v>
      </c>
      <c r="E3022" s="1572">
        <v>0.11600000000000001</v>
      </c>
      <c r="F3022" s="829">
        <v>127.60000000000001</v>
      </c>
      <c r="G3022" s="826"/>
      <c r="H3022" s="829">
        <v>13.7</v>
      </c>
      <c r="I3022" s="829">
        <v>57</v>
      </c>
      <c r="J3022" s="1246">
        <v>0.02</v>
      </c>
      <c r="K3022" s="1246">
        <v>5.68</v>
      </c>
      <c r="L3022" s="826">
        <v>254</v>
      </c>
      <c r="M3022" s="1246">
        <v>0.18</v>
      </c>
      <c r="N3022" s="1246">
        <v>0.18</v>
      </c>
      <c r="O3022" s="1246">
        <v>2.0299999999999998</v>
      </c>
      <c r="P3022" s="1246">
        <v>4.55</v>
      </c>
      <c r="Q3022" s="826"/>
      <c r="R3022" s="828">
        <v>0.98779341349573202</v>
      </c>
      <c r="S3022" s="827">
        <v>6.82</v>
      </c>
      <c r="T3022" s="826"/>
      <c r="U3022" s="826"/>
      <c r="V3022" s="826"/>
      <c r="W3022" s="826"/>
      <c r="X3022" s="826"/>
      <c r="Y3022" s="827">
        <v>23.5</v>
      </c>
      <c r="Z3022" s="826"/>
      <c r="AA3022" s="828"/>
      <c r="AB3022" s="828"/>
      <c r="AC3022" s="826"/>
      <c r="AD3022" s="830">
        <v>470</v>
      </c>
      <c r="AE3022" s="830">
        <v>330</v>
      </c>
      <c r="AF3022" s="830">
        <v>200</v>
      </c>
      <c r="AG3022" s="66">
        <f t="shared" si="118"/>
        <v>85.562553191489357</v>
      </c>
      <c r="AH3022" s="143">
        <f t="shared" si="119"/>
        <v>1000</v>
      </c>
    </row>
    <row r="3023" spans="1:34" s="90" customFormat="1" x14ac:dyDescent="0.3">
      <c r="A3023" s="826">
        <v>905388</v>
      </c>
      <c r="B3023" s="827">
        <v>70</v>
      </c>
      <c r="C3023" s="827">
        <v>14.75</v>
      </c>
      <c r="D3023" s="828">
        <v>8.52</v>
      </c>
      <c r="E3023" s="1572">
        <v>0.11899999999999999</v>
      </c>
      <c r="F3023" s="829">
        <v>130.9</v>
      </c>
      <c r="G3023" s="826"/>
      <c r="H3023" s="829">
        <v>9.01</v>
      </c>
      <c r="I3023" s="829">
        <v>39</v>
      </c>
      <c r="J3023" s="1246">
        <v>1.0999999999999999E-2</v>
      </c>
      <c r="K3023" s="1246">
        <v>5.2</v>
      </c>
      <c r="L3023" s="826">
        <v>207</v>
      </c>
      <c r="M3023" s="1246">
        <v>0.24</v>
      </c>
      <c r="N3023" s="1246">
        <v>0.21</v>
      </c>
      <c r="O3023" s="1246">
        <v>2.6</v>
      </c>
      <c r="P3023" s="1246">
        <v>5.08</v>
      </c>
      <c r="Q3023" s="826"/>
      <c r="R3023" s="828">
        <v>0.51741130850317651</v>
      </c>
      <c r="S3023" s="827">
        <v>3.69</v>
      </c>
      <c r="T3023" s="826"/>
      <c r="U3023" s="826"/>
      <c r="V3023" s="826"/>
      <c r="W3023" s="826"/>
      <c r="X3023" s="826"/>
      <c r="Y3023" s="827">
        <v>28.8</v>
      </c>
      <c r="Z3023" s="826"/>
      <c r="AA3023" s="828"/>
      <c r="AB3023" s="828"/>
      <c r="AC3023" s="826"/>
      <c r="AD3023" s="830">
        <v>480</v>
      </c>
      <c r="AE3023" s="830">
        <v>330</v>
      </c>
      <c r="AF3023" s="830">
        <v>190</v>
      </c>
      <c r="AG3023" s="66">
        <f t="shared" si="118"/>
        <v>63.916666666666671</v>
      </c>
      <c r="AH3023" s="143">
        <f t="shared" si="119"/>
        <v>1000</v>
      </c>
    </row>
    <row r="3024" spans="1:34" s="90" customFormat="1" x14ac:dyDescent="0.3">
      <c r="A3024" s="826">
        <v>905389</v>
      </c>
      <c r="B3024" s="827">
        <v>40</v>
      </c>
      <c r="C3024" s="827">
        <v>7.1250000000000018</v>
      </c>
      <c r="D3024" s="828">
        <v>7.9</v>
      </c>
      <c r="E3024" s="1572">
        <v>0.214</v>
      </c>
      <c r="F3024" s="829">
        <v>235.4</v>
      </c>
      <c r="G3024" s="826"/>
      <c r="H3024" s="829">
        <v>35.229999999999997</v>
      </c>
      <c r="I3024" s="829">
        <v>208</v>
      </c>
      <c r="J3024" s="1246">
        <v>5.7000000000000002E-2</v>
      </c>
      <c r="K3024" s="1246">
        <v>5.33</v>
      </c>
      <c r="L3024" s="826">
        <v>576</v>
      </c>
      <c r="M3024" s="1246">
        <v>0.7</v>
      </c>
      <c r="N3024" s="1246">
        <v>0.92</v>
      </c>
      <c r="O3024" s="1246">
        <v>3.62</v>
      </c>
      <c r="P3024" s="1246">
        <v>6.28</v>
      </c>
      <c r="Q3024" s="826"/>
      <c r="R3024" s="828">
        <v>1.4019163763003835</v>
      </c>
      <c r="S3024" s="827">
        <v>9.76</v>
      </c>
      <c r="T3024" s="826"/>
      <c r="U3024" s="826"/>
      <c r="V3024" s="826"/>
      <c r="W3024" s="826"/>
      <c r="X3024" s="826"/>
      <c r="Y3024" s="827">
        <v>33.6</v>
      </c>
      <c r="Z3024" s="826"/>
      <c r="AA3024" s="828"/>
      <c r="AB3024" s="828"/>
      <c r="AC3024" s="826"/>
      <c r="AD3024" s="830">
        <v>560</v>
      </c>
      <c r="AE3024" s="830">
        <v>320</v>
      </c>
      <c r="AF3024" s="830">
        <v>120</v>
      </c>
      <c r="AG3024" s="66">
        <f t="shared" si="118"/>
        <v>56.155357142857149</v>
      </c>
      <c r="AH3024" s="143">
        <f t="shared" si="119"/>
        <v>1000</v>
      </c>
    </row>
    <row r="3025" spans="1:34" s="90" customFormat="1" x14ac:dyDescent="0.3">
      <c r="A3025" s="826">
        <v>905390</v>
      </c>
      <c r="B3025" s="827">
        <v>2.1</v>
      </c>
      <c r="C3025" s="1228"/>
      <c r="D3025" s="828">
        <v>8.48</v>
      </c>
      <c r="E3025" s="1572">
        <v>0.19600000000000001</v>
      </c>
      <c r="F3025" s="829">
        <v>215.60000000000002</v>
      </c>
      <c r="G3025" s="826"/>
      <c r="H3025" s="829">
        <v>6.88</v>
      </c>
      <c r="I3025" s="829">
        <v>116</v>
      </c>
      <c r="J3025" s="1246">
        <v>6.8000000000000005E-2</v>
      </c>
      <c r="K3025" s="1246">
        <v>3.72</v>
      </c>
      <c r="L3025" s="826">
        <v>922</v>
      </c>
      <c r="M3025" s="1246">
        <v>0.42</v>
      </c>
      <c r="N3025" s="1246">
        <v>1.68</v>
      </c>
      <c r="O3025" s="1246">
        <v>4.16</v>
      </c>
      <c r="P3025" s="1246">
        <v>2.4500000000000002</v>
      </c>
      <c r="Q3025" s="826"/>
      <c r="R3025" s="828">
        <v>1.2475501651628451</v>
      </c>
      <c r="S3025" s="827">
        <v>8.84</v>
      </c>
      <c r="T3025" s="826"/>
      <c r="U3025" s="826"/>
      <c r="V3025" s="826"/>
      <c r="W3025" s="826"/>
      <c r="X3025" s="826"/>
      <c r="Y3025" s="827">
        <v>33.26</v>
      </c>
      <c r="Z3025" s="826"/>
      <c r="AA3025" s="828">
        <v>4.7</v>
      </c>
      <c r="AB3025" s="828">
        <v>0.75</v>
      </c>
      <c r="AC3025" s="826">
        <v>8.5</v>
      </c>
      <c r="AD3025" s="830">
        <v>550</v>
      </c>
      <c r="AE3025" s="830">
        <v>330</v>
      </c>
      <c r="AF3025" s="830">
        <v>120</v>
      </c>
      <c r="AG3025" s="66">
        <f t="shared" si="118"/>
        <v>39.593505712567655</v>
      </c>
      <c r="AH3025" s="143">
        <f t="shared" si="119"/>
        <v>1000</v>
      </c>
    </row>
    <row r="3026" spans="1:34" s="90" customFormat="1" x14ac:dyDescent="0.3">
      <c r="A3026" s="826">
        <v>905391</v>
      </c>
      <c r="B3026" s="827">
        <v>0.8</v>
      </c>
      <c r="C3026" s="1228"/>
      <c r="D3026" s="828">
        <v>8.4499999999999993</v>
      </c>
      <c r="E3026" s="1572">
        <v>0.247</v>
      </c>
      <c r="F3026" s="829">
        <v>271.70000000000005</v>
      </c>
      <c r="G3026" s="826"/>
      <c r="H3026" s="829">
        <v>32.04</v>
      </c>
      <c r="I3026" s="829">
        <v>403</v>
      </c>
      <c r="J3026" s="1246">
        <v>7.2999999999999995E-2</v>
      </c>
      <c r="K3026" s="1246">
        <v>3.14</v>
      </c>
      <c r="L3026" s="826">
        <v>1060</v>
      </c>
      <c r="M3026" s="1246">
        <v>1.25</v>
      </c>
      <c r="N3026" s="1246">
        <v>1.25</v>
      </c>
      <c r="O3026" s="1246">
        <v>5.26</v>
      </c>
      <c r="P3026" s="1246">
        <v>5.94</v>
      </c>
      <c r="Q3026" s="826"/>
      <c r="R3026" s="828">
        <v>1.58002848</v>
      </c>
      <c r="S3026" s="827">
        <v>10.44</v>
      </c>
      <c r="T3026" s="826"/>
      <c r="U3026" s="826"/>
      <c r="V3026" s="826"/>
      <c r="W3026" s="826"/>
      <c r="X3026" s="826"/>
      <c r="Y3026" s="827">
        <v>32.4</v>
      </c>
      <c r="Z3026" s="826"/>
      <c r="AA3026" s="828">
        <v>4.3099999999999996</v>
      </c>
      <c r="AB3026" s="828">
        <v>0.27500000000000002</v>
      </c>
      <c r="AC3026" s="826">
        <v>6.6</v>
      </c>
      <c r="AD3026" s="830">
        <v>540</v>
      </c>
      <c r="AE3026" s="830">
        <v>320</v>
      </c>
      <c r="AF3026" s="830">
        <v>140</v>
      </c>
      <c r="AG3026" s="66">
        <f t="shared" si="118"/>
        <v>34.30740740740741</v>
      </c>
      <c r="AH3026" s="143">
        <f t="shared" si="119"/>
        <v>1000</v>
      </c>
    </row>
    <row r="3027" spans="1:34" s="90" customFormat="1" x14ac:dyDescent="0.3">
      <c r="A3027" s="826">
        <v>905392</v>
      </c>
      <c r="B3027" s="827">
        <v>12.1</v>
      </c>
      <c r="C3027" s="827">
        <v>10.5</v>
      </c>
      <c r="D3027" s="828">
        <v>8.41</v>
      </c>
      <c r="E3027" s="1572">
        <v>2.4300000000000002</v>
      </c>
      <c r="F3027" s="829">
        <v>2673</v>
      </c>
      <c r="G3027" s="826"/>
      <c r="H3027" s="829">
        <v>79.17</v>
      </c>
      <c r="I3027" s="829">
        <v>320</v>
      </c>
      <c r="J3027" s="1246">
        <v>2.6589999999999998</v>
      </c>
      <c r="K3027" s="1246">
        <v>8.2200000000000006</v>
      </c>
      <c r="L3027" s="826">
        <v>685</v>
      </c>
      <c r="M3027" s="1246">
        <v>2.25</v>
      </c>
      <c r="N3027" s="1246">
        <v>0.96</v>
      </c>
      <c r="O3027" s="1246">
        <v>3.4</v>
      </c>
      <c r="P3027" s="1246">
        <v>2.37</v>
      </c>
      <c r="Q3027" s="826"/>
      <c r="R3027" s="828">
        <v>1.4138106926513521</v>
      </c>
      <c r="S3027" s="827">
        <v>9.91</v>
      </c>
      <c r="T3027" s="826"/>
      <c r="U3027" s="826"/>
      <c r="V3027" s="826"/>
      <c r="W3027" s="826"/>
      <c r="X3027" s="826"/>
      <c r="Y3027" s="827">
        <v>31.2</v>
      </c>
      <c r="Z3027" s="826"/>
      <c r="AA3027" s="828">
        <v>3.48</v>
      </c>
      <c r="AB3027" s="828">
        <v>0.86799999999999999</v>
      </c>
      <c r="AC3027" s="826">
        <v>10</v>
      </c>
      <c r="AD3027" s="830">
        <v>520</v>
      </c>
      <c r="AE3027" s="830">
        <v>280</v>
      </c>
      <c r="AF3027" s="830">
        <v>200</v>
      </c>
      <c r="AG3027" s="66">
        <f t="shared" si="118"/>
        <v>93.265384615384633</v>
      </c>
      <c r="AH3027" s="143">
        <f t="shared" si="119"/>
        <v>1000</v>
      </c>
    </row>
    <row r="3028" spans="1:34" s="90" customFormat="1" x14ac:dyDescent="0.3">
      <c r="A3028" s="826">
        <v>905393</v>
      </c>
      <c r="B3028" s="827">
        <v>18.3</v>
      </c>
      <c r="C3028" s="827">
        <v>12.3</v>
      </c>
      <c r="D3028" s="828">
        <v>8.4</v>
      </c>
      <c r="E3028" s="1572">
        <v>0.254</v>
      </c>
      <c r="F3028" s="829">
        <v>279.40000000000003</v>
      </c>
      <c r="G3028" s="826"/>
      <c r="H3028" s="829">
        <v>10.119999999999999</v>
      </c>
      <c r="I3028" s="829">
        <v>126</v>
      </c>
      <c r="J3028" s="1246">
        <v>7.9000000000000001E-2</v>
      </c>
      <c r="K3028" s="1246">
        <v>11.84</v>
      </c>
      <c r="L3028" s="826">
        <v>546</v>
      </c>
      <c r="M3028" s="1246">
        <v>0.18</v>
      </c>
      <c r="N3028" s="1246">
        <v>0.51</v>
      </c>
      <c r="O3028" s="1246">
        <v>3.67</v>
      </c>
      <c r="P3028" s="1246">
        <v>3.05</v>
      </c>
      <c r="Q3028" s="826"/>
      <c r="R3028" s="828">
        <v>1.5784280000000002</v>
      </c>
      <c r="S3028" s="827">
        <v>10.4</v>
      </c>
      <c r="T3028" s="826"/>
      <c r="U3028" s="826"/>
      <c r="V3028" s="826"/>
      <c r="W3028" s="826"/>
      <c r="X3028" s="826"/>
      <c r="Y3028" s="827">
        <v>36.4</v>
      </c>
      <c r="Z3028" s="826"/>
      <c r="AA3028" s="828">
        <v>3.45</v>
      </c>
      <c r="AB3028" s="828">
        <v>0.83899999999999997</v>
      </c>
      <c r="AC3028" s="826">
        <v>9</v>
      </c>
      <c r="AD3028" s="830">
        <v>520</v>
      </c>
      <c r="AE3028" s="830">
        <v>300</v>
      </c>
      <c r="AF3028" s="830">
        <v>180</v>
      </c>
      <c r="AG3028" s="66">
        <f t="shared" si="118"/>
        <v>115.14725274725276</v>
      </c>
      <c r="AH3028" s="143">
        <f t="shared" si="119"/>
        <v>1000</v>
      </c>
    </row>
    <row r="3029" spans="1:34" s="90" customFormat="1" x14ac:dyDescent="0.3">
      <c r="A3029" s="826">
        <v>905394</v>
      </c>
      <c r="B3029" s="827">
        <v>0.2</v>
      </c>
      <c r="C3029" s="1228"/>
      <c r="D3029" s="828">
        <v>7.16</v>
      </c>
      <c r="E3029" s="1572">
        <v>5.6000000000000001E-2</v>
      </c>
      <c r="F3029" s="829">
        <v>61.600000000000009</v>
      </c>
      <c r="G3029" s="826"/>
      <c r="H3029" s="829">
        <v>32.299999999999997</v>
      </c>
      <c r="I3029" s="829">
        <v>184</v>
      </c>
      <c r="J3029" s="1246">
        <v>3.6999999999999998E-2</v>
      </c>
      <c r="K3029" s="1246">
        <v>4.6399999999999997</v>
      </c>
      <c r="L3029" s="826">
        <v>553</v>
      </c>
      <c r="M3029" s="1246">
        <v>0.33</v>
      </c>
      <c r="N3029" s="1246">
        <v>0.83</v>
      </c>
      <c r="O3029" s="1246">
        <v>36.44</v>
      </c>
      <c r="P3029" s="1246">
        <v>20.27</v>
      </c>
      <c r="Q3029" s="826"/>
      <c r="R3029" s="828">
        <v>1.6605373700000001</v>
      </c>
      <c r="S3029" s="827">
        <v>12.53</v>
      </c>
      <c r="T3029" s="826"/>
      <c r="U3029" s="826"/>
      <c r="V3029" s="826"/>
      <c r="W3029" s="826"/>
      <c r="X3029" s="826"/>
      <c r="Y3029" s="827">
        <v>35.229999999999997</v>
      </c>
      <c r="Z3029" s="826"/>
      <c r="AA3029" s="828">
        <v>4.12</v>
      </c>
      <c r="AB3029" s="828">
        <v>0.34100000000000003</v>
      </c>
      <c r="AC3029" s="826">
        <v>8</v>
      </c>
      <c r="AD3029" s="830">
        <v>580</v>
      </c>
      <c r="AE3029" s="830">
        <v>320</v>
      </c>
      <c r="AF3029" s="830">
        <v>100</v>
      </c>
      <c r="AG3029" s="66">
        <f t="shared" si="118"/>
        <v>46.623900085154702</v>
      </c>
      <c r="AH3029" s="143">
        <f t="shared" si="119"/>
        <v>1000</v>
      </c>
    </row>
    <row r="3030" spans="1:34" s="90" customFormat="1" x14ac:dyDescent="0.3">
      <c r="A3030" s="826">
        <v>905395</v>
      </c>
      <c r="B3030" s="827">
        <v>0.1</v>
      </c>
      <c r="C3030" s="1228"/>
      <c r="D3030" s="828">
        <v>7.21</v>
      </c>
      <c r="E3030" s="1572">
        <v>7.4999999999999997E-2</v>
      </c>
      <c r="F3030" s="829">
        <v>82.5</v>
      </c>
      <c r="G3030" s="826"/>
      <c r="H3030" s="829">
        <v>12.1</v>
      </c>
      <c r="I3030" s="829">
        <v>177</v>
      </c>
      <c r="J3030" s="1246">
        <v>3.9E-2</v>
      </c>
      <c r="K3030" s="1246">
        <v>4.4000000000000004</v>
      </c>
      <c r="L3030" s="826">
        <v>516</v>
      </c>
      <c r="M3030" s="1246">
        <v>0.18</v>
      </c>
      <c r="N3030" s="1246">
        <v>0.62</v>
      </c>
      <c r="O3030" s="1246">
        <v>30.73</v>
      </c>
      <c r="P3030" s="1246">
        <v>13.1</v>
      </c>
      <c r="Q3030" s="826"/>
      <c r="R3030" s="828">
        <v>1.5728086800000001</v>
      </c>
      <c r="S3030" s="827">
        <v>10.26</v>
      </c>
      <c r="T3030" s="826"/>
      <c r="U3030" s="826"/>
      <c r="V3030" s="826"/>
      <c r="W3030" s="826"/>
      <c r="X3030" s="826"/>
      <c r="Y3030" s="827">
        <v>35.11</v>
      </c>
      <c r="Z3030" s="826"/>
      <c r="AA3030" s="828">
        <v>3.61</v>
      </c>
      <c r="AB3030" s="828">
        <v>0.52900000000000003</v>
      </c>
      <c r="AC3030" s="826">
        <v>12</v>
      </c>
      <c r="AD3030" s="830">
        <v>570</v>
      </c>
      <c r="AE3030" s="830">
        <v>310</v>
      </c>
      <c r="AF3030" s="830">
        <v>120</v>
      </c>
      <c r="AG3030" s="66">
        <f t="shared" si="118"/>
        <v>44.363429222443756</v>
      </c>
      <c r="AH3030" s="143">
        <f t="shared" si="119"/>
        <v>1000</v>
      </c>
    </row>
    <row r="3031" spans="1:34" s="90" customFormat="1" x14ac:dyDescent="0.3">
      <c r="A3031" s="826">
        <v>905396</v>
      </c>
      <c r="B3031" s="827">
        <v>0.4</v>
      </c>
      <c r="C3031" s="1228"/>
      <c r="D3031" s="828">
        <v>7.23</v>
      </c>
      <c r="E3031" s="1572">
        <v>0.17199999999999999</v>
      </c>
      <c r="F3031" s="829">
        <v>189.20000000000002</v>
      </c>
      <c r="G3031" s="826"/>
      <c r="H3031" s="829">
        <v>30.27</v>
      </c>
      <c r="I3031" s="829">
        <v>107</v>
      </c>
      <c r="J3031" s="1246">
        <v>2.3E-2</v>
      </c>
      <c r="K3031" s="1246">
        <v>3.95</v>
      </c>
      <c r="L3031" s="826">
        <v>221</v>
      </c>
      <c r="M3031" s="1246">
        <v>0.24</v>
      </c>
      <c r="N3031" s="1246">
        <v>1.1200000000000001</v>
      </c>
      <c r="O3031" s="1246">
        <v>45.42</v>
      </c>
      <c r="P3031" s="1246">
        <v>28.49</v>
      </c>
      <c r="Q3031" s="826"/>
      <c r="R3031" s="828">
        <v>1.6123446800000001</v>
      </c>
      <c r="S3031" s="827">
        <v>11.26</v>
      </c>
      <c r="T3031" s="826"/>
      <c r="U3031" s="826"/>
      <c r="V3031" s="826"/>
      <c r="W3031" s="826"/>
      <c r="X3031" s="826"/>
      <c r="Y3031" s="827">
        <v>35.1</v>
      </c>
      <c r="Z3031" s="826"/>
      <c r="AA3031" s="828">
        <v>4.1399999999999997</v>
      </c>
      <c r="AB3031" s="828">
        <v>0.9</v>
      </c>
      <c r="AC3031" s="826">
        <v>7.6</v>
      </c>
      <c r="AD3031" s="830">
        <v>560</v>
      </c>
      <c r="AE3031" s="830">
        <v>260</v>
      </c>
      <c r="AF3031" s="830">
        <v>180</v>
      </c>
      <c r="AG3031" s="66">
        <f t="shared" si="118"/>
        <v>39.837606837606835</v>
      </c>
      <c r="AH3031" s="143">
        <f t="shared" si="119"/>
        <v>1000</v>
      </c>
    </row>
    <row r="3032" spans="1:34" s="90" customFormat="1" x14ac:dyDescent="0.3">
      <c r="A3032" s="826">
        <v>905397</v>
      </c>
      <c r="B3032" s="827">
        <v>0.3</v>
      </c>
      <c r="C3032" s="1228"/>
      <c r="D3032" s="828">
        <v>7.15</v>
      </c>
      <c r="E3032" s="1572">
        <v>6.8000000000000005E-2</v>
      </c>
      <c r="F3032" s="829">
        <v>74.800000000000011</v>
      </c>
      <c r="G3032" s="826"/>
      <c r="H3032" s="829">
        <v>14.99</v>
      </c>
      <c r="I3032" s="829">
        <v>128</v>
      </c>
      <c r="J3032" s="1246">
        <v>0.03</v>
      </c>
      <c r="K3032" s="1246">
        <v>3.11</v>
      </c>
      <c r="L3032" s="826">
        <v>335</v>
      </c>
      <c r="M3032" s="1246">
        <v>0.22</v>
      </c>
      <c r="N3032" s="1246">
        <v>0.79</v>
      </c>
      <c r="O3032" s="1246">
        <v>44.73</v>
      </c>
      <c r="P3032" s="1246">
        <v>16.78</v>
      </c>
      <c r="Q3032" s="826"/>
      <c r="R3032" s="828">
        <v>1.1316406859698029</v>
      </c>
      <c r="S3032" s="827">
        <v>7.39</v>
      </c>
      <c r="T3032" s="826"/>
      <c r="U3032" s="826"/>
      <c r="V3032" s="826"/>
      <c r="W3032" s="826"/>
      <c r="X3032" s="826"/>
      <c r="Y3032" s="827">
        <v>34.630000000000003</v>
      </c>
      <c r="Z3032" s="826"/>
      <c r="AA3032" s="828">
        <v>3.94</v>
      </c>
      <c r="AB3032" s="828">
        <v>0.62</v>
      </c>
      <c r="AC3032" s="826">
        <v>8.5</v>
      </c>
      <c r="AD3032" s="830">
        <v>580</v>
      </c>
      <c r="AE3032" s="830">
        <v>300</v>
      </c>
      <c r="AF3032" s="830">
        <v>120</v>
      </c>
      <c r="AG3032" s="66">
        <f t="shared" si="118"/>
        <v>31.791510251227258</v>
      </c>
      <c r="AH3032" s="143">
        <f t="shared" si="119"/>
        <v>1000</v>
      </c>
    </row>
    <row r="3033" spans="1:34" s="90" customFormat="1" x14ac:dyDescent="0.3">
      <c r="A3033" s="826">
        <v>905398</v>
      </c>
      <c r="B3033" s="827">
        <v>0.2</v>
      </c>
      <c r="C3033" s="1228"/>
      <c r="D3033" s="828">
        <v>7.09</v>
      </c>
      <c r="E3033" s="1572">
        <v>0.13100000000000001</v>
      </c>
      <c r="F3033" s="829">
        <v>144.10000000000002</v>
      </c>
      <c r="G3033" s="826"/>
      <c r="H3033" s="829">
        <v>18.68</v>
      </c>
      <c r="I3033" s="829">
        <v>250</v>
      </c>
      <c r="J3033" s="1246">
        <v>0.13700000000000001</v>
      </c>
      <c r="K3033" s="1246">
        <v>12.39</v>
      </c>
      <c r="L3033" s="826">
        <v>5741</v>
      </c>
      <c r="M3033" s="1246">
        <v>0.22</v>
      </c>
      <c r="N3033" s="1246">
        <v>20.149999999999999</v>
      </c>
      <c r="O3033" s="1246">
        <v>17.989999999999998</v>
      </c>
      <c r="P3033" s="1246">
        <v>20.46</v>
      </c>
      <c r="Q3033" s="826"/>
      <c r="R3033" s="828">
        <v>1.6138970000000001</v>
      </c>
      <c r="S3033" s="827">
        <v>11.3</v>
      </c>
      <c r="T3033" s="826"/>
      <c r="U3033" s="826"/>
      <c r="V3033" s="826"/>
      <c r="W3033" s="826"/>
      <c r="X3033" s="826"/>
      <c r="Y3033" s="827">
        <v>32</v>
      </c>
      <c r="Z3033" s="826"/>
      <c r="AA3033" s="828">
        <v>4.34</v>
      </c>
      <c r="AB3033" s="828">
        <v>0.48799999999999999</v>
      </c>
      <c r="AC3033" s="826">
        <v>9.4</v>
      </c>
      <c r="AD3033" s="830">
        <v>640</v>
      </c>
      <c r="AE3033" s="830">
        <v>240</v>
      </c>
      <c r="AF3033" s="830">
        <v>120</v>
      </c>
      <c r="AG3033" s="66">
        <f t="shared" si="118"/>
        <v>137.06437500000001</v>
      </c>
      <c r="AH3033" s="143">
        <f t="shared" si="119"/>
        <v>1000</v>
      </c>
    </row>
    <row r="3034" spans="1:34" s="90" customFormat="1" x14ac:dyDescent="0.3">
      <c r="A3034" s="826">
        <v>905399</v>
      </c>
      <c r="B3034" s="827">
        <v>0.7</v>
      </c>
      <c r="C3034" s="1228"/>
      <c r="D3034" s="828">
        <v>7.23</v>
      </c>
      <c r="E3034" s="1572">
        <v>0.23499999999999999</v>
      </c>
      <c r="F3034" s="829">
        <v>258.5</v>
      </c>
      <c r="G3034" s="826"/>
      <c r="H3034" s="829">
        <v>10.52</v>
      </c>
      <c r="I3034" s="829">
        <v>269</v>
      </c>
      <c r="J3034" s="1246">
        <v>0.16400000000000001</v>
      </c>
      <c r="K3034" s="1246">
        <v>12.48</v>
      </c>
      <c r="L3034" s="826">
        <v>6204</v>
      </c>
      <c r="M3034" s="1246">
        <v>0.25</v>
      </c>
      <c r="N3034" s="1246">
        <v>27.4</v>
      </c>
      <c r="O3034" s="1246">
        <v>13.85</v>
      </c>
      <c r="P3034" s="1246">
        <v>21.6</v>
      </c>
      <c r="Q3034" s="826"/>
      <c r="R3034" s="828">
        <v>1.6076742799999999</v>
      </c>
      <c r="S3034" s="827">
        <v>11.14</v>
      </c>
      <c r="T3034" s="826"/>
      <c r="U3034" s="826"/>
      <c r="V3034" s="826"/>
      <c r="W3034" s="826"/>
      <c r="X3034" s="826"/>
      <c r="Y3034" s="827">
        <v>33.520000000000003</v>
      </c>
      <c r="Z3034" s="826"/>
      <c r="AA3034" s="828">
        <v>4.24</v>
      </c>
      <c r="AB3034" s="828">
        <v>0.83499999999999996</v>
      </c>
      <c r="AC3034" s="826">
        <v>6.3</v>
      </c>
      <c r="AD3034" s="830">
        <v>650</v>
      </c>
      <c r="AE3034" s="830">
        <v>240</v>
      </c>
      <c r="AF3034" s="830">
        <v>110</v>
      </c>
      <c r="AG3034" s="66">
        <f t="shared" si="118"/>
        <v>131.79952267303102</v>
      </c>
      <c r="AH3034" s="143">
        <f t="shared" si="119"/>
        <v>1000</v>
      </c>
    </row>
    <row r="3035" spans="1:34" s="90" customFormat="1" x14ac:dyDescent="0.3">
      <c r="A3035" s="826">
        <v>905400</v>
      </c>
      <c r="B3035" s="827">
        <v>3.2</v>
      </c>
      <c r="C3035" s="1228"/>
      <c r="D3035" s="828">
        <v>7.92</v>
      </c>
      <c r="E3035" s="1572">
        <v>0.2</v>
      </c>
      <c r="F3035" s="829">
        <v>220.00000000000003</v>
      </c>
      <c r="G3035" s="826"/>
      <c r="H3035" s="829">
        <v>17.29</v>
      </c>
      <c r="I3035" s="829">
        <v>412</v>
      </c>
      <c r="J3035" s="1246">
        <v>8.8999999999999996E-2</v>
      </c>
      <c r="K3035" s="1246">
        <v>15.13</v>
      </c>
      <c r="L3035" s="826">
        <v>2926</v>
      </c>
      <c r="M3035" s="1246">
        <v>0.27</v>
      </c>
      <c r="N3035" s="1246">
        <v>2.91</v>
      </c>
      <c r="O3035" s="1246">
        <v>14.29</v>
      </c>
      <c r="P3035" s="1246">
        <v>17.079999999999998</v>
      </c>
      <c r="Q3035" s="826"/>
      <c r="R3035" s="828">
        <v>1.6601667199999999</v>
      </c>
      <c r="S3035" s="827">
        <v>12.52</v>
      </c>
      <c r="T3035" s="826"/>
      <c r="U3035" s="826"/>
      <c r="V3035" s="826"/>
      <c r="W3035" s="826"/>
      <c r="X3035" s="826"/>
      <c r="Y3035" s="827">
        <v>33.270000000000003</v>
      </c>
      <c r="Z3035" s="826"/>
      <c r="AA3035" s="828">
        <v>4.5999999999999996</v>
      </c>
      <c r="AB3035" s="828">
        <v>0.39800000000000002</v>
      </c>
      <c r="AC3035" s="826">
        <v>6.3</v>
      </c>
      <c r="AD3035" s="830">
        <v>640</v>
      </c>
      <c r="AE3035" s="830">
        <v>260</v>
      </c>
      <c r="AF3035" s="830">
        <v>100</v>
      </c>
      <c r="AG3035" s="66">
        <f t="shared" si="118"/>
        <v>160.98647430117222</v>
      </c>
      <c r="AH3035" s="143">
        <f t="shared" si="119"/>
        <v>1000</v>
      </c>
    </row>
    <row r="3036" spans="1:34" s="90" customFormat="1" x14ac:dyDescent="0.3">
      <c r="A3036" s="826">
        <v>905401</v>
      </c>
      <c r="B3036" s="827">
        <v>0.1</v>
      </c>
      <c r="C3036" s="1228"/>
      <c r="D3036" s="828">
        <v>8.2799999999999994</v>
      </c>
      <c r="E3036" s="1572">
        <v>0.112</v>
      </c>
      <c r="F3036" s="829">
        <v>123.20000000000002</v>
      </c>
      <c r="G3036" s="826"/>
      <c r="H3036" s="829">
        <v>62.62</v>
      </c>
      <c r="I3036" s="829">
        <v>49</v>
      </c>
      <c r="J3036" s="1246">
        <v>0.16200000000000001</v>
      </c>
      <c r="K3036" s="1246">
        <v>0.7</v>
      </c>
      <c r="L3036" s="826">
        <v>220</v>
      </c>
      <c r="M3036" s="1246">
        <v>0.67</v>
      </c>
      <c r="N3036" s="1246">
        <v>0.64</v>
      </c>
      <c r="O3036" s="1246">
        <v>2.16</v>
      </c>
      <c r="P3036" s="1246">
        <v>8.07</v>
      </c>
      <c r="Q3036" s="826"/>
      <c r="R3036" s="828">
        <v>0.19560188949608695</v>
      </c>
      <c r="S3036" s="827">
        <v>1.44</v>
      </c>
      <c r="T3036" s="826"/>
      <c r="U3036" s="826"/>
      <c r="V3036" s="826"/>
      <c r="W3036" s="826"/>
      <c r="X3036" s="826"/>
      <c r="Y3036" s="827">
        <v>4.8</v>
      </c>
      <c r="Z3036" s="826"/>
      <c r="AA3036" s="828">
        <v>4.29</v>
      </c>
      <c r="AB3036" s="828">
        <v>0.43</v>
      </c>
      <c r="AC3036" s="826">
        <v>7.6</v>
      </c>
      <c r="AD3036" s="830">
        <v>80</v>
      </c>
      <c r="AE3036" s="830">
        <v>80</v>
      </c>
      <c r="AF3036" s="830">
        <v>840</v>
      </c>
      <c r="AG3036" s="66">
        <f t="shared" si="118"/>
        <v>51.625</v>
      </c>
      <c r="AH3036" s="143">
        <f t="shared" si="119"/>
        <v>1000</v>
      </c>
    </row>
    <row r="3037" spans="1:34" s="90" customFormat="1" x14ac:dyDescent="0.3">
      <c r="A3037" s="826">
        <v>905402</v>
      </c>
      <c r="B3037" s="827">
        <v>0.1</v>
      </c>
      <c r="C3037" s="1228"/>
      <c r="D3037" s="828">
        <v>8.09</v>
      </c>
      <c r="E3037" s="1572">
        <v>0.311</v>
      </c>
      <c r="F3037" s="829">
        <v>342.1</v>
      </c>
      <c r="G3037" s="826"/>
      <c r="H3037" s="829">
        <v>41.13</v>
      </c>
      <c r="I3037" s="829">
        <v>99</v>
      </c>
      <c r="J3037" s="1246">
        <v>0.505</v>
      </c>
      <c r="K3037" s="1246">
        <v>1.76</v>
      </c>
      <c r="L3037" s="826">
        <v>807</v>
      </c>
      <c r="M3037" s="1246">
        <v>0.37</v>
      </c>
      <c r="N3037" s="1246">
        <v>0.68</v>
      </c>
      <c r="O3037" s="1246">
        <v>4.76</v>
      </c>
      <c r="P3037" s="1246">
        <v>17.100000000000001</v>
      </c>
      <c r="Q3037" s="826"/>
      <c r="R3037" s="828">
        <v>0.46559768371107407</v>
      </c>
      <c r="S3037" s="827">
        <v>3.33</v>
      </c>
      <c r="T3037" s="826"/>
      <c r="U3037" s="826"/>
      <c r="V3037" s="826"/>
      <c r="W3037" s="826"/>
      <c r="X3037" s="826"/>
      <c r="Y3037" s="827">
        <v>33.6</v>
      </c>
      <c r="Z3037" s="826"/>
      <c r="AA3037" s="828">
        <v>4.87</v>
      </c>
      <c r="AB3037" s="828">
        <v>0.308</v>
      </c>
      <c r="AC3037" s="826">
        <v>8.5</v>
      </c>
      <c r="AD3037" s="830">
        <v>480</v>
      </c>
      <c r="AE3037" s="830">
        <v>340</v>
      </c>
      <c r="AF3037" s="830">
        <v>180</v>
      </c>
      <c r="AG3037" s="66">
        <f t="shared" si="118"/>
        <v>18.542857142857144</v>
      </c>
      <c r="AH3037" s="143">
        <f t="shared" si="119"/>
        <v>1000</v>
      </c>
    </row>
    <row r="3038" spans="1:34" s="90" customFormat="1" x14ac:dyDescent="0.3">
      <c r="A3038" s="826">
        <v>905403</v>
      </c>
      <c r="B3038" s="827">
        <v>0.2</v>
      </c>
      <c r="C3038" s="1228"/>
      <c r="D3038" s="828">
        <v>8.3800000000000008</v>
      </c>
      <c r="E3038" s="1572">
        <v>0.42199999999999999</v>
      </c>
      <c r="F3038" s="829">
        <v>464.20000000000005</v>
      </c>
      <c r="G3038" s="826"/>
      <c r="H3038" s="829">
        <v>60.15</v>
      </c>
      <c r="I3038" s="829">
        <v>291</v>
      </c>
      <c r="J3038" s="1246">
        <v>0.64700000000000002</v>
      </c>
      <c r="K3038" s="1246">
        <v>4.93</v>
      </c>
      <c r="L3038" s="826">
        <v>1650</v>
      </c>
      <c r="M3038" s="1246">
        <v>0.56000000000000005</v>
      </c>
      <c r="N3038" s="1246">
        <v>0.46</v>
      </c>
      <c r="O3038" s="1246">
        <v>5.8</v>
      </c>
      <c r="P3038" s="1246">
        <v>11.82</v>
      </c>
      <c r="Q3038" s="826"/>
      <c r="R3038" s="828">
        <v>1.65048068</v>
      </c>
      <c r="S3038" s="827">
        <v>12.26</v>
      </c>
      <c r="T3038" s="826"/>
      <c r="U3038" s="826"/>
      <c r="V3038" s="826"/>
      <c r="W3038" s="826"/>
      <c r="X3038" s="826"/>
      <c r="Y3038" s="827">
        <v>33.6</v>
      </c>
      <c r="Z3038" s="826"/>
      <c r="AA3038" s="828">
        <v>3.71</v>
      </c>
      <c r="AB3038" s="828">
        <v>0.34200000000000003</v>
      </c>
      <c r="AC3038" s="826">
        <v>9.3000000000000007</v>
      </c>
      <c r="AD3038" s="830">
        <v>560</v>
      </c>
      <c r="AE3038" s="830">
        <v>330</v>
      </c>
      <c r="AF3038" s="830">
        <v>110</v>
      </c>
      <c r="AG3038" s="66">
        <f t="shared" si="118"/>
        <v>51.941071428571419</v>
      </c>
      <c r="AH3038" s="143">
        <f t="shared" si="119"/>
        <v>1000</v>
      </c>
    </row>
    <row r="3039" spans="1:34" x14ac:dyDescent="0.3">
      <c r="A3039" s="826">
        <v>905404</v>
      </c>
      <c r="B3039" s="827">
        <v>1</v>
      </c>
      <c r="C3039" s="1228"/>
      <c r="D3039" s="828">
        <v>8.27</v>
      </c>
      <c r="E3039" s="1572">
        <v>0.50900000000000001</v>
      </c>
      <c r="F3039" s="829">
        <v>559.90000000000009</v>
      </c>
      <c r="G3039" s="826"/>
      <c r="H3039" s="829">
        <v>25.95</v>
      </c>
      <c r="I3039" s="829">
        <v>246</v>
      </c>
      <c r="J3039" s="1246">
        <v>0.69299999999999995</v>
      </c>
      <c r="K3039" s="1246">
        <v>6.63</v>
      </c>
      <c r="L3039" s="826">
        <v>1574</v>
      </c>
      <c r="M3039" s="1246">
        <v>0.37</v>
      </c>
      <c r="N3039" s="1246">
        <v>0.38</v>
      </c>
      <c r="O3039" s="1246">
        <v>5.33</v>
      </c>
      <c r="P3039" s="1246">
        <v>11.81</v>
      </c>
      <c r="Q3039" s="826"/>
      <c r="R3039" s="828">
        <v>1.5772261700000001</v>
      </c>
      <c r="S3039" s="827">
        <v>10.37</v>
      </c>
      <c r="T3039" s="826"/>
      <c r="U3039" s="826"/>
      <c r="V3039" s="826"/>
      <c r="W3039" s="826"/>
      <c r="X3039" s="826"/>
      <c r="Y3039" s="827">
        <v>33.979999999999997</v>
      </c>
      <c r="Z3039" s="826"/>
      <c r="AA3039" s="828">
        <v>3.58</v>
      </c>
      <c r="AB3039" s="828">
        <v>0.59599999999999997</v>
      </c>
      <c r="AC3039" s="826">
        <v>6.9</v>
      </c>
      <c r="AD3039" s="830">
        <v>580</v>
      </c>
      <c r="AE3039" s="830">
        <v>320</v>
      </c>
      <c r="AF3039" s="830">
        <v>100</v>
      </c>
      <c r="AG3039" s="66">
        <f t="shared" si="118"/>
        <v>69.070629782224842</v>
      </c>
      <c r="AH3039" s="143">
        <f t="shared" si="119"/>
        <v>1000</v>
      </c>
    </row>
    <row r="3040" spans="1:34" x14ac:dyDescent="0.3">
      <c r="A3040" s="826">
        <v>905405</v>
      </c>
      <c r="B3040" s="827">
        <v>0.2</v>
      </c>
      <c r="C3040" s="1228"/>
      <c r="D3040" s="828">
        <v>7.96</v>
      </c>
      <c r="E3040" s="1572">
        <v>0.62</v>
      </c>
      <c r="F3040" s="829">
        <v>682</v>
      </c>
      <c r="G3040" s="826"/>
      <c r="H3040" s="829">
        <v>136.25</v>
      </c>
      <c r="I3040" s="829">
        <v>444</v>
      </c>
      <c r="J3040" s="1246">
        <v>0.84099999999999997</v>
      </c>
      <c r="K3040" s="1246">
        <v>4.93</v>
      </c>
      <c r="L3040" s="826">
        <v>1580</v>
      </c>
      <c r="M3040" s="1246">
        <v>1.63</v>
      </c>
      <c r="N3040" s="1246">
        <v>0.84</v>
      </c>
      <c r="O3040" s="1246">
        <v>4.8</v>
      </c>
      <c r="P3040" s="1246">
        <v>9.91</v>
      </c>
      <c r="Q3040" s="826"/>
      <c r="R3040" s="828">
        <v>1.6388082500000001</v>
      </c>
      <c r="S3040" s="827">
        <v>11.95</v>
      </c>
      <c r="T3040" s="826"/>
      <c r="U3040" s="826"/>
      <c r="V3040" s="826"/>
      <c r="W3040" s="826"/>
      <c r="X3040" s="826"/>
      <c r="Y3040" s="827">
        <v>28.5</v>
      </c>
      <c r="Z3040" s="826"/>
      <c r="AA3040" s="828">
        <v>3.51</v>
      </c>
      <c r="AB3040" s="828">
        <v>0.81100000000000005</v>
      </c>
      <c r="AC3040" s="826">
        <v>10.9</v>
      </c>
      <c r="AD3040" s="830">
        <v>570</v>
      </c>
      <c r="AE3040" s="830">
        <v>320</v>
      </c>
      <c r="AF3040" s="830">
        <v>110</v>
      </c>
      <c r="AG3040" s="66">
        <f t="shared" si="118"/>
        <v>61.235789473684207</v>
      </c>
      <c r="AH3040" s="143">
        <f t="shared" si="119"/>
        <v>1000</v>
      </c>
    </row>
    <row r="3041" spans="1:34" x14ac:dyDescent="0.3">
      <c r="A3041" s="826">
        <v>905406</v>
      </c>
      <c r="B3041" s="827">
        <v>0.3</v>
      </c>
      <c r="C3041" s="1228"/>
      <c r="D3041" s="828">
        <v>8.92</v>
      </c>
      <c r="E3041" s="1572">
        <v>0.57399999999999995</v>
      </c>
      <c r="F3041" s="829">
        <v>631.40000000000009</v>
      </c>
      <c r="G3041" s="826"/>
      <c r="H3041" s="829">
        <v>78.48</v>
      </c>
      <c r="I3041" s="829">
        <v>317</v>
      </c>
      <c r="J3041" s="1246">
        <v>0.745</v>
      </c>
      <c r="K3041" s="1246">
        <v>5.33</v>
      </c>
      <c r="L3041" s="826">
        <v>1547</v>
      </c>
      <c r="M3041" s="1246">
        <v>0.98</v>
      </c>
      <c r="N3041" s="1246">
        <v>0.67</v>
      </c>
      <c r="O3041" s="1246">
        <v>6.32</v>
      </c>
      <c r="P3041" s="1246">
        <v>10.31</v>
      </c>
      <c r="Q3041" s="826"/>
      <c r="R3041" s="828">
        <v>1.6173815300000001</v>
      </c>
      <c r="S3041" s="827">
        <v>11.39</v>
      </c>
      <c r="T3041" s="826"/>
      <c r="U3041" s="826"/>
      <c r="V3041" s="826"/>
      <c r="W3041" s="826"/>
      <c r="X3041" s="826"/>
      <c r="Y3041" s="827">
        <v>34.799999999999997</v>
      </c>
      <c r="Z3041" s="826"/>
      <c r="AA3041" s="828">
        <v>4.87</v>
      </c>
      <c r="AB3041" s="828">
        <v>0.88400000000000001</v>
      </c>
      <c r="AC3041" s="826">
        <v>11.1</v>
      </c>
      <c r="AD3041" s="830">
        <v>580</v>
      </c>
      <c r="AE3041" s="830">
        <v>320</v>
      </c>
      <c r="AF3041" s="830">
        <v>100</v>
      </c>
      <c r="AG3041" s="66">
        <f t="shared" si="118"/>
        <v>54.218965517241386</v>
      </c>
      <c r="AH3041" s="143">
        <f t="shared" si="119"/>
        <v>1000</v>
      </c>
    </row>
    <row r="3042" spans="1:34" x14ac:dyDescent="0.3">
      <c r="A3042" s="826">
        <v>905407</v>
      </c>
      <c r="B3042" s="827">
        <v>0.1</v>
      </c>
      <c r="C3042" s="1228"/>
      <c r="D3042" s="828">
        <v>8.4600000000000009</v>
      </c>
      <c r="E3042" s="1572">
        <v>0.34100000000000003</v>
      </c>
      <c r="F3042" s="829">
        <v>375.1</v>
      </c>
      <c r="G3042" s="826"/>
      <c r="H3042" s="829">
        <v>37.33</v>
      </c>
      <c r="I3042" s="829">
        <v>296</v>
      </c>
      <c r="J3042" s="1246">
        <v>0.64900000000000002</v>
      </c>
      <c r="K3042" s="1246">
        <v>5.6</v>
      </c>
      <c r="L3042" s="826">
        <v>1651</v>
      </c>
      <c r="M3042" s="1246">
        <v>0.28000000000000003</v>
      </c>
      <c r="N3042" s="1246">
        <v>0.5</v>
      </c>
      <c r="O3042" s="1246">
        <v>5.65</v>
      </c>
      <c r="P3042" s="1246">
        <v>13.79</v>
      </c>
      <c r="Q3042" s="826"/>
      <c r="R3042" s="828">
        <v>1.6418333700000001</v>
      </c>
      <c r="S3042" s="827">
        <v>12.03</v>
      </c>
      <c r="T3042" s="826"/>
      <c r="U3042" s="826"/>
      <c r="V3042" s="826"/>
      <c r="W3042" s="826"/>
      <c r="X3042" s="826"/>
      <c r="Y3042" s="827">
        <v>29.5</v>
      </c>
      <c r="Z3042" s="826"/>
      <c r="AA3042" s="828">
        <v>4.24</v>
      </c>
      <c r="AB3042" s="828">
        <v>0.61699999999999999</v>
      </c>
      <c r="AC3042" s="826">
        <v>10.9</v>
      </c>
      <c r="AD3042" s="830">
        <v>590</v>
      </c>
      <c r="AE3042" s="830">
        <v>300</v>
      </c>
      <c r="AF3042" s="830">
        <v>110</v>
      </c>
      <c r="AG3042" s="66">
        <f t="shared" si="118"/>
        <v>67.199999999999989</v>
      </c>
      <c r="AH3042" s="143">
        <f t="shared" si="119"/>
        <v>1000</v>
      </c>
    </row>
    <row r="3043" spans="1:34" x14ac:dyDescent="0.3">
      <c r="A3043" s="826">
        <v>905408</v>
      </c>
      <c r="B3043" s="827">
        <v>0.2</v>
      </c>
      <c r="C3043" s="1228"/>
      <c r="D3043" s="828">
        <v>8.58</v>
      </c>
      <c r="E3043" s="1572">
        <v>0.36799999999999999</v>
      </c>
      <c r="F3043" s="829">
        <v>404.8</v>
      </c>
      <c r="G3043" s="826"/>
      <c r="H3043" s="829">
        <v>19.79</v>
      </c>
      <c r="I3043" s="829">
        <v>280</v>
      </c>
      <c r="J3043" s="1246">
        <v>0.72699999999999998</v>
      </c>
      <c r="K3043" s="1246">
        <v>6.01</v>
      </c>
      <c r="L3043" s="826">
        <v>1602</v>
      </c>
      <c r="M3043" s="1246">
        <v>0.21</v>
      </c>
      <c r="N3043" s="1246">
        <v>0.45</v>
      </c>
      <c r="O3043" s="1246">
        <v>4.88</v>
      </c>
      <c r="P3043" s="1246">
        <v>10.28</v>
      </c>
      <c r="Q3043" s="826"/>
      <c r="R3043" s="828">
        <v>1.5780275300000002</v>
      </c>
      <c r="S3043" s="827">
        <v>10.39</v>
      </c>
      <c r="T3043" s="826"/>
      <c r="U3043" s="826"/>
      <c r="V3043" s="826"/>
      <c r="W3043" s="826"/>
      <c r="X3043" s="826"/>
      <c r="Y3043" s="827">
        <v>35.229999999999997</v>
      </c>
      <c r="Z3043" s="826"/>
      <c r="AA3043" s="828">
        <v>3.6</v>
      </c>
      <c r="AB3043" s="828">
        <v>0.55700000000000005</v>
      </c>
      <c r="AC3043" s="826">
        <v>11.1</v>
      </c>
      <c r="AD3043" s="830">
        <v>580</v>
      </c>
      <c r="AE3043" s="830">
        <v>310</v>
      </c>
      <c r="AF3043" s="830">
        <v>110</v>
      </c>
      <c r="AG3043" s="66">
        <f t="shared" si="118"/>
        <v>60.390008515469773</v>
      </c>
      <c r="AH3043" s="143">
        <f t="shared" si="119"/>
        <v>1000</v>
      </c>
    </row>
    <row r="3044" spans="1:34" x14ac:dyDescent="0.3">
      <c r="A3044" s="826">
        <v>905409</v>
      </c>
      <c r="B3044" s="827">
        <v>14.6</v>
      </c>
      <c r="C3044" s="827">
        <v>8.8699999999999992</v>
      </c>
      <c r="D3044" s="828">
        <v>8.41</v>
      </c>
      <c r="E3044" s="1572">
        <v>0.35699999999999998</v>
      </c>
      <c r="F3044" s="829">
        <v>392.70000000000005</v>
      </c>
      <c r="G3044" s="826"/>
      <c r="H3044" s="829">
        <v>10.62</v>
      </c>
      <c r="I3044" s="829">
        <v>318</v>
      </c>
      <c r="J3044" s="1246">
        <v>9.9000000000000005E-2</v>
      </c>
      <c r="K3044" s="1246">
        <v>10.47</v>
      </c>
      <c r="L3044" s="826">
        <v>750</v>
      </c>
      <c r="M3044" s="1246">
        <v>0.66</v>
      </c>
      <c r="N3044" s="1246">
        <v>0.62</v>
      </c>
      <c r="O3044" s="1246">
        <v>3.88</v>
      </c>
      <c r="P3044" s="1246">
        <v>3.55</v>
      </c>
      <c r="Q3044" s="826"/>
      <c r="R3044" s="828">
        <v>1.3970220394385238</v>
      </c>
      <c r="S3044" s="827">
        <v>9.2200000000000006</v>
      </c>
      <c r="T3044" s="826"/>
      <c r="U3044" s="826"/>
      <c r="V3044" s="826"/>
      <c r="W3044" s="826"/>
      <c r="X3044" s="826"/>
      <c r="Y3044" s="827">
        <v>37.119999999999997</v>
      </c>
      <c r="Z3044" s="826"/>
      <c r="AA3044" s="828"/>
      <c r="AB3044" s="828"/>
      <c r="AC3044" s="826"/>
      <c r="AD3044" s="830">
        <v>560</v>
      </c>
      <c r="AE3044" s="830">
        <v>320</v>
      </c>
      <c r="AF3044" s="830">
        <v>120</v>
      </c>
      <c r="AG3044" s="66">
        <f t="shared" si="118"/>
        <v>99.848599137931046</v>
      </c>
      <c r="AH3044" s="143">
        <f t="shared" si="119"/>
        <v>1000</v>
      </c>
    </row>
    <row r="3045" spans="1:34" x14ac:dyDescent="0.3">
      <c r="A3045" s="826">
        <v>905410</v>
      </c>
      <c r="B3045" s="827">
        <v>40.799999999999997</v>
      </c>
      <c r="C3045" s="827">
        <v>12.25</v>
      </c>
      <c r="D3045" s="828">
        <v>8.01</v>
      </c>
      <c r="E3045" s="1572">
        <v>2.56</v>
      </c>
      <c r="F3045" s="829">
        <v>2816</v>
      </c>
      <c r="G3045" s="826"/>
      <c r="H3045" s="829">
        <v>3.8</v>
      </c>
      <c r="I3045" s="829">
        <v>285</v>
      </c>
      <c r="J3045" s="1246">
        <v>1.069</v>
      </c>
      <c r="K3045" s="1246">
        <v>10.45</v>
      </c>
      <c r="L3045" s="826">
        <v>1735</v>
      </c>
      <c r="M3045" s="1246">
        <v>0.16</v>
      </c>
      <c r="N3045" s="1246">
        <v>0.53</v>
      </c>
      <c r="O3045" s="1246">
        <v>0.68</v>
      </c>
      <c r="P3045" s="1246">
        <v>2.1</v>
      </c>
      <c r="Q3045" s="826"/>
      <c r="R3045" s="828">
        <v>0.37249768445476317</v>
      </c>
      <c r="S3045" s="827">
        <v>2.62</v>
      </c>
      <c r="T3045" s="826"/>
      <c r="U3045" s="826"/>
      <c r="V3045" s="826"/>
      <c r="W3045" s="826"/>
      <c r="X3045" s="826"/>
      <c r="Y3045" s="827">
        <v>33.6</v>
      </c>
      <c r="Z3045" s="826"/>
      <c r="AA3045" s="828"/>
      <c r="AB3045" s="828"/>
      <c r="AC3045" s="826"/>
      <c r="AD3045" s="830">
        <v>560</v>
      </c>
      <c r="AE3045" s="830">
        <v>360</v>
      </c>
      <c r="AF3045" s="830">
        <v>80</v>
      </c>
      <c r="AG3045" s="66">
        <f t="shared" si="118"/>
        <v>110.09821428571426</v>
      </c>
      <c r="AH3045" s="143">
        <f t="shared" si="119"/>
        <v>1000</v>
      </c>
    </row>
    <row r="3046" spans="1:34" x14ac:dyDescent="0.3">
      <c r="A3046" s="826">
        <v>905411</v>
      </c>
      <c r="B3046" s="827">
        <v>0.5</v>
      </c>
      <c r="C3046" s="1228"/>
      <c r="D3046" s="828">
        <v>8.3800000000000008</v>
      </c>
      <c r="E3046" s="1572">
        <v>0.14299999999999999</v>
      </c>
      <c r="F3046" s="829">
        <v>157.30000000000001</v>
      </c>
      <c r="G3046" s="826"/>
      <c r="H3046" s="829">
        <v>66.209999999999994</v>
      </c>
      <c r="I3046" s="829">
        <v>394</v>
      </c>
      <c r="J3046" s="1246">
        <v>8.2000000000000003E-2</v>
      </c>
      <c r="K3046" s="1246">
        <v>5.55</v>
      </c>
      <c r="L3046" s="826">
        <v>1697</v>
      </c>
      <c r="M3046" s="1246">
        <v>2.17</v>
      </c>
      <c r="N3046" s="1246">
        <v>2.06</v>
      </c>
      <c r="O3046" s="1246">
        <v>15.04</v>
      </c>
      <c r="P3046" s="1246">
        <v>8.44</v>
      </c>
      <c r="Q3046" s="826"/>
      <c r="R3046" s="828">
        <v>1.8985659300000002</v>
      </c>
      <c r="S3046" s="827">
        <v>20.010000000000002</v>
      </c>
      <c r="T3046" s="826"/>
      <c r="U3046" s="826"/>
      <c r="V3046" s="826"/>
      <c r="W3046" s="826"/>
      <c r="X3046" s="826"/>
      <c r="Y3046" s="827">
        <v>32.33</v>
      </c>
      <c r="Z3046" s="826"/>
      <c r="AA3046" s="828"/>
      <c r="AB3046" s="828"/>
      <c r="AC3046" s="826"/>
      <c r="AD3046" s="830">
        <v>520</v>
      </c>
      <c r="AE3046" s="830">
        <v>380</v>
      </c>
      <c r="AF3046" s="830">
        <v>100</v>
      </c>
      <c r="AG3046" s="66">
        <f t="shared" si="118"/>
        <v>60.770182493040515</v>
      </c>
      <c r="AH3046" s="143">
        <f t="shared" si="119"/>
        <v>1000</v>
      </c>
    </row>
    <row r="3047" spans="1:34" x14ac:dyDescent="0.3">
      <c r="A3047" s="826">
        <v>905412</v>
      </c>
      <c r="B3047" s="827">
        <v>4.9000000000000004</v>
      </c>
      <c r="C3047" s="1228"/>
      <c r="D3047" s="828">
        <v>8.1999999999999993</v>
      </c>
      <c r="E3047" s="1572">
        <v>0.152</v>
      </c>
      <c r="F3047" s="829">
        <v>167.20000000000002</v>
      </c>
      <c r="G3047" s="826"/>
      <c r="H3047" s="829">
        <v>36.86</v>
      </c>
      <c r="I3047" s="829">
        <v>373</v>
      </c>
      <c r="J3047" s="1246">
        <v>5.2999999999999999E-2</v>
      </c>
      <c r="K3047" s="1246">
        <v>7.08</v>
      </c>
      <c r="L3047" s="826">
        <v>1833</v>
      </c>
      <c r="M3047" s="1246">
        <v>1.38</v>
      </c>
      <c r="N3047" s="1246">
        <v>1.65</v>
      </c>
      <c r="O3047" s="1246">
        <v>18.62</v>
      </c>
      <c r="P3047" s="1246">
        <v>8.3699999999999992</v>
      </c>
      <c r="Q3047" s="826"/>
      <c r="R3047" s="828">
        <v>1.9101282500000001</v>
      </c>
      <c r="S3047" s="827">
        <v>20.45</v>
      </c>
      <c r="T3047" s="826"/>
      <c r="U3047" s="826"/>
      <c r="V3047" s="826"/>
      <c r="W3047" s="826"/>
      <c r="X3047" s="826"/>
      <c r="Y3047" s="827">
        <v>25.5</v>
      </c>
      <c r="Z3047" s="826"/>
      <c r="AA3047" s="828"/>
      <c r="AB3047" s="828"/>
      <c r="AC3047" s="826"/>
      <c r="AD3047" s="830">
        <v>510</v>
      </c>
      <c r="AE3047" s="830">
        <v>370</v>
      </c>
      <c r="AF3047" s="830">
        <v>120</v>
      </c>
      <c r="AG3047" s="66">
        <f t="shared" si="118"/>
        <v>98.287058823529421</v>
      </c>
      <c r="AH3047" s="143">
        <f t="shared" si="119"/>
        <v>1000</v>
      </c>
    </row>
    <row r="3048" spans="1:34" x14ac:dyDescent="0.3">
      <c r="A3048" s="826">
        <v>905413</v>
      </c>
      <c r="B3048" s="827">
        <v>0.3</v>
      </c>
      <c r="C3048" s="1228"/>
      <c r="D3048" s="828">
        <v>8.08</v>
      </c>
      <c r="E3048" s="1572">
        <v>0.121</v>
      </c>
      <c r="F3048" s="829">
        <v>133.10000000000002</v>
      </c>
      <c r="G3048" s="826"/>
      <c r="H3048" s="829">
        <v>57.83</v>
      </c>
      <c r="I3048" s="829">
        <v>419</v>
      </c>
      <c r="J3048" s="1246">
        <v>6.7000000000000004E-2</v>
      </c>
      <c r="K3048" s="1246">
        <v>4.97</v>
      </c>
      <c r="L3048" s="826">
        <v>1896</v>
      </c>
      <c r="M3048" s="1246">
        <v>1.98</v>
      </c>
      <c r="N3048" s="1246">
        <v>14.46</v>
      </c>
      <c r="O3048" s="1246">
        <v>8.5399999999999991</v>
      </c>
      <c r="P3048" s="1246">
        <v>28.62</v>
      </c>
      <c r="Q3048" s="826"/>
      <c r="R3048" s="828">
        <v>1.9782371300000001</v>
      </c>
      <c r="S3048" s="827">
        <v>23.29</v>
      </c>
      <c r="T3048" s="826"/>
      <c r="U3048" s="826"/>
      <c r="V3048" s="826"/>
      <c r="W3048" s="826"/>
      <c r="X3048" s="826"/>
      <c r="Y3048" s="827">
        <v>35.22</v>
      </c>
      <c r="Z3048" s="826"/>
      <c r="AA3048" s="828"/>
      <c r="AB3048" s="828"/>
      <c r="AC3048" s="826"/>
      <c r="AD3048" s="830">
        <v>640</v>
      </c>
      <c r="AE3048" s="830">
        <v>250</v>
      </c>
      <c r="AF3048" s="830">
        <v>110</v>
      </c>
      <c r="AG3048" s="66">
        <f t="shared" si="118"/>
        <v>49.954003407155021</v>
      </c>
      <c r="AH3048" s="143">
        <f t="shared" si="119"/>
        <v>1000</v>
      </c>
    </row>
    <row r="3049" spans="1:34" x14ac:dyDescent="0.3">
      <c r="A3049" s="826">
        <v>905414</v>
      </c>
      <c r="B3049" s="827">
        <v>2.6</v>
      </c>
      <c r="C3049" s="1228"/>
      <c r="D3049" s="828">
        <v>8.01</v>
      </c>
      <c r="E3049" s="1572">
        <v>0.45200000000000001</v>
      </c>
      <c r="F3049" s="829">
        <v>497.20000000000005</v>
      </c>
      <c r="G3049" s="826"/>
      <c r="H3049" s="829">
        <v>31.25</v>
      </c>
      <c r="I3049" s="829">
        <v>233</v>
      </c>
      <c r="J3049" s="1246">
        <v>0.36199999999999999</v>
      </c>
      <c r="K3049" s="1246">
        <v>6.71</v>
      </c>
      <c r="L3049" s="826">
        <v>531</v>
      </c>
      <c r="M3049" s="1246">
        <v>0.54</v>
      </c>
      <c r="N3049" s="1246">
        <v>1.94</v>
      </c>
      <c r="O3049" s="1246">
        <v>5.57</v>
      </c>
      <c r="P3049" s="1246">
        <v>2.83</v>
      </c>
      <c r="Q3049" s="826"/>
      <c r="R3049" s="828">
        <v>1.2109868882474943</v>
      </c>
      <c r="S3049" s="827">
        <v>8.23</v>
      </c>
      <c r="T3049" s="826"/>
      <c r="U3049" s="826"/>
      <c r="V3049" s="826"/>
      <c r="W3049" s="826"/>
      <c r="X3049" s="826"/>
      <c r="Y3049" s="827">
        <v>29.4</v>
      </c>
      <c r="Z3049" s="826"/>
      <c r="AA3049" s="828">
        <v>4.0599999999999996</v>
      </c>
      <c r="AB3049" s="828">
        <v>0.312</v>
      </c>
      <c r="AC3049" s="826">
        <v>11</v>
      </c>
      <c r="AD3049" s="830">
        <v>490</v>
      </c>
      <c r="AE3049" s="830">
        <v>370</v>
      </c>
      <c r="AF3049" s="830">
        <v>140</v>
      </c>
      <c r="AG3049" s="66">
        <f t="shared" si="118"/>
        <v>80.793877551020415</v>
      </c>
      <c r="AH3049" s="143">
        <f t="shared" si="119"/>
        <v>1000</v>
      </c>
    </row>
    <row r="3050" spans="1:34" x14ac:dyDescent="0.3">
      <c r="A3050" s="826">
        <v>905415</v>
      </c>
      <c r="B3050" s="827">
        <v>1.9</v>
      </c>
      <c r="C3050" s="1228"/>
      <c r="D3050" s="828">
        <v>8.65</v>
      </c>
      <c r="E3050" s="1572">
        <v>0.35399999999999998</v>
      </c>
      <c r="F3050" s="829">
        <v>389.40000000000003</v>
      </c>
      <c r="G3050" s="826"/>
      <c r="H3050" s="829">
        <v>59.96</v>
      </c>
      <c r="I3050" s="829">
        <v>243</v>
      </c>
      <c r="J3050" s="1246">
        <v>0.39900000000000002</v>
      </c>
      <c r="K3050" s="1246">
        <v>5.99</v>
      </c>
      <c r="L3050" s="826">
        <v>817</v>
      </c>
      <c r="M3050" s="1246">
        <v>1.83</v>
      </c>
      <c r="N3050" s="1246">
        <v>1.51</v>
      </c>
      <c r="O3050" s="1246">
        <v>12.5</v>
      </c>
      <c r="P3050" s="1246">
        <v>3.89</v>
      </c>
      <c r="Q3050" s="826"/>
      <c r="R3050" s="828">
        <v>1.5720036800000001</v>
      </c>
      <c r="S3050" s="827">
        <v>10.24</v>
      </c>
      <c r="T3050" s="826"/>
      <c r="U3050" s="826"/>
      <c r="V3050" s="826"/>
      <c r="W3050" s="826"/>
      <c r="X3050" s="826"/>
      <c r="Y3050" s="827">
        <v>30</v>
      </c>
      <c r="Z3050" s="826"/>
      <c r="AA3050" s="828">
        <v>4.82</v>
      </c>
      <c r="AB3050" s="828">
        <v>0.27500000000000002</v>
      </c>
      <c r="AC3050" s="826">
        <v>8.6999999999999993</v>
      </c>
      <c r="AD3050" s="830">
        <v>500</v>
      </c>
      <c r="AE3050" s="830">
        <v>360</v>
      </c>
      <c r="AF3050" s="830">
        <v>140</v>
      </c>
      <c r="AG3050" s="66">
        <f t="shared" si="118"/>
        <v>70.682000000000002</v>
      </c>
      <c r="AH3050" s="143">
        <f t="shared" si="119"/>
        <v>1000</v>
      </c>
    </row>
    <row r="3051" spans="1:34" x14ac:dyDescent="0.3">
      <c r="A3051" s="826">
        <v>905416</v>
      </c>
      <c r="B3051" s="827">
        <v>22.5</v>
      </c>
      <c r="C3051" s="827">
        <v>10.87</v>
      </c>
      <c r="D3051" s="828">
        <v>8.41</v>
      </c>
      <c r="E3051" s="1572">
        <v>0.38200000000000001</v>
      </c>
      <c r="F3051" s="829">
        <v>420.20000000000005</v>
      </c>
      <c r="G3051" s="826"/>
      <c r="H3051" s="829">
        <v>14.91</v>
      </c>
      <c r="I3051" s="829">
        <v>238</v>
      </c>
      <c r="J3051" s="1246">
        <v>0.38100000000000001</v>
      </c>
      <c r="K3051" s="1246">
        <v>8.1999999999999993</v>
      </c>
      <c r="L3051" s="826">
        <v>1036</v>
      </c>
      <c r="M3051" s="1246">
        <v>1.45</v>
      </c>
      <c r="N3051" s="1246">
        <v>0.82</v>
      </c>
      <c r="O3051" s="1246">
        <v>7</v>
      </c>
      <c r="P3051" s="1246">
        <v>3.79</v>
      </c>
      <c r="Q3051" s="826"/>
      <c r="R3051" s="828">
        <v>1.7152482500000001</v>
      </c>
      <c r="S3051" s="827">
        <v>14.05</v>
      </c>
      <c r="T3051" s="826"/>
      <c r="U3051" s="826"/>
      <c r="V3051" s="826"/>
      <c r="W3051" s="826"/>
      <c r="X3051" s="826"/>
      <c r="Y3051" s="827">
        <v>31.2</v>
      </c>
      <c r="Z3051" s="826"/>
      <c r="AA3051" s="828">
        <v>3.94</v>
      </c>
      <c r="AB3051" s="828">
        <v>0.55000000000000004</v>
      </c>
      <c r="AC3051" s="826">
        <v>12</v>
      </c>
      <c r="AD3051" s="830">
        <v>520</v>
      </c>
      <c r="AE3051" s="830">
        <v>320</v>
      </c>
      <c r="AF3051" s="830">
        <v>160</v>
      </c>
      <c r="AG3051" s="66">
        <f t="shared" si="118"/>
        <v>93.038461538461533</v>
      </c>
      <c r="AH3051" s="143">
        <f t="shared" si="119"/>
        <v>1000</v>
      </c>
    </row>
    <row r="3052" spans="1:34" x14ac:dyDescent="0.3">
      <c r="A3052" s="826">
        <v>905417</v>
      </c>
      <c r="B3052" s="827">
        <v>0.1</v>
      </c>
      <c r="C3052" s="1228"/>
      <c r="D3052" s="828">
        <v>7.6</v>
      </c>
      <c r="E3052" s="1572">
        <v>0.17100000000000001</v>
      </c>
      <c r="F3052" s="829">
        <v>188.10000000000002</v>
      </c>
      <c r="G3052" s="826"/>
      <c r="H3052" s="829">
        <v>15.84</v>
      </c>
      <c r="I3052" s="829">
        <v>81</v>
      </c>
      <c r="J3052" s="1246">
        <v>4.2000000000000003E-2</v>
      </c>
      <c r="K3052" s="1246">
        <v>1.21</v>
      </c>
      <c r="L3052" s="826">
        <v>88</v>
      </c>
      <c r="M3052" s="1246">
        <v>0.36</v>
      </c>
      <c r="N3052" s="1246">
        <v>0.2</v>
      </c>
      <c r="O3052" s="1246">
        <v>4.8099999999999996</v>
      </c>
      <c r="P3052" s="1246">
        <v>17</v>
      </c>
      <c r="Q3052" s="826"/>
      <c r="R3052" s="828">
        <v>0.65943338740180923</v>
      </c>
      <c r="S3052" s="827">
        <v>4.3</v>
      </c>
      <c r="T3052" s="826"/>
      <c r="U3052" s="826"/>
      <c r="V3052" s="826"/>
      <c r="W3052" s="826"/>
      <c r="X3052" s="826"/>
      <c r="Y3052" s="827">
        <v>4</v>
      </c>
      <c r="Z3052" s="826"/>
      <c r="AA3052" s="828"/>
      <c r="AB3052" s="828"/>
      <c r="AC3052" s="826"/>
      <c r="AD3052" s="830">
        <v>80</v>
      </c>
      <c r="AE3052" s="830">
        <v>60</v>
      </c>
      <c r="AF3052" s="830">
        <v>860</v>
      </c>
      <c r="AG3052" s="66">
        <f t="shared" si="118"/>
        <v>107.08500000000001</v>
      </c>
      <c r="AH3052" s="143">
        <f t="shared" si="119"/>
        <v>1000</v>
      </c>
    </row>
    <row r="3053" spans="1:34" x14ac:dyDescent="0.3">
      <c r="A3053" s="826">
        <v>905418</v>
      </c>
      <c r="B3053" s="827">
        <v>0.1</v>
      </c>
      <c r="C3053" s="1228"/>
      <c r="D3053" s="828">
        <v>7.37</v>
      </c>
      <c r="E3053" s="1572">
        <v>7.0999999999999994E-2</v>
      </c>
      <c r="F3053" s="829">
        <v>78.100000000000009</v>
      </c>
      <c r="G3053" s="826"/>
      <c r="H3053" s="829">
        <v>10.199999999999999</v>
      </c>
      <c r="I3053" s="829">
        <v>22</v>
      </c>
      <c r="J3053" s="1246">
        <v>2.5000000000000001E-2</v>
      </c>
      <c r="K3053" s="1246">
        <v>0.34</v>
      </c>
      <c r="L3053" s="826">
        <v>63</v>
      </c>
      <c r="M3053" s="1246">
        <v>0.13</v>
      </c>
      <c r="N3053" s="1246">
        <v>0.42</v>
      </c>
      <c r="O3053" s="1246">
        <v>10.02</v>
      </c>
      <c r="P3053" s="1246">
        <v>37.18</v>
      </c>
      <c r="Q3053" s="826"/>
      <c r="R3053" s="828">
        <v>0.27362304731098142</v>
      </c>
      <c r="S3053" s="827">
        <v>2.0499999999999998</v>
      </c>
      <c r="T3053" s="826"/>
      <c r="U3053" s="826"/>
      <c r="V3053" s="826"/>
      <c r="W3053" s="826"/>
      <c r="X3053" s="826"/>
      <c r="Y3053" s="827">
        <v>3</v>
      </c>
      <c r="Z3053" s="826"/>
      <c r="AA3053" s="828"/>
      <c r="AB3053" s="828"/>
      <c r="AC3053" s="826"/>
      <c r="AD3053" s="830">
        <v>60</v>
      </c>
      <c r="AE3053" s="830">
        <v>80</v>
      </c>
      <c r="AF3053" s="830">
        <v>860</v>
      </c>
      <c r="AG3053" s="66">
        <f t="shared" si="118"/>
        <v>40.119999999999997</v>
      </c>
      <c r="AH3053" s="143">
        <f t="shared" si="119"/>
        <v>1000</v>
      </c>
    </row>
    <row r="3054" spans="1:34" x14ac:dyDescent="0.3">
      <c r="A3054" s="826">
        <v>905419</v>
      </c>
      <c r="B3054" s="827">
        <v>0.1</v>
      </c>
      <c r="C3054" s="1228"/>
      <c r="D3054" s="828">
        <v>8.02</v>
      </c>
      <c r="E3054" s="1572">
        <v>0.13200000000000001</v>
      </c>
      <c r="F3054" s="829">
        <v>145.20000000000002</v>
      </c>
      <c r="G3054" s="826"/>
      <c r="H3054" s="829">
        <v>3.77</v>
      </c>
      <c r="I3054" s="829">
        <v>42</v>
      </c>
      <c r="J3054" s="1246">
        <v>0.123</v>
      </c>
      <c r="K3054" s="1246">
        <v>1.23</v>
      </c>
      <c r="L3054" s="826">
        <v>372</v>
      </c>
      <c r="M3054" s="1246">
        <v>0.11</v>
      </c>
      <c r="N3054" s="1246">
        <v>0.1</v>
      </c>
      <c r="O3054" s="1246">
        <v>2.2999999999999998</v>
      </c>
      <c r="P3054" s="1246">
        <v>9.5500000000000007</v>
      </c>
      <c r="Q3054" s="826"/>
      <c r="R3054" s="828">
        <v>0.39630530715878876</v>
      </c>
      <c r="S3054" s="827">
        <v>2.75</v>
      </c>
      <c r="T3054" s="826"/>
      <c r="U3054" s="826"/>
      <c r="V3054" s="826"/>
      <c r="W3054" s="826"/>
      <c r="X3054" s="826"/>
      <c r="Y3054" s="827">
        <v>22</v>
      </c>
      <c r="Z3054" s="826"/>
      <c r="AA3054" s="828"/>
      <c r="AB3054" s="828"/>
      <c r="AC3054" s="826"/>
      <c r="AD3054" s="830">
        <v>440</v>
      </c>
      <c r="AE3054" s="830">
        <v>280</v>
      </c>
      <c r="AF3054" s="830">
        <v>280</v>
      </c>
      <c r="AG3054" s="66">
        <f t="shared" si="118"/>
        <v>19.791818181818179</v>
      </c>
      <c r="AH3054" s="143">
        <f t="shared" si="119"/>
        <v>1000</v>
      </c>
    </row>
    <row r="3055" spans="1:34" x14ac:dyDescent="0.3">
      <c r="A3055" s="826">
        <v>905420</v>
      </c>
      <c r="B3055" s="827">
        <v>5.4</v>
      </c>
      <c r="C3055" s="1228"/>
      <c r="D3055" s="828">
        <v>8.58</v>
      </c>
      <c r="E3055" s="1572">
        <v>0.153</v>
      </c>
      <c r="F3055" s="829">
        <v>168.3</v>
      </c>
      <c r="G3055" s="826"/>
      <c r="H3055" s="829">
        <v>25.5</v>
      </c>
      <c r="I3055" s="829">
        <v>95</v>
      </c>
      <c r="J3055" s="1246">
        <v>4.2999999999999997E-2</v>
      </c>
      <c r="K3055" s="1246">
        <v>4.95</v>
      </c>
      <c r="L3055" s="826">
        <v>528</v>
      </c>
      <c r="M3055" s="1246">
        <v>1.65</v>
      </c>
      <c r="N3055" s="1246">
        <v>0.66</v>
      </c>
      <c r="O3055" s="1246">
        <v>0.51</v>
      </c>
      <c r="P3055" s="1246">
        <v>1.77</v>
      </c>
      <c r="Q3055" s="826"/>
      <c r="R3055" s="828">
        <v>0.69697710233927246</v>
      </c>
      <c r="S3055" s="827">
        <v>5.16</v>
      </c>
      <c r="T3055" s="826"/>
      <c r="U3055" s="826"/>
      <c r="V3055" s="826"/>
      <c r="W3055" s="826"/>
      <c r="X3055" s="826"/>
      <c r="Y3055" s="827">
        <v>3</v>
      </c>
      <c r="Z3055" s="826"/>
      <c r="AA3055" s="828"/>
      <c r="AB3055" s="828"/>
      <c r="AC3055" s="826"/>
      <c r="AD3055" s="830">
        <v>60</v>
      </c>
      <c r="AE3055" s="830">
        <v>60</v>
      </c>
      <c r="AF3055" s="830">
        <v>880</v>
      </c>
      <c r="AG3055" s="66">
        <f t="shared" si="118"/>
        <v>584.1</v>
      </c>
      <c r="AH3055" s="143">
        <f t="shared" si="119"/>
        <v>1000</v>
      </c>
    </row>
    <row r="3056" spans="1:34" x14ac:dyDescent="0.3">
      <c r="A3056" s="826">
        <v>905421</v>
      </c>
      <c r="B3056" s="827">
        <v>3.6</v>
      </c>
      <c r="C3056" s="1228"/>
      <c r="D3056" s="828">
        <v>8.8000000000000007</v>
      </c>
      <c r="E3056" s="1572">
        <v>0.14799999999999999</v>
      </c>
      <c r="F3056" s="829">
        <v>162.80000000000001</v>
      </c>
      <c r="G3056" s="826"/>
      <c r="H3056" s="829">
        <v>30.35</v>
      </c>
      <c r="I3056" s="829">
        <v>126</v>
      </c>
      <c r="J3056" s="1246">
        <v>3.2000000000000001E-2</v>
      </c>
      <c r="K3056" s="1246">
        <v>6.11</v>
      </c>
      <c r="L3056" s="826">
        <v>509</v>
      </c>
      <c r="M3056" s="1246">
        <v>0.84</v>
      </c>
      <c r="N3056" s="1246">
        <v>0.32</v>
      </c>
      <c r="O3056" s="1246">
        <v>0.66</v>
      </c>
      <c r="P3056" s="1246">
        <v>1.81</v>
      </c>
      <c r="Q3056" s="826"/>
      <c r="R3056" s="828">
        <v>0.43514845635135774</v>
      </c>
      <c r="S3056" s="827">
        <v>3.06</v>
      </c>
      <c r="T3056" s="826"/>
      <c r="U3056" s="826"/>
      <c r="V3056" s="826"/>
      <c r="W3056" s="826"/>
      <c r="X3056" s="826"/>
      <c r="Y3056" s="827">
        <v>3.6</v>
      </c>
      <c r="Z3056" s="826"/>
      <c r="AA3056" s="828"/>
      <c r="AB3056" s="828"/>
      <c r="AC3056" s="826"/>
      <c r="AD3056" s="830">
        <v>60</v>
      </c>
      <c r="AE3056" s="830">
        <v>60</v>
      </c>
      <c r="AF3056" s="830">
        <v>880</v>
      </c>
      <c r="AG3056" s="66">
        <f t="shared" si="118"/>
        <v>600.81666666666672</v>
      </c>
      <c r="AH3056" s="143">
        <f t="shared" si="119"/>
        <v>1000</v>
      </c>
    </row>
    <row r="3057" spans="1:34" x14ac:dyDescent="0.3">
      <c r="A3057" s="826">
        <v>203000</v>
      </c>
      <c r="B3057" s="827">
        <v>10</v>
      </c>
      <c r="C3057" s="827">
        <v>5.6250000000000018</v>
      </c>
      <c r="D3057" s="828">
        <v>8.17</v>
      </c>
      <c r="E3057" s="1572">
        <v>0.27</v>
      </c>
      <c r="F3057" s="829">
        <v>297</v>
      </c>
      <c r="G3057" s="826"/>
      <c r="H3057" s="829">
        <v>174.27</v>
      </c>
      <c r="I3057" s="829">
        <v>390</v>
      </c>
      <c r="J3057" s="1246">
        <v>1.7000000000000001E-2</v>
      </c>
      <c r="K3057" s="1246">
        <v>7.14</v>
      </c>
      <c r="L3057" s="826">
        <v>203</v>
      </c>
      <c r="M3057" s="1246">
        <v>3.24</v>
      </c>
      <c r="N3057" s="1246">
        <v>4.54</v>
      </c>
      <c r="O3057" s="1246">
        <v>3.44</v>
      </c>
      <c r="P3057" s="1246">
        <v>5.93</v>
      </c>
      <c r="Q3057" s="826"/>
      <c r="R3057" s="828">
        <v>0.72865185789277531</v>
      </c>
      <c r="S3057" s="827">
        <v>4.74</v>
      </c>
      <c r="T3057" s="826"/>
      <c r="U3057" s="826"/>
      <c r="V3057" s="826"/>
      <c r="W3057" s="826"/>
      <c r="X3057" s="826"/>
      <c r="Y3057" s="827">
        <v>4.2</v>
      </c>
      <c r="Z3057" s="826"/>
      <c r="AA3057" s="828"/>
      <c r="AB3057" s="828"/>
      <c r="AC3057" s="826"/>
      <c r="AD3057" s="830">
        <v>60</v>
      </c>
      <c r="AE3057" s="830">
        <v>80</v>
      </c>
      <c r="AF3057" s="830">
        <v>860</v>
      </c>
      <c r="AG3057" s="66">
        <f t="shared" si="118"/>
        <v>601.79999999999995</v>
      </c>
      <c r="AH3057" s="143">
        <f t="shared" si="119"/>
        <v>1000</v>
      </c>
    </row>
    <row r="3058" spans="1:34" x14ac:dyDescent="0.3">
      <c r="A3058" s="826">
        <v>203001</v>
      </c>
      <c r="B3058" s="827">
        <v>20.8</v>
      </c>
      <c r="C3058" s="827">
        <v>11.500000000000002</v>
      </c>
      <c r="D3058" s="828">
        <v>7.91</v>
      </c>
      <c r="E3058" s="1572">
        <v>0.82599999999999996</v>
      </c>
      <c r="F3058" s="829">
        <v>908.6</v>
      </c>
      <c r="G3058" s="826"/>
      <c r="H3058" s="829">
        <v>43.71</v>
      </c>
      <c r="I3058" s="829">
        <v>175</v>
      </c>
      <c r="J3058" s="1246">
        <v>0.48599999999999999</v>
      </c>
      <c r="K3058" s="1246">
        <v>11.91</v>
      </c>
      <c r="L3058" s="826">
        <v>836</v>
      </c>
      <c r="M3058" s="1246">
        <v>0.61</v>
      </c>
      <c r="N3058" s="1246">
        <v>0.88</v>
      </c>
      <c r="O3058" s="1246">
        <v>5.42</v>
      </c>
      <c r="P3058" s="1246">
        <v>2.71</v>
      </c>
      <c r="Q3058" s="826"/>
      <c r="R3058" s="828">
        <v>1.69760825</v>
      </c>
      <c r="S3058" s="827">
        <v>13.55</v>
      </c>
      <c r="T3058" s="826"/>
      <c r="U3058" s="826"/>
      <c r="V3058" s="826"/>
      <c r="W3058" s="826"/>
      <c r="X3058" s="826"/>
      <c r="Y3058" s="827">
        <v>34.299999999999997</v>
      </c>
      <c r="Z3058" s="826"/>
      <c r="AA3058" s="828">
        <v>4.76</v>
      </c>
      <c r="AB3058" s="828">
        <v>0.878</v>
      </c>
      <c r="AC3058" s="826">
        <v>8.5</v>
      </c>
      <c r="AD3058" s="830">
        <v>490</v>
      </c>
      <c r="AE3058" s="830">
        <v>350</v>
      </c>
      <c r="AF3058" s="830">
        <v>160</v>
      </c>
      <c r="AG3058" s="66">
        <f t="shared" si="118"/>
        <v>122.91953352769681</v>
      </c>
      <c r="AH3058" s="143">
        <f t="shared" si="119"/>
        <v>1000</v>
      </c>
    </row>
    <row r="3059" spans="1:34" x14ac:dyDescent="0.3">
      <c r="A3059" s="826">
        <v>203002</v>
      </c>
      <c r="B3059" s="827">
        <v>21.7</v>
      </c>
      <c r="C3059" s="827">
        <v>12.000000000000002</v>
      </c>
      <c r="D3059" s="828">
        <v>7.72</v>
      </c>
      <c r="E3059" s="1572">
        <v>1.3</v>
      </c>
      <c r="F3059" s="829">
        <v>1430.0000000000002</v>
      </c>
      <c r="G3059" s="826"/>
      <c r="H3059" s="829">
        <v>63.12</v>
      </c>
      <c r="I3059" s="829">
        <v>314</v>
      </c>
      <c r="J3059" s="1246">
        <v>0.69099999999999995</v>
      </c>
      <c r="K3059" s="1246">
        <v>12.38</v>
      </c>
      <c r="L3059" s="826">
        <v>797</v>
      </c>
      <c r="M3059" s="1246">
        <v>0.7</v>
      </c>
      <c r="N3059" s="1246">
        <v>0.69</v>
      </c>
      <c r="O3059" s="1246">
        <v>6.09</v>
      </c>
      <c r="P3059" s="1246">
        <v>2.29</v>
      </c>
      <c r="Q3059" s="826"/>
      <c r="R3059" s="828">
        <v>1.8625370000000001</v>
      </c>
      <c r="S3059" s="827">
        <v>18.7</v>
      </c>
      <c r="T3059" s="826"/>
      <c r="U3059" s="826"/>
      <c r="V3059" s="826"/>
      <c r="W3059" s="826"/>
      <c r="X3059" s="826"/>
      <c r="Y3059" s="827">
        <v>25</v>
      </c>
      <c r="Z3059" s="826"/>
      <c r="AA3059" s="828">
        <v>4.78</v>
      </c>
      <c r="AB3059" s="828">
        <v>0.35199999999999998</v>
      </c>
      <c r="AC3059" s="826">
        <v>6.6</v>
      </c>
      <c r="AD3059" s="830">
        <v>500</v>
      </c>
      <c r="AE3059" s="830">
        <v>350</v>
      </c>
      <c r="AF3059" s="830">
        <v>150</v>
      </c>
      <c r="AG3059" s="66">
        <f t="shared" si="118"/>
        <v>175.30080000000001</v>
      </c>
      <c r="AH3059" s="143">
        <f t="shared" si="119"/>
        <v>1000</v>
      </c>
    </row>
    <row r="3060" spans="1:34" x14ac:dyDescent="0.3">
      <c r="A3060" s="140">
        <v>203003</v>
      </c>
      <c r="B3060" s="138">
        <v>31</v>
      </c>
      <c r="C3060" s="138">
        <v>12.88</v>
      </c>
      <c r="D3060" s="152">
        <v>8.6300000000000008</v>
      </c>
      <c r="E3060" s="752">
        <v>0.47799999999999998</v>
      </c>
      <c r="F3060" s="142">
        <v>525.80000000000007</v>
      </c>
      <c r="H3060" s="142">
        <v>91.86</v>
      </c>
      <c r="I3060" s="142">
        <v>267</v>
      </c>
      <c r="J3060" s="141">
        <v>0.45200000000000001</v>
      </c>
      <c r="K3060" s="138">
        <v>11.11</v>
      </c>
      <c r="L3060" s="140">
        <v>1810</v>
      </c>
      <c r="M3060" s="140">
        <v>1.29</v>
      </c>
      <c r="N3060" s="140">
        <v>0.49</v>
      </c>
      <c r="O3060" s="140">
        <v>6.47</v>
      </c>
      <c r="P3060" s="140">
        <v>4.01</v>
      </c>
      <c r="R3060" s="139">
        <v>1.79536388</v>
      </c>
      <c r="S3060" s="138">
        <v>16.46</v>
      </c>
      <c r="Y3060" s="138">
        <v>32.299999999999997</v>
      </c>
      <c r="AA3060" s="139">
        <v>4.87</v>
      </c>
      <c r="AB3060" s="139">
        <v>0.45600000000000002</v>
      </c>
      <c r="AC3060" s="140">
        <v>6.6</v>
      </c>
      <c r="AD3060" s="70">
        <v>540</v>
      </c>
      <c r="AE3060" s="70">
        <v>320</v>
      </c>
      <c r="AF3060" s="70">
        <v>140</v>
      </c>
      <c r="AG3060" s="66">
        <f t="shared" si="118"/>
        <v>121.76284829721364</v>
      </c>
      <c r="AH3060" s="143">
        <f t="shared" si="119"/>
        <v>1000</v>
      </c>
    </row>
    <row r="3061" spans="1:34" x14ac:dyDescent="0.3">
      <c r="A3061" s="140">
        <v>203004</v>
      </c>
      <c r="B3061" s="138">
        <v>36.200000000000003</v>
      </c>
      <c r="C3061" s="138">
        <v>12.75</v>
      </c>
      <c r="D3061" s="152">
        <v>8.67</v>
      </c>
      <c r="E3061" s="752">
        <v>0.51200000000000001</v>
      </c>
      <c r="F3061" s="142">
        <v>563.20000000000005</v>
      </c>
      <c r="H3061" s="142">
        <v>60.99</v>
      </c>
      <c r="I3061" s="142">
        <v>279</v>
      </c>
      <c r="J3061" s="141">
        <v>0.58599999999999997</v>
      </c>
      <c r="K3061" s="138">
        <v>10.93</v>
      </c>
      <c r="L3061" s="140">
        <v>1840</v>
      </c>
      <c r="M3061" s="140">
        <v>1.04</v>
      </c>
      <c r="N3061" s="140">
        <v>0.81</v>
      </c>
      <c r="O3061" s="140">
        <v>6.76</v>
      </c>
      <c r="P3061" s="140">
        <v>4.3</v>
      </c>
      <c r="R3061" s="139">
        <v>1.80880353</v>
      </c>
      <c r="S3061" s="138">
        <v>16.89</v>
      </c>
      <c r="Y3061" s="138">
        <v>30.2</v>
      </c>
      <c r="AA3061" s="139">
        <v>3.79</v>
      </c>
      <c r="AB3061" s="139">
        <v>0.66300000000000003</v>
      </c>
      <c r="AC3061" s="140">
        <v>9.8000000000000007</v>
      </c>
      <c r="AD3061" s="70">
        <v>550</v>
      </c>
      <c r="AE3061" s="70">
        <v>330</v>
      </c>
      <c r="AF3061" s="70">
        <v>120</v>
      </c>
      <c r="AG3061" s="66">
        <f t="shared" si="118"/>
        <v>128.11986754966887</v>
      </c>
      <c r="AH3061" s="143">
        <f t="shared" si="119"/>
        <v>1000</v>
      </c>
    </row>
    <row r="3062" spans="1:34" x14ac:dyDescent="0.3">
      <c r="A3062" s="140">
        <v>203005</v>
      </c>
      <c r="B3062" s="138">
        <v>0.8</v>
      </c>
      <c r="D3062" s="152">
        <v>8.5500000000000007</v>
      </c>
      <c r="E3062" s="752">
        <v>0.58299999999999996</v>
      </c>
      <c r="F3062" s="142">
        <v>641.29999999999995</v>
      </c>
      <c r="H3062" s="142">
        <v>50.16</v>
      </c>
      <c r="I3062" s="142">
        <v>204</v>
      </c>
      <c r="J3062" s="141">
        <v>0.755</v>
      </c>
      <c r="K3062" s="138">
        <v>3.71</v>
      </c>
      <c r="L3062" s="140">
        <v>1380</v>
      </c>
      <c r="M3062" s="140">
        <v>0.38</v>
      </c>
      <c r="N3062" s="140">
        <v>1.48</v>
      </c>
      <c r="O3062" s="140">
        <v>9.86</v>
      </c>
      <c r="P3062" s="140">
        <v>2.73</v>
      </c>
      <c r="R3062" s="139">
        <v>1.3575661414667624</v>
      </c>
      <c r="S3062" s="138">
        <v>9.5299999999999994</v>
      </c>
      <c r="Y3062" s="138">
        <v>30.1</v>
      </c>
      <c r="AA3062" s="139">
        <v>4.03</v>
      </c>
      <c r="AB3062" s="139">
        <v>0.313</v>
      </c>
      <c r="AC3062" s="140">
        <v>11.9</v>
      </c>
      <c r="AD3062" s="70">
        <v>560</v>
      </c>
      <c r="AE3062" s="70">
        <v>320</v>
      </c>
      <c r="AF3062" s="70">
        <v>120</v>
      </c>
      <c r="AG3062" s="66">
        <f t="shared" si="118"/>
        <v>43.632558139534879</v>
      </c>
      <c r="AH3062" s="143">
        <f t="shared" si="119"/>
        <v>1000</v>
      </c>
    </row>
    <row r="3063" spans="1:34" x14ac:dyDescent="0.3">
      <c r="A3063" s="140">
        <v>203006</v>
      </c>
      <c r="B3063" s="138">
        <v>0.7</v>
      </c>
      <c r="D3063" s="152">
        <v>8.42</v>
      </c>
      <c r="E3063" s="752">
        <v>0.88500000000000001</v>
      </c>
      <c r="F3063" s="142">
        <v>973.50000000000011</v>
      </c>
      <c r="H3063" s="142">
        <v>46.97</v>
      </c>
      <c r="I3063" s="142">
        <v>274</v>
      </c>
      <c r="J3063" s="141">
        <v>0.88400000000000001</v>
      </c>
      <c r="K3063" s="138">
        <v>3.28</v>
      </c>
      <c r="L3063" s="140">
        <v>1220</v>
      </c>
      <c r="M3063" s="140">
        <v>0.74</v>
      </c>
      <c r="N3063" s="140">
        <v>3</v>
      </c>
      <c r="O3063" s="140">
        <v>12.59</v>
      </c>
      <c r="P3063" s="140">
        <v>2.39</v>
      </c>
      <c r="R3063" s="139">
        <v>1.3883611826093101</v>
      </c>
      <c r="S3063" s="138">
        <v>9.66</v>
      </c>
      <c r="Y3063" s="138">
        <v>27</v>
      </c>
      <c r="AA3063" s="139">
        <v>3.67</v>
      </c>
      <c r="AB3063" s="139">
        <v>0.73799999999999999</v>
      </c>
      <c r="AC3063" s="140">
        <v>11.9</v>
      </c>
      <c r="AD3063" s="70">
        <v>540</v>
      </c>
      <c r="AE3063" s="70">
        <v>300</v>
      </c>
      <c r="AF3063" s="70">
        <v>160</v>
      </c>
      <c r="AG3063" s="66">
        <f t="shared" si="118"/>
        <v>43.004444444444452</v>
      </c>
      <c r="AH3063" s="143">
        <f t="shared" si="119"/>
        <v>1000</v>
      </c>
    </row>
    <row r="3064" spans="1:34" x14ac:dyDescent="0.3">
      <c r="A3064" s="140">
        <v>203007</v>
      </c>
      <c r="B3064" s="138">
        <v>0.1</v>
      </c>
      <c r="D3064" s="152">
        <v>8.6300000000000008</v>
      </c>
      <c r="E3064" s="752">
        <v>0.503</v>
      </c>
      <c r="F3064" s="142">
        <v>553.30000000000007</v>
      </c>
      <c r="H3064" s="142">
        <v>22.66</v>
      </c>
      <c r="I3064" s="142">
        <v>157</v>
      </c>
      <c r="J3064" s="141">
        <v>0.56999999999999995</v>
      </c>
      <c r="K3064" s="138">
        <v>2.44</v>
      </c>
      <c r="L3064" s="140">
        <v>620</v>
      </c>
      <c r="M3064" s="140">
        <v>0.49</v>
      </c>
      <c r="N3064" s="140">
        <v>0.8</v>
      </c>
      <c r="O3064" s="140">
        <v>5.75</v>
      </c>
      <c r="P3064" s="140">
        <v>3.17</v>
      </c>
      <c r="R3064" s="139">
        <v>1.1729322721185256</v>
      </c>
      <c r="S3064" s="138">
        <v>7.8800000000000008</v>
      </c>
      <c r="Y3064" s="138">
        <v>31.2</v>
      </c>
      <c r="AA3064" s="139">
        <v>4.42</v>
      </c>
      <c r="AB3064" s="139">
        <v>0.45800000000000002</v>
      </c>
      <c r="AC3064" s="140">
        <v>8.1</v>
      </c>
      <c r="AD3064" s="70">
        <v>520</v>
      </c>
      <c r="AE3064" s="70">
        <v>300</v>
      </c>
      <c r="AF3064" s="70">
        <v>180</v>
      </c>
      <c r="AG3064" s="66">
        <f t="shared" si="118"/>
        <v>27.68461538461538</v>
      </c>
      <c r="AH3064" s="143">
        <f t="shared" si="119"/>
        <v>1000</v>
      </c>
    </row>
    <row r="3065" spans="1:34" x14ac:dyDescent="0.3">
      <c r="A3065" s="140">
        <v>203008</v>
      </c>
      <c r="B3065" s="138">
        <v>5.2</v>
      </c>
      <c r="D3065" s="152">
        <v>8.16</v>
      </c>
      <c r="E3065" s="752">
        <v>0.68200000000000005</v>
      </c>
      <c r="F3065" s="142">
        <v>750.2</v>
      </c>
      <c r="H3065" s="142">
        <v>45.3</v>
      </c>
      <c r="I3065" s="142">
        <v>192</v>
      </c>
      <c r="J3065" s="141">
        <v>0.33100000000000002</v>
      </c>
      <c r="K3065" s="138">
        <v>7.42</v>
      </c>
      <c r="L3065" s="140">
        <v>660</v>
      </c>
      <c r="M3065" s="140">
        <v>0.7</v>
      </c>
      <c r="N3065" s="140">
        <v>1.39</v>
      </c>
      <c r="O3065" s="140">
        <v>5.14</v>
      </c>
      <c r="P3065" s="140">
        <v>2.96</v>
      </c>
      <c r="R3065" s="139">
        <v>1.6682886800000001</v>
      </c>
      <c r="S3065" s="138">
        <v>12.74</v>
      </c>
      <c r="Y3065" s="138">
        <v>24.5</v>
      </c>
      <c r="AA3065" s="139">
        <v>3.86</v>
      </c>
      <c r="AB3065" s="139">
        <v>0.50900000000000001</v>
      </c>
      <c r="AC3065" s="140">
        <v>9.5</v>
      </c>
      <c r="AD3065" s="70">
        <v>490</v>
      </c>
      <c r="AE3065" s="70">
        <v>270</v>
      </c>
      <c r="AF3065" s="70">
        <v>240</v>
      </c>
      <c r="AG3065" s="66">
        <f t="shared" si="118"/>
        <v>107.21142857142857</v>
      </c>
      <c r="AH3065" s="143">
        <f t="shared" si="119"/>
        <v>1000</v>
      </c>
    </row>
    <row r="3066" spans="1:34" x14ac:dyDescent="0.3">
      <c r="A3066" s="140">
        <v>203009</v>
      </c>
      <c r="B3066" s="138">
        <v>9.4</v>
      </c>
      <c r="D3066" s="152">
        <v>8.33</v>
      </c>
      <c r="E3066" s="752">
        <v>0.56000000000000005</v>
      </c>
      <c r="F3066" s="142">
        <v>616.00000000000011</v>
      </c>
      <c r="H3066" s="142">
        <v>180.76</v>
      </c>
      <c r="I3066" s="142">
        <v>548</v>
      </c>
      <c r="J3066" s="141">
        <v>0.309</v>
      </c>
      <c r="K3066" s="138">
        <v>8.25</v>
      </c>
      <c r="L3066" s="140">
        <v>730</v>
      </c>
      <c r="M3066" s="140">
        <v>0.94</v>
      </c>
      <c r="N3066" s="140">
        <v>0.95</v>
      </c>
      <c r="O3066" s="140">
        <v>4.6500000000000004</v>
      </c>
      <c r="P3066" s="140">
        <v>1.99</v>
      </c>
      <c r="R3066" s="139">
        <v>1.67159177</v>
      </c>
      <c r="S3066" s="138">
        <v>12.829999999999998</v>
      </c>
      <c r="Y3066" s="138">
        <v>24</v>
      </c>
      <c r="AA3066" s="139">
        <v>4.21</v>
      </c>
      <c r="AB3066" s="139">
        <v>0.86299999999999999</v>
      </c>
      <c r="AC3066" s="140">
        <v>11.4</v>
      </c>
      <c r="AD3066" s="70">
        <v>480</v>
      </c>
      <c r="AE3066" s="70">
        <v>300</v>
      </c>
      <c r="AF3066" s="70">
        <v>220</v>
      </c>
      <c r="AG3066" s="66">
        <f t="shared" si="118"/>
        <v>121.6875</v>
      </c>
      <c r="AH3066" s="143">
        <f t="shared" si="119"/>
        <v>1000</v>
      </c>
    </row>
    <row r="3067" spans="1:34" x14ac:dyDescent="0.3">
      <c r="A3067" s="140">
        <v>203010</v>
      </c>
      <c r="B3067" s="138">
        <v>12.3</v>
      </c>
      <c r="C3067" s="138">
        <v>4.88</v>
      </c>
      <c r="D3067" s="152">
        <v>8.39</v>
      </c>
      <c r="E3067" s="752">
        <v>0.223</v>
      </c>
      <c r="F3067" s="142">
        <v>245.3</v>
      </c>
      <c r="H3067" s="142">
        <v>46.89</v>
      </c>
      <c r="I3067" s="142">
        <v>303</v>
      </c>
      <c r="J3067" s="141">
        <v>0.109</v>
      </c>
      <c r="K3067" s="138">
        <v>7.82</v>
      </c>
      <c r="L3067" s="140">
        <v>600</v>
      </c>
      <c r="M3067" s="140">
        <v>0.65</v>
      </c>
      <c r="N3067" s="140">
        <v>1.08</v>
      </c>
      <c r="O3067" s="140">
        <v>5.22</v>
      </c>
      <c r="P3067" s="140">
        <v>2.0099999999999998</v>
      </c>
      <c r="R3067" s="139">
        <v>1.6486071300000003</v>
      </c>
      <c r="S3067" s="138">
        <v>12.21</v>
      </c>
      <c r="Y3067" s="138">
        <v>29.4</v>
      </c>
      <c r="AA3067" s="139">
        <v>4.43</v>
      </c>
      <c r="AB3067" s="139">
        <v>0.751</v>
      </c>
      <c r="AC3067" s="140">
        <v>7.7</v>
      </c>
      <c r="AD3067" s="70">
        <v>490</v>
      </c>
      <c r="AE3067" s="70">
        <v>280</v>
      </c>
      <c r="AF3067" s="70">
        <v>230</v>
      </c>
      <c r="AG3067" s="66">
        <f t="shared" si="118"/>
        <v>94.1591836734694</v>
      </c>
      <c r="AH3067" s="143">
        <f t="shared" si="119"/>
        <v>1000</v>
      </c>
    </row>
    <row r="3068" spans="1:34" x14ac:dyDescent="0.3">
      <c r="A3068" s="140">
        <v>203011</v>
      </c>
      <c r="B3068" s="138">
        <v>13.8</v>
      </c>
      <c r="C3068" s="138">
        <v>6.25</v>
      </c>
      <c r="D3068" s="152">
        <v>8.17</v>
      </c>
      <c r="E3068" s="752">
        <v>0.24</v>
      </c>
      <c r="F3068" s="142">
        <v>264</v>
      </c>
      <c r="H3068" s="142">
        <v>25.87</v>
      </c>
      <c r="I3068" s="142">
        <v>443</v>
      </c>
      <c r="J3068" s="141">
        <v>0.115</v>
      </c>
      <c r="K3068" s="138">
        <v>9.99</v>
      </c>
      <c r="L3068" s="140">
        <v>690</v>
      </c>
      <c r="M3068" s="140">
        <v>0.99</v>
      </c>
      <c r="N3068" s="140">
        <v>0.94</v>
      </c>
      <c r="O3068" s="140">
        <v>6.35</v>
      </c>
      <c r="P3068" s="140">
        <v>1.77</v>
      </c>
      <c r="R3068" s="139">
        <v>1.66939097</v>
      </c>
      <c r="S3068" s="138">
        <v>12.77</v>
      </c>
      <c r="Y3068" s="138">
        <v>27</v>
      </c>
      <c r="AA3068" s="139">
        <v>3.88</v>
      </c>
      <c r="AB3068" s="139">
        <v>0.73699999999999999</v>
      </c>
      <c r="AC3068" s="140">
        <v>11</v>
      </c>
      <c r="AD3068" s="70">
        <v>540</v>
      </c>
      <c r="AE3068" s="70">
        <v>260</v>
      </c>
      <c r="AF3068" s="70">
        <v>200</v>
      </c>
      <c r="AG3068" s="66">
        <f t="shared" si="118"/>
        <v>130.98000000000002</v>
      </c>
      <c r="AH3068" s="143">
        <f t="shared" si="119"/>
        <v>1000</v>
      </c>
    </row>
    <row r="3069" spans="1:34" x14ac:dyDescent="0.3">
      <c r="A3069" s="140">
        <v>203012</v>
      </c>
      <c r="B3069" s="138">
        <v>0.3</v>
      </c>
      <c r="D3069" s="152">
        <v>8.15</v>
      </c>
      <c r="E3069" s="752">
        <v>0.154</v>
      </c>
      <c r="F3069" s="142">
        <v>169.40000000000003</v>
      </c>
      <c r="H3069" s="142">
        <v>16.34</v>
      </c>
      <c r="I3069" s="142">
        <v>125</v>
      </c>
      <c r="J3069" s="141">
        <v>0.18</v>
      </c>
      <c r="K3069" s="138">
        <v>1.83</v>
      </c>
      <c r="L3069" s="140">
        <v>520</v>
      </c>
      <c r="M3069" s="140">
        <v>0.35</v>
      </c>
      <c r="N3069" s="140">
        <v>0.55000000000000004</v>
      </c>
      <c r="O3069" s="140">
        <v>16.29</v>
      </c>
      <c r="P3069" s="140">
        <v>3.66</v>
      </c>
      <c r="R3069" s="139">
        <v>1.2478775189798952</v>
      </c>
      <c r="S3069" s="138">
        <v>8.4699999999999989</v>
      </c>
      <c r="Y3069" s="138">
        <v>9.6</v>
      </c>
      <c r="AA3069" s="139">
        <v>4.7300000000000004</v>
      </c>
      <c r="AB3069" s="139">
        <v>0.72499999999999998</v>
      </c>
      <c r="AC3069" s="140">
        <v>8.5</v>
      </c>
      <c r="AD3069" s="70">
        <v>160</v>
      </c>
      <c r="AE3069" s="70">
        <v>120</v>
      </c>
      <c r="AF3069" s="70">
        <v>720</v>
      </c>
      <c r="AG3069" s="66">
        <f t="shared" si="118"/>
        <v>67.481250000000003</v>
      </c>
      <c r="AH3069" s="143">
        <f t="shared" si="119"/>
        <v>1000</v>
      </c>
    </row>
    <row r="3070" spans="1:34" x14ac:dyDescent="0.3">
      <c r="A3070" s="140">
        <v>203013</v>
      </c>
      <c r="B3070" s="138">
        <v>19</v>
      </c>
      <c r="C3070" s="138">
        <v>8</v>
      </c>
      <c r="D3070" s="152">
        <v>8.2100000000000009</v>
      </c>
      <c r="E3070" s="752">
        <v>0.313</v>
      </c>
      <c r="F3070" s="142">
        <v>344.30000000000007</v>
      </c>
      <c r="H3070" s="142">
        <v>50.37</v>
      </c>
      <c r="I3070" s="142">
        <v>189</v>
      </c>
      <c r="J3070" s="141">
        <v>0.36099999999999999</v>
      </c>
      <c r="K3070" s="138">
        <v>10.09</v>
      </c>
      <c r="L3070" s="140">
        <v>1260</v>
      </c>
      <c r="M3070" s="140">
        <v>0.7</v>
      </c>
      <c r="N3070" s="140">
        <v>0.7</v>
      </c>
      <c r="O3070" s="140">
        <v>9.15</v>
      </c>
      <c r="P3070" s="140">
        <v>1.97</v>
      </c>
      <c r="R3070" s="139">
        <v>1.7568209700000001</v>
      </c>
      <c r="S3070" s="138">
        <v>15.27</v>
      </c>
      <c r="Y3070" s="138">
        <v>25</v>
      </c>
      <c r="AA3070" s="139">
        <v>4.01</v>
      </c>
      <c r="AB3070" s="139">
        <v>0.85499999999999998</v>
      </c>
      <c r="AC3070" s="140">
        <v>11.1</v>
      </c>
      <c r="AD3070" s="70">
        <v>500</v>
      </c>
      <c r="AE3070" s="70">
        <v>320</v>
      </c>
      <c r="AF3070" s="70">
        <v>180</v>
      </c>
      <c r="AG3070" s="66">
        <f t="shared" si="118"/>
        <v>142.87440000000001</v>
      </c>
      <c r="AH3070" s="143">
        <f t="shared" si="119"/>
        <v>1000</v>
      </c>
    </row>
    <row r="3071" spans="1:34" x14ac:dyDescent="0.3">
      <c r="A3071" s="140">
        <v>203014</v>
      </c>
      <c r="B3071" s="138">
        <v>8.3000000000000007</v>
      </c>
      <c r="D3071" s="152">
        <v>8.3000000000000007</v>
      </c>
      <c r="E3071" s="752">
        <v>0.254</v>
      </c>
      <c r="F3071" s="142">
        <v>279.40000000000003</v>
      </c>
      <c r="H3071" s="142">
        <v>42.83</v>
      </c>
      <c r="I3071" s="142">
        <v>402</v>
      </c>
      <c r="J3071" s="141">
        <v>0.32600000000000001</v>
      </c>
      <c r="K3071" s="138">
        <v>10.34</v>
      </c>
      <c r="L3071" s="140">
        <v>1400</v>
      </c>
      <c r="M3071" s="140">
        <v>1.49</v>
      </c>
      <c r="N3071" s="140">
        <v>0.9</v>
      </c>
      <c r="O3071" s="140">
        <v>5.53</v>
      </c>
      <c r="P3071" s="140">
        <v>2.36</v>
      </c>
      <c r="R3071" s="139">
        <v>1.62354825</v>
      </c>
      <c r="S3071" s="138">
        <v>11.55</v>
      </c>
      <c r="Y3071" s="138">
        <v>30.6</v>
      </c>
      <c r="AA3071" s="139">
        <v>3.6</v>
      </c>
      <c r="AB3071" s="139">
        <v>0.74099999999999999</v>
      </c>
      <c r="AC3071" s="140">
        <v>9.1999999999999993</v>
      </c>
      <c r="AD3071" s="70">
        <v>510</v>
      </c>
      <c r="AE3071" s="70">
        <v>330</v>
      </c>
      <c r="AF3071" s="70">
        <v>160</v>
      </c>
      <c r="AG3071" s="66">
        <f t="shared" si="118"/>
        <v>119.61960784313726</v>
      </c>
      <c r="AH3071" s="143">
        <f t="shared" si="119"/>
        <v>1000</v>
      </c>
    </row>
    <row r="3072" spans="1:34" x14ac:dyDescent="0.3">
      <c r="A3072" s="140">
        <v>203015</v>
      </c>
      <c r="B3072" s="138">
        <v>0.3</v>
      </c>
      <c r="D3072" s="152">
        <v>6.08</v>
      </c>
      <c r="E3072" s="752">
        <v>6.4000000000000001E-2</v>
      </c>
      <c r="F3072" s="142">
        <v>70.400000000000006</v>
      </c>
      <c r="H3072" s="142">
        <v>21.83</v>
      </c>
      <c r="I3072" s="142">
        <v>66</v>
      </c>
      <c r="J3072" s="141">
        <v>0.17499999999999999</v>
      </c>
      <c r="K3072" s="138">
        <v>1.38</v>
      </c>
      <c r="L3072" s="140">
        <v>300</v>
      </c>
      <c r="M3072" s="140">
        <v>0.19</v>
      </c>
      <c r="N3072" s="140">
        <v>0.45</v>
      </c>
      <c r="O3072" s="140">
        <v>14.57</v>
      </c>
      <c r="P3072" s="140">
        <v>52.77</v>
      </c>
      <c r="R3072" s="139">
        <v>0.88537125534172145</v>
      </c>
      <c r="S3072" s="138">
        <v>6.32</v>
      </c>
      <c r="Y3072" s="138">
        <v>27</v>
      </c>
      <c r="Z3072" s="140">
        <v>4.96</v>
      </c>
      <c r="AD3072" s="70">
        <v>540</v>
      </c>
      <c r="AE3072" s="70">
        <v>200</v>
      </c>
      <c r="AF3072" s="70">
        <v>260</v>
      </c>
      <c r="AG3072" s="66">
        <f t="shared" si="118"/>
        <v>18.09333333333333</v>
      </c>
      <c r="AH3072" s="143">
        <f t="shared" si="119"/>
        <v>1000</v>
      </c>
    </row>
    <row r="3073" spans="1:34" x14ac:dyDescent="0.3">
      <c r="A3073" s="140">
        <v>203016</v>
      </c>
      <c r="B3073" s="138">
        <v>0.1</v>
      </c>
      <c r="D3073" s="152">
        <v>5.4</v>
      </c>
      <c r="E3073" s="752">
        <v>7.0999999999999994E-2</v>
      </c>
      <c r="F3073" s="142">
        <v>78.100000000000009</v>
      </c>
      <c r="H3073" s="142">
        <v>6.49</v>
      </c>
      <c r="I3073" s="142">
        <v>47</v>
      </c>
      <c r="J3073" s="141">
        <v>0.158</v>
      </c>
      <c r="K3073" s="138">
        <v>1.46</v>
      </c>
      <c r="L3073" s="140">
        <v>350</v>
      </c>
      <c r="M3073" s="140">
        <v>0.15</v>
      </c>
      <c r="N3073" s="140">
        <v>0.54</v>
      </c>
      <c r="O3073" s="140">
        <v>18.3</v>
      </c>
      <c r="P3073" s="140">
        <v>34.04</v>
      </c>
      <c r="R3073" s="139">
        <v>0.58883114548904114</v>
      </c>
      <c r="S3073" s="138">
        <v>3.8600000000000003</v>
      </c>
      <c r="Y3073" s="138">
        <v>37.1</v>
      </c>
      <c r="Z3073" s="140">
        <v>4.43</v>
      </c>
      <c r="AD3073" s="70">
        <v>530</v>
      </c>
      <c r="AE3073" s="70">
        <v>220</v>
      </c>
      <c r="AF3073" s="70">
        <v>250</v>
      </c>
      <c r="AG3073" s="66">
        <f t="shared" si="118"/>
        <v>13.93099730458221</v>
      </c>
      <c r="AH3073" s="143">
        <f t="shared" si="119"/>
        <v>1000</v>
      </c>
    </row>
    <row r="3074" spans="1:34" x14ac:dyDescent="0.3">
      <c r="A3074" s="140">
        <v>203017</v>
      </c>
      <c r="B3074" s="138">
        <v>0.2</v>
      </c>
      <c r="D3074" s="152">
        <v>7.2</v>
      </c>
      <c r="E3074" s="752">
        <v>5.6000000000000001E-2</v>
      </c>
      <c r="F3074" s="142">
        <v>61.600000000000009</v>
      </c>
      <c r="H3074" s="142">
        <v>97.8</v>
      </c>
      <c r="I3074" s="142">
        <v>156</v>
      </c>
      <c r="J3074" s="141">
        <v>1.4999999999999999E-2</v>
      </c>
      <c r="K3074" s="138">
        <v>1.03</v>
      </c>
      <c r="L3074" s="140">
        <v>100</v>
      </c>
      <c r="M3074" s="140">
        <v>1.4</v>
      </c>
      <c r="N3074" s="140">
        <v>0.34</v>
      </c>
      <c r="O3074" s="140">
        <v>1.67</v>
      </c>
      <c r="P3074" s="140">
        <v>5.98</v>
      </c>
      <c r="R3074" s="139">
        <v>0.73839539452164094</v>
      </c>
      <c r="S3074" s="138">
        <v>4.8499999999999996</v>
      </c>
      <c r="Y3074" s="138">
        <v>3</v>
      </c>
      <c r="AD3074" s="70">
        <v>60</v>
      </c>
      <c r="AE3074" s="70">
        <v>60</v>
      </c>
      <c r="AF3074" s="70">
        <v>880</v>
      </c>
      <c r="AG3074" s="66">
        <f t="shared" ref="AG3074:AG3137" si="120">+K3074*3.54*100/Y3074</f>
        <v>121.54</v>
      </c>
      <c r="AH3074" s="143">
        <f t="shared" ref="AH3074:AH3137" si="121">+SUM(AD3074:AF3074)</f>
        <v>1000</v>
      </c>
    </row>
    <row r="3075" spans="1:34" x14ac:dyDescent="0.3">
      <c r="A3075" s="140">
        <v>203018</v>
      </c>
      <c r="B3075" s="138">
        <v>0.4</v>
      </c>
      <c r="D3075" s="152">
        <v>7.83</v>
      </c>
      <c r="E3075" s="752">
        <v>0.17899999999999999</v>
      </c>
      <c r="F3075" s="142">
        <v>196.9</v>
      </c>
      <c r="H3075" s="142">
        <v>114.39</v>
      </c>
      <c r="I3075" s="142">
        <v>389</v>
      </c>
      <c r="J3075" s="141">
        <v>0.109</v>
      </c>
      <c r="K3075" s="138">
        <v>1.85</v>
      </c>
      <c r="L3075" s="140">
        <v>350</v>
      </c>
      <c r="M3075" s="140">
        <v>1.55</v>
      </c>
      <c r="N3075" s="140">
        <v>0.88</v>
      </c>
      <c r="O3075" s="140">
        <v>4.09</v>
      </c>
      <c r="P3075" s="140">
        <v>2.96</v>
      </c>
      <c r="R3075" s="139">
        <v>0.9336184853798305</v>
      </c>
      <c r="S3075" s="138">
        <v>6.8100000000000005</v>
      </c>
      <c r="Y3075" s="138">
        <v>12</v>
      </c>
      <c r="AA3075" s="139">
        <v>3.46</v>
      </c>
      <c r="AB3075" s="139">
        <v>0.63600000000000001</v>
      </c>
      <c r="AC3075" s="140">
        <v>9.1999999999999993</v>
      </c>
      <c r="AD3075" s="70">
        <v>200</v>
      </c>
      <c r="AE3075" s="70">
        <v>160</v>
      </c>
      <c r="AF3075" s="70">
        <v>640</v>
      </c>
      <c r="AG3075" s="66">
        <f t="shared" si="120"/>
        <v>54.57500000000001</v>
      </c>
      <c r="AH3075" s="143">
        <f t="shared" si="121"/>
        <v>1000</v>
      </c>
    </row>
    <row r="3076" spans="1:34" x14ac:dyDescent="0.3">
      <c r="A3076" s="140">
        <v>203019</v>
      </c>
      <c r="B3076" s="138">
        <v>0.3</v>
      </c>
      <c r="D3076" s="152">
        <v>7.64</v>
      </c>
      <c r="E3076" s="752">
        <v>0.27100000000000002</v>
      </c>
      <c r="F3076" s="142">
        <v>298.10000000000002</v>
      </c>
      <c r="H3076" s="142">
        <v>124.72</v>
      </c>
      <c r="I3076" s="142">
        <v>477</v>
      </c>
      <c r="J3076" s="141">
        <v>0.155</v>
      </c>
      <c r="K3076" s="138">
        <v>2.04</v>
      </c>
      <c r="L3076" s="140">
        <v>390</v>
      </c>
      <c r="M3076" s="140">
        <v>1.61</v>
      </c>
      <c r="N3076" s="140">
        <v>1.02</v>
      </c>
      <c r="O3076" s="140">
        <v>4.7300000000000004</v>
      </c>
      <c r="P3076" s="140">
        <v>3.47</v>
      </c>
      <c r="R3076" s="139">
        <v>1.2125416919645011</v>
      </c>
      <c r="S3076" s="138">
        <v>8.91</v>
      </c>
      <c r="Y3076" s="138">
        <v>11</v>
      </c>
      <c r="AA3076" s="139">
        <v>3.55</v>
      </c>
      <c r="AB3076" s="139">
        <v>0.74199999999999999</v>
      </c>
      <c r="AC3076" s="140">
        <v>7.5</v>
      </c>
      <c r="AD3076" s="70">
        <v>220</v>
      </c>
      <c r="AE3076" s="70">
        <v>120</v>
      </c>
      <c r="AF3076" s="70">
        <v>660</v>
      </c>
      <c r="AG3076" s="66">
        <f t="shared" si="120"/>
        <v>65.650909090909096</v>
      </c>
      <c r="AH3076" s="143">
        <f t="shared" si="121"/>
        <v>1000</v>
      </c>
    </row>
    <row r="3077" spans="1:34" x14ac:dyDescent="0.3">
      <c r="A3077" s="140">
        <v>203020</v>
      </c>
      <c r="B3077" s="138">
        <v>0.3</v>
      </c>
      <c r="D3077" s="152">
        <v>7.56</v>
      </c>
      <c r="E3077" s="752">
        <v>6.5000000000000002E-2</v>
      </c>
      <c r="F3077" s="142">
        <v>71.500000000000014</v>
      </c>
      <c r="H3077" s="142">
        <v>55.86</v>
      </c>
      <c r="I3077" s="142">
        <v>115</v>
      </c>
      <c r="J3077" s="141">
        <v>4.2999999999999997E-2</v>
      </c>
      <c r="K3077" s="138">
        <v>3.19</v>
      </c>
      <c r="L3077" s="140">
        <v>370</v>
      </c>
      <c r="M3077" s="140">
        <v>0.48</v>
      </c>
      <c r="N3077" s="140">
        <v>0.95</v>
      </c>
      <c r="O3077" s="140">
        <v>12.61</v>
      </c>
      <c r="P3077" s="140">
        <v>3.49</v>
      </c>
      <c r="R3077" s="139">
        <v>1.1601745464380329</v>
      </c>
      <c r="S3077" s="138">
        <v>7.9600000000000009</v>
      </c>
      <c r="Y3077" s="138">
        <v>29.4</v>
      </c>
      <c r="AA3077" s="139">
        <v>3.51</v>
      </c>
      <c r="AB3077" s="139">
        <v>0.438</v>
      </c>
      <c r="AC3077" s="140">
        <v>6.7</v>
      </c>
      <c r="AD3077" s="70">
        <v>420</v>
      </c>
      <c r="AE3077" s="70">
        <v>380</v>
      </c>
      <c r="AF3077" s="70">
        <v>200</v>
      </c>
      <c r="AG3077" s="66">
        <f t="shared" si="120"/>
        <v>38.410204081632656</v>
      </c>
      <c r="AH3077" s="143">
        <f t="shared" si="121"/>
        <v>1000</v>
      </c>
    </row>
    <row r="3078" spans="1:34" x14ac:dyDescent="0.3">
      <c r="A3078" s="140">
        <v>203021</v>
      </c>
      <c r="B3078" s="138">
        <v>0.1</v>
      </c>
      <c r="D3078" s="152">
        <v>7.18</v>
      </c>
      <c r="E3078" s="752">
        <v>7.0000000000000007E-2</v>
      </c>
      <c r="F3078" s="142">
        <v>77.000000000000014</v>
      </c>
      <c r="H3078" s="142">
        <v>27.41</v>
      </c>
      <c r="I3078" s="142">
        <v>283</v>
      </c>
      <c r="J3078" s="141">
        <v>3.5000000000000003E-2</v>
      </c>
      <c r="K3078" s="138">
        <v>0.66</v>
      </c>
      <c r="L3078" s="140">
        <v>120</v>
      </c>
      <c r="M3078" s="140">
        <v>0.21</v>
      </c>
      <c r="N3078" s="140">
        <v>0.28000000000000003</v>
      </c>
      <c r="O3078" s="140">
        <v>4.3499999999999996</v>
      </c>
      <c r="P3078" s="140">
        <v>16.16</v>
      </c>
      <c r="R3078" s="139">
        <v>0.49642790471052206</v>
      </c>
      <c r="S3078" s="138">
        <v>3.5199999999999996</v>
      </c>
      <c r="Y3078" s="138">
        <v>3</v>
      </c>
      <c r="AA3078" s="139">
        <v>4.3</v>
      </c>
      <c r="AB3078" s="139">
        <v>0.47699999999999998</v>
      </c>
      <c r="AC3078" s="140">
        <v>10</v>
      </c>
      <c r="AD3078" s="70">
        <v>60</v>
      </c>
      <c r="AE3078" s="70">
        <v>80</v>
      </c>
      <c r="AF3078" s="70">
        <v>860</v>
      </c>
      <c r="AG3078" s="66">
        <f t="shared" si="120"/>
        <v>77.88000000000001</v>
      </c>
      <c r="AH3078" s="143">
        <f t="shared" si="121"/>
        <v>1000</v>
      </c>
    </row>
    <row r="3079" spans="1:34" x14ac:dyDescent="0.3">
      <c r="A3079" s="140">
        <v>203022</v>
      </c>
      <c r="B3079" s="138">
        <v>0.2</v>
      </c>
      <c r="D3079" s="152">
        <v>7.32</v>
      </c>
      <c r="E3079" s="752">
        <v>0.126</v>
      </c>
      <c r="F3079" s="142">
        <v>138.6</v>
      </c>
      <c r="H3079" s="142">
        <v>97.22</v>
      </c>
      <c r="I3079" s="142">
        <v>174</v>
      </c>
      <c r="J3079" s="141">
        <v>0.12</v>
      </c>
      <c r="K3079" s="138">
        <v>0.96</v>
      </c>
      <c r="L3079" s="140">
        <v>250</v>
      </c>
      <c r="M3079" s="140">
        <v>0.28999999999999998</v>
      </c>
      <c r="N3079" s="140">
        <v>0.24</v>
      </c>
      <c r="O3079" s="140">
        <v>2.4</v>
      </c>
      <c r="P3079" s="140">
        <v>15.97</v>
      </c>
      <c r="R3079" s="139">
        <v>0.52002595561729381</v>
      </c>
      <c r="S3079" s="138">
        <v>3.57</v>
      </c>
      <c r="Y3079" s="138">
        <v>4.2</v>
      </c>
      <c r="AA3079" s="139">
        <v>3.81</v>
      </c>
      <c r="AB3079" s="139">
        <v>0.315</v>
      </c>
      <c r="AC3079" s="140">
        <v>11</v>
      </c>
      <c r="AD3079" s="70">
        <v>70</v>
      </c>
      <c r="AE3079" s="70">
        <v>80</v>
      </c>
      <c r="AF3079" s="70">
        <v>850</v>
      </c>
      <c r="AG3079" s="66">
        <f t="shared" si="120"/>
        <v>80.914285714285725</v>
      </c>
      <c r="AH3079" s="143">
        <f t="shared" si="121"/>
        <v>1000</v>
      </c>
    </row>
    <row r="3080" spans="1:34" x14ac:dyDescent="0.3">
      <c r="A3080" s="140">
        <v>203023</v>
      </c>
      <c r="B3080" s="138">
        <v>0.1</v>
      </c>
      <c r="D3080" s="152">
        <v>7.01</v>
      </c>
      <c r="E3080" s="752">
        <v>3.9E-2</v>
      </c>
      <c r="F3080" s="142">
        <v>42.9</v>
      </c>
      <c r="H3080" s="142">
        <v>31.92</v>
      </c>
      <c r="I3080" s="142">
        <v>110</v>
      </c>
      <c r="J3080" s="141">
        <v>2.5000000000000001E-2</v>
      </c>
      <c r="K3080" s="138">
        <v>0.52</v>
      </c>
      <c r="L3080" s="140">
        <v>110</v>
      </c>
      <c r="M3080" s="140">
        <v>0.22</v>
      </c>
      <c r="N3080" s="140">
        <v>0.22</v>
      </c>
      <c r="O3080" s="140">
        <v>1.94</v>
      </c>
      <c r="P3080" s="140">
        <v>13.5</v>
      </c>
      <c r="R3080" s="139">
        <v>0.49084852662340089</v>
      </c>
      <c r="S3080" s="138">
        <v>3.4200000000000004</v>
      </c>
      <c r="Y3080" s="138">
        <v>6.3</v>
      </c>
      <c r="AA3080" s="139">
        <v>4.24</v>
      </c>
      <c r="AB3080" s="139">
        <v>0.51</v>
      </c>
      <c r="AC3080" s="140">
        <v>12</v>
      </c>
      <c r="AD3080" s="70">
        <v>90</v>
      </c>
      <c r="AE3080" s="70">
        <v>60</v>
      </c>
      <c r="AF3080" s="70">
        <v>850</v>
      </c>
      <c r="AG3080" s="66">
        <f t="shared" si="120"/>
        <v>29.219047619047622</v>
      </c>
      <c r="AH3080" s="143">
        <f t="shared" si="121"/>
        <v>1000</v>
      </c>
    </row>
    <row r="3081" spans="1:34" x14ac:dyDescent="0.3">
      <c r="A3081" s="140">
        <v>203024</v>
      </c>
      <c r="B3081" s="138">
        <v>4.2</v>
      </c>
      <c r="D3081" s="152">
        <v>8.83</v>
      </c>
      <c r="E3081" s="752">
        <v>0.17699999999999999</v>
      </c>
      <c r="F3081" s="142">
        <v>194.70000000000002</v>
      </c>
      <c r="H3081" s="142">
        <v>35.869999999999997</v>
      </c>
      <c r="I3081" s="142">
        <v>68</v>
      </c>
      <c r="J3081" s="141">
        <v>0.36799999999999999</v>
      </c>
      <c r="K3081" s="138">
        <v>5.99</v>
      </c>
      <c r="L3081" s="140">
        <v>350</v>
      </c>
      <c r="M3081" s="140">
        <v>0.31</v>
      </c>
      <c r="N3081" s="140">
        <v>0.15</v>
      </c>
      <c r="O3081" s="140">
        <v>2.4300000000000002</v>
      </c>
      <c r="P3081" s="140">
        <v>9.1199999999999992</v>
      </c>
      <c r="R3081" s="139">
        <v>0.79298737592566149</v>
      </c>
      <c r="S3081" s="138">
        <v>5.5</v>
      </c>
      <c r="Y3081" s="138">
        <v>6</v>
      </c>
      <c r="AA3081" s="139">
        <v>4.13</v>
      </c>
      <c r="AB3081" s="139">
        <v>0.52300000000000002</v>
      </c>
      <c r="AC3081" s="140">
        <v>9.9</v>
      </c>
      <c r="AD3081" s="70">
        <v>100</v>
      </c>
      <c r="AE3081" s="70">
        <v>70</v>
      </c>
      <c r="AF3081" s="70">
        <v>830</v>
      </c>
      <c r="AG3081" s="66">
        <f t="shared" si="120"/>
        <v>353.41</v>
      </c>
      <c r="AH3081" s="143">
        <f t="shared" si="121"/>
        <v>1000</v>
      </c>
    </row>
    <row r="3082" spans="1:34" x14ac:dyDescent="0.3">
      <c r="A3082" s="140">
        <v>203025</v>
      </c>
      <c r="B3082" s="138">
        <v>38.299999999999997</v>
      </c>
      <c r="C3082" s="138">
        <v>3.25</v>
      </c>
      <c r="D3082" s="152">
        <v>8.4600000000000009</v>
      </c>
      <c r="E3082" s="752">
        <v>0.28799999999999998</v>
      </c>
      <c r="F3082" s="142">
        <v>316.8</v>
      </c>
      <c r="G3082" s="139">
        <v>16.579999999999998</v>
      </c>
      <c r="H3082" s="142">
        <v>133.85</v>
      </c>
      <c r="I3082" s="142">
        <v>89</v>
      </c>
      <c r="J3082" s="141">
        <v>0.22900000000000001</v>
      </c>
      <c r="K3082" s="138">
        <v>4.7300000000000004</v>
      </c>
      <c r="L3082" s="140">
        <v>210</v>
      </c>
      <c r="M3082" s="140">
        <v>0.55000000000000004</v>
      </c>
      <c r="N3082" s="140">
        <v>0.34</v>
      </c>
      <c r="O3082" s="140">
        <v>1.35</v>
      </c>
      <c r="P3082" s="140">
        <v>3.96</v>
      </c>
      <c r="R3082" s="139">
        <v>0.40297278409288878</v>
      </c>
      <c r="S3082" s="138">
        <v>3.02</v>
      </c>
      <c r="Y3082" s="138">
        <v>4.2</v>
      </c>
      <c r="AA3082" s="139">
        <v>4.9400000000000004</v>
      </c>
      <c r="AB3082" s="139">
        <v>0.35199999999999998</v>
      </c>
      <c r="AC3082" s="140">
        <v>8.4</v>
      </c>
      <c r="AD3082" s="70">
        <v>60</v>
      </c>
      <c r="AE3082" s="70">
        <v>60</v>
      </c>
      <c r="AF3082" s="70">
        <v>880</v>
      </c>
      <c r="AG3082" s="66">
        <f t="shared" si="120"/>
        <v>398.67142857142863</v>
      </c>
      <c r="AH3082" s="143">
        <f t="shared" si="121"/>
        <v>1000</v>
      </c>
    </row>
    <row r="3083" spans="1:34" x14ac:dyDescent="0.3">
      <c r="A3083" s="114">
        <v>203026</v>
      </c>
      <c r="B3083" s="310"/>
      <c r="C3083" s="310"/>
      <c r="D3083" s="313"/>
      <c r="E3083" s="1543">
        <v>0.52800000000000002</v>
      </c>
      <c r="F3083" s="313">
        <v>580.80000000000007</v>
      </c>
      <c r="G3083" s="313"/>
      <c r="H3083" s="313"/>
      <c r="I3083" s="313"/>
      <c r="J3083" s="313"/>
      <c r="K3083" s="313"/>
      <c r="L3083" s="313"/>
      <c r="M3083" s="313"/>
      <c r="N3083" s="114"/>
      <c r="O3083" s="114"/>
      <c r="P3083" s="114"/>
      <c r="Q3083" s="114"/>
      <c r="R3083" s="311"/>
      <c r="S3083" s="310"/>
      <c r="T3083" s="114"/>
      <c r="U3083" s="114"/>
      <c r="V3083" s="114"/>
      <c r="W3083" s="114"/>
      <c r="X3083" s="114"/>
      <c r="Y3083" s="310"/>
      <c r="Z3083" s="114"/>
      <c r="AA3083" s="311"/>
      <c r="AB3083" s="311"/>
      <c r="AC3083" s="114"/>
      <c r="AD3083" s="776"/>
      <c r="AE3083" s="776"/>
      <c r="AF3083" s="776"/>
      <c r="AG3083" s="66" t="e">
        <f t="shared" si="120"/>
        <v>#DIV/0!</v>
      </c>
      <c r="AH3083" s="143">
        <f t="shared" si="121"/>
        <v>0</v>
      </c>
    </row>
    <row r="3084" spans="1:34" x14ac:dyDescent="0.3">
      <c r="A3084" s="114">
        <v>203027</v>
      </c>
      <c r="B3084" s="310"/>
      <c r="C3084" s="310"/>
      <c r="D3084" s="313"/>
      <c r="E3084" s="1543">
        <v>0.45</v>
      </c>
      <c r="F3084" s="313">
        <v>495.00000000000006</v>
      </c>
      <c r="G3084" s="313"/>
      <c r="H3084" s="313"/>
      <c r="I3084" s="313"/>
      <c r="J3084" s="313"/>
      <c r="K3084" s="313"/>
      <c r="L3084" s="313"/>
      <c r="M3084" s="313"/>
      <c r="N3084" s="114"/>
      <c r="O3084" s="114"/>
      <c r="P3084" s="114"/>
      <c r="Q3084" s="114"/>
      <c r="R3084" s="311"/>
      <c r="S3084" s="310"/>
      <c r="T3084" s="114"/>
      <c r="U3084" s="114"/>
      <c r="V3084" s="114"/>
      <c r="W3084" s="114"/>
      <c r="X3084" s="114"/>
      <c r="Y3084" s="310"/>
      <c r="Z3084" s="114"/>
      <c r="AA3084" s="311"/>
      <c r="AB3084" s="311"/>
      <c r="AC3084" s="114"/>
      <c r="AD3084" s="776"/>
      <c r="AE3084" s="776"/>
      <c r="AF3084" s="776"/>
      <c r="AG3084" s="66" t="e">
        <f t="shared" si="120"/>
        <v>#DIV/0!</v>
      </c>
      <c r="AH3084" s="143">
        <f t="shared" si="121"/>
        <v>0</v>
      </c>
    </row>
    <row r="3085" spans="1:34" x14ac:dyDescent="0.3">
      <c r="A3085" s="114">
        <v>203028</v>
      </c>
      <c r="B3085" s="310"/>
      <c r="C3085" s="310"/>
      <c r="D3085" s="313"/>
      <c r="E3085" s="1543">
        <v>0.47199999999999998</v>
      </c>
      <c r="F3085" s="313">
        <v>519.20000000000005</v>
      </c>
      <c r="G3085" s="313"/>
      <c r="H3085" s="313"/>
      <c r="I3085" s="313"/>
      <c r="J3085" s="313"/>
      <c r="K3085" s="313"/>
      <c r="L3085" s="313"/>
      <c r="M3085" s="313"/>
      <c r="N3085" s="114"/>
      <c r="O3085" s="114"/>
      <c r="P3085" s="114"/>
      <c r="Q3085" s="114"/>
      <c r="R3085" s="311"/>
      <c r="S3085" s="310"/>
      <c r="T3085" s="114"/>
      <c r="U3085" s="114"/>
      <c r="V3085" s="114"/>
      <c r="W3085" s="114"/>
      <c r="X3085" s="114"/>
      <c r="Y3085" s="310"/>
      <c r="Z3085" s="114"/>
      <c r="AA3085" s="311"/>
      <c r="AB3085" s="311"/>
      <c r="AC3085" s="114"/>
      <c r="AD3085" s="776"/>
      <c r="AE3085" s="776"/>
      <c r="AF3085" s="776"/>
      <c r="AG3085" s="66" t="e">
        <f t="shared" si="120"/>
        <v>#DIV/0!</v>
      </c>
      <c r="AH3085" s="143">
        <f t="shared" si="121"/>
        <v>0</v>
      </c>
    </row>
    <row r="3086" spans="1:34" x14ac:dyDescent="0.3">
      <c r="A3086" s="114">
        <v>203029</v>
      </c>
      <c r="B3086" s="310"/>
      <c r="C3086" s="310"/>
      <c r="D3086" s="313"/>
      <c r="E3086" s="1543">
        <v>0.96899999999999997</v>
      </c>
      <c r="F3086" s="313">
        <v>1065.9000000000001</v>
      </c>
      <c r="G3086" s="313"/>
      <c r="H3086" s="313"/>
      <c r="I3086" s="313"/>
      <c r="J3086" s="313"/>
      <c r="K3086" s="313"/>
      <c r="L3086" s="313"/>
      <c r="M3086" s="313"/>
      <c r="N3086" s="313"/>
      <c r="O3086" s="114"/>
      <c r="P3086" s="114"/>
      <c r="Q3086" s="114"/>
      <c r="R3086" s="311"/>
      <c r="S3086" s="310"/>
      <c r="T3086" s="114"/>
      <c r="U3086" s="114"/>
      <c r="V3086" s="114"/>
      <c r="W3086" s="114"/>
      <c r="X3086" s="114"/>
      <c r="Y3086" s="310"/>
      <c r="Z3086" s="114"/>
      <c r="AA3086" s="311"/>
      <c r="AB3086" s="311"/>
      <c r="AC3086" s="114"/>
      <c r="AD3086" s="776"/>
      <c r="AE3086" s="776"/>
      <c r="AF3086" s="776"/>
      <c r="AG3086" s="66" t="e">
        <f t="shared" si="120"/>
        <v>#DIV/0!</v>
      </c>
      <c r="AH3086" s="143">
        <f t="shared" si="121"/>
        <v>0</v>
      </c>
    </row>
    <row r="3087" spans="1:34" x14ac:dyDescent="0.3">
      <c r="A3087" s="140">
        <v>203030</v>
      </c>
      <c r="B3087" s="138">
        <v>35.5</v>
      </c>
      <c r="C3087" s="138">
        <v>14.38</v>
      </c>
      <c r="D3087" s="152">
        <v>8.11</v>
      </c>
      <c r="E3087" s="752">
        <v>0.16800000000000001</v>
      </c>
      <c r="F3087" s="142">
        <v>184.8</v>
      </c>
      <c r="H3087" s="142">
        <v>56.37</v>
      </c>
      <c r="I3087" s="142">
        <v>274</v>
      </c>
      <c r="J3087" s="141">
        <v>0.05</v>
      </c>
      <c r="K3087" s="138">
        <v>11.94</v>
      </c>
      <c r="L3087" s="140">
        <v>610</v>
      </c>
      <c r="M3087" s="140">
        <v>0.55000000000000004</v>
      </c>
      <c r="N3087" s="90">
        <v>1.73</v>
      </c>
      <c r="O3087" s="90">
        <v>4.91</v>
      </c>
      <c r="P3087" s="90">
        <v>5.1100000000000003</v>
      </c>
      <c r="R3087" s="139">
        <v>1.84200593</v>
      </c>
      <c r="S3087" s="138">
        <v>17.989999999999998</v>
      </c>
      <c r="Y3087" s="138">
        <v>33.56</v>
      </c>
      <c r="AD3087" s="70">
        <v>580</v>
      </c>
      <c r="AE3087" s="70">
        <v>280</v>
      </c>
      <c r="AF3087" s="70">
        <v>140</v>
      </c>
      <c r="AG3087" s="66">
        <f t="shared" si="120"/>
        <v>125.94636471990465</v>
      </c>
      <c r="AH3087" s="143">
        <f t="shared" si="121"/>
        <v>1000</v>
      </c>
    </row>
    <row r="3088" spans="1:34" x14ac:dyDescent="0.3">
      <c r="A3088" s="140">
        <v>203031</v>
      </c>
      <c r="B3088" s="138">
        <v>44.7</v>
      </c>
      <c r="C3088" s="138">
        <v>14.5</v>
      </c>
      <c r="D3088" s="152">
        <v>8.25</v>
      </c>
      <c r="E3088" s="752">
        <v>0.14399999999999999</v>
      </c>
      <c r="F3088" s="142">
        <v>158.4</v>
      </c>
      <c r="H3088" s="142">
        <v>15.01</v>
      </c>
      <c r="I3088" s="142">
        <v>180</v>
      </c>
      <c r="J3088" s="141">
        <v>4.7E-2</v>
      </c>
      <c r="K3088" s="138">
        <v>11.88</v>
      </c>
      <c r="L3088" s="140">
        <v>550</v>
      </c>
      <c r="M3088" s="140">
        <v>0.25</v>
      </c>
      <c r="N3088" s="90">
        <v>0.87</v>
      </c>
      <c r="O3088" s="90">
        <v>5.01</v>
      </c>
      <c r="P3088" s="90">
        <v>3.14</v>
      </c>
      <c r="R3088" s="139">
        <v>1.5836213699999999</v>
      </c>
      <c r="S3088" s="138">
        <v>10.53</v>
      </c>
      <c r="Y3088" s="138">
        <v>32.119999999999997</v>
      </c>
      <c r="AD3088" s="70">
        <v>590</v>
      </c>
      <c r="AE3088" s="70">
        <v>270</v>
      </c>
      <c r="AF3088" s="70">
        <v>140</v>
      </c>
      <c r="AG3088" s="66">
        <f t="shared" si="120"/>
        <v>130.9315068493151</v>
      </c>
      <c r="AH3088" s="143">
        <f t="shared" si="121"/>
        <v>1000</v>
      </c>
    </row>
    <row r="3089" spans="1:34" x14ac:dyDescent="0.3">
      <c r="A3089" s="140">
        <v>203032</v>
      </c>
      <c r="B3089" s="138">
        <v>41.3</v>
      </c>
      <c r="C3089" s="138">
        <v>14.88</v>
      </c>
      <c r="D3089" s="152">
        <v>8.14</v>
      </c>
      <c r="E3089" s="752">
        <v>0.13200000000000001</v>
      </c>
      <c r="F3089" s="142">
        <v>145.20000000000002</v>
      </c>
      <c r="H3089" s="142">
        <v>17.48</v>
      </c>
      <c r="I3089" s="142">
        <v>212</v>
      </c>
      <c r="J3089" s="141">
        <v>4.1000000000000002E-2</v>
      </c>
      <c r="K3089" s="138">
        <v>11.72</v>
      </c>
      <c r="L3089" s="140">
        <v>540</v>
      </c>
      <c r="M3089" s="140">
        <v>0.41</v>
      </c>
      <c r="N3089" s="90">
        <v>1.23</v>
      </c>
      <c r="O3089" s="90">
        <v>7.97</v>
      </c>
      <c r="P3089" s="90">
        <v>4.5999999999999996</v>
      </c>
      <c r="R3089" s="139">
        <v>1.7693442500000001</v>
      </c>
      <c r="S3089" s="138">
        <v>15.649999999999999</v>
      </c>
      <c r="Y3089" s="138">
        <v>30.2</v>
      </c>
      <c r="AD3089" s="70">
        <v>590</v>
      </c>
      <c r="AE3089" s="70">
        <v>280</v>
      </c>
      <c r="AF3089" s="70">
        <v>130</v>
      </c>
      <c r="AG3089" s="66">
        <f t="shared" si="120"/>
        <v>137.38013245033113</v>
      </c>
      <c r="AH3089" s="143">
        <f t="shared" si="121"/>
        <v>1000</v>
      </c>
    </row>
    <row r="3090" spans="1:34" x14ac:dyDescent="0.3">
      <c r="A3090" s="140">
        <v>203033</v>
      </c>
      <c r="B3090" s="138">
        <v>49.5</v>
      </c>
      <c r="C3090" s="138">
        <v>15.25</v>
      </c>
      <c r="D3090" s="152">
        <v>8.24</v>
      </c>
      <c r="E3090" s="752">
        <v>0.14899999999999999</v>
      </c>
      <c r="F3090" s="142">
        <v>163.9</v>
      </c>
      <c r="H3090" s="142">
        <v>7.92</v>
      </c>
      <c r="I3090" s="142">
        <v>138</v>
      </c>
      <c r="J3090" s="141">
        <v>4.1000000000000002E-2</v>
      </c>
      <c r="K3090" s="138">
        <v>11.38</v>
      </c>
      <c r="L3090" s="140">
        <v>370</v>
      </c>
      <c r="M3090" s="140">
        <v>0.21</v>
      </c>
      <c r="N3090" s="90">
        <v>0.67</v>
      </c>
      <c r="O3090" s="90">
        <v>5.0599999999999996</v>
      </c>
      <c r="P3090" s="90">
        <v>2.81</v>
      </c>
      <c r="R3090" s="139">
        <v>1.4679989868815206</v>
      </c>
      <c r="S3090" s="138">
        <v>9.69</v>
      </c>
      <c r="Y3090" s="138">
        <v>34.200000000000003</v>
      </c>
      <c r="AD3090" s="70">
        <v>590</v>
      </c>
      <c r="AE3090" s="70">
        <v>290</v>
      </c>
      <c r="AF3090" s="70">
        <v>120</v>
      </c>
      <c r="AG3090" s="66">
        <f t="shared" si="120"/>
        <v>117.79298245614035</v>
      </c>
      <c r="AH3090" s="143">
        <f t="shared" si="121"/>
        <v>1000</v>
      </c>
    </row>
    <row r="3091" spans="1:34" x14ac:dyDescent="0.3">
      <c r="A3091" s="140">
        <v>203034</v>
      </c>
      <c r="B3091" s="138">
        <v>37.5</v>
      </c>
      <c r="C3091" s="138">
        <v>12.38</v>
      </c>
      <c r="D3091" s="152">
        <v>8.15</v>
      </c>
      <c r="E3091" s="752">
        <v>0.158</v>
      </c>
      <c r="F3091" s="142">
        <v>173.8</v>
      </c>
      <c r="H3091" s="142">
        <v>22.18</v>
      </c>
      <c r="I3091" s="142">
        <v>501</v>
      </c>
      <c r="J3091" s="141">
        <v>2.8000000000000001E-2</v>
      </c>
      <c r="K3091" s="138">
        <v>11.25</v>
      </c>
      <c r="L3091" s="140">
        <v>580</v>
      </c>
      <c r="M3091" s="140">
        <v>0.42</v>
      </c>
      <c r="N3091" s="140">
        <v>0.76</v>
      </c>
      <c r="O3091" s="140">
        <v>4.8499999999999996</v>
      </c>
      <c r="P3091" s="140">
        <v>3.17</v>
      </c>
      <c r="R3091" s="139">
        <v>1.7379971300000001</v>
      </c>
      <c r="S3091" s="138">
        <v>14.71</v>
      </c>
      <c r="Y3091" s="138">
        <v>35.26</v>
      </c>
      <c r="AD3091" s="70">
        <v>600</v>
      </c>
      <c r="AE3091" s="70">
        <v>270</v>
      </c>
      <c r="AF3091" s="70">
        <v>130</v>
      </c>
      <c r="AG3091" s="66">
        <f t="shared" si="120"/>
        <v>112.94668179239933</v>
      </c>
      <c r="AH3091" s="143">
        <f t="shared" si="121"/>
        <v>1000</v>
      </c>
    </row>
    <row r="3092" spans="1:34" x14ac:dyDescent="0.3">
      <c r="A3092" s="140">
        <v>203035</v>
      </c>
      <c r="B3092" s="138">
        <v>40.5</v>
      </c>
      <c r="C3092" s="138">
        <v>14.25</v>
      </c>
      <c r="D3092" s="152">
        <v>8.24</v>
      </c>
      <c r="E3092" s="752">
        <v>0.16300000000000001</v>
      </c>
      <c r="F3092" s="142">
        <v>179.3</v>
      </c>
      <c r="H3092" s="142">
        <v>6.73</v>
      </c>
      <c r="I3092" s="142">
        <v>288</v>
      </c>
      <c r="J3092" s="141">
        <v>4.4999999999999998E-2</v>
      </c>
      <c r="K3092" s="138">
        <v>11.67</v>
      </c>
      <c r="L3092" s="140">
        <v>570</v>
      </c>
      <c r="M3092" s="140">
        <v>0.35</v>
      </c>
      <c r="N3092" s="140">
        <v>0.69</v>
      </c>
      <c r="O3092" s="140">
        <v>5.53</v>
      </c>
      <c r="P3092" s="140">
        <v>3.28</v>
      </c>
      <c r="R3092" s="139">
        <v>1.76672457</v>
      </c>
      <c r="S3092" s="138">
        <v>15.57</v>
      </c>
      <c r="Y3092" s="138">
        <v>30.5</v>
      </c>
      <c r="AD3092" s="70">
        <v>610</v>
      </c>
      <c r="AE3092" s="70">
        <v>260</v>
      </c>
      <c r="AF3092" s="70">
        <v>130</v>
      </c>
      <c r="AG3092" s="66">
        <f t="shared" si="120"/>
        <v>135.44852459016391</v>
      </c>
      <c r="AH3092" s="143">
        <f t="shared" si="121"/>
        <v>1000</v>
      </c>
    </row>
    <row r="3093" spans="1:34" x14ac:dyDescent="0.3">
      <c r="A3093" s="140">
        <v>203036</v>
      </c>
      <c r="B3093" s="138">
        <v>51.7</v>
      </c>
      <c r="C3093" s="138">
        <v>13.25</v>
      </c>
      <c r="D3093" s="152">
        <v>8.77</v>
      </c>
      <c r="E3093" s="752">
        <v>0.154</v>
      </c>
      <c r="F3093" s="142">
        <v>169.40000000000003</v>
      </c>
      <c r="H3093" s="142">
        <v>1.92</v>
      </c>
      <c r="I3093" s="142">
        <v>258</v>
      </c>
      <c r="J3093" s="141">
        <v>0.06</v>
      </c>
      <c r="K3093" s="138">
        <v>8.65</v>
      </c>
      <c r="L3093" s="140">
        <v>1160</v>
      </c>
      <c r="M3093" s="140">
        <v>0.18</v>
      </c>
      <c r="N3093" s="140">
        <v>0.24</v>
      </c>
      <c r="O3093" s="140">
        <v>3.91</v>
      </c>
      <c r="P3093" s="140">
        <v>1.05</v>
      </c>
      <c r="R3093" s="139">
        <v>0.71035231175198221</v>
      </c>
      <c r="S3093" s="138">
        <v>4.9399999999999995</v>
      </c>
      <c r="Y3093" s="138">
        <v>34.36</v>
      </c>
      <c r="AD3093" s="70">
        <v>620</v>
      </c>
      <c r="AE3093" s="70">
        <v>240</v>
      </c>
      <c r="AF3093" s="70">
        <v>140</v>
      </c>
      <c r="AG3093" s="66">
        <f t="shared" si="120"/>
        <v>89.118160651920846</v>
      </c>
      <c r="AH3093" s="143">
        <f t="shared" si="121"/>
        <v>1000</v>
      </c>
    </row>
    <row r="3094" spans="1:34" x14ac:dyDescent="0.3">
      <c r="A3094" s="140">
        <v>203037</v>
      </c>
      <c r="B3094" s="138">
        <v>34.700000000000003</v>
      </c>
      <c r="C3094" s="138">
        <v>7.5</v>
      </c>
      <c r="D3094" s="152">
        <v>8.8000000000000007</v>
      </c>
      <c r="E3094" s="752">
        <v>0.27</v>
      </c>
      <c r="F3094" s="142">
        <v>297.00000000000006</v>
      </c>
      <c r="H3094" s="142">
        <v>8.83</v>
      </c>
      <c r="I3094" s="142">
        <v>299</v>
      </c>
      <c r="J3094" s="141">
        <v>8.8999999999999996E-2</v>
      </c>
      <c r="K3094" s="138">
        <v>8.26</v>
      </c>
      <c r="L3094" s="140">
        <v>1390</v>
      </c>
      <c r="M3094" s="140">
        <v>0.19</v>
      </c>
      <c r="N3094" s="140">
        <v>0.18</v>
      </c>
      <c r="O3094" s="140">
        <v>4.34</v>
      </c>
      <c r="P3094" s="140">
        <v>1.26</v>
      </c>
      <c r="R3094" s="139">
        <v>0.77868431873621469</v>
      </c>
      <c r="S3094" s="138">
        <v>5.15</v>
      </c>
      <c r="Y3094" s="138">
        <v>31</v>
      </c>
      <c r="AD3094" s="70">
        <v>620</v>
      </c>
      <c r="AE3094" s="70">
        <v>250</v>
      </c>
      <c r="AF3094" s="70">
        <v>130</v>
      </c>
      <c r="AG3094" s="66">
        <f t="shared" si="120"/>
        <v>94.323870967741939</v>
      </c>
      <c r="AH3094" s="143">
        <f t="shared" si="121"/>
        <v>1000</v>
      </c>
    </row>
    <row r="3095" spans="1:34" x14ac:dyDescent="0.3">
      <c r="A3095" s="140">
        <v>203038</v>
      </c>
      <c r="B3095" s="138">
        <v>1.7</v>
      </c>
      <c r="D3095" s="152">
        <v>8.82</v>
      </c>
      <c r="E3095" s="752">
        <v>0.16</v>
      </c>
      <c r="F3095" s="142">
        <v>176.00000000000003</v>
      </c>
      <c r="H3095" s="142">
        <v>6.49</v>
      </c>
      <c r="I3095" s="142">
        <v>417</v>
      </c>
      <c r="J3095" s="141">
        <v>0.14299999999999999</v>
      </c>
      <c r="K3095" s="138">
        <v>5.78</v>
      </c>
      <c r="L3095" s="140">
        <v>500</v>
      </c>
      <c r="M3095" s="140">
        <v>0.09</v>
      </c>
      <c r="N3095" s="140">
        <v>0.21</v>
      </c>
      <c r="O3095" s="140">
        <v>2.63</v>
      </c>
      <c r="P3095" s="140">
        <v>0.84</v>
      </c>
      <c r="R3095" s="139">
        <v>0.45805069761675588</v>
      </c>
      <c r="S3095" s="138">
        <v>3.3000000000000003</v>
      </c>
      <c r="Y3095" s="138">
        <v>21</v>
      </c>
      <c r="AD3095" s="70">
        <v>300</v>
      </c>
      <c r="AE3095" s="70">
        <v>100</v>
      </c>
      <c r="AF3095" s="70">
        <v>600</v>
      </c>
      <c r="AG3095" s="66">
        <f t="shared" si="120"/>
        <v>97.434285714285721</v>
      </c>
      <c r="AH3095" s="143">
        <f t="shared" si="121"/>
        <v>1000</v>
      </c>
    </row>
    <row r="3096" spans="1:34" x14ac:dyDescent="0.3">
      <c r="A3096" s="140">
        <v>203039</v>
      </c>
      <c r="B3096" s="138">
        <v>8.8000000000000007</v>
      </c>
      <c r="D3096" s="152">
        <v>8.56</v>
      </c>
      <c r="E3096" s="752">
        <v>0.35299999999999998</v>
      </c>
      <c r="F3096" s="142">
        <v>388.3</v>
      </c>
      <c r="H3096" s="142">
        <v>1.79</v>
      </c>
      <c r="I3096" s="142">
        <v>129</v>
      </c>
      <c r="J3096" s="141">
        <v>0.23400000000000001</v>
      </c>
      <c r="K3096" s="138">
        <v>7.95</v>
      </c>
      <c r="L3096" s="140">
        <v>730</v>
      </c>
      <c r="M3096" s="140">
        <v>0.1</v>
      </c>
      <c r="N3096" s="140">
        <v>0.25</v>
      </c>
      <c r="O3096" s="140">
        <v>4.07</v>
      </c>
      <c r="P3096" s="140">
        <v>1.38</v>
      </c>
      <c r="R3096" s="139">
        <v>0.37862745236194978</v>
      </c>
      <c r="S3096" s="138">
        <v>2.8299999999999996</v>
      </c>
      <c r="Y3096" s="138">
        <v>30.8</v>
      </c>
      <c r="AD3096" s="70">
        <v>440</v>
      </c>
      <c r="AE3096" s="70">
        <v>200</v>
      </c>
      <c r="AF3096" s="70">
        <v>360</v>
      </c>
      <c r="AG3096" s="66">
        <f t="shared" si="120"/>
        <v>91.373376623376629</v>
      </c>
      <c r="AH3096" s="143">
        <f t="shared" si="121"/>
        <v>1000</v>
      </c>
    </row>
    <row r="3097" spans="1:34" x14ac:dyDescent="0.3">
      <c r="A3097" s="140">
        <v>203040</v>
      </c>
      <c r="B3097" s="138">
        <v>40.200000000000003</v>
      </c>
      <c r="C3097" s="138">
        <v>14</v>
      </c>
      <c r="D3097" s="152">
        <v>8.75</v>
      </c>
      <c r="E3097" s="752">
        <v>0.22600000000000001</v>
      </c>
      <c r="F3097" s="142">
        <v>248.60000000000002</v>
      </c>
      <c r="H3097" s="142">
        <v>73.38</v>
      </c>
      <c r="I3097" s="142">
        <v>1002.9999999999999</v>
      </c>
      <c r="J3097" s="141">
        <v>8.8999999999999996E-2</v>
      </c>
      <c r="K3097" s="138">
        <v>10.32</v>
      </c>
      <c r="L3097" s="140">
        <v>630</v>
      </c>
      <c r="M3097" s="140">
        <v>2.02</v>
      </c>
      <c r="N3097" s="140">
        <v>0.54</v>
      </c>
      <c r="O3097" s="140">
        <v>3.13</v>
      </c>
      <c r="P3097" s="140">
        <v>1.65</v>
      </c>
      <c r="R3097" s="139">
        <v>1.4197554393633818</v>
      </c>
      <c r="S3097" s="138">
        <v>9.32</v>
      </c>
      <c r="Y3097" s="138">
        <v>28.8</v>
      </c>
      <c r="AD3097" s="70">
        <v>480</v>
      </c>
      <c r="AE3097" s="70">
        <v>240</v>
      </c>
      <c r="AF3097" s="70">
        <v>280</v>
      </c>
      <c r="AG3097" s="66">
        <f t="shared" si="120"/>
        <v>126.85000000000001</v>
      </c>
      <c r="AH3097" s="143">
        <f t="shared" si="121"/>
        <v>1000</v>
      </c>
    </row>
    <row r="3098" spans="1:34" x14ac:dyDescent="0.3">
      <c r="A3098" s="140">
        <v>203041</v>
      </c>
      <c r="B3098" s="138">
        <v>38</v>
      </c>
      <c r="C3098" s="138">
        <v>14.5</v>
      </c>
      <c r="D3098" s="152">
        <v>8.43</v>
      </c>
      <c r="E3098" s="752">
        <v>0.214</v>
      </c>
      <c r="F3098" s="142">
        <v>235.40000000000003</v>
      </c>
      <c r="H3098" s="142">
        <v>85.09</v>
      </c>
      <c r="I3098" s="142">
        <v>734</v>
      </c>
      <c r="J3098" s="141">
        <v>0.121</v>
      </c>
      <c r="K3098" s="138">
        <v>11.93</v>
      </c>
      <c r="L3098" s="140">
        <v>880</v>
      </c>
      <c r="M3098" s="140">
        <v>0.3</v>
      </c>
      <c r="N3098" s="140">
        <v>0.53</v>
      </c>
      <c r="O3098" s="140">
        <v>4.07</v>
      </c>
      <c r="P3098" s="140">
        <v>0.87</v>
      </c>
      <c r="R3098" s="139">
        <v>0.8914345586964364</v>
      </c>
      <c r="S3098" s="138">
        <v>5.81</v>
      </c>
      <c r="Y3098" s="138">
        <v>28</v>
      </c>
      <c r="AD3098" s="70">
        <v>560</v>
      </c>
      <c r="AE3098" s="70">
        <v>280</v>
      </c>
      <c r="AF3098" s="70">
        <v>160</v>
      </c>
      <c r="AG3098" s="66">
        <f t="shared" si="120"/>
        <v>150.82928571428573</v>
      </c>
      <c r="AH3098" s="143">
        <f t="shared" si="121"/>
        <v>1000</v>
      </c>
    </row>
    <row r="3099" spans="1:34" x14ac:dyDescent="0.3">
      <c r="A3099" s="140">
        <v>203042</v>
      </c>
      <c r="B3099" s="138">
        <v>36.700000000000003</v>
      </c>
      <c r="C3099" s="138">
        <v>12.25</v>
      </c>
      <c r="D3099" s="152">
        <v>8.2200000000000006</v>
      </c>
      <c r="E3099" s="752">
        <v>0.16300000000000001</v>
      </c>
      <c r="F3099" s="142">
        <v>179.3</v>
      </c>
      <c r="H3099" s="142">
        <v>84.9</v>
      </c>
      <c r="I3099" s="142">
        <v>379</v>
      </c>
      <c r="J3099" s="141">
        <v>0.10199999999999999</v>
      </c>
      <c r="K3099" s="138">
        <v>11.45</v>
      </c>
      <c r="L3099" s="140">
        <v>1000</v>
      </c>
      <c r="M3099" s="140">
        <v>0.3</v>
      </c>
      <c r="N3099" s="140">
        <v>0.44</v>
      </c>
      <c r="O3099" s="140">
        <v>9.01</v>
      </c>
      <c r="P3099" s="140">
        <v>1.67</v>
      </c>
      <c r="R3099" s="139">
        <v>0.97423366402028666</v>
      </c>
      <c r="S3099" s="138">
        <v>6.34</v>
      </c>
      <c r="Y3099" s="138">
        <v>31.4</v>
      </c>
      <c r="AD3099" s="70">
        <v>520</v>
      </c>
      <c r="AE3099" s="70">
        <v>300</v>
      </c>
      <c r="AF3099" s="70">
        <v>180</v>
      </c>
      <c r="AG3099" s="66">
        <f t="shared" si="120"/>
        <v>129.0859872611465</v>
      </c>
      <c r="AH3099" s="143">
        <f t="shared" si="121"/>
        <v>1000</v>
      </c>
    </row>
    <row r="3100" spans="1:34" x14ac:dyDescent="0.3">
      <c r="A3100" s="140">
        <v>203043</v>
      </c>
      <c r="B3100" s="138">
        <v>44.3</v>
      </c>
      <c r="C3100" s="138">
        <v>14</v>
      </c>
      <c r="D3100" s="152">
        <v>8.35</v>
      </c>
      <c r="E3100" s="752">
        <v>0.49199999999999999</v>
      </c>
      <c r="F3100" s="142">
        <v>541.20000000000005</v>
      </c>
      <c r="H3100" s="142">
        <v>83.87</v>
      </c>
      <c r="I3100" s="142">
        <v>428</v>
      </c>
      <c r="J3100" s="141">
        <v>0.497</v>
      </c>
      <c r="K3100" s="138">
        <v>11.79</v>
      </c>
      <c r="L3100" s="140">
        <v>1100</v>
      </c>
      <c r="M3100" s="140">
        <v>0.41</v>
      </c>
      <c r="N3100" s="140">
        <v>1.25</v>
      </c>
      <c r="O3100" s="140">
        <v>7.59</v>
      </c>
      <c r="P3100" s="140">
        <v>2.39</v>
      </c>
      <c r="R3100" s="139">
        <v>1.6425882500000002</v>
      </c>
      <c r="S3100" s="138">
        <v>12.05</v>
      </c>
      <c r="Y3100" s="138">
        <v>33.26</v>
      </c>
      <c r="AD3100" s="70">
        <v>560</v>
      </c>
      <c r="AE3100" s="70">
        <v>250</v>
      </c>
      <c r="AF3100" s="70">
        <v>190</v>
      </c>
      <c r="AG3100" s="66">
        <f t="shared" si="120"/>
        <v>125.48586891160554</v>
      </c>
      <c r="AH3100" s="143">
        <f t="shared" si="121"/>
        <v>1000</v>
      </c>
    </row>
    <row r="3101" spans="1:34" x14ac:dyDescent="0.3">
      <c r="A3101" s="818">
        <v>203044</v>
      </c>
      <c r="B3101" s="819">
        <v>8.3000000000000007</v>
      </c>
      <c r="C3101" s="1263"/>
      <c r="D3101" s="820">
        <v>8.66</v>
      </c>
      <c r="E3101" s="1571">
        <v>0.30499999999999999</v>
      </c>
      <c r="F3101" s="821">
        <v>335.5</v>
      </c>
      <c r="G3101" s="818"/>
      <c r="H3101" s="821">
        <v>241.38</v>
      </c>
      <c r="I3101" s="821">
        <v>540</v>
      </c>
      <c r="J3101" s="822">
        <v>0.19</v>
      </c>
      <c r="K3101" s="819">
        <v>7.02</v>
      </c>
      <c r="L3101" s="818">
        <v>580</v>
      </c>
      <c r="M3101" s="818">
        <v>2.27</v>
      </c>
      <c r="N3101" s="818">
        <v>0.65</v>
      </c>
      <c r="O3101" s="818">
        <v>5.93</v>
      </c>
      <c r="P3101" s="818">
        <v>7.22</v>
      </c>
      <c r="Q3101" s="818"/>
      <c r="R3101" s="820">
        <v>1.6193124800000001</v>
      </c>
      <c r="S3101" s="819">
        <v>11.44</v>
      </c>
      <c r="T3101" s="818"/>
      <c r="U3101" s="818"/>
      <c r="V3101" s="818"/>
      <c r="W3101" s="818"/>
      <c r="X3101" s="818"/>
      <c r="Y3101" s="819">
        <v>4.8</v>
      </c>
      <c r="Z3101" s="818"/>
      <c r="AA3101" s="820">
        <v>4.8</v>
      </c>
      <c r="AB3101" s="820">
        <v>0.63200000000000001</v>
      </c>
      <c r="AC3101" s="818">
        <v>7.6</v>
      </c>
      <c r="AD3101" s="824">
        <v>80</v>
      </c>
      <c r="AE3101" s="824">
        <v>80</v>
      </c>
      <c r="AF3101" s="824">
        <v>840</v>
      </c>
      <c r="AG3101" s="66">
        <f t="shared" si="120"/>
        <v>517.72500000000002</v>
      </c>
      <c r="AH3101" s="143">
        <f t="shared" si="121"/>
        <v>1000</v>
      </c>
    </row>
    <row r="3102" spans="1:34" x14ac:dyDescent="0.3">
      <c r="A3102" s="818">
        <v>203045</v>
      </c>
      <c r="B3102" s="819">
        <v>1.3</v>
      </c>
      <c r="C3102" s="1263"/>
      <c r="D3102" s="820">
        <v>8.1300000000000008</v>
      </c>
      <c r="E3102" s="1571">
        <v>0.53800000000000003</v>
      </c>
      <c r="F3102" s="821">
        <v>591.80000000000007</v>
      </c>
      <c r="G3102" s="818"/>
      <c r="H3102" s="821">
        <v>0.81</v>
      </c>
      <c r="I3102" s="821">
        <v>980</v>
      </c>
      <c r="J3102" s="822">
        <v>4.7E-2</v>
      </c>
      <c r="K3102" s="819">
        <v>5.25</v>
      </c>
      <c r="L3102" s="818">
        <v>807</v>
      </c>
      <c r="M3102" s="818">
        <v>0.35</v>
      </c>
      <c r="N3102" s="818">
        <v>1.1000000000000001</v>
      </c>
      <c r="O3102" s="818">
        <v>4.0599999999999996</v>
      </c>
      <c r="P3102" s="818">
        <v>4.18</v>
      </c>
      <c r="Q3102" s="818"/>
      <c r="R3102" s="820">
        <v>1.66718513</v>
      </c>
      <c r="S3102" s="819">
        <v>12.709999999999999</v>
      </c>
      <c r="T3102" s="818"/>
      <c r="U3102" s="818"/>
      <c r="V3102" s="818"/>
      <c r="W3102" s="818"/>
      <c r="X3102" s="818"/>
      <c r="Y3102" s="819">
        <v>24</v>
      </c>
      <c r="Z3102" s="818"/>
      <c r="AA3102" s="820">
        <v>3.66</v>
      </c>
      <c r="AB3102" s="820">
        <v>0.66500000000000004</v>
      </c>
      <c r="AC3102" s="818">
        <v>7.7</v>
      </c>
      <c r="AD3102" s="824">
        <v>480</v>
      </c>
      <c r="AE3102" s="824">
        <v>370</v>
      </c>
      <c r="AF3102" s="824">
        <v>150</v>
      </c>
      <c r="AG3102" s="66">
        <f t="shared" si="120"/>
        <v>77.4375</v>
      </c>
      <c r="AH3102" s="143">
        <f t="shared" si="121"/>
        <v>1000</v>
      </c>
    </row>
    <row r="3103" spans="1:34" x14ac:dyDescent="0.3">
      <c r="A3103" s="818">
        <v>203046</v>
      </c>
      <c r="B3103" s="819">
        <v>1.9</v>
      </c>
      <c r="C3103" s="1263"/>
      <c r="D3103" s="820">
        <v>8.3800000000000008</v>
      </c>
      <c r="E3103" s="1571">
        <v>0.152</v>
      </c>
      <c r="F3103" s="821">
        <v>167.20000000000002</v>
      </c>
      <c r="G3103" s="818"/>
      <c r="H3103" s="821">
        <v>1.58</v>
      </c>
      <c r="I3103" s="821">
        <v>220</v>
      </c>
      <c r="J3103" s="822">
        <v>6.8000000000000005E-2</v>
      </c>
      <c r="K3103" s="819">
        <v>5.55</v>
      </c>
      <c r="L3103" s="818">
        <v>1129</v>
      </c>
      <c r="M3103" s="818">
        <v>0.12</v>
      </c>
      <c r="N3103" s="818">
        <v>1.0900000000000001</v>
      </c>
      <c r="O3103" s="818">
        <v>3.3</v>
      </c>
      <c r="P3103" s="818">
        <v>4.1500000000000004</v>
      </c>
      <c r="Q3103" s="818"/>
      <c r="R3103" s="820">
        <v>1.2294626822447086</v>
      </c>
      <c r="S3103" s="819">
        <v>9.11</v>
      </c>
      <c r="T3103" s="818"/>
      <c r="U3103" s="818"/>
      <c r="V3103" s="818"/>
      <c r="W3103" s="818"/>
      <c r="X3103" s="818"/>
      <c r="Y3103" s="819">
        <v>35.6</v>
      </c>
      <c r="Z3103" s="818"/>
      <c r="AA3103" s="820">
        <v>3.68</v>
      </c>
      <c r="AB3103" s="820">
        <v>0.54900000000000004</v>
      </c>
      <c r="AC3103" s="818">
        <v>6.7</v>
      </c>
      <c r="AD3103" s="824">
        <v>580</v>
      </c>
      <c r="AE3103" s="824">
        <v>300</v>
      </c>
      <c r="AF3103" s="824">
        <v>120</v>
      </c>
      <c r="AG3103" s="66">
        <f t="shared" si="120"/>
        <v>55.188202247191001</v>
      </c>
      <c r="AH3103" s="143">
        <f t="shared" si="121"/>
        <v>1000</v>
      </c>
    </row>
    <row r="3104" spans="1:34" x14ac:dyDescent="0.3">
      <c r="A3104" s="818">
        <v>203047</v>
      </c>
      <c r="B3104" s="819">
        <v>1.1000000000000001</v>
      </c>
      <c r="C3104" s="1263"/>
      <c r="D3104" s="820">
        <v>8.33</v>
      </c>
      <c r="E3104" s="1571">
        <v>0.13500000000000001</v>
      </c>
      <c r="F3104" s="821">
        <v>148.50000000000003</v>
      </c>
      <c r="G3104" s="818"/>
      <c r="H3104" s="821">
        <v>3.09</v>
      </c>
      <c r="I3104" s="821">
        <v>240</v>
      </c>
      <c r="J3104" s="822">
        <v>3.9E-2</v>
      </c>
      <c r="K3104" s="819">
        <v>3.88</v>
      </c>
      <c r="L3104" s="818">
        <v>200</v>
      </c>
      <c r="M3104" s="818">
        <v>0.09</v>
      </c>
      <c r="N3104" s="818">
        <v>0.2</v>
      </c>
      <c r="O3104" s="818">
        <v>3.08</v>
      </c>
      <c r="P3104" s="818">
        <v>0.9</v>
      </c>
      <c r="Q3104" s="818"/>
      <c r="R3104" s="820">
        <v>0.70345386356893769</v>
      </c>
      <c r="S3104" s="819">
        <v>5.13</v>
      </c>
      <c r="T3104" s="818"/>
      <c r="U3104" s="818"/>
      <c r="V3104" s="818"/>
      <c r="W3104" s="818"/>
      <c r="X3104" s="818"/>
      <c r="Y3104" s="819">
        <v>4.2</v>
      </c>
      <c r="Z3104" s="818"/>
      <c r="AA3104" s="820"/>
      <c r="AB3104" s="820"/>
      <c r="AC3104" s="818"/>
      <c r="AD3104" s="824">
        <v>60</v>
      </c>
      <c r="AE3104" s="824">
        <v>60</v>
      </c>
      <c r="AF3104" s="824">
        <v>880</v>
      </c>
      <c r="AG3104" s="66">
        <f t="shared" si="120"/>
        <v>327.02857142857141</v>
      </c>
      <c r="AH3104" s="143">
        <f t="shared" si="121"/>
        <v>1000</v>
      </c>
    </row>
    <row r="3105" spans="1:34" x14ac:dyDescent="0.3">
      <c r="A3105" s="818">
        <v>203048</v>
      </c>
      <c r="B3105" s="819">
        <v>6.4</v>
      </c>
      <c r="C3105" s="1263"/>
      <c r="D3105" s="820">
        <v>8.15</v>
      </c>
      <c r="E3105" s="1571">
        <v>0.13800000000000001</v>
      </c>
      <c r="F3105" s="821">
        <v>151.80000000000001</v>
      </c>
      <c r="G3105" s="818"/>
      <c r="H3105" s="821">
        <v>3.99</v>
      </c>
      <c r="I3105" s="821">
        <v>270</v>
      </c>
      <c r="J3105" s="822">
        <v>4.4999999999999998E-2</v>
      </c>
      <c r="K3105" s="819">
        <v>7.86</v>
      </c>
      <c r="L3105" s="818">
        <v>327</v>
      </c>
      <c r="M3105" s="818">
        <v>0.25</v>
      </c>
      <c r="N3105" s="818">
        <v>0.7</v>
      </c>
      <c r="O3105" s="818">
        <v>6.52</v>
      </c>
      <c r="P3105" s="818">
        <v>3.83</v>
      </c>
      <c r="Q3105" s="818"/>
      <c r="R3105" s="820">
        <v>1.8164982800000002</v>
      </c>
      <c r="S3105" s="819">
        <v>17.14</v>
      </c>
      <c r="T3105" s="818"/>
      <c r="U3105" s="818"/>
      <c r="V3105" s="818"/>
      <c r="W3105" s="818"/>
      <c r="X3105" s="818"/>
      <c r="Y3105" s="819">
        <v>30</v>
      </c>
      <c r="Z3105" s="818"/>
      <c r="AA3105" s="820">
        <v>3.62</v>
      </c>
      <c r="AB3105" s="820">
        <v>0.51</v>
      </c>
      <c r="AC3105" s="818">
        <v>11.7</v>
      </c>
      <c r="AD3105" s="824">
        <v>500</v>
      </c>
      <c r="AE3105" s="824">
        <v>260</v>
      </c>
      <c r="AF3105" s="824">
        <v>240</v>
      </c>
      <c r="AG3105" s="66">
        <f t="shared" si="120"/>
        <v>92.748000000000005</v>
      </c>
      <c r="AH3105" s="143">
        <f t="shared" si="121"/>
        <v>1000</v>
      </c>
    </row>
    <row r="3106" spans="1:34" x14ac:dyDescent="0.3">
      <c r="A3106" s="818">
        <v>203049</v>
      </c>
      <c r="B3106" s="819">
        <v>16.7</v>
      </c>
      <c r="C3106" s="819">
        <v>10.125</v>
      </c>
      <c r="D3106" s="820">
        <v>8.27</v>
      </c>
      <c r="E3106" s="1571">
        <v>0.14899999999999999</v>
      </c>
      <c r="F3106" s="821">
        <v>163.9</v>
      </c>
      <c r="G3106" s="818"/>
      <c r="H3106" s="821">
        <v>5.45</v>
      </c>
      <c r="I3106" s="821">
        <v>170</v>
      </c>
      <c r="J3106" s="822">
        <v>6.6000000000000003E-2</v>
      </c>
      <c r="K3106" s="819">
        <v>10.38</v>
      </c>
      <c r="L3106" s="818">
        <v>289</v>
      </c>
      <c r="M3106" s="818">
        <v>0.15</v>
      </c>
      <c r="N3106" s="818">
        <v>0.57999999999999996</v>
      </c>
      <c r="O3106" s="818">
        <v>5.6</v>
      </c>
      <c r="P3106" s="818">
        <v>2.82</v>
      </c>
      <c r="Q3106" s="818"/>
      <c r="R3106" s="820">
        <v>1.6814330000000002</v>
      </c>
      <c r="S3106" s="819">
        <v>13.100000000000001</v>
      </c>
      <c r="T3106" s="818"/>
      <c r="U3106" s="818"/>
      <c r="V3106" s="818"/>
      <c r="W3106" s="818"/>
      <c r="X3106" s="818"/>
      <c r="Y3106" s="819">
        <v>28.8</v>
      </c>
      <c r="Z3106" s="818"/>
      <c r="AA3106" s="820">
        <v>3.94</v>
      </c>
      <c r="AB3106" s="820">
        <v>0.69799999999999995</v>
      </c>
      <c r="AC3106" s="818">
        <v>9.1999999999999993</v>
      </c>
      <c r="AD3106" s="824">
        <v>480</v>
      </c>
      <c r="AE3106" s="824">
        <v>260</v>
      </c>
      <c r="AF3106" s="824">
        <v>260</v>
      </c>
      <c r="AG3106" s="66">
        <f t="shared" si="120"/>
        <v>127.58750000000001</v>
      </c>
      <c r="AH3106" s="143">
        <f t="shared" si="121"/>
        <v>1000</v>
      </c>
    </row>
    <row r="3107" spans="1:34" x14ac:dyDescent="0.3">
      <c r="A3107" s="818">
        <v>203050</v>
      </c>
      <c r="B3107" s="819">
        <v>14.2</v>
      </c>
      <c r="C3107" s="819">
        <v>8.125</v>
      </c>
      <c r="D3107" s="820">
        <v>8.1300000000000008</v>
      </c>
      <c r="E3107" s="1571">
        <v>0.78400000000000003</v>
      </c>
      <c r="F3107" s="821">
        <v>862.40000000000009</v>
      </c>
      <c r="G3107" s="818"/>
      <c r="H3107" s="821">
        <v>10.52</v>
      </c>
      <c r="I3107" s="821">
        <v>370</v>
      </c>
      <c r="J3107" s="822">
        <v>0.60799999999999998</v>
      </c>
      <c r="K3107" s="819">
        <v>8.08</v>
      </c>
      <c r="L3107" s="818">
        <v>1315</v>
      </c>
      <c r="M3107" s="818">
        <v>1.28</v>
      </c>
      <c r="N3107" s="818">
        <v>0.48</v>
      </c>
      <c r="O3107" s="818">
        <v>7.97</v>
      </c>
      <c r="P3107" s="818">
        <v>3.24</v>
      </c>
      <c r="Q3107" s="818"/>
      <c r="R3107" s="820">
        <v>1.9188771300000003</v>
      </c>
      <c r="S3107" s="819">
        <v>20.790000000000003</v>
      </c>
      <c r="T3107" s="818"/>
      <c r="U3107" s="818"/>
      <c r="V3107" s="818"/>
      <c r="W3107" s="818"/>
      <c r="X3107" s="818"/>
      <c r="Y3107" s="819">
        <v>25.2</v>
      </c>
      <c r="Z3107" s="818"/>
      <c r="AA3107" s="820">
        <v>4.49</v>
      </c>
      <c r="AB3107" s="820">
        <v>0.40600000000000003</v>
      </c>
      <c r="AC3107" s="818">
        <v>8.1</v>
      </c>
      <c r="AD3107" s="824">
        <v>420</v>
      </c>
      <c r="AE3107" s="824">
        <v>280</v>
      </c>
      <c r="AF3107" s="824">
        <v>300</v>
      </c>
      <c r="AG3107" s="66">
        <f t="shared" si="120"/>
        <v>113.50476190476192</v>
      </c>
      <c r="AH3107" s="143">
        <f t="shared" si="121"/>
        <v>1000</v>
      </c>
    </row>
    <row r="3108" spans="1:34" x14ac:dyDescent="0.3">
      <c r="A3108" s="818">
        <v>203051</v>
      </c>
      <c r="B3108" s="819">
        <v>21.3</v>
      </c>
      <c r="C3108" s="819">
        <v>11.375</v>
      </c>
      <c r="D3108" s="820">
        <v>8.52</v>
      </c>
      <c r="E3108" s="1571">
        <v>0.55500000000000005</v>
      </c>
      <c r="F3108" s="821">
        <v>610.50000000000011</v>
      </c>
      <c r="G3108" s="818"/>
      <c r="H3108" s="821">
        <v>10.45</v>
      </c>
      <c r="I3108" s="821">
        <v>220</v>
      </c>
      <c r="J3108" s="822">
        <v>0.51400000000000001</v>
      </c>
      <c r="K3108" s="819">
        <v>8.3800000000000008</v>
      </c>
      <c r="L3108" s="818">
        <v>1418</v>
      </c>
      <c r="M3108" s="818">
        <v>0.3</v>
      </c>
      <c r="N3108" s="818">
        <v>0.42</v>
      </c>
      <c r="O3108" s="818">
        <v>5.7</v>
      </c>
      <c r="P3108" s="818">
        <v>3.03</v>
      </c>
      <c r="Q3108" s="818"/>
      <c r="R3108" s="820">
        <v>1.89776772</v>
      </c>
      <c r="S3108" s="819">
        <v>19.98</v>
      </c>
      <c r="T3108" s="818"/>
      <c r="U3108" s="818"/>
      <c r="V3108" s="818"/>
      <c r="W3108" s="818"/>
      <c r="X3108" s="818"/>
      <c r="Y3108" s="819">
        <v>20.5</v>
      </c>
      <c r="Z3108" s="818"/>
      <c r="AA3108" s="820">
        <v>4.63</v>
      </c>
      <c r="AB3108" s="820">
        <v>0.3</v>
      </c>
      <c r="AC3108" s="818">
        <v>7.8</v>
      </c>
      <c r="AD3108" s="824">
        <v>410</v>
      </c>
      <c r="AE3108" s="824">
        <v>310</v>
      </c>
      <c r="AF3108" s="824">
        <v>280</v>
      </c>
      <c r="AG3108" s="66">
        <f t="shared" si="120"/>
        <v>144.70829268292684</v>
      </c>
      <c r="AH3108" s="143">
        <f t="shared" si="121"/>
        <v>1000</v>
      </c>
    </row>
    <row r="3109" spans="1:34" x14ac:dyDescent="0.3">
      <c r="A3109" s="818">
        <v>203052</v>
      </c>
      <c r="B3109" s="819">
        <v>13.8</v>
      </c>
      <c r="C3109" s="819">
        <v>9.2499999999999982</v>
      </c>
      <c r="D3109" s="820">
        <v>8.23</v>
      </c>
      <c r="E3109" s="1571">
        <v>0.40300000000000002</v>
      </c>
      <c r="F3109" s="821">
        <v>443.30000000000007</v>
      </c>
      <c r="G3109" s="818"/>
      <c r="H3109" s="821">
        <v>20.74</v>
      </c>
      <c r="I3109" s="821">
        <v>220</v>
      </c>
      <c r="J3109" s="822">
        <v>0.22700000000000001</v>
      </c>
      <c r="K3109" s="819">
        <v>8.26</v>
      </c>
      <c r="L3109" s="818">
        <v>1508</v>
      </c>
      <c r="M3109" s="818">
        <v>0.49</v>
      </c>
      <c r="N3109" s="818">
        <v>0.65</v>
      </c>
      <c r="O3109" s="818">
        <v>6.25</v>
      </c>
      <c r="P3109" s="818">
        <v>4.2300000000000004</v>
      </c>
      <c r="Q3109" s="818"/>
      <c r="R3109" s="820">
        <v>1.9127182500000002</v>
      </c>
      <c r="S3109" s="819">
        <v>20.55</v>
      </c>
      <c r="T3109" s="818"/>
      <c r="U3109" s="818"/>
      <c r="V3109" s="818"/>
      <c r="W3109" s="818"/>
      <c r="X3109" s="818"/>
      <c r="Y3109" s="819">
        <v>24</v>
      </c>
      <c r="Z3109" s="818"/>
      <c r="AA3109" s="820">
        <v>4.91</v>
      </c>
      <c r="AB3109" s="820">
        <v>0.79</v>
      </c>
      <c r="AC3109" s="818">
        <v>6.6</v>
      </c>
      <c r="AD3109" s="824">
        <v>400</v>
      </c>
      <c r="AE3109" s="824">
        <v>340</v>
      </c>
      <c r="AF3109" s="824">
        <v>260</v>
      </c>
      <c r="AG3109" s="66">
        <f t="shared" si="120"/>
        <v>121.83499999999999</v>
      </c>
      <c r="AH3109" s="143">
        <f t="shared" si="121"/>
        <v>1000</v>
      </c>
    </row>
    <row r="3110" spans="1:34" x14ac:dyDescent="0.3">
      <c r="A3110" s="818">
        <v>203053</v>
      </c>
      <c r="B3110" s="819">
        <v>25.8</v>
      </c>
      <c r="C3110" s="819">
        <v>10.999999999999998</v>
      </c>
      <c r="D3110" s="820">
        <v>8.1</v>
      </c>
      <c r="E3110" s="1571">
        <v>0.95799999999999996</v>
      </c>
      <c r="F3110" s="821">
        <v>1053.8000000000002</v>
      </c>
      <c r="G3110" s="818"/>
      <c r="H3110" s="821">
        <v>9.01</v>
      </c>
      <c r="I3110" s="821">
        <v>160</v>
      </c>
      <c r="J3110" s="822">
        <v>0.75800000000000001</v>
      </c>
      <c r="K3110" s="819">
        <v>10.27</v>
      </c>
      <c r="L3110" s="818">
        <v>1691</v>
      </c>
      <c r="M3110" s="818">
        <v>0.25</v>
      </c>
      <c r="N3110" s="818">
        <v>0.52</v>
      </c>
      <c r="O3110" s="818">
        <v>4.57</v>
      </c>
      <c r="P3110" s="818">
        <v>4.21</v>
      </c>
      <c r="Q3110" s="818"/>
      <c r="R3110" s="820">
        <v>1.8591165200000002</v>
      </c>
      <c r="S3110" s="819">
        <v>18.580000000000002</v>
      </c>
      <c r="T3110" s="818"/>
      <c r="U3110" s="818"/>
      <c r="V3110" s="818"/>
      <c r="W3110" s="818"/>
      <c r="X3110" s="818"/>
      <c r="Y3110" s="819">
        <v>22</v>
      </c>
      <c r="Z3110" s="818"/>
      <c r="AA3110" s="820">
        <v>4.5599999999999996</v>
      </c>
      <c r="AB3110" s="820">
        <v>0.51100000000000001</v>
      </c>
      <c r="AC3110" s="818">
        <v>8.4</v>
      </c>
      <c r="AD3110" s="824">
        <v>440</v>
      </c>
      <c r="AE3110" s="824">
        <v>290</v>
      </c>
      <c r="AF3110" s="824">
        <v>270</v>
      </c>
      <c r="AG3110" s="66">
        <f t="shared" si="120"/>
        <v>165.25363636363639</v>
      </c>
      <c r="AH3110" s="143">
        <f t="shared" si="121"/>
        <v>1000</v>
      </c>
    </row>
    <row r="3111" spans="1:34" x14ac:dyDescent="0.3">
      <c r="A3111" s="818">
        <v>203054</v>
      </c>
      <c r="B3111" s="819">
        <v>20.8</v>
      </c>
      <c r="C3111" s="819">
        <v>11.375</v>
      </c>
      <c r="D3111" s="820">
        <v>8.1199999999999992</v>
      </c>
      <c r="E3111" s="1571">
        <v>0.35199999999999998</v>
      </c>
      <c r="F3111" s="821">
        <v>387.2</v>
      </c>
      <c r="G3111" s="818"/>
      <c r="H3111" s="821">
        <v>7.55</v>
      </c>
      <c r="I3111" s="821">
        <v>330</v>
      </c>
      <c r="J3111" s="822">
        <v>0.16600000000000001</v>
      </c>
      <c r="K3111" s="819">
        <v>10.38</v>
      </c>
      <c r="L3111" s="818">
        <v>565</v>
      </c>
      <c r="M3111" s="818">
        <v>0.28000000000000003</v>
      </c>
      <c r="N3111" s="818">
        <v>0.44</v>
      </c>
      <c r="O3111" s="818">
        <v>7.06</v>
      </c>
      <c r="P3111" s="818">
        <v>3.78</v>
      </c>
      <c r="Q3111" s="818"/>
      <c r="R3111" s="820">
        <v>1.88971632</v>
      </c>
      <c r="S3111" s="819">
        <v>19.68</v>
      </c>
      <c r="T3111" s="818"/>
      <c r="U3111" s="818"/>
      <c r="V3111" s="818"/>
      <c r="W3111" s="818"/>
      <c r="X3111" s="818"/>
      <c r="Y3111" s="819">
        <v>29.4</v>
      </c>
      <c r="Z3111" s="818"/>
      <c r="AA3111" s="820">
        <v>3.53</v>
      </c>
      <c r="AB3111" s="820">
        <v>0.873</v>
      </c>
      <c r="AC3111" s="818">
        <v>6.9</v>
      </c>
      <c r="AD3111" s="824">
        <v>490</v>
      </c>
      <c r="AE3111" s="824">
        <v>310</v>
      </c>
      <c r="AF3111" s="824">
        <v>200</v>
      </c>
      <c r="AG3111" s="66">
        <f t="shared" si="120"/>
        <v>124.98367346938778</v>
      </c>
      <c r="AH3111" s="143">
        <f t="shared" si="121"/>
        <v>1000</v>
      </c>
    </row>
    <row r="3112" spans="1:34" x14ac:dyDescent="0.3">
      <c r="A3112" s="818">
        <v>203055</v>
      </c>
      <c r="B3112" s="819">
        <v>17.100000000000001</v>
      </c>
      <c r="C3112" s="819">
        <v>13.499999999999998</v>
      </c>
      <c r="D3112" s="820">
        <v>8.41</v>
      </c>
      <c r="E3112" s="1571">
        <v>0.75</v>
      </c>
      <c r="F3112" s="821">
        <v>825.00000000000011</v>
      </c>
      <c r="G3112" s="818"/>
      <c r="H3112" s="821">
        <v>26.16</v>
      </c>
      <c r="I3112" s="821">
        <v>980</v>
      </c>
      <c r="J3112" s="822">
        <v>0.83899999999999997</v>
      </c>
      <c r="K3112" s="819">
        <v>11.15</v>
      </c>
      <c r="L3112" s="818">
        <v>938</v>
      </c>
      <c r="M3112" s="818">
        <v>0.37</v>
      </c>
      <c r="N3112" s="818">
        <v>0.83</v>
      </c>
      <c r="O3112" s="818">
        <v>3.42</v>
      </c>
      <c r="P3112" s="818">
        <v>3.57</v>
      </c>
      <c r="Q3112" s="818"/>
      <c r="R3112" s="820">
        <v>1.1818463009997933</v>
      </c>
      <c r="S3112" s="819">
        <v>8.7799999999999994</v>
      </c>
      <c r="T3112" s="818"/>
      <c r="U3112" s="818"/>
      <c r="V3112" s="818"/>
      <c r="W3112" s="818"/>
      <c r="X3112" s="818"/>
      <c r="Y3112" s="819">
        <v>29.5</v>
      </c>
      <c r="Z3112" s="818"/>
      <c r="AA3112" s="820"/>
      <c r="AB3112" s="820"/>
      <c r="AC3112" s="818"/>
      <c r="AD3112" s="824">
        <v>590</v>
      </c>
      <c r="AE3112" s="824">
        <v>290</v>
      </c>
      <c r="AF3112" s="824">
        <v>120</v>
      </c>
      <c r="AG3112" s="66">
        <f t="shared" si="120"/>
        <v>133.80000000000001</v>
      </c>
      <c r="AH3112" s="143">
        <f t="shared" si="121"/>
        <v>1000</v>
      </c>
    </row>
    <row r="3113" spans="1:34" x14ac:dyDescent="0.3">
      <c r="A3113" s="818">
        <v>203056</v>
      </c>
      <c r="B3113" s="819">
        <v>30</v>
      </c>
      <c r="C3113" s="819">
        <v>11.749999999999998</v>
      </c>
      <c r="D3113" s="820">
        <v>8.34</v>
      </c>
      <c r="E3113" s="1571">
        <v>1.54</v>
      </c>
      <c r="F3113" s="821">
        <v>1694.0000000000002</v>
      </c>
      <c r="G3113" s="818"/>
      <c r="H3113" s="821">
        <v>1.45</v>
      </c>
      <c r="I3113" s="821">
        <v>160</v>
      </c>
      <c r="J3113" s="822">
        <v>1.2549999999999999</v>
      </c>
      <c r="K3113" s="819">
        <v>10.42</v>
      </c>
      <c r="L3113" s="818">
        <v>1419</v>
      </c>
      <c r="M3113" s="818">
        <v>0.26</v>
      </c>
      <c r="N3113" s="818">
        <v>0.59</v>
      </c>
      <c r="O3113" s="818">
        <v>1.41</v>
      </c>
      <c r="P3113" s="818">
        <v>3.95</v>
      </c>
      <c r="Q3113" s="818"/>
      <c r="R3113" s="820">
        <v>0.69122166351205749</v>
      </c>
      <c r="S3113" s="819">
        <v>5.18</v>
      </c>
      <c r="T3113" s="818"/>
      <c r="U3113" s="818"/>
      <c r="V3113" s="818"/>
      <c r="W3113" s="818"/>
      <c r="X3113" s="818"/>
      <c r="Y3113" s="819">
        <v>34.4</v>
      </c>
      <c r="Z3113" s="818"/>
      <c r="AA3113" s="820"/>
      <c r="AB3113" s="820"/>
      <c r="AC3113" s="818"/>
      <c r="AD3113" s="824">
        <v>640</v>
      </c>
      <c r="AE3113" s="824">
        <v>270</v>
      </c>
      <c r="AF3113" s="824">
        <v>90</v>
      </c>
      <c r="AG3113" s="66">
        <f t="shared" si="120"/>
        <v>107.22906976744187</v>
      </c>
      <c r="AH3113" s="143">
        <f t="shared" si="121"/>
        <v>1000</v>
      </c>
    </row>
    <row r="3114" spans="1:34" x14ac:dyDescent="0.3">
      <c r="A3114" s="818">
        <v>203057</v>
      </c>
      <c r="B3114" s="819">
        <v>33.299999999999997</v>
      </c>
      <c r="C3114" s="819">
        <v>11.375</v>
      </c>
      <c r="D3114" s="820">
        <v>8.14</v>
      </c>
      <c r="E3114" s="1571">
        <v>2.25</v>
      </c>
      <c r="F3114" s="821">
        <v>2475</v>
      </c>
      <c r="G3114" s="818"/>
      <c r="H3114" s="821">
        <v>5.45</v>
      </c>
      <c r="I3114" s="821">
        <v>70</v>
      </c>
      <c r="J3114" s="822">
        <v>1.542</v>
      </c>
      <c r="K3114" s="819">
        <v>11.58</v>
      </c>
      <c r="L3114" s="818">
        <v>997</v>
      </c>
      <c r="M3114" s="818">
        <v>0.17</v>
      </c>
      <c r="N3114" s="818">
        <v>0.34</v>
      </c>
      <c r="O3114" s="818">
        <v>0.98</v>
      </c>
      <c r="P3114" s="818">
        <v>2.27</v>
      </c>
      <c r="Q3114" s="818"/>
      <c r="R3114" s="820">
        <v>0.3809084960721158</v>
      </c>
      <c r="S3114" s="819">
        <v>2.68</v>
      </c>
      <c r="T3114" s="818"/>
      <c r="U3114" s="818"/>
      <c r="V3114" s="818"/>
      <c r="W3114" s="818"/>
      <c r="X3114" s="818"/>
      <c r="Y3114" s="819">
        <v>36.4</v>
      </c>
      <c r="Z3114" s="818"/>
      <c r="AA3114" s="820"/>
      <c r="AB3114" s="820"/>
      <c r="AC3114" s="818"/>
      <c r="AD3114" s="824">
        <v>620</v>
      </c>
      <c r="AE3114" s="824">
        <v>280</v>
      </c>
      <c r="AF3114" s="824">
        <v>100</v>
      </c>
      <c r="AG3114" s="66">
        <f t="shared" si="120"/>
        <v>112.61868131868131</v>
      </c>
      <c r="AH3114" s="143">
        <f t="shared" si="121"/>
        <v>1000</v>
      </c>
    </row>
    <row r="3115" spans="1:34" x14ac:dyDescent="0.3">
      <c r="A3115" s="818">
        <v>203058</v>
      </c>
      <c r="B3115" s="819">
        <v>39.200000000000003</v>
      </c>
      <c r="C3115" s="819">
        <v>15.75</v>
      </c>
      <c r="D3115" s="820">
        <v>8.2200000000000006</v>
      </c>
      <c r="E3115" s="1571">
        <v>0.46700000000000003</v>
      </c>
      <c r="F3115" s="821">
        <v>513.70000000000005</v>
      </c>
      <c r="G3115" s="818"/>
      <c r="H3115" s="821">
        <v>57.48</v>
      </c>
      <c r="I3115" s="821">
        <v>350</v>
      </c>
      <c r="J3115" s="822">
        <v>0.22800000000000001</v>
      </c>
      <c r="K3115" s="819">
        <v>11.87</v>
      </c>
      <c r="L3115" s="818">
        <v>1078</v>
      </c>
      <c r="M3115" s="818">
        <v>1.33</v>
      </c>
      <c r="N3115" s="818">
        <v>1.69</v>
      </c>
      <c r="O3115" s="818">
        <v>4.13</v>
      </c>
      <c r="P3115" s="818">
        <v>9</v>
      </c>
      <c r="Q3115" s="818"/>
      <c r="R3115" s="820">
        <v>1.9025380800000002</v>
      </c>
      <c r="S3115" s="819">
        <v>20.16</v>
      </c>
      <c r="T3115" s="818"/>
      <c r="U3115" s="818"/>
      <c r="V3115" s="818"/>
      <c r="W3115" s="818"/>
      <c r="X3115" s="818"/>
      <c r="Y3115" s="819">
        <v>33.6</v>
      </c>
      <c r="Z3115" s="818"/>
      <c r="AA3115" s="820"/>
      <c r="AB3115" s="820"/>
      <c r="AC3115" s="818"/>
      <c r="AD3115" s="824">
        <v>480</v>
      </c>
      <c r="AE3115" s="824">
        <v>300</v>
      </c>
      <c r="AF3115" s="824">
        <v>220</v>
      </c>
      <c r="AG3115" s="66">
        <f t="shared" si="120"/>
        <v>125.05892857142855</v>
      </c>
      <c r="AH3115" s="143">
        <f t="shared" si="121"/>
        <v>1000</v>
      </c>
    </row>
    <row r="3116" spans="1:34" x14ac:dyDescent="0.3">
      <c r="A3116" s="818">
        <v>203059</v>
      </c>
      <c r="B3116" s="819">
        <v>61.7</v>
      </c>
      <c r="C3116" s="819">
        <v>13.75</v>
      </c>
      <c r="D3116" s="820">
        <v>8.4</v>
      </c>
      <c r="E3116" s="1571">
        <v>0.23400000000000001</v>
      </c>
      <c r="F3116" s="821">
        <v>257.40000000000003</v>
      </c>
      <c r="G3116" s="818"/>
      <c r="H3116" s="821">
        <v>35.85</v>
      </c>
      <c r="I3116" s="821">
        <v>290</v>
      </c>
      <c r="J3116" s="822">
        <v>6.0999999999999999E-2</v>
      </c>
      <c r="K3116" s="819">
        <v>10.5</v>
      </c>
      <c r="L3116" s="818">
        <v>385</v>
      </c>
      <c r="M3116" s="818">
        <v>0.66</v>
      </c>
      <c r="N3116" s="818">
        <v>0.82</v>
      </c>
      <c r="O3116" s="818">
        <v>2.29</v>
      </c>
      <c r="P3116" s="818">
        <v>2.21</v>
      </c>
      <c r="Q3116" s="818"/>
      <c r="R3116" s="820">
        <v>1.9601939300000002</v>
      </c>
      <c r="S3116" s="819">
        <v>22.490000000000002</v>
      </c>
      <c r="T3116" s="818"/>
      <c r="U3116" s="818"/>
      <c r="V3116" s="818"/>
      <c r="W3116" s="818"/>
      <c r="X3116" s="818"/>
      <c r="Y3116" s="819">
        <v>5.6</v>
      </c>
      <c r="Z3116" s="818"/>
      <c r="AA3116" s="820"/>
      <c r="AB3116" s="820"/>
      <c r="AC3116" s="818"/>
      <c r="AD3116" s="824">
        <v>80</v>
      </c>
      <c r="AE3116" s="824">
        <v>60</v>
      </c>
      <c r="AF3116" s="824">
        <v>860</v>
      </c>
      <c r="AG3116" s="66">
        <f t="shared" si="120"/>
        <v>663.75</v>
      </c>
      <c r="AH3116" s="143">
        <f t="shared" si="121"/>
        <v>1000</v>
      </c>
    </row>
    <row r="3117" spans="1:34" x14ac:dyDescent="0.3">
      <c r="A3117" s="818">
        <v>203060</v>
      </c>
      <c r="B3117" s="819">
        <v>17.5</v>
      </c>
      <c r="C3117" s="819">
        <v>9</v>
      </c>
      <c r="D3117" s="820">
        <v>8.19</v>
      </c>
      <c r="E3117" s="1571">
        <v>0.22800000000000001</v>
      </c>
      <c r="F3117" s="821">
        <v>250.8</v>
      </c>
      <c r="G3117" s="818"/>
      <c r="H3117" s="821">
        <v>113.81</v>
      </c>
      <c r="I3117" s="821">
        <v>380</v>
      </c>
      <c r="J3117" s="822">
        <v>6.2E-2</v>
      </c>
      <c r="K3117" s="819">
        <v>15.49</v>
      </c>
      <c r="L3117" s="818">
        <v>733</v>
      </c>
      <c r="M3117" s="818">
        <v>1.26</v>
      </c>
      <c r="N3117" s="818">
        <v>1</v>
      </c>
      <c r="O3117" s="818">
        <v>2.81</v>
      </c>
      <c r="P3117" s="818">
        <v>3.41</v>
      </c>
      <c r="Q3117" s="818"/>
      <c r="R3117" s="820">
        <v>1.8642396799999998</v>
      </c>
      <c r="S3117" s="819">
        <v>18.759999999999998</v>
      </c>
      <c r="T3117" s="818"/>
      <c r="U3117" s="818"/>
      <c r="V3117" s="818"/>
      <c r="W3117" s="818"/>
      <c r="X3117" s="818"/>
      <c r="Y3117" s="819">
        <v>34.200000000000003</v>
      </c>
      <c r="Z3117" s="818"/>
      <c r="AA3117" s="820">
        <v>3.95</v>
      </c>
      <c r="AB3117" s="820">
        <v>0.29099999999999998</v>
      </c>
      <c r="AC3117" s="818">
        <v>7.3</v>
      </c>
      <c r="AD3117" s="824">
        <v>560</v>
      </c>
      <c r="AE3117" s="824">
        <v>300</v>
      </c>
      <c r="AF3117" s="824">
        <v>140</v>
      </c>
      <c r="AG3117" s="66">
        <f t="shared" si="120"/>
        <v>160.33508771929823</v>
      </c>
      <c r="AH3117" s="143">
        <f t="shared" si="121"/>
        <v>1000</v>
      </c>
    </row>
    <row r="3118" spans="1:34" x14ac:dyDescent="0.3">
      <c r="A3118" s="818">
        <v>203061</v>
      </c>
      <c r="B3118" s="819">
        <v>60.8</v>
      </c>
      <c r="C3118" s="819">
        <v>15</v>
      </c>
      <c r="D3118" s="820">
        <v>8.2100000000000009</v>
      </c>
      <c r="E3118" s="1571">
        <v>0.16200000000000001</v>
      </c>
      <c r="F3118" s="821">
        <v>178.20000000000002</v>
      </c>
      <c r="G3118" s="818"/>
      <c r="H3118" s="821">
        <v>29.61</v>
      </c>
      <c r="I3118" s="821">
        <v>200</v>
      </c>
      <c r="J3118" s="822">
        <v>3.2000000000000001E-2</v>
      </c>
      <c r="K3118" s="819">
        <v>13.75</v>
      </c>
      <c r="L3118" s="818">
        <v>324</v>
      </c>
      <c r="M3118" s="818">
        <v>0.38</v>
      </c>
      <c r="N3118" s="818">
        <v>0.64</v>
      </c>
      <c r="O3118" s="818">
        <v>1.9</v>
      </c>
      <c r="P3118" s="818">
        <v>2.89</v>
      </c>
      <c r="Q3118" s="818"/>
      <c r="R3118" s="820">
        <v>1.2046240644017194</v>
      </c>
      <c r="S3118" s="819">
        <v>8.07</v>
      </c>
      <c r="T3118" s="818"/>
      <c r="U3118" s="818"/>
      <c r="V3118" s="818"/>
      <c r="W3118" s="818"/>
      <c r="X3118" s="818"/>
      <c r="Y3118" s="819">
        <v>21</v>
      </c>
      <c r="Z3118" s="818"/>
      <c r="AA3118" s="820">
        <v>3.96</v>
      </c>
      <c r="AB3118" s="820">
        <v>0.32</v>
      </c>
      <c r="AC3118" s="818">
        <v>8.6999999999999993</v>
      </c>
      <c r="AD3118" s="824">
        <v>420</v>
      </c>
      <c r="AE3118" s="824">
        <v>260</v>
      </c>
      <c r="AF3118" s="824">
        <v>320</v>
      </c>
      <c r="AG3118" s="66">
        <f t="shared" si="120"/>
        <v>231.78571428571428</v>
      </c>
      <c r="AH3118" s="143">
        <f t="shared" si="121"/>
        <v>1000</v>
      </c>
    </row>
    <row r="3119" spans="1:34" x14ac:dyDescent="0.3">
      <c r="A3119" s="818">
        <v>203062</v>
      </c>
      <c r="B3119" s="819">
        <v>13.3</v>
      </c>
      <c r="C3119" s="819">
        <v>9.5</v>
      </c>
      <c r="D3119" s="820">
        <v>8.14</v>
      </c>
      <c r="E3119" s="1571">
        <v>0.152</v>
      </c>
      <c r="F3119" s="821">
        <v>167.20000000000002</v>
      </c>
      <c r="G3119" s="818"/>
      <c r="H3119" s="821">
        <v>37.15</v>
      </c>
      <c r="I3119" s="821">
        <v>280</v>
      </c>
      <c r="J3119" s="822">
        <v>8.2000000000000003E-2</v>
      </c>
      <c r="K3119" s="819">
        <v>14.21</v>
      </c>
      <c r="L3119" s="818">
        <v>760</v>
      </c>
      <c r="M3119" s="818">
        <v>0.64</v>
      </c>
      <c r="N3119" s="818">
        <v>0.75</v>
      </c>
      <c r="O3119" s="818">
        <v>2.27</v>
      </c>
      <c r="P3119" s="818">
        <v>1.79</v>
      </c>
      <c r="Q3119" s="818"/>
      <c r="R3119" s="820">
        <v>1.9191320000000001</v>
      </c>
      <c r="S3119" s="819">
        <v>20.8</v>
      </c>
      <c r="T3119" s="818"/>
      <c r="U3119" s="818"/>
      <c r="V3119" s="818"/>
      <c r="W3119" s="818"/>
      <c r="X3119" s="818"/>
      <c r="Y3119" s="819">
        <v>35.200000000000003</v>
      </c>
      <c r="Z3119" s="818"/>
      <c r="AA3119" s="820">
        <v>4.8499999999999996</v>
      </c>
      <c r="AB3119" s="820">
        <v>0.247</v>
      </c>
      <c r="AC3119" s="818">
        <v>6.7</v>
      </c>
      <c r="AD3119" s="824">
        <v>560</v>
      </c>
      <c r="AE3119" s="824">
        <v>300</v>
      </c>
      <c r="AF3119" s="824">
        <v>140</v>
      </c>
      <c r="AG3119" s="66">
        <f t="shared" si="120"/>
        <v>142.90738636363636</v>
      </c>
      <c r="AH3119" s="143">
        <f t="shared" si="121"/>
        <v>1000</v>
      </c>
    </row>
    <row r="3120" spans="1:34" x14ac:dyDescent="0.3">
      <c r="A3120" s="818">
        <v>203063</v>
      </c>
      <c r="B3120" s="819">
        <v>68.3</v>
      </c>
      <c r="C3120" s="819">
        <v>13.75</v>
      </c>
      <c r="D3120" s="820">
        <v>8.33</v>
      </c>
      <c r="E3120" s="1571">
        <v>0.13300000000000001</v>
      </c>
      <c r="F3120" s="821">
        <v>146.30000000000001</v>
      </c>
      <c r="G3120" s="818"/>
      <c r="H3120" s="821">
        <v>9.4600000000000009</v>
      </c>
      <c r="I3120" s="821">
        <v>120</v>
      </c>
      <c r="J3120" s="822">
        <v>3.9E-2</v>
      </c>
      <c r="K3120" s="819">
        <v>12.87</v>
      </c>
      <c r="L3120" s="818">
        <v>302</v>
      </c>
      <c r="M3120" s="818">
        <v>0.17</v>
      </c>
      <c r="N3120" s="818">
        <v>0.49</v>
      </c>
      <c r="O3120" s="818">
        <v>2.4500000000000002</v>
      </c>
      <c r="P3120" s="818">
        <v>1.92</v>
      </c>
      <c r="Q3120" s="818"/>
      <c r="R3120" s="820">
        <v>0.91613468665374365</v>
      </c>
      <c r="S3120" s="819">
        <v>6.21</v>
      </c>
      <c r="T3120" s="818"/>
      <c r="U3120" s="818"/>
      <c r="V3120" s="818"/>
      <c r="W3120" s="818"/>
      <c r="X3120" s="818"/>
      <c r="Y3120" s="819">
        <v>18</v>
      </c>
      <c r="Z3120" s="818"/>
      <c r="AA3120" s="820">
        <v>4.62</v>
      </c>
      <c r="AB3120" s="820">
        <v>0.40799999999999997</v>
      </c>
      <c r="AC3120" s="818">
        <v>9.8000000000000007</v>
      </c>
      <c r="AD3120" s="824">
        <v>360</v>
      </c>
      <c r="AE3120" s="824">
        <v>310</v>
      </c>
      <c r="AF3120" s="824">
        <v>330</v>
      </c>
      <c r="AG3120" s="66">
        <f t="shared" si="120"/>
        <v>253.10999999999999</v>
      </c>
      <c r="AH3120" s="143">
        <f t="shared" si="121"/>
        <v>1000</v>
      </c>
    </row>
    <row r="3121" spans="1:34" x14ac:dyDescent="0.3">
      <c r="A3121" s="818">
        <v>203064</v>
      </c>
      <c r="B3121" s="819">
        <v>32.5</v>
      </c>
      <c r="C3121" s="819">
        <v>13.624999999999998</v>
      </c>
      <c r="D3121" s="820">
        <v>8.2799999999999994</v>
      </c>
      <c r="E3121" s="1571">
        <v>0.14599999999999999</v>
      </c>
      <c r="F3121" s="821">
        <v>160.6</v>
      </c>
      <c r="G3121" s="818"/>
      <c r="H3121" s="821">
        <v>3.17</v>
      </c>
      <c r="I3121" s="821">
        <v>290</v>
      </c>
      <c r="J3121" s="822">
        <v>4.1000000000000002E-2</v>
      </c>
      <c r="K3121" s="819">
        <v>13.62</v>
      </c>
      <c r="L3121" s="818">
        <v>2544</v>
      </c>
      <c r="M3121" s="818">
        <v>0.36</v>
      </c>
      <c r="N3121" s="818">
        <v>0.81</v>
      </c>
      <c r="O3121" s="818">
        <v>1.41</v>
      </c>
      <c r="P3121" s="818">
        <v>7.82</v>
      </c>
      <c r="Q3121" s="818"/>
      <c r="R3121" s="820">
        <v>1.6843293200000002</v>
      </c>
      <c r="S3121" s="819">
        <v>13.18</v>
      </c>
      <c r="T3121" s="818"/>
      <c r="U3121" s="818"/>
      <c r="V3121" s="818"/>
      <c r="W3121" s="818"/>
      <c r="X3121" s="818"/>
      <c r="Y3121" s="819">
        <v>32.32</v>
      </c>
      <c r="Z3121" s="818"/>
      <c r="AA3121" s="820"/>
      <c r="AB3121" s="820"/>
      <c r="AC3121" s="818"/>
      <c r="AD3121" s="824">
        <v>540</v>
      </c>
      <c r="AE3121" s="824">
        <v>300</v>
      </c>
      <c r="AF3121" s="824">
        <v>160</v>
      </c>
      <c r="AG3121" s="66">
        <f t="shared" si="120"/>
        <v>149.17945544554453</v>
      </c>
      <c r="AH3121" s="143">
        <f t="shared" si="121"/>
        <v>1000</v>
      </c>
    </row>
    <row r="3122" spans="1:34" x14ac:dyDescent="0.3">
      <c r="A3122" s="818">
        <v>203065</v>
      </c>
      <c r="B3122" s="819">
        <v>78.3</v>
      </c>
      <c r="C3122" s="819">
        <v>16.375</v>
      </c>
      <c r="D3122" s="820">
        <v>8.5</v>
      </c>
      <c r="E3122" s="1571">
        <v>0.114</v>
      </c>
      <c r="F3122" s="821">
        <v>125.4</v>
      </c>
      <c r="G3122" s="818"/>
      <c r="H3122" s="821">
        <v>5.77</v>
      </c>
      <c r="I3122" s="821">
        <v>140</v>
      </c>
      <c r="J3122" s="822">
        <v>1.9E-2</v>
      </c>
      <c r="K3122" s="819">
        <v>11.35</v>
      </c>
      <c r="L3122" s="818">
        <v>494</v>
      </c>
      <c r="M3122" s="818">
        <v>0.19</v>
      </c>
      <c r="N3122" s="818">
        <v>0.3</v>
      </c>
      <c r="O3122" s="818">
        <v>1.65</v>
      </c>
      <c r="P3122" s="818">
        <v>1.94</v>
      </c>
      <c r="Q3122" s="818"/>
      <c r="R3122" s="820">
        <v>0.67667315019489094</v>
      </c>
      <c r="S3122" s="819">
        <v>4.74</v>
      </c>
      <c r="T3122" s="818"/>
      <c r="U3122" s="818"/>
      <c r="V3122" s="818"/>
      <c r="W3122" s="818"/>
      <c r="X3122" s="818"/>
      <c r="Y3122" s="819">
        <v>27</v>
      </c>
      <c r="Z3122" s="818"/>
      <c r="AA3122" s="820"/>
      <c r="AB3122" s="820"/>
      <c r="AC3122" s="818"/>
      <c r="AD3122" s="824">
        <v>540</v>
      </c>
      <c r="AE3122" s="824">
        <v>280</v>
      </c>
      <c r="AF3122" s="824">
        <v>180</v>
      </c>
      <c r="AG3122" s="66">
        <f t="shared" si="120"/>
        <v>148.8111111111111</v>
      </c>
      <c r="AH3122" s="143">
        <f t="shared" si="121"/>
        <v>1000</v>
      </c>
    </row>
    <row r="3123" spans="1:34" x14ac:dyDescent="0.3">
      <c r="A3123" s="818">
        <v>203066</v>
      </c>
      <c r="B3123" s="819">
        <v>70</v>
      </c>
      <c r="C3123" s="819">
        <v>15.999999999999998</v>
      </c>
      <c r="D3123" s="820">
        <v>8.44</v>
      </c>
      <c r="E3123" s="1571">
        <v>0.127</v>
      </c>
      <c r="F3123" s="821">
        <v>139.70000000000002</v>
      </c>
      <c r="G3123" s="818"/>
      <c r="H3123" s="821">
        <v>9.1199999999999992</v>
      </c>
      <c r="I3123" s="821">
        <v>150</v>
      </c>
      <c r="J3123" s="822">
        <v>0.02</v>
      </c>
      <c r="K3123" s="819">
        <v>12</v>
      </c>
      <c r="L3123" s="818">
        <v>900</v>
      </c>
      <c r="M3123" s="818">
        <v>0.27</v>
      </c>
      <c r="N3123" s="818">
        <v>0.6</v>
      </c>
      <c r="O3123" s="818">
        <v>2.27</v>
      </c>
      <c r="P3123" s="818">
        <v>4.6399999999999997</v>
      </c>
      <c r="Q3123" s="818"/>
      <c r="R3123" s="820">
        <v>1.3214353138964348</v>
      </c>
      <c r="S3123" s="819">
        <v>9.7799999999999994</v>
      </c>
      <c r="T3123" s="818"/>
      <c r="U3123" s="818"/>
      <c r="V3123" s="818"/>
      <c r="W3123" s="818"/>
      <c r="X3123" s="818"/>
      <c r="Y3123" s="819">
        <v>33.6</v>
      </c>
      <c r="Z3123" s="818"/>
      <c r="AA3123" s="820"/>
      <c r="AB3123" s="820"/>
      <c r="AC3123" s="818"/>
      <c r="AD3123" s="824">
        <v>560</v>
      </c>
      <c r="AE3123" s="824">
        <v>200</v>
      </c>
      <c r="AF3123" s="824">
        <v>240</v>
      </c>
      <c r="AG3123" s="66">
        <f t="shared" si="120"/>
        <v>126.42857142857142</v>
      </c>
      <c r="AH3123" s="143">
        <f t="shared" si="121"/>
        <v>1000</v>
      </c>
    </row>
    <row r="3124" spans="1:34" s="826" customFormat="1" x14ac:dyDescent="0.3">
      <c r="A3124" s="826">
        <v>203067</v>
      </c>
      <c r="B3124" s="827">
        <v>0.01</v>
      </c>
      <c r="C3124" s="827"/>
      <c r="D3124" s="828">
        <v>5.6</v>
      </c>
      <c r="E3124" s="1572">
        <v>0.14000000000000001</v>
      </c>
      <c r="F3124" s="829"/>
      <c r="H3124" s="829">
        <v>19.510000000000002</v>
      </c>
      <c r="I3124" s="829">
        <v>95</v>
      </c>
      <c r="J3124" s="849">
        <v>2.5999999999999999E-2</v>
      </c>
      <c r="K3124" s="827">
        <v>1.46</v>
      </c>
      <c r="L3124" s="826">
        <v>106</v>
      </c>
      <c r="R3124" s="828">
        <v>1.8469860800000002</v>
      </c>
      <c r="S3124" s="827">
        <v>18.16</v>
      </c>
      <c r="Y3124" s="827">
        <v>28.8</v>
      </c>
      <c r="Z3124" s="826">
        <v>5</v>
      </c>
      <c r="AA3124" s="828"/>
      <c r="AB3124" s="828"/>
      <c r="AD3124" s="830">
        <v>480</v>
      </c>
      <c r="AE3124" s="830">
        <v>340</v>
      </c>
      <c r="AF3124" s="830">
        <v>180</v>
      </c>
      <c r="AG3124" s="66">
        <f t="shared" si="120"/>
        <v>17.945833333333333</v>
      </c>
      <c r="AH3124" s="143">
        <f t="shared" si="121"/>
        <v>1000</v>
      </c>
    </row>
    <row r="3125" spans="1:34" s="826" customFormat="1" x14ac:dyDescent="0.3">
      <c r="A3125" s="826">
        <v>203068</v>
      </c>
      <c r="B3125" s="827">
        <v>10.8</v>
      </c>
      <c r="C3125" s="827">
        <v>6</v>
      </c>
      <c r="D3125" s="828">
        <v>7.7</v>
      </c>
      <c r="E3125" s="1572">
        <v>0.30599999999999999</v>
      </c>
      <c r="F3125" s="829"/>
      <c r="H3125" s="829">
        <f>367.88*2</f>
        <v>735.76</v>
      </c>
      <c r="I3125" s="829">
        <v>1618</v>
      </c>
      <c r="J3125" s="849">
        <v>1.6E-2</v>
      </c>
      <c r="K3125" s="827">
        <v>7.9</v>
      </c>
      <c r="L3125" s="826">
        <v>692</v>
      </c>
      <c r="R3125" s="828">
        <v>2.0907171199999999</v>
      </c>
      <c r="S3125" s="827">
        <v>29.72</v>
      </c>
      <c r="Y3125" s="827">
        <v>32.200000000000003</v>
      </c>
      <c r="Z3125" s="826">
        <v>7.4</v>
      </c>
      <c r="AA3125" s="828"/>
      <c r="AB3125" s="828"/>
      <c r="AD3125" s="830">
        <v>460</v>
      </c>
      <c r="AE3125" s="830">
        <v>350</v>
      </c>
      <c r="AF3125" s="830">
        <v>190</v>
      </c>
      <c r="AG3125" s="66">
        <f t="shared" si="120"/>
        <v>86.850931677018622</v>
      </c>
      <c r="AH3125" s="143">
        <f t="shared" si="121"/>
        <v>1000</v>
      </c>
    </row>
    <row r="3126" spans="1:34" s="826" customFormat="1" x14ac:dyDescent="0.3">
      <c r="A3126" s="826">
        <v>203069</v>
      </c>
      <c r="B3126" s="827">
        <v>4.5999999999999996</v>
      </c>
      <c r="C3126" s="827"/>
      <c r="D3126" s="828">
        <v>7.8</v>
      </c>
      <c r="E3126" s="1572">
        <v>0.33</v>
      </c>
      <c r="F3126" s="829"/>
      <c r="H3126" s="829">
        <v>247.51</v>
      </c>
      <c r="I3126" s="829">
        <v>1174</v>
      </c>
      <c r="J3126" s="849">
        <v>2.3E-2</v>
      </c>
      <c r="K3126" s="827">
        <v>6.6</v>
      </c>
      <c r="L3126" s="826">
        <v>503</v>
      </c>
      <c r="R3126" s="828">
        <v>2.0086566800000001</v>
      </c>
      <c r="S3126" s="827">
        <v>24.740000000000002</v>
      </c>
      <c r="Y3126" s="827">
        <v>35</v>
      </c>
      <c r="Z3126" s="826">
        <v>7.5</v>
      </c>
      <c r="AA3126" s="828"/>
      <c r="AB3126" s="828"/>
      <c r="AD3126" s="830">
        <v>500</v>
      </c>
      <c r="AE3126" s="830">
        <v>360</v>
      </c>
      <c r="AF3126" s="830">
        <v>140</v>
      </c>
      <c r="AG3126" s="66">
        <f t="shared" si="120"/>
        <v>66.7542857142857</v>
      </c>
      <c r="AH3126" s="143">
        <f t="shared" si="121"/>
        <v>1000</v>
      </c>
    </row>
    <row r="3127" spans="1:34" s="826" customFormat="1" x14ac:dyDescent="0.3">
      <c r="A3127" s="826">
        <v>203070</v>
      </c>
      <c r="B3127" s="827">
        <v>4.7</v>
      </c>
      <c r="C3127" s="827"/>
      <c r="D3127" s="828">
        <v>8.1999999999999993</v>
      </c>
      <c r="E3127" s="1572">
        <v>0.13600000000000001</v>
      </c>
      <c r="F3127" s="829"/>
      <c r="H3127" s="829">
        <v>16.54</v>
      </c>
      <c r="I3127" s="829">
        <v>82</v>
      </c>
      <c r="J3127" s="849">
        <v>1.6E-2</v>
      </c>
      <c r="K3127" s="827">
        <v>4.47</v>
      </c>
      <c r="L3127" s="826">
        <v>480</v>
      </c>
      <c r="R3127" s="828">
        <v>1.6571964800000001</v>
      </c>
      <c r="S3127" s="827">
        <v>12.44</v>
      </c>
      <c r="Y3127" s="827">
        <v>18.600000000000001</v>
      </c>
      <c r="Z3127" s="826">
        <v>7.6</v>
      </c>
      <c r="AA3127" s="828"/>
      <c r="AB3127" s="828"/>
      <c r="AD3127" s="830">
        <v>310</v>
      </c>
      <c r="AE3127" s="830">
        <v>330</v>
      </c>
      <c r="AF3127" s="830">
        <v>360</v>
      </c>
      <c r="AG3127" s="66">
        <f t="shared" si="120"/>
        <v>85.074193548387086</v>
      </c>
      <c r="AH3127" s="143">
        <f t="shared" si="121"/>
        <v>1000</v>
      </c>
    </row>
    <row r="3128" spans="1:34" s="826" customFormat="1" x14ac:dyDescent="0.3">
      <c r="A3128" s="826">
        <v>203071</v>
      </c>
      <c r="B3128" s="827">
        <v>0.01</v>
      </c>
      <c r="C3128" s="827"/>
      <c r="D3128" s="828">
        <v>6.8</v>
      </c>
      <c r="E3128" s="1572">
        <v>0.13100000000000001</v>
      </c>
      <c r="F3128" s="829"/>
      <c r="H3128" s="829">
        <v>72.680000000000007</v>
      </c>
      <c r="I3128" s="829">
        <v>256</v>
      </c>
      <c r="J3128" s="849">
        <v>1.0999999999999999E-2</v>
      </c>
      <c r="K3128" s="827">
        <v>2.04</v>
      </c>
      <c r="L3128" s="826">
        <v>210</v>
      </c>
      <c r="R3128" s="828">
        <v>1.84611017</v>
      </c>
      <c r="S3128" s="827">
        <v>18.13</v>
      </c>
      <c r="Y3128" s="827">
        <v>25.2</v>
      </c>
      <c r="Z3128" s="826">
        <v>6.3</v>
      </c>
      <c r="AA3128" s="828"/>
      <c r="AB3128" s="828"/>
      <c r="AD3128" s="830">
        <v>360</v>
      </c>
      <c r="AE3128" s="830">
        <v>340</v>
      </c>
      <c r="AF3128" s="830">
        <v>300</v>
      </c>
      <c r="AG3128" s="66">
        <f t="shared" si="120"/>
        <v>28.657142857142862</v>
      </c>
      <c r="AH3128" s="143">
        <f t="shared" si="121"/>
        <v>1000</v>
      </c>
    </row>
    <row r="3129" spans="1:34" s="826" customFormat="1" x14ac:dyDescent="0.3">
      <c r="A3129" s="826">
        <v>203072</v>
      </c>
      <c r="B3129" s="827">
        <v>0.01</v>
      </c>
      <c r="C3129" s="827"/>
      <c r="D3129" s="828">
        <v>5.8</v>
      </c>
      <c r="E3129" s="1572">
        <v>5.7000000000000002E-2</v>
      </c>
      <c r="F3129" s="829"/>
      <c r="H3129" s="829">
        <v>75.42</v>
      </c>
      <c r="I3129" s="829">
        <v>172</v>
      </c>
      <c r="J3129" s="849">
        <v>6.0000000000000001E-3</v>
      </c>
      <c r="K3129" s="827">
        <v>1.93</v>
      </c>
      <c r="L3129" s="826">
        <v>112</v>
      </c>
      <c r="R3129" s="828">
        <v>2.1505407299999999</v>
      </c>
      <c r="S3129" s="827">
        <v>39.81</v>
      </c>
      <c r="Y3129" s="827">
        <v>14</v>
      </c>
      <c r="Z3129" s="826">
        <v>5</v>
      </c>
      <c r="AA3129" s="828"/>
      <c r="AB3129" s="828"/>
      <c r="AD3129" s="830">
        <v>280</v>
      </c>
      <c r="AE3129" s="830">
        <v>220</v>
      </c>
      <c r="AF3129" s="830">
        <v>500</v>
      </c>
      <c r="AG3129" s="66">
        <f t="shared" si="120"/>
        <v>48.801428571428573</v>
      </c>
      <c r="AH3129" s="143">
        <f t="shared" si="121"/>
        <v>1000</v>
      </c>
    </row>
    <row r="3130" spans="1:34" s="826" customFormat="1" x14ac:dyDescent="0.3">
      <c r="A3130" s="826">
        <v>203073</v>
      </c>
      <c r="B3130" s="827">
        <v>1.1000000000000001</v>
      </c>
      <c r="C3130" s="827"/>
      <c r="D3130" s="828">
        <v>8.1</v>
      </c>
      <c r="E3130" s="1572">
        <v>0.13200000000000001</v>
      </c>
      <c r="F3130" s="829"/>
      <c r="H3130" s="829">
        <v>94.22</v>
      </c>
      <c r="I3130" s="829">
        <v>233</v>
      </c>
      <c r="J3130" s="849">
        <v>2.5999999999999999E-2</v>
      </c>
      <c r="K3130" s="827">
        <v>4.34</v>
      </c>
      <c r="L3130" s="826">
        <v>313</v>
      </c>
      <c r="R3130" s="828">
        <v>1.87127993</v>
      </c>
      <c r="S3130" s="827">
        <v>19.010000000000002</v>
      </c>
      <c r="Y3130" s="827">
        <v>19</v>
      </c>
      <c r="Z3130" s="826">
        <v>7.8</v>
      </c>
      <c r="AA3130" s="828"/>
      <c r="AB3130" s="828"/>
      <c r="AD3130" s="830">
        <v>380</v>
      </c>
      <c r="AE3130" s="830">
        <v>330</v>
      </c>
      <c r="AF3130" s="830">
        <v>290</v>
      </c>
      <c r="AG3130" s="66">
        <f t="shared" si="120"/>
        <v>80.861052631578943</v>
      </c>
      <c r="AH3130" s="143">
        <f t="shared" si="121"/>
        <v>1000</v>
      </c>
    </row>
    <row r="3131" spans="1:34" s="826" customFormat="1" x14ac:dyDescent="0.3">
      <c r="A3131" s="826">
        <v>203074</v>
      </c>
      <c r="B3131" s="827">
        <v>1.8</v>
      </c>
      <c r="C3131" s="827"/>
      <c r="D3131" s="828">
        <v>8.4</v>
      </c>
      <c r="E3131" s="1572">
        <v>0.23499999999999999</v>
      </c>
      <c r="F3131" s="829"/>
      <c r="H3131" s="829">
        <v>250.25</v>
      </c>
      <c r="I3131" s="829">
        <v>1098</v>
      </c>
      <c r="J3131" s="849">
        <v>7.0000000000000001E-3</v>
      </c>
      <c r="K3131" s="827">
        <v>6.46</v>
      </c>
      <c r="L3131" s="826">
        <v>1362</v>
      </c>
      <c r="R3131" s="828">
        <v>2.1471012800000002</v>
      </c>
      <c r="S3131" s="827">
        <v>36.64</v>
      </c>
      <c r="Y3131" s="827">
        <v>27</v>
      </c>
      <c r="Z3131" s="826">
        <v>8</v>
      </c>
      <c r="AA3131" s="828"/>
      <c r="AB3131" s="828"/>
      <c r="AD3131" s="830">
        <v>540</v>
      </c>
      <c r="AE3131" s="830">
        <v>310</v>
      </c>
      <c r="AF3131" s="830">
        <v>150</v>
      </c>
      <c r="AG3131" s="66">
        <f t="shared" si="120"/>
        <v>84.697777777777787</v>
      </c>
      <c r="AH3131" s="143">
        <f t="shared" si="121"/>
        <v>1000</v>
      </c>
    </row>
    <row r="3132" spans="1:34" s="826" customFormat="1" x14ac:dyDescent="0.3">
      <c r="A3132" s="826">
        <v>203075</v>
      </c>
      <c r="B3132" s="827">
        <v>26.7</v>
      </c>
      <c r="C3132" s="827">
        <v>2.75</v>
      </c>
      <c r="D3132" s="828">
        <v>8.1</v>
      </c>
      <c r="E3132" s="1572">
        <v>0.17</v>
      </c>
      <c r="F3132" s="829"/>
      <c r="H3132" s="829">
        <v>51.31</v>
      </c>
      <c r="I3132" s="829">
        <v>530</v>
      </c>
      <c r="J3132" s="849">
        <v>0.01</v>
      </c>
      <c r="K3132" s="827">
        <v>4.3600000000000003</v>
      </c>
      <c r="L3132" s="826">
        <v>626</v>
      </c>
      <c r="R3132" s="828">
        <v>1.93979817</v>
      </c>
      <c r="S3132" s="827">
        <v>21.63</v>
      </c>
      <c r="Y3132" s="827">
        <v>32.200000000000003</v>
      </c>
      <c r="Z3132" s="826">
        <v>7.8</v>
      </c>
      <c r="AA3132" s="828"/>
      <c r="AB3132" s="828"/>
      <c r="AD3132" s="830">
        <v>460</v>
      </c>
      <c r="AE3132" s="830">
        <v>390</v>
      </c>
      <c r="AF3132" s="830">
        <v>150</v>
      </c>
      <c r="AG3132" s="66">
        <f t="shared" si="120"/>
        <v>47.932919254658387</v>
      </c>
      <c r="AH3132" s="143">
        <f t="shared" si="121"/>
        <v>1000</v>
      </c>
    </row>
    <row r="3133" spans="1:34" s="90" customFormat="1" x14ac:dyDescent="0.3">
      <c r="A3133" s="1262">
        <v>203076</v>
      </c>
      <c r="B3133" s="1263">
        <v>0.01</v>
      </c>
      <c r="C3133" s="1263"/>
      <c r="D3133" s="1264">
        <v>5.6</v>
      </c>
      <c r="E3133" s="1583">
        <v>2.7E-2</v>
      </c>
      <c r="F3133" s="1265">
        <v>29.7</v>
      </c>
      <c r="G3133" s="1262"/>
      <c r="H3133" s="1265">
        <v>33.57</v>
      </c>
      <c r="I3133" s="1265">
        <v>12</v>
      </c>
      <c r="J3133" s="1266">
        <v>6.0000000000000001E-3</v>
      </c>
      <c r="K3133" s="1263">
        <v>0.11</v>
      </c>
      <c r="L3133" s="1262">
        <v>20</v>
      </c>
      <c r="M3133" s="1262">
        <v>0.08</v>
      </c>
      <c r="N3133" s="1262">
        <v>0.22</v>
      </c>
      <c r="O3133" s="1262">
        <v>4.54</v>
      </c>
      <c r="P3133" s="1262">
        <v>78.88</v>
      </c>
      <c r="Q3133" s="1262"/>
      <c r="R3133" s="1264">
        <v>0.57652723542480777</v>
      </c>
      <c r="S3133" s="1263">
        <v>4.25</v>
      </c>
      <c r="T3133" s="1262"/>
      <c r="U3133" s="1262"/>
      <c r="V3133" s="1262"/>
      <c r="W3133" s="1262"/>
      <c r="X3133" s="1262"/>
      <c r="Y3133" s="1263">
        <v>4.2</v>
      </c>
      <c r="Z3133" s="1262">
        <v>4.5999999999999996</v>
      </c>
      <c r="AA3133" s="1264">
        <v>4.12</v>
      </c>
      <c r="AB3133" s="1264">
        <v>0.78200000000000003</v>
      </c>
      <c r="AC3133" s="1262">
        <v>6.3</v>
      </c>
      <c r="AD3133" s="1267">
        <v>60</v>
      </c>
      <c r="AE3133" s="1267">
        <v>60</v>
      </c>
      <c r="AF3133" s="1267">
        <v>880</v>
      </c>
      <c r="AG3133" s="66">
        <f t="shared" si="120"/>
        <v>9.2714285714285722</v>
      </c>
      <c r="AH3133" s="143">
        <f t="shared" si="121"/>
        <v>1000</v>
      </c>
    </row>
    <row r="3134" spans="1:34" s="90" customFormat="1" x14ac:dyDescent="0.3">
      <c r="A3134" s="1262">
        <v>203077</v>
      </c>
      <c r="B3134" s="1263">
        <v>0.01</v>
      </c>
      <c r="C3134" s="1263"/>
      <c r="D3134" s="1264">
        <v>5</v>
      </c>
      <c r="E3134" s="1583">
        <v>3.2000000000000001E-2</v>
      </c>
      <c r="F3134" s="1265">
        <v>35.200000000000003</v>
      </c>
      <c r="G3134" s="1262"/>
      <c r="H3134" s="1265">
        <v>11.26</v>
      </c>
      <c r="I3134" s="1265">
        <v>7</v>
      </c>
      <c r="J3134" s="1266">
        <v>1.4999999999999999E-2</v>
      </c>
      <c r="K3134" s="1263">
        <v>0.1</v>
      </c>
      <c r="L3134" s="1262">
        <v>13</v>
      </c>
      <c r="M3134" s="1262">
        <v>0.06</v>
      </c>
      <c r="N3134" s="1262">
        <v>0.23</v>
      </c>
      <c r="O3134" s="1262">
        <v>10.75</v>
      </c>
      <c r="P3134" s="1262">
        <v>24.09</v>
      </c>
      <c r="Q3134" s="1262"/>
      <c r="R3134" s="1264">
        <v>0.35935484518093125</v>
      </c>
      <c r="S3134" s="1263">
        <v>2.42</v>
      </c>
      <c r="T3134" s="1262"/>
      <c r="U3134" s="1262"/>
      <c r="V3134" s="1262"/>
      <c r="W3134" s="1262"/>
      <c r="X3134" s="1262"/>
      <c r="Y3134" s="1263">
        <v>3</v>
      </c>
      <c r="Z3134" s="1262">
        <v>4.3</v>
      </c>
      <c r="AA3134" s="1264">
        <v>4.8899999999999997</v>
      </c>
      <c r="AB3134" s="1264">
        <v>0.39600000000000002</v>
      </c>
      <c r="AC3134" s="1262">
        <v>10.8</v>
      </c>
      <c r="AD3134" s="1267">
        <v>60</v>
      </c>
      <c r="AE3134" s="1267">
        <v>60</v>
      </c>
      <c r="AF3134" s="1267">
        <v>880</v>
      </c>
      <c r="AG3134" s="66">
        <f t="shared" si="120"/>
        <v>11.800000000000002</v>
      </c>
      <c r="AH3134" s="143">
        <f t="shared" si="121"/>
        <v>1000</v>
      </c>
    </row>
    <row r="3135" spans="1:34" s="90" customFormat="1" x14ac:dyDescent="0.3">
      <c r="A3135" s="1262">
        <v>203078</v>
      </c>
      <c r="B3135" s="1263">
        <v>20.8</v>
      </c>
      <c r="C3135" s="1263">
        <v>8.75</v>
      </c>
      <c r="D3135" s="1264">
        <v>8.1</v>
      </c>
      <c r="E3135" s="1583">
        <v>0.98599999999999999</v>
      </c>
      <c r="F3135" s="1265">
        <v>1084.5999999999999</v>
      </c>
      <c r="G3135" s="1262"/>
      <c r="H3135" s="1265">
        <v>143.43</v>
      </c>
      <c r="I3135" s="1265">
        <v>418</v>
      </c>
      <c r="J3135" s="1266">
        <v>0.64100000000000001</v>
      </c>
      <c r="K3135" s="1263">
        <v>11.22</v>
      </c>
      <c r="L3135" s="1262">
        <v>1862</v>
      </c>
      <c r="M3135" s="1262">
        <v>2.86</v>
      </c>
      <c r="N3135" s="1262">
        <v>2.2000000000000002</v>
      </c>
      <c r="O3135" s="1262">
        <v>12.95</v>
      </c>
      <c r="P3135" s="1262">
        <v>3.24</v>
      </c>
      <c r="Q3135" s="1262"/>
      <c r="R3135" s="1264">
        <v>1.8842787200000002</v>
      </c>
      <c r="S3135" s="1263">
        <v>19.48</v>
      </c>
      <c r="T3135" s="1262"/>
      <c r="U3135" s="1262"/>
      <c r="V3135" s="1262"/>
      <c r="W3135" s="1262"/>
      <c r="X3135" s="1262"/>
      <c r="Y3135" s="1263">
        <v>27</v>
      </c>
      <c r="Z3135" s="1262"/>
      <c r="AA3135" s="1264">
        <v>3.93</v>
      </c>
      <c r="AB3135" s="1264">
        <v>0.54200000000000004</v>
      </c>
      <c r="AC3135" s="1262">
        <v>11.2</v>
      </c>
      <c r="AD3135" s="1267">
        <v>540</v>
      </c>
      <c r="AE3135" s="1267">
        <v>220</v>
      </c>
      <c r="AF3135" s="1267">
        <v>240</v>
      </c>
      <c r="AG3135" s="66">
        <f t="shared" si="120"/>
        <v>147.10666666666668</v>
      </c>
      <c r="AH3135" s="143">
        <f t="shared" si="121"/>
        <v>1000</v>
      </c>
    </row>
    <row r="3136" spans="1:34" s="90" customFormat="1" x14ac:dyDescent="0.3">
      <c r="A3136" s="1262">
        <v>203079</v>
      </c>
      <c r="B3136" s="1263">
        <v>13.3</v>
      </c>
      <c r="C3136" s="1263">
        <v>6.0000000000000009</v>
      </c>
      <c r="D3136" s="1264">
        <v>8.1</v>
      </c>
      <c r="E3136" s="1583">
        <v>0.13100000000000001</v>
      </c>
      <c r="F3136" s="1265">
        <v>144.1</v>
      </c>
      <c r="G3136" s="1262"/>
      <c r="H3136" s="1265">
        <v>6.8</v>
      </c>
      <c r="I3136" s="1265">
        <v>439</v>
      </c>
      <c r="J3136" s="1266">
        <v>2.9000000000000001E-2</v>
      </c>
      <c r="K3136" s="1263">
        <v>11.56</v>
      </c>
      <c r="L3136" s="1262">
        <v>222</v>
      </c>
      <c r="M3136" s="1262">
        <v>0.24</v>
      </c>
      <c r="N3136" s="1262">
        <v>0.66</v>
      </c>
      <c r="O3136" s="1262">
        <v>15.79</v>
      </c>
      <c r="P3136" s="1262">
        <v>2.42</v>
      </c>
      <c r="Q3136" s="1262"/>
      <c r="R3136" s="1264">
        <v>1.6993880000000001</v>
      </c>
      <c r="S3136" s="1263">
        <v>13.600000000000001</v>
      </c>
      <c r="T3136" s="1262"/>
      <c r="U3136" s="1262"/>
      <c r="V3136" s="1262"/>
      <c r="W3136" s="1262"/>
      <c r="X3136" s="1262"/>
      <c r="Y3136" s="1263">
        <v>35.700000000000003</v>
      </c>
      <c r="Z3136" s="1262"/>
      <c r="AA3136" s="1264">
        <v>3.89</v>
      </c>
      <c r="AB3136" s="1264">
        <v>0.86599999999999999</v>
      </c>
      <c r="AC3136" s="1262">
        <v>9.1</v>
      </c>
      <c r="AD3136" s="1267">
        <v>510</v>
      </c>
      <c r="AE3136" s="1267">
        <v>270</v>
      </c>
      <c r="AF3136" s="1267">
        <v>220</v>
      </c>
      <c r="AG3136" s="66">
        <f t="shared" si="120"/>
        <v>114.62857142857142</v>
      </c>
      <c r="AH3136" s="143">
        <f t="shared" si="121"/>
        <v>1000</v>
      </c>
    </row>
    <row r="3137" spans="1:34" s="90" customFormat="1" x14ac:dyDescent="0.3">
      <c r="A3137" s="1262">
        <v>203080</v>
      </c>
      <c r="B3137" s="1263">
        <v>16.3</v>
      </c>
      <c r="C3137" s="1263">
        <v>8.75</v>
      </c>
      <c r="D3137" s="1264">
        <v>8.1999999999999993</v>
      </c>
      <c r="E3137" s="1583">
        <v>0.33100000000000002</v>
      </c>
      <c r="F3137" s="1265">
        <v>364.1</v>
      </c>
      <c r="G3137" s="1262"/>
      <c r="H3137" s="1265">
        <v>15.75</v>
      </c>
      <c r="I3137" s="1265">
        <v>174</v>
      </c>
      <c r="J3137" s="1266">
        <v>0.26300000000000001</v>
      </c>
      <c r="K3137" s="1263">
        <v>8.32</v>
      </c>
      <c r="L3137" s="1262">
        <v>1126</v>
      </c>
      <c r="M3137" s="1262">
        <v>0.94</v>
      </c>
      <c r="N3137" s="1262">
        <v>0.55000000000000004</v>
      </c>
      <c r="O3137" s="1262">
        <v>14.68</v>
      </c>
      <c r="P3137" s="1262">
        <v>5.35</v>
      </c>
      <c r="Q3137" s="1262"/>
      <c r="R3137" s="1264">
        <v>1.9178562500000003</v>
      </c>
      <c r="S3137" s="1263">
        <v>20.75</v>
      </c>
      <c r="T3137" s="1262"/>
      <c r="U3137" s="1262"/>
      <c r="V3137" s="1262"/>
      <c r="W3137" s="1262"/>
      <c r="X3137" s="1262"/>
      <c r="Y3137" s="1263">
        <v>30</v>
      </c>
      <c r="Z3137" s="1262"/>
      <c r="AA3137" s="1264">
        <v>3.71</v>
      </c>
      <c r="AB3137" s="1264">
        <v>0.64100000000000001</v>
      </c>
      <c r="AC3137" s="1262">
        <v>8.6999999999999993</v>
      </c>
      <c r="AD3137" s="1267">
        <v>500</v>
      </c>
      <c r="AE3137" s="1267">
        <v>270</v>
      </c>
      <c r="AF3137" s="1267">
        <v>230</v>
      </c>
      <c r="AG3137" s="66">
        <f t="shared" si="120"/>
        <v>98.176000000000002</v>
      </c>
      <c r="AH3137" s="143">
        <f t="shared" si="121"/>
        <v>1000</v>
      </c>
    </row>
    <row r="3138" spans="1:34" s="90" customFormat="1" x14ac:dyDescent="0.3">
      <c r="A3138" s="1262">
        <v>203081</v>
      </c>
      <c r="B3138" s="1263">
        <v>1.3</v>
      </c>
      <c r="C3138" s="1263"/>
      <c r="D3138" s="1264">
        <v>8.4</v>
      </c>
      <c r="E3138" s="1583">
        <v>9.4E-2</v>
      </c>
      <c r="F3138" s="1265">
        <v>103.4</v>
      </c>
      <c r="G3138" s="1262"/>
      <c r="H3138" s="1265">
        <v>1.72</v>
      </c>
      <c r="I3138" s="1265">
        <v>80</v>
      </c>
      <c r="J3138" s="1266">
        <v>8.9999999999999993E-3</v>
      </c>
      <c r="K3138" s="1263">
        <v>4.45</v>
      </c>
      <c r="L3138" s="1262">
        <v>167</v>
      </c>
      <c r="M3138" s="1262">
        <v>0.11</v>
      </c>
      <c r="N3138" s="1262">
        <v>0.51</v>
      </c>
      <c r="O3138" s="1262">
        <v>6.34</v>
      </c>
      <c r="P3138" s="1262">
        <v>1.56</v>
      </c>
      <c r="Q3138" s="1262"/>
      <c r="R3138" s="1264">
        <v>0.62916230747597501</v>
      </c>
      <c r="S3138" s="1263">
        <v>4.2</v>
      </c>
      <c r="T3138" s="1262"/>
      <c r="U3138" s="1262"/>
      <c r="V3138" s="1262"/>
      <c r="W3138" s="1262"/>
      <c r="X3138" s="1262"/>
      <c r="Y3138" s="1263">
        <v>8.4</v>
      </c>
      <c r="Z3138" s="1262"/>
      <c r="AA3138" s="1264"/>
      <c r="AB3138" s="1264"/>
      <c r="AC3138" s="1262"/>
      <c r="AD3138" s="1267">
        <v>120</v>
      </c>
      <c r="AE3138" s="1267">
        <v>80</v>
      </c>
      <c r="AF3138" s="1267">
        <v>800</v>
      </c>
      <c r="AG3138" s="66">
        <f t="shared" ref="AG3138:AG3201" si="122">+K3138*3.54*100/Y3138</f>
        <v>187.53571428571428</v>
      </c>
      <c r="AH3138" s="143">
        <f t="shared" ref="AH3138:AH3201" si="123">+SUM(AD3138:AF3138)</f>
        <v>1000</v>
      </c>
    </row>
    <row r="3139" spans="1:34" s="90" customFormat="1" x14ac:dyDescent="0.3">
      <c r="A3139" s="1262">
        <v>203082</v>
      </c>
      <c r="B3139" s="1263">
        <v>0.4</v>
      </c>
      <c r="C3139" s="1263"/>
      <c r="D3139" s="1264">
        <v>8.6</v>
      </c>
      <c r="E3139" s="1583">
        <v>0.122</v>
      </c>
      <c r="F3139" s="1265">
        <v>134.20000000000002</v>
      </c>
      <c r="G3139" s="1262"/>
      <c r="H3139" s="1265">
        <v>7.71</v>
      </c>
      <c r="I3139" s="1265">
        <v>215</v>
      </c>
      <c r="J3139" s="1266">
        <v>7.0999999999999994E-2</v>
      </c>
      <c r="K3139" s="1263">
        <v>2.0499999999999998</v>
      </c>
      <c r="L3139" s="1262">
        <v>120</v>
      </c>
      <c r="M3139" s="1262">
        <v>0.24</v>
      </c>
      <c r="N3139" s="1262">
        <v>0.56999999999999995</v>
      </c>
      <c r="O3139" s="1262">
        <v>11.89</v>
      </c>
      <c r="P3139" s="1262">
        <v>1.53</v>
      </c>
      <c r="Q3139" s="1262"/>
      <c r="R3139" s="1264">
        <v>0.86747626929232879</v>
      </c>
      <c r="S3139" s="1263">
        <v>5.7299999999999995</v>
      </c>
      <c r="T3139" s="1262"/>
      <c r="U3139" s="1262"/>
      <c r="V3139" s="1262"/>
      <c r="W3139" s="1262"/>
      <c r="X3139" s="1262"/>
      <c r="Y3139" s="1263">
        <v>7.8</v>
      </c>
      <c r="Z3139" s="1262"/>
      <c r="AA3139" s="1264"/>
      <c r="AB3139" s="1264"/>
      <c r="AC3139" s="1262"/>
      <c r="AD3139" s="1267">
        <v>130</v>
      </c>
      <c r="AE3139" s="1267">
        <v>80</v>
      </c>
      <c r="AF3139" s="1267">
        <v>790</v>
      </c>
      <c r="AG3139" s="66">
        <f t="shared" si="122"/>
        <v>93.038461538461533</v>
      </c>
      <c r="AH3139" s="143">
        <f t="shared" si="123"/>
        <v>1000</v>
      </c>
    </row>
    <row r="3140" spans="1:34" s="90" customFormat="1" x14ac:dyDescent="0.3">
      <c r="A3140" s="1262">
        <v>203083</v>
      </c>
      <c r="B3140" s="1263">
        <v>2.2999999999999998</v>
      </c>
      <c r="C3140" s="1263"/>
      <c r="D3140" s="1264">
        <v>8.3000000000000007</v>
      </c>
      <c r="E3140" s="1583">
        <v>0.17</v>
      </c>
      <c r="F3140" s="1265">
        <v>187.00000000000003</v>
      </c>
      <c r="G3140" s="1262"/>
      <c r="H3140" s="1265">
        <v>2.56</v>
      </c>
      <c r="I3140" s="1265">
        <v>261</v>
      </c>
      <c r="J3140" s="1266">
        <v>0.14199999999999999</v>
      </c>
      <c r="K3140" s="1263">
        <v>6.39</v>
      </c>
      <c r="L3140" s="1262">
        <v>360</v>
      </c>
      <c r="M3140" s="1262">
        <v>0.21</v>
      </c>
      <c r="N3140" s="1262">
        <v>1.26</v>
      </c>
      <c r="O3140" s="1262">
        <v>16.079999999999998</v>
      </c>
      <c r="P3140" s="1262">
        <v>2.82</v>
      </c>
      <c r="Q3140" s="1262"/>
      <c r="R3140" s="1264">
        <v>1.2514876527039349</v>
      </c>
      <c r="S3140" s="1263">
        <v>8.18</v>
      </c>
      <c r="T3140" s="1262"/>
      <c r="U3140" s="1262"/>
      <c r="V3140" s="1262"/>
      <c r="W3140" s="1262"/>
      <c r="X3140" s="1262"/>
      <c r="Y3140" s="1263">
        <v>14</v>
      </c>
      <c r="Z3140" s="1262"/>
      <c r="AA3140" s="1264"/>
      <c r="AB3140" s="1264"/>
      <c r="AC3140" s="1262"/>
      <c r="AD3140" s="1267">
        <v>280</v>
      </c>
      <c r="AE3140" s="1267">
        <v>80</v>
      </c>
      <c r="AF3140" s="1267">
        <v>640</v>
      </c>
      <c r="AG3140" s="66">
        <f t="shared" si="122"/>
        <v>161.57571428571427</v>
      </c>
      <c r="AH3140" s="143">
        <f t="shared" si="123"/>
        <v>1000</v>
      </c>
    </row>
    <row r="3141" spans="1:34" s="90" customFormat="1" x14ac:dyDescent="0.3">
      <c r="A3141" s="1262">
        <v>203084</v>
      </c>
      <c r="B3141" s="1263">
        <v>9.6</v>
      </c>
      <c r="C3141" s="1263"/>
      <c r="D3141" s="1264">
        <v>8.1</v>
      </c>
      <c r="E3141" s="1583">
        <v>0.14099999999999999</v>
      </c>
      <c r="F3141" s="1265">
        <v>155.1</v>
      </c>
      <c r="G3141" s="1262">
        <v>7.1</v>
      </c>
      <c r="H3141" s="1265">
        <v>99.71</v>
      </c>
      <c r="I3141" s="1265">
        <v>312</v>
      </c>
      <c r="J3141" s="1266">
        <v>1.7999999999999999E-2</v>
      </c>
      <c r="K3141" s="1263">
        <v>6.63</v>
      </c>
      <c r="L3141" s="1262">
        <v>290</v>
      </c>
      <c r="M3141" s="1262">
        <v>3.63</v>
      </c>
      <c r="N3141" s="1262">
        <v>2.27</v>
      </c>
      <c r="O3141" s="1262">
        <v>5.32</v>
      </c>
      <c r="P3141" s="1262">
        <v>2.83</v>
      </c>
      <c r="Q3141" s="1262"/>
      <c r="R3141" s="1264">
        <v>0.98558347471127172</v>
      </c>
      <c r="S3141" s="1263">
        <v>6.8999999999999995</v>
      </c>
      <c r="T3141" s="1262"/>
      <c r="U3141" s="1262"/>
      <c r="V3141" s="1262"/>
      <c r="W3141" s="1262"/>
      <c r="X3141" s="1262"/>
      <c r="Y3141" s="1263">
        <v>3</v>
      </c>
      <c r="Z3141" s="1262"/>
      <c r="AA3141" s="1264">
        <v>3.89</v>
      </c>
      <c r="AB3141" s="1264">
        <v>0.378</v>
      </c>
      <c r="AC3141" s="1262">
        <v>9</v>
      </c>
      <c r="AD3141" s="1267">
        <v>60</v>
      </c>
      <c r="AE3141" s="1267">
        <v>60</v>
      </c>
      <c r="AF3141" s="1267">
        <v>880</v>
      </c>
      <c r="AG3141" s="66">
        <f t="shared" si="122"/>
        <v>782.34</v>
      </c>
      <c r="AH3141" s="143">
        <f t="shared" si="123"/>
        <v>1000</v>
      </c>
    </row>
    <row r="3142" spans="1:34" s="90" customFormat="1" x14ac:dyDescent="0.3">
      <c r="A3142" s="1262">
        <v>203085</v>
      </c>
      <c r="B3142" s="1263">
        <v>0.1</v>
      </c>
      <c r="C3142" s="1263"/>
      <c r="D3142" s="1264">
        <v>7.7</v>
      </c>
      <c r="E3142" s="1583">
        <v>0.49299999999999999</v>
      </c>
      <c r="F3142" s="1265">
        <v>542.29999999999995</v>
      </c>
      <c r="G3142" s="1262"/>
      <c r="H3142" s="1265">
        <v>12.1</v>
      </c>
      <c r="I3142" s="1265">
        <v>81</v>
      </c>
      <c r="J3142" s="1266">
        <v>0.52400000000000002</v>
      </c>
      <c r="K3142" s="1263">
        <v>2.04</v>
      </c>
      <c r="L3142" s="1262">
        <v>535</v>
      </c>
      <c r="M3142" s="1262">
        <v>0.26</v>
      </c>
      <c r="N3142" s="1262">
        <v>0.64</v>
      </c>
      <c r="O3142" s="1262">
        <v>10.33</v>
      </c>
      <c r="P3142" s="1262">
        <v>3.12</v>
      </c>
      <c r="Q3142" s="1262"/>
      <c r="R3142" s="1264">
        <v>0.8581587553221437</v>
      </c>
      <c r="S3142" s="1263">
        <v>5.6599999999999993</v>
      </c>
      <c r="T3142" s="1262"/>
      <c r="U3142" s="1262"/>
      <c r="V3142" s="1262"/>
      <c r="W3142" s="1262"/>
      <c r="X3142" s="1262"/>
      <c r="Y3142" s="1263">
        <v>22</v>
      </c>
      <c r="Z3142" s="1262"/>
      <c r="AA3142" s="1264">
        <v>3.57</v>
      </c>
      <c r="AB3142" s="1264">
        <v>0.89500000000000002</v>
      </c>
      <c r="AC3142" s="1262">
        <v>9.6</v>
      </c>
      <c r="AD3142" s="1267">
        <v>440</v>
      </c>
      <c r="AE3142" s="1267">
        <v>260</v>
      </c>
      <c r="AF3142" s="1267">
        <v>300</v>
      </c>
      <c r="AG3142" s="66">
        <f t="shared" si="122"/>
        <v>32.825454545454548</v>
      </c>
      <c r="AH3142" s="143">
        <f t="shared" si="123"/>
        <v>1000</v>
      </c>
    </row>
    <row r="3143" spans="1:34" s="90" customFormat="1" x14ac:dyDescent="0.3">
      <c r="A3143" s="1262">
        <v>203086</v>
      </c>
      <c r="B3143" s="1263">
        <v>0.1</v>
      </c>
      <c r="C3143" s="1263"/>
      <c r="D3143" s="1264">
        <v>7.6</v>
      </c>
      <c r="E3143" s="1583">
        <v>0.42</v>
      </c>
      <c r="F3143" s="1265">
        <v>462</v>
      </c>
      <c r="G3143" s="1262"/>
      <c r="H3143" s="1265">
        <v>9.16</v>
      </c>
      <c r="I3143" s="1265">
        <v>154</v>
      </c>
      <c r="J3143" s="1266">
        <v>0.48399999999999999</v>
      </c>
      <c r="K3143" s="1263">
        <v>3.73</v>
      </c>
      <c r="L3143" s="1262">
        <v>684</v>
      </c>
      <c r="M3143" s="1262">
        <v>0.18</v>
      </c>
      <c r="N3143" s="1262">
        <v>0.87</v>
      </c>
      <c r="O3143" s="1262">
        <v>14.94</v>
      </c>
      <c r="P3143" s="1262">
        <v>5.31</v>
      </c>
      <c r="Q3143" s="1262"/>
      <c r="R3143" s="1264">
        <v>1.1129300117750716</v>
      </c>
      <c r="S3143" s="1263">
        <v>7.73</v>
      </c>
      <c r="T3143" s="1262"/>
      <c r="U3143" s="1262"/>
      <c r="V3143" s="1262"/>
      <c r="W3143" s="1262"/>
      <c r="X3143" s="1262"/>
      <c r="Y3143" s="1263">
        <v>32.4</v>
      </c>
      <c r="Z3143" s="1262"/>
      <c r="AA3143" s="1264">
        <v>3.45</v>
      </c>
      <c r="AB3143" s="1264">
        <v>0.86199999999999999</v>
      </c>
      <c r="AC3143" s="1262">
        <v>11.7</v>
      </c>
      <c r="AD3143" s="1267">
        <v>540</v>
      </c>
      <c r="AE3143" s="1267">
        <v>300</v>
      </c>
      <c r="AF3143" s="1267">
        <v>160</v>
      </c>
      <c r="AG3143" s="66">
        <f t="shared" si="122"/>
        <v>40.753703703703707</v>
      </c>
      <c r="AH3143" s="143">
        <f t="shared" si="123"/>
        <v>1000</v>
      </c>
    </row>
    <row r="3144" spans="1:34" s="811" customFormat="1" x14ac:dyDescent="0.3">
      <c r="A3144" s="811">
        <v>203087</v>
      </c>
      <c r="B3144" s="809">
        <v>19</v>
      </c>
      <c r="C3144" s="809">
        <v>10.25</v>
      </c>
      <c r="D3144" s="810">
        <v>8.3000000000000007</v>
      </c>
      <c r="E3144" s="808">
        <v>1.123</v>
      </c>
      <c r="F3144" s="812">
        <v>1235.3</v>
      </c>
      <c r="H3144" s="812">
        <v>26.53</v>
      </c>
      <c r="I3144" s="812">
        <v>381</v>
      </c>
      <c r="J3144" s="813">
        <v>0.60499999999999998</v>
      </c>
      <c r="K3144" s="809">
        <v>7.78</v>
      </c>
      <c r="L3144" s="811">
        <v>830</v>
      </c>
      <c r="M3144" s="811">
        <v>0.52</v>
      </c>
      <c r="N3144" s="811">
        <v>0.48</v>
      </c>
      <c r="O3144" s="811">
        <v>4.5199999999999996</v>
      </c>
      <c r="P3144" s="811">
        <v>2</v>
      </c>
      <c r="R3144" s="810">
        <v>1.0551123674440923</v>
      </c>
      <c r="S3144" s="809">
        <v>7.24</v>
      </c>
      <c r="Y3144" s="1348">
        <v>30</v>
      </c>
      <c r="AA3144" s="810">
        <v>4.45</v>
      </c>
      <c r="AB3144" s="810">
        <v>0.8</v>
      </c>
      <c r="AC3144" s="811">
        <v>9.1</v>
      </c>
      <c r="AD3144" s="815">
        <v>500</v>
      </c>
      <c r="AE3144" s="815">
        <v>260</v>
      </c>
      <c r="AF3144" s="815">
        <v>240</v>
      </c>
      <c r="AG3144" s="66">
        <f t="shared" si="122"/>
        <v>91.804000000000002</v>
      </c>
      <c r="AH3144" s="143">
        <f t="shared" si="123"/>
        <v>1000</v>
      </c>
    </row>
    <row r="3145" spans="1:34" s="811" customFormat="1" x14ac:dyDescent="0.3">
      <c r="A3145" s="811">
        <v>203088</v>
      </c>
      <c r="B3145" s="809">
        <v>13.8</v>
      </c>
      <c r="C3145" s="809">
        <v>10</v>
      </c>
      <c r="D3145" s="810">
        <v>8.3000000000000007</v>
      </c>
      <c r="E3145" s="808">
        <v>1.52</v>
      </c>
      <c r="F3145" s="812">
        <v>1672.0000000000002</v>
      </c>
      <c r="H3145" s="812">
        <v>16.57</v>
      </c>
      <c r="I3145" s="812">
        <v>420</v>
      </c>
      <c r="J3145" s="813">
        <v>0.83799999999999997</v>
      </c>
      <c r="K3145" s="809">
        <v>7.87</v>
      </c>
      <c r="L3145" s="811">
        <v>1190</v>
      </c>
      <c r="M3145" s="811">
        <v>0.51</v>
      </c>
      <c r="N3145" s="811">
        <v>0.73</v>
      </c>
      <c r="O3145" s="811">
        <v>5.16</v>
      </c>
      <c r="P3145" s="811">
        <v>2.38</v>
      </c>
      <c r="R3145" s="810">
        <v>1.2226646972810029</v>
      </c>
      <c r="S3145" s="809">
        <v>8.98</v>
      </c>
      <c r="Y3145" s="1348">
        <v>32.4</v>
      </c>
      <c r="AA3145" s="810">
        <v>3.98</v>
      </c>
      <c r="AB3145" s="810">
        <v>0.72699999999999998</v>
      </c>
      <c r="AC3145" s="811">
        <v>11.1</v>
      </c>
      <c r="AD3145" s="815">
        <v>540</v>
      </c>
      <c r="AE3145" s="815">
        <v>300</v>
      </c>
      <c r="AF3145" s="815">
        <v>160</v>
      </c>
      <c r="AG3145" s="66">
        <f t="shared" si="122"/>
        <v>85.987037037037041</v>
      </c>
      <c r="AH3145" s="143">
        <f t="shared" si="123"/>
        <v>1000</v>
      </c>
    </row>
    <row r="3146" spans="1:34" s="811" customFormat="1" x14ac:dyDescent="0.3">
      <c r="A3146" s="811">
        <v>203089</v>
      </c>
      <c r="B3146" s="809">
        <v>15.1</v>
      </c>
      <c r="C3146" s="809">
        <v>7.63</v>
      </c>
      <c r="D3146" s="810">
        <v>8.1</v>
      </c>
      <c r="E3146" s="808">
        <v>0.92</v>
      </c>
      <c r="F3146" s="812">
        <v>1012.0000000000002</v>
      </c>
      <c r="H3146" s="812">
        <v>14.41</v>
      </c>
      <c r="I3146" s="812">
        <v>329</v>
      </c>
      <c r="J3146" s="813">
        <v>0.64900000000000002</v>
      </c>
      <c r="K3146" s="809">
        <v>7.97</v>
      </c>
      <c r="L3146" s="811">
        <v>530</v>
      </c>
      <c r="M3146" s="811">
        <v>0.26</v>
      </c>
      <c r="N3146" s="811">
        <v>0.59</v>
      </c>
      <c r="O3146" s="811">
        <v>4.2300000000000004</v>
      </c>
      <c r="P3146" s="811">
        <v>1.7</v>
      </c>
      <c r="R3146" s="810">
        <v>1.57922852</v>
      </c>
      <c r="S3146" s="809">
        <v>10.42</v>
      </c>
      <c r="Y3146" s="1348">
        <v>37.1</v>
      </c>
      <c r="AA3146" s="810">
        <v>4.51</v>
      </c>
      <c r="AB3146" s="810">
        <v>0.57199999999999995</v>
      </c>
      <c r="AC3146" s="811">
        <v>6.9</v>
      </c>
      <c r="AD3146" s="815">
        <v>530</v>
      </c>
      <c r="AE3146" s="815">
        <v>300</v>
      </c>
      <c r="AF3146" s="815">
        <v>170</v>
      </c>
      <c r="AG3146" s="66">
        <f t="shared" si="122"/>
        <v>76.047978436657687</v>
      </c>
      <c r="AH3146" s="143">
        <f t="shared" si="123"/>
        <v>1000</v>
      </c>
    </row>
    <row r="3147" spans="1:34" s="811" customFormat="1" x14ac:dyDescent="0.3">
      <c r="A3147" s="811">
        <v>203090</v>
      </c>
      <c r="B3147" s="809">
        <v>9.1999999999999993</v>
      </c>
      <c r="C3147" s="809"/>
      <c r="D3147" s="810">
        <v>8.6</v>
      </c>
      <c r="E3147" s="808">
        <v>0.217</v>
      </c>
      <c r="F3147" s="812">
        <v>238.70000000000002</v>
      </c>
      <c r="H3147" s="812">
        <v>44.71</v>
      </c>
      <c r="I3147" s="812">
        <v>406</v>
      </c>
      <c r="J3147" s="813">
        <v>0.16600000000000001</v>
      </c>
      <c r="K3147" s="809">
        <v>6.07</v>
      </c>
      <c r="L3147" s="811">
        <v>440</v>
      </c>
      <c r="M3147" s="811">
        <v>0.92</v>
      </c>
      <c r="N3147" s="811">
        <v>1.31</v>
      </c>
      <c r="O3147" s="811">
        <v>4.32</v>
      </c>
      <c r="P3147" s="811">
        <v>2.63</v>
      </c>
      <c r="R3147" s="810">
        <v>1.3034508709625865</v>
      </c>
      <c r="S3147" s="809">
        <v>9.34</v>
      </c>
      <c r="Y3147" s="1348">
        <v>24</v>
      </c>
      <c r="AA3147" s="810">
        <v>3.73</v>
      </c>
      <c r="AB3147" s="810">
        <v>0.34399999999999997</v>
      </c>
      <c r="AC3147" s="811">
        <v>7.1</v>
      </c>
      <c r="AD3147" s="815">
        <v>480</v>
      </c>
      <c r="AE3147" s="815">
        <v>240</v>
      </c>
      <c r="AF3147" s="815">
        <v>280</v>
      </c>
      <c r="AG3147" s="66">
        <f t="shared" si="122"/>
        <v>89.532500000000013</v>
      </c>
      <c r="AH3147" s="143">
        <f t="shared" si="123"/>
        <v>1000</v>
      </c>
    </row>
    <row r="3148" spans="1:34" s="811" customFormat="1" x14ac:dyDescent="0.3">
      <c r="A3148" s="811">
        <v>203091</v>
      </c>
      <c r="B3148" s="809">
        <v>9.6</v>
      </c>
      <c r="C3148" s="809"/>
      <c r="D3148" s="810">
        <v>8.6</v>
      </c>
      <c r="E3148" s="808">
        <v>0.21099999999999999</v>
      </c>
      <c r="F3148" s="812">
        <v>232.1</v>
      </c>
      <c r="H3148" s="812">
        <v>36.799999999999997</v>
      </c>
      <c r="I3148" s="812">
        <v>449</v>
      </c>
      <c r="J3148" s="813">
        <v>0.17899999999999999</v>
      </c>
      <c r="K3148" s="809">
        <v>6.05</v>
      </c>
      <c r="L3148" s="811">
        <v>480</v>
      </c>
      <c r="M3148" s="811">
        <v>1.1599999999999999</v>
      </c>
      <c r="N3148" s="811">
        <v>1.42</v>
      </c>
      <c r="O3148" s="811">
        <v>8</v>
      </c>
      <c r="P3148" s="811">
        <v>3.77</v>
      </c>
      <c r="R3148" s="810">
        <v>1.3344596982997268</v>
      </c>
      <c r="S3148" s="809">
        <v>9.82</v>
      </c>
      <c r="Y3148" s="1348">
        <v>32.4</v>
      </c>
      <c r="AA3148" s="810">
        <v>4.21</v>
      </c>
      <c r="AB3148" s="810">
        <v>0.60799999999999998</v>
      </c>
      <c r="AC3148" s="811">
        <v>6.6</v>
      </c>
      <c r="AD3148" s="815">
        <v>540</v>
      </c>
      <c r="AE3148" s="815">
        <v>240</v>
      </c>
      <c r="AF3148" s="815">
        <v>220</v>
      </c>
      <c r="AG3148" s="66">
        <f t="shared" si="122"/>
        <v>66.101851851851848</v>
      </c>
      <c r="AH3148" s="143">
        <f t="shared" si="123"/>
        <v>1000</v>
      </c>
    </row>
    <row r="3149" spans="1:34" s="811" customFormat="1" x14ac:dyDescent="0.3">
      <c r="A3149" s="811">
        <v>203092</v>
      </c>
      <c r="B3149" s="809">
        <v>8</v>
      </c>
      <c r="C3149" s="809"/>
      <c r="D3149" s="810">
        <v>8.5</v>
      </c>
      <c r="E3149" s="808">
        <v>0.56299999999999994</v>
      </c>
      <c r="F3149" s="812">
        <v>619.29999999999995</v>
      </c>
      <c r="H3149" s="812">
        <v>31.47</v>
      </c>
      <c r="I3149" s="812">
        <v>184</v>
      </c>
      <c r="J3149" s="813">
        <v>0.53100000000000003</v>
      </c>
      <c r="K3149" s="809">
        <v>6.48</v>
      </c>
      <c r="L3149" s="811">
        <v>660</v>
      </c>
      <c r="M3149" s="811">
        <v>0.72</v>
      </c>
      <c r="N3149" s="811">
        <v>2.72</v>
      </c>
      <c r="O3149" s="811">
        <v>5.53</v>
      </c>
      <c r="P3149" s="811">
        <v>3.04</v>
      </c>
      <c r="R3149" s="810">
        <v>1.348781024600165</v>
      </c>
      <c r="S3149" s="809">
        <v>8.85</v>
      </c>
      <c r="Y3149" s="1348">
        <v>35</v>
      </c>
      <c r="AA3149" s="810">
        <v>4.6900000000000004</v>
      </c>
      <c r="AB3149" s="810">
        <v>0.51100000000000001</v>
      </c>
      <c r="AC3149" s="811">
        <v>10.8</v>
      </c>
      <c r="AD3149" s="815">
        <v>500</v>
      </c>
      <c r="AE3149" s="815">
        <v>380</v>
      </c>
      <c r="AF3149" s="815">
        <v>120</v>
      </c>
      <c r="AG3149" s="66">
        <f t="shared" si="122"/>
        <v>65.54057142857144</v>
      </c>
      <c r="AH3149" s="143">
        <f t="shared" si="123"/>
        <v>1000</v>
      </c>
    </row>
    <row r="3150" spans="1:34" s="811" customFormat="1" x14ac:dyDescent="0.3">
      <c r="A3150" s="811">
        <v>203093</v>
      </c>
      <c r="B3150" s="809">
        <v>8.1999999999999993</v>
      </c>
      <c r="C3150" s="809"/>
      <c r="D3150" s="810">
        <v>8.4</v>
      </c>
      <c r="E3150" s="808">
        <v>0.47799999999999998</v>
      </c>
      <c r="F3150" s="812">
        <v>525.80000000000007</v>
      </c>
      <c r="H3150" s="812">
        <v>26.33</v>
      </c>
      <c r="I3150" s="812">
        <v>116</v>
      </c>
      <c r="J3150" s="813">
        <v>0.504</v>
      </c>
      <c r="K3150" s="809">
        <v>6.96</v>
      </c>
      <c r="L3150" s="811">
        <v>690</v>
      </c>
      <c r="M3150" s="811">
        <v>0.47</v>
      </c>
      <c r="N3150" s="811">
        <v>2.35</v>
      </c>
      <c r="O3150" s="811">
        <v>6.88</v>
      </c>
      <c r="P3150" s="811">
        <v>3.93</v>
      </c>
      <c r="R3150" s="810">
        <v>1.0428052005559971</v>
      </c>
      <c r="S3150" s="809">
        <v>6.8500000000000005</v>
      </c>
      <c r="Y3150" s="1348">
        <v>25</v>
      </c>
      <c r="AA3150" s="810">
        <v>4.08</v>
      </c>
      <c r="AB3150" s="810">
        <v>0.34300000000000003</v>
      </c>
      <c r="AC3150" s="811">
        <v>9.6</v>
      </c>
      <c r="AD3150" s="815">
        <v>500</v>
      </c>
      <c r="AE3150" s="815">
        <v>360</v>
      </c>
      <c r="AF3150" s="815">
        <v>140</v>
      </c>
      <c r="AG3150" s="66">
        <f t="shared" si="122"/>
        <v>98.553600000000003</v>
      </c>
      <c r="AH3150" s="143">
        <f t="shared" si="123"/>
        <v>1000</v>
      </c>
    </row>
    <row r="3151" spans="1:34" s="811" customFormat="1" x14ac:dyDescent="0.3">
      <c r="A3151" s="811">
        <v>203094</v>
      </c>
      <c r="B3151" s="809">
        <v>8.5</v>
      </c>
      <c r="C3151" s="809"/>
      <c r="D3151" s="810">
        <v>8.1</v>
      </c>
      <c r="E3151" s="808">
        <v>0.65300000000000002</v>
      </c>
      <c r="F3151" s="812">
        <v>718.30000000000007</v>
      </c>
      <c r="H3151" s="812">
        <v>35.03</v>
      </c>
      <c r="I3151" s="812">
        <v>375</v>
      </c>
      <c r="J3151" s="813">
        <v>0.43099999999999999</v>
      </c>
      <c r="K3151" s="809">
        <v>6.99</v>
      </c>
      <c r="L3151" s="811">
        <v>850</v>
      </c>
      <c r="M3151" s="811">
        <v>1.6</v>
      </c>
      <c r="N3151" s="811">
        <v>3.98</v>
      </c>
      <c r="O3151" s="811">
        <v>10.18</v>
      </c>
      <c r="P3151" s="811">
        <v>4.47</v>
      </c>
      <c r="R3151" s="810">
        <v>1.6304429700000003</v>
      </c>
      <c r="S3151" s="809">
        <v>11.73</v>
      </c>
      <c r="Y3151" s="1348">
        <v>34.299999999999997</v>
      </c>
      <c r="AA3151" s="810">
        <v>3.45</v>
      </c>
      <c r="AB3151" s="810">
        <v>0.28599999999999998</v>
      </c>
      <c r="AC3151" s="811">
        <v>6.8</v>
      </c>
      <c r="AD3151" s="815">
        <v>490</v>
      </c>
      <c r="AE3151" s="815">
        <v>390</v>
      </c>
      <c r="AF3151" s="815">
        <v>120</v>
      </c>
      <c r="AG3151" s="66">
        <f t="shared" si="122"/>
        <v>72.141690962099133</v>
      </c>
      <c r="AH3151" s="143">
        <f t="shared" si="123"/>
        <v>1000</v>
      </c>
    </row>
    <row r="3152" spans="1:34" s="811" customFormat="1" x14ac:dyDescent="0.3">
      <c r="A3152" s="811">
        <v>203095</v>
      </c>
      <c r="B3152" s="809">
        <v>10.4</v>
      </c>
      <c r="C3152" s="809">
        <v>6.38</v>
      </c>
      <c r="D3152" s="810">
        <v>8.1</v>
      </c>
      <c r="E3152" s="808">
        <v>0.5</v>
      </c>
      <c r="F3152" s="812">
        <v>550</v>
      </c>
      <c r="H3152" s="812">
        <v>17.11</v>
      </c>
      <c r="I3152" s="812">
        <v>233</v>
      </c>
      <c r="J3152" s="813">
        <v>0.17899999999999999</v>
      </c>
      <c r="K3152" s="809">
        <v>7.58</v>
      </c>
      <c r="L3152" s="811">
        <v>800</v>
      </c>
      <c r="M3152" s="811">
        <v>0.62</v>
      </c>
      <c r="N3152" s="811">
        <v>2.93</v>
      </c>
      <c r="O3152" s="811">
        <v>7.81</v>
      </c>
      <c r="P3152" s="811">
        <v>4.33</v>
      </c>
      <c r="R3152" s="810">
        <v>1.1207042547897677</v>
      </c>
      <c r="S3152" s="809">
        <v>8.1399999999999988</v>
      </c>
      <c r="Y3152" s="1348">
        <v>21.5</v>
      </c>
      <c r="AA3152" s="810">
        <v>4.5999999999999996</v>
      </c>
      <c r="AB3152" s="810">
        <v>0.78800000000000003</v>
      </c>
      <c r="AC3152" s="811">
        <v>10.3</v>
      </c>
      <c r="AD3152" s="815">
        <v>430</v>
      </c>
      <c r="AE3152" s="815">
        <v>360</v>
      </c>
      <c r="AF3152" s="815">
        <v>210</v>
      </c>
      <c r="AG3152" s="66">
        <f t="shared" si="122"/>
        <v>124.80558139534884</v>
      </c>
      <c r="AH3152" s="143">
        <f t="shared" si="123"/>
        <v>1000</v>
      </c>
    </row>
    <row r="3153" spans="1:34" s="811" customFormat="1" x14ac:dyDescent="0.3">
      <c r="A3153" s="811">
        <v>203096</v>
      </c>
      <c r="B3153" s="809">
        <v>0.2</v>
      </c>
      <c r="C3153" s="809"/>
      <c r="D3153" s="810">
        <v>7.6</v>
      </c>
      <c r="E3153" s="808">
        <v>0.128</v>
      </c>
      <c r="F3153" s="812">
        <v>140.80000000000001</v>
      </c>
      <c r="H3153" s="812">
        <v>71.22</v>
      </c>
      <c r="I3153" s="812">
        <v>64</v>
      </c>
      <c r="J3153" s="813">
        <v>6.7000000000000004E-2</v>
      </c>
      <c r="K3153" s="809">
        <v>3.49</v>
      </c>
      <c r="L3153" s="811">
        <v>290</v>
      </c>
      <c r="M3153" s="811">
        <v>0.64</v>
      </c>
      <c r="N3153" s="811">
        <v>0.38</v>
      </c>
      <c r="O3153" s="811">
        <v>2.4900000000000002</v>
      </c>
      <c r="P3153" s="811">
        <v>19.39</v>
      </c>
      <c r="R3153" s="810">
        <v>1.734248</v>
      </c>
      <c r="S3153" s="809">
        <v>14.6</v>
      </c>
      <c r="Y3153" s="1348">
        <v>9.6</v>
      </c>
      <c r="AA3153" s="810">
        <v>4.92</v>
      </c>
      <c r="AB3153" s="810">
        <v>0.30299999999999999</v>
      </c>
      <c r="AC3153" s="811">
        <v>9.3000000000000007</v>
      </c>
      <c r="AD3153" s="815">
        <v>160</v>
      </c>
      <c r="AE3153" s="815">
        <v>80</v>
      </c>
      <c r="AF3153" s="815">
        <v>760</v>
      </c>
      <c r="AG3153" s="66">
        <f t="shared" si="122"/>
        <v>128.69375000000002</v>
      </c>
      <c r="AH3153" s="143">
        <f t="shared" si="123"/>
        <v>1000</v>
      </c>
    </row>
    <row r="3154" spans="1:34" s="811" customFormat="1" x14ac:dyDescent="0.3">
      <c r="A3154" s="811">
        <v>203097</v>
      </c>
      <c r="B3154" s="809">
        <v>5.3</v>
      </c>
      <c r="C3154" s="809"/>
      <c r="D3154" s="810">
        <v>8.1</v>
      </c>
      <c r="E3154" s="808">
        <v>0.19800000000000001</v>
      </c>
      <c r="F3154" s="812">
        <v>217.8</v>
      </c>
      <c r="H3154" s="812">
        <v>54.08</v>
      </c>
      <c r="I3154" s="812">
        <v>94</v>
      </c>
      <c r="J3154" s="813">
        <v>8.6999999999999994E-2</v>
      </c>
      <c r="K3154" s="809">
        <v>7.21</v>
      </c>
      <c r="L3154" s="811">
        <v>380</v>
      </c>
      <c r="M3154" s="811">
        <v>1.7</v>
      </c>
      <c r="N3154" s="811">
        <v>0.23</v>
      </c>
      <c r="O3154" s="811">
        <v>3.11</v>
      </c>
      <c r="P3154" s="811">
        <v>10.06</v>
      </c>
      <c r="R3154" s="810">
        <v>1.9211659200000002</v>
      </c>
      <c r="S3154" s="809">
        <v>20.880000000000003</v>
      </c>
      <c r="Y3154" s="1348">
        <v>8.5</v>
      </c>
      <c r="AA3154" s="810">
        <v>3.77</v>
      </c>
      <c r="AB3154" s="810">
        <v>0.53700000000000003</v>
      </c>
      <c r="AC3154" s="811">
        <v>9.3000000000000007</v>
      </c>
      <c r="AD3154" s="815">
        <v>170</v>
      </c>
      <c r="AE3154" s="815">
        <v>70</v>
      </c>
      <c r="AF3154" s="815">
        <v>760</v>
      </c>
      <c r="AG3154" s="66">
        <f t="shared" si="122"/>
        <v>300.27529411764704</v>
      </c>
      <c r="AH3154" s="143">
        <f t="shared" si="123"/>
        <v>1000</v>
      </c>
    </row>
    <row r="3155" spans="1:34" s="811" customFormat="1" x14ac:dyDescent="0.3">
      <c r="A3155" s="811">
        <v>203098</v>
      </c>
      <c r="B3155" s="809">
        <v>20.399999999999999</v>
      </c>
      <c r="C3155" s="809">
        <v>10.25</v>
      </c>
      <c r="D3155" s="810">
        <v>8</v>
      </c>
      <c r="E3155" s="808">
        <v>0.30499999999999999</v>
      </c>
      <c r="F3155" s="812">
        <v>335.5</v>
      </c>
      <c r="H3155" s="812">
        <v>50.96</v>
      </c>
      <c r="I3155" s="812">
        <v>85</v>
      </c>
      <c r="J3155" s="813">
        <v>7.9000000000000001E-2</v>
      </c>
      <c r="K3155" s="809">
        <v>8.4499999999999993</v>
      </c>
      <c r="L3155" s="811">
        <v>210</v>
      </c>
      <c r="M3155" s="811">
        <v>1.19</v>
      </c>
      <c r="N3155" s="811">
        <v>0.25</v>
      </c>
      <c r="O3155" s="811">
        <v>4.3899999999999997</v>
      </c>
      <c r="P3155" s="811">
        <v>11.38</v>
      </c>
      <c r="R3155" s="810">
        <v>1.88781953</v>
      </c>
      <c r="S3155" s="809">
        <v>19.61</v>
      </c>
      <c r="Y3155" s="1348">
        <v>18.899999999999999</v>
      </c>
      <c r="AA3155" s="810">
        <v>3.54</v>
      </c>
      <c r="AB3155" s="810">
        <v>0.83199999999999996</v>
      </c>
      <c r="AC3155" s="811">
        <v>6.3</v>
      </c>
      <c r="AD3155" s="815">
        <v>270</v>
      </c>
      <c r="AE3155" s="815">
        <v>80</v>
      </c>
      <c r="AF3155" s="815">
        <v>650</v>
      </c>
      <c r="AG3155" s="66">
        <f t="shared" si="122"/>
        <v>158.26984126984127</v>
      </c>
      <c r="AH3155" s="143">
        <f t="shared" si="123"/>
        <v>1000</v>
      </c>
    </row>
    <row r="3156" spans="1:34" s="811" customFormat="1" x14ac:dyDescent="0.3">
      <c r="A3156" s="811">
        <v>203099</v>
      </c>
      <c r="B3156" s="809">
        <v>0.1</v>
      </c>
      <c r="C3156" s="809"/>
      <c r="D3156" s="810">
        <v>8.1</v>
      </c>
      <c r="E3156" s="808">
        <v>6.6000000000000003E-2</v>
      </c>
      <c r="F3156" s="812">
        <v>72.600000000000009</v>
      </c>
      <c r="H3156" s="812">
        <v>41.41</v>
      </c>
      <c r="I3156" s="812">
        <v>47</v>
      </c>
      <c r="J3156" s="813">
        <v>1.0999999999999999E-2</v>
      </c>
      <c r="K3156" s="809">
        <v>1.1399999999999999</v>
      </c>
      <c r="L3156" s="811">
        <v>60</v>
      </c>
      <c r="M3156" s="811">
        <v>0.79</v>
      </c>
      <c r="N3156" s="811">
        <v>0.32</v>
      </c>
      <c r="O3156" s="811">
        <v>3.12</v>
      </c>
      <c r="P3156" s="811">
        <v>6.25</v>
      </c>
      <c r="R3156" s="810">
        <v>0.55180410843844618</v>
      </c>
      <c r="S3156" s="809">
        <v>3.9800000000000004</v>
      </c>
      <c r="Y3156" s="1348">
        <v>4.2</v>
      </c>
      <c r="AA3156" s="810">
        <v>4.88</v>
      </c>
      <c r="AB3156" s="810">
        <v>0.85899999999999999</v>
      </c>
      <c r="AC3156" s="811">
        <v>9.1999999999999993</v>
      </c>
      <c r="AD3156" s="815">
        <v>60</v>
      </c>
      <c r="AE3156" s="815">
        <v>60</v>
      </c>
      <c r="AF3156" s="815">
        <v>880</v>
      </c>
      <c r="AG3156" s="66">
        <f t="shared" si="122"/>
        <v>96.085714285714275</v>
      </c>
      <c r="AH3156" s="143">
        <f t="shared" si="123"/>
        <v>1000</v>
      </c>
    </row>
    <row r="3157" spans="1:34" s="811" customFormat="1" x14ac:dyDescent="0.3">
      <c r="A3157" s="811">
        <v>203100</v>
      </c>
      <c r="B3157" s="809">
        <v>0.9</v>
      </c>
      <c r="C3157" s="809"/>
      <c r="D3157" s="810">
        <v>8.1999999999999993</v>
      </c>
      <c r="E3157" s="808">
        <v>0.13900000000000001</v>
      </c>
      <c r="F3157" s="812">
        <v>152.90000000000003</v>
      </c>
      <c r="H3157" s="812">
        <v>130.74</v>
      </c>
      <c r="I3157" s="812">
        <v>115</v>
      </c>
      <c r="J3157" s="813">
        <v>7.6999999999999999E-2</v>
      </c>
      <c r="K3157" s="809">
        <v>2</v>
      </c>
      <c r="L3157" s="811">
        <v>140</v>
      </c>
      <c r="M3157" s="811">
        <v>1.87</v>
      </c>
      <c r="N3157" s="811">
        <v>0.34</v>
      </c>
      <c r="O3157" s="811">
        <v>4.16</v>
      </c>
      <c r="P3157" s="811">
        <v>6.8</v>
      </c>
      <c r="R3157" s="810">
        <v>0.67834041971305148</v>
      </c>
      <c r="S3157" s="809">
        <v>4.92</v>
      </c>
      <c r="Y3157" s="1348">
        <v>3</v>
      </c>
      <c r="AA3157" s="810">
        <v>4.58</v>
      </c>
      <c r="AB3157" s="810">
        <v>0.89400000000000002</v>
      </c>
      <c r="AC3157" s="811">
        <v>9.5</v>
      </c>
      <c r="AD3157" s="815">
        <v>60</v>
      </c>
      <c r="AE3157" s="815">
        <v>60</v>
      </c>
      <c r="AF3157" s="815">
        <v>880</v>
      </c>
      <c r="AG3157" s="66">
        <f t="shared" si="122"/>
        <v>236</v>
      </c>
      <c r="AH3157" s="143">
        <f t="shared" si="123"/>
        <v>1000</v>
      </c>
    </row>
    <row r="3158" spans="1:34" s="811" customFormat="1" x14ac:dyDescent="0.3">
      <c r="A3158" s="811">
        <v>203101</v>
      </c>
      <c r="B3158" s="809">
        <v>4.8</v>
      </c>
      <c r="C3158" s="809"/>
      <c r="D3158" s="810">
        <v>8.4</v>
      </c>
      <c r="E3158" s="808">
        <v>0.504</v>
      </c>
      <c r="F3158" s="812">
        <v>554.4</v>
      </c>
      <c r="H3158" s="812">
        <v>38.369999999999997</v>
      </c>
      <c r="I3158" s="812">
        <v>296</v>
      </c>
      <c r="J3158" s="813">
        <v>0.80900000000000005</v>
      </c>
      <c r="K3158" s="809">
        <v>6.89</v>
      </c>
      <c r="L3158" s="811">
        <v>970</v>
      </c>
      <c r="M3158" s="811">
        <v>0.55000000000000004</v>
      </c>
      <c r="N3158" s="811">
        <v>1.84</v>
      </c>
      <c r="O3158" s="811">
        <v>10.18</v>
      </c>
      <c r="P3158" s="811">
        <v>5.05</v>
      </c>
      <c r="R3158" s="810">
        <v>1.58760017</v>
      </c>
      <c r="S3158" s="809">
        <v>10.629999999999999</v>
      </c>
      <c r="Y3158" s="1348">
        <v>25.8</v>
      </c>
      <c r="AA3158" s="810">
        <v>4.97</v>
      </c>
      <c r="AB3158" s="810">
        <v>0.72599999999999998</v>
      </c>
      <c r="AC3158" s="811">
        <v>11.6</v>
      </c>
      <c r="AD3158" s="815">
        <v>430</v>
      </c>
      <c r="AE3158" s="815">
        <v>90</v>
      </c>
      <c r="AF3158" s="815">
        <v>480</v>
      </c>
      <c r="AG3158" s="66">
        <f t="shared" si="122"/>
        <v>94.537209302325579</v>
      </c>
      <c r="AH3158" s="143">
        <f t="shared" si="123"/>
        <v>1000</v>
      </c>
    </row>
    <row r="3159" spans="1:34" s="811" customFormat="1" x14ac:dyDescent="0.3">
      <c r="A3159" s="811">
        <v>203102</v>
      </c>
      <c r="B3159" s="809">
        <v>0.4</v>
      </c>
      <c r="C3159" s="809"/>
      <c r="D3159" s="810">
        <v>8.1</v>
      </c>
      <c r="E3159" s="808">
        <v>0.13500000000000001</v>
      </c>
      <c r="F3159" s="812">
        <v>148.50000000000003</v>
      </c>
      <c r="H3159" s="812">
        <v>24.29</v>
      </c>
      <c r="I3159" s="812">
        <v>198</v>
      </c>
      <c r="J3159" s="813">
        <v>0.13100000000000001</v>
      </c>
      <c r="K3159" s="809">
        <v>4.26</v>
      </c>
      <c r="L3159" s="811">
        <v>970</v>
      </c>
      <c r="M3159" s="811">
        <v>0.28000000000000003</v>
      </c>
      <c r="N3159" s="811">
        <v>1.45</v>
      </c>
      <c r="O3159" s="811">
        <v>8.9700000000000006</v>
      </c>
      <c r="P3159" s="811">
        <v>4.4800000000000004</v>
      </c>
      <c r="R3159" s="810">
        <v>1.2879389237453385</v>
      </c>
      <c r="S3159" s="809">
        <v>9.34</v>
      </c>
      <c r="Y3159" s="1348">
        <v>22</v>
      </c>
      <c r="AA3159" s="810">
        <v>4.42</v>
      </c>
      <c r="AB3159" s="810">
        <v>0.68700000000000006</v>
      </c>
      <c r="AC3159" s="811">
        <v>9.9</v>
      </c>
      <c r="AD3159" s="815">
        <v>440</v>
      </c>
      <c r="AE3159" s="815">
        <v>340</v>
      </c>
      <c r="AF3159" s="815">
        <v>220</v>
      </c>
      <c r="AG3159" s="66">
        <f t="shared" si="122"/>
        <v>68.547272727272727</v>
      </c>
      <c r="AH3159" s="143">
        <f t="shared" si="123"/>
        <v>1000</v>
      </c>
    </row>
    <row r="3160" spans="1:34" s="811" customFormat="1" x14ac:dyDescent="0.3">
      <c r="A3160" s="811">
        <v>203103</v>
      </c>
      <c r="B3160" s="809">
        <v>3.1</v>
      </c>
      <c r="C3160" s="809"/>
      <c r="D3160" s="810">
        <v>7.5</v>
      </c>
      <c r="E3160" s="808">
        <v>0.63100000000000001</v>
      </c>
      <c r="F3160" s="812">
        <v>694.1</v>
      </c>
      <c r="H3160" s="812">
        <v>125.13</v>
      </c>
      <c r="I3160" s="812">
        <v>218</v>
      </c>
      <c r="J3160" s="813">
        <v>4.5999999999999999E-2</v>
      </c>
      <c r="K3160" s="809">
        <v>6.05</v>
      </c>
      <c r="L3160" s="811">
        <v>410</v>
      </c>
      <c r="M3160" s="811">
        <v>2.21</v>
      </c>
      <c r="N3160" s="811">
        <v>18.21</v>
      </c>
      <c r="O3160" s="811">
        <v>12.38</v>
      </c>
      <c r="P3160" s="811">
        <v>19.77</v>
      </c>
      <c r="R3160" s="810">
        <v>1.9668381200000002</v>
      </c>
      <c r="S3160" s="809">
        <v>22.78</v>
      </c>
      <c r="Y3160" s="1348">
        <v>27</v>
      </c>
      <c r="AA3160" s="810"/>
      <c r="AB3160" s="810"/>
      <c r="AD3160" s="815"/>
      <c r="AE3160" s="815"/>
      <c r="AF3160" s="815"/>
      <c r="AG3160" s="66">
        <f t="shared" si="122"/>
        <v>79.322222222222209</v>
      </c>
      <c r="AH3160" s="143">
        <f t="shared" si="123"/>
        <v>0</v>
      </c>
    </row>
    <row r="3161" spans="1:34" s="811" customFormat="1" x14ac:dyDescent="0.3">
      <c r="A3161" s="811">
        <v>203104</v>
      </c>
      <c r="B3161" s="809">
        <v>4.5</v>
      </c>
      <c r="C3161" s="809"/>
      <c r="D3161" s="810">
        <v>7.9</v>
      </c>
      <c r="E3161" s="808">
        <v>0.14499999999999999</v>
      </c>
      <c r="F3161" s="812">
        <v>159.5</v>
      </c>
      <c r="H3161" s="812">
        <v>93</v>
      </c>
      <c r="I3161" s="812">
        <v>680</v>
      </c>
      <c r="J3161" s="813">
        <v>0.02</v>
      </c>
      <c r="K3161" s="809">
        <v>7.49</v>
      </c>
      <c r="L3161" s="811">
        <v>2400</v>
      </c>
      <c r="M3161" s="811">
        <v>0.64</v>
      </c>
      <c r="N3161" s="811">
        <v>10.84</v>
      </c>
      <c r="O3161" s="811">
        <v>11.78</v>
      </c>
      <c r="P3161" s="811">
        <v>7.62</v>
      </c>
      <c r="R3161" s="810">
        <v>1.84288772</v>
      </c>
      <c r="S3161" s="809">
        <v>18.02</v>
      </c>
      <c r="Y3161" s="1348">
        <v>28</v>
      </c>
      <c r="AA3161" s="810"/>
      <c r="AB3161" s="810"/>
      <c r="AD3161" s="815"/>
      <c r="AE3161" s="815"/>
      <c r="AF3161" s="815"/>
      <c r="AG3161" s="66">
        <f t="shared" si="122"/>
        <v>94.695000000000007</v>
      </c>
      <c r="AH3161" s="143">
        <f t="shared" si="123"/>
        <v>0</v>
      </c>
    </row>
    <row r="3162" spans="1:34" s="811" customFormat="1" x14ac:dyDescent="0.3">
      <c r="A3162" s="811">
        <v>203105</v>
      </c>
      <c r="B3162" s="809">
        <v>9.4</v>
      </c>
      <c r="C3162" s="809"/>
      <c r="D3162" s="810">
        <v>8</v>
      </c>
      <c r="E3162" s="808">
        <v>0.27</v>
      </c>
      <c r="F3162" s="812">
        <v>297.00000000000006</v>
      </c>
      <c r="H3162" s="812">
        <v>7.46</v>
      </c>
      <c r="I3162" s="812">
        <v>266</v>
      </c>
      <c r="J3162" s="813">
        <v>7.9000000000000001E-2</v>
      </c>
      <c r="K3162" s="809">
        <v>8.5299999999999994</v>
      </c>
      <c r="L3162" s="811">
        <v>2370</v>
      </c>
      <c r="M3162" s="811">
        <v>0.51</v>
      </c>
      <c r="N3162" s="811">
        <v>2.69</v>
      </c>
      <c r="O3162" s="811">
        <v>20</v>
      </c>
      <c r="P3162" s="811">
        <v>7.19</v>
      </c>
      <c r="R3162" s="810">
        <v>1.7614583300000002</v>
      </c>
      <c r="S3162" s="809">
        <v>15.41</v>
      </c>
      <c r="Y3162" s="1348">
        <v>33.5</v>
      </c>
      <c r="AA3162" s="810"/>
      <c r="AB3162" s="810"/>
      <c r="AD3162" s="815"/>
      <c r="AE3162" s="815"/>
      <c r="AF3162" s="815"/>
      <c r="AG3162" s="66">
        <f t="shared" si="122"/>
        <v>90.137910447761186</v>
      </c>
      <c r="AH3162" s="143">
        <f t="shared" si="123"/>
        <v>0</v>
      </c>
    </row>
    <row r="3163" spans="1:34" s="811" customFormat="1" x14ac:dyDescent="0.3">
      <c r="A3163" s="811">
        <v>203106</v>
      </c>
      <c r="B3163" s="809">
        <v>2.2000000000000002</v>
      </c>
      <c r="C3163" s="809"/>
      <c r="D3163" s="810">
        <v>8.1</v>
      </c>
      <c r="E3163" s="808">
        <v>0.155</v>
      </c>
      <c r="F3163" s="812">
        <v>170.5</v>
      </c>
      <c r="H3163" s="812">
        <v>22</v>
      </c>
      <c r="I3163" s="812">
        <v>459</v>
      </c>
      <c r="J3163" s="813">
        <v>0.05</v>
      </c>
      <c r="K3163" s="809">
        <v>6.77</v>
      </c>
      <c r="L3163" s="811">
        <v>2280</v>
      </c>
      <c r="M3163" s="811">
        <v>0.87</v>
      </c>
      <c r="N3163" s="811">
        <v>3.96</v>
      </c>
      <c r="O3163" s="811">
        <v>12.66</v>
      </c>
      <c r="P3163" s="811">
        <v>6.98</v>
      </c>
      <c r="R3163" s="810">
        <v>1.8334170000000001</v>
      </c>
      <c r="S3163" s="809">
        <v>17.7</v>
      </c>
      <c r="Y3163" s="1348">
        <v>34.200000000000003</v>
      </c>
      <c r="AA3163" s="810"/>
      <c r="AB3163" s="810"/>
      <c r="AD3163" s="815"/>
      <c r="AE3163" s="815"/>
      <c r="AF3163" s="815"/>
      <c r="AG3163" s="66">
        <f t="shared" si="122"/>
        <v>70.075438596491225</v>
      </c>
      <c r="AH3163" s="143">
        <f t="shared" si="123"/>
        <v>0</v>
      </c>
    </row>
    <row r="3164" spans="1:34" s="811" customFormat="1" x14ac:dyDescent="0.3">
      <c r="A3164" s="811">
        <v>203107</v>
      </c>
      <c r="B3164" s="809">
        <v>3.6</v>
      </c>
      <c r="C3164" s="809"/>
      <c r="D3164" s="810">
        <v>7.9</v>
      </c>
      <c r="E3164" s="808">
        <v>0.27100000000000002</v>
      </c>
      <c r="F3164" s="812">
        <v>298.10000000000002</v>
      </c>
      <c r="H3164" s="812">
        <v>6.71</v>
      </c>
      <c r="I3164" s="812">
        <v>306</v>
      </c>
      <c r="J3164" s="813">
        <v>5.5E-2</v>
      </c>
      <c r="K3164" s="809">
        <v>6.88</v>
      </c>
      <c r="L3164" s="811">
        <v>2210</v>
      </c>
      <c r="M3164" s="811">
        <v>0.37</v>
      </c>
      <c r="N3164" s="811">
        <v>2.5</v>
      </c>
      <c r="O3164" s="811">
        <v>12.19</v>
      </c>
      <c r="P3164" s="811">
        <v>5.09</v>
      </c>
      <c r="R3164" s="810">
        <v>1.7284205700000002</v>
      </c>
      <c r="S3164" s="809">
        <v>14.43</v>
      </c>
      <c r="Y3164" s="1348">
        <v>28</v>
      </c>
      <c r="AA3164" s="810"/>
      <c r="AB3164" s="810"/>
      <c r="AD3164" s="815"/>
      <c r="AE3164" s="815"/>
      <c r="AF3164" s="815"/>
      <c r="AG3164" s="66">
        <f t="shared" si="122"/>
        <v>86.982857142857142</v>
      </c>
      <c r="AH3164" s="143">
        <f t="shared" si="123"/>
        <v>0</v>
      </c>
    </row>
    <row r="3165" spans="1:34" s="811" customFormat="1" x14ac:dyDescent="0.3">
      <c r="A3165" s="811">
        <v>203108</v>
      </c>
      <c r="B3165" s="809">
        <v>0.2</v>
      </c>
      <c r="C3165" s="809"/>
      <c r="D3165" s="810">
        <v>7.8</v>
      </c>
      <c r="E3165" s="808">
        <v>0.13700000000000001</v>
      </c>
      <c r="F3165" s="812">
        <v>150.70000000000002</v>
      </c>
      <c r="H3165" s="812">
        <v>8.0500000000000007</v>
      </c>
      <c r="I3165" s="812">
        <v>219</v>
      </c>
      <c r="J3165" s="813">
        <v>5.1999999999999998E-2</v>
      </c>
      <c r="K3165" s="809">
        <v>6.25</v>
      </c>
      <c r="L3165" s="811">
        <v>1140</v>
      </c>
      <c r="M3165" s="811">
        <v>0.41</v>
      </c>
      <c r="N3165" s="811">
        <v>2</v>
      </c>
      <c r="O3165" s="811">
        <v>45.28</v>
      </c>
      <c r="P3165" s="811">
        <v>5.04</v>
      </c>
      <c r="R3165" s="810">
        <v>1.8501869700000002</v>
      </c>
      <c r="S3165" s="809">
        <v>18.27</v>
      </c>
      <c r="Y3165" s="1348">
        <v>28</v>
      </c>
      <c r="AA3165" s="810"/>
      <c r="AB3165" s="810"/>
      <c r="AD3165" s="815"/>
      <c r="AE3165" s="815"/>
      <c r="AF3165" s="815"/>
      <c r="AG3165" s="66">
        <f t="shared" si="122"/>
        <v>79.017857142857139</v>
      </c>
      <c r="AH3165" s="143">
        <f t="shared" si="123"/>
        <v>0</v>
      </c>
    </row>
    <row r="3166" spans="1:34" s="811" customFormat="1" x14ac:dyDescent="0.3">
      <c r="A3166" s="811">
        <v>203109</v>
      </c>
      <c r="B3166" s="809">
        <v>0.5</v>
      </c>
      <c r="C3166" s="809"/>
      <c r="D3166" s="810">
        <v>7.8</v>
      </c>
      <c r="E3166" s="808">
        <v>0.16900000000000001</v>
      </c>
      <c r="F3166" s="812">
        <v>185.90000000000003</v>
      </c>
      <c r="H3166" s="812">
        <v>10.44</v>
      </c>
      <c r="I3166" s="812">
        <v>192</v>
      </c>
      <c r="J3166" s="813">
        <v>4.9000000000000002E-2</v>
      </c>
      <c r="K3166" s="809">
        <v>5.1100000000000003</v>
      </c>
      <c r="L3166" s="811">
        <v>1780</v>
      </c>
      <c r="M3166" s="811">
        <v>0.37</v>
      </c>
      <c r="N3166" s="811">
        <v>1.89</v>
      </c>
      <c r="O3166" s="811">
        <v>22.34</v>
      </c>
      <c r="P3166" s="811">
        <v>4.41</v>
      </c>
      <c r="R3166" s="810">
        <v>1.81924697</v>
      </c>
      <c r="S3166" s="809">
        <v>17.23</v>
      </c>
      <c r="Y3166" s="1348">
        <v>27</v>
      </c>
      <c r="AA3166" s="810"/>
      <c r="AB3166" s="810"/>
      <c r="AD3166" s="815"/>
      <c r="AE3166" s="815"/>
      <c r="AF3166" s="815"/>
      <c r="AG3166" s="66">
        <f t="shared" si="122"/>
        <v>66.997777777777785</v>
      </c>
      <c r="AH3166" s="143">
        <f t="shared" si="123"/>
        <v>0</v>
      </c>
    </row>
    <row r="3167" spans="1:34" s="811" customFormat="1" x14ac:dyDescent="0.3">
      <c r="A3167" s="811">
        <v>203110</v>
      </c>
      <c r="B3167" s="809">
        <v>6.2</v>
      </c>
      <c r="C3167" s="809"/>
      <c r="D3167" s="810">
        <v>7.7</v>
      </c>
      <c r="E3167" s="808">
        <v>1.31</v>
      </c>
      <c r="F3167" s="812">
        <v>1441.0000000000002</v>
      </c>
      <c r="H3167" s="812">
        <v>8.8699999999999992</v>
      </c>
      <c r="I3167" s="812">
        <v>844</v>
      </c>
      <c r="J3167" s="813">
        <v>0.27600000000000002</v>
      </c>
      <c r="K3167" s="809">
        <v>15.71</v>
      </c>
      <c r="L3167" s="811">
        <v>1000</v>
      </c>
      <c r="M3167" s="811">
        <v>0.19</v>
      </c>
      <c r="N3167" s="811">
        <v>1.85</v>
      </c>
      <c r="O3167" s="811">
        <v>3.07</v>
      </c>
      <c r="P3167" s="811">
        <v>6.38</v>
      </c>
      <c r="R3167" s="810">
        <v>1.1273085256115478</v>
      </c>
      <c r="S3167" s="809">
        <v>7.51</v>
      </c>
      <c r="Y3167" s="1348">
        <v>34.4</v>
      </c>
      <c r="AA3167" s="810">
        <v>3.91</v>
      </c>
      <c r="AB3167" s="810">
        <v>0.46300000000000002</v>
      </c>
      <c r="AC3167" s="811">
        <v>11.5</v>
      </c>
      <c r="AD3167" s="815">
        <v>640</v>
      </c>
      <c r="AE3167" s="815">
        <v>290</v>
      </c>
      <c r="AF3167" s="815">
        <v>70</v>
      </c>
      <c r="AG3167" s="66">
        <f t="shared" si="122"/>
        <v>161.66686046511629</v>
      </c>
      <c r="AH3167" s="143">
        <f t="shared" si="123"/>
        <v>1000</v>
      </c>
    </row>
    <row r="3168" spans="1:34" s="811" customFormat="1" x14ac:dyDescent="0.3">
      <c r="A3168" s="811">
        <v>203111</v>
      </c>
      <c r="B3168" s="809">
        <v>9.6999999999999993</v>
      </c>
      <c r="C3168" s="809"/>
      <c r="D3168" s="810">
        <v>7.7</v>
      </c>
      <c r="E3168" s="808">
        <v>2.3199999999999998</v>
      </c>
      <c r="F3168" s="812">
        <v>2552</v>
      </c>
      <c r="H3168" s="812">
        <v>3.59</v>
      </c>
      <c r="I3168" s="812">
        <v>656</v>
      </c>
      <c r="J3168" s="813">
        <v>0.55800000000000005</v>
      </c>
      <c r="K3168" s="809">
        <v>19.399999999999999</v>
      </c>
      <c r="L3168" s="811">
        <v>1140</v>
      </c>
      <c r="M3168" s="811">
        <v>0.15</v>
      </c>
      <c r="N3168" s="811">
        <v>1.71</v>
      </c>
      <c r="O3168" s="811">
        <v>2.38</v>
      </c>
      <c r="P3168" s="811">
        <v>6.57</v>
      </c>
      <c r="R3168" s="810">
        <v>0.64445874862025709</v>
      </c>
      <c r="S3168" s="809">
        <v>4.8099999999999996</v>
      </c>
      <c r="Y3168" s="1348">
        <v>32.4</v>
      </c>
      <c r="AA3168" s="810">
        <v>4.2300000000000004</v>
      </c>
      <c r="AB3168" s="810">
        <v>0.57099999999999995</v>
      </c>
      <c r="AC3168" s="811">
        <v>11.9</v>
      </c>
      <c r="AD3168" s="815">
        <v>620</v>
      </c>
      <c r="AE3168" s="815">
        <v>300</v>
      </c>
      <c r="AF3168" s="815">
        <v>80</v>
      </c>
      <c r="AG3168" s="66">
        <f t="shared" si="122"/>
        <v>211.96296296296299</v>
      </c>
      <c r="AH3168" s="143">
        <f t="shared" si="123"/>
        <v>1000</v>
      </c>
    </row>
    <row r="3169" spans="1:34" s="811" customFormat="1" x14ac:dyDescent="0.3">
      <c r="A3169" s="811">
        <v>203112</v>
      </c>
      <c r="B3169" s="809">
        <v>36.200000000000003</v>
      </c>
      <c r="C3169" s="809">
        <v>15.88</v>
      </c>
      <c r="D3169" s="810">
        <v>8.1</v>
      </c>
      <c r="E3169" s="808">
        <v>0.14899999999999999</v>
      </c>
      <c r="F3169" s="812">
        <v>163.9</v>
      </c>
      <c r="H3169" s="812">
        <v>9.67</v>
      </c>
      <c r="I3169" s="812">
        <v>913</v>
      </c>
      <c r="J3169" s="813">
        <v>2.3E-2</v>
      </c>
      <c r="K3169" s="809">
        <v>11.66</v>
      </c>
      <c r="L3169" s="811">
        <v>520</v>
      </c>
      <c r="M3169" s="811">
        <v>0.25</v>
      </c>
      <c r="N3169" s="811">
        <v>2.14</v>
      </c>
      <c r="O3169" s="811">
        <v>7.72</v>
      </c>
      <c r="P3169" s="811">
        <v>6.73</v>
      </c>
      <c r="R3169" s="810">
        <v>1.1248896643024651</v>
      </c>
      <c r="S3169" s="809">
        <v>8.379999999999999</v>
      </c>
      <c r="Y3169" s="1348">
        <v>35.700000000000003</v>
      </c>
      <c r="AA3169" s="810">
        <v>4.43</v>
      </c>
      <c r="AB3169" s="810">
        <v>0.62</v>
      </c>
      <c r="AC3169" s="811">
        <v>6.9</v>
      </c>
      <c r="AD3169" s="815">
        <v>610</v>
      </c>
      <c r="AE3169" s="815">
        <v>300</v>
      </c>
      <c r="AF3169" s="815">
        <v>90</v>
      </c>
      <c r="AG3169" s="66">
        <f t="shared" si="122"/>
        <v>115.62016806722689</v>
      </c>
      <c r="AH3169" s="143">
        <f t="shared" si="123"/>
        <v>1000</v>
      </c>
    </row>
    <row r="3170" spans="1:34" s="811" customFormat="1" x14ac:dyDescent="0.3">
      <c r="A3170" s="811">
        <v>203113</v>
      </c>
      <c r="B3170" s="809">
        <v>42.2</v>
      </c>
      <c r="C3170" s="809">
        <v>16.25</v>
      </c>
      <c r="D3170" s="810">
        <v>8.3000000000000007</v>
      </c>
      <c r="E3170" s="808">
        <v>0.129</v>
      </c>
      <c r="F3170" s="812">
        <v>141.90000000000003</v>
      </c>
      <c r="H3170" s="812">
        <v>2.23</v>
      </c>
      <c r="I3170" s="812">
        <v>628</v>
      </c>
      <c r="J3170" s="813">
        <v>4.3999999999999997E-2</v>
      </c>
      <c r="K3170" s="809">
        <v>11.51</v>
      </c>
      <c r="L3170" s="811">
        <v>840</v>
      </c>
      <c r="M3170" s="811">
        <v>0.1</v>
      </c>
      <c r="N3170" s="811">
        <v>1.87</v>
      </c>
      <c r="O3170" s="811">
        <v>4.8899999999999997</v>
      </c>
      <c r="P3170" s="811">
        <v>6.86</v>
      </c>
      <c r="R3170" s="810">
        <v>0.82719210416856803</v>
      </c>
      <c r="S3170" s="809">
        <v>5.93</v>
      </c>
      <c r="Y3170" s="1348">
        <v>34.799999999999997</v>
      </c>
      <c r="AA3170" s="810">
        <v>3.65</v>
      </c>
      <c r="AB3170" s="810">
        <v>0.81</v>
      </c>
      <c r="AC3170" s="811">
        <v>8.5</v>
      </c>
      <c r="AD3170" s="815">
        <v>630</v>
      </c>
      <c r="AE3170" s="815">
        <v>280</v>
      </c>
      <c r="AF3170" s="815">
        <v>90</v>
      </c>
      <c r="AG3170" s="66">
        <f t="shared" si="122"/>
        <v>117.08448275862068</v>
      </c>
      <c r="AH3170" s="143">
        <f t="shared" si="123"/>
        <v>1000</v>
      </c>
    </row>
    <row r="3171" spans="1:34" s="811" customFormat="1" x14ac:dyDescent="0.3">
      <c r="A3171" s="811">
        <v>203114</v>
      </c>
      <c r="B3171" s="809">
        <v>32.200000000000003</v>
      </c>
      <c r="C3171" s="809">
        <v>15.88</v>
      </c>
      <c r="D3171" s="810">
        <v>8.1</v>
      </c>
      <c r="E3171" s="808">
        <v>0.14499999999999999</v>
      </c>
      <c r="F3171" s="812">
        <v>159.5</v>
      </c>
      <c r="H3171" s="812">
        <v>6.53</v>
      </c>
      <c r="I3171" s="812">
        <v>661</v>
      </c>
      <c r="J3171" s="813">
        <v>5.1999999999999998E-2</v>
      </c>
      <c r="K3171" s="809">
        <v>12.8</v>
      </c>
      <c r="L3171" s="811">
        <v>900</v>
      </c>
      <c r="M3171" s="811">
        <v>0.32</v>
      </c>
      <c r="N3171" s="811">
        <v>2.0499999999999998</v>
      </c>
      <c r="O3171" s="811">
        <v>5.21</v>
      </c>
      <c r="P3171" s="811">
        <v>8.26</v>
      </c>
      <c r="R3171" s="810">
        <v>1.192062966181757</v>
      </c>
      <c r="S3171" s="809">
        <v>8.86</v>
      </c>
      <c r="Y3171" s="1348">
        <v>35.799999999999997</v>
      </c>
      <c r="AA3171" s="810">
        <v>4.54</v>
      </c>
      <c r="AB3171" s="810">
        <v>0.374</v>
      </c>
      <c r="AC3171" s="811">
        <v>7.1</v>
      </c>
      <c r="AD3171" s="815">
        <v>640</v>
      </c>
      <c r="AE3171" s="815">
        <v>290</v>
      </c>
      <c r="AF3171" s="815">
        <v>70</v>
      </c>
      <c r="AG3171" s="66">
        <f t="shared" si="122"/>
        <v>126.56983240223467</v>
      </c>
      <c r="AH3171" s="143">
        <f t="shared" si="123"/>
        <v>1000</v>
      </c>
    </row>
    <row r="3172" spans="1:34" s="811" customFormat="1" x14ac:dyDescent="0.3">
      <c r="A3172" s="811">
        <v>203115</v>
      </c>
      <c r="B3172" s="809">
        <v>35.799999999999997</v>
      </c>
      <c r="C3172" s="809">
        <v>15.38</v>
      </c>
      <c r="D3172" s="810">
        <v>8.1999999999999993</v>
      </c>
      <c r="E3172" s="808">
        <v>0.14399999999999999</v>
      </c>
      <c r="F3172" s="812">
        <v>158.4</v>
      </c>
      <c r="H3172" s="812">
        <v>3.03</v>
      </c>
      <c r="I3172" s="812">
        <v>390</v>
      </c>
      <c r="J3172" s="813">
        <v>0.14399999999999999</v>
      </c>
      <c r="K3172" s="809">
        <v>12.28</v>
      </c>
      <c r="L3172" s="811">
        <v>1560</v>
      </c>
      <c r="M3172" s="811">
        <v>0.11</v>
      </c>
      <c r="N3172" s="811">
        <v>1.83</v>
      </c>
      <c r="O3172" s="811">
        <v>3.48</v>
      </c>
      <c r="P3172" s="811">
        <v>8.6999999999999993</v>
      </c>
      <c r="R3172" s="810">
        <v>0.88973497282101832</v>
      </c>
      <c r="S3172" s="809">
        <v>6.2</v>
      </c>
      <c r="Y3172" s="1348">
        <v>33.67</v>
      </c>
      <c r="AA3172" s="810">
        <v>3.82</v>
      </c>
      <c r="AB3172" s="810">
        <v>0.55800000000000005</v>
      </c>
      <c r="AC3172" s="811">
        <v>6.8</v>
      </c>
      <c r="AD3172" s="815">
        <v>610</v>
      </c>
      <c r="AE3172" s="815">
        <v>280</v>
      </c>
      <c r="AF3172" s="815">
        <v>110</v>
      </c>
      <c r="AG3172" s="66">
        <f t="shared" si="122"/>
        <v>129.10959310959311</v>
      </c>
      <c r="AH3172" s="143">
        <f t="shared" si="123"/>
        <v>1000</v>
      </c>
    </row>
    <row r="3173" spans="1:34" s="811" customFormat="1" x14ac:dyDescent="0.3">
      <c r="A3173" s="811">
        <v>203116</v>
      </c>
      <c r="B3173" s="809">
        <v>0.1</v>
      </c>
      <c r="C3173" s="809"/>
      <c r="D3173" s="810">
        <v>7.3</v>
      </c>
      <c r="E3173" s="808">
        <v>8.3000000000000004E-2</v>
      </c>
      <c r="F3173" s="812">
        <v>91.300000000000011</v>
      </c>
      <c r="H3173" s="812">
        <v>27.46</v>
      </c>
      <c r="I3173" s="812">
        <v>147</v>
      </c>
      <c r="J3173" s="813">
        <v>4.9000000000000002E-2</v>
      </c>
      <c r="K3173" s="809">
        <v>1</v>
      </c>
      <c r="L3173" s="811">
        <v>100</v>
      </c>
      <c r="M3173" s="811">
        <v>0.42</v>
      </c>
      <c r="N3173" s="811">
        <v>0.26</v>
      </c>
      <c r="O3173" s="811">
        <v>5.59</v>
      </c>
      <c r="P3173" s="811">
        <v>8.86</v>
      </c>
      <c r="R3173" s="810">
        <v>1.1241168606549401</v>
      </c>
      <c r="S3173" s="809">
        <v>7.55</v>
      </c>
      <c r="Y3173" s="1348">
        <v>3</v>
      </c>
      <c r="AA3173" s="810">
        <v>3.54</v>
      </c>
      <c r="AB3173" s="810">
        <v>0.83899999999999997</v>
      </c>
      <c r="AC3173" s="811">
        <v>8</v>
      </c>
      <c r="AD3173" s="815">
        <v>60</v>
      </c>
      <c r="AE3173" s="815">
        <v>60</v>
      </c>
      <c r="AF3173" s="815">
        <v>880</v>
      </c>
      <c r="AG3173" s="66">
        <f t="shared" si="122"/>
        <v>118</v>
      </c>
      <c r="AH3173" s="143">
        <f t="shared" si="123"/>
        <v>1000</v>
      </c>
    </row>
    <row r="3174" spans="1:34" s="811" customFormat="1" x14ac:dyDescent="0.3">
      <c r="A3174" s="811">
        <v>203117</v>
      </c>
      <c r="B3174" s="809">
        <v>0.1</v>
      </c>
      <c r="C3174" s="809"/>
      <c r="D3174" s="810">
        <v>6.5</v>
      </c>
      <c r="E3174" s="808">
        <v>6.3E-2</v>
      </c>
      <c r="F3174" s="812">
        <v>69.3</v>
      </c>
      <c r="H3174" s="812">
        <v>65.400000000000006</v>
      </c>
      <c r="I3174" s="812">
        <v>215</v>
      </c>
      <c r="J3174" s="813">
        <v>3.1E-2</v>
      </c>
      <c r="K3174" s="809">
        <v>1.21</v>
      </c>
      <c r="L3174" s="811">
        <v>130</v>
      </c>
      <c r="M3174" s="811">
        <v>0.52</v>
      </c>
      <c r="N3174" s="811">
        <v>0.48</v>
      </c>
      <c r="O3174" s="811">
        <v>18.62</v>
      </c>
      <c r="P3174" s="811">
        <v>25.82</v>
      </c>
      <c r="R3174" s="810">
        <v>1.0823028517238604</v>
      </c>
      <c r="S3174" s="809">
        <v>7.74</v>
      </c>
      <c r="Y3174" s="1348">
        <v>15</v>
      </c>
      <c r="Z3174" s="811">
        <v>5.98</v>
      </c>
      <c r="AA3174" s="810">
        <v>4.5</v>
      </c>
      <c r="AB3174" s="810">
        <v>0.623</v>
      </c>
      <c r="AC3174" s="811">
        <v>10.9</v>
      </c>
      <c r="AD3174" s="815">
        <v>300</v>
      </c>
      <c r="AE3174" s="815">
        <v>220</v>
      </c>
      <c r="AF3174" s="815">
        <v>480</v>
      </c>
      <c r="AG3174" s="66">
        <f t="shared" si="122"/>
        <v>28.556000000000001</v>
      </c>
      <c r="AH3174" s="143">
        <f t="shared" si="123"/>
        <v>1000</v>
      </c>
    </row>
    <row r="3175" spans="1:34" s="811" customFormat="1" x14ac:dyDescent="0.3">
      <c r="A3175" s="811">
        <v>203118</v>
      </c>
      <c r="B3175" s="809">
        <v>0.1</v>
      </c>
      <c r="C3175" s="809"/>
      <c r="D3175" s="810">
        <v>6.2</v>
      </c>
      <c r="E3175" s="808">
        <v>5.8000000000000003E-2</v>
      </c>
      <c r="F3175" s="812">
        <v>63.800000000000011</v>
      </c>
      <c r="H3175" s="812">
        <v>43.06</v>
      </c>
      <c r="I3175" s="812">
        <v>96</v>
      </c>
      <c r="J3175" s="813">
        <v>4.5999999999999999E-2</v>
      </c>
      <c r="K3175" s="809">
        <v>1.02</v>
      </c>
      <c r="L3175" s="811">
        <v>150</v>
      </c>
      <c r="M3175" s="811">
        <v>0.24</v>
      </c>
      <c r="N3175" s="811">
        <v>0.38</v>
      </c>
      <c r="O3175" s="811">
        <v>11.59</v>
      </c>
      <c r="P3175" s="811">
        <v>33.14</v>
      </c>
      <c r="R3175" s="810">
        <v>0.79452312291401228</v>
      </c>
      <c r="S3175" s="809">
        <v>5.7399999999999993</v>
      </c>
      <c r="Y3175" s="1348">
        <v>14</v>
      </c>
      <c r="Z3175" s="811">
        <v>5.54</v>
      </c>
      <c r="AA3175" s="810">
        <v>3.76</v>
      </c>
      <c r="AB3175" s="810">
        <v>0.80900000000000005</v>
      </c>
      <c r="AC3175" s="811">
        <v>9.6</v>
      </c>
      <c r="AD3175" s="815">
        <v>280</v>
      </c>
      <c r="AE3175" s="815">
        <v>180</v>
      </c>
      <c r="AF3175" s="815">
        <v>540</v>
      </c>
      <c r="AG3175" s="66">
        <f t="shared" si="122"/>
        <v>25.791428571428575</v>
      </c>
      <c r="AH3175" s="143">
        <f t="shared" si="123"/>
        <v>1000</v>
      </c>
    </row>
    <row r="3176" spans="1:34" s="811" customFormat="1" x14ac:dyDescent="0.3">
      <c r="A3176" s="811">
        <v>203119</v>
      </c>
      <c r="B3176" s="809">
        <v>48.3</v>
      </c>
      <c r="C3176" s="809">
        <v>11.5</v>
      </c>
      <c r="D3176" s="810">
        <v>8.5</v>
      </c>
      <c r="E3176" s="808">
        <v>0.187</v>
      </c>
      <c r="F3176" s="812">
        <v>205.70000000000002</v>
      </c>
      <c r="H3176" s="812">
        <v>6.84</v>
      </c>
      <c r="I3176" s="812">
        <v>220</v>
      </c>
      <c r="J3176" s="813">
        <v>5.6000000000000001E-2</v>
      </c>
      <c r="K3176" s="809">
        <v>7.39</v>
      </c>
      <c r="L3176" s="811">
        <v>290</v>
      </c>
      <c r="M3176" s="811">
        <v>7.0000000000000007E-2</v>
      </c>
      <c r="N3176" s="811">
        <v>0.38</v>
      </c>
      <c r="O3176" s="811">
        <v>1.1299999999999999</v>
      </c>
      <c r="P3176" s="811">
        <v>1.07</v>
      </c>
      <c r="R3176" s="810">
        <v>0.28006893994021792</v>
      </c>
      <c r="S3176" s="809">
        <v>1.96</v>
      </c>
      <c r="Y3176" s="1348">
        <v>11</v>
      </c>
      <c r="AA3176" s="810"/>
      <c r="AB3176" s="810"/>
      <c r="AD3176" s="815"/>
      <c r="AE3176" s="815"/>
      <c r="AF3176" s="815"/>
      <c r="AG3176" s="66">
        <f t="shared" si="122"/>
        <v>237.82363636363635</v>
      </c>
      <c r="AH3176" s="143">
        <f t="shared" si="123"/>
        <v>0</v>
      </c>
    </row>
    <row r="3177" spans="1:34" s="811" customFormat="1" x14ac:dyDescent="0.3">
      <c r="A3177" s="811">
        <v>203120</v>
      </c>
      <c r="B3177" s="809">
        <v>78.7</v>
      </c>
      <c r="C3177" s="809">
        <v>13.25</v>
      </c>
      <c r="D3177" s="810">
        <v>8.5</v>
      </c>
      <c r="E3177" s="808">
        <v>0.34699999999999998</v>
      </c>
      <c r="F3177" s="812">
        <v>381.7</v>
      </c>
      <c r="H3177" s="812">
        <v>3.39</v>
      </c>
      <c r="I3177" s="812">
        <v>65</v>
      </c>
      <c r="J3177" s="813">
        <v>0.13700000000000001</v>
      </c>
      <c r="K3177" s="809">
        <v>7.06</v>
      </c>
      <c r="L3177" s="811">
        <v>240</v>
      </c>
      <c r="R3177" s="810">
        <v>0.19971351512058089</v>
      </c>
      <c r="S3177" s="809">
        <v>1.34</v>
      </c>
      <c r="Y3177" s="1348">
        <v>10.8</v>
      </c>
      <c r="AA3177" s="810"/>
      <c r="AB3177" s="810"/>
      <c r="AD3177" s="815"/>
      <c r="AE3177" s="815"/>
      <c r="AF3177" s="815"/>
      <c r="AG3177" s="66">
        <f t="shared" si="122"/>
        <v>231.41111111111107</v>
      </c>
      <c r="AH3177" s="143">
        <f t="shared" si="123"/>
        <v>0</v>
      </c>
    </row>
    <row r="3178" spans="1:34" s="811" customFormat="1" x14ac:dyDescent="0.3">
      <c r="A3178" s="811">
        <v>203121</v>
      </c>
      <c r="B3178" s="809">
        <v>30.2</v>
      </c>
      <c r="C3178" s="809">
        <v>9.6300000000000008</v>
      </c>
      <c r="D3178" s="810">
        <v>8.4</v>
      </c>
      <c r="E3178" s="808">
        <v>0.504</v>
      </c>
      <c r="F3178" s="812">
        <v>554.4</v>
      </c>
      <c r="H3178" s="812">
        <v>3.44</v>
      </c>
      <c r="I3178" s="812">
        <v>229</v>
      </c>
      <c r="J3178" s="813">
        <v>0.64900000000000002</v>
      </c>
      <c r="K3178" s="809">
        <v>7.84</v>
      </c>
      <c r="L3178" s="811">
        <v>830</v>
      </c>
      <c r="M3178" s="811">
        <v>0.08</v>
      </c>
      <c r="N3178" s="811">
        <v>0.56999999999999995</v>
      </c>
      <c r="O3178" s="811">
        <v>2.0699999999999998</v>
      </c>
      <c r="P3178" s="811">
        <v>1.29</v>
      </c>
      <c r="R3178" s="810">
        <v>0.45609413559215567</v>
      </c>
      <c r="S3178" s="809">
        <v>3</v>
      </c>
      <c r="Y3178" s="1348">
        <v>32.200000000000003</v>
      </c>
      <c r="AA3178" s="810"/>
      <c r="AB3178" s="810"/>
      <c r="AD3178" s="815"/>
      <c r="AE3178" s="815"/>
      <c r="AF3178" s="815"/>
      <c r="AG3178" s="66">
        <f t="shared" si="122"/>
        <v>86.191304347826076</v>
      </c>
      <c r="AH3178" s="143">
        <f t="shared" si="123"/>
        <v>0</v>
      </c>
    </row>
    <row r="3179" spans="1:34" s="811" customFormat="1" x14ac:dyDescent="0.3">
      <c r="A3179" s="811">
        <v>203122</v>
      </c>
      <c r="B3179" s="809">
        <v>43.5</v>
      </c>
      <c r="C3179" s="809">
        <v>10.5</v>
      </c>
      <c r="D3179" s="810">
        <v>8.4</v>
      </c>
      <c r="E3179" s="808">
        <v>0.82399999999999995</v>
      </c>
      <c r="F3179" s="812">
        <v>906.4</v>
      </c>
      <c r="H3179" s="812">
        <v>3.23</v>
      </c>
      <c r="I3179" s="812">
        <v>147</v>
      </c>
      <c r="J3179" s="813">
        <v>0.91500000000000004</v>
      </c>
      <c r="K3179" s="809">
        <v>8.0500000000000007</v>
      </c>
      <c r="L3179" s="811">
        <v>950</v>
      </c>
      <c r="R3179" s="810">
        <v>0.34326197332542169</v>
      </c>
      <c r="S3179" s="809">
        <v>2.41</v>
      </c>
      <c r="Y3179" s="1348">
        <v>32.200000000000003</v>
      </c>
      <c r="AA3179" s="810"/>
      <c r="AB3179" s="810"/>
      <c r="AD3179" s="815"/>
      <c r="AE3179" s="815"/>
      <c r="AF3179" s="815"/>
      <c r="AG3179" s="66">
        <f t="shared" si="122"/>
        <v>88.5</v>
      </c>
      <c r="AH3179" s="143">
        <f t="shared" si="123"/>
        <v>0</v>
      </c>
    </row>
    <row r="3180" spans="1:34" s="811" customFormat="1" x14ac:dyDescent="0.3">
      <c r="A3180" s="811">
        <v>203123</v>
      </c>
      <c r="B3180" s="809">
        <v>12.9</v>
      </c>
      <c r="C3180" s="809">
        <v>3.88</v>
      </c>
      <c r="D3180" s="810">
        <v>8.3000000000000007</v>
      </c>
      <c r="E3180" s="808">
        <v>0.19900000000000001</v>
      </c>
      <c r="F3180" s="812">
        <v>218.90000000000003</v>
      </c>
      <c r="H3180" s="812">
        <v>12.48</v>
      </c>
      <c r="I3180" s="812">
        <v>194</v>
      </c>
      <c r="J3180" s="813">
        <v>3.1E-2</v>
      </c>
      <c r="K3180" s="809">
        <v>6.3</v>
      </c>
      <c r="L3180" s="811">
        <v>270</v>
      </c>
      <c r="R3180" s="810">
        <v>0.59343545916185259</v>
      </c>
      <c r="S3180" s="809">
        <v>4.22</v>
      </c>
      <c r="Y3180" s="1348">
        <v>18.2</v>
      </c>
      <c r="AA3180" s="810"/>
      <c r="AB3180" s="810"/>
      <c r="AD3180" s="815"/>
      <c r="AE3180" s="815"/>
      <c r="AF3180" s="815"/>
      <c r="AG3180" s="66">
        <f t="shared" si="122"/>
        <v>122.53846153846153</v>
      </c>
      <c r="AH3180" s="143">
        <f t="shared" si="123"/>
        <v>0</v>
      </c>
    </row>
    <row r="3181" spans="1:34" s="811" customFormat="1" x14ac:dyDescent="0.3">
      <c r="A3181" s="811">
        <v>203124</v>
      </c>
      <c r="B3181" s="809">
        <v>28.2</v>
      </c>
      <c r="C3181" s="809">
        <v>14.13</v>
      </c>
      <c r="D3181" s="810">
        <v>8.1999999999999993</v>
      </c>
      <c r="E3181" s="808">
        <v>0.17699999999999999</v>
      </c>
      <c r="F3181" s="812">
        <v>194.70000000000002</v>
      </c>
      <c r="H3181" s="812">
        <v>14.07</v>
      </c>
      <c r="I3181" s="812">
        <v>271</v>
      </c>
      <c r="J3181" s="813">
        <v>0.22700000000000001</v>
      </c>
      <c r="K3181" s="809">
        <v>12.03</v>
      </c>
      <c r="L3181" s="811">
        <v>1640</v>
      </c>
      <c r="M3181" s="811">
        <v>0.78</v>
      </c>
      <c r="R3181" s="810">
        <v>1.7937843300000003</v>
      </c>
      <c r="S3181" s="809">
        <v>16.41</v>
      </c>
      <c r="Y3181" s="1348">
        <v>29</v>
      </c>
      <c r="AA3181" s="810"/>
      <c r="AB3181" s="810"/>
      <c r="AD3181" s="815"/>
      <c r="AE3181" s="815"/>
      <c r="AF3181" s="815"/>
      <c r="AG3181" s="66">
        <f t="shared" si="122"/>
        <v>146.84896551724137</v>
      </c>
      <c r="AH3181" s="143">
        <f t="shared" si="123"/>
        <v>0</v>
      </c>
    </row>
    <row r="3182" spans="1:34" s="811" customFormat="1" x14ac:dyDescent="0.3">
      <c r="A3182" s="811">
        <v>203125</v>
      </c>
      <c r="B3182" s="809">
        <v>0.7</v>
      </c>
      <c r="C3182" s="809"/>
      <c r="D3182" s="810">
        <v>8</v>
      </c>
      <c r="E3182" s="808">
        <v>0.13400000000000001</v>
      </c>
      <c r="F3182" s="812">
        <v>147.40000000000003</v>
      </c>
      <c r="H3182" s="812">
        <v>27.2</v>
      </c>
      <c r="I3182" s="812">
        <v>322</v>
      </c>
      <c r="J3182" s="813">
        <v>0.08</v>
      </c>
      <c r="K3182" s="809">
        <v>6.91</v>
      </c>
      <c r="L3182" s="811">
        <v>790</v>
      </c>
      <c r="M3182" s="811">
        <v>1.28</v>
      </c>
      <c r="N3182" s="811">
        <v>2.62</v>
      </c>
      <c r="O3182" s="811">
        <v>20.25</v>
      </c>
      <c r="P3182" s="811">
        <v>4.26</v>
      </c>
      <c r="R3182" s="810">
        <v>1.7978838800000001</v>
      </c>
      <c r="S3182" s="809">
        <v>16.54</v>
      </c>
      <c r="Y3182" s="1348">
        <v>33.4</v>
      </c>
      <c r="AA3182" s="810">
        <v>3.48</v>
      </c>
      <c r="AB3182" s="810">
        <v>0.36599999999999999</v>
      </c>
      <c r="AC3182" s="811">
        <v>10.9</v>
      </c>
      <c r="AD3182" s="815">
        <v>590</v>
      </c>
      <c r="AE3182" s="815">
        <v>330</v>
      </c>
      <c r="AF3182" s="815">
        <v>80</v>
      </c>
      <c r="AG3182" s="66">
        <f t="shared" si="122"/>
        <v>73.237724550898221</v>
      </c>
      <c r="AH3182" s="143">
        <f t="shared" si="123"/>
        <v>1000</v>
      </c>
    </row>
    <row r="3183" spans="1:34" s="811" customFormat="1" x14ac:dyDescent="0.3">
      <c r="A3183" s="811">
        <v>203126</v>
      </c>
      <c r="B3183" s="809">
        <v>8.8000000000000007</v>
      </c>
      <c r="C3183" s="809"/>
      <c r="D3183" s="810">
        <v>8</v>
      </c>
      <c r="E3183" s="808">
        <v>0.17699999999999999</v>
      </c>
      <c r="F3183" s="812">
        <v>194.70000000000002</v>
      </c>
      <c r="H3183" s="812">
        <v>10.57</v>
      </c>
      <c r="I3183" s="812">
        <v>217</v>
      </c>
      <c r="J3183" s="813">
        <v>0.10199999999999999</v>
      </c>
      <c r="K3183" s="809">
        <v>13.43</v>
      </c>
      <c r="L3183" s="811">
        <v>380</v>
      </c>
      <c r="M3183" s="811">
        <v>0.59</v>
      </c>
      <c r="N3183" s="811">
        <v>1.3</v>
      </c>
      <c r="O3183" s="811">
        <v>12.49</v>
      </c>
      <c r="P3183" s="811">
        <v>3.73</v>
      </c>
      <c r="R3183" s="810">
        <v>1.5899807300000002</v>
      </c>
      <c r="S3183" s="809">
        <v>10.69</v>
      </c>
      <c r="Y3183" s="1348">
        <v>30</v>
      </c>
      <c r="AA3183" s="810">
        <v>4.57</v>
      </c>
      <c r="AB3183" s="810">
        <v>0.65300000000000002</v>
      </c>
      <c r="AC3183" s="811">
        <v>8.9</v>
      </c>
      <c r="AD3183" s="815">
        <v>600</v>
      </c>
      <c r="AE3183" s="815">
        <v>320</v>
      </c>
      <c r="AF3183" s="815">
        <v>80</v>
      </c>
      <c r="AG3183" s="66">
        <f t="shared" si="122"/>
        <v>158.47400000000002</v>
      </c>
      <c r="AH3183" s="143">
        <f t="shared" si="123"/>
        <v>1000</v>
      </c>
    </row>
    <row r="3184" spans="1:34" s="811" customFormat="1" x14ac:dyDescent="0.3">
      <c r="A3184" s="811">
        <v>203127</v>
      </c>
      <c r="B3184" s="809">
        <v>0.3</v>
      </c>
      <c r="C3184" s="809"/>
      <c r="D3184" s="810">
        <v>8</v>
      </c>
      <c r="E3184" s="808">
        <v>0.108</v>
      </c>
      <c r="F3184" s="812">
        <v>118.8</v>
      </c>
      <c r="H3184" s="812">
        <v>22.18</v>
      </c>
      <c r="I3184" s="812">
        <v>130</v>
      </c>
      <c r="J3184" s="813">
        <v>5.7000000000000002E-2</v>
      </c>
      <c r="K3184" s="809">
        <v>4.75</v>
      </c>
      <c r="L3184" s="811">
        <v>430</v>
      </c>
      <c r="M3184" s="811">
        <v>0.62</v>
      </c>
      <c r="N3184" s="811">
        <v>1.82</v>
      </c>
      <c r="O3184" s="811">
        <v>24.91</v>
      </c>
      <c r="P3184" s="811">
        <v>2.97</v>
      </c>
      <c r="R3184" s="810">
        <v>1.6785277199999999</v>
      </c>
      <c r="S3184" s="809">
        <v>13.02</v>
      </c>
      <c r="Y3184" s="1348">
        <v>33.65</v>
      </c>
      <c r="AA3184" s="810">
        <v>4.51</v>
      </c>
      <c r="AB3184" s="810">
        <v>0.81699999999999995</v>
      </c>
      <c r="AC3184" s="811">
        <v>7.6</v>
      </c>
      <c r="AD3184" s="815">
        <v>570</v>
      </c>
      <c r="AE3184" s="815">
        <v>340</v>
      </c>
      <c r="AF3184" s="815">
        <v>90</v>
      </c>
      <c r="AG3184" s="66">
        <f t="shared" si="122"/>
        <v>49.970282317979205</v>
      </c>
      <c r="AH3184" s="143">
        <f t="shared" si="123"/>
        <v>1000</v>
      </c>
    </row>
    <row r="3185" spans="1:34" s="811" customFormat="1" x14ac:dyDescent="0.3">
      <c r="A3185" s="811">
        <v>203128</v>
      </c>
      <c r="B3185" s="809">
        <v>0.1</v>
      </c>
      <c r="C3185" s="809"/>
      <c r="D3185" s="810">
        <v>7.8</v>
      </c>
      <c r="E3185" s="808">
        <v>0.14199999999999999</v>
      </c>
      <c r="F3185" s="812">
        <v>156.20000000000002</v>
      </c>
      <c r="H3185" s="812">
        <v>2.5099999999999998</v>
      </c>
      <c r="I3185" s="812">
        <v>126</v>
      </c>
      <c r="J3185" s="813">
        <v>5.3999999999999999E-2</v>
      </c>
      <c r="K3185" s="809">
        <v>5.43</v>
      </c>
      <c r="L3185" s="811">
        <v>310</v>
      </c>
      <c r="M3185" s="811">
        <v>0.16</v>
      </c>
      <c r="N3185" s="811">
        <v>1</v>
      </c>
      <c r="O3185" s="811">
        <v>16.41</v>
      </c>
      <c r="P3185" s="811">
        <v>2.48</v>
      </c>
      <c r="R3185" s="810">
        <v>1.1337833730135569</v>
      </c>
      <c r="S3185" s="809">
        <v>8.4599999999999991</v>
      </c>
      <c r="Y3185" s="1348">
        <v>29.5</v>
      </c>
      <c r="AA3185" s="810">
        <v>4.18</v>
      </c>
      <c r="AB3185" s="810">
        <v>0.46400000000000002</v>
      </c>
      <c r="AC3185" s="811">
        <v>11</v>
      </c>
      <c r="AD3185" s="815">
        <v>590</v>
      </c>
      <c r="AE3185" s="815">
        <v>330</v>
      </c>
      <c r="AF3185" s="815">
        <v>80</v>
      </c>
      <c r="AG3185" s="66">
        <f t="shared" si="122"/>
        <v>65.16</v>
      </c>
      <c r="AH3185" s="143">
        <f t="shared" si="123"/>
        <v>1000</v>
      </c>
    </row>
    <row r="3186" spans="1:34" s="811" customFormat="1" x14ac:dyDescent="0.3">
      <c r="A3186" s="811">
        <v>203129</v>
      </c>
      <c r="B3186" s="809">
        <v>0.1</v>
      </c>
      <c r="C3186" s="809"/>
      <c r="D3186" s="810">
        <v>8</v>
      </c>
      <c r="E3186" s="808">
        <v>6.0999999999999999E-2</v>
      </c>
      <c r="F3186" s="812">
        <v>67.100000000000009</v>
      </c>
      <c r="H3186" s="812">
        <v>15.8</v>
      </c>
      <c r="I3186" s="812">
        <v>65</v>
      </c>
      <c r="J3186" s="813">
        <v>1.7999999999999999E-2</v>
      </c>
      <c r="K3186" s="809">
        <v>3.93</v>
      </c>
      <c r="L3186" s="811">
        <v>80</v>
      </c>
      <c r="M3186" s="811">
        <v>0.18</v>
      </c>
      <c r="N3186" s="811">
        <v>0.27</v>
      </c>
      <c r="O3186" s="811">
        <v>14.09</v>
      </c>
      <c r="P3186" s="811">
        <v>4.24</v>
      </c>
      <c r="R3186" s="810">
        <v>1.0612209019177761</v>
      </c>
      <c r="S3186" s="809">
        <v>6.9399999999999995</v>
      </c>
      <c r="Y3186" s="1348">
        <v>27</v>
      </c>
      <c r="AA3186" s="810">
        <v>3.72</v>
      </c>
      <c r="AB3186" s="810">
        <v>0.32</v>
      </c>
      <c r="AC3186" s="811">
        <v>10.1</v>
      </c>
      <c r="AD3186" s="815">
        <v>540</v>
      </c>
      <c r="AE3186" s="815">
        <v>320</v>
      </c>
      <c r="AF3186" s="815">
        <v>140</v>
      </c>
      <c r="AG3186" s="66">
        <f t="shared" si="122"/>
        <v>51.526666666666671</v>
      </c>
      <c r="AH3186" s="143">
        <f t="shared" si="123"/>
        <v>1000</v>
      </c>
    </row>
    <row r="3187" spans="1:34" s="811" customFormat="1" x14ac:dyDescent="0.3">
      <c r="A3187" s="811">
        <v>203130</v>
      </c>
      <c r="B3187" s="809">
        <v>0.1</v>
      </c>
      <c r="C3187" s="809"/>
      <c r="D3187" s="810">
        <v>7.5</v>
      </c>
      <c r="E3187" s="808">
        <v>3.5000000000000003E-2</v>
      </c>
      <c r="F3187" s="812">
        <v>38.500000000000007</v>
      </c>
      <c r="H3187" s="812">
        <v>2.8</v>
      </c>
      <c r="I3187" s="812">
        <v>102</v>
      </c>
      <c r="J3187" s="813">
        <v>3.6999999999999998E-2</v>
      </c>
      <c r="K3187" s="809">
        <v>4.04</v>
      </c>
      <c r="L3187" s="811">
        <v>380</v>
      </c>
      <c r="M3187" s="811">
        <v>0.16</v>
      </c>
      <c r="N3187" s="811">
        <v>0.19</v>
      </c>
      <c r="O3187" s="811">
        <v>14.88</v>
      </c>
      <c r="P3187" s="811">
        <v>9.2899999999999991</v>
      </c>
      <c r="R3187" s="810">
        <v>1.143185632844703</v>
      </c>
      <c r="S3187" s="809">
        <v>7.95</v>
      </c>
      <c r="Y3187" s="1348">
        <v>35.4</v>
      </c>
      <c r="AA3187" s="810">
        <v>3.46</v>
      </c>
      <c r="AB3187" s="810">
        <v>0.433</v>
      </c>
      <c r="AC3187" s="811">
        <v>7.9</v>
      </c>
      <c r="AD3187" s="815">
        <v>590</v>
      </c>
      <c r="AE3187" s="815">
        <v>330</v>
      </c>
      <c r="AF3187" s="815">
        <v>80</v>
      </c>
      <c r="AG3187" s="66">
        <f t="shared" si="122"/>
        <v>40.400000000000006</v>
      </c>
      <c r="AH3187" s="143">
        <f t="shared" si="123"/>
        <v>1000</v>
      </c>
    </row>
    <row r="3188" spans="1:34" s="811" customFormat="1" x14ac:dyDescent="0.3">
      <c r="A3188" s="811">
        <v>203131</v>
      </c>
      <c r="B3188" s="809">
        <v>0.1</v>
      </c>
      <c r="C3188" s="809"/>
      <c r="D3188" s="810">
        <v>7.4</v>
      </c>
      <c r="E3188" s="808">
        <v>7.2999999999999995E-2</v>
      </c>
      <c r="F3188" s="812">
        <v>80.3</v>
      </c>
      <c r="H3188" s="812">
        <v>1.1499999999999999</v>
      </c>
      <c r="I3188" s="812">
        <v>104</v>
      </c>
      <c r="J3188" s="813">
        <v>0.04</v>
      </c>
      <c r="K3188" s="809">
        <v>4.12</v>
      </c>
      <c r="L3188" s="811">
        <v>370</v>
      </c>
      <c r="M3188" s="811">
        <v>0.14000000000000001</v>
      </c>
      <c r="N3188" s="811">
        <v>0.17</v>
      </c>
      <c r="O3188" s="811">
        <v>13.67</v>
      </c>
      <c r="P3188" s="811">
        <v>12.94</v>
      </c>
      <c r="R3188" s="810">
        <v>1.129053482110673</v>
      </c>
      <c r="S3188" s="809">
        <v>8.19</v>
      </c>
      <c r="Y3188" s="1348">
        <v>33.6</v>
      </c>
      <c r="AA3188" s="810">
        <v>3.7</v>
      </c>
      <c r="AB3188" s="810">
        <v>0.58299999999999996</v>
      </c>
      <c r="AC3188" s="811">
        <v>6.8</v>
      </c>
      <c r="AD3188" s="815">
        <v>560</v>
      </c>
      <c r="AE3188" s="815">
        <v>340</v>
      </c>
      <c r="AF3188" s="815">
        <v>100</v>
      </c>
      <c r="AG3188" s="66">
        <f t="shared" si="122"/>
        <v>43.407142857142858</v>
      </c>
      <c r="AH3188" s="143">
        <f t="shared" si="123"/>
        <v>1000</v>
      </c>
    </row>
    <row r="3189" spans="1:34" s="811" customFormat="1" x14ac:dyDescent="0.3">
      <c r="A3189" s="811">
        <v>203132</v>
      </c>
      <c r="B3189" s="809">
        <v>20.100000000000001</v>
      </c>
      <c r="C3189" s="809">
        <v>12.5</v>
      </c>
      <c r="D3189" s="810">
        <v>8.1</v>
      </c>
      <c r="E3189" s="808">
        <v>1.54</v>
      </c>
      <c r="F3189" s="812">
        <v>1694.0000000000002</v>
      </c>
      <c r="H3189" s="812">
        <v>26.27</v>
      </c>
      <c r="I3189" s="812">
        <v>660</v>
      </c>
      <c r="J3189" s="813">
        <v>1.0780000000000001</v>
      </c>
      <c r="K3189" s="809">
        <v>8</v>
      </c>
      <c r="L3189" s="811">
        <v>1560</v>
      </c>
      <c r="M3189" s="811">
        <v>0.87</v>
      </c>
      <c r="N3189" s="811">
        <v>1.02</v>
      </c>
      <c r="O3189" s="811">
        <v>5.3</v>
      </c>
      <c r="P3189" s="811">
        <v>2.62</v>
      </c>
      <c r="R3189" s="810">
        <v>1.7379971300000001</v>
      </c>
      <c r="S3189" s="809">
        <v>14.71</v>
      </c>
      <c r="Y3189" s="1348">
        <v>34.799999999999997</v>
      </c>
      <c r="AA3189" s="810"/>
      <c r="AB3189" s="810"/>
      <c r="AD3189" s="815">
        <v>580</v>
      </c>
      <c r="AE3189" s="815">
        <v>340</v>
      </c>
      <c r="AF3189" s="815">
        <v>80</v>
      </c>
      <c r="AG3189" s="66">
        <f t="shared" si="122"/>
        <v>81.379310344827587</v>
      </c>
      <c r="AH3189" s="143">
        <f t="shared" si="123"/>
        <v>1000</v>
      </c>
    </row>
    <row r="3190" spans="1:34" s="811" customFormat="1" x14ac:dyDescent="0.3">
      <c r="A3190" s="811">
        <v>203133</v>
      </c>
      <c r="B3190" s="809">
        <v>15.7</v>
      </c>
      <c r="C3190" s="809">
        <v>11.13</v>
      </c>
      <c r="D3190" s="810">
        <v>8.1999999999999993</v>
      </c>
      <c r="E3190" s="808">
        <v>1.31</v>
      </c>
      <c r="F3190" s="812">
        <v>1441.0000000000002</v>
      </c>
      <c r="H3190" s="812">
        <v>48.44</v>
      </c>
      <c r="I3190" s="812">
        <v>451</v>
      </c>
      <c r="J3190" s="813">
        <v>1.0169999999999999</v>
      </c>
      <c r="K3190" s="809">
        <v>8.64</v>
      </c>
      <c r="L3190" s="811">
        <v>1520</v>
      </c>
      <c r="M3190" s="811">
        <v>0.93</v>
      </c>
      <c r="N3190" s="811">
        <v>1.45</v>
      </c>
      <c r="O3190" s="811">
        <v>5.42</v>
      </c>
      <c r="P3190" s="811">
        <v>2.98</v>
      </c>
      <c r="R3190" s="810">
        <v>1.4465656326093679</v>
      </c>
      <c r="S3190" s="809">
        <v>9.73</v>
      </c>
      <c r="Y3190" s="1348">
        <v>34.25</v>
      </c>
      <c r="AA3190" s="810"/>
      <c r="AB3190" s="810"/>
      <c r="AD3190" s="815">
        <v>570</v>
      </c>
      <c r="AE3190" s="815">
        <v>320</v>
      </c>
      <c r="AF3190" s="815">
        <v>110</v>
      </c>
      <c r="AG3190" s="66">
        <f t="shared" si="122"/>
        <v>89.30102189781023</v>
      </c>
      <c r="AH3190" s="143">
        <f t="shared" si="123"/>
        <v>1000</v>
      </c>
    </row>
    <row r="3191" spans="1:34" s="811" customFormat="1" x14ac:dyDescent="0.3">
      <c r="A3191" s="811">
        <v>203134</v>
      </c>
      <c r="B3191" s="809">
        <v>2.9</v>
      </c>
      <c r="C3191" s="809"/>
      <c r="D3191" s="810">
        <v>8.6</v>
      </c>
      <c r="E3191" s="808">
        <v>0.17100000000000001</v>
      </c>
      <c r="F3191" s="812">
        <v>188.10000000000002</v>
      </c>
      <c r="H3191" s="812">
        <v>4.13</v>
      </c>
      <c r="I3191" s="812">
        <v>201</v>
      </c>
      <c r="J3191" s="813">
        <v>0.10299999999999999</v>
      </c>
      <c r="K3191" s="809">
        <v>5.38</v>
      </c>
      <c r="L3191" s="811">
        <v>520</v>
      </c>
      <c r="M3191" s="811">
        <v>0.41</v>
      </c>
      <c r="N3191" s="811">
        <v>2.4900000000000002</v>
      </c>
      <c r="O3191" s="811">
        <v>8.52</v>
      </c>
      <c r="P3191" s="811">
        <v>2.88</v>
      </c>
      <c r="R3191" s="810">
        <v>1.059461672761181</v>
      </c>
      <c r="S3191" s="809">
        <v>7.34</v>
      </c>
      <c r="Y3191" s="1348">
        <v>34.01</v>
      </c>
      <c r="AA3191" s="810">
        <v>3.53</v>
      </c>
      <c r="AB3191" s="810">
        <v>0.27</v>
      </c>
      <c r="AC3191" s="811">
        <v>10.6</v>
      </c>
      <c r="AD3191" s="815">
        <v>560</v>
      </c>
      <c r="AE3191" s="815">
        <v>300</v>
      </c>
      <c r="AF3191" s="815">
        <v>140</v>
      </c>
      <c r="AG3191" s="66">
        <f t="shared" si="122"/>
        <v>55.998823875330793</v>
      </c>
      <c r="AH3191" s="143">
        <f t="shared" si="123"/>
        <v>1000</v>
      </c>
    </row>
    <row r="3192" spans="1:34" s="811" customFormat="1" x14ac:dyDescent="0.3">
      <c r="A3192" s="811">
        <v>203135</v>
      </c>
      <c r="B3192" s="809">
        <v>1.6</v>
      </c>
      <c r="C3192" s="809"/>
      <c r="D3192" s="810">
        <v>8.4</v>
      </c>
      <c r="E3192" s="808">
        <v>0.33600000000000002</v>
      </c>
      <c r="F3192" s="812">
        <v>369.6</v>
      </c>
      <c r="H3192" s="812">
        <v>7.28</v>
      </c>
      <c r="I3192" s="812">
        <v>295</v>
      </c>
      <c r="J3192" s="813">
        <v>0.48699999999999999</v>
      </c>
      <c r="K3192" s="809">
        <v>3.81</v>
      </c>
      <c r="L3192" s="811">
        <v>1340</v>
      </c>
      <c r="M3192" s="811">
        <v>0.26</v>
      </c>
      <c r="N3192" s="811">
        <v>0.97</v>
      </c>
      <c r="O3192" s="811">
        <v>9.85</v>
      </c>
      <c r="P3192" s="811">
        <v>3.57</v>
      </c>
      <c r="R3192" s="810">
        <v>1.60806425</v>
      </c>
      <c r="S3192" s="809">
        <v>11.15</v>
      </c>
      <c r="Y3192" s="1348">
        <v>26</v>
      </c>
      <c r="AA3192" s="810">
        <v>4</v>
      </c>
      <c r="AB3192" s="810">
        <v>0.42699999999999999</v>
      </c>
      <c r="AC3192" s="811">
        <v>8.1999999999999993</v>
      </c>
      <c r="AD3192" s="815">
        <v>520</v>
      </c>
      <c r="AE3192" s="815">
        <v>330</v>
      </c>
      <c r="AF3192" s="815">
        <v>150</v>
      </c>
      <c r="AG3192" s="66">
        <f t="shared" si="122"/>
        <v>51.874615384615382</v>
      </c>
      <c r="AH3192" s="143">
        <f t="shared" si="123"/>
        <v>1000</v>
      </c>
    </row>
    <row r="3193" spans="1:34" s="811" customFormat="1" x14ac:dyDescent="0.3">
      <c r="A3193" s="811">
        <v>203136</v>
      </c>
      <c r="B3193" s="809">
        <v>0.5</v>
      </c>
      <c r="C3193" s="809"/>
      <c r="D3193" s="810">
        <v>7.9</v>
      </c>
      <c r="E3193" s="808">
        <v>0.45</v>
      </c>
      <c r="F3193" s="812">
        <v>495.00000000000006</v>
      </c>
      <c r="H3193" s="812">
        <v>78.819999999999993</v>
      </c>
      <c r="I3193" s="812">
        <v>227</v>
      </c>
      <c r="J3193" s="813">
        <v>0.106</v>
      </c>
      <c r="K3193" s="809">
        <v>4.03</v>
      </c>
      <c r="L3193" s="811">
        <v>1340</v>
      </c>
      <c r="M3193" s="811">
        <v>0.65</v>
      </c>
      <c r="N3193" s="811">
        <v>1.1200000000000001</v>
      </c>
      <c r="O3193" s="811">
        <v>13.37</v>
      </c>
      <c r="P3193" s="811">
        <v>3.14</v>
      </c>
      <c r="R3193" s="810">
        <v>0.97830677550521383</v>
      </c>
      <c r="S3193" s="809">
        <v>7.1199999999999992</v>
      </c>
      <c r="Y3193" s="1348">
        <v>32.6</v>
      </c>
      <c r="AA3193" s="810"/>
      <c r="AB3193" s="810"/>
      <c r="AD3193" s="815"/>
      <c r="AE3193" s="815"/>
      <c r="AF3193" s="815"/>
      <c r="AG3193" s="66">
        <f t="shared" si="122"/>
        <v>43.761349693251539</v>
      </c>
      <c r="AH3193" s="143">
        <f t="shared" si="123"/>
        <v>0</v>
      </c>
    </row>
    <row r="3194" spans="1:34" s="811" customFormat="1" x14ac:dyDescent="0.3">
      <c r="A3194" s="811">
        <v>203137</v>
      </c>
      <c r="B3194" s="809">
        <v>1.4</v>
      </c>
      <c r="C3194" s="809"/>
      <c r="D3194" s="810">
        <v>8.1</v>
      </c>
      <c r="E3194" s="808">
        <v>0.40699999999999997</v>
      </c>
      <c r="F3194" s="812">
        <v>447.7</v>
      </c>
      <c r="H3194" s="812">
        <v>51.91</v>
      </c>
      <c r="I3194" s="812">
        <v>215</v>
      </c>
      <c r="J3194" s="813">
        <v>0.123</v>
      </c>
      <c r="K3194" s="809">
        <v>4.34</v>
      </c>
      <c r="L3194" s="811">
        <v>1320</v>
      </c>
      <c r="M3194" s="811">
        <v>0.62</v>
      </c>
      <c r="N3194" s="811">
        <v>1.31</v>
      </c>
      <c r="O3194" s="811">
        <v>14.5</v>
      </c>
      <c r="P3194" s="811">
        <v>3.7</v>
      </c>
      <c r="R3194" s="810">
        <v>1.0156830320384604</v>
      </c>
      <c r="S3194" s="809">
        <v>6.62</v>
      </c>
      <c r="Y3194" s="1348">
        <v>33</v>
      </c>
      <c r="AA3194" s="810"/>
      <c r="AB3194" s="810"/>
      <c r="AD3194" s="815"/>
      <c r="AE3194" s="815"/>
      <c r="AF3194" s="815"/>
      <c r="AG3194" s="66">
        <f t="shared" si="122"/>
        <v>46.556363636363635</v>
      </c>
      <c r="AH3194" s="143">
        <f t="shared" si="123"/>
        <v>0</v>
      </c>
    </row>
    <row r="3195" spans="1:34" s="811" customFormat="1" x14ac:dyDescent="0.3">
      <c r="A3195" s="811">
        <v>203138</v>
      </c>
      <c r="B3195" s="809">
        <v>0.9</v>
      </c>
      <c r="C3195" s="809"/>
      <c r="D3195" s="810">
        <v>8.1999999999999993</v>
      </c>
      <c r="E3195" s="808">
        <v>0.154</v>
      </c>
      <c r="F3195" s="812">
        <v>169.40000000000003</v>
      </c>
      <c r="H3195" s="812">
        <v>18.37</v>
      </c>
      <c r="I3195" s="812">
        <v>271</v>
      </c>
      <c r="J3195" s="813">
        <v>5.3999999999999999E-2</v>
      </c>
      <c r="K3195" s="809">
        <v>3.92</v>
      </c>
      <c r="L3195" s="811">
        <v>710</v>
      </c>
      <c r="M3195" s="811">
        <v>0.41</v>
      </c>
      <c r="N3195" s="811">
        <v>1.27</v>
      </c>
      <c r="O3195" s="811">
        <v>7.34</v>
      </c>
      <c r="P3195" s="811">
        <v>3.55</v>
      </c>
      <c r="R3195" s="810">
        <v>1.2985247346974644</v>
      </c>
      <c r="S3195" s="809">
        <v>9.6199999999999992</v>
      </c>
      <c r="Y3195" s="1348">
        <v>21</v>
      </c>
      <c r="AA3195" s="810"/>
      <c r="AB3195" s="810"/>
      <c r="AD3195" s="815"/>
      <c r="AE3195" s="815"/>
      <c r="AF3195" s="815"/>
      <c r="AG3195" s="66">
        <f t="shared" si="122"/>
        <v>66.08</v>
      </c>
      <c r="AH3195" s="143">
        <f t="shared" si="123"/>
        <v>0</v>
      </c>
    </row>
    <row r="3196" spans="1:34" s="90" customFormat="1" x14ac:dyDescent="0.3">
      <c r="A3196" s="826">
        <v>203139</v>
      </c>
      <c r="B3196" s="827">
        <v>8.8888888888888875</v>
      </c>
      <c r="C3196" s="827"/>
      <c r="D3196" s="828">
        <v>8.3000000000000007</v>
      </c>
      <c r="E3196" s="1572">
        <v>0.161</v>
      </c>
      <c r="F3196" s="829">
        <v>177.1</v>
      </c>
      <c r="G3196" s="826"/>
      <c r="H3196" s="829">
        <v>18.77</v>
      </c>
      <c r="I3196" s="829">
        <v>261</v>
      </c>
      <c r="J3196" s="849">
        <v>4.2999999999999997E-2</v>
      </c>
      <c r="K3196" s="827">
        <v>10.97</v>
      </c>
      <c r="L3196" s="826">
        <v>590</v>
      </c>
      <c r="M3196" s="826">
        <v>1.65</v>
      </c>
      <c r="N3196" s="826">
        <v>2.27</v>
      </c>
      <c r="O3196" s="826">
        <v>1.82</v>
      </c>
      <c r="P3196" s="826">
        <v>6.04</v>
      </c>
      <c r="Q3196" s="826"/>
      <c r="R3196" s="828">
        <v>1.7994543300000001</v>
      </c>
      <c r="S3196" s="827">
        <v>16.59</v>
      </c>
      <c r="T3196" s="826"/>
      <c r="U3196" s="826"/>
      <c r="V3196" s="826"/>
      <c r="W3196" s="826"/>
      <c r="X3196" s="826"/>
      <c r="Y3196" s="827">
        <v>32.799999999999997</v>
      </c>
      <c r="Z3196" s="826"/>
      <c r="AA3196" s="828">
        <v>4.71</v>
      </c>
      <c r="AB3196" s="828">
        <v>0.76200000000000001</v>
      </c>
      <c r="AC3196" s="826">
        <v>11.9</v>
      </c>
      <c r="AD3196" s="830">
        <v>540</v>
      </c>
      <c r="AE3196" s="830">
        <v>310</v>
      </c>
      <c r="AF3196" s="830">
        <v>150</v>
      </c>
      <c r="AG3196" s="66">
        <f t="shared" si="122"/>
        <v>118.3957317073171</v>
      </c>
      <c r="AH3196" s="143">
        <f t="shared" si="123"/>
        <v>1000</v>
      </c>
    </row>
    <row r="3197" spans="1:34" s="90" customFormat="1" x14ac:dyDescent="0.3">
      <c r="A3197" s="826">
        <v>203140</v>
      </c>
      <c r="B3197" s="827">
        <v>3.3333333333333326</v>
      </c>
      <c r="C3197" s="827"/>
      <c r="D3197" s="828">
        <v>8</v>
      </c>
      <c r="E3197" s="1572">
        <v>0.184</v>
      </c>
      <c r="F3197" s="829">
        <v>202.40000000000003</v>
      </c>
      <c r="G3197" s="826"/>
      <c r="H3197" s="829">
        <v>43.89</v>
      </c>
      <c r="I3197" s="829">
        <v>377</v>
      </c>
      <c r="J3197" s="849">
        <v>8.4000000000000005E-2</v>
      </c>
      <c r="K3197" s="827">
        <v>11.57</v>
      </c>
      <c r="L3197" s="826">
        <v>660</v>
      </c>
      <c r="M3197" s="826">
        <v>1.4</v>
      </c>
      <c r="N3197" s="826">
        <v>2.4900000000000002</v>
      </c>
      <c r="O3197" s="826">
        <v>2.09</v>
      </c>
      <c r="P3197" s="826">
        <v>6.29</v>
      </c>
      <c r="Q3197" s="826"/>
      <c r="R3197" s="828">
        <v>1.9358893699999999</v>
      </c>
      <c r="S3197" s="827">
        <v>21.47</v>
      </c>
      <c r="T3197" s="826"/>
      <c r="U3197" s="826"/>
      <c r="V3197" s="826"/>
      <c r="W3197" s="826"/>
      <c r="X3197" s="826"/>
      <c r="Y3197" s="827">
        <v>26.5</v>
      </c>
      <c r="Z3197" s="826"/>
      <c r="AA3197" s="828">
        <v>4.88</v>
      </c>
      <c r="AB3197" s="828">
        <v>0.59699999999999998</v>
      </c>
      <c r="AC3197" s="826">
        <v>8.3000000000000007</v>
      </c>
      <c r="AD3197" s="830">
        <v>530</v>
      </c>
      <c r="AE3197" s="830">
        <v>350</v>
      </c>
      <c r="AF3197" s="830">
        <v>120</v>
      </c>
      <c r="AG3197" s="66">
        <f t="shared" si="122"/>
        <v>154.5577358490566</v>
      </c>
      <c r="AH3197" s="143">
        <f t="shared" si="123"/>
        <v>1000</v>
      </c>
    </row>
    <row r="3198" spans="1:34" s="90" customFormat="1" x14ac:dyDescent="0.3">
      <c r="A3198" s="826">
        <v>203141</v>
      </c>
      <c r="B3198" s="827">
        <v>4.5972222222222223</v>
      </c>
      <c r="C3198" s="827"/>
      <c r="D3198" s="828">
        <v>8.1</v>
      </c>
      <c r="E3198" s="1572">
        <v>0.26500000000000001</v>
      </c>
      <c r="F3198" s="829">
        <v>291.50000000000006</v>
      </c>
      <c r="G3198" s="826"/>
      <c r="H3198" s="829">
        <v>9.34</v>
      </c>
      <c r="I3198" s="829">
        <v>189</v>
      </c>
      <c r="J3198" s="849">
        <v>0.16</v>
      </c>
      <c r="K3198" s="827">
        <v>10.59</v>
      </c>
      <c r="L3198" s="826">
        <v>1090</v>
      </c>
      <c r="M3198" s="826">
        <v>0.47</v>
      </c>
      <c r="N3198" s="826">
        <v>1.62</v>
      </c>
      <c r="O3198" s="826">
        <v>2.67</v>
      </c>
      <c r="P3198" s="826">
        <v>3.06</v>
      </c>
      <c r="Q3198" s="826"/>
      <c r="R3198" s="828">
        <v>1.7145493700000001</v>
      </c>
      <c r="S3198" s="827">
        <v>14.030000000000001</v>
      </c>
      <c r="T3198" s="826"/>
      <c r="U3198" s="826"/>
      <c r="V3198" s="826"/>
      <c r="W3198" s="826"/>
      <c r="X3198" s="826"/>
      <c r="Y3198" s="827">
        <v>33</v>
      </c>
      <c r="Z3198" s="826"/>
      <c r="AA3198" s="828">
        <v>4.91</v>
      </c>
      <c r="AB3198" s="828">
        <v>0.72299999999999998</v>
      </c>
      <c r="AC3198" s="826">
        <v>7.9</v>
      </c>
      <c r="AD3198" s="830">
        <v>550</v>
      </c>
      <c r="AE3198" s="830">
        <v>330</v>
      </c>
      <c r="AF3198" s="830">
        <v>120</v>
      </c>
      <c r="AG3198" s="66">
        <f t="shared" si="122"/>
        <v>113.60181818181817</v>
      </c>
      <c r="AH3198" s="143">
        <f t="shared" si="123"/>
        <v>1000</v>
      </c>
    </row>
    <row r="3199" spans="1:34" s="90" customFormat="1" x14ac:dyDescent="0.3">
      <c r="A3199" s="826">
        <v>203142</v>
      </c>
      <c r="B3199" s="827">
        <v>5.2916666666666661</v>
      </c>
      <c r="C3199" s="827"/>
      <c r="D3199" s="828">
        <v>7.9</v>
      </c>
      <c r="E3199" s="1572">
        <v>0.17</v>
      </c>
      <c r="F3199" s="829">
        <v>187.00000000000003</v>
      </c>
      <c r="G3199" s="826"/>
      <c r="H3199" s="829">
        <v>34.72</v>
      </c>
      <c r="I3199" s="829">
        <v>365</v>
      </c>
      <c r="J3199" s="849">
        <v>9.1999999999999998E-2</v>
      </c>
      <c r="K3199" s="827">
        <v>11.59</v>
      </c>
      <c r="L3199" s="826">
        <v>790</v>
      </c>
      <c r="M3199" s="826">
        <v>0.89</v>
      </c>
      <c r="N3199" s="826">
        <v>2.46</v>
      </c>
      <c r="O3199" s="826">
        <v>3.98</v>
      </c>
      <c r="P3199" s="826">
        <v>5.66</v>
      </c>
      <c r="Q3199" s="826"/>
      <c r="R3199" s="828">
        <v>1.8695982500000001</v>
      </c>
      <c r="S3199" s="827">
        <v>18.95</v>
      </c>
      <c r="T3199" s="826"/>
      <c r="U3199" s="826"/>
      <c r="V3199" s="826"/>
      <c r="W3199" s="826"/>
      <c r="X3199" s="826"/>
      <c r="Y3199" s="827">
        <v>27</v>
      </c>
      <c r="Z3199" s="826"/>
      <c r="AA3199" s="828">
        <v>3.53</v>
      </c>
      <c r="AB3199" s="828">
        <v>0.64500000000000002</v>
      </c>
      <c r="AC3199" s="826">
        <v>8.6999999999999993</v>
      </c>
      <c r="AD3199" s="830">
        <v>540</v>
      </c>
      <c r="AE3199" s="830">
        <v>350</v>
      </c>
      <c r="AF3199" s="830">
        <v>110</v>
      </c>
      <c r="AG3199" s="66">
        <f t="shared" si="122"/>
        <v>151.95777777777778</v>
      </c>
      <c r="AH3199" s="143">
        <f t="shared" si="123"/>
        <v>1000</v>
      </c>
    </row>
    <row r="3200" spans="1:34" s="90" customFormat="1" x14ac:dyDescent="0.3">
      <c r="A3200" s="826">
        <v>203143</v>
      </c>
      <c r="B3200" s="827">
        <v>21.166666666666664</v>
      </c>
      <c r="C3200" s="827">
        <v>10.25</v>
      </c>
      <c r="D3200" s="828">
        <v>8.3000000000000007</v>
      </c>
      <c r="E3200" s="1572">
        <v>0.17699999999999999</v>
      </c>
      <c r="F3200" s="829">
        <v>194.70000000000002</v>
      </c>
      <c r="G3200" s="826"/>
      <c r="H3200" s="829">
        <v>29.16</v>
      </c>
      <c r="I3200" s="829">
        <v>195</v>
      </c>
      <c r="J3200" s="849">
        <v>0.12</v>
      </c>
      <c r="K3200" s="827">
        <v>9.8699999999999992</v>
      </c>
      <c r="L3200" s="826">
        <v>1660</v>
      </c>
      <c r="M3200" s="826">
        <v>0.87</v>
      </c>
      <c r="N3200" s="826">
        <v>1.77</v>
      </c>
      <c r="O3200" s="826">
        <v>8.33</v>
      </c>
      <c r="P3200" s="826">
        <v>2.77</v>
      </c>
      <c r="Q3200" s="826"/>
      <c r="R3200" s="828">
        <v>1.8484431300000002</v>
      </c>
      <c r="S3200" s="827">
        <v>18.21</v>
      </c>
      <c r="T3200" s="826"/>
      <c r="U3200" s="826"/>
      <c r="V3200" s="826"/>
      <c r="W3200" s="826"/>
      <c r="X3200" s="826"/>
      <c r="Y3200" s="827">
        <v>32.5</v>
      </c>
      <c r="Z3200" s="826"/>
      <c r="AA3200" s="828">
        <v>4.62</v>
      </c>
      <c r="AB3200" s="828">
        <v>0.82199999999999995</v>
      </c>
      <c r="AC3200" s="826">
        <v>9.9</v>
      </c>
      <c r="AD3200" s="830">
        <v>550</v>
      </c>
      <c r="AE3200" s="830">
        <v>290</v>
      </c>
      <c r="AF3200" s="830">
        <v>160</v>
      </c>
      <c r="AG3200" s="66">
        <f t="shared" si="122"/>
        <v>107.50707692307692</v>
      </c>
      <c r="AH3200" s="143">
        <f t="shared" si="123"/>
        <v>1000</v>
      </c>
    </row>
    <row r="3201" spans="1:34" s="90" customFormat="1" x14ac:dyDescent="0.3">
      <c r="A3201" s="826">
        <v>203144</v>
      </c>
      <c r="B3201" s="827">
        <v>12.083333333333334</v>
      </c>
      <c r="C3201" s="827">
        <v>7.88</v>
      </c>
      <c r="D3201" s="828">
        <v>8.1</v>
      </c>
      <c r="E3201" s="1572">
        <v>0.16300000000000001</v>
      </c>
      <c r="F3201" s="829">
        <v>179.3</v>
      </c>
      <c r="G3201" s="826"/>
      <c r="H3201" s="829">
        <v>28.37</v>
      </c>
      <c r="I3201" s="829">
        <v>191</v>
      </c>
      <c r="J3201" s="849">
        <v>3.6999999999999998E-2</v>
      </c>
      <c r="K3201" s="827">
        <v>11.54</v>
      </c>
      <c r="L3201" s="826">
        <v>630</v>
      </c>
      <c r="M3201" s="826">
        <v>0.28999999999999998</v>
      </c>
      <c r="N3201" s="826">
        <v>1</v>
      </c>
      <c r="O3201" s="826">
        <v>1.07</v>
      </c>
      <c r="P3201" s="826">
        <v>2.37</v>
      </c>
      <c r="Q3201" s="826"/>
      <c r="R3201" s="828">
        <v>1.7162955200000001</v>
      </c>
      <c r="S3201" s="827">
        <v>14.079999999999998</v>
      </c>
      <c r="T3201" s="826"/>
      <c r="U3201" s="826"/>
      <c r="V3201" s="826"/>
      <c r="W3201" s="826"/>
      <c r="X3201" s="826"/>
      <c r="Y3201" s="827">
        <v>31.2</v>
      </c>
      <c r="Z3201" s="826"/>
      <c r="AA3201" s="828">
        <v>4.71</v>
      </c>
      <c r="AB3201" s="828">
        <v>0.40100000000000002</v>
      </c>
      <c r="AC3201" s="826">
        <v>10.9</v>
      </c>
      <c r="AD3201" s="830">
        <v>560</v>
      </c>
      <c r="AE3201" s="830">
        <v>280</v>
      </c>
      <c r="AF3201" s="830">
        <v>160</v>
      </c>
      <c r="AG3201" s="66">
        <f t="shared" si="122"/>
        <v>130.93461538461537</v>
      </c>
      <c r="AH3201" s="143">
        <f t="shared" si="123"/>
        <v>1000</v>
      </c>
    </row>
    <row r="3202" spans="1:34" s="90" customFormat="1" x14ac:dyDescent="0.3">
      <c r="A3202" s="826">
        <v>203145</v>
      </c>
      <c r="B3202" s="827">
        <v>23.75</v>
      </c>
      <c r="C3202" s="827">
        <v>13.38</v>
      </c>
      <c r="D3202" s="828">
        <v>8.1</v>
      </c>
      <c r="E3202" s="1572">
        <v>0.16</v>
      </c>
      <c r="F3202" s="829">
        <v>176.00000000000003</v>
      </c>
      <c r="G3202" s="826"/>
      <c r="H3202" s="829">
        <v>13.06</v>
      </c>
      <c r="I3202" s="829">
        <v>228</v>
      </c>
      <c r="J3202" s="849">
        <v>2.1999999999999999E-2</v>
      </c>
      <c r="K3202" s="827">
        <v>9.74</v>
      </c>
      <c r="L3202" s="826">
        <v>630</v>
      </c>
      <c r="M3202" s="826">
        <v>0.34</v>
      </c>
      <c r="N3202" s="826">
        <v>1</v>
      </c>
      <c r="O3202" s="826">
        <v>6.3</v>
      </c>
      <c r="P3202" s="826">
        <v>5.94</v>
      </c>
      <c r="Q3202" s="826"/>
      <c r="R3202" s="828">
        <v>1.84259393</v>
      </c>
      <c r="S3202" s="827">
        <v>18.009999999999998</v>
      </c>
      <c r="T3202" s="826"/>
      <c r="U3202" s="826"/>
      <c r="V3202" s="826"/>
      <c r="W3202" s="826"/>
      <c r="X3202" s="826"/>
      <c r="Y3202" s="827">
        <v>32.4</v>
      </c>
      <c r="Z3202" s="826"/>
      <c r="AA3202" s="828">
        <v>4.57</v>
      </c>
      <c r="AB3202" s="828">
        <v>0.38900000000000001</v>
      </c>
      <c r="AC3202" s="826">
        <v>11.9</v>
      </c>
      <c r="AD3202" s="830">
        <v>540</v>
      </c>
      <c r="AE3202" s="830">
        <v>320</v>
      </c>
      <c r="AF3202" s="830">
        <v>140</v>
      </c>
      <c r="AG3202" s="66">
        <f t="shared" ref="AG3202:AG3265" si="124">+K3202*3.54*100/Y3202</f>
        <v>106.41851851851851</v>
      </c>
      <c r="AH3202" s="143">
        <f t="shared" ref="AH3202:AH3265" si="125">+SUM(AD3202:AF3202)</f>
        <v>1000</v>
      </c>
    </row>
    <row r="3203" spans="1:34" s="90" customFormat="1" x14ac:dyDescent="0.3">
      <c r="A3203" s="826">
        <v>203146</v>
      </c>
      <c r="B3203" s="827">
        <v>9.7499999999999982</v>
      </c>
      <c r="C3203" s="827"/>
      <c r="D3203" s="828">
        <v>7.8</v>
      </c>
      <c r="E3203" s="1572">
        <v>0.17599999999999999</v>
      </c>
      <c r="F3203" s="829">
        <v>193.6</v>
      </c>
      <c r="G3203" s="826"/>
      <c r="H3203" s="829">
        <v>275.02</v>
      </c>
      <c r="I3203" s="829">
        <v>867</v>
      </c>
      <c r="J3203" s="849">
        <v>0.01</v>
      </c>
      <c r="K3203" s="827">
        <v>5.6</v>
      </c>
      <c r="L3203" s="826">
        <v>1020</v>
      </c>
      <c r="M3203" s="826">
        <v>9.68</v>
      </c>
      <c r="N3203" s="826">
        <v>16.78</v>
      </c>
      <c r="O3203" s="826">
        <v>3.43</v>
      </c>
      <c r="P3203" s="826">
        <v>6.03</v>
      </c>
      <c r="Q3203" s="826"/>
      <c r="R3203" s="828">
        <v>2.1443595200000001</v>
      </c>
      <c r="S3203" s="827">
        <v>35.92</v>
      </c>
      <c r="T3203" s="826"/>
      <c r="U3203" s="826"/>
      <c r="V3203" s="826"/>
      <c r="W3203" s="826"/>
      <c r="X3203" s="826"/>
      <c r="Y3203" s="827">
        <v>25.5</v>
      </c>
      <c r="Z3203" s="826"/>
      <c r="AA3203" s="828">
        <v>4.28</v>
      </c>
      <c r="AB3203" s="828">
        <v>0.38900000000000001</v>
      </c>
      <c r="AC3203" s="826">
        <v>6.3</v>
      </c>
      <c r="AD3203" s="830">
        <v>510</v>
      </c>
      <c r="AE3203" s="830">
        <v>300</v>
      </c>
      <c r="AF3203" s="830">
        <v>190</v>
      </c>
      <c r="AG3203" s="66">
        <f t="shared" si="124"/>
        <v>77.741176470588229</v>
      </c>
      <c r="AH3203" s="143">
        <f t="shared" si="125"/>
        <v>1000</v>
      </c>
    </row>
    <row r="3204" spans="1:34" s="90" customFormat="1" x14ac:dyDescent="0.3">
      <c r="A3204" s="826">
        <v>203147</v>
      </c>
      <c r="B3204" s="827">
        <v>12.416666666666668</v>
      </c>
      <c r="C3204" s="827">
        <v>5.75</v>
      </c>
      <c r="D3204" s="828">
        <v>8</v>
      </c>
      <c r="E3204" s="1572">
        <v>0.17499999999999999</v>
      </c>
      <c r="F3204" s="829">
        <v>192.5</v>
      </c>
      <c r="G3204" s="826"/>
      <c r="H3204" s="829">
        <v>222.57</v>
      </c>
      <c r="I3204" s="829">
        <v>533</v>
      </c>
      <c r="J3204" s="849">
        <v>0.01</v>
      </c>
      <c r="K3204" s="827">
        <v>5.12</v>
      </c>
      <c r="L3204" s="826">
        <v>750</v>
      </c>
      <c r="M3204" s="826">
        <v>6.05</v>
      </c>
      <c r="N3204" s="826">
        <v>11.31</v>
      </c>
      <c r="O3204" s="826">
        <v>4.54</v>
      </c>
      <c r="P3204" s="826">
        <v>5.82</v>
      </c>
      <c r="Q3204" s="826"/>
      <c r="R3204" s="828">
        <v>2.1089562500000003</v>
      </c>
      <c r="S3204" s="827">
        <v>31.25</v>
      </c>
      <c r="T3204" s="826"/>
      <c r="U3204" s="826"/>
      <c r="V3204" s="826"/>
      <c r="W3204" s="826"/>
      <c r="X3204" s="826"/>
      <c r="Y3204" s="827">
        <v>28.8</v>
      </c>
      <c r="Z3204" s="826"/>
      <c r="AA3204" s="828">
        <v>3.46</v>
      </c>
      <c r="AB3204" s="828">
        <v>0.46600000000000003</v>
      </c>
      <c r="AC3204" s="826">
        <v>10.6</v>
      </c>
      <c r="AD3204" s="830">
        <v>480</v>
      </c>
      <c r="AE3204" s="830">
        <v>280</v>
      </c>
      <c r="AF3204" s="830">
        <v>240</v>
      </c>
      <c r="AG3204" s="66">
        <f t="shared" si="124"/>
        <v>62.93333333333333</v>
      </c>
      <c r="AH3204" s="143">
        <f t="shared" si="125"/>
        <v>1000</v>
      </c>
    </row>
    <row r="3205" spans="1:34" s="90" customFormat="1" x14ac:dyDescent="0.3">
      <c r="A3205" s="826">
        <v>203148</v>
      </c>
      <c r="B3205" s="827">
        <v>1.0083333333333331</v>
      </c>
      <c r="C3205" s="827"/>
      <c r="D3205" s="828">
        <v>7.7</v>
      </c>
      <c r="E3205" s="1572">
        <v>0.29799999999999999</v>
      </c>
      <c r="F3205" s="829">
        <v>327.8</v>
      </c>
      <c r="G3205" s="826"/>
      <c r="H3205" s="829">
        <v>266.13</v>
      </c>
      <c r="I3205" s="829">
        <v>674</v>
      </c>
      <c r="J3205" s="849">
        <v>2.5000000000000001E-2</v>
      </c>
      <c r="K3205" s="827">
        <v>7.44</v>
      </c>
      <c r="L3205" s="826">
        <v>1170</v>
      </c>
      <c r="M3205" s="826">
        <v>9.6300000000000008</v>
      </c>
      <c r="N3205" s="826">
        <v>13.1</v>
      </c>
      <c r="O3205" s="826">
        <v>6.33</v>
      </c>
      <c r="P3205" s="826">
        <v>15.83</v>
      </c>
      <c r="Q3205" s="826"/>
      <c r="R3205" s="828">
        <v>2.0937948800000004</v>
      </c>
      <c r="S3205" s="827">
        <v>48.040000000000006</v>
      </c>
      <c r="T3205" s="826"/>
      <c r="U3205" s="826"/>
      <c r="V3205" s="826"/>
      <c r="W3205" s="826"/>
      <c r="X3205" s="826"/>
      <c r="Y3205" s="827">
        <v>32.4</v>
      </c>
      <c r="Z3205" s="826"/>
      <c r="AA3205" s="828">
        <v>3.84</v>
      </c>
      <c r="AB3205" s="828">
        <v>0.374</v>
      </c>
      <c r="AC3205" s="826">
        <v>11.7</v>
      </c>
      <c r="AD3205" s="830">
        <v>540</v>
      </c>
      <c r="AE3205" s="830">
        <v>300</v>
      </c>
      <c r="AF3205" s="830">
        <v>160</v>
      </c>
      <c r="AG3205" s="66">
        <f t="shared" si="124"/>
        <v>81.288888888888906</v>
      </c>
      <c r="AH3205" s="143">
        <f t="shared" si="125"/>
        <v>1000</v>
      </c>
    </row>
    <row r="3206" spans="1:34" s="90" customFormat="1" x14ac:dyDescent="0.3">
      <c r="A3206" s="826">
        <v>203149</v>
      </c>
      <c r="B3206" s="827">
        <v>34</v>
      </c>
      <c r="C3206" s="827">
        <v>3.63</v>
      </c>
      <c r="D3206" s="828">
        <v>7.8</v>
      </c>
      <c r="E3206" s="1572">
        <v>0.20200000000000001</v>
      </c>
      <c r="F3206" s="829">
        <v>222.20000000000005</v>
      </c>
      <c r="G3206" s="826"/>
      <c r="H3206" s="829">
        <v>138.08000000000001</v>
      </c>
      <c r="I3206" s="829">
        <v>528</v>
      </c>
      <c r="J3206" s="849">
        <v>2.1999999999999999E-2</v>
      </c>
      <c r="K3206" s="827">
        <v>6.94</v>
      </c>
      <c r="L3206" s="826">
        <v>1130</v>
      </c>
      <c r="M3206" s="826">
        <v>4.82</v>
      </c>
      <c r="N3206" s="826">
        <v>7.65</v>
      </c>
      <c r="O3206" s="826">
        <v>3.04</v>
      </c>
      <c r="P3206" s="826">
        <v>8.51</v>
      </c>
      <c r="Q3206" s="826"/>
      <c r="R3206" s="828">
        <v>2.1031249700000001</v>
      </c>
      <c r="S3206" s="827">
        <v>30.73</v>
      </c>
      <c r="T3206" s="826"/>
      <c r="U3206" s="826"/>
      <c r="V3206" s="826"/>
      <c r="W3206" s="826"/>
      <c r="X3206" s="826"/>
      <c r="Y3206" s="827">
        <v>31.1</v>
      </c>
      <c r="Z3206" s="826"/>
      <c r="AA3206" s="828">
        <v>3.73</v>
      </c>
      <c r="AB3206" s="828">
        <v>0.39800000000000002</v>
      </c>
      <c r="AC3206" s="826">
        <v>11.5</v>
      </c>
      <c r="AD3206" s="830">
        <v>530</v>
      </c>
      <c r="AE3206" s="830">
        <v>310</v>
      </c>
      <c r="AF3206" s="830">
        <v>160</v>
      </c>
      <c r="AG3206" s="66">
        <f t="shared" si="124"/>
        <v>78.995498392282968</v>
      </c>
      <c r="AH3206" s="143">
        <f t="shared" si="125"/>
        <v>1000</v>
      </c>
    </row>
    <row r="3207" spans="1:34" s="90" customFormat="1" x14ac:dyDescent="0.3">
      <c r="A3207" s="826">
        <v>203150</v>
      </c>
      <c r="B3207" s="827">
        <v>36.000000000000007</v>
      </c>
      <c r="C3207" s="827">
        <v>4.25</v>
      </c>
      <c r="D3207" s="828">
        <v>7.9</v>
      </c>
      <c r="E3207" s="1572">
        <v>0.16500000000000001</v>
      </c>
      <c r="F3207" s="829">
        <v>181.50000000000003</v>
      </c>
      <c r="G3207" s="826"/>
      <c r="H3207" s="829">
        <v>173.88</v>
      </c>
      <c r="I3207" s="829">
        <v>749</v>
      </c>
      <c r="J3207" s="849">
        <v>1.2E-2</v>
      </c>
      <c r="K3207" s="827">
        <v>4.9000000000000004</v>
      </c>
      <c r="L3207" s="826">
        <v>740</v>
      </c>
      <c r="M3207" s="826">
        <v>5.67</v>
      </c>
      <c r="N3207" s="826">
        <v>10.14</v>
      </c>
      <c r="O3207" s="826">
        <v>5.24</v>
      </c>
      <c r="P3207" s="826">
        <v>6.82</v>
      </c>
      <c r="Q3207" s="826"/>
      <c r="R3207" s="828">
        <v>2.0366701200000001</v>
      </c>
      <c r="S3207" s="827">
        <v>26.22</v>
      </c>
      <c r="T3207" s="826"/>
      <c r="U3207" s="826"/>
      <c r="V3207" s="826"/>
      <c r="W3207" s="826"/>
      <c r="X3207" s="826"/>
      <c r="Y3207" s="827">
        <v>32.799999999999997</v>
      </c>
      <c r="Z3207" s="826"/>
      <c r="AA3207" s="828">
        <v>4.1900000000000004</v>
      </c>
      <c r="AB3207" s="828">
        <v>0.317</v>
      </c>
      <c r="AC3207" s="826">
        <v>12</v>
      </c>
      <c r="AD3207" s="830">
        <v>540</v>
      </c>
      <c r="AE3207" s="830">
        <v>310</v>
      </c>
      <c r="AF3207" s="830">
        <v>150</v>
      </c>
      <c r="AG3207" s="66">
        <f t="shared" si="124"/>
        <v>52.884146341463413</v>
      </c>
      <c r="AH3207" s="143">
        <f t="shared" si="125"/>
        <v>1000</v>
      </c>
    </row>
    <row r="3208" spans="1:34" s="90" customFormat="1" x14ac:dyDescent="0.3">
      <c r="A3208" s="826">
        <v>203151</v>
      </c>
      <c r="B3208" s="827">
        <v>20.416666666666668</v>
      </c>
      <c r="C3208" s="827">
        <v>4.25</v>
      </c>
      <c r="D3208" s="828">
        <v>8</v>
      </c>
      <c r="E3208" s="1572">
        <v>0.14099999999999999</v>
      </c>
      <c r="F3208" s="829">
        <v>155.1</v>
      </c>
      <c r="G3208" s="826"/>
      <c r="H3208" s="829">
        <v>125.01</v>
      </c>
      <c r="I3208" s="829">
        <v>617</v>
      </c>
      <c r="J3208" s="849">
        <v>1.0999999999999999E-2</v>
      </c>
      <c r="K3208" s="827">
        <v>4.72</v>
      </c>
      <c r="L3208" s="826">
        <v>770</v>
      </c>
      <c r="M3208" s="826">
        <v>4</v>
      </c>
      <c r="N3208" s="826">
        <v>7.74</v>
      </c>
      <c r="O3208" s="826">
        <v>5</v>
      </c>
      <c r="P3208" s="826">
        <v>5.88</v>
      </c>
      <c r="Q3208" s="826"/>
      <c r="R3208" s="828">
        <v>1.9361347200000001</v>
      </c>
      <c r="S3208" s="827">
        <v>21.48</v>
      </c>
      <c r="T3208" s="826"/>
      <c r="U3208" s="826"/>
      <c r="V3208" s="826"/>
      <c r="W3208" s="826"/>
      <c r="X3208" s="826"/>
      <c r="Y3208" s="827">
        <v>31.8</v>
      </c>
      <c r="Z3208" s="826"/>
      <c r="AA3208" s="828">
        <v>3.56</v>
      </c>
      <c r="AB3208" s="828">
        <v>0.55600000000000005</v>
      </c>
      <c r="AC3208" s="826">
        <v>6.7</v>
      </c>
      <c r="AD3208" s="830">
        <v>540</v>
      </c>
      <c r="AE3208" s="830">
        <v>240</v>
      </c>
      <c r="AF3208" s="830">
        <v>220</v>
      </c>
      <c r="AG3208" s="66">
        <f t="shared" si="124"/>
        <v>52.543396226415098</v>
      </c>
      <c r="AH3208" s="143">
        <f t="shared" si="125"/>
        <v>1000</v>
      </c>
    </row>
    <row r="3209" spans="1:34" s="90" customFormat="1" x14ac:dyDescent="0.3">
      <c r="A3209" s="826">
        <v>203152</v>
      </c>
      <c r="B3209" s="827">
        <v>0.15</v>
      </c>
      <c r="C3209" s="827"/>
      <c r="D3209" s="828">
        <v>7.3</v>
      </c>
      <c r="E3209" s="1572">
        <v>7.9000000000000001E-2</v>
      </c>
      <c r="F3209" s="829">
        <v>86.9</v>
      </c>
      <c r="G3209" s="826"/>
      <c r="H3209" s="829">
        <v>54.62</v>
      </c>
      <c r="I3209" s="829">
        <v>432</v>
      </c>
      <c r="J3209" s="849">
        <v>6.7000000000000004E-2</v>
      </c>
      <c r="K3209" s="827">
        <v>2.72</v>
      </c>
      <c r="L3209" s="826">
        <v>700</v>
      </c>
      <c r="M3209" s="826">
        <v>1.42</v>
      </c>
      <c r="N3209" s="826">
        <v>1.97</v>
      </c>
      <c r="O3209" s="826">
        <v>19.13</v>
      </c>
      <c r="P3209" s="826">
        <v>8.19</v>
      </c>
      <c r="Q3209" s="826"/>
      <c r="R3209" s="828">
        <v>1.6289147300000002</v>
      </c>
      <c r="S3209" s="827">
        <v>11.690000000000001</v>
      </c>
      <c r="T3209" s="826"/>
      <c r="U3209" s="826"/>
      <c r="V3209" s="826"/>
      <c r="W3209" s="826"/>
      <c r="X3209" s="826"/>
      <c r="Y3209" s="827">
        <v>33.6</v>
      </c>
      <c r="Z3209" s="826"/>
      <c r="AA3209" s="828">
        <v>4.43</v>
      </c>
      <c r="AB3209" s="828">
        <v>0.78100000000000003</v>
      </c>
      <c r="AC3209" s="826">
        <v>11.4</v>
      </c>
      <c r="AD3209" s="830">
        <v>560</v>
      </c>
      <c r="AE3209" s="830">
        <v>280</v>
      </c>
      <c r="AF3209" s="830">
        <v>160</v>
      </c>
      <c r="AG3209" s="66">
        <f t="shared" si="124"/>
        <v>28.657142857142855</v>
      </c>
      <c r="AH3209" s="143">
        <f t="shared" si="125"/>
        <v>1000</v>
      </c>
    </row>
    <row r="3210" spans="1:34" s="90" customFormat="1" x14ac:dyDescent="0.3">
      <c r="A3210" s="826">
        <v>203153</v>
      </c>
      <c r="B3210" s="827">
        <v>0.05</v>
      </c>
      <c r="C3210" s="827"/>
      <c r="D3210" s="828">
        <v>7</v>
      </c>
      <c r="E3210" s="1572">
        <v>7.4999999999999997E-2</v>
      </c>
      <c r="F3210" s="829">
        <v>82.5</v>
      </c>
      <c r="G3210" s="826"/>
      <c r="H3210" s="829">
        <v>19.579999999999998</v>
      </c>
      <c r="I3210" s="829">
        <v>502</v>
      </c>
      <c r="J3210" s="849">
        <v>7.2999999999999995E-2</v>
      </c>
      <c r="K3210" s="827">
        <v>2.59</v>
      </c>
      <c r="L3210" s="826">
        <v>670</v>
      </c>
      <c r="M3210" s="826">
        <v>0.57999999999999996</v>
      </c>
      <c r="N3210" s="826">
        <v>0.94</v>
      </c>
      <c r="O3210" s="826">
        <v>31.95</v>
      </c>
      <c r="P3210" s="826">
        <v>9.1999999999999993</v>
      </c>
      <c r="Q3210" s="826"/>
      <c r="R3210" s="828">
        <v>1.2702436139681907</v>
      </c>
      <c r="S3210" s="827">
        <v>9.3600000000000012</v>
      </c>
      <c r="T3210" s="826"/>
      <c r="U3210" s="826"/>
      <c r="V3210" s="826"/>
      <c r="W3210" s="826"/>
      <c r="X3210" s="826"/>
      <c r="Y3210" s="827">
        <v>32.799999999999997</v>
      </c>
      <c r="Z3210" s="826"/>
      <c r="AA3210" s="828">
        <v>4.1399999999999997</v>
      </c>
      <c r="AB3210" s="828">
        <v>0.26500000000000001</v>
      </c>
      <c r="AC3210" s="826">
        <v>7.7</v>
      </c>
      <c r="AD3210" s="830">
        <v>540</v>
      </c>
      <c r="AE3210" s="830">
        <v>280</v>
      </c>
      <c r="AF3210" s="830">
        <v>180</v>
      </c>
      <c r="AG3210" s="66">
        <f t="shared" si="124"/>
        <v>27.953048780487809</v>
      </c>
      <c r="AH3210" s="143">
        <f t="shared" si="125"/>
        <v>1000</v>
      </c>
    </row>
    <row r="3211" spans="1:34" s="90" customFormat="1" x14ac:dyDescent="0.3">
      <c r="A3211" s="826">
        <v>203154</v>
      </c>
      <c r="B3211" s="827">
        <v>0.05</v>
      </c>
      <c r="C3211" s="827"/>
      <c r="D3211" s="828">
        <v>7.5</v>
      </c>
      <c r="E3211" s="1572">
        <v>0.16700000000000001</v>
      </c>
      <c r="F3211" s="829">
        <v>183.70000000000002</v>
      </c>
      <c r="G3211" s="826"/>
      <c r="H3211" s="829">
        <v>38.21</v>
      </c>
      <c r="I3211" s="829">
        <v>270</v>
      </c>
      <c r="J3211" s="849">
        <v>9.6000000000000002E-2</v>
      </c>
      <c r="K3211" s="827">
        <v>2.71</v>
      </c>
      <c r="L3211" s="826">
        <v>820</v>
      </c>
      <c r="M3211" s="826">
        <v>1.37</v>
      </c>
      <c r="N3211" s="826">
        <v>4.84</v>
      </c>
      <c r="O3211" s="826">
        <v>14.64</v>
      </c>
      <c r="P3211" s="826">
        <v>5.51</v>
      </c>
      <c r="Q3211" s="826"/>
      <c r="R3211" s="828">
        <v>1.82621988</v>
      </c>
      <c r="S3211" s="827">
        <v>17.46</v>
      </c>
      <c r="T3211" s="826"/>
      <c r="U3211" s="826"/>
      <c r="V3211" s="826"/>
      <c r="W3211" s="826"/>
      <c r="X3211" s="826"/>
      <c r="Y3211" s="827">
        <v>33</v>
      </c>
      <c r="Z3211" s="826"/>
      <c r="AA3211" s="828">
        <v>4.7699999999999996</v>
      </c>
      <c r="AB3211" s="828">
        <v>0.76300000000000001</v>
      </c>
      <c r="AC3211" s="826">
        <v>9.8000000000000007</v>
      </c>
      <c r="AD3211" s="830">
        <v>550</v>
      </c>
      <c r="AE3211" s="830">
        <v>300</v>
      </c>
      <c r="AF3211" s="830">
        <v>150</v>
      </c>
      <c r="AG3211" s="66">
        <f t="shared" si="124"/>
        <v>29.07090909090909</v>
      </c>
      <c r="AH3211" s="143">
        <f t="shared" si="125"/>
        <v>1000</v>
      </c>
    </row>
    <row r="3212" spans="1:34" s="90" customFormat="1" x14ac:dyDescent="0.3">
      <c r="A3212" s="826">
        <v>203155</v>
      </c>
      <c r="B3212" s="827">
        <v>0.05</v>
      </c>
      <c r="C3212" s="827"/>
      <c r="D3212" s="828">
        <v>7.1</v>
      </c>
      <c r="E3212" s="1572">
        <v>0.11700000000000001</v>
      </c>
      <c r="F3212" s="829">
        <v>128.70000000000002</v>
      </c>
      <c r="G3212" s="826"/>
      <c r="H3212" s="829">
        <v>27.64</v>
      </c>
      <c r="I3212" s="829">
        <v>406</v>
      </c>
      <c r="J3212" s="849">
        <v>0.17199999999999999</v>
      </c>
      <c r="K3212" s="827">
        <v>2.97</v>
      </c>
      <c r="L3212" s="826">
        <v>660</v>
      </c>
      <c r="M3212" s="826">
        <v>1.05</v>
      </c>
      <c r="N3212" s="826">
        <v>1.51</v>
      </c>
      <c r="O3212" s="826">
        <v>23.5</v>
      </c>
      <c r="P3212" s="826">
        <v>7.68</v>
      </c>
      <c r="Q3212" s="826"/>
      <c r="R3212" s="828">
        <v>1.6131211200000002</v>
      </c>
      <c r="S3212" s="827">
        <v>11.28</v>
      </c>
      <c r="T3212" s="826"/>
      <c r="U3212" s="826"/>
      <c r="V3212" s="826"/>
      <c r="W3212" s="826"/>
      <c r="X3212" s="826"/>
      <c r="Y3212" s="827">
        <v>31.8</v>
      </c>
      <c r="Z3212" s="826"/>
      <c r="AA3212" s="828">
        <v>4.16</v>
      </c>
      <c r="AB3212" s="828">
        <v>0.5</v>
      </c>
      <c r="AC3212" s="826">
        <v>10</v>
      </c>
      <c r="AD3212" s="830">
        <v>530</v>
      </c>
      <c r="AE3212" s="830">
        <v>290</v>
      </c>
      <c r="AF3212" s="830">
        <v>180</v>
      </c>
      <c r="AG3212" s="66">
        <f t="shared" si="124"/>
        <v>33.062264150943399</v>
      </c>
      <c r="AH3212" s="143">
        <f t="shared" si="125"/>
        <v>1000</v>
      </c>
    </row>
    <row r="3213" spans="1:34" s="90" customFormat="1" x14ac:dyDescent="0.3">
      <c r="A3213" s="826">
        <v>203156</v>
      </c>
      <c r="B3213" s="827">
        <v>0.16666666666666666</v>
      </c>
      <c r="C3213" s="827"/>
      <c r="D3213" s="828">
        <v>7.5</v>
      </c>
      <c r="E3213" s="1572">
        <v>0.122</v>
      </c>
      <c r="F3213" s="829">
        <v>134.20000000000002</v>
      </c>
      <c r="G3213" s="826"/>
      <c r="H3213" s="829">
        <v>77.34</v>
      </c>
      <c r="I3213" s="829">
        <v>332</v>
      </c>
      <c r="J3213" s="849">
        <v>9.9000000000000005E-2</v>
      </c>
      <c r="K3213" s="827">
        <v>3.22</v>
      </c>
      <c r="L3213" s="826">
        <v>970</v>
      </c>
      <c r="M3213" s="826">
        <v>2.61</v>
      </c>
      <c r="N3213" s="826">
        <v>3</v>
      </c>
      <c r="O3213" s="826">
        <v>16.829999999999998</v>
      </c>
      <c r="P3213" s="826">
        <v>8.2799999999999994</v>
      </c>
      <c r="Q3213" s="826"/>
      <c r="R3213" s="828">
        <v>1.82621988</v>
      </c>
      <c r="S3213" s="827">
        <v>17.46</v>
      </c>
      <c r="T3213" s="826"/>
      <c r="U3213" s="826"/>
      <c r="V3213" s="826"/>
      <c r="W3213" s="826"/>
      <c r="X3213" s="826"/>
      <c r="Y3213" s="827">
        <v>32.799999999999997</v>
      </c>
      <c r="Z3213" s="826"/>
      <c r="AA3213" s="828">
        <v>3.59</v>
      </c>
      <c r="AB3213" s="828">
        <v>0.39400000000000002</v>
      </c>
      <c r="AC3213" s="826">
        <v>12</v>
      </c>
      <c r="AD3213" s="830">
        <v>540</v>
      </c>
      <c r="AE3213" s="830">
        <v>280</v>
      </c>
      <c r="AF3213" s="830">
        <v>180</v>
      </c>
      <c r="AG3213" s="66">
        <f t="shared" si="124"/>
        <v>34.752439024390249</v>
      </c>
      <c r="AH3213" s="143">
        <f t="shared" si="125"/>
        <v>1000</v>
      </c>
    </row>
    <row r="3214" spans="1:34" s="90" customFormat="1" x14ac:dyDescent="0.3">
      <c r="A3214" s="826">
        <v>203157</v>
      </c>
      <c r="B3214" s="827">
        <v>0.18333333333333335</v>
      </c>
      <c r="C3214" s="827"/>
      <c r="D3214" s="828">
        <v>7.9</v>
      </c>
      <c r="E3214" s="1572">
        <v>0.10299999999999999</v>
      </c>
      <c r="F3214" s="829">
        <v>113.3</v>
      </c>
      <c r="G3214" s="826"/>
      <c r="H3214" s="829">
        <v>32.5</v>
      </c>
      <c r="I3214" s="829">
        <v>88</v>
      </c>
      <c r="J3214" s="849">
        <v>0.375</v>
      </c>
      <c r="K3214" s="827">
        <v>3.01</v>
      </c>
      <c r="L3214" s="826">
        <v>1160</v>
      </c>
      <c r="M3214" s="826">
        <v>0.69</v>
      </c>
      <c r="N3214" s="826">
        <v>0.75</v>
      </c>
      <c r="O3214" s="826">
        <v>11.25</v>
      </c>
      <c r="P3214" s="826">
        <v>5.54</v>
      </c>
      <c r="Q3214" s="826"/>
      <c r="R3214" s="828">
        <v>0.69858994702352484</v>
      </c>
      <c r="S3214" s="827">
        <v>5.19</v>
      </c>
      <c r="T3214" s="826"/>
      <c r="U3214" s="826"/>
      <c r="V3214" s="826"/>
      <c r="W3214" s="826"/>
      <c r="X3214" s="826"/>
      <c r="Y3214" s="827">
        <v>27</v>
      </c>
      <c r="Z3214" s="826"/>
      <c r="AA3214" s="828">
        <v>3.89</v>
      </c>
      <c r="AB3214" s="828">
        <v>0.442</v>
      </c>
      <c r="AC3214" s="826">
        <v>7.9</v>
      </c>
      <c r="AD3214" s="830">
        <v>540</v>
      </c>
      <c r="AE3214" s="830">
        <v>260</v>
      </c>
      <c r="AF3214" s="830">
        <v>200</v>
      </c>
      <c r="AG3214" s="66">
        <f t="shared" si="124"/>
        <v>39.464444444444446</v>
      </c>
      <c r="AH3214" s="143">
        <f t="shared" si="125"/>
        <v>1000</v>
      </c>
    </row>
    <row r="3215" spans="1:34" s="90" customFormat="1" x14ac:dyDescent="0.3">
      <c r="A3215" s="826">
        <v>203158</v>
      </c>
      <c r="B3215" s="827">
        <v>1.6666666666666666E-2</v>
      </c>
      <c r="C3215" s="827"/>
      <c r="D3215" s="828">
        <v>7.1</v>
      </c>
      <c r="E3215" s="1572">
        <v>9.2999999999999999E-2</v>
      </c>
      <c r="F3215" s="829">
        <v>102.3</v>
      </c>
      <c r="G3215" s="826"/>
      <c r="H3215" s="829">
        <v>10.62</v>
      </c>
      <c r="I3215" s="829">
        <v>83</v>
      </c>
      <c r="J3215" s="849">
        <v>7.3999999999999996E-2</v>
      </c>
      <c r="K3215" s="827">
        <v>2.6</v>
      </c>
      <c r="L3215" s="826">
        <v>590</v>
      </c>
      <c r="M3215" s="826">
        <v>0.86</v>
      </c>
      <c r="N3215" s="826">
        <v>1.1599999999999999</v>
      </c>
      <c r="O3215" s="826">
        <v>29.13</v>
      </c>
      <c r="P3215" s="826">
        <v>9.6</v>
      </c>
      <c r="Q3215" s="826"/>
      <c r="R3215" s="828">
        <v>1.67195808</v>
      </c>
      <c r="S3215" s="827">
        <v>12.84</v>
      </c>
      <c r="T3215" s="826"/>
      <c r="U3215" s="826"/>
      <c r="V3215" s="826"/>
      <c r="W3215" s="826"/>
      <c r="X3215" s="826"/>
      <c r="Y3215" s="827">
        <v>35.200000000000003</v>
      </c>
      <c r="Z3215" s="826"/>
      <c r="AA3215" s="828">
        <v>4.28</v>
      </c>
      <c r="AB3215" s="828">
        <v>0.88400000000000001</v>
      </c>
      <c r="AC3215" s="826">
        <v>11</v>
      </c>
      <c r="AD3215" s="830">
        <v>560</v>
      </c>
      <c r="AE3215" s="830">
        <v>320</v>
      </c>
      <c r="AF3215" s="830">
        <v>120</v>
      </c>
      <c r="AG3215" s="66">
        <f t="shared" si="124"/>
        <v>26.147727272727273</v>
      </c>
      <c r="AH3215" s="143">
        <f t="shared" si="125"/>
        <v>1000</v>
      </c>
    </row>
    <row r="3216" spans="1:34" s="90" customFormat="1" x14ac:dyDescent="0.3">
      <c r="A3216" s="826">
        <v>203159</v>
      </c>
      <c r="B3216" s="827">
        <v>3.3333333333333333E-2</v>
      </c>
      <c r="C3216" s="827"/>
      <c r="D3216" s="828">
        <v>6.8</v>
      </c>
      <c r="E3216" s="1572">
        <v>0.157</v>
      </c>
      <c r="F3216" s="829">
        <v>172.70000000000002</v>
      </c>
      <c r="G3216" s="826"/>
      <c r="H3216" s="829">
        <v>10.92</v>
      </c>
      <c r="I3216" s="829">
        <v>66</v>
      </c>
      <c r="J3216" s="849">
        <v>0.193</v>
      </c>
      <c r="K3216" s="827">
        <v>2.56</v>
      </c>
      <c r="L3216" s="826">
        <v>590</v>
      </c>
      <c r="M3216" s="826">
        <v>0.81</v>
      </c>
      <c r="N3216" s="826">
        <v>0.7</v>
      </c>
      <c r="O3216" s="826">
        <v>24.77</v>
      </c>
      <c r="P3216" s="826">
        <v>8.7200000000000006</v>
      </c>
      <c r="Q3216" s="826"/>
      <c r="R3216" s="828">
        <v>0.80673555900169169</v>
      </c>
      <c r="S3216" s="827">
        <v>5.26</v>
      </c>
      <c r="T3216" s="826"/>
      <c r="U3216" s="826"/>
      <c r="V3216" s="826"/>
      <c r="W3216" s="826"/>
      <c r="X3216" s="826"/>
      <c r="Y3216" s="827">
        <v>33.6</v>
      </c>
      <c r="Z3216" s="826">
        <v>5.6</v>
      </c>
      <c r="AA3216" s="828">
        <v>3.75</v>
      </c>
      <c r="AB3216" s="828">
        <v>0.58199999999999996</v>
      </c>
      <c r="AC3216" s="826">
        <v>6.9</v>
      </c>
      <c r="AD3216" s="830">
        <v>480</v>
      </c>
      <c r="AE3216" s="830">
        <v>260</v>
      </c>
      <c r="AF3216" s="830">
        <v>260</v>
      </c>
      <c r="AG3216" s="66">
        <f t="shared" si="124"/>
        <v>26.971428571428572</v>
      </c>
      <c r="AH3216" s="143">
        <f t="shared" si="125"/>
        <v>1000</v>
      </c>
    </row>
    <row r="3217" spans="1:34" s="90" customFormat="1" x14ac:dyDescent="0.3">
      <c r="A3217" s="826">
        <v>203160</v>
      </c>
      <c r="B3217" s="827">
        <v>0.1</v>
      </c>
      <c r="C3217" s="827"/>
      <c r="D3217" s="828">
        <v>7.1</v>
      </c>
      <c r="E3217" s="1572">
        <v>0.107</v>
      </c>
      <c r="F3217" s="829">
        <v>117.70000000000002</v>
      </c>
      <c r="G3217" s="826"/>
      <c r="H3217" s="829">
        <v>8.48</v>
      </c>
      <c r="I3217" s="829">
        <v>95</v>
      </c>
      <c r="J3217" s="849">
        <v>7.0000000000000007E-2</v>
      </c>
      <c r="K3217" s="827">
        <v>2.64</v>
      </c>
      <c r="L3217" s="826">
        <v>520</v>
      </c>
      <c r="M3217" s="826">
        <v>1.29</v>
      </c>
      <c r="N3217" s="826">
        <v>1.39</v>
      </c>
      <c r="O3217" s="826">
        <v>25.41</v>
      </c>
      <c r="P3217" s="826">
        <v>8.25</v>
      </c>
      <c r="Q3217" s="826"/>
      <c r="R3217" s="828">
        <v>1.75081833</v>
      </c>
      <c r="S3217" s="827">
        <v>15.09</v>
      </c>
      <c r="T3217" s="826"/>
      <c r="U3217" s="826"/>
      <c r="V3217" s="826"/>
      <c r="W3217" s="826"/>
      <c r="X3217" s="826"/>
      <c r="Y3217" s="827">
        <v>34.200000000000003</v>
      </c>
      <c r="Z3217" s="826"/>
      <c r="AA3217" s="828">
        <v>3.53</v>
      </c>
      <c r="AB3217" s="828">
        <v>0.624</v>
      </c>
      <c r="AC3217" s="826">
        <v>10.4</v>
      </c>
      <c r="AD3217" s="830">
        <v>570</v>
      </c>
      <c r="AE3217" s="830">
        <v>290</v>
      </c>
      <c r="AF3217" s="830">
        <v>140</v>
      </c>
      <c r="AG3217" s="66">
        <f t="shared" si="124"/>
        <v>27.326315789473682</v>
      </c>
      <c r="AH3217" s="143">
        <f t="shared" si="125"/>
        <v>1000</v>
      </c>
    </row>
    <row r="3218" spans="1:34" s="90" customFormat="1" x14ac:dyDescent="0.3">
      <c r="A3218" s="826">
        <v>203161</v>
      </c>
      <c r="B3218" s="827">
        <v>0.05</v>
      </c>
      <c r="C3218" s="827"/>
      <c r="D3218" s="828">
        <v>6.8</v>
      </c>
      <c r="E3218" s="1572">
        <v>0.123</v>
      </c>
      <c r="F3218" s="829">
        <v>135.30000000000001</v>
      </c>
      <c r="G3218" s="826"/>
      <c r="H3218" s="829">
        <v>11.07</v>
      </c>
      <c r="I3218" s="829">
        <v>75</v>
      </c>
      <c r="J3218" s="849">
        <v>6.6000000000000003E-2</v>
      </c>
      <c r="K3218" s="827">
        <v>2.54</v>
      </c>
      <c r="L3218" s="826">
        <v>570</v>
      </c>
      <c r="M3218" s="826">
        <v>0.86</v>
      </c>
      <c r="N3218" s="826">
        <v>1.19</v>
      </c>
      <c r="O3218" s="826">
        <v>28.54</v>
      </c>
      <c r="P3218" s="826">
        <v>9.8800000000000008</v>
      </c>
      <c r="Q3218" s="826"/>
      <c r="R3218" s="828">
        <v>1.58282393</v>
      </c>
      <c r="S3218" s="827">
        <v>10.51</v>
      </c>
      <c r="T3218" s="826"/>
      <c r="U3218" s="826"/>
      <c r="V3218" s="826"/>
      <c r="W3218" s="826"/>
      <c r="X3218" s="826"/>
      <c r="Y3218" s="827">
        <v>34.200000000000003</v>
      </c>
      <c r="Z3218" s="826">
        <v>5.9</v>
      </c>
      <c r="AA3218" s="828">
        <v>3.74</v>
      </c>
      <c r="AB3218" s="828">
        <v>0.76900000000000002</v>
      </c>
      <c r="AC3218" s="826">
        <v>7.3</v>
      </c>
      <c r="AD3218" s="830">
        <v>560</v>
      </c>
      <c r="AE3218" s="830">
        <v>300</v>
      </c>
      <c r="AF3218" s="830">
        <v>140</v>
      </c>
      <c r="AG3218" s="66">
        <f t="shared" si="124"/>
        <v>26.291228070175436</v>
      </c>
      <c r="AH3218" s="143">
        <f t="shared" si="125"/>
        <v>1000</v>
      </c>
    </row>
    <row r="3219" spans="1:34" s="90" customFormat="1" x14ac:dyDescent="0.3">
      <c r="A3219" s="826">
        <v>203162</v>
      </c>
      <c r="B3219" s="827">
        <v>0.1</v>
      </c>
      <c r="C3219" s="827"/>
      <c r="D3219" s="828">
        <v>6.7</v>
      </c>
      <c r="E3219" s="1572">
        <v>9.2999999999999999E-2</v>
      </c>
      <c r="F3219" s="829">
        <v>102.3</v>
      </c>
      <c r="G3219" s="826"/>
      <c r="H3219" s="829">
        <v>9.9</v>
      </c>
      <c r="I3219" s="829">
        <v>101</v>
      </c>
      <c r="J3219" s="849">
        <v>4.2000000000000003E-2</v>
      </c>
      <c r="K3219" s="827">
        <v>2.82</v>
      </c>
      <c r="L3219" s="826">
        <v>640</v>
      </c>
      <c r="M3219" s="826">
        <v>0.82</v>
      </c>
      <c r="N3219" s="826">
        <v>1.26</v>
      </c>
      <c r="O3219" s="826">
        <v>15.56</v>
      </c>
      <c r="P3219" s="826">
        <v>15.82</v>
      </c>
      <c r="Q3219" s="826"/>
      <c r="R3219" s="828">
        <v>1.62585153</v>
      </c>
      <c r="S3219" s="827">
        <v>11.61</v>
      </c>
      <c r="T3219" s="826"/>
      <c r="U3219" s="826"/>
      <c r="V3219" s="826"/>
      <c r="W3219" s="826"/>
      <c r="X3219" s="826"/>
      <c r="Y3219" s="827">
        <v>27.5</v>
      </c>
      <c r="Z3219" s="826">
        <v>5.8</v>
      </c>
      <c r="AA3219" s="828">
        <v>4.66</v>
      </c>
      <c r="AB3219" s="828">
        <v>0.85899999999999999</v>
      </c>
      <c r="AC3219" s="826">
        <v>6.3</v>
      </c>
      <c r="AD3219" s="830">
        <v>550</v>
      </c>
      <c r="AE3219" s="830">
        <v>340</v>
      </c>
      <c r="AF3219" s="830">
        <v>110</v>
      </c>
      <c r="AG3219" s="66">
        <f t="shared" si="124"/>
        <v>36.30109090909091</v>
      </c>
      <c r="AH3219" s="143">
        <f t="shared" si="125"/>
        <v>1000</v>
      </c>
    </row>
    <row r="3220" spans="1:34" s="90" customFormat="1" x14ac:dyDescent="0.3">
      <c r="A3220" s="826">
        <v>203163</v>
      </c>
      <c r="B3220" s="827">
        <v>0.1</v>
      </c>
      <c r="C3220" s="827"/>
      <c r="D3220" s="828">
        <v>6.7</v>
      </c>
      <c r="E3220" s="1572">
        <v>0.10100000000000001</v>
      </c>
      <c r="F3220" s="829">
        <v>111.10000000000002</v>
      </c>
      <c r="G3220" s="826"/>
      <c r="H3220" s="829">
        <v>10.95</v>
      </c>
      <c r="I3220" s="829">
        <v>79</v>
      </c>
      <c r="J3220" s="849">
        <v>8.1000000000000003E-2</v>
      </c>
      <c r="K3220" s="827">
        <v>2.84</v>
      </c>
      <c r="L3220" s="826">
        <v>690</v>
      </c>
      <c r="M3220" s="826">
        <v>1.1100000000000001</v>
      </c>
      <c r="N3220" s="826">
        <v>1.05</v>
      </c>
      <c r="O3220" s="826">
        <v>29.98</v>
      </c>
      <c r="P3220" s="826">
        <v>13.29</v>
      </c>
      <c r="Q3220" s="826"/>
      <c r="R3220" s="828">
        <v>1.1429743282942273</v>
      </c>
      <c r="S3220" s="827">
        <v>7.59</v>
      </c>
      <c r="T3220" s="826"/>
      <c r="U3220" s="826"/>
      <c r="V3220" s="826"/>
      <c r="W3220" s="826"/>
      <c r="X3220" s="826"/>
      <c r="Y3220" s="827">
        <v>31.2</v>
      </c>
      <c r="Z3220" s="826">
        <v>5.7</v>
      </c>
      <c r="AA3220" s="828">
        <v>4.4400000000000004</v>
      </c>
      <c r="AB3220" s="828">
        <v>0.47599999999999998</v>
      </c>
      <c r="AC3220" s="826">
        <v>7.1</v>
      </c>
      <c r="AD3220" s="830">
        <v>520</v>
      </c>
      <c r="AE3220" s="830">
        <v>240</v>
      </c>
      <c r="AF3220" s="830">
        <v>240</v>
      </c>
      <c r="AG3220" s="66">
        <f t="shared" si="124"/>
        <v>32.223076923076924</v>
      </c>
      <c r="AH3220" s="143">
        <f t="shared" si="125"/>
        <v>1000</v>
      </c>
    </row>
    <row r="3221" spans="1:34" s="90" customFormat="1" x14ac:dyDescent="0.3">
      <c r="A3221" s="826">
        <v>203164</v>
      </c>
      <c r="B3221" s="827">
        <v>0.1</v>
      </c>
      <c r="C3221" s="827"/>
      <c r="D3221" s="828">
        <v>6.5</v>
      </c>
      <c r="E3221" s="1572">
        <v>0.123</v>
      </c>
      <c r="F3221" s="829">
        <v>135.30000000000001</v>
      </c>
      <c r="G3221" s="826"/>
      <c r="H3221" s="829">
        <v>44.37</v>
      </c>
      <c r="I3221" s="829">
        <v>504</v>
      </c>
      <c r="J3221" s="849">
        <v>1.6E-2</v>
      </c>
      <c r="K3221" s="827">
        <v>2.2999999999999998</v>
      </c>
      <c r="L3221" s="826">
        <v>410</v>
      </c>
      <c r="M3221" s="826">
        <v>1.56</v>
      </c>
      <c r="N3221" s="826">
        <v>1.43</v>
      </c>
      <c r="O3221" s="826">
        <v>34.200000000000003</v>
      </c>
      <c r="P3221" s="826">
        <v>15.63</v>
      </c>
      <c r="Q3221" s="826"/>
      <c r="R3221" s="828">
        <v>1.6482320000000001</v>
      </c>
      <c r="S3221" s="827">
        <v>12.2</v>
      </c>
      <c r="T3221" s="826"/>
      <c r="U3221" s="826"/>
      <c r="V3221" s="826"/>
      <c r="W3221" s="826"/>
      <c r="X3221" s="826"/>
      <c r="Y3221" s="827">
        <v>33.6</v>
      </c>
      <c r="Z3221" s="826">
        <v>5.8</v>
      </c>
      <c r="AA3221" s="828">
        <v>4.66</v>
      </c>
      <c r="AB3221" s="828">
        <v>0.9</v>
      </c>
      <c r="AC3221" s="826">
        <v>7.7</v>
      </c>
      <c r="AD3221" s="830">
        <v>560</v>
      </c>
      <c r="AE3221" s="830">
        <v>310</v>
      </c>
      <c r="AF3221" s="830">
        <v>130</v>
      </c>
      <c r="AG3221" s="66">
        <f t="shared" si="124"/>
        <v>24.232142857142854</v>
      </c>
      <c r="AH3221" s="143">
        <f t="shared" si="125"/>
        <v>1000</v>
      </c>
    </row>
    <row r="3222" spans="1:34" s="90" customFormat="1" x14ac:dyDescent="0.3">
      <c r="A3222" s="826">
        <v>203165</v>
      </c>
      <c r="B3222" s="827">
        <v>0.13333333333333333</v>
      </c>
      <c r="C3222" s="827"/>
      <c r="D3222" s="828">
        <v>6.7</v>
      </c>
      <c r="E3222" s="1572">
        <v>0.121</v>
      </c>
      <c r="F3222" s="829">
        <v>133.1</v>
      </c>
      <c r="G3222" s="826"/>
      <c r="H3222" s="829">
        <v>41.32</v>
      </c>
      <c r="I3222" s="829">
        <v>512</v>
      </c>
      <c r="J3222" s="849">
        <v>1.6E-2</v>
      </c>
      <c r="K3222" s="827">
        <v>2.14</v>
      </c>
      <c r="L3222" s="826">
        <v>410</v>
      </c>
      <c r="M3222" s="826">
        <v>0.77</v>
      </c>
      <c r="N3222" s="826">
        <v>0.86</v>
      </c>
      <c r="O3222" s="826">
        <v>12.53</v>
      </c>
      <c r="P3222" s="826">
        <v>12.11</v>
      </c>
      <c r="Q3222" s="826"/>
      <c r="R3222" s="828">
        <v>1.6142847300000001</v>
      </c>
      <c r="S3222" s="827">
        <v>11.31</v>
      </c>
      <c r="T3222" s="826"/>
      <c r="U3222" s="826"/>
      <c r="V3222" s="826"/>
      <c r="W3222" s="826"/>
      <c r="X3222" s="826"/>
      <c r="Y3222" s="827">
        <v>32.4</v>
      </c>
      <c r="Z3222" s="826">
        <v>5.9</v>
      </c>
      <c r="AA3222" s="828">
        <v>4.04</v>
      </c>
      <c r="AB3222" s="828">
        <v>0.78700000000000003</v>
      </c>
      <c r="AC3222" s="826">
        <v>11.7</v>
      </c>
      <c r="AD3222" s="830">
        <v>540</v>
      </c>
      <c r="AE3222" s="830">
        <v>300</v>
      </c>
      <c r="AF3222" s="830">
        <v>160</v>
      </c>
      <c r="AG3222" s="66">
        <f t="shared" si="124"/>
        <v>23.381481481481483</v>
      </c>
      <c r="AH3222" s="143">
        <f t="shared" si="125"/>
        <v>1000</v>
      </c>
    </row>
    <row r="3223" spans="1:34" s="90" customFormat="1" x14ac:dyDescent="0.3">
      <c r="A3223" s="826">
        <v>203166</v>
      </c>
      <c r="B3223" s="827">
        <v>0.15</v>
      </c>
      <c r="C3223" s="827"/>
      <c r="D3223" s="828">
        <v>6.6</v>
      </c>
      <c r="E3223" s="1572">
        <v>8.5000000000000006E-2</v>
      </c>
      <c r="F3223" s="829">
        <v>93.500000000000014</v>
      </c>
      <c r="G3223" s="826"/>
      <c r="H3223" s="829">
        <v>12.37</v>
      </c>
      <c r="I3223" s="829">
        <v>84</v>
      </c>
      <c r="J3223" s="849">
        <v>3.5999999999999997E-2</v>
      </c>
      <c r="K3223" s="827">
        <v>2.58</v>
      </c>
      <c r="L3223" s="826">
        <v>420</v>
      </c>
      <c r="M3223" s="826">
        <v>1.45</v>
      </c>
      <c r="N3223" s="826">
        <v>1.64</v>
      </c>
      <c r="O3223" s="826">
        <v>34.15</v>
      </c>
      <c r="P3223" s="826">
        <v>12.4</v>
      </c>
      <c r="Q3223" s="826"/>
      <c r="R3223" s="828">
        <v>1.734248</v>
      </c>
      <c r="S3223" s="827">
        <v>14.6</v>
      </c>
      <c r="T3223" s="826"/>
      <c r="U3223" s="826"/>
      <c r="V3223" s="826"/>
      <c r="W3223" s="826"/>
      <c r="X3223" s="826"/>
      <c r="Y3223" s="827">
        <v>32</v>
      </c>
      <c r="Z3223" s="826">
        <v>5.9</v>
      </c>
      <c r="AA3223" s="828">
        <v>4.24</v>
      </c>
      <c r="AB3223" s="828">
        <v>0.71699999999999997</v>
      </c>
      <c r="AC3223" s="826">
        <v>9.5</v>
      </c>
      <c r="AD3223" s="830">
        <v>580</v>
      </c>
      <c r="AE3223" s="830">
        <v>320</v>
      </c>
      <c r="AF3223" s="830">
        <v>100</v>
      </c>
      <c r="AG3223" s="66">
        <f t="shared" si="124"/>
        <v>28.541250000000002</v>
      </c>
      <c r="AH3223" s="143">
        <f t="shared" si="125"/>
        <v>1000</v>
      </c>
    </row>
    <row r="3224" spans="1:34" s="90" customFormat="1" x14ac:dyDescent="0.3">
      <c r="A3224" s="826">
        <v>203167</v>
      </c>
      <c r="B3224" s="827">
        <v>3.3333333333333333E-2</v>
      </c>
      <c r="C3224" s="827"/>
      <c r="D3224" s="828">
        <v>6.7</v>
      </c>
      <c r="E3224" s="1572">
        <v>0.13800000000000001</v>
      </c>
      <c r="F3224" s="829">
        <v>151.80000000000001</v>
      </c>
      <c r="G3224" s="826"/>
      <c r="H3224" s="829">
        <v>14.74</v>
      </c>
      <c r="I3224" s="829">
        <v>93</v>
      </c>
      <c r="J3224" s="849">
        <v>6.3E-2</v>
      </c>
      <c r="K3224" s="827">
        <v>2.4</v>
      </c>
      <c r="L3224" s="826">
        <v>420</v>
      </c>
      <c r="M3224" s="826">
        <v>1.08</v>
      </c>
      <c r="N3224" s="826">
        <v>1.1299999999999999</v>
      </c>
      <c r="O3224" s="826">
        <v>18.48</v>
      </c>
      <c r="P3224" s="826">
        <v>7.04</v>
      </c>
      <c r="Q3224" s="826"/>
      <c r="R3224" s="828">
        <v>1.74375792</v>
      </c>
      <c r="S3224" s="827">
        <v>14.879999999999999</v>
      </c>
      <c r="T3224" s="826"/>
      <c r="U3224" s="826"/>
      <c r="V3224" s="826"/>
      <c r="W3224" s="826"/>
      <c r="X3224" s="826"/>
      <c r="Y3224" s="827">
        <v>28.5</v>
      </c>
      <c r="Z3224" s="827">
        <v>6</v>
      </c>
      <c r="AA3224" s="828">
        <v>4.55</v>
      </c>
      <c r="AB3224" s="828">
        <v>0.51300000000000001</v>
      </c>
      <c r="AC3224" s="826">
        <v>8</v>
      </c>
      <c r="AD3224" s="830">
        <v>570</v>
      </c>
      <c r="AE3224" s="830">
        <v>310</v>
      </c>
      <c r="AF3224" s="830">
        <v>120</v>
      </c>
      <c r="AG3224" s="66">
        <f t="shared" si="124"/>
        <v>29.810526315789474</v>
      </c>
      <c r="AH3224" s="143">
        <f t="shared" si="125"/>
        <v>1000</v>
      </c>
    </row>
    <row r="3225" spans="1:34" s="90" customFormat="1" x14ac:dyDescent="0.3">
      <c r="A3225" s="826">
        <v>203168</v>
      </c>
      <c r="B3225" s="827">
        <v>4.083333333333333</v>
      </c>
      <c r="C3225" s="827"/>
      <c r="D3225" s="828">
        <v>7.7</v>
      </c>
      <c r="E3225" s="1572">
        <v>0.154</v>
      </c>
      <c r="F3225" s="829">
        <v>169.40000000000003</v>
      </c>
      <c r="G3225" s="826"/>
      <c r="H3225" s="829">
        <v>8.83</v>
      </c>
      <c r="I3225" s="829">
        <v>200</v>
      </c>
      <c r="J3225" s="849">
        <v>8.2000000000000003E-2</v>
      </c>
      <c r="K3225" s="827">
        <v>13.95</v>
      </c>
      <c r="L3225" s="826">
        <v>860</v>
      </c>
      <c r="M3225" s="826">
        <v>0.28999999999999998</v>
      </c>
      <c r="N3225" s="826">
        <v>0.7</v>
      </c>
      <c r="O3225" s="826">
        <v>4.16</v>
      </c>
      <c r="P3225" s="826">
        <v>4.55</v>
      </c>
      <c r="Q3225" s="826"/>
      <c r="R3225" s="828">
        <v>1.7162955200000001</v>
      </c>
      <c r="S3225" s="827">
        <v>14.079999999999998</v>
      </c>
      <c r="T3225" s="826"/>
      <c r="U3225" s="826"/>
      <c r="V3225" s="826"/>
      <c r="W3225" s="826"/>
      <c r="X3225" s="826"/>
      <c r="Y3225" s="827">
        <v>29.5</v>
      </c>
      <c r="Z3225" s="826"/>
      <c r="AA3225" s="828">
        <v>4.93</v>
      </c>
      <c r="AB3225" s="828">
        <v>0.77100000000000002</v>
      </c>
      <c r="AC3225" s="826">
        <v>9.5</v>
      </c>
      <c r="AD3225" s="830">
        <v>590</v>
      </c>
      <c r="AE3225" s="830">
        <v>310</v>
      </c>
      <c r="AF3225" s="830">
        <v>100</v>
      </c>
      <c r="AG3225" s="66">
        <f t="shared" si="124"/>
        <v>167.39999999999998</v>
      </c>
      <c r="AH3225" s="143">
        <f t="shared" si="125"/>
        <v>1000</v>
      </c>
    </row>
    <row r="3226" spans="1:34" s="90" customFormat="1" x14ac:dyDescent="0.3">
      <c r="A3226" s="826">
        <v>203169</v>
      </c>
      <c r="B3226" s="827">
        <v>8.3333333333333321</v>
      </c>
      <c r="C3226" s="827"/>
      <c r="D3226" s="828">
        <v>7.9</v>
      </c>
      <c r="E3226" s="1572">
        <v>0.17199999999999999</v>
      </c>
      <c r="F3226" s="829">
        <v>189.20000000000002</v>
      </c>
      <c r="G3226" s="826"/>
      <c r="H3226" s="829">
        <v>24.53</v>
      </c>
      <c r="I3226" s="829">
        <v>193</v>
      </c>
      <c r="J3226" s="849">
        <v>8.2000000000000003E-2</v>
      </c>
      <c r="K3226" s="827">
        <v>15.9</v>
      </c>
      <c r="L3226" s="826">
        <v>900</v>
      </c>
      <c r="M3226" s="826">
        <v>0.28000000000000003</v>
      </c>
      <c r="N3226" s="826">
        <v>0.64</v>
      </c>
      <c r="O3226" s="826">
        <v>2.65</v>
      </c>
      <c r="P3226" s="826">
        <v>3.77</v>
      </c>
      <c r="Q3226" s="826"/>
      <c r="R3226" s="828">
        <v>1.67378753</v>
      </c>
      <c r="S3226" s="827">
        <v>12.889999999999999</v>
      </c>
      <c r="T3226" s="826"/>
      <c r="U3226" s="826"/>
      <c r="V3226" s="826"/>
      <c r="W3226" s="826"/>
      <c r="X3226" s="826"/>
      <c r="Y3226" s="827">
        <v>37.200000000000003</v>
      </c>
      <c r="Z3226" s="826"/>
      <c r="AA3226" s="828">
        <v>4.13</v>
      </c>
      <c r="AB3226" s="828">
        <v>0.82199999999999995</v>
      </c>
      <c r="AC3226" s="826">
        <v>7.5</v>
      </c>
      <c r="AD3226" s="830">
        <v>620</v>
      </c>
      <c r="AE3226" s="830">
        <v>280</v>
      </c>
      <c r="AF3226" s="830">
        <v>100</v>
      </c>
      <c r="AG3226" s="66">
        <f t="shared" si="124"/>
        <v>151.30645161290323</v>
      </c>
      <c r="AH3226" s="143">
        <f t="shared" si="125"/>
        <v>1000</v>
      </c>
    </row>
    <row r="3227" spans="1:34" s="90" customFormat="1" x14ac:dyDescent="0.3">
      <c r="A3227" s="826">
        <v>203170</v>
      </c>
      <c r="B3227" s="827">
        <v>33.166666666666664</v>
      </c>
      <c r="C3227" s="827">
        <v>12.13</v>
      </c>
      <c r="D3227" s="828">
        <v>8.3000000000000007</v>
      </c>
      <c r="E3227" s="1572">
        <v>0.20699999999999999</v>
      </c>
      <c r="F3227" s="829">
        <v>227.70000000000002</v>
      </c>
      <c r="G3227" s="826"/>
      <c r="H3227" s="829">
        <v>32.22</v>
      </c>
      <c r="I3227" s="829">
        <v>324</v>
      </c>
      <c r="J3227" s="849">
        <v>8.1000000000000003E-2</v>
      </c>
      <c r="K3227" s="827">
        <v>6.28</v>
      </c>
      <c r="L3227" s="826">
        <v>840</v>
      </c>
      <c r="M3227" s="826">
        <v>0.67</v>
      </c>
      <c r="N3227" s="826">
        <v>0.27</v>
      </c>
      <c r="O3227" s="826">
        <v>1.46</v>
      </c>
      <c r="P3227" s="826">
        <v>2.4700000000000002</v>
      </c>
      <c r="Q3227" s="826"/>
      <c r="R3227" s="828">
        <v>1.2152402538294746</v>
      </c>
      <c r="S3227" s="827">
        <v>8.6</v>
      </c>
      <c r="T3227" s="826"/>
      <c r="U3227" s="826"/>
      <c r="V3227" s="826"/>
      <c r="W3227" s="826"/>
      <c r="X3227" s="826"/>
      <c r="Y3227" s="827">
        <v>33.799999999999997</v>
      </c>
      <c r="Z3227" s="826"/>
      <c r="AA3227" s="828">
        <v>4.12</v>
      </c>
      <c r="AB3227" s="828">
        <v>0.76400000000000001</v>
      </c>
      <c r="AC3227" s="826">
        <v>7.3</v>
      </c>
      <c r="AD3227" s="830">
        <v>640</v>
      </c>
      <c r="AE3227" s="830">
        <v>260</v>
      </c>
      <c r="AF3227" s="830">
        <v>100</v>
      </c>
      <c r="AG3227" s="66">
        <f t="shared" si="124"/>
        <v>65.772781065088765</v>
      </c>
      <c r="AH3227" s="143">
        <f t="shared" si="125"/>
        <v>1000</v>
      </c>
    </row>
    <row r="3228" spans="1:34" s="90" customFormat="1" x14ac:dyDescent="0.3">
      <c r="A3228" s="826">
        <v>203171</v>
      </c>
      <c r="B3228" s="827">
        <v>15</v>
      </c>
      <c r="C3228" s="827">
        <v>10.75</v>
      </c>
      <c r="D3228" s="828">
        <v>8.1</v>
      </c>
      <c r="E3228" s="1572">
        <v>0.191</v>
      </c>
      <c r="F3228" s="829">
        <v>210.10000000000002</v>
      </c>
      <c r="G3228" s="826"/>
      <c r="H3228" s="829">
        <v>8.0399999999999991</v>
      </c>
      <c r="I3228" s="829">
        <v>230</v>
      </c>
      <c r="J3228" s="849">
        <v>9.8000000000000004E-2</v>
      </c>
      <c r="K3228" s="827">
        <v>8.31</v>
      </c>
      <c r="L3228" s="826">
        <v>1250</v>
      </c>
      <c r="M3228" s="826">
        <v>0.77</v>
      </c>
      <c r="N3228" s="826">
        <v>0.81</v>
      </c>
      <c r="O3228" s="826">
        <v>3.74</v>
      </c>
      <c r="P3228" s="826">
        <v>4.43</v>
      </c>
      <c r="Q3228" s="826"/>
      <c r="R3228" s="828">
        <v>1.67342192</v>
      </c>
      <c r="S3228" s="827">
        <v>12.88</v>
      </c>
      <c r="T3228" s="826"/>
      <c r="U3228" s="826"/>
      <c r="V3228" s="826"/>
      <c r="W3228" s="826"/>
      <c r="X3228" s="826"/>
      <c r="Y3228" s="827">
        <v>32.9</v>
      </c>
      <c r="Z3228" s="826"/>
      <c r="AA3228" s="828">
        <v>3.45</v>
      </c>
      <c r="AB3228" s="828">
        <v>0.51</v>
      </c>
      <c r="AC3228" s="826">
        <v>7.8</v>
      </c>
      <c r="AD3228" s="830">
        <v>600</v>
      </c>
      <c r="AE3228" s="830">
        <v>300</v>
      </c>
      <c r="AF3228" s="830">
        <v>100</v>
      </c>
      <c r="AG3228" s="66">
        <f t="shared" si="124"/>
        <v>89.414589665653509</v>
      </c>
      <c r="AH3228" s="143">
        <f t="shared" si="125"/>
        <v>1000</v>
      </c>
    </row>
    <row r="3229" spans="1:34" s="90" customFormat="1" x14ac:dyDescent="0.3">
      <c r="A3229" s="826">
        <v>203172</v>
      </c>
      <c r="B3229" s="827">
        <v>6.6666666666666666E-2</v>
      </c>
      <c r="C3229" s="827"/>
      <c r="D3229" s="828">
        <v>7.4</v>
      </c>
      <c r="E3229" s="1572">
        <v>4.4999999999999998E-2</v>
      </c>
      <c r="F3229" s="829">
        <v>49.5</v>
      </c>
      <c r="G3229" s="826"/>
      <c r="H3229" s="829">
        <v>27.43</v>
      </c>
      <c r="I3229" s="829">
        <v>47</v>
      </c>
      <c r="J3229" s="849">
        <v>1.0999999999999999E-2</v>
      </c>
      <c r="K3229" s="827">
        <v>2.16</v>
      </c>
      <c r="L3229" s="826">
        <v>360</v>
      </c>
      <c r="M3229" s="826">
        <v>1.51</v>
      </c>
      <c r="N3229" s="826">
        <v>0.23</v>
      </c>
      <c r="O3229" s="826">
        <v>1.76</v>
      </c>
      <c r="P3229" s="826">
        <v>6.09</v>
      </c>
      <c r="Q3229" s="826"/>
      <c r="R3229" s="828">
        <v>0.76422713057570935</v>
      </c>
      <c r="S3229" s="827">
        <v>5.3900000000000006</v>
      </c>
      <c r="T3229" s="826"/>
      <c r="U3229" s="826"/>
      <c r="V3229" s="826"/>
      <c r="W3229" s="826"/>
      <c r="X3229" s="826"/>
      <c r="Y3229" s="827">
        <v>3.6</v>
      </c>
      <c r="Z3229" s="826"/>
      <c r="AA3229" s="828">
        <v>3.84</v>
      </c>
      <c r="AB3229" s="828">
        <v>0.52200000000000002</v>
      </c>
      <c r="AC3229" s="826">
        <v>11.8</v>
      </c>
      <c r="AD3229" s="830">
        <v>60</v>
      </c>
      <c r="AE3229" s="830">
        <v>60</v>
      </c>
      <c r="AF3229" s="830">
        <v>880</v>
      </c>
      <c r="AG3229" s="66">
        <f t="shared" si="124"/>
        <v>212.40000000000003</v>
      </c>
      <c r="AH3229" s="143">
        <f t="shared" si="125"/>
        <v>1000</v>
      </c>
    </row>
    <row r="3230" spans="1:34" s="90" customFormat="1" x14ac:dyDescent="0.3">
      <c r="A3230" s="826">
        <v>203173</v>
      </c>
      <c r="B3230" s="827">
        <v>0</v>
      </c>
      <c r="C3230" s="827"/>
      <c r="D3230" s="828">
        <v>6.6</v>
      </c>
      <c r="E3230" s="1572">
        <v>2.5000000000000001E-2</v>
      </c>
      <c r="F3230" s="829">
        <v>27.500000000000004</v>
      </c>
      <c r="G3230" s="826"/>
      <c r="H3230" s="829">
        <v>22.13</v>
      </c>
      <c r="I3230" s="829">
        <v>47</v>
      </c>
      <c r="J3230" s="849">
        <v>0.01</v>
      </c>
      <c r="K3230" s="827">
        <v>2.06</v>
      </c>
      <c r="L3230" s="826">
        <v>340</v>
      </c>
      <c r="M3230" s="826">
        <v>0.17</v>
      </c>
      <c r="N3230" s="826">
        <v>7.0000000000000007E-2</v>
      </c>
      <c r="O3230" s="826">
        <v>0.39</v>
      </c>
      <c r="P3230" s="826">
        <v>6.05</v>
      </c>
      <c r="Q3230" s="826"/>
      <c r="R3230" s="828">
        <v>0.41817330623822252</v>
      </c>
      <c r="S3230" s="827">
        <v>3.04</v>
      </c>
      <c r="T3230" s="826"/>
      <c r="U3230" s="826"/>
      <c r="V3230" s="826"/>
      <c r="W3230" s="826"/>
      <c r="X3230" s="826"/>
      <c r="Y3230" s="827">
        <v>3.6</v>
      </c>
      <c r="Z3230" s="827">
        <v>6</v>
      </c>
      <c r="AA3230" s="828">
        <v>3.46</v>
      </c>
      <c r="AB3230" s="828">
        <v>0.76</v>
      </c>
      <c r="AC3230" s="826">
        <v>8.4</v>
      </c>
      <c r="AD3230" s="830">
        <v>60</v>
      </c>
      <c r="AE3230" s="830">
        <v>60</v>
      </c>
      <c r="AF3230" s="830">
        <v>880</v>
      </c>
      <c r="AG3230" s="66">
        <f t="shared" si="124"/>
        <v>202.56666666666666</v>
      </c>
      <c r="AH3230" s="143">
        <f t="shared" si="125"/>
        <v>1000</v>
      </c>
    </row>
    <row r="3231" spans="1:34" s="90" customFormat="1" x14ac:dyDescent="0.3">
      <c r="A3231" s="826">
        <v>203174</v>
      </c>
      <c r="B3231" s="827">
        <v>1.25</v>
      </c>
      <c r="C3231" s="827"/>
      <c r="D3231" s="828">
        <v>8.3000000000000007</v>
      </c>
      <c r="E3231" s="1572">
        <v>0.245</v>
      </c>
      <c r="F3231" s="829">
        <v>269.5</v>
      </c>
      <c r="G3231" s="826"/>
      <c r="H3231" s="829">
        <v>23.58</v>
      </c>
      <c r="I3231" s="829">
        <v>244</v>
      </c>
      <c r="J3231" s="849">
        <v>0.20399999999999999</v>
      </c>
      <c r="K3231" s="827">
        <v>7.43</v>
      </c>
      <c r="L3231" s="826">
        <v>410</v>
      </c>
      <c r="M3231" s="826">
        <v>0.57999999999999996</v>
      </c>
      <c r="N3231" s="826">
        <v>0.81</v>
      </c>
      <c r="O3231" s="826">
        <v>4.1100000000000003</v>
      </c>
      <c r="P3231" s="826">
        <v>2.0099999999999998</v>
      </c>
      <c r="Q3231" s="826"/>
      <c r="R3231" s="828">
        <v>1.3441904429198799</v>
      </c>
      <c r="S3231" s="827">
        <v>9.94</v>
      </c>
      <c r="T3231" s="826"/>
      <c r="U3231" s="826"/>
      <c r="V3231" s="826"/>
      <c r="W3231" s="826"/>
      <c r="X3231" s="826"/>
      <c r="Y3231" s="827">
        <v>29.4</v>
      </c>
      <c r="Z3231" s="826"/>
      <c r="AA3231" s="828">
        <v>4.75</v>
      </c>
      <c r="AB3231" s="828">
        <v>0.42199999999999999</v>
      </c>
      <c r="AC3231" s="826">
        <v>6.8</v>
      </c>
      <c r="AD3231" s="830">
        <v>420</v>
      </c>
      <c r="AE3231" s="830">
        <v>280</v>
      </c>
      <c r="AF3231" s="830">
        <v>300</v>
      </c>
      <c r="AG3231" s="66">
        <f t="shared" si="124"/>
        <v>89.463265306122452</v>
      </c>
      <c r="AH3231" s="143">
        <f t="shared" si="125"/>
        <v>1000</v>
      </c>
    </row>
    <row r="3232" spans="1:34" s="90" customFormat="1" x14ac:dyDescent="0.3">
      <c r="A3232" s="826">
        <v>203175</v>
      </c>
      <c r="B3232" s="827">
        <v>14.708333333333332</v>
      </c>
      <c r="C3232" s="827">
        <v>9.3800000000000008</v>
      </c>
      <c r="D3232" s="828">
        <v>8.3000000000000007</v>
      </c>
      <c r="E3232" s="1572">
        <v>0.23799999999999999</v>
      </c>
      <c r="F3232" s="829">
        <v>261.8</v>
      </c>
      <c r="G3232" s="826"/>
      <c r="H3232" s="829">
        <v>73.11</v>
      </c>
      <c r="I3232" s="829">
        <v>99</v>
      </c>
      <c r="J3232" s="849">
        <v>0.17699999999999999</v>
      </c>
      <c r="K3232" s="827">
        <v>8.32</v>
      </c>
      <c r="L3232" s="826">
        <v>430</v>
      </c>
      <c r="M3232" s="826">
        <v>1.6</v>
      </c>
      <c r="N3232" s="826">
        <v>0.99</v>
      </c>
      <c r="O3232" s="826">
        <v>2.67</v>
      </c>
      <c r="P3232" s="826">
        <v>5.91</v>
      </c>
      <c r="Q3232" s="826"/>
      <c r="R3232" s="828">
        <v>1.70611913</v>
      </c>
      <c r="S3232" s="827">
        <v>13.79</v>
      </c>
      <c r="T3232" s="826"/>
      <c r="U3232" s="826"/>
      <c r="V3232" s="826"/>
      <c r="W3232" s="826"/>
      <c r="X3232" s="826"/>
      <c r="Y3232" s="827">
        <v>26.4</v>
      </c>
      <c r="Z3232" s="826"/>
      <c r="AA3232" s="828">
        <v>3.49</v>
      </c>
      <c r="AB3232" s="828">
        <v>0.64100000000000001</v>
      </c>
      <c r="AC3232" s="826">
        <v>7.7</v>
      </c>
      <c r="AD3232" s="830">
        <v>440</v>
      </c>
      <c r="AE3232" s="830">
        <v>260</v>
      </c>
      <c r="AF3232" s="830">
        <v>300</v>
      </c>
      <c r="AG3232" s="66">
        <f t="shared" si="124"/>
        <v>111.56363636363638</v>
      </c>
      <c r="AH3232" s="143">
        <f t="shared" si="125"/>
        <v>1000</v>
      </c>
    </row>
    <row r="3233" spans="1:34" s="90" customFormat="1" x14ac:dyDescent="0.3">
      <c r="A3233" s="826">
        <v>203176</v>
      </c>
      <c r="B3233" s="827">
        <v>1.1499999999999999</v>
      </c>
      <c r="C3233" s="827"/>
      <c r="D3233" s="828">
        <v>7.9</v>
      </c>
      <c r="E3233" s="1572">
        <v>0.70799999999999996</v>
      </c>
      <c r="F3233" s="829">
        <v>778.80000000000007</v>
      </c>
      <c r="G3233" s="826"/>
      <c r="H3233" s="829">
        <v>16.829999999999998</v>
      </c>
      <c r="I3233" s="829">
        <v>267</v>
      </c>
      <c r="J3233" s="849">
        <v>1.347</v>
      </c>
      <c r="K3233" s="827">
        <v>12.49</v>
      </c>
      <c r="L3233" s="826">
        <v>1330</v>
      </c>
      <c r="M3233" s="826">
        <v>0.59</v>
      </c>
      <c r="N3233" s="826">
        <v>0.78</v>
      </c>
      <c r="O3233" s="826">
        <v>2.7</v>
      </c>
      <c r="P3233" s="826">
        <v>2.95</v>
      </c>
      <c r="Q3233" s="826"/>
      <c r="R3233" s="828">
        <v>1.75182192</v>
      </c>
      <c r="S3233" s="827">
        <v>15.120000000000001</v>
      </c>
      <c r="T3233" s="826"/>
      <c r="U3233" s="826"/>
      <c r="V3233" s="826"/>
      <c r="W3233" s="826"/>
      <c r="X3233" s="826"/>
      <c r="Y3233" s="827">
        <v>36.6</v>
      </c>
      <c r="Z3233" s="826"/>
      <c r="AA3233" s="828">
        <v>4</v>
      </c>
      <c r="AB3233" s="828">
        <v>0.46100000000000002</v>
      </c>
      <c r="AC3233" s="826">
        <v>8.6999999999999993</v>
      </c>
      <c r="AD3233" s="830">
        <v>610</v>
      </c>
      <c r="AE3233" s="830">
        <v>290</v>
      </c>
      <c r="AF3233" s="830">
        <v>100</v>
      </c>
      <c r="AG3233" s="66">
        <f t="shared" si="124"/>
        <v>120.80491803278689</v>
      </c>
      <c r="AH3233" s="143">
        <f t="shared" si="125"/>
        <v>1000</v>
      </c>
    </row>
    <row r="3234" spans="1:34" s="90" customFormat="1" x14ac:dyDescent="0.3">
      <c r="A3234" s="826">
        <v>203177</v>
      </c>
      <c r="B3234" s="827">
        <v>7.0416666666666652</v>
      </c>
      <c r="C3234" s="827"/>
      <c r="D3234" s="828">
        <v>8.1999999999999993</v>
      </c>
      <c r="E3234" s="1572">
        <v>0.50800000000000001</v>
      </c>
      <c r="F3234" s="829">
        <v>558.80000000000007</v>
      </c>
      <c r="G3234" s="826"/>
      <c r="H3234" s="829">
        <v>3.07</v>
      </c>
      <c r="I3234" s="829">
        <v>119</v>
      </c>
      <c r="J3234" s="849">
        <v>0.84299999999999997</v>
      </c>
      <c r="K3234" s="827">
        <v>12.66</v>
      </c>
      <c r="L3234" s="826">
        <v>1780</v>
      </c>
      <c r="M3234" s="826">
        <v>0.17</v>
      </c>
      <c r="N3234" s="826">
        <v>0.5</v>
      </c>
      <c r="O3234" s="826">
        <v>1.64</v>
      </c>
      <c r="P3234" s="826">
        <v>3.04</v>
      </c>
      <c r="Q3234" s="826"/>
      <c r="R3234" s="828">
        <v>1.5951213200000001</v>
      </c>
      <c r="S3234" s="827">
        <v>10.82</v>
      </c>
      <c r="T3234" s="826"/>
      <c r="U3234" s="826"/>
      <c r="V3234" s="826"/>
      <c r="W3234" s="826"/>
      <c r="X3234" s="826"/>
      <c r="Y3234" s="827">
        <v>29</v>
      </c>
      <c r="Z3234" s="826"/>
      <c r="AA3234" s="828">
        <v>4.17</v>
      </c>
      <c r="AB3234" s="828">
        <v>0.41399999999999998</v>
      </c>
      <c r="AC3234" s="826">
        <v>11.1</v>
      </c>
      <c r="AD3234" s="830">
        <v>580</v>
      </c>
      <c r="AE3234" s="830">
        <v>310</v>
      </c>
      <c r="AF3234" s="830">
        <v>110</v>
      </c>
      <c r="AG3234" s="66">
        <f t="shared" si="124"/>
        <v>154.53931034482758</v>
      </c>
      <c r="AH3234" s="143">
        <f t="shared" si="125"/>
        <v>1000</v>
      </c>
    </row>
    <row r="3235" spans="1:34" s="90" customFormat="1" x14ac:dyDescent="0.3">
      <c r="A3235" s="826">
        <v>203178</v>
      </c>
      <c r="B3235" s="827">
        <v>44.5</v>
      </c>
      <c r="C3235" s="827">
        <v>15</v>
      </c>
      <c r="D3235" s="828">
        <v>8.1</v>
      </c>
      <c r="E3235" s="1572">
        <v>0.73099999999999998</v>
      </c>
      <c r="F3235" s="829">
        <v>804.1</v>
      </c>
      <c r="G3235" s="826"/>
      <c r="H3235" s="829">
        <v>1.98</v>
      </c>
      <c r="I3235" s="829">
        <v>92</v>
      </c>
      <c r="J3235" s="849">
        <v>0.69599999999999995</v>
      </c>
      <c r="K3235" s="827">
        <v>15.77</v>
      </c>
      <c r="L3235" s="826">
        <v>1230</v>
      </c>
      <c r="M3235" s="826">
        <v>0.17</v>
      </c>
      <c r="N3235" s="826">
        <v>0.3</v>
      </c>
      <c r="O3235" s="826">
        <v>0.98</v>
      </c>
      <c r="P3235" s="826">
        <v>2.15</v>
      </c>
      <c r="Q3235" s="826"/>
      <c r="R3235" s="828">
        <v>1.1675665847524492</v>
      </c>
      <c r="S3235" s="827">
        <v>8.56</v>
      </c>
      <c r="T3235" s="826"/>
      <c r="U3235" s="826"/>
      <c r="V3235" s="826"/>
      <c r="W3235" s="826"/>
      <c r="X3235" s="826"/>
      <c r="Y3235" s="827">
        <v>27</v>
      </c>
      <c r="Z3235" s="826"/>
      <c r="AA3235" s="828">
        <v>3.79</v>
      </c>
      <c r="AB3235" s="828">
        <v>0.72299999999999998</v>
      </c>
      <c r="AC3235" s="826">
        <v>10</v>
      </c>
      <c r="AD3235" s="830">
        <v>540</v>
      </c>
      <c r="AE3235" s="830">
        <v>320</v>
      </c>
      <c r="AF3235" s="830">
        <v>140</v>
      </c>
      <c r="AG3235" s="66">
        <f t="shared" si="124"/>
        <v>206.76222222222222</v>
      </c>
      <c r="AH3235" s="143">
        <f t="shared" si="125"/>
        <v>1000</v>
      </c>
    </row>
    <row r="3236" spans="1:34" s="90" customFormat="1" x14ac:dyDescent="0.3">
      <c r="A3236" s="826">
        <v>203179</v>
      </c>
      <c r="B3236" s="827">
        <v>2.1166666666666663</v>
      </c>
      <c r="C3236" s="827"/>
      <c r="D3236" s="828">
        <v>7.1</v>
      </c>
      <c r="E3236" s="1572">
        <v>0.40799999999999997</v>
      </c>
      <c r="F3236" s="829">
        <v>448.8</v>
      </c>
      <c r="G3236" s="826"/>
      <c r="H3236" s="829">
        <v>13.88</v>
      </c>
      <c r="I3236" s="829">
        <v>118</v>
      </c>
      <c r="J3236" s="849">
        <v>0.46600000000000003</v>
      </c>
      <c r="K3236" s="827">
        <v>7.27</v>
      </c>
      <c r="L3236" s="826">
        <v>1040</v>
      </c>
      <c r="M3236" s="826">
        <v>0.56999999999999995</v>
      </c>
      <c r="N3236" s="826">
        <v>0.41</v>
      </c>
      <c r="O3236" s="826">
        <v>2.73</v>
      </c>
      <c r="P3236" s="826">
        <v>6.76</v>
      </c>
      <c r="Q3236" s="826"/>
      <c r="R3236" s="828">
        <v>1.6208547200000001</v>
      </c>
      <c r="S3236" s="827">
        <v>11.479999999999999</v>
      </c>
      <c r="T3236" s="826"/>
      <c r="U3236" s="826"/>
      <c r="V3236" s="826"/>
      <c r="W3236" s="826"/>
      <c r="X3236" s="826"/>
      <c r="Y3236" s="827">
        <v>24</v>
      </c>
      <c r="Z3236" s="826"/>
      <c r="AA3236" s="828">
        <v>3.56</v>
      </c>
      <c r="AB3236" s="828">
        <v>0.30099999999999999</v>
      </c>
      <c r="AC3236" s="826">
        <v>9.8000000000000007</v>
      </c>
      <c r="AD3236" s="830">
        <v>480</v>
      </c>
      <c r="AE3236" s="830">
        <v>400</v>
      </c>
      <c r="AF3236" s="830">
        <v>120</v>
      </c>
      <c r="AG3236" s="66">
        <f t="shared" si="124"/>
        <v>107.2325</v>
      </c>
      <c r="AH3236" s="143">
        <f t="shared" si="125"/>
        <v>1000</v>
      </c>
    </row>
    <row r="3237" spans="1:34" s="90" customFormat="1" x14ac:dyDescent="0.3">
      <c r="A3237" s="826">
        <v>203180</v>
      </c>
      <c r="B3237" s="827">
        <v>41.166666666666671</v>
      </c>
      <c r="C3237" s="827">
        <v>17.25</v>
      </c>
      <c r="D3237" s="828">
        <v>8.1</v>
      </c>
      <c r="E3237" s="1572">
        <v>0.19800000000000001</v>
      </c>
      <c r="F3237" s="829">
        <v>217.8</v>
      </c>
      <c r="G3237" s="826"/>
      <c r="H3237" s="829">
        <v>23.07</v>
      </c>
      <c r="I3237" s="829">
        <v>72</v>
      </c>
      <c r="J3237" s="849">
        <v>5.8999999999999997E-2</v>
      </c>
      <c r="K3237" s="827">
        <v>10.34</v>
      </c>
      <c r="L3237" s="826">
        <v>170</v>
      </c>
      <c r="M3237" s="826">
        <v>0.25</v>
      </c>
      <c r="N3237" s="826">
        <v>0.1</v>
      </c>
      <c r="O3237" s="826">
        <v>1.25</v>
      </c>
      <c r="P3237" s="826">
        <v>2.29</v>
      </c>
      <c r="Q3237" s="826"/>
      <c r="R3237" s="828">
        <v>1.3607997043578348</v>
      </c>
      <c r="S3237" s="827">
        <v>9.16</v>
      </c>
      <c r="T3237" s="826"/>
      <c r="U3237" s="826"/>
      <c r="V3237" s="826"/>
      <c r="W3237" s="826"/>
      <c r="X3237" s="826"/>
      <c r="Y3237" s="827">
        <v>33.799999999999997</v>
      </c>
      <c r="Z3237" s="826"/>
      <c r="AA3237" s="828">
        <v>4.3899999999999997</v>
      </c>
      <c r="AB3237" s="828">
        <v>0.879</v>
      </c>
      <c r="AC3237" s="826">
        <v>6.2</v>
      </c>
      <c r="AD3237" s="830">
        <v>540</v>
      </c>
      <c r="AE3237" s="830">
        <v>340</v>
      </c>
      <c r="AF3237" s="830">
        <v>120</v>
      </c>
      <c r="AG3237" s="66">
        <f t="shared" si="124"/>
        <v>108.29467455621302</v>
      </c>
      <c r="AH3237" s="143">
        <f t="shared" si="125"/>
        <v>1000</v>
      </c>
    </row>
    <row r="3238" spans="1:34" s="90" customFormat="1" x14ac:dyDescent="0.3">
      <c r="A3238" s="826">
        <v>203181</v>
      </c>
      <c r="B3238" s="827">
        <v>0.13333333333333333</v>
      </c>
      <c r="C3238" s="827"/>
      <c r="D3238" s="828">
        <v>8.3000000000000007</v>
      </c>
      <c r="E3238" s="1572">
        <v>0.13800000000000001</v>
      </c>
      <c r="F3238" s="829">
        <v>151.80000000000001</v>
      </c>
      <c r="G3238" s="826"/>
      <c r="H3238" s="829">
        <v>11.89</v>
      </c>
      <c r="I3238" s="829">
        <v>132</v>
      </c>
      <c r="J3238" s="849">
        <v>0.29299999999999998</v>
      </c>
      <c r="K3238" s="827">
        <v>2.2999999999999998</v>
      </c>
      <c r="L3238" s="826">
        <v>310</v>
      </c>
      <c r="M3238" s="826">
        <v>0.16</v>
      </c>
      <c r="N3238" s="826">
        <v>0.66</v>
      </c>
      <c r="O3238" s="826">
        <v>7.39</v>
      </c>
      <c r="P3238" s="826">
        <v>7.51</v>
      </c>
      <c r="Q3238" s="826"/>
      <c r="R3238" s="828">
        <v>0.82992752603851616</v>
      </c>
      <c r="S3238" s="827">
        <v>6.02</v>
      </c>
      <c r="T3238" s="826"/>
      <c r="U3238" s="826"/>
      <c r="V3238" s="826"/>
      <c r="W3238" s="826"/>
      <c r="X3238" s="826"/>
      <c r="Y3238" s="827">
        <v>33.6</v>
      </c>
      <c r="Z3238" s="826"/>
      <c r="AA3238" s="828">
        <v>4.3</v>
      </c>
      <c r="AB3238" s="828">
        <v>0.65300000000000002</v>
      </c>
      <c r="AC3238" s="826">
        <v>7.2</v>
      </c>
      <c r="AD3238" s="830">
        <v>560</v>
      </c>
      <c r="AE3238" s="830">
        <v>310</v>
      </c>
      <c r="AF3238" s="830">
        <v>130</v>
      </c>
      <c r="AG3238" s="66">
        <f t="shared" si="124"/>
        <v>24.232142857142854</v>
      </c>
      <c r="AH3238" s="143">
        <f t="shared" si="125"/>
        <v>1000</v>
      </c>
    </row>
    <row r="3239" spans="1:34" s="90" customFormat="1" x14ac:dyDescent="0.3">
      <c r="A3239" s="826">
        <v>203182</v>
      </c>
      <c r="B3239" s="827">
        <v>49.166666666666664</v>
      </c>
      <c r="C3239" s="827">
        <v>17.25</v>
      </c>
      <c r="D3239" s="828">
        <v>8.1999999999999993</v>
      </c>
      <c r="E3239" s="1572">
        <v>0.28100000000000003</v>
      </c>
      <c r="F3239" s="829">
        <v>309.10000000000002</v>
      </c>
      <c r="G3239" s="826"/>
      <c r="H3239" s="829">
        <v>5.93</v>
      </c>
      <c r="I3239" s="829">
        <v>42</v>
      </c>
      <c r="J3239" s="849">
        <v>0.20499999999999999</v>
      </c>
      <c r="K3239" s="827">
        <v>9.4</v>
      </c>
      <c r="L3239" s="826">
        <v>80</v>
      </c>
      <c r="M3239" s="826">
        <v>0.13</v>
      </c>
      <c r="N3239" s="826">
        <v>0.1</v>
      </c>
      <c r="O3239" s="826">
        <v>2.17</v>
      </c>
      <c r="P3239" s="826">
        <v>2.38</v>
      </c>
      <c r="Q3239" s="826"/>
      <c r="R3239" s="828">
        <v>1.0019659747759289</v>
      </c>
      <c r="S3239" s="827">
        <v>6.93</v>
      </c>
      <c r="T3239" s="826"/>
      <c r="U3239" s="826"/>
      <c r="V3239" s="826"/>
      <c r="W3239" s="826"/>
      <c r="X3239" s="826"/>
      <c r="Y3239" s="827">
        <v>34.4</v>
      </c>
      <c r="Z3239" s="826"/>
      <c r="AA3239" s="828">
        <v>4.97</v>
      </c>
      <c r="AB3239" s="828">
        <v>0.80200000000000005</v>
      </c>
      <c r="AC3239" s="826">
        <v>8.5</v>
      </c>
      <c r="AD3239" s="830">
        <v>520</v>
      </c>
      <c r="AE3239" s="830">
        <v>320</v>
      </c>
      <c r="AF3239" s="830">
        <v>160</v>
      </c>
      <c r="AG3239" s="66">
        <f t="shared" si="124"/>
        <v>96.732558139534902</v>
      </c>
      <c r="AH3239" s="143">
        <f t="shared" si="125"/>
        <v>1000</v>
      </c>
    </row>
    <row r="3240" spans="1:34" s="90" customFormat="1" x14ac:dyDescent="0.3">
      <c r="A3240" s="826">
        <v>203183</v>
      </c>
      <c r="B3240" s="827">
        <v>10</v>
      </c>
      <c r="C3240" s="827">
        <v>3.63</v>
      </c>
      <c r="D3240" s="828">
        <v>7.7</v>
      </c>
      <c r="E3240" s="1572">
        <v>0.22</v>
      </c>
      <c r="F3240" s="829">
        <v>242.00000000000003</v>
      </c>
      <c r="G3240" s="826"/>
      <c r="H3240" s="829">
        <f>246.01*2</f>
        <v>492.02</v>
      </c>
      <c r="I3240" s="829">
        <v>665</v>
      </c>
      <c r="J3240" s="849">
        <v>1.4999999999999999E-2</v>
      </c>
      <c r="K3240" s="827">
        <v>6.88</v>
      </c>
      <c r="L3240" s="826">
        <v>1300</v>
      </c>
      <c r="M3240" s="826">
        <v>15.93</v>
      </c>
      <c r="N3240" s="826">
        <v>13.86</v>
      </c>
      <c r="O3240" s="826">
        <v>7.51</v>
      </c>
      <c r="P3240" s="826">
        <v>19.760000000000002</v>
      </c>
      <c r="Q3240" s="826"/>
      <c r="R3240" s="828">
        <v>2.0426724800000002</v>
      </c>
      <c r="S3240" s="827">
        <v>51.44</v>
      </c>
      <c r="T3240" s="826"/>
      <c r="U3240" s="826"/>
      <c r="V3240" s="826"/>
      <c r="W3240" s="826"/>
      <c r="X3240" s="826"/>
      <c r="Y3240" s="827">
        <v>25</v>
      </c>
      <c r="Z3240" s="826"/>
      <c r="AA3240" s="828">
        <v>4.59</v>
      </c>
      <c r="AB3240" s="828">
        <v>0.89700000000000002</v>
      </c>
      <c r="AC3240" s="826">
        <v>6.3</v>
      </c>
      <c r="AD3240" s="830"/>
      <c r="AE3240" s="830"/>
      <c r="AF3240" s="830"/>
      <c r="AG3240" s="66">
        <f t="shared" si="124"/>
        <v>97.4208</v>
      </c>
      <c r="AH3240" s="143">
        <f t="shared" si="125"/>
        <v>0</v>
      </c>
    </row>
    <row r="3241" spans="1:34" s="90" customFormat="1" x14ac:dyDescent="0.3">
      <c r="A3241" s="826">
        <v>203184</v>
      </c>
      <c r="B3241" s="827">
        <v>16.583333333333332</v>
      </c>
      <c r="C3241" s="827">
        <v>4.13</v>
      </c>
      <c r="D3241" s="828">
        <v>7.5</v>
      </c>
      <c r="E3241" s="1572">
        <v>0.30299999999999999</v>
      </c>
      <c r="F3241" s="829">
        <v>333.30000000000007</v>
      </c>
      <c r="G3241" s="826"/>
      <c r="H3241" s="829">
        <f>255.43*2</f>
        <v>510.86</v>
      </c>
      <c r="I3241" s="829">
        <v>588</v>
      </c>
      <c r="J3241" s="849">
        <v>6.0000000000000001E-3</v>
      </c>
      <c r="K3241" s="827">
        <v>7.68</v>
      </c>
      <c r="L3241" s="826">
        <v>1550</v>
      </c>
      <c r="M3241" s="826">
        <v>11.43</v>
      </c>
      <c r="N3241" s="826">
        <v>10.16</v>
      </c>
      <c r="O3241" s="826">
        <v>6.02</v>
      </c>
      <c r="P3241" s="826">
        <v>16.010000000000002</v>
      </c>
      <c r="Q3241" s="826"/>
      <c r="R3241" s="828">
        <v>2.0717532800000003</v>
      </c>
      <c r="S3241" s="827">
        <v>49.64</v>
      </c>
      <c r="T3241" s="826"/>
      <c r="U3241" s="826"/>
      <c r="V3241" s="826"/>
      <c r="W3241" s="826"/>
      <c r="X3241" s="826"/>
      <c r="Y3241" s="827">
        <v>32.4</v>
      </c>
      <c r="Z3241" s="826"/>
      <c r="AA3241" s="828">
        <v>4.93</v>
      </c>
      <c r="AB3241" s="828">
        <v>0.52500000000000002</v>
      </c>
      <c r="AC3241" s="826">
        <v>9.8000000000000007</v>
      </c>
      <c r="AD3241" s="830"/>
      <c r="AE3241" s="830"/>
      <c r="AF3241" s="830"/>
      <c r="AG3241" s="66">
        <f t="shared" si="124"/>
        <v>83.911111111111126</v>
      </c>
      <c r="AH3241" s="143">
        <f t="shared" si="125"/>
        <v>0</v>
      </c>
    </row>
    <row r="3242" spans="1:34" s="90" customFormat="1" x14ac:dyDescent="0.3">
      <c r="A3242" s="826">
        <v>203185</v>
      </c>
      <c r="B3242" s="827">
        <v>22.499999999999996</v>
      </c>
      <c r="C3242" s="827">
        <v>4</v>
      </c>
      <c r="D3242" s="828">
        <v>7.8</v>
      </c>
      <c r="E3242" s="1572">
        <v>0.11700000000000001</v>
      </c>
      <c r="F3242" s="829">
        <v>128.70000000000002</v>
      </c>
      <c r="G3242" s="826"/>
      <c r="H3242" s="829">
        <v>80.86</v>
      </c>
      <c r="I3242" s="829">
        <v>678</v>
      </c>
      <c r="J3242" s="849">
        <v>1.4999999999999999E-2</v>
      </c>
      <c r="K3242" s="827">
        <v>4.82</v>
      </c>
      <c r="L3242" s="826">
        <v>1420</v>
      </c>
      <c r="M3242" s="826">
        <v>3.67</v>
      </c>
      <c r="N3242" s="826">
        <v>4.03</v>
      </c>
      <c r="O3242" s="826">
        <v>6.41</v>
      </c>
      <c r="P3242" s="826">
        <v>10.72</v>
      </c>
      <c r="Q3242" s="826"/>
      <c r="R3242" s="828">
        <v>2.0327000000000002</v>
      </c>
      <c r="S3242" s="827">
        <v>26</v>
      </c>
      <c r="T3242" s="826"/>
      <c r="U3242" s="826"/>
      <c r="V3242" s="826"/>
      <c r="W3242" s="826"/>
      <c r="X3242" s="826"/>
      <c r="Y3242" s="827">
        <v>28</v>
      </c>
      <c r="Z3242" s="826"/>
      <c r="AA3242" s="828">
        <v>3.8</v>
      </c>
      <c r="AB3242" s="828">
        <v>0.76400000000000001</v>
      </c>
      <c r="AC3242" s="826">
        <v>10.6</v>
      </c>
      <c r="AD3242" s="830"/>
      <c r="AE3242" s="830"/>
      <c r="AF3242" s="830"/>
      <c r="AG3242" s="66">
        <f t="shared" si="124"/>
        <v>60.938571428571436</v>
      </c>
      <c r="AH3242" s="143">
        <f t="shared" si="125"/>
        <v>0</v>
      </c>
    </row>
    <row r="3243" spans="1:34" s="90" customFormat="1" x14ac:dyDescent="0.3">
      <c r="A3243" s="826">
        <v>203186</v>
      </c>
      <c r="B3243" s="827">
        <v>15.25</v>
      </c>
      <c r="C3243" s="827">
        <v>3.5</v>
      </c>
      <c r="D3243" s="828">
        <v>7.5</v>
      </c>
      <c r="E3243" s="1572">
        <v>0.13100000000000001</v>
      </c>
      <c r="F3243" s="829">
        <v>144.1</v>
      </c>
      <c r="G3243" s="826"/>
      <c r="H3243" s="829">
        <v>76.25</v>
      </c>
      <c r="I3243" s="829">
        <v>495</v>
      </c>
      <c r="J3243" s="849">
        <v>2.5000000000000001E-2</v>
      </c>
      <c r="K3243" s="827">
        <v>4.59</v>
      </c>
      <c r="L3243" s="826">
        <v>1330</v>
      </c>
      <c r="M3243" s="826">
        <v>3.46</v>
      </c>
      <c r="N3243" s="826">
        <v>4.58</v>
      </c>
      <c r="O3243" s="826">
        <v>7.14</v>
      </c>
      <c r="P3243" s="826">
        <v>7.56</v>
      </c>
      <c r="Q3243" s="826"/>
      <c r="R3243" s="828">
        <v>2.0288471299999999</v>
      </c>
      <c r="S3243" s="827">
        <v>25.790000000000003</v>
      </c>
      <c r="T3243" s="826"/>
      <c r="U3243" s="826"/>
      <c r="V3243" s="826"/>
      <c r="W3243" s="826"/>
      <c r="X3243" s="826"/>
      <c r="Y3243" s="827">
        <v>27</v>
      </c>
      <c r="Z3243" s="826"/>
      <c r="AA3243" s="828">
        <v>4.0599999999999996</v>
      </c>
      <c r="AB3243" s="828">
        <v>0.47299999999999998</v>
      </c>
      <c r="AC3243" s="826">
        <v>11.7</v>
      </c>
      <c r="AD3243" s="830"/>
      <c r="AE3243" s="830"/>
      <c r="AF3243" s="830"/>
      <c r="AG3243" s="66">
        <f t="shared" si="124"/>
        <v>60.18</v>
      </c>
      <c r="AH3243" s="143">
        <f t="shared" si="125"/>
        <v>0</v>
      </c>
    </row>
    <row r="3244" spans="1:34" s="90" customFormat="1" x14ac:dyDescent="0.3">
      <c r="A3244" s="826">
        <v>203187</v>
      </c>
      <c r="B3244" s="827">
        <v>12.916666666666668</v>
      </c>
      <c r="C3244" s="827">
        <v>3.5</v>
      </c>
      <c r="D3244" s="828">
        <v>7.8</v>
      </c>
      <c r="E3244" s="1572">
        <v>0.108</v>
      </c>
      <c r="F3244" s="829">
        <v>118.8</v>
      </c>
      <c r="G3244" s="826"/>
      <c r="H3244" s="829">
        <v>24.73</v>
      </c>
      <c r="I3244" s="829">
        <v>213</v>
      </c>
      <c r="J3244" s="849">
        <v>1.7000000000000001E-2</v>
      </c>
      <c r="K3244" s="827">
        <v>4.8899999999999997</v>
      </c>
      <c r="L3244" s="826">
        <v>1160</v>
      </c>
      <c r="M3244" s="826">
        <v>1.1399999999999999</v>
      </c>
      <c r="N3244" s="826">
        <v>2.89</v>
      </c>
      <c r="O3244" s="826">
        <v>6.82</v>
      </c>
      <c r="P3244" s="826">
        <v>6.14</v>
      </c>
      <c r="Q3244" s="826"/>
      <c r="R3244" s="828">
        <v>1.5832227200000002</v>
      </c>
      <c r="S3244" s="827">
        <v>10.52</v>
      </c>
      <c r="T3244" s="826"/>
      <c r="U3244" s="826"/>
      <c r="V3244" s="826"/>
      <c r="W3244" s="826"/>
      <c r="X3244" s="826"/>
      <c r="Y3244" s="827">
        <v>34.9</v>
      </c>
      <c r="Z3244" s="826"/>
      <c r="AA3244" s="828">
        <v>4.88</v>
      </c>
      <c r="AB3244" s="828">
        <v>0.63200000000000001</v>
      </c>
      <c r="AC3244" s="826">
        <v>10.6</v>
      </c>
      <c r="AD3244" s="830"/>
      <c r="AE3244" s="830"/>
      <c r="AF3244" s="830"/>
      <c r="AG3244" s="66">
        <f t="shared" si="124"/>
        <v>49.600573065902573</v>
      </c>
      <c r="AH3244" s="143">
        <f t="shared" si="125"/>
        <v>0</v>
      </c>
    </row>
    <row r="3245" spans="1:34" s="90" customFormat="1" x14ac:dyDescent="0.3">
      <c r="A3245" s="826">
        <v>203188</v>
      </c>
      <c r="B3245" s="827">
        <v>13.749999999999998</v>
      </c>
      <c r="C3245" s="827">
        <v>3.25</v>
      </c>
      <c r="D3245" s="828">
        <v>8</v>
      </c>
      <c r="E3245" s="1572">
        <v>9.7000000000000003E-2</v>
      </c>
      <c r="F3245" s="829">
        <v>106.70000000000002</v>
      </c>
      <c r="G3245" s="826"/>
      <c r="H3245" s="829">
        <v>9.75</v>
      </c>
      <c r="I3245" s="829">
        <v>73</v>
      </c>
      <c r="J3245" s="849">
        <v>3.4000000000000002E-2</v>
      </c>
      <c r="K3245" s="827">
        <v>2.63</v>
      </c>
      <c r="L3245" s="826">
        <v>620</v>
      </c>
      <c r="M3245" s="826">
        <v>0.64</v>
      </c>
      <c r="N3245" s="826">
        <v>1.7</v>
      </c>
      <c r="O3245" s="826">
        <v>7.98</v>
      </c>
      <c r="P3245" s="826">
        <v>5.0999999999999996</v>
      </c>
      <c r="Q3245" s="826"/>
      <c r="R3245" s="828">
        <v>1.0317427255186429</v>
      </c>
      <c r="S3245" s="827">
        <v>6.9899999999999993</v>
      </c>
      <c r="T3245" s="826"/>
      <c r="U3245" s="826"/>
      <c r="V3245" s="826"/>
      <c r="W3245" s="826"/>
      <c r="X3245" s="826"/>
      <c r="Y3245" s="827">
        <v>22</v>
      </c>
      <c r="Z3245" s="826"/>
      <c r="AA3245" s="828">
        <v>3.8</v>
      </c>
      <c r="AB3245" s="828">
        <v>0.79600000000000004</v>
      </c>
      <c r="AC3245" s="826">
        <v>7.7</v>
      </c>
      <c r="AD3245" s="830"/>
      <c r="AE3245" s="830"/>
      <c r="AF3245" s="830"/>
      <c r="AG3245" s="66">
        <f t="shared" si="124"/>
        <v>42.31909090909091</v>
      </c>
      <c r="AH3245" s="143">
        <f t="shared" si="125"/>
        <v>0</v>
      </c>
    </row>
    <row r="3246" spans="1:34" s="90" customFormat="1" x14ac:dyDescent="0.3">
      <c r="A3246" s="826">
        <v>203189</v>
      </c>
      <c r="B3246" s="827">
        <v>10.583333333333332</v>
      </c>
      <c r="C3246" s="827">
        <v>4.13</v>
      </c>
      <c r="D3246" s="828">
        <v>7.8</v>
      </c>
      <c r="E3246" s="1572">
        <v>0.182</v>
      </c>
      <c r="F3246" s="829">
        <v>200.20000000000002</v>
      </c>
      <c r="G3246" s="826"/>
      <c r="H3246" s="829">
        <v>371.28</v>
      </c>
      <c r="I3246" s="829">
        <v>639</v>
      </c>
      <c r="J3246" s="849">
        <v>3.3000000000000002E-2</v>
      </c>
      <c r="K3246" s="827">
        <v>5.26</v>
      </c>
      <c r="L3246" s="826">
        <v>1310</v>
      </c>
      <c r="M3246" s="826">
        <v>3.05</v>
      </c>
      <c r="N3246" s="826">
        <v>3.34</v>
      </c>
      <c r="O3246" s="826">
        <v>10.93</v>
      </c>
      <c r="P3246" s="826">
        <v>11.72</v>
      </c>
      <c r="Q3246" s="826"/>
      <c r="R3246" s="828">
        <v>1.8980339300000002</v>
      </c>
      <c r="S3246" s="827">
        <v>19.990000000000002</v>
      </c>
      <c r="T3246" s="826"/>
      <c r="U3246" s="826"/>
      <c r="V3246" s="826"/>
      <c r="W3246" s="826"/>
      <c r="X3246" s="826"/>
      <c r="Y3246" s="827">
        <v>28.2</v>
      </c>
      <c r="Z3246" s="826"/>
      <c r="AA3246" s="828">
        <v>4</v>
      </c>
      <c r="AB3246" s="828">
        <v>0.85599999999999998</v>
      </c>
      <c r="AC3246" s="826">
        <v>8.8000000000000007</v>
      </c>
      <c r="AD3246" s="830"/>
      <c r="AE3246" s="830"/>
      <c r="AF3246" s="830"/>
      <c r="AG3246" s="66">
        <f t="shared" si="124"/>
        <v>66.029787234042558</v>
      </c>
      <c r="AH3246" s="143">
        <f t="shared" si="125"/>
        <v>0</v>
      </c>
    </row>
    <row r="3247" spans="1:34" s="90" customFormat="1" x14ac:dyDescent="0.3">
      <c r="A3247" s="826">
        <v>203190</v>
      </c>
      <c r="B3247" s="827">
        <v>17.5</v>
      </c>
      <c r="C3247" s="827">
        <v>3.88</v>
      </c>
      <c r="D3247" s="828">
        <v>7.9</v>
      </c>
      <c r="E3247" s="1572">
        <v>0.153</v>
      </c>
      <c r="F3247" s="829">
        <v>168.3</v>
      </c>
      <c r="G3247" s="826"/>
      <c r="H3247" s="829">
        <v>178.44</v>
      </c>
      <c r="I3247" s="829">
        <v>329</v>
      </c>
      <c r="J3247" s="849">
        <v>3.5999999999999997E-2</v>
      </c>
      <c r="K3247" s="827">
        <v>4.22</v>
      </c>
      <c r="L3247" s="826">
        <v>1010</v>
      </c>
      <c r="M3247" s="826">
        <v>1.28</v>
      </c>
      <c r="N3247" s="826">
        <v>1.92</v>
      </c>
      <c r="O3247" s="826">
        <v>6.7</v>
      </c>
      <c r="P3247" s="826">
        <v>8.8800000000000008</v>
      </c>
      <c r="Q3247" s="826"/>
      <c r="R3247" s="828">
        <v>1.63994372</v>
      </c>
      <c r="S3247" s="827">
        <v>11.98</v>
      </c>
      <c r="T3247" s="826"/>
      <c r="U3247" s="826"/>
      <c r="V3247" s="826"/>
      <c r="W3247" s="826"/>
      <c r="X3247" s="826"/>
      <c r="Y3247" s="827">
        <v>20</v>
      </c>
      <c r="Z3247" s="826"/>
      <c r="AA3247" s="828">
        <v>4.47</v>
      </c>
      <c r="AB3247" s="828">
        <v>0.49299999999999999</v>
      </c>
      <c r="AC3247" s="826">
        <v>9.3000000000000007</v>
      </c>
      <c r="AD3247" s="830"/>
      <c r="AE3247" s="830"/>
      <c r="AF3247" s="830"/>
      <c r="AG3247" s="66">
        <f t="shared" si="124"/>
        <v>74.693999999999988</v>
      </c>
      <c r="AH3247" s="143">
        <f t="shared" si="125"/>
        <v>0</v>
      </c>
    </row>
    <row r="3248" spans="1:34" s="90" customFormat="1" x14ac:dyDescent="0.3">
      <c r="A3248" s="826">
        <v>203191</v>
      </c>
      <c r="B3248" s="827">
        <v>26.666666666666668</v>
      </c>
      <c r="C3248" s="827">
        <v>12.25</v>
      </c>
      <c r="D3248" s="828">
        <v>8.1</v>
      </c>
      <c r="E3248" s="1572">
        <v>0.19700000000000001</v>
      </c>
      <c r="F3248" s="829">
        <v>216.70000000000005</v>
      </c>
      <c r="G3248" s="826"/>
      <c r="H3248" s="829">
        <v>55.58</v>
      </c>
      <c r="I3248" s="829">
        <v>331</v>
      </c>
      <c r="J3248" s="849">
        <v>0.17100000000000001</v>
      </c>
      <c r="K3248" s="827">
        <v>10.9</v>
      </c>
      <c r="L3248" s="826">
        <v>780</v>
      </c>
      <c r="M3248" s="826">
        <v>0.95</v>
      </c>
      <c r="N3248" s="826">
        <v>1.97</v>
      </c>
      <c r="O3248" s="826">
        <v>4.2699999999999996</v>
      </c>
      <c r="P3248" s="826">
        <v>3.96</v>
      </c>
      <c r="Q3248" s="826"/>
      <c r="R3248" s="828">
        <v>1.82259108</v>
      </c>
      <c r="S3248" s="827">
        <v>17.34</v>
      </c>
      <c r="T3248" s="826"/>
      <c r="U3248" s="826"/>
      <c r="V3248" s="826"/>
      <c r="W3248" s="826"/>
      <c r="X3248" s="826"/>
      <c r="Y3248" s="827">
        <v>32.4</v>
      </c>
      <c r="Z3248" s="826"/>
      <c r="AA3248" s="828">
        <v>4.3</v>
      </c>
      <c r="AB3248" s="828">
        <v>0.84599999999999997</v>
      </c>
      <c r="AC3248" s="826">
        <v>7.3</v>
      </c>
      <c r="AD3248" s="830"/>
      <c r="AE3248" s="830"/>
      <c r="AF3248" s="830"/>
      <c r="AG3248" s="66">
        <f t="shared" si="124"/>
        <v>119.0925925925926</v>
      </c>
      <c r="AH3248" s="143">
        <f t="shared" si="125"/>
        <v>0</v>
      </c>
    </row>
    <row r="3249" spans="1:34" s="90" customFormat="1" x14ac:dyDescent="0.3">
      <c r="A3249" s="826">
        <v>203192</v>
      </c>
      <c r="B3249" s="827">
        <v>20.166666666666664</v>
      </c>
      <c r="C3249" s="827">
        <v>9.75</v>
      </c>
      <c r="D3249" s="828">
        <v>8</v>
      </c>
      <c r="E3249" s="1572">
        <v>0.26500000000000001</v>
      </c>
      <c r="F3249" s="829">
        <v>291.50000000000006</v>
      </c>
      <c r="G3249" s="826"/>
      <c r="H3249" s="829">
        <v>107.23</v>
      </c>
      <c r="I3249" s="829">
        <v>570</v>
      </c>
      <c r="J3249" s="849">
        <v>0.216</v>
      </c>
      <c r="K3249" s="827">
        <v>11.06</v>
      </c>
      <c r="L3249" s="826">
        <v>560</v>
      </c>
      <c r="M3249" s="826">
        <v>0.95</v>
      </c>
      <c r="N3249" s="826">
        <v>1.6</v>
      </c>
      <c r="O3249" s="826">
        <v>6.03</v>
      </c>
      <c r="P3249" s="826">
        <v>3.72</v>
      </c>
      <c r="Q3249" s="826"/>
      <c r="R3249" s="828">
        <v>1.8253145700000002</v>
      </c>
      <c r="S3249" s="827">
        <v>17.43</v>
      </c>
      <c r="T3249" s="826"/>
      <c r="U3249" s="826"/>
      <c r="V3249" s="826"/>
      <c r="W3249" s="826"/>
      <c r="X3249" s="826"/>
      <c r="Y3249" s="827">
        <v>34.200000000000003</v>
      </c>
      <c r="Z3249" s="826"/>
      <c r="AA3249" s="828">
        <v>3.96</v>
      </c>
      <c r="AB3249" s="828">
        <v>0.86599999999999999</v>
      </c>
      <c r="AC3249" s="826">
        <v>9.8000000000000007</v>
      </c>
      <c r="AD3249" s="830"/>
      <c r="AE3249" s="830"/>
      <c r="AF3249" s="830"/>
      <c r="AG3249" s="66">
        <f t="shared" si="124"/>
        <v>114.48070175438595</v>
      </c>
      <c r="AH3249" s="143">
        <f t="shared" si="125"/>
        <v>0</v>
      </c>
    </row>
    <row r="3250" spans="1:34" s="90" customFormat="1" x14ac:dyDescent="0.3">
      <c r="A3250" s="826">
        <v>203193</v>
      </c>
      <c r="B3250" s="827">
        <v>1.4166666666666665</v>
      </c>
      <c r="C3250" s="827"/>
      <c r="D3250" s="828">
        <v>7.9</v>
      </c>
      <c r="E3250" s="1572">
        <v>0.16400000000000001</v>
      </c>
      <c r="F3250" s="829">
        <v>180.40000000000003</v>
      </c>
      <c r="G3250" s="826"/>
      <c r="H3250" s="829">
        <v>35.25</v>
      </c>
      <c r="I3250" s="829">
        <v>407</v>
      </c>
      <c r="J3250" s="849">
        <v>1.4E-2</v>
      </c>
      <c r="K3250" s="827">
        <v>5.33</v>
      </c>
      <c r="L3250" s="826">
        <v>1460</v>
      </c>
      <c r="M3250" s="826">
        <v>2.37</v>
      </c>
      <c r="N3250" s="826">
        <v>3.38</v>
      </c>
      <c r="O3250" s="826">
        <v>11.78</v>
      </c>
      <c r="P3250" s="826">
        <v>10.55</v>
      </c>
      <c r="Q3250" s="826"/>
      <c r="R3250" s="828">
        <v>2.1348720000000005</v>
      </c>
      <c r="S3250" s="827">
        <v>34.200000000000003</v>
      </c>
      <c r="T3250" s="826"/>
      <c r="U3250" s="826"/>
      <c r="V3250" s="826"/>
      <c r="W3250" s="826"/>
      <c r="X3250" s="826"/>
      <c r="Y3250" s="827">
        <v>34.5</v>
      </c>
      <c r="Z3250" s="826"/>
      <c r="AA3250" s="828">
        <v>4.03</v>
      </c>
      <c r="AB3250" s="828">
        <v>0.40400000000000003</v>
      </c>
      <c r="AC3250" s="826">
        <v>8.9</v>
      </c>
      <c r="AD3250" s="830">
        <v>550</v>
      </c>
      <c r="AE3250" s="830">
        <v>320</v>
      </c>
      <c r="AF3250" s="830">
        <v>130</v>
      </c>
      <c r="AG3250" s="66">
        <f t="shared" si="124"/>
        <v>54.690434782608698</v>
      </c>
      <c r="AH3250" s="143">
        <f t="shared" si="125"/>
        <v>1000</v>
      </c>
    </row>
    <row r="3251" spans="1:34" s="90" customFormat="1" x14ac:dyDescent="0.3">
      <c r="A3251" s="826">
        <v>203194</v>
      </c>
      <c r="B3251" s="827">
        <v>23.833333333333336</v>
      </c>
      <c r="C3251" s="827">
        <v>4</v>
      </c>
      <c r="D3251" s="828">
        <v>8</v>
      </c>
      <c r="E3251" s="1572">
        <v>0.13400000000000001</v>
      </c>
      <c r="F3251" s="829">
        <v>147.40000000000003</v>
      </c>
      <c r="G3251" s="826"/>
      <c r="H3251" s="829">
        <v>6.06</v>
      </c>
      <c r="I3251" s="829">
        <v>53</v>
      </c>
      <c r="J3251" s="849">
        <v>2.9000000000000001E-2</v>
      </c>
      <c r="K3251" s="827">
        <v>2.19</v>
      </c>
      <c r="L3251" s="826">
        <v>120</v>
      </c>
      <c r="M3251" s="826">
        <v>1.04</v>
      </c>
      <c r="N3251" s="826">
        <v>1.66</v>
      </c>
      <c r="O3251" s="826">
        <v>8.32</v>
      </c>
      <c r="P3251" s="826">
        <v>7</v>
      </c>
      <c r="Q3251" s="826"/>
      <c r="R3251" s="828">
        <v>1.9309529700000001</v>
      </c>
      <c r="S3251" s="827">
        <v>21.269999999999996</v>
      </c>
      <c r="T3251" s="826"/>
      <c r="U3251" s="826"/>
      <c r="V3251" s="826"/>
      <c r="W3251" s="826"/>
      <c r="X3251" s="826"/>
      <c r="Y3251" s="827">
        <v>32.4</v>
      </c>
      <c r="Z3251" s="826"/>
      <c r="AA3251" s="828">
        <v>4.1500000000000004</v>
      </c>
      <c r="AB3251" s="828">
        <v>0.58499999999999996</v>
      </c>
      <c r="AC3251" s="826">
        <v>7.6</v>
      </c>
      <c r="AD3251" s="830">
        <v>540</v>
      </c>
      <c r="AE3251" s="830">
        <v>320</v>
      </c>
      <c r="AF3251" s="830">
        <v>140</v>
      </c>
      <c r="AG3251" s="66">
        <f t="shared" si="124"/>
        <v>23.927777777777777</v>
      </c>
      <c r="AH3251" s="143">
        <f t="shared" si="125"/>
        <v>1000</v>
      </c>
    </row>
    <row r="3252" spans="1:34" s="90" customFormat="1" x14ac:dyDescent="0.3">
      <c r="A3252" s="818">
        <v>203195</v>
      </c>
      <c r="B3252" s="819">
        <v>2.083333333333333</v>
      </c>
      <c r="C3252" s="819"/>
      <c r="D3252" s="820">
        <v>7.608695652173914</v>
      </c>
      <c r="E3252" s="1571">
        <v>0.13</v>
      </c>
      <c r="F3252" s="821">
        <v>143.00000000000003</v>
      </c>
      <c r="G3252" s="818"/>
      <c r="H3252" s="821">
        <v>32.67</v>
      </c>
      <c r="I3252" s="1339">
        <v>307</v>
      </c>
      <c r="J3252" s="822">
        <v>5.1999999999999998E-2</v>
      </c>
      <c r="K3252" s="819">
        <v>7.97</v>
      </c>
      <c r="L3252" s="818">
        <v>1300</v>
      </c>
      <c r="M3252" s="1061">
        <v>0.75</v>
      </c>
      <c r="N3252" s="1061">
        <v>1.58</v>
      </c>
      <c r="O3252" s="1061">
        <v>5.75</v>
      </c>
      <c r="P3252" s="1061">
        <v>5.52</v>
      </c>
      <c r="Q3252" s="818"/>
      <c r="R3252" s="820">
        <v>1.76606825</v>
      </c>
      <c r="S3252" s="819">
        <v>15.549999999999999</v>
      </c>
      <c r="T3252" s="818"/>
      <c r="U3252" s="818"/>
      <c r="V3252" s="818"/>
      <c r="W3252" s="818"/>
      <c r="X3252" s="1340"/>
      <c r="Y3252" s="819">
        <v>34.4</v>
      </c>
      <c r="Z3252" s="818"/>
      <c r="AA3252" s="820">
        <v>3.62</v>
      </c>
      <c r="AB3252" s="820">
        <v>0.39700000000000002</v>
      </c>
      <c r="AC3252" s="818">
        <v>8.6999999999999993</v>
      </c>
      <c r="AD3252" s="824">
        <v>520</v>
      </c>
      <c r="AE3252" s="824">
        <v>320</v>
      </c>
      <c r="AF3252" s="824">
        <v>160</v>
      </c>
      <c r="AG3252" s="66">
        <f t="shared" si="124"/>
        <v>82.016860465116281</v>
      </c>
      <c r="AH3252" s="143">
        <f t="shared" si="125"/>
        <v>1000</v>
      </c>
    </row>
    <row r="3253" spans="1:34" s="90" customFormat="1" x14ac:dyDescent="0.3">
      <c r="A3253" s="818">
        <v>203196</v>
      </c>
      <c r="B3253" s="819">
        <v>4.958333333333333</v>
      </c>
      <c r="C3253" s="819"/>
      <c r="D3253" s="820">
        <v>7.6173913043478265</v>
      </c>
      <c r="E3253" s="1571">
        <v>0.126</v>
      </c>
      <c r="F3253" s="821">
        <v>138.6</v>
      </c>
      <c r="G3253" s="818"/>
      <c r="H3253" s="821">
        <v>27.72</v>
      </c>
      <c r="I3253" s="1339">
        <v>286</v>
      </c>
      <c r="J3253" s="822">
        <v>5.3999999999999999E-2</v>
      </c>
      <c r="K3253" s="819">
        <v>9.59</v>
      </c>
      <c r="L3253" s="818">
        <v>925</v>
      </c>
      <c r="M3253" s="1061">
        <v>0.35</v>
      </c>
      <c r="N3253" s="1061">
        <v>1.55</v>
      </c>
      <c r="O3253" s="1061">
        <v>6.56</v>
      </c>
      <c r="P3253" s="1061">
        <v>5.52</v>
      </c>
      <c r="Q3253" s="818"/>
      <c r="R3253" s="820">
        <v>1.8128157200000001</v>
      </c>
      <c r="S3253" s="819">
        <v>17.02</v>
      </c>
      <c r="T3253" s="818"/>
      <c r="U3253" s="818"/>
      <c r="V3253" s="818"/>
      <c r="W3253" s="818"/>
      <c r="X3253" s="1341"/>
      <c r="Y3253" s="819">
        <v>31.8</v>
      </c>
      <c r="Z3253" s="818"/>
      <c r="AA3253" s="820">
        <v>4.62</v>
      </c>
      <c r="AB3253" s="820">
        <v>0.56999999999999995</v>
      </c>
      <c r="AC3253" s="818">
        <v>8.4</v>
      </c>
      <c r="AD3253" s="824">
        <v>530</v>
      </c>
      <c r="AE3253" s="824">
        <v>320</v>
      </c>
      <c r="AF3253" s="824">
        <v>150</v>
      </c>
      <c r="AG3253" s="66">
        <f t="shared" si="124"/>
        <v>106.7566037735849</v>
      </c>
      <c r="AH3253" s="143">
        <f t="shared" si="125"/>
        <v>1000</v>
      </c>
    </row>
    <row r="3254" spans="1:34" s="90" customFormat="1" x14ac:dyDescent="0.3">
      <c r="A3254" s="818">
        <v>203197</v>
      </c>
      <c r="B3254" s="819">
        <v>24.666666666666668</v>
      </c>
      <c r="C3254" s="819">
        <v>12.249999999999998</v>
      </c>
      <c r="D3254" s="820">
        <v>7.6173913043478265</v>
      </c>
      <c r="E3254" s="1571">
        <v>0.219</v>
      </c>
      <c r="F3254" s="821">
        <v>240.90000000000003</v>
      </c>
      <c r="G3254" s="818"/>
      <c r="H3254" s="821">
        <v>5.75</v>
      </c>
      <c r="I3254" s="1339">
        <v>195</v>
      </c>
      <c r="J3254" s="822">
        <v>7.3999999999999996E-2</v>
      </c>
      <c r="K3254" s="819">
        <v>8.5399999999999991</v>
      </c>
      <c r="L3254" s="818">
        <v>957</v>
      </c>
      <c r="M3254" s="1061">
        <v>0.42</v>
      </c>
      <c r="N3254" s="1061">
        <v>0.84</v>
      </c>
      <c r="O3254" s="1061">
        <v>5.52</v>
      </c>
      <c r="P3254" s="1061">
        <v>3.45</v>
      </c>
      <c r="Q3254" s="818"/>
      <c r="R3254" s="820">
        <v>1.74679137</v>
      </c>
      <c r="S3254" s="819">
        <v>14.97</v>
      </c>
      <c r="T3254" s="818"/>
      <c r="U3254" s="818"/>
      <c r="V3254" s="818"/>
      <c r="W3254" s="818"/>
      <c r="X3254" s="1340"/>
      <c r="Y3254" s="819">
        <v>37.1</v>
      </c>
      <c r="Z3254" s="818"/>
      <c r="AA3254" s="820">
        <v>4.57</v>
      </c>
      <c r="AB3254" s="820">
        <v>0.67300000000000004</v>
      </c>
      <c r="AC3254" s="818">
        <v>8.1</v>
      </c>
      <c r="AD3254" s="824">
        <v>530</v>
      </c>
      <c r="AE3254" s="824">
        <v>300</v>
      </c>
      <c r="AF3254" s="824">
        <v>170</v>
      </c>
      <c r="AG3254" s="66">
        <f t="shared" si="124"/>
        <v>81.486792452830187</v>
      </c>
      <c r="AH3254" s="143">
        <f t="shared" si="125"/>
        <v>1000</v>
      </c>
    </row>
    <row r="3255" spans="1:34" s="90" customFormat="1" x14ac:dyDescent="0.3">
      <c r="A3255" s="818">
        <v>203198</v>
      </c>
      <c r="B3255" s="819">
        <v>44.999999999999993</v>
      </c>
      <c r="C3255" s="819">
        <v>16.25</v>
      </c>
      <c r="D3255" s="820">
        <v>7.6869565217391305</v>
      </c>
      <c r="E3255" s="1571">
        <v>0.155</v>
      </c>
      <c r="F3255" s="821">
        <v>170.5</v>
      </c>
      <c r="G3255" s="818"/>
      <c r="H3255" s="821">
        <v>11.95</v>
      </c>
      <c r="I3255" s="1339">
        <v>149</v>
      </c>
      <c r="J3255" s="822">
        <v>5.8000000000000003E-2</v>
      </c>
      <c r="K3255" s="819">
        <v>8.5399999999999991</v>
      </c>
      <c r="L3255" s="818">
        <v>321</v>
      </c>
      <c r="M3255" s="1061">
        <v>0.2</v>
      </c>
      <c r="N3255" s="1061">
        <v>0.38</v>
      </c>
      <c r="O3255" s="1061">
        <v>3.39</v>
      </c>
      <c r="P3255" s="1061">
        <v>2.65</v>
      </c>
      <c r="Q3255" s="818"/>
      <c r="R3255" s="820">
        <v>0.31252367506673623</v>
      </c>
      <c r="S3255" s="819">
        <v>11.61</v>
      </c>
      <c r="T3255" s="818"/>
      <c r="U3255" s="818"/>
      <c r="V3255" s="818"/>
      <c r="W3255" s="818"/>
      <c r="X3255" s="1341"/>
      <c r="Y3255" s="819">
        <v>37.799999999999997</v>
      </c>
      <c r="Z3255" s="818"/>
      <c r="AA3255" s="820">
        <v>4.83</v>
      </c>
      <c r="AB3255" s="820">
        <v>0.88800000000000001</v>
      </c>
      <c r="AC3255" s="818">
        <v>10.6</v>
      </c>
      <c r="AD3255" s="824">
        <v>540</v>
      </c>
      <c r="AE3255" s="824">
        <v>310</v>
      </c>
      <c r="AF3255" s="824">
        <v>150</v>
      </c>
      <c r="AG3255" s="66">
        <f t="shared" si="124"/>
        <v>79.977777777777774</v>
      </c>
      <c r="AH3255" s="143">
        <f t="shared" si="125"/>
        <v>1000</v>
      </c>
    </row>
    <row r="3256" spans="1:34" s="90" customFormat="1" x14ac:dyDescent="0.3">
      <c r="A3256" s="818">
        <v>203199</v>
      </c>
      <c r="B3256" s="819">
        <v>8.75</v>
      </c>
      <c r="C3256" s="819"/>
      <c r="D3256" s="820">
        <v>7.7043478260869565</v>
      </c>
      <c r="E3256" s="1571">
        <v>0.44700000000000001</v>
      </c>
      <c r="F3256" s="821">
        <v>491.70000000000005</v>
      </c>
      <c r="G3256" s="818"/>
      <c r="H3256" s="821">
        <v>29.16</v>
      </c>
      <c r="I3256" s="1339">
        <v>283</v>
      </c>
      <c r="J3256" s="822">
        <v>0.54700000000000004</v>
      </c>
      <c r="K3256" s="819">
        <v>6.2</v>
      </c>
      <c r="L3256" s="818">
        <v>957</v>
      </c>
      <c r="M3256" s="1061">
        <v>1.93</v>
      </c>
      <c r="N3256" s="1061">
        <v>1.1599999999999999</v>
      </c>
      <c r="O3256" s="1061">
        <v>3.8</v>
      </c>
      <c r="P3256" s="1061">
        <v>6.46</v>
      </c>
      <c r="Q3256" s="818"/>
      <c r="R3256" s="820">
        <v>1.6785277199999999</v>
      </c>
      <c r="S3256" s="819">
        <v>13.02</v>
      </c>
      <c r="T3256" s="818"/>
      <c r="U3256" s="818"/>
      <c r="V3256" s="818"/>
      <c r="W3256" s="818"/>
      <c r="X3256" s="1340"/>
      <c r="Y3256" s="819">
        <v>35.200000000000003</v>
      </c>
      <c r="Z3256" s="818"/>
      <c r="AA3256" s="820">
        <v>3.45</v>
      </c>
      <c r="AB3256" s="820">
        <v>0.27500000000000002</v>
      </c>
      <c r="AC3256" s="818">
        <v>8.6999999999999993</v>
      </c>
      <c r="AD3256" s="824">
        <v>560</v>
      </c>
      <c r="AE3256" s="824">
        <v>340</v>
      </c>
      <c r="AF3256" s="824">
        <v>100</v>
      </c>
      <c r="AG3256" s="66">
        <f t="shared" si="124"/>
        <v>62.352272727272727</v>
      </c>
      <c r="AH3256" s="143">
        <f t="shared" si="125"/>
        <v>1000</v>
      </c>
    </row>
    <row r="3257" spans="1:34" s="90" customFormat="1" x14ac:dyDescent="0.3">
      <c r="A3257" s="818">
        <v>203200</v>
      </c>
      <c r="B3257" s="819">
        <v>8.75</v>
      </c>
      <c r="C3257" s="819"/>
      <c r="D3257" s="820">
        <v>7.591304347826088</v>
      </c>
      <c r="E3257" s="1571">
        <v>0.31900000000000001</v>
      </c>
      <c r="F3257" s="821">
        <v>350.90000000000003</v>
      </c>
      <c r="G3257" s="818"/>
      <c r="H3257" s="821">
        <v>26.84</v>
      </c>
      <c r="I3257" s="1339">
        <v>244</v>
      </c>
      <c r="J3257" s="822">
        <v>0.255</v>
      </c>
      <c r="K3257" s="819">
        <v>6.27</v>
      </c>
      <c r="L3257" s="818">
        <v>696</v>
      </c>
      <c r="M3257" s="1061">
        <v>2.2599999999999998</v>
      </c>
      <c r="N3257" s="1061">
        <v>1.31</v>
      </c>
      <c r="O3257" s="1061">
        <v>4.4400000000000004</v>
      </c>
      <c r="P3257" s="1061">
        <v>6.76</v>
      </c>
      <c r="Q3257" s="818"/>
      <c r="R3257" s="820">
        <v>1.6342537699999999</v>
      </c>
      <c r="S3257" s="819">
        <v>11.83</v>
      </c>
      <c r="T3257" s="818"/>
      <c r="U3257" s="818"/>
      <c r="V3257" s="818"/>
      <c r="W3257" s="818"/>
      <c r="X3257" s="1341"/>
      <c r="Y3257" s="819">
        <v>35.9</v>
      </c>
      <c r="Z3257" s="818"/>
      <c r="AA3257" s="820"/>
      <c r="AB3257" s="820"/>
      <c r="AC3257" s="818"/>
      <c r="AD3257" s="824">
        <v>570</v>
      </c>
      <c r="AE3257" s="824">
        <v>330</v>
      </c>
      <c r="AF3257" s="824">
        <v>100</v>
      </c>
      <c r="AG3257" s="66">
        <f t="shared" si="124"/>
        <v>61.826740947075209</v>
      </c>
      <c r="AH3257" s="143">
        <f t="shared" si="125"/>
        <v>1000</v>
      </c>
    </row>
    <row r="3258" spans="1:34" s="90" customFormat="1" x14ac:dyDescent="0.3">
      <c r="A3258" s="818">
        <v>203201</v>
      </c>
      <c r="B3258" s="819">
        <v>9.1666666666666679</v>
      </c>
      <c r="C3258" s="819"/>
      <c r="D3258" s="820">
        <v>7.6956521739130439</v>
      </c>
      <c r="E3258" s="1571">
        <v>0.28199999999999997</v>
      </c>
      <c r="F3258" s="821">
        <v>310.2</v>
      </c>
      <c r="G3258" s="818"/>
      <c r="H3258" s="821">
        <v>1.98</v>
      </c>
      <c r="I3258" s="1339">
        <v>81</v>
      </c>
      <c r="J3258" s="822">
        <v>0.12</v>
      </c>
      <c r="K3258" s="819">
        <v>7.43</v>
      </c>
      <c r="L3258" s="818">
        <v>755</v>
      </c>
      <c r="M3258" s="1061">
        <v>0.23</v>
      </c>
      <c r="N3258" s="1061">
        <v>0.4</v>
      </c>
      <c r="O3258" s="1061">
        <v>4.68</v>
      </c>
      <c r="P3258" s="1061">
        <v>3.09</v>
      </c>
      <c r="Q3258" s="818"/>
      <c r="R3258" s="820">
        <v>1.63767152</v>
      </c>
      <c r="S3258" s="819">
        <v>11.92</v>
      </c>
      <c r="T3258" s="818"/>
      <c r="U3258" s="818"/>
      <c r="V3258" s="818"/>
      <c r="W3258" s="818"/>
      <c r="X3258" s="1340"/>
      <c r="Y3258" s="819">
        <v>30.8</v>
      </c>
      <c r="Z3258" s="818"/>
      <c r="AA3258" s="820"/>
      <c r="AB3258" s="820"/>
      <c r="AC3258" s="818"/>
      <c r="AD3258" s="824">
        <v>440</v>
      </c>
      <c r="AE3258" s="824">
        <v>300</v>
      </c>
      <c r="AF3258" s="824">
        <v>260</v>
      </c>
      <c r="AG3258" s="66">
        <f t="shared" si="124"/>
        <v>85.396753246753235</v>
      </c>
      <c r="AH3258" s="143">
        <f t="shared" si="125"/>
        <v>1000</v>
      </c>
    </row>
    <row r="3259" spans="1:34" s="90" customFormat="1" x14ac:dyDescent="0.3">
      <c r="A3259" s="818">
        <v>203202</v>
      </c>
      <c r="B3259" s="819">
        <v>8.75</v>
      </c>
      <c r="C3259" s="819"/>
      <c r="D3259" s="820">
        <v>7.7826086956521738</v>
      </c>
      <c r="E3259" s="1571">
        <v>0.25700000000000001</v>
      </c>
      <c r="F3259" s="821">
        <v>282.7</v>
      </c>
      <c r="G3259" s="818"/>
      <c r="H3259" s="821">
        <v>14.62</v>
      </c>
      <c r="I3259" s="1339">
        <v>173</v>
      </c>
      <c r="J3259" s="822">
        <v>0.13800000000000001</v>
      </c>
      <c r="K3259" s="819">
        <v>7.64</v>
      </c>
      <c r="L3259" s="818">
        <v>867</v>
      </c>
      <c r="M3259" s="1061">
        <v>0.57999999999999996</v>
      </c>
      <c r="N3259" s="1061">
        <v>1.05</v>
      </c>
      <c r="O3259" s="1061">
        <v>5.24</v>
      </c>
      <c r="P3259" s="1061">
        <v>3.85</v>
      </c>
      <c r="Q3259" s="818"/>
      <c r="R3259" s="820">
        <v>1.83787425</v>
      </c>
      <c r="S3259" s="819">
        <v>17.849999999999998</v>
      </c>
      <c r="T3259" s="818"/>
      <c r="U3259" s="818"/>
      <c r="V3259" s="818"/>
      <c r="W3259" s="818"/>
      <c r="X3259" s="1341"/>
      <c r="Y3259" s="819">
        <v>27</v>
      </c>
      <c r="Z3259" s="818"/>
      <c r="AA3259" s="820"/>
      <c r="AB3259" s="820"/>
      <c r="AC3259" s="818"/>
      <c r="AD3259" s="824">
        <v>450</v>
      </c>
      <c r="AE3259" s="824">
        <v>280</v>
      </c>
      <c r="AF3259" s="824">
        <v>270</v>
      </c>
      <c r="AG3259" s="66">
        <f t="shared" si="124"/>
        <v>100.16888888888889</v>
      </c>
      <c r="AH3259" s="143">
        <f t="shared" si="125"/>
        <v>1000</v>
      </c>
    </row>
    <row r="3260" spans="1:34" s="90" customFormat="1" x14ac:dyDescent="0.3">
      <c r="A3260" s="818">
        <v>203203</v>
      </c>
      <c r="B3260" s="819">
        <v>17.083333333333332</v>
      </c>
      <c r="C3260" s="819">
        <v>10.625</v>
      </c>
      <c r="D3260" s="820">
        <v>7.7391304347826093</v>
      </c>
      <c r="E3260" s="1571">
        <v>0.16800000000000001</v>
      </c>
      <c r="F3260" s="821">
        <v>184.8</v>
      </c>
      <c r="G3260" s="818"/>
      <c r="H3260" s="821">
        <v>14.8</v>
      </c>
      <c r="I3260" s="1339">
        <v>199</v>
      </c>
      <c r="J3260" s="822">
        <v>1.2E-2</v>
      </c>
      <c r="K3260" s="819">
        <v>6.63</v>
      </c>
      <c r="L3260" s="818">
        <v>794</v>
      </c>
      <c r="M3260" s="1061">
        <v>0.54</v>
      </c>
      <c r="N3260" s="1061">
        <v>0.72</v>
      </c>
      <c r="O3260" s="1061">
        <v>4.28</v>
      </c>
      <c r="P3260" s="1061">
        <v>3.79</v>
      </c>
      <c r="Q3260" s="818"/>
      <c r="R3260" s="820">
        <v>2.0188486800000001</v>
      </c>
      <c r="S3260" s="819">
        <v>25.259999999999998</v>
      </c>
      <c r="T3260" s="818"/>
      <c r="U3260" s="818"/>
      <c r="V3260" s="818"/>
      <c r="W3260" s="818"/>
      <c r="X3260" s="1340"/>
      <c r="Y3260" s="819">
        <v>22</v>
      </c>
      <c r="Z3260" s="818"/>
      <c r="AA3260" s="820">
        <v>3.45</v>
      </c>
      <c r="AB3260" s="820">
        <v>0.72199999999999998</v>
      </c>
      <c r="AC3260" s="818">
        <v>9.1999999999999993</v>
      </c>
      <c r="AD3260" s="824">
        <v>440</v>
      </c>
      <c r="AE3260" s="824">
        <v>280</v>
      </c>
      <c r="AF3260" s="824">
        <v>280</v>
      </c>
      <c r="AG3260" s="66">
        <f t="shared" si="124"/>
        <v>106.68272727272728</v>
      </c>
      <c r="AH3260" s="143">
        <f t="shared" si="125"/>
        <v>1000</v>
      </c>
    </row>
    <row r="3261" spans="1:34" s="90" customFormat="1" x14ac:dyDescent="0.3">
      <c r="A3261" s="818">
        <v>203204</v>
      </c>
      <c r="B3261" s="819">
        <v>21.333333333333336</v>
      </c>
      <c r="C3261" s="819">
        <v>11.375</v>
      </c>
      <c r="D3261" s="820">
        <v>7.8260869565217401</v>
      </c>
      <c r="E3261" s="1571">
        <v>0.161</v>
      </c>
      <c r="F3261" s="821">
        <v>177.1</v>
      </c>
      <c r="G3261" s="818"/>
      <c r="H3261" s="821">
        <v>11.48</v>
      </c>
      <c r="I3261" s="1339">
        <v>139</v>
      </c>
      <c r="J3261" s="822">
        <v>1.6E-2</v>
      </c>
      <c r="K3261" s="819">
        <v>6.41</v>
      </c>
      <c r="L3261" s="818">
        <v>819</v>
      </c>
      <c r="M3261" s="1061">
        <v>0.32</v>
      </c>
      <c r="N3261" s="1061">
        <v>0.42</v>
      </c>
      <c r="O3261" s="1061">
        <v>3.74</v>
      </c>
      <c r="P3261" s="1061">
        <v>2.58</v>
      </c>
      <c r="Q3261" s="818"/>
      <c r="R3261" s="820">
        <v>1.70717732</v>
      </c>
      <c r="S3261" s="819">
        <v>13.819999999999999</v>
      </c>
      <c r="T3261" s="818"/>
      <c r="U3261" s="818"/>
      <c r="V3261" s="818"/>
      <c r="W3261" s="818"/>
      <c r="X3261" s="1341"/>
      <c r="Y3261" s="819">
        <v>20.399999999999999</v>
      </c>
      <c r="Z3261" s="818"/>
      <c r="AA3261" s="820">
        <v>5</v>
      </c>
      <c r="AB3261" s="820">
        <v>0.65600000000000003</v>
      </c>
      <c r="AC3261" s="818">
        <v>8.6999999999999993</v>
      </c>
      <c r="AD3261" s="824">
        <v>340</v>
      </c>
      <c r="AE3261" s="824">
        <v>280</v>
      </c>
      <c r="AF3261" s="824">
        <v>380</v>
      </c>
      <c r="AG3261" s="66">
        <f t="shared" si="124"/>
        <v>111.2323529411765</v>
      </c>
      <c r="AH3261" s="143">
        <f t="shared" si="125"/>
        <v>1000</v>
      </c>
    </row>
    <row r="3262" spans="1:34" s="90" customFormat="1" x14ac:dyDescent="0.3">
      <c r="A3262" s="818">
        <v>203205</v>
      </c>
      <c r="B3262" s="819">
        <v>4.541666666666667</v>
      </c>
      <c r="C3262" s="819"/>
      <c r="D3262" s="820">
        <v>7.5391304347826091</v>
      </c>
      <c r="E3262" s="1571">
        <v>0.128</v>
      </c>
      <c r="F3262" s="821">
        <v>140.80000000000001</v>
      </c>
      <c r="G3262" s="818"/>
      <c r="H3262" s="821">
        <v>67.930000000000007</v>
      </c>
      <c r="I3262" s="1339">
        <v>411</v>
      </c>
      <c r="J3262" s="822">
        <v>1.2999999999999999E-2</v>
      </c>
      <c r="K3262" s="819">
        <v>5.56</v>
      </c>
      <c r="L3262" s="818">
        <v>651</v>
      </c>
      <c r="M3262" s="1061">
        <v>1.28</v>
      </c>
      <c r="N3262" s="1061">
        <v>0.99</v>
      </c>
      <c r="O3262" s="1061">
        <v>3.99</v>
      </c>
      <c r="P3262" s="1061">
        <v>3.51</v>
      </c>
      <c r="Q3262" s="818"/>
      <c r="R3262" s="820">
        <v>1.8956330000000001</v>
      </c>
      <c r="S3262" s="819">
        <v>19.899999999999999</v>
      </c>
      <c r="T3262" s="818"/>
      <c r="U3262" s="818"/>
      <c r="V3262" s="818"/>
      <c r="W3262" s="818"/>
      <c r="X3262" s="1340"/>
      <c r="Y3262" s="819">
        <v>22</v>
      </c>
      <c r="Z3262" s="818"/>
      <c r="AA3262" s="820">
        <v>4.4000000000000004</v>
      </c>
      <c r="AB3262" s="820">
        <v>0.63500000000000001</v>
      </c>
      <c r="AC3262" s="818">
        <v>9</v>
      </c>
      <c r="AD3262" s="824">
        <v>440</v>
      </c>
      <c r="AE3262" s="824">
        <v>300</v>
      </c>
      <c r="AF3262" s="824">
        <v>260</v>
      </c>
      <c r="AG3262" s="66">
        <f t="shared" si="124"/>
        <v>89.465454545454534</v>
      </c>
      <c r="AH3262" s="143">
        <f t="shared" si="125"/>
        <v>1000</v>
      </c>
    </row>
    <row r="3263" spans="1:34" s="90" customFormat="1" x14ac:dyDescent="0.3">
      <c r="A3263" s="818">
        <v>203206</v>
      </c>
      <c r="B3263" s="819">
        <v>30.416666666666664</v>
      </c>
      <c r="C3263" s="819">
        <v>12.249999999999998</v>
      </c>
      <c r="D3263" s="820">
        <v>7.7913043478260882</v>
      </c>
      <c r="E3263" s="1571">
        <v>0.13600000000000001</v>
      </c>
      <c r="F3263" s="821">
        <v>149.60000000000002</v>
      </c>
      <c r="G3263" s="818"/>
      <c r="H3263" s="821">
        <v>57.42</v>
      </c>
      <c r="I3263" s="1339">
        <v>284</v>
      </c>
      <c r="J3263" s="822">
        <v>1.0999999999999999E-2</v>
      </c>
      <c r="K3263" s="819">
        <v>5.61</v>
      </c>
      <c r="L3263" s="818">
        <v>615</v>
      </c>
      <c r="M3263" s="1061">
        <v>1.06</v>
      </c>
      <c r="N3263" s="1061">
        <v>0.84</v>
      </c>
      <c r="O3263" s="1061">
        <v>4.87</v>
      </c>
      <c r="P3263" s="1061">
        <v>3.4</v>
      </c>
      <c r="Q3263" s="818"/>
      <c r="R3263" s="820">
        <v>1.60806425</v>
      </c>
      <c r="S3263" s="819">
        <v>11.15</v>
      </c>
      <c r="T3263" s="818"/>
      <c r="U3263" s="818"/>
      <c r="V3263" s="818"/>
      <c r="W3263" s="818"/>
      <c r="X3263" s="1341"/>
      <c r="Y3263" s="819">
        <v>17</v>
      </c>
      <c r="Z3263" s="818"/>
      <c r="AA3263" s="820">
        <v>4.26</v>
      </c>
      <c r="AB3263" s="820">
        <v>0.30399999999999999</v>
      </c>
      <c r="AC3263" s="818">
        <v>11.2</v>
      </c>
      <c r="AD3263" s="824">
        <v>340</v>
      </c>
      <c r="AE3263" s="824">
        <v>260</v>
      </c>
      <c r="AF3263" s="824">
        <v>400</v>
      </c>
      <c r="AG3263" s="66">
        <f t="shared" si="124"/>
        <v>116.82000000000001</v>
      </c>
      <c r="AH3263" s="143">
        <f t="shared" si="125"/>
        <v>1000</v>
      </c>
    </row>
    <row r="3264" spans="1:34" s="90" customFormat="1" x14ac:dyDescent="0.3">
      <c r="A3264" s="818">
        <v>203207</v>
      </c>
      <c r="B3264" s="819">
        <v>39.166666666666664</v>
      </c>
      <c r="C3264" s="819">
        <v>14.5</v>
      </c>
      <c r="D3264" s="820">
        <v>7.7652173913043478</v>
      </c>
      <c r="E3264" s="1571">
        <v>0.219</v>
      </c>
      <c r="F3264" s="821">
        <v>240.90000000000003</v>
      </c>
      <c r="G3264" s="818"/>
      <c r="H3264" s="821">
        <v>21.55</v>
      </c>
      <c r="I3264" s="1339">
        <v>475</v>
      </c>
      <c r="J3264" s="822">
        <v>8.5000000000000006E-2</v>
      </c>
      <c r="K3264" s="819">
        <v>7.67</v>
      </c>
      <c r="L3264" s="818">
        <v>1413</v>
      </c>
      <c r="M3264" s="1061">
        <v>1.46</v>
      </c>
      <c r="N3264" s="1061">
        <v>2.77</v>
      </c>
      <c r="O3264" s="1061">
        <v>18.91</v>
      </c>
      <c r="P3264" s="1061">
        <v>9.2899999999999991</v>
      </c>
      <c r="Q3264" s="818"/>
      <c r="R3264" s="820">
        <v>2.0530357700000001</v>
      </c>
      <c r="S3264" s="819">
        <v>27.17</v>
      </c>
      <c r="T3264" s="818"/>
      <c r="U3264" s="818"/>
      <c r="V3264" s="818"/>
      <c r="W3264" s="818"/>
      <c r="X3264" s="1340"/>
      <c r="Y3264" s="819">
        <v>25.5</v>
      </c>
      <c r="Z3264" s="818"/>
      <c r="AA3264" s="820">
        <v>4.2</v>
      </c>
      <c r="AB3264" s="820">
        <v>0.45100000000000001</v>
      </c>
      <c r="AC3264" s="818">
        <v>7</v>
      </c>
      <c r="AD3264" s="824">
        <v>510</v>
      </c>
      <c r="AE3264" s="824">
        <v>290</v>
      </c>
      <c r="AF3264" s="824">
        <v>200</v>
      </c>
      <c r="AG3264" s="66">
        <f t="shared" si="124"/>
        <v>106.47764705882354</v>
      </c>
      <c r="AH3264" s="143">
        <f t="shared" si="125"/>
        <v>1000</v>
      </c>
    </row>
    <row r="3265" spans="1:34" s="90" customFormat="1" x14ac:dyDescent="0.3">
      <c r="A3265" s="818">
        <v>203208</v>
      </c>
      <c r="B3265" s="819">
        <v>66.5</v>
      </c>
      <c r="C3265" s="819">
        <v>15</v>
      </c>
      <c r="D3265" s="820">
        <v>8.0608695652173914</v>
      </c>
      <c r="E3265" s="1571">
        <v>0.191</v>
      </c>
      <c r="F3265" s="821">
        <v>210.10000000000002</v>
      </c>
      <c r="G3265" s="818"/>
      <c r="H3265" s="821">
        <v>3.24</v>
      </c>
      <c r="I3265" s="1339">
        <v>171</v>
      </c>
      <c r="J3265" s="822">
        <v>0.13500000000000001</v>
      </c>
      <c r="K3265" s="819">
        <v>7.5</v>
      </c>
      <c r="L3265" s="818">
        <v>1088</v>
      </c>
      <c r="M3265" s="1061">
        <v>0.67</v>
      </c>
      <c r="N3265" s="1061">
        <v>1.06</v>
      </c>
      <c r="O3265" s="1061">
        <v>8.4499999999999993</v>
      </c>
      <c r="P3265" s="1061">
        <v>4.4000000000000004</v>
      </c>
      <c r="Q3265" s="818"/>
      <c r="R3265" s="820">
        <v>1.58282393</v>
      </c>
      <c r="S3265" s="819">
        <v>10.51</v>
      </c>
      <c r="T3265" s="818"/>
      <c r="U3265" s="818"/>
      <c r="V3265" s="818"/>
      <c r="W3265" s="818"/>
      <c r="X3265" s="1341"/>
      <c r="Y3265" s="819">
        <v>30</v>
      </c>
      <c r="Z3265" s="818"/>
      <c r="AA3265" s="820">
        <v>3.65</v>
      </c>
      <c r="AB3265" s="820">
        <v>0.43</v>
      </c>
      <c r="AC3265" s="818">
        <v>7.7</v>
      </c>
      <c r="AD3265" s="824">
        <v>500</v>
      </c>
      <c r="AE3265" s="824">
        <v>240</v>
      </c>
      <c r="AF3265" s="824">
        <v>260</v>
      </c>
      <c r="AG3265" s="66">
        <f t="shared" si="124"/>
        <v>88.5</v>
      </c>
      <c r="AH3265" s="143">
        <f t="shared" si="125"/>
        <v>1000</v>
      </c>
    </row>
    <row r="3266" spans="1:34" s="90" customFormat="1" x14ac:dyDescent="0.3">
      <c r="A3266" s="818">
        <v>203209</v>
      </c>
      <c r="B3266" s="819">
        <v>35.166666666666671</v>
      </c>
      <c r="C3266" s="819">
        <v>13.875</v>
      </c>
      <c r="D3266" s="820">
        <v>7.3739130434782618</v>
      </c>
      <c r="E3266" s="1571">
        <v>0.19400000000000001</v>
      </c>
      <c r="F3266" s="821">
        <v>213.40000000000003</v>
      </c>
      <c r="G3266" s="818"/>
      <c r="H3266" s="821">
        <v>242.98</v>
      </c>
      <c r="I3266" s="1339">
        <v>394</v>
      </c>
      <c r="J3266" s="822">
        <v>4.5999999999999999E-2</v>
      </c>
      <c r="K3266" s="819">
        <v>7.44</v>
      </c>
      <c r="L3266" s="818">
        <v>717</v>
      </c>
      <c r="M3266" s="1061">
        <v>2.89</v>
      </c>
      <c r="N3266" s="1061">
        <v>5.24</v>
      </c>
      <c r="O3266" s="1061">
        <v>6.21</v>
      </c>
      <c r="P3266" s="1061">
        <v>19.2</v>
      </c>
      <c r="Q3266" s="818"/>
      <c r="R3266" s="820">
        <v>1.8667842500000003</v>
      </c>
      <c r="S3266" s="819">
        <v>18.850000000000001</v>
      </c>
      <c r="T3266" s="818"/>
      <c r="U3266" s="818"/>
      <c r="V3266" s="818"/>
      <c r="W3266" s="818"/>
      <c r="X3266" s="1340"/>
      <c r="Y3266" s="819">
        <v>29.5</v>
      </c>
      <c r="Z3266" s="818"/>
      <c r="AA3266" s="820"/>
      <c r="AB3266" s="820"/>
      <c r="AC3266" s="818"/>
      <c r="AD3266" s="824"/>
      <c r="AE3266" s="824"/>
      <c r="AF3266" s="824"/>
      <c r="AG3266" s="66">
        <f t="shared" ref="AG3266:AG3329" si="126">+K3266*3.54*100/Y3266</f>
        <v>89.28</v>
      </c>
      <c r="AH3266" s="143">
        <f t="shared" ref="AH3266:AH3329" si="127">+SUM(AD3266:AF3266)</f>
        <v>0</v>
      </c>
    </row>
    <row r="3267" spans="1:34" s="90" customFormat="1" x14ac:dyDescent="0.3">
      <c r="A3267" s="818">
        <v>203210</v>
      </c>
      <c r="B3267" s="819">
        <v>44.666666666666664</v>
      </c>
      <c r="C3267" s="819">
        <v>14.249999999999998</v>
      </c>
      <c r="D3267" s="820">
        <v>7.6000000000000005</v>
      </c>
      <c r="E3267" s="1571">
        <v>0.16300000000000001</v>
      </c>
      <c r="F3267" s="821">
        <v>179.3</v>
      </c>
      <c r="G3267" s="818"/>
      <c r="H3267" s="821">
        <v>120.36</v>
      </c>
      <c r="I3267" s="1339">
        <v>274</v>
      </c>
      <c r="J3267" s="822">
        <v>3.3000000000000002E-2</v>
      </c>
      <c r="K3267" s="819">
        <v>7.49</v>
      </c>
      <c r="L3267" s="818">
        <v>540</v>
      </c>
      <c r="M3267" s="1061"/>
      <c r="N3267" s="1061"/>
      <c r="O3267" s="1061"/>
      <c r="P3267" s="1061"/>
      <c r="Q3267" s="818"/>
      <c r="R3267" s="820">
        <v>1.4125163980160811</v>
      </c>
      <c r="S3267" s="819">
        <v>9.58</v>
      </c>
      <c r="T3267" s="818"/>
      <c r="U3267" s="818"/>
      <c r="V3267" s="818"/>
      <c r="W3267" s="818"/>
      <c r="X3267" s="1341"/>
      <c r="Y3267" s="819">
        <v>29</v>
      </c>
      <c r="Z3267" s="818"/>
      <c r="AA3267" s="820"/>
      <c r="AB3267" s="820"/>
      <c r="AC3267" s="818"/>
      <c r="AD3267" s="824"/>
      <c r="AE3267" s="824"/>
      <c r="AF3267" s="824"/>
      <c r="AG3267" s="66">
        <f t="shared" si="126"/>
        <v>91.429655172413788</v>
      </c>
      <c r="AH3267" s="143">
        <f t="shared" si="127"/>
        <v>0</v>
      </c>
    </row>
    <row r="3268" spans="1:34" s="90" customFormat="1" x14ac:dyDescent="0.3">
      <c r="A3268" s="818">
        <v>203211</v>
      </c>
      <c r="B3268" s="819">
        <v>49.666666666666671</v>
      </c>
      <c r="C3268" s="819">
        <v>14.124999999999998</v>
      </c>
      <c r="D3268" s="820">
        <v>7.3478260869565215</v>
      </c>
      <c r="E3268" s="1571">
        <v>0.20100000000000001</v>
      </c>
      <c r="F3268" s="821">
        <v>221.10000000000002</v>
      </c>
      <c r="G3268" s="818"/>
      <c r="H3268" s="821">
        <v>269.58999999999997</v>
      </c>
      <c r="I3268" s="1339">
        <v>310</v>
      </c>
      <c r="J3268" s="822">
        <v>8.6999999999999994E-2</v>
      </c>
      <c r="K3268" s="819">
        <v>7.56</v>
      </c>
      <c r="L3268" s="818">
        <v>740</v>
      </c>
      <c r="M3268" s="1061">
        <v>1.62</v>
      </c>
      <c r="N3268" s="1061">
        <v>1.83</v>
      </c>
      <c r="O3268" s="1061">
        <v>3.76</v>
      </c>
      <c r="P3268" s="1061">
        <v>11.63</v>
      </c>
      <c r="Q3268" s="818"/>
      <c r="R3268" s="820">
        <v>1.8466942500000001</v>
      </c>
      <c r="S3268" s="819">
        <v>18.149999999999999</v>
      </c>
      <c r="T3268" s="818"/>
      <c r="U3268" s="818"/>
      <c r="V3268" s="818"/>
      <c r="W3268" s="818"/>
      <c r="X3268" s="1340"/>
      <c r="Y3268" s="819">
        <v>36.6</v>
      </c>
      <c r="Z3268" s="818"/>
      <c r="AA3268" s="820"/>
      <c r="AB3268" s="820"/>
      <c r="AC3268" s="818"/>
      <c r="AD3268" s="824"/>
      <c r="AE3268" s="824"/>
      <c r="AF3268" s="824"/>
      <c r="AG3268" s="66">
        <f t="shared" si="126"/>
        <v>73.121311475409826</v>
      </c>
      <c r="AH3268" s="143">
        <f t="shared" si="127"/>
        <v>0</v>
      </c>
    </row>
    <row r="3269" spans="1:34" s="90" customFormat="1" x14ac:dyDescent="0.3">
      <c r="A3269" s="818">
        <v>203212</v>
      </c>
      <c r="B3269" s="819">
        <v>42</v>
      </c>
      <c r="C3269" s="819">
        <v>14.249999999999998</v>
      </c>
      <c r="D3269" s="820">
        <v>7.5478260869565217</v>
      </c>
      <c r="E3269" s="1571">
        <v>0.185</v>
      </c>
      <c r="F3269" s="821">
        <v>203.5</v>
      </c>
      <c r="G3269" s="818"/>
      <c r="H3269" s="821">
        <v>142.05000000000001</v>
      </c>
      <c r="I3269" s="1339">
        <v>300</v>
      </c>
      <c r="J3269" s="822">
        <v>3.4000000000000002E-2</v>
      </c>
      <c r="K3269" s="819">
        <v>7.53</v>
      </c>
      <c r="L3269" s="818">
        <v>591</v>
      </c>
      <c r="M3269" s="1061"/>
      <c r="N3269" s="1061"/>
      <c r="O3269" s="1061"/>
      <c r="P3269" s="1061"/>
      <c r="Q3269" s="818"/>
      <c r="R3269" s="820">
        <v>1.7318533700000001</v>
      </c>
      <c r="S3269" s="819">
        <v>14.530000000000001</v>
      </c>
      <c r="T3269" s="818"/>
      <c r="U3269" s="818"/>
      <c r="V3269" s="818"/>
      <c r="W3269" s="818"/>
      <c r="X3269" s="1341"/>
      <c r="Y3269" s="819">
        <v>36</v>
      </c>
      <c r="Z3269" s="818"/>
      <c r="AA3269" s="820"/>
      <c r="AB3269" s="820"/>
      <c r="AC3269" s="818"/>
      <c r="AD3269" s="824"/>
      <c r="AE3269" s="824"/>
      <c r="AF3269" s="824"/>
      <c r="AG3269" s="66">
        <f t="shared" si="126"/>
        <v>74.045000000000016</v>
      </c>
      <c r="AH3269" s="143">
        <f t="shared" si="127"/>
        <v>0</v>
      </c>
    </row>
    <row r="3270" spans="1:34" s="90" customFormat="1" x14ac:dyDescent="0.3">
      <c r="A3270" s="818">
        <v>203213</v>
      </c>
      <c r="B3270" s="819">
        <v>24.5</v>
      </c>
      <c r="C3270" s="819">
        <v>13.25</v>
      </c>
      <c r="D3270" s="820">
        <v>8.0608695652173914</v>
      </c>
      <c r="E3270" s="1571">
        <v>0.185</v>
      </c>
      <c r="F3270" s="821">
        <v>203.5</v>
      </c>
      <c r="G3270" s="818"/>
      <c r="H3270" s="821">
        <v>7.11</v>
      </c>
      <c r="I3270" s="1339">
        <v>491</v>
      </c>
      <c r="J3270" s="822">
        <v>0.06</v>
      </c>
      <c r="K3270" s="819">
        <v>8.0299999999999994</v>
      </c>
      <c r="L3270" s="818">
        <v>1829</v>
      </c>
      <c r="M3270" s="1061">
        <v>0.31</v>
      </c>
      <c r="N3270" s="1061">
        <v>1.1399999999999999</v>
      </c>
      <c r="O3270" s="1061">
        <v>3.16</v>
      </c>
      <c r="P3270" s="1061">
        <v>4.16</v>
      </c>
      <c r="Q3270" s="818"/>
      <c r="R3270" s="820">
        <v>1.78166537</v>
      </c>
      <c r="S3270" s="819">
        <v>16.03</v>
      </c>
      <c r="T3270" s="818"/>
      <c r="U3270" s="818"/>
      <c r="V3270" s="818"/>
      <c r="W3270" s="818"/>
      <c r="X3270" s="1340"/>
      <c r="Y3270" s="819">
        <v>34.799999999999997</v>
      </c>
      <c r="Z3270" s="818"/>
      <c r="AA3270" s="820"/>
      <c r="AB3270" s="820"/>
      <c r="AC3270" s="818"/>
      <c r="AD3270" s="824"/>
      <c r="AE3270" s="824"/>
      <c r="AF3270" s="824"/>
      <c r="AG3270" s="66">
        <f t="shared" si="126"/>
        <v>81.684482758620689</v>
      </c>
      <c r="AH3270" s="143">
        <f t="shared" si="127"/>
        <v>0</v>
      </c>
    </row>
    <row r="3271" spans="1:34" s="90" customFormat="1" x14ac:dyDescent="0.3">
      <c r="A3271" s="818">
        <v>203214</v>
      </c>
      <c r="B3271" s="819">
        <v>59.166666666666664</v>
      </c>
      <c r="C3271" s="819">
        <v>12.75</v>
      </c>
      <c r="D3271" s="820">
        <v>8.2869565217391301</v>
      </c>
      <c r="E3271" s="1571">
        <v>0.161</v>
      </c>
      <c r="F3271" s="821">
        <v>177.1</v>
      </c>
      <c r="G3271" s="818"/>
      <c r="H3271" s="821">
        <v>2.66</v>
      </c>
      <c r="I3271" s="1339">
        <v>296</v>
      </c>
      <c r="J3271" s="822">
        <v>3.2000000000000001E-2</v>
      </c>
      <c r="K3271" s="819">
        <v>6.92</v>
      </c>
      <c r="L3271" s="818">
        <v>975</v>
      </c>
      <c r="M3271" s="1061">
        <v>0.14000000000000001</v>
      </c>
      <c r="N3271" s="1061">
        <v>0.33</v>
      </c>
      <c r="O3271" s="1061">
        <v>4.24</v>
      </c>
      <c r="P3271" s="1061">
        <v>2.4</v>
      </c>
      <c r="Q3271" s="818"/>
      <c r="R3271" s="820">
        <v>0.59425896943236201</v>
      </c>
      <c r="S3271" s="819">
        <v>4.4400000000000004</v>
      </c>
      <c r="T3271" s="818"/>
      <c r="U3271" s="818"/>
      <c r="V3271" s="818"/>
      <c r="W3271" s="818"/>
      <c r="X3271" s="1341"/>
      <c r="Y3271" s="819">
        <v>31.8</v>
      </c>
      <c r="Z3271" s="818"/>
      <c r="AA3271" s="820"/>
      <c r="AB3271" s="820"/>
      <c r="AC3271" s="818"/>
      <c r="AD3271" s="824"/>
      <c r="AE3271" s="824"/>
      <c r="AF3271" s="824"/>
      <c r="AG3271" s="66">
        <f t="shared" si="126"/>
        <v>77.033962264150944</v>
      </c>
      <c r="AH3271" s="143">
        <f t="shared" si="127"/>
        <v>0</v>
      </c>
    </row>
    <row r="3272" spans="1:34" s="90" customFormat="1" x14ac:dyDescent="0.3">
      <c r="A3272" s="818">
        <v>203215</v>
      </c>
      <c r="B3272" s="819">
        <v>31.666666666666664</v>
      </c>
      <c r="C3272" s="819">
        <v>12.874999999999998</v>
      </c>
      <c r="D3272" s="820">
        <v>8.0173913043478269</v>
      </c>
      <c r="E3272" s="1571">
        <v>0.186</v>
      </c>
      <c r="F3272" s="821">
        <v>204.6</v>
      </c>
      <c r="G3272" s="818"/>
      <c r="H3272" s="821">
        <v>18.28</v>
      </c>
      <c r="I3272" s="1339">
        <v>475</v>
      </c>
      <c r="J3272" s="822">
        <v>7.1999999999999995E-2</v>
      </c>
      <c r="K3272" s="819">
        <v>6.77</v>
      </c>
      <c r="L3272" s="818">
        <v>1580</v>
      </c>
      <c r="M3272" s="1061">
        <v>1.27</v>
      </c>
      <c r="N3272" s="1061">
        <v>1.35</v>
      </c>
      <c r="O3272" s="1061">
        <v>3.32</v>
      </c>
      <c r="P3272" s="1061">
        <v>3.92</v>
      </c>
      <c r="Q3272" s="818"/>
      <c r="R3272" s="820">
        <v>1.7690172799999999</v>
      </c>
      <c r="S3272" s="819">
        <v>15.64</v>
      </c>
      <c r="T3272" s="818"/>
      <c r="U3272" s="818"/>
      <c r="V3272" s="818"/>
      <c r="W3272" s="818"/>
      <c r="X3272" s="1340"/>
      <c r="Y3272" s="819">
        <v>35.799999999999997</v>
      </c>
      <c r="Z3272" s="818"/>
      <c r="AA3272" s="820"/>
      <c r="AB3272" s="820"/>
      <c r="AC3272" s="818"/>
      <c r="AD3272" s="824"/>
      <c r="AE3272" s="824"/>
      <c r="AF3272" s="824"/>
      <c r="AG3272" s="66">
        <f t="shared" si="126"/>
        <v>66.943575418994413</v>
      </c>
      <c r="AH3272" s="143">
        <f t="shared" si="127"/>
        <v>0</v>
      </c>
    </row>
    <row r="3273" spans="1:34" s="90" customFormat="1" x14ac:dyDescent="0.3">
      <c r="A3273" s="818">
        <v>203216</v>
      </c>
      <c r="B3273" s="819">
        <v>25.083333333333336</v>
      </c>
      <c r="C3273" s="819">
        <v>12.999999999999998</v>
      </c>
      <c r="D3273" s="820">
        <v>7.9739130434782615</v>
      </c>
      <c r="E3273" s="1571">
        <v>0.42</v>
      </c>
      <c r="F3273" s="821">
        <v>462</v>
      </c>
      <c r="G3273" s="818"/>
      <c r="H3273" s="821">
        <v>24.45</v>
      </c>
      <c r="I3273" s="1339">
        <v>818</v>
      </c>
      <c r="J3273" s="822">
        <v>0.23699999999999999</v>
      </c>
      <c r="K3273" s="819">
        <v>7.37</v>
      </c>
      <c r="L3273" s="818">
        <v>1866</v>
      </c>
      <c r="M3273" s="1061">
        <v>0.73</v>
      </c>
      <c r="N3273" s="1061">
        <v>1.2</v>
      </c>
      <c r="O3273" s="1061">
        <v>5.31</v>
      </c>
      <c r="P3273" s="1061">
        <v>4</v>
      </c>
      <c r="Q3273" s="818"/>
      <c r="R3273" s="820">
        <v>1.96615625</v>
      </c>
      <c r="S3273" s="819">
        <v>22.75</v>
      </c>
      <c r="T3273" s="818"/>
      <c r="U3273" s="818"/>
      <c r="V3273" s="818"/>
      <c r="W3273" s="818"/>
      <c r="X3273" s="1341"/>
      <c r="Y3273" s="819">
        <v>35.799999999999997</v>
      </c>
      <c r="Z3273" s="818"/>
      <c r="AA3273" s="820"/>
      <c r="AB3273" s="820"/>
      <c r="AC3273" s="818"/>
      <c r="AD3273" s="824"/>
      <c r="AE3273" s="824"/>
      <c r="AF3273" s="824"/>
      <c r="AG3273" s="66">
        <f t="shared" si="126"/>
        <v>72.876536312849169</v>
      </c>
      <c r="AH3273" s="143">
        <f t="shared" si="127"/>
        <v>0</v>
      </c>
    </row>
    <row r="3274" spans="1:34" s="90" customFormat="1" x14ac:dyDescent="0.3">
      <c r="A3274" s="818">
        <v>203217</v>
      </c>
      <c r="B3274" s="819">
        <v>37.833333333333329</v>
      </c>
      <c r="C3274" s="819">
        <v>12.5</v>
      </c>
      <c r="D3274" s="820">
        <v>7.9043478260869566</v>
      </c>
      <c r="E3274" s="1571">
        <v>0.125</v>
      </c>
      <c r="F3274" s="821">
        <v>137.5</v>
      </c>
      <c r="G3274" s="818"/>
      <c r="H3274" s="821">
        <v>69.19</v>
      </c>
      <c r="I3274" s="1339">
        <v>280</v>
      </c>
      <c r="J3274" s="822">
        <v>4.2000000000000003E-2</v>
      </c>
      <c r="K3274" s="819">
        <v>7.28</v>
      </c>
      <c r="L3274" s="818">
        <v>883</v>
      </c>
      <c r="M3274" s="1061">
        <v>0.32</v>
      </c>
      <c r="N3274" s="1061">
        <v>0.59</v>
      </c>
      <c r="O3274" s="1061">
        <v>3.55</v>
      </c>
      <c r="P3274" s="1061">
        <v>4.08</v>
      </c>
      <c r="Q3274" s="818"/>
      <c r="R3274" s="820">
        <v>1.1703833567632045</v>
      </c>
      <c r="S3274" s="819">
        <v>8.74</v>
      </c>
      <c r="T3274" s="818"/>
      <c r="U3274" s="818"/>
      <c r="V3274" s="818"/>
      <c r="W3274" s="818"/>
      <c r="X3274" s="1340"/>
      <c r="Y3274" s="819">
        <v>37.1</v>
      </c>
      <c r="Z3274" s="818"/>
      <c r="AA3274" s="820"/>
      <c r="AB3274" s="820"/>
      <c r="AC3274" s="818"/>
      <c r="AD3274" s="824"/>
      <c r="AE3274" s="824"/>
      <c r="AF3274" s="824"/>
      <c r="AG3274" s="66">
        <f t="shared" si="126"/>
        <v>69.46415094339622</v>
      </c>
      <c r="AH3274" s="143">
        <f t="shared" si="127"/>
        <v>0</v>
      </c>
    </row>
    <row r="3275" spans="1:34" s="90" customFormat="1" x14ac:dyDescent="0.3">
      <c r="A3275" s="818">
        <v>203218</v>
      </c>
      <c r="B3275" s="819">
        <v>24.749999999999996</v>
      </c>
      <c r="C3275" s="819">
        <v>10.625</v>
      </c>
      <c r="D3275" s="820">
        <v>7.7826086956521738</v>
      </c>
      <c r="E3275" s="1571">
        <v>0.157</v>
      </c>
      <c r="F3275" s="821">
        <v>172.70000000000002</v>
      </c>
      <c r="G3275" s="818"/>
      <c r="H3275" s="821">
        <v>221.82</v>
      </c>
      <c r="I3275" s="1339">
        <v>413</v>
      </c>
      <c r="J3275" s="822">
        <v>7.5999999999999998E-2</v>
      </c>
      <c r="K3275" s="819">
        <v>7.76</v>
      </c>
      <c r="L3275" s="818">
        <v>1287</v>
      </c>
      <c r="M3275" s="1061">
        <v>0.35</v>
      </c>
      <c r="N3275" s="1061">
        <v>2.0499999999999998</v>
      </c>
      <c r="O3275" s="1061">
        <v>5.27</v>
      </c>
      <c r="P3275" s="1061">
        <v>5.78</v>
      </c>
      <c r="Q3275" s="818"/>
      <c r="R3275" s="820">
        <v>1.62470052</v>
      </c>
      <c r="S3275" s="819">
        <v>11.579999999999998</v>
      </c>
      <c r="T3275" s="818"/>
      <c r="U3275" s="818"/>
      <c r="V3275" s="818"/>
      <c r="W3275" s="818"/>
      <c r="X3275" s="1341"/>
      <c r="Y3275" s="819">
        <v>19</v>
      </c>
      <c r="Z3275" s="818"/>
      <c r="AA3275" s="820"/>
      <c r="AB3275" s="820"/>
      <c r="AC3275" s="818"/>
      <c r="AD3275" s="824"/>
      <c r="AE3275" s="824"/>
      <c r="AF3275" s="824"/>
      <c r="AG3275" s="66">
        <f t="shared" si="126"/>
        <v>144.58105263157896</v>
      </c>
      <c r="AH3275" s="143">
        <f t="shared" si="127"/>
        <v>0</v>
      </c>
    </row>
    <row r="3276" spans="1:34" s="90" customFormat="1" x14ac:dyDescent="0.3">
      <c r="A3276" s="818">
        <v>203219</v>
      </c>
      <c r="B3276" s="819">
        <v>14.166666666666666</v>
      </c>
      <c r="C3276" s="819">
        <v>7.3749999999999982</v>
      </c>
      <c r="D3276" s="820">
        <v>7.9652173913043489</v>
      </c>
      <c r="E3276" s="1571">
        <v>0.161</v>
      </c>
      <c r="F3276" s="821">
        <v>177.1</v>
      </c>
      <c r="G3276" s="818"/>
      <c r="H3276" s="821">
        <v>14.23</v>
      </c>
      <c r="I3276" s="1339">
        <v>436</v>
      </c>
      <c r="J3276" s="822">
        <v>5.0999999999999997E-2</v>
      </c>
      <c r="K3276" s="819">
        <v>7.9</v>
      </c>
      <c r="L3276" s="818">
        <v>429</v>
      </c>
      <c r="M3276" s="1061">
        <v>0.22</v>
      </c>
      <c r="N3276" s="1061">
        <v>0.59</v>
      </c>
      <c r="O3276" s="1061">
        <v>1.17</v>
      </c>
      <c r="P3276" s="1061">
        <v>1.94</v>
      </c>
      <c r="Q3276" s="818"/>
      <c r="R3276" s="820">
        <v>0.57644770852877858</v>
      </c>
      <c r="S3276" s="819">
        <v>4.24</v>
      </c>
      <c r="T3276" s="818"/>
      <c r="U3276" s="818"/>
      <c r="V3276" s="818"/>
      <c r="W3276" s="818"/>
      <c r="X3276" s="1340"/>
      <c r="Y3276" s="819">
        <v>35</v>
      </c>
      <c r="Z3276" s="818"/>
      <c r="AA3276" s="820"/>
      <c r="AB3276" s="820"/>
      <c r="AC3276" s="818"/>
      <c r="AD3276" s="824"/>
      <c r="AE3276" s="824"/>
      <c r="AF3276" s="824"/>
      <c r="AG3276" s="66">
        <f t="shared" si="126"/>
        <v>79.902857142857144</v>
      </c>
      <c r="AH3276" s="143">
        <f t="shared" si="127"/>
        <v>0</v>
      </c>
    </row>
    <row r="3277" spans="1:34" s="90" customFormat="1" x14ac:dyDescent="0.3">
      <c r="A3277" s="818">
        <v>203220</v>
      </c>
      <c r="B3277" s="819">
        <v>17.25</v>
      </c>
      <c r="C3277" s="819">
        <v>8.125</v>
      </c>
      <c r="D3277" s="820">
        <v>7.9217391304347826</v>
      </c>
      <c r="E3277" s="1571">
        <v>0.16800000000000001</v>
      </c>
      <c r="F3277" s="821">
        <v>184.8</v>
      </c>
      <c r="G3277" s="818"/>
      <c r="H3277" s="821">
        <v>10.54</v>
      </c>
      <c r="I3277" s="1339">
        <v>393</v>
      </c>
      <c r="J3277" s="822">
        <v>0.06</v>
      </c>
      <c r="K3277" s="819">
        <v>7.97</v>
      </c>
      <c r="L3277" s="818">
        <v>405</v>
      </c>
      <c r="M3277" s="1061"/>
      <c r="N3277" s="1061"/>
      <c r="O3277" s="1061"/>
      <c r="P3277" s="1061"/>
      <c r="Q3277" s="818"/>
      <c r="R3277" s="820">
        <v>0.64431334256111594</v>
      </c>
      <c r="S3277" s="819">
        <v>4.2299999999999995</v>
      </c>
      <c r="T3277" s="818"/>
      <c r="U3277" s="818"/>
      <c r="V3277" s="818"/>
      <c r="W3277" s="818"/>
      <c r="X3277" s="1341"/>
      <c r="Y3277" s="819">
        <v>28.8</v>
      </c>
      <c r="Z3277" s="818"/>
      <c r="AA3277" s="820"/>
      <c r="AB3277" s="820"/>
      <c r="AC3277" s="818"/>
      <c r="AD3277" s="824"/>
      <c r="AE3277" s="824"/>
      <c r="AF3277" s="824"/>
      <c r="AG3277" s="66">
        <f t="shared" si="126"/>
        <v>97.964583333333337</v>
      </c>
      <c r="AH3277" s="143">
        <f t="shared" si="127"/>
        <v>0</v>
      </c>
    </row>
    <row r="3278" spans="1:34" s="90" customFormat="1" x14ac:dyDescent="0.3">
      <c r="A3278" s="818">
        <v>203221</v>
      </c>
      <c r="B3278" s="819">
        <v>13.958333333333334</v>
      </c>
      <c r="C3278" s="819">
        <v>9</v>
      </c>
      <c r="D3278" s="820">
        <v>7.6000000000000005</v>
      </c>
      <c r="E3278" s="1571">
        <v>0.88900000000000001</v>
      </c>
      <c r="F3278" s="821">
        <v>977.90000000000009</v>
      </c>
      <c r="G3278" s="818"/>
      <c r="H3278" s="821">
        <v>14.15</v>
      </c>
      <c r="I3278" s="1339">
        <v>664</v>
      </c>
      <c r="J3278" s="822">
        <v>0.56299999999999994</v>
      </c>
      <c r="K3278" s="819">
        <v>6.67</v>
      </c>
      <c r="L3278" s="818">
        <v>1223</v>
      </c>
      <c r="M3278" s="1061">
        <v>0.23</v>
      </c>
      <c r="N3278" s="1061">
        <v>1.02</v>
      </c>
      <c r="O3278" s="1061">
        <v>1.48</v>
      </c>
      <c r="P3278" s="1061">
        <v>2.93</v>
      </c>
      <c r="Q3278" s="818"/>
      <c r="R3278" s="820">
        <v>1.3610984081727795</v>
      </c>
      <c r="S3278" s="819">
        <v>9.25</v>
      </c>
      <c r="T3278" s="818"/>
      <c r="U3278" s="818"/>
      <c r="V3278" s="818"/>
      <c r="W3278" s="818"/>
      <c r="X3278" s="1340"/>
      <c r="Y3278" s="819">
        <v>36.4</v>
      </c>
      <c r="Z3278" s="818"/>
      <c r="AA3278" s="820">
        <v>4.1100000000000003</v>
      </c>
      <c r="AB3278" s="820">
        <v>0.46800000000000003</v>
      </c>
      <c r="AC3278" s="818">
        <v>8</v>
      </c>
      <c r="AD3278" s="824">
        <v>520</v>
      </c>
      <c r="AE3278" s="824">
        <v>360</v>
      </c>
      <c r="AF3278" s="824">
        <v>120</v>
      </c>
      <c r="AG3278" s="66">
        <f t="shared" si="126"/>
        <v>64.867582417582412</v>
      </c>
      <c r="AH3278" s="143">
        <f t="shared" si="127"/>
        <v>1000</v>
      </c>
    </row>
    <row r="3279" spans="1:34" s="90" customFormat="1" x14ac:dyDescent="0.3">
      <c r="A3279" s="818">
        <v>203222</v>
      </c>
      <c r="B3279" s="819">
        <v>64.666666666666657</v>
      </c>
      <c r="C3279" s="819">
        <v>12.5</v>
      </c>
      <c r="D3279" s="820">
        <v>8.0173913043478269</v>
      </c>
      <c r="E3279" s="1571">
        <v>0.13400000000000001</v>
      </c>
      <c r="F3279" s="821">
        <v>147.40000000000003</v>
      </c>
      <c r="G3279" s="818"/>
      <c r="H3279" s="821">
        <v>3.94</v>
      </c>
      <c r="I3279" s="1339">
        <v>104</v>
      </c>
      <c r="J3279" s="822">
        <v>2.9000000000000001E-2</v>
      </c>
      <c r="K3279" s="819">
        <v>6.98</v>
      </c>
      <c r="L3279" s="818">
        <v>213</v>
      </c>
      <c r="M3279" s="1061">
        <v>0.05</v>
      </c>
      <c r="N3279" s="1061">
        <v>0.02</v>
      </c>
      <c r="O3279" s="1061">
        <v>0.11</v>
      </c>
      <c r="P3279" s="1061">
        <v>0.42</v>
      </c>
      <c r="Q3279" s="818"/>
      <c r="R3279" s="820">
        <v>0.52868161756129772</v>
      </c>
      <c r="S3279" s="819">
        <v>3.5599999999999996</v>
      </c>
      <c r="T3279" s="818"/>
      <c r="U3279" s="818"/>
      <c r="V3279" s="818"/>
      <c r="W3279" s="818"/>
      <c r="X3279" s="1341"/>
      <c r="Y3279" s="819">
        <v>3.5</v>
      </c>
      <c r="Z3279" s="818"/>
      <c r="AA3279" s="820">
        <v>4.54</v>
      </c>
      <c r="AB3279" s="820">
        <v>0.68</v>
      </c>
      <c r="AC3279" s="818">
        <v>6.5</v>
      </c>
      <c r="AD3279" s="824">
        <v>70</v>
      </c>
      <c r="AE3279" s="824">
        <v>60</v>
      </c>
      <c r="AF3279" s="824">
        <v>870</v>
      </c>
      <c r="AG3279" s="66">
        <f t="shared" si="126"/>
        <v>705.97714285714289</v>
      </c>
      <c r="AH3279" s="143">
        <f t="shared" si="127"/>
        <v>1000</v>
      </c>
    </row>
    <row r="3280" spans="1:34" x14ac:dyDescent="0.3">
      <c r="A3280" s="818">
        <v>203223</v>
      </c>
      <c r="B3280" s="819">
        <v>43.333333333333329</v>
      </c>
      <c r="C3280" s="819">
        <v>8.75</v>
      </c>
      <c r="D3280" s="820">
        <v>8.1217391304347828</v>
      </c>
      <c r="E3280" s="1571">
        <v>0.13900000000000001</v>
      </c>
      <c r="F3280" s="821">
        <v>152.90000000000003</v>
      </c>
      <c r="G3280" s="818"/>
      <c r="H3280" s="821">
        <v>4.96</v>
      </c>
      <c r="I3280" s="1339">
        <v>169</v>
      </c>
      <c r="J3280" s="822">
        <v>2.3E-2</v>
      </c>
      <c r="K3280" s="819">
        <v>6.29</v>
      </c>
      <c r="L3280" s="818">
        <v>226</v>
      </c>
      <c r="M3280" s="1061">
        <v>0.09</v>
      </c>
      <c r="N3280" s="1061">
        <v>0.16</v>
      </c>
      <c r="O3280" s="1061">
        <v>0.74</v>
      </c>
      <c r="P3280" s="1061">
        <v>0.67</v>
      </c>
      <c r="Q3280" s="818"/>
      <c r="R3280" s="820">
        <v>1.2063433375884878</v>
      </c>
      <c r="S3280" s="819">
        <v>8.84</v>
      </c>
      <c r="T3280" s="818"/>
      <c r="U3280" s="818"/>
      <c r="V3280" s="818"/>
      <c r="W3280" s="818"/>
      <c r="X3280" s="1340"/>
      <c r="Y3280" s="819">
        <v>4</v>
      </c>
      <c r="Z3280" s="818"/>
      <c r="AA3280" s="820">
        <v>4.4000000000000004</v>
      </c>
      <c r="AB3280" s="820">
        <v>0.375</v>
      </c>
      <c r="AC3280" s="818">
        <v>11.2</v>
      </c>
      <c r="AD3280" s="824">
        <v>80</v>
      </c>
      <c r="AE3280" s="824">
        <v>60</v>
      </c>
      <c r="AF3280" s="824">
        <v>860</v>
      </c>
      <c r="AG3280" s="66">
        <f t="shared" si="126"/>
        <v>556.66499999999996</v>
      </c>
      <c r="AH3280" s="143">
        <f t="shared" si="127"/>
        <v>1000</v>
      </c>
    </row>
    <row r="3281" spans="1:34" x14ac:dyDescent="0.3">
      <c r="A3281" s="818">
        <v>203224</v>
      </c>
      <c r="B3281" s="819">
        <v>28.500000000000004</v>
      </c>
      <c r="C3281" s="819">
        <v>7.8749999999999982</v>
      </c>
      <c r="D3281" s="820">
        <v>7.8869565217391315</v>
      </c>
      <c r="E3281" s="1571">
        <v>0.188</v>
      </c>
      <c r="F3281" s="821">
        <v>206.8</v>
      </c>
      <c r="G3281" s="818"/>
      <c r="H3281" s="821">
        <v>2.16</v>
      </c>
      <c r="I3281" s="1339">
        <v>218</v>
      </c>
      <c r="J3281" s="822">
        <v>9.0999999999999998E-2</v>
      </c>
      <c r="K3281" s="819">
        <v>6.81</v>
      </c>
      <c r="L3281" s="818">
        <v>311</v>
      </c>
      <c r="M3281" s="1061">
        <v>7.0000000000000007E-2</v>
      </c>
      <c r="N3281" s="1061">
        <v>0.16</v>
      </c>
      <c r="O3281" s="1061">
        <v>1.27</v>
      </c>
      <c r="P3281" s="1061">
        <v>0.94</v>
      </c>
      <c r="Q3281" s="818"/>
      <c r="R3281" s="820">
        <v>0.34228069124229277</v>
      </c>
      <c r="S3281" s="819">
        <v>2.54</v>
      </c>
      <c r="T3281" s="818"/>
      <c r="U3281" s="818"/>
      <c r="V3281" s="818"/>
      <c r="W3281" s="818"/>
      <c r="X3281" s="1341"/>
      <c r="Y3281" s="819">
        <v>24</v>
      </c>
      <c r="Z3281" s="818"/>
      <c r="AA3281" s="820">
        <v>3.68</v>
      </c>
      <c r="AB3281" s="820">
        <v>0.34</v>
      </c>
      <c r="AC3281" s="818">
        <v>7.4</v>
      </c>
      <c r="AD3281" s="824">
        <v>480</v>
      </c>
      <c r="AE3281" s="824">
        <v>320</v>
      </c>
      <c r="AF3281" s="824">
        <v>200</v>
      </c>
      <c r="AG3281" s="66">
        <f t="shared" si="126"/>
        <v>100.44749999999999</v>
      </c>
      <c r="AH3281" s="143">
        <f t="shared" si="127"/>
        <v>1000</v>
      </c>
    </row>
    <row r="3282" spans="1:34" x14ac:dyDescent="0.3">
      <c r="A3282" s="818">
        <v>203225</v>
      </c>
      <c r="B3282" s="819">
        <v>31.833333333333329</v>
      </c>
      <c r="C3282" s="819">
        <v>8.6249999999999982</v>
      </c>
      <c r="D3282" s="820">
        <v>8.1043478260869577</v>
      </c>
      <c r="E3282" s="1571">
        <v>0.13600000000000001</v>
      </c>
      <c r="F3282" s="821">
        <v>149.60000000000002</v>
      </c>
      <c r="G3282" s="818"/>
      <c r="H3282" s="821">
        <v>1.96</v>
      </c>
      <c r="I3282" s="1339">
        <v>245</v>
      </c>
      <c r="J3282" s="822">
        <v>3.7999999999999999E-2</v>
      </c>
      <c r="K3282" s="819">
        <v>6.43</v>
      </c>
      <c r="L3282" s="818">
        <v>221</v>
      </c>
      <c r="M3282" s="1061">
        <v>0.09</v>
      </c>
      <c r="N3282" s="1061">
        <v>0.3</v>
      </c>
      <c r="O3282" s="1061">
        <v>1.07</v>
      </c>
      <c r="P3282" s="1061">
        <v>0.75</v>
      </c>
      <c r="Q3282" s="818"/>
      <c r="R3282" s="820">
        <v>0.67406002027472112</v>
      </c>
      <c r="S3282" s="819">
        <v>5.03</v>
      </c>
      <c r="T3282" s="818"/>
      <c r="U3282" s="818"/>
      <c r="V3282" s="818"/>
      <c r="W3282" s="818"/>
      <c r="X3282" s="1340"/>
      <c r="Y3282" s="819">
        <v>21</v>
      </c>
      <c r="Z3282" s="818"/>
      <c r="AA3282" s="820">
        <v>4.88</v>
      </c>
      <c r="AB3282" s="820">
        <v>0.61</v>
      </c>
      <c r="AC3282" s="818">
        <v>9.4</v>
      </c>
      <c r="AD3282" s="824">
        <v>420</v>
      </c>
      <c r="AE3282" s="824">
        <v>340</v>
      </c>
      <c r="AF3282" s="824">
        <v>240</v>
      </c>
      <c r="AG3282" s="66">
        <f t="shared" si="126"/>
        <v>108.39142857142856</v>
      </c>
      <c r="AH3282" s="143">
        <f t="shared" si="127"/>
        <v>1000</v>
      </c>
    </row>
    <row r="3283" spans="1:34" x14ac:dyDescent="0.3">
      <c r="A3283" s="818">
        <v>203226</v>
      </c>
      <c r="B3283" s="819">
        <v>29.583333333333332</v>
      </c>
      <c r="C3283" s="819">
        <v>8.4999999999999982</v>
      </c>
      <c r="D3283" s="820">
        <v>7.7043478260869565</v>
      </c>
      <c r="E3283" s="1571">
        <v>0.499</v>
      </c>
      <c r="F3283" s="821">
        <v>548.90000000000009</v>
      </c>
      <c r="G3283" s="818"/>
      <c r="H3283" s="821">
        <v>3.45</v>
      </c>
      <c r="I3283" s="1339">
        <v>319</v>
      </c>
      <c r="J3283" s="822">
        <v>0.115</v>
      </c>
      <c r="K3283" s="819">
        <v>6.65</v>
      </c>
      <c r="L3283" s="818">
        <v>290</v>
      </c>
      <c r="M3283" s="1061">
        <v>0.08</v>
      </c>
      <c r="N3283" s="1061">
        <v>0.21</v>
      </c>
      <c r="O3283" s="1061">
        <v>1.21</v>
      </c>
      <c r="P3283" s="1061">
        <v>0.75</v>
      </c>
      <c r="Q3283" s="818"/>
      <c r="R3283" s="820">
        <v>0.52488109379978742</v>
      </c>
      <c r="S3283" s="819">
        <v>3.67</v>
      </c>
      <c r="T3283" s="818"/>
      <c r="U3283" s="818"/>
      <c r="V3283" s="818"/>
      <c r="W3283" s="818"/>
      <c r="X3283" s="1341"/>
      <c r="Y3283" s="819">
        <v>21</v>
      </c>
      <c r="Z3283" s="818"/>
      <c r="AA3283" s="820">
        <v>4.24</v>
      </c>
      <c r="AB3283" s="820">
        <v>0.873</v>
      </c>
      <c r="AC3283" s="818">
        <v>11.4</v>
      </c>
      <c r="AD3283" s="824">
        <v>420</v>
      </c>
      <c r="AE3283" s="824">
        <v>360</v>
      </c>
      <c r="AF3283" s="824">
        <v>220</v>
      </c>
      <c r="AG3283" s="66">
        <f t="shared" si="126"/>
        <v>112.1</v>
      </c>
      <c r="AH3283" s="143">
        <f t="shared" si="127"/>
        <v>1000</v>
      </c>
    </row>
    <row r="3284" spans="1:34" x14ac:dyDescent="0.3">
      <c r="A3284" s="818">
        <v>203227</v>
      </c>
      <c r="B3284" s="819">
        <v>45.166666666666664</v>
      </c>
      <c r="C3284" s="819">
        <v>8.25</v>
      </c>
      <c r="D3284" s="820">
        <v>7.9130434782608701</v>
      </c>
      <c r="E3284" s="1571">
        <v>0.16200000000000001</v>
      </c>
      <c r="F3284" s="821">
        <v>178.20000000000002</v>
      </c>
      <c r="G3284" s="818"/>
      <c r="H3284" s="821">
        <v>2.48</v>
      </c>
      <c r="I3284" s="1339">
        <v>156</v>
      </c>
      <c r="J3284" s="822">
        <v>5.7000000000000002E-2</v>
      </c>
      <c r="K3284" s="819">
        <v>7.15</v>
      </c>
      <c r="L3284" s="818">
        <v>229</v>
      </c>
      <c r="M3284" s="1061">
        <v>0.09</v>
      </c>
      <c r="N3284" s="1061">
        <v>0.22</v>
      </c>
      <c r="O3284" s="1061">
        <v>0.51</v>
      </c>
      <c r="P3284" s="1061">
        <v>0.78</v>
      </c>
      <c r="Q3284" s="818"/>
      <c r="R3284" s="820">
        <v>0.59452441797264766</v>
      </c>
      <c r="S3284" s="819">
        <v>3.9000000000000004</v>
      </c>
      <c r="T3284" s="818"/>
      <c r="U3284" s="818"/>
      <c r="V3284" s="818"/>
      <c r="W3284" s="818"/>
      <c r="X3284" s="1340"/>
      <c r="Y3284" s="819">
        <v>7</v>
      </c>
      <c r="Z3284" s="818"/>
      <c r="AA3284" s="820">
        <v>3.76</v>
      </c>
      <c r="AB3284" s="820">
        <v>0.51900000000000002</v>
      </c>
      <c r="AC3284" s="818">
        <v>8.9</v>
      </c>
      <c r="AD3284" s="824">
        <v>140</v>
      </c>
      <c r="AE3284" s="824">
        <v>100</v>
      </c>
      <c r="AF3284" s="824">
        <v>760</v>
      </c>
      <c r="AG3284" s="66">
        <f t="shared" si="126"/>
        <v>361.58571428571429</v>
      </c>
      <c r="AH3284" s="143">
        <f t="shared" si="127"/>
        <v>1000</v>
      </c>
    </row>
    <row r="3285" spans="1:34" x14ac:dyDescent="0.3">
      <c r="A3285" s="818">
        <v>203228</v>
      </c>
      <c r="B3285" s="819">
        <v>23.916666666666664</v>
      </c>
      <c r="C3285" s="819">
        <v>8.6249999999999982</v>
      </c>
      <c r="D3285" s="820">
        <v>7.4956521739130437</v>
      </c>
      <c r="E3285" s="1571">
        <v>2.7</v>
      </c>
      <c r="F3285" s="821">
        <v>2970.0000000000005</v>
      </c>
      <c r="G3285" s="818"/>
      <c r="H3285" s="821">
        <v>7.45</v>
      </c>
      <c r="I3285" s="1339">
        <v>194</v>
      </c>
      <c r="J3285" s="822">
        <v>0.36199999999999999</v>
      </c>
      <c r="K3285" s="819">
        <v>25.05</v>
      </c>
      <c r="L3285" s="818">
        <v>612</v>
      </c>
      <c r="M3285" s="1061">
        <v>0.28999999999999998</v>
      </c>
      <c r="N3285" s="1061">
        <v>0.34</v>
      </c>
      <c r="O3285" s="1061">
        <v>1.07</v>
      </c>
      <c r="P3285" s="1061">
        <v>0.73</v>
      </c>
      <c r="Q3285" s="818"/>
      <c r="R3285" s="820">
        <v>0.76882495535158091</v>
      </c>
      <c r="S3285" s="819">
        <v>5.53</v>
      </c>
      <c r="T3285" s="818"/>
      <c r="U3285" s="818"/>
      <c r="V3285" s="818"/>
      <c r="W3285" s="818"/>
      <c r="X3285" s="1341"/>
      <c r="Y3285" s="819">
        <v>23</v>
      </c>
      <c r="Z3285" s="818"/>
      <c r="AA3285" s="820"/>
      <c r="AB3285" s="820"/>
      <c r="AC3285" s="818"/>
      <c r="AD3285" s="824"/>
      <c r="AE3285" s="824"/>
      <c r="AF3285" s="824"/>
      <c r="AG3285" s="66">
        <f t="shared" si="126"/>
        <v>385.55217391304353</v>
      </c>
      <c r="AH3285" s="143">
        <f t="shared" si="127"/>
        <v>0</v>
      </c>
    </row>
    <row r="3286" spans="1:34" x14ac:dyDescent="0.3">
      <c r="A3286" s="818">
        <v>203229</v>
      </c>
      <c r="B3286" s="819">
        <v>18.75</v>
      </c>
      <c r="C3286" s="819">
        <v>9.8749999999999982</v>
      </c>
      <c r="D3286" s="820">
        <v>7.4608695652173918</v>
      </c>
      <c r="E3286" s="1571">
        <v>2.42</v>
      </c>
      <c r="F3286" s="821">
        <v>2662</v>
      </c>
      <c r="G3286" s="818"/>
      <c r="H3286" s="821">
        <v>4.55</v>
      </c>
      <c r="I3286" s="1339">
        <v>164</v>
      </c>
      <c r="J3286" s="822">
        <v>0.14499999999999999</v>
      </c>
      <c r="K3286" s="819">
        <v>34.130000000000003</v>
      </c>
      <c r="L3286" s="818">
        <v>424</v>
      </c>
      <c r="M3286" s="1061">
        <v>0.2</v>
      </c>
      <c r="N3286" s="1061">
        <v>0.37</v>
      </c>
      <c r="O3286" s="1061">
        <v>1.49</v>
      </c>
      <c r="P3286" s="1061">
        <v>0.79</v>
      </c>
      <c r="Q3286" s="818"/>
      <c r="R3286" s="820">
        <v>0.51281337301364238</v>
      </c>
      <c r="S3286" s="819">
        <v>3.73</v>
      </c>
      <c r="T3286" s="818"/>
      <c r="U3286" s="818"/>
      <c r="V3286" s="818"/>
      <c r="W3286" s="818"/>
      <c r="X3286" s="1340"/>
      <c r="Y3286" s="819">
        <v>28.8</v>
      </c>
      <c r="Z3286" s="818"/>
      <c r="AA3286" s="820"/>
      <c r="AB3286" s="820"/>
      <c r="AC3286" s="818"/>
      <c r="AD3286" s="824"/>
      <c r="AE3286" s="824"/>
      <c r="AF3286" s="824"/>
      <c r="AG3286" s="66">
        <f t="shared" si="126"/>
        <v>419.51458333333341</v>
      </c>
      <c r="AH3286" s="143">
        <f t="shared" si="127"/>
        <v>0</v>
      </c>
    </row>
    <row r="3287" spans="1:34" x14ac:dyDescent="0.3">
      <c r="A3287" s="818">
        <v>203230</v>
      </c>
      <c r="B3287" s="819">
        <v>13.416666666666666</v>
      </c>
      <c r="C3287" s="819">
        <v>8.375</v>
      </c>
      <c r="D3287" s="820">
        <v>8.0434782608695663</v>
      </c>
      <c r="E3287" s="1571">
        <v>0.28000000000000003</v>
      </c>
      <c r="F3287" s="821">
        <v>308.00000000000006</v>
      </c>
      <c r="G3287" s="818"/>
      <c r="H3287" s="821">
        <v>29.14</v>
      </c>
      <c r="I3287" s="1339">
        <v>429</v>
      </c>
      <c r="J3287" s="822">
        <v>0.25700000000000001</v>
      </c>
      <c r="K3287" s="819">
        <v>6.58</v>
      </c>
      <c r="L3287" s="818">
        <v>1199</v>
      </c>
      <c r="M3287" s="1061">
        <v>1.1499999999999999</v>
      </c>
      <c r="N3287" s="1061">
        <v>3.6</v>
      </c>
      <c r="O3287" s="1061">
        <v>11.95</v>
      </c>
      <c r="P3287" s="1061">
        <v>1.71</v>
      </c>
      <c r="Q3287" s="818"/>
      <c r="R3287" s="820">
        <v>1.6414557200000002</v>
      </c>
      <c r="S3287" s="819">
        <v>12.02</v>
      </c>
      <c r="T3287" s="818"/>
      <c r="U3287" s="818"/>
      <c r="V3287" s="818"/>
      <c r="W3287" s="818"/>
      <c r="X3287" s="1341"/>
      <c r="Y3287" s="819">
        <v>36.4</v>
      </c>
      <c r="Z3287" s="818"/>
      <c r="AA3287" s="820">
        <v>3.84</v>
      </c>
      <c r="AB3287" s="820">
        <v>0.39900000000000002</v>
      </c>
      <c r="AC3287" s="818">
        <v>10.7</v>
      </c>
      <c r="AD3287" s="824">
        <v>520</v>
      </c>
      <c r="AE3287" s="824">
        <v>320</v>
      </c>
      <c r="AF3287" s="824">
        <v>160</v>
      </c>
      <c r="AG3287" s="66">
        <f t="shared" si="126"/>
        <v>63.992307692307683</v>
      </c>
      <c r="AH3287" s="143">
        <f t="shared" si="127"/>
        <v>1000</v>
      </c>
    </row>
    <row r="3288" spans="1:34" x14ac:dyDescent="0.3">
      <c r="A3288" s="818">
        <v>203231</v>
      </c>
      <c r="B3288" s="819">
        <v>23.083333333333332</v>
      </c>
      <c r="C3288" s="819">
        <v>9.7499999999999982</v>
      </c>
      <c r="D3288" s="820">
        <v>8.3304347826086964</v>
      </c>
      <c r="E3288" s="1571">
        <v>0.193</v>
      </c>
      <c r="F3288" s="821">
        <v>212.3</v>
      </c>
      <c r="G3288" s="818"/>
      <c r="H3288" s="821">
        <v>4.1500000000000004</v>
      </c>
      <c r="I3288" s="1339">
        <v>312</v>
      </c>
      <c r="J3288" s="822">
        <v>0.20499999999999999</v>
      </c>
      <c r="K3288" s="819">
        <v>6.65</v>
      </c>
      <c r="L3288" s="818">
        <v>805</v>
      </c>
      <c r="M3288" s="1061">
        <v>0.47</v>
      </c>
      <c r="N3288" s="1061">
        <v>0.68</v>
      </c>
      <c r="O3288" s="1061">
        <v>3.7</v>
      </c>
      <c r="P3288" s="1061">
        <v>1.1399999999999999</v>
      </c>
      <c r="Q3288" s="818"/>
      <c r="R3288" s="820">
        <v>1.2625768115577036</v>
      </c>
      <c r="S3288" s="819">
        <v>8.61</v>
      </c>
      <c r="T3288" s="818"/>
      <c r="U3288" s="818"/>
      <c r="V3288" s="818"/>
      <c r="W3288" s="818"/>
      <c r="X3288" s="1340"/>
      <c r="Y3288" s="819">
        <v>21.5</v>
      </c>
      <c r="Z3288" s="818"/>
      <c r="AA3288" s="820">
        <v>4.3099999999999996</v>
      </c>
      <c r="AB3288" s="820">
        <v>0.69099999999999995</v>
      </c>
      <c r="AC3288" s="818">
        <v>8.8000000000000007</v>
      </c>
      <c r="AD3288" s="824">
        <v>430</v>
      </c>
      <c r="AE3288" s="824">
        <v>310</v>
      </c>
      <c r="AF3288" s="824">
        <v>260</v>
      </c>
      <c r="AG3288" s="66">
        <f t="shared" si="126"/>
        <v>109.49302325581395</v>
      </c>
      <c r="AH3288" s="143">
        <f t="shared" si="127"/>
        <v>1000</v>
      </c>
    </row>
    <row r="3289" spans="1:34" x14ac:dyDescent="0.3">
      <c r="A3289" s="818">
        <v>203232</v>
      </c>
      <c r="B3289" s="819">
        <v>21.666666666666664</v>
      </c>
      <c r="C3289" s="819">
        <v>10.875</v>
      </c>
      <c r="D3289" s="820">
        <v>8</v>
      </c>
      <c r="E3289" s="1571">
        <v>0.222</v>
      </c>
      <c r="F3289" s="821">
        <v>244.20000000000002</v>
      </c>
      <c r="G3289" s="818"/>
      <c r="H3289" s="821">
        <v>74.37</v>
      </c>
      <c r="I3289" s="1339">
        <v>407</v>
      </c>
      <c r="J3289" s="822">
        <v>0.21099999999999999</v>
      </c>
      <c r="K3289" s="819">
        <v>6.7</v>
      </c>
      <c r="L3289" s="818">
        <v>980</v>
      </c>
      <c r="M3289" s="1061">
        <v>0.67</v>
      </c>
      <c r="N3289" s="1061">
        <v>0.79</v>
      </c>
      <c r="O3289" s="1061">
        <v>2.99</v>
      </c>
      <c r="P3289" s="1061">
        <v>0.72</v>
      </c>
      <c r="Q3289" s="818"/>
      <c r="R3289" s="820">
        <v>1.9170259751566472</v>
      </c>
      <c r="S3289" s="557">
        <f>R3289*10</f>
        <v>19.170259751566473</v>
      </c>
      <c r="T3289" s="818"/>
      <c r="U3289" s="818"/>
      <c r="V3289" s="818"/>
      <c r="W3289" s="818"/>
      <c r="X3289" s="1341"/>
      <c r="Y3289" s="819">
        <v>30.8</v>
      </c>
      <c r="Z3289" s="818"/>
      <c r="AA3289" s="820">
        <v>4.84</v>
      </c>
      <c r="AB3289" s="820">
        <v>0.55500000000000005</v>
      </c>
      <c r="AC3289" s="818">
        <v>8.6</v>
      </c>
      <c r="AD3289" s="824">
        <v>440</v>
      </c>
      <c r="AE3289" s="824">
        <v>320</v>
      </c>
      <c r="AF3289" s="824">
        <v>240</v>
      </c>
      <c r="AG3289" s="66">
        <f t="shared" si="126"/>
        <v>77.006493506493513</v>
      </c>
      <c r="AH3289" s="143">
        <f t="shared" si="127"/>
        <v>1000</v>
      </c>
    </row>
    <row r="3290" spans="1:34" x14ac:dyDescent="0.3">
      <c r="A3290" s="818">
        <v>203233</v>
      </c>
      <c r="B3290" s="819">
        <v>20.833333333333332</v>
      </c>
      <c r="C3290" s="819">
        <v>12.249999999999998</v>
      </c>
      <c r="D3290" s="820">
        <v>8.2000000000000011</v>
      </c>
      <c r="E3290" s="1571">
        <v>0.32700000000000001</v>
      </c>
      <c r="F3290" s="821">
        <v>359.70000000000005</v>
      </c>
      <c r="G3290" s="818"/>
      <c r="H3290" s="821">
        <v>5.49</v>
      </c>
      <c r="I3290" s="1339">
        <v>201</v>
      </c>
      <c r="J3290" s="822">
        <v>0.32800000000000001</v>
      </c>
      <c r="K3290" s="819">
        <v>7.08</v>
      </c>
      <c r="L3290" s="818">
        <v>801</v>
      </c>
      <c r="M3290" s="1061">
        <v>0.28000000000000003</v>
      </c>
      <c r="N3290" s="1061">
        <v>0.43</v>
      </c>
      <c r="O3290" s="1061">
        <v>7.07</v>
      </c>
      <c r="P3290" s="1061">
        <v>1</v>
      </c>
      <c r="Q3290" s="818"/>
      <c r="R3290" s="820">
        <v>0.97068736887022367</v>
      </c>
      <c r="S3290" s="819">
        <v>7.27</v>
      </c>
      <c r="T3290" s="818"/>
      <c r="U3290" s="818"/>
      <c r="V3290" s="818"/>
      <c r="W3290" s="818"/>
      <c r="X3290" s="1340"/>
      <c r="Y3290" s="819">
        <v>35</v>
      </c>
      <c r="Z3290" s="818"/>
      <c r="AA3290" s="820">
        <v>4.8099999999999996</v>
      </c>
      <c r="AB3290" s="820">
        <v>0.439</v>
      </c>
      <c r="AC3290" s="818">
        <v>9.1</v>
      </c>
      <c r="AD3290" s="824">
        <v>500</v>
      </c>
      <c r="AE3290" s="824">
        <v>300</v>
      </c>
      <c r="AF3290" s="824">
        <v>200</v>
      </c>
      <c r="AG3290" s="66">
        <f t="shared" si="126"/>
        <v>71.609142857142857</v>
      </c>
      <c r="AH3290" s="143">
        <f t="shared" si="127"/>
        <v>1000</v>
      </c>
    </row>
    <row r="3291" spans="1:34" x14ac:dyDescent="0.3">
      <c r="A3291" s="818">
        <v>203234</v>
      </c>
      <c r="B3291" s="819">
        <v>43.833333333333336</v>
      </c>
      <c r="C3291" s="819">
        <v>8.75</v>
      </c>
      <c r="D3291" s="820">
        <v>7.9652173913043489</v>
      </c>
      <c r="E3291" s="1571">
        <v>0.14099999999999999</v>
      </c>
      <c r="F3291" s="821">
        <v>155.1</v>
      </c>
      <c r="G3291" s="818"/>
      <c r="H3291" s="821">
        <v>6.46</v>
      </c>
      <c r="I3291" s="1339">
        <v>36</v>
      </c>
      <c r="J3291" s="822">
        <v>6.7000000000000004E-2</v>
      </c>
      <c r="K3291" s="819">
        <v>5.26</v>
      </c>
      <c r="L3291" s="818">
        <v>339</v>
      </c>
      <c r="M3291" s="1061">
        <v>1.76</v>
      </c>
      <c r="N3291" s="1061">
        <v>0.21</v>
      </c>
      <c r="O3291" s="1061">
        <v>1.01</v>
      </c>
      <c r="P3291" s="1061">
        <v>6.26</v>
      </c>
      <c r="Q3291" s="818"/>
      <c r="R3291" s="820">
        <v>2.0982603200000001</v>
      </c>
      <c r="S3291" s="819">
        <v>30.32</v>
      </c>
      <c r="T3291" s="818"/>
      <c r="U3291" s="818"/>
      <c r="V3291" s="818"/>
      <c r="W3291" s="818"/>
      <c r="X3291" s="1341"/>
      <c r="Y3291" s="819">
        <v>18</v>
      </c>
      <c r="Z3291" s="818"/>
      <c r="AA3291" s="820">
        <v>4.4400000000000004</v>
      </c>
      <c r="AB3291" s="820">
        <v>0.66100000000000003</v>
      </c>
      <c r="AC3291" s="818">
        <v>9.1999999999999993</v>
      </c>
      <c r="AD3291" s="824">
        <v>360</v>
      </c>
      <c r="AE3291" s="824">
        <v>300</v>
      </c>
      <c r="AF3291" s="824">
        <v>340</v>
      </c>
      <c r="AG3291" s="66">
        <f t="shared" si="126"/>
        <v>103.44666666666666</v>
      </c>
      <c r="AH3291" s="143">
        <f t="shared" si="127"/>
        <v>1000</v>
      </c>
    </row>
    <row r="3292" spans="1:34" x14ac:dyDescent="0.3">
      <c r="A3292" s="818">
        <v>203235</v>
      </c>
      <c r="B3292" s="819">
        <v>35.833333333333336</v>
      </c>
      <c r="C3292" s="819">
        <v>6.375</v>
      </c>
      <c r="D3292" s="820">
        <v>8.0260869565217394</v>
      </c>
      <c r="E3292" s="1571">
        <v>0.121</v>
      </c>
      <c r="F3292" s="821">
        <v>133.1</v>
      </c>
      <c r="G3292" s="818"/>
      <c r="H3292" s="821">
        <v>0.78</v>
      </c>
      <c r="I3292" s="1339">
        <v>13</v>
      </c>
      <c r="J3292" s="822">
        <v>4.8000000000000001E-2</v>
      </c>
      <c r="K3292" s="819">
        <v>4.5999999999999996</v>
      </c>
      <c r="L3292" s="818">
        <v>212</v>
      </c>
      <c r="M3292" s="1061">
        <v>0.25</v>
      </c>
      <c r="N3292" s="1061">
        <v>0.41</v>
      </c>
      <c r="O3292" s="1061">
        <v>0.42</v>
      </c>
      <c r="P3292" s="1061">
        <v>5.5</v>
      </c>
      <c r="Q3292" s="818"/>
      <c r="R3292" s="820">
        <v>1.7839130000000001</v>
      </c>
      <c r="S3292" s="819">
        <v>16.100000000000001</v>
      </c>
      <c r="T3292" s="818"/>
      <c r="U3292" s="818"/>
      <c r="V3292" s="818"/>
      <c r="W3292" s="818"/>
      <c r="X3292" s="1340"/>
      <c r="Y3292" s="819">
        <v>29.4</v>
      </c>
      <c r="Z3292" s="818"/>
      <c r="AA3292" s="820"/>
      <c r="AB3292" s="820"/>
      <c r="AC3292" s="818"/>
      <c r="AD3292" s="824"/>
      <c r="AE3292" s="824"/>
      <c r="AF3292" s="824"/>
      <c r="AG3292" s="66">
        <f t="shared" si="126"/>
        <v>55.387755102040813</v>
      </c>
      <c r="AH3292" s="143">
        <f t="shared" si="127"/>
        <v>0</v>
      </c>
    </row>
    <row r="3293" spans="1:34" s="70" customFormat="1" x14ac:dyDescent="0.3">
      <c r="A3293" s="824">
        <v>203236</v>
      </c>
      <c r="B3293" s="1342">
        <v>75.666666666666657</v>
      </c>
      <c r="C3293" s="1342">
        <v>12.999999999999998</v>
      </c>
      <c r="D3293" s="1343">
        <v>8.0608695652173914</v>
      </c>
      <c r="E3293" s="1584">
        <v>0.16800000000000001</v>
      </c>
      <c r="F3293" s="1344">
        <v>184.8</v>
      </c>
      <c r="G3293" s="824"/>
      <c r="H3293" s="1344">
        <v>4.05</v>
      </c>
      <c r="I3293" s="1345">
        <v>105</v>
      </c>
      <c r="J3293" s="1346">
        <v>0.13300000000000001</v>
      </c>
      <c r="K3293" s="1342">
        <v>7.63</v>
      </c>
      <c r="L3293" s="824">
        <v>997</v>
      </c>
      <c r="M3293" s="1091">
        <v>0.16</v>
      </c>
      <c r="N3293" s="1091">
        <v>0.27</v>
      </c>
      <c r="O3293" s="1091">
        <v>0.98</v>
      </c>
      <c r="P3293" s="1091">
        <v>1.45</v>
      </c>
      <c r="Q3293" s="824"/>
      <c r="R3293" s="1343">
        <v>1.85825825</v>
      </c>
      <c r="S3293" s="1342">
        <v>18.55</v>
      </c>
      <c r="T3293" s="824"/>
      <c r="U3293" s="824"/>
      <c r="V3293" s="824"/>
      <c r="W3293" s="824"/>
      <c r="X3293" s="1341"/>
      <c r="Y3293" s="1342">
        <v>7</v>
      </c>
      <c r="Z3293" s="824"/>
      <c r="AA3293" s="1343">
        <v>3.77</v>
      </c>
      <c r="AB3293" s="1343">
        <v>0.59499999999999997</v>
      </c>
      <c r="AC3293" s="824">
        <v>9.6</v>
      </c>
      <c r="AD3293" s="824">
        <v>100</v>
      </c>
      <c r="AE3293" s="824">
        <v>60</v>
      </c>
      <c r="AF3293" s="824">
        <v>840</v>
      </c>
      <c r="AG3293" s="66">
        <f t="shared" si="126"/>
        <v>385.86</v>
      </c>
      <c r="AH3293" s="143">
        <f t="shared" si="127"/>
        <v>1000</v>
      </c>
    </row>
    <row r="3294" spans="1:34" x14ac:dyDescent="0.3">
      <c r="A3294" s="818">
        <v>203237</v>
      </c>
      <c r="B3294" s="819">
        <v>80</v>
      </c>
      <c r="C3294" s="819">
        <v>13.75</v>
      </c>
      <c r="D3294" s="820">
        <v>8.1304347826086953</v>
      </c>
      <c r="E3294" s="1571">
        <v>0.157</v>
      </c>
      <c r="F3294" s="821">
        <v>172.70000000000002</v>
      </c>
      <c r="G3294" s="818"/>
      <c r="H3294" s="821">
        <v>4.68</v>
      </c>
      <c r="I3294" s="1339">
        <v>106</v>
      </c>
      <c r="J3294" s="822">
        <v>0.08</v>
      </c>
      <c r="K3294" s="819">
        <v>7.08</v>
      </c>
      <c r="L3294" s="818">
        <v>910</v>
      </c>
      <c r="M3294" s="1061">
        <v>0.17</v>
      </c>
      <c r="N3294" s="1061">
        <v>0.25</v>
      </c>
      <c r="O3294" s="1061">
        <v>0.8</v>
      </c>
      <c r="P3294" s="1061">
        <v>1.38</v>
      </c>
      <c r="Q3294" s="818"/>
      <c r="R3294" s="820">
        <v>1.9892720000000002</v>
      </c>
      <c r="S3294" s="819">
        <v>23.799999999999997</v>
      </c>
      <c r="T3294" s="818"/>
      <c r="U3294" s="818"/>
      <c r="V3294" s="818"/>
      <c r="W3294" s="818"/>
      <c r="X3294" s="1340"/>
      <c r="Y3294" s="819">
        <v>30</v>
      </c>
      <c r="Z3294" s="818"/>
      <c r="AA3294" s="820"/>
      <c r="AB3294" s="820"/>
      <c r="AC3294" s="818"/>
      <c r="AD3294" s="824"/>
      <c r="AE3294" s="824"/>
      <c r="AF3294" s="824"/>
      <c r="AG3294" s="66">
        <f t="shared" si="126"/>
        <v>83.544000000000011</v>
      </c>
      <c r="AH3294" s="143">
        <f t="shared" si="127"/>
        <v>0</v>
      </c>
    </row>
    <row r="3295" spans="1:34" x14ac:dyDescent="0.3">
      <c r="A3295" s="818">
        <v>203238</v>
      </c>
      <c r="B3295" s="819">
        <v>55.999999999999993</v>
      </c>
      <c r="C3295" s="819">
        <v>9.7499999999999982</v>
      </c>
      <c r="D3295" s="820">
        <v>8.0695652173913039</v>
      </c>
      <c r="E3295" s="1571">
        <v>0.13</v>
      </c>
      <c r="F3295" s="821">
        <v>143.00000000000003</v>
      </c>
      <c r="G3295" s="818"/>
      <c r="H3295" s="821">
        <v>0.83</v>
      </c>
      <c r="I3295" s="1339">
        <v>63</v>
      </c>
      <c r="J3295" s="822">
        <v>9.7000000000000003E-2</v>
      </c>
      <c r="K3295" s="819">
        <v>6.83</v>
      </c>
      <c r="L3295" s="818">
        <v>649</v>
      </c>
      <c r="M3295" s="1061">
        <v>0.21</v>
      </c>
      <c r="N3295" s="1061">
        <v>0.22</v>
      </c>
      <c r="O3295" s="1061">
        <v>1.03</v>
      </c>
      <c r="P3295" s="1061">
        <v>2.25</v>
      </c>
      <c r="Q3295" s="818"/>
      <c r="R3295" s="820">
        <v>1.8975013700000003</v>
      </c>
      <c r="S3295" s="819">
        <v>19.970000000000002</v>
      </c>
      <c r="T3295" s="818"/>
      <c r="U3295" s="818"/>
      <c r="V3295" s="818"/>
      <c r="W3295" s="818"/>
      <c r="X3295" s="1341"/>
      <c r="Y3295" s="819">
        <v>22</v>
      </c>
      <c r="Z3295" s="818"/>
      <c r="AA3295" s="820">
        <v>3.85</v>
      </c>
      <c r="AB3295" s="820">
        <v>0.82199999999999995</v>
      </c>
      <c r="AC3295" s="818">
        <v>7.1</v>
      </c>
      <c r="AD3295" s="824">
        <v>440</v>
      </c>
      <c r="AE3295" s="824">
        <v>300</v>
      </c>
      <c r="AF3295" s="824">
        <v>260</v>
      </c>
      <c r="AG3295" s="66">
        <f t="shared" si="126"/>
        <v>109.9009090909091</v>
      </c>
      <c r="AH3295" s="143">
        <f t="shared" si="127"/>
        <v>1000</v>
      </c>
    </row>
    <row r="3296" spans="1:34" x14ac:dyDescent="0.3">
      <c r="A3296" s="818">
        <v>203239</v>
      </c>
      <c r="B3296" s="819">
        <v>57.499999999999993</v>
      </c>
      <c r="C3296" s="819">
        <v>11.749999999999998</v>
      </c>
      <c r="D3296" s="820">
        <v>8.1913043478260867</v>
      </c>
      <c r="E3296" s="1571">
        <v>0.13700000000000001</v>
      </c>
      <c r="F3296" s="821">
        <v>150.70000000000002</v>
      </c>
      <c r="G3296" s="818"/>
      <c r="H3296" s="821">
        <v>2.71</v>
      </c>
      <c r="I3296" s="1339">
        <v>38</v>
      </c>
      <c r="J3296" s="822">
        <v>0.13100000000000001</v>
      </c>
      <c r="K3296" s="819">
        <v>6.93</v>
      </c>
      <c r="L3296" s="818">
        <v>742</v>
      </c>
      <c r="M3296" s="1061">
        <v>0.19</v>
      </c>
      <c r="N3296" s="1061">
        <v>0.24</v>
      </c>
      <c r="O3296" s="1061">
        <v>0.66</v>
      </c>
      <c r="P3296" s="1061">
        <v>1.85</v>
      </c>
      <c r="Q3296" s="818"/>
      <c r="R3296" s="820">
        <v>1.8352036800000002</v>
      </c>
      <c r="S3296" s="819">
        <v>17.760000000000002</v>
      </c>
      <c r="T3296" s="818"/>
      <c r="U3296" s="818"/>
      <c r="V3296" s="818"/>
      <c r="W3296" s="818"/>
      <c r="X3296" s="1340"/>
      <c r="Y3296" s="819">
        <v>30.1</v>
      </c>
      <c r="Z3296" s="818"/>
      <c r="AA3296" s="820"/>
      <c r="AB3296" s="820"/>
      <c r="AC3296" s="818"/>
      <c r="AD3296" s="824"/>
      <c r="AE3296" s="824"/>
      <c r="AF3296" s="824"/>
      <c r="AG3296" s="66">
        <f t="shared" si="126"/>
        <v>81.50232558139534</v>
      </c>
      <c r="AH3296" s="143">
        <f t="shared" si="127"/>
        <v>0</v>
      </c>
    </row>
    <row r="3297" spans="1:34" x14ac:dyDescent="0.3">
      <c r="A3297" s="818">
        <v>203240</v>
      </c>
      <c r="B3297" s="819">
        <v>50.333333333333329</v>
      </c>
      <c r="C3297" s="819">
        <v>12.874999999999998</v>
      </c>
      <c r="D3297" s="820">
        <v>8</v>
      </c>
      <c r="E3297" s="1571">
        <v>0.151</v>
      </c>
      <c r="F3297" s="821">
        <v>166.1</v>
      </c>
      <c r="G3297" s="818"/>
      <c r="H3297" s="821">
        <v>5.3</v>
      </c>
      <c r="I3297" s="1339">
        <v>38</v>
      </c>
      <c r="J3297" s="822">
        <v>0.19900000000000001</v>
      </c>
      <c r="K3297" s="819">
        <v>7.38</v>
      </c>
      <c r="L3297" s="818">
        <v>626</v>
      </c>
      <c r="M3297" s="1061">
        <v>0.28000000000000003</v>
      </c>
      <c r="N3297" s="1061">
        <v>0.33</v>
      </c>
      <c r="O3297" s="1061">
        <v>0.96</v>
      </c>
      <c r="P3297" s="1061">
        <v>3.63</v>
      </c>
      <c r="Q3297" s="818"/>
      <c r="R3297" s="820">
        <v>2.0903267300000001</v>
      </c>
      <c r="S3297" s="819">
        <v>29.689999999999998</v>
      </c>
      <c r="T3297" s="818"/>
      <c r="U3297" s="818"/>
      <c r="V3297" s="818"/>
      <c r="W3297" s="818"/>
      <c r="X3297" s="1341"/>
      <c r="Y3297" s="819">
        <v>34.299999999999997</v>
      </c>
      <c r="Z3297" s="818"/>
      <c r="AA3297" s="820">
        <v>3.62</v>
      </c>
      <c r="AB3297" s="820">
        <v>0.45500000000000002</v>
      </c>
      <c r="AC3297" s="818">
        <v>9.1</v>
      </c>
      <c r="AD3297" s="824">
        <v>490</v>
      </c>
      <c r="AE3297" s="824">
        <v>320</v>
      </c>
      <c r="AF3297" s="824">
        <v>190</v>
      </c>
      <c r="AG3297" s="66">
        <f t="shared" si="126"/>
        <v>76.166763848396513</v>
      </c>
      <c r="AH3297" s="143">
        <f t="shared" si="127"/>
        <v>1000</v>
      </c>
    </row>
    <row r="3298" spans="1:34" x14ac:dyDescent="0.3">
      <c r="A3298" s="818">
        <v>203241</v>
      </c>
      <c r="B3298" s="819">
        <v>54.166666666666664</v>
      </c>
      <c r="C3298" s="819">
        <v>12.75</v>
      </c>
      <c r="D3298" s="820">
        <v>8.0260869565217394</v>
      </c>
      <c r="E3298" s="1571">
        <v>0.19700000000000001</v>
      </c>
      <c r="F3298" s="821">
        <v>216.70000000000005</v>
      </c>
      <c r="G3298" s="818"/>
      <c r="H3298" s="821">
        <v>2.48</v>
      </c>
      <c r="I3298" s="1339">
        <v>35</v>
      </c>
      <c r="J3298" s="822">
        <v>0.19400000000000001</v>
      </c>
      <c r="K3298" s="819">
        <v>7.76</v>
      </c>
      <c r="L3298" s="818">
        <v>653</v>
      </c>
      <c r="M3298" s="1061">
        <v>0.28999999999999998</v>
      </c>
      <c r="N3298" s="1061">
        <v>0.25</v>
      </c>
      <c r="O3298" s="1061">
        <v>0.55000000000000004</v>
      </c>
      <c r="P3298" s="1061">
        <v>2.59</v>
      </c>
      <c r="Q3298" s="818"/>
      <c r="R3298" s="820">
        <v>2.0882233700000001</v>
      </c>
      <c r="S3298" s="819">
        <v>29.529999999999998</v>
      </c>
      <c r="T3298" s="818"/>
      <c r="U3298" s="818"/>
      <c r="V3298" s="818"/>
      <c r="W3298" s="818"/>
      <c r="X3298" s="1340"/>
      <c r="Y3298" s="819">
        <v>24</v>
      </c>
      <c r="Z3298" s="818"/>
      <c r="AA3298" s="820"/>
      <c r="AB3298" s="820"/>
      <c r="AC3298" s="818"/>
      <c r="AD3298" s="824"/>
      <c r="AE3298" s="824"/>
      <c r="AF3298" s="824"/>
      <c r="AG3298" s="66">
        <f t="shared" si="126"/>
        <v>114.46</v>
      </c>
      <c r="AH3298" s="143">
        <f t="shared" si="127"/>
        <v>0</v>
      </c>
    </row>
    <row r="3299" spans="1:34" x14ac:dyDescent="0.3">
      <c r="A3299" s="1032">
        <v>203242</v>
      </c>
      <c r="B3299" s="1018">
        <v>0.1</v>
      </c>
      <c r="C3299" s="1018"/>
      <c r="D3299" s="1019">
        <v>7.91</v>
      </c>
      <c r="E3299" s="1579">
        <v>0.14299999999999999</v>
      </c>
      <c r="F3299" s="1017">
        <v>157.29999999999998</v>
      </c>
      <c r="G3299" s="1032"/>
      <c r="H3299" s="1017">
        <v>35.99</v>
      </c>
      <c r="I3299" s="1017">
        <v>680</v>
      </c>
      <c r="J3299" s="1305">
        <v>0.13500000000000001</v>
      </c>
      <c r="K3299" s="1018">
        <v>3.63</v>
      </c>
      <c r="L3299" s="1032">
        <v>970</v>
      </c>
      <c r="M3299" s="1365">
        <v>0.43</v>
      </c>
      <c r="N3299" s="1366">
        <v>1.1499999999999999</v>
      </c>
      <c r="O3299" s="1365">
        <v>8.32</v>
      </c>
      <c r="P3299" s="1365">
        <v>3.5</v>
      </c>
      <c r="Q3299" s="1032"/>
      <c r="R3299" s="1019">
        <v>1.5927516800000001</v>
      </c>
      <c r="S3299" s="1018">
        <v>10.76</v>
      </c>
      <c r="T3299" s="1032"/>
      <c r="U3299" s="1032"/>
      <c r="V3299" s="1032"/>
      <c r="W3299" s="1032"/>
      <c r="X3299" s="1032"/>
      <c r="Y3299" s="1018">
        <v>24</v>
      </c>
      <c r="Z3299" s="1032"/>
      <c r="AA3299" s="1019">
        <v>4.53</v>
      </c>
      <c r="AB3299" s="1019">
        <v>0.64800000000000002</v>
      </c>
      <c r="AC3299" s="1032">
        <v>6.6</v>
      </c>
      <c r="AD3299" s="1033">
        <v>480</v>
      </c>
      <c r="AE3299" s="1033">
        <v>340</v>
      </c>
      <c r="AF3299" s="1033">
        <v>180</v>
      </c>
      <c r="AG3299" s="66">
        <f t="shared" si="126"/>
        <v>53.542499999999997</v>
      </c>
      <c r="AH3299" s="143">
        <f t="shared" si="127"/>
        <v>1000</v>
      </c>
    </row>
    <row r="3300" spans="1:34" x14ac:dyDescent="0.3">
      <c r="A3300" s="1032">
        <v>203243</v>
      </c>
      <c r="B3300" s="1018">
        <v>4.7222222222222214</v>
      </c>
      <c r="C3300" s="1018"/>
      <c r="D3300" s="1019">
        <v>8.1999999999999993</v>
      </c>
      <c r="E3300" s="1579">
        <v>0.15</v>
      </c>
      <c r="F3300" s="1017">
        <v>165</v>
      </c>
      <c r="G3300" s="1032"/>
      <c r="H3300" s="1017">
        <v>17.440000000000001</v>
      </c>
      <c r="I3300" s="1017">
        <v>330</v>
      </c>
      <c r="J3300" s="1305">
        <v>5.3999999999999999E-2</v>
      </c>
      <c r="K3300" s="1018">
        <v>5.78</v>
      </c>
      <c r="L3300" s="1032">
        <v>500</v>
      </c>
      <c r="M3300" s="1365">
        <v>0.43</v>
      </c>
      <c r="N3300" s="1366">
        <v>0.55000000000000004</v>
      </c>
      <c r="O3300" s="1365">
        <v>7.59</v>
      </c>
      <c r="P3300" s="1365">
        <v>2.54</v>
      </c>
      <c r="Q3300" s="1032"/>
      <c r="R3300" s="1019">
        <v>1.7078820800000001</v>
      </c>
      <c r="S3300" s="1018">
        <v>13.84</v>
      </c>
      <c r="T3300" s="1032"/>
      <c r="U3300" s="1032"/>
      <c r="V3300" s="1032"/>
      <c r="W3300" s="1032"/>
      <c r="X3300" s="1032"/>
      <c r="Y3300" s="1018">
        <v>32.200000000000003</v>
      </c>
      <c r="Z3300" s="1032"/>
      <c r="AA3300" s="1019">
        <v>4.04</v>
      </c>
      <c r="AB3300" s="1019">
        <v>0.81100000000000005</v>
      </c>
      <c r="AC3300" s="1032">
        <v>8.6</v>
      </c>
      <c r="AD3300" s="1033">
        <v>460</v>
      </c>
      <c r="AE3300" s="1033">
        <v>280</v>
      </c>
      <c r="AF3300" s="1033">
        <v>260</v>
      </c>
      <c r="AG3300" s="66">
        <f t="shared" si="126"/>
        <v>63.544099378881988</v>
      </c>
      <c r="AH3300" s="143">
        <f t="shared" si="127"/>
        <v>1000</v>
      </c>
    </row>
    <row r="3301" spans="1:34" x14ac:dyDescent="0.3">
      <c r="A3301" s="1032">
        <v>203244</v>
      </c>
      <c r="B3301" s="1018">
        <v>0.33333333333333331</v>
      </c>
      <c r="C3301" s="1018"/>
      <c r="D3301" s="1019">
        <v>8.32</v>
      </c>
      <c r="E3301" s="1579">
        <v>0.126</v>
      </c>
      <c r="F3301" s="1017">
        <v>138.6</v>
      </c>
      <c r="G3301" s="1032"/>
      <c r="H3301" s="1017">
        <v>35.86</v>
      </c>
      <c r="I3301" s="1017">
        <v>600</v>
      </c>
      <c r="J3301" s="1305">
        <v>3.4000000000000002E-2</v>
      </c>
      <c r="K3301" s="1018">
        <v>3.86</v>
      </c>
      <c r="L3301" s="1032">
        <v>410</v>
      </c>
      <c r="M3301" s="1365">
        <v>0.55000000000000004</v>
      </c>
      <c r="N3301" s="1366">
        <v>0.82</v>
      </c>
      <c r="O3301" s="1365">
        <v>10.55</v>
      </c>
      <c r="P3301" s="1365">
        <v>3.5</v>
      </c>
      <c r="Q3301" s="1032"/>
      <c r="R3301" s="1019">
        <v>1.71279972</v>
      </c>
      <c r="S3301" s="1018">
        <v>13.98</v>
      </c>
      <c r="T3301" s="1032"/>
      <c r="U3301" s="1032"/>
      <c r="V3301" s="1032"/>
      <c r="W3301" s="1032"/>
      <c r="X3301" s="1032"/>
      <c r="Y3301" s="1018">
        <v>27</v>
      </c>
      <c r="Z3301" s="1032"/>
      <c r="AA3301" s="1019">
        <v>3.87</v>
      </c>
      <c r="AB3301" s="1019">
        <v>0.61099999999999999</v>
      </c>
      <c r="AC3301" s="1032">
        <v>9.1</v>
      </c>
      <c r="AD3301" s="1033">
        <v>540</v>
      </c>
      <c r="AE3301" s="1033">
        <v>280</v>
      </c>
      <c r="AF3301" s="1033">
        <v>180</v>
      </c>
      <c r="AG3301" s="66">
        <f t="shared" si="126"/>
        <v>50.608888888888892</v>
      </c>
      <c r="AH3301" s="143">
        <f t="shared" si="127"/>
        <v>1000</v>
      </c>
    </row>
    <row r="3302" spans="1:34" x14ac:dyDescent="0.3">
      <c r="A3302" s="1032">
        <v>203245</v>
      </c>
      <c r="B3302" s="1018">
        <v>6.5277777777777768</v>
      </c>
      <c r="C3302" s="1018"/>
      <c r="D3302" s="1019">
        <v>8.43</v>
      </c>
      <c r="E3302" s="1579">
        <v>0.23499999999999999</v>
      </c>
      <c r="F3302" s="1017">
        <v>258.5</v>
      </c>
      <c r="G3302" s="1032"/>
      <c r="H3302" s="1017">
        <v>7.6</v>
      </c>
      <c r="I3302" s="1017">
        <v>240</v>
      </c>
      <c r="J3302" s="1305">
        <v>0.14699999999999999</v>
      </c>
      <c r="K3302" s="1018">
        <v>6.54</v>
      </c>
      <c r="L3302" s="1032">
        <v>580</v>
      </c>
      <c r="M3302" s="1365">
        <v>0.91</v>
      </c>
      <c r="N3302" s="1366">
        <v>0.67</v>
      </c>
      <c r="O3302" s="1365">
        <v>5.36</v>
      </c>
      <c r="P3302" s="1365">
        <v>1.73</v>
      </c>
      <c r="Q3302" s="1032"/>
      <c r="R3302" s="1019">
        <v>1.5134271874532914</v>
      </c>
      <c r="S3302" s="1018">
        <v>9.8800000000000008</v>
      </c>
      <c r="T3302" s="1032"/>
      <c r="U3302" s="1032"/>
      <c r="V3302" s="1032"/>
      <c r="W3302" s="1032"/>
      <c r="X3302" s="1032"/>
      <c r="Y3302" s="1018">
        <v>31.2</v>
      </c>
      <c r="Z3302" s="1032"/>
      <c r="AA3302" s="1019">
        <v>4.37</v>
      </c>
      <c r="AB3302" s="1019">
        <v>0.83399999999999996</v>
      </c>
      <c r="AC3302" s="1032">
        <v>7.4</v>
      </c>
      <c r="AD3302" s="1033">
        <v>520</v>
      </c>
      <c r="AE3302" s="1033">
        <v>320</v>
      </c>
      <c r="AF3302" s="1033">
        <v>160</v>
      </c>
      <c r="AG3302" s="66">
        <f t="shared" si="126"/>
        <v>74.203846153846172</v>
      </c>
      <c r="AH3302" s="143">
        <f t="shared" si="127"/>
        <v>1000</v>
      </c>
    </row>
    <row r="3303" spans="1:34" x14ac:dyDescent="0.3">
      <c r="A3303" s="1032">
        <v>203246</v>
      </c>
      <c r="B3303" s="1018">
        <v>12.75</v>
      </c>
      <c r="C3303" s="1018">
        <v>6.375</v>
      </c>
      <c r="D3303" s="1019">
        <v>8.52</v>
      </c>
      <c r="E3303" s="1579">
        <v>0.189</v>
      </c>
      <c r="F3303" s="1017">
        <v>207.90000000000003</v>
      </c>
      <c r="G3303" s="1032"/>
      <c r="H3303" s="1017">
        <v>167.56</v>
      </c>
      <c r="I3303" s="1017">
        <v>330</v>
      </c>
      <c r="J3303" s="1305">
        <v>0.11</v>
      </c>
      <c r="K3303" s="1018">
        <v>7.79</v>
      </c>
      <c r="L3303" s="1032">
        <v>790</v>
      </c>
      <c r="M3303" s="1365">
        <v>1.79</v>
      </c>
      <c r="N3303" s="1366">
        <v>1.58</v>
      </c>
      <c r="O3303" s="1365">
        <v>6.04</v>
      </c>
      <c r="P3303" s="1365">
        <v>2.4900000000000002</v>
      </c>
      <c r="Q3303" s="1032"/>
      <c r="R3303" s="1019">
        <v>1.77908825</v>
      </c>
      <c r="S3303" s="1018">
        <v>15.95</v>
      </c>
      <c r="T3303" s="1032"/>
      <c r="U3303" s="1032"/>
      <c r="V3303" s="1032"/>
      <c r="W3303" s="1032"/>
      <c r="X3303" s="1032"/>
      <c r="Y3303" s="1018">
        <v>32.200000000000003</v>
      </c>
      <c r="Z3303" s="1032"/>
      <c r="AA3303" s="1019">
        <v>3.48</v>
      </c>
      <c r="AB3303" s="1019">
        <v>0.60299999999999998</v>
      </c>
      <c r="AC3303" s="1032">
        <v>10</v>
      </c>
      <c r="AD3303" s="1033">
        <v>560</v>
      </c>
      <c r="AE3303" s="1033">
        <v>360</v>
      </c>
      <c r="AF3303" s="1033">
        <v>80</v>
      </c>
      <c r="AG3303" s="66">
        <f t="shared" si="126"/>
        <v>85.641614906832288</v>
      </c>
      <c r="AH3303" s="143">
        <f t="shared" si="127"/>
        <v>1000</v>
      </c>
    </row>
    <row r="3304" spans="1:34" x14ac:dyDescent="0.3">
      <c r="A3304" s="1032">
        <v>203247</v>
      </c>
      <c r="B3304" s="1018">
        <v>0.2</v>
      </c>
      <c r="C3304" s="1018"/>
      <c r="D3304" s="1019">
        <v>8.11</v>
      </c>
      <c r="E3304" s="1579">
        <v>0.123</v>
      </c>
      <c r="F3304" s="1017">
        <v>135.30000000000001</v>
      </c>
      <c r="G3304" s="1032"/>
      <c r="H3304" s="1017">
        <v>43.86</v>
      </c>
      <c r="I3304" s="1017">
        <v>60</v>
      </c>
      <c r="J3304" s="1305">
        <v>1.4999999999999999E-2</v>
      </c>
      <c r="K3304" s="1018">
        <v>2.82</v>
      </c>
      <c r="L3304" s="1032">
        <v>90</v>
      </c>
      <c r="M3304" s="1365">
        <v>0.51</v>
      </c>
      <c r="N3304" s="1366">
        <v>0.19</v>
      </c>
      <c r="O3304" s="1365">
        <v>6.53</v>
      </c>
      <c r="P3304" s="1365">
        <v>3.12</v>
      </c>
      <c r="Q3304" s="1032"/>
      <c r="R3304" s="1019">
        <v>0.87060221322211451</v>
      </c>
      <c r="S3304" s="1018">
        <v>5.95</v>
      </c>
      <c r="T3304" s="1032"/>
      <c r="U3304" s="1032"/>
      <c r="V3304" s="1032"/>
      <c r="W3304" s="1032"/>
      <c r="X3304" s="1032"/>
      <c r="Y3304" s="1018">
        <v>5.6</v>
      </c>
      <c r="Z3304" s="1032"/>
      <c r="AA3304" s="1019">
        <v>4.32</v>
      </c>
      <c r="AB3304" s="1019">
        <v>0.60599999999999998</v>
      </c>
      <c r="AC3304" s="1032">
        <v>8.8000000000000007</v>
      </c>
      <c r="AD3304" s="1033">
        <v>80</v>
      </c>
      <c r="AE3304" s="1033">
        <v>60</v>
      </c>
      <c r="AF3304" s="1033">
        <v>860</v>
      </c>
      <c r="AG3304" s="66">
        <f t="shared" si="126"/>
        <v>178.26428571428573</v>
      </c>
      <c r="AH3304" s="143">
        <f t="shared" si="127"/>
        <v>1000</v>
      </c>
    </row>
    <row r="3305" spans="1:34" x14ac:dyDescent="0.3">
      <c r="A3305" s="1032">
        <v>203248</v>
      </c>
      <c r="B3305" s="1018">
        <v>0.16666666666666666</v>
      </c>
      <c r="C3305" s="1018"/>
      <c r="D3305" s="1019">
        <v>7.62</v>
      </c>
      <c r="E3305" s="1579">
        <v>5.6000000000000001E-2</v>
      </c>
      <c r="F3305" s="1017">
        <v>61.600000000000009</v>
      </c>
      <c r="G3305" s="1032"/>
      <c r="H3305" s="1017">
        <v>25.81</v>
      </c>
      <c r="I3305" s="1017">
        <v>30</v>
      </c>
      <c r="J3305" s="1305">
        <v>1.2E-2</v>
      </c>
      <c r="K3305" s="1018">
        <v>1.06</v>
      </c>
      <c r="L3305" s="1032">
        <v>120</v>
      </c>
      <c r="M3305" s="1365">
        <v>0.12</v>
      </c>
      <c r="N3305" s="1366">
        <v>0.26</v>
      </c>
      <c r="O3305" s="1365">
        <v>9.5399999999999991</v>
      </c>
      <c r="P3305" s="1365">
        <v>4.5</v>
      </c>
      <c r="Q3305" s="1032"/>
      <c r="R3305" s="1019">
        <v>0.63499039935409973</v>
      </c>
      <c r="S3305" s="1018">
        <v>4.75</v>
      </c>
      <c r="T3305" s="1032"/>
      <c r="U3305" s="1032"/>
      <c r="V3305" s="1032"/>
      <c r="W3305" s="1032"/>
      <c r="X3305" s="1032"/>
      <c r="Y3305" s="1018">
        <v>4.2</v>
      </c>
      <c r="Z3305" s="1032"/>
      <c r="AA3305" s="1019"/>
      <c r="AB3305" s="1019"/>
      <c r="AC3305" s="1032"/>
      <c r="AD3305" s="1033">
        <v>60</v>
      </c>
      <c r="AE3305" s="1033">
        <v>80</v>
      </c>
      <c r="AF3305" s="1033">
        <v>860</v>
      </c>
      <c r="AG3305" s="66">
        <f t="shared" si="126"/>
        <v>89.342857142857142</v>
      </c>
      <c r="AH3305" s="143">
        <f t="shared" si="127"/>
        <v>1000</v>
      </c>
    </row>
    <row r="3306" spans="1:34" x14ac:dyDescent="0.3">
      <c r="A3306" s="1032">
        <v>203249</v>
      </c>
      <c r="B3306" s="1018">
        <v>0.15</v>
      </c>
      <c r="C3306" s="1018"/>
      <c r="D3306" s="1019">
        <v>7.05</v>
      </c>
      <c r="E3306" s="1579">
        <v>0.14799999999999999</v>
      </c>
      <c r="F3306" s="1017">
        <v>162.80000000000001</v>
      </c>
      <c r="G3306" s="1032"/>
      <c r="H3306" s="1017">
        <v>139.13999999999999</v>
      </c>
      <c r="I3306" s="1017">
        <v>240</v>
      </c>
      <c r="J3306" s="1305">
        <v>8.9999999999999993E-3</v>
      </c>
      <c r="K3306" s="1018">
        <v>1.06</v>
      </c>
      <c r="L3306" s="1032">
        <v>130</v>
      </c>
      <c r="M3306" s="1365">
        <v>2.15</v>
      </c>
      <c r="N3306" s="1366">
        <v>0.66</v>
      </c>
      <c r="O3306" s="1365">
        <v>10.81</v>
      </c>
      <c r="P3306" s="1365">
        <v>6.06</v>
      </c>
      <c r="Q3306" s="1032"/>
      <c r="R3306" s="1019">
        <v>1.5959100800000001</v>
      </c>
      <c r="S3306" s="1018">
        <v>10.84</v>
      </c>
      <c r="T3306" s="1032"/>
      <c r="U3306" s="1032"/>
      <c r="V3306" s="1032"/>
      <c r="W3306" s="1032"/>
      <c r="X3306" s="1032"/>
      <c r="Y3306" s="1018">
        <v>4.2</v>
      </c>
      <c r="Z3306" s="1032"/>
      <c r="AA3306" s="1019">
        <v>4.05</v>
      </c>
      <c r="AB3306" s="1019">
        <v>0.57799999999999996</v>
      </c>
      <c r="AC3306" s="1032">
        <v>11.5</v>
      </c>
      <c r="AD3306" s="1033">
        <v>60</v>
      </c>
      <c r="AE3306" s="1033">
        <v>60</v>
      </c>
      <c r="AF3306" s="1033">
        <v>880</v>
      </c>
      <c r="AG3306" s="66">
        <f t="shared" si="126"/>
        <v>89.342857142857142</v>
      </c>
      <c r="AH3306" s="143">
        <f t="shared" si="127"/>
        <v>1000</v>
      </c>
    </row>
    <row r="3307" spans="1:34" x14ac:dyDescent="0.3">
      <c r="A3307" s="1032">
        <v>203250</v>
      </c>
      <c r="B3307" s="1018">
        <v>0.18333333333333335</v>
      </c>
      <c r="C3307" s="1018"/>
      <c r="D3307" s="1019">
        <v>7.63</v>
      </c>
      <c r="E3307" s="1579">
        <v>8.1000000000000003E-2</v>
      </c>
      <c r="F3307" s="1017">
        <v>89.100000000000009</v>
      </c>
      <c r="G3307" s="1032"/>
      <c r="H3307" s="1017">
        <v>19.52</v>
      </c>
      <c r="I3307" s="1017">
        <v>80</v>
      </c>
      <c r="J3307" s="1305">
        <v>1.0999999999999999E-2</v>
      </c>
      <c r="K3307" s="1018">
        <v>0.86</v>
      </c>
      <c r="L3307" s="1032">
        <v>80</v>
      </c>
      <c r="M3307" s="1365">
        <v>0.15</v>
      </c>
      <c r="N3307" s="1366">
        <v>0.24</v>
      </c>
      <c r="O3307" s="1365">
        <v>3.89</v>
      </c>
      <c r="P3307" s="1365">
        <v>2.93</v>
      </c>
      <c r="Q3307" s="1032"/>
      <c r="R3307" s="1019">
        <v>0.8734980830952187</v>
      </c>
      <c r="S3307" s="1018">
        <v>5.76</v>
      </c>
      <c r="T3307" s="1032"/>
      <c r="U3307" s="1032"/>
      <c r="V3307" s="1032"/>
      <c r="W3307" s="1032"/>
      <c r="X3307" s="1032"/>
      <c r="Y3307" s="1018">
        <v>3</v>
      </c>
      <c r="Z3307" s="1032"/>
      <c r="AA3307" s="1019"/>
      <c r="AB3307" s="1019"/>
      <c r="AC3307" s="1032"/>
      <c r="AD3307" s="1033">
        <v>60</v>
      </c>
      <c r="AE3307" s="1033">
        <v>60</v>
      </c>
      <c r="AF3307" s="1033">
        <v>880</v>
      </c>
      <c r="AG3307" s="66">
        <f t="shared" si="126"/>
        <v>101.48</v>
      </c>
      <c r="AH3307" s="143">
        <f t="shared" si="127"/>
        <v>1000</v>
      </c>
    </row>
    <row r="3308" spans="1:34" x14ac:dyDescent="0.3">
      <c r="A3308" s="1032">
        <v>203251</v>
      </c>
      <c r="B3308" s="1018">
        <v>30.833333333333329</v>
      </c>
      <c r="C3308" s="1018">
        <v>12.249999999999998</v>
      </c>
      <c r="D3308" s="1019">
        <v>8.5399999999999991</v>
      </c>
      <c r="E3308" s="1579">
        <v>0.98499999999999999</v>
      </c>
      <c r="F3308" s="1017">
        <v>1083.5000000000002</v>
      </c>
      <c r="G3308" s="1032"/>
      <c r="H3308" s="1017">
        <v>9.86</v>
      </c>
      <c r="I3308" s="1017">
        <v>300</v>
      </c>
      <c r="J3308" s="1305">
        <v>0.85499999999999998</v>
      </c>
      <c r="K3308" s="1018">
        <v>7.13</v>
      </c>
      <c r="L3308" s="1032">
        <v>510</v>
      </c>
      <c r="M3308" s="1365">
        <v>0.22</v>
      </c>
      <c r="N3308" s="1366">
        <v>0.32</v>
      </c>
      <c r="O3308" s="1365">
        <v>3.23</v>
      </c>
      <c r="P3308" s="1365">
        <v>0.97</v>
      </c>
      <c r="Q3308" s="1032"/>
      <c r="R3308" s="1019">
        <v>1.0783343698363401</v>
      </c>
      <c r="S3308" s="1018">
        <v>7.28</v>
      </c>
      <c r="T3308" s="1032"/>
      <c r="U3308" s="1032"/>
      <c r="V3308" s="1032"/>
      <c r="W3308" s="1032"/>
      <c r="X3308" s="1032"/>
      <c r="Y3308" s="1018">
        <v>22</v>
      </c>
      <c r="Z3308" s="1032"/>
      <c r="AA3308" s="1019">
        <v>4.88</v>
      </c>
      <c r="AB3308" s="1019">
        <v>0.873</v>
      </c>
      <c r="AC3308" s="1032">
        <v>7.7</v>
      </c>
      <c r="AD3308" s="1033">
        <v>440</v>
      </c>
      <c r="AE3308" s="1033">
        <v>280</v>
      </c>
      <c r="AF3308" s="1033">
        <v>280</v>
      </c>
      <c r="AG3308" s="66">
        <f t="shared" si="126"/>
        <v>114.72818181818182</v>
      </c>
      <c r="AH3308" s="143">
        <f t="shared" si="127"/>
        <v>1000</v>
      </c>
    </row>
    <row r="3309" spans="1:34" x14ac:dyDescent="0.3">
      <c r="A3309" s="1032">
        <v>203252</v>
      </c>
      <c r="B3309" s="1018">
        <v>39.833333333333329</v>
      </c>
      <c r="C3309" s="1018">
        <v>11.5</v>
      </c>
      <c r="D3309" s="1019">
        <v>8.44</v>
      </c>
      <c r="E3309" s="1579">
        <v>2.77</v>
      </c>
      <c r="F3309" s="1017">
        <v>3047</v>
      </c>
      <c r="G3309" s="1032"/>
      <c r="H3309" s="1017">
        <v>6.97</v>
      </c>
      <c r="I3309" s="1017">
        <v>380</v>
      </c>
      <c r="J3309" s="1305">
        <v>2.2389999999999999</v>
      </c>
      <c r="K3309" s="1018">
        <v>8.6300000000000008</v>
      </c>
      <c r="L3309" s="1032">
        <v>1130</v>
      </c>
      <c r="M3309" s="1365">
        <v>0.16</v>
      </c>
      <c r="N3309" s="1366">
        <v>0.12</v>
      </c>
      <c r="O3309" s="1365">
        <v>1</v>
      </c>
      <c r="P3309" s="1365">
        <v>0.78</v>
      </c>
      <c r="Q3309" s="1032"/>
      <c r="R3309" s="1019">
        <v>0.71734549773197331</v>
      </c>
      <c r="S3309" s="1018">
        <v>4.78</v>
      </c>
      <c r="T3309" s="1032"/>
      <c r="U3309" s="1032"/>
      <c r="V3309" s="1032"/>
      <c r="W3309" s="1032"/>
      <c r="X3309" s="1032"/>
      <c r="Y3309" s="1018">
        <v>23</v>
      </c>
      <c r="Z3309" s="1032"/>
      <c r="AA3309" s="1019">
        <v>3.93</v>
      </c>
      <c r="AB3309" s="1019">
        <v>0.69099999999999995</v>
      </c>
      <c r="AC3309" s="1032">
        <v>7.2</v>
      </c>
      <c r="AD3309" s="1033">
        <v>460</v>
      </c>
      <c r="AE3309" s="1033">
        <v>250</v>
      </c>
      <c r="AF3309" s="1033">
        <v>290</v>
      </c>
      <c r="AG3309" s="66">
        <f t="shared" si="126"/>
        <v>132.82695652173916</v>
      </c>
      <c r="AH3309" s="143">
        <f t="shared" si="127"/>
        <v>1000</v>
      </c>
    </row>
    <row r="3310" spans="1:34" x14ac:dyDescent="0.3">
      <c r="A3310" s="1032">
        <v>203253</v>
      </c>
      <c r="B3310" s="1018">
        <v>21.999999999999996</v>
      </c>
      <c r="C3310" s="1018">
        <v>7.8749999999999982</v>
      </c>
      <c r="D3310" s="1019">
        <f>9.03/1.1</f>
        <v>8.2090909090909072</v>
      </c>
      <c r="E3310" s="1579">
        <v>0.26100000000000001</v>
      </c>
      <c r="F3310" s="1017">
        <v>287.10000000000002</v>
      </c>
      <c r="G3310" s="1032"/>
      <c r="H3310" s="1017">
        <v>25.52</v>
      </c>
      <c r="I3310" s="1017">
        <v>460</v>
      </c>
      <c r="J3310" s="1305">
        <v>0.221</v>
      </c>
      <c r="K3310" s="1018">
        <v>6.39</v>
      </c>
      <c r="L3310" s="1032">
        <v>360</v>
      </c>
      <c r="M3310" s="1365">
        <v>0.51</v>
      </c>
      <c r="N3310" s="1366">
        <v>0.41</v>
      </c>
      <c r="O3310" s="1365">
        <v>4.08</v>
      </c>
      <c r="P3310" s="1365">
        <v>1.48</v>
      </c>
      <c r="Q3310" s="1032"/>
      <c r="R3310" s="1019">
        <v>1.2869484480451334</v>
      </c>
      <c r="S3310" s="1018">
        <v>9.65</v>
      </c>
      <c r="T3310" s="1032"/>
      <c r="U3310" s="1032"/>
      <c r="V3310" s="1032"/>
      <c r="W3310" s="1032"/>
      <c r="X3310" s="1032"/>
      <c r="Y3310" s="1018">
        <v>30.8</v>
      </c>
      <c r="Z3310" s="1032"/>
      <c r="AA3310" s="1019">
        <v>4.45</v>
      </c>
      <c r="AB3310" s="1019">
        <v>0.89200000000000002</v>
      </c>
      <c r="AC3310" s="1032">
        <v>7.4</v>
      </c>
      <c r="AD3310" s="1033">
        <v>440</v>
      </c>
      <c r="AE3310" s="1033">
        <v>320</v>
      </c>
      <c r="AF3310" s="1033">
        <v>240</v>
      </c>
      <c r="AG3310" s="66">
        <f t="shared" si="126"/>
        <v>73.44350649350649</v>
      </c>
      <c r="AH3310" s="143">
        <f t="shared" si="127"/>
        <v>1000</v>
      </c>
    </row>
    <row r="3311" spans="1:34" x14ac:dyDescent="0.3">
      <c r="A3311" s="1032">
        <v>203254</v>
      </c>
      <c r="B3311" s="1018">
        <v>25.333333333333329</v>
      </c>
      <c r="C3311" s="1018">
        <v>7</v>
      </c>
      <c r="D3311" s="1019">
        <v>8.65</v>
      </c>
      <c r="E3311" s="1579">
        <v>0.76700000000000002</v>
      </c>
      <c r="F3311" s="1017">
        <v>843.70000000000016</v>
      </c>
      <c r="G3311" s="1032"/>
      <c r="H3311" s="1017">
        <v>49.03</v>
      </c>
      <c r="I3311" s="1017">
        <v>340</v>
      </c>
      <c r="J3311" s="1305">
        <v>0.46800000000000003</v>
      </c>
      <c r="K3311" s="1018">
        <v>7.56</v>
      </c>
      <c r="L3311" s="1032">
        <v>850</v>
      </c>
      <c r="M3311" s="1365">
        <v>0.31</v>
      </c>
      <c r="N3311" s="1366">
        <v>0.37</v>
      </c>
      <c r="O3311" s="1365">
        <v>2.2400000000000002</v>
      </c>
      <c r="P3311" s="1365">
        <v>1.48</v>
      </c>
      <c r="Q3311" s="1032"/>
      <c r="R3311" s="1019">
        <v>1.1492675704381545</v>
      </c>
      <c r="S3311" s="1018">
        <v>8.27</v>
      </c>
      <c r="T3311" s="1032"/>
      <c r="U3311" s="1032"/>
      <c r="V3311" s="1032"/>
      <c r="W3311" s="1032"/>
      <c r="X3311" s="1032"/>
      <c r="Y3311" s="1018">
        <v>36.4</v>
      </c>
      <c r="Z3311" s="1032"/>
      <c r="AA3311" s="1019">
        <v>4.3099999999999996</v>
      </c>
      <c r="AB3311" s="1019">
        <v>0.68600000000000005</v>
      </c>
      <c r="AC3311" s="1032">
        <v>8.1</v>
      </c>
      <c r="AD3311" s="1033">
        <v>520</v>
      </c>
      <c r="AE3311" s="1033">
        <v>320</v>
      </c>
      <c r="AF3311" s="1033">
        <v>160</v>
      </c>
      <c r="AG3311" s="66">
        <f t="shared" si="126"/>
        <v>73.523076923076914</v>
      </c>
      <c r="AH3311" s="143">
        <f t="shared" si="127"/>
        <v>1000</v>
      </c>
    </row>
    <row r="3312" spans="1:34" x14ac:dyDescent="0.3">
      <c r="A3312" s="1032">
        <v>203255</v>
      </c>
      <c r="B3312" s="1018">
        <v>0.23333333333333331</v>
      </c>
      <c r="C3312" s="1018"/>
      <c r="D3312" s="1019">
        <v>8.24</v>
      </c>
      <c r="E3312" s="1579">
        <v>0.27400000000000002</v>
      </c>
      <c r="F3312" s="1017">
        <v>301.40000000000003</v>
      </c>
      <c r="G3312" s="1032"/>
      <c r="H3312" s="1017">
        <v>24.95</v>
      </c>
      <c r="I3312" s="1017">
        <v>220</v>
      </c>
      <c r="J3312" s="1305">
        <v>0.28899999999999998</v>
      </c>
      <c r="K3312" s="1018">
        <v>3.49</v>
      </c>
      <c r="L3312" s="1032">
        <v>1130</v>
      </c>
      <c r="M3312" s="1365">
        <v>0.44</v>
      </c>
      <c r="N3312" s="1366">
        <v>1.47</v>
      </c>
      <c r="O3312" s="1365">
        <v>7.7</v>
      </c>
      <c r="P3312" s="1365">
        <v>4.9800000000000004</v>
      </c>
      <c r="Q3312" s="1032"/>
      <c r="R3312" s="1019">
        <v>1.5836213699999999</v>
      </c>
      <c r="S3312" s="1018">
        <v>10.53</v>
      </c>
      <c r="T3312" s="1032"/>
      <c r="U3312" s="1032"/>
      <c r="V3312" s="1032"/>
      <c r="W3312" s="1032"/>
      <c r="X3312" s="1032"/>
      <c r="Y3312" s="1018">
        <v>33.6</v>
      </c>
      <c r="Z3312" s="1032"/>
      <c r="AA3312" s="1019">
        <v>4.5</v>
      </c>
      <c r="AB3312" s="1019">
        <v>0.33200000000000002</v>
      </c>
      <c r="AC3312" s="1032">
        <v>11.2</v>
      </c>
      <c r="AD3312" s="1033">
        <v>560</v>
      </c>
      <c r="AE3312" s="1033">
        <v>280</v>
      </c>
      <c r="AF3312" s="1033">
        <v>160</v>
      </c>
      <c r="AG3312" s="66">
        <f t="shared" si="126"/>
        <v>36.769642857142856</v>
      </c>
      <c r="AH3312" s="143">
        <f t="shared" si="127"/>
        <v>1000</v>
      </c>
    </row>
    <row r="3313" spans="1:34" x14ac:dyDescent="0.3">
      <c r="A3313" s="1032">
        <v>203256</v>
      </c>
      <c r="B3313" s="1018">
        <v>0.2</v>
      </c>
      <c r="C3313" s="1018"/>
      <c r="D3313" s="1019">
        <v>8.43</v>
      </c>
      <c r="E3313" s="1579">
        <v>0.20200000000000001</v>
      </c>
      <c r="F3313" s="1017">
        <v>222.20000000000005</v>
      </c>
      <c r="G3313" s="1032"/>
      <c r="H3313" s="1017">
        <v>51.94</v>
      </c>
      <c r="I3313" s="1017">
        <v>410</v>
      </c>
      <c r="J3313" s="1305">
        <v>0.20799999999999999</v>
      </c>
      <c r="K3313" s="1018">
        <v>3.69</v>
      </c>
      <c r="L3313" s="1032">
        <v>1300</v>
      </c>
      <c r="M3313" s="1365">
        <v>0.62</v>
      </c>
      <c r="N3313" s="1366">
        <v>1.47</v>
      </c>
      <c r="O3313" s="1365">
        <v>8.16</v>
      </c>
      <c r="P3313" s="1365">
        <v>6.55</v>
      </c>
      <c r="Q3313" s="1032"/>
      <c r="R3313" s="1019">
        <v>1.57240625</v>
      </c>
      <c r="S3313" s="1018">
        <v>10.25</v>
      </c>
      <c r="T3313" s="1032"/>
      <c r="U3313" s="1032"/>
      <c r="V3313" s="1032"/>
      <c r="W3313" s="1032"/>
      <c r="X3313" s="1032"/>
      <c r="Y3313" s="1018">
        <v>26.5</v>
      </c>
      <c r="Z3313" s="1032"/>
      <c r="AA3313" s="1019">
        <v>4.49</v>
      </c>
      <c r="AB3313" s="1019">
        <v>0.79600000000000004</v>
      </c>
      <c r="AC3313" s="1032">
        <v>8.4</v>
      </c>
      <c r="AD3313" s="1033">
        <v>530</v>
      </c>
      <c r="AE3313" s="1033">
        <v>340</v>
      </c>
      <c r="AF3313" s="1033">
        <v>130</v>
      </c>
      <c r="AG3313" s="66">
        <f t="shared" si="126"/>
        <v>49.292830188679247</v>
      </c>
      <c r="AH3313" s="143">
        <f t="shared" si="127"/>
        <v>1000</v>
      </c>
    </row>
    <row r="3314" spans="1:34" x14ac:dyDescent="0.3">
      <c r="A3314" s="1032">
        <v>203257</v>
      </c>
      <c r="B3314" s="1018">
        <v>6.666666666666667</v>
      </c>
      <c r="C3314" s="1018"/>
      <c r="D3314" s="1019">
        <v>7.85</v>
      </c>
      <c r="E3314" s="1579">
        <v>2.5</v>
      </c>
      <c r="F3314" s="1017">
        <v>2750</v>
      </c>
      <c r="G3314" s="1032"/>
      <c r="H3314" s="1017">
        <v>9.41</v>
      </c>
      <c r="I3314" s="1017">
        <v>500</v>
      </c>
      <c r="J3314" s="1305">
        <v>63.539000000000001</v>
      </c>
      <c r="K3314" s="1018">
        <v>14.68</v>
      </c>
      <c r="L3314" s="1032">
        <v>6800</v>
      </c>
      <c r="M3314" s="1365">
        <v>0.47</v>
      </c>
      <c r="N3314" s="1366">
        <v>0.51</v>
      </c>
      <c r="O3314" s="1365">
        <v>4.05</v>
      </c>
      <c r="P3314" s="1365">
        <v>0.95</v>
      </c>
      <c r="Q3314" s="1032"/>
      <c r="R3314" s="1019">
        <v>1.6422108799999999</v>
      </c>
      <c r="S3314" s="1018">
        <v>12.04</v>
      </c>
      <c r="T3314" s="1032"/>
      <c r="U3314" s="1032"/>
      <c r="V3314" s="1032"/>
      <c r="W3314" s="1032"/>
      <c r="X3314" s="1032"/>
      <c r="Y3314" s="1018">
        <v>35.1</v>
      </c>
      <c r="Z3314" s="1032"/>
      <c r="AA3314" s="1019">
        <v>3.76</v>
      </c>
      <c r="AB3314" s="1019">
        <v>0.374</v>
      </c>
      <c r="AC3314" s="1032">
        <v>7.6</v>
      </c>
      <c r="AD3314" s="1033">
        <v>600</v>
      </c>
      <c r="AE3314" s="1033">
        <v>320</v>
      </c>
      <c r="AF3314" s="1033">
        <v>80</v>
      </c>
      <c r="AG3314" s="66">
        <f t="shared" si="126"/>
        <v>148.05470085470085</v>
      </c>
      <c r="AH3314" s="143">
        <f t="shared" si="127"/>
        <v>1000</v>
      </c>
    </row>
    <row r="3315" spans="1:34" x14ac:dyDescent="0.3">
      <c r="A3315" s="1032">
        <v>203258</v>
      </c>
      <c r="B3315" s="1018">
        <v>3.083333333333333</v>
      </c>
      <c r="C3315" s="1018"/>
      <c r="D3315" s="1019">
        <v>8.94</v>
      </c>
      <c r="E3315" s="1579">
        <v>0.70599999999999996</v>
      </c>
      <c r="F3315" s="1017">
        <v>776.6</v>
      </c>
      <c r="G3315" s="1032"/>
      <c r="H3315" s="1017">
        <v>8.82</v>
      </c>
      <c r="I3315" s="1017">
        <v>360</v>
      </c>
      <c r="J3315" s="1305">
        <v>0.32300000000000001</v>
      </c>
      <c r="K3315" s="1018">
        <v>6.57</v>
      </c>
      <c r="L3315" s="1032">
        <v>380</v>
      </c>
      <c r="M3315" s="1365">
        <v>0.14000000000000001</v>
      </c>
      <c r="N3315" s="1366">
        <v>0.31</v>
      </c>
      <c r="O3315" s="1365">
        <v>2.13</v>
      </c>
      <c r="P3315" s="1365">
        <v>0.97</v>
      </c>
      <c r="Q3315" s="1032"/>
      <c r="R3315" s="1019">
        <v>1.1203530968835307</v>
      </c>
      <c r="S3315" s="1018">
        <v>7.68</v>
      </c>
      <c r="T3315" s="1032"/>
      <c r="U3315" s="1032"/>
      <c r="V3315" s="1032"/>
      <c r="W3315" s="1032"/>
      <c r="X3315" s="1032"/>
      <c r="Y3315" s="1018">
        <v>22.4</v>
      </c>
      <c r="Z3315" s="1032"/>
      <c r="AA3315" s="1019">
        <v>4.9400000000000004</v>
      </c>
      <c r="AB3315" s="1019">
        <v>0.68300000000000005</v>
      </c>
      <c r="AC3315" s="1032">
        <v>9.4</v>
      </c>
      <c r="AD3315" s="1033">
        <v>320</v>
      </c>
      <c r="AE3315" s="1033">
        <v>220</v>
      </c>
      <c r="AF3315" s="1033">
        <v>460</v>
      </c>
      <c r="AG3315" s="66">
        <f t="shared" si="126"/>
        <v>103.82946428571428</v>
      </c>
      <c r="AH3315" s="143">
        <f t="shared" si="127"/>
        <v>1000</v>
      </c>
    </row>
    <row r="3316" spans="1:34" x14ac:dyDescent="0.3">
      <c r="A3316" s="1032">
        <v>203259</v>
      </c>
      <c r="B3316" s="1018">
        <v>8.1666666666666679</v>
      </c>
      <c r="C3316" s="1018"/>
      <c r="D3316" s="1019">
        <v>8.82</v>
      </c>
      <c r="E3316" s="1579">
        <v>0.32800000000000001</v>
      </c>
      <c r="F3316" s="1017">
        <v>360.80000000000007</v>
      </c>
      <c r="G3316" s="1032"/>
      <c r="H3316" s="1017">
        <v>31.1</v>
      </c>
      <c r="I3316" s="1017">
        <v>210</v>
      </c>
      <c r="J3316" s="1305">
        <v>0.35299999999999998</v>
      </c>
      <c r="K3316" s="1018">
        <v>7.42</v>
      </c>
      <c r="L3316" s="1032">
        <v>1780</v>
      </c>
      <c r="M3316" s="1365">
        <v>0.56999999999999995</v>
      </c>
      <c r="N3316" s="1366">
        <v>0.82</v>
      </c>
      <c r="O3316" s="1365">
        <v>8.65</v>
      </c>
      <c r="P3316" s="1365">
        <v>2.04</v>
      </c>
      <c r="Q3316" s="1032"/>
      <c r="R3316" s="1019">
        <v>1.4086150705467164</v>
      </c>
      <c r="S3316" s="1018">
        <v>10.199999999999999</v>
      </c>
      <c r="T3316" s="1032"/>
      <c r="U3316" s="1032"/>
      <c r="V3316" s="1032"/>
      <c r="W3316" s="1032"/>
      <c r="X3316" s="1032"/>
      <c r="Y3316" s="1018">
        <v>31</v>
      </c>
      <c r="Z3316" s="1032"/>
      <c r="AA3316" s="1019">
        <v>3.74</v>
      </c>
      <c r="AB3316" s="1019">
        <v>0.63500000000000001</v>
      </c>
      <c r="AC3316" s="1032">
        <v>7.3</v>
      </c>
      <c r="AD3316" s="1033">
        <v>620</v>
      </c>
      <c r="AE3316" s="1033">
        <v>260</v>
      </c>
      <c r="AF3316" s="1033">
        <v>120</v>
      </c>
      <c r="AG3316" s="66">
        <f t="shared" si="126"/>
        <v>84.731612903225795</v>
      </c>
      <c r="AH3316" s="143">
        <f t="shared" si="127"/>
        <v>1000</v>
      </c>
    </row>
    <row r="3317" spans="1:34" x14ac:dyDescent="0.3">
      <c r="A3317" s="1032">
        <v>203260</v>
      </c>
      <c r="B3317" s="1018">
        <v>5.6666666666666661</v>
      </c>
      <c r="C3317" s="1018"/>
      <c r="D3317" s="1019">
        <v>8.51</v>
      </c>
      <c r="E3317" s="1579">
        <v>0.16300000000000001</v>
      </c>
      <c r="F3317" s="1017">
        <v>179.3</v>
      </c>
      <c r="G3317" s="1032"/>
      <c r="H3317" s="1017">
        <v>4.3499999999999996</v>
      </c>
      <c r="I3317" s="1017">
        <v>340</v>
      </c>
      <c r="J3317" s="1305">
        <v>8.4000000000000005E-2</v>
      </c>
      <c r="K3317" s="1018">
        <v>7.71</v>
      </c>
      <c r="L3317" s="1032">
        <v>420</v>
      </c>
      <c r="M3317" s="1365">
        <v>0.16</v>
      </c>
      <c r="N3317" s="1366">
        <v>0.41</v>
      </c>
      <c r="O3317" s="1365">
        <v>1.95</v>
      </c>
      <c r="P3317" s="1365">
        <v>1.41</v>
      </c>
      <c r="Q3317" s="1032"/>
      <c r="R3317" s="1019">
        <v>1.3832285016233519</v>
      </c>
      <c r="S3317" s="1018">
        <v>9.56</v>
      </c>
      <c r="T3317" s="1032"/>
      <c r="U3317" s="1032"/>
      <c r="V3317" s="1032"/>
      <c r="W3317" s="1032"/>
      <c r="X3317" s="1032"/>
      <c r="Y3317" s="1018">
        <v>34.799999999999997</v>
      </c>
      <c r="Z3317" s="1032"/>
      <c r="AA3317" s="1019">
        <v>4.2300000000000004</v>
      </c>
      <c r="AB3317" s="1019">
        <v>0.64500000000000002</v>
      </c>
      <c r="AC3317" s="1032">
        <v>8</v>
      </c>
      <c r="AD3317" s="1033">
        <v>580</v>
      </c>
      <c r="AE3317" s="1033">
        <v>260</v>
      </c>
      <c r="AF3317" s="1033">
        <v>160</v>
      </c>
      <c r="AG3317" s="66">
        <f t="shared" si="126"/>
        <v>78.429310344827599</v>
      </c>
      <c r="AH3317" s="143">
        <f t="shared" si="127"/>
        <v>1000</v>
      </c>
    </row>
    <row r="3318" spans="1:34" x14ac:dyDescent="0.3">
      <c r="A3318" s="1032">
        <v>203261</v>
      </c>
      <c r="B3318" s="1018">
        <v>9.9166666666666661</v>
      </c>
      <c r="C3318" s="1018"/>
      <c r="D3318" s="1019">
        <v>8.01</v>
      </c>
      <c r="E3318" s="1579">
        <v>2.62</v>
      </c>
      <c r="F3318" s="1017">
        <v>2882.0000000000005</v>
      </c>
      <c r="G3318" s="1032"/>
      <c r="H3318" s="1017">
        <v>211.23</v>
      </c>
      <c r="I3318" s="1017">
        <v>600</v>
      </c>
      <c r="J3318" s="1305">
        <v>0.33300000000000002</v>
      </c>
      <c r="K3318" s="1018">
        <v>12.31</v>
      </c>
      <c r="L3318" s="1032">
        <v>760</v>
      </c>
      <c r="M3318" s="1365">
        <v>2.57</v>
      </c>
      <c r="N3318" s="1366">
        <v>0.56000000000000005</v>
      </c>
      <c r="O3318" s="1365">
        <v>1.52</v>
      </c>
      <c r="P3318" s="1365">
        <v>7.53</v>
      </c>
      <c r="Q3318" s="1032"/>
      <c r="R3318" s="1019">
        <v>1.0346476270961331</v>
      </c>
      <c r="S3318" s="1018">
        <v>7.12</v>
      </c>
      <c r="T3318" s="1032"/>
      <c r="U3318" s="1032"/>
      <c r="V3318" s="1032"/>
      <c r="W3318" s="1032"/>
      <c r="X3318" s="1032"/>
      <c r="Y3318" s="1018">
        <v>12.6</v>
      </c>
      <c r="Z3318" s="1032"/>
      <c r="AA3318" s="1019">
        <v>3.87</v>
      </c>
      <c r="AB3318" s="1019">
        <v>0.33700000000000002</v>
      </c>
      <c r="AC3318" s="1032">
        <v>7.4</v>
      </c>
      <c r="AD3318" s="1033">
        <v>180</v>
      </c>
      <c r="AE3318" s="1033">
        <v>160</v>
      </c>
      <c r="AF3318" s="1033">
        <v>660</v>
      </c>
      <c r="AG3318" s="66">
        <f t="shared" si="126"/>
        <v>345.852380952381</v>
      </c>
      <c r="AH3318" s="143">
        <f t="shared" si="127"/>
        <v>1000</v>
      </c>
    </row>
    <row r="3319" spans="1:34" x14ac:dyDescent="0.3">
      <c r="A3319" s="1032">
        <v>203262</v>
      </c>
      <c r="B3319" s="1018">
        <v>8.4166666666666661</v>
      </c>
      <c r="C3319" s="1018"/>
      <c r="D3319" s="1019">
        <v>8.11</v>
      </c>
      <c r="E3319" s="1579">
        <v>2.15</v>
      </c>
      <c r="F3319" s="1017">
        <v>2365</v>
      </c>
      <c r="G3319" s="1032"/>
      <c r="H3319" s="1017">
        <v>156.19</v>
      </c>
      <c r="I3319" s="1017">
        <v>330</v>
      </c>
      <c r="J3319" s="1305">
        <v>0.157</v>
      </c>
      <c r="K3319" s="1018">
        <v>8.44</v>
      </c>
      <c r="L3319" s="1032">
        <v>680</v>
      </c>
      <c r="M3319" s="1365"/>
      <c r="N3319" s="1366"/>
      <c r="O3319" s="1365"/>
      <c r="P3319" s="1365"/>
      <c r="Q3319" s="1032"/>
      <c r="R3319" s="1019">
        <v>0.63017463734823997</v>
      </c>
      <c r="S3319" s="1018">
        <v>4.53</v>
      </c>
      <c r="T3319" s="1032"/>
      <c r="U3319" s="1032"/>
      <c r="V3319" s="1032"/>
      <c r="W3319" s="1032"/>
      <c r="X3319" s="1032"/>
      <c r="Y3319" s="1018">
        <v>7</v>
      </c>
      <c r="Z3319" s="1032"/>
      <c r="AA3319" s="1019"/>
      <c r="AB3319" s="1019"/>
      <c r="AC3319" s="1032"/>
      <c r="AD3319" s="1033">
        <v>140</v>
      </c>
      <c r="AE3319" s="1033">
        <v>100</v>
      </c>
      <c r="AF3319" s="1033">
        <v>760</v>
      </c>
      <c r="AG3319" s="66">
        <f t="shared" si="126"/>
        <v>426.82285714285712</v>
      </c>
      <c r="AH3319" s="143">
        <f t="shared" si="127"/>
        <v>1000</v>
      </c>
    </row>
    <row r="3320" spans="1:34" x14ac:dyDescent="0.3">
      <c r="A3320" s="1032">
        <v>203263</v>
      </c>
      <c r="B3320" s="1018">
        <v>8.8333333333333339</v>
      </c>
      <c r="C3320" s="1018"/>
      <c r="D3320" s="1019">
        <v>8.2200000000000006</v>
      </c>
      <c r="E3320" s="1579">
        <v>1.7949999999999999</v>
      </c>
      <c r="F3320" s="1017">
        <v>1974.5000000000002</v>
      </c>
      <c r="G3320" s="1032"/>
      <c r="H3320" s="1017">
        <v>93.4</v>
      </c>
      <c r="I3320" s="1017">
        <v>180</v>
      </c>
      <c r="J3320" s="1305">
        <v>9.5000000000000001E-2</v>
      </c>
      <c r="K3320" s="1018">
        <v>7.78</v>
      </c>
      <c r="L3320" s="1032">
        <v>380</v>
      </c>
      <c r="M3320" s="1365">
        <v>1.21</v>
      </c>
      <c r="N3320" s="1366">
        <v>0.28999999999999998</v>
      </c>
      <c r="O3320" s="1365">
        <v>1.22</v>
      </c>
      <c r="P3320" s="1365">
        <v>4</v>
      </c>
      <c r="Q3320" s="1032"/>
      <c r="R3320" s="1019">
        <v>0.57115536964521763</v>
      </c>
      <c r="S3320" s="1018">
        <v>4.07</v>
      </c>
      <c r="T3320" s="1032"/>
      <c r="U3320" s="1032"/>
      <c r="V3320" s="1032"/>
      <c r="W3320" s="1032"/>
      <c r="X3320" s="1032"/>
      <c r="Y3320" s="1018">
        <v>7</v>
      </c>
      <c r="Z3320" s="1032"/>
      <c r="AA3320" s="1019"/>
      <c r="AB3320" s="1019"/>
      <c r="AC3320" s="1032"/>
      <c r="AD3320" s="1033">
        <v>100</v>
      </c>
      <c r="AE3320" s="1033">
        <v>120</v>
      </c>
      <c r="AF3320" s="1033">
        <v>780</v>
      </c>
      <c r="AG3320" s="66">
        <f t="shared" si="126"/>
        <v>393.44571428571425</v>
      </c>
      <c r="AH3320" s="143">
        <f t="shared" si="127"/>
        <v>1000</v>
      </c>
    </row>
    <row r="3321" spans="1:34" x14ac:dyDescent="0.3">
      <c r="A3321" s="1032">
        <v>203264</v>
      </c>
      <c r="B3321" s="1018">
        <v>8.5</v>
      </c>
      <c r="C3321" s="1018"/>
      <c r="D3321" s="1019">
        <v>8.23</v>
      </c>
      <c r="E3321" s="1579">
        <v>1.6220000000000001</v>
      </c>
      <c r="F3321" s="1017">
        <v>1784.2000000000003</v>
      </c>
      <c r="G3321" s="1032"/>
      <c r="H3321" s="1017">
        <v>90.96</v>
      </c>
      <c r="I3321" s="1017">
        <v>200</v>
      </c>
      <c r="J3321" s="1305">
        <v>8.2000000000000003E-2</v>
      </c>
      <c r="K3321" s="1018">
        <v>6.5</v>
      </c>
      <c r="L3321" s="1032">
        <v>380</v>
      </c>
      <c r="M3321" s="1365"/>
      <c r="N3321" s="1366"/>
      <c r="O3321" s="1365"/>
      <c r="P3321" s="1365"/>
      <c r="Q3321" s="1032"/>
      <c r="R3321" s="1019">
        <v>0.37370039018833479</v>
      </c>
      <c r="S3321" s="1018">
        <v>2.8</v>
      </c>
      <c r="T3321" s="1032"/>
      <c r="U3321" s="1032"/>
      <c r="V3321" s="1032"/>
      <c r="W3321" s="1032"/>
      <c r="X3321" s="1032"/>
      <c r="Y3321" s="1018">
        <v>6.5</v>
      </c>
      <c r="Z3321" s="1032"/>
      <c r="AA3321" s="1019"/>
      <c r="AB3321" s="1019"/>
      <c r="AC3321" s="1032"/>
      <c r="AD3321" s="1033">
        <v>130</v>
      </c>
      <c r="AE3321" s="1033">
        <v>110</v>
      </c>
      <c r="AF3321" s="1033">
        <v>760</v>
      </c>
      <c r="AG3321" s="66">
        <f t="shared" si="126"/>
        <v>354</v>
      </c>
      <c r="AH3321" s="143">
        <f t="shared" si="127"/>
        <v>1000</v>
      </c>
    </row>
    <row r="3322" spans="1:34" x14ac:dyDescent="0.3">
      <c r="A3322" s="1032">
        <v>203265</v>
      </c>
      <c r="B3322" s="1018">
        <v>26.833333333333332</v>
      </c>
      <c r="C3322" s="1018">
        <v>12.374999999999998</v>
      </c>
      <c r="D3322" s="1019">
        <v>8.1199999999999992</v>
      </c>
      <c r="E3322" s="1579">
        <v>2.35</v>
      </c>
      <c r="F3322" s="1017">
        <v>2585.0000000000005</v>
      </c>
      <c r="G3322" s="1032"/>
      <c r="H3322" s="1017">
        <v>101.14</v>
      </c>
      <c r="I3322" s="1017">
        <v>560</v>
      </c>
      <c r="J3322" s="1305">
        <v>0.36099999999999999</v>
      </c>
      <c r="K3322" s="1018">
        <v>11.37</v>
      </c>
      <c r="L3322" s="1032">
        <v>1320</v>
      </c>
      <c r="M3322" s="1365">
        <v>1.6</v>
      </c>
      <c r="N3322" s="1366">
        <v>0.59</v>
      </c>
      <c r="O3322" s="1365">
        <v>1.92</v>
      </c>
      <c r="P3322" s="1365">
        <v>7.98</v>
      </c>
      <c r="Q3322" s="1032"/>
      <c r="R3322" s="1019">
        <v>0.964155986926025</v>
      </c>
      <c r="S3322" s="1018">
        <v>6.84</v>
      </c>
      <c r="T3322" s="1032"/>
      <c r="U3322" s="1032"/>
      <c r="V3322" s="1032"/>
      <c r="W3322" s="1032"/>
      <c r="X3322" s="1032"/>
      <c r="Y3322" s="1018">
        <v>33.6</v>
      </c>
      <c r="Z3322" s="1032"/>
      <c r="AA3322" s="1019"/>
      <c r="AB3322" s="1019"/>
      <c r="AC3322" s="1032"/>
      <c r="AD3322" s="1033">
        <v>560</v>
      </c>
      <c r="AE3322" s="1033">
        <v>280</v>
      </c>
      <c r="AF3322" s="1033">
        <v>160</v>
      </c>
      <c r="AG3322" s="66">
        <f t="shared" si="126"/>
        <v>119.79107142857143</v>
      </c>
      <c r="AH3322" s="143">
        <f t="shared" si="127"/>
        <v>1000</v>
      </c>
    </row>
    <row r="3323" spans="1:34" x14ac:dyDescent="0.3">
      <c r="A3323" s="1032">
        <v>203266</v>
      </c>
      <c r="B3323" s="1018">
        <v>31.75</v>
      </c>
      <c r="C3323" s="1018">
        <v>10.625</v>
      </c>
      <c r="D3323" s="1019">
        <v>8.23</v>
      </c>
      <c r="E3323" s="1579">
        <v>2.77</v>
      </c>
      <c r="F3323" s="1017">
        <v>3047</v>
      </c>
      <c r="G3323" s="1032"/>
      <c r="H3323" s="1017">
        <v>123.87</v>
      </c>
      <c r="I3323" s="1017">
        <v>500</v>
      </c>
      <c r="J3323" s="1305">
        <v>0.433</v>
      </c>
      <c r="K3323" s="1018">
        <v>12.35</v>
      </c>
      <c r="L3323" s="1032">
        <v>1570</v>
      </c>
      <c r="M3323" s="1365"/>
      <c r="N3323" s="1366"/>
      <c r="O3323" s="1365"/>
      <c r="P3323" s="1365"/>
      <c r="Q3323" s="1032"/>
      <c r="R3323" s="1019">
        <v>1.3510920504874604</v>
      </c>
      <c r="S3323" s="1018">
        <v>9.5299999999999994</v>
      </c>
      <c r="T3323" s="1032"/>
      <c r="U3323" s="1032"/>
      <c r="V3323" s="1032"/>
      <c r="W3323" s="1032"/>
      <c r="X3323" s="1032"/>
      <c r="Y3323" s="1018">
        <v>28.8</v>
      </c>
      <c r="Z3323" s="1032"/>
      <c r="AA3323" s="1019"/>
      <c r="AB3323" s="1019"/>
      <c r="AC3323" s="1032"/>
      <c r="AD3323" s="1033">
        <v>480</v>
      </c>
      <c r="AE3323" s="1033">
        <v>300</v>
      </c>
      <c r="AF3323" s="1033">
        <v>220</v>
      </c>
      <c r="AG3323" s="66">
        <f t="shared" si="126"/>
        <v>151.80208333333334</v>
      </c>
      <c r="AH3323" s="143">
        <f t="shared" si="127"/>
        <v>1000</v>
      </c>
    </row>
    <row r="3324" spans="1:34" x14ac:dyDescent="0.3">
      <c r="A3324" s="1032">
        <v>203267</v>
      </c>
      <c r="B3324" s="1018">
        <v>24.333333333333332</v>
      </c>
      <c r="C3324" s="1018">
        <v>7.7499999999999991</v>
      </c>
      <c r="D3324" s="1019">
        <v>8.44</v>
      </c>
      <c r="E3324" s="1579">
        <v>1.91</v>
      </c>
      <c r="F3324" s="1017">
        <v>2101</v>
      </c>
      <c r="G3324" s="1032"/>
      <c r="H3324" s="1017">
        <v>50.04</v>
      </c>
      <c r="I3324" s="1017">
        <v>360</v>
      </c>
      <c r="J3324" s="1305">
        <v>0.26700000000000002</v>
      </c>
      <c r="K3324" s="1018">
        <v>10.51</v>
      </c>
      <c r="L3324" s="1032">
        <v>1130</v>
      </c>
      <c r="M3324" s="1365">
        <v>1.02</v>
      </c>
      <c r="N3324" s="1366">
        <v>0.57999999999999996</v>
      </c>
      <c r="O3324" s="1365">
        <v>1.24</v>
      </c>
      <c r="P3324" s="1365">
        <v>4.58</v>
      </c>
      <c r="Q3324" s="1032"/>
      <c r="R3324" s="1019">
        <v>0.80428396555560122</v>
      </c>
      <c r="S3324" s="1018">
        <v>5.32</v>
      </c>
      <c r="T3324" s="1032"/>
      <c r="U3324" s="1032"/>
      <c r="V3324" s="1032"/>
      <c r="W3324" s="1032"/>
      <c r="X3324" s="1032"/>
      <c r="Y3324" s="1018">
        <v>26.4</v>
      </c>
      <c r="Z3324" s="1032"/>
      <c r="AA3324" s="1019"/>
      <c r="AB3324" s="1019"/>
      <c r="AC3324" s="1032"/>
      <c r="AD3324" s="1033">
        <v>440</v>
      </c>
      <c r="AE3324" s="1033">
        <v>170</v>
      </c>
      <c r="AF3324" s="1033">
        <v>390</v>
      </c>
      <c r="AG3324" s="66">
        <f t="shared" si="126"/>
        <v>140.92954545454546</v>
      </c>
      <c r="AH3324" s="143">
        <f t="shared" si="127"/>
        <v>1000</v>
      </c>
    </row>
    <row r="3325" spans="1:34" x14ac:dyDescent="0.3">
      <c r="A3325" s="1032">
        <v>203268</v>
      </c>
      <c r="B3325" s="1018">
        <v>29.416666666666664</v>
      </c>
      <c r="C3325" s="1018">
        <v>10.999999999999998</v>
      </c>
      <c r="D3325" s="1019">
        <v>8.35</v>
      </c>
      <c r="E3325" s="1579">
        <v>1.486</v>
      </c>
      <c r="F3325" s="1017">
        <v>1634.6000000000001</v>
      </c>
      <c r="G3325" s="1032"/>
      <c r="H3325" s="1017">
        <v>39.83</v>
      </c>
      <c r="I3325" s="1017">
        <v>320</v>
      </c>
      <c r="J3325" s="1305">
        <v>0.20100000000000001</v>
      </c>
      <c r="K3325" s="1018">
        <v>11.52</v>
      </c>
      <c r="L3325" s="1032">
        <v>910</v>
      </c>
      <c r="M3325" s="1365"/>
      <c r="N3325" s="1366"/>
      <c r="O3325" s="1365"/>
      <c r="P3325" s="1365"/>
      <c r="Q3325" s="1032"/>
      <c r="R3325" s="1019">
        <v>0.53586651294818377</v>
      </c>
      <c r="S3325" s="1018">
        <v>4.01</v>
      </c>
      <c r="T3325" s="1032"/>
      <c r="U3325" s="1032"/>
      <c r="V3325" s="1032"/>
      <c r="W3325" s="1032"/>
      <c r="X3325" s="1032"/>
      <c r="Y3325" s="1018">
        <v>23</v>
      </c>
      <c r="Z3325" s="1032"/>
      <c r="AA3325" s="1019"/>
      <c r="AB3325" s="1019"/>
      <c r="AC3325" s="1032"/>
      <c r="AD3325" s="1033">
        <v>460</v>
      </c>
      <c r="AE3325" s="1033">
        <v>160</v>
      </c>
      <c r="AF3325" s="1033">
        <v>380</v>
      </c>
      <c r="AG3325" s="66">
        <f t="shared" si="126"/>
        <v>177.30782608695651</v>
      </c>
      <c r="AH3325" s="143">
        <f t="shared" si="127"/>
        <v>1000</v>
      </c>
    </row>
    <row r="3326" spans="1:34" x14ac:dyDescent="0.3">
      <c r="A3326" s="1032">
        <v>203269</v>
      </c>
      <c r="B3326" s="1018">
        <v>19.166666666666664</v>
      </c>
      <c r="C3326" s="1018">
        <v>7.2499999999999982</v>
      </c>
      <c r="D3326" s="1019">
        <v>8.43</v>
      </c>
      <c r="E3326" s="1579">
        <v>2.12</v>
      </c>
      <c r="F3326" s="1017">
        <v>2332.0000000000005</v>
      </c>
      <c r="G3326" s="1032"/>
      <c r="H3326" s="1017">
        <v>71.66</v>
      </c>
      <c r="I3326" s="1017">
        <v>370</v>
      </c>
      <c r="J3326" s="1305">
        <v>0.24399999999999999</v>
      </c>
      <c r="K3326" s="1018">
        <v>10.83</v>
      </c>
      <c r="L3326" s="1032">
        <v>840</v>
      </c>
      <c r="M3326" s="1365">
        <v>2.13</v>
      </c>
      <c r="N3326" s="1366">
        <v>0.56000000000000005</v>
      </c>
      <c r="O3326" s="1365">
        <v>1.52</v>
      </c>
      <c r="P3326" s="1365">
        <v>6.52</v>
      </c>
      <c r="Q3326" s="1032"/>
      <c r="R3326" s="1019">
        <v>0.82703739762934325</v>
      </c>
      <c r="S3326" s="1018">
        <v>5.74</v>
      </c>
      <c r="T3326" s="1032"/>
      <c r="U3326" s="1032"/>
      <c r="V3326" s="1032"/>
      <c r="W3326" s="1032"/>
      <c r="X3326" s="1032"/>
      <c r="Y3326" s="1018">
        <v>27.6</v>
      </c>
      <c r="Z3326" s="1032"/>
      <c r="AA3326" s="1019"/>
      <c r="AB3326" s="1019"/>
      <c r="AC3326" s="1032"/>
      <c r="AD3326" s="1033">
        <v>460</v>
      </c>
      <c r="AE3326" s="1033">
        <v>120</v>
      </c>
      <c r="AF3326" s="1033">
        <v>420</v>
      </c>
      <c r="AG3326" s="66">
        <f t="shared" si="126"/>
        <v>138.90652173913043</v>
      </c>
      <c r="AH3326" s="143">
        <f t="shared" si="127"/>
        <v>1000</v>
      </c>
    </row>
    <row r="3327" spans="1:34" x14ac:dyDescent="0.3">
      <c r="A3327" s="1032">
        <v>203270</v>
      </c>
      <c r="B3327" s="1018">
        <v>17.75</v>
      </c>
      <c r="C3327" s="1018">
        <v>6.875</v>
      </c>
      <c r="D3327" s="1019">
        <v>8.52</v>
      </c>
      <c r="E3327" s="1579">
        <v>2.27</v>
      </c>
      <c r="F3327" s="1017">
        <v>2497.0000000000005</v>
      </c>
      <c r="G3327" s="1032"/>
      <c r="H3327" s="1017">
        <v>75.81</v>
      </c>
      <c r="I3327" s="1017">
        <v>440</v>
      </c>
      <c r="J3327" s="1305">
        <v>0.318</v>
      </c>
      <c r="K3327" s="1018">
        <v>10.34</v>
      </c>
      <c r="L3327" s="1032">
        <v>920</v>
      </c>
      <c r="M3327" s="1365"/>
      <c r="N3327" s="1366"/>
      <c r="O3327" s="1365"/>
      <c r="P3327" s="1365"/>
      <c r="Q3327" s="1032"/>
      <c r="R3327" s="1019">
        <v>0.58635876475806537</v>
      </c>
      <c r="S3327" s="1018">
        <v>4.12</v>
      </c>
      <c r="T3327" s="1032"/>
      <c r="U3327" s="1032"/>
      <c r="V3327" s="1032"/>
      <c r="W3327" s="1032"/>
      <c r="X3327" s="1032"/>
      <c r="Y3327" s="1018">
        <v>29.4</v>
      </c>
      <c r="Z3327" s="1032"/>
      <c r="AA3327" s="1019"/>
      <c r="AB3327" s="1019"/>
      <c r="AC3327" s="1032"/>
      <c r="AD3327" s="1033">
        <v>420</v>
      </c>
      <c r="AE3327" s="1033">
        <v>120</v>
      </c>
      <c r="AF3327" s="1033">
        <v>460</v>
      </c>
      <c r="AG3327" s="66">
        <f t="shared" si="126"/>
        <v>124.50204081632654</v>
      </c>
      <c r="AH3327" s="143">
        <f t="shared" si="127"/>
        <v>1000</v>
      </c>
    </row>
    <row r="3328" spans="1:34" x14ac:dyDescent="0.3">
      <c r="A3328" s="1032">
        <v>203271</v>
      </c>
      <c r="B3328" s="1018">
        <v>19.333333333333329</v>
      </c>
      <c r="C3328" s="1018">
        <v>7.2499999999999982</v>
      </c>
      <c r="D3328" s="1019">
        <v>8.41</v>
      </c>
      <c r="E3328" s="1579">
        <v>2.74</v>
      </c>
      <c r="F3328" s="1017">
        <v>3014.0000000000005</v>
      </c>
      <c r="G3328" s="1032"/>
      <c r="H3328" s="1017">
        <v>161.22</v>
      </c>
      <c r="I3328" s="1017">
        <v>680</v>
      </c>
      <c r="J3328" s="1305">
        <v>0.308</v>
      </c>
      <c r="K3328" s="1018">
        <v>12.32</v>
      </c>
      <c r="L3328" s="1032">
        <v>680</v>
      </c>
      <c r="M3328" s="1365">
        <v>2.46</v>
      </c>
      <c r="N3328" s="1366">
        <v>1.03</v>
      </c>
      <c r="O3328" s="1365">
        <v>0.63</v>
      </c>
      <c r="P3328" s="1365">
        <v>6.21</v>
      </c>
      <c r="Q3328" s="1032"/>
      <c r="R3328" s="1019">
        <v>1.2087694664661639</v>
      </c>
      <c r="S3328" s="1018">
        <v>8.06</v>
      </c>
      <c r="T3328" s="1032"/>
      <c r="U3328" s="1032"/>
      <c r="V3328" s="1032"/>
      <c r="W3328" s="1032"/>
      <c r="X3328" s="1032"/>
      <c r="Y3328" s="1018">
        <v>20.399999999999999</v>
      </c>
      <c r="Z3328" s="1032"/>
      <c r="AA3328" s="1019"/>
      <c r="AB3328" s="1019"/>
      <c r="AC3328" s="1032"/>
      <c r="AD3328" s="1033">
        <v>340</v>
      </c>
      <c r="AE3328" s="1033">
        <v>120</v>
      </c>
      <c r="AF3328" s="1033">
        <v>540</v>
      </c>
      <c r="AG3328" s="66">
        <f t="shared" si="126"/>
        <v>213.78823529411764</v>
      </c>
      <c r="AH3328" s="143">
        <f t="shared" si="127"/>
        <v>1000</v>
      </c>
    </row>
    <row r="3329" spans="1:34" x14ac:dyDescent="0.3">
      <c r="A3329" s="1032">
        <v>203272</v>
      </c>
      <c r="B3329" s="1018">
        <v>20</v>
      </c>
      <c r="C3329" s="1018">
        <v>7.625</v>
      </c>
      <c r="D3329" s="1019">
        <v>8.4</v>
      </c>
      <c r="E3329" s="1579">
        <v>2.08</v>
      </c>
      <c r="F3329" s="1017">
        <v>2288.0000000000005</v>
      </c>
      <c r="G3329" s="1032"/>
      <c r="H3329" s="1017">
        <v>107.92</v>
      </c>
      <c r="I3329" s="1017">
        <v>800</v>
      </c>
      <c r="J3329" s="1305">
        <v>0.442</v>
      </c>
      <c r="K3329" s="1018">
        <v>8.67</v>
      </c>
      <c r="L3329" s="1032">
        <v>770</v>
      </c>
      <c r="M3329" s="1365"/>
      <c r="N3329" s="1366"/>
      <c r="O3329" s="1365"/>
      <c r="P3329" s="1365"/>
      <c r="Q3329" s="1032"/>
      <c r="R3329" s="1019">
        <v>0.62201887830522773</v>
      </c>
      <c r="S3329" s="1018">
        <v>4.1900000000000004</v>
      </c>
      <c r="T3329" s="1032"/>
      <c r="U3329" s="1032"/>
      <c r="V3329" s="1032"/>
      <c r="W3329" s="1032"/>
      <c r="X3329" s="1032"/>
      <c r="Y3329" s="1018">
        <v>22.4</v>
      </c>
      <c r="Z3329" s="1032"/>
      <c r="AA3329" s="1019"/>
      <c r="AB3329" s="1019"/>
      <c r="AC3329" s="1032"/>
      <c r="AD3329" s="1033">
        <v>320</v>
      </c>
      <c r="AE3329" s="1033">
        <v>120</v>
      </c>
      <c r="AF3329" s="1033">
        <v>560</v>
      </c>
      <c r="AG3329" s="66">
        <f t="shared" si="126"/>
        <v>137.01696428571429</v>
      </c>
      <c r="AH3329" s="143">
        <f t="shared" si="127"/>
        <v>1000</v>
      </c>
    </row>
    <row r="3330" spans="1:34" x14ac:dyDescent="0.3">
      <c r="A3330" s="1032">
        <v>203273</v>
      </c>
      <c r="B3330" s="1018">
        <v>15</v>
      </c>
      <c r="C3330" s="1018">
        <v>7.3749999999999982</v>
      </c>
      <c r="D3330" s="1019">
        <v>8.2200000000000006</v>
      </c>
      <c r="E3330" s="1579">
        <v>2.5</v>
      </c>
      <c r="F3330" s="1017">
        <v>2750</v>
      </c>
      <c r="G3330" s="1032"/>
      <c r="H3330" s="1017">
        <v>214.06</v>
      </c>
      <c r="I3330" s="1017">
        <v>320</v>
      </c>
      <c r="J3330" s="1305">
        <v>0.127</v>
      </c>
      <c r="K3330" s="1018">
        <v>13.73</v>
      </c>
      <c r="L3330" s="1032">
        <v>840</v>
      </c>
      <c r="M3330" s="1365">
        <v>2.69</v>
      </c>
      <c r="N3330" s="1366">
        <v>1.18</v>
      </c>
      <c r="O3330" s="1365">
        <v>3.06</v>
      </c>
      <c r="P3330" s="1365">
        <v>8.3800000000000008</v>
      </c>
      <c r="Q3330" s="1032"/>
      <c r="R3330" s="1019">
        <v>1.1498388885666164</v>
      </c>
      <c r="S3330" s="1018">
        <v>7.82</v>
      </c>
      <c r="T3330" s="1032"/>
      <c r="U3330" s="1032"/>
      <c r="V3330" s="1032"/>
      <c r="W3330" s="1032"/>
      <c r="X3330" s="1032"/>
      <c r="Y3330" s="1018">
        <v>22.4</v>
      </c>
      <c r="Z3330" s="1032"/>
      <c r="AA3330" s="1019"/>
      <c r="AB3330" s="1019"/>
      <c r="AC3330" s="1032"/>
      <c r="AD3330" s="1033">
        <v>320</v>
      </c>
      <c r="AE3330" s="1033">
        <v>100</v>
      </c>
      <c r="AF3330" s="1033">
        <v>580</v>
      </c>
      <c r="AG3330" s="66">
        <f t="shared" ref="AG3330:AG3393" si="128">+K3330*3.54*100/Y3330</f>
        <v>216.98303571428573</v>
      </c>
      <c r="AH3330" s="143">
        <f t="shared" ref="AH3330:AH3393" si="129">+SUM(AD3330:AF3330)</f>
        <v>1000</v>
      </c>
    </row>
    <row r="3331" spans="1:34" x14ac:dyDescent="0.3">
      <c r="A3331" s="1032">
        <v>203274</v>
      </c>
      <c r="B3331" s="1018">
        <v>16.5</v>
      </c>
      <c r="C3331" s="1018">
        <v>7.7499999999999991</v>
      </c>
      <c r="D3331" s="1019">
        <v>8.43</v>
      </c>
      <c r="E3331" s="1579">
        <v>1.7010000000000001</v>
      </c>
      <c r="F3331" s="1017">
        <v>1871.1000000000001</v>
      </c>
      <c r="G3331" s="1032"/>
      <c r="H3331" s="1017">
        <v>69.010000000000005</v>
      </c>
      <c r="I3331" s="1017">
        <v>190</v>
      </c>
      <c r="J3331" s="1305">
        <v>0.1</v>
      </c>
      <c r="K3331" s="1018">
        <v>10.220000000000001</v>
      </c>
      <c r="L3331" s="1032">
        <v>700</v>
      </c>
      <c r="M3331" s="1365"/>
      <c r="N3331" s="1366"/>
      <c r="O3331" s="1365"/>
      <c r="P3331" s="1365"/>
      <c r="Q3331" s="1032"/>
      <c r="R3331" s="1019">
        <v>0.61533596474143892</v>
      </c>
      <c r="S3331" s="1018">
        <v>4.3499999999999996</v>
      </c>
      <c r="T3331" s="1032"/>
      <c r="U3331" s="1032"/>
      <c r="V3331" s="1032"/>
      <c r="W3331" s="1032"/>
      <c r="X3331" s="1032"/>
      <c r="Y3331" s="1018">
        <v>18</v>
      </c>
      <c r="Z3331" s="1032"/>
      <c r="AA3331" s="1019"/>
      <c r="AB3331" s="1019"/>
      <c r="AC3331" s="1032"/>
      <c r="AD3331" s="1033">
        <v>300</v>
      </c>
      <c r="AE3331" s="1033">
        <v>110</v>
      </c>
      <c r="AF3331" s="1033">
        <v>590</v>
      </c>
      <c r="AG3331" s="66">
        <f t="shared" si="128"/>
        <v>200.99333333333334</v>
      </c>
      <c r="AH3331" s="143">
        <f t="shared" si="129"/>
        <v>1000</v>
      </c>
    </row>
    <row r="3332" spans="1:34" x14ac:dyDescent="0.3">
      <c r="A3332" s="1032">
        <v>203275</v>
      </c>
      <c r="B3332" s="1018">
        <v>22.25</v>
      </c>
      <c r="C3332" s="1018">
        <v>10.374999999999998</v>
      </c>
      <c r="D3332" s="1019">
        <v>8.34</v>
      </c>
      <c r="E3332" s="1579">
        <v>2.56</v>
      </c>
      <c r="F3332" s="1017">
        <v>2816.0000000000005</v>
      </c>
      <c r="G3332" s="1032"/>
      <c r="H3332" s="1017">
        <v>185.62</v>
      </c>
      <c r="I3332" s="1017">
        <v>400</v>
      </c>
      <c r="J3332" s="1305">
        <v>0.123</v>
      </c>
      <c r="K3332" s="1018">
        <v>15.73</v>
      </c>
      <c r="L3332" s="1032">
        <v>750</v>
      </c>
      <c r="M3332" s="1365">
        <v>2.46</v>
      </c>
      <c r="N3332" s="1366">
        <v>0.94</v>
      </c>
      <c r="O3332" s="1365">
        <v>17.93</v>
      </c>
      <c r="P3332" s="1365">
        <v>7.37</v>
      </c>
      <c r="Q3332" s="1032"/>
      <c r="R3332" s="1019">
        <v>1.0700458157294575</v>
      </c>
      <c r="S3332" s="1018">
        <v>7.26</v>
      </c>
      <c r="T3332" s="1032"/>
      <c r="U3332" s="1032"/>
      <c r="V3332" s="1032"/>
      <c r="W3332" s="1032"/>
      <c r="X3332" s="1032"/>
      <c r="Y3332" s="1018">
        <v>18</v>
      </c>
      <c r="Z3332" s="1032"/>
      <c r="AA3332" s="1019"/>
      <c r="AB3332" s="1019"/>
      <c r="AC3332" s="1032"/>
      <c r="AD3332" s="1033">
        <v>360</v>
      </c>
      <c r="AE3332" s="1033">
        <v>150</v>
      </c>
      <c r="AF3332" s="1033">
        <v>490</v>
      </c>
      <c r="AG3332" s="66">
        <f t="shared" si="128"/>
        <v>309.35666666666668</v>
      </c>
      <c r="AH3332" s="143">
        <f t="shared" si="129"/>
        <v>1000</v>
      </c>
    </row>
    <row r="3333" spans="1:34" x14ac:dyDescent="0.3">
      <c r="A3333" s="1032">
        <v>203276</v>
      </c>
      <c r="B3333" s="1018">
        <v>22.583333333333332</v>
      </c>
      <c r="C3333" s="1018">
        <v>10.499999999999998</v>
      </c>
      <c r="D3333" s="1019">
        <v>8.0500000000000007</v>
      </c>
      <c r="E3333" s="1579">
        <v>2.4</v>
      </c>
      <c r="F3333" s="1017">
        <v>2640</v>
      </c>
      <c r="G3333" s="1032"/>
      <c r="H3333" s="1017">
        <v>140.68</v>
      </c>
      <c r="I3333" s="1017">
        <v>280</v>
      </c>
      <c r="J3333" s="1305">
        <v>0.125</v>
      </c>
      <c r="K3333" s="1018">
        <v>12.97</v>
      </c>
      <c r="L3333" s="1032">
        <v>720</v>
      </c>
      <c r="M3333" s="1365"/>
      <c r="N3333" s="1366"/>
      <c r="O3333" s="1365"/>
      <c r="P3333" s="1365"/>
      <c r="Q3333" s="1032"/>
      <c r="R3333" s="1019">
        <v>0.85660353302957459</v>
      </c>
      <c r="S3333" s="1018">
        <v>5.96</v>
      </c>
      <c r="T3333" s="1032"/>
      <c r="U3333" s="1032"/>
      <c r="V3333" s="1032"/>
      <c r="W3333" s="1032"/>
      <c r="X3333" s="1032"/>
      <c r="Y3333" s="1018">
        <v>17</v>
      </c>
      <c r="Z3333" s="1032"/>
      <c r="AA3333" s="1019"/>
      <c r="AB3333" s="1019"/>
      <c r="AC3333" s="1032"/>
      <c r="AD3333" s="1033">
        <v>340</v>
      </c>
      <c r="AE3333" s="1033">
        <v>140</v>
      </c>
      <c r="AF3333" s="1033">
        <v>520</v>
      </c>
      <c r="AG3333" s="66">
        <f t="shared" si="128"/>
        <v>270.08117647058822</v>
      </c>
      <c r="AH3333" s="143">
        <f t="shared" si="129"/>
        <v>1000</v>
      </c>
    </row>
    <row r="3334" spans="1:34" x14ac:dyDescent="0.3">
      <c r="A3334" s="1032">
        <v>203277</v>
      </c>
      <c r="B3334" s="1018">
        <v>22.666666666666664</v>
      </c>
      <c r="C3334" s="1018">
        <v>9.5</v>
      </c>
      <c r="D3334" s="1019">
        <v>8.34</v>
      </c>
      <c r="E3334" s="1579">
        <v>1.996</v>
      </c>
      <c r="F3334" s="1017">
        <v>2195.6000000000004</v>
      </c>
      <c r="G3334" s="1032"/>
      <c r="H3334" s="1017">
        <v>157.54</v>
      </c>
      <c r="I3334" s="1017">
        <v>1060</v>
      </c>
      <c r="J3334" s="1305">
        <v>0.48199999999999998</v>
      </c>
      <c r="K3334" s="1018">
        <v>8.6300000000000008</v>
      </c>
      <c r="L3334" s="1032">
        <v>850</v>
      </c>
      <c r="M3334" s="1365">
        <v>1.6</v>
      </c>
      <c r="N3334" s="1366">
        <v>0.4</v>
      </c>
      <c r="O3334" s="1365">
        <v>1.24</v>
      </c>
      <c r="P3334" s="1365">
        <v>5.21</v>
      </c>
      <c r="Q3334" s="1032"/>
      <c r="R3334" s="1019">
        <v>0.88760150976114949</v>
      </c>
      <c r="S3334" s="1018">
        <v>5.9</v>
      </c>
      <c r="T3334" s="1032"/>
      <c r="U3334" s="1032"/>
      <c r="V3334" s="1032"/>
      <c r="W3334" s="1032"/>
      <c r="X3334" s="1032"/>
      <c r="Y3334" s="1018">
        <v>15.4</v>
      </c>
      <c r="Z3334" s="1032"/>
      <c r="AA3334" s="1019"/>
      <c r="AB3334" s="1019"/>
      <c r="AC3334" s="1032"/>
      <c r="AD3334" s="1033">
        <v>220</v>
      </c>
      <c r="AE3334" s="1033">
        <v>140</v>
      </c>
      <c r="AF3334" s="1033">
        <v>640</v>
      </c>
      <c r="AG3334" s="66">
        <f t="shared" si="128"/>
        <v>198.37792207792211</v>
      </c>
      <c r="AH3334" s="143">
        <f t="shared" si="129"/>
        <v>1000</v>
      </c>
    </row>
    <row r="3335" spans="1:34" x14ac:dyDescent="0.3">
      <c r="A3335" s="1032">
        <v>203278</v>
      </c>
      <c r="B3335" s="1018">
        <v>18.833333333333332</v>
      </c>
      <c r="C3335" s="1018">
        <v>9.7499999999999982</v>
      </c>
      <c r="D3335" s="1019">
        <v>8.23</v>
      </c>
      <c r="E3335" s="1579">
        <v>2.96</v>
      </c>
      <c r="F3335" s="1017">
        <v>3256</v>
      </c>
      <c r="G3335" s="1032"/>
      <c r="H3335" s="1017">
        <v>356</v>
      </c>
      <c r="I3335" s="1017">
        <v>1080</v>
      </c>
      <c r="J3335" s="1305">
        <v>0.39100000000000001</v>
      </c>
      <c r="K3335" s="1018">
        <v>11.87</v>
      </c>
      <c r="L3335" s="1032">
        <v>920</v>
      </c>
      <c r="M3335" s="1365"/>
      <c r="N3335" s="1366"/>
      <c r="O3335" s="1365"/>
      <c r="P3335" s="1365"/>
      <c r="Q3335" s="1032"/>
      <c r="R3335" s="1019">
        <v>1.2348964228928938</v>
      </c>
      <c r="S3335" s="1018">
        <v>8.0399999999999991</v>
      </c>
      <c r="T3335" s="1032"/>
      <c r="U3335" s="1032"/>
      <c r="V3335" s="1032"/>
      <c r="W3335" s="1032"/>
      <c r="X3335" s="1032"/>
      <c r="Y3335" s="1018">
        <v>11</v>
      </c>
      <c r="Z3335" s="1032"/>
      <c r="AA3335" s="1019"/>
      <c r="AB3335" s="1019"/>
      <c r="AC3335" s="1032"/>
      <c r="AD3335" s="1033">
        <v>220</v>
      </c>
      <c r="AE3335" s="1033">
        <v>150</v>
      </c>
      <c r="AF3335" s="1033">
        <v>630</v>
      </c>
      <c r="AG3335" s="66">
        <f t="shared" si="128"/>
        <v>381.99818181818176</v>
      </c>
      <c r="AH3335" s="143">
        <f t="shared" si="129"/>
        <v>1000</v>
      </c>
    </row>
    <row r="3336" spans="1:34" x14ac:dyDescent="0.3">
      <c r="A3336" s="1032">
        <v>203279</v>
      </c>
      <c r="B3336" s="1018">
        <v>19.166666666666664</v>
      </c>
      <c r="C3336" s="1018">
        <v>8.875</v>
      </c>
      <c r="D3336" s="1019">
        <v>8.1199999999999992</v>
      </c>
      <c r="E3336" s="1579">
        <v>2.5</v>
      </c>
      <c r="F3336" s="1017">
        <v>2750</v>
      </c>
      <c r="G3336" s="1032"/>
      <c r="H3336" s="1017">
        <v>210.74</v>
      </c>
      <c r="I3336" s="1017">
        <v>350</v>
      </c>
      <c r="J3336" s="1305">
        <v>0.13600000000000001</v>
      </c>
      <c r="K3336" s="1018">
        <v>13.92</v>
      </c>
      <c r="L3336" s="1032">
        <v>700</v>
      </c>
      <c r="M3336" s="1365">
        <v>3.12</v>
      </c>
      <c r="N3336" s="1366">
        <v>0.83</v>
      </c>
      <c r="O3336" s="1365">
        <v>6.64</v>
      </c>
      <c r="P3336" s="1365">
        <v>9.43</v>
      </c>
      <c r="Q3336" s="1032"/>
      <c r="R3336" s="1019">
        <v>1.1121385979762086</v>
      </c>
      <c r="S3336" s="1018">
        <v>7.69</v>
      </c>
      <c r="T3336" s="1032"/>
      <c r="U3336" s="1032"/>
      <c r="V3336" s="1032"/>
      <c r="W3336" s="1032"/>
      <c r="X3336" s="1032"/>
      <c r="Y3336" s="1018">
        <v>25.2</v>
      </c>
      <c r="Z3336" s="1032"/>
      <c r="AA3336" s="1019"/>
      <c r="AB3336" s="1019"/>
      <c r="AC3336" s="1032"/>
      <c r="AD3336" s="1033">
        <v>360</v>
      </c>
      <c r="AE3336" s="1033">
        <v>160</v>
      </c>
      <c r="AF3336" s="1033">
        <v>480</v>
      </c>
      <c r="AG3336" s="66">
        <f t="shared" si="128"/>
        <v>195.54285714285717</v>
      </c>
      <c r="AH3336" s="143">
        <f t="shared" si="129"/>
        <v>1000</v>
      </c>
    </row>
    <row r="3337" spans="1:34" x14ac:dyDescent="0.3">
      <c r="A3337" s="1032">
        <v>203280</v>
      </c>
      <c r="B3337" s="1018">
        <v>21.583333333333332</v>
      </c>
      <c r="C3337" s="1018">
        <v>9.1249999999999982</v>
      </c>
      <c r="D3337" s="1019">
        <v>8.11</v>
      </c>
      <c r="E3337" s="1579">
        <v>1.921</v>
      </c>
      <c r="F3337" s="1017">
        <v>2113.1000000000004</v>
      </c>
      <c r="G3337" s="1032"/>
      <c r="H3337" s="1017">
        <v>74.36</v>
      </c>
      <c r="I3337" s="1017">
        <v>350</v>
      </c>
      <c r="J3337" s="1305">
        <v>0.108</v>
      </c>
      <c r="K3337" s="1018">
        <v>10.65</v>
      </c>
      <c r="L3337" s="1032">
        <v>540</v>
      </c>
      <c r="M3337" s="1365"/>
      <c r="N3337" s="1366"/>
      <c r="O3337" s="1365"/>
      <c r="P3337" s="1365"/>
      <c r="Q3337" s="1032"/>
      <c r="R3337" s="1019">
        <v>0.59228267906613208</v>
      </c>
      <c r="S3337" s="1018">
        <v>4.29</v>
      </c>
      <c r="T3337" s="1032"/>
      <c r="U3337" s="1032"/>
      <c r="V3337" s="1032"/>
      <c r="W3337" s="1032"/>
      <c r="X3337" s="1032"/>
      <c r="Y3337" s="1018">
        <v>14</v>
      </c>
      <c r="Z3337" s="1032"/>
      <c r="AA3337" s="1019"/>
      <c r="AB3337" s="1019"/>
      <c r="AC3337" s="1032"/>
      <c r="AD3337" s="1033">
        <v>280</v>
      </c>
      <c r="AE3337" s="1033">
        <v>60</v>
      </c>
      <c r="AF3337" s="1033">
        <v>660</v>
      </c>
      <c r="AG3337" s="66">
        <f t="shared" si="128"/>
        <v>269.29285714285714</v>
      </c>
      <c r="AH3337" s="143">
        <f t="shared" si="129"/>
        <v>1000</v>
      </c>
    </row>
    <row r="3338" spans="1:34" x14ac:dyDescent="0.3">
      <c r="A3338" s="1032">
        <v>203281</v>
      </c>
      <c r="B3338" s="1018">
        <v>6.666666666666667</v>
      </c>
      <c r="C3338" s="1018"/>
      <c r="D3338" s="1019">
        <v>8.23</v>
      </c>
      <c r="E3338" s="1579">
        <v>2.4300000000000002</v>
      </c>
      <c r="F3338" s="1017">
        <v>2673.0000000000005</v>
      </c>
      <c r="G3338" s="1032"/>
      <c r="H3338" s="1017">
        <v>82.77</v>
      </c>
      <c r="I3338" s="1017">
        <v>370</v>
      </c>
      <c r="J3338" s="1305">
        <v>0.26900000000000002</v>
      </c>
      <c r="K3338" s="1018">
        <v>10.62</v>
      </c>
      <c r="L3338" s="1032">
        <v>660</v>
      </c>
      <c r="M3338" s="1365">
        <v>1.85</v>
      </c>
      <c r="N3338" s="1366">
        <v>0.34</v>
      </c>
      <c r="O3338" s="1365">
        <v>1.1299999999999999</v>
      </c>
      <c r="P3338" s="1365">
        <v>5.0999999999999996</v>
      </c>
      <c r="Q3338" s="1032"/>
      <c r="R3338" s="1019">
        <v>0.65415612333640905</v>
      </c>
      <c r="S3338" s="1018">
        <v>4.28</v>
      </c>
      <c r="T3338" s="1032"/>
      <c r="U3338" s="1032"/>
      <c r="V3338" s="1032"/>
      <c r="W3338" s="1032"/>
      <c r="X3338" s="1032"/>
      <c r="Y3338" s="1018">
        <v>21</v>
      </c>
      <c r="Z3338" s="1032"/>
      <c r="AA3338" s="1019"/>
      <c r="AB3338" s="1019"/>
      <c r="AC3338" s="1032"/>
      <c r="AD3338" s="1033">
        <v>300</v>
      </c>
      <c r="AE3338" s="1033">
        <v>50</v>
      </c>
      <c r="AF3338" s="1033">
        <v>650</v>
      </c>
      <c r="AG3338" s="66">
        <f t="shared" si="128"/>
        <v>179.02285714285713</v>
      </c>
      <c r="AH3338" s="143">
        <f t="shared" si="129"/>
        <v>1000</v>
      </c>
    </row>
    <row r="3339" spans="1:34" x14ac:dyDescent="0.3">
      <c r="A3339" s="1032">
        <v>203282</v>
      </c>
      <c r="B3339" s="1018">
        <v>7.5833333333333321</v>
      </c>
      <c r="C3339" s="1018"/>
      <c r="D3339" s="1019">
        <v>8.44</v>
      </c>
      <c r="E3339" s="1579">
        <v>1.6259999999999999</v>
      </c>
      <c r="F3339" s="1017">
        <v>1788.6</v>
      </c>
      <c r="G3339" s="1032"/>
      <c r="H3339" s="1017">
        <v>58.95</v>
      </c>
      <c r="I3339" s="1017">
        <v>240</v>
      </c>
      <c r="J3339" s="1305">
        <v>0.17299999999999999</v>
      </c>
      <c r="K3339" s="1018">
        <v>7.99</v>
      </c>
      <c r="L3339" s="1032">
        <v>440</v>
      </c>
      <c r="M3339" s="1365"/>
      <c r="N3339" s="1366"/>
      <c r="O3339" s="1365"/>
      <c r="P3339" s="1365"/>
      <c r="Q3339" s="1032"/>
      <c r="R3339" s="1019">
        <v>0.55713853180763551</v>
      </c>
      <c r="S3339" s="1018">
        <v>3.86</v>
      </c>
      <c r="T3339" s="1032"/>
      <c r="U3339" s="1032"/>
      <c r="V3339" s="1032"/>
      <c r="W3339" s="1032"/>
      <c r="X3339" s="1032"/>
      <c r="Y3339" s="1018">
        <v>22.4</v>
      </c>
      <c r="Z3339" s="1032"/>
      <c r="AA3339" s="1019"/>
      <c r="AB3339" s="1019"/>
      <c r="AC3339" s="1032"/>
      <c r="AD3339" s="1033">
        <v>320</v>
      </c>
      <c r="AE3339" s="1033">
        <v>20</v>
      </c>
      <c r="AF3339" s="1033">
        <v>660</v>
      </c>
      <c r="AG3339" s="66">
        <f t="shared" si="128"/>
        <v>126.27053571428573</v>
      </c>
      <c r="AH3339" s="143">
        <f t="shared" si="129"/>
        <v>1000</v>
      </c>
    </row>
    <row r="3340" spans="1:34" x14ac:dyDescent="0.3">
      <c r="A3340" s="1032">
        <v>203283</v>
      </c>
      <c r="B3340" s="1018">
        <v>15.833333333333332</v>
      </c>
      <c r="C3340" s="1018">
        <v>7</v>
      </c>
      <c r="D3340" s="1019">
        <v>8.23</v>
      </c>
      <c r="E3340" s="1579">
        <v>2.38</v>
      </c>
      <c r="F3340" s="1017">
        <v>2618</v>
      </c>
      <c r="G3340" s="1032"/>
      <c r="H3340" s="1017">
        <v>120.52</v>
      </c>
      <c r="I3340" s="1017">
        <v>430</v>
      </c>
      <c r="J3340" s="1305">
        <v>0.122</v>
      </c>
      <c r="K3340" s="1018">
        <v>12.22</v>
      </c>
      <c r="L3340" s="1032">
        <v>710</v>
      </c>
      <c r="M3340" s="1365">
        <v>1.43</v>
      </c>
      <c r="N3340" s="1366">
        <v>0.52</v>
      </c>
      <c r="O3340" s="1365">
        <v>1.05</v>
      </c>
      <c r="P3340" s="1365">
        <v>5.18</v>
      </c>
      <c r="Q3340" s="1032"/>
      <c r="R3340" s="1019">
        <v>0.79787296469209767</v>
      </c>
      <c r="S3340" s="1018">
        <v>5.97</v>
      </c>
      <c r="T3340" s="1032"/>
      <c r="U3340" s="1032"/>
      <c r="V3340" s="1032"/>
      <c r="W3340" s="1032"/>
      <c r="X3340" s="1032"/>
      <c r="Y3340" s="1018">
        <v>22.4</v>
      </c>
      <c r="Z3340" s="1032"/>
      <c r="AA3340" s="1019"/>
      <c r="AB3340" s="1019"/>
      <c r="AC3340" s="1032"/>
      <c r="AD3340" s="1033">
        <v>320</v>
      </c>
      <c r="AE3340" s="1033">
        <v>80</v>
      </c>
      <c r="AF3340" s="1033">
        <v>600</v>
      </c>
      <c r="AG3340" s="66">
        <f t="shared" si="128"/>
        <v>193.11964285714288</v>
      </c>
      <c r="AH3340" s="143">
        <f t="shared" si="129"/>
        <v>1000</v>
      </c>
    </row>
    <row r="3341" spans="1:34" x14ac:dyDescent="0.3">
      <c r="A3341" s="1032">
        <v>203284</v>
      </c>
      <c r="B3341" s="1018">
        <v>24.666666666666668</v>
      </c>
      <c r="C3341" s="1018">
        <v>9.7499999999999982</v>
      </c>
      <c r="D3341" s="1019">
        <v>8.42</v>
      </c>
      <c r="E3341" s="1579">
        <v>1.8109999999999999</v>
      </c>
      <c r="F3341" s="1017">
        <v>1992.1000000000001</v>
      </c>
      <c r="G3341" s="1032"/>
      <c r="H3341" s="1017">
        <v>83.01</v>
      </c>
      <c r="I3341" s="1017">
        <v>230</v>
      </c>
      <c r="J3341" s="1305">
        <v>0.153</v>
      </c>
      <c r="K3341" s="1018">
        <v>10.48</v>
      </c>
      <c r="L3341" s="1032">
        <v>720</v>
      </c>
      <c r="M3341" s="1365"/>
      <c r="N3341" s="1366"/>
      <c r="O3341" s="1365"/>
      <c r="P3341" s="1365"/>
      <c r="Q3341" s="1032"/>
      <c r="R3341" s="1019">
        <v>0.52337398898604215</v>
      </c>
      <c r="S3341" s="1018">
        <v>3.87</v>
      </c>
      <c r="T3341" s="1032"/>
      <c r="U3341" s="1032"/>
      <c r="V3341" s="1032"/>
      <c r="W3341" s="1032"/>
      <c r="X3341" s="1032"/>
      <c r="Y3341" s="1018">
        <v>27.6</v>
      </c>
      <c r="Z3341" s="1032"/>
      <c r="AA3341" s="1019"/>
      <c r="AB3341" s="1019"/>
      <c r="AC3341" s="1032"/>
      <c r="AD3341" s="1033">
        <v>460</v>
      </c>
      <c r="AE3341" s="1033">
        <v>180</v>
      </c>
      <c r="AF3341" s="1033">
        <v>360</v>
      </c>
      <c r="AG3341" s="66">
        <f t="shared" si="128"/>
        <v>134.41739130434783</v>
      </c>
      <c r="AH3341" s="143">
        <f t="shared" si="129"/>
        <v>1000</v>
      </c>
    </row>
    <row r="3342" spans="1:34" x14ac:dyDescent="0.3">
      <c r="A3342" s="1032">
        <v>203285</v>
      </c>
      <c r="B3342" s="1018">
        <v>23.75</v>
      </c>
      <c r="C3342" s="1018">
        <v>9</v>
      </c>
      <c r="D3342" s="1019">
        <v>7.95</v>
      </c>
      <c r="E3342" s="1579">
        <v>2.5609999999999999</v>
      </c>
      <c r="F3342" s="1017">
        <v>2817.1000000000004</v>
      </c>
      <c r="G3342" s="1032"/>
      <c r="H3342" s="1017">
        <v>444.22</v>
      </c>
      <c r="I3342" s="1017">
        <v>520</v>
      </c>
      <c r="J3342" s="1305">
        <v>0.19800000000000001</v>
      </c>
      <c r="K3342" s="1018">
        <v>14.09</v>
      </c>
      <c r="L3342" s="1032">
        <v>1080</v>
      </c>
      <c r="M3342" s="1365">
        <v>6.32</v>
      </c>
      <c r="N3342" s="1366">
        <v>0.96</v>
      </c>
      <c r="O3342" s="1365">
        <v>3.88</v>
      </c>
      <c r="P3342" s="1365">
        <v>22.32</v>
      </c>
      <c r="Q3342" s="1032"/>
      <c r="R3342" s="1019">
        <v>1.81465952</v>
      </c>
      <c r="S3342" s="1018">
        <v>17.079999999999998</v>
      </c>
      <c r="T3342" s="1032"/>
      <c r="U3342" s="1032"/>
      <c r="V3342" s="1032"/>
      <c r="W3342" s="1032"/>
      <c r="X3342" s="1032"/>
      <c r="Y3342" s="1018">
        <v>18</v>
      </c>
      <c r="Z3342" s="1032"/>
      <c r="AA3342" s="1019"/>
      <c r="AB3342" s="1019"/>
      <c r="AC3342" s="1032"/>
      <c r="AD3342" s="1033">
        <v>300</v>
      </c>
      <c r="AE3342" s="1033">
        <v>80</v>
      </c>
      <c r="AF3342" s="1033">
        <v>620</v>
      </c>
      <c r="AG3342" s="66">
        <f t="shared" si="128"/>
        <v>277.1033333333333</v>
      </c>
      <c r="AH3342" s="143">
        <f t="shared" si="129"/>
        <v>1000</v>
      </c>
    </row>
    <row r="3343" spans="1:34" x14ac:dyDescent="0.3">
      <c r="A3343" s="1032">
        <v>203286</v>
      </c>
      <c r="B3343" s="1018">
        <v>28.999999999999996</v>
      </c>
      <c r="C3343" s="1018">
        <v>10.499999999999998</v>
      </c>
      <c r="D3343" s="1019">
        <v>8.31</v>
      </c>
      <c r="E3343" s="1579">
        <v>1.927</v>
      </c>
      <c r="F3343" s="1017">
        <v>2119.7000000000003</v>
      </c>
      <c r="G3343" s="1032"/>
      <c r="H3343" s="1017">
        <v>195.12</v>
      </c>
      <c r="I3343" s="1017">
        <v>400</v>
      </c>
      <c r="J3343" s="1305">
        <v>0.14000000000000001</v>
      </c>
      <c r="K3343" s="1018">
        <v>11.62</v>
      </c>
      <c r="L3343" s="1032">
        <v>740</v>
      </c>
      <c r="M3343" s="1365"/>
      <c r="N3343" s="1366"/>
      <c r="O3343" s="1365"/>
      <c r="P3343" s="1365"/>
      <c r="Q3343" s="1032"/>
      <c r="R3343" s="1019">
        <v>1.0574628426666499</v>
      </c>
      <c r="S3343" s="1018">
        <v>7.75</v>
      </c>
      <c r="T3343" s="1032"/>
      <c r="U3343" s="1032"/>
      <c r="V3343" s="1032"/>
      <c r="W3343" s="1032"/>
      <c r="X3343" s="1032"/>
      <c r="Y3343" s="1018">
        <v>16.8</v>
      </c>
      <c r="Z3343" s="1032"/>
      <c r="AA3343" s="1019"/>
      <c r="AB3343" s="1019"/>
      <c r="AC3343" s="1032"/>
      <c r="AD3343" s="1033">
        <v>280</v>
      </c>
      <c r="AE3343" s="1033">
        <v>60</v>
      </c>
      <c r="AF3343" s="1033">
        <v>660</v>
      </c>
      <c r="AG3343" s="66">
        <f t="shared" si="128"/>
        <v>244.84999999999997</v>
      </c>
      <c r="AH3343" s="143">
        <f t="shared" si="129"/>
        <v>1000</v>
      </c>
    </row>
    <row r="3344" spans="1:34" x14ac:dyDescent="0.3">
      <c r="A3344" s="1069">
        <v>203287</v>
      </c>
      <c r="B3344" s="1070">
        <v>25</v>
      </c>
      <c r="C3344" s="1070">
        <v>9.5000000000000018</v>
      </c>
      <c r="D3344" s="1071">
        <v>7.97</v>
      </c>
      <c r="E3344" s="1580">
        <v>2.73</v>
      </c>
      <c r="F3344" s="1072">
        <v>2896</v>
      </c>
      <c r="G3344" s="1069"/>
      <c r="H3344" s="1072">
        <v>293.20999999999998</v>
      </c>
      <c r="I3344" s="1072">
        <v>930</v>
      </c>
      <c r="J3344" s="1073">
        <v>0.19900000000000001</v>
      </c>
      <c r="K3344" s="1070">
        <v>26.7</v>
      </c>
      <c r="L3344" s="1069">
        <v>1110</v>
      </c>
      <c r="M3344" s="1125">
        <v>4.3099999999999996</v>
      </c>
      <c r="N3344" s="1381">
        <v>1.19</v>
      </c>
      <c r="O3344" s="1125">
        <v>1.92</v>
      </c>
      <c r="P3344" s="1125">
        <v>13.81</v>
      </c>
      <c r="Q3344" s="1069"/>
      <c r="R3344" s="1071">
        <v>1.7729316800000001</v>
      </c>
      <c r="S3344" s="1070">
        <v>15.76</v>
      </c>
      <c r="T3344" s="1069"/>
      <c r="U3344" s="1069"/>
      <c r="V3344" s="1069"/>
      <c r="W3344" s="1069"/>
      <c r="X3344" s="1069"/>
      <c r="Y3344" s="1070">
        <v>23.8</v>
      </c>
      <c r="Z3344" s="1069"/>
      <c r="AA3344" s="1071">
        <v>4.07</v>
      </c>
      <c r="AB3344" s="1071">
        <v>0.77300000000000002</v>
      </c>
      <c r="AC3344" s="1069">
        <v>10.3</v>
      </c>
      <c r="AD3344" s="1074"/>
      <c r="AE3344" s="1074"/>
      <c r="AF3344" s="1074"/>
      <c r="AG3344" s="66">
        <f t="shared" si="128"/>
        <v>397.13445378151255</v>
      </c>
      <c r="AH3344" s="143">
        <f t="shared" si="129"/>
        <v>0</v>
      </c>
    </row>
    <row r="3345" spans="1:34" x14ac:dyDescent="0.3">
      <c r="A3345" s="1069">
        <v>203288</v>
      </c>
      <c r="B3345" s="1070">
        <v>57.333333333333329</v>
      </c>
      <c r="C3345" s="1070">
        <v>14.500000000000002</v>
      </c>
      <c r="D3345" s="1071">
        <v>8.31</v>
      </c>
      <c r="E3345" s="1580">
        <v>2.02</v>
      </c>
      <c r="F3345" s="1072">
        <v>2222.0000000000005</v>
      </c>
      <c r="G3345" s="1069"/>
      <c r="H3345" s="1072">
        <v>134.47</v>
      </c>
      <c r="I3345" s="1072">
        <v>670</v>
      </c>
      <c r="J3345" s="1073">
        <v>0.183</v>
      </c>
      <c r="K3345" s="1070">
        <v>12.61</v>
      </c>
      <c r="L3345" s="1069">
        <v>710</v>
      </c>
      <c r="M3345" s="1125"/>
      <c r="N3345" s="1381"/>
      <c r="O3345" s="1125"/>
      <c r="P3345" s="1125"/>
      <c r="Q3345" s="1069"/>
      <c r="R3345" s="1071">
        <v>0.47396081608358565</v>
      </c>
      <c r="S3345" s="1070">
        <v>3.39</v>
      </c>
      <c r="T3345" s="1069"/>
      <c r="U3345" s="1069"/>
      <c r="V3345" s="1069"/>
      <c r="W3345" s="1069"/>
      <c r="X3345" s="1069"/>
      <c r="Y3345" s="1070">
        <v>22.8</v>
      </c>
      <c r="Z3345" s="1069"/>
      <c r="AA3345" s="1071">
        <v>4.28</v>
      </c>
      <c r="AB3345" s="1071">
        <v>0.74099999999999999</v>
      </c>
      <c r="AC3345" s="1069">
        <v>10.5</v>
      </c>
      <c r="AD3345" s="1074"/>
      <c r="AE3345" s="1074"/>
      <c r="AF3345" s="1074"/>
      <c r="AG3345" s="66">
        <f t="shared" si="128"/>
        <v>195.78684210526316</v>
      </c>
      <c r="AH3345" s="143">
        <f t="shared" si="129"/>
        <v>0</v>
      </c>
    </row>
    <row r="3346" spans="1:34" x14ac:dyDescent="0.3">
      <c r="A3346" s="1069">
        <v>203289</v>
      </c>
      <c r="B3346" s="1070">
        <v>20.166666666666664</v>
      </c>
      <c r="C3346" s="1070">
        <v>9.2500000000000036</v>
      </c>
      <c r="D3346" s="1071">
        <v>8</v>
      </c>
      <c r="E3346" s="1580">
        <v>2.68</v>
      </c>
      <c r="F3346" s="1072">
        <v>2948.0000000000005</v>
      </c>
      <c r="G3346" s="1069"/>
      <c r="H3346" s="1072">
        <v>272.64</v>
      </c>
      <c r="I3346" s="1072">
        <v>670</v>
      </c>
      <c r="J3346" s="1073">
        <v>0.24099999999999999</v>
      </c>
      <c r="K3346" s="1070">
        <v>16.02</v>
      </c>
      <c r="L3346" s="1069">
        <v>1000</v>
      </c>
      <c r="M3346" s="1125">
        <v>3.7</v>
      </c>
      <c r="N3346" s="1381">
        <v>1.1200000000000001</v>
      </c>
      <c r="O3346" s="1125">
        <v>3.59</v>
      </c>
      <c r="P3346" s="1125">
        <v>13.24</v>
      </c>
      <c r="Q3346" s="1069"/>
      <c r="R3346" s="1071">
        <v>1.60337537</v>
      </c>
      <c r="S3346" s="1070">
        <v>11.03</v>
      </c>
      <c r="T3346" s="1069"/>
      <c r="U3346" s="1069"/>
      <c r="V3346" s="1069"/>
      <c r="W3346" s="1069"/>
      <c r="X3346" s="1069"/>
      <c r="Y3346" s="1070">
        <v>23.8</v>
      </c>
      <c r="Z3346" s="1069"/>
      <c r="AA3346" s="1071">
        <v>3.55</v>
      </c>
      <c r="AB3346" s="1071">
        <v>0.73799999999999999</v>
      </c>
      <c r="AC3346" s="1069">
        <v>8.3000000000000007</v>
      </c>
      <c r="AD3346" s="1074"/>
      <c r="AE3346" s="1074"/>
      <c r="AF3346" s="1074"/>
      <c r="AG3346" s="66">
        <f t="shared" si="128"/>
        <v>238.28067226890755</v>
      </c>
      <c r="AH3346" s="143">
        <f t="shared" si="129"/>
        <v>0</v>
      </c>
    </row>
    <row r="3347" spans="1:34" x14ac:dyDescent="0.3">
      <c r="A3347" s="1069">
        <v>203290</v>
      </c>
      <c r="B3347" s="1070">
        <v>27.833333333333332</v>
      </c>
      <c r="C3347" s="1070">
        <v>9.8750000000000036</v>
      </c>
      <c r="D3347" s="1071">
        <v>8.1199999999999992</v>
      </c>
      <c r="E3347" s="1580">
        <v>2</v>
      </c>
      <c r="F3347" s="1072">
        <v>2200</v>
      </c>
      <c r="G3347" s="1069"/>
      <c r="H3347" s="1072">
        <v>129.61000000000001</v>
      </c>
      <c r="I3347" s="1072">
        <v>390</v>
      </c>
      <c r="J3347" s="1073">
        <v>0.14099999999999999</v>
      </c>
      <c r="K3347" s="1070">
        <v>11.33</v>
      </c>
      <c r="L3347" s="1069">
        <v>730</v>
      </c>
      <c r="M3347" s="1125"/>
      <c r="N3347" s="1381"/>
      <c r="O3347" s="1125"/>
      <c r="P3347" s="1125"/>
      <c r="Q3347" s="1069"/>
      <c r="R3347" s="1071">
        <v>1.7325382500000002</v>
      </c>
      <c r="S3347" s="1070">
        <v>14.55</v>
      </c>
      <c r="T3347" s="1069"/>
      <c r="U3347" s="1069"/>
      <c r="V3347" s="1069"/>
      <c r="W3347" s="1069"/>
      <c r="X3347" s="1069"/>
      <c r="Y3347" s="1070">
        <v>26.6</v>
      </c>
      <c r="Z3347" s="1069"/>
      <c r="AA3347" s="1071">
        <v>4.16</v>
      </c>
      <c r="AB3347" s="1071">
        <v>0.41</v>
      </c>
      <c r="AC3347" s="1069">
        <v>10.7</v>
      </c>
      <c r="AD3347" s="1074"/>
      <c r="AE3347" s="1074"/>
      <c r="AF3347" s="1074"/>
      <c r="AG3347" s="66">
        <f t="shared" si="128"/>
        <v>150.7827067669173</v>
      </c>
      <c r="AH3347" s="143">
        <f t="shared" si="129"/>
        <v>0</v>
      </c>
    </row>
    <row r="3348" spans="1:34" x14ac:dyDescent="0.3">
      <c r="A3348" s="1069">
        <v>203291</v>
      </c>
      <c r="B3348" s="1070">
        <v>10.916666666666666</v>
      </c>
      <c r="C3348" s="1070">
        <v>2.3750000000000027</v>
      </c>
      <c r="D3348" s="1071">
        <v>8.44</v>
      </c>
      <c r="E3348" s="1580">
        <v>0.16600000000000001</v>
      </c>
      <c r="F3348" s="1072">
        <v>182.60000000000002</v>
      </c>
      <c r="G3348" s="1069"/>
      <c r="H3348" s="1072">
        <v>10.74</v>
      </c>
      <c r="I3348" s="1072">
        <v>310</v>
      </c>
      <c r="J3348" s="1073">
        <v>7.2999999999999995E-2</v>
      </c>
      <c r="K3348" s="1070">
        <v>8.2200000000000006</v>
      </c>
      <c r="L3348" s="1069">
        <v>420</v>
      </c>
      <c r="M3348" s="1125">
        <v>0.14000000000000001</v>
      </c>
      <c r="N3348" s="1381">
        <v>0.48</v>
      </c>
      <c r="O3348" s="1125">
        <v>4.24</v>
      </c>
      <c r="P3348" s="1125">
        <v>1.77</v>
      </c>
      <c r="Q3348" s="1069"/>
      <c r="R3348" s="1071">
        <v>1.2815252359506333</v>
      </c>
      <c r="S3348" s="1070">
        <v>8.9</v>
      </c>
      <c r="T3348" s="1069"/>
      <c r="U3348" s="1069"/>
      <c r="V3348" s="1069"/>
      <c r="W3348" s="1069"/>
      <c r="X3348" s="1069"/>
      <c r="Y3348" s="1070">
        <v>27</v>
      </c>
      <c r="Z3348" s="1069"/>
      <c r="AA3348" s="1071">
        <v>3.67</v>
      </c>
      <c r="AB3348" s="1071">
        <v>0.74</v>
      </c>
      <c r="AC3348" s="1069">
        <v>9.6</v>
      </c>
      <c r="AD3348" s="1074"/>
      <c r="AE3348" s="1074"/>
      <c r="AF3348" s="1074"/>
      <c r="AG3348" s="66">
        <f t="shared" si="128"/>
        <v>107.77333333333335</v>
      </c>
      <c r="AH3348" s="143">
        <f t="shared" si="129"/>
        <v>0</v>
      </c>
    </row>
    <row r="3349" spans="1:34" x14ac:dyDescent="0.3">
      <c r="A3349" s="1069">
        <v>203292</v>
      </c>
      <c r="B3349" s="1070">
        <v>39.333333333333329</v>
      </c>
      <c r="C3349" s="1070">
        <v>4.3750000000000018</v>
      </c>
      <c r="D3349" s="1071">
        <v>8.58</v>
      </c>
      <c r="E3349" s="1580">
        <v>0.21</v>
      </c>
      <c r="F3349" s="1072">
        <v>231</v>
      </c>
      <c r="G3349" s="1069"/>
      <c r="H3349" s="1072">
        <v>17.47</v>
      </c>
      <c r="I3349" s="1072">
        <v>140</v>
      </c>
      <c r="J3349" s="1073">
        <v>5.8000000000000003E-2</v>
      </c>
      <c r="K3349" s="1070">
        <v>8.14</v>
      </c>
      <c r="L3349" s="1069">
        <v>750</v>
      </c>
      <c r="M3349" s="1125">
        <v>0.34</v>
      </c>
      <c r="N3349" s="1381">
        <v>0.6</v>
      </c>
      <c r="O3349" s="1125">
        <v>7.27</v>
      </c>
      <c r="P3349" s="1125">
        <v>3.93</v>
      </c>
      <c r="Q3349" s="1069"/>
      <c r="R3349" s="1071">
        <v>1.62891473</v>
      </c>
      <c r="S3349" s="1070">
        <v>11.69</v>
      </c>
      <c r="T3349" s="1069"/>
      <c r="U3349" s="1069"/>
      <c r="V3349" s="1069"/>
      <c r="W3349" s="1069"/>
      <c r="X3349" s="1069"/>
      <c r="Y3349" s="1070">
        <v>35.200000000000003</v>
      </c>
      <c r="Z3349" s="1069"/>
      <c r="AA3349" s="1071">
        <v>3.59</v>
      </c>
      <c r="AB3349" s="1071">
        <v>0.48099999999999998</v>
      </c>
      <c r="AC3349" s="1069">
        <v>9.8000000000000007</v>
      </c>
      <c r="AD3349" s="1074">
        <v>600</v>
      </c>
      <c r="AE3349" s="1074">
        <v>320</v>
      </c>
      <c r="AF3349" s="1074">
        <v>80</v>
      </c>
      <c r="AG3349" s="66">
        <f t="shared" si="128"/>
        <v>81.862500000000011</v>
      </c>
      <c r="AH3349" s="143">
        <f t="shared" si="129"/>
        <v>1000</v>
      </c>
    </row>
    <row r="3350" spans="1:34" x14ac:dyDescent="0.3">
      <c r="A3350" s="1069">
        <v>203293</v>
      </c>
      <c r="B3350" s="1070">
        <v>36.666666666666671</v>
      </c>
      <c r="C3350" s="1070">
        <v>4.0000000000000018</v>
      </c>
      <c r="D3350" s="1071">
        <v>8.4700000000000006</v>
      </c>
      <c r="E3350" s="1580">
        <v>0.28399999999999997</v>
      </c>
      <c r="F3350" s="1072">
        <v>312.40000000000003</v>
      </c>
      <c r="G3350" s="1069"/>
      <c r="H3350" s="1072">
        <v>10.76</v>
      </c>
      <c r="I3350" s="1072">
        <v>300</v>
      </c>
      <c r="J3350" s="1073">
        <v>9.7000000000000003E-2</v>
      </c>
      <c r="K3350" s="1070">
        <v>8.7100000000000009</v>
      </c>
      <c r="L3350" s="1069">
        <v>1040</v>
      </c>
      <c r="M3350" s="1125">
        <v>0.54</v>
      </c>
      <c r="N3350" s="1381">
        <v>1.38</v>
      </c>
      <c r="O3350" s="1125">
        <v>14.15</v>
      </c>
      <c r="P3350" s="1125">
        <v>4.68</v>
      </c>
      <c r="Q3350" s="1069"/>
      <c r="R3350" s="1071">
        <v>1.2253265255116841</v>
      </c>
      <c r="S3350" s="1070">
        <v>9.15</v>
      </c>
      <c r="T3350" s="1069"/>
      <c r="U3350" s="1069"/>
      <c r="V3350" s="1069"/>
      <c r="W3350" s="1069"/>
      <c r="X3350" s="1069"/>
      <c r="Y3350" s="1070">
        <v>35.4</v>
      </c>
      <c r="Z3350" s="1069"/>
      <c r="AA3350" s="1071">
        <v>4.09</v>
      </c>
      <c r="AB3350" s="1071">
        <v>0.55500000000000005</v>
      </c>
      <c r="AC3350" s="1069">
        <v>6.2</v>
      </c>
      <c r="AD3350" s="1074">
        <v>590</v>
      </c>
      <c r="AE3350" s="1074">
        <v>310</v>
      </c>
      <c r="AF3350" s="1074">
        <v>100</v>
      </c>
      <c r="AG3350" s="66">
        <f t="shared" si="128"/>
        <v>87.100000000000023</v>
      </c>
      <c r="AH3350" s="143">
        <f t="shared" si="129"/>
        <v>1000</v>
      </c>
    </row>
    <row r="3351" spans="1:34" x14ac:dyDescent="0.3">
      <c r="A3351" s="1069">
        <v>203294</v>
      </c>
      <c r="B3351" s="1070">
        <v>37.5</v>
      </c>
      <c r="C3351" s="1070">
        <v>4.2500000000000027</v>
      </c>
      <c r="D3351" s="1071">
        <v>8.49</v>
      </c>
      <c r="E3351" s="1580">
        <v>0.25600000000000001</v>
      </c>
      <c r="F3351" s="1072">
        <v>281.60000000000002</v>
      </c>
      <c r="G3351" s="1069"/>
      <c r="H3351" s="1072">
        <v>7.36</v>
      </c>
      <c r="I3351" s="1072">
        <v>270</v>
      </c>
      <c r="J3351" s="1073">
        <v>6.8000000000000005E-2</v>
      </c>
      <c r="K3351" s="1070">
        <v>8.6300000000000008</v>
      </c>
      <c r="L3351" s="1069">
        <v>1020</v>
      </c>
      <c r="M3351" s="1125">
        <v>0.33</v>
      </c>
      <c r="N3351" s="1381">
        <v>1.02</v>
      </c>
      <c r="O3351" s="1125">
        <v>52.98</v>
      </c>
      <c r="P3351" s="1125">
        <v>4.7</v>
      </c>
      <c r="Q3351" s="1069"/>
      <c r="R3351" s="1071">
        <v>1.3183710304513989</v>
      </c>
      <c r="S3351" s="1070">
        <v>9.64</v>
      </c>
      <c r="T3351" s="1069"/>
      <c r="U3351" s="1069"/>
      <c r="V3351" s="1069"/>
      <c r="W3351" s="1069"/>
      <c r="X3351" s="1069"/>
      <c r="Y3351" s="1070">
        <v>30</v>
      </c>
      <c r="Z3351" s="1069"/>
      <c r="AA3351" s="1071">
        <v>3.51</v>
      </c>
      <c r="AB3351" s="1071">
        <v>0.53</v>
      </c>
      <c r="AC3351" s="1069">
        <v>11.5</v>
      </c>
      <c r="AD3351" s="1074">
        <v>600</v>
      </c>
      <c r="AE3351" s="1074">
        <v>310</v>
      </c>
      <c r="AF3351" s="1074">
        <v>90</v>
      </c>
      <c r="AG3351" s="66">
        <f t="shared" si="128"/>
        <v>101.83400000000002</v>
      </c>
      <c r="AH3351" s="143">
        <f t="shared" si="129"/>
        <v>1000</v>
      </c>
    </row>
    <row r="3352" spans="1:34" x14ac:dyDescent="0.3">
      <c r="A3352" s="1069">
        <v>203295</v>
      </c>
      <c r="B3352" s="1070">
        <v>64.166666666666657</v>
      </c>
      <c r="C3352" s="1070">
        <v>15.000000000000002</v>
      </c>
      <c r="D3352" s="1071">
        <v>8.44</v>
      </c>
      <c r="E3352" s="1580">
        <v>0.13600000000000001</v>
      </c>
      <c r="F3352" s="1072">
        <v>149.60000000000002</v>
      </c>
      <c r="G3352" s="1069"/>
      <c r="H3352" s="1072">
        <v>5.15</v>
      </c>
      <c r="I3352" s="1072">
        <v>120</v>
      </c>
      <c r="J3352" s="1073">
        <v>4.0000000000000001E-3</v>
      </c>
      <c r="K3352" s="1070">
        <v>8.61</v>
      </c>
      <c r="L3352" s="1069">
        <v>580</v>
      </c>
      <c r="M3352" s="1125">
        <v>0.14000000000000001</v>
      </c>
      <c r="N3352" s="1381">
        <v>0.66</v>
      </c>
      <c r="O3352" s="1125">
        <v>2.29</v>
      </c>
      <c r="P3352" s="1125">
        <v>2.0699999999999998</v>
      </c>
      <c r="Q3352" s="1069"/>
      <c r="R3352" s="1071">
        <v>1.5756217700000001</v>
      </c>
      <c r="S3352" s="1070">
        <v>10.33</v>
      </c>
      <c r="T3352" s="1069"/>
      <c r="U3352" s="1069"/>
      <c r="V3352" s="1069"/>
      <c r="W3352" s="1069"/>
      <c r="X3352" s="1069"/>
      <c r="Y3352" s="1070">
        <v>14</v>
      </c>
      <c r="Z3352" s="1069"/>
      <c r="AA3352" s="1071">
        <v>4.4400000000000004</v>
      </c>
      <c r="AB3352" s="1071">
        <v>0.82299999999999995</v>
      </c>
      <c r="AC3352" s="1069">
        <v>10.3</v>
      </c>
      <c r="AD3352" s="1074">
        <v>280</v>
      </c>
      <c r="AE3352" s="1074">
        <v>120</v>
      </c>
      <c r="AF3352" s="1074">
        <v>600</v>
      </c>
      <c r="AG3352" s="66">
        <f t="shared" si="128"/>
        <v>217.70999999999998</v>
      </c>
      <c r="AH3352" s="143">
        <f t="shared" si="129"/>
        <v>1000</v>
      </c>
    </row>
    <row r="3353" spans="1:34" x14ac:dyDescent="0.3">
      <c r="A3353" s="1069">
        <v>203296</v>
      </c>
      <c r="B3353" s="1070">
        <v>48.833333333333329</v>
      </c>
      <c r="C3353" s="1070">
        <v>13.375000000000002</v>
      </c>
      <c r="D3353" s="1071">
        <v>8.59</v>
      </c>
      <c r="E3353" s="1580">
        <v>0.17100000000000001</v>
      </c>
      <c r="F3353" s="1072">
        <v>188.10000000000002</v>
      </c>
      <c r="G3353" s="1069"/>
      <c r="H3353" s="1072">
        <v>42.28</v>
      </c>
      <c r="I3353" s="1072">
        <v>200</v>
      </c>
      <c r="J3353" s="1073">
        <v>4.9000000000000002E-2</v>
      </c>
      <c r="K3353" s="1070">
        <v>8.3000000000000007</v>
      </c>
      <c r="L3353" s="1069">
        <v>1120</v>
      </c>
      <c r="M3353" s="1125">
        <v>0.26</v>
      </c>
      <c r="N3353" s="1381">
        <v>0.81</v>
      </c>
      <c r="O3353" s="1125">
        <v>10.35</v>
      </c>
      <c r="P3353" s="1125">
        <v>3.39</v>
      </c>
      <c r="Q3353" s="1069"/>
      <c r="R3353" s="1071">
        <v>1.1578173413381252</v>
      </c>
      <c r="S3353" s="1070">
        <v>8.14</v>
      </c>
      <c r="T3353" s="1069"/>
      <c r="U3353" s="1069"/>
      <c r="V3353" s="1069"/>
      <c r="W3353" s="1069"/>
      <c r="X3353" s="1069"/>
      <c r="Y3353" s="1070">
        <v>18.2</v>
      </c>
      <c r="Z3353" s="1069"/>
      <c r="AA3353" s="1071">
        <v>3.68</v>
      </c>
      <c r="AB3353" s="1071">
        <v>0.44700000000000001</v>
      </c>
      <c r="AC3353" s="1069">
        <v>7.4</v>
      </c>
      <c r="AD3353" s="1074">
        <v>260</v>
      </c>
      <c r="AE3353" s="1074">
        <v>120</v>
      </c>
      <c r="AF3353" s="1074">
        <v>620</v>
      </c>
      <c r="AG3353" s="66">
        <f t="shared" si="128"/>
        <v>161.43956043956047</v>
      </c>
      <c r="AH3353" s="143">
        <f t="shared" si="129"/>
        <v>1000</v>
      </c>
    </row>
    <row r="3354" spans="1:34" x14ac:dyDescent="0.3">
      <c r="A3354" s="1069">
        <v>203297</v>
      </c>
      <c r="B3354" s="1070">
        <v>52.833333333333329</v>
      </c>
      <c r="C3354" s="1070">
        <v>14.625000000000002</v>
      </c>
      <c r="D3354" s="1071">
        <v>8.56</v>
      </c>
      <c r="E3354" s="1580">
        <v>0.19500000000000001</v>
      </c>
      <c r="F3354" s="1072">
        <v>214.50000000000003</v>
      </c>
      <c r="G3354" s="1069"/>
      <c r="H3354" s="1072">
        <v>38.9</v>
      </c>
      <c r="I3354" s="1072">
        <v>160</v>
      </c>
      <c r="J3354" s="1073">
        <v>7.2999999999999995E-2</v>
      </c>
      <c r="K3354" s="1070">
        <v>8.48</v>
      </c>
      <c r="L3354" s="1069">
        <v>810</v>
      </c>
      <c r="M3354" s="1125">
        <v>0.46</v>
      </c>
      <c r="N3354" s="1381">
        <v>0.72</v>
      </c>
      <c r="O3354" s="1125">
        <v>5.44</v>
      </c>
      <c r="P3354" s="1125">
        <v>2.81</v>
      </c>
      <c r="Q3354" s="1069"/>
      <c r="R3354" s="1071">
        <v>1.1020515604386754</v>
      </c>
      <c r="S3354" s="1070">
        <v>8.1199999999999992</v>
      </c>
      <c r="T3354" s="1069"/>
      <c r="U3354" s="1069"/>
      <c r="V3354" s="1069"/>
      <c r="W3354" s="1069"/>
      <c r="X3354" s="1069"/>
      <c r="Y3354" s="1070">
        <v>16.8</v>
      </c>
      <c r="Z3354" s="1069"/>
      <c r="AA3354" s="1071">
        <v>4.21</v>
      </c>
      <c r="AB3354" s="1071">
        <v>0.74299999999999999</v>
      </c>
      <c r="AC3354" s="1069">
        <v>6.9</v>
      </c>
      <c r="AD3354" s="1074">
        <v>240</v>
      </c>
      <c r="AE3354" s="1074">
        <v>160</v>
      </c>
      <c r="AF3354" s="1074">
        <v>600</v>
      </c>
      <c r="AG3354" s="66">
        <f t="shared" si="128"/>
        <v>178.68571428571428</v>
      </c>
      <c r="AH3354" s="143">
        <f t="shared" si="129"/>
        <v>1000</v>
      </c>
    </row>
    <row r="3355" spans="1:34" x14ac:dyDescent="0.3">
      <c r="A3355" s="1069">
        <v>203298</v>
      </c>
      <c r="B3355" s="1070">
        <v>44.999999999999993</v>
      </c>
      <c r="C3355" s="1070">
        <v>13.125000000000002</v>
      </c>
      <c r="D3355" s="1071">
        <v>8.7799999999999994</v>
      </c>
      <c r="E3355" s="1580">
        <v>0.16900000000000001</v>
      </c>
      <c r="F3355" s="1072">
        <v>185.90000000000003</v>
      </c>
      <c r="G3355" s="1069"/>
      <c r="H3355" s="1072">
        <v>19.57</v>
      </c>
      <c r="I3355" s="1072">
        <v>210</v>
      </c>
      <c r="J3355" s="1073">
        <v>4.9000000000000002E-2</v>
      </c>
      <c r="K3355" s="1070">
        <v>8.0299999999999994</v>
      </c>
      <c r="L3355" s="1069">
        <v>1340</v>
      </c>
      <c r="M3355" s="1125">
        <v>0.23</v>
      </c>
      <c r="N3355" s="1381">
        <v>0.6</v>
      </c>
      <c r="O3355" s="1125">
        <v>2.11</v>
      </c>
      <c r="P3355" s="1125">
        <v>1.84</v>
      </c>
      <c r="Q3355" s="1069"/>
      <c r="R3355" s="1071">
        <v>2.0587467200000003</v>
      </c>
      <c r="S3355" s="1070">
        <v>27.52</v>
      </c>
      <c r="T3355" s="1069"/>
      <c r="U3355" s="1069"/>
      <c r="V3355" s="1069"/>
      <c r="W3355" s="1069"/>
      <c r="X3355" s="1069"/>
      <c r="Y3355" s="1070">
        <v>15.6</v>
      </c>
      <c r="Z3355" s="1069"/>
      <c r="AA3355" s="1071">
        <v>4.9400000000000004</v>
      </c>
      <c r="AB3355" s="1071">
        <v>0.50700000000000001</v>
      </c>
      <c r="AC3355" s="1069">
        <v>9.8000000000000007</v>
      </c>
      <c r="AD3355" s="1074">
        <v>260</v>
      </c>
      <c r="AE3355" s="1074">
        <v>110</v>
      </c>
      <c r="AF3355" s="1074">
        <v>630</v>
      </c>
      <c r="AG3355" s="66">
        <f t="shared" si="128"/>
        <v>182.21923076923076</v>
      </c>
      <c r="AH3355" s="143">
        <f t="shared" si="129"/>
        <v>1000</v>
      </c>
    </row>
    <row r="3356" spans="1:34" x14ac:dyDescent="0.3">
      <c r="A3356" s="1069">
        <v>203299</v>
      </c>
      <c r="B3356" s="1070">
        <v>54.999999999999993</v>
      </c>
      <c r="C3356" s="1070">
        <v>14.375000000000002</v>
      </c>
      <c r="D3356" s="1071">
        <v>8.75</v>
      </c>
      <c r="E3356" s="1580">
        <v>0.14799999999999999</v>
      </c>
      <c r="F3356" s="1072">
        <v>162.80000000000001</v>
      </c>
      <c r="G3356" s="1069"/>
      <c r="H3356" s="1072">
        <v>21.44</v>
      </c>
      <c r="I3356" s="1072">
        <v>140</v>
      </c>
      <c r="J3356" s="1073">
        <v>3.1E-2</v>
      </c>
      <c r="K3356" s="1070">
        <v>8.11</v>
      </c>
      <c r="L3356" s="1069">
        <v>1000</v>
      </c>
      <c r="M3356" s="1125">
        <v>0.13</v>
      </c>
      <c r="N3356" s="1381">
        <v>0.32</v>
      </c>
      <c r="O3356" s="1125">
        <v>1</v>
      </c>
      <c r="P3356" s="1125">
        <v>1.03</v>
      </c>
      <c r="Q3356" s="1069"/>
      <c r="R3356" s="1071">
        <v>1.9862790800000001</v>
      </c>
      <c r="S3356" s="1070">
        <v>23.66</v>
      </c>
      <c r="T3356" s="1069"/>
      <c r="U3356" s="1069"/>
      <c r="V3356" s="1069"/>
      <c r="W3356" s="1069"/>
      <c r="X3356" s="1069"/>
      <c r="Y3356" s="1070">
        <v>29.4</v>
      </c>
      <c r="Z3356" s="1069"/>
      <c r="AA3356" s="1071">
        <v>4.08</v>
      </c>
      <c r="AB3356" s="1071">
        <v>0.60399999999999998</v>
      </c>
      <c r="AC3356" s="1069">
        <v>7.5</v>
      </c>
      <c r="AD3356" s="1074">
        <v>420</v>
      </c>
      <c r="AE3356" s="1074">
        <v>280</v>
      </c>
      <c r="AF3356" s="1074">
        <v>300</v>
      </c>
      <c r="AG3356" s="66">
        <f t="shared" si="128"/>
        <v>97.651020408163276</v>
      </c>
      <c r="AH3356" s="143">
        <f t="shared" si="129"/>
        <v>1000</v>
      </c>
    </row>
    <row r="3357" spans="1:34" x14ac:dyDescent="0.3">
      <c r="A3357" s="1069">
        <v>203300</v>
      </c>
      <c r="B3357" s="1070">
        <v>60.666666666666657</v>
      </c>
      <c r="C3357" s="1070">
        <v>14.875000000000004</v>
      </c>
      <c r="D3357" s="1071">
        <v>8.85</v>
      </c>
      <c r="E3357" s="1580">
        <v>0.15</v>
      </c>
      <c r="F3357" s="1072">
        <v>165</v>
      </c>
      <c r="G3357" s="1069"/>
      <c r="H3357" s="1072">
        <v>31.05</v>
      </c>
      <c r="I3357" s="1072">
        <v>260</v>
      </c>
      <c r="J3357" s="1073">
        <v>4.5999999999999999E-2</v>
      </c>
      <c r="K3357" s="1070">
        <v>7.59</v>
      </c>
      <c r="L3357" s="1069">
        <v>990</v>
      </c>
      <c r="M3357" s="1125">
        <v>0.12</v>
      </c>
      <c r="N3357" s="1381">
        <v>0.12</v>
      </c>
      <c r="O3357" s="1125">
        <v>1.65</v>
      </c>
      <c r="P3357" s="1125">
        <v>1.07</v>
      </c>
      <c r="Q3357" s="1069"/>
      <c r="R3357" s="1071">
        <v>0.48192734044062291</v>
      </c>
      <c r="S3357" s="1070">
        <v>3.16</v>
      </c>
      <c r="T3357" s="1069"/>
      <c r="U3357" s="1069"/>
      <c r="V3357" s="1069"/>
      <c r="W3357" s="1069"/>
      <c r="X3357" s="1069"/>
      <c r="Y3357" s="1070">
        <v>16</v>
      </c>
      <c r="Z3357" s="1069"/>
      <c r="AA3357" s="1071">
        <v>4.83</v>
      </c>
      <c r="AB3357" s="1071">
        <v>0.66700000000000004</v>
      </c>
      <c r="AC3357" s="1069">
        <v>12</v>
      </c>
      <c r="AD3357" s="1074">
        <v>320</v>
      </c>
      <c r="AE3357" s="1074">
        <v>260</v>
      </c>
      <c r="AF3357" s="1074">
        <v>420</v>
      </c>
      <c r="AG3357" s="66">
        <f t="shared" si="128"/>
        <v>167.92875000000001</v>
      </c>
      <c r="AH3357" s="143">
        <f t="shared" si="129"/>
        <v>1000</v>
      </c>
    </row>
    <row r="3358" spans="1:34" x14ac:dyDescent="0.3">
      <c r="A3358" s="1069">
        <v>203301</v>
      </c>
      <c r="B3358" s="1070">
        <v>53.333333333333336</v>
      </c>
      <c r="C3358" s="1070">
        <v>14.75</v>
      </c>
      <c r="D3358" s="1071">
        <v>8.83</v>
      </c>
      <c r="E3358" s="1580">
        <v>0.14199999999999999</v>
      </c>
      <c r="F3358" s="1072">
        <v>156.20000000000002</v>
      </c>
      <c r="G3358" s="1069"/>
      <c r="H3358" s="1072">
        <v>5.28</v>
      </c>
      <c r="I3358" s="1072">
        <v>310</v>
      </c>
      <c r="J3358" s="1073">
        <v>5.8999999999999997E-2</v>
      </c>
      <c r="K3358" s="1070">
        <v>8.01</v>
      </c>
      <c r="L3358" s="1069">
        <v>880</v>
      </c>
      <c r="M3358" s="1125">
        <v>0.08</v>
      </c>
      <c r="N3358" s="1381">
        <v>7.0000000000000007E-2</v>
      </c>
      <c r="O3358" s="1125">
        <v>1.24</v>
      </c>
      <c r="P3358" s="1125">
        <v>0.76</v>
      </c>
      <c r="Q3358" s="1069"/>
      <c r="R3358" s="1071">
        <v>0.30573085398663463</v>
      </c>
      <c r="S3358" s="1070">
        <v>2.06</v>
      </c>
      <c r="T3358" s="1069"/>
      <c r="U3358" s="1069"/>
      <c r="V3358" s="1069"/>
      <c r="W3358" s="1069"/>
      <c r="X3358" s="1069"/>
      <c r="Y3358" s="1070">
        <v>17</v>
      </c>
      <c r="Z3358" s="1069"/>
      <c r="AA3358" s="1071">
        <v>4.88</v>
      </c>
      <c r="AB3358" s="1071">
        <v>0.71199999999999997</v>
      </c>
      <c r="AC3358" s="1069">
        <v>7.8</v>
      </c>
      <c r="AD3358" s="1074">
        <v>340</v>
      </c>
      <c r="AE3358" s="1074">
        <v>260</v>
      </c>
      <c r="AF3358" s="1074">
        <v>400</v>
      </c>
      <c r="AG3358" s="66">
        <f t="shared" si="128"/>
        <v>166.79647058823528</v>
      </c>
      <c r="AH3358" s="143">
        <f t="shared" si="129"/>
        <v>1000</v>
      </c>
    </row>
    <row r="3359" spans="1:34" x14ac:dyDescent="0.3">
      <c r="A3359" s="1069">
        <v>203302</v>
      </c>
      <c r="B3359" s="1070">
        <v>38.833333333333336</v>
      </c>
      <c r="C3359" s="1070">
        <v>4.1250000000000009</v>
      </c>
      <c r="D3359" s="1071">
        <v>8.59</v>
      </c>
      <c r="E3359" s="1580">
        <v>0.17599999999999999</v>
      </c>
      <c r="F3359" s="1072">
        <v>193.6</v>
      </c>
      <c r="G3359" s="1069"/>
      <c r="H3359" s="1072">
        <v>17.18</v>
      </c>
      <c r="I3359" s="1072">
        <v>520</v>
      </c>
      <c r="J3359" s="1073">
        <v>6.2E-2</v>
      </c>
      <c r="K3359" s="1070">
        <v>8.44</v>
      </c>
      <c r="L3359" s="1069">
        <v>1450</v>
      </c>
      <c r="M3359" s="1125">
        <v>0.4</v>
      </c>
      <c r="N3359" s="1381">
        <v>2.02</v>
      </c>
      <c r="O3359" s="1125">
        <v>9.8000000000000007</v>
      </c>
      <c r="P3359" s="1125">
        <v>4.83</v>
      </c>
      <c r="Q3359" s="1069"/>
      <c r="R3359" s="1071">
        <v>1.553423718665671</v>
      </c>
      <c r="S3359" s="1070">
        <v>10.14</v>
      </c>
      <c r="T3359" s="1069"/>
      <c r="U3359" s="1069"/>
      <c r="V3359" s="1069"/>
      <c r="W3359" s="1069"/>
      <c r="X3359" s="1069"/>
      <c r="Y3359" s="1070">
        <v>18.2</v>
      </c>
      <c r="Z3359" s="1069"/>
      <c r="AA3359" s="1071">
        <v>4.76</v>
      </c>
      <c r="AB3359" s="1071">
        <v>0.371</v>
      </c>
      <c r="AC3359" s="1069">
        <v>10.199999999999999</v>
      </c>
      <c r="AD3359" s="1074">
        <v>260</v>
      </c>
      <c r="AE3359" s="1074">
        <v>100</v>
      </c>
      <c r="AF3359" s="1074">
        <v>640</v>
      </c>
      <c r="AG3359" s="66">
        <f t="shared" si="128"/>
        <v>164.16263736263735</v>
      </c>
      <c r="AH3359" s="143">
        <f t="shared" si="129"/>
        <v>1000</v>
      </c>
    </row>
    <row r="3360" spans="1:34" x14ac:dyDescent="0.3">
      <c r="A3360" s="1069">
        <v>203303</v>
      </c>
      <c r="B3360" s="1070">
        <v>40</v>
      </c>
      <c r="C3360" s="1070">
        <v>5.0000000000000018</v>
      </c>
      <c r="D3360" s="1071">
        <v>8.61</v>
      </c>
      <c r="E3360" s="1580">
        <v>0.18</v>
      </c>
      <c r="F3360" s="1072">
        <v>198</v>
      </c>
      <c r="G3360" s="1069"/>
      <c r="H3360" s="1072">
        <v>12.97</v>
      </c>
      <c r="I3360" s="1072">
        <v>350</v>
      </c>
      <c r="J3360" s="1073">
        <v>8.6999999999999994E-2</v>
      </c>
      <c r="K3360" s="1070">
        <v>8.27</v>
      </c>
      <c r="L3360" s="1069">
        <v>1370</v>
      </c>
      <c r="M3360" s="1125">
        <v>0.24</v>
      </c>
      <c r="N3360" s="1381">
        <v>1.32</v>
      </c>
      <c r="O3360" s="1125">
        <v>2.84</v>
      </c>
      <c r="P3360" s="1125">
        <v>3.22</v>
      </c>
      <c r="Q3360" s="1069"/>
      <c r="R3360" s="1071">
        <v>0.99210156150226836</v>
      </c>
      <c r="S3360" s="1070">
        <v>7.17</v>
      </c>
      <c r="T3360" s="1069"/>
      <c r="U3360" s="1069"/>
      <c r="V3360" s="1069"/>
      <c r="W3360" s="1069"/>
      <c r="X3360" s="1069"/>
      <c r="Y3360" s="1070">
        <v>33.6</v>
      </c>
      <c r="Z3360" s="1069"/>
      <c r="AA3360" s="1071">
        <v>4.78</v>
      </c>
      <c r="AB3360" s="1071">
        <v>0.68700000000000006</v>
      </c>
      <c r="AC3360" s="1069">
        <v>9.3000000000000007</v>
      </c>
      <c r="AD3360" s="1074">
        <v>560</v>
      </c>
      <c r="AE3360" s="1074">
        <v>300</v>
      </c>
      <c r="AF3360" s="1074">
        <v>140</v>
      </c>
      <c r="AG3360" s="66">
        <f t="shared" si="128"/>
        <v>87.130357142857136</v>
      </c>
      <c r="AH3360" s="143">
        <f t="shared" si="129"/>
        <v>1000</v>
      </c>
    </row>
    <row r="3361" spans="1:34" x14ac:dyDescent="0.3">
      <c r="A3361" s="1069">
        <v>203304</v>
      </c>
      <c r="B3361" s="1070">
        <v>63.333333333333329</v>
      </c>
      <c r="C3361" s="1070">
        <v>5.1250000000000018</v>
      </c>
      <c r="D3361" s="1071">
        <v>8.81</v>
      </c>
      <c r="E3361" s="1580">
        <v>0.192</v>
      </c>
      <c r="F3361" s="1072">
        <v>211.20000000000002</v>
      </c>
      <c r="G3361" s="1069"/>
      <c r="H3361" s="1072">
        <v>17.86</v>
      </c>
      <c r="I3361" s="1072">
        <v>180</v>
      </c>
      <c r="J3361" s="1073">
        <v>4.8000000000000001E-2</v>
      </c>
      <c r="K3361" s="1070">
        <v>7.57</v>
      </c>
      <c r="L3361" s="1069">
        <v>1060</v>
      </c>
      <c r="M3361" s="1125">
        <v>0.56000000000000005</v>
      </c>
      <c r="N3361" s="1381">
        <v>0.77</v>
      </c>
      <c r="O3361" s="1125">
        <v>7.2</v>
      </c>
      <c r="P3361" s="1125">
        <v>2.9</v>
      </c>
      <c r="Q3361" s="1069"/>
      <c r="R3361" s="1071">
        <v>2.0669148800000001</v>
      </c>
      <c r="S3361" s="1070">
        <v>28.04</v>
      </c>
      <c r="T3361" s="1069"/>
      <c r="U3361" s="1069"/>
      <c r="V3361" s="1069"/>
      <c r="W3361" s="1069"/>
      <c r="X3361" s="1069"/>
      <c r="Y3361" s="1070">
        <v>18</v>
      </c>
      <c r="Z3361" s="1069"/>
      <c r="AA3361" s="1071">
        <v>4.72</v>
      </c>
      <c r="AB3361" s="1071">
        <v>0.85599999999999998</v>
      </c>
      <c r="AC3361" s="1069">
        <v>6.7</v>
      </c>
      <c r="AD3361" s="1074">
        <v>300</v>
      </c>
      <c r="AE3361" s="1074">
        <v>220</v>
      </c>
      <c r="AF3361" s="1074">
        <v>480</v>
      </c>
      <c r="AG3361" s="66">
        <f t="shared" si="128"/>
        <v>148.87666666666667</v>
      </c>
      <c r="AH3361" s="143">
        <f t="shared" si="129"/>
        <v>1000</v>
      </c>
    </row>
    <row r="3362" spans="1:34" x14ac:dyDescent="0.3">
      <c r="A3362" s="1069">
        <v>203305</v>
      </c>
      <c r="B3362" s="1070">
        <v>58.833333333333329</v>
      </c>
      <c r="C3362" s="1070">
        <v>14.375000000000002</v>
      </c>
      <c r="D3362" s="1071">
        <v>8.69</v>
      </c>
      <c r="E3362" s="1580">
        <v>0.16500000000000001</v>
      </c>
      <c r="F3362" s="1072">
        <v>181.50000000000003</v>
      </c>
      <c r="G3362" s="1069"/>
      <c r="H3362" s="1072">
        <v>7.39</v>
      </c>
      <c r="I3362" s="1072">
        <v>170</v>
      </c>
      <c r="J3362" s="1073">
        <v>0.04</v>
      </c>
      <c r="K3362" s="1070">
        <v>7.77</v>
      </c>
      <c r="L3362" s="1069">
        <v>1100</v>
      </c>
      <c r="M3362" s="1125">
        <v>0.26</v>
      </c>
      <c r="N3362" s="1381">
        <v>0.7</v>
      </c>
      <c r="O3362" s="1125">
        <v>2.62</v>
      </c>
      <c r="P3362" s="1125">
        <v>1.93</v>
      </c>
      <c r="Q3362" s="1069"/>
      <c r="R3362" s="1071">
        <v>1.74914288</v>
      </c>
      <c r="S3362" s="1070">
        <v>15.04</v>
      </c>
      <c r="T3362" s="1069"/>
      <c r="U3362" s="1069"/>
      <c r="V3362" s="1069"/>
      <c r="W3362" s="1069"/>
      <c r="X3362" s="1069"/>
      <c r="Y3362" s="1070">
        <v>14</v>
      </c>
      <c r="Z3362" s="1069"/>
      <c r="AA3362" s="1071">
        <v>4.22</v>
      </c>
      <c r="AB3362" s="1071">
        <v>0.75900000000000001</v>
      </c>
      <c r="AC3362" s="1069">
        <v>6.7</v>
      </c>
      <c r="AD3362" s="1074">
        <v>280</v>
      </c>
      <c r="AE3362" s="1074">
        <v>260</v>
      </c>
      <c r="AF3362" s="1074">
        <v>460</v>
      </c>
      <c r="AG3362" s="66">
        <f t="shared" si="128"/>
        <v>196.47</v>
      </c>
      <c r="AH3362" s="143">
        <f t="shared" si="129"/>
        <v>1000</v>
      </c>
    </row>
    <row r="3363" spans="1:34" x14ac:dyDescent="0.3">
      <c r="A3363" s="1069">
        <v>203306</v>
      </c>
      <c r="B3363" s="1070">
        <v>22.499999999999996</v>
      </c>
      <c r="C3363" s="1070">
        <v>9.75</v>
      </c>
      <c r="D3363" s="1071">
        <v>8.7200000000000006</v>
      </c>
      <c r="E3363" s="1580">
        <v>0.74299999999999999</v>
      </c>
      <c r="F3363" s="1072">
        <v>817.30000000000007</v>
      </c>
      <c r="G3363" s="1069"/>
      <c r="H3363" s="1072">
        <v>73.989999999999995</v>
      </c>
      <c r="I3363" s="1072">
        <v>250</v>
      </c>
      <c r="J3363" s="1073">
        <v>0.59699999999999998</v>
      </c>
      <c r="K3363" s="1070">
        <v>7.7</v>
      </c>
      <c r="L3363" s="1069">
        <v>890</v>
      </c>
      <c r="M3363" s="1125">
        <v>0.67</v>
      </c>
      <c r="N3363" s="1381">
        <v>0.52</v>
      </c>
      <c r="O3363" s="1125">
        <v>0.89</v>
      </c>
      <c r="P3363" s="1125">
        <v>2.91</v>
      </c>
      <c r="Q3363" s="1069"/>
      <c r="R3363" s="1071">
        <v>1.63767152</v>
      </c>
      <c r="S3363" s="1070">
        <v>11.92</v>
      </c>
      <c r="T3363" s="1069"/>
      <c r="U3363" s="1069"/>
      <c r="V3363" s="1069"/>
      <c r="W3363" s="1069"/>
      <c r="X3363" s="1069"/>
      <c r="Y3363" s="1070">
        <v>26</v>
      </c>
      <c r="Z3363" s="1069"/>
      <c r="AA3363" s="1071">
        <v>4.53</v>
      </c>
      <c r="AB3363" s="1071">
        <v>0.80100000000000005</v>
      </c>
      <c r="AC3363" s="1069">
        <v>9.5</v>
      </c>
      <c r="AD3363" s="1074"/>
      <c r="AE3363" s="1074"/>
      <c r="AF3363" s="1074"/>
      <c r="AG3363" s="66">
        <f t="shared" si="128"/>
        <v>104.83846153846154</v>
      </c>
      <c r="AH3363" s="143">
        <f t="shared" si="129"/>
        <v>0</v>
      </c>
    </row>
    <row r="3364" spans="1:34" x14ac:dyDescent="0.3">
      <c r="A3364" s="1069">
        <v>203307</v>
      </c>
      <c r="B3364" s="1070">
        <v>29.666666666666668</v>
      </c>
      <c r="C3364" s="1070">
        <v>10.125000000000002</v>
      </c>
      <c r="D3364" s="1071">
        <v>8.41</v>
      </c>
      <c r="E3364" s="1580">
        <v>1.891</v>
      </c>
      <c r="F3364" s="1072">
        <v>2050.1</v>
      </c>
      <c r="G3364" s="1069"/>
      <c r="H3364" s="1072">
        <v>49.34</v>
      </c>
      <c r="I3364" s="1072">
        <v>310</v>
      </c>
      <c r="J3364" s="1073">
        <v>1.1919999999999999</v>
      </c>
      <c r="K3364" s="1070">
        <v>8.7100000000000009</v>
      </c>
      <c r="L3364" s="1069">
        <v>1260</v>
      </c>
      <c r="M3364" s="1125">
        <v>0.53</v>
      </c>
      <c r="N3364" s="1381">
        <v>1.23</v>
      </c>
      <c r="O3364" s="1125">
        <v>1.18</v>
      </c>
      <c r="P3364" s="1125">
        <v>4.9000000000000004</v>
      </c>
      <c r="Q3364" s="1069"/>
      <c r="R3364" s="1071">
        <v>1.9999427300000001</v>
      </c>
      <c r="S3364" s="1070">
        <v>24.31</v>
      </c>
      <c r="T3364" s="1069"/>
      <c r="U3364" s="1069"/>
      <c r="V3364" s="1069"/>
      <c r="W3364" s="1069"/>
      <c r="X3364" s="1069"/>
      <c r="Y3364" s="1070">
        <v>30</v>
      </c>
      <c r="Z3364" s="1069"/>
      <c r="AA3364" s="1071">
        <v>4.37</v>
      </c>
      <c r="AB3364" s="1071">
        <v>0.64100000000000001</v>
      </c>
      <c r="AC3364" s="1069">
        <v>11.4</v>
      </c>
      <c r="AD3364" s="1074"/>
      <c r="AE3364" s="1074"/>
      <c r="AF3364" s="1074"/>
      <c r="AG3364" s="66">
        <f t="shared" si="128"/>
        <v>102.77800000000002</v>
      </c>
      <c r="AH3364" s="143">
        <f t="shared" si="129"/>
        <v>0</v>
      </c>
    </row>
    <row r="3365" spans="1:34" x14ac:dyDescent="0.3">
      <c r="A3365" s="1069">
        <v>203308</v>
      </c>
      <c r="B3365" s="1070">
        <v>5.833333333333333</v>
      </c>
      <c r="C3365" s="1070"/>
      <c r="D3365" s="1071">
        <v>8.33</v>
      </c>
      <c r="E3365" s="1580">
        <v>0.59699999999999998</v>
      </c>
      <c r="F3365" s="1072">
        <v>656.7</v>
      </c>
      <c r="G3365" s="1069"/>
      <c r="H3365" s="1072">
        <v>13.08</v>
      </c>
      <c r="I3365" s="1072">
        <v>360</v>
      </c>
      <c r="J3365" s="1073">
        <v>0.624</v>
      </c>
      <c r="K3365" s="1070">
        <v>7.41</v>
      </c>
      <c r="L3365" s="1069">
        <v>1250</v>
      </c>
      <c r="M3365" s="1125">
        <v>0.22</v>
      </c>
      <c r="N3365" s="1381">
        <v>1.44</v>
      </c>
      <c r="O3365" s="1125">
        <v>5.0199999999999996</v>
      </c>
      <c r="P3365" s="1125">
        <v>2.6</v>
      </c>
      <c r="Q3365" s="1069"/>
      <c r="R3365" s="1071">
        <v>1.6285323200000001</v>
      </c>
      <c r="S3365" s="1070">
        <v>11.68</v>
      </c>
      <c r="T3365" s="1069"/>
      <c r="U3365" s="1069"/>
      <c r="V3365" s="1069"/>
      <c r="W3365" s="1069"/>
      <c r="X3365" s="1069"/>
      <c r="Y3365" s="1070">
        <v>35.6</v>
      </c>
      <c r="Z3365" s="1069"/>
      <c r="AA3365" s="1071">
        <v>3.61</v>
      </c>
      <c r="AB3365" s="1071">
        <v>0.30099999999999999</v>
      </c>
      <c r="AC3365" s="1069">
        <v>6.6</v>
      </c>
      <c r="AD3365" s="1074"/>
      <c r="AE3365" s="1074"/>
      <c r="AF3365" s="1074"/>
      <c r="AG3365" s="66">
        <f t="shared" si="128"/>
        <v>73.683707865168529</v>
      </c>
      <c r="AH3365" s="143">
        <f t="shared" si="129"/>
        <v>0</v>
      </c>
    </row>
    <row r="3366" spans="1:34" x14ac:dyDescent="0.3">
      <c r="A3366" s="1069">
        <v>203309</v>
      </c>
      <c r="B3366" s="1070">
        <v>41.666666666666664</v>
      </c>
      <c r="C3366" s="1070">
        <v>4.6250000000000018</v>
      </c>
      <c r="D3366" s="1071">
        <v>8.42</v>
      </c>
      <c r="E3366" s="1580">
        <v>4.1500000000000004</v>
      </c>
      <c r="F3366" s="1072">
        <v>3865</v>
      </c>
      <c r="G3366" s="1069"/>
      <c r="H3366" s="1072">
        <v>15.93</v>
      </c>
      <c r="I3366" s="1072">
        <v>390</v>
      </c>
      <c r="J3366" s="1073">
        <v>4.7949999999999999</v>
      </c>
      <c r="K3366" s="1070">
        <v>7.91</v>
      </c>
      <c r="L3366" s="1069">
        <v>1120</v>
      </c>
      <c r="M3366" s="1125">
        <v>0.26</v>
      </c>
      <c r="N3366" s="1381">
        <v>0.91</v>
      </c>
      <c r="O3366" s="1125">
        <v>2.86</v>
      </c>
      <c r="P3366" s="1125">
        <v>2.79</v>
      </c>
      <c r="Q3366" s="1069"/>
      <c r="R3366" s="1071">
        <v>1.3161374762123956</v>
      </c>
      <c r="S3366" s="1070">
        <v>9.1</v>
      </c>
      <c r="T3366" s="1069"/>
      <c r="U3366" s="1069"/>
      <c r="V3366" s="1069"/>
      <c r="W3366" s="1069"/>
      <c r="X3366" s="1069"/>
      <c r="Y3366" s="1070">
        <v>34.6</v>
      </c>
      <c r="Z3366" s="1069"/>
      <c r="AA3366" s="1071">
        <v>4.71</v>
      </c>
      <c r="AB3366" s="1071">
        <v>0.28100000000000003</v>
      </c>
      <c r="AC3366" s="1069">
        <v>11.7</v>
      </c>
      <c r="AD3366" s="1074">
        <v>600</v>
      </c>
      <c r="AE3366" s="1074">
        <v>260</v>
      </c>
      <c r="AF3366" s="1074">
        <v>140</v>
      </c>
      <c r="AG3366" s="66">
        <f t="shared" si="128"/>
        <v>80.928901734104045</v>
      </c>
      <c r="AH3366" s="143">
        <f t="shared" si="129"/>
        <v>1000</v>
      </c>
    </row>
    <row r="3367" spans="1:34" x14ac:dyDescent="0.3">
      <c r="A3367" s="1069">
        <v>203310</v>
      </c>
      <c r="B3367" s="1070">
        <v>43.333333333333329</v>
      </c>
      <c r="C3367" s="1070">
        <v>5.1250000000000018</v>
      </c>
      <c r="D3367" s="1071">
        <v>8.11</v>
      </c>
      <c r="E3367" s="1580">
        <v>0.14000000000000001</v>
      </c>
      <c r="F3367" s="1072">
        <v>154.00000000000003</v>
      </c>
      <c r="G3367" s="1069"/>
      <c r="H3367" s="1072">
        <v>10.3</v>
      </c>
      <c r="I3367" s="1072">
        <v>80</v>
      </c>
      <c r="J3367" s="1073">
        <v>3.9E-2</v>
      </c>
      <c r="K3367" s="1070">
        <v>5.27</v>
      </c>
      <c r="L3367" s="1069">
        <v>800</v>
      </c>
      <c r="M3367" s="1125">
        <v>0.28000000000000003</v>
      </c>
      <c r="N3367" s="1381">
        <v>0.28999999999999998</v>
      </c>
      <c r="O3367" s="1125">
        <v>1.1299999999999999</v>
      </c>
      <c r="P3367" s="1125">
        <v>3.27</v>
      </c>
      <c r="Q3367" s="1069"/>
      <c r="R3367" s="1071">
        <v>1.72531908</v>
      </c>
      <c r="S3367" s="1070">
        <v>14.34</v>
      </c>
      <c r="T3367" s="1069"/>
      <c r="U3367" s="1069"/>
      <c r="V3367" s="1069"/>
      <c r="W3367" s="1069"/>
      <c r="X3367" s="1069"/>
      <c r="Y3367" s="1070">
        <v>25</v>
      </c>
      <c r="Z3367" s="1069"/>
      <c r="AA3367" s="1071">
        <v>3.76</v>
      </c>
      <c r="AB3367" s="1071">
        <v>0.29499999999999998</v>
      </c>
      <c r="AC3367" s="1069">
        <v>11.6</v>
      </c>
      <c r="AD3367" s="1074">
        <v>500</v>
      </c>
      <c r="AE3367" s="1074">
        <v>360</v>
      </c>
      <c r="AF3367" s="1074">
        <v>140</v>
      </c>
      <c r="AG3367" s="66">
        <f t="shared" si="128"/>
        <v>74.623199999999997</v>
      </c>
      <c r="AH3367" s="143">
        <f t="shared" si="129"/>
        <v>1000</v>
      </c>
    </row>
    <row r="3368" spans="1:34" x14ac:dyDescent="0.3">
      <c r="A3368" s="1069">
        <v>203311</v>
      </c>
      <c r="B3368" s="1070">
        <v>6.25</v>
      </c>
      <c r="C3368" s="1070"/>
      <c r="D3368" s="1071">
        <v>8.77</v>
      </c>
      <c r="E3368" s="1580">
        <v>0.192</v>
      </c>
      <c r="F3368" s="1072">
        <v>211.20000000000002</v>
      </c>
      <c r="G3368" s="1069"/>
      <c r="H3368" s="1072">
        <v>4.63</v>
      </c>
      <c r="I3368" s="1072">
        <v>40</v>
      </c>
      <c r="J3368" s="1073">
        <v>0.14699999999999999</v>
      </c>
      <c r="K3368" s="1070">
        <v>5.57</v>
      </c>
      <c r="L3368" s="1069">
        <v>560</v>
      </c>
      <c r="M3368" s="1125">
        <v>0.25</v>
      </c>
      <c r="N3368" s="1381">
        <v>0.27</v>
      </c>
      <c r="O3368" s="1125">
        <v>1.48</v>
      </c>
      <c r="P3368" s="1125">
        <v>2.87</v>
      </c>
      <c r="Q3368" s="1069"/>
      <c r="R3368" s="1071">
        <v>0.58206168894049759</v>
      </c>
      <c r="S3368" s="1070">
        <v>4.22</v>
      </c>
      <c r="T3368" s="1069"/>
      <c r="U3368" s="1069"/>
      <c r="V3368" s="1069"/>
      <c r="W3368" s="1069"/>
      <c r="X3368" s="1069"/>
      <c r="Y3368" s="1070">
        <v>16</v>
      </c>
      <c r="Z3368" s="1069"/>
      <c r="AA3368" s="1071">
        <v>4.18</v>
      </c>
      <c r="AB3368" s="1071">
        <v>0.89200000000000002</v>
      </c>
      <c r="AC3368" s="1069">
        <v>10.9</v>
      </c>
      <c r="AD3368" s="1074">
        <v>320</v>
      </c>
      <c r="AE3368" s="1074">
        <v>200</v>
      </c>
      <c r="AF3368" s="1074">
        <v>480</v>
      </c>
      <c r="AG3368" s="66">
        <f t="shared" si="128"/>
        <v>123.23625</v>
      </c>
      <c r="AH3368" s="143">
        <f t="shared" si="129"/>
        <v>1000</v>
      </c>
    </row>
    <row r="3369" spans="1:34" x14ac:dyDescent="0.3">
      <c r="A3369" s="1069">
        <v>203312</v>
      </c>
      <c r="B3369" s="1070">
        <v>43.666666666666664</v>
      </c>
      <c r="C3369" s="1070">
        <v>5.2500000000000018</v>
      </c>
      <c r="D3369" s="1071">
        <v>8.52</v>
      </c>
      <c r="E3369" s="1580">
        <v>0.16700000000000001</v>
      </c>
      <c r="F3369" s="1072">
        <v>183.70000000000002</v>
      </c>
      <c r="G3369" s="1069"/>
      <c r="H3369" s="1072">
        <v>12.06</v>
      </c>
      <c r="I3369" s="1072">
        <v>100</v>
      </c>
      <c r="J3369" s="1073">
        <v>0.17899999999999999</v>
      </c>
      <c r="K3369" s="1070">
        <v>4.67</v>
      </c>
      <c r="L3369" s="1069">
        <v>640</v>
      </c>
      <c r="M3369" s="1125">
        <v>0.44</v>
      </c>
      <c r="N3369" s="1381">
        <v>0.22</v>
      </c>
      <c r="O3369" s="1125">
        <v>2.08</v>
      </c>
      <c r="P3369" s="1125">
        <v>6.67</v>
      </c>
      <c r="Q3369" s="1069"/>
      <c r="R3369" s="1071">
        <v>2.0104477699999999</v>
      </c>
      <c r="S3369" s="1070">
        <v>24.83</v>
      </c>
      <c r="T3369" s="1069"/>
      <c r="U3369" s="1069"/>
      <c r="V3369" s="1069"/>
      <c r="W3369" s="1069"/>
      <c r="X3369" s="1069"/>
      <c r="Y3369" s="1070">
        <v>15</v>
      </c>
      <c r="Z3369" s="1069"/>
      <c r="AA3369" s="1071">
        <v>3.75</v>
      </c>
      <c r="AB3369" s="1071">
        <v>0.73899999999999999</v>
      </c>
      <c r="AC3369" s="1069">
        <v>6.8</v>
      </c>
      <c r="AD3369" s="1074">
        <v>300</v>
      </c>
      <c r="AE3369" s="1074">
        <v>230</v>
      </c>
      <c r="AF3369" s="1074">
        <v>470</v>
      </c>
      <c r="AG3369" s="66">
        <f t="shared" si="128"/>
        <v>110.212</v>
      </c>
      <c r="AH3369" s="143">
        <f t="shared" si="129"/>
        <v>1000</v>
      </c>
    </row>
    <row r="3370" spans="1:34" x14ac:dyDescent="0.3">
      <c r="A3370" s="1069">
        <v>203313</v>
      </c>
      <c r="B3370" s="1070">
        <v>42</v>
      </c>
      <c r="C3370" s="1070">
        <v>4.8750000000000027</v>
      </c>
      <c r="D3370" s="1071">
        <v>8.68</v>
      </c>
      <c r="E3370" s="1580">
        <v>0.14899999999999999</v>
      </c>
      <c r="F3370" s="1072">
        <v>163.9</v>
      </c>
      <c r="G3370" s="1069"/>
      <c r="H3370" s="1072">
        <v>7.78</v>
      </c>
      <c r="I3370" s="1072">
        <v>20</v>
      </c>
      <c r="J3370" s="1073">
        <v>8.5000000000000006E-2</v>
      </c>
      <c r="K3370" s="1070">
        <v>3.02</v>
      </c>
      <c r="L3370" s="1069">
        <v>290</v>
      </c>
      <c r="M3370" s="1125">
        <v>0.27</v>
      </c>
      <c r="N3370" s="1381">
        <v>0.12</v>
      </c>
      <c r="O3370" s="1125">
        <v>1.29</v>
      </c>
      <c r="P3370" s="1125">
        <v>2.96</v>
      </c>
      <c r="Q3370" s="1069"/>
      <c r="R3370" s="1071">
        <v>1.009911707870583</v>
      </c>
      <c r="S3370" s="1070">
        <v>7.18</v>
      </c>
      <c r="T3370" s="1069"/>
      <c r="U3370" s="1069"/>
      <c r="V3370" s="1069"/>
      <c r="W3370" s="1069"/>
      <c r="X3370" s="1069"/>
      <c r="Y3370" s="1070">
        <v>7</v>
      </c>
      <c r="Z3370" s="1069"/>
      <c r="AA3370" s="1071">
        <v>4.7</v>
      </c>
      <c r="AB3370" s="1071">
        <v>0.39900000000000002</v>
      </c>
      <c r="AC3370" s="1069">
        <v>6.6</v>
      </c>
      <c r="AD3370" s="1074">
        <v>100</v>
      </c>
      <c r="AE3370" s="1074">
        <v>100</v>
      </c>
      <c r="AF3370" s="1074">
        <v>800</v>
      </c>
      <c r="AG3370" s="66">
        <f t="shared" si="128"/>
        <v>152.72571428571428</v>
      </c>
      <c r="AH3370" s="143">
        <f t="shared" si="129"/>
        <v>1000</v>
      </c>
    </row>
    <row r="3371" spans="1:34" x14ac:dyDescent="0.3">
      <c r="A3371" s="1069">
        <v>203314</v>
      </c>
      <c r="B3371" s="1070">
        <v>13.083333333333332</v>
      </c>
      <c r="C3371" s="1070">
        <v>2.6250000000000018</v>
      </c>
      <c r="D3371" s="1071">
        <v>8.31</v>
      </c>
      <c r="E3371" s="1580">
        <v>0.128</v>
      </c>
      <c r="F3371" s="1072">
        <v>140.80000000000001</v>
      </c>
      <c r="G3371" s="1069"/>
      <c r="H3371" s="1072">
        <v>4.45</v>
      </c>
      <c r="I3371" s="1072">
        <v>140</v>
      </c>
      <c r="J3371" s="1073">
        <v>1E-3</v>
      </c>
      <c r="K3371" s="1070">
        <v>7.38</v>
      </c>
      <c r="L3371" s="1069">
        <v>620</v>
      </c>
      <c r="M3371" s="1125">
        <v>0.12</v>
      </c>
      <c r="N3371" s="1381">
        <v>0.84</v>
      </c>
      <c r="O3371" s="1125">
        <v>1.45</v>
      </c>
      <c r="P3371" s="1125">
        <v>5.12</v>
      </c>
      <c r="Q3371" s="1069"/>
      <c r="R3371" s="1071">
        <v>1.836392</v>
      </c>
      <c r="S3371" s="1070">
        <v>17.8</v>
      </c>
      <c r="T3371" s="1069"/>
      <c r="U3371" s="1069"/>
      <c r="V3371" s="1069"/>
      <c r="W3371" s="1069"/>
      <c r="X3371" s="1069"/>
      <c r="Y3371" s="1070">
        <v>29</v>
      </c>
      <c r="Z3371" s="1069"/>
      <c r="AA3371" s="1071">
        <v>4.59</v>
      </c>
      <c r="AB3371" s="1071">
        <v>0.32200000000000001</v>
      </c>
      <c r="AC3371" s="1069">
        <v>11.6</v>
      </c>
      <c r="AD3371" s="1074">
        <v>580</v>
      </c>
      <c r="AE3371" s="1074">
        <v>280</v>
      </c>
      <c r="AF3371" s="1074">
        <v>140</v>
      </c>
      <c r="AG3371" s="66">
        <f t="shared" si="128"/>
        <v>90.086896551724138</v>
      </c>
      <c r="AH3371" s="143">
        <f t="shared" si="129"/>
        <v>1000</v>
      </c>
    </row>
    <row r="3372" spans="1:34" x14ac:dyDescent="0.3">
      <c r="A3372" s="1069">
        <v>203315</v>
      </c>
      <c r="B3372" s="1070">
        <v>8.75</v>
      </c>
      <c r="C3372" s="1070"/>
      <c r="D3372" s="1071">
        <v>8.1199999999999992</v>
      </c>
      <c r="E3372" s="1580">
        <v>0.14599999999999999</v>
      </c>
      <c r="F3372" s="1072">
        <v>160.6</v>
      </c>
      <c r="G3372" s="1069"/>
      <c r="H3372" s="1072">
        <v>20.56</v>
      </c>
      <c r="I3372" s="1072">
        <v>280</v>
      </c>
      <c r="J3372" s="1073">
        <v>2E-3</v>
      </c>
      <c r="K3372" s="1070">
        <v>7.61</v>
      </c>
      <c r="L3372" s="1069">
        <v>810</v>
      </c>
      <c r="M3372" s="1125">
        <v>0.22</v>
      </c>
      <c r="N3372" s="1381">
        <v>0.96</v>
      </c>
      <c r="O3372" s="1125">
        <v>1.75</v>
      </c>
      <c r="P3372" s="1125">
        <v>9</v>
      </c>
      <c r="Q3372" s="1069"/>
      <c r="R3372" s="1071">
        <v>1.9455941700000001</v>
      </c>
      <c r="S3372" s="1070">
        <v>21.87</v>
      </c>
      <c r="T3372" s="1069"/>
      <c r="U3372" s="1069"/>
      <c r="V3372" s="1069"/>
      <c r="W3372" s="1069"/>
      <c r="X3372" s="1069"/>
      <c r="Y3372" s="1070">
        <v>28</v>
      </c>
      <c r="Z3372" s="1069"/>
      <c r="AA3372" s="1071">
        <v>3.63</v>
      </c>
      <c r="AB3372" s="1071">
        <v>0.309</v>
      </c>
      <c r="AC3372" s="1069">
        <v>7.3</v>
      </c>
      <c r="AD3372" s="1074">
        <v>560</v>
      </c>
      <c r="AE3372" s="1074">
        <v>260</v>
      </c>
      <c r="AF3372" s="1074">
        <v>180</v>
      </c>
      <c r="AG3372" s="66">
        <f t="shared" si="128"/>
        <v>96.212142857142865</v>
      </c>
      <c r="AH3372" s="143">
        <f t="shared" si="129"/>
        <v>1000</v>
      </c>
    </row>
    <row r="3373" spans="1:34" x14ac:dyDescent="0.3">
      <c r="A3373" s="1069">
        <v>203316</v>
      </c>
      <c r="B3373" s="1070">
        <v>41.666666666666664</v>
      </c>
      <c r="C3373" s="1070">
        <v>4.8750000000000027</v>
      </c>
      <c r="D3373" s="1071">
        <v>8.1</v>
      </c>
      <c r="E3373" s="1580">
        <v>0.41</v>
      </c>
      <c r="F3373" s="1072">
        <v>451</v>
      </c>
      <c r="G3373" s="1069"/>
      <c r="H3373" s="1072">
        <v>47.6</v>
      </c>
      <c r="I3373" s="1072">
        <v>330</v>
      </c>
      <c r="J3373" s="1073">
        <v>6.5000000000000002E-2</v>
      </c>
      <c r="K3373" s="1070">
        <v>8.31</v>
      </c>
      <c r="L3373" s="1069">
        <v>900</v>
      </c>
      <c r="M3373" s="1125">
        <v>2.93</v>
      </c>
      <c r="N3373" s="1381">
        <v>19.61</v>
      </c>
      <c r="O3373" s="1125">
        <v>10.08</v>
      </c>
      <c r="P3373" s="1125">
        <v>6.7</v>
      </c>
      <c r="Q3373" s="1069"/>
      <c r="R3373" s="1071">
        <v>1.9747001700000002</v>
      </c>
      <c r="S3373" s="1070">
        <v>23.13</v>
      </c>
      <c r="T3373" s="1069"/>
      <c r="U3373" s="1069"/>
      <c r="V3373" s="1069"/>
      <c r="W3373" s="1069"/>
      <c r="X3373" s="1069"/>
      <c r="Y3373" s="1070">
        <v>13</v>
      </c>
      <c r="Z3373" s="1069"/>
      <c r="AA3373" s="1071">
        <v>3.87</v>
      </c>
      <c r="AB3373" s="1071">
        <v>0.77100000000000002</v>
      </c>
      <c r="AC3373" s="1069">
        <v>9.4</v>
      </c>
      <c r="AD3373" s="1074"/>
      <c r="AE3373" s="1074"/>
      <c r="AF3373" s="1074"/>
      <c r="AG3373" s="66">
        <f t="shared" si="128"/>
        <v>226.28769230769234</v>
      </c>
      <c r="AH3373" s="143">
        <f t="shared" si="129"/>
        <v>0</v>
      </c>
    </row>
    <row r="3374" spans="1:34" x14ac:dyDescent="0.3">
      <c r="A3374" s="1069">
        <v>203317</v>
      </c>
      <c r="B3374" s="1070">
        <v>50</v>
      </c>
      <c r="C3374" s="1070">
        <v>14.125</v>
      </c>
      <c r="D3374" s="1071">
        <v>8.3000000000000007</v>
      </c>
      <c r="E3374" s="1580">
        <v>0.46600000000000003</v>
      </c>
      <c r="F3374" s="1072">
        <v>512.6</v>
      </c>
      <c r="G3374" s="1069"/>
      <c r="H3374" s="1072">
        <v>19.600000000000001</v>
      </c>
      <c r="I3374" s="1072">
        <v>200</v>
      </c>
      <c r="J3374" s="1073">
        <v>0.114</v>
      </c>
      <c r="K3374" s="1070">
        <v>8.5299999999999994</v>
      </c>
      <c r="L3374" s="1069">
        <v>850</v>
      </c>
      <c r="M3374" s="1125">
        <v>0.75</v>
      </c>
      <c r="N3374" s="1381">
        <v>4.1500000000000004</v>
      </c>
      <c r="O3374" s="1125">
        <v>6.88</v>
      </c>
      <c r="P3374" s="1125">
        <v>4.47</v>
      </c>
      <c r="Q3374" s="1069"/>
      <c r="R3374" s="1071">
        <v>1.8466942500000001</v>
      </c>
      <c r="S3374" s="1070">
        <v>18.149999999999999</v>
      </c>
      <c r="T3374" s="1069"/>
      <c r="U3374" s="1069"/>
      <c r="V3374" s="1069"/>
      <c r="W3374" s="1069"/>
      <c r="X3374" s="1069"/>
      <c r="Y3374" s="1070">
        <v>19.600000000000001</v>
      </c>
      <c r="Z3374" s="1069"/>
      <c r="AA3374" s="1071">
        <v>4.0599999999999996</v>
      </c>
      <c r="AB3374" s="1071">
        <v>0.9</v>
      </c>
      <c r="AC3374" s="1069">
        <v>10.5</v>
      </c>
      <c r="AD3374" s="1074"/>
      <c r="AE3374" s="1074"/>
      <c r="AF3374" s="1074"/>
      <c r="AG3374" s="66">
        <f t="shared" si="128"/>
        <v>154.06224489795918</v>
      </c>
      <c r="AH3374" s="143">
        <f t="shared" si="129"/>
        <v>0</v>
      </c>
    </row>
    <row r="3375" spans="1:34" x14ac:dyDescent="0.3">
      <c r="A3375" s="1069">
        <v>203318</v>
      </c>
      <c r="B3375" s="1070">
        <v>15</v>
      </c>
      <c r="C3375" s="1070">
        <v>2.8750000000000009</v>
      </c>
      <c r="D3375" s="1071">
        <v>8.23</v>
      </c>
      <c r="E3375" s="1580">
        <v>0.23699999999999999</v>
      </c>
      <c r="F3375" s="1072">
        <v>260.7</v>
      </c>
      <c r="G3375" s="1069"/>
      <c r="H3375" s="1072">
        <v>43.73</v>
      </c>
      <c r="I3375" s="1072">
        <v>810</v>
      </c>
      <c r="J3375" s="1073">
        <v>1.6E-2</v>
      </c>
      <c r="K3375" s="1070">
        <v>7.42</v>
      </c>
      <c r="L3375" s="1069">
        <v>1140</v>
      </c>
      <c r="M3375" s="1125">
        <v>1.63</v>
      </c>
      <c r="N3375" s="1381">
        <v>8.23</v>
      </c>
      <c r="O3375" s="1125">
        <v>4.74</v>
      </c>
      <c r="P3375" s="1125">
        <v>4.8</v>
      </c>
      <c r="Q3375" s="1069"/>
      <c r="R3375" s="1071">
        <v>1.8542363300000002</v>
      </c>
      <c r="S3375" s="1070">
        <v>18.41</v>
      </c>
      <c r="T3375" s="1069"/>
      <c r="U3375" s="1069"/>
      <c r="V3375" s="1069"/>
      <c r="W3375" s="1069"/>
      <c r="X3375" s="1069"/>
      <c r="Y3375" s="1070">
        <v>37.799999999999997</v>
      </c>
      <c r="Z3375" s="1069"/>
      <c r="AA3375" s="1071">
        <v>4.46</v>
      </c>
      <c r="AB3375" s="1071">
        <v>0.40699999999999997</v>
      </c>
      <c r="AC3375" s="1069">
        <v>7.2</v>
      </c>
      <c r="AD3375" s="1074"/>
      <c r="AE3375" s="1074"/>
      <c r="AF3375" s="1074"/>
      <c r="AG3375" s="66">
        <f t="shared" si="128"/>
        <v>69.488888888888894</v>
      </c>
      <c r="AH3375" s="143">
        <f t="shared" si="129"/>
        <v>0</v>
      </c>
    </row>
    <row r="3376" spans="1:34" x14ac:dyDescent="0.3">
      <c r="A3376" s="1069">
        <v>203319</v>
      </c>
      <c r="B3376" s="1070">
        <v>15.833333333333332</v>
      </c>
      <c r="C3376" s="1070">
        <v>3.125</v>
      </c>
      <c r="D3376" s="1071">
        <v>8.34</v>
      </c>
      <c r="E3376" s="1580">
        <v>0.27800000000000002</v>
      </c>
      <c r="F3376" s="1072">
        <v>305.80000000000007</v>
      </c>
      <c r="G3376" s="1069"/>
      <c r="H3376" s="1072">
        <v>25.08</v>
      </c>
      <c r="I3376" s="1072">
        <v>450</v>
      </c>
      <c r="J3376" s="1073">
        <v>3.5000000000000003E-2</v>
      </c>
      <c r="K3376" s="1070">
        <v>6.98</v>
      </c>
      <c r="L3376" s="1069">
        <v>1170</v>
      </c>
      <c r="M3376" s="1125">
        <v>0.86</v>
      </c>
      <c r="N3376" s="1381">
        <v>4.51</v>
      </c>
      <c r="O3376" s="1125">
        <v>2.64</v>
      </c>
      <c r="P3376" s="1125">
        <v>2.8</v>
      </c>
      <c r="Q3376" s="1069"/>
      <c r="R3376" s="1071">
        <v>1.5943320000000001</v>
      </c>
      <c r="S3376" s="1070">
        <v>10.8</v>
      </c>
      <c r="T3376" s="1069"/>
      <c r="U3376" s="1069"/>
      <c r="V3376" s="1069"/>
      <c r="W3376" s="1069"/>
      <c r="X3376" s="1069"/>
      <c r="Y3376" s="1070">
        <v>38.5</v>
      </c>
      <c r="Z3376" s="1069"/>
      <c r="AA3376" s="1071">
        <v>4.28</v>
      </c>
      <c r="AB3376" s="1071">
        <v>0.75700000000000001</v>
      </c>
      <c r="AC3376" s="1069">
        <v>7.9</v>
      </c>
      <c r="AD3376" s="1074"/>
      <c r="AE3376" s="1074"/>
      <c r="AF3376" s="1074"/>
      <c r="AG3376" s="66">
        <f t="shared" si="128"/>
        <v>64.179740259740257</v>
      </c>
      <c r="AH3376" s="143">
        <f t="shared" si="129"/>
        <v>0</v>
      </c>
    </row>
    <row r="3377" spans="1:34" x14ac:dyDescent="0.3">
      <c r="A3377" s="1069">
        <v>203320</v>
      </c>
      <c r="B3377" s="1070">
        <v>2.2333333333333334</v>
      </c>
      <c r="C3377" s="1070"/>
      <c r="D3377" s="1071">
        <v>8.15</v>
      </c>
      <c r="E3377" s="1580">
        <v>0.26300000000000001</v>
      </c>
      <c r="F3377" s="1072">
        <v>289.30000000000007</v>
      </c>
      <c r="G3377" s="1069"/>
      <c r="H3377" s="1072">
        <v>246.69</v>
      </c>
      <c r="I3377" s="1072">
        <v>1050</v>
      </c>
      <c r="J3377" s="1073">
        <v>3.6999999999999998E-2</v>
      </c>
      <c r="K3377" s="1070">
        <v>6.99</v>
      </c>
      <c r="L3377" s="1069">
        <v>1740</v>
      </c>
      <c r="M3377" s="1125">
        <v>3.02</v>
      </c>
      <c r="N3377" s="1381">
        <v>3.65</v>
      </c>
      <c r="O3377" s="1125">
        <v>4.07</v>
      </c>
      <c r="P3377" s="1125">
        <v>7.53</v>
      </c>
      <c r="Q3377" s="1069"/>
      <c r="R3377" s="1071">
        <v>2.0440612800000002</v>
      </c>
      <c r="S3377" s="1070">
        <v>26.64</v>
      </c>
      <c r="T3377" s="1069"/>
      <c r="U3377" s="1069"/>
      <c r="V3377" s="1069"/>
      <c r="W3377" s="1069"/>
      <c r="X3377" s="1069"/>
      <c r="Y3377" s="1070">
        <v>37.200000000000003</v>
      </c>
      <c r="Z3377" s="1069"/>
      <c r="AA3377" s="1071">
        <v>3.55</v>
      </c>
      <c r="AB3377" s="1071">
        <v>0.83499999999999996</v>
      </c>
      <c r="AC3377" s="1069">
        <v>9.1999999999999993</v>
      </c>
      <c r="AD3377" s="1074">
        <v>560</v>
      </c>
      <c r="AE3377" s="1074">
        <v>280</v>
      </c>
      <c r="AF3377" s="1074">
        <v>160</v>
      </c>
      <c r="AG3377" s="66">
        <f t="shared" si="128"/>
        <v>66.517741935483869</v>
      </c>
      <c r="AH3377" s="143">
        <f t="shared" si="129"/>
        <v>1000</v>
      </c>
    </row>
    <row r="3378" spans="1:34" x14ac:dyDescent="0.3">
      <c r="A3378" s="1069">
        <v>203321</v>
      </c>
      <c r="B3378" s="1070">
        <v>2.083333333333333</v>
      </c>
      <c r="C3378" s="1070"/>
      <c r="D3378" s="1071">
        <v>8.19</v>
      </c>
      <c r="E3378" s="1580">
        <v>0.157</v>
      </c>
      <c r="F3378" s="1072">
        <v>172.70000000000002</v>
      </c>
      <c r="G3378" s="1069"/>
      <c r="H3378" s="1072">
        <v>233.29</v>
      </c>
      <c r="I3378" s="1072">
        <v>900</v>
      </c>
      <c r="J3378" s="1073">
        <v>0.02</v>
      </c>
      <c r="K3378" s="1070">
        <v>6.57</v>
      </c>
      <c r="L3378" s="1069">
        <v>1760</v>
      </c>
      <c r="M3378" s="1125">
        <v>1.41</v>
      </c>
      <c r="N3378" s="1381">
        <v>2.52</v>
      </c>
      <c r="O3378" s="1125">
        <v>5.25</v>
      </c>
      <c r="P3378" s="1125">
        <v>10.83</v>
      </c>
      <c r="Q3378" s="1069"/>
      <c r="R3378" s="1071">
        <v>1.8177213200000002</v>
      </c>
      <c r="S3378" s="1070">
        <v>17.18</v>
      </c>
      <c r="T3378" s="1069"/>
      <c r="U3378" s="1069"/>
      <c r="V3378" s="1069"/>
      <c r="W3378" s="1069"/>
      <c r="X3378" s="1069"/>
      <c r="Y3378" s="1070">
        <v>36.799999999999997</v>
      </c>
      <c r="Z3378" s="1069"/>
      <c r="AA3378" s="1071">
        <v>4.01</v>
      </c>
      <c r="AB3378" s="1071">
        <v>0.44700000000000001</v>
      </c>
      <c r="AC3378" s="1069">
        <v>8.4</v>
      </c>
      <c r="AD3378" s="1074">
        <v>540</v>
      </c>
      <c r="AE3378" s="1074">
        <v>280</v>
      </c>
      <c r="AF3378" s="1074">
        <v>180</v>
      </c>
      <c r="AG3378" s="66">
        <f t="shared" si="128"/>
        <v>63.200543478260869</v>
      </c>
      <c r="AH3378" s="143">
        <f t="shared" si="129"/>
        <v>1000</v>
      </c>
    </row>
    <row r="3379" spans="1:34" x14ac:dyDescent="0.3">
      <c r="A3379" s="1069">
        <v>203322</v>
      </c>
      <c r="B3379" s="1070">
        <v>2.6666666666666665</v>
      </c>
      <c r="C3379" s="1070"/>
      <c r="D3379" s="1071">
        <v>8.2799999999999994</v>
      </c>
      <c r="E3379" s="1580">
        <v>0.35</v>
      </c>
      <c r="F3379" s="1072">
        <v>385</v>
      </c>
      <c r="G3379" s="1069"/>
      <c r="H3379" s="1072">
        <v>259.64999999999998</v>
      </c>
      <c r="I3379" s="1072">
        <v>980</v>
      </c>
      <c r="J3379" s="1073">
        <v>4.2999999999999997E-2</v>
      </c>
      <c r="K3379" s="1070">
        <v>6.95</v>
      </c>
      <c r="L3379" s="1069">
        <v>1900</v>
      </c>
      <c r="M3379" s="1125">
        <v>1.42</v>
      </c>
      <c r="N3379" s="1381">
        <v>4.1500000000000004</v>
      </c>
      <c r="O3379" s="1125">
        <v>1.8</v>
      </c>
      <c r="P3379" s="1125">
        <v>6.65</v>
      </c>
      <c r="Q3379" s="1069"/>
      <c r="R3379" s="1071">
        <v>1.9067403199999999</v>
      </c>
      <c r="S3379" s="1070">
        <v>20.32</v>
      </c>
      <c r="T3379" s="1069"/>
      <c r="U3379" s="1069"/>
      <c r="V3379" s="1069"/>
      <c r="W3379" s="1069"/>
      <c r="X3379" s="1069"/>
      <c r="Y3379" s="1070">
        <v>27.5</v>
      </c>
      <c r="Z3379" s="1069"/>
      <c r="AA3379" s="1071">
        <v>3.71</v>
      </c>
      <c r="AB3379" s="1071">
        <v>0.66300000000000003</v>
      </c>
      <c r="AC3379" s="1069">
        <v>10</v>
      </c>
      <c r="AD3379" s="1074">
        <v>550</v>
      </c>
      <c r="AE3379" s="1074">
        <v>290</v>
      </c>
      <c r="AF3379" s="1074">
        <v>160</v>
      </c>
      <c r="AG3379" s="66">
        <f t="shared" si="128"/>
        <v>89.465454545454548</v>
      </c>
      <c r="AH3379" s="143">
        <f t="shared" si="129"/>
        <v>1000</v>
      </c>
    </row>
    <row r="3380" spans="1:34" x14ac:dyDescent="0.3">
      <c r="A3380" s="1069">
        <v>203323</v>
      </c>
      <c r="B3380" s="1070">
        <v>0.91666666666666663</v>
      </c>
      <c r="C3380" s="1070"/>
      <c r="D3380" s="1071">
        <v>8.2100000000000009</v>
      </c>
      <c r="E3380" s="1580">
        <v>0.13900000000000001</v>
      </c>
      <c r="F3380" s="1072">
        <v>152.90000000000003</v>
      </c>
      <c r="G3380" s="1069"/>
      <c r="H3380" s="1072">
        <v>47.39</v>
      </c>
      <c r="I3380" s="1072">
        <v>520</v>
      </c>
      <c r="J3380" s="1073">
        <v>3.2000000000000001E-2</v>
      </c>
      <c r="K3380" s="1070">
        <v>6.97</v>
      </c>
      <c r="L3380" s="1069">
        <v>2220</v>
      </c>
      <c r="M3380" s="1125">
        <v>0.51</v>
      </c>
      <c r="N3380" s="1381">
        <v>2.04</v>
      </c>
      <c r="O3380" s="1125">
        <v>2.79</v>
      </c>
      <c r="P3380" s="1125">
        <v>14.77</v>
      </c>
      <c r="Q3380" s="1069"/>
      <c r="R3380" s="1071">
        <v>1.63918688</v>
      </c>
      <c r="S3380" s="1070">
        <v>11.96</v>
      </c>
      <c r="T3380" s="1069"/>
      <c r="U3380" s="1069"/>
      <c r="V3380" s="1069"/>
      <c r="W3380" s="1069"/>
      <c r="X3380" s="1069"/>
      <c r="Y3380" s="1070">
        <v>29</v>
      </c>
      <c r="Z3380" s="1069"/>
      <c r="AA3380" s="1071">
        <v>3.87</v>
      </c>
      <c r="AB3380" s="1071">
        <v>0.68700000000000006</v>
      </c>
      <c r="AC3380" s="1069">
        <v>7.3</v>
      </c>
      <c r="AD3380" s="1074">
        <v>580</v>
      </c>
      <c r="AE3380" s="1074">
        <v>300</v>
      </c>
      <c r="AF3380" s="1074">
        <v>120</v>
      </c>
      <c r="AG3380" s="66">
        <f t="shared" si="128"/>
        <v>85.082068965517252</v>
      </c>
      <c r="AH3380" s="143">
        <f t="shared" si="129"/>
        <v>1000</v>
      </c>
    </row>
    <row r="3381" spans="1:34" x14ac:dyDescent="0.3">
      <c r="A3381" s="1069">
        <v>203324</v>
      </c>
      <c r="B3381" s="1070">
        <v>1.2833333333333334</v>
      </c>
      <c r="C3381" s="1070"/>
      <c r="D3381" s="1071">
        <v>8.56</v>
      </c>
      <c r="E3381" s="1580">
        <v>0.153</v>
      </c>
      <c r="F3381" s="1072">
        <v>168.3</v>
      </c>
      <c r="G3381" s="1069"/>
      <c r="H3381" s="1072">
        <v>39.42</v>
      </c>
      <c r="I3381" s="1072">
        <v>170</v>
      </c>
      <c r="J3381" s="1073">
        <v>9.1999999999999998E-2</v>
      </c>
      <c r="K3381" s="1070">
        <v>4.3600000000000003</v>
      </c>
      <c r="L3381" s="1069">
        <v>470</v>
      </c>
      <c r="M3381" s="1125">
        <v>0.72</v>
      </c>
      <c r="N3381" s="1381">
        <v>2.52</v>
      </c>
      <c r="O3381" s="1125">
        <v>5.69</v>
      </c>
      <c r="P3381" s="1125">
        <v>4.32</v>
      </c>
      <c r="Q3381" s="1069"/>
      <c r="R3381" s="1071">
        <v>1.1452484761745167</v>
      </c>
      <c r="S3381" s="1070">
        <v>7.7</v>
      </c>
      <c r="T3381" s="1069"/>
      <c r="U3381" s="1069"/>
      <c r="V3381" s="1069"/>
      <c r="W3381" s="1069"/>
      <c r="X3381" s="1069"/>
      <c r="Y3381" s="1070">
        <v>22</v>
      </c>
      <c r="Z3381" s="1069"/>
      <c r="AA3381" s="1071">
        <v>3.46</v>
      </c>
      <c r="AB3381" s="1071">
        <v>0.626</v>
      </c>
      <c r="AC3381" s="1069">
        <v>9.1999999999999993</v>
      </c>
      <c r="AD3381" s="1074">
        <v>440</v>
      </c>
      <c r="AE3381" s="1074">
        <v>240</v>
      </c>
      <c r="AF3381" s="1074">
        <v>320</v>
      </c>
      <c r="AG3381" s="66">
        <f t="shared" si="128"/>
        <v>70.15636363636365</v>
      </c>
      <c r="AH3381" s="143">
        <f t="shared" si="129"/>
        <v>1000</v>
      </c>
    </row>
    <row r="3382" spans="1:34" x14ac:dyDescent="0.3">
      <c r="A3382" s="1069">
        <v>203325</v>
      </c>
      <c r="B3382" s="1070">
        <v>0.1</v>
      </c>
      <c r="C3382" s="1070"/>
      <c r="D3382" s="1071">
        <v>7.78</v>
      </c>
      <c r="E3382" s="1580">
        <v>0.105</v>
      </c>
      <c r="F3382" s="1072">
        <v>115.5</v>
      </c>
      <c r="G3382" s="1069"/>
      <c r="H3382" s="1072">
        <v>73.94</v>
      </c>
      <c r="I3382" s="1072">
        <v>70</v>
      </c>
      <c r="J3382" s="1073">
        <v>4.4999999999999998E-2</v>
      </c>
      <c r="K3382" s="1070">
        <v>1.56</v>
      </c>
      <c r="L3382" s="1069">
        <v>160</v>
      </c>
      <c r="M3382" s="1125">
        <v>0.75</v>
      </c>
      <c r="N3382" s="1381">
        <v>0.2</v>
      </c>
      <c r="O3382" s="1125">
        <v>2.2000000000000002</v>
      </c>
      <c r="P3382" s="1125">
        <v>5.5</v>
      </c>
      <c r="Q3382" s="1069"/>
      <c r="R3382" s="1071">
        <v>0.53803394522089021</v>
      </c>
      <c r="S3382" s="1070">
        <v>3.71</v>
      </c>
      <c r="T3382" s="1069"/>
      <c r="U3382" s="1069"/>
      <c r="V3382" s="1069"/>
      <c r="W3382" s="1069"/>
      <c r="X3382" s="1069"/>
      <c r="Y3382" s="1070">
        <v>4.9000000000000004</v>
      </c>
      <c r="Z3382" s="1069"/>
      <c r="AA3382" s="1071">
        <v>4.33</v>
      </c>
      <c r="AB3382" s="1071">
        <v>0.79300000000000004</v>
      </c>
      <c r="AC3382" s="1069">
        <v>10.5</v>
      </c>
      <c r="AD3382" s="1074">
        <v>70</v>
      </c>
      <c r="AE3382" s="1074">
        <v>70</v>
      </c>
      <c r="AF3382" s="1074">
        <v>860</v>
      </c>
      <c r="AG3382" s="66">
        <f t="shared" si="128"/>
        <v>112.70204081632653</v>
      </c>
      <c r="AH3382" s="143">
        <f t="shared" si="129"/>
        <v>1000</v>
      </c>
    </row>
    <row r="3383" spans="1:34" ht="18.95" customHeight="1" x14ac:dyDescent="0.3">
      <c r="A3383" s="1069">
        <v>203326</v>
      </c>
      <c r="B3383" s="1070">
        <v>2.25</v>
      </c>
      <c r="C3383" s="1070"/>
      <c r="D3383" s="1071">
        <v>8.2799999999999994</v>
      </c>
      <c r="E3383" s="1580">
        <v>0.17</v>
      </c>
      <c r="F3383" s="1072">
        <v>187.00000000000003</v>
      </c>
      <c r="G3383" s="1069"/>
      <c r="H3383" s="1072">
        <v>18.32</v>
      </c>
      <c r="I3383" s="1072">
        <v>60</v>
      </c>
      <c r="J3383" s="1073">
        <v>0.02</v>
      </c>
      <c r="K3383" s="1070">
        <v>4.63</v>
      </c>
      <c r="L3383" s="1069">
        <v>70</v>
      </c>
      <c r="M3383" s="1125">
        <v>0.14000000000000001</v>
      </c>
      <c r="N3383" s="1381">
        <v>0.1</v>
      </c>
      <c r="O3383" s="1125">
        <v>1.01</v>
      </c>
      <c r="P3383" s="1125">
        <v>3.06</v>
      </c>
      <c r="Q3383" s="1069"/>
      <c r="R3383" s="1071">
        <v>0.54186698295577163</v>
      </c>
      <c r="S3383" s="1070">
        <v>3.85</v>
      </c>
      <c r="T3383" s="1069"/>
      <c r="U3383" s="1069"/>
      <c r="V3383" s="1069"/>
      <c r="W3383" s="1069"/>
      <c r="X3383" s="1069"/>
      <c r="Y3383" s="1070">
        <v>7</v>
      </c>
      <c r="Z3383" s="1069"/>
      <c r="AA3383" s="1071">
        <v>4.7</v>
      </c>
      <c r="AB3383" s="1071">
        <v>0.42699999999999999</v>
      </c>
      <c r="AC3383" s="1069">
        <v>11</v>
      </c>
      <c r="AD3383" s="1074">
        <v>100</v>
      </c>
      <c r="AE3383" s="1074">
        <v>60</v>
      </c>
      <c r="AF3383" s="1074">
        <v>840</v>
      </c>
      <c r="AG3383" s="66">
        <f t="shared" si="128"/>
        <v>234.14571428571429</v>
      </c>
      <c r="AH3383" s="143">
        <f t="shared" si="129"/>
        <v>1000</v>
      </c>
    </row>
    <row r="3384" spans="1:34" x14ac:dyDescent="0.3">
      <c r="A3384" s="1069">
        <v>203327</v>
      </c>
      <c r="B3384" s="1070">
        <v>3</v>
      </c>
      <c r="C3384" s="1070"/>
      <c r="D3384" s="1071">
        <v>8.52</v>
      </c>
      <c r="E3384" s="1580">
        <v>0.159</v>
      </c>
      <c r="F3384" s="1072">
        <v>174.90000000000003</v>
      </c>
      <c r="G3384" s="1069"/>
      <c r="H3384" s="1072">
        <v>15.52</v>
      </c>
      <c r="I3384" s="1072">
        <v>20</v>
      </c>
      <c r="J3384" s="1073">
        <v>3.2000000000000001E-2</v>
      </c>
      <c r="K3384" s="1070">
        <v>5.28</v>
      </c>
      <c r="L3384" s="1069">
        <v>120</v>
      </c>
      <c r="M3384" s="1125">
        <v>0.22</v>
      </c>
      <c r="N3384" s="1381">
        <v>0.18</v>
      </c>
      <c r="O3384" s="1125">
        <v>1.82</v>
      </c>
      <c r="P3384" s="1125">
        <v>3.46</v>
      </c>
      <c r="Q3384" s="1069"/>
      <c r="R3384" s="1071">
        <v>0.89511208317133151</v>
      </c>
      <c r="S3384" s="1070">
        <v>6.35</v>
      </c>
      <c r="T3384" s="1069"/>
      <c r="U3384" s="1069"/>
      <c r="V3384" s="1069"/>
      <c r="W3384" s="1069"/>
      <c r="X3384" s="1069"/>
      <c r="Y3384" s="1070">
        <v>8.4</v>
      </c>
      <c r="Z3384" s="1069"/>
      <c r="AA3384" s="1071">
        <v>4.21</v>
      </c>
      <c r="AB3384" s="1071">
        <v>0.69099999999999995</v>
      </c>
      <c r="AC3384" s="1069">
        <v>8.8000000000000007</v>
      </c>
      <c r="AD3384" s="1074">
        <v>120</v>
      </c>
      <c r="AE3384" s="1074">
        <v>60</v>
      </c>
      <c r="AF3384" s="1074">
        <v>820</v>
      </c>
      <c r="AG3384" s="66">
        <f t="shared" si="128"/>
        <v>222.51428571428571</v>
      </c>
      <c r="AH3384" s="143">
        <f t="shared" si="129"/>
        <v>1000</v>
      </c>
    </row>
    <row r="3385" spans="1:34" x14ac:dyDescent="0.3">
      <c r="A3385" s="415">
        <v>203328</v>
      </c>
      <c r="B3385" s="1228">
        <v>33.75</v>
      </c>
      <c r="C3385" s="1228">
        <v>11.9</v>
      </c>
      <c r="D3385" s="1405">
        <v>8.6999999999999993</v>
      </c>
      <c r="E3385" s="1585">
        <v>0.252</v>
      </c>
      <c r="F3385" s="1406">
        <v>277.2</v>
      </c>
      <c r="G3385" s="415"/>
      <c r="H3385" s="1406">
        <v>43</v>
      </c>
      <c r="I3385" s="1406">
        <v>813</v>
      </c>
      <c r="J3385" s="1407">
        <v>2.9000000000000001E-2</v>
      </c>
      <c r="K3385" s="1228">
        <v>9.94</v>
      </c>
      <c r="L3385" s="415">
        <v>1045</v>
      </c>
      <c r="M3385" s="415">
        <v>0.374</v>
      </c>
      <c r="N3385" s="415">
        <v>4.24</v>
      </c>
      <c r="O3385" s="415">
        <v>6.6</v>
      </c>
      <c r="P3385" s="415">
        <v>4.79</v>
      </c>
      <c r="Q3385" s="415"/>
      <c r="R3385" s="1405">
        <v>1.0166750999934029</v>
      </c>
      <c r="S3385" s="1228">
        <v>7.5</v>
      </c>
      <c r="T3385" s="415"/>
      <c r="U3385" s="415"/>
      <c r="V3385" s="415"/>
      <c r="W3385" s="415"/>
      <c r="X3385" s="415"/>
      <c r="Y3385" s="1228">
        <v>19</v>
      </c>
      <c r="Z3385" s="415"/>
      <c r="AA3385" s="1405">
        <v>3.51</v>
      </c>
      <c r="AB3385" s="1405">
        <v>0.89700000000000002</v>
      </c>
      <c r="AC3385" s="415">
        <v>11.2</v>
      </c>
      <c r="AD3385" s="1408">
        <v>380</v>
      </c>
      <c r="AE3385" s="1408">
        <v>320</v>
      </c>
      <c r="AF3385" s="1408">
        <v>300</v>
      </c>
      <c r="AG3385" s="66">
        <f t="shared" si="128"/>
        <v>185.1978947368421</v>
      </c>
      <c r="AH3385" s="143">
        <f t="shared" si="129"/>
        <v>1000</v>
      </c>
    </row>
    <row r="3386" spans="1:34" x14ac:dyDescent="0.3">
      <c r="A3386" s="415">
        <v>203329</v>
      </c>
      <c r="B3386" s="1228">
        <v>31.333333333333336</v>
      </c>
      <c r="C3386" s="1228">
        <v>11.4</v>
      </c>
      <c r="D3386" s="1405">
        <v>8.4</v>
      </c>
      <c r="E3386" s="1585">
        <v>0.17</v>
      </c>
      <c r="F3386" s="1406">
        <v>187.00000000000003</v>
      </c>
      <c r="G3386" s="415"/>
      <c r="H3386" s="1406">
        <v>49</v>
      </c>
      <c r="I3386" s="1406">
        <v>983</v>
      </c>
      <c r="J3386" s="1407">
        <v>0.03</v>
      </c>
      <c r="K3386" s="1228">
        <v>10.46</v>
      </c>
      <c r="L3386" s="415">
        <v>1125</v>
      </c>
      <c r="M3386" s="415">
        <v>0.97299999999999998</v>
      </c>
      <c r="N3386" s="415">
        <v>5.64</v>
      </c>
      <c r="O3386" s="415">
        <v>3.77</v>
      </c>
      <c r="P3386" s="415">
        <v>4.26</v>
      </c>
      <c r="Q3386" s="415"/>
      <c r="R3386" s="1405">
        <v>1.2014152124591411</v>
      </c>
      <c r="S3386" s="1228">
        <v>8.94</v>
      </c>
      <c r="T3386" s="415"/>
      <c r="U3386" s="415"/>
      <c r="V3386" s="415"/>
      <c r="W3386" s="415"/>
      <c r="X3386" s="415"/>
      <c r="Y3386" s="1228">
        <v>33.6</v>
      </c>
      <c r="Z3386" s="415"/>
      <c r="AA3386" s="1405">
        <v>4.46</v>
      </c>
      <c r="AB3386" s="1405">
        <v>0.8</v>
      </c>
      <c r="AC3386" s="415">
        <v>8</v>
      </c>
      <c r="AD3386" s="1408">
        <v>480</v>
      </c>
      <c r="AE3386" s="1408">
        <v>280</v>
      </c>
      <c r="AF3386" s="1408">
        <v>240</v>
      </c>
      <c r="AG3386" s="66">
        <f t="shared" si="128"/>
        <v>110.20357142857144</v>
      </c>
      <c r="AH3386" s="143">
        <f t="shared" si="129"/>
        <v>1000</v>
      </c>
    </row>
    <row r="3387" spans="1:34" x14ac:dyDescent="0.3">
      <c r="A3387" s="415">
        <v>203330</v>
      </c>
      <c r="B3387" s="1228">
        <v>1.1666666666666667</v>
      </c>
      <c r="C3387" s="1228"/>
      <c r="D3387" s="1405">
        <v>8.6</v>
      </c>
      <c r="E3387" s="1585">
        <v>0.157</v>
      </c>
      <c r="F3387" s="1406">
        <v>172.70000000000002</v>
      </c>
      <c r="G3387" s="415"/>
      <c r="H3387" s="1406">
        <v>40</v>
      </c>
      <c r="I3387" s="1406">
        <v>945</v>
      </c>
      <c r="J3387" s="1407">
        <v>3.1E-2</v>
      </c>
      <c r="K3387" s="1228">
        <v>8.4700000000000006</v>
      </c>
      <c r="L3387" s="415">
        <v>1348</v>
      </c>
      <c r="M3387" s="415">
        <v>1.244</v>
      </c>
      <c r="N3387" s="415">
        <v>3.38</v>
      </c>
      <c r="O3387" s="415">
        <v>5.23</v>
      </c>
      <c r="P3387" s="415">
        <v>4.74</v>
      </c>
      <c r="Q3387" s="415"/>
      <c r="R3387" s="1405">
        <v>0.61927981012066102</v>
      </c>
      <c r="S3387" s="1228">
        <v>4.1100000000000003</v>
      </c>
      <c r="T3387" s="415"/>
      <c r="U3387" s="415"/>
      <c r="V3387" s="415"/>
      <c r="W3387" s="415"/>
      <c r="X3387" s="415"/>
      <c r="Y3387" s="1228">
        <v>6</v>
      </c>
      <c r="Z3387" s="415"/>
      <c r="AA3387" s="1405">
        <v>4.84</v>
      </c>
      <c r="AB3387" s="1405">
        <v>0.54800000000000004</v>
      </c>
      <c r="AC3387" s="415">
        <v>10.4</v>
      </c>
      <c r="AD3387" s="1408">
        <v>120</v>
      </c>
      <c r="AE3387" s="1408">
        <v>80</v>
      </c>
      <c r="AF3387" s="1408">
        <v>800</v>
      </c>
      <c r="AG3387" s="66">
        <f t="shared" si="128"/>
        <v>499.73</v>
      </c>
      <c r="AH3387" s="143">
        <f t="shared" si="129"/>
        <v>1000</v>
      </c>
    </row>
    <row r="3388" spans="1:34" x14ac:dyDescent="0.3">
      <c r="A3388" s="415">
        <v>203331</v>
      </c>
      <c r="B3388" s="1228">
        <v>0.99999999999999989</v>
      </c>
      <c r="C3388" s="1228"/>
      <c r="D3388" s="1405">
        <v>8.4</v>
      </c>
      <c r="E3388" s="1585">
        <v>0.17399999999999999</v>
      </c>
      <c r="F3388" s="1406">
        <v>191.4</v>
      </c>
      <c r="G3388" s="415"/>
      <c r="H3388" s="1406">
        <v>42</v>
      </c>
      <c r="I3388" s="1406">
        <v>788</v>
      </c>
      <c r="J3388" s="1407">
        <v>2.9000000000000001E-2</v>
      </c>
      <c r="K3388" s="1228">
        <v>8.5</v>
      </c>
      <c r="L3388" s="415">
        <v>1045</v>
      </c>
      <c r="M3388" s="415">
        <v>0.89700000000000002</v>
      </c>
      <c r="N3388" s="415">
        <v>3.37</v>
      </c>
      <c r="O3388" s="415">
        <v>6.22</v>
      </c>
      <c r="P3388" s="415">
        <v>6.39</v>
      </c>
      <c r="Q3388" s="415"/>
      <c r="R3388" s="1405">
        <v>1.5909315428000002</v>
      </c>
      <c r="S3388" s="1228">
        <v>10.714</v>
      </c>
      <c r="T3388" s="415"/>
      <c r="U3388" s="415"/>
      <c r="V3388" s="415"/>
      <c r="W3388" s="415"/>
      <c r="X3388" s="415"/>
      <c r="Y3388" s="1228">
        <v>28</v>
      </c>
      <c r="Z3388" s="415"/>
      <c r="AA3388" s="1405">
        <v>3.72</v>
      </c>
      <c r="AB3388" s="1405">
        <v>0.32900000000000001</v>
      </c>
      <c r="AC3388" s="415">
        <v>7</v>
      </c>
      <c r="AD3388" s="1408">
        <v>560</v>
      </c>
      <c r="AE3388" s="1408">
        <v>280</v>
      </c>
      <c r="AF3388" s="1408">
        <v>160</v>
      </c>
      <c r="AG3388" s="66">
        <f t="shared" si="128"/>
        <v>107.46428571428571</v>
      </c>
      <c r="AH3388" s="143">
        <f t="shared" si="129"/>
        <v>1000</v>
      </c>
    </row>
    <row r="3389" spans="1:34" x14ac:dyDescent="0.3">
      <c r="A3389" s="415">
        <v>203332</v>
      </c>
      <c r="B3389" s="1228">
        <v>0.1</v>
      </c>
      <c r="C3389" s="1228"/>
      <c r="D3389" s="1405">
        <v>6.3</v>
      </c>
      <c r="E3389" s="1585">
        <v>0.20699999999999999</v>
      </c>
      <c r="F3389" s="1406">
        <v>227.70000000000002</v>
      </c>
      <c r="G3389" s="415"/>
      <c r="H3389" s="1406">
        <v>46</v>
      </c>
      <c r="I3389" s="1406">
        <v>705</v>
      </c>
      <c r="J3389" s="1407">
        <v>2.7E-2</v>
      </c>
      <c r="K3389" s="1228">
        <v>8.3699999999999992</v>
      </c>
      <c r="L3389" s="415">
        <v>1152</v>
      </c>
      <c r="M3389" s="415">
        <v>1.145</v>
      </c>
      <c r="N3389" s="415">
        <v>4.05</v>
      </c>
      <c r="O3389" s="415">
        <v>3.02</v>
      </c>
      <c r="P3389" s="415">
        <v>3.62</v>
      </c>
      <c r="Q3389" s="415"/>
      <c r="R3389" s="1405">
        <v>2.0305059200000004</v>
      </c>
      <c r="S3389" s="1228">
        <v>25.88</v>
      </c>
      <c r="T3389" s="415"/>
      <c r="U3389" s="415"/>
      <c r="V3389" s="415"/>
      <c r="W3389" s="415"/>
      <c r="X3389" s="415"/>
      <c r="Y3389" s="1228">
        <v>34.299999999999997</v>
      </c>
      <c r="Z3389" s="415"/>
      <c r="AA3389" s="1405">
        <v>3.97</v>
      </c>
      <c r="AB3389" s="1405">
        <v>0.45800000000000002</v>
      </c>
      <c r="AC3389" s="415">
        <v>9.6999999999999993</v>
      </c>
      <c r="AD3389" s="1408">
        <v>490</v>
      </c>
      <c r="AE3389" s="1408">
        <v>340</v>
      </c>
      <c r="AF3389" s="1408">
        <v>170</v>
      </c>
      <c r="AG3389" s="66">
        <f t="shared" si="128"/>
        <v>86.384256559766754</v>
      </c>
      <c r="AH3389" s="143">
        <f t="shared" si="129"/>
        <v>1000</v>
      </c>
    </row>
    <row r="3390" spans="1:34" s="1176" customFormat="1" x14ac:dyDescent="0.3">
      <c r="A3390" s="415">
        <v>203333</v>
      </c>
      <c r="B3390" s="1228">
        <v>13.749999999999998</v>
      </c>
      <c r="C3390" s="1228">
        <v>4.0999999999999996</v>
      </c>
      <c r="D3390" s="1405">
        <v>8.5</v>
      </c>
      <c r="E3390" s="1585">
        <v>0.16</v>
      </c>
      <c r="F3390" s="1406">
        <v>176.00000000000003</v>
      </c>
      <c r="G3390" s="415"/>
      <c r="H3390" s="1406">
        <v>30</v>
      </c>
      <c r="I3390" s="1406">
        <v>57</v>
      </c>
      <c r="J3390" s="1407">
        <v>0.02</v>
      </c>
      <c r="K3390" s="1228">
        <v>4.63</v>
      </c>
      <c r="L3390" s="415">
        <v>76</v>
      </c>
      <c r="M3390" s="415">
        <v>0.14000000000000001</v>
      </c>
      <c r="N3390" s="415">
        <v>0.1</v>
      </c>
      <c r="O3390" s="415">
        <v>1.01</v>
      </c>
      <c r="P3390" s="415">
        <v>3.06</v>
      </c>
      <c r="Q3390" s="415"/>
      <c r="R3390" s="1405">
        <v>1.1410995938561235</v>
      </c>
      <c r="S3390" s="1228">
        <v>7.74</v>
      </c>
      <c r="T3390" s="415"/>
      <c r="U3390" s="415"/>
      <c r="V3390" s="415"/>
      <c r="W3390" s="415"/>
      <c r="X3390" s="415"/>
      <c r="Y3390" s="1228">
        <v>3.6</v>
      </c>
      <c r="Z3390" s="415"/>
      <c r="AA3390" s="1405">
        <v>4.04</v>
      </c>
      <c r="AB3390" s="1405">
        <v>0.69799999999999995</v>
      </c>
      <c r="AC3390" s="415">
        <v>9.1</v>
      </c>
      <c r="AD3390" s="1408">
        <v>60</v>
      </c>
      <c r="AE3390" s="1408">
        <v>80</v>
      </c>
      <c r="AF3390" s="1408">
        <v>860</v>
      </c>
      <c r="AG3390" s="66">
        <f t="shared" si="128"/>
        <v>455.2833333333333</v>
      </c>
      <c r="AH3390" s="143">
        <f t="shared" si="129"/>
        <v>1000</v>
      </c>
    </row>
    <row r="3391" spans="1:34" s="1176" customFormat="1" x14ac:dyDescent="0.3">
      <c r="A3391" s="415">
        <v>203334</v>
      </c>
      <c r="B3391" s="1228">
        <v>14.166666666666666</v>
      </c>
      <c r="C3391" s="1228">
        <v>4.5999999999999996</v>
      </c>
      <c r="D3391" s="1405">
        <v>8.6999999999999993</v>
      </c>
      <c r="E3391" s="1585">
        <v>0.17</v>
      </c>
      <c r="F3391" s="1406">
        <v>187.00000000000003</v>
      </c>
      <c r="G3391" s="415"/>
      <c r="H3391" s="1406">
        <v>27</v>
      </c>
      <c r="I3391" s="1406">
        <v>33</v>
      </c>
      <c r="J3391" s="1407">
        <v>3.2000000000000001E-2</v>
      </c>
      <c r="K3391" s="1228">
        <v>5.28</v>
      </c>
      <c r="L3391" s="415">
        <v>131</v>
      </c>
      <c r="M3391" s="415">
        <v>0.22</v>
      </c>
      <c r="N3391" s="415">
        <v>0.18</v>
      </c>
      <c r="O3391" s="415">
        <v>1.82</v>
      </c>
      <c r="P3391" s="415">
        <v>3.46</v>
      </c>
      <c r="Q3391" s="415"/>
      <c r="R3391" s="1405">
        <v>1.295797997370304</v>
      </c>
      <c r="S3391" s="1228">
        <v>9.1199999999999992</v>
      </c>
      <c r="T3391" s="415"/>
      <c r="U3391" s="415"/>
      <c r="V3391" s="415"/>
      <c r="W3391" s="415"/>
      <c r="X3391" s="415"/>
      <c r="Y3391" s="1228">
        <v>4</v>
      </c>
      <c r="Z3391" s="415"/>
      <c r="AA3391" s="1405">
        <v>4.43</v>
      </c>
      <c r="AB3391" s="1405">
        <v>0.378</v>
      </c>
      <c r="AC3391" s="415">
        <v>9.5</v>
      </c>
      <c r="AD3391" s="1408">
        <v>80</v>
      </c>
      <c r="AE3391" s="1408">
        <v>60</v>
      </c>
      <c r="AF3391" s="1408">
        <v>860</v>
      </c>
      <c r="AG3391" s="66">
        <f t="shared" si="128"/>
        <v>467.28000000000003</v>
      </c>
      <c r="AH3391" s="143">
        <f t="shared" si="129"/>
        <v>1000</v>
      </c>
    </row>
    <row r="3392" spans="1:34" s="1176" customFormat="1" x14ac:dyDescent="0.3">
      <c r="A3392" s="415">
        <v>203335</v>
      </c>
      <c r="B3392" s="1228">
        <v>0.6</v>
      </c>
      <c r="C3392" s="1228"/>
      <c r="D3392" s="1405">
        <v>8.3000000000000007</v>
      </c>
      <c r="E3392" s="1585">
        <v>0.32600000000000001</v>
      </c>
      <c r="F3392" s="1406">
        <v>358.6</v>
      </c>
      <c r="G3392" s="415"/>
      <c r="H3392" s="1406">
        <v>77</v>
      </c>
      <c r="I3392" s="1406">
        <v>350</v>
      </c>
      <c r="J3392" s="1407">
        <v>0.108</v>
      </c>
      <c r="K3392" s="1228">
        <v>10.65</v>
      </c>
      <c r="L3392" s="415">
        <v>540</v>
      </c>
      <c r="M3392" s="415">
        <v>1.21</v>
      </c>
      <c r="N3392" s="415">
        <v>0.28999999999999998</v>
      </c>
      <c r="O3392" s="415">
        <v>1.22</v>
      </c>
      <c r="P3392" s="415">
        <v>4</v>
      </c>
      <c r="Q3392" s="415"/>
      <c r="R3392" s="1405">
        <v>0.98067018884851276</v>
      </c>
      <c r="S3392" s="1228">
        <v>6.77</v>
      </c>
      <c r="T3392" s="415"/>
      <c r="U3392" s="415"/>
      <c r="V3392" s="415"/>
      <c r="W3392" s="415"/>
      <c r="X3392" s="415"/>
      <c r="Y3392" s="1228">
        <v>25.2</v>
      </c>
      <c r="Z3392" s="415"/>
      <c r="AA3392" s="1405">
        <v>3.98</v>
      </c>
      <c r="AB3392" s="1405">
        <v>0.88200000000000001</v>
      </c>
      <c r="AC3392" s="415">
        <v>6.7</v>
      </c>
      <c r="AD3392" s="1408">
        <v>420</v>
      </c>
      <c r="AE3392" s="1408">
        <v>280</v>
      </c>
      <c r="AF3392" s="1408">
        <v>300</v>
      </c>
      <c r="AG3392" s="66">
        <f t="shared" si="128"/>
        <v>149.60714285714286</v>
      </c>
      <c r="AH3392" s="143">
        <f t="shared" si="129"/>
        <v>1000</v>
      </c>
    </row>
    <row r="3393" spans="1:34" s="1176" customFormat="1" x14ac:dyDescent="0.3">
      <c r="A3393" s="415">
        <v>203336</v>
      </c>
      <c r="B3393" s="1228">
        <v>0.33333333333333331</v>
      </c>
      <c r="C3393" s="1228"/>
      <c r="D3393" s="1405">
        <v>8</v>
      </c>
      <c r="E3393" s="1585">
        <v>0.39600000000000002</v>
      </c>
      <c r="F3393" s="1406">
        <v>435.6</v>
      </c>
      <c r="G3393" s="415"/>
      <c r="H3393" s="1406">
        <v>43</v>
      </c>
      <c r="I3393" s="1406">
        <v>370</v>
      </c>
      <c r="J3393" s="1407">
        <v>0.26900000000000002</v>
      </c>
      <c r="K3393" s="1228">
        <v>10.62</v>
      </c>
      <c r="L3393" s="415">
        <v>660</v>
      </c>
      <c r="M3393" s="415">
        <v>1.85</v>
      </c>
      <c r="N3393" s="415">
        <v>0.34</v>
      </c>
      <c r="O3393" s="415">
        <v>1.1299999999999999</v>
      </c>
      <c r="P3393" s="415">
        <v>5.0999999999999996</v>
      </c>
      <c r="Q3393" s="415"/>
      <c r="R3393" s="1405">
        <v>1.1666426330969073</v>
      </c>
      <c r="S3393" s="1228">
        <v>8.0399999999999991</v>
      </c>
      <c r="T3393" s="415"/>
      <c r="U3393" s="415"/>
      <c r="V3393" s="415"/>
      <c r="W3393" s="415"/>
      <c r="X3393" s="415"/>
      <c r="Y3393" s="1228">
        <v>35</v>
      </c>
      <c r="Z3393" s="415"/>
      <c r="AA3393" s="1405">
        <v>3.73</v>
      </c>
      <c r="AB3393" s="1405">
        <v>0.67600000000000005</v>
      </c>
      <c r="AC3393" s="415">
        <v>8.5</v>
      </c>
      <c r="AD3393" s="1408">
        <v>500</v>
      </c>
      <c r="AE3393" s="1408">
        <v>340</v>
      </c>
      <c r="AF3393" s="1408">
        <v>160</v>
      </c>
      <c r="AG3393" s="66">
        <f t="shared" si="128"/>
        <v>107.41371428571429</v>
      </c>
      <c r="AH3393" s="143">
        <f t="shared" si="129"/>
        <v>1000</v>
      </c>
    </row>
    <row r="3394" spans="1:34" x14ac:dyDescent="0.3">
      <c r="A3394" s="415">
        <v>203337</v>
      </c>
      <c r="B3394" s="1228">
        <v>4.708333333333333</v>
      </c>
      <c r="C3394" s="1228"/>
      <c r="D3394" s="1405">
        <v>8.1</v>
      </c>
      <c r="E3394" s="1585">
        <v>0.22500000000000001</v>
      </c>
      <c r="F3394" s="1406">
        <v>247.50000000000003</v>
      </c>
      <c r="G3394" s="415"/>
      <c r="H3394" s="1406">
        <v>74</v>
      </c>
      <c r="I3394" s="1406">
        <v>781</v>
      </c>
      <c r="J3394" s="1407">
        <v>2.9000000000000001E-2</v>
      </c>
      <c r="K3394" s="1228">
        <v>6.02</v>
      </c>
      <c r="L3394" s="415">
        <v>1293</v>
      </c>
      <c r="M3394" s="415">
        <v>0.35399999999999998</v>
      </c>
      <c r="N3394" s="415">
        <v>5.34</v>
      </c>
      <c r="O3394" s="415">
        <v>6.09</v>
      </c>
      <c r="P3394" s="415">
        <v>4.0599999999999996</v>
      </c>
      <c r="Q3394" s="415"/>
      <c r="R3394" s="1405">
        <v>1.7437579200000002</v>
      </c>
      <c r="S3394" s="1228">
        <v>14.88</v>
      </c>
      <c r="T3394" s="415"/>
      <c r="U3394" s="415"/>
      <c r="V3394" s="415"/>
      <c r="W3394" s="415"/>
      <c r="X3394" s="415"/>
      <c r="Y3394" s="1228">
        <v>29</v>
      </c>
      <c r="Z3394" s="415"/>
      <c r="AA3394" s="1405">
        <v>4.4800000000000004</v>
      </c>
      <c r="AB3394" s="1405">
        <v>0.53600000000000003</v>
      </c>
      <c r="AC3394" s="415">
        <v>7.5</v>
      </c>
      <c r="AD3394" s="1408">
        <v>510</v>
      </c>
      <c r="AE3394" s="1408">
        <v>360</v>
      </c>
      <c r="AF3394" s="1408">
        <v>130</v>
      </c>
      <c r="AG3394" s="66">
        <f t="shared" ref="AG3394:AG3457" si="130">+K3394*3.54*100/Y3394</f>
        <v>73.485517241379313</v>
      </c>
      <c r="AH3394" s="143">
        <f t="shared" ref="AH3394:AH3457" si="131">+SUM(AD3394:AF3394)</f>
        <v>1000</v>
      </c>
    </row>
    <row r="3395" spans="1:34" x14ac:dyDescent="0.3">
      <c r="A3395" s="415">
        <v>203338</v>
      </c>
      <c r="B3395" s="1228">
        <v>55.833333333333336</v>
      </c>
      <c r="C3395" s="1228">
        <v>15.5</v>
      </c>
      <c r="D3395" s="1405">
        <v>8.1</v>
      </c>
      <c r="E3395" s="1585">
        <v>0.27700000000000002</v>
      </c>
      <c r="F3395" s="1406">
        <v>304.70000000000005</v>
      </c>
      <c r="G3395" s="415"/>
      <c r="H3395" s="1406">
        <v>75</v>
      </c>
      <c r="I3395" s="1406">
        <v>869</v>
      </c>
      <c r="J3395" s="1407">
        <v>3.2000000000000001E-2</v>
      </c>
      <c r="K3395" s="1228">
        <v>10.48</v>
      </c>
      <c r="L3395" s="415">
        <v>1012</v>
      </c>
      <c r="M3395" s="415">
        <v>1.234</v>
      </c>
      <c r="N3395" s="415">
        <v>6.79</v>
      </c>
      <c r="O3395" s="415">
        <v>5.39</v>
      </c>
      <c r="P3395" s="415">
        <v>6.06</v>
      </c>
      <c r="Q3395" s="415"/>
      <c r="R3395" s="1405">
        <v>1.6204693700000001</v>
      </c>
      <c r="S3395" s="1228">
        <v>11.47</v>
      </c>
      <c r="T3395" s="415"/>
      <c r="U3395" s="415"/>
      <c r="V3395" s="415"/>
      <c r="W3395" s="415"/>
      <c r="X3395" s="415"/>
      <c r="Y3395" s="1228">
        <v>33</v>
      </c>
      <c r="Z3395" s="415"/>
      <c r="AA3395" s="1405">
        <v>4.17</v>
      </c>
      <c r="AB3395" s="1405">
        <v>0.52500000000000002</v>
      </c>
      <c r="AC3395" s="415">
        <v>11.8</v>
      </c>
      <c r="AD3395" s="1408">
        <v>500</v>
      </c>
      <c r="AE3395" s="1408">
        <v>260</v>
      </c>
      <c r="AF3395" s="1408">
        <v>240</v>
      </c>
      <c r="AG3395" s="66">
        <f t="shared" si="130"/>
        <v>112.4218181818182</v>
      </c>
      <c r="AH3395" s="143">
        <f t="shared" si="131"/>
        <v>1000</v>
      </c>
    </row>
    <row r="3396" spans="1:34" x14ac:dyDescent="0.3">
      <c r="A3396" s="415">
        <v>203339</v>
      </c>
      <c r="B3396" s="1228">
        <v>40.833333333333336</v>
      </c>
      <c r="C3396" s="1228">
        <v>13.6</v>
      </c>
      <c r="D3396" s="1405">
        <v>8</v>
      </c>
      <c r="E3396" s="1585">
        <v>0.155</v>
      </c>
      <c r="F3396" s="1406">
        <v>170.5</v>
      </c>
      <c r="G3396" s="415"/>
      <c r="H3396" s="1406">
        <v>60</v>
      </c>
      <c r="I3396" s="1406">
        <v>865</v>
      </c>
      <c r="J3396" s="1409">
        <v>2.4E-2</v>
      </c>
      <c r="K3396" s="1228">
        <v>10.07</v>
      </c>
      <c r="L3396" s="415">
        <v>1092</v>
      </c>
      <c r="M3396" s="415">
        <v>0.77100000000000002</v>
      </c>
      <c r="N3396" s="415">
        <v>4.91</v>
      </c>
      <c r="O3396" s="415">
        <v>5.0199999999999996</v>
      </c>
      <c r="P3396" s="415">
        <v>5.53</v>
      </c>
      <c r="Q3396" s="415"/>
      <c r="R3396" s="1405">
        <v>1.8787851200000001</v>
      </c>
      <c r="S3396" s="1228">
        <v>19.28</v>
      </c>
      <c r="T3396" s="415"/>
      <c r="U3396" s="415"/>
      <c r="V3396" s="415"/>
      <c r="W3396" s="415"/>
      <c r="X3396" s="415"/>
      <c r="Y3396" s="1228">
        <v>26.5</v>
      </c>
      <c r="Z3396" s="415"/>
      <c r="AA3396" s="1405">
        <v>3.67</v>
      </c>
      <c r="AB3396" s="1405">
        <v>0.374</v>
      </c>
      <c r="AC3396" s="415">
        <v>9.1999999999999993</v>
      </c>
      <c r="AD3396" s="1408">
        <v>530</v>
      </c>
      <c r="AE3396" s="1408">
        <v>330</v>
      </c>
      <c r="AF3396" s="1408">
        <v>140</v>
      </c>
      <c r="AG3396" s="66">
        <f t="shared" si="130"/>
        <v>134.52000000000001</v>
      </c>
      <c r="AH3396" s="143">
        <f t="shared" si="131"/>
        <v>1000</v>
      </c>
    </row>
    <row r="3397" spans="1:34" x14ac:dyDescent="0.3">
      <c r="A3397" s="415">
        <v>203340</v>
      </c>
      <c r="B3397" s="1228">
        <v>1.2166666666666666</v>
      </c>
      <c r="C3397" s="1228"/>
      <c r="D3397" s="1405">
        <v>8.1999999999999993</v>
      </c>
      <c r="E3397" s="1585">
        <v>0.29499999999999998</v>
      </c>
      <c r="F3397" s="1406">
        <v>324.5</v>
      </c>
      <c r="G3397" s="415"/>
      <c r="H3397" s="1406">
        <v>75</v>
      </c>
      <c r="I3397" s="1406">
        <v>745</v>
      </c>
      <c r="J3397" s="1407">
        <v>2.8000000000000001E-2</v>
      </c>
      <c r="K3397" s="1228">
        <v>6.54</v>
      </c>
      <c r="L3397" s="415">
        <v>1229</v>
      </c>
      <c r="M3397" s="415">
        <v>0.59799999999999998</v>
      </c>
      <c r="N3397" s="415">
        <v>4.18</v>
      </c>
      <c r="O3397" s="415">
        <v>6.48</v>
      </c>
      <c r="P3397" s="415">
        <v>4.18</v>
      </c>
      <c r="Q3397" s="415"/>
      <c r="R3397" s="1405">
        <v>1.7173415300000001</v>
      </c>
      <c r="S3397" s="1228">
        <v>14.11</v>
      </c>
      <c r="T3397" s="415"/>
      <c r="U3397" s="415"/>
      <c r="V3397" s="415"/>
      <c r="W3397" s="415"/>
      <c r="X3397" s="415"/>
      <c r="Y3397" s="1228">
        <v>24</v>
      </c>
      <c r="Z3397" s="415"/>
      <c r="AA3397" s="1405">
        <v>4.51</v>
      </c>
      <c r="AB3397" s="1405">
        <v>0.51500000000000001</v>
      </c>
      <c r="AC3397" s="415">
        <v>8.3000000000000007</v>
      </c>
      <c r="AD3397" s="1408">
        <v>480</v>
      </c>
      <c r="AE3397" s="1408">
        <v>260</v>
      </c>
      <c r="AF3397" s="1408">
        <v>260</v>
      </c>
      <c r="AG3397" s="66">
        <f t="shared" si="130"/>
        <v>96.465000000000018</v>
      </c>
      <c r="AH3397" s="143">
        <f t="shared" si="131"/>
        <v>1000</v>
      </c>
    </row>
    <row r="3398" spans="1:34" x14ac:dyDescent="0.3">
      <c r="A3398" s="415">
        <v>203341</v>
      </c>
      <c r="B3398" s="1228">
        <v>14.666666666666666</v>
      </c>
      <c r="C3398" s="1228">
        <v>8.6</v>
      </c>
      <c r="D3398" s="1405">
        <v>7.9</v>
      </c>
      <c r="E3398" s="1585">
        <v>0.17899999999999999</v>
      </c>
      <c r="F3398" s="1406">
        <v>196.9</v>
      </c>
      <c r="G3398" s="415"/>
      <c r="H3398" s="1406">
        <v>67</v>
      </c>
      <c r="I3398" s="1406">
        <v>787</v>
      </c>
      <c r="J3398" s="1407">
        <v>2.5000000000000001E-2</v>
      </c>
      <c r="K3398" s="1228">
        <v>9.89</v>
      </c>
      <c r="L3398" s="415">
        <v>1298</v>
      </c>
      <c r="M3398" s="415">
        <v>1.2390000000000001</v>
      </c>
      <c r="N3398" s="415">
        <v>4.8899999999999997</v>
      </c>
      <c r="O3398" s="415">
        <v>6.1</v>
      </c>
      <c r="P3398" s="415">
        <v>5.92</v>
      </c>
      <c r="Q3398" s="415"/>
      <c r="R3398" s="1405">
        <v>1.89509792</v>
      </c>
      <c r="S3398" s="1228">
        <v>19.88</v>
      </c>
      <c r="T3398" s="415"/>
      <c r="U3398" s="415"/>
      <c r="V3398" s="415"/>
      <c r="W3398" s="415"/>
      <c r="X3398" s="415"/>
      <c r="Y3398" s="1228">
        <v>32.4</v>
      </c>
      <c r="Z3398" s="415"/>
      <c r="AA3398" s="1405">
        <v>4.79</v>
      </c>
      <c r="AB3398" s="1405">
        <v>0.89200000000000002</v>
      </c>
      <c r="AC3398" s="415">
        <v>9</v>
      </c>
      <c r="AD3398" s="1408">
        <v>540</v>
      </c>
      <c r="AE3398" s="1408">
        <v>300</v>
      </c>
      <c r="AF3398" s="1408">
        <v>160</v>
      </c>
      <c r="AG3398" s="66">
        <f t="shared" si="130"/>
        <v>108.05740740740742</v>
      </c>
      <c r="AH3398" s="143">
        <f t="shared" si="131"/>
        <v>1000</v>
      </c>
    </row>
    <row r="3399" spans="1:34" x14ac:dyDescent="0.3">
      <c r="A3399" s="415">
        <v>203342</v>
      </c>
      <c r="B3399" s="1228">
        <v>19.416666666666668</v>
      </c>
      <c r="C3399" s="1228">
        <v>9.4</v>
      </c>
      <c r="D3399" s="1405">
        <v>8.1999999999999993</v>
      </c>
      <c r="E3399" s="1585">
        <v>0.14299999999999999</v>
      </c>
      <c r="F3399" s="1406">
        <v>157.29999999999998</v>
      </c>
      <c r="G3399" s="415"/>
      <c r="H3399" s="1406">
        <v>64</v>
      </c>
      <c r="I3399" s="1406">
        <v>723</v>
      </c>
      <c r="J3399" s="1407">
        <v>2.9000000000000001E-2</v>
      </c>
      <c r="K3399" s="1228">
        <v>10.23</v>
      </c>
      <c r="L3399" s="415">
        <v>1221</v>
      </c>
      <c r="M3399" s="415">
        <v>1.0069999999999999</v>
      </c>
      <c r="N3399" s="415">
        <v>5.96</v>
      </c>
      <c r="O3399" s="415">
        <v>5.24</v>
      </c>
      <c r="P3399" s="415">
        <v>6.5</v>
      </c>
      <c r="Q3399" s="415"/>
      <c r="R3399" s="1405">
        <v>1.8493156800000001</v>
      </c>
      <c r="S3399" s="1228">
        <v>18.239999999999998</v>
      </c>
      <c r="T3399" s="415"/>
      <c r="U3399" s="415"/>
      <c r="V3399" s="415"/>
      <c r="W3399" s="415"/>
      <c r="X3399" s="415"/>
      <c r="Y3399" s="1228">
        <v>39.200000000000003</v>
      </c>
      <c r="Z3399" s="415"/>
      <c r="AA3399" s="1405">
        <v>4.7699999999999996</v>
      </c>
      <c r="AB3399" s="1405">
        <v>0.68200000000000005</v>
      </c>
      <c r="AC3399" s="415">
        <v>9.8000000000000007</v>
      </c>
      <c r="AD3399" s="1408">
        <v>560</v>
      </c>
      <c r="AE3399" s="1408">
        <v>270</v>
      </c>
      <c r="AF3399" s="1408">
        <v>170</v>
      </c>
      <c r="AG3399" s="66">
        <f t="shared" si="130"/>
        <v>92.383163265306123</v>
      </c>
      <c r="AH3399" s="143">
        <f t="shared" si="131"/>
        <v>1000</v>
      </c>
    </row>
    <row r="3400" spans="1:34" x14ac:dyDescent="0.3">
      <c r="A3400" s="415">
        <v>203343</v>
      </c>
      <c r="B3400" s="1228">
        <v>40</v>
      </c>
      <c r="C3400" s="1228">
        <v>13.8</v>
      </c>
      <c r="D3400" s="1405">
        <v>8.1</v>
      </c>
      <c r="E3400" s="1585">
        <v>0.3</v>
      </c>
      <c r="F3400" s="1406">
        <v>330</v>
      </c>
      <c r="G3400" s="415"/>
      <c r="H3400" s="1406">
        <v>79</v>
      </c>
      <c r="I3400" s="1406">
        <v>788</v>
      </c>
      <c r="J3400" s="1407">
        <v>2.7E-2</v>
      </c>
      <c r="K3400" s="1228">
        <v>9.84</v>
      </c>
      <c r="L3400" s="415">
        <v>1231</v>
      </c>
      <c r="M3400" s="415">
        <v>0.40400000000000003</v>
      </c>
      <c r="N3400" s="415">
        <v>4.9400000000000004</v>
      </c>
      <c r="O3400" s="415">
        <v>5.45</v>
      </c>
      <c r="P3400" s="415">
        <v>6.44</v>
      </c>
      <c r="Q3400" s="415"/>
      <c r="R3400" s="1405">
        <v>1.7447703300000001</v>
      </c>
      <c r="S3400" s="1228">
        <v>14.91</v>
      </c>
      <c r="T3400" s="415"/>
      <c r="U3400" s="415"/>
      <c r="V3400" s="415"/>
      <c r="W3400" s="415"/>
      <c r="X3400" s="415"/>
      <c r="Y3400" s="1228">
        <v>36.4</v>
      </c>
      <c r="Z3400" s="415"/>
      <c r="AA3400" s="1405">
        <v>3.69</v>
      </c>
      <c r="AB3400" s="1405">
        <v>0.66600000000000004</v>
      </c>
      <c r="AC3400" s="415">
        <v>6.2</v>
      </c>
      <c r="AD3400" s="1408">
        <v>520</v>
      </c>
      <c r="AE3400" s="1408">
        <v>280</v>
      </c>
      <c r="AF3400" s="1408">
        <v>200</v>
      </c>
      <c r="AG3400" s="66">
        <f t="shared" si="130"/>
        <v>95.696703296703291</v>
      </c>
      <c r="AH3400" s="143">
        <f t="shared" si="131"/>
        <v>1000</v>
      </c>
    </row>
    <row r="3401" spans="1:34" x14ac:dyDescent="0.3">
      <c r="A3401" s="415">
        <v>203344</v>
      </c>
      <c r="B3401" s="1228">
        <v>41.833333333333336</v>
      </c>
      <c r="C3401" s="1228">
        <v>13.4</v>
      </c>
      <c r="D3401" s="1405">
        <v>8.3000000000000007</v>
      </c>
      <c r="E3401" s="1585">
        <v>0.123</v>
      </c>
      <c r="F3401" s="1406">
        <v>135.30000000000001</v>
      </c>
      <c r="G3401" s="415"/>
      <c r="H3401" s="1406">
        <v>44</v>
      </c>
      <c r="I3401" s="1406">
        <v>907</v>
      </c>
      <c r="J3401" s="1407">
        <v>0.03</v>
      </c>
      <c r="K3401" s="1228">
        <v>9.9</v>
      </c>
      <c r="L3401" s="415">
        <v>1127</v>
      </c>
      <c r="M3401" s="415">
        <v>0.34</v>
      </c>
      <c r="N3401" s="415">
        <v>4.34</v>
      </c>
      <c r="O3401" s="415">
        <v>5.78</v>
      </c>
      <c r="P3401" s="415">
        <v>6.76</v>
      </c>
      <c r="Q3401" s="415"/>
      <c r="R3401" s="1405">
        <v>1.6627583300000002</v>
      </c>
      <c r="S3401" s="1228">
        <v>12.59</v>
      </c>
      <c r="T3401" s="415"/>
      <c r="U3401" s="415"/>
      <c r="V3401" s="415"/>
      <c r="W3401" s="415"/>
      <c r="X3401" s="415"/>
      <c r="Y3401" s="1228">
        <v>22.8</v>
      </c>
      <c r="Z3401" s="415"/>
      <c r="AA3401" s="1405">
        <v>4.32</v>
      </c>
      <c r="AB3401" s="1405">
        <v>0.628</v>
      </c>
      <c r="AC3401" s="415">
        <v>8</v>
      </c>
      <c r="AD3401" s="1408">
        <v>380</v>
      </c>
      <c r="AE3401" s="1408">
        <v>320</v>
      </c>
      <c r="AF3401" s="1408">
        <v>300</v>
      </c>
      <c r="AG3401" s="66">
        <f t="shared" si="130"/>
        <v>153.71052631578945</v>
      </c>
      <c r="AH3401" s="143">
        <f t="shared" si="131"/>
        <v>1000</v>
      </c>
    </row>
    <row r="3402" spans="1:34" x14ac:dyDescent="0.3">
      <c r="A3402" s="415">
        <v>203345</v>
      </c>
      <c r="B3402" s="1228">
        <v>5.2833333333333332</v>
      </c>
      <c r="C3402" s="1228"/>
      <c r="D3402" s="1405">
        <v>8</v>
      </c>
      <c r="E3402" s="1585">
        <v>0.19700000000000001</v>
      </c>
      <c r="F3402" s="1406">
        <v>216.70000000000005</v>
      </c>
      <c r="G3402" s="415"/>
      <c r="H3402" s="1406">
        <v>79</v>
      </c>
      <c r="I3402" s="1406">
        <v>965</v>
      </c>
      <c r="J3402" s="1407">
        <v>3.1E-2</v>
      </c>
      <c r="K3402" s="1228">
        <v>6.45</v>
      </c>
      <c r="L3402" s="415">
        <v>931</v>
      </c>
      <c r="M3402" s="415">
        <v>1.3440000000000001</v>
      </c>
      <c r="N3402" s="415">
        <v>4.82</v>
      </c>
      <c r="O3402" s="415">
        <v>3.68</v>
      </c>
      <c r="P3402" s="415">
        <v>3.72</v>
      </c>
      <c r="Q3402" s="415"/>
      <c r="R3402" s="1405">
        <v>1.6497316799999999</v>
      </c>
      <c r="S3402" s="1228">
        <v>12.24</v>
      </c>
      <c r="T3402" s="415"/>
      <c r="U3402" s="415"/>
      <c r="V3402" s="415"/>
      <c r="W3402" s="415"/>
      <c r="X3402" s="415"/>
      <c r="Y3402" s="1228">
        <v>39.200000000000003</v>
      </c>
      <c r="Z3402" s="415"/>
      <c r="AA3402" s="1405">
        <v>3.51</v>
      </c>
      <c r="AB3402" s="1405">
        <v>0.30499999999999999</v>
      </c>
      <c r="AC3402" s="415">
        <v>8.5</v>
      </c>
      <c r="AD3402" s="1408">
        <v>560</v>
      </c>
      <c r="AE3402" s="1408">
        <v>310</v>
      </c>
      <c r="AF3402" s="1408">
        <v>130</v>
      </c>
      <c r="AG3402" s="66">
        <f t="shared" si="130"/>
        <v>58.247448979591837</v>
      </c>
      <c r="AH3402" s="143">
        <f t="shared" si="131"/>
        <v>1000</v>
      </c>
    </row>
    <row r="3403" spans="1:34" x14ac:dyDescent="0.3">
      <c r="A3403" s="415">
        <v>203346</v>
      </c>
      <c r="B3403" s="1228">
        <v>5.6166666666666671</v>
      </c>
      <c r="C3403" s="1228"/>
      <c r="D3403" s="1405">
        <v>8.1</v>
      </c>
      <c r="E3403" s="1585">
        <v>0.111</v>
      </c>
      <c r="F3403" s="1406">
        <v>122.10000000000001</v>
      </c>
      <c r="G3403" s="415"/>
      <c r="H3403" s="1406">
        <v>70</v>
      </c>
      <c r="I3403" s="1406">
        <v>891</v>
      </c>
      <c r="J3403" s="1407">
        <v>3.1E-2</v>
      </c>
      <c r="K3403" s="1228">
        <v>8.69</v>
      </c>
      <c r="L3403" s="415">
        <v>1361</v>
      </c>
      <c r="M3403" s="415">
        <v>0.80300000000000005</v>
      </c>
      <c r="N3403" s="415">
        <v>3.77</v>
      </c>
      <c r="O3403" s="415">
        <v>6.12</v>
      </c>
      <c r="P3403" s="415">
        <v>3.69</v>
      </c>
      <c r="Q3403" s="415"/>
      <c r="R3403" s="1405">
        <v>1.6872166800000001</v>
      </c>
      <c r="S3403" s="1228">
        <v>13.26</v>
      </c>
      <c r="T3403" s="415"/>
      <c r="U3403" s="415"/>
      <c r="V3403" s="415"/>
      <c r="W3403" s="415"/>
      <c r="X3403" s="415"/>
      <c r="Y3403" s="1228">
        <v>33</v>
      </c>
      <c r="Z3403" s="415"/>
      <c r="AA3403" s="1405">
        <v>4.22</v>
      </c>
      <c r="AB3403" s="1405">
        <v>0.42199999999999999</v>
      </c>
      <c r="AC3403" s="415">
        <v>9.8000000000000007</v>
      </c>
      <c r="AD3403" s="1408">
        <v>550</v>
      </c>
      <c r="AE3403" s="1408">
        <v>320</v>
      </c>
      <c r="AF3403" s="1408">
        <v>130</v>
      </c>
      <c r="AG3403" s="66">
        <f t="shared" si="130"/>
        <v>93.22</v>
      </c>
      <c r="AH3403" s="143">
        <f t="shared" si="131"/>
        <v>1000</v>
      </c>
    </row>
    <row r="3404" spans="1:34" x14ac:dyDescent="0.3">
      <c r="A3404" s="415">
        <v>203347</v>
      </c>
      <c r="B3404" s="1228">
        <v>1.2166666666666666</v>
      </c>
      <c r="C3404" s="1228"/>
      <c r="D3404" s="1405">
        <v>8.09</v>
      </c>
      <c r="E3404" s="1585">
        <v>0.184</v>
      </c>
      <c r="F3404" s="1406">
        <v>202.40000000000003</v>
      </c>
      <c r="G3404" s="415"/>
      <c r="H3404" s="1406">
        <v>66</v>
      </c>
      <c r="I3404" s="1406">
        <v>724</v>
      </c>
      <c r="J3404" s="1407">
        <v>2.5999999999999999E-2</v>
      </c>
      <c r="K3404" s="1228">
        <v>7.31</v>
      </c>
      <c r="L3404" s="415">
        <v>1313</v>
      </c>
      <c r="M3404" s="415">
        <v>0.36099999999999999</v>
      </c>
      <c r="N3404" s="415">
        <v>6.56</v>
      </c>
      <c r="O3404" s="415">
        <v>4.47</v>
      </c>
      <c r="P3404" s="415">
        <v>4.4800000000000004</v>
      </c>
      <c r="Q3404" s="415"/>
      <c r="R3404" s="1405">
        <v>1.9196413200000002</v>
      </c>
      <c r="S3404" s="1228">
        <v>20.82</v>
      </c>
      <c r="T3404" s="415"/>
      <c r="U3404" s="415"/>
      <c r="V3404" s="415"/>
      <c r="W3404" s="415"/>
      <c r="X3404" s="415"/>
      <c r="Y3404" s="1228">
        <v>27</v>
      </c>
      <c r="Z3404" s="415"/>
      <c r="AA3404" s="1405">
        <v>4.83</v>
      </c>
      <c r="AB3404" s="1405">
        <v>0.41599999999999998</v>
      </c>
      <c r="AC3404" s="415">
        <v>6.8</v>
      </c>
      <c r="AD3404" s="1408">
        <v>540</v>
      </c>
      <c r="AE3404" s="1408">
        <v>320</v>
      </c>
      <c r="AF3404" s="1408">
        <v>140</v>
      </c>
      <c r="AG3404" s="66">
        <f t="shared" si="130"/>
        <v>95.842222222222219</v>
      </c>
      <c r="AH3404" s="143">
        <f t="shared" si="131"/>
        <v>1000</v>
      </c>
    </row>
    <row r="3405" spans="1:34" x14ac:dyDescent="0.3">
      <c r="A3405" s="415">
        <v>203348</v>
      </c>
      <c r="B3405" s="1228">
        <v>5.208333333333333</v>
      </c>
      <c r="C3405" s="1228"/>
      <c r="D3405" s="1405">
        <v>8</v>
      </c>
      <c r="E3405" s="1585">
        <v>0.22700000000000001</v>
      </c>
      <c r="F3405" s="1406">
        <v>249.70000000000005</v>
      </c>
      <c r="G3405" s="415"/>
      <c r="H3405" s="1406">
        <v>50</v>
      </c>
      <c r="I3405" s="1406">
        <v>752</v>
      </c>
      <c r="J3405" s="1407">
        <v>3.2000000000000001E-2</v>
      </c>
      <c r="K3405" s="1228">
        <v>7.05</v>
      </c>
      <c r="L3405" s="415">
        <v>1380</v>
      </c>
      <c r="M3405" s="415">
        <v>1</v>
      </c>
      <c r="N3405" s="415">
        <v>3.25</v>
      </c>
      <c r="O3405" s="415">
        <v>6.23</v>
      </c>
      <c r="P3405" s="415">
        <v>4.01</v>
      </c>
      <c r="Q3405" s="415"/>
      <c r="R3405" s="1405">
        <v>1.84259393</v>
      </c>
      <c r="S3405" s="1228">
        <v>18.010000000000002</v>
      </c>
      <c r="T3405" s="415"/>
      <c r="U3405" s="415"/>
      <c r="V3405" s="415"/>
      <c r="W3405" s="415"/>
      <c r="X3405" s="415"/>
      <c r="Y3405" s="1228">
        <v>37.1</v>
      </c>
      <c r="Z3405" s="415"/>
      <c r="AA3405" s="1405">
        <v>4.9400000000000004</v>
      </c>
      <c r="AB3405" s="1405">
        <v>0.38300000000000001</v>
      </c>
      <c r="AC3405" s="415">
        <v>6.7</v>
      </c>
      <c r="AD3405" s="1408">
        <v>530</v>
      </c>
      <c r="AE3405" s="1408">
        <v>310</v>
      </c>
      <c r="AF3405" s="1408">
        <v>160</v>
      </c>
      <c r="AG3405" s="66">
        <f t="shared" si="130"/>
        <v>67.26954177897575</v>
      </c>
      <c r="AH3405" s="143">
        <f t="shared" si="131"/>
        <v>1000</v>
      </c>
    </row>
    <row r="3406" spans="1:34" x14ac:dyDescent="0.3">
      <c r="A3406" s="415">
        <v>203349</v>
      </c>
      <c r="B3406" s="1228">
        <v>48.833333333333329</v>
      </c>
      <c r="C3406" s="1228">
        <v>14.4</v>
      </c>
      <c r="D3406" s="1405">
        <v>8</v>
      </c>
      <c r="E3406" s="1585">
        <v>0.27200000000000002</v>
      </c>
      <c r="F3406" s="1406">
        <v>299.20000000000005</v>
      </c>
      <c r="G3406" s="415"/>
      <c r="H3406" s="1406">
        <v>73</v>
      </c>
      <c r="I3406" s="1406">
        <v>827</v>
      </c>
      <c r="J3406" s="1407">
        <v>2.1999999999999999E-2</v>
      </c>
      <c r="K3406" s="1228">
        <v>10.36</v>
      </c>
      <c r="L3406" s="415">
        <v>1343</v>
      </c>
      <c r="M3406" s="415">
        <v>0.41099999999999998</v>
      </c>
      <c r="N3406" s="415">
        <v>5.65</v>
      </c>
      <c r="O3406" s="415">
        <v>3.04</v>
      </c>
      <c r="P3406" s="415">
        <v>6.47</v>
      </c>
      <c r="Q3406" s="415"/>
      <c r="R3406" s="1405">
        <v>1.81465952</v>
      </c>
      <c r="S3406" s="1228">
        <v>17.079999999999998</v>
      </c>
      <c r="T3406" s="415"/>
      <c r="U3406" s="415"/>
      <c r="V3406" s="415"/>
      <c r="W3406" s="415"/>
      <c r="X3406" s="415"/>
      <c r="Y3406" s="1228">
        <v>27.5</v>
      </c>
      <c r="Z3406" s="415"/>
      <c r="AA3406" s="1405">
        <v>4.34</v>
      </c>
      <c r="AB3406" s="1405">
        <v>0.57999999999999996</v>
      </c>
      <c r="AC3406" s="415">
        <v>11.2</v>
      </c>
      <c r="AD3406" s="1408">
        <v>550</v>
      </c>
      <c r="AE3406" s="1408">
        <v>240</v>
      </c>
      <c r="AF3406" s="1408">
        <v>210</v>
      </c>
      <c r="AG3406" s="66">
        <f t="shared" si="130"/>
        <v>133.36145454545454</v>
      </c>
      <c r="AH3406" s="143">
        <f t="shared" si="131"/>
        <v>1000</v>
      </c>
    </row>
    <row r="3407" spans="1:34" x14ac:dyDescent="0.3">
      <c r="A3407" s="415">
        <v>203350</v>
      </c>
      <c r="B3407" s="1228">
        <v>51</v>
      </c>
      <c r="C3407" s="1228">
        <v>15.1</v>
      </c>
      <c r="D3407" s="1405">
        <v>8.1999999999999993</v>
      </c>
      <c r="E3407" s="1585">
        <v>0.13500000000000001</v>
      </c>
      <c r="F3407" s="1406">
        <v>148.50000000000003</v>
      </c>
      <c r="G3407" s="415"/>
      <c r="H3407" s="1406">
        <v>61</v>
      </c>
      <c r="I3407" s="1406">
        <v>745</v>
      </c>
      <c r="J3407" s="1407">
        <v>3.1E-2</v>
      </c>
      <c r="K3407" s="1228">
        <v>9.8800000000000008</v>
      </c>
      <c r="L3407" s="415">
        <v>960</v>
      </c>
      <c r="M3407" s="415">
        <v>1.0349999999999999</v>
      </c>
      <c r="N3407" s="415">
        <v>3</v>
      </c>
      <c r="O3407" s="415">
        <v>3.74</v>
      </c>
      <c r="P3407" s="415">
        <v>4.71</v>
      </c>
      <c r="Q3407" s="415"/>
      <c r="R3407" s="1405">
        <v>1.6407</v>
      </c>
      <c r="S3407" s="1228">
        <v>12</v>
      </c>
      <c r="T3407" s="415"/>
      <c r="U3407" s="415"/>
      <c r="V3407" s="415"/>
      <c r="W3407" s="415"/>
      <c r="X3407" s="415"/>
      <c r="Y3407" s="1228">
        <v>30</v>
      </c>
      <c r="Z3407" s="415"/>
      <c r="AA3407" s="1405">
        <v>4.99</v>
      </c>
      <c r="AB3407" s="1405">
        <v>0.89400000000000002</v>
      </c>
      <c r="AC3407" s="415">
        <v>12</v>
      </c>
      <c r="AD3407" s="1408">
        <v>600</v>
      </c>
      <c r="AE3407" s="1408">
        <v>300</v>
      </c>
      <c r="AF3407" s="1408">
        <v>100</v>
      </c>
      <c r="AG3407" s="66">
        <f t="shared" si="130"/>
        <v>116.584</v>
      </c>
      <c r="AH3407" s="143">
        <f t="shared" si="131"/>
        <v>1000</v>
      </c>
    </row>
    <row r="3408" spans="1:34" x14ac:dyDescent="0.3">
      <c r="A3408" s="415">
        <v>203351</v>
      </c>
      <c r="B3408" s="1228">
        <v>70.499999999999986</v>
      </c>
      <c r="C3408" s="1228">
        <v>17.600000000000001</v>
      </c>
      <c r="D3408" s="1405">
        <v>8.5</v>
      </c>
      <c r="E3408" s="1585">
        <v>0.27700000000000002</v>
      </c>
      <c r="F3408" s="1406">
        <v>304.70000000000005</v>
      </c>
      <c r="G3408" s="415"/>
      <c r="H3408" s="1406">
        <v>69</v>
      </c>
      <c r="I3408" s="1406">
        <v>700</v>
      </c>
      <c r="J3408" s="1407">
        <v>2.3E-2</v>
      </c>
      <c r="K3408" s="1228">
        <v>10.23</v>
      </c>
      <c r="L3408" s="415">
        <v>1372</v>
      </c>
      <c r="M3408" s="415">
        <v>1.3420000000000001</v>
      </c>
      <c r="N3408" s="415">
        <v>4.76</v>
      </c>
      <c r="O3408" s="415">
        <v>4.0599999999999996</v>
      </c>
      <c r="P3408" s="415">
        <v>5.26</v>
      </c>
      <c r="Q3408" s="415"/>
      <c r="R3408" s="1405">
        <v>0.5452017435159342</v>
      </c>
      <c r="S3408" s="1228">
        <v>3.63</v>
      </c>
      <c r="T3408" s="415"/>
      <c r="U3408" s="415"/>
      <c r="V3408" s="415"/>
      <c r="W3408" s="415"/>
      <c r="X3408" s="415"/>
      <c r="Y3408" s="1228">
        <v>31</v>
      </c>
      <c r="Z3408" s="415"/>
      <c r="AA3408" s="1405">
        <v>4.3899999999999997</v>
      </c>
      <c r="AB3408" s="1405">
        <v>0.33300000000000002</v>
      </c>
      <c r="AC3408" s="415">
        <v>10.3</v>
      </c>
      <c r="AD3408" s="1408">
        <v>620</v>
      </c>
      <c r="AE3408" s="1408">
        <v>240</v>
      </c>
      <c r="AF3408" s="1408">
        <v>140</v>
      </c>
      <c r="AG3408" s="66">
        <f t="shared" si="130"/>
        <v>116.82000000000002</v>
      </c>
      <c r="AH3408" s="143">
        <f t="shared" si="131"/>
        <v>1000</v>
      </c>
    </row>
    <row r="3409" spans="1:34" x14ac:dyDescent="0.3">
      <c r="A3409" s="415">
        <v>203352</v>
      </c>
      <c r="B3409" s="1228">
        <v>1.8333333333333333</v>
      </c>
      <c r="C3409" s="1228"/>
      <c r="D3409" s="1405">
        <v>8</v>
      </c>
      <c r="E3409" s="1585">
        <v>0.126</v>
      </c>
      <c r="F3409" s="1406">
        <v>138.6</v>
      </c>
      <c r="G3409" s="415"/>
      <c r="H3409" s="1406">
        <v>43</v>
      </c>
      <c r="I3409" s="1406">
        <v>863</v>
      </c>
      <c r="J3409" s="1407">
        <v>2.7E-2</v>
      </c>
      <c r="K3409" s="1228">
        <v>7.03</v>
      </c>
      <c r="L3409" s="415">
        <v>965</v>
      </c>
      <c r="M3409" s="415">
        <v>0.317</v>
      </c>
      <c r="N3409" s="415">
        <v>3.73</v>
      </c>
      <c r="O3409" s="415">
        <v>4.33</v>
      </c>
      <c r="P3409" s="415">
        <v>4.83</v>
      </c>
      <c r="Q3409" s="415"/>
      <c r="R3409" s="1405">
        <v>1.82982852</v>
      </c>
      <c r="S3409" s="1228">
        <v>17.579999999999998</v>
      </c>
      <c r="T3409" s="415"/>
      <c r="U3409" s="415"/>
      <c r="V3409" s="415"/>
      <c r="W3409" s="415"/>
      <c r="X3409" s="415"/>
      <c r="Y3409" s="1228">
        <v>32.4</v>
      </c>
      <c r="Z3409" s="415"/>
      <c r="AA3409" s="1405">
        <v>4.07</v>
      </c>
      <c r="AB3409" s="1405">
        <v>0.31</v>
      </c>
      <c r="AC3409" s="415">
        <v>7.2</v>
      </c>
      <c r="AD3409" s="1408">
        <v>540</v>
      </c>
      <c r="AE3409" s="1408">
        <v>300</v>
      </c>
      <c r="AF3409" s="1408">
        <v>160</v>
      </c>
      <c r="AG3409" s="66">
        <f t="shared" si="130"/>
        <v>76.809259259259278</v>
      </c>
      <c r="AH3409" s="143">
        <f t="shared" si="131"/>
        <v>1000</v>
      </c>
    </row>
    <row r="3410" spans="1:34" x14ac:dyDescent="0.3">
      <c r="A3410" s="415">
        <v>203353</v>
      </c>
      <c r="B3410" s="1228">
        <v>1.533333333333333</v>
      </c>
      <c r="C3410" s="1228"/>
      <c r="D3410" s="1405">
        <v>8.1</v>
      </c>
      <c r="E3410" s="1585">
        <v>0.14299999999999999</v>
      </c>
      <c r="F3410" s="1406">
        <v>157.29999999999998</v>
      </c>
      <c r="G3410" s="415"/>
      <c r="H3410" s="1406">
        <v>60</v>
      </c>
      <c r="I3410" s="1406">
        <v>925</v>
      </c>
      <c r="J3410" s="1407">
        <v>2.9000000000000001E-2</v>
      </c>
      <c r="K3410" s="1228">
        <v>7.58</v>
      </c>
      <c r="L3410" s="415">
        <v>1226</v>
      </c>
      <c r="M3410" s="415">
        <v>0.47099999999999997</v>
      </c>
      <c r="N3410" s="415">
        <v>3.69</v>
      </c>
      <c r="O3410" s="415">
        <v>6.19</v>
      </c>
      <c r="P3410" s="415">
        <v>5.75</v>
      </c>
      <c r="Q3410" s="415"/>
      <c r="R3410" s="1405">
        <v>1.7180381700000003</v>
      </c>
      <c r="S3410" s="1228">
        <v>14.13</v>
      </c>
      <c r="T3410" s="415"/>
      <c r="U3410" s="415"/>
      <c r="V3410" s="415"/>
      <c r="W3410" s="415"/>
      <c r="X3410" s="415"/>
      <c r="Y3410" s="1228">
        <v>27.5</v>
      </c>
      <c r="Z3410" s="415"/>
      <c r="AA3410" s="1405">
        <v>4.9800000000000004</v>
      </c>
      <c r="AB3410" s="1405">
        <v>0.29299999999999998</v>
      </c>
      <c r="AC3410" s="415">
        <v>8.1999999999999993</v>
      </c>
      <c r="AD3410" s="1408">
        <v>550</v>
      </c>
      <c r="AE3410" s="1408">
        <v>310</v>
      </c>
      <c r="AF3410" s="1408">
        <v>140</v>
      </c>
      <c r="AG3410" s="66">
        <f t="shared" si="130"/>
        <v>97.575272727272733</v>
      </c>
      <c r="AH3410" s="143">
        <f t="shared" si="131"/>
        <v>1000</v>
      </c>
    </row>
    <row r="3411" spans="1:34" x14ac:dyDescent="0.3">
      <c r="A3411" s="415">
        <v>203354</v>
      </c>
      <c r="B3411" s="1228">
        <v>0.11666666666666665</v>
      </c>
      <c r="C3411" s="1228"/>
      <c r="D3411" s="1405">
        <v>7.3</v>
      </c>
      <c r="E3411" s="1585">
        <v>0.182</v>
      </c>
      <c r="F3411" s="1406">
        <v>200.20000000000002</v>
      </c>
      <c r="G3411" s="415"/>
      <c r="H3411" s="1406">
        <v>57</v>
      </c>
      <c r="I3411" s="1406">
        <v>203</v>
      </c>
      <c r="J3411" s="1407">
        <v>3.2000000000000001E-2</v>
      </c>
      <c r="K3411" s="1228">
        <v>6.09</v>
      </c>
      <c r="L3411" s="415">
        <v>304</v>
      </c>
      <c r="M3411" s="415">
        <v>0.63100000000000001</v>
      </c>
      <c r="N3411" s="415">
        <v>4.74</v>
      </c>
      <c r="O3411" s="415">
        <v>4.21</v>
      </c>
      <c r="P3411" s="415">
        <v>3.88</v>
      </c>
      <c r="Q3411" s="415"/>
      <c r="R3411" s="1405">
        <v>0.54898120565947794</v>
      </c>
      <c r="S3411" s="1228">
        <v>3.94</v>
      </c>
      <c r="T3411" s="415"/>
      <c r="U3411" s="415"/>
      <c r="V3411" s="415"/>
      <c r="W3411" s="415"/>
      <c r="X3411" s="415"/>
      <c r="Y3411" s="1228">
        <v>3</v>
      </c>
      <c r="Z3411" s="415"/>
      <c r="AA3411" s="1405">
        <v>3.71</v>
      </c>
      <c r="AB3411" s="1405">
        <v>0.78100000000000003</v>
      </c>
      <c r="AC3411" s="415">
        <v>11.2</v>
      </c>
      <c r="AD3411" s="1408">
        <v>60</v>
      </c>
      <c r="AE3411" s="1408">
        <v>60</v>
      </c>
      <c r="AF3411" s="1408">
        <v>880</v>
      </c>
      <c r="AG3411" s="66">
        <f t="shared" si="130"/>
        <v>718.61999999999989</v>
      </c>
      <c r="AH3411" s="143">
        <f t="shared" si="131"/>
        <v>1000</v>
      </c>
    </row>
    <row r="3412" spans="1:34" x14ac:dyDescent="0.3">
      <c r="A3412" s="415">
        <v>203355</v>
      </c>
      <c r="B3412" s="1228">
        <v>6.6666666666666666E-2</v>
      </c>
      <c r="C3412" s="1228"/>
      <c r="D3412" s="1405">
        <v>7.5</v>
      </c>
      <c r="E3412" s="1585">
        <v>0.247</v>
      </c>
      <c r="F3412" s="1406">
        <v>271.7</v>
      </c>
      <c r="G3412" s="415"/>
      <c r="H3412" s="1406">
        <v>73</v>
      </c>
      <c r="I3412" s="1406">
        <v>300</v>
      </c>
      <c r="J3412" s="1407">
        <v>2.5999999999999999E-2</v>
      </c>
      <c r="K3412" s="1228">
        <v>7.68</v>
      </c>
      <c r="L3412" s="415">
        <v>307</v>
      </c>
      <c r="M3412" s="415">
        <v>1.0649999999999999</v>
      </c>
      <c r="N3412" s="415">
        <v>5.74</v>
      </c>
      <c r="O3412" s="415">
        <v>5.9</v>
      </c>
      <c r="P3412" s="415">
        <v>5.63</v>
      </c>
      <c r="Q3412" s="415"/>
      <c r="R3412" s="1405">
        <v>0.59070593663266624</v>
      </c>
      <c r="S3412" s="1228">
        <v>4.33</v>
      </c>
      <c r="T3412" s="415"/>
      <c r="U3412" s="415"/>
      <c r="V3412" s="415"/>
      <c r="W3412" s="415"/>
      <c r="X3412" s="415"/>
      <c r="Y3412" s="1228">
        <v>3.6</v>
      </c>
      <c r="Z3412" s="415"/>
      <c r="AA3412" s="1405">
        <v>4.3899999999999997</v>
      </c>
      <c r="AB3412" s="1405">
        <v>0.60599999999999998</v>
      </c>
      <c r="AC3412" s="415">
        <v>7.5</v>
      </c>
      <c r="AD3412" s="1408">
        <v>60</v>
      </c>
      <c r="AE3412" s="1408">
        <v>80</v>
      </c>
      <c r="AF3412" s="1408">
        <v>860</v>
      </c>
      <c r="AG3412" s="66">
        <f t="shared" si="130"/>
        <v>755.2</v>
      </c>
      <c r="AH3412" s="143">
        <f t="shared" si="131"/>
        <v>1000</v>
      </c>
    </row>
    <row r="3413" spans="1:34" x14ac:dyDescent="0.3">
      <c r="A3413" s="415">
        <v>203356</v>
      </c>
      <c r="B3413" s="1228">
        <v>16.5</v>
      </c>
      <c r="C3413" s="1228">
        <v>9.5</v>
      </c>
      <c r="D3413" s="1405">
        <v>7.9</v>
      </c>
      <c r="E3413" s="1585">
        <v>0.13200000000000001</v>
      </c>
      <c r="F3413" s="1406">
        <v>145.20000000000002</v>
      </c>
      <c r="G3413" s="415"/>
      <c r="H3413" s="1406">
        <v>50</v>
      </c>
      <c r="I3413" s="1406">
        <v>918</v>
      </c>
      <c r="J3413" s="1407">
        <v>2.7E-2</v>
      </c>
      <c r="K3413" s="1228">
        <v>9.8800000000000008</v>
      </c>
      <c r="L3413" s="415">
        <v>1316</v>
      </c>
      <c r="M3413" s="415">
        <v>1.327</v>
      </c>
      <c r="N3413" s="415">
        <v>3.63</v>
      </c>
      <c r="O3413" s="415">
        <v>5.9</v>
      </c>
      <c r="P3413" s="415">
        <v>5.05</v>
      </c>
      <c r="Q3413" s="415"/>
      <c r="R3413" s="1405">
        <v>2.1443595200000001</v>
      </c>
      <c r="S3413" s="1228">
        <v>35.92</v>
      </c>
      <c r="T3413" s="415"/>
      <c r="U3413" s="415"/>
      <c r="V3413" s="415"/>
      <c r="W3413" s="415"/>
      <c r="X3413" s="415"/>
      <c r="Y3413" s="1228">
        <v>26</v>
      </c>
      <c r="Z3413" s="415"/>
      <c r="AA3413" s="1405">
        <v>4.58</v>
      </c>
      <c r="AB3413" s="1405">
        <v>0.71199999999999997</v>
      </c>
      <c r="AC3413" s="415">
        <v>11.5</v>
      </c>
      <c r="AD3413" s="1408">
        <v>520</v>
      </c>
      <c r="AE3413" s="1408">
        <v>320</v>
      </c>
      <c r="AF3413" s="1408">
        <v>160</v>
      </c>
      <c r="AG3413" s="66">
        <f t="shared" si="130"/>
        <v>134.52000000000001</v>
      </c>
      <c r="AH3413" s="143">
        <f t="shared" si="131"/>
        <v>1000</v>
      </c>
    </row>
    <row r="3414" spans="1:34" x14ac:dyDescent="0.3">
      <c r="A3414" s="415">
        <v>203357</v>
      </c>
      <c r="B3414" s="1228">
        <v>56.666666666666664</v>
      </c>
      <c r="C3414" s="1228">
        <v>15.6</v>
      </c>
      <c r="D3414" s="1405">
        <v>8</v>
      </c>
      <c r="E3414" s="1585">
        <v>0.13800000000000001</v>
      </c>
      <c r="F3414" s="1406">
        <v>151.80000000000001</v>
      </c>
      <c r="G3414" s="415"/>
      <c r="H3414" s="1406">
        <v>59</v>
      </c>
      <c r="I3414" s="1406">
        <v>942</v>
      </c>
      <c r="J3414" s="1407">
        <v>2.5999999999999999E-2</v>
      </c>
      <c r="K3414" s="1228">
        <v>10.16</v>
      </c>
      <c r="L3414" s="415">
        <v>1149</v>
      </c>
      <c r="M3414" s="415">
        <v>0.60199999999999998</v>
      </c>
      <c r="N3414" s="415">
        <v>6.21</v>
      </c>
      <c r="O3414" s="415">
        <v>6.4</v>
      </c>
      <c r="P3414" s="415">
        <v>6.08</v>
      </c>
      <c r="Q3414" s="415"/>
      <c r="R3414" s="1405">
        <v>2.0598683300000005</v>
      </c>
      <c r="S3414" s="1228">
        <v>27.59</v>
      </c>
      <c r="T3414" s="415"/>
      <c r="U3414" s="415"/>
      <c r="V3414" s="415"/>
      <c r="W3414" s="415"/>
      <c r="X3414" s="415"/>
      <c r="Y3414" s="1228">
        <v>21.6</v>
      </c>
      <c r="Z3414" s="415"/>
      <c r="AA3414" s="1405">
        <v>4.4000000000000004</v>
      </c>
      <c r="AB3414" s="1405">
        <v>0.60099999999999998</v>
      </c>
      <c r="AC3414" s="415">
        <v>7.7</v>
      </c>
      <c r="AD3414" s="1408">
        <v>360</v>
      </c>
      <c r="AE3414" s="1408">
        <v>260</v>
      </c>
      <c r="AF3414" s="1408">
        <v>380</v>
      </c>
      <c r="AG3414" s="66">
        <f t="shared" si="130"/>
        <v>166.51111111111109</v>
      </c>
      <c r="AH3414" s="143">
        <f t="shared" si="131"/>
        <v>1000</v>
      </c>
    </row>
    <row r="3415" spans="1:34" x14ac:dyDescent="0.3">
      <c r="A3415" s="415">
        <v>203358</v>
      </c>
      <c r="B3415" s="1228">
        <v>26.666666666666668</v>
      </c>
      <c r="C3415" s="1228">
        <v>9.4</v>
      </c>
      <c r="D3415" s="1405">
        <v>7.7</v>
      </c>
      <c r="E3415" s="1585">
        <v>0.11899999999999999</v>
      </c>
      <c r="F3415" s="1406">
        <v>130.9</v>
      </c>
      <c r="G3415" s="415"/>
      <c r="H3415" s="1406">
        <v>46</v>
      </c>
      <c r="I3415" s="1406">
        <v>936</v>
      </c>
      <c r="J3415" s="1407">
        <v>3.1E-2</v>
      </c>
      <c r="K3415" s="1228">
        <v>9.76</v>
      </c>
      <c r="L3415" s="415">
        <v>1102</v>
      </c>
      <c r="M3415" s="415">
        <v>0.95399999999999996</v>
      </c>
      <c r="N3415" s="415">
        <v>6</v>
      </c>
      <c r="O3415" s="415">
        <v>4.78</v>
      </c>
      <c r="P3415" s="415">
        <v>3.37</v>
      </c>
      <c r="Q3415" s="415"/>
      <c r="R3415" s="1405">
        <v>2.1460842500000004</v>
      </c>
      <c r="S3415" s="1228">
        <v>36.35</v>
      </c>
      <c r="T3415" s="415"/>
      <c r="U3415" s="415"/>
      <c r="V3415" s="415"/>
      <c r="W3415" s="415"/>
      <c r="X3415" s="415"/>
      <c r="Y3415" s="1228">
        <v>31.8</v>
      </c>
      <c r="Z3415" s="415"/>
      <c r="AA3415" s="1405">
        <v>3.71</v>
      </c>
      <c r="AB3415" s="1405">
        <v>0.45400000000000001</v>
      </c>
      <c r="AC3415" s="415">
        <v>11.6</v>
      </c>
      <c r="AD3415" s="1408">
        <v>530</v>
      </c>
      <c r="AE3415" s="1408">
        <v>300</v>
      </c>
      <c r="AF3415" s="1408">
        <v>170</v>
      </c>
      <c r="AG3415" s="66">
        <f t="shared" si="130"/>
        <v>108.64905660377357</v>
      </c>
      <c r="AH3415" s="143">
        <f t="shared" si="131"/>
        <v>1000</v>
      </c>
    </row>
    <row r="3416" spans="1:34" s="1069" customFormat="1" x14ac:dyDescent="0.3">
      <c r="A3416" s="415" t="s">
        <v>555</v>
      </c>
      <c r="B3416" s="1228"/>
      <c r="C3416" s="1228"/>
      <c r="D3416" s="1405"/>
      <c r="E3416" s="1585"/>
      <c r="F3416" s="1406"/>
      <c r="G3416" s="415"/>
      <c r="H3416" s="1406"/>
      <c r="I3416" s="1406"/>
      <c r="J3416" s="1407"/>
      <c r="K3416" s="1228"/>
      <c r="L3416" s="415"/>
      <c r="M3416" s="415"/>
      <c r="N3416" s="415"/>
      <c r="O3416" s="415"/>
      <c r="P3416" s="415"/>
      <c r="Q3416" s="415"/>
      <c r="R3416" s="1405"/>
      <c r="S3416" s="1228"/>
      <c r="T3416" s="415"/>
      <c r="U3416" s="415"/>
      <c r="V3416" s="415"/>
      <c r="W3416" s="415"/>
      <c r="X3416" s="415"/>
      <c r="Y3416" s="1228"/>
      <c r="Z3416" s="415"/>
      <c r="AA3416" s="1405"/>
      <c r="AB3416" s="1405"/>
      <c r="AC3416" s="415"/>
      <c r="AD3416" s="1408"/>
      <c r="AE3416" s="1408"/>
      <c r="AF3416" s="1408"/>
      <c r="AG3416" s="66" t="e">
        <f t="shared" si="130"/>
        <v>#DIV/0!</v>
      </c>
      <c r="AH3416" s="143">
        <f t="shared" si="131"/>
        <v>0</v>
      </c>
    </row>
    <row r="3417" spans="1:34" x14ac:dyDescent="0.3">
      <c r="A3417" s="415">
        <v>203360</v>
      </c>
      <c r="B3417" s="1228">
        <v>29.666666666666668</v>
      </c>
      <c r="C3417" s="1228">
        <v>9.9</v>
      </c>
      <c r="D3417" s="1405">
        <v>8.6999999999999993</v>
      </c>
      <c r="E3417" s="1585">
        <v>0.23</v>
      </c>
      <c r="F3417" s="1406">
        <v>253.00000000000006</v>
      </c>
      <c r="G3417" s="415"/>
      <c r="H3417" s="1406">
        <v>47</v>
      </c>
      <c r="I3417" s="1406">
        <v>280</v>
      </c>
      <c r="J3417" s="1407">
        <v>3.1E-2</v>
      </c>
      <c r="K3417" s="1228">
        <v>10.16</v>
      </c>
      <c r="L3417" s="415">
        <v>433</v>
      </c>
      <c r="M3417" s="415">
        <v>1.34</v>
      </c>
      <c r="N3417" s="415">
        <v>4.67</v>
      </c>
      <c r="O3417" s="415">
        <v>5.32</v>
      </c>
      <c r="P3417" s="415">
        <v>4.53</v>
      </c>
      <c r="Q3417" s="415"/>
      <c r="R3417" s="1405">
        <v>1.9562443199999999</v>
      </c>
      <c r="S3417" s="1228">
        <v>22.32</v>
      </c>
      <c r="T3417" s="415"/>
      <c r="U3417" s="415"/>
      <c r="V3417" s="415"/>
      <c r="W3417" s="415"/>
      <c r="X3417" s="415"/>
      <c r="Y3417" s="1228">
        <v>3.6</v>
      </c>
      <c r="Z3417" s="415"/>
      <c r="AA3417" s="1405">
        <v>4.62</v>
      </c>
      <c r="AB3417" s="1405">
        <v>0.79800000000000004</v>
      </c>
      <c r="AC3417" s="415">
        <v>11.6</v>
      </c>
      <c r="AD3417" s="1408">
        <v>60</v>
      </c>
      <c r="AE3417" s="1408">
        <v>60</v>
      </c>
      <c r="AF3417" s="1408">
        <v>880</v>
      </c>
      <c r="AG3417" s="66">
        <f t="shared" si="130"/>
        <v>999.06666666666661</v>
      </c>
      <c r="AH3417" s="143">
        <f t="shared" si="131"/>
        <v>1000</v>
      </c>
    </row>
    <row r="3418" spans="1:34" x14ac:dyDescent="0.3">
      <c r="A3418" s="415">
        <v>203361</v>
      </c>
      <c r="B3418" s="1228">
        <v>24</v>
      </c>
      <c r="C3418" s="1228">
        <v>9.1</v>
      </c>
      <c r="D3418" s="1405">
        <v>8.4</v>
      </c>
      <c r="E3418" s="1585">
        <v>0.15</v>
      </c>
      <c r="F3418" s="1406">
        <v>165</v>
      </c>
      <c r="G3418" s="415"/>
      <c r="H3418" s="1406">
        <v>62</v>
      </c>
      <c r="I3418" s="1406">
        <v>276</v>
      </c>
      <c r="J3418" s="1407">
        <v>2.1999999999999999E-2</v>
      </c>
      <c r="K3418" s="1228">
        <v>10.73</v>
      </c>
      <c r="L3418" s="415">
        <v>392</v>
      </c>
      <c r="M3418" s="415">
        <v>0.41899999999999998</v>
      </c>
      <c r="N3418" s="415">
        <v>4.6100000000000003</v>
      </c>
      <c r="O3418" s="415">
        <v>6.75</v>
      </c>
      <c r="P3418" s="415">
        <v>3.63</v>
      </c>
      <c r="Q3418" s="415"/>
      <c r="R3418" s="1405">
        <v>1.6951107200000002</v>
      </c>
      <c r="S3418" s="1228">
        <v>13.48</v>
      </c>
      <c r="T3418" s="415"/>
      <c r="U3418" s="415"/>
      <c r="V3418" s="415"/>
      <c r="W3418" s="415"/>
      <c r="X3418" s="415"/>
      <c r="Y3418" s="1228">
        <v>3.5</v>
      </c>
      <c r="Z3418" s="415"/>
      <c r="AA3418" s="1405">
        <v>4.3899999999999997</v>
      </c>
      <c r="AB3418" s="1405">
        <v>0.66900000000000004</v>
      </c>
      <c r="AC3418" s="415">
        <v>8.3000000000000007</v>
      </c>
      <c r="AD3418" s="1408">
        <v>70</v>
      </c>
      <c r="AE3418" s="1408">
        <v>70</v>
      </c>
      <c r="AF3418" s="1408">
        <v>860</v>
      </c>
      <c r="AG3418" s="66">
        <f t="shared" si="130"/>
        <v>1085.2628571428572</v>
      </c>
      <c r="AH3418" s="143">
        <f t="shared" si="131"/>
        <v>1000</v>
      </c>
    </row>
    <row r="3419" spans="1:34" x14ac:dyDescent="0.3">
      <c r="A3419" s="415">
        <v>203362</v>
      </c>
      <c r="B3419" s="1228">
        <v>2.3833333333333333</v>
      </c>
      <c r="C3419" s="1228"/>
      <c r="D3419" s="1405">
        <v>7.9</v>
      </c>
      <c r="E3419" s="1585">
        <v>0.21</v>
      </c>
      <c r="F3419" s="1406">
        <v>231</v>
      </c>
      <c r="G3419" s="415"/>
      <c r="H3419" s="1406">
        <v>48</v>
      </c>
      <c r="I3419" s="1406">
        <v>925</v>
      </c>
      <c r="J3419" s="1407">
        <v>2.5999999999999999E-2</v>
      </c>
      <c r="K3419" s="1228">
        <v>6.78</v>
      </c>
      <c r="L3419" s="415">
        <v>1256</v>
      </c>
      <c r="M3419" s="415">
        <v>1.214</v>
      </c>
      <c r="N3419" s="415">
        <v>5.89</v>
      </c>
      <c r="O3419" s="415">
        <v>3.2</v>
      </c>
      <c r="P3419" s="415">
        <v>3.54</v>
      </c>
      <c r="Q3419" s="415"/>
      <c r="R3419" s="1405">
        <v>1.84259393</v>
      </c>
      <c r="S3419" s="1228">
        <v>18.010000000000002</v>
      </c>
      <c r="T3419" s="415"/>
      <c r="U3419" s="415"/>
      <c r="V3419" s="415"/>
      <c r="W3419" s="415"/>
      <c r="X3419" s="415"/>
      <c r="Y3419" s="1228">
        <v>34.299999999999997</v>
      </c>
      <c r="Z3419" s="415"/>
      <c r="AA3419" s="1405">
        <v>3.93</v>
      </c>
      <c r="AB3419" s="1405">
        <v>0.69099999999999995</v>
      </c>
      <c r="AC3419" s="415">
        <v>10.4</v>
      </c>
      <c r="AD3419" s="1408">
        <v>490</v>
      </c>
      <c r="AE3419" s="1408">
        <v>360</v>
      </c>
      <c r="AF3419" s="1408">
        <v>150</v>
      </c>
      <c r="AG3419" s="66">
        <f t="shared" si="130"/>
        <v>69.974344023323624</v>
      </c>
      <c r="AH3419" s="143">
        <f t="shared" si="131"/>
        <v>1000</v>
      </c>
    </row>
    <row r="3420" spans="1:34" x14ac:dyDescent="0.3">
      <c r="A3420" s="415">
        <v>203363</v>
      </c>
      <c r="B3420" s="1228">
        <v>10</v>
      </c>
      <c r="C3420" s="1228">
        <v>4.5999999999999996</v>
      </c>
      <c r="D3420" s="1405">
        <v>8.1</v>
      </c>
      <c r="E3420" s="1585">
        <v>0.192</v>
      </c>
      <c r="F3420" s="1406">
        <v>211.20000000000002</v>
      </c>
      <c r="G3420" s="415"/>
      <c r="H3420" s="1406">
        <v>68</v>
      </c>
      <c r="I3420" s="1406">
        <v>870</v>
      </c>
      <c r="J3420" s="1407">
        <v>2.1999999999999999E-2</v>
      </c>
      <c r="K3420" s="1228">
        <v>7</v>
      </c>
      <c r="L3420" s="415">
        <v>1283</v>
      </c>
      <c r="M3420" s="415">
        <v>1.0529999999999999</v>
      </c>
      <c r="N3420" s="415">
        <v>6.27</v>
      </c>
      <c r="O3420" s="415">
        <v>3.46</v>
      </c>
      <c r="P3420" s="415">
        <v>4.33</v>
      </c>
      <c r="Q3420" s="415"/>
      <c r="R3420" s="1405">
        <v>1.5947267300000001</v>
      </c>
      <c r="S3420" s="1228">
        <v>10.81</v>
      </c>
      <c r="T3420" s="415"/>
      <c r="U3420" s="415"/>
      <c r="V3420" s="415"/>
      <c r="W3420" s="415"/>
      <c r="X3420" s="415"/>
      <c r="Y3420" s="1228">
        <v>35</v>
      </c>
      <c r="Z3420" s="415"/>
      <c r="AA3420" s="1405">
        <v>4.87</v>
      </c>
      <c r="AB3420" s="1405">
        <v>0.69799999999999995</v>
      </c>
      <c r="AC3420" s="415">
        <v>9.1999999999999993</v>
      </c>
      <c r="AD3420" s="1408">
        <v>500</v>
      </c>
      <c r="AE3420" s="1408">
        <v>340</v>
      </c>
      <c r="AF3420" s="1408">
        <v>160</v>
      </c>
      <c r="AG3420" s="66">
        <f t="shared" si="130"/>
        <v>70.8</v>
      </c>
      <c r="AH3420" s="143">
        <f t="shared" si="131"/>
        <v>1000</v>
      </c>
    </row>
    <row r="3421" spans="1:34" x14ac:dyDescent="0.3">
      <c r="A3421" s="415">
        <v>203364</v>
      </c>
      <c r="B3421" s="1228">
        <v>10.333333333333334</v>
      </c>
      <c r="C3421" s="1228">
        <v>3.9</v>
      </c>
      <c r="D3421" s="1405">
        <v>8.6</v>
      </c>
      <c r="E3421" s="1585">
        <v>0.14799999999999999</v>
      </c>
      <c r="F3421" s="1406">
        <v>162.80000000000001</v>
      </c>
      <c r="G3421" s="415"/>
      <c r="H3421" s="1406">
        <v>80</v>
      </c>
      <c r="I3421" s="1406">
        <v>819</v>
      </c>
      <c r="J3421" s="1407">
        <v>2.9000000000000001E-2</v>
      </c>
      <c r="K3421" s="1228">
        <v>7.46</v>
      </c>
      <c r="L3421" s="415">
        <v>913</v>
      </c>
      <c r="M3421" s="415">
        <v>0.49199999999999999</v>
      </c>
      <c r="N3421" s="415">
        <v>5.64</v>
      </c>
      <c r="O3421" s="415">
        <v>4.4000000000000004</v>
      </c>
      <c r="P3421" s="415">
        <v>6.67</v>
      </c>
      <c r="Q3421" s="415"/>
      <c r="R3421" s="1405">
        <v>1.4640966871990428</v>
      </c>
      <c r="S3421" s="1228">
        <v>9.68</v>
      </c>
      <c r="T3421" s="415"/>
      <c r="U3421" s="415"/>
      <c r="V3421" s="415"/>
      <c r="W3421" s="415"/>
      <c r="X3421" s="415"/>
      <c r="Y3421" s="1228">
        <v>27</v>
      </c>
      <c r="Z3421" s="415"/>
      <c r="AA3421" s="1405">
        <v>3.92</v>
      </c>
      <c r="AB3421" s="1405">
        <v>0.48899999999999999</v>
      </c>
      <c r="AC3421" s="415">
        <v>9.1</v>
      </c>
      <c r="AD3421" s="1408">
        <v>540</v>
      </c>
      <c r="AE3421" s="1408">
        <v>270</v>
      </c>
      <c r="AF3421" s="1408">
        <v>190</v>
      </c>
      <c r="AG3421" s="66">
        <f t="shared" si="130"/>
        <v>97.808888888888887</v>
      </c>
      <c r="AH3421" s="143">
        <f t="shared" si="131"/>
        <v>1000</v>
      </c>
    </row>
    <row r="3422" spans="1:34" x14ac:dyDescent="0.3">
      <c r="A3422" s="415">
        <v>203365</v>
      </c>
      <c r="B3422" s="1228">
        <v>10.833333333333332</v>
      </c>
      <c r="C3422" s="1228">
        <v>4.9000000000000004</v>
      </c>
      <c r="D3422" s="1405">
        <v>8.5</v>
      </c>
      <c r="E3422" s="1585">
        <v>0.19900000000000001</v>
      </c>
      <c r="F3422" s="1406">
        <v>218.90000000000003</v>
      </c>
      <c r="G3422" s="415"/>
      <c r="H3422" s="1406">
        <v>52</v>
      </c>
      <c r="I3422" s="1406">
        <v>918</v>
      </c>
      <c r="J3422" s="1407">
        <v>2.9000000000000001E-2</v>
      </c>
      <c r="K3422" s="1228">
        <v>5.93</v>
      </c>
      <c r="L3422" s="415">
        <v>1286</v>
      </c>
      <c r="M3422" s="415">
        <v>0.63800000000000001</v>
      </c>
      <c r="N3422" s="415">
        <v>3.51</v>
      </c>
      <c r="O3422" s="415">
        <v>4.38</v>
      </c>
      <c r="P3422" s="415">
        <v>4.6500000000000004</v>
      </c>
      <c r="Q3422" s="415"/>
      <c r="R3422" s="1405">
        <v>1.6107901200000001</v>
      </c>
      <c r="S3422" s="1228">
        <v>11.22</v>
      </c>
      <c r="T3422" s="415"/>
      <c r="U3422" s="415"/>
      <c r="V3422" s="415"/>
      <c r="W3422" s="415"/>
      <c r="X3422" s="415"/>
      <c r="Y3422" s="1228">
        <v>31.8</v>
      </c>
      <c r="Z3422" s="415"/>
      <c r="AA3422" s="1405">
        <v>4.2</v>
      </c>
      <c r="AB3422" s="1405">
        <v>0.53400000000000003</v>
      </c>
      <c r="AC3422" s="415">
        <v>9.1</v>
      </c>
      <c r="AD3422" s="1408">
        <v>530</v>
      </c>
      <c r="AE3422" s="1408">
        <v>290</v>
      </c>
      <c r="AF3422" s="1408">
        <v>180</v>
      </c>
      <c r="AG3422" s="66">
        <f t="shared" si="130"/>
        <v>66.013207547169813</v>
      </c>
      <c r="AH3422" s="143">
        <f t="shared" si="131"/>
        <v>1000</v>
      </c>
    </row>
    <row r="3423" spans="1:34" x14ac:dyDescent="0.3">
      <c r="A3423" s="415">
        <v>203366</v>
      </c>
      <c r="B3423" s="1228">
        <v>11.5</v>
      </c>
      <c r="C3423" s="1228">
        <v>5.0999999999999996</v>
      </c>
      <c r="D3423" s="1405">
        <v>8.1999999999999993</v>
      </c>
      <c r="E3423" s="1585">
        <v>0.14199999999999999</v>
      </c>
      <c r="F3423" s="1406">
        <v>156.20000000000002</v>
      </c>
      <c r="G3423" s="415"/>
      <c r="H3423" s="1406">
        <v>42</v>
      </c>
      <c r="I3423" s="1406">
        <v>893</v>
      </c>
      <c r="J3423" s="1407">
        <v>2.9000000000000001E-2</v>
      </c>
      <c r="K3423" s="1228">
        <v>6.79</v>
      </c>
      <c r="L3423" s="415">
        <v>1357</v>
      </c>
      <c r="M3423" s="415">
        <v>0.74</v>
      </c>
      <c r="N3423" s="415">
        <v>3.26</v>
      </c>
      <c r="O3423" s="415">
        <v>4.92</v>
      </c>
      <c r="P3423" s="415">
        <v>3.23</v>
      </c>
      <c r="Q3423" s="415"/>
      <c r="R3423" s="1405">
        <v>1.3102094180165993</v>
      </c>
      <c r="S3423" s="1228">
        <v>8.9700000000000006</v>
      </c>
      <c r="T3423" s="415"/>
      <c r="U3423" s="415"/>
      <c r="V3423" s="415"/>
      <c r="W3423" s="415"/>
      <c r="X3423" s="415"/>
      <c r="Y3423" s="1228">
        <v>32.4</v>
      </c>
      <c r="Z3423" s="415"/>
      <c r="AA3423" s="1405">
        <v>4.54</v>
      </c>
      <c r="AB3423" s="1405">
        <v>0.66900000000000004</v>
      </c>
      <c r="AC3423" s="415">
        <v>7.6</v>
      </c>
      <c r="AD3423" s="1408">
        <v>540</v>
      </c>
      <c r="AE3423" s="1408">
        <v>270</v>
      </c>
      <c r="AF3423" s="1408">
        <v>190</v>
      </c>
      <c r="AG3423" s="66">
        <f t="shared" si="130"/>
        <v>74.18703703703703</v>
      </c>
      <c r="AH3423" s="143">
        <f t="shared" si="131"/>
        <v>1000</v>
      </c>
    </row>
    <row r="3424" spans="1:34" x14ac:dyDescent="0.3">
      <c r="A3424" s="415">
        <v>203367</v>
      </c>
      <c r="B3424" s="1228">
        <v>10.666666666666668</v>
      </c>
      <c r="C3424" s="1228">
        <v>4.5999999999999996</v>
      </c>
      <c r="D3424" s="1405">
        <v>8.6</v>
      </c>
      <c r="E3424" s="1585">
        <v>0.253</v>
      </c>
      <c r="F3424" s="1406">
        <v>278.30000000000007</v>
      </c>
      <c r="G3424" s="415"/>
      <c r="H3424" s="1406">
        <v>65</v>
      </c>
      <c r="I3424" s="1406">
        <v>814</v>
      </c>
      <c r="J3424" s="1407">
        <v>2.3E-2</v>
      </c>
      <c r="K3424" s="1228">
        <v>7.79</v>
      </c>
      <c r="L3424" s="415">
        <v>1195</v>
      </c>
      <c r="M3424" s="415">
        <v>1.0269999999999999</v>
      </c>
      <c r="N3424" s="415">
        <v>3.14</v>
      </c>
      <c r="O3424" s="415">
        <v>4.6100000000000003</v>
      </c>
      <c r="P3424" s="415">
        <v>3.99</v>
      </c>
      <c r="Q3424" s="415"/>
      <c r="R3424" s="1405">
        <v>1.6002382500000001</v>
      </c>
      <c r="S3424" s="1228">
        <v>10.95</v>
      </c>
      <c r="T3424" s="415"/>
      <c r="U3424" s="415"/>
      <c r="V3424" s="415"/>
      <c r="W3424" s="415"/>
      <c r="X3424" s="415"/>
      <c r="Y3424" s="1228">
        <v>29</v>
      </c>
      <c r="Z3424" s="415"/>
      <c r="AA3424" s="1405">
        <v>4.62</v>
      </c>
      <c r="AB3424" s="1405">
        <v>0.27900000000000003</v>
      </c>
      <c r="AC3424" s="415">
        <v>11.3</v>
      </c>
      <c r="AD3424" s="1408">
        <v>580</v>
      </c>
      <c r="AE3424" s="1408">
        <v>300</v>
      </c>
      <c r="AF3424" s="1408">
        <v>120</v>
      </c>
      <c r="AG3424" s="66">
        <f t="shared" si="130"/>
        <v>95.091724137931024</v>
      </c>
      <c r="AH3424" s="143">
        <f t="shared" si="131"/>
        <v>1000</v>
      </c>
    </row>
    <row r="3425" spans="1:34" x14ac:dyDescent="0.3">
      <c r="A3425" s="140">
        <v>203368</v>
      </c>
      <c r="B3425" s="138">
        <v>42.5</v>
      </c>
      <c r="C3425" s="138">
        <v>13.26</v>
      </c>
      <c r="D3425" s="152">
        <v>8.5</v>
      </c>
      <c r="E3425" s="752">
        <v>0.20799999999999999</v>
      </c>
      <c r="F3425" s="142">
        <v>228.8</v>
      </c>
      <c r="H3425" s="142">
        <v>89</v>
      </c>
      <c r="I3425" s="142">
        <v>600</v>
      </c>
      <c r="J3425" s="139">
        <v>2.9000000000000001E-2</v>
      </c>
      <c r="K3425" s="139">
        <v>10.32</v>
      </c>
      <c r="L3425" s="142">
        <v>1080</v>
      </c>
      <c r="M3425" s="140">
        <v>2.95</v>
      </c>
      <c r="N3425" s="140">
        <v>5.46</v>
      </c>
      <c r="O3425" s="140">
        <v>5.13</v>
      </c>
      <c r="P3425" s="140">
        <v>5.61</v>
      </c>
      <c r="R3425" s="139">
        <v>0.73187906978226258</v>
      </c>
      <c r="S3425" s="138">
        <v>4.84</v>
      </c>
      <c r="Y3425" s="138">
        <v>30</v>
      </c>
      <c r="AA3425" s="139">
        <v>4.4800000000000004</v>
      </c>
      <c r="AB3425" s="139">
        <v>0.48399999999999999</v>
      </c>
      <c r="AC3425" s="140">
        <v>10.5</v>
      </c>
      <c r="AD3425" s="70">
        <v>500</v>
      </c>
      <c r="AE3425" s="70">
        <v>400</v>
      </c>
      <c r="AF3425" s="70">
        <v>100</v>
      </c>
      <c r="AG3425" s="66">
        <f t="shared" si="130"/>
        <v>121.77600000000001</v>
      </c>
      <c r="AH3425" s="143">
        <f t="shared" si="131"/>
        <v>1000</v>
      </c>
    </row>
    <row r="3426" spans="1:34" s="1412" customFormat="1" x14ac:dyDescent="0.3">
      <c r="A3426" s="1412">
        <v>203369</v>
      </c>
      <c r="B3426" s="1413">
        <v>52.5</v>
      </c>
      <c r="C3426" s="1413">
        <v>14.23</v>
      </c>
      <c r="D3426" s="1414">
        <v>8</v>
      </c>
      <c r="E3426" s="1586">
        <v>0.47099999999999997</v>
      </c>
      <c r="F3426" s="1415">
        <v>518.1</v>
      </c>
      <c r="H3426" s="142">
        <v>70</v>
      </c>
      <c r="I3426" s="142">
        <v>620</v>
      </c>
      <c r="J3426" s="139">
        <v>0.23</v>
      </c>
      <c r="K3426" s="139">
        <v>8.01</v>
      </c>
      <c r="L3426" s="142">
        <v>1011</v>
      </c>
      <c r="M3426" s="140">
        <v>2.94</v>
      </c>
      <c r="N3426" s="140">
        <v>4.1500000000000004</v>
      </c>
      <c r="O3426" s="140">
        <v>6.91</v>
      </c>
      <c r="P3426" s="140">
        <v>5.14</v>
      </c>
      <c r="R3426" s="1414">
        <v>1.0401764495235493</v>
      </c>
      <c r="S3426" s="1413">
        <v>7.22</v>
      </c>
      <c r="Y3426" s="1413">
        <v>28.8</v>
      </c>
      <c r="AA3426" s="1414">
        <v>3.97</v>
      </c>
      <c r="AB3426" s="1414">
        <v>0.35</v>
      </c>
      <c r="AC3426" s="1412">
        <v>9</v>
      </c>
      <c r="AD3426" s="1416">
        <v>480</v>
      </c>
      <c r="AE3426" s="1416">
        <v>300</v>
      </c>
      <c r="AF3426" s="1416">
        <v>220</v>
      </c>
      <c r="AG3426" s="66">
        <f t="shared" si="130"/>
        <v>98.456249999999997</v>
      </c>
      <c r="AH3426" s="143">
        <f t="shared" si="131"/>
        <v>1000</v>
      </c>
    </row>
    <row r="3427" spans="1:34" s="1412" customFormat="1" x14ac:dyDescent="0.3">
      <c r="A3427" s="1412">
        <v>203370</v>
      </c>
      <c r="B3427" s="1413">
        <v>40.833333333333336</v>
      </c>
      <c r="C3427" s="1413">
        <v>12.36</v>
      </c>
      <c r="D3427" s="1414">
        <v>8.1</v>
      </c>
      <c r="E3427" s="1586">
        <v>0.86399999999999999</v>
      </c>
      <c r="F3427" s="1415">
        <v>950.4</v>
      </c>
      <c r="H3427" s="142">
        <v>88</v>
      </c>
      <c r="I3427" s="142">
        <v>868</v>
      </c>
      <c r="J3427" s="139">
        <v>0.28999999999999998</v>
      </c>
      <c r="K3427" s="139">
        <v>8.93</v>
      </c>
      <c r="L3427" s="142">
        <v>1159</v>
      </c>
      <c r="M3427" s="140">
        <v>2.1800000000000002</v>
      </c>
      <c r="N3427" s="140">
        <v>5.52</v>
      </c>
      <c r="O3427" s="140">
        <v>6.22</v>
      </c>
      <c r="P3427" s="140">
        <v>5.92</v>
      </c>
      <c r="R3427" s="1414">
        <v>0.50171321579872663</v>
      </c>
      <c r="S3427" s="1413">
        <v>3.4499999999999997</v>
      </c>
      <c r="Y3427" s="1413">
        <v>28.2</v>
      </c>
      <c r="AA3427" s="1414">
        <v>3.77</v>
      </c>
      <c r="AB3427" s="1414">
        <v>0.36499999999999999</v>
      </c>
      <c r="AC3427" s="1412">
        <v>12</v>
      </c>
      <c r="AD3427" s="1416">
        <v>470</v>
      </c>
      <c r="AE3427" s="1416">
        <v>250</v>
      </c>
      <c r="AF3427" s="1416">
        <v>280</v>
      </c>
      <c r="AG3427" s="66">
        <f t="shared" si="130"/>
        <v>112.1</v>
      </c>
      <c r="AH3427" s="143">
        <f t="shared" si="131"/>
        <v>1000</v>
      </c>
    </row>
    <row r="3428" spans="1:34" s="711" customFormat="1" x14ac:dyDescent="0.3">
      <c r="A3428" s="711">
        <v>203371</v>
      </c>
      <c r="B3428" s="712">
        <v>23.333333333333332</v>
      </c>
      <c r="C3428" s="712">
        <v>10.199999999999999</v>
      </c>
      <c r="D3428" s="713">
        <v>8.4</v>
      </c>
      <c r="E3428" s="1566">
        <v>2.76</v>
      </c>
      <c r="F3428" s="714">
        <v>3036</v>
      </c>
      <c r="H3428" s="142">
        <v>76</v>
      </c>
      <c r="I3428" s="142">
        <v>782</v>
      </c>
      <c r="J3428" s="139">
        <v>0.27</v>
      </c>
      <c r="K3428" s="139">
        <v>9.6199999999999992</v>
      </c>
      <c r="L3428" s="142">
        <v>1192</v>
      </c>
      <c r="M3428" s="140">
        <v>2.62</v>
      </c>
      <c r="N3428" s="140">
        <v>4.45</v>
      </c>
      <c r="O3428" s="140">
        <v>3.43</v>
      </c>
      <c r="P3428" s="140">
        <v>6.75</v>
      </c>
      <c r="R3428" s="713">
        <v>0.48359810264390651</v>
      </c>
      <c r="S3428" s="712">
        <v>3.37</v>
      </c>
      <c r="Y3428" s="712">
        <v>28</v>
      </c>
      <c r="AA3428" s="713">
        <v>4.47</v>
      </c>
      <c r="AB3428" s="713">
        <v>0.751</v>
      </c>
      <c r="AC3428" s="711">
        <v>11.4</v>
      </c>
      <c r="AD3428" s="716">
        <v>560</v>
      </c>
      <c r="AE3428" s="716">
        <v>320</v>
      </c>
      <c r="AF3428" s="716">
        <v>120</v>
      </c>
      <c r="AG3428" s="66">
        <f t="shared" si="130"/>
        <v>121.62428571428572</v>
      </c>
      <c r="AH3428" s="143">
        <f t="shared" si="131"/>
        <v>1000</v>
      </c>
    </row>
    <row r="3429" spans="1:34" s="711" customFormat="1" x14ac:dyDescent="0.3">
      <c r="A3429" s="711">
        <v>203372</v>
      </c>
      <c r="B3429" s="712">
        <v>17.5</v>
      </c>
      <c r="C3429" s="712">
        <v>9.4</v>
      </c>
      <c r="D3429" s="713">
        <v>8.3000000000000007</v>
      </c>
      <c r="E3429" s="1566">
        <v>2.3199999999999998</v>
      </c>
      <c r="F3429" s="714">
        <v>2552</v>
      </c>
      <c r="H3429" s="142">
        <v>87</v>
      </c>
      <c r="I3429" s="142">
        <v>606</v>
      </c>
      <c r="J3429" s="139">
        <v>0.26</v>
      </c>
      <c r="K3429" s="139">
        <v>8.67</v>
      </c>
      <c r="L3429" s="142">
        <v>911</v>
      </c>
      <c r="M3429" s="140">
        <v>2.11</v>
      </c>
      <c r="N3429" s="140">
        <v>5.63</v>
      </c>
      <c r="O3429" s="140">
        <v>6.07</v>
      </c>
      <c r="P3429" s="140">
        <v>6.9</v>
      </c>
      <c r="R3429" s="713">
        <v>0.47549449962713375</v>
      </c>
      <c r="S3429" s="712">
        <v>3.12</v>
      </c>
      <c r="Y3429" s="712">
        <v>27.5</v>
      </c>
      <c r="AA3429" s="713">
        <v>3.52</v>
      </c>
      <c r="AB3429" s="713">
        <v>0.55200000000000005</v>
      </c>
      <c r="AC3429" s="711">
        <v>6.3</v>
      </c>
      <c r="AD3429" s="716">
        <v>550</v>
      </c>
      <c r="AE3429" s="716">
        <v>320</v>
      </c>
      <c r="AF3429" s="716">
        <v>130</v>
      </c>
      <c r="AG3429" s="66">
        <f t="shared" si="130"/>
        <v>111.60654545454547</v>
      </c>
      <c r="AH3429" s="143">
        <f t="shared" si="131"/>
        <v>1000</v>
      </c>
    </row>
    <row r="3430" spans="1:34" s="711" customFormat="1" x14ac:dyDescent="0.3">
      <c r="A3430" s="711">
        <v>203373</v>
      </c>
      <c r="B3430" s="712">
        <v>20</v>
      </c>
      <c r="C3430" s="712">
        <v>8.69</v>
      </c>
      <c r="D3430" s="713">
        <v>8.4</v>
      </c>
      <c r="E3430" s="1566">
        <v>2.37</v>
      </c>
      <c r="F3430" s="714">
        <v>2607</v>
      </c>
      <c r="H3430" s="142">
        <v>82</v>
      </c>
      <c r="I3430" s="142">
        <v>619</v>
      </c>
      <c r="J3430" s="139">
        <v>0.21</v>
      </c>
      <c r="K3430" s="139">
        <v>9.81</v>
      </c>
      <c r="L3430" s="142">
        <v>1044</v>
      </c>
      <c r="M3430" s="140">
        <v>2.59</v>
      </c>
      <c r="N3430" s="140">
        <v>5.32</v>
      </c>
      <c r="O3430" s="140">
        <v>4.6900000000000004</v>
      </c>
      <c r="P3430" s="140">
        <v>6.55</v>
      </c>
      <c r="R3430" s="713">
        <v>0.35745572339390597</v>
      </c>
      <c r="S3430" s="712">
        <v>2.52</v>
      </c>
      <c r="Y3430" s="712">
        <v>26</v>
      </c>
      <c r="AA3430" s="713">
        <v>4.8600000000000003</v>
      </c>
      <c r="AB3430" s="713">
        <v>0.309</v>
      </c>
      <c r="AC3430" s="711">
        <v>9.3000000000000007</v>
      </c>
      <c r="AD3430" s="716">
        <v>520</v>
      </c>
      <c r="AE3430" s="716">
        <v>370</v>
      </c>
      <c r="AF3430" s="716">
        <v>110</v>
      </c>
      <c r="AG3430" s="66">
        <f t="shared" si="130"/>
        <v>133.56692307692308</v>
      </c>
      <c r="AH3430" s="143">
        <f t="shared" si="131"/>
        <v>1000</v>
      </c>
    </row>
    <row r="3431" spans="1:34" s="811" customFormat="1" x14ac:dyDescent="0.3">
      <c r="A3431" s="811">
        <v>203374</v>
      </c>
      <c r="B3431" s="1348">
        <v>36.666666666666671</v>
      </c>
      <c r="C3431" s="1348">
        <v>6.3</v>
      </c>
      <c r="D3431" s="810">
        <v>8.4</v>
      </c>
      <c r="E3431" s="808">
        <v>0.16500000000000001</v>
      </c>
      <c r="F3431" s="812">
        <v>181.50000000000003</v>
      </c>
      <c r="H3431" s="142">
        <v>77</v>
      </c>
      <c r="I3431" s="142">
        <v>823</v>
      </c>
      <c r="J3431" s="139">
        <v>2.1000000000000001E-2</v>
      </c>
      <c r="K3431" s="139">
        <v>9.32</v>
      </c>
      <c r="L3431" s="142">
        <v>1147</v>
      </c>
      <c r="M3431" s="140">
        <v>2.37</v>
      </c>
      <c r="N3431" s="140">
        <v>5.45</v>
      </c>
      <c r="O3431" s="140">
        <v>3.55</v>
      </c>
      <c r="P3431" s="140">
        <v>6.52</v>
      </c>
      <c r="R3431" s="810">
        <v>1.8504771200000001</v>
      </c>
      <c r="S3431" s="1348">
        <v>18.28</v>
      </c>
      <c r="Y3431" s="1348">
        <v>31.2</v>
      </c>
      <c r="AA3431" s="810">
        <v>3.8</v>
      </c>
      <c r="AB3431" s="810">
        <v>0.315</v>
      </c>
      <c r="AC3431" s="811">
        <v>8.3000000000000007</v>
      </c>
      <c r="AD3431" s="815">
        <v>520</v>
      </c>
      <c r="AE3431" s="815">
        <v>300</v>
      </c>
      <c r="AF3431" s="815">
        <v>180</v>
      </c>
      <c r="AG3431" s="66">
        <f t="shared" si="130"/>
        <v>105.74615384615386</v>
      </c>
      <c r="AH3431" s="143">
        <f t="shared" si="131"/>
        <v>1000</v>
      </c>
    </row>
    <row r="3432" spans="1:34" s="811" customFormat="1" x14ac:dyDescent="0.3">
      <c r="A3432" s="811">
        <v>203375</v>
      </c>
      <c r="B3432" s="1348">
        <v>38.666666666666657</v>
      </c>
      <c r="C3432" s="1348">
        <v>5.9</v>
      </c>
      <c r="D3432" s="810">
        <v>8.3000000000000007</v>
      </c>
      <c r="E3432" s="808">
        <v>0.17100000000000001</v>
      </c>
      <c r="F3432" s="812">
        <v>188.10000000000002</v>
      </c>
      <c r="H3432" s="142">
        <v>89</v>
      </c>
      <c r="I3432" s="142">
        <v>603</v>
      </c>
      <c r="J3432" s="139">
        <v>2.3E-2</v>
      </c>
      <c r="K3432" s="139">
        <v>8.61</v>
      </c>
      <c r="L3432" s="142">
        <v>888</v>
      </c>
      <c r="M3432" s="140">
        <v>2.29</v>
      </c>
      <c r="N3432" s="140">
        <v>4.0199999999999996</v>
      </c>
      <c r="O3432" s="140">
        <v>5.34</v>
      </c>
      <c r="P3432" s="140">
        <v>6.32</v>
      </c>
      <c r="R3432" s="810">
        <v>1.8542363300000002</v>
      </c>
      <c r="S3432" s="1348">
        <v>18.41</v>
      </c>
      <c r="Y3432" s="1348">
        <v>31.8</v>
      </c>
      <c r="AA3432" s="810">
        <v>3.94</v>
      </c>
      <c r="AB3432" s="810">
        <v>0.47699999999999998</v>
      </c>
      <c r="AC3432" s="811">
        <v>11</v>
      </c>
      <c r="AD3432" s="815">
        <v>530</v>
      </c>
      <c r="AE3432" s="815">
        <v>270</v>
      </c>
      <c r="AF3432" s="815">
        <v>200</v>
      </c>
      <c r="AG3432" s="66">
        <f t="shared" si="130"/>
        <v>95.84716981132074</v>
      </c>
      <c r="AH3432" s="143">
        <f t="shared" si="131"/>
        <v>1000</v>
      </c>
    </row>
    <row r="3433" spans="1:34" s="1370" customFormat="1" x14ac:dyDescent="0.3">
      <c r="A3433" s="1370">
        <v>203376</v>
      </c>
      <c r="B3433" s="1371">
        <v>5.833333333333333</v>
      </c>
      <c r="C3433" s="1371"/>
      <c r="D3433" s="1372">
        <v>8.1999999999999993</v>
      </c>
      <c r="E3433" s="1587">
        <v>2.83</v>
      </c>
      <c r="F3433" s="1373">
        <v>3113.0000000000005</v>
      </c>
      <c r="H3433" s="142">
        <v>76</v>
      </c>
      <c r="I3433" s="142">
        <v>857</v>
      </c>
      <c r="J3433" s="139">
        <v>0.54</v>
      </c>
      <c r="K3433" s="139">
        <v>8.2799999999999994</v>
      </c>
      <c r="L3433" s="142">
        <v>1167</v>
      </c>
      <c r="M3433" s="140">
        <v>2.81</v>
      </c>
      <c r="N3433" s="140">
        <v>4.7300000000000004</v>
      </c>
      <c r="O3433" s="140">
        <v>5.43</v>
      </c>
      <c r="P3433" s="140">
        <v>4.9400000000000004</v>
      </c>
      <c r="R3433" s="1372">
        <v>0.86142647700164388</v>
      </c>
      <c r="S3433" s="1371">
        <v>5.8999999999999995</v>
      </c>
      <c r="Y3433" s="1371">
        <v>27</v>
      </c>
      <c r="AA3433" s="1372">
        <v>4.08</v>
      </c>
      <c r="AB3433" s="1372">
        <v>0.31900000000000001</v>
      </c>
      <c r="AC3433" s="1370">
        <v>6.5</v>
      </c>
      <c r="AD3433" s="1411">
        <v>540</v>
      </c>
      <c r="AE3433" s="1411">
        <v>270</v>
      </c>
      <c r="AF3433" s="1411">
        <v>190</v>
      </c>
      <c r="AG3433" s="66">
        <f t="shared" si="130"/>
        <v>108.56</v>
      </c>
      <c r="AH3433" s="143">
        <f t="shared" si="131"/>
        <v>1000</v>
      </c>
    </row>
    <row r="3434" spans="1:34" s="1370" customFormat="1" x14ac:dyDescent="0.3">
      <c r="A3434" s="1370">
        <v>203377</v>
      </c>
      <c r="B3434" s="1371">
        <v>6.8749999999999991</v>
      </c>
      <c r="C3434" s="1371"/>
      <c r="D3434" s="1372">
        <v>8.3000000000000007</v>
      </c>
      <c r="E3434" s="1587">
        <v>2.74</v>
      </c>
      <c r="F3434" s="1373">
        <v>3014.0000000000005</v>
      </c>
      <c r="H3434" s="142">
        <v>84</v>
      </c>
      <c r="I3434" s="142">
        <v>826</v>
      </c>
      <c r="J3434" s="139">
        <v>0.5</v>
      </c>
      <c r="K3434" s="139">
        <v>9.01</v>
      </c>
      <c r="L3434" s="142">
        <v>1076</v>
      </c>
      <c r="M3434" s="140">
        <v>2.7</v>
      </c>
      <c r="N3434" s="140">
        <v>4.32</v>
      </c>
      <c r="O3434" s="140">
        <v>3.69</v>
      </c>
      <c r="P3434" s="140">
        <v>5.7</v>
      </c>
      <c r="R3434" s="1372">
        <v>0.89003060917603816</v>
      </c>
      <c r="S3434" s="1371">
        <v>6.14</v>
      </c>
      <c r="Y3434" s="1371">
        <v>21</v>
      </c>
      <c r="AA3434" s="1372">
        <v>4.99</v>
      </c>
      <c r="AB3434" s="1372">
        <v>0.432</v>
      </c>
      <c r="AC3434" s="1370">
        <v>11.8</v>
      </c>
      <c r="AD3434" s="1411">
        <v>420</v>
      </c>
      <c r="AE3434" s="1411">
        <v>380</v>
      </c>
      <c r="AF3434" s="1411">
        <v>200</v>
      </c>
      <c r="AG3434" s="66">
        <f t="shared" si="130"/>
        <v>151.88285714285715</v>
      </c>
      <c r="AH3434" s="143">
        <f t="shared" si="131"/>
        <v>1000</v>
      </c>
    </row>
    <row r="3435" spans="1:34" s="1370" customFormat="1" x14ac:dyDescent="0.3">
      <c r="A3435" s="1370">
        <v>203378</v>
      </c>
      <c r="B3435" s="1371">
        <v>5.4166666666666661</v>
      </c>
      <c r="C3435" s="1371"/>
      <c r="D3435" s="1372">
        <v>8.3000000000000007</v>
      </c>
      <c r="E3435" s="1587">
        <v>3.17</v>
      </c>
      <c r="F3435" s="1373">
        <v>3487</v>
      </c>
      <c r="H3435" s="142">
        <v>77</v>
      </c>
      <c r="I3435" s="142">
        <v>842</v>
      </c>
      <c r="J3435" s="139">
        <v>0.82</v>
      </c>
      <c r="K3435" s="139">
        <v>9.27</v>
      </c>
      <c r="L3435" s="142">
        <v>1194</v>
      </c>
      <c r="M3435" s="140">
        <v>2.62</v>
      </c>
      <c r="N3435" s="140">
        <v>4.5999999999999996</v>
      </c>
      <c r="O3435" s="140">
        <v>6.59</v>
      </c>
      <c r="P3435" s="140">
        <v>6.08</v>
      </c>
      <c r="R3435" s="1372">
        <v>0.60498582912417109</v>
      </c>
      <c r="S3435" s="1371">
        <v>4.34</v>
      </c>
      <c r="Y3435" s="1371">
        <v>23</v>
      </c>
      <c r="AA3435" s="1372">
        <v>3.68</v>
      </c>
      <c r="AB3435" s="1372">
        <v>0.45300000000000001</v>
      </c>
      <c r="AC3435" s="1370">
        <v>6.5</v>
      </c>
      <c r="AD3435" s="1411">
        <v>460</v>
      </c>
      <c r="AE3435" s="1411">
        <v>260</v>
      </c>
      <c r="AF3435" s="1411">
        <v>280</v>
      </c>
      <c r="AG3435" s="66">
        <f t="shared" si="130"/>
        <v>142.67739130434779</v>
      </c>
      <c r="AH3435" s="143">
        <f t="shared" si="131"/>
        <v>1000</v>
      </c>
    </row>
    <row r="3436" spans="1:34" s="1370" customFormat="1" x14ac:dyDescent="0.3">
      <c r="A3436" s="1370">
        <v>203379</v>
      </c>
      <c r="B3436" s="1371">
        <v>4.7916666666666661</v>
      </c>
      <c r="C3436" s="1371"/>
      <c r="D3436" s="1372">
        <v>8.5</v>
      </c>
      <c r="E3436" s="1587">
        <v>2.7320000000000002</v>
      </c>
      <c r="F3436" s="1373">
        <v>3005.2000000000003</v>
      </c>
      <c r="H3436" s="142">
        <v>89</v>
      </c>
      <c r="I3436" s="142">
        <v>696</v>
      </c>
      <c r="J3436" s="139">
        <v>0.86</v>
      </c>
      <c r="K3436" s="139">
        <v>10.119999999999999</v>
      </c>
      <c r="L3436" s="142">
        <v>1079</v>
      </c>
      <c r="M3436" s="140">
        <v>2.73</v>
      </c>
      <c r="N3436" s="140">
        <v>4.43</v>
      </c>
      <c r="O3436" s="140">
        <v>4.05</v>
      </c>
      <c r="P3436" s="140">
        <v>5.53</v>
      </c>
      <c r="R3436" s="1372">
        <v>0.67838518729074726</v>
      </c>
      <c r="S3436" s="1371">
        <v>4.7799999999999994</v>
      </c>
      <c r="Y3436" s="1371">
        <v>31.5</v>
      </c>
      <c r="AA3436" s="1372">
        <v>4.33</v>
      </c>
      <c r="AB3436" s="1372">
        <v>0.57399999999999995</v>
      </c>
      <c r="AC3436" s="1370">
        <v>6.2</v>
      </c>
      <c r="AD3436" s="1411">
        <v>450</v>
      </c>
      <c r="AE3436" s="1411">
        <v>250</v>
      </c>
      <c r="AF3436" s="1411">
        <v>300</v>
      </c>
      <c r="AG3436" s="66">
        <f t="shared" si="130"/>
        <v>113.7295238095238</v>
      </c>
      <c r="AH3436" s="143">
        <f t="shared" si="131"/>
        <v>1000</v>
      </c>
    </row>
    <row r="3437" spans="1:34" s="1069" customFormat="1" x14ac:dyDescent="0.3">
      <c r="A3437" s="1069">
        <v>203380</v>
      </c>
      <c r="B3437" s="1070">
        <v>16.666666666666664</v>
      </c>
      <c r="C3437" s="1070"/>
      <c r="D3437" s="1071">
        <v>7.8</v>
      </c>
      <c r="E3437" s="1580">
        <v>0.27600000000000002</v>
      </c>
      <c r="F3437" s="1072">
        <v>303.60000000000002</v>
      </c>
      <c r="H3437" s="142">
        <v>65</v>
      </c>
      <c r="I3437" s="142">
        <v>855</v>
      </c>
      <c r="J3437" s="139">
        <v>2.3E-2</v>
      </c>
      <c r="K3437" s="139">
        <v>8.26</v>
      </c>
      <c r="L3437" s="142">
        <v>854</v>
      </c>
      <c r="M3437" s="140">
        <v>2.84</v>
      </c>
      <c r="N3437" s="140">
        <v>4.57</v>
      </c>
      <c r="O3437" s="140">
        <v>6.94</v>
      </c>
      <c r="P3437" s="140">
        <v>5.15</v>
      </c>
      <c r="R3437" s="1071">
        <v>1.75315808</v>
      </c>
      <c r="S3437" s="1070">
        <v>15.16</v>
      </c>
      <c r="Y3437" s="1070">
        <v>33.6</v>
      </c>
      <c r="AA3437" s="1071">
        <v>4.3499999999999996</v>
      </c>
      <c r="AB3437" s="1071">
        <v>0.74299999999999999</v>
      </c>
      <c r="AC3437" s="1069">
        <v>7.3</v>
      </c>
      <c r="AD3437" s="1074">
        <v>560</v>
      </c>
      <c r="AE3437" s="1074">
        <v>280</v>
      </c>
      <c r="AF3437" s="1074">
        <v>160</v>
      </c>
      <c r="AG3437" s="66">
        <f t="shared" si="130"/>
        <v>87.024999999999991</v>
      </c>
      <c r="AH3437" s="143">
        <f t="shared" si="131"/>
        <v>1000</v>
      </c>
    </row>
    <row r="3438" spans="1:34" s="1069" customFormat="1" x14ac:dyDescent="0.3">
      <c r="A3438" s="1069">
        <v>203381</v>
      </c>
      <c r="B3438" s="1070">
        <v>18.333333333333336</v>
      </c>
      <c r="C3438" s="1070">
        <v>7.3</v>
      </c>
      <c r="D3438" s="1071">
        <v>8.4</v>
      </c>
      <c r="E3438" s="1580">
        <v>0.23499999999999999</v>
      </c>
      <c r="F3438" s="1072">
        <v>258.5</v>
      </c>
      <c r="H3438" s="142">
        <v>86</v>
      </c>
      <c r="I3438" s="142">
        <v>636</v>
      </c>
      <c r="J3438" s="139">
        <v>2.5000000000000001E-2</v>
      </c>
      <c r="K3438" s="139">
        <v>10.39</v>
      </c>
      <c r="L3438" s="142">
        <v>1047</v>
      </c>
      <c r="M3438" s="140">
        <v>2.27</v>
      </c>
      <c r="N3438" s="140">
        <v>4.0199999999999996</v>
      </c>
      <c r="O3438" s="140">
        <v>4.74</v>
      </c>
      <c r="P3438" s="140">
        <v>5.08</v>
      </c>
      <c r="R3438" s="1071">
        <v>1.66975812</v>
      </c>
      <c r="S3438" s="1070">
        <v>12.780000000000001</v>
      </c>
      <c r="Y3438" s="1070">
        <v>27.5</v>
      </c>
      <c r="AA3438" s="1071">
        <v>4.72</v>
      </c>
      <c r="AB3438" s="1071">
        <v>0.751</v>
      </c>
      <c r="AC3438" s="1069">
        <v>6.1</v>
      </c>
      <c r="AD3438" s="1074">
        <v>550</v>
      </c>
      <c r="AE3438" s="1074">
        <v>290</v>
      </c>
      <c r="AF3438" s="1074">
        <v>160</v>
      </c>
      <c r="AG3438" s="66">
        <f t="shared" si="130"/>
        <v>133.74763636363636</v>
      </c>
      <c r="AH3438" s="143">
        <f t="shared" si="131"/>
        <v>1000</v>
      </c>
    </row>
    <row r="3439" spans="1:34" s="1069" customFormat="1" x14ac:dyDescent="0.3">
      <c r="A3439" s="1069">
        <v>203382</v>
      </c>
      <c r="B3439" s="1070">
        <v>46.666666666666664</v>
      </c>
      <c r="C3439" s="1070">
        <v>15.36</v>
      </c>
      <c r="D3439" s="1071">
        <v>7.9</v>
      </c>
      <c r="E3439" s="1580">
        <v>0.26200000000000001</v>
      </c>
      <c r="F3439" s="1072">
        <v>288.2</v>
      </c>
      <c r="H3439" s="142">
        <v>63</v>
      </c>
      <c r="I3439" s="142">
        <v>675</v>
      </c>
      <c r="J3439" s="139">
        <v>2.5000000000000001E-2</v>
      </c>
      <c r="K3439" s="139">
        <v>8.51</v>
      </c>
      <c r="L3439" s="142">
        <v>1085</v>
      </c>
      <c r="M3439" s="140">
        <v>2.0699999999999998</v>
      </c>
      <c r="N3439" s="140">
        <v>6</v>
      </c>
      <c r="O3439" s="140">
        <v>3.91</v>
      </c>
      <c r="P3439" s="140">
        <v>4.22</v>
      </c>
      <c r="R3439" s="1071">
        <v>1.75947425</v>
      </c>
      <c r="S3439" s="1070">
        <v>15.35</v>
      </c>
      <c r="Y3439" s="1070">
        <v>28</v>
      </c>
      <c r="AA3439" s="1071">
        <v>4.9400000000000004</v>
      </c>
      <c r="AB3439" s="1071">
        <v>0.76300000000000001</v>
      </c>
      <c r="AC3439" s="1069">
        <v>10</v>
      </c>
      <c r="AD3439" s="1074">
        <v>560</v>
      </c>
      <c r="AE3439" s="1074">
        <v>270</v>
      </c>
      <c r="AF3439" s="1074">
        <v>170</v>
      </c>
      <c r="AG3439" s="66">
        <f t="shared" si="130"/>
        <v>107.59071428571428</v>
      </c>
      <c r="AH3439" s="143">
        <f t="shared" si="131"/>
        <v>1000</v>
      </c>
    </row>
    <row r="3440" spans="1:34" s="1069" customFormat="1" x14ac:dyDescent="0.3">
      <c r="A3440" s="1069">
        <v>203383</v>
      </c>
      <c r="B3440" s="1070">
        <v>50</v>
      </c>
      <c r="C3440" s="1070">
        <v>16.3</v>
      </c>
      <c r="D3440" s="1071">
        <v>8.1</v>
      </c>
      <c r="E3440" s="1580">
        <v>0.17699999999999999</v>
      </c>
      <c r="F3440" s="1072">
        <v>194.70000000000002</v>
      </c>
      <c r="H3440" s="142">
        <v>73</v>
      </c>
      <c r="I3440" s="142">
        <v>766</v>
      </c>
      <c r="J3440" s="139">
        <v>2.4E-2</v>
      </c>
      <c r="K3440" s="139">
        <v>10.11</v>
      </c>
      <c r="L3440" s="142">
        <v>1145</v>
      </c>
      <c r="M3440" s="140">
        <v>2.86</v>
      </c>
      <c r="N3440" s="140">
        <v>6.76</v>
      </c>
      <c r="O3440" s="140">
        <v>5.65</v>
      </c>
      <c r="P3440" s="140">
        <v>4.9000000000000004</v>
      </c>
      <c r="R3440" s="1071">
        <v>1.6799814800000001</v>
      </c>
      <c r="S3440" s="1070">
        <v>13.06</v>
      </c>
      <c r="Y3440" s="1070">
        <v>32.4</v>
      </c>
      <c r="AA3440" s="1071">
        <v>4.1900000000000004</v>
      </c>
      <c r="AB3440" s="1071">
        <v>0.40100000000000002</v>
      </c>
      <c r="AC3440" s="1069">
        <v>8.1</v>
      </c>
      <c r="AD3440" s="1074">
        <v>540</v>
      </c>
      <c r="AE3440" s="1074">
        <v>280</v>
      </c>
      <c r="AF3440" s="1074">
        <v>180</v>
      </c>
      <c r="AG3440" s="66">
        <f t="shared" si="130"/>
        <v>110.46111111111112</v>
      </c>
      <c r="AH3440" s="143">
        <f t="shared" si="131"/>
        <v>1000</v>
      </c>
    </row>
    <row r="3441" spans="1:34" s="1069" customFormat="1" x14ac:dyDescent="0.3">
      <c r="A3441" s="1069">
        <v>203384</v>
      </c>
      <c r="B3441" s="1070">
        <v>0.41666666666666669</v>
      </c>
      <c r="C3441" s="1070"/>
      <c r="D3441" s="1071">
        <v>7.8</v>
      </c>
      <c r="E3441" s="1580">
        <v>0.20499999999999999</v>
      </c>
      <c r="F3441" s="1072">
        <v>225.5</v>
      </c>
      <c r="H3441" s="142">
        <v>76</v>
      </c>
      <c r="I3441" s="142">
        <v>640</v>
      </c>
      <c r="J3441" s="139">
        <v>2.5000000000000001E-2</v>
      </c>
      <c r="K3441" s="139">
        <v>9.52</v>
      </c>
      <c r="L3441" s="142">
        <v>948</v>
      </c>
      <c r="M3441" s="140">
        <v>2.36</v>
      </c>
      <c r="N3441" s="140">
        <v>5.32</v>
      </c>
      <c r="O3441" s="140">
        <v>4.43</v>
      </c>
      <c r="P3441" s="140">
        <v>4.55</v>
      </c>
      <c r="R3441" s="1071">
        <v>1.7332225700000001</v>
      </c>
      <c r="S3441" s="1070">
        <v>14.57</v>
      </c>
      <c r="Y3441" s="1070">
        <v>33</v>
      </c>
      <c r="AA3441" s="1071">
        <v>4.8899999999999997</v>
      </c>
      <c r="AB3441" s="1071">
        <v>0.45500000000000002</v>
      </c>
      <c r="AC3441" s="1069">
        <v>10.199999999999999</v>
      </c>
      <c r="AD3441" s="1074">
        <v>550</v>
      </c>
      <c r="AE3441" s="1074">
        <v>290</v>
      </c>
      <c r="AF3441" s="1074">
        <v>160</v>
      </c>
      <c r="AG3441" s="66">
        <f t="shared" si="130"/>
        <v>102.12363636363636</v>
      </c>
      <c r="AH3441" s="143">
        <f t="shared" si="131"/>
        <v>1000</v>
      </c>
    </row>
    <row r="3442" spans="1:34" s="1069" customFormat="1" x14ac:dyDescent="0.3">
      <c r="A3442" s="1069">
        <v>203385</v>
      </c>
      <c r="B3442" s="1070">
        <v>0.41666666666666669</v>
      </c>
      <c r="C3442" s="1070"/>
      <c r="D3442" s="1071">
        <v>7.9</v>
      </c>
      <c r="E3442" s="1580">
        <v>0.19700000000000001</v>
      </c>
      <c r="F3442" s="1072">
        <v>216.70000000000005</v>
      </c>
      <c r="H3442" s="142">
        <v>87</v>
      </c>
      <c r="I3442" s="142">
        <v>649</v>
      </c>
      <c r="J3442" s="139">
        <v>2.3E-2</v>
      </c>
      <c r="K3442" s="139">
        <v>8.66</v>
      </c>
      <c r="L3442" s="142">
        <v>817</v>
      </c>
      <c r="M3442" s="140">
        <v>2.83</v>
      </c>
      <c r="N3442" s="140">
        <v>5.57</v>
      </c>
      <c r="O3442" s="140">
        <v>7.47</v>
      </c>
      <c r="P3442" s="140">
        <v>5.75</v>
      </c>
      <c r="R3442" s="1071">
        <v>1.3371600876182561</v>
      </c>
      <c r="S3442" s="1070">
        <v>9.5399999999999991</v>
      </c>
      <c r="Y3442" s="1070">
        <v>37.1</v>
      </c>
      <c r="AA3442" s="1071">
        <v>4.78</v>
      </c>
      <c r="AB3442" s="1071">
        <v>0.82799999999999996</v>
      </c>
      <c r="AC3442" s="1069">
        <v>6.8</v>
      </c>
      <c r="AD3442" s="1074">
        <v>530</v>
      </c>
      <c r="AE3442" s="1074">
        <v>280</v>
      </c>
      <c r="AF3442" s="1074">
        <v>190</v>
      </c>
      <c r="AG3442" s="66">
        <f t="shared" si="130"/>
        <v>82.631805929919139</v>
      </c>
      <c r="AH3442" s="143">
        <f t="shared" si="131"/>
        <v>1000</v>
      </c>
    </row>
    <row r="3443" spans="1:34" s="1069" customFormat="1" x14ac:dyDescent="0.3">
      <c r="A3443" s="1069">
        <v>203386</v>
      </c>
      <c r="B3443" s="1070">
        <v>8.5416666666666661</v>
      </c>
      <c r="C3443" s="1070"/>
      <c r="D3443" s="1071">
        <v>8.1999999999999993</v>
      </c>
      <c r="E3443" s="1580">
        <v>0.29599999999999999</v>
      </c>
      <c r="F3443" s="1072">
        <v>325.60000000000002</v>
      </c>
      <c r="H3443" s="142">
        <v>61</v>
      </c>
      <c r="I3443" s="142">
        <v>632</v>
      </c>
      <c r="J3443" s="139">
        <v>2.5000000000000001E-2</v>
      </c>
      <c r="K3443" s="139">
        <v>9</v>
      </c>
      <c r="L3443" s="142">
        <v>962</v>
      </c>
      <c r="M3443" s="140">
        <v>2.99</v>
      </c>
      <c r="N3443" s="140">
        <v>4.26</v>
      </c>
      <c r="O3443" s="140">
        <v>5.47</v>
      </c>
      <c r="P3443" s="140">
        <v>4.1900000000000004</v>
      </c>
      <c r="R3443" s="1071">
        <v>1.6395653700000001</v>
      </c>
      <c r="S3443" s="1070">
        <v>11.97</v>
      </c>
      <c r="Y3443" s="1070">
        <v>38.5</v>
      </c>
      <c r="AA3443" s="1071">
        <v>4.3600000000000003</v>
      </c>
      <c r="AB3443" s="1071">
        <v>0.68899999999999995</v>
      </c>
      <c r="AC3443" s="1069">
        <v>11.7</v>
      </c>
      <c r="AD3443" s="1074">
        <v>550</v>
      </c>
      <c r="AE3443" s="1074">
        <v>330</v>
      </c>
      <c r="AF3443" s="1074">
        <v>120</v>
      </c>
      <c r="AG3443" s="66">
        <f t="shared" si="130"/>
        <v>82.753246753246756</v>
      </c>
      <c r="AH3443" s="143">
        <f t="shared" si="131"/>
        <v>1000</v>
      </c>
    </row>
    <row r="3444" spans="1:34" s="1069" customFormat="1" x14ac:dyDescent="0.3">
      <c r="A3444" s="1069">
        <v>203387</v>
      </c>
      <c r="B3444" s="1070">
        <v>6.041666666666667</v>
      </c>
      <c r="C3444" s="1070"/>
      <c r="D3444" s="1071">
        <v>8.4</v>
      </c>
      <c r="E3444" s="1580">
        <v>0.32500000000000001</v>
      </c>
      <c r="F3444" s="1072">
        <v>357.50000000000006</v>
      </c>
      <c r="H3444" s="142">
        <v>90</v>
      </c>
      <c r="I3444" s="142">
        <v>608</v>
      </c>
      <c r="J3444" s="139">
        <v>2.1999999999999999E-2</v>
      </c>
      <c r="K3444" s="139">
        <v>8.93</v>
      </c>
      <c r="L3444" s="142">
        <v>1170</v>
      </c>
      <c r="M3444" s="140">
        <v>2.99</v>
      </c>
      <c r="N3444" s="140">
        <v>4.04</v>
      </c>
      <c r="O3444" s="140">
        <v>6.24</v>
      </c>
      <c r="P3444" s="140">
        <v>5.12</v>
      </c>
      <c r="R3444" s="1071">
        <v>1.7159465700000001</v>
      </c>
      <c r="S3444" s="1070">
        <v>14.07</v>
      </c>
      <c r="Y3444" s="1070">
        <v>39.200000000000003</v>
      </c>
      <c r="AA3444" s="1071">
        <v>3.95</v>
      </c>
      <c r="AB3444" s="1071">
        <v>0.33500000000000002</v>
      </c>
      <c r="AC3444" s="1069">
        <v>10.7</v>
      </c>
      <c r="AD3444" s="1074">
        <v>560</v>
      </c>
      <c r="AE3444" s="1074">
        <v>320</v>
      </c>
      <c r="AF3444" s="1074">
        <v>120</v>
      </c>
      <c r="AG3444" s="66">
        <f t="shared" si="130"/>
        <v>80.64336734693876</v>
      </c>
      <c r="AH3444" s="143">
        <f t="shared" si="131"/>
        <v>1000</v>
      </c>
    </row>
    <row r="3445" spans="1:34" s="755" customFormat="1" x14ac:dyDescent="0.3">
      <c r="A3445" s="755">
        <v>203388</v>
      </c>
      <c r="B3445" s="756">
        <v>0.33333333333333331</v>
      </c>
      <c r="C3445" s="756"/>
      <c r="D3445" s="757">
        <v>8.1</v>
      </c>
      <c r="E3445" s="1570">
        <v>0.48299999999999998</v>
      </c>
      <c r="F3445" s="758">
        <v>531.29999999999995</v>
      </c>
      <c r="H3445" s="142">
        <v>82</v>
      </c>
      <c r="I3445" s="142">
        <v>782</v>
      </c>
      <c r="J3445" s="139">
        <v>0.51</v>
      </c>
      <c r="K3445" s="139">
        <v>9.98</v>
      </c>
      <c r="L3445" s="142">
        <v>830</v>
      </c>
      <c r="M3445" s="140">
        <v>2.4500000000000002</v>
      </c>
      <c r="N3445" s="140">
        <v>4</v>
      </c>
      <c r="O3445" s="140">
        <v>3.02</v>
      </c>
      <c r="P3445" s="140">
        <v>5.37</v>
      </c>
      <c r="R3445" s="757">
        <v>1.4766310338875459</v>
      </c>
      <c r="S3445" s="756">
        <v>9.75</v>
      </c>
      <c r="Y3445" s="1424">
        <v>37.1</v>
      </c>
      <c r="AA3445" s="757">
        <v>3.75</v>
      </c>
      <c r="AB3445" s="757">
        <v>0.67200000000000004</v>
      </c>
      <c r="AC3445" s="755">
        <v>6</v>
      </c>
      <c r="AD3445" s="760">
        <v>530</v>
      </c>
      <c r="AE3445" s="760">
        <v>270</v>
      </c>
      <c r="AF3445" s="760">
        <v>200</v>
      </c>
      <c r="AG3445" s="66">
        <f t="shared" si="130"/>
        <v>95.226954177897568</v>
      </c>
      <c r="AH3445" s="143">
        <f t="shared" si="131"/>
        <v>1000</v>
      </c>
    </row>
    <row r="3446" spans="1:34" s="755" customFormat="1" x14ac:dyDescent="0.3">
      <c r="A3446" s="755">
        <v>203389</v>
      </c>
      <c r="B3446" s="756">
        <v>0.3666666666666667</v>
      </c>
      <c r="C3446" s="756"/>
      <c r="D3446" s="757">
        <v>8.3000000000000007</v>
      </c>
      <c r="E3446" s="1570">
        <v>0.22700000000000001</v>
      </c>
      <c r="F3446" s="758">
        <v>249.70000000000005</v>
      </c>
      <c r="H3446" s="142">
        <v>63</v>
      </c>
      <c r="I3446" s="142">
        <v>605</v>
      </c>
      <c r="J3446" s="139">
        <v>0.62</v>
      </c>
      <c r="K3446" s="139">
        <v>10.64</v>
      </c>
      <c r="L3446" s="142">
        <v>832</v>
      </c>
      <c r="M3446" s="140">
        <v>2.0699999999999998</v>
      </c>
      <c r="N3446" s="140">
        <v>5.39</v>
      </c>
      <c r="O3446" s="140">
        <v>4.38</v>
      </c>
      <c r="P3446" s="140">
        <v>5.0199999999999996</v>
      </c>
      <c r="R3446" s="757">
        <v>1.1200453166856201</v>
      </c>
      <c r="S3446" s="756">
        <v>8.26</v>
      </c>
      <c r="Y3446" s="1424">
        <v>26</v>
      </c>
      <c r="AA3446" s="757">
        <v>3.62</v>
      </c>
      <c r="AB3446" s="757">
        <v>0.51700000000000002</v>
      </c>
      <c r="AC3446" s="755">
        <v>6.9</v>
      </c>
      <c r="AD3446" s="760">
        <v>520</v>
      </c>
      <c r="AE3446" s="760">
        <v>240</v>
      </c>
      <c r="AF3446" s="760">
        <v>240</v>
      </c>
      <c r="AG3446" s="66">
        <f t="shared" si="130"/>
        <v>144.86769230769232</v>
      </c>
      <c r="AH3446" s="143">
        <f t="shared" si="131"/>
        <v>1000</v>
      </c>
    </row>
    <row r="3447" spans="1:34" s="755" customFormat="1" x14ac:dyDescent="0.3">
      <c r="A3447" s="755">
        <v>203390</v>
      </c>
      <c r="B3447" s="756">
        <v>0.83333333333333337</v>
      </c>
      <c r="C3447" s="756"/>
      <c r="D3447" s="757">
        <v>8.4</v>
      </c>
      <c r="E3447" s="1570">
        <v>0.34899999999999998</v>
      </c>
      <c r="F3447" s="758">
        <v>383.90000000000003</v>
      </c>
      <c r="H3447" s="142">
        <v>64</v>
      </c>
      <c r="I3447" s="142">
        <v>624</v>
      </c>
      <c r="J3447" s="139">
        <v>0.73</v>
      </c>
      <c r="K3447" s="139">
        <v>9.7200000000000006</v>
      </c>
      <c r="L3447" s="142">
        <v>850</v>
      </c>
      <c r="M3447" s="140">
        <v>2.81</v>
      </c>
      <c r="N3447" s="140">
        <v>4.1100000000000003</v>
      </c>
      <c r="O3447" s="140">
        <v>7.6</v>
      </c>
      <c r="P3447" s="140">
        <v>5.47</v>
      </c>
      <c r="R3447" s="757">
        <v>1.0901621115531055</v>
      </c>
      <c r="S3447" s="756">
        <v>7.5600000000000005</v>
      </c>
      <c r="Y3447" s="1424">
        <v>30</v>
      </c>
      <c r="AA3447" s="757">
        <v>4.13</v>
      </c>
      <c r="AB3447" s="757">
        <v>0.64200000000000002</v>
      </c>
      <c r="AC3447" s="755">
        <v>7.2</v>
      </c>
      <c r="AD3447" s="760">
        <v>500</v>
      </c>
      <c r="AE3447" s="760">
        <v>240</v>
      </c>
      <c r="AF3447" s="760">
        <v>260</v>
      </c>
      <c r="AG3447" s="66">
        <f t="shared" si="130"/>
        <v>114.696</v>
      </c>
      <c r="AH3447" s="143">
        <f t="shared" si="131"/>
        <v>1000</v>
      </c>
    </row>
    <row r="3448" spans="1:34" x14ac:dyDescent="0.3">
      <c r="A3448" s="114">
        <v>203391</v>
      </c>
      <c r="B3448" s="138">
        <v>0.33333333333333331</v>
      </c>
      <c r="D3448" s="152">
        <v>6.9</v>
      </c>
      <c r="E3448" s="752">
        <v>0.114</v>
      </c>
      <c r="F3448" s="142">
        <v>125.4</v>
      </c>
      <c r="H3448" s="142">
        <v>89</v>
      </c>
      <c r="I3448" s="142">
        <v>600</v>
      </c>
      <c r="J3448" s="139">
        <v>2.9000000000000001E-2</v>
      </c>
      <c r="K3448" s="139">
        <v>10.32</v>
      </c>
      <c r="L3448" s="142">
        <v>1080</v>
      </c>
      <c r="M3448" s="140">
        <v>2.95</v>
      </c>
      <c r="N3448" s="140">
        <v>5.46</v>
      </c>
      <c r="O3448" s="140">
        <v>5.13</v>
      </c>
      <c r="P3448" s="140">
        <v>5.61</v>
      </c>
      <c r="R3448" s="139">
        <v>1.8834582500000001</v>
      </c>
      <c r="S3448" s="138">
        <v>19.45</v>
      </c>
      <c r="Y3448" s="138">
        <v>28</v>
      </c>
      <c r="Z3448" s="140">
        <v>6.1</v>
      </c>
      <c r="AA3448" s="139">
        <v>3.67</v>
      </c>
      <c r="AB3448" s="139">
        <v>0.79</v>
      </c>
      <c r="AC3448" s="140">
        <v>9.4</v>
      </c>
      <c r="AD3448" s="70">
        <v>560</v>
      </c>
      <c r="AE3448" s="70">
        <v>280</v>
      </c>
      <c r="AF3448" s="70">
        <v>160</v>
      </c>
      <c r="AG3448" s="66">
        <f t="shared" si="130"/>
        <v>130.47428571428571</v>
      </c>
      <c r="AH3448" s="143">
        <f t="shared" si="131"/>
        <v>1000</v>
      </c>
    </row>
    <row r="3449" spans="1:34" x14ac:dyDescent="0.3">
      <c r="A3449" s="114">
        <v>203392</v>
      </c>
      <c r="B3449" s="138">
        <v>8.3333333333333329E-2</v>
      </c>
      <c r="D3449" s="152">
        <v>5.6</v>
      </c>
      <c r="E3449" s="752">
        <v>3.5000000000000003E-2</v>
      </c>
      <c r="F3449" s="142">
        <v>38.500000000000007</v>
      </c>
      <c r="H3449" s="142">
        <v>70</v>
      </c>
      <c r="I3449" s="142">
        <v>620</v>
      </c>
      <c r="J3449" s="139">
        <v>0.23</v>
      </c>
      <c r="K3449" s="139">
        <v>8.01</v>
      </c>
      <c r="L3449" s="142">
        <v>1011</v>
      </c>
      <c r="M3449" s="140">
        <v>2.94</v>
      </c>
      <c r="N3449" s="140">
        <v>4.1500000000000004</v>
      </c>
      <c r="O3449" s="140">
        <v>6.91</v>
      </c>
      <c r="P3449" s="140">
        <v>5.14</v>
      </c>
      <c r="R3449" s="139">
        <v>2.1167000000000002</v>
      </c>
      <c r="S3449" s="138">
        <v>32</v>
      </c>
      <c r="Y3449" s="138">
        <v>36.4</v>
      </c>
      <c r="Z3449" s="140">
        <v>4.72</v>
      </c>
      <c r="AA3449" s="139">
        <v>4.8099999999999996</v>
      </c>
      <c r="AB3449" s="139">
        <v>0.49099999999999999</v>
      </c>
      <c r="AC3449" s="140">
        <v>6.4</v>
      </c>
      <c r="AD3449" s="70">
        <v>520</v>
      </c>
      <c r="AE3449" s="70">
        <v>300</v>
      </c>
      <c r="AF3449" s="70">
        <v>180</v>
      </c>
      <c r="AG3449" s="66">
        <f t="shared" si="130"/>
        <v>77.899450549450549</v>
      </c>
      <c r="AH3449" s="143">
        <f t="shared" si="131"/>
        <v>1000</v>
      </c>
    </row>
    <row r="3450" spans="1:34" x14ac:dyDescent="0.3">
      <c r="A3450" s="114">
        <v>203393</v>
      </c>
      <c r="B3450" s="138">
        <v>8.3333333333333329E-2</v>
      </c>
      <c r="D3450" s="152">
        <v>5.2</v>
      </c>
      <c r="E3450" s="752">
        <v>9.4E-2</v>
      </c>
      <c r="F3450" s="142">
        <v>103.4</v>
      </c>
      <c r="H3450" s="142">
        <v>88</v>
      </c>
      <c r="I3450" s="142">
        <v>868</v>
      </c>
      <c r="J3450" s="139">
        <v>0.28999999999999998</v>
      </c>
      <c r="K3450" s="139">
        <v>8.93</v>
      </c>
      <c r="L3450" s="142">
        <v>1159</v>
      </c>
      <c r="M3450" s="140">
        <v>2.1800000000000002</v>
      </c>
      <c r="N3450" s="140">
        <v>5.52</v>
      </c>
      <c r="O3450" s="140">
        <v>6.22</v>
      </c>
      <c r="P3450" s="140">
        <v>5.92</v>
      </c>
      <c r="R3450" s="139">
        <v>1.9072630800000001</v>
      </c>
      <c r="S3450" s="138">
        <v>20.339999999999996</v>
      </c>
      <c r="Y3450" s="138">
        <v>32.4</v>
      </c>
      <c r="Z3450" s="140">
        <v>4.21</v>
      </c>
      <c r="AA3450" s="139">
        <v>4.1900000000000004</v>
      </c>
      <c r="AB3450" s="139">
        <v>0.83</v>
      </c>
      <c r="AC3450" s="140">
        <v>9.1</v>
      </c>
      <c r="AD3450" s="70">
        <v>540</v>
      </c>
      <c r="AE3450" s="70">
        <v>300</v>
      </c>
      <c r="AF3450" s="70">
        <v>160</v>
      </c>
      <c r="AG3450" s="66">
        <f t="shared" si="130"/>
        <v>97.568518518518516</v>
      </c>
      <c r="AH3450" s="143">
        <f t="shared" si="131"/>
        <v>1000</v>
      </c>
    </row>
    <row r="3451" spans="1:34" x14ac:dyDescent="0.3">
      <c r="A3451" s="114">
        <v>203394</v>
      </c>
      <c r="B3451" s="138">
        <v>0.16666666666666666</v>
      </c>
      <c r="D3451" s="152">
        <v>4.7</v>
      </c>
      <c r="E3451" s="752">
        <v>5.0999999999999997E-2</v>
      </c>
      <c r="F3451" s="142">
        <v>56.1</v>
      </c>
      <c r="H3451" s="142">
        <v>76</v>
      </c>
      <c r="I3451" s="142">
        <v>782</v>
      </c>
      <c r="J3451" s="139">
        <v>0.27</v>
      </c>
      <c r="K3451" s="139">
        <v>9.6199999999999992</v>
      </c>
      <c r="L3451" s="142">
        <v>1192</v>
      </c>
      <c r="M3451" s="140">
        <v>2.62</v>
      </c>
      <c r="N3451" s="140">
        <v>4.45</v>
      </c>
      <c r="O3451" s="140">
        <v>3.43</v>
      </c>
      <c r="P3451" s="140">
        <v>6.75</v>
      </c>
      <c r="R3451" s="139">
        <v>2.0558310799999999</v>
      </c>
      <c r="S3451" s="138">
        <v>27.34</v>
      </c>
      <c r="Y3451" s="138">
        <v>26</v>
      </c>
      <c r="Z3451" s="140">
        <v>3.91</v>
      </c>
      <c r="AA3451" s="139">
        <v>3.49</v>
      </c>
      <c r="AB3451" s="139">
        <v>0.503</v>
      </c>
      <c r="AC3451" s="140">
        <v>8.6999999999999993</v>
      </c>
      <c r="AD3451" s="70">
        <v>520</v>
      </c>
      <c r="AE3451" s="70">
        <v>260</v>
      </c>
      <c r="AF3451" s="70">
        <v>220</v>
      </c>
      <c r="AG3451" s="66">
        <f t="shared" si="130"/>
        <v>130.97999999999999</v>
      </c>
      <c r="AH3451" s="143">
        <f t="shared" si="131"/>
        <v>1000</v>
      </c>
    </row>
    <row r="3452" spans="1:34" x14ac:dyDescent="0.3">
      <c r="A3452" s="114">
        <v>203395</v>
      </c>
      <c r="B3452" s="138">
        <v>0.16666666666666666</v>
      </c>
      <c r="D3452" s="152">
        <v>6.1</v>
      </c>
      <c r="E3452" s="752">
        <v>3.1E-2</v>
      </c>
      <c r="F3452" s="142">
        <v>34.100000000000009</v>
      </c>
      <c r="H3452" s="142">
        <v>87</v>
      </c>
      <c r="I3452" s="142">
        <v>606</v>
      </c>
      <c r="J3452" s="139">
        <v>0.26</v>
      </c>
      <c r="K3452" s="139">
        <v>8.67</v>
      </c>
      <c r="L3452" s="142">
        <v>911</v>
      </c>
      <c r="M3452" s="140">
        <v>2.11</v>
      </c>
      <c r="N3452" s="140">
        <v>5.63</v>
      </c>
      <c r="O3452" s="140">
        <v>6.07</v>
      </c>
      <c r="P3452" s="140">
        <v>6.9</v>
      </c>
      <c r="R3452" s="139">
        <v>1.6425882500000002</v>
      </c>
      <c r="S3452" s="138">
        <v>12.05</v>
      </c>
      <c r="Y3452" s="138">
        <v>9</v>
      </c>
      <c r="Z3452" s="140">
        <v>5.32</v>
      </c>
      <c r="AA3452" s="139">
        <v>3.6</v>
      </c>
      <c r="AB3452" s="139">
        <v>0.33400000000000002</v>
      </c>
      <c r="AC3452" s="140">
        <v>9.6999999999999993</v>
      </c>
      <c r="AD3452" s="70">
        <v>180</v>
      </c>
      <c r="AE3452" s="70">
        <v>100</v>
      </c>
      <c r="AF3452" s="70">
        <v>720</v>
      </c>
      <c r="AG3452" s="66">
        <f t="shared" si="130"/>
        <v>341.02000000000004</v>
      </c>
      <c r="AH3452" s="143">
        <f t="shared" si="131"/>
        <v>1000</v>
      </c>
    </row>
    <row r="3453" spans="1:34" x14ac:dyDescent="0.3">
      <c r="A3453" s="114">
        <v>203396</v>
      </c>
      <c r="B3453" s="138">
        <v>4.1666666666666664E-2</v>
      </c>
      <c r="D3453" s="152">
        <v>5.5</v>
      </c>
      <c r="E3453" s="752">
        <v>2.9000000000000001E-2</v>
      </c>
      <c r="F3453" s="142">
        <v>31.900000000000006</v>
      </c>
      <c r="H3453" s="142">
        <v>82</v>
      </c>
      <c r="I3453" s="142">
        <v>619</v>
      </c>
      <c r="J3453" s="139">
        <v>0.21</v>
      </c>
      <c r="K3453" s="139">
        <v>9.81</v>
      </c>
      <c r="L3453" s="142">
        <v>1044</v>
      </c>
      <c r="M3453" s="140">
        <v>2.59</v>
      </c>
      <c r="N3453" s="140">
        <v>5.32</v>
      </c>
      <c r="O3453" s="140">
        <v>4.6900000000000004</v>
      </c>
      <c r="P3453" s="140">
        <v>6.55</v>
      </c>
      <c r="R3453" s="139">
        <v>2.0714550799999998</v>
      </c>
      <c r="S3453" s="138">
        <v>28.34</v>
      </c>
      <c r="Y3453" s="138">
        <v>35</v>
      </c>
      <c r="Z3453" s="140">
        <v>4.2300000000000004</v>
      </c>
      <c r="AA3453" s="139">
        <v>3.49</v>
      </c>
      <c r="AB3453" s="139">
        <v>0.66700000000000004</v>
      </c>
      <c r="AC3453" s="140">
        <v>7.8</v>
      </c>
      <c r="AD3453" s="70">
        <v>500</v>
      </c>
      <c r="AE3453" s="70">
        <v>300</v>
      </c>
      <c r="AF3453" s="70">
        <v>200</v>
      </c>
      <c r="AG3453" s="66">
        <f t="shared" si="130"/>
        <v>99.221142857142866</v>
      </c>
      <c r="AH3453" s="143">
        <f t="shared" si="131"/>
        <v>1000</v>
      </c>
    </row>
    <row r="3454" spans="1:34" x14ac:dyDescent="0.3">
      <c r="A3454" s="114">
        <v>203397</v>
      </c>
      <c r="B3454" s="138">
        <v>4.1666666666666664E-2</v>
      </c>
      <c r="D3454" s="152">
        <v>5.9</v>
      </c>
      <c r="E3454" s="752">
        <v>0.06</v>
      </c>
      <c r="F3454" s="142">
        <v>66</v>
      </c>
      <c r="H3454" s="142">
        <v>77</v>
      </c>
      <c r="I3454" s="142">
        <v>823</v>
      </c>
      <c r="J3454" s="139">
        <v>2.1000000000000001E-2</v>
      </c>
      <c r="K3454" s="139">
        <v>9.32</v>
      </c>
      <c r="L3454" s="142">
        <v>1147</v>
      </c>
      <c r="M3454" s="140">
        <v>2.37</v>
      </c>
      <c r="N3454" s="140">
        <v>5.45</v>
      </c>
      <c r="O3454" s="140">
        <v>3.55</v>
      </c>
      <c r="P3454" s="140">
        <v>6.52</v>
      </c>
      <c r="R3454" s="139">
        <v>2.0528700799999999</v>
      </c>
      <c r="S3454" s="138">
        <v>27.160000000000004</v>
      </c>
      <c r="Y3454" s="138">
        <v>27</v>
      </c>
      <c r="Z3454" s="140">
        <v>4.82</v>
      </c>
      <c r="AA3454" s="139">
        <v>4.68</v>
      </c>
      <c r="AB3454" s="139">
        <v>0.52100000000000002</v>
      </c>
      <c r="AC3454" s="140">
        <v>7.8</v>
      </c>
      <c r="AD3454" s="70">
        <v>540</v>
      </c>
      <c r="AE3454" s="70">
        <v>300</v>
      </c>
      <c r="AF3454" s="70">
        <v>160</v>
      </c>
      <c r="AG3454" s="66">
        <f t="shared" si="130"/>
        <v>122.19555555555556</v>
      </c>
      <c r="AH3454" s="143">
        <f t="shared" si="131"/>
        <v>1000</v>
      </c>
    </row>
    <row r="3455" spans="1:34" x14ac:dyDescent="0.3">
      <c r="A3455" s="114">
        <v>203398</v>
      </c>
      <c r="B3455" s="138">
        <v>8.3333333333333329E-2</v>
      </c>
      <c r="D3455" s="152">
        <v>6</v>
      </c>
      <c r="E3455" s="752">
        <v>5.1999999999999998E-2</v>
      </c>
      <c r="F3455" s="142">
        <v>57.2</v>
      </c>
      <c r="H3455" s="142">
        <v>89</v>
      </c>
      <c r="I3455" s="142">
        <v>603</v>
      </c>
      <c r="J3455" s="139">
        <v>2.3E-2</v>
      </c>
      <c r="K3455" s="139">
        <v>8.61</v>
      </c>
      <c r="L3455" s="142">
        <v>888</v>
      </c>
      <c r="M3455" s="140">
        <v>2.29</v>
      </c>
      <c r="N3455" s="140">
        <v>4.0199999999999996</v>
      </c>
      <c r="O3455" s="140">
        <v>5.34</v>
      </c>
      <c r="P3455" s="140">
        <v>6.32</v>
      </c>
      <c r="R3455" s="139">
        <v>2.0116355299999999</v>
      </c>
      <c r="S3455" s="138">
        <v>24.89</v>
      </c>
      <c r="Y3455" s="138">
        <v>33.6</v>
      </c>
      <c r="Z3455" s="140">
        <v>4.91</v>
      </c>
      <c r="AA3455" s="139">
        <v>4.07</v>
      </c>
      <c r="AB3455" s="139">
        <v>0.36299999999999999</v>
      </c>
      <c r="AC3455" s="140">
        <v>6.2</v>
      </c>
      <c r="AD3455" s="70">
        <v>480</v>
      </c>
      <c r="AE3455" s="70">
        <v>280</v>
      </c>
      <c r="AF3455" s="70">
        <v>240</v>
      </c>
      <c r="AG3455" s="66">
        <f t="shared" si="130"/>
        <v>90.712499999999977</v>
      </c>
      <c r="AH3455" s="143">
        <f t="shared" si="131"/>
        <v>1000</v>
      </c>
    </row>
    <row r="3456" spans="1:34" x14ac:dyDescent="0.3">
      <c r="A3456" s="114">
        <v>203399</v>
      </c>
      <c r="B3456" s="138">
        <v>8.3333333333333329E-2</v>
      </c>
      <c r="D3456" s="152">
        <v>6.2</v>
      </c>
      <c r="E3456" s="752">
        <v>0.03</v>
      </c>
      <c r="F3456" s="142">
        <v>33</v>
      </c>
      <c r="H3456" s="142">
        <v>76</v>
      </c>
      <c r="I3456" s="142">
        <v>857</v>
      </c>
      <c r="J3456" s="139">
        <v>0.54</v>
      </c>
      <c r="K3456" s="139">
        <v>8.2799999999999994</v>
      </c>
      <c r="L3456" s="142">
        <v>1167</v>
      </c>
      <c r="M3456" s="140">
        <v>2.81</v>
      </c>
      <c r="N3456" s="140">
        <v>4.7300000000000004</v>
      </c>
      <c r="O3456" s="140">
        <v>5.43</v>
      </c>
      <c r="P3456" s="140">
        <v>4.9400000000000004</v>
      </c>
      <c r="R3456" s="139">
        <v>2.0040279299999999</v>
      </c>
      <c r="S3456" s="138">
        <v>24.51</v>
      </c>
      <c r="Y3456" s="138">
        <v>31.2</v>
      </c>
      <c r="Z3456" s="140">
        <v>5.0199999999999996</v>
      </c>
      <c r="AA3456" s="139">
        <v>3.83</v>
      </c>
      <c r="AB3456" s="139">
        <v>0.35199999999999998</v>
      </c>
      <c r="AC3456" s="140">
        <v>10.4</v>
      </c>
      <c r="AD3456" s="70">
        <v>520</v>
      </c>
      <c r="AE3456" s="70">
        <v>240</v>
      </c>
      <c r="AF3456" s="70">
        <v>240</v>
      </c>
      <c r="AG3456" s="66">
        <f t="shared" si="130"/>
        <v>93.946153846153848</v>
      </c>
      <c r="AH3456" s="143">
        <f t="shared" si="131"/>
        <v>1000</v>
      </c>
    </row>
    <row r="3457" spans="1:34" x14ac:dyDescent="0.3">
      <c r="A3457" s="114">
        <v>203400</v>
      </c>
      <c r="B3457" s="138">
        <v>8.3333333333333329E-2</v>
      </c>
      <c r="D3457" s="152">
        <v>5.4</v>
      </c>
      <c r="E3457" s="752">
        <v>2.1000000000000001E-2</v>
      </c>
      <c r="F3457" s="142">
        <v>23.1</v>
      </c>
      <c r="H3457" s="142">
        <v>84</v>
      </c>
      <c r="I3457" s="142">
        <v>826</v>
      </c>
      <c r="J3457" s="139">
        <v>0.5</v>
      </c>
      <c r="K3457" s="139">
        <v>9.01</v>
      </c>
      <c r="L3457" s="142">
        <v>1076</v>
      </c>
      <c r="M3457" s="140">
        <v>2.7</v>
      </c>
      <c r="N3457" s="140">
        <v>4.32</v>
      </c>
      <c r="O3457" s="140">
        <v>3.69</v>
      </c>
      <c r="P3457" s="140">
        <v>5.7</v>
      </c>
      <c r="R3457" s="139">
        <v>2.1500417700000001</v>
      </c>
      <c r="S3457" s="138">
        <v>37.83</v>
      </c>
      <c r="Y3457" s="138">
        <v>24</v>
      </c>
      <c r="Z3457" s="140">
        <v>4.24</v>
      </c>
      <c r="AA3457" s="139">
        <v>4.8499999999999996</v>
      </c>
      <c r="AB3457" s="139">
        <v>0.86599999999999999</v>
      </c>
      <c r="AC3457" s="140">
        <v>9.8000000000000007</v>
      </c>
      <c r="AD3457" s="70">
        <v>480</v>
      </c>
      <c r="AE3457" s="70">
        <v>260</v>
      </c>
      <c r="AF3457" s="70">
        <v>260</v>
      </c>
      <c r="AG3457" s="66">
        <f t="shared" si="130"/>
        <v>132.89750000000001</v>
      </c>
      <c r="AH3457" s="143">
        <f t="shared" si="131"/>
        <v>1000</v>
      </c>
    </row>
    <row r="3458" spans="1:34" x14ac:dyDescent="0.3">
      <c r="A3458" s="140" t="s">
        <v>521</v>
      </c>
      <c r="B3458" s="138">
        <v>0.91666666666666663</v>
      </c>
      <c r="D3458" s="152">
        <v>8.1</v>
      </c>
      <c r="E3458" s="752">
        <v>0.877</v>
      </c>
      <c r="F3458" s="142">
        <v>964.70000000000016</v>
      </c>
      <c r="R3458" s="139">
        <v>1.64296548</v>
      </c>
      <c r="S3458" s="138">
        <v>12.059999999999999</v>
      </c>
      <c r="AG3458" s="66" t="e">
        <f t="shared" ref="AG3458:AG3521" si="132">+K3458*3.54*100/Y3458</f>
        <v>#DIV/0!</v>
      </c>
      <c r="AH3458" s="143">
        <f t="shared" ref="AH3458:AH3521" si="133">+SUM(AD3458:AF3458)</f>
        <v>0</v>
      </c>
    </row>
    <row r="3459" spans="1:34" x14ac:dyDescent="0.3">
      <c r="A3459" s="140" t="s">
        <v>522</v>
      </c>
      <c r="B3459" s="138">
        <v>1.5833333333333335</v>
      </c>
      <c r="D3459" s="152">
        <v>8.3000000000000007</v>
      </c>
      <c r="E3459" s="752">
        <v>0.26100000000000001</v>
      </c>
      <c r="F3459" s="142">
        <v>287.10000000000002</v>
      </c>
      <c r="R3459" s="139">
        <v>1.6814330000000002</v>
      </c>
      <c r="S3459" s="138">
        <v>13.100000000000001</v>
      </c>
      <c r="AG3459" s="66" t="e">
        <f t="shared" si="132"/>
        <v>#DIV/0!</v>
      </c>
      <c r="AH3459" s="143">
        <f t="shared" si="133"/>
        <v>0</v>
      </c>
    </row>
    <row r="3460" spans="1:34" x14ac:dyDescent="0.3">
      <c r="A3460" s="140" t="s">
        <v>523</v>
      </c>
      <c r="B3460" s="138">
        <v>1.9166666666666665</v>
      </c>
      <c r="D3460" s="152">
        <v>8.5</v>
      </c>
      <c r="E3460" s="752">
        <v>0.29799999999999999</v>
      </c>
      <c r="F3460" s="142">
        <v>327.8</v>
      </c>
      <c r="R3460" s="139">
        <v>0.9847481349137589</v>
      </c>
      <c r="S3460" s="138">
        <v>7.09</v>
      </c>
      <c r="AG3460" s="66" t="e">
        <f t="shared" si="132"/>
        <v>#DIV/0!</v>
      </c>
      <c r="AH3460" s="143">
        <f t="shared" si="133"/>
        <v>0</v>
      </c>
    </row>
    <row r="3461" spans="1:34" x14ac:dyDescent="0.3">
      <c r="A3461" s="140" t="s">
        <v>524</v>
      </c>
      <c r="B3461" s="138">
        <v>1.5</v>
      </c>
      <c r="D3461" s="152">
        <v>8.5</v>
      </c>
      <c r="E3461" s="752">
        <v>0.29199999999999998</v>
      </c>
      <c r="F3461" s="142">
        <v>321.2</v>
      </c>
      <c r="R3461" s="139">
        <v>1.0765467070729304</v>
      </c>
      <c r="S3461" s="138">
        <v>8.07</v>
      </c>
      <c r="AG3461" s="66" t="e">
        <f t="shared" si="132"/>
        <v>#DIV/0!</v>
      </c>
      <c r="AH3461" s="143">
        <f t="shared" si="133"/>
        <v>0</v>
      </c>
    </row>
    <row r="3462" spans="1:34" x14ac:dyDescent="0.3">
      <c r="A3462" s="140" t="s">
        <v>525</v>
      </c>
      <c r="B3462" s="138">
        <v>0.99999999999999989</v>
      </c>
      <c r="D3462" s="152">
        <v>8</v>
      </c>
      <c r="E3462" s="752">
        <v>0.71</v>
      </c>
      <c r="F3462" s="142">
        <v>781</v>
      </c>
      <c r="R3462" s="139">
        <v>1.4398738425470874</v>
      </c>
      <c r="S3462" s="138">
        <v>10.18</v>
      </c>
      <c r="AG3462" s="66" t="e">
        <f t="shared" si="132"/>
        <v>#DIV/0!</v>
      </c>
      <c r="AH3462" s="143">
        <f t="shared" si="133"/>
        <v>0</v>
      </c>
    </row>
    <row r="3463" spans="1:34" x14ac:dyDescent="0.3">
      <c r="A3463" s="140" t="s">
        <v>526</v>
      </c>
      <c r="B3463" s="138">
        <v>0.91666666666666663</v>
      </c>
      <c r="D3463" s="152">
        <v>8.3000000000000007</v>
      </c>
      <c r="E3463" s="752">
        <v>0.38800000000000001</v>
      </c>
      <c r="F3463" s="142">
        <v>426.80000000000007</v>
      </c>
      <c r="R3463" s="139">
        <v>1.63196897</v>
      </c>
      <c r="S3463" s="138">
        <v>11.77</v>
      </c>
      <c r="AG3463" s="66" t="e">
        <f t="shared" si="132"/>
        <v>#DIV/0!</v>
      </c>
      <c r="AH3463" s="143">
        <f t="shared" si="133"/>
        <v>0</v>
      </c>
    </row>
    <row r="3464" spans="1:34" x14ac:dyDescent="0.3">
      <c r="A3464" s="140" t="s">
        <v>548</v>
      </c>
      <c r="B3464" s="138">
        <v>1.9999999999999998</v>
      </c>
      <c r="D3464" s="152">
        <v>8.1999999999999993</v>
      </c>
      <c r="E3464" s="752">
        <v>1.01</v>
      </c>
      <c r="F3464" s="142">
        <v>1111.0000000000002</v>
      </c>
      <c r="R3464" s="139">
        <v>1.4909329951062731</v>
      </c>
      <c r="S3464" s="138">
        <v>9.9499999999999993</v>
      </c>
      <c r="AG3464" s="66" t="e">
        <f t="shared" si="132"/>
        <v>#DIV/0!</v>
      </c>
      <c r="AH3464" s="143">
        <f t="shared" si="133"/>
        <v>0</v>
      </c>
    </row>
    <row r="3465" spans="1:34" x14ac:dyDescent="0.3">
      <c r="A3465" s="140" t="s">
        <v>549</v>
      </c>
      <c r="B3465" s="138">
        <v>2.5833333333333335</v>
      </c>
      <c r="D3465" s="152">
        <v>8.1999999999999993</v>
      </c>
      <c r="E3465" s="752">
        <v>0.44</v>
      </c>
      <c r="F3465" s="142">
        <v>484.00000000000006</v>
      </c>
      <c r="R3465" s="139">
        <v>1.5796285700000001</v>
      </c>
      <c r="S3465" s="138">
        <v>10.43</v>
      </c>
      <c r="AG3465" s="66" t="e">
        <f t="shared" si="132"/>
        <v>#DIV/0!</v>
      </c>
      <c r="AH3465" s="143">
        <f t="shared" si="133"/>
        <v>0</v>
      </c>
    </row>
    <row r="3466" spans="1:34" x14ac:dyDescent="0.3">
      <c r="A3466" s="140" t="s">
        <v>550</v>
      </c>
      <c r="B3466" s="138">
        <v>1.7500000000000002</v>
      </c>
      <c r="D3466" s="152">
        <v>8.1</v>
      </c>
      <c r="E3466" s="752">
        <v>0.67800000000000005</v>
      </c>
      <c r="F3466" s="142">
        <v>745.80000000000018</v>
      </c>
      <c r="R3466" s="139">
        <v>1.6146723199999999</v>
      </c>
      <c r="S3466" s="138">
        <v>11.319999999999999</v>
      </c>
      <c r="AG3466" s="66" t="e">
        <f t="shared" si="132"/>
        <v>#DIV/0!</v>
      </c>
      <c r="AH3466" s="143">
        <f t="shared" si="133"/>
        <v>0</v>
      </c>
    </row>
    <row r="3467" spans="1:34" x14ac:dyDescent="0.3">
      <c r="A3467" s="140" t="s">
        <v>551</v>
      </c>
      <c r="B3467" s="138">
        <v>1.9999999999999998</v>
      </c>
      <c r="D3467" s="152">
        <v>8.4</v>
      </c>
      <c r="E3467" s="752">
        <v>0.38600000000000001</v>
      </c>
      <c r="F3467" s="142">
        <v>424.6</v>
      </c>
      <c r="R3467" s="139">
        <v>1.67597825</v>
      </c>
      <c r="S3467" s="138">
        <v>12.95</v>
      </c>
      <c r="AG3467" s="66" t="e">
        <f t="shared" si="132"/>
        <v>#DIV/0!</v>
      </c>
      <c r="AH3467" s="143">
        <f t="shared" si="133"/>
        <v>0</v>
      </c>
    </row>
    <row r="3468" spans="1:34" x14ac:dyDescent="0.3">
      <c r="A3468" s="140" t="s">
        <v>552</v>
      </c>
      <c r="B3468" s="138">
        <v>1.5</v>
      </c>
      <c r="D3468" s="152">
        <v>8.5</v>
      </c>
      <c r="E3468" s="752">
        <v>0.38700000000000001</v>
      </c>
      <c r="F3468" s="142">
        <v>425.70000000000005</v>
      </c>
      <c r="R3468" s="139">
        <v>0.80181955418677409</v>
      </c>
      <c r="S3468" s="138">
        <v>5.92</v>
      </c>
      <c r="AG3468" s="66" t="e">
        <f t="shared" si="132"/>
        <v>#DIV/0!</v>
      </c>
      <c r="AH3468" s="143">
        <f t="shared" si="133"/>
        <v>0</v>
      </c>
    </row>
    <row r="3469" spans="1:34" x14ac:dyDescent="0.3">
      <c r="A3469" s="140" t="s">
        <v>553</v>
      </c>
      <c r="B3469" s="138">
        <v>3.083333333333333</v>
      </c>
      <c r="D3469" s="152">
        <v>8.1999999999999993</v>
      </c>
      <c r="E3469" s="752">
        <v>1.66</v>
      </c>
      <c r="F3469" s="142">
        <v>1826</v>
      </c>
      <c r="R3469" s="139">
        <v>1.65979593</v>
      </c>
      <c r="S3469" s="138">
        <v>12.509999999999998</v>
      </c>
      <c r="AG3469" s="66" t="e">
        <f t="shared" si="132"/>
        <v>#DIV/0!</v>
      </c>
      <c r="AH3469" s="143">
        <f t="shared" si="133"/>
        <v>0</v>
      </c>
    </row>
    <row r="3470" spans="1:34" x14ac:dyDescent="0.3">
      <c r="A3470" s="140" t="s">
        <v>554</v>
      </c>
      <c r="B3470" s="138">
        <v>1.25</v>
      </c>
      <c r="D3470" s="152">
        <v>8.3000000000000007</v>
      </c>
      <c r="E3470" s="752">
        <v>0.45800000000000002</v>
      </c>
      <c r="F3470" s="142">
        <v>503.8</v>
      </c>
      <c r="R3470" s="139">
        <v>0.94100285227211355</v>
      </c>
      <c r="S3470" s="138">
        <v>6.21</v>
      </c>
      <c r="AG3470" s="66" t="e">
        <f t="shared" si="132"/>
        <v>#DIV/0!</v>
      </c>
      <c r="AH3470" s="143">
        <f t="shared" si="133"/>
        <v>0</v>
      </c>
    </row>
    <row r="3471" spans="1:34" x14ac:dyDescent="0.3">
      <c r="A3471" s="140" t="s">
        <v>66</v>
      </c>
      <c r="B3471" s="138">
        <v>5.208333333333333</v>
      </c>
      <c r="D3471" s="152">
        <v>8.4</v>
      </c>
      <c r="E3471" s="752">
        <v>1.254</v>
      </c>
      <c r="F3471" s="142">
        <v>1379.4</v>
      </c>
      <c r="R3471" s="139">
        <v>1.0476221962807979</v>
      </c>
      <c r="S3471" s="138">
        <v>7.62</v>
      </c>
      <c r="AG3471" s="66" t="e">
        <f t="shared" si="132"/>
        <v>#DIV/0!</v>
      </c>
      <c r="AH3471" s="143">
        <f t="shared" si="133"/>
        <v>0</v>
      </c>
    </row>
    <row r="3472" spans="1:34" x14ac:dyDescent="0.3">
      <c r="A3472" s="818">
        <v>203401</v>
      </c>
      <c r="B3472" s="819">
        <v>3.4833333333333325</v>
      </c>
      <c r="C3472" s="1424"/>
      <c r="D3472" s="820">
        <v>8.3000000000000007</v>
      </c>
      <c r="E3472" s="1571">
        <v>0.28000000000000003</v>
      </c>
      <c r="F3472" s="821">
        <v>308.00000000000006</v>
      </c>
      <c r="G3472" s="818"/>
      <c r="H3472" s="821">
        <v>17.7</v>
      </c>
      <c r="I3472" s="821">
        <v>203</v>
      </c>
      <c r="J3472" s="822">
        <v>0.36</v>
      </c>
      <c r="K3472" s="819">
        <v>6.52</v>
      </c>
      <c r="L3472" s="818">
        <v>850</v>
      </c>
      <c r="M3472" s="818">
        <v>0.76</v>
      </c>
      <c r="N3472" s="818">
        <v>3.04</v>
      </c>
      <c r="O3472" s="818">
        <v>15.37</v>
      </c>
      <c r="P3472" s="818">
        <v>7.06</v>
      </c>
      <c r="Q3472" s="818"/>
      <c r="R3472" s="820">
        <v>1.63767152</v>
      </c>
      <c r="S3472" s="819">
        <v>11.92</v>
      </c>
      <c r="T3472" s="818"/>
      <c r="U3472" s="818"/>
      <c r="V3472" s="818"/>
      <c r="W3472" s="818"/>
      <c r="X3472" s="818"/>
      <c r="Y3472" s="819">
        <v>23</v>
      </c>
      <c r="Z3472" s="818"/>
      <c r="AA3472" s="820">
        <v>4.26</v>
      </c>
      <c r="AB3472" s="820">
        <v>0.32500000000000001</v>
      </c>
      <c r="AC3472" s="818">
        <v>6.1</v>
      </c>
      <c r="AD3472" s="824">
        <v>460</v>
      </c>
      <c r="AE3472" s="824">
        <v>280</v>
      </c>
      <c r="AF3472" s="824">
        <v>260</v>
      </c>
      <c r="AG3472" s="66">
        <f t="shared" si="132"/>
        <v>100.35130434782609</v>
      </c>
      <c r="AH3472" s="143">
        <f t="shared" si="133"/>
        <v>1000</v>
      </c>
    </row>
    <row r="3473" spans="1:34" x14ac:dyDescent="0.3">
      <c r="A3473" s="818">
        <v>203402</v>
      </c>
      <c r="B3473" s="819">
        <v>0.8</v>
      </c>
      <c r="C3473" s="1424"/>
      <c r="D3473" s="820">
        <v>8.1</v>
      </c>
      <c r="E3473" s="1571">
        <v>0.11799999999999999</v>
      </c>
      <c r="F3473" s="821">
        <v>129.80000000000001</v>
      </c>
      <c r="G3473" s="818"/>
      <c r="H3473" s="821">
        <v>44.56</v>
      </c>
      <c r="I3473" s="821">
        <v>154</v>
      </c>
      <c r="J3473" s="822">
        <v>3.3000000000000002E-2</v>
      </c>
      <c r="K3473" s="819">
        <v>4.63</v>
      </c>
      <c r="L3473" s="818">
        <v>365</v>
      </c>
      <c r="M3473" s="818">
        <v>1.65</v>
      </c>
      <c r="N3473" s="818">
        <v>0.95</v>
      </c>
      <c r="O3473" s="818">
        <v>14.37</v>
      </c>
      <c r="P3473" s="818">
        <v>3.66</v>
      </c>
      <c r="Q3473" s="818"/>
      <c r="R3473" s="820">
        <v>1.2942432564835256</v>
      </c>
      <c r="S3473" s="819">
        <v>8.42</v>
      </c>
      <c r="T3473" s="818"/>
      <c r="U3473" s="818"/>
      <c r="V3473" s="818"/>
      <c r="W3473" s="818"/>
      <c r="X3473" s="818"/>
      <c r="Y3473" s="819">
        <v>25.2</v>
      </c>
      <c r="Z3473" s="818"/>
      <c r="AA3473" s="820">
        <v>3.94</v>
      </c>
      <c r="AB3473" s="820">
        <v>0.39700000000000002</v>
      </c>
      <c r="AC3473" s="818">
        <v>9.4</v>
      </c>
      <c r="AD3473" s="824">
        <v>360</v>
      </c>
      <c r="AE3473" s="824">
        <v>160</v>
      </c>
      <c r="AF3473" s="824">
        <v>480</v>
      </c>
      <c r="AG3473" s="66">
        <f t="shared" si="132"/>
        <v>65.040476190476198</v>
      </c>
      <c r="AH3473" s="143">
        <f t="shared" si="133"/>
        <v>1000</v>
      </c>
    </row>
    <row r="3474" spans="1:34" x14ac:dyDescent="0.3">
      <c r="A3474" s="818">
        <v>203403</v>
      </c>
      <c r="B3474" s="819">
        <v>17.833333333333332</v>
      </c>
      <c r="C3474" s="819">
        <v>8.3750000000000018</v>
      </c>
      <c r="D3474" s="820">
        <v>8.1999999999999993</v>
      </c>
      <c r="E3474" s="1571">
        <v>0.41599999999999998</v>
      </c>
      <c r="F3474" s="821">
        <v>457.6</v>
      </c>
      <c r="G3474" s="818"/>
      <c r="H3474" s="821">
        <v>7.37</v>
      </c>
      <c r="I3474" s="821">
        <v>141</v>
      </c>
      <c r="J3474" s="822">
        <v>0.28199999999999997</v>
      </c>
      <c r="K3474" s="819">
        <v>12.8</v>
      </c>
      <c r="L3474" s="818">
        <v>573</v>
      </c>
      <c r="M3474" s="818">
        <v>0.27</v>
      </c>
      <c r="N3474" s="818">
        <v>0.53</v>
      </c>
      <c r="O3474" s="818">
        <v>4.01</v>
      </c>
      <c r="P3474" s="818">
        <v>3.19</v>
      </c>
      <c r="Q3474" s="818"/>
      <c r="R3474" s="820">
        <v>1.6123446800000001</v>
      </c>
      <c r="S3474" s="819">
        <v>11.259999999999998</v>
      </c>
      <c r="T3474" s="818"/>
      <c r="U3474" s="818"/>
      <c r="V3474" s="818"/>
      <c r="W3474" s="818"/>
      <c r="X3474" s="818"/>
      <c r="Y3474" s="819">
        <v>33.6</v>
      </c>
      <c r="Z3474" s="818"/>
      <c r="AA3474" s="820">
        <v>4.2699999999999996</v>
      </c>
      <c r="AB3474" s="820">
        <v>0.253</v>
      </c>
      <c r="AC3474" s="818">
        <v>9.9</v>
      </c>
      <c r="AD3474" s="824">
        <v>500</v>
      </c>
      <c r="AE3474" s="824">
        <v>320</v>
      </c>
      <c r="AF3474" s="824">
        <v>180</v>
      </c>
      <c r="AG3474" s="66">
        <f t="shared" si="132"/>
        <v>134.85714285714286</v>
      </c>
      <c r="AH3474" s="143">
        <f t="shared" si="133"/>
        <v>1000</v>
      </c>
    </row>
    <row r="3475" spans="1:34" x14ac:dyDescent="0.3">
      <c r="A3475" s="818">
        <v>203404</v>
      </c>
      <c r="B3475" s="819">
        <v>12.833333333333332</v>
      </c>
      <c r="C3475" s="819">
        <v>5.1250000000000018</v>
      </c>
      <c r="D3475" s="820">
        <v>8</v>
      </c>
      <c r="E3475" s="1571">
        <v>0.46</v>
      </c>
      <c r="F3475" s="821">
        <v>506.00000000000011</v>
      </c>
      <c r="G3475" s="818"/>
      <c r="H3475" s="821">
        <v>15.88</v>
      </c>
      <c r="I3475" s="821">
        <v>417</v>
      </c>
      <c r="J3475" s="822">
        <v>0.161</v>
      </c>
      <c r="K3475" s="819">
        <v>12.89</v>
      </c>
      <c r="L3475" s="818">
        <v>658</v>
      </c>
      <c r="M3475" s="818">
        <v>0.3</v>
      </c>
      <c r="N3475" s="818">
        <v>0.75</v>
      </c>
      <c r="O3475" s="818">
        <v>6.37</v>
      </c>
      <c r="P3475" s="818">
        <v>3.02</v>
      </c>
      <c r="Q3475" s="818"/>
      <c r="R3475" s="820">
        <v>1.7022283200000001</v>
      </c>
      <c r="S3475" s="819">
        <v>13.680000000000001</v>
      </c>
      <c r="T3475" s="818"/>
      <c r="U3475" s="818"/>
      <c r="V3475" s="818"/>
      <c r="W3475" s="818"/>
      <c r="X3475" s="818"/>
      <c r="Y3475" s="819">
        <v>30</v>
      </c>
      <c r="Z3475" s="818"/>
      <c r="AA3475" s="820">
        <v>3.87</v>
      </c>
      <c r="AB3475" s="820">
        <v>0.41499999999999998</v>
      </c>
      <c r="AC3475" s="818">
        <v>11.8</v>
      </c>
      <c r="AD3475" s="824">
        <v>520</v>
      </c>
      <c r="AE3475" s="824">
        <v>330</v>
      </c>
      <c r="AF3475" s="824">
        <v>150</v>
      </c>
      <c r="AG3475" s="66">
        <f t="shared" si="132"/>
        <v>152.102</v>
      </c>
      <c r="AH3475" s="143">
        <f t="shared" si="133"/>
        <v>1000</v>
      </c>
    </row>
    <row r="3476" spans="1:34" x14ac:dyDescent="0.3">
      <c r="A3476" s="818">
        <v>203405</v>
      </c>
      <c r="B3476" s="819">
        <v>15.833333333333332</v>
      </c>
      <c r="C3476" s="819">
        <v>8.6250000000000036</v>
      </c>
      <c r="D3476" s="820">
        <v>8.1999999999999993</v>
      </c>
      <c r="E3476" s="1571">
        <v>0.32200000000000001</v>
      </c>
      <c r="F3476" s="821">
        <v>354.2</v>
      </c>
      <c r="G3476" s="818"/>
      <c r="H3476" s="821">
        <v>11.81</v>
      </c>
      <c r="I3476" s="821">
        <v>178</v>
      </c>
      <c r="J3476" s="822">
        <v>0.192</v>
      </c>
      <c r="K3476" s="819">
        <v>12.68</v>
      </c>
      <c r="L3476" s="818">
        <v>564</v>
      </c>
      <c r="M3476" s="818">
        <v>0.27</v>
      </c>
      <c r="N3476" s="818">
        <v>0.55000000000000004</v>
      </c>
      <c r="O3476" s="818">
        <v>4.5999999999999996</v>
      </c>
      <c r="P3476" s="818">
        <v>3.05</v>
      </c>
      <c r="Q3476" s="818"/>
      <c r="R3476" s="820">
        <v>1.6452259200000001</v>
      </c>
      <c r="S3476" s="819">
        <v>12.12</v>
      </c>
      <c r="T3476" s="818"/>
      <c r="U3476" s="818"/>
      <c r="V3476" s="818"/>
      <c r="W3476" s="818"/>
      <c r="X3476" s="818"/>
      <c r="Y3476" s="819">
        <v>24</v>
      </c>
      <c r="Z3476" s="818"/>
      <c r="AA3476" s="820">
        <v>4.96</v>
      </c>
      <c r="AB3476" s="820">
        <v>0.57299999999999995</v>
      </c>
      <c r="AC3476" s="818">
        <v>6.3</v>
      </c>
      <c r="AD3476" s="824">
        <v>540</v>
      </c>
      <c r="AE3476" s="824">
        <v>300</v>
      </c>
      <c r="AF3476" s="824">
        <v>160</v>
      </c>
      <c r="AG3476" s="66">
        <f t="shared" si="132"/>
        <v>187.03</v>
      </c>
      <c r="AH3476" s="143">
        <f t="shared" si="133"/>
        <v>1000</v>
      </c>
    </row>
    <row r="3477" spans="1:34" x14ac:dyDescent="0.3">
      <c r="A3477" s="818">
        <v>203406</v>
      </c>
      <c r="B3477" s="819">
        <v>0.86666666666666681</v>
      </c>
      <c r="C3477" s="1424"/>
      <c r="D3477" s="820">
        <v>8.5</v>
      </c>
      <c r="E3477" s="1571">
        <v>0.21</v>
      </c>
      <c r="F3477" s="821">
        <v>231</v>
      </c>
      <c r="G3477" s="818"/>
      <c r="H3477" s="821">
        <v>238.09</v>
      </c>
      <c r="I3477" s="821">
        <v>680</v>
      </c>
      <c r="J3477" s="822">
        <v>7.0000000000000007E-2</v>
      </c>
      <c r="K3477" s="819">
        <v>4.7300000000000004</v>
      </c>
      <c r="L3477" s="818">
        <v>584</v>
      </c>
      <c r="M3477" s="818">
        <v>1.79</v>
      </c>
      <c r="N3477" s="818">
        <v>0.77</v>
      </c>
      <c r="O3477" s="818">
        <v>9.86</v>
      </c>
      <c r="P3477" s="818">
        <v>3.58</v>
      </c>
      <c r="Q3477" s="818"/>
      <c r="R3477" s="820">
        <v>1.63158768</v>
      </c>
      <c r="S3477" s="819">
        <v>11.76</v>
      </c>
      <c r="T3477" s="818"/>
      <c r="U3477" s="818"/>
      <c r="V3477" s="818"/>
      <c r="W3477" s="818"/>
      <c r="X3477" s="818"/>
      <c r="Y3477" s="819">
        <v>30.8</v>
      </c>
      <c r="Z3477" s="818"/>
      <c r="AA3477" s="820">
        <v>4.99</v>
      </c>
      <c r="AB3477" s="820">
        <v>0.33100000000000002</v>
      </c>
      <c r="AC3477" s="818">
        <v>10.1</v>
      </c>
      <c r="AD3477" s="824">
        <v>500</v>
      </c>
      <c r="AE3477" s="824">
        <v>280</v>
      </c>
      <c r="AF3477" s="824">
        <v>220</v>
      </c>
      <c r="AG3477" s="66">
        <f t="shared" si="132"/>
        <v>54.364285714285721</v>
      </c>
      <c r="AH3477" s="143">
        <f t="shared" si="133"/>
        <v>1000</v>
      </c>
    </row>
    <row r="3478" spans="1:34" x14ac:dyDescent="0.3">
      <c r="A3478" s="818">
        <v>203407</v>
      </c>
      <c r="B3478" s="819">
        <v>33.5</v>
      </c>
      <c r="C3478" s="819">
        <v>14.125</v>
      </c>
      <c r="D3478" s="820">
        <v>8.1999999999999993</v>
      </c>
      <c r="E3478" s="1571">
        <v>0.128</v>
      </c>
      <c r="F3478" s="821">
        <v>140.80000000000001</v>
      </c>
      <c r="G3478" s="818"/>
      <c r="H3478" s="821">
        <v>13.44</v>
      </c>
      <c r="I3478" s="821">
        <v>203</v>
      </c>
      <c r="J3478" s="822">
        <v>2.7E-2</v>
      </c>
      <c r="K3478" s="819">
        <v>12.86</v>
      </c>
      <c r="L3478" s="818">
        <v>302</v>
      </c>
      <c r="M3478" s="818">
        <v>0.27</v>
      </c>
      <c r="N3478" s="818">
        <v>0.26</v>
      </c>
      <c r="O3478" s="818">
        <v>2.75</v>
      </c>
      <c r="P3478" s="818">
        <v>4</v>
      </c>
      <c r="Q3478" s="818"/>
      <c r="R3478" s="820">
        <v>1.6014157200000001</v>
      </c>
      <c r="S3478" s="819">
        <v>10.98</v>
      </c>
      <c r="T3478" s="818"/>
      <c r="U3478" s="818"/>
      <c r="V3478" s="818"/>
      <c r="W3478" s="818"/>
      <c r="X3478" s="818"/>
      <c r="Y3478" s="819">
        <v>28.8</v>
      </c>
      <c r="Z3478" s="818"/>
      <c r="AA3478" s="820">
        <v>4.43</v>
      </c>
      <c r="AB3478" s="820">
        <v>0.69099999999999995</v>
      </c>
      <c r="AC3478" s="818">
        <v>8.8000000000000007</v>
      </c>
      <c r="AD3478" s="824">
        <v>480</v>
      </c>
      <c r="AE3478" s="824">
        <v>320</v>
      </c>
      <c r="AF3478" s="824">
        <v>200</v>
      </c>
      <c r="AG3478" s="66">
        <f t="shared" si="132"/>
        <v>158.07083333333333</v>
      </c>
      <c r="AH3478" s="143">
        <f t="shared" si="133"/>
        <v>1000</v>
      </c>
    </row>
    <row r="3479" spans="1:34" x14ac:dyDescent="0.3">
      <c r="A3479" s="818">
        <v>203408</v>
      </c>
      <c r="B3479" s="819">
        <v>3.3611111111111107</v>
      </c>
      <c r="C3479" s="1424"/>
      <c r="D3479" s="820">
        <v>8.1</v>
      </c>
      <c r="E3479" s="1571">
        <v>0.13700000000000001</v>
      </c>
      <c r="F3479" s="821">
        <v>150.70000000000002</v>
      </c>
      <c r="G3479" s="818"/>
      <c r="H3479" s="821">
        <v>24.73</v>
      </c>
      <c r="I3479" s="821">
        <v>221</v>
      </c>
      <c r="J3479" s="822">
        <v>0.04</v>
      </c>
      <c r="K3479" s="819">
        <v>7.24</v>
      </c>
      <c r="L3479" s="818">
        <v>1053</v>
      </c>
      <c r="M3479" s="818">
        <v>0.74</v>
      </c>
      <c r="N3479" s="818">
        <v>1.55</v>
      </c>
      <c r="O3479" s="818">
        <v>12.5</v>
      </c>
      <c r="P3479" s="818">
        <v>3.33</v>
      </c>
      <c r="Q3479" s="818"/>
      <c r="R3479" s="820">
        <v>1.78005572</v>
      </c>
      <c r="S3479" s="819">
        <v>15.98</v>
      </c>
      <c r="T3479" s="818"/>
      <c r="U3479" s="818"/>
      <c r="V3479" s="818"/>
      <c r="W3479" s="818"/>
      <c r="X3479" s="818"/>
      <c r="Y3479" s="819">
        <v>28</v>
      </c>
      <c r="Z3479" s="818"/>
      <c r="AA3479" s="820">
        <v>4.55</v>
      </c>
      <c r="AB3479" s="820">
        <v>0.86299999999999999</v>
      </c>
      <c r="AC3479" s="818">
        <v>8.6</v>
      </c>
      <c r="AD3479" s="824">
        <v>560</v>
      </c>
      <c r="AE3479" s="824">
        <v>260</v>
      </c>
      <c r="AF3479" s="824">
        <v>180</v>
      </c>
      <c r="AG3479" s="66">
        <f t="shared" si="132"/>
        <v>91.534285714285716</v>
      </c>
      <c r="AH3479" s="143">
        <f t="shared" si="133"/>
        <v>1000</v>
      </c>
    </row>
    <row r="3480" spans="1:34" x14ac:dyDescent="0.3">
      <c r="A3480" s="818">
        <v>203409</v>
      </c>
      <c r="B3480" s="819">
        <v>17.5</v>
      </c>
      <c r="C3480" s="819">
        <v>8.3750000000000018</v>
      </c>
      <c r="D3480" s="820">
        <v>8.1999999999999993</v>
      </c>
      <c r="E3480" s="1571">
        <v>0.501</v>
      </c>
      <c r="F3480" s="821">
        <v>551.1</v>
      </c>
      <c r="G3480" s="818"/>
      <c r="H3480" s="821">
        <v>5.16</v>
      </c>
      <c r="I3480" s="821">
        <v>247</v>
      </c>
      <c r="J3480" s="822">
        <v>0.40200000000000002</v>
      </c>
      <c r="K3480" s="819">
        <v>11.82</v>
      </c>
      <c r="L3480" s="818">
        <v>1505</v>
      </c>
      <c r="M3480" s="818">
        <v>0.53</v>
      </c>
      <c r="N3480" s="818">
        <v>0.57999999999999996</v>
      </c>
      <c r="O3480" s="818">
        <v>4.32</v>
      </c>
      <c r="P3480" s="818">
        <v>5.39</v>
      </c>
      <c r="Q3480" s="818"/>
      <c r="R3480" s="820">
        <v>1.7774730000000001</v>
      </c>
      <c r="S3480" s="819">
        <v>15.9</v>
      </c>
      <c r="T3480" s="818"/>
      <c r="U3480" s="818"/>
      <c r="V3480" s="818"/>
      <c r="W3480" s="818"/>
      <c r="X3480" s="818"/>
      <c r="Y3480" s="819">
        <v>33.6</v>
      </c>
      <c r="Z3480" s="818"/>
      <c r="AA3480" s="820">
        <v>4.55</v>
      </c>
      <c r="AB3480" s="820">
        <v>0.47</v>
      </c>
      <c r="AC3480" s="818">
        <v>9</v>
      </c>
      <c r="AD3480" s="824">
        <v>480</v>
      </c>
      <c r="AE3480" s="824">
        <v>200</v>
      </c>
      <c r="AF3480" s="824">
        <v>320</v>
      </c>
      <c r="AG3480" s="66">
        <f t="shared" si="132"/>
        <v>124.53214285714287</v>
      </c>
      <c r="AH3480" s="143">
        <f t="shared" si="133"/>
        <v>1000</v>
      </c>
    </row>
    <row r="3481" spans="1:34" x14ac:dyDescent="0.3">
      <c r="A3481" s="818">
        <v>203410</v>
      </c>
      <c r="B3481" s="819">
        <v>29.5</v>
      </c>
      <c r="C3481" s="819">
        <v>6.6250000000000009</v>
      </c>
      <c r="D3481" s="820">
        <v>8.4</v>
      </c>
      <c r="E3481" s="1571">
        <v>0.30199999999999999</v>
      </c>
      <c r="F3481" s="821">
        <v>332.2</v>
      </c>
      <c r="G3481" s="818"/>
      <c r="H3481" s="821">
        <v>23.25</v>
      </c>
      <c r="I3481" s="821">
        <v>187</v>
      </c>
      <c r="J3481" s="822">
        <v>0.24099999999999999</v>
      </c>
      <c r="K3481" s="819">
        <v>8.1300000000000008</v>
      </c>
      <c r="L3481" s="818">
        <v>862</v>
      </c>
      <c r="M3481" s="818">
        <v>1.08</v>
      </c>
      <c r="N3481" s="818">
        <v>0.41</v>
      </c>
      <c r="O3481" s="818">
        <v>3.52</v>
      </c>
      <c r="P3481" s="818">
        <v>15.86</v>
      </c>
      <c r="Q3481" s="818"/>
      <c r="R3481" s="820">
        <v>1.7839130000000001</v>
      </c>
      <c r="S3481" s="819">
        <v>16.100000000000001</v>
      </c>
      <c r="T3481" s="818"/>
      <c r="U3481" s="818"/>
      <c r="V3481" s="818"/>
      <c r="W3481" s="818"/>
      <c r="X3481" s="818"/>
      <c r="Y3481" s="819">
        <v>26.4</v>
      </c>
      <c r="Z3481" s="818"/>
      <c r="AA3481" s="820">
        <v>4.87</v>
      </c>
      <c r="AB3481" s="820">
        <v>0.63400000000000001</v>
      </c>
      <c r="AC3481" s="818">
        <v>9.9</v>
      </c>
      <c r="AD3481" s="824">
        <v>440</v>
      </c>
      <c r="AE3481" s="824">
        <v>200</v>
      </c>
      <c r="AF3481" s="824">
        <v>360</v>
      </c>
      <c r="AG3481" s="66">
        <f t="shared" si="132"/>
        <v>109.01590909090912</v>
      </c>
      <c r="AH3481" s="143">
        <f t="shared" si="133"/>
        <v>1000</v>
      </c>
    </row>
    <row r="3482" spans="1:34" x14ac:dyDescent="0.3">
      <c r="A3482" s="818">
        <v>203411</v>
      </c>
      <c r="B3482" s="819">
        <v>25.333333333333329</v>
      </c>
      <c r="C3482" s="819">
        <v>6.5000000000000018</v>
      </c>
      <c r="D3482" s="820">
        <v>8.6</v>
      </c>
      <c r="E3482" s="1571">
        <v>0.27800000000000002</v>
      </c>
      <c r="F3482" s="821">
        <v>305.80000000000007</v>
      </c>
      <c r="G3482" s="818"/>
      <c r="H3482" s="821">
        <v>10.35</v>
      </c>
      <c r="I3482" s="821">
        <v>89</v>
      </c>
      <c r="J3482" s="822">
        <v>0.30099999999999999</v>
      </c>
      <c r="K3482" s="819">
        <v>8.01</v>
      </c>
      <c r="L3482" s="818">
        <v>1523</v>
      </c>
      <c r="M3482" s="818">
        <v>0.6</v>
      </c>
      <c r="N3482" s="818">
        <v>0.71</v>
      </c>
      <c r="O3482" s="818">
        <v>4.72</v>
      </c>
      <c r="P3482" s="818">
        <v>2.64</v>
      </c>
      <c r="Q3482" s="818"/>
      <c r="R3482" s="820">
        <v>1.60884377</v>
      </c>
      <c r="S3482" s="819">
        <v>11.17</v>
      </c>
      <c r="T3482" s="818"/>
      <c r="U3482" s="818"/>
      <c r="V3482" s="818"/>
      <c r="W3482" s="818"/>
      <c r="X3482" s="818"/>
      <c r="Y3482" s="819">
        <v>27.6</v>
      </c>
      <c r="Z3482" s="818"/>
      <c r="AA3482" s="820">
        <v>3.68</v>
      </c>
      <c r="AB3482" s="820">
        <v>0.83699999999999997</v>
      </c>
      <c r="AC3482" s="818">
        <v>7.6</v>
      </c>
      <c r="AD3482" s="824">
        <v>460</v>
      </c>
      <c r="AE3482" s="824">
        <v>220</v>
      </c>
      <c r="AF3482" s="824">
        <v>320</v>
      </c>
      <c r="AG3482" s="66">
        <f t="shared" si="132"/>
        <v>102.73695652173912</v>
      </c>
      <c r="AH3482" s="143">
        <f t="shared" si="133"/>
        <v>1000</v>
      </c>
    </row>
    <row r="3483" spans="1:34" x14ac:dyDescent="0.3">
      <c r="A3483" s="818">
        <v>203412</v>
      </c>
      <c r="B3483" s="819">
        <v>30.666666666666664</v>
      </c>
      <c r="C3483" s="819">
        <v>6.8750000000000018</v>
      </c>
      <c r="D3483" s="820">
        <v>8.4</v>
      </c>
      <c r="E3483" s="1571">
        <v>1.78</v>
      </c>
      <c r="F3483" s="821">
        <v>1958.0000000000002</v>
      </c>
      <c r="G3483" s="818"/>
      <c r="H3483" s="821">
        <v>223.53</v>
      </c>
      <c r="I3483" s="821">
        <v>404</v>
      </c>
      <c r="J3483" s="822">
        <v>1.413</v>
      </c>
      <c r="K3483" s="819">
        <v>8.07</v>
      </c>
      <c r="L3483" s="818">
        <v>1238</v>
      </c>
      <c r="M3483" s="818">
        <v>1.75</v>
      </c>
      <c r="N3483" s="818">
        <v>0.71</v>
      </c>
      <c r="O3483" s="818">
        <v>2.06</v>
      </c>
      <c r="P3483" s="818">
        <v>4.5</v>
      </c>
      <c r="Q3483" s="818"/>
      <c r="R3483" s="820">
        <v>0.97275339567753405</v>
      </c>
      <c r="S3483" s="819">
        <v>6.93</v>
      </c>
      <c r="T3483" s="818"/>
      <c r="U3483" s="818"/>
      <c r="V3483" s="818"/>
      <c r="W3483" s="818"/>
      <c r="X3483" s="818"/>
      <c r="Y3483" s="819">
        <v>33</v>
      </c>
      <c r="Z3483" s="818"/>
      <c r="AA3483" s="820">
        <v>3.76</v>
      </c>
      <c r="AB3483" s="820">
        <v>0.76900000000000002</v>
      </c>
      <c r="AC3483" s="818">
        <v>8.6</v>
      </c>
      <c r="AD3483" s="824">
        <v>660</v>
      </c>
      <c r="AE3483" s="824">
        <v>220</v>
      </c>
      <c r="AF3483" s="824">
        <v>120</v>
      </c>
      <c r="AG3483" s="66">
        <f t="shared" si="132"/>
        <v>86.569090909090917</v>
      </c>
      <c r="AH3483" s="143">
        <f t="shared" si="133"/>
        <v>1000</v>
      </c>
    </row>
    <row r="3484" spans="1:34" x14ac:dyDescent="0.3">
      <c r="A3484" s="818">
        <v>203413</v>
      </c>
      <c r="B3484" s="819">
        <v>29.166666666666664</v>
      </c>
      <c r="C3484" s="819">
        <v>6.6250000000000009</v>
      </c>
      <c r="D3484" s="820">
        <v>9</v>
      </c>
      <c r="E3484" s="1571">
        <v>0.29799999999999999</v>
      </c>
      <c r="F3484" s="821">
        <v>327.8</v>
      </c>
      <c r="G3484" s="818"/>
      <c r="H3484" s="821">
        <v>1.55</v>
      </c>
      <c r="I3484" s="821">
        <v>194</v>
      </c>
      <c r="J3484" s="822">
        <v>8.5999999999999993E-2</v>
      </c>
      <c r="K3484" s="819">
        <v>7.44</v>
      </c>
      <c r="L3484" s="818">
        <v>563</v>
      </c>
      <c r="M3484" s="818">
        <v>0.09</v>
      </c>
      <c r="N3484" s="818">
        <v>0.19</v>
      </c>
      <c r="O3484" s="818">
        <v>0.49</v>
      </c>
      <c r="P3484" s="818">
        <v>1.37</v>
      </c>
      <c r="Q3484" s="818"/>
      <c r="R3484" s="820">
        <v>0.11761155275926188</v>
      </c>
      <c r="S3484" s="819">
        <v>0.82000000000000006</v>
      </c>
      <c r="T3484" s="818"/>
      <c r="U3484" s="818"/>
      <c r="V3484" s="818"/>
      <c r="W3484" s="818"/>
      <c r="X3484" s="818"/>
      <c r="Y3484" s="819">
        <v>8.4</v>
      </c>
      <c r="Z3484" s="818"/>
      <c r="AA3484" s="820">
        <v>3.62</v>
      </c>
      <c r="AB3484" s="820">
        <v>0.48299999999999998</v>
      </c>
      <c r="AC3484" s="818">
        <v>11.8</v>
      </c>
      <c r="AD3484" s="824">
        <v>120</v>
      </c>
      <c r="AE3484" s="824">
        <v>80</v>
      </c>
      <c r="AF3484" s="824">
        <v>800</v>
      </c>
      <c r="AG3484" s="66">
        <f t="shared" si="132"/>
        <v>313.54285714285714</v>
      </c>
      <c r="AH3484" s="143">
        <f t="shared" si="133"/>
        <v>1000</v>
      </c>
    </row>
    <row r="3485" spans="1:34" x14ac:dyDescent="0.3">
      <c r="A3485" s="818">
        <v>203414</v>
      </c>
      <c r="B3485" s="819">
        <v>32.666666666666671</v>
      </c>
      <c r="C3485" s="819">
        <v>7.3750000000000027</v>
      </c>
      <c r="D3485" s="820">
        <v>8.6</v>
      </c>
      <c r="E3485" s="1571">
        <v>0.91100000000000003</v>
      </c>
      <c r="F3485" s="821">
        <v>1002.1000000000003</v>
      </c>
      <c r="G3485" s="818"/>
      <c r="H3485" s="821">
        <v>1.63</v>
      </c>
      <c r="I3485" s="821">
        <v>192</v>
      </c>
      <c r="J3485" s="822">
        <v>0.40899999999999997</v>
      </c>
      <c r="K3485" s="819">
        <v>7.88</v>
      </c>
      <c r="L3485" s="818">
        <v>775</v>
      </c>
      <c r="M3485" s="818">
        <v>0.11</v>
      </c>
      <c r="N3485" s="818">
        <v>0.23</v>
      </c>
      <c r="O3485" s="818">
        <v>0.53</v>
      </c>
      <c r="P3485" s="818">
        <v>1.57</v>
      </c>
      <c r="Q3485" s="818"/>
      <c r="R3485" s="820">
        <v>0.2030917270405746</v>
      </c>
      <c r="S3485" s="819">
        <v>1.48</v>
      </c>
      <c r="T3485" s="818"/>
      <c r="U3485" s="818"/>
      <c r="V3485" s="818"/>
      <c r="W3485" s="818"/>
      <c r="X3485" s="818"/>
      <c r="Y3485" s="819">
        <v>16.8</v>
      </c>
      <c r="Z3485" s="818"/>
      <c r="AA3485" s="820">
        <v>4.8499999999999996</v>
      </c>
      <c r="AB3485" s="820">
        <v>0.76400000000000001</v>
      </c>
      <c r="AC3485" s="818">
        <v>11.4</v>
      </c>
      <c r="AD3485" s="824">
        <v>280</v>
      </c>
      <c r="AE3485" s="824">
        <v>120</v>
      </c>
      <c r="AF3485" s="824">
        <v>600</v>
      </c>
      <c r="AG3485" s="66">
        <f t="shared" si="132"/>
        <v>166.04285714285714</v>
      </c>
      <c r="AH3485" s="143">
        <f t="shared" si="133"/>
        <v>1000</v>
      </c>
    </row>
    <row r="3486" spans="1:34" x14ac:dyDescent="0.3">
      <c r="A3486" s="818">
        <v>203415</v>
      </c>
      <c r="B3486" s="819">
        <v>38.333333333333329</v>
      </c>
      <c r="C3486" s="819">
        <v>8.8750000000000018</v>
      </c>
      <c r="D3486" s="820">
        <v>8.6999999999999993</v>
      </c>
      <c r="E3486" s="1571">
        <v>0.60299999999999998</v>
      </c>
      <c r="F3486" s="821">
        <v>663.3</v>
      </c>
      <c r="G3486" s="818"/>
      <c r="H3486" s="821">
        <v>4.04</v>
      </c>
      <c r="I3486" s="821">
        <v>177</v>
      </c>
      <c r="J3486" s="822">
        <v>0.25</v>
      </c>
      <c r="K3486" s="819">
        <v>8.01</v>
      </c>
      <c r="L3486" s="818">
        <v>590</v>
      </c>
      <c r="M3486" s="818">
        <v>0.17</v>
      </c>
      <c r="N3486" s="818">
        <v>0.28999999999999998</v>
      </c>
      <c r="O3486" s="818">
        <v>0.56999999999999995</v>
      </c>
      <c r="P3486" s="818">
        <v>1.8</v>
      </c>
      <c r="Q3486" s="818"/>
      <c r="R3486" s="820">
        <v>0.38491744447762233</v>
      </c>
      <c r="S3486" s="819">
        <v>2.5099999999999998</v>
      </c>
      <c r="T3486" s="818"/>
      <c r="U3486" s="818"/>
      <c r="V3486" s="818"/>
      <c r="W3486" s="818"/>
      <c r="X3486" s="818"/>
      <c r="Y3486" s="819">
        <v>15</v>
      </c>
      <c r="Z3486" s="818"/>
      <c r="AA3486" s="820">
        <v>4.72</v>
      </c>
      <c r="AB3486" s="820">
        <v>0.82399999999999995</v>
      </c>
      <c r="AC3486" s="818">
        <v>8.8000000000000007</v>
      </c>
      <c r="AD3486" s="824">
        <v>300</v>
      </c>
      <c r="AE3486" s="824">
        <v>120</v>
      </c>
      <c r="AF3486" s="824">
        <v>580</v>
      </c>
      <c r="AG3486" s="66">
        <f t="shared" si="132"/>
        <v>189.036</v>
      </c>
      <c r="AH3486" s="143">
        <f t="shared" si="133"/>
        <v>1000</v>
      </c>
    </row>
    <row r="3487" spans="1:34" x14ac:dyDescent="0.3">
      <c r="A3487" s="818">
        <v>203416</v>
      </c>
      <c r="B3487" s="819">
        <v>27.833333333333332</v>
      </c>
      <c r="C3487" s="819">
        <v>6.3750000000000018</v>
      </c>
      <c r="D3487" s="820">
        <v>8</v>
      </c>
      <c r="E3487" s="1571">
        <v>7.19</v>
      </c>
      <c r="F3487" s="821">
        <v>7909.0000000000009</v>
      </c>
      <c r="G3487" s="818"/>
      <c r="H3487" s="821">
        <v>1.47</v>
      </c>
      <c r="I3487" s="821">
        <v>167</v>
      </c>
      <c r="J3487" s="822">
        <v>3.2890000000000001</v>
      </c>
      <c r="K3487" s="819">
        <v>15.76</v>
      </c>
      <c r="L3487" s="818">
        <v>3405</v>
      </c>
      <c r="M3487" s="818">
        <v>0.25</v>
      </c>
      <c r="N3487" s="818">
        <v>0.95</v>
      </c>
      <c r="O3487" s="818">
        <v>0.55000000000000004</v>
      </c>
      <c r="P3487" s="818">
        <v>4.07</v>
      </c>
      <c r="Q3487" s="818"/>
      <c r="R3487" s="820">
        <v>0.4193111583691097</v>
      </c>
      <c r="S3487" s="819">
        <v>2.96</v>
      </c>
      <c r="T3487" s="818"/>
      <c r="U3487" s="818"/>
      <c r="V3487" s="818"/>
      <c r="W3487" s="818"/>
      <c r="X3487" s="818"/>
      <c r="Y3487" s="819">
        <v>35</v>
      </c>
      <c r="Z3487" s="818"/>
      <c r="AA3487" s="820">
        <v>3.87</v>
      </c>
      <c r="AB3487" s="820">
        <v>0.40699999999999997</v>
      </c>
      <c r="AC3487" s="818">
        <v>9.6</v>
      </c>
      <c r="AD3487" s="824">
        <v>580</v>
      </c>
      <c r="AE3487" s="824">
        <v>320</v>
      </c>
      <c r="AF3487" s="824">
        <v>100</v>
      </c>
      <c r="AG3487" s="66">
        <f t="shared" si="132"/>
        <v>159.40114285714284</v>
      </c>
      <c r="AH3487" s="143">
        <f t="shared" si="133"/>
        <v>1000</v>
      </c>
    </row>
    <row r="3488" spans="1:34" x14ac:dyDescent="0.3">
      <c r="A3488" s="818">
        <v>203417</v>
      </c>
      <c r="B3488" s="819">
        <v>12.5</v>
      </c>
      <c r="C3488" s="819">
        <v>4.8750000000000027</v>
      </c>
      <c r="D3488" s="820">
        <v>8.6</v>
      </c>
      <c r="E3488" s="1571">
        <v>0.45</v>
      </c>
      <c r="F3488" s="821">
        <v>495.00000000000006</v>
      </c>
      <c r="G3488" s="818"/>
      <c r="H3488" s="821">
        <v>2.9</v>
      </c>
      <c r="I3488" s="821">
        <v>220</v>
      </c>
      <c r="J3488" s="822">
        <v>0.112</v>
      </c>
      <c r="K3488" s="819">
        <v>7.2</v>
      </c>
      <c r="L3488" s="818">
        <v>333</v>
      </c>
      <c r="M3488" s="818">
        <v>0.16</v>
      </c>
      <c r="N3488" s="818">
        <v>0.26</v>
      </c>
      <c r="O3488" s="818">
        <v>1.1200000000000001</v>
      </c>
      <c r="P3488" s="818">
        <v>1.46</v>
      </c>
      <c r="Q3488" s="818"/>
      <c r="R3488" s="820">
        <v>0.41486795101009311</v>
      </c>
      <c r="S3488" s="819">
        <v>2.88</v>
      </c>
      <c r="T3488" s="818"/>
      <c r="U3488" s="818"/>
      <c r="V3488" s="818"/>
      <c r="W3488" s="818"/>
      <c r="X3488" s="818"/>
      <c r="Y3488" s="819">
        <v>15</v>
      </c>
      <c r="Z3488" s="818"/>
      <c r="AA3488" s="820">
        <v>3.73</v>
      </c>
      <c r="AB3488" s="820">
        <v>0.81899999999999995</v>
      </c>
      <c r="AC3488" s="818">
        <v>9.5</v>
      </c>
      <c r="AD3488" s="824">
        <v>300</v>
      </c>
      <c r="AE3488" s="824">
        <v>120</v>
      </c>
      <c r="AF3488" s="824">
        <v>580</v>
      </c>
      <c r="AG3488" s="66">
        <f t="shared" si="132"/>
        <v>169.92000000000002</v>
      </c>
      <c r="AH3488" s="143">
        <f t="shared" si="133"/>
        <v>1000</v>
      </c>
    </row>
    <row r="3489" spans="1:34" x14ac:dyDescent="0.3">
      <c r="A3489" s="818">
        <v>203418</v>
      </c>
      <c r="B3489" s="819">
        <v>41.666666666666664</v>
      </c>
      <c r="C3489" s="819">
        <v>9.8750000000000036</v>
      </c>
      <c r="D3489" s="820">
        <v>8.6</v>
      </c>
      <c r="E3489" s="1571">
        <v>0.72899999999999998</v>
      </c>
      <c r="F3489" s="821">
        <v>801.90000000000009</v>
      </c>
      <c r="G3489" s="818"/>
      <c r="H3489" s="821">
        <v>3.47</v>
      </c>
      <c r="I3489" s="821">
        <v>90</v>
      </c>
      <c r="J3489" s="822">
        <v>0.16900000000000001</v>
      </c>
      <c r="K3489" s="819">
        <v>8.18</v>
      </c>
      <c r="L3489" s="818">
        <v>413</v>
      </c>
      <c r="M3489" s="818">
        <v>0.08</v>
      </c>
      <c r="N3489" s="818">
        <v>0.24</v>
      </c>
      <c r="O3489" s="818">
        <v>0.26</v>
      </c>
      <c r="P3489" s="818">
        <v>1.37</v>
      </c>
      <c r="Q3489" s="818"/>
      <c r="R3489" s="820">
        <v>0.13608496386704325</v>
      </c>
      <c r="S3489" s="819">
        <v>0.98</v>
      </c>
      <c r="T3489" s="818"/>
      <c r="U3489" s="818"/>
      <c r="V3489" s="818"/>
      <c r="W3489" s="818"/>
      <c r="X3489" s="818"/>
      <c r="Y3489" s="819">
        <v>12</v>
      </c>
      <c r="Z3489" s="818"/>
      <c r="AA3489" s="820">
        <v>4.45</v>
      </c>
      <c r="AB3489" s="820">
        <v>0.7</v>
      </c>
      <c r="AC3489" s="818">
        <v>6.3</v>
      </c>
      <c r="AD3489" s="824">
        <v>240</v>
      </c>
      <c r="AE3489" s="824">
        <v>120</v>
      </c>
      <c r="AF3489" s="824">
        <v>640</v>
      </c>
      <c r="AG3489" s="66">
        <f t="shared" si="132"/>
        <v>241.31000000000003</v>
      </c>
      <c r="AH3489" s="143">
        <f t="shared" si="133"/>
        <v>1000</v>
      </c>
    </row>
    <row r="3490" spans="1:34" x14ac:dyDescent="0.3">
      <c r="A3490" s="818">
        <v>203419</v>
      </c>
      <c r="B3490" s="819">
        <v>16.666666666666664</v>
      </c>
      <c r="C3490" s="819">
        <v>8.1250000000000018</v>
      </c>
      <c r="D3490" s="820">
        <v>8.9</v>
      </c>
      <c r="E3490" s="1571">
        <v>0.86899999999999999</v>
      </c>
      <c r="F3490" s="821">
        <v>955.90000000000009</v>
      </c>
      <c r="G3490" s="818"/>
      <c r="H3490" s="821">
        <v>26.81</v>
      </c>
      <c r="I3490" s="821">
        <v>117</v>
      </c>
      <c r="J3490" s="822">
        <v>0.66500000000000004</v>
      </c>
      <c r="K3490" s="819">
        <v>7.08</v>
      </c>
      <c r="L3490" s="818">
        <v>705</v>
      </c>
      <c r="M3490" s="818">
        <v>0.55000000000000004</v>
      </c>
      <c r="N3490" s="818">
        <v>0.45</v>
      </c>
      <c r="O3490" s="818">
        <v>1.81</v>
      </c>
      <c r="P3490" s="818">
        <v>3.91</v>
      </c>
      <c r="Q3490" s="818"/>
      <c r="R3490" s="820">
        <v>0.42917960623719476</v>
      </c>
      <c r="S3490" s="819">
        <v>3.19</v>
      </c>
      <c r="T3490" s="818"/>
      <c r="U3490" s="818"/>
      <c r="V3490" s="818"/>
      <c r="W3490" s="818"/>
      <c r="X3490" s="818"/>
      <c r="Y3490" s="819">
        <v>16</v>
      </c>
      <c r="Z3490" s="818"/>
      <c r="AA3490" s="820">
        <v>4.29</v>
      </c>
      <c r="AB3490" s="820">
        <v>0.68600000000000005</v>
      </c>
      <c r="AC3490" s="818">
        <v>9.9</v>
      </c>
      <c r="AD3490" s="824">
        <v>320</v>
      </c>
      <c r="AE3490" s="824">
        <v>80</v>
      </c>
      <c r="AF3490" s="824">
        <v>600</v>
      </c>
      <c r="AG3490" s="66">
        <f t="shared" si="132"/>
        <v>156.64500000000001</v>
      </c>
      <c r="AH3490" s="143">
        <f t="shared" si="133"/>
        <v>1000</v>
      </c>
    </row>
    <row r="3491" spans="1:34" x14ac:dyDescent="0.3">
      <c r="A3491" s="818">
        <v>203420</v>
      </c>
      <c r="B3491" s="819">
        <v>21</v>
      </c>
      <c r="C3491" s="819">
        <v>7.8750000000000009</v>
      </c>
      <c r="D3491" s="820">
        <v>8.6999999999999993</v>
      </c>
      <c r="E3491" s="1571">
        <v>2.0019999999999998</v>
      </c>
      <c r="F3491" s="821">
        <v>2202.1999999999998</v>
      </c>
      <c r="G3491" s="818"/>
      <c r="H3491" s="821">
        <v>52.14</v>
      </c>
      <c r="I3491" s="821">
        <v>277</v>
      </c>
      <c r="J3491" s="822">
        <v>1.3879999999999999</v>
      </c>
      <c r="K3491" s="819">
        <v>8.49</v>
      </c>
      <c r="L3491" s="818">
        <v>1149</v>
      </c>
      <c r="M3491" s="818">
        <v>0.7</v>
      </c>
      <c r="N3491" s="818">
        <v>1.28</v>
      </c>
      <c r="O3491" s="818">
        <v>1.62</v>
      </c>
      <c r="P3491" s="818">
        <v>5.42</v>
      </c>
      <c r="Q3491" s="818"/>
      <c r="R3491" s="820">
        <v>0.59512182355679677</v>
      </c>
      <c r="S3491" s="819">
        <v>4.1399999999999997</v>
      </c>
      <c r="T3491" s="818"/>
      <c r="U3491" s="818"/>
      <c r="V3491" s="818"/>
      <c r="W3491" s="818"/>
      <c r="X3491" s="818"/>
      <c r="Y3491" s="819">
        <v>28</v>
      </c>
      <c r="Z3491" s="818"/>
      <c r="AA3491" s="820">
        <v>3.97</v>
      </c>
      <c r="AB3491" s="820">
        <v>0.755</v>
      </c>
      <c r="AC3491" s="818">
        <v>6.6</v>
      </c>
      <c r="AD3491" s="824">
        <v>400</v>
      </c>
      <c r="AE3491" s="824">
        <v>140</v>
      </c>
      <c r="AF3491" s="824">
        <v>460</v>
      </c>
      <c r="AG3491" s="66">
        <f t="shared" si="132"/>
        <v>107.33785714285715</v>
      </c>
      <c r="AH3491" s="143">
        <f t="shared" si="133"/>
        <v>1000</v>
      </c>
    </row>
    <row r="3492" spans="1:34" x14ac:dyDescent="0.3">
      <c r="A3492" s="818">
        <v>203421</v>
      </c>
      <c r="B3492" s="819">
        <v>16.833333333333332</v>
      </c>
      <c r="C3492" s="819">
        <v>8.2500000000000018</v>
      </c>
      <c r="D3492" s="820">
        <v>8.8000000000000007</v>
      </c>
      <c r="E3492" s="1571">
        <v>1.31</v>
      </c>
      <c r="F3492" s="821">
        <v>1441.0000000000002</v>
      </c>
      <c r="G3492" s="818"/>
      <c r="H3492" s="821">
        <v>59.38</v>
      </c>
      <c r="I3492" s="821">
        <v>333</v>
      </c>
      <c r="J3492" s="822">
        <v>1.0409999999999999</v>
      </c>
      <c r="K3492" s="819">
        <v>7.78</v>
      </c>
      <c r="L3492" s="818">
        <v>905</v>
      </c>
      <c r="M3492" s="818">
        <v>0.64</v>
      </c>
      <c r="N3492" s="818">
        <v>0.74</v>
      </c>
      <c r="O3492" s="818">
        <v>1.2</v>
      </c>
      <c r="P3492" s="818">
        <v>4.3899999999999997</v>
      </c>
      <c r="Q3492" s="818"/>
      <c r="R3492" s="820">
        <v>0.67040171570012552</v>
      </c>
      <c r="S3492" s="819">
        <v>4.7799999999999994</v>
      </c>
      <c r="T3492" s="818"/>
      <c r="U3492" s="818"/>
      <c r="V3492" s="818"/>
      <c r="W3492" s="818"/>
      <c r="X3492" s="818"/>
      <c r="Y3492" s="819">
        <v>21</v>
      </c>
      <c r="Z3492" s="818"/>
      <c r="AA3492" s="820">
        <v>3.61</v>
      </c>
      <c r="AB3492" s="820">
        <v>0.78900000000000003</v>
      </c>
      <c r="AC3492" s="818">
        <v>8.4</v>
      </c>
      <c r="AD3492" s="824">
        <v>420</v>
      </c>
      <c r="AE3492" s="824">
        <v>100</v>
      </c>
      <c r="AF3492" s="824">
        <v>480</v>
      </c>
      <c r="AG3492" s="66">
        <f t="shared" si="132"/>
        <v>131.14857142857142</v>
      </c>
      <c r="AH3492" s="143">
        <f t="shared" si="133"/>
        <v>1000</v>
      </c>
    </row>
    <row r="3493" spans="1:34" x14ac:dyDescent="0.3">
      <c r="A3493" s="1441">
        <v>203422</v>
      </c>
      <c r="B3493" s="1442">
        <v>0.3</v>
      </c>
      <c r="C3493" s="1443"/>
      <c r="D3493" s="1444">
        <v>8.5</v>
      </c>
      <c r="E3493" s="1588">
        <v>0.313</v>
      </c>
      <c r="F3493" s="1445">
        <v>344.30000000000007</v>
      </c>
      <c r="G3493" s="1441"/>
      <c r="H3493" s="1445">
        <v>24.86</v>
      </c>
      <c r="I3493" s="1445">
        <v>102</v>
      </c>
      <c r="J3493" s="1446">
        <v>0.27900000000000003</v>
      </c>
      <c r="K3493" s="1442">
        <v>2.71</v>
      </c>
      <c r="L3493" s="1441">
        <v>618</v>
      </c>
      <c r="M3493" s="1441">
        <v>0.39</v>
      </c>
      <c r="N3493" s="1441">
        <v>0.48</v>
      </c>
      <c r="O3493" s="1441">
        <v>4.71</v>
      </c>
      <c r="P3493" s="1441">
        <v>3.09</v>
      </c>
      <c r="Q3493" s="1441"/>
      <c r="R3493" s="1444">
        <v>1.0514807433103235</v>
      </c>
      <c r="S3493" s="1442">
        <v>7.38</v>
      </c>
      <c r="T3493" s="1441"/>
      <c r="U3493" s="1441"/>
      <c r="V3493" s="1441"/>
      <c r="W3493" s="1441"/>
      <c r="X3493" s="1441"/>
      <c r="Y3493" s="1442">
        <v>20</v>
      </c>
      <c r="Z3493" s="1441"/>
      <c r="AA3493" s="1444">
        <v>4.4400000000000004</v>
      </c>
      <c r="AB3493" s="1444">
        <v>0.59899999999999998</v>
      </c>
      <c r="AC3493" s="1441">
        <v>8.3000000000000007</v>
      </c>
      <c r="AD3493" s="1441">
        <v>400</v>
      </c>
      <c r="AE3493" s="1441">
        <v>140</v>
      </c>
      <c r="AF3493" s="1441">
        <v>460</v>
      </c>
      <c r="AG3493" s="66">
        <f t="shared" si="132"/>
        <v>47.966999999999999</v>
      </c>
      <c r="AH3493" s="143">
        <f t="shared" si="133"/>
        <v>1000</v>
      </c>
    </row>
    <row r="3494" spans="1:34" x14ac:dyDescent="0.3">
      <c r="A3494" s="1441">
        <v>203423</v>
      </c>
      <c r="B3494" s="1442">
        <v>0.1</v>
      </c>
      <c r="C3494" s="1443"/>
      <c r="D3494" s="1444">
        <v>8.1</v>
      </c>
      <c r="E3494" s="1588">
        <v>0.108</v>
      </c>
      <c r="F3494" s="1445">
        <v>118.8</v>
      </c>
      <c r="G3494" s="1441"/>
      <c r="H3494" s="1445">
        <v>10.9</v>
      </c>
      <c r="I3494" s="1445">
        <v>201</v>
      </c>
      <c r="J3494" s="1446">
        <v>6.2E-2</v>
      </c>
      <c r="K3494" s="1442">
        <v>2.2000000000000002</v>
      </c>
      <c r="L3494" s="1441">
        <v>517</v>
      </c>
      <c r="M3494" s="1441">
        <v>0.21</v>
      </c>
      <c r="N3494" s="1441">
        <v>0.62</v>
      </c>
      <c r="O3494" s="1441">
        <v>8.16</v>
      </c>
      <c r="P3494" s="1441">
        <v>3.51</v>
      </c>
      <c r="Q3494" s="1441"/>
      <c r="R3494" s="1444">
        <v>0.74117148775169195</v>
      </c>
      <c r="S3494" s="1442">
        <v>5.33</v>
      </c>
      <c r="T3494" s="1441"/>
      <c r="U3494" s="1441"/>
      <c r="V3494" s="1441"/>
      <c r="W3494" s="1441"/>
      <c r="X3494" s="1441"/>
      <c r="Y3494" s="1442">
        <v>29.4</v>
      </c>
      <c r="Z3494" s="1441"/>
      <c r="AA3494" s="1444">
        <v>3.87</v>
      </c>
      <c r="AB3494" s="1444">
        <v>0.81699999999999995</v>
      </c>
      <c r="AC3494" s="1441">
        <v>6.4</v>
      </c>
      <c r="AD3494" s="1441">
        <v>420</v>
      </c>
      <c r="AE3494" s="1441">
        <v>200</v>
      </c>
      <c r="AF3494" s="1441">
        <v>380</v>
      </c>
      <c r="AG3494" s="66">
        <f t="shared" si="132"/>
        <v>26.489795918367349</v>
      </c>
      <c r="AH3494" s="143">
        <f t="shared" si="133"/>
        <v>1000</v>
      </c>
    </row>
    <row r="3495" spans="1:34" x14ac:dyDescent="0.3">
      <c r="A3495" s="90">
        <v>203424</v>
      </c>
      <c r="B3495" s="138">
        <v>13.749999999999998</v>
      </c>
      <c r="C3495" s="138">
        <v>5.4999999999999982</v>
      </c>
      <c r="D3495" s="152">
        <v>8.4</v>
      </c>
      <c r="E3495" s="752">
        <v>0.29199999999999998</v>
      </c>
      <c r="F3495" s="142">
        <v>321.2</v>
      </c>
      <c r="H3495" s="142">
        <v>49.94</v>
      </c>
      <c r="I3495" s="142">
        <v>252</v>
      </c>
      <c r="J3495" s="141">
        <v>0.122</v>
      </c>
      <c r="K3495" s="795">
        <v>6.9</v>
      </c>
      <c r="L3495" s="140">
        <v>397</v>
      </c>
      <c r="M3495" s="795">
        <v>1.19</v>
      </c>
      <c r="N3495" s="795">
        <v>0.36</v>
      </c>
      <c r="O3495" s="795">
        <v>3.22</v>
      </c>
      <c r="P3495" s="795">
        <v>2.58</v>
      </c>
      <c r="R3495" s="139">
        <v>1.4258656450885798</v>
      </c>
      <c r="S3495" s="138">
        <v>9.5399999999999991</v>
      </c>
      <c r="Y3495" s="138">
        <v>3.6</v>
      </c>
      <c r="AA3495" s="139">
        <v>4.7</v>
      </c>
      <c r="AB3495" s="139">
        <v>0.251</v>
      </c>
      <c r="AC3495" s="140">
        <v>11.3</v>
      </c>
      <c r="AD3495" s="70">
        <v>60</v>
      </c>
      <c r="AE3495" s="70">
        <v>60</v>
      </c>
      <c r="AF3495">
        <v>880</v>
      </c>
      <c r="AG3495" s="66">
        <f t="shared" si="132"/>
        <v>678.50000000000011</v>
      </c>
      <c r="AH3495" s="143">
        <f t="shared" si="133"/>
        <v>1000</v>
      </c>
    </row>
    <row r="3496" spans="1:34" x14ac:dyDescent="0.3">
      <c r="A3496" s="90">
        <v>203425</v>
      </c>
      <c r="B3496" s="138">
        <v>11.041666666666668</v>
      </c>
      <c r="C3496" s="138">
        <v>4.8749999999999982</v>
      </c>
      <c r="D3496" s="152">
        <v>8.6</v>
      </c>
      <c r="E3496" s="752">
        <v>0.41599999999999998</v>
      </c>
      <c r="F3496" s="142">
        <v>457.6</v>
      </c>
      <c r="H3496" s="142">
        <v>79.66</v>
      </c>
      <c r="I3496" s="142">
        <v>522</v>
      </c>
      <c r="J3496" s="141">
        <v>0.19</v>
      </c>
      <c r="K3496" s="795">
        <v>6.72</v>
      </c>
      <c r="L3496" s="140">
        <v>405</v>
      </c>
      <c r="M3496" s="795">
        <v>1.65</v>
      </c>
      <c r="N3496" s="795">
        <v>0.34</v>
      </c>
      <c r="O3496" s="795">
        <v>3.96</v>
      </c>
      <c r="P3496" s="795">
        <v>2.0699999999999998</v>
      </c>
      <c r="R3496" s="139">
        <v>1.3899672093826048</v>
      </c>
      <c r="S3496" s="138">
        <v>9.91</v>
      </c>
      <c r="Y3496" s="138">
        <v>3</v>
      </c>
      <c r="AA3496" s="139">
        <v>4.55</v>
      </c>
      <c r="AB3496" s="139">
        <v>0.67400000000000004</v>
      </c>
      <c r="AC3496" s="140">
        <v>9.3000000000000007</v>
      </c>
      <c r="AD3496" s="70">
        <v>60</v>
      </c>
      <c r="AE3496" s="70">
        <v>80</v>
      </c>
      <c r="AF3496">
        <v>860</v>
      </c>
      <c r="AG3496" s="66">
        <f t="shared" si="132"/>
        <v>792.95999999999992</v>
      </c>
      <c r="AH3496" s="143">
        <f t="shared" si="133"/>
        <v>1000</v>
      </c>
    </row>
    <row r="3497" spans="1:34" x14ac:dyDescent="0.3">
      <c r="A3497" s="90">
        <v>203426</v>
      </c>
      <c r="B3497" s="138">
        <v>6.8749999999999991</v>
      </c>
      <c r="D3497" s="152">
        <v>8.4</v>
      </c>
      <c r="E3497" s="752">
        <v>0.20799999999999999</v>
      </c>
      <c r="F3497" s="142">
        <v>228.8</v>
      </c>
      <c r="H3497" s="142">
        <v>110.24</v>
      </c>
      <c r="I3497" s="142">
        <v>316</v>
      </c>
      <c r="J3497" s="141">
        <v>0.106</v>
      </c>
      <c r="K3497" s="795">
        <v>6.6</v>
      </c>
      <c r="L3497" s="140">
        <v>407</v>
      </c>
      <c r="M3497" s="795">
        <v>1.17</v>
      </c>
      <c r="N3497" s="795">
        <v>0.56000000000000005</v>
      </c>
      <c r="O3497" s="795">
        <v>4.79</v>
      </c>
      <c r="P3497" s="795">
        <v>2.29</v>
      </c>
      <c r="R3497" s="139">
        <v>1.2439811155980944</v>
      </c>
      <c r="S3497" s="138">
        <v>8.66</v>
      </c>
      <c r="Y3497" s="138">
        <v>5.6</v>
      </c>
      <c r="AA3497" s="139">
        <v>4.8</v>
      </c>
      <c r="AB3497" s="139">
        <v>0.442</v>
      </c>
      <c r="AC3497" s="140">
        <v>7.5</v>
      </c>
      <c r="AD3497" s="70">
        <v>80</v>
      </c>
      <c r="AE3497" s="70">
        <v>60</v>
      </c>
      <c r="AF3497">
        <v>860</v>
      </c>
      <c r="AG3497" s="66">
        <f t="shared" si="132"/>
        <v>417.21428571428567</v>
      </c>
      <c r="AH3497" s="143">
        <f t="shared" si="133"/>
        <v>1000</v>
      </c>
    </row>
    <row r="3498" spans="1:34" x14ac:dyDescent="0.3">
      <c r="A3498" s="90">
        <v>203427</v>
      </c>
      <c r="B3498" s="138">
        <v>12.5</v>
      </c>
      <c r="C3498" s="138">
        <v>3.125</v>
      </c>
      <c r="D3498" s="152">
        <v>7.8</v>
      </c>
      <c r="E3498" s="752">
        <v>0.16600000000000001</v>
      </c>
      <c r="F3498" s="142">
        <v>182.60000000000002</v>
      </c>
      <c r="H3498" s="142">
        <v>177.89</v>
      </c>
      <c r="I3498" s="142">
        <v>966</v>
      </c>
      <c r="J3498" s="141">
        <v>1.6E-2</v>
      </c>
      <c r="K3498" s="795">
        <v>5.58</v>
      </c>
      <c r="L3498" s="140">
        <v>1841</v>
      </c>
      <c r="M3498" s="795">
        <v>6.82</v>
      </c>
      <c r="N3498" s="795">
        <v>7.97</v>
      </c>
      <c r="O3498" s="795">
        <v>16.010000000000002</v>
      </c>
      <c r="P3498" s="795">
        <v>17.41</v>
      </c>
      <c r="R3498" s="139">
        <v>2.1509993700000001</v>
      </c>
      <c r="S3498" s="138">
        <v>39.03</v>
      </c>
      <c r="Y3498" s="138">
        <v>28.8</v>
      </c>
      <c r="AA3498" s="139">
        <v>4.18</v>
      </c>
      <c r="AB3498" s="139">
        <v>0.876</v>
      </c>
      <c r="AC3498" s="140">
        <v>6.2</v>
      </c>
      <c r="AD3498" s="70">
        <v>480</v>
      </c>
      <c r="AE3498" s="70">
        <v>330</v>
      </c>
      <c r="AF3498">
        <v>190</v>
      </c>
      <c r="AG3498" s="66">
        <f t="shared" si="132"/>
        <v>68.587499999999991</v>
      </c>
      <c r="AH3498" s="143">
        <f t="shared" si="133"/>
        <v>1000</v>
      </c>
    </row>
    <row r="3499" spans="1:34" x14ac:dyDescent="0.3">
      <c r="A3499" s="90">
        <v>203428</v>
      </c>
      <c r="B3499" s="138">
        <v>25.416666666666664</v>
      </c>
      <c r="C3499" s="138">
        <v>3.6249999999999982</v>
      </c>
      <c r="D3499" s="152">
        <v>7.9</v>
      </c>
      <c r="E3499" s="752">
        <v>0.14000000000000001</v>
      </c>
      <c r="F3499" s="142">
        <v>154.00000000000003</v>
      </c>
      <c r="H3499" s="142">
        <v>63.64</v>
      </c>
      <c r="I3499" s="142">
        <v>674</v>
      </c>
      <c r="J3499" s="141">
        <v>1.4E-2</v>
      </c>
      <c r="K3499" s="795">
        <v>4.82</v>
      </c>
      <c r="L3499" s="140">
        <v>1521</v>
      </c>
      <c r="M3499" s="795">
        <v>3.96</v>
      </c>
      <c r="N3499" s="795">
        <v>4.91</v>
      </c>
      <c r="O3499" s="795">
        <v>17.18</v>
      </c>
      <c r="P3499" s="795">
        <v>11.97</v>
      </c>
      <c r="R3499" s="139">
        <v>1.9843405700000001</v>
      </c>
      <c r="S3499" s="138">
        <v>23.57</v>
      </c>
      <c r="Y3499" s="138">
        <v>37.799999999999997</v>
      </c>
      <c r="AA3499" s="139">
        <v>4.05</v>
      </c>
      <c r="AB3499" s="139">
        <v>0.88500000000000001</v>
      </c>
      <c r="AC3499" s="140">
        <v>6.6</v>
      </c>
      <c r="AD3499" s="70">
        <v>540</v>
      </c>
      <c r="AE3499" s="70">
        <v>300</v>
      </c>
      <c r="AF3499">
        <v>160</v>
      </c>
      <c r="AG3499" s="66">
        <f t="shared" si="132"/>
        <v>45.139682539682546</v>
      </c>
      <c r="AH3499" s="143">
        <f t="shared" si="133"/>
        <v>1000</v>
      </c>
    </row>
    <row r="3500" spans="1:34" x14ac:dyDescent="0.3">
      <c r="A3500" s="90">
        <v>203429</v>
      </c>
      <c r="B3500" s="138">
        <v>25.833333333333336</v>
      </c>
      <c r="C3500" s="138">
        <v>3.9999999999999991</v>
      </c>
      <c r="D3500" s="152">
        <v>7.9</v>
      </c>
      <c r="E3500" s="752">
        <v>0.19</v>
      </c>
      <c r="F3500" s="142">
        <v>209.00000000000003</v>
      </c>
      <c r="H3500" s="142">
        <v>236.33</v>
      </c>
      <c r="I3500" s="142">
        <v>740</v>
      </c>
      <c r="J3500" s="141">
        <v>1.6E-2</v>
      </c>
      <c r="K3500" s="795">
        <v>6.5</v>
      </c>
      <c r="L3500" s="140">
        <v>2087</v>
      </c>
      <c r="M3500" s="795">
        <v>7.66</v>
      </c>
      <c r="N3500" s="795">
        <v>21.22</v>
      </c>
      <c r="O3500" s="795">
        <v>13.35</v>
      </c>
      <c r="P3500" s="795">
        <v>28.12</v>
      </c>
      <c r="R3500" s="139">
        <v>2.1499062499999999</v>
      </c>
      <c r="S3500" s="138">
        <v>37.75</v>
      </c>
      <c r="Y3500" s="138">
        <v>31.2</v>
      </c>
      <c r="AA3500" s="139">
        <v>4.93</v>
      </c>
      <c r="AB3500" s="139">
        <v>0.40100000000000002</v>
      </c>
      <c r="AC3500" s="140">
        <v>9.3000000000000007</v>
      </c>
      <c r="AD3500" s="70">
        <v>520</v>
      </c>
      <c r="AE3500" s="70">
        <v>320</v>
      </c>
      <c r="AF3500">
        <v>160</v>
      </c>
      <c r="AG3500" s="66">
        <f t="shared" si="132"/>
        <v>73.75</v>
      </c>
      <c r="AH3500" s="143">
        <f t="shared" si="133"/>
        <v>1000</v>
      </c>
    </row>
    <row r="3501" spans="1:34" x14ac:dyDescent="0.3">
      <c r="A3501" s="90">
        <v>203430</v>
      </c>
      <c r="B3501" s="138">
        <v>24.166666666666668</v>
      </c>
      <c r="C3501" s="138">
        <v>3.2499999999999973</v>
      </c>
      <c r="D3501" s="152">
        <v>8</v>
      </c>
      <c r="E3501" s="752">
        <v>0.14699999999999999</v>
      </c>
      <c r="F3501" s="142">
        <v>161.70000000000002</v>
      </c>
      <c r="H3501" s="142">
        <v>117.06</v>
      </c>
      <c r="I3501" s="142">
        <v>423</v>
      </c>
      <c r="J3501" s="141">
        <v>1.6E-2</v>
      </c>
      <c r="K3501" s="795">
        <v>5.94</v>
      </c>
      <c r="L3501" s="140">
        <v>1545</v>
      </c>
      <c r="M3501" s="795">
        <v>3.23</v>
      </c>
      <c r="N3501" s="795">
        <v>4.75</v>
      </c>
      <c r="O3501" s="795">
        <v>11.57</v>
      </c>
      <c r="P3501" s="795">
        <v>13.64</v>
      </c>
      <c r="R3501" s="139">
        <v>1.93268708</v>
      </c>
      <c r="S3501" s="138">
        <v>21.34</v>
      </c>
      <c r="Y3501" s="138">
        <v>37.799999999999997</v>
      </c>
      <c r="AA3501" s="139">
        <v>3.79</v>
      </c>
      <c r="AB3501" s="139">
        <v>0.72899999999999998</v>
      </c>
      <c r="AC3501" s="140">
        <v>6.3</v>
      </c>
      <c r="AD3501" s="70">
        <v>540</v>
      </c>
      <c r="AE3501" s="70">
        <v>300</v>
      </c>
      <c r="AF3501">
        <v>160</v>
      </c>
      <c r="AG3501" s="66">
        <f t="shared" si="132"/>
        <v>55.628571428571441</v>
      </c>
      <c r="AH3501" s="143">
        <f t="shared" si="133"/>
        <v>1000</v>
      </c>
    </row>
    <row r="3502" spans="1:34" x14ac:dyDescent="0.3">
      <c r="A3502" s="90">
        <v>203431</v>
      </c>
      <c r="B3502" s="138">
        <v>20</v>
      </c>
      <c r="C3502" s="138">
        <v>3.6249999999999982</v>
      </c>
      <c r="D3502" s="152">
        <v>8.1</v>
      </c>
      <c r="E3502" s="752">
        <v>0.13500000000000001</v>
      </c>
      <c r="F3502" s="142">
        <v>148.50000000000003</v>
      </c>
      <c r="H3502" s="142">
        <v>277.83</v>
      </c>
      <c r="I3502" s="142">
        <v>551</v>
      </c>
      <c r="J3502" s="141">
        <v>1.4999999999999999E-2</v>
      </c>
      <c r="K3502" s="795">
        <v>5.33</v>
      </c>
      <c r="L3502" s="140">
        <v>1604</v>
      </c>
      <c r="M3502" s="795">
        <v>6.64</v>
      </c>
      <c r="N3502" s="795">
        <v>10.26</v>
      </c>
      <c r="O3502" s="795">
        <v>6.78</v>
      </c>
      <c r="P3502" s="795">
        <v>14.56</v>
      </c>
      <c r="R3502" s="139">
        <v>2.0708570000000002</v>
      </c>
      <c r="S3502" s="138">
        <v>28.3</v>
      </c>
      <c r="Y3502" s="138">
        <v>26.5</v>
      </c>
      <c r="AA3502" s="139">
        <v>4.84</v>
      </c>
      <c r="AB3502" s="139">
        <v>0.38900000000000001</v>
      </c>
      <c r="AC3502" s="140">
        <v>7.3</v>
      </c>
      <c r="AD3502" s="70">
        <v>530</v>
      </c>
      <c r="AE3502" s="70">
        <v>320</v>
      </c>
      <c r="AF3502">
        <v>150</v>
      </c>
      <c r="AG3502" s="66">
        <f t="shared" si="132"/>
        <v>71.200754716981137</v>
      </c>
      <c r="AH3502" s="143">
        <f t="shared" si="133"/>
        <v>1000</v>
      </c>
    </row>
    <row r="3503" spans="1:34" x14ac:dyDescent="0.3">
      <c r="A3503" s="90">
        <v>203432</v>
      </c>
      <c r="B3503" s="138">
        <v>19.166666666666664</v>
      </c>
      <c r="C3503" s="138">
        <v>3.3749999999999991</v>
      </c>
      <c r="D3503" s="152">
        <v>8.1999999999999993</v>
      </c>
      <c r="E3503" s="752">
        <v>0.121</v>
      </c>
      <c r="F3503" s="142">
        <v>133.1</v>
      </c>
      <c r="H3503" s="142">
        <v>181.74</v>
      </c>
      <c r="I3503" s="142">
        <v>564</v>
      </c>
      <c r="J3503" s="141">
        <v>1.4E-2</v>
      </c>
      <c r="K3503" s="795">
        <v>6.57</v>
      </c>
      <c r="L3503" s="140">
        <v>2035.0000000000002</v>
      </c>
      <c r="M3503" s="795">
        <v>3.98</v>
      </c>
      <c r="N3503" s="795">
        <v>5.6</v>
      </c>
      <c r="O3503" s="795">
        <v>10.11</v>
      </c>
      <c r="P3503" s="795">
        <v>11.22</v>
      </c>
      <c r="R3503" s="139">
        <v>1.85250425</v>
      </c>
      <c r="S3503" s="138">
        <v>18.350000000000001</v>
      </c>
      <c r="Y3503" s="138">
        <v>36.4</v>
      </c>
      <c r="AA3503" s="139">
        <v>5</v>
      </c>
      <c r="AB3503" s="139">
        <v>0.57599999999999996</v>
      </c>
      <c r="AC3503" s="140">
        <v>8.9</v>
      </c>
      <c r="AD3503" s="70">
        <v>520</v>
      </c>
      <c r="AE3503" s="70">
        <v>330</v>
      </c>
      <c r="AF3503">
        <v>150</v>
      </c>
      <c r="AG3503" s="66">
        <f t="shared" si="132"/>
        <v>63.895054945054937</v>
      </c>
      <c r="AH3503" s="143">
        <f t="shared" si="133"/>
        <v>1000</v>
      </c>
    </row>
    <row r="3504" spans="1:34" x14ac:dyDescent="0.3">
      <c r="A3504" s="90">
        <v>203433</v>
      </c>
      <c r="B3504" s="138">
        <v>20</v>
      </c>
      <c r="C3504" s="138">
        <v>3.125</v>
      </c>
      <c r="D3504" s="152">
        <v>7.9</v>
      </c>
      <c r="E3504" s="752">
        <v>0.15</v>
      </c>
      <c r="F3504" s="142">
        <v>165</v>
      </c>
      <c r="H3504" s="142">
        <v>234.8</v>
      </c>
      <c r="I3504" s="142">
        <v>625</v>
      </c>
      <c r="J3504" s="141">
        <v>1.0999999999999999E-2</v>
      </c>
      <c r="K3504" s="795">
        <v>5.38</v>
      </c>
      <c r="L3504" s="140">
        <v>1622</v>
      </c>
      <c r="M3504" s="795">
        <v>8.4700000000000006</v>
      </c>
      <c r="N3504" s="795">
        <v>14.65</v>
      </c>
      <c r="O3504" s="795">
        <v>12.44</v>
      </c>
      <c r="P3504" s="795">
        <v>21.8</v>
      </c>
      <c r="R3504" s="139">
        <v>2.10797408</v>
      </c>
      <c r="S3504" s="138">
        <v>31.16</v>
      </c>
      <c r="Y3504" s="138">
        <v>25.5</v>
      </c>
      <c r="AA3504" s="139">
        <v>4.91</v>
      </c>
      <c r="AB3504" s="139">
        <v>0.52</v>
      </c>
      <c r="AC3504" s="140">
        <v>6.5</v>
      </c>
      <c r="AD3504" s="70">
        <v>510</v>
      </c>
      <c r="AE3504" s="70">
        <v>320</v>
      </c>
      <c r="AF3504">
        <v>170</v>
      </c>
      <c r="AG3504" s="66">
        <f t="shared" si="132"/>
        <v>74.687058823529426</v>
      </c>
      <c r="AH3504" s="143">
        <f t="shared" si="133"/>
        <v>1000</v>
      </c>
    </row>
    <row r="3505" spans="1:34" x14ac:dyDescent="0.3">
      <c r="A3505" s="90">
        <v>203434</v>
      </c>
      <c r="B3505" s="138">
        <v>21.666666666666664</v>
      </c>
      <c r="C3505" s="138">
        <v>3.3749999999999991</v>
      </c>
      <c r="D3505" s="152">
        <v>7.9</v>
      </c>
      <c r="E3505" s="752">
        <v>0.115</v>
      </c>
      <c r="F3505" s="142">
        <v>126.50000000000003</v>
      </c>
      <c r="H3505" s="142">
        <v>160.49</v>
      </c>
      <c r="I3505" s="142">
        <v>361</v>
      </c>
      <c r="J3505" s="141">
        <v>1.4E-2</v>
      </c>
      <c r="K3505" s="795">
        <v>4.45</v>
      </c>
      <c r="L3505" s="140">
        <v>1409</v>
      </c>
      <c r="M3505" s="795">
        <v>2.42</v>
      </c>
      <c r="N3505" s="795">
        <v>3.89</v>
      </c>
      <c r="O3505" s="795">
        <v>10.28</v>
      </c>
      <c r="P3505" s="795">
        <v>10.76</v>
      </c>
      <c r="R3505" s="139">
        <v>1.8478607300000001</v>
      </c>
      <c r="S3505" s="138">
        <v>18.190000000000001</v>
      </c>
      <c r="Y3505" s="138">
        <v>39.200000000000003</v>
      </c>
      <c r="AA3505" s="139">
        <v>4.0999999999999996</v>
      </c>
      <c r="AB3505" s="139">
        <v>0.74399999999999999</v>
      </c>
      <c r="AC3505" s="140">
        <v>9.6</v>
      </c>
      <c r="AD3505" s="70">
        <v>560</v>
      </c>
      <c r="AE3505" s="70">
        <v>260</v>
      </c>
      <c r="AF3505">
        <v>180</v>
      </c>
      <c r="AG3505" s="66">
        <f t="shared" si="132"/>
        <v>40.186224489795912</v>
      </c>
      <c r="AH3505" s="143">
        <f t="shared" si="133"/>
        <v>1000</v>
      </c>
    </row>
    <row r="3506" spans="1:34" x14ac:dyDescent="0.3">
      <c r="A3506" s="90">
        <v>203435</v>
      </c>
      <c r="B3506" s="138">
        <v>22.499999999999996</v>
      </c>
      <c r="C3506" s="138">
        <v>3.125</v>
      </c>
      <c r="D3506" s="152">
        <v>8.1999999999999993</v>
      </c>
      <c r="E3506" s="752">
        <v>0.121</v>
      </c>
      <c r="F3506" s="142">
        <v>133.1</v>
      </c>
      <c r="H3506" s="142">
        <v>99.52</v>
      </c>
      <c r="I3506" s="142">
        <v>544</v>
      </c>
      <c r="J3506" s="141">
        <v>4.0000000000000001E-3</v>
      </c>
      <c r="K3506" s="795">
        <v>4.12</v>
      </c>
      <c r="L3506" s="140">
        <v>908</v>
      </c>
      <c r="M3506" s="795">
        <v>2.85</v>
      </c>
      <c r="N3506" s="795">
        <v>3.42</v>
      </c>
      <c r="O3506" s="795">
        <v>9.1300000000000008</v>
      </c>
      <c r="P3506" s="795">
        <v>5.93</v>
      </c>
      <c r="R3506" s="139">
        <v>1.6763428800000002</v>
      </c>
      <c r="S3506" s="138">
        <v>12.96</v>
      </c>
      <c r="Y3506" s="138">
        <v>38.5</v>
      </c>
      <c r="AA3506" s="139">
        <v>3.74</v>
      </c>
      <c r="AB3506" s="139">
        <v>0.84399999999999997</v>
      </c>
      <c r="AC3506" s="140">
        <v>6.9</v>
      </c>
      <c r="AD3506" s="70">
        <v>550</v>
      </c>
      <c r="AE3506" s="70">
        <v>270</v>
      </c>
      <c r="AF3506">
        <v>180</v>
      </c>
      <c r="AG3506" s="66">
        <f t="shared" si="132"/>
        <v>37.882597402597405</v>
      </c>
      <c r="AH3506" s="143">
        <f t="shared" si="133"/>
        <v>1000</v>
      </c>
    </row>
    <row r="3507" spans="1:34" x14ac:dyDescent="0.3">
      <c r="A3507" s="90">
        <v>203436</v>
      </c>
      <c r="B3507" s="138">
        <v>20.833333333333332</v>
      </c>
      <c r="C3507" s="138">
        <v>3.6249999999999982</v>
      </c>
      <c r="D3507" s="152">
        <v>7.9</v>
      </c>
      <c r="E3507" s="752">
        <v>0.16600000000000001</v>
      </c>
      <c r="F3507" s="142">
        <v>182.60000000000002</v>
      </c>
      <c r="H3507" s="142">
        <v>138.9</v>
      </c>
      <c r="I3507" s="142">
        <v>685</v>
      </c>
      <c r="J3507" s="141">
        <v>6.0000000000000001E-3</v>
      </c>
      <c r="K3507" s="795">
        <v>3.76</v>
      </c>
      <c r="L3507" s="140">
        <v>886</v>
      </c>
      <c r="M3507" s="795">
        <v>3.13</v>
      </c>
      <c r="N3507" s="795">
        <v>6.74</v>
      </c>
      <c r="O3507" s="795">
        <v>17.260000000000002</v>
      </c>
      <c r="P3507" s="795">
        <v>9.7899999999999991</v>
      </c>
      <c r="R3507" s="139">
        <v>1.9064787300000001</v>
      </c>
      <c r="S3507" s="138">
        <v>20.309999999999999</v>
      </c>
      <c r="Y3507" s="138">
        <v>23</v>
      </c>
      <c r="AA3507" s="139">
        <v>4.37</v>
      </c>
      <c r="AB3507" s="139">
        <v>0.39</v>
      </c>
      <c r="AC3507" s="140">
        <v>8.3000000000000007</v>
      </c>
      <c r="AD3507" s="70">
        <v>460</v>
      </c>
      <c r="AE3507" s="70">
        <v>260</v>
      </c>
      <c r="AF3507">
        <v>280</v>
      </c>
      <c r="AG3507" s="66">
        <f t="shared" si="132"/>
        <v>57.871304347826083</v>
      </c>
      <c r="AH3507" s="143">
        <f t="shared" si="133"/>
        <v>1000</v>
      </c>
    </row>
    <row r="3508" spans="1:34" x14ac:dyDescent="0.3">
      <c r="A3508" s="90">
        <v>203437</v>
      </c>
      <c r="B3508" s="138">
        <v>25.833333333333336</v>
      </c>
      <c r="C3508" s="138">
        <v>4.1250000000000009</v>
      </c>
      <c r="D3508" s="152">
        <v>8.3000000000000007</v>
      </c>
      <c r="E3508" s="752">
        <v>0.17100000000000001</v>
      </c>
      <c r="F3508" s="142">
        <v>188.10000000000002</v>
      </c>
      <c r="H3508" s="142">
        <v>26.54</v>
      </c>
      <c r="I3508" s="142">
        <v>2063</v>
      </c>
      <c r="J3508" s="141">
        <v>8.2000000000000003E-2</v>
      </c>
      <c r="K3508" s="795">
        <v>16.38</v>
      </c>
      <c r="L3508" s="140">
        <v>1045</v>
      </c>
      <c r="M3508" s="795">
        <v>0.42</v>
      </c>
      <c r="N3508" s="795">
        <v>0.55000000000000004</v>
      </c>
      <c r="O3508" s="795">
        <v>2.54</v>
      </c>
      <c r="P3508" s="795">
        <v>4.0599999999999996</v>
      </c>
      <c r="R3508" s="139">
        <v>1.8180267300000001</v>
      </c>
      <c r="S3508" s="138">
        <v>17.190000000000001</v>
      </c>
      <c r="Y3508" s="138">
        <v>38.5</v>
      </c>
      <c r="AA3508" s="139">
        <v>3.45</v>
      </c>
      <c r="AB3508" s="139">
        <v>0.73299999999999998</v>
      </c>
      <c r="AC3508" s="140">
        <v>8.6999999999999993</v>
      </c>
      <c r="AD3508" s="70">
        <v>550</v>
      </c>
      <c r="AE3508" s="70">
        <v>350</v>
      </c>
      <c r="AF3508">
        <v>100</v>
      </c>
      <c r="AG3508" s="66">
        <f t="shared" si="132"/>
        <v>150.61090909090908</v>
      </c>
      <c r="AH3508" s="143">
        <f t="shared" si="133"/>
        <v>1000</v>
      </c>
    </row>
    <row r="3509" spans="1:34" x14ac:dyDescent="0.3">
      <c r="A3509" s="90">
        <v>203438</v>
      </c>
      <c r="B3509" s="138">
        <v>28.333333333333332</v>
      </c>
      <c r="C3509" s="138">
        <v>4.375</v>
      </c>
      <c r="D3509" s="152">
        <v>8.4</v>
      </c>
      <c r="E3509" s="752">
        <v>0.17499999999999999</v>
      </c>
      <c r="F3509" s="142">
        <v>192.5</v>
      </c>
      <c r="H3509" s="142">
        <v>13.92</v>
      </c>
      <c r="I3509" s="142">
        <v>368</v>
      </c>
      <c r="J3509" s="141">
        <v>9.6000000000000002E-2</v>
      </c>
      <c r="K3509" s="795">
        <v>15.11</v>
      </c>
      <c r="L3509" s="140">
        <v>718</v>
      </c>
      <c r="M3509" s="795">
        <v>0.31</v>
      </c>
      <c r="N3509" s="795">
        <v>0.49</v>
      </c>
      <c r="O3509" s="795">
        <v>2.7</v>
      </c>
      <c r="P3509" s="795">
        <v>3.21</v>
      </c>
      <c r="R3509" s="139">
        <v>1.8007081700000001</v>
      </c>
      <c r="S3509" s="138">
        <v>16.63</v>
      </c>
      <c r="Y3509" s="138">
        <v>33</v>
      </c>
      <c r="AA3509" s="139">
        <v>4.3499999999999996</v>
      </c>
      <c r="AB3509" s="139">
        <v>0.44700000000000001</v>
      </c>
      <c r="AC3509" s="140">
        <v>6.1</v>
      </c>
      <c r="AD3509" s="70">
        <v>550</v>
      </c>
      <c r="AE3509" s="70">
        <v>340</v>
      </c>
      <c r="AF3509">
        <v>110</v>
      </c>
      <c r="AG3509" s="66">
        <f t="shared" si="132"/>
        <v>162.08909090909088</v>
      </c>
      <c r="AH3509" s="143">
        <f t="shared" si="133"/>
        <v>1000</v>
      </c>
    </row>
    <row r="3510" spans="1:34" x14ac:dyDescent="0.3">
      <c r="A3510" s="90">
        <v>203439</v>
      </c>
      <c r="B3510" s="138">
        <v>21.666666666666664</v>
      </c>
      <c r="C3510" s="138">
        <v>11.624999999999998</v>
      </c>
      <c r="D3510" s="152">
        <v>8.4</v>
      </c>
      <c r="E3510" s="752">
        <v>0.121</v>
      </c>
      <c r="F3510" s="142">
        <v>133.1</v>
      </c>
      <c r="H3510" s="142">
        <v>2.98</v>
      </c>
      <c r="I3510" s="142">
        <v>358</v>
      </c>
      <c r="J3510" s="141">
        <v>3.2000000000000001E-2</v>
      </c>
      <c r="K3510" s="795">
        <v>15.89</v>
      </c>
      <c r="L3510" s="140">
        <v>790</v>
      </c>
      <c r="M3510" s="795">
        <v>0.12</v>
      </c>
      <c r="N3510" s="795">
        <v>0.55000000000000004</v>
      </c>
      <c r="O3510" s="795">
        <v>1.9</v>
      </c>
      <c r="P3510" s="795">
        <v>4.07</v>
      </c>
      <c r="R3510" s="139">
        <v>1.7758542500000001</v>
      </c>
      <c r="S3510" s="138">
        <v>15.85</v>
      </c>
      <c r="Y3510" s="138">
        <v>32.4</v>
      </c>
      <c r="AA3510" s="139">
        <v>3.84</v>
      </c>
      <c r="AB3510" s="139">
        <v>0.76600000000000001</v>
      </c>
      <c r="AC3510" s="140">
        <v>6.5</v>
      </c>
      <c r="AD3510" s="70">
        <v>540</v>
      </c>
      <c r="AE3510" s="70">
        <v>300</v>
      </c>
      <c r="AF3510">
        <v>160</v>
      </c>
      <c r="AG3510" s="66">
        <f t="shared" si="132"/>
        <v>173.612962962963</v>
      </c>
      <c r="AH3510" s="143">
        <f t="shared" si="133"/>
        <v>1000</v>
      </c>
    </row>
    <row r="3511" spans="1:34" x14ac:dyDescent="0.3">
      <c r="A3511" s="90">
        <v>203440</v>
      </c>
      <c r="B3511" s="138">
        <v>23.333333333333332</v>
      </c>
      <c r="C3511" s="138">
        <v>11.375</v>
      </c>
      <c r="D3511" s="152">
        <v>8.4</v>
      </c>
      <c r="E3511" s="752">
        <v>0.13100000000000001</v>
      </c>
      <c r="F3511" s="142">
        <v>144.1</v>
      </c>
      <c r="H3511" s="142">
        <v>3.11</v>
      </c>
      <c r="I3511" s="142">
        <v>297</v>
      </c>
      <c r="J3511" s="141">
        <v>3.5000000000000003E-2</v>
      </c>
      <c r="K3511" s="795">
        <v>14.24</v>
      </c>
      <c r="L3511" s="140">
        <v>751</v>
      </c>
      <c r="M3511" s="795">
        <v>0.12</v>
      </c>
      <c r="N3511" s="795">
        <v>0.61</v>
      </c>
      <c r="O3511" s="795">
        <v>2.4900000000000002</v>
      </c>
      <c r="P3511" s="795">
        <v>6</v>
      </c>
      <c r="R3511" s="139">
        <v>1.7985124800000001</v>
      </c>
      <c r="S3511" s="138">
        <v>16.559999999999999</v>
      </c>
      <c r="Y3511" s="138">
        <v>33.6</v>
      </c>
      <c r="AA3511" s="139">
        <v>4.7300000000000004</v>
      </c>
      <c r="AB3511" s="139">
        <v>0.498</v>
      </c>
      <c r="AC3511" s="140">
        <v>7.2</v>
      </c>
      <c r="AD3511" s="70">
        <v>560</v>
      </c>
      <c r="AE3511" s="70">
        <v>280</v>
      </c>
      <c r="AF3511">
        <v>160</v>
      </c>
      <c r="AG3511" s="66">
        <f t="shared" si="132"/>
        <v>150.02857142857141</v>
      </c>
      <c r="AH3511" s="143">
        <f t="shared" si="133"/>
        <v>1000</v>
      </c>
    </row>
    <row r="3512" spans="1:34" x14ac:dyDescent="0.3">
      <c r="A3512" s="90">
        <v>203441</v>
      </c>
      <c r="B3512" s="138">
        <v>6.041666666666667</v>
      </c>
      <c r="D3512" s="152">
        <v>8.6</v>
      </c>
      <c r="E3512" s="752">
        <v>0.21</v>
      </c>
      <c r="F3512" s="142">
        <v>231</v>
      </c>
      <c r="H3512" s="142">
        <v>39.83</v>
      </c>
      <c r="I3512" s="142">
        <v>375</v>
      </c>
      <c r="J3512" s="141">
        <v>0.14899999999999999</v>
      </c>
      <c r="K3512" s="795">
        <v>8.68</v>
      </c>
      <c r="L3512" s="140">
        <v>1020</v>
      </c>
      <c r="M3512" s="795">
        <v>1.23</v>
      </c>
      <c r="N3512" s="795">
        <v>1.1000000000000001</v>
      </c>
      <c r="O3512" s="795">
        <v>5.71</v>
      </c>
      <c r="P3512" s="795">
        <v>2.4700000000000002</v>
      </c>
      <c r="R3512" s="139">
        <v>1.651977</v>
      </c>
      <c r="S3512" s="138">
        <v>12.3</v>
      </c>
      <c r="Y3512" s="138">
        <v>28.2</v>
      </c>
      <c r="AA3512" s="139">
        <v>4.93</v>
      </c>
      <c r="AB3512" s="139">
        <v>0.45900000000000002</v>
      </c>
      <c r="AC3512" s="140">
        <v>8.6999999999999993</v>
      </c>
      <c r="AD3512" s="70">
        <v>470</v>
      </c>
      <c r="AE3512" s="70">
        <v>400</v>
      </c>
      <c r="AF3512">
        <v>130</v>
      </c>
      <c r="AG3512" s="66">
        <f t="shared" si="132"/>
        <v>108.96170212765956</v>
      </c>
      <c r="AH3512" s="143">
        <f t="shared" si="133"/>
        <v>1000</v>
      </c>
    </row>
    <row r="3513" spans="1:34" x14ac:dyDescent="0.3">
      <c r="A3513" s="90">
        <v>203442</v>
      </c>
      <c r="B3513" s="138">
        <v>7.5</v>
      </c>
      <c r="D3513" s="152">
        <v>8.6</v>
      </c>
      <c r="E3513" s="752">
        <v>1.19</v>
      </c>
      <c r="F3513" s="142">
        <v>1309</v>
      </c>
      <c r="H3513" s="142">
        <v>25.01</v>
      </c>
      <c r="I3513" s="142">
        <v>302</v>
      </c>
      <c r="J3513" s="141">
        <v>1.78</v>
      </c>
      <c r="K3513" s="795">
        <v>7.97</v>
      </c>
      <c r="L3513" s="140">
        <v>798</v>
      </c>
      <c r="M3513" s="795">
        <v>0.48</v>
      </c>
      <c r="N3513" s="795">
        <v>14.65</v>
      </c>
      <c r="O3513" s="795">
        <v>3.52</v>
      </c>
      <c r="P3513" s="795">
        <v>2.14</v>
      </c>
      <c r="R3513" s="139">
        <v>1.60533152</v>
      </c>
      <c r="S3513" s="138">
        <v>11.08</v>
      </c>
      <c r="Y3513" s="138">
        <v>30</v>
      </c>
      <c r="AA3513" s="139">
        <v>3.95</v>
      </c>
      <c r="AB3513" s="139">
        <v>0.58899999999999997</v>
      </c>
      <c r="AC3513" s="140">
        <v>9.6</v>
      </c>
      <c r="AD3513" s="70">
        <v>500</v>
      </c>
      <c r="AE3513" s="70">
        <v>300</v>
      </c>
      <c r="AF3513">
        <v>200</v>
      </c>
      <c r="AG3513" s="66">
        <f t="shared" si="132"/>
        <v>94.046000000000006</v>
      </c>
      <c r="AH3513" s="143">
        <f t="shared" si="133"/>
        <v>1000</v>
      </c>
    </row>
    <row r="3514" spans="1:34" x14ac:dyDescent="0.3">
      <c r="A3514" s="90">
        <v>203443</v>
      </c>
      <c r="B3514" s="138">
        <v>15.416666666666664</v>
      </c>
      <c r="C3514" s="138">
        <v>6.875</v>
      </c>
      <c r="D3514" s="152">
        <v>8.6</v>
      </c>
      <c r="E3514" s="752">
        <v>1.17</v>
      </c>
      <c r="F3514" s="142">
        <v>1287</v>
      </c>
      <c r="H3514" s="142">
        <v>11.58</v>
      </c>
      <c r="I3514" s="142">
        <v>226</v>
      </c>
      <c r="J3514" s="141">
        <v>1.7709999999999999</v>
      </c>
      <c r="K3514" s="795">
        <v>8.51</v>
      </c>
      <c r="L3514" s="140">
        <v>855</v>
      </c>
      <c r="M3514" s="795">
        <v>0.46</v>
      </c>
      <c r="N3514" s="795">
        <v>1.37</v>
      </c>
      <c r="O3514" s="795">
        <v>3.14</v>
      </c>
      <c r="P3514" s="795">
        <v>2.44</v>
      </c>
      <c r="R3514" s="139">
        <v>1.66718513</v>
      </c>
      <c r="S3514" s="138">
        <v>12.71</v>
      </c>
      <c r="Y3514" s="138">
        <v>26.5</v>
      </c>
      <c r="AA3514" s="139">
        <v>4.4400000000000004</v>
      </c>
      <c r="AB3514" s="139">
        <v>0.26</v>
      </c>
      <c r="AC3514" s="140">
        <v>6.5</v>
      </c>
      <c r="AD3514" s="70">
        <v>530</v>
      </c>
      <c r="AE3514" s="70">
        <v>270</v>
      </c>
      <c r="AF3514">
        <v>200</v>
      </c>
      <c r="AG3514" s="66">
        <f t="shared" si="132"/>
        <v>113.68075471698113</v>
      </c>
      <c r="AH3514" s="143">
        <f t="shared" si="133"/>
        <v>1000</v>
      </c>
    </row>
    <row r="3515" spans="1:34" x14ac:dyDescent="0.3">
      <c r="A3515" s="90">
        <v>203444</v>
      </c>
      <c r="B3515" s="138">
        <v>16.666666666666664</v>
      </c>
      <c r="C3515" s="138">
        <v>7.1249999999999991</v>
      </c>
      <c r="D3515" s="152">
        <v>8.6</v>
      </c>
      <c r="E3515" s="752">
        <v>0.629</v>
      </c>
      <c r="F3515" s="142">
        <v>691.90000000000009</v>
      </c>
      <c r="H3515" s="142">
        <v>10.69</v>
      </c>
      <c r="I3515" s="142">
        <v>198</v>
      </c>
      <c r="J3515" s="141">
        <v>0.99299999999999999</v>
      </c>
      <c r="K3515" s="795">
        <v>8.58</v>
      </c>
      <c r="L3515" s="140">
        <v>935</v>
      </c>
      <c r="M3515" s="795">
        <v>2.1800000000000002</v>
      </c>
      <c r="N3515" s="795">
        <v>2.0699999999999998</v>
      </c>
      <c r="O3515" s="795">
        <v>9.3000000000000007</v>
      </c>
      <c r="P3515" s="795">
        <v>2.35</v>
      </c>
      <c r="R3515" s="139">
        <v>1.66755312</v>
      </c>
      <c r="S3515" s="138">
        <v>12.72</v>
      </c>
      <c r="Y3515" s="138">
        <v>36.4</v>
      </c>
      <c r="AA3515" s="139">
        <v>4.43</v>
      </c>
      <c r="AB3515" s="139">
        <v>0.71899999999999997</v>
      </c>
      <c r="AC3515" s="140">
        <v>7.8</v>
      </c>
      <c r="AD3515" s="70">
        <v>520</v>
      </c>
      <c r="AE3515" s="70">
        <v>260</v>
      </c>
      <c r="AF3515">
        <v>220</v>
      </c>
      <c r="AG3515" s="66">
        <f t="shared" si="132"/>
        <v>83.44285714285715</v>
      </c>
      <c r="AH3515" s="143">
        <f t="shared" si="133"/>
        <v>1000</v>
      </c>
    </row>
    <row r="3516" spans="1:34" x14ac:dyDescent="0.3">
      <c r="A3516" s="90">
        <v>203445</v>
      </c>
      <c r="B3516" s="138">
        <v>4.7916666666666661</v>
      </c>
      <c r="D3516" s="152">
        <v>8.5</v>
      </c>
      <c r="E3516" s="752">
        <v>0.42899999999999999</v>
      </c>
      <c r="F3516" s="142">
        <v>471.90000000000003</v>
      </c>
      <c r="H3516" s="142">
        <v>5.45</v>
      </c>
      <c r="I3516" s="142">
        <v>148</v>
      </c>
      <c r="J3516" s="141">
        <v>0.68899999999999995</v>
      </c>
      <c r="K3516" s="795">
        <v>6.71</v>
      </c>
      <c r="L3516" s="140">
        <v>813</v>
      </c>
      <c r="M3516" s="795">
        <v>0.32</v>
      </c>
      <c r="N3516" s="795">
        <v>3.46</v>
      </c>
      <c r="O3516" s="795">
        <v>5.31</v>
      </c>
      <c r="P3516" s="795">
        <v>2.39</v>
      </c>
      <c r="R3516" s="139">
        <v>1.4986475260379382</v>
      </c>
      <c r="S3516" s="138">
        <v>10.08</v>
      </c>
      <c r="Y3516" s="138">
        <v>23</v>
      </c>
      <c r="AA3516" s="139">
        <v>4.0999999999999996</v>
      </c>
      <c r="AB3516" s="139">
        <v>0.40400000000000003</v>
      </c>
      <c r="AC3516" s="140">
        <v>7.8</v>
      </c>
      <c r="AD3516" s="70">
        <v>460</v>
      </c>
      <c r="AE3516" s="70">
        <v>260</v>
      </c>
      <c r="AF3516">
        <v>280</v>
      </c>
      <c r="AG3516" s="66">
        <f t="shared" si="132"/>
        <v>103.27565217391304</v>
      </c>
      <c r="AH3516" s="143">
        <f t="shared" si="133"/>
        <v>1000</v>
      </c>
    </row>
    <row r="3517" spans="1:34" x14ac:dyDescent="0.3">
      <c r="A3517" s="90">
        <v>203446</v>
      </c>
      <c r="B3517" s="138">
        <v>1.5833333333333335</v>
      </c>
      <c r="D3517" s="152">
        <v>8.4</v>
      </c>
      <c r="E3517" s="752">
        <v>0.875</v>
      </c>
      <c r="F3517" s="142">
        <v>962.50000000000011</v>
      </c>
      <c r="H3517" s="142">
        <v>6.62</v>
      </c>
      <c r="I3517" s="142">
        <v>226</v>
      </c>
      <c r="J3517" s="141">
        <v>1.512</v>
      </c>
      <c r="K3517" s="795">
        <v>4.13</v>
      </c>
      <c r="L3517" s="140">
        <v>1062</v>
      </c>
      <c r="M3517" s="795">
        <v>0.27</v>
      </c>
      <c r="N3517" s="795">
        <v>4.1900000000000004</v>
      </c>
      <c r="O3517" s="795">
        <v>28.59</v>
      </c>
      <c r="P3517" s="795">
        <v>3.21</v>
      </c>
      <c r="R3517" s="139">
        <v>1.6388082500000001</v>
      </c>
      <c r="S3517" s="138">
        <v>11.95</v>
      </c>
      <c r="Y3517" s="138">
        <v>25</v>
      </c>
      <c r="AA3517" s="139">
        <v>3.53</v>
      </c>
      <c r="AB3517" s="139">
        <v>0.88100000000000001</v>
      </c>
      <c r="AC3517" s="140">
        <v>11.8</v>
      </c>
      <c r="AD3517" s="70">
        <v>500</v>
      </c>
      <c r="AE3517" s="70">
        <v>240</v>
      </c>
      <c r="AF3517">
        <v>260</v>
      </c>
      <c r="AG3517" s="66">
        <f t="shared" si="132"/>
        <v>58.480800000000002</v>
      </c>
      <c r="AH3517" s="143">
        <f t="shared" si="133"/>
        <v>1000</v>
      </c>
    </row>
    <row r="3518" spans="1:34" x14ac:dyDescent="0.3">
      <c r="A3518" s="90">
        <v>203447</v>
      </c>
      <c r="B3518" s="138">
        <v>2.1666666666666665</v>
      </c>
      <c r="D3518" s="152">
        <v>8.5</v>
      </c>
      <c r="E3518" s="752">
        <v>0.41599999999999998</v>
      </c>
      <c r="F3518" s="142">
        <v>457.6</v>
      </c>
      <c r="H3518" s="142">
        <v>13.53</v>
      </c>
      <c r="I3518" s="142">
        <v>190</v>
      </c>
      <c r="J3518" s="141">
        <v>0.64800000000000002</v>
      </c>
      <c r="K3518" s="795">
        <v>4.63</v>
      </c>
      <c r="L3518" s="140">
        <v>669</v>
      </c>
      <c r="M3518" s="795">
        <v>0.42</v>
      </c>
      <c r="N3518" s="795">
        <v>3.5</v>
      </c>
      <c r="O3518" s="795">
        <v>15.01</v>
      </c>
      <c r="P3518" s="795">
        <v>2.5499999999999998</v>
      </c>
      <c r="R3518" s="139">
        <v>1.6437195200000001</v>
      </c>
      <c r="S3518" s="138">
        <v>12.08</v>
      </c>
      <c r="Y3518" s="138">
        <v>19</v>
      </c>
      <c r="AA3518" s="139">
        <v>4.82</v>
      </c>
      <c r="AB3518" s="139">
        <v>0.86399999999999999</v>
      </c>
      <c r="AC3518" s="140">
        <v>6.8</v>
      </c>
      <c r="AD3518" s="70">
        <v>380</v>
      </c>
      <c r="AE3518" s="70">
        <v>260</v>
      </c>
      <c r="AF3518">
        <v>360</v>
      </c>
      <c r="AG3518" s="66">
        <f t="shared" si="132"/>
        <v>86.264210526315793</v>
      </c>
      <c r="AH3518" s="143">
        <f t="shared" si="133"/>
        <v>1000</v>
      </c>
    </row>
    <row r="3519" spans="1:34" x14ac:dyDescent="0.3">
      <c r="A3519" s="90">
        <v>203448</v>
      </c>
      <c r="B3519" s="138">
        <v>21.666666666666664</v>
      </c>
      <c r="C3519" s="138">
        <v>5.8749999999999991</v>
      </c>
      <c r="D3519" s="152">
        <v>8.5</v>
      </c>
      <c r="E3519" s="752">
        <v>0.48899999999999999</v>
      </c>
      <c r="F3519" s="142">
        <v>537.90000000000009</v>
      </c>
      <c r="H3519" s="142">
        <v>2.56</v>
      </c>
      <c r="I3519" s="142">
        <v>103</v>
      </c>
      <c r="J3519" s="141">
        <v>0.76300000000000001</v>
      </c>
      <c r="K3519" s="795">
        <v>8.44</v>
      </c>
      <c r="L3519" s="140">
        <v>853</v>
      </c>
      <c r="M3519" s="795">
        <v>0.21</v>
      </c>
      <c r="N3519" s="795">
        <v>1.38</v>
      </c>
      <c r="O3519" s="795">
        <v>14.62</v>
      </c>
      <c r="P3519" s="795">
        <v>1.6</v>
      </c>
      <c r="R3519" s="139">
        <v>1.186992002136021</v>
      </c>
      <c r="S3519" s="138">
        <v>8.86</v>
      </c>
      <c r="Y3519" s="138">
        <v>27</v>
      </c>
      <c r="AA3519" s="139">
        <v>4.3</v>
      </c>
      <c r="AB3519" s="139">
        <v>0.81899999999999995</v>
      </c>
      <c r="AC3519" s="140">
        <v>6.3</v>
      </c>
      <c r="AD3519" s="70">
        <v>540</v>
      </c>
      <c r="AE3519" s="70">
        <v>290</v>
      </c>
      <c r="AF3519">
        <v>170</v>
      </c>
      <c r="AG3519" s="66">
        <f t="shared" si="132"/>
        <v>110.65777777777777</v>
      </c>
      <c r="AH3519" s="143">
        <f t="shared" si="133"/>
        <v>1000</v>
      </c>
    </row>
    <row r="3520" spans="1:34" x14ac:dyDescent="0.3">
      <c r="A3520" s="90">
        <v>203449</v>
      </c>
      <c r="B3520" s="138">
        <v>1.0833333333333333</v>
      </c>
      <c r="D3520" s="152">
        <v>8.5</v>
      </c>
      <c r="E3520" s="752">
        <v>0.42899999999999999</v>
      </c>
      <c r="F3520" s="142">
        <v>471.90000000000003</v>
      </c>
      <c r="H3520" s="142">
        <v>8.02</v>
      </c>
      <c r="I3520" s="142">
        <v>312</v>
      </c>
      <c r="J3520" s="141">
        <v>0.77800000000000002</v>
      </c>
      <c r="K3520" s="795">
        <v>3.62</v>
      </c>
      <c r="L3520" s="140">
        <v>1002</v>
      </c>
      <c r="M3520" s="795">
        <v>0.41</v>
      </c>
      <c r="N3520" s="795">
        <v>4.53</v>
      </c>
      <c r="O3520" s="795">
        <v>4.6500000000000004</v>
      </c>
      <c r="P3520" s="795">
        <v>3.62</v>
      </c>
      <c r="R3520" s="139">
        <v>1.5760230800000001</v>
      </c>
      <c r="S3520" s="138">
        <v>10.34</v>
      </c>
      <c r="Y3520" s="138">
        <v>31.2</v>
      </c>
      <c r="AA3520" s="139">
        <v>4.78</v>
      </c>
      <c r="AB3520" s="139">
        <v>0.42499999999999999</v>
      </c>
      <c r="AC3520" s="140">
        <v>9.3000000000000007</v>
      </c>
      <c r="AD3520" s="70">
        <v>520</v>
      </c>
      <c r="AE3520" s="70">
        <v>220</v>
      </c>
      <c r="AF3520">
        <v>260</v>
      </c>
      <c r="AG3520" s="66">
        <f t="shared" si="132"/>
        <v>41.073076923076925</v>
      </c>
      <c r="AH3520" s="143">
        <f t="shared" si="133"/>
        <v>1000</v>
      </c>
    </row>
    <row r="3521" spans="1:34" x14ac:dyDescent="0.3">
      <c r="A3521" s="90">
        <v>203450</v>
      </c>
      <c r="B3521" s="138">
        <v>1.3333333333333333</v>
      </c>
      <c r="D3521" s="152">
        <v>8.6</v>
      </c>
      <c r="E3521" s="752">
        <v>0.624</v>
      </c>
      <c r="F3521" s="142">
        <v>686.4</v>
      </c>
      <c r="H3521" s="142">
        <v>9.8800000000000008</v>
      </c>
      <c r="I3521" s="142">
        <v>323</v>
      </c>
      <c r="J3521" s="141">
        <v>1.0209999999999999</v>
      </c>
      <c r="K3521" s="795">
        <v>3.46</v>
      </c>
      <c r="L3521" s="140">
        <v>829</v>
      </c>
      <c r="M3521" s="795">
        <v>0.28000000000000003</v>
      </c>
      <c r="N3521" s="795">
        <v>2.12</v>
      </c>
      <c r="O3521" s="795">
        <v>3.01</v>
      </c>
      <c r="P3521" s="795">
        <v>2.65</v>
      </c>
      <c r="R3521" s="139">
        <v>1.144664099961179</v>
      </c>
      <c r="S3521" s="138">
        <v>8.52</v>
      </c>
      <c r="Y3521" s="138">
        <v>30</v>
      </c>
      <c r="AA3521" s="139">
        <v>4.6500000000000004</v>
      </c>
      <c r="AB3521" s="139">
        <v>0.41</v>
      </c>
      <c r="AC3521" s="140">
        <v>6.3</v>
      </c>
      <c r="AD3521" s="70">
        <v>500</v>
      </c>
      <c r="AE3521" s="70">
        <v>250</v>
      </c>
      <c r="AF3521">
        <v>250</v>
      </c>
      <c r="AG3521" s="66">
        <f t="shared" si="132"/>
        <v>40.827999999999996</v>
      </c>
      <c r="AH3521" s="143">
        <f t="shared" si="133"/>
        <v>1000</v>
      </c>
    </row>
    <row r="3522" spans="1:34" x14ac:dyDescent="0.3">
      <c r="A3522" s="90">
        <v>203451</v>
      </c>
      <c r="B3522" s="138">
        <v>15.416666666666664</v>
      </c>
      <c r="C3522" s="138">
        <v>7.7499999999999991</v>
      </c>
      <c r="D3522" s="152">
        <v>8.3000000000000007</v>
      </c>
      <c r="E3522" s="752">
        <v>1.03</v>
      </c>
      <c r="F3522" s="142">
        <v>1133.0000000000002</v>
      </c>
      <c r="H3522" s="142">
        <v>18.18</v>
      </c>
      <c r="I3522" s="142">
        <v>222</v>
      </c>
      <c r="J3522" s="141">
        <v>1.1200000000000001</v>
      </c>
      <c r="K3522" s="795">
        <v>8.4499999999999993</v>
      </c>
      <c r="L3522" s="140">
        <v>932</v>
      </c>
      <c r="M3522" s="795">
        <v>1.41</v>
      </c>
      <c r="N3522" s="795">
        <v>7.92</v>
      </c>
      <c r="O3522" s="795">
        <v>6.99</v>
      </c>
      <c r="P3522" s="795">
        <v>2</v>
      </c>
      <c r="R3522" s="139">
        <v>1.7325382500000002</v>
      </c>
      <c r="S3522" s="138">
        <v>14.55</v>
      </c>
      <c r="Y3522" s="138">
        <v>28.2</v>
      </c>
      <c r="AA3522" s="139">
        <v>3.77</v>
      </c>
      <c r="AB3522" s="139">
        <v>0.40100000000000002</v>
      </c>
      <c r="AC3522" s="140">
        <v>7.4</v>
      </c>
      <c r="AD3522" s="70">
        <v>470</v>
      </c>
      <c r="AE3522" s="70">
        <v>240</v>
      </c>
      <c r="AF3522">
        <v>290</v>
      </c>
      <c r="AG3522" s="66">
        <f t="shared" ref="AG3522:AG3585" si="134">+K3522*3.54*100/Y3522</f>
        <v>106.07446808510637</v>
      </c>
      <c r="AH3522" s="143">
        <f t="shared" ref="AH3522:AH3585" si="135">+SUM(AD3522:AF3522)</f>
        <v>1000</v>
      </c>
    </row>
    <row r="3523" spans="1:34" x14ac:dyDescent="0.3">
      <c r="A3523" s="90">
        <v>203452</v>
      </c>
      <c r="B3523" s="138">
        <v>19.166666666666664</v>
      </c>
      <c r="C3523" s="138">
        <v>8.6249999999999982</v>
      </c>
      <c r="D3523" s="152">
        <v>8.5</v>
      </c>
      <c r="E3523" s="752">
        <v>1.32</v>
      </c>
      <c r="F3523" s="142">
        <v>1452.0000000000002</v>
      </c>
      <c r="H3523" s="142">
        <v>11.08</v>
      </c>
      <c r="I3523" s="142">
        <v>293</v>
      </c>
      <c r="J3523" s="141">
        <v>1.5680000000000001</v>
      </c>
      <c r="K3523" s="795">
        <v>8.5399999999999991</v>
      </c>
      <c r="L3523" s="140">
        <v>947</v>
      </c>
      <c r="M3523" s="795">
        <v>0.38</v>
      </c>
      <c r="N3523" s="795">
        <v>2.37</v>
      </c>
      <c r="O3523" s="795">
        <v>2.92</v>
      </c>
      <c r="P3523" s="795">
        <v>1.81</v>
      </c>
      <c r="R3523" s="139">
        <v>1.5986663300000001</v>
      </c>
      <c r="S3523" s="138">
        <v>10.91</v>
      </c>
      <c r="Y3523" s="138">
        <v>26</v>
      </c>
      <c r="AA3523" s="139">
        <v>4.3899999999999997</v>
      </c>
      <c r="AB3523" s="139">
        <v>0.54800000000000004</v>
      </c>
      <c r="AC3523" s="140">
        <v>10.4</v>
      </c>
      <c r="AD3523" s="70">
        <v>520</v>
      </c>
      <c r="AE3523" s="70">
        <v>300</v>
      </c>
      <c r="AF3523">
        <v>180</v>
      </c>
      <c r="AG3523" s="66">
        <f t="shared" si="134"/>
        <v>116.27538461538461</v>
      </c>
      <c r="AH3523" s="143">
        <f t="shared" si="135"/>
        <v>1000</v>
      </c>
    </row>
    <row r="3524" spans="1:34" x14ac:dyDescent="0.3">
      <c r="A3524" s="90">
        <v>203453</v>
      </c>
      <c r="B3524" s="138">
        <v>21.666666666666664</v>
      </c>
      <c r="D3524" s="152">
        <v>8.5</v>
      </c>
      <c r="E3524" s="752">
        <v>0.81799999999999995</v>
      </c>
      <c r="F3524" s="142">
        <v>899.80000000000007</v>
      </c>
      <c r="H3524" s="142">
        <v>5.26</v>
      </c>
      <c r="I3524" s="142">
        <v>171</v>
      </c>
      <c r="J3524" s="141">
        <v>0.98599999999999999</v>
      </c>
      <c r="K3524" s="795">
        <v>8.6300000000000008</v>
      </c>
      <c r="L3524" s="140">
        <v>788</v>
      </c>
      <c r="M3524" s="795">
        <v>0.39</v>
      </c>
      <c r="N3524" s="795">
        <v>2.48</v>
      </c>
      <c r="O3524" s="795">
        <v>14.42</v>
      </c>
      <c r="P3524" s="795">
        <v>2.21</v>
      </c>
      <c r="R3524" s="139">
        <v>1.3789874084593639</v>
      </c>
      <c r="S3524" s="138">
        <v>10.119999999999999</v>
      </c>
      <c r="Y3524" s="138">
        <v>29.4</v>
      </c>
      <c r="AA3524" s="139">
        <v>3.74</v>
      </c>
      <c r="AB3524" s="139">
        <v>0.49399999999999999</v>
      </c>
      <c r="AC3524" s="140">
        <v>9.4</v>
      </c>
      <c r="AD3524" s="70">
        <v>490</v>
      </c>
      <c r="AE3524" s="70">
        <v>220</v>
      </c>
      <c r="AF3524">
        <v>290</v>
      </c>
      <c r="AG3524" s="66">
        <f t="shared" si="134"/>
        <v>103.9122448979592</v>
      </c>
      <c r="AH3524" s="143">
        <f t="shared" si="135"/>
        <v>1000</v>
      </c>
    </row>
    <row r="3525" spans="1:34" x14ac:dyDescent="0.3">
      <c r="A3525" s="90">
        <v>203454</v>
      </c>
      <c r="B3525" s="138">
        <v>3.0555555555555554</v>
      </c>
      <c r="D3525" s="152">
        <v>8.6999999999999993</v>
      </c>
      <c r="E3525" s="752">
        <v>0.45600000000000002</v>
      </c>
      <c r="F3525" s="142">
        <v>501.6</v>
      </c>
      <c r="H3525" s="142">
        <v>2.2799999999999998</v>
      </c>
      <c r="I3525" s="142">
        <v>195</v>
      </c>
      <c r="J3525" s="141">
        <v>0.79700000000000004</v>
      </c>
      <c r="K3525" s="795">
        <v>5.09</v>
      </c>
      <c r="L3525" s="140">
        <v>1024</v>
      </c>
      <c r="M3525" s="795">
        <v>0.17</v>
      </c>
      <c r="N3525" s="795">
        <v>5.48</v>
      </c>
      <c r="O3525" s="795">
        <v>5.88</v>
      </c>
      <c r="P3525" s="795">
        <v>1.93</v>
      </c>
      <c r="R3525" s="139">
        <v>1.6076742799999999</v>
      </c>
      <c r="S3525" s="138">
        <v>11.14</v>
      </c>
      <c r="Y3525" s="138">
        <v>30.1</v>
      </c>
      <c r="AA3525" s="139">
        <v>4.41</v>
      </c>
      <c r="AB3525" s="139">
        <v>0.28599999999999998</v>
      </c>
      <c r="AC3525" s="140">
        <v>7.2</v>
      </c>
      <c r="AD3525" s="70">
        <v>430</v>
      </c>
      <c r="AE3525" s="70">
        <v>290</v>
      </c>
      <c r="AF3525">
        <v>280</v>
      </c>
      <c r="AG3525" s="66">
        <f t="shared" si="134"/>
        <v>59.862458471760789</v>
      </c>
      <c r="AH3525" s="143">
        <f t="shared" si="135"/>
        <v>1000</v>
      </c>
    </row>
    <row r="3526" spans="1:34" x14ac:dyDescent="0.3">
      <c r="A3526" s="90">
        <v>203455</v>
      </c>
      <c r="B3526" s="138">
        <v>6.1111111111111107</v>
      </c>
      <c r="D3526" s="152">
        <v>8.3000000000000007</v>
      </c>
      <c r="E3526" s="752">
        <v>0.67900000000000005</v>
      </c>
      <c r="F3526" s="142">
        <v>746.90000000000009</v>
      </c>
      <c r="H3526" s="142">
        <v>13.03</v>
      </c>
      <c r="I3526" s="142">
        <v>255</v>
      </c>
      <c r="J3526" s="141">
        <v>0.77100000000000002</v>
      </c>
      <c r="K3526" s="795">
        <v>8.07</v>
      </c>
      <c r="L3526" s="140">
        <v>803</v>
      </c>
      <c r="M3526" s="795">
        <v>0.28999999999999998</v>
      </c>
      <c r="N3526" s="795">
        <v>3.32</v>
      </c>
      <c r="O3526" s="795">
        <v>7.44</v>
      </c>
      <c r="P3526" s="795">
        <v>2.54</v>
      </c>
      <c r="R3526" s="139">
        <v>1.6204693700000001</v>
      </c>
      <c r="S3526" s="138">
        <v>11.47</v>
      </c>
      <c r="Y3526" s="138">
        <v>29.4</v>
      </c>
      <c r="AA3526" s="139">
        <v>4.3600000000000003</v>
      </c>
      <c r="AB3526" s="139">
        <v>0.72699999999999998</v>
      </c>
      <c r="AC3526" s="140">
        <v>9.3000000000000007</v>
      </c>
      <c r="AD3526" s="70">
        <v>490</v>
      </c>
      <c r="AE3526" s="70">
        <v>240</v>
      </c>
      <c r="AF3526">
        <v>270</v>
      </c>
      <c r="AG3526" s="66">
        <f t="shared" si="134"/>
        <v>97.169387755102051</v>
      </c>
      <c r="AH3526" s="143">
        <f t="shared" si="135"/>
        <v>1000</v>
      </c>
    </row>
    <row r="3527" spans="1:34" x14ac:dyDescent="0.3">
      <c r="A3527" s="90">
        <v>203456</v>
      </c>
      <c r="B3527" s="138">
        <v>12.5</v>
      </c>
      <c r="C3527" s="138">
        <v>3.3749999999999991</v>
      </c>
      <c r="D3527" s="152">
        <v>8.4</v>
      </c>
      <c r="E3527" s="752">
        <v>1.36</v>
      </c>
      <c r="F3527" s="142">
        <v>1496.0000000000002</v>
      </c>
      <c r="H3527" s="142">
        <v>17.38</v>
      </c>
      <c r="I3527" s="142">
        <v>343</v>
      </c>
      <c r="J3527" s="141">
        <v>1.51</v>
      </c>
      <c r="K3527" s="795">
        <v>8.18</v>
      </c>
      <c r="L3527" s="140">
        <v>1012.9999999999999</v>
      </c>
      <c r="M3527" s="795">
        <v>0.44</v>
      </c>
      <c r="N3527" s="795">
        <v>4.34</v>
      </c>
      <c r="O3527" s="795">
        <v>5.17</v>
      </c>
      <c r="P3527" s="795">
        <v>1.98</v>
      </c>
      <c r="R3527" s="139">
        <v>1.7498134800000003</v>
      </c>
      <c r="S3527" s="138">
        <v>15.06</v>
      </c>
      <c r="Y3527" s="138">
        <v>30</v>
      </c>
      <c r="AA3527" s="139">
        <v>4.63</v>
      </c>
      <c r="AB3527" s="139">
        <v>0.53</v>
      </c>
      <c r="AC3527" s="140">
        <v>8.9</v>
      </c>
      <c r="AD3527" s="70">
        <v>500</v>
      </c>
      <c r="AE3527" s="70">
        <v>280</v>
      </c>
      <c r="AF3527">
        <v>220</v>
      </c>
      <c r="AG3527" s="66">
        <f t="shared" si="134"/>
        <v>96.524000000000015</v>
      </c>
      <c r="AH3527" s="143">
        <f t="shared" si="135"/>
        <v>1000</v>
      </c>
    </row>
    <row r="3528" spans="1:34" x14ac:dyDescent="0.3">
      <c r="A3528" s="90">
        <v>203457</v>
      </c>
      <c r="B3528" s="138">
        <v>10</v>
      </c>
      <c r="D3528" s="152">
        <v>8.6</v>
      </c>
      <c r="E3528" s="752">
        <v>0.61199999999999999</v>
      </c>
      <c r="F3528" s="142">
        <v>673.2</v>
      </c>
      <c r="H3528" s="142">
        <v>8.16</v>
      </c>
      <c r="I3528" s="142">
        <v>329</v>
      </c>
      <c r="J3528" s="141">
        <v>0.91700000000000004</v>
      </c>
      <c r="K3528" s="795">
        <v>8.0299999999999994</v>
      </c>
      <c r="L3528" s="140">
        <v>973</v>
      </c>
      <c r="M3528" s="795">
        <v>0.41</v>
      </c>
      <c r="N3528" s="795">
        <v>13.85</v>
      </c>
      <c r="O3528" s="795">
        <v>5.3</v>
      </c>
      <c r="P3528" s="795">
        <v>2.16</v>
      </c>
      <c r="R3528" s="139">
        <v>1.7082342500000001</v>
      </c>
      <c r="S3528" s="138">
        <v>13.85</v>
      </c>
      <c r="Y3528" s="138">
        <v>25.5</v>
      </c>
      <c r="AA3528" s="139">
        <v>4.78</v>
      </c>
      <c r="AB3528" s="139">
        <v>0.33500000000000002</v>
      </c>
      <c r="AC3528" s="140">
        <v>10.6</v>
      </c>
      <c r="AD3528" s="70">
        <v>510</v>
      </c>
      <c r="AE3528" s="70">
        <v>250</v>
      </c>
      <c r="AF3528">
        <v>240</v>
      </c>
      <c r="AG3528" s="66">
        <f t="shared" si="134"/>
        <v>111.47529411764705</v>
      </c>
      <c r="AH3528" s="143">
        <f t="shared" si="135"/>
        <v>1000</v>
      </c>
    </row>
    <row r="3529" spans="1:34" x14ac:dyDescent="0.3">
      <c r="A3529" s="90">
        <v>203458</v>
      </c>
      <c r="B3529" s="138">
        <v>16.249999999999996</v>
      </c>
      <c r="C3529" s="138">
        <v>8.375</v>
      </c>
      <c r="D3529" s="152">
        <v>8.1999999999999993</v>
      </c>
      <c r="E3529" s="752">
        <v>0.14000000000000001</v>
      </c>
      <c r="F3529" s="142">
        <v>154.00000000000003</v>
      </c>
      <c r="H3529" s="142">
        <v>2.4700000000000002</v>
      </c>
      <c r="I3529" s="142">
        <v>434</v>
      </c>
      <c r="J3529" s="141">
        <v>4.1000000000000002E-2</v>
      </c>
      <c r="K3529" s="795">
        <v>9.8800000000000008</v>
      </c>
      <c r="L3529" s="140">
        <v>1419</v>
      </c>
      <c r="M3529" s="795">
        <v>0.1</v>
      </c>
      <c r="N3529" s="795">
        <v>1.1000000000000001</v>
      </c>
      <c r="O3529" s="795">
        <v>2.19</v>
      </c>
      <c r="P3529" s="795">
        <v>3.13</v>
      </c>
      <c r="R3529" s="139">
        <v>1.6045494800000002</v>
      </c>
      <c r="S3529" s="138">
        <v>11.06</v>
      </c>
      <c r="Y3529" s="138">
        <v>39.200000000000003</v>
      </c>
      <c r="AA3529" s="139">
        <v>3.83</v>
      </c>
      <c r="AB3529" s="139">
        <v>0.88700000000000001</v>
      </c>
      <c r="AC3529" s="140">
        <v>10.9</v>
      </c>
      <c r="AD3529" s="70">
        <v>560</v>
      </c>
      <c r="AE3529" s="70">
        <v>320</v>
      </c>
      <c r="AF3529">
        <v>120</v>
      </c>
      <c r="AG3529" s="66">
        <f t="shared" si="134"/>
        <v>89.222448979591832</v>
      </c>
      <c r="AH3529" s="143">
        <f t="shared" si="135"/>
        <v>1000</v>
      </c>
    </row>
    <row r="3530" spans="1:34" x14ac:dyDescent="0.3">
      <c r="A3530" s="90">
        <v>203459</v>
      </c>
      <c r="B3530" s="138">
        <v>20</v>
      </c>
      <c r="D3530" s="152">
        <v>8.3000000000000007</v>
      </c>
      <c r="E3530" s="752">
        <v>0.156</v>
      </c>
      <c r="F3530" s="142">
        <v>171.6</v>
      </c>
      <c r="H3530" s="142">
        <v>2.56</v>
      </c>
      <c r="I3530" s="142">
        <v>293</v>
      </c>
      <c r="J3530" s="141">
        <v>0.112</v>
      </c>
      <c r="K3530" s="795">
        <v>9.09</v>
      </c>
      <c r="L3530" s="140">
        <v>1055</v>
      </c>
      <c r="M3530" s="795">
        <v>0.06</v>
      </c>
      <c r="N3530" s="795">
        <v>1.1599999999999999</v>
      </c>
      <c r="O3530" s="795">
        <v>3.55</v>
      </c>
      <c r="P3530" s="795">
        <v>1.93</v>
      </c>
      <c r="R3530" s="139">
        <v>1.5998454799999999</v>
      </c>
      <c r="S3530" s="138">
        <v>10.94</v>
      </c>
      <c r="Y3530" s="138">
        <v>33</v>
      </c>
      <c r="AA3530" s="139">
        <v>3.9</v>
      </c>
      <c r="AB3530" s="139">
        <v>0.84399999999999997</v>
      </c>
      <c r="AC3530" s="140">
        <v>9.3000000000000007</v>
      </c>
      <c r="AD3530" s="70">
        <v>550</v>
      </c>
      <c r="AE3530" s="70">
        <v>340</v>
      </c>
      <c r="AF3530">
        <v>110</v>
      </c>
      <c r="AG3530" s="66">
        <f t="shared" si="134"/>
        <v>97.510909090909095</v>
      </c>
      <c r="AH3530" s="143">
        <f t="shared" si="135"/>
        <v>1000</v>
      </c>
    </row>
    <row r="3531" spans="1:34" x14ac:dyDescent="0.3">
      <c r="A3531" s="90">
        <v>203460</v>
      </c>
      <c r="B3531" s="138">
        <v>0.16666666666666666</v>
      </c>
      <c r="D3531" s="152">
        <v>5.4</v>
      </c>
      <c r="E3531" s="752">
        <v>3.6999999999999998E-2</v>
      </c>
      <c r="F3531" s="142">
        <v>40.700000000000003</v>
      </c>
      <c r="H3531" s="142">
        <v>43.39</v>
      </c>
      <c r="I3531" s="142">
        <v>99</v>
      </c>
      <c r="J3531" s="141">
        <v>1.6E-2</v>
      </c>
      <c r="K3531" s="795">
        <v>0.73</v>
      </c>
      <c r="L3531" s="140">
        <v>125</v>
      </c>
      <c r="M3531" s="795">
        <v>0.16</v>
      </c>
      <c r="N3531" s="795">
        <v>1.05</v>
      </c>
      <c r="O3531" s="795">
        <v>49.64</v>
      </c>
      <c r="P3531" s="795">
        <v>22.31</v>
      </c>
      <c r="R3531" s="139">
        <v>1.2277388270470502</v>
      </c>
      <c r="S3531" s="138">
        <v>9.1199999999999992</v>
      </c>
      <c r="Y3531" s="138">
        <v>25.2</v>
      </c>
      <c r="Z3531" s="140">
        <v>4.8</v>
      </c>
      <c r="AA3531" s="139">
        <v>3.87</v>
      </c>
      <c r="AB3531" s="139">
        <v>0.76200000000000001</v>
      </c>
      <c r="AC3531" s="140">
        <v>8</v>
      </c>
      <c r="AD3531" s="70">
        <v>360</v>
      </c>
      <c r="AE3531" s="70">
        <v>260</v>
      </c>
      <c r="AF3531">
        <v>380</v>
      </c>
      <c r="AG3531" s="66">
        <f t="shared" si="134"/>
        <v>10.254761904761907</v>
      </c>
      <c r="AH3531" s="143">
        <f t="shared" si="135"/>
        <v>1000</v>
      </c>
    </row>
    <row r="3532" spans="1:34" x14ac:dyDescent="0.3">
      <c r="A3532" s="90">
        <v>203461</v>
      </c>
      <c r="B3532" s="138">
        <v>8.3333333333333329E-2</v>
      </c>
      <c r="D3532" s="152">
        <v>4.5</v>
      </c>
      <c r="E3532" s="752">
        <v>4.5999999999999999E-2</v>
      </c>
      <c r="F3532" s="142">
        <v>50.600000000000009</v>
      </c>
      <c r="H3532" s="142">
        <v>89.04</v>
      </c>
      <c r="I3532" s="142">
        <v>59</v>
      </c>
      <c r="J3532" s="141">
        <v>1.2E-2</v>
      </c>
      <c r="K3532" s="795">
        <v>0.5</v>
      </c>
      <c r="L3532" s="140">
        <v>101</v>
      </c>
      <c r="M3532" s="795">
        <v>0.26</v>
      </c>
      <c r="N3532" s="795">
        <v>0.87</v>
      </c>
      <c r="O3532" s="795">
        <v>72.099999999999994</v>
      </c>
      <c r="P3532" s="795">
        <v>20.9</v>
      </c>
      <c r="R3532" s="139">
        <v>1.2735198352554697</v>
      </c>
      <c r="S3532" s="138">
        <v>9.14</v>
      </c>
      <c r="Y3532" s="138">
        <v>25.2</v>
      </c>
      <c r="Z3532" s="140">
        <v>3.9</v>
      </c>
      <c r="AA3532" s="139">
        <v>4.1500000000000004</v>
      </c>
      <c r="AB3532" s="139">
        <v>0.73799999999999999</v>
      </c>
      <c r="AC3532" s="140">
        <v>6.9</v>
      </c>
      <c r="AD3532" s="70">
        <v>360</v>
      </c>
      <c r="AE3532" s="70">
        <v>240</v>
      </c>
      <c r="AF3532">
        <v>400</v>
      </c>
      <c r="AG3532" s="66">
        <f t="shared" si="134"/>
        <v>7.0238095238095237</v>
      </c>
      <c r="AH3532" s="143">
        <f t="shared" si="135"/>
        <v>1000</v>
      </c>
    </row>
    <row r="3533" spans="1:34" x14ac:dyDescent="0.3">
      <c r="A3533" s="90">
        <v>203462</v>
      </c>
      <c r="B3533" s="138">
        <v>0.16666666666666666</v>
      </c>
      <c r="D3533" s="152">
        <v>8.4</v>
      </c>
      <c r="E3533" s="752">
        <v>0.36699999999999999</v>
      </c>
      <c r="F3533" s="142">
        <v>403.7</v>
      </c>
      <c r="H3533" s="142">
        <v>141.6</v>
      </c>
      <c r="I3533" s="142">
        <v>914</v>
      </c>
      <c r="J3533" s="141">
        <v>0.16700000000000001</v>
      </c>
      <c r="K3533" s="795">
        <v>1.43</v>
      </c>
      <c r="L3533" s="140">
        <v>317</v>
      </c>
      <c r="M3533" s="795">
        <v>1.07</v>
      </c>
      <c r="N3533" s="795">
        <v>0.69</v>
      </c>
      <c r="O3533" s="795">
        <v>4.7300000000000004</v>
      </c>
      <c r="P3533" s="795">
        <v>2.08</v>
      </c>
      <c r="R3533" s="139">
        <v>0.77212793710006733</v>
      </c>
      <c r="S3533" s="138">
        <v>5.25</v>
      </c>
      <c r="Y3533" s="138">
        <v>4.2</v>
      </c>
      <c r="AA3533" s="139">
        <v>3.5</v>
      </c>
      <c r="AB3533" s="139">
        <v>0.82</v>
      </c>
      <c r="AC3533" s="140">
        <v>7.7</v>
      </c>
      <c r="AD3533" s="70">
        <v>60</v>
      </c>
      <c r="AE3533" s="70">
        <v>80</v>
      </c>
      <c r="AF3533">
        <v>860</v>
      </c>
      <c r="AG3533" s="66">
        <f t="shared" si="134"/>
        <v>120.52857142857141</v>
      </c>
      <c r="AH3533" s="143">
        <f t="shared" si="135"/>
        <v>1000</v>
      </c>
    </row>
    <row r="3534" spans="1:34" x14ac:dyDescent="0.3">
      <c r="A3534" s="90">
        <v>203463</v>
      </c>
      <c r="B3534" s="138">
        <v>0.41666666666666669</v>
      </c>
      <c r="D3534" s="152">
        <v>8.1</v>
      </c>
      <c r="E3534" s="752">
        <v>0.28599999999999998</v>
      </c>
      <c r="F3534" s="142">
        <v>314.59999999999997</v>
      </c>
      <c r="H3534" s="142">
        <v>76.930000000000007</v>
      </c>
      <c r="I3534" s="142">
        <v>478</v>
      </c>
      <c r="J3534" s="141">
        <v>0.121</v>
      </c>
      <c r="K3534" s="795">
        <v>1.69</v>
      </c>
      <c r="L3534" s="140">
        <v>270</v>
      </c>
      <c r="M3534" s="795">
        <v>0.69</v>
      </c>
      <c r="N3534" s="795">
        <v>0.65</v>
      </c>
      <c r="O3534" s="795">
        <v>4.78</v>
      </c>
      <c r="P3534" s="795">
        <v>1.95</v>
      </c>
      <c r="R3534" s="139">
        <v>0.65662120985496941</v>
      </c>
      <c r="S3534" s="138">
        <v>4.55</v>
      </c>
      <c r="Y3534" s="138">
        <v>4.2</v>
      </c>
      <c r="AA3534" s="139">
        <v>3.81</v>
      </c>
      <c r="AB3534" s="139">
        <v>0.876</v>
      </c>
      <c r="AC3534" s="140">
        <v>6</v>
      </c>
      <c r="AD3534" s="70">
        <v>70</v>
      </c>
      <c r="AE3534" s="70">
        <v>80</v>
      </c>
      <c r="AF3534">
        <v>850</v>
      </c>
      <c r="AG3534" s="66">
        <f t="shared" si="134"/>
        <v>142.44285714285712</v>
      </c>
      <c r="AH3534" s="143">
        <f t="shared" si="135"/>
        <v>1000</v>
      </c>
    </row>
    <row r="3535" spans="1:34" s="1150" customFormat="1" x14ac:dyDescent="0.3">
      <c r="A3535" s="1150">
        <v>203464</v>
      </c>
      <c r="B3535" s="1151">
        <v>0.16666666666666666</v>
      </c>
      <c r="C3535" s="1151"/>
      <c r="D3535" s="1152">
        <v>5.7</v>
      </c>
      <c r="E3535" s="1581">
        <v>0.05</v>
      </c>
      <c r="F3535" s="1153">
        <v>55.000000000000007</v>
      </c>
      <c r="H3535" s="1153">
        <v>234.49</v>
      </c>
      <c r="I3535" s="1153">
        <v>192</v>
      </c>
      <c r="J3535" s="1154">
        <v>0.02</v>
      </c>
      <c r="K3535" s="1261">
        <v>1.8</v>
      </c>
      <c r="L3535" s="1150">
        <v>519</v>
      </c>
      <c r="M3535" s="1261">
        <v>1.56</v>
      </c>
      <c r="N3535" s="1261">
        <v>1.1299999999999999</v>
      </c>
      <c r="O3535" s="1261">
        <v>4.57</v>
      </c>
      <c r="P3535" s="1261">
        <v>53.3</v>
      </c>
      <c r="R3535" s="1152">
        <v>2.023425</v>
      </c>
      <c r="S3535" s="1151">
        <v>25.5</v>
      </c>
      <c r="Y3535" s="1151">
        <v>22.8</v>
      </c>
      <c r="Z3535" s="1150">
        <v>4.7</v>
      </c>
      <c r="AA3535" s="1152"/>
      <c r="AB3535" s="1152"/>
      <c r="AD3535" s="1155">
        <v>380</v>
      </c>
      <c r="AE3535" s="1155">
        <v>220</v>
      </c>
      <c r="AF3535" s="424">
        <v>400</v>
      </c>
      <c r="AG3535" s="66">
        <f t="shared" si="134"/>
        <v>27.947368421052634</v>
      </c>
      <c r="AH3535" s="143">
        <f t="shared" si="135"/>
        <v>1000</v>
      </c>
    </row>
    <row r="3536" spans="1:34" s="1150" customFormat="1" x14ac:dyDescent="0.3">
      <c r="A3536" s="1150">
        <v>203465</v>
      </c>
      <c r="B3536" s="1151">
        <v>8.3333333333333329E-2</v>
      </c>
      <c r="C3536" s="1151"/>
      <c r="D3536" s="1152">
        <v>4.3</v>
      </c>
      <c r="E3536" s="1581">
        <v>7.8E-2</v>
      </c>
      <c r="F3536" s="1153">
        <v>85.8</v>
      </c>
      <c r="H3536" s="1153">
        <v>444.58</v>
      </c>
      <c r="I3536" s="1153">
        <v>274</v>
      </c>
      <c r="J3536" s="1154">
        <v>1.0999999999999999E-2</v>
      </c>
      <c r="K3536" s="1261">
        <v>1.17</v>
      </c>
      <c r="L3536" s="1150">
        <v>261</v>
      </c>
      <c r="M3536" s="1261">
        <v>5.19</v>
      </c>
      <c r="N3536" s="1261">
        <v>1.19</v>
      </c>
      <c r="O3536" s="1261">
        <v>35.75</v>
      </c>
      <c r="P3536" s="1261">
        <v>34.08</v>
      </c>
      <c r="R3536" s="1152">
        <v>2.1006627200000003</v>
      </c>
      <c r="S3536" s="1151">
        <v>30.52</v>
      </c>
      <c r="Y3536" s="1151">
        <v>19</v>
      </c>
      <c r="Z3536" s="1150">
        <v>3.6</v>
      </c>
      <c r="AA3536" s="1152"/>
      <c r="AB3536" s="1152"/>
      <c r="AD3536" s="1155">
        <v>380</v>
      </c>
      <c r="AE3536" s="1155">
        <v>320</v>
      </c>
      <c r="AF3536" s="424">
        <v>300</v>
      </c>
      <c r="AG3536" s="66">
        <f t="shared" si="134"/>
        <v>21.798947368421054</v>
      </c>
      <c r="AH3536" s="143">
        <f t="shared" si="135"/>
        <v>1000</v>
      </c>
    </row>
    <row r="3537" spans="1:34" s="1150" customFormat="1" x14ac:dyDescent="0.3">
      <c r="A3537" s="1150">
        <v>203466</v>
      </c>
      <c r="B3537" s="1151">
        <v>0.16666666666666666</v>
      </c>
      <c r="C3537" s="1151"/>
      <c r="D3537" s="1152">
        <v>4.5999999999999996</v>
      </c>
      <c r="E3537" s="1581">
        <v>3.1E-2</v>
      </c>
      <c r="F3537" s="1153">
        <v>34.100000000000009</v>
      </c>
      <c r="H3537" s="1153">
        <v>103.36</v>
      </c>
      <c r="I3537" s="1153">
        <v>174</v>
      </c>
      <c r="J3537" s="1154">
        <v>1.7000000000000001E-2</v>
      </c>
      <c r="K3537" s="1261">
        <v>1.46</v>
      </c>
      <c r="L3537" s="1150">
        <v>420</v>
      </c>
      <c r="M3537" s="1261">
        <v>2.19</v>
      </c>
      <c r="N3537" s="1261">
        <v>1.67</v>
      </c>
      <c r="O3537" s="1261">
        <v>54.55</v>
      </c>
      <c r="P3537" s="1261">
        <v>79.930000000000007</v>
      </c>
      <c r="R3537" s="1152">
        <v>2.1197643199999998</v>
      </c>
      <c r="S3537" s="1151">
        <v>32.32</v>
      </c>
      <c r="Y3537" s="1151">
        <v>32.4</v>
      </c>
      <c r="Z3537" s="1150">
        <v>4.2</v>
      </c>
      <c r="AA3537" s="1152"/>
      <c r="AB3537" s="1152"/>
      <c r="AD3537" s="1155">
        <v>540</v>
      </c>
      <c r="AE3537" s="1155">
        <v>220</v>
      </c>
      <c r="AF3537" s="424">
        <v>240</v>
      </c>
      <c r="AG3537" s="66">
        <f t="shared" si="134"/>
        <v>15.951851851851854</v>
      </c>
      <c r="AH3537" s="143">
        <f t="shared" si="135"/>
        <v>1000</v>
      </c>
    </row>
    <row r="3538" spans="1:34" s="1150" customFormat="1" x14ac:dyDescent="0.3">
      <c r="A3538" s="1150">
        <v>203467</v>
      </c>
      <c r="B3538" s="1151">
        <v>0.16666666666666666</v>
      </c>
      <c r="C3538" s="1151"/>
      <c r="D3538" s="1152">
        <v>5.3</v>
      </c>
      <c r="E3538" s="1581">
        <v>5.7000000000000002E-2</v>
      </c>
      <c r="F3538" s="1153">
        <v>62.7</v>
      </c>
      <c r="H3538" s="1153">
        <v>194.02</v>
      </c>
      <c r="I3538" s="1153">
        <v>254</v>
      </c>
      <c r="J3538" s="1154">
        <v>2.9000000000000001E-2</v>
      </c>
      <c r="K3538" s="1261">
        <v>1.71</v>
      </c>
      <c r="L3538" s="1150">
        <v>184</v>
      </c>
      <c r="M3538" s="1261">
        <v>1.48</v>
      </c>
      <c r="N3538" s="1261">
        <v>0.85</v>
      </c>
      <c r="O3538" s="1261">
        <v>17.07</v>
      </c>
      <c r="P3538" s="1261">
        <v>30.2</v>
      </c>
      <c r="R3538" s="1152">
        <v>2.1452742800000002</v>
      </c>
      <c r="S3538" s="1151">
        <v>36.14</v>
      </c>
      <c r="Y3538" s="1151">
        <v>26</v>
      </c>
      <c r="Z3538" s="1150">
        <v>4.5</v>
      </c>
      <c r="AA3538" s="1152"/>
      <c r="AB3538" s="1152"/>
      <c r="AD3538" s="1155">
        <v>520</v>
      </c>
      <c r="AE3538" s="1155">
        <v>280</v>
      </c>
      <c r="AF3538" s="424">
        <v>200</v>
      </c>
      <c r="AG3538" s="66">
        <f t="shared" si="134"/>
        <v>23.282307692307693</v>
      </c>
      <c r="AH3538" s="143">
        <f t="shared" si="135"/>
        <v>1000</v>
      </c>
    </row>
    <row r="3539" spans="1:34" s="1150" customFormat="1" x14ac:dyDescent="0.3">
      <c r="A3539" s="1150">
        <v>203468</v>
      </c>
      <c r="B3539" s="1151">
        <v>8.3333333333333329E-2</v>
      </c>
      <c r="C3539" s="1151"/>
      <c r="D3539" s="1152">
        <v>4.8</v>
      </c>
      <c r="E3539" s="1581">
        <v>8.6999999999999994E-2</v>
      </c>
      <c r="F3539" s="1153">
        <v>95.7</v>
      </c>
      <c r="H3539" s="1153">
        <v>272.39999999999998</v>
      </c>
      <c r="I3539" s="1153">
        <v>264</v>
      </c>
      <c r="J3539" s="1154">
        <v>2.1999999999999999E-2</v>
      </c>
      <c r="K3539" s="1261">
        <v>1.79</v>
      </c>
      <c r="L3539" s="1150">
        <v>403</v>
      </c>
      <c r="M3539" s="1261">
        <v>1.1200000000000001</v>
      </c>
      <c r="N3539" s="1261">
        <v>1.1499999999999999</v>
      </c>
      <c r="O3539" s="1261">
        <v>89.25</v>
      </c>
      <c r="P3539" s="1261">
        <v>23.91</v>
      </c>
      <c r="R3539" s="1152">
        <v>1.9802109200000002</v>
      </c>
      <c r="S3539" s="1151">
        <v>23.38</v>
      </c>
      <c r="Y3539" s="1151">
        <v>35.200000000000003</v>
      </c>
      <c r="Z3539" s="1150">
        <v>4</v>
      </c>
      <c r="AA3539" s="1152"/>
      <c r="AB3539" s="1152"/>
      <c r="AD3539" s="1155">
        <v>550</v>
      </c>
      <c r="AE3539" s="1155">
        <v>290</v>
      </c>
      <c r="AF3539" s="424">
        <v>160</v>
      </c>
      <c r="AG3539" s="66">
        <f t="shared" si="134"/>
        <v>18.001704545454544</v>
      </c>
      <c r="AH3539" s="143">
        <f t="shared" si="135"/>
        <v>1000</v>
      </c>
    </row>
    <row r="3540" spans="1:34" s="1150" customFormat="1" x14ac:dyDescent="0.3">
      <c r="A3540" s="1150">
        <v>203469</v>
      </c>
      <c r="B3540" s="1151">
        <v>4.3055555555555554</v>
      </c>
      <c r="C3540" s="1151"/>
      <c r="D3540" s="1152">
        <v>7.8</v>
      </c>
      <c r="E3540" s="1581">
        <v>0.17499999999999999</v>
      </c>
      <c r="F3540" s="1153">
        <v>192.5</v>
      </c>
      <c r="H3540" s="1153">
        <v>165</v>
      </c>
      <c r="I3540" s="1153">
        <v>601</v>
      </c>
      <c r="J3540" s="1154">
        <v>0.104</v>
      </c>
      <c r="K3540" s="1261">
        <v>5.64</v>
      </c>
      <c r="L3540" s="1150">
        <v>348</v>
      </c>
      <c r="M3540" s="1261">
        <v>7</v>
      </c>
      <c r="N3540" s="1261">
        <v>0.86</v>
      </c>
      <c r="O3540" s="1261">
        <v>4.2300000000000004</v>
      </c>
      <c r="P3540" s="1261">
        <v>9.25</v>
      </c>
      <c r="R3540" s="1152">
        <v>1.75482513</v>
      </c>
      <c r="S3540" s="1151">
        <v>15.21</v>
      </c>
      <c r="Y3540" s="1151">
        <v>21</v>
      </c>
      <c r="AA3540" s="1152"/>
      <c r="AB3540" s="1152"/>
      <c r="AD3540" s="1155">
        <v>420</v>
      </c>
      <c r="AE3540" s="1155">
        <v>230</v>
      </c>
      <c r="AF3540" s="424">
        <v>350</v>
      </c>
      <c r="AG3540" s="66">
        <f t="shared" si="134"/>
        <v>95.074285714285708</v>
      </c>
      <c r="AH3540" s="143">
        <f t="shared" si="135"/>
        <v>1000</v>
      </c>
    </row>
    <row r="3541" spans="1:34" x14ac:dyDescent="0.3">
      <c r="A3541" s="90">
        <v>203470</v>
      </c>
      <c r="B3541" s="138">
        <v>25.833333333333336</v>
      </c>
      <c r="C3541" s="138">
        <v>7.1249999999999991</v>
      </c>
      <c r="D3541" s="152">
        <v>8.1999999999999993</v>
      </c>
      <c r="E3541" s="752">
        <v>0.13600000000000001</v>
      </c>
      <c r="F3541" s="142">
        <v>149.60000000000002</v>
      </c>
      <c r="H3541" s="142">
        <v>2.98</v>
      </c>
      <c r="I3541" s="142">
        <v>411</v>
      </c>
      <c r="J3541" s="141">
        <v>2.1000000000000001E-2</v>
      </c>
      <c r="K3541" s="795">
        <v>8.43</v>
      </c>
      <c r="L3541" s="140">
        <v>460</v>
      </c>
      <c r="M3541" s="795">
        <v>7.0000000000000007E-2</v>
      </c>
      <c r="N3541" s="795">
        <v>0.65</v>
      </c>
      <c r="O3541" s="795">
        <v>1.38</v>
      </c>
      <c r="P3541" s="795">
        <v>1.62</v>
      </c>
      <c r="R3541" s="139">
        <v>0.92153259702604629</v>
      </c>
      <c r="S3541" s="138">
        <v>6.12</v>
      </c>
      <c r="Y3541" s="138">
        <v>31.8</v>
      </c>
      <c r="AA3541" s="139">
        <v>4.93</v>
      </c>
      <c r="AB3541" s="139">
        <v>0.58099999999999996</v>
      </c>
      <c r="AC3541" s="140">
        <v>6.1</v>
      </c>
      <c r="AD3541" s="70">
        <v>530</v>
      </c>
      <c r="AE3541" s="70">
        <v>330</v>
      </c>
      <c r="AF3541">
        <v>140</v>
      </c>
      <c r="AG3541" s="66">
        <f t="shared" si="134"/>
        <v>93.843396226415081</v>
      </c>
      <c r="AH3541" s="143">
        <f t="shared" si="135"/>
        <v>1000</v>
      </c>
    </row>
    <row r="3542" spans="1:34" x14ac:dyDescent="0.3">
      <c r="A3542" s="90">
        <v>203471</v>
      </c>
      <c r="B3542" s="138">
        <v>12.083333333333334</v>
      </c>
      <c r="C3542" s="138">
        <v>5.4999999999999982</v>
      </c>
      <c r="D3542" s="152">
        <v>8.1</v>
      </c>
      <c r="E3542" s="752">
        <v>0.32200000000000001</v>
      </c>
      <c r="F3542" s="142">
        <v>354.2</v>
      </c>
      <c r="H3542" s="142">
        <v>17.739999999999998</v>
      </c>
      <c r="I3542" s="142">
        <v>309</v>
      </c>
      <c r="J3542" s="141">
        <v>0.09</v>
      </c>
      <c r="K3542" s="795">
        <v>8.4499999999999993</v>
      </c>
      <c r="L3542" s="140">
        <v>615</v>
      </c>
      <c r="M3542" s="795">
        <v>1.34</v>
      </c>
      <c r="N3542" s="795">
        <v>1.36</v>
      </c>
      <c r="O3542" s="795">
        <v>6.57</v>
      </c>
      <c r="P3542" s="795">
        <v>3.06</v>
      </c>
      <c r="R3542" s="139">
        <v>1.6657117700000001</v>
      </c>
      <c r="S3542" s="138">
        <v>12.67</v>
      </c>
      <c r="Y3542" s="138">
        <v>27</v>
      </c>
      <c r="AA3542" s="139">
        <v>4.9800000000000004</v>
      </c>
      <c r="AB3542" s="139">
        <v>0.63100000000000001</v>
      </c>
      <c r="AC3542" s="140">
        <v>7.5</v>
      </c>
      <c r="AD3542" s="70">
        <v>540</v>
      </c>
      <c r="AE3542" s="70">
        <v>350</v>
      </c>
      <c r="AF3542">
        <v>110</v>
      </c>
      <c r="AG3542" s="66">
        <f t="shared" si="134"/>
        <v>110.78888888888888</v>
      </c>
      <c r="AH3542" s="143">
        <f t="shared" si="135"/>
        <v>1000</v>
      </c>
    </row>
    <row r="3543" spans="1:34" x14ac:dyDescent="0.3">
      <c r="A3543" s="90">
        <v>203472</v>
      </c>
      <c r="B3543" s="138">
        <v>3.6111111111111107</v>
      </c>
      <c r="D3543" s="152">
        <v>8.1</v>
      </c>
      <c r="E3543" s="752">
        <v>0.156</v>
      </c>
      <c r="F3543" s="142">
        <v>171.6</v>
      </c>
      <c r="H3543" s="142">
        <v>17.899999999999999</v>
      </c>
      <c r="I3543" s="142">
        <v>200</v>
      </c>
      <c r="J3543" s="141">
        <v>0.09</v>
      </c>
      <c r="K3543" s="795">
        <v>6.35</v>
      </c>
      <c r="L3543" s="140">
        <v>685</v>
      </c>
      <c r="M3543" s="795">
        <v>0.46</v>
      </c>
      <c r="N3543" s="795">
        <v>0.91</v>
      </c>
      <c r="O3543" s="795">
        <v>5.26</v>
      </c>
      <c r="P3543" s="795">
        <v>2.95</v>
      </c>
      <c r="R3543" s="139">
        <v>0.85776600962685345</v>
      </c>
      <c r="S3543" s="138">
        <v>6.37</v>
      </c>
      <c r="Y3543" s="138">
        <v>31.2</v>
      </c>
      <c r="AA3543" s="139">
        <v>3.77</v>
      </c>
      <c r="AB3543" s="139">
        <v>0.34899999999999998</v>
      </c>
      <c r="AC3543" s="140">
        <v>7.3</v>
      </c>
      <c r="AD3543" s="70">
        <v>520</v>
      </c>
      <c r="AE3543" s="70">
        <v>320</v>
      </c>
      <c r="AF3543">
        <v>160</v>
      </c>
      <c r="AG3543" s="66">
        <f t="shared" si="134"/>
        <v>72.048076923076934</v>
      </c>
      <c r="AH3543" s="143">
        <f t="shared" si="135"/>
        <v>1000</v>
      </c>
    </row>
    <row r="3544" spans="1:34" ht="21" x14ac:dyDescent="0.35">
      <c r="A3544" s="1450">
        <v>203473</v>
      </c>
      <c r="B3544" s="827">
        <v>3.1944444444444442</v>
      </c>
      <c r="C3544" s="827"/>
      <c r="D3544" s="1450">
        <v>8.3800000000000008</v>
      </c>
      <c r="E3544" s="1572">
        <v>0.182</v>
      </c>
      <c r="F3544" s="829">
        <v>200.20000000000002</v>
      </c>
      <c r="G3544" s="826"/>
      <c r="H3544" s="829">
        <v>27.94</v>
      </c>
      <c r="I3544" s="829">
        <v>770</v>
      </c>
      <c r="J3544" s="828">
        <v>5.8999999999999997E-2</v>
      </c>
      <c r="K3544" s="828">
        <v>7.72</v>
      </c>
      <c r="L3544" s="829">
        <v>410</v>
      </c>
      <c r="M3544" s="827">
        <v>0.45</v>
      </c>
      <c r="N3544" s="827">
        <v>1.21</v>
      </c>
      <c r="O3544" s="827">
        <v>5.35</v>
      </c>
      <c r="P3544" s="827">
        <v>3.28</v>
      </c>
      <c r="Q3544" s="826"/>
      <c r="R3544" s="828">
        <v>1.5764242500000001</v>
      </c>
      <c r="S3544" s="826">
        <v>10.35</v>
      </c>
      <c r="T3544" s="826"/>
      <c r="U3544" s="826"/>
      <c r="V3544" s="826"/>
      <c r="W3544" s="826"/>
      <c r="X3544" s="826"/>
      <c r="Y3544" s="827">
        <v>33.6</v>
      </c>
      <c r="Z3544" s="826"/>
      <c r="AA3544" s="828">
        <v>5</v>
      </c>
      <c r="AB3544" s="828">
        <v>0.32</v>
      </c>
      <c r="AC3544" s="826">
        <v>7.2</v>
      </c>
      <c r="AD3544" s="830">
        <v>480</v>
      </c>
      <c r="AE3544" s="830">
        <v>280</v>
      </c>
      <c r="AF3544" s="830">
        <v>240</v>
      </c>
      <c r="AG3544" s="66">
        <f t="shared" si="134"/>
        <v>81.335714285714289</v>
      </c>
      <c r="AH3544" s="143">
        <f t="shared" si="135"/>
        <v>1000</v>
      </c>
    </row>
    <row r="3545" spans="1:34" ht="21" x14ac:dyDescent="0.35">
      <c r="A3545" s="1450">
        <v>203474</v>
      </c>
      <c r="B3545" s="827">
        <v>4.4444444444444438</v>
      </c>
      <c r="C3545" s="827"/>
      <c r="D3545" s="1450">
        <v>8.2800000000000011</v>
      </c>
      <c r="E3545" s="1572">
        <v>0.73799999999999999</v>
      </c>
      <c r="F3545" s="829">
        <v>811.80000000000007</v>
      </c>
      <c r="G3545" s="826"/>
      <c r="H3545" s="829">
        <v>53.82</v>
      </c>
      <c r="I3545" s="829">
        <v>1060</v>
      </c>
      <c r="J3545" s="828">
        <v>0.32</v>
      </c>
      <c r="K3545" s="828">
        <v>8.5299999999999994</v>
      </c>
      <c r="L3545" s="829">
        <v>540</v>
      </c>
      <c r="M3545" s="827">
        <v>0.81</v>
      </c>
      <c r="N3545" s="827">
        <v>1.28</v>
      </c>
      <c r="O3545" s="827">
        <v>8.99</v>
      </c>
      <c r="P3545" s="827">
        <v>3.17</v>
      </c>
      <c r="Q3545" s="826"/>
      <c r="R3545" s="828">
        <v>1.2372723461084911</v>
      </c>
      <c r="S3545" s="826">
        <v>9.2000000000000011</v>
      </c>
      <c r="T3545" s="826"/>
      <c r="U3545" s="826"/>
      <c r="V3545" s="826"/>
      <c r="W3545" s="826"/>
      <c r="X3545" s="826"/>
      <c r="Y3545" s="827">
        <v>29.4</v>
      </c>
      <c r="Z3545" s="826"/>
      <c r="AA3545" s="828">
        <v>4.0599999999999996</v>
      </c>
      <c r="AB3545" s="828">
        <v>0.39100000000000001</v>
      </c>
      <c r="AC3545" s="826">
        <v>8.4</v>
      </c>
      <c r="AD3545" s="830">
        <v>490</v>
      </c>
      <c r="AE3545" s="830">
        <v>290</v>
      </c>
      <c r="AF3545" s="830">
        <v>220</v>
      </c>
      <c r="AG3545" s="66">
        <f t="shared" si="134"/>
        <v>102.70816326530613</v>
      </c>
      <c r="AH3545" s="143">
        <f t="shared" si="135"/>
        <v>1000</v>
      </c>
    </row>
    <row r="3546" spans="1:34" ht="21" x14ac:dyDescent="0.35">
      <c r="A3546" s="1450">
        <v>203475</v>
      </c>
      <c r="B3546" s="827">
        <v>15.416666666666664</v>
      </c>
      <c r="C3546" s="827">
        <v>11.5</v>
      </c>
      <c r="D3546" s="1450">
        <v>8.48</v>
      </c>
      <c r="E3546" s="1572">
        <v>0.81299999999999994</v>
      </c>
      <c r="F3546" s="829">
        <v>894.3</v>
      </c>
      <c r="G3546" s="826"/>
      <c r="H3546" s="829">
        <v>13.87</v>
      </c>
      <c r="I3546" s="829">
        <v>200</v>
      </c>
      <c r="J3546" s="828">
        <v>0.78500000000000003</v>
      </c>
      <c r="K3546" s="828">
        <v>10.98</v>
      </c>
      <c r="L3546" s="829">
        <v>930</v>
      </c>
      <c r="M3546" s="827">
        <v>0.25</v>
      </c>
      <c r="N3546" s="827">
        <v>0.56999999999999995</v>
      </c>
      <c r="O3546" s="827">
        <v>4.42</v>
      </c>
      <c r="P3546" s="827">
        <v>2.97</v>
      </c>
      <c r="Q3546" s="826"/>
      <c r="R3546" s="828">
        <v>1.6508549700000001</v>
      </c>
      <c r="S3546" s="826">
        <v>12.270000000000001</v>
      </c>
      <c r="T3546" s="826"/>
      <c r="U3546" s="826"/>
      <c r="V3546" s="826"/>
      <c r="W3546" s="826"/>
      <c r="X3546" s="826"/>
      <c r="Y3546" s="827">
        <v>32.9</v>
      </c>
      <c r="Z3546" s="826"/>
      <c r="AA3546" s="828">
        <v>4.62</v>
      </c>
      <c r="AB3546" s="828">
        <v>0.76500000000000001</v>
      </c>
      <c r="AC3546" s="826">
        <v>9.8000000000000007</v>
      </c>
      <c r="AD3546" s="830">
        <v>470</v>
      </c>
      <c r="AE3546" s="830">
        <v>260</v>
      </c>
      <c r="AF3546" s="830">
        <v>270</v>
      </c>
      <c r="AG3546" s="66">
        <f t="shared" si="134"/>
        <v>118.14346504559271</v>
      </c>
      <c r="AH3546" s="143">
        <f t="shared" si="135"/>
        <v>1000</v>
      </c>
    </row>
    <row r="3547" spans="1:34" ht="21" x14ac:dyDescent="0.35">
      <c r="A3547" s="1450">
        <v>203476</v>
      </c>
      <c r="B3547" s="827">
        <v>1.1666666666666667</v>
      </c>
      <c r="C3547" s="827"/>
      <c r="D3547" s="1450">
        <v>8.58</v>
      </c>
      <c r="E3547" s="1572">
        <v>0.56999999999999995</v>
      </c>
      <c r="F3547" s="829">
        <v>627</v>
      </c>
      <c r="G3547" s="826"/>
      <c r="H3547" s="829">
        <v>16.63</v>
      </c>
      <c r="I3547" s="829">
        <v>140</v>
      </c>
      <c r="J3547" s="828">
        <v>0.49</v>
      </c>
      <c r="K3547" s="828">
        <v>6.89</v>
      </c>
      <c r="L3547" s="829">
        <v>300</v>
      </c>
      <c r="M3547" s="827">
        <v>0.22</v>
      </c>
      <c r="N3547" s="827">
        <v>0.48</v>
      </c>
      <c r="O3547" s="827">
        <v>3.31</v>
      </c>
      <c r="P3547" s="827">
        <v>2.35</v>
      </c>
      <c r="Q3547" s="826"/>
      <c r="R3547" s="828">
        <v>0.78407269772690535</v>
      </c>
      <c r="S3547" s="826">
        <v>5.7099999999999991</v>
      </c>
      <c r="T3547" s="826"/>
      <c r="U3547" s="826"/>
      <c r="V3547" s="826"/>
      <c r="W3547" s="826"/>
      <c r="X3547" s="826"/>
      <c r="Y3547" s="827">
        <v>15</v>
      </c>
      <c r="Z3547" s="826"/>
      <c r="AA3547" s="828">
        <v>3.58</v>
      </c>
      <c r="AB3547" s="828">
        <v>0.56200000000000006</v>
      </c>
      <c r="AC3547" s="826">
        <v>6</v>
      </c>
      <c r="AD3547" s="830">
        <v>300</v>
      </c>
      <c r="AE3547" s="830">
        <v>120</v>
      </c>
      <c r="AF3547" s="830">
        <v>580</v>
      </c>
      <c r="AG3547" s="66">
        <f t="shared" si="134"/>
        <v>162.60399999999998</v>
      </c>
      <c r="AH3547" s="143">
        <f t="shared" si="135"/>
        <v>1000</v>
      </c>
    </row>
    <row r="3548" spans="1:34" ht="21" x14ac:dyDescent="0.35">
      <c r="A3548" s="1450">
        <v>203477</v>
      </c>
      <c r="B3548" s="827">
        <v>18.333333333333336</v>
      </c>
      <c r="C3548" s="827">
        <v>8.375</v>
      </c>
      <c r="D3548" s="1450">
        <v>8.08</v>
      </c>
      <c r="E3548" s="1572">
        <v>0.746</v>
      </c>
      <c r="F3548" s="829">
        <v>820.60000000000014</v>
      </c>
      <c r="G3548" s="826"/>
      <c r="H3548" s="829">
        <v>123.71</v>
      </c>
      <c r="I3548" s="829">
        <v>1120</v>
      </c>
      <c r="J3548" s="828">
        <v>0.14199999999999999</v>
      </c>
      <c r="K3548" s="828">
        <v>7.03</v>
      </c>
      <c r="L3548" s="829">
        <v>520</v>
      </c>
      <c r="M3548" s="827">
        <v>1.9</v>
      </c>
      <c r="N3548" s="827">
        <v>10.82</v>
      </c>
      <c r="O3548" s="827">
        <v>2.95</v>
      </c>
      <c r="P3548" s="827">
        <v>8.1999999999999993</v>
      </c>
      <c r="Q3548" s="826"/>
      <c r="R3548" s="828">
        <v>1.6564525200000002</v>
      </c>
      <c r="S3548" s="826">
        <v>12.42</v>
      </c>
      <c r="T3548" s="826"/>
      <c r="U3548" s="826"/>
      <c r="V3548" s="826"/>
      <c r="W3548" s="826"/>
      <c r="X3548" s="826"/>
      <c r="Y3548" s="827">
        <v>31.2</v>
      </c>
      <c r="Z3548" s="826"/>
      <c r="AA3548" s="828">
        <v>3.67</v>
      </c>
      <c r="AB3548" s="828">
        <v>0.501</v>
      </c>
      <c r="AC3548" s="826">
        <v>8.1</v>
      </c>
      <c r="AD3548" s="830">
        <v>520</v>
      </c>
      <c r="AE3548" s="830">
        <v>240</v>
      </c>
      <c r="AF3548" s="830">
        <v>240</v>
      </c>
      <c r="AG3548" s="66">
        <f t="shared" si="134"/>
        <v>79.763461538461556</v>
      </c>
      <c r="AH3548" s="143">
        <f t="shared" si="135"/>
        <v>1000</v>
      </c>
    </row>
    <row r="3549" spans="1:34" ht="21" x14ac:dyDescent="0.35">
      <c r="A3549" s="1450">
        <v>203478</v>
      </c>
      <c r="B3549" s="827">
        <v>15</v>
      </c>
      <c r="C3549" s="827">
        <v>12.625</v>
      </c>
      <c r="D3549" s="1450">
        <v>8.7800000000000011</v>
      </c>
      <c r="E3549" s="1572">
        <v>0.61399999999999999</v>
      </c>
      <c r="F3549" s="829">
        <v>675.4</v>
      </c>
      <c r="G3549" s="826"/>
      <c r="H3549" s="829">
        <v>43.25</v>
      </c>
      <c r="I3549" s="829">
        <v>270</v>
      </c>
      <c r="J3549" s="828">
        <v>1.44</v>
      </c>
      <c r="K3549" s="828">
        <v>7.7</v>
      </c>
      <c r="L3549" s="829">
        <v>2560</v>
      </c>
      <c r="M3549" s="827">
        <v>0.49</v>
      </c>
      <c r="N3549" s="827">
        <v>0.95</v>
      </c>
      <c r="O3549" s="827">
        <v>3.51</v>
      </c>
      <c r="P3549" s="827">
        <v>7.84</v>
      </c>
      <c r="Q3549" s="826"/>
      <c r="R3549" s="828">
        <v>1.66939097</v>
      </c>
      <c r="S3549" s="826">
        <v>12.77</v>
      </c>
      <c r="T3549" s="826"/>
      <c r="U3549" s="826"/>
      <c r="V3549" s="826"/>
      <c r="W3549" s="826"/>
      <c r="X3549" s="826"/>
      <c r="Y3549" s="827">
        <v>34.200000000000003</v>
      </c>
      <c r="Z3549" s="826"/>
      <c r="AA3549" s="828">
        <v>4.26</v>
      </c>
      <c r="AB3549" s="828">
        <v>0.41</v>
      </c>
      <c r="AC3549" s="826">
        <v>8.1999999999999993</v>
      </c>
      <c r="AD3549" s="830">
        <v>570</v>
      </c>
      <c r="AE3549" s="830">
        <v>270</v>
      </c>
      <c r="AF3549" s="830">
        <v>160</v>
      </c>
      <c r="AG3549" s="66">
        <f t="shared" si="134"/>
        <v>79.701754385964918</v>
      </c>
      <c r="AH3549" s="143">
        <f t="shared" si="135"/>
        <v>1000</v>
      </c>
    </row>
    <row r="3550" spans="1:34" x14ac:dyDescent="0.3">
      <c r="A3550" s="140">
        <v>203479</v>
      </c>
      <c r="B3550" s="138" t="s">
        <v>528</v>
      </c>
      <c r="M3550" s="138"/>
      <c r="N3550" s="138"/>
      <c r="O3550" s="138"/>
      <c r="P3550" s="1451"/>
      <c r="AG3550" s="66" t="e">
        <f t="shared" si="134"/>
        <v>#DIV/0!</v>
      </c>
      <c r="AH3550" s="143">
        <f t="shared" si="135"/>
        <v>0</v>
      </c>
    </row>
    <row r="3551" spans="1:34" x14ac:dyDescent="0.3">
      <c r="A3551" s="818">
        <v>203480</v>
      </c>
      <c r="B3551" s="819">
        <v>0.7666666666666665</v>
      </c>
      <c r="C3551" s="819"/>
      <c r="D3551" s="820">
        <v>8.5</v>
      </c>
      <c r="E3551" s="1571">
        <v>0.28599999999999998</v>
      </c>
      <c r="F3551" s="821">
        <v>314.59999999999997</v>
      </c>
      <c r="G3551" s="818"/>
      <c r="H3551" s="821">
        <v>25.76</v>
      </c>
      <c r="I3551" s="821">
        <v>450</v>
      </c>
      <c r="J3551" s="822">
        <v>0.40899999999999997</v>
      </c>
      <c r="K3551" s="819">
        <v>5.0999999999999996</v>
      </c>
      <c r="L3551" s="818">
        <v>1500</v>
      </c>
      <c r="M3551" s="818">
        <v>0.53</v>
      </c>
      <c r="N3551" s="818">
        <v>1.38</v>
      </c>
      <c r="O3551" s="818">
        <v>7.76</v>
      </c>
      <c r="P3551" s="818">
        <v>5.01</v>
      </c>
      <c r="Q3551" s="818"/>
      <c r="R3551" s="820">
        <v>1.6254680000000001</v>
      </c>
      <c r="S3551" s="819">
        <v>11.6</v>
      </c>
      <c r="Y3551" s="138">
        <v>16</v>
      </c>
      <c r="AA3551" s="139">
        <v>4.91</v>
      </c>
      <c r="AB3551" s="139">
        <v>0.6</v>
      </c>
      <c r="AC3551" s="140">
        <v>10.1</v>
      </c>
      <c r="AD3551">
        <v>320</v>
      </c>
      <c r="AE3551">
        <v>200</v>
      </c>
      <c r="AF3551">
        <v>480</v>
      </c>
      <c r="AG3551" s="66">
        <f t="shared" si="134"/>
        <v>112.83749999999999</v>
      </c>
      <c r="AH3551" s="143">
        <f t="shared" si="135"/>
        <v>1000</v>
      </c>
    </row>
    <row r="3552" spans="1:34" x14ac:dyDescent="0.3">
      <c r="A3552" s="818">
        <v>203481</v>
      </c>
      <c r="B3552" s="819">
        <v>0.58333333333333337</v>
      </c>
      <c r="C3552" s="819"/>
      <c r="D3552" s="820">
        <v>8.8000000000000007</v>
      </c>
      <c r="E3552" s="1571">
        <v>0.23400000000000001</v>
      </c>
      <c r="F3552" s="821">
        <v>257.40000000000003</v>
      </c>
      <c r="G3552" s="818"/>
      <c r="H3552" s="821">
        <v>20.079999999999998</v>
      </c>
      <c r="I3552" s="821">
        <v>390</v>
      </c>
      <c r="J3552" s="822">
        <v>0.48699999999999999</v>
      </c>
      <c r="K3552" s="819">
        <v>5</v>
      </c>
      <c r="L3552" s="818">
        <v>1570</v>
      </c>
      <c r="M3552" s="818">
        <v>0.62</v>
      </c>
      <c r="N3552" s="818">
        <v>1.32</v>
      </c>
      <c r="O3552" s="818">
        <v>9.5299999999999994</v>
      </c>
      <c r="P3552" s="818">
        <v>5.41</v>
      </c>
      <c r="Q3552" s="818"/>
      <c r="R3552" s="820">
        <v>1.6029837200000001</v>
      </c>
      <c r="S3552" s="819">
        <v>11.020000000000001</v>
      </c>
      <c r="Y3552" s="138">
        <v>23.1</v>
      </c>
      <c r="AA3552" s="139">
        <v>3.56</v>
      </c>
      <c r="AB3552" s="139">
        <v>0.85799999999999998</v>
      </c>
      <c r="AC3552" s="140">
        <v>11.9</v>
      </c>
      <c r="AD3552">
        <v>330</v>
      </c>
      <c r="AE3552">
        <v>210</v>
      </c>
      <c r="AF3552">
        <v>460</v>
      </c>
      <c r="AG3552" s="66">
        <f t="shared" si="134"/>
        <v>76.623376623376615</v>
      </c>
      <c r="AH3552" s="143">
        <f t="shared" si="135"/>
        <v>1000</v>
      </c>
    </row>
    <row r="3553" spans="1:34" x14ac:dyDescent="0.3">
      <c r="A3553" s="818">
        <v>203482</v>
      </c>
      <c r="B3553" s="819">
        <v>17.666666666666668</v>
      </c>
      <c r="C3553" s="819">
        <v>6.375</v>
      </c>
      <c r="D3553" s="820">
        <v>8.6999999999999993</v>
      </c>
      <c r="E3553" s="1571">
        <v>0.34</v>
      </c>
      <c r="F3553" s="821">
        <v>374.00000000000006</v>
      </c>
      <c r="G3553" s="818"/>
      <c r="H3553" s="821">
        <v>96.65</v>
      </c>
      <c r="I3553" s="821">
        <v>800</v>
      </c>
      <c r="J3553" s="822">
        <v>0.3</v>
      </c>
      <c r="K3553" s="819">
        <v>10.99</v>
      </c>
      <c r="L3553" s="818">
        <v>740</v>
      </c>
      <c r="M3553" s="818">
        <v>2.0499999999999998</v>
      </c>
      <c r="N3553" s="818">
        <v>0.9</v>
      </c>
      <c r="O3553" s="818">
        <v>15.2</v>
      </c>
      <c r="P3553" s="818">
        <v>6.57</v>
      </c>
      <c r="Q3553" s="818"/>
      <c r="R3553" s="820">
        <v>0.72927420236430929</v>
      </c>
      <c r="S3553" s="819">
        <v>5.37</v>
      </c>
      <c r="Y3553" s="138">
        <v>28</v>
      </c>
      <c r="AA3553" s="139">
        <v>3.79</v>
      </c>
      <c r="AB3553" s="139">
        <v>0.82499999999999996</v>
      </c>
      <c r="AC3553" s="140">
        <v>7.5</v>
      </c>
      <c r="AD3553">
        <v>400</v>
      </c>
      <c r="AE3553">
        <v>180</v>
      </c>
      <c r="AF3553">
        <v>420</v>
      </c>
      <c r="AG3553" s="66">
        <f t="shared" si="134"/>
        <v>138.94499999999999</v>
      </c>
      <c r="AH3553" s="143">
        <f t="shared" si="135"/>
        <v>1000</v>
      </c>
    </row>
    <row r="3554" spans="1:34" x14ac:dyDescent="0.3">
      <c r="A3554" s="818">
        <v>203483</v>
      </c>
      <c r="B3554" s="819">
        <v>30.833333333333329</v>
      </c>
      <c r="C3554" s="819">
        <v>11.624999999999998</v>
      </c>
      <c r="D3554" s="820">
        <v>8.5</v>
      </c>
      <c r="E3554" s="1571">
        <v>0.46</v>
      </c>
      <c r="F3554" s="821">
        <v>506.00000000000011</v>
      </c>
      <c r="G3554" s="818"/>
      <c r="H3554" s="821">
        <v>193.83</v>
      </c>
      <c r="I3554" s="821">
        <v>580</v>
      </c>
      <c r="J3554" s="822">
        <v>0.36399999999999999</v>
      </c>
      <c r="K3554" s="819">
        <v>10.71</v>
      </c>
      <c r="L3554" s="818">
        <v>670</v>
      </c>
      <c r="M3554" s="818">
        <v>4.68</v>
      </c>
      <c r="N3554" s="818">
        <v>0.91</v>
      </c>
      <c r="O3554" s="818">
        <v>14.68</v>
      </c>
      <c r="P3554" s="818">
        <v>15.67</v>
      </c>
      <c r="Q3554" s="818"/>
      <c r="R3554" s="820">
        <v>0.86673005439596928</v>
      </c>
      <c r="S3554" s="819">
        <v>5.75</v>
      </c>
      <c r="Y3554" s="138">
        <v>28</v>
      </c>
      <c r="AA3554" s="139">
        <v>4.4400000000000004</v>
      </c>
      <c r="AB3554" s="139">
        <v>0.28999999999999998</v>
      </c>
      <c r="AC3554" s="140">
        <v>11.6</v>
      </c>
      <c r="AD3554">
        <v>400</v>
      </c>
      <c r="AE3554">
        <v>160</v>
      </c>
      <c r="AF3554">
        <v>440</v>
      </c>
      <c r="AG3554" s="66">
        <f t="shared" si="134"/>
        <v>135.405</v>
      </c>
      <c r="AH3554" s="143">
        <f t="shared" si="135"/>
        <v>1000</v>
      </c>
    </row>
    <row r="3555" spans="1:34" x14ac:dyDescent="0.3">
      <c r="A3555" s="818">
        <v>203484</v>
      </c>
      <c r="B3555" s="819">
        <v>22.333333333333332</v>
      </c>
      <c r="C3555" s="819">
        <v>6.4999999999999991</v>
      </c>
      <c r="D3555" s="820">
        <v>8.6</v>
      </c>
      <c r="E3555" s="1571">
        <v>0.307</v>
      </c>
      <c r="F3555" s="821">
        <v>337.7</v>
      </c>
      <c r="G3555" s="818"/>
      <c r="H3555" s="821">
        <v>113.09</v>
      </c>
      <c r="I3555" s="821">
        <v>370</v>
      </c>
      <c r="J3555" s="822">
        <v>0.2</v>
      </c>
      <c r="K3555" s="819">
        <v>11</v>
      </c>
      <c r="L3555" s="818">
        <v>570</v>
      </c>
      <c r="M3555" s="818">
        <v>7.89</v>
      </c>
      <c r="N3555" s="818">
        <v>0.75</v>
      </c>
      <c r="O3555" s="818">
        <v>17.82</v>
      </c>
      <c r="P3555" s="818">
        <v>7.41</v>
      </c>
      <c r="Q3555" s="818"/>
      <c r="R3555" s="820">
        <v>0.71563480294779369</v>
      </c>
      <c r="S3555" s="819">
        <v>4.7699999999999996</v>
      </c>
      <c r="Y3555" s="138">
        <v>24</v>
      </c>
      <c r="AA3555" s="139">
        <v>4.4000000000000004</v>
      </c>
      <c r="AB3555" s="139">
        <v>0.55800000000000005</v>
      </c>
      <c r="AC3555" s="140">
        <v>6.4</v>
      </c>
      <c r="AD3555">
        <v>400</v>
      </c>
      <c r="AE3555">
        <v>210</v>
      </c>
      <c r="AF3555">
        <v>390</v>
      </c>
      <c r="AG3555" s="66">
        <f t="shared" si="134"/>
        <v>162.25</v>
      </c>
      <c r="AH3555" s="143">
        <f t="shared" si="135"/>
        <v>1000</v>
      </c>
    </row>
    <row r="3556" spans="1:34" x14ac:dyDescent="0.3">
      <c r="A3556" s="818">
        <v>203485</v>
      </c>
      <c r="B3556" s="819">
        <v>56.666666666666664</v>
      </c>
      <c r="C3556" s="819">
        <v>14.375</v>
      </c>
      <c r="D3556" s="820">
        <v>8.6</v>
      </c>
      <c r="E3556" s="1571">
        <v>0.37</v>
      </c>
      <c r="F3556" s="821">
        <v>407</v>
      </c>
      <c r="G3556" s="818"/>
      <c r="H3556" s="821">
        <v>45.6</v>
      </c>
      <c r="I3556" s="821">
        <v>200</v>
      </c>
      <c r="J3556" s="822">
        <v>0.22800000000000001</v>
      </c>
      <c r="K3556" s="819">
        <v>10.91</v>
      </c>
      <c r="L3556" s="818">
        <v>550</v>
      </c>
      <c r="M3556" s="818">
        <v>1.44</v>
      </c>
      <c r="N3556" s="818">
        <v>0.41</v>
      </c>
      <c r="O3556" s="818">
        <v>11.02</v>
      </c>
      <c r="P3556" s="818">
        <v>6.44</v>
      </c>
      <c r="Q3556" s="818"/>
      <c r="R3556" s="820">
        <v>0.67648801464086106</v>
      </c>
      <c r="S3556" s="819">
        <v>4.49</v>
      </c>
      <c r="Y3556" s="138">
        <v>14</v>
      </c>
      <c r="AA3556" s="139">
        <v>4.0599999999999996</v>
      </c>
      <c r="AB3556" s="139">
        <v>0.443</v>
      </c>
      <c r="AC3556" s="140">
        <v>9.3000000000000007</v>
      </c>
      <c r="AD3556">
        <v>280</v>
      </c>
      <c r="AE3556">
        <v>180</v>
      </c>
      <c r="AF3556">
        <v>540</v>
      </c>
      <c r="AG3556" s="66">
        <f t="shared" si="134"/>
        <v>275.86714285714288</v>
      </c>
      <c r="AH3556" s="143">
        <f t="shared" si="135"/>
        <v>1000</v>
      </c>
    </row>
    <row r="3557" spans="1:34" x14ac:dyDescent="0.3">
      <c r="A3557" s="818">
        <v>203486</v>
      </c>
      <c r="B3557" s="819">
        <v>26.333333333333332</v>
      </c>
      <c r="C3557" s="819">
        <v>7.9999999999999982</v>
      </c>
      <c r="D3557" s="820">
        <v>8.6</v>
      </c>
      <c r="E3557" s="1571">
        <v>1.34</v>
      </c>
      <c r="F3557" s="821">
        <v>1474.0000000000002</v>
      </c>
      <c r="G3557" s="818"/>
      <c r="H3557" s="821">
        <v>35.06</v>
      </c>
      <c r="I3557" s="821">
        <v>300</v>
      </c>
      <c r="J3557" s="822">
        <v>1.1539999999999999</v>
      </c>
      <c r="K3557" s="819">
        <v>11.51</v>
      </c>
      <c r="L3557" s="818">
        <v>830</v>
      </c>
      <c r="M3557" s="818">
        <v>3.8</v>
      </c>
      <c r="N3557" s="818">
        <v>1.77</v>
      </c>
      <c r="O3557" s="818">
        <v>2.14</v>
      </c>
      <c r="P3557" s="818">
        <v>2.79</v>
      </c>
      <c r="Q3557" s="818"/>
      <c r="R3557" s="820">
        <v>0.45992954460719432</v>
      </c>
      <c r="S3557" s="819">
        <v>3.3800000000000003</v>
      </c>
      <c r="Y3557" s="138">
        <v>25.2</v>
      </c>
      <c r="AA3557" s="139">
        <v>4.21</v>
      </c>
      <c r="AB3557" s="139">
        <v>0.85299999999999998</v>
      </c>
      <c r="AC3557" s="140">
        <v>7.9</v>
      </c>
      <c r="AD3557">
        <v>360</v>
      </c>
      <c r="AE3557">
        <v>180</v>
      </c>
      <c r="AF3557">
        <v>460</v>
      </c>
      <c r="AG3557" s="66">
        <f t="shared" si="134"/>
        <v>161.68809523809523</v>
      </c>
      <c r="AH3557" s="143">
        <f t="shared" si="135"/>
        <v>1000</v>
      </c>
    </row>
    <row r="3558" spans="1:34" x14ac:dyDescent="0.3">
      <c r="A3558" s="818">
        <v>203487</v>
      </c>
      <c r="B3558" s="819">
        <v>20.833333333333332</v>
      </c>
      <c r="C3558" s="819">
        <v>6.7499999999999982</v>
      </c>
      <c r="D3558" s="820">
        <v>8.4</v>
      </c>
      <c r="E3558" s="1571">
        <v>0.89</v>
      </c>
      <c r="F3558" s="821">
        <v>979.00000000000011</v>
      </c>
      <c r="G3558" s="818"/>
      <c r="H3558" s="821">
        <v>66.37</v>
      </c>
      <c r="I3558" s="821">
        <v>390</v>
      </c>
      <c r="J3558" s="822">
        <v>0.57999999999999996</v>
      </c>
      <c r="K3558" s="819">
        <v>9.48</v>
      </c>
      <c r="L3558" s="818">
        <v>590</v>
      </c>
      <c r="M3558" s="818">
        <v>12.7</v>
      </c>
      <c r="N3558" s="818">
        <v>1.02</v>
      </c>
      <c r="O3558" s="818">
        <v>10.18</v>
      </c>
      <c r="P3558" s="818">
        <v>5.79</v>
      </c>
      <c r="Q3558" s="818"/>
      <c r="R3558" s="820">
        <v>0.74597837154288715</v>
      </c>
      <c r="S3558" s="819">
        <v>5.34</v>
      </c>
      <c r="Y3558" s="138">
        <v>26.4</v>
      </c>
      <c r="AA3558" s="139">
        <v>4.34</v>
      </c>
      <c r="AB3558" s="139">
        <v>0.503</v>
      </c>
      <c r="AC3558" s="140">
        <v>8.1999999999999993</v>
      </c>
      <c r="AD3558">
        <v>440</v>
      </c>
      <c r="AE3558">
        <v>180</v>
      </c>
      <c r="AF3558">
        <v>380</v>
      </c>
      <c r="AG3558" s="66">
        <f t="shared" si="134"/>
        <v>127.11818181818184</v>
      </c>
      <c r="AH3558" s="143">
        <f t="shared" si="135"/>
        <v>1000</v>
      </c>
    </row>
    <row r="3559" spans="1:34" x14ac:dyDescent="0.3">
      <c r="A3559" s="818">
        <v>203488</v>
      </c>
      <c r="B3559" s="819">
        <v>23</v>
      </c>
      <c r="C3559" s="819">
        <v>6.875</v>
      </c>
      <c r="D3559" s="820">
        <v>8.4</v>
      </c>
      <c r="E3559" s="1571">
        <v>1.6519999999999999</v>
      </c>
      <c r="F3559" s="821">
        <v>1817.2</v>
      </c>
      <c r="G3559" s="818"/>
      <c r="H3559" s="821">
        <v>90.97</v>
      </c>
      <c r="I3559" s="821">
        <v>760</v>
      </c>
      <c r="J3559" s="822">
        <v>1.2769999999999999</v>
      </c>
      <c r="K3559" s="819">
        <v>8.65</v>
      </c>
      <c r="L3559" s="818">
        <v>800</v>
      </c>
      <c r="M3559" s="818">
        <v>12.39</v>
      </c>
      <c r="N3559" s="818">
        <v>1.1100000000000001</v>
      </c>
      <c r="O3559" s="818">
        <v>20.2</v>
      </c>
      <c r="P3559" s="818">
        <v>6.28</v>
      </c>
      <c r="Q3559" s="818"/>
      <c r="R3559" s="820">
        <v>0.73898400299789813</v>
      </c>
      <c r="S3559" s="819">
        <v>5.32</v>
      </c>
      <c r="Y3559" s="138">
        <v>13.2</v>
      </c>
      <c r="AA3559" s="139">
        <v>4.53</v>
      </c>
      <c r="AB3559" s="139">
        <v>0.50900000000000001</v>
      </c>
      <c r="AC3559" s="140">
        <v>8</v>
      </c>
      <c r="AD3559">
        <v>220</v>
      </c>
      <c r="AE3559">
        <v>160</v>
      </c>
      <c r="AF3559">
        <v>620</v>
      </c>
      <c r="AG3559" s="66">
        <f t="shared" si="134"/>
        <v>231.97727272727278</v>
      </c>
      <c r="AH3559" s="143">
        <f t="shared" si="135"/>
        <v>1000</v>
      </c>
    </row>
    <row r="3560" spans="1:34" x14ac:dyDescent="0.3">
      <c r="A3560" s="818">
        <v>203489</v>
      </c>
      <c r="B3560" s="819">
        <v>32.499999999999993</v>
      </c>
      <c r="C3560" s="819">
        <v>14.124999999999998</v>
      </c>
      <c r="D3560" s="820">
        <v>8.6</v>
      </c>
      <c r="E3560" s="1571">
        <v>0.373</v>
      </c>
      <c r="F3560" s="821">
        <v>410.30000000000007</v>
      </c>
      <c r="G3560" s="818"/>
      <c r="H3560" s="821">
        <v>10.01</v>
      </c>
      <c r="I3560" s="821">
        <v>250</v>
      </c>
      <c r="J3560" s="822">
        <v>0.30199999999999999</v>
      </c>
      <c r="K3560" s="819">
        <v>11.52</v>
      </c>
      <c r="L3560" s="818">
        <v>760</v>
      </c>
      <c r="M3560" s="818">
        <v>1.36</v>
      </c>
      <c r="N3560" s="818">
        <v>1.53</v>
      </c>
      <c r="O3560" s="818">
        <v>12.37</v>
      </c>
      <c r="P3560" s="818">
        <v>3.42</v>
      </c>
      <c r="Q3560" s="818"/>
      <c r="R3560" s="820">
        <v>0.61350799072827844</v>
      </c>
      <c r="S3560" s="819">
        <v>4.09</v>
      </c>
      <c r="Y3560" s="138">
        <v>19.8</v>
      </c>
      <c r="AA3560" s="139">
        <v>4.17</v>
      </c>
      <c r="AB3560" s="139">
        <v>0.46400000000000002</v>
      </c>
      <c r="AC3560" s="140">
        <v>11.7</v>
      </c>
      <c r="AD3560">
        <v>330</v>
      </c>
      <c r="AE3560">
        <v>170</v>
      </c>
      <c r="AF3560">
        <v>500</v>
      </c>
      <c r="AG3560" s="66">
        <f t="shared" si="134"/>
        <v>205.96363636363634</v>
      </c>
      <c r="AH3560" s="143">
        <f t="shared" si="135"/>
        <v>1000</v>
      </c>
    </row>
    <row r="3561" spans="1:34" x14ac:dyDescent="0.3">
      <c r="A3561" s="818">
        <v>203490</v>
      </c>
      <c r="B3561" s="819">
        <v>24.333333333333332</v>
      </c>
      <c r="C3561" s="819">
        <v>9.625</v>
      </c>
      <c r="D3561" s="820">
        <v>8.6999999999999993</v>
      </c>
      <c r="E3561" s="1571">
        <v>0.2</v>
      </c>
      <c r="F3561" s="821">
        <v>220.00000000000003</v>
      </c>
      <c r="G3561" s="818"/>
      <c r="H3561" s="821">
        <v>60.14</v>
      </c>
      <c r="I3561" s="821">
        <v>170</v>
      </c>
      <c r="J3561" s="822">
        <v>0.21</v>
      </c>
      <c r="K3561" s="819">
        <v>11.27</v>
      </c>
      <c r="L3561" s="818">
        <v>680</v>
      </c>
      <c r="M3561" s="818">
        <v>4.1399999999999997</v>
      </c>
      <c r="N3561" s="818">
        <v>0.77</v>
      </c>
      <c r="O3561" s="818">
        <v>3.32</v>
      </c>
      <c r="P3561" s="818">
        <v>6.58</v>
      </c>
      <c r="Q3561" s="818"/>
      <c r="R3561" s="820">
        <v>0.65422787391307913</v>
      </c>
      <c r="S3561" s="819">
        <v>4.3600000000000003</v>
      </c>
      <c r="Y3561" s="138">
        <v>20</v>
      </c>
      <c r="AA3561" s="139">
        <v>4.5599999999999996</v>
      </c>
      <c r="AB3561" s="139">
        <v>0.52700000000000002</v>
      </c>
      <c r="AC3561" s="140">
        <v>7.1</v>
      </c>
      <c r="AD3561">
        <v>400</v>
      </c>
      <c r="AE3561">
        <v>140</v>
      </c>
      <c r="AF3561">
        <v>460</v>
      </c>
      <c r="AG3561" s="66">
        <f t="shared" si="134"/>
        <v>199.47899999999998</v>
      </c>
      <c r="AH3561" s="143">
        <f t="shared" si="135"/>
        <v>1000</v>
      </c>
    </row>
    <row r="3562" spans="1:34" x14ac:dyDescent="0.3">
      <c r="A3562" s="818">
        <v>203491</v>
      </c>
      <c r="B3562" s="819">
        <v>36.666666666666671</v>
      </c>
      <c r="C3562" s="819">
        <v>11.124999999999998</v>
      </c>
      <c r="D3562" s="820">
        <v>8.6999999999999993</v>
      </c>
      <c r="E3562" s="1571">
        <v>0.27400000000000002</v>
      </c>
      <c r="F3562" s="821">
        <v>301.40000000000003</v>
      </c>
      <c r="G3562" s="818"/>
      <c r="H3562" s="821">
        <v>71.34</v>
      </c>
      <c r="I3562" s="821">
        <v>200</v>
      </c>
      <c r="J3562" s="822">
        <v>0.188</v>
      </c>
      <c r="K3562" s="819">
        <v>10.99</v>
      </c>
      <c r="L3562" s="818">
        <v>530</v>
      </c>
      <c r="M3562" s="818">
        <v>14.37</v>
      </c>
      <c r="N3562" s="818">
        <v>0.92</v>
      </c>
      <c r="O3562" s="818">
        <v>5.54</v>
      </c>
      <c r="P3562" s="818">
        <v>9.9499999999999993</v>
      </c>
      <c r="Q3562" s="818"/>
      <c r="R3562" s="820">
        <v>0.9518906621354668</v>
      </c>
      <c r="S3562" s="819">
        <v>6.7700000000000005</v>
      </c>
      <c r="Y3562" s="138">
        <v>10.8</v>
      </c>
      <c r="AA3562" s="139">
        <v>3.73</v>
      </c>
      <c r="AB3562" s="139">
        <v>0.78500000000000003</v>
      </c>
      <c r="AC3562" s="140">
        <v>9.9</v>
      </c>
      <c r="AD3562">
        <v>180</v>
      </c>
      <c r="AE3562">
        <v>160</v>
      </c>
      <c r="AF3562">
        <v>660</v>
      </c>
      <c r="AG3562" s="66">
        <f t="shared" si="134"/>
        <v>360.22777777777776</v>
      </c>
      <c r="AH3562" s="143">
        <f t="shared" si="135"/>
        <v>1000</v>
      </c>
    </row>
    <row r="3563" spans="1:34" x14ac:dyDescent="0.3">
      <c r="A3563" s="818">
        <v>203492</v>
      </c>
      <c r="B3563" s="819">
        <v>29.166666666666664</v>
      </c>
      <c r="C3563" s="819">
        <v>10.999999999999998</v>
      </c>
      <c r="D3563" s="820">
        <v>8.6</v>
      </c>
      <c r="E3563" s="1571">
        <v>0.51900000000000002</v>
      </c>
      <c r="F3563" s="821">
        <v>570.90000000000009</v>
      </c>
      <c r="G3563" s="818"/>
      <c r="H3563" s="821">
        <v>43.28</v>
      </c>
      <c r="I3563" s="821">
        <v>460</v>
      </c>
      <c r="J3563" s="822">
        <v>0.31</v>
      </c>
      <c r="K3563" s="819">
        <v>11.19</v>
      </c>
      <c r="L3563" s="818">
        <v>3040</v>
      </c>
      <c r="M3563" s="818">
        <v>0.51</v>
      </c>
      <c r="N3563" s="818">
        <v>0.28000000000000003</v>
      </c>
      <c r="O3563" s="818">
        <v>2.98</v>
      </c>
      <c r="P3563" s="818">
        <v>3.23</v>
      </c>
      <c r="Q3563" s="818"/>
      <c r="R3563" s="820">
        <v>0.14006412432710946</v>
      </c>
      <c r="S3563" s="819">
        <v>1</v>
      </c>
      <c r="Y3563" s="138">
        <v>35.6</v>
      </c>
      <c r="AA3563" s="139">
        <v>4.71</v>
      </c>
      <c r="AB3563" s="139">
        <v>0.55200000000000005</v>
      </c>
      <c r="AC3563" s="140">
        <v>10.199999999999999</v>
      </c>
      <c r="AD3563">
        <v>660</v>
      </c>
      <c r="AE3563">
        <v>220</v>
      </c>
      <c r="AF3563">
        <v>120</v>
      </c>
      <c r="AG3563" s="66">
        <f t="shared" si="134"/>
        <v>111.27134831460674</v>
      </c>
      <c r="AH3563" s="143">
        <f t="shared" si="135"/>
        <v>1000</v>
      </c>
    </row>
    <row r="3564" spans="1:34" x14ac:dyDescent="0.3">
      <c r="A3564" s="818">
        <v>203493</v>
      </c>
      <c r="B3564" s="819">
        <v>37.8333333333333</v>
      </c>
      <c r="C3564" s="819">
        <v>4</v>
      </c>
      <c r="D3564" s="820">
        <v>8.5</v>
      </c>
      <c r="E3564" s="1571">
        <v>0.13500000000000001</v>
      </c>
      <c r="F3564" s="821">
        <v>148.50000000000003</v>
      </c>
      <c r="G3564" s="818"/>
      <c r="H3564" s="821">
        <v>80.59</v>
      </c>
      <c r="I3564" s="821">
        <v>590</v>
      </c>
      <c r="J3564" s="822">
        <v>6.7000000000000004E-2</v>
      </c>
      <c r="K3564" s="819">
        <v>5.04</v>
      </c>
      <c r="L3564" s="818">
        <v>1380</v>
      </c>
      <c r="M3564" s="818">
        <v>0.87</v>
      </c>
      <c r="N3564" s="818">
        <v>0.78</v>
      </c>
      <c r="O3564" s="818">
        <v>9.16</v>
      </c>
      <c r="P3564" s="818">
        <v>7.9</v>
      </c>
      <c r="Q3564" s="818"/>
      <c r="R3564" s="820">
        <v>1.9267129999999999</v>
      </c>
      <c r="S3564" s="819">
        <v>21.099999999999998</v>
      </c>
      <c r="Y3564" s="138">
        <v>24</v>
      </c>
      <c r="AA3564" s="139">
        <v>4.6500000000000004</v>
      </c>
      <c r="AB3564" s="139">
        <v>0.68899999999999995</v>
      </c>
      <c r="AC3564" s="140">
        <v>8.1999999999999993</v>
      </c>
      <c r="AD3564">
        <v>480</v>
      </c>
      <c r="AE3564">
        <v>200</v>
      </c>
      <c r="AF3564">
        <v>320</v>
      </c>
      <c r="AG3564" s="66">
        <f t="shared" si="134"/>
        <v>74.339999999999989</v>
      </c>
      <c r="AH3564" s="143">
        <f t="shared" si="135"/>
        <v>1000</v>
      </c>
    </row>
    <row r="3565" spans="1:34" x14ac:dyDescent="0.3">
      <c r="A3565" s="818">
        <v>203494</v>
      </c>
      <c r="B3565" s="819">
        <v>27</v>
      </c>
      <c r="C3565" s="819">
        <v>3.6</v>
      </c>
      <c r="D3565" s="820">
        <v>8.4</v>
      </c>
      <c r="E3565" s="1571">
        <v>0.124</v>
      </c>
      <c r="F3565" s="821">
        <v>136.40000000000003</v>
      </c>
      <c r="G3565" s="818"/>
      <c r="H3565" s="821">
        <v>34.590000000000003</v>
      </c>
      <c r="I3565" s="821">
        <v>280</v>
      </c>
      <c r="J3565" s="822">
        <v>7.5999999999999998E-2</v>
      </c>
      <c r="K3565" s="819">
        <v>4.7</v>
      </c>
      <c r="L3565" s="818">
        <v>1160</v>
      </c>
      <c r="M3565" s="818">
        <v>0.65</v>
      </c>
      <c r="N3565" s="818">
        <v>0.77</v>
      </c>
      <c r="O3565" s="818">
        <v>8.4700000000000006</v>
      </c>
      <c r="P3565" s="818">
        <v>6.84</v>
      </c>
      <c r="Q3565" s="818"/>
      <c r="R3565" s="820">
        <v>1.7640959300000001</v>
      </c>
      <c r="S3565" s="819">
        <v>15.489999999999998</v>
      </c>
      <c r="Y3565" s="138">
        <v>22</v>
      </c>
      <c r="AA3565" s="139">
        <v>4.03</v>
      </c>
      <c r="AB3565" s="139">
        <v>0.496</v>
      </c>
      <c r="AC3565" s="140">
        <v>6.7</v>
      </c>
      <c r="AD3565">
        <v>440</v>
      </c>
      <c r="AE3565">
        <v>180</v>
      </c>
      <c r="AF3565">
        <v>380</v>
      </c>
      <c r="AG3565" s="66">
        <f t="shared" si="134"/>
        <v>75.627272727272739</v>
      </c>
      <c r="AH3565" s="143">
        <f t="shared" si="135"/>
        <v>1000</v>
      </c>
    </row>
    <row r="3566" spans="1:34" x14ac:dyDescent="0.3">
      <c r="A3566" s="818">
        <v>203495</v>
      </c>
      <c r="B3566" s="819">
        <v>22.833333333333332</v>
      </c>
      <c r="C3566" s="819">
        <v>6.1249999999999982</v>
      </c>
      <c r="D3566" s="820">
        <v>8.4</v>
      </c>
      <c r="E3566" s="1571">
        <v>0.17699999999999999</v>
      </c>
      <c r="F3566" s="821">
        <v>194.70000000000002</v>
      </c>
      <c r="G3566" s="818"/>
      <c r="H3566" s="821">
        <v>73.59</v>
      </c>
      <c r="I3566" s="821">
        <v>470</v>
      </c>
      <c r="J3566" s="822">
        <v>7.1999999999999995E-2</v>
      </c>
      <c r="K3566" s="819">
        <v>11.92</v>
      </c>
      <c r="L3566" s="818">
        <v>1630</v>
      </c>
      <c r="M3566" s="818">
        <v>1.1100000000000001</v>
      </c>
      <c r="N3566" s="818">
        <v>1.01</v>
      </c>
      <c r="O3566" s="818">
        <v>8.48</v>
      </c>
      <c r="P3566" s="818">
        <v>7.53</v>
      </c>
      <c r="Q3566" s="818"/>
      <c r="R3566" s="820">
        <v>1.82832737</v>
      </c>
      <c r="S3566" s="819">
        <v>17.529999999999998</v>
      </c>
      <c r="Y3566" s="138">
        <v>29</v>
      </c>
      <c r="AA3566" s="139">
        <v>4.24</v>
      </c>
      <c r="AB3566" s="139">
        <v>0.76600000000000001</v>
      </c>
      <c r="AC3566" s="140">
        <v>10</v>
      </c>
      <c r="AD3566">
        <v>580</v>
      </c>
      <c r="AE3566">
        <v>220</v>
      </c>
      <c r="AF3566">
        <v>200</v>
      </c>
      <c r="AG3566" s="66">
        <f t="shared" si="134"/>
        <v>145.50620689655173</v>
      </c>
      <c r="AH3566" s="143">
        <f t="shared" si="135"/>
        <v>1000</v>
      </c>
    </row>
    <row r="3567" spans="1:34" x14ac:dyDescent="0.3">
      <c r="A3567" s="818">
        <v>203496</v>
      </c>
      <c r="B3567" s="819">
        <v>18.5</v>
      </c>
      <c r="C3567" s="819">
        <v>8.4999999999999982</v>
      </c>
      <c r="D3567" s="820">
        <v>8.5</v>
      </c>
      <c r="E3567" s="1571">
        <v>0.16500000000000001</v>
      </c>
      <c r="F3567" s="821">
        <v>181.50000000000003</v>
      </c>
      <c r="G3567" s="818"/>
      <c r="H3567" s="821">
        <v>77.599999999999994</v>
      </c>
      <c r="I3567" s="821">
        <v>300</v>
      </c>
      <c r="J3567" s="822">
        <v>0.10299999999999999</v>
      </c>
      <c r="K3567" s="819">
        <v>12.52</v>
      </c>
      <c r="L3567" s="818">
        <v>1390</v>
      </c>
      <c r="M3567" s="818">
        <v>0.79</v>
      </c>
      <c r="N3567" s="818">
        <v>0.87</v>
      </c>
      <c r="O3567" s="818">
        <v>6.52</v>
      </c>
      <c r="P3567" s="818">
        <v>6.56</v>
      </c>
      <c r="Q3567" s="818"/>
      <c r="R3567" s="820">
        <v>1.68396777</v>
      </c>
      <c r="S3567" s="819">
        <v>13.17</v>
      </c>
      <c r="Y3567" s="138">
        <v>26</v>
      </c>
      <c r="AA3567" s="139">
        <v>4.79</v>
      </c>
      <c r="AB3567" s="139">
        <v>0.378</v>
      </c>
      <c r="AC3567" s="140">
        <v>11.1</v>
      </c>
      <c r="AD3567">
        <v>520</v>
      </c>
      <c r="AE3567">
        <v>180</v>
      </c>
      <c r="AF3567">
        <v>300</v>
      </c>
      <c r="AG3567" s="66">
        <f t="shared" si="134"/>
        <v>170.46461538461537</v>
      </c>
      <c r="AH3567" s="143">
        <f t="shared" si="135"/>
        <v>1000</v>
      </c>
    </row>
    <row r="3568" spans="1:34" x14ac:dyDescent="0.3">
      <c r="A3568" s="114">
        <v>203497</v>
      </c>
      <c r="B3568" s="310">
        <v>17.5</v>
      </c>
      <c r="C3568" s="310">
        <v>4.6249999999999991</v>
      </c>
      <c r="D3568" s="311">
        <v>8.6</v>
      </c>
      <c r="E3568" s="1543">
        <v>0.877</v>
      </c>
      <c r="F3568" s="313">
        <v>964.70000000000016</v>
      </c>
      <c r="G3568" s="114"/>
      <c r="H3568" s="114">
        <v>318.38</v>
      </c>
      <c r="I3568" s="114">
        <v>371</v>
      </c>
      <c r="J3568" s="114">
        <v>0.94</v>
      </c>
      <c r="K3568" s="114">
        <v>7.65</v>
      </c>
      <c r="L3568" s="114">
        <v>840</v>
      </c>
      <c r="M3568" s="114">
        <v>2.92</v>
      </c>
      <c r="N3568" s="114">
        <v>0.61</v>
      </c>
      <c r="O3568" s="114">
        <v>5.1100000000000003</v>
      </c>
      <c r="P3568" s="114">
        <v>6.19</v>
      </c>
      <c r="Q3568" s="114"/>
      <c r="R3568" s="311">
        <v>1.0846813134877382</v>
      </c>
      <c r="S3568" s="114">
        <v>7.83</v>
      </c>
      <c r="T3568" s="114"/>
      <c r="U3568" s="114"/>
      <c r="V3568" s="114"/>
      <c r="W3568" s="114"/>
      <c r="X3568" s="114"/>
      <c r="Y3568" s="310">
        <v>12</v>
      </c>
      <c r="Z3568" s="114"/>
      <c r="AA3568" s="311">
        <v>4.01</v>
      </c>
      <c r="AB3568" s="311">
        <v>0.79700000000000004</v>
      </c>
      <c r="AC3568" s="114">
        <v>7.1</v>
      </c>
      <c r="AD3568" s="776">
        <v>200</v>
      </c>
      <c r="AE3568" s="776">
        <v>100</v>
      </c>
      <c r="AF3568" s="776">
        <v>700</v>
      </c>
      <c r="AG3568" s="66">
        <f t="shared" si="134"/>
        <v>225.67500000000004</v>
      </c>
      <c r="AH3568" s="143">
        <f t="shared" si="135"/>
        <v>1000</v>
      </c>
    </row>
    <row r="3569" spans="1:34" x14ac:dyDescent="0.3">
      <c r="A3569" s="114">
        <v>203498</v>
      </c>
      <c r="B3569" s="310">
        <v>20</v>
      </c>
      <c r="C3569" s="310">
        <v>4.375</v>
      </c>
      <c r="D3569" s="311">
        <v>8.9</v>
      </c>
      <c r="E3569" s="1543">
        <v>0.61199999999999999</v>
      </c>
      <c r="F3569" s="313">
        <v>673.2</v>
      </c>
      <c r="G3569" s="114"/>
      <c r="H3569" s="114">
        <v>17.97</v>
      </c>
      <c r="I3569" s="114">
        <v>188</v>
      </c>
      <c r="J3569" s="114">
        <v>0.51</v>
      </c>
      <c r="K3569" s="114">
        <v>7.6</v>
      </c>
      <c r="L3569" s="114">
        <v>510</v>
      </c>
      <c r="M3569" s="114">
        <v>0.28999999999999998</v>
      </c>
      <c r="N3569" s="114">
        <v>0.4</v>
      </c>
      <c r="O3569" s="114">
        <v>5.27</v>
      </c>
      <c r="P3569" s="114">
        <v>2.29</v>
      </c>
      <c r="Q3569" s="114"/>
      <c r="R3569" s="311">
        <v>0.56891698552267311</v>
      </c>
      <c r="S3569" s="114">
        <v>4.18</v>
      </c>
      <c r="T3569" s="114"/>
      <c r="U3569" s="114"/>
      <c r="V3569" s="114"/>
      <c r="W3569" s="114"/>
      <c r="X3569" s="114"/>
      <c r="Y3569" s="310">
        <v>8.4</v>
      </c>
      <c r="Z3569" s="114"/>
      <c r="AA3569" s="311">
        <v>4.21</v>
      </c>
      <c r="AB3569" s="311">
        <v>0.51400000000000001</v>
      </c>
      <c r="AC3569" s="114">
        <v>9.1999999999999993</v>
      </c>
      <c r="AD3569" s="776">
        <v>140</v>
      </c>
      <c r="AE3569" s="776">
        <v>80</v>
      </c>
      <c r="AF3569" s="776">
        <v>780</v>
      </c>
      <c r="AG3569" s="66">
        <f t="shared" si="134"/>
        <v>320.28571428571428</v>
      </c>
      <c r="AH3569" s="143">
        <f t="shared" si="135"/>
        <v>1000</v>
      </c>
    </row>
    <row r="3570" spans="1:34" x14ac:dyDescent="0.3">
      <c r="A3570" s="114">
        <v>203499</v>
      </c>
      <c r="B3570" s="310">
        <v>14.166666666666666</v>
      </c>
      <c r="C3570" s="310">
        <v>3.6249999999999982</v>
      </c>
      <c r="D3570" s="311">
        <v>8.1</v>
      </c>
      <c r="E3570" s="1543">
        <v>0.34</v>
      </c>
      <c r="F3570" s="313">
        <v>374.00000000000006</v>
      </c>
      <c r="G3570" s="114"/>
      <c r="H3570" s="114">
        <v>43.36</v>
      </c>
      <c r="I3570" s="114">
        <v>425</v>
      </c>
      <c r="J3570" s="114">
        <v>0.249</v>
      </c>
      <c r="K3570" s="114">
        <v>7.35</v>
      </c>
      <c r="L3570" s="114">
        <v>480</v>
      </c>
      <c r="M3570" s="114">
        <v>0.46</v>
      </c>
      <c r="N3570" s="114">
        <v>0.36</v>
      </c>
      <c r="O3570" s="114">
        <v>3.43</v>
      </c>
      <c r="P3570" s="114">
        <v>2.36</v>
      </c>
      <c r="Q3570" s="114"/>
      <c r="R3570" s="311">
        <v>0.38863850910791464</v>
      </c>
      <c r="S3570" s="114">
        <v>2.67</v>
      </c>
      <c r="T3570" s="114"/>
      <c r="U3570" s="114"/>
      <c r="V3570" s="114"/>
      <c r="W3570" s="114"/>
      <c r="X3570" s="114"/>
      <c r="Y3570" s="310">
        <v>7.2</v>
      </c>
      <c r="Z3570" s="114"/>
      <c r="AA3570" s="311">
        <v>4.22</v>
      </c>
      <c r="AB3570" s="311">
        <v>0.748</v>
      </c>
      <c r="AC3570" s="114">
        <v>10.6</v>
      </c>
      <c r="AD3570" s="776">
        <v>120</v>
      </c>
      <c r="AE3570" s="776">
        <v>80</v>
      </c>
      <c r="AF3570" s="776">
        <v>800</v>
      </c>
      <c r="AG3570" s="66">
        <f t="shared" si="134"/>
        <v>361.37499999999994</v>
      </c>
      <c r="AH3570" s="143">
        <f t="shared" si="135"/>
        <v>1000</v>
      </c>
    </row>
    <row r="3571" spans="1:34" x14ac:dyDescent="0.3">
      <c r="A3571" s="114">
        <v>203500</v>
      </c>
      <c r="B3571" s="310">
        <v>21.666666666666664</v>
      </c>
      <c r="C3571" s="310">
        <v>7.8749999999999982</v>
      </c>
      <c r="D3571" s="311">
        <v>8.5</v>
      </c>
      <c r="E3571" s="1543">
        <v>3.73</v>
      </c>
      <c r="F3571" s="313">
        <v>4103.0000000000009</v>
      </c>
      <c r="G3571" s="114"/>
      <c r="H3571" s="114">
        <v>51.13</v>
      </c>
      <c r="I3571" s="114">
        <v>1192</v>
      </c>
      <c r="J3571" s="114">
        <v>1.675</v>
      </c>
      <c r="K3571" s="114">
        <v>19.41</v>
      </c>
      <c r="L3571" s="114">
        <v>1090</v>
      </c>
      <c r="M3571" s="114">
        <v>0.54</v>
      </c>
      <c r="N3571" s="114">
        <v>0.82</v>
      </c>
      <c r="O3571" s="114">
        <v>7.7</v>
      </c>
      <c r="P3571" s="114">
        <v>2.62</v>
      </c>
      <c r="Q3571" s="114"/>
      <c r="R3571" s="311">
        <v>0.73052055686284212</v>
      </c>
      <c r="S3571" s="114">
        <v>4.82</v>
      </c>
      <c r="T3571" s="114"/>
      <c r="U3571" s="114"/>
      <c r="V3571" s="114"/>
      <c r="W3571" s="114"/>
      <c r="X3571" s="114"/>
      <c r="Y3571" s="310">
        <v>33.6</v>
      </c>
      <c r="Z3571" s="114"/>
      <c r="AA3571" s="311">
        <v>4.7300000000000004</v>
      </c>
      <c r="AB3571" s="311">
        <v>0.59699999999999998</v>
      </c>
      <c r="AC3571" s="114">
        <v>11.4</v>
      </c>
      <c r="AD3571" s="776">
        <v>560</v>
      </c>
      <c r="AE3571" s="776">
        <v>280</v>
      </c>
      <c r="AF3571" s="776">
        <v>160</v>
      </c>
      <c r="AG3571" s="66">
        <f t="shared" si="134"/>
        <v>204.49821428571425</v>
      </c>
      <c r="AH3571" s="143">
        <f t="shared" si="135"/>
        <v>1000</v>
      </c>
    </row>
    <row r="3572" spans="1:34" x14ac:dyDescent="0.3">
      <c r="A3572" s="114">
        <v>203501</v>
      </c>
      <c r="B3572" s="310">
        <v>3.1388888888888884</v>
      </c>
      <c r="C3572" s="310"/>
      <c r="D3572" s="311">
        <v>8.9</v>
      </c>
      <c r="E3572" s="1543">
        <v>0.33200000000000002</v>
      </c>
      <c r="F3572" s="313">
        <v>365.20000000000005</v>
      </c>
      <c r="G3572" s="114"/>
      <c r="H3572" s="114">
        <v>7.47</v>
      </c>
      <c r="I3572" s="114">
        <v>306</v>
      </c>
      <c r="J3572" s="114">
        <v>1.0820000000000001</v>
      </c>
      <c r="K3572" s="114">
        <v>6.31</v>
      </c>
      <c r="L3572" s="114">
        <v>1540</v>
      </c>
      <c r="M3572" s="114">
        <v>1.36</v>
      </c>
      <c r="N3572" s="114">
        <v>1.31</v>
      </c>
      <c r="O3572" s="114">
        <v>7.49</v>
      </c>
      <c r="P3572" s="114">
        <v>3.29</v>
      </c>
      <c r="Q3572" s="114"/>
      <c r="R3572" s="311">
        <v>1.61544708</v>
      </c>
      <c r="S3572" s="114">
        <v>11.34</v>
      </c>
      <c r="T3572" s="114"/>
      <c r="U3572" s="114"/>
      <c r="V3572" s="114"/>
      <c r="W3572" s="114"/>
      <c r="X3572" s="114"/>
      <c r="Y3572" s="310">
        <v>35.700000000000003</v>
      </c>
      <c r="Z3572" s="114"/>
      <c r="AA3572" s="311">
        <v>4.28</v>
      </c>
      <c r="AB3572" s="311">
        <v>0.25700000000000001</v>
      </c>
      <c r="AC3572" s="114">
        <v>6.5</v>
      </c>
      <c r="AD3572" s="776">
        <v>510</v>
      </c>
      <c r="AE3572" s="776">
        <v>320</v>
      </c>
      <c r="AF3572" s="776">
        <v>170</v>
      </c>
      <c r="AG3572" s="66">
        <f t="shared" si="134"/>
        <v>62.569747899159651</v>
      </c>
      <c r="AH3572" s="143">
        <f t="shared" si="135"/>
        <v>1000</v>
      </c>
    </row>
    <row r="3573" spans="1:34" x14ac:dyDescent="0.3">
      <c r="A3573" s="114">
        <v>203502</v>
      </c>
      <c r="B3573" s="310">
        <v>0.49999999999999994</v>
      </c>
      <c r="C3573" s="310"/>
      <c r="D3573" s="311">
        <v>8.6999999999999993</v>
      </c>
      <c r="E3573" s="1543">
        <v>0.128</v>
      </c>
      <c r="F3573" s="313">
        <v>140.80000000000001</v>
      </c>
      <c r="G3573" s="114"/>
      <c r="H3573" s="114">
        <v>31.78</v>
      </c>
      <c r="I3573" s="114">
        <v>281</v>
      </c>
      <c r="J3573" s="114">
        <v>0.11</v>
      </c>
      <c r="K3573" s="114">
        <v>3.4</v>
      </c>
      <c r="L3573" s="114">
        <v>940</v>
      </c>
      <c r="M3573" s="114">
        <v>0.61</v>
      </c>
      <c r="N3573" s="114">
        <v>3.64</v>
      </c>
      <c r="O3573" s="114">
        <v>9.1199999999999992</v>
      </c>
      <c r="P3573" s="114">
        <v>4.57</v>
      </c>
      <c r="Q3573" s="114"/>
      <c r="R3573" s="311">
        <v>1.6410779300000002</v>
      </c>
      <c r="S3573" s="114">
        <v>12.010000000000002</v>
      </c>
      <c r="T3573" s="114"/>
      <c r="U3573" s="114"/>
      <c r="V3573" s="114"/>
      <c r="W3573" s="114"/>
      <c r="X3573" s="114"/>
      <c r="Y3573" s="310">
        <v>37.1</v>
      </c>
      <c r="Z3573" s="114"/>
      <c r="AA3573" s="311">
        <v>4.2</v>
      </c>
      <c r="AB3573" s="311">
        <v>0.60699999999999998</v>
      </c>
      <c r="AC3573" s="114">
        <v>7.4</v>
      </c>
      <c r="AD3573" s="776">
        <v>530</v>
      </c>
      <c r="AE3573" s="776">
        <v>280</v>
      </c>
      <c r="AF3573" s="776">
        <v>190</v>
      </c>
      <c r="AG3573" s="66">
        <f t="shared" si="134"/>
        <v>32.442048517520213</v>
      </c>
      <c r="AH3573" s="143">
        <f t="shared" si="135"/>
        <v>1000</v>
      </c>
    </row>
    <row r="3574" spans="1:34" x14ac:dyDescent="0.3">
      <c r="A3574" s="114">
        <v>203503</v>
      </c>
      <c r="B3574" s="310">
        <v>25</v>
      </c>
      <c r="C3574" s="310">
        <v>10.25</v>
      </c>
      <c r="D3574" s="311">
        <v>8.5</v>
      </c>
      <c r="E3574" s="1543">
        <v>0.47199999999999998</v>
      </c>
      <c r="F3574" s="313">
        <v>519.20000000000005</v>
      </c>
      <c r="G3574" s="114"/>
      <c r="H3574" s="114">
        <v>62.44</v>
      </c>
      <c r="I3574" s="114">
        <v>561</v>
      </c>
      <c r="J3574" s="114">
        <v>0.51200000000000001</v>
      </c>
      <c r="K3574" s="114">
        <v>8.11</v>
      </c>
      <c r="L3574" s="114">
        <v>1820</v>
      </c>
      <c r="M3574" s="114">
        <v>2.3199999999999998</v>
      </c>
      <c r="N3574" s="114">
        <v>2.77</v>
      </c>
      <c r="O3574" s="114">
        <v>4.6399999999999997</v>
      </c>
      <c r="P3574" s="114">
        <v>9.83</v>
      </c>
      <c r="Q3574" s="114"/>
      <c r="R3574" s="311">
        <v>1.7696710800000002</v>
      </c>
      <c r="S3574" s="114">
        <v>15.66</v>
      </c>
      <c r="T3574" s="114"/>
      <c r="U3574" s="114"/>
      <c r="V3574" s="114"/>
      <c r="W3574" s="114"/>
      <c r="X3574" s="114"/>
      <c r="Y3574" s="310">
        <v>35.4</v>
      </c>
      <c r="Z3574" s="114"/>
      <c r="AA3574" s="311">
        <v>3.52</v>
      </c>
      <c r="AB3574" s="311">
        <v>0.5</v>
      </c>
      <c r="AC3574" s="114">
        <v>6.1</v>
      </c>
      <c r="AD3574" s="776">
        <v>590</v>
      </c>
      <c r="AE3574" s="776">
        <v>300</v>
      </c>
      <c r="AF3574" s="776">
        <v>110</v>
      </c>
      <c r="AG3574" s="66">
        <f t="shared" si="134"/>
        <v>81.100000000000009</v>
      </c>
      <c r="AH3574" s="143">
        <f t="shared" si="135"/>
        <v>1000</v>
      </c>
    </row>
    <row r="3575" spans="1:34" x14ac:dyDescent="0.3">
      <c r="A3575" s="114">
        <v>203504</v>
      </c>
      <c r="B3575" s="310">
        <v>31.666666666666664</v>
      </c>
      <c r="C3575" s="310">
        <v>9.625</v>
      </c>
      <c r="D3575" s="311">
        <v>7.7</v>
      </c>
      <c r="E3575" s="1543">
        <v>0.51100000000000001</v>
      </c>
      <c r="F3575" s="313">
        <v>562.1</v>
      </c>
      <c r="G3575" s="114"/>
      <c r="H3575" s="114">
        <v>32.020000000000003</v>
      </c>
      <c r="I3575" s="114">
        <v>362</v>
      </c>
      <c r="J3575" s="114">
        <v>0.43099999999999999</v>
      </c>
      <c r="K3575" s="114">
        <v>8.48</v>
      </c>
      <c r="L3575" s="114">
        <v>1010</v>
      </c>
      <c r="M3575" s="114">
        <v>1.66</v>
      </c>
      <c r="N3575" s="114">
        <v>4.05</v>
      </c>
      <c r="O3575" s="114">
        <v>6.31</v>
      </c>
      <c r="P3575" s="114">
        <v>23.1</v>
      </c>
      <c r="Q3575" s="114"/>
      <c r="R3575" s="311">
        <v>1.57802753</v>
      </c>
      <c r="S3575" s="114">
        <v>10.389999999999999</v>
      </c>
      <c r="T3575" s="114"/>
      <c r="U3575" s="114"/>
      <c r="V3575" s="114"/>
      <c r="W3575" s="114"/>
      <c r="X3575" s="114"/>
      <c r="Y3575" s="310">
        <v>32.4</v>
      </c>
      <c r="Z3575" s="114"/>
      <c r="AA3575" s="311">
        <v>4.57</v>
      </c>
      <c r="AB3575" s="311">
        <v>0.47</v>
      </c>
      <c r="AC3575" s="114">
        <v>9.1</v>
      </c>
      <c r="AD3575" s="776">
        <v>540</v>
      </c>
      <c r="AE3575" s="776">
        <v>340</v>
      </c>
      <c r="AF3575" s="776">
        <v>120</v>
      </c>
      <c r="AG3575" s="66">
        <f t="shared" si="134"/>
        <v>92.651851851851859</v>
      </c>
      <c r="AH3575" s="143">
        <f t="shared" si="135"/>
        <v>1000</v>
      </c>
    </row>
    <row r="3576" spans="1:34" x14ac:dyDescent="0.3">
      <c r="A3576" s="114">
        <v>203505</v>
      </c>
      <c r="B3576" s="310">
        <v>0.16666666666666666</v>
      </c>
      <c r="C3576" s="310"/>
      <c r="D3576" s="311">
        <v>8</v>
      </c>
      <c r="E3576" s="1543">
        <v>0.24</v>
      </c>
      <c r="F3576" s="313">
        <v>264</v>
      </c>
      <c r="G3576" s="114"/>
      <c r="H3576" s="114">
        <v>644.48</v>
      </c>
      <c r="I3576" s="114">
        <v>467</v>
      </c>
      <c r="J3576" s="114">
        <v>0.21299999999999999</v>
      </c>
      <c r="K3576" s="114">
        <v>2.95</v>
      </c>
      <c r="L3576" s="114">
        <v>760</v>
      </c>
      <c r="M3576" s="114">
        <v>1.1299999999999999</v>
      </c>
      <c r="N3576" s="114">
        <v>3.99</v>
      </c>
      <c r="O3576" s="114">
        <v>9.06</v>
      </c>
      <c r="P3576" s="114">
        <v>6.61</v>
      </c>
      <c r="Q3576" s="114"/>
      <c r="R3576" s="311">
        <v>1.5433734104138019</v>
      </c>
      <c r="S3576" s="114">
        <v>10.08</v>
      </c>
      <c r="T3576" s="114"/>
      <c r="U3576" s="114"/>
      <c r="V3576" s="114"/>
      <c r="W3576" s="114"/>
      <c r="X3576" s="114"/>
      <c r="Y3576" s="310">
        <v>33.6</v>
      </c>
      <c r="Z3576" s="114"/>
      <c r="AA3576" s="311">
        <v>3.52</v>
      </c>
      <c r="AB3576" s="311">
        <v>0.52500000000000002</v>
      </c>
      <c r="AC3576" s="114">
        <v>7.5</v>
      </c>
      <c r="AD3576" s="776">
        <v>480</v>
      </c>
      <c r="AE3576" s="776">
        <v>340</v>
      </c>
      <c r="AF3576" s="776">
        <v>180</v>
      </c>
      <c r="AG3576" s="66">
        <f t="shared" si="134"/>
        <v>31.080357142857146</v>
      </c>
      <c r="AH3576" s="143">
        <f t="shared" si="135"/>
        <v>1000</v>
      </c>
    </row>
    <row r="3577" spans="1:34" x14ac:dyDescent="0.3">
      <c r="A3577" s="114">
        <v>203506</v>
      </c>
      <c r="B3577" s="310">
        <v>0.41666666666666669</v>
      </c>
      <c r="C3577" s="310"/>
      <c r="D3577" s="311">
        <v>8.1</v>
      </c>
      <c r="E3577" s="1543">
        <v>0.27600000000000002</v>
      </c>
      <c r="F3577" s="313">
        <v>303.60000000000002</v>
      </c>
      <c r="G3577" s="114"/>
      <c r="H3577" s="114">
        <v>752.92</v>
      </c>
      <c r="I3577" s="114">
        <v>255</v>
      </c>
      <c r="J3577" s="114">
        <v>0.27600000000000002</v>
      </c>
      <c r="K3577" s="114">
        <v>3.76</v>
      </c>
      <c r="L3577" s="114">
        <v>1080</v>
      </c>
      <c r="M3577" s="114">
        <v>1.99</v>
      </c>
      <c r="N3577" s="114">
        <v>4.22</v>
      </c>
      <c r="O3577" s="114">
        <v>11.72</v>
      </c>
      <c r="P3577" s="114">
        <v>5.73</v>
      </c>
      <c r="Q3577" s="114"/>
      <c r="R3577" s="311">
        <v>1.5744170000000002</v>
      </c>
      <c r="S3577" s="114">
        <v>10.3</v>
      </c>
      <c r="T3577" s="114"/>
      <c r="U3577" s="114"/>
      <c r="V3577" s="114"/>
      <c r="W3577" s="114"/>
      <c r="X3577" s="114"/>
      <c r="Y3577" s="310">
        <v>30</v>
      </c>
      <c r="Z3577" s="114"/>
      <c r="AA3577" s="311">
        <v>4.05</v>
      </c>
      <c r="AB3577" s="311">
        <v>0.28999999999999998</v>
      </c>
      <c r="AC3577" s="114">
        <v>11.6</v>
      </c>
      <c r="AD3577" s="776">
        <v>500</v>
      </c>
      <c r="AE3577" s="776">
        <v>310</v>
      </c>
      <c r="AF3577" s="776">
        <v>190</v>
      </c>
      <c r="AG3577" s="66">
        <f t="shared" si="134"/>
        <v>44.368000000000002</v>
      </c>
      <c r="AH3577" s="143">
        <f t="shared" si="135"/>
        <v>1000</v>
      </c>
    </row>
    <row r="3578" spans="1:34" x14ac:dyDescent="0.3">
      <c r="A3578" s="818">
        <v>203507</v>
      </c>
      <c r="B3578" s="819">
        <v>6.6666666666666652</v>
      </c>
      <c r="C3578" s="819"/>
      <c r="D3578" s="1444">
        <f>8.5/1.05</f>
        <v>8.0952380952380949</v>
      </c>
      <c r="E3578" s="1571">
        <v>0.223</v>
      </c>
      <c r="F3578" s="821">
        <v>245.3</v>
      </c>
      <c r="G3578" s="818"/>
      <c r="H3578" s="821">
        <v>83.79</v>
      </c>
      <c r="I3578" s="1061">
        <v>200</v>
      </c>
      <c r="J3578" s="1061">
        <v>4.1000000000000002E-2</v>
      </c>
      <c r="K3578" s="1061">
        <v>8.01</v>
      </c>
      <c r="L3578" s="818">
        <v>530</v>
      </c>
      <c r="M3578" s="1483">
        <v>0.28999999999999998</v>
      </c>
      <c r="N3578" s="1483">
        <v>1.1000000000000001</v>
      </c>
      <c r="O3578" s="1483">
        <v>2.93</v>
      </c>
      <c r="P3578" s="1483">
        <v>2.54</v>
      </c>
      <c r="Q3578" s="818"/>
      <c r="R3578" s="820">
        <v>0.9565007448763686</v>
      </c>
      <c r="S3578" s="819">
        <v>6.89</v>
      </c>
      <c r="T3578" s="818"/>
      <c r="U3578" s="818"/>
      <c r="V3578" s="818"/>
      <c r="W3578" s="818"/>
      <c r="X3578" s="818"/>
      <c r="Y3578" s="819">
        <v>24</v>
      </c>
      <c r="Z3578" s="818"/>
      <c r="AA3578" s="820">
        <v>4.95</v>
      </c>
      <c r="AB3578" s="820">
        <v>0.71799999999999997</v>
      </c>
      <c r="AC3578" s="818">
        <v>8.8000000000000007</v>
      </c>
      <c r="AD3578" s="824">
        <v>400</v>
      </c>
      <c r="AE3578" s="824">
        <v>320</v>
      </c>
      <c r="AF3578" s="824">
        <v>280</v>
      </c>
      <c r="AG3578" s="66">
        <f t="shared" si="134"/>
        <v>118.14749999999999</v>
      </c>
      <c r="AH3578" s="143">
        <f t="shared" si="135"/>
        <v>1000</v>
      </c>
    </row>
    <row r="3579" spans="1:34" x14ac:dyDescent="0.3">
      <c r="A3579" s="818">
        <v>203508</v>
      </c>
      <c r="B3579" s="819">
        <v>9.1666666666666661</v>
      </c>
      <c r="C3579" s="819"/>
      <c r="D3579" s="1444">
        <f>8.8/1.05</f>
        <v>8.3809523809523814</v>
      </c>
      <c r="E3579" s="1571">
        <v>0.10299999999999999</v>
      </c>
      <c r="F3579" s="821">
        <v>113.3</v>
      </c>
      <c r="G3579" s="818"/>
      <c r="H3579" s="821">
        <v>45.45</v>
      </c>
      <c r="I3579" s="1061">
        <v>130</v>
      </c>
      <c r="J3579" s="1061">
        <v>1.4999999999999999E-2</v>
      </c>
      <c r="K3579" s="1061">
        <v>4.68</v>
      </c>
      <c r="L3579" s="818">
        <v>110</v>
      </c>
      <c r="M3579" s="1483">
        <v>0.33</v>
      </c>
      <c r="N3579" s="1483">
        <v>0.49</v>
      </c>
      <c r="O3579" s="1483">
        <v>1.89</v>
      </c>
      <c r="P3579" s="1483">
        <v>1.84</v>
      </c>
      <c r="Q3579" s="818"/>
      <c r="R3579" s="820">
        <v>0.90789807048372717</v>
      </c>
      <c r="S3579" s="819">
        <v>6.7</v>
      </c>
      <c r="T3579" s="818"/>
      <c r="U3579" s="818"/>
      <c r="V3579" s="818"/>
      <c r="W3579" s="818"/>
      <c r="X3579" s="818"/>
      <c r="Y3579" s="819">
        <v>9.8000000000000007</v>
      </c>
      <c r="Z3579" s="818"/>
      <c r="AA3579" s="820">
        <v>3.82</v>
      </c>
      <c r="AB3579" s="820">
        <v>0.45300000000000001</v>
      </c>
      <c r="AC3579" s="818">
        <v>11.7</v>
      </c>
      <c r="AD3579" s="824">
        <v>140</v>
      </c>
      <c r="AE3579" s="824">
        <v>100</v>
      </c>
      <c r="AF3579" s="824">
        <v>760</v>
      </c>
      <c r="AG3579" s="66">
        <f t="shared" si="134"/>
        <v>169.0530612244898</v>
      </c>
      <c r="AH3579" s="143">
        <f t="shared" si="135"/>
        <v>1000</v>
      </c>
    </row>
    <row r="3580" spans="1:34" x14ac:dyDescent="0.3">
      <c r="A3580" s="818">
        <v>203509</v>
      </c>
      <c r="B3580" s="819">
        <v>13.749999999999998</v>
      </c>
      <c r="C3580" s="819">
        <v>4.375</v>
      </c>
      <c r="D3580" s="1444">
        <f>8.7/1.05</f>
        <v>8.2857142857142847</v>
      </c>
      <c r="E3580" s="1571">
        <v>0.53700000000000003</v>
      </c>
      <c r="F3580" s="821">
        <v>590.70000000000016</v>
      </c>
      <c r="G3580" s="818"/>
      <c r="H3580" s="821">
        <v>13.91</v>
      </c>
      <c r="I3580" s="1061">
        <v>180</v>
      </c>
      <c r="J3580" s="1061">
        <v>0.56100000000000005</v>
      </c>
      <c r="K3580" s="1061">
        <v>6.8</v>
      </c>
      <c r="L3580" s="818">
        <v>310</v>
      </c>
      <c r="M3580" s="1483">
        <v>0.37</v>
      </c>
      <c r="N3580" s="1483">
        <v>0.56000000000000005</v>
      </c>
      <c r="O3580" s="1483">
        <v>2.94</v>
      </c>
      <c r="P3580" s="1483">
        <v>1.73</v>
      </c>
      <c r="Q3580" s="818"/>
      <c r="R3580" s="820">
        <v>1.3087676604268859</v>
      </c>
      <c r="S3580" s="819">
        <v>9.74</v>
      </c>
      <c r="T3580" s="818"/>
      <c r="U3580" s="818"/>
      <c r="V3580" s="818"/>
      <c r="W3580" s="818"/>
      <c r="X3580" s="818"/>
      <c r="Y3580" s="819">
        <v>19</v>
      </c>
      <c r="Z3580" s="818"/>
      <c r="AA3580" s="820">
        <v>4</v>
      </c>
      <c r="AB3580" s="820">
        <v>0.48099999999999998</v>
      </c>
      <c r="AC3580" s="818">
        <v>6.9</v>
      </c>
      <c r="AD3580" s="824">
        <v>380</v>
      </c>
      <c r="AE3580" s="824">
        <v>260</v>
      </c>
      <c r="AF3580" s="824">
        <v>360</v>
      </c>
      <c r="AG3580" s="66">
        <f t="shared" si="134"/>
        <v>126.69473684210526</v>
      </c>
      <c r="AH3580" s="143">
        <f t="shared" si="135"/>
        <v>1000</v>
      </c>
    </row>
    <row r="3581" spans="1:34" x14ac:dyDescent="0.3">
      <c r="A3581" s="818">
        <v>203510</v>
      </c>
      <c r="B3581" s="819">
        <v>17.5</v>
      </c>
      <c r="C3581" s="819">
        <v>5.3749999999999982</v>
      </c>
      <c r="D3581" s="1444">
        <f>9/1.05</f>
        <v>8.5714285714285712</v>
      </c>
      <c r="E3581" s="1571">
        <v>0.14399999999999999</v>
      </c>
      <c r="F3581" s="821">
        <v>158.4</v>
      </c>
      <c r="G3581" s="818"/>
      <c r="H3581" s="821">
        <v>12.04</v>
      </c>
      <c r="I3581" s="1061">
        <v>210</v>
      </c>
      <c r="J3581" s="1061">
        <v>0.13900000000000001</v>
      </c>
      <c r="K3581" s="1061">
        <v>6.55</v>
      </c>
      <c r="L3581" s="818">
        <v>230</v>
      </c>
      <c r="M3581" s="1483">
        <v>0.27</v>
      </c>
      <c r="N3581" s="1483">
        <v>0.47</v>
      </c>
      <c r="O3581" s="1483">
        <v>1.95</v>
      </c>
      <c r="P3581" s="1483">
        <v>1.41</v>
      </c>
      <c r="Q3581" s="818"/>
      <c r="R3581" s="820">
        <v>1.1123711211152723</v>
      </c>
      <c r="S3581" s="819">
        <v>7.78</v>
      </c>
      <c r="T3581" s="818"/>
      <c r="U3581" s="818"/>
      <c r="V3581" s="818"/>
      <c r="W3581" s="818"/>
      <c r="X3581" s="818"/>
      <c r="Y3581" s="819">
        <v>10</v>
      </c>
      <c r="Z3581" s="818"/>
      <c r="AA3581" s="820">
        <v>4.3499999999999996</v>
      </c>
      <c r="AB3581" s="820">
        <v>0.83899999999999997</v>
      </c>
      <c r="AC3581" s="818">
        <v>9.9</v>
      </c>
      <c r="AD3581" s="824">
        <v>200</v>
      </c>
      <c r="AE3581" s="824">
        <v>240</v>
      </c>
      <c r="AF3581" s="824">
        <v>560</v>
      </c>
      <c r="AG3581" s="66">
        <f t="shared" si="134"/>
        <v>231.87000000000003</v>
      </c>
      <c r="AH3581" s="143">
        <f t="shared" si="135"/>
        <v>1000</v>
      </c>
    </row>
    <row r="3582" spans="1:34" s="711" customFormat="1" x14ac:dyDescent="0.3">
      <c r="A3582" s="711" t="s">
        <v>563</v>
      </c>
      <c r="B3582" s="712"/>
      <c r="C3582" s="712"/>
      <c r="D3582" s="713"/>
      <c r="E3582" s="1566"/>
      <c r="F3582" s="714"/>
      <c r="H3582" s="714"/>
      <c r="I3582" s="714"/>
      <c r="J3582" s="1476"/>
      <c r="K3582" s="712"/>
      <c r="R3582" s="713"/>
      <c r="S3582" s="712"/>
      <c r="Y3582" s="712"/>
      <c r="AA3582" s="713"/>
      <c r="AB3582" s="713"/>
      <c r="AD3582" s="716"/>
      <c r="AE3582" s="716"/>
      <c r="AF3582" s="716"/>
      <c r="AG3582" s="66" t="e">
        <f t="shared" si="134"/>
        <v>#DIV/0!</v>
      </c>
      <c r="AH3582" s="143">
        <f t="shared" si="135"/>
        <v>0</v>
      </c>
    </row>
    <row r="3583" spans="1:34" x14ac:dyDescent="0.3">
      <c r="A3583" s="818">
        <v>203512</v>
      </c>
      <c r="B3583" s="819">
        <v>3.5</v>
      </c>
      <c r="C3583" s="819">
        <v>8.14</v>
      </c>
      <c r="D3583" s="820">
        <f>8.64/1.05</f>
        <v>8.2285714285714295</v>
      </c>
      <c r="E3583" s="1571">
        <v>0.29599999999999999</v>
      </c>
      <c r="F3583" s="821">
        <v>325.60000000000002</v>
      </c>
      <c r="G3583" s="818"/>
      <c r="H3583" s="819">
        <v>157.71</v>
      </c>
      <c r="I3583" s="1061">
        <v>90</v>
      </c>
      <c r="J3583" s="1061">
        <v>0.42699999999999999</v>
      </c>
      <c r="K3583" s="1061">
        <v>4.8600000000000003</v>
      </c>
      <c r="L3583" s="818">
        <v>880</v>
      </c>
      <c r="M3583" s="1483">
        <v>4.7699999999999996</v>
      </c>
      <c r="N3583" s="1483">
        <v>9.82</v>
      </c>
      <c r="O3583" s="1483">
        <v>5.49</v>
      </c>
      <c r="P3583" s="1483">
        <v>5.92</v>
      </c>
      <c r="Q3583" s="818"/>
      <c r="R3583" s="820">
        <v>0.50744316466841188</v>
      </c>
      <c r="S3583" s="819">
        <v>3.6</v>
      </c>
      <c r="T3583" s="818"/>
      <c r="U3583" s="818"/>
      <c r="V3583" s="818"/>
      <c r="W3583" s="818"/>
      <c r="X3583" s="818"/>
      <c r="Y3583" s="1484">
        <v>3</v>
      </c>
      <c r="Z3583" s="818"/>
      <c r="AA3583" s="820">
        <v>4.37</v>
      </c>
      <c r="AB3583" s="820">
        <v>0.39200000000000002</v>
      </c>
      <c r="AC3583" s="818">
        <v>9</v>
      </c>
      <c r="AD3583" s="824">
        <v>60</v>
      </c>
      <c r="AE3583" s="824">
        <v>60</v>
      </c>
      <c r="AF3583" s="824">
        <v>880</v>
      </c>
      <c r="AG3583" s="66">
        <f t="shared" si="134"/>
        <v>573.48</v>
      </c>
      <c r="AH3583" s="143">
        <f t="shared" si="135"/>
        <v>1000</v>
      </c>
    </row>
    <row r="3584" spans="1:34" x14ac:dyDescent="0.3">
      <c r="A3584" s="818">
        <v>203513</v>
      </c>
      <c r="B3584" s="819">
        <v>5.4</v>
      </c>
      <c r="C3584" s="819">
        <v>5.25</v>
      </c>
      <c r="D3584" s="820">
        <f>8.77/1.05</f>
        <v>8.3523809523809511</v>
      </c>
      <c r="E3584" s="1571">
        <v>0.26100000000000001</v>
      </c>
      <c r="F3584" s="821">
        <v>287.10000000000002</v>
      </c>
      <c r="G3584" s="818"/>
      <c r="H3584" s="819">
        <v>136.68</v>
      </c>
      <c r="I3584" s="1061">
        <v>90</v>
      </c>
      <c r="J3584" s="1061">
        <v>0.21099999999999999</v>
      </c>
      <c r="K3584" s="1061">
        <v>5.05</v>
      </c>
      <c r="L3584" s="818">
        <v>500</v>
      </c>
      <c r="M3584" s="1483">
        <v>4.54</v>
      </c>
      <c r="N3584" s="1483">
        <v>3.18</v>
      </c>
      <c r="O3584" s="1483">
        <v>2.2200000000000002</v>
      </c>
      <c r="P3584" s="1483">
        <v>3.02</v>
      </c>
      <c r="Q3584" s="818"/>
      <c r="R3584" s="820">
        <v>0.8178753143089339</v>
      </c>
      <c r="S3584" s="819">
        <v>5.6</v>
      </c>
      <c r="T3584" s="818"/>
      <c r="U3584" s="818"/>
      <c r="V3584" s="818"/>
      <c r="W3584" s="818"/>
      <c r="X3584" s="818"/>
      <c r="Y3584" s="1484">
        <v>4</v>
      </c>
      <c r="Z3584" s="818"/>
      <c r="AA3584" s="820">
        <v>4.43</v>
      </c>
      <c r="AB3584" s="820">
        <v>0.29399999999999998</v>
      </c>
      <c r="AC3584" s="818">
        <v>7.1</v>
      </c>
      <c r="AD3584" s="824">
        <v>80</v>
      </c>
      <c r="AE3584" s="824">
        <v>60</v>
      </c>
      <c r="AF3584" s="824">
        <v>860</v>
      </c>
      <c r="AG3584" s="66">
        <f t="shared" si="134"/>
        <v>446.92499999999995</v>
      </c>
      <c r="AH3584" s="143">
        <f t="shared" si="135"/>
        <v>1000</v>
      </c>
    </row>
    <row r="3585" spans="1:34" s="1032" customFormat="1" x14ac:dyDescent="0.3">
      <c r="A3585" s="1032">
        <v>203514</v>
      </c>
      <c r="B3585" s="1018">
        <v>32.799999999999997</v>
      </c>
      <c r="C3585" s="1018">
        <v>4.0999999999999996</v>
      </c>
      <c r="D3585" s="1019">
        <f>8.8/1.1</f>
        <v>8</v>
      </c>
      <c r="E3585" s="1579">
        <v>9.9000000000000005E-2</v>
      </c>
      <c r="F3585" s="1017">
        <v>108.9</v>
      </c>
      <c r="H3585" s="1018">
        <v>2.85</v>
      </c>
      <c r="I3585" s="1017">
        <v>230</v>
      </c>
      <c r="J3585" s="1008">
        <v>2.2100000000000002E-2</v>
      </c>
      <c r="K3585" s="1008">
        <v>8.14</v>
      </c>
      <c r="L3585" s="1032">
        <v>290</v>
      </c>
      <c r="M3585" s="1008">
        <v>0.06</v>
      </c>
      <c r="N3585" s="1008">
        <v>0.27</v>
      </c>
      <c r="O3585" s="1008">
        <v>0.76</v>
      </c>
      <c r="P3585" s="1008">
        <v>0.95</v>
      </c>
      <c r="R3585" s="1019">
        <v>0.37442839285186258</v>
      </c>
      <c r="S3585" s="1018">
        <v>2.56</v>
      </c>
      <c r="Y3585" s="1018">
        <v>15</v>
      </c>
      <c r="AA3585" s="1019">
        <v>3.84</v>
      </c>
      <c r="AB3585" s="1019">
        <v>0.35699999999999998</v>
      </c>
      <c r="AC3585" s="1032">
        <v>6.1</v>
      </c>
      <c r="AD3585" s="1033">
        <v>300</v>
      </c>
      <c r="AE3585" s="1033">
        <v>250</v>
      </c>
      <c r="AF3585" s="1033">
        <v>450</v>
      </c>
      <c r="AG3585" s="66">
        <f t="shared" si="134"/>
        <v>192.10400000000001</v>
      </c>
      <c r="AH3585" s="143">
        <f t="shared" si="135"/>
        <v>1000</v>
      </c>
    </row>
    <row r="3586" spans="1:34" s="1032" customFormat="1" x14ac:dyDescent="0.3">
      <c r="A3586" s="1032">
        <v>203515</v>
      </c>
      <c r="B3586" s="1018">
        <v>25.3</v>
      </c>
      <c r="C3586" s="1018">
        <v>12.6</v>
      </c>
      <c r="D3586" s="1019">
        <v>7.9090909090909074</v>
      </c>
      <c r="E3586" s="1579">
        <v>0.11700000000000001</v>
      </c>
      <c r="F3586" s="1017">
        <v>128.70000000000002</v>
      </c>
      <c r="H3586" s="1018">
        <v>2.85</v>
      </c>
      <c r="I3586" s="1017">
        <v>230</v>
      </c>
      <c r="J3586" s="1008">
        <v>4.0099999999999997E-2</v>
      </c>
      <c r="K3586" s="1008">
        <v>8.02</v>
      </c>
      <c r="L3586" s="1032">
        <v>390</v>
      </c>
      <c r="M3586" s="1008">
        <v>0.05</v>
      </c>
      <c r="N3586" s="1008">
        <v>0.19</v>
      </c>
      <c r="O3586" s="1008">
        <v>0.66</v>
      </c>
      <c r="P3586" s="1008">
        <v>0.95</v>
      </c>
      <c r="R3586" s="1019">
        <v>0.28613979270505824</v>
      </c>
      <c r="S3586" s="1018">
        <v>2.0499999999999998</v>
      </c>
      <c r="Y3586" s="1018">
        <v>16.8</v>
      </c>
      <c r="AA3586" s="1019">
        <v>4.3</v>
      </c>
      <c r="AB3586" s="1019">
        <v>0.45700000000000002</v>
      </c>
      <c r="AC3586" s="1032">
        <v>8.4</v>
      </c>
      <c r="AD3586" s="1033">
        <v>280</v>
      </c>
      <c r="AE3586" s="1033">
        <v>220</v>
      </c>
      <c r="AF3586" s="1033">
        <v>500</v>
      </c>
      <c r="AG3586" s="66">
        <f t="shared" ref="AG3586:AG3649" si="136">+K3586*3.54*100/Y3586</f>
        <v>168.99285714285713</v>
      </c>
      <c r="AH3586" s="143">
        <f t="shared" ref="AH3586:AH3649" si="137">+SUM(AD3586:AF3586)</f>
        <v>1000</v>
      </c>
    </row>
    <row r="3587" spans="1:34" s="1032" customFormat="1" x14ac:dyDescent="0.3">
      <c r="A3587" s="1032">
        <v>203516</v>
      </c>
      <c r="B3587" s="1018">
        <v>11.3</v>
      </c>
      <c r="C3587" s="1018"/>
      <c r="D3587" s="1019">
        <v>8.1818181818181817</v>
      </c>
      <c r="E3587" s="1579">
        <v>8.1000000000000003E-2</v>
      </c>
      <c r="F3587" s="1017">
        <v>89.100000000000009</v>
      </c>
      <c r="H3587" s="1018">
        <v>1.8</v>
      </c>
      <c r="I3587" s="1017">
        <v>70</v>
      </c>
      <c r="J3587" s="1008">
        <v>5.5999999999999999E-3</v>
      </c>
      <c r="K3587" s="1008">
        <v>5.42</v>
      </c>
      <c r="L3587" s="1032">
        <v>130</v>
      </c>
      <c r="M3587" s="1008">
        <v>0.09</v>
      </c>
      <c r="N3587" s="1008">
        <v>0.11</v>
      </c>
      <c r="O3587" s="1008">
        <v>0.48</v>
      </c>
      <c r="P3587" s="1008">
        <v>0.89</v>
      </c>
      <c r="R3587" s="1019">
        <v>0.41757251318183436</v>
      </c>
      <c r="S3587" s="1018">
        <v>2.94</v>
      </c>
      <c r="Y3587" s="1018">
        <v>4.8</v>
      </c>
      <c r="AA3587" s="1019">
        <v>4.9400000000000004</v>
      </c>
      <c r="AB3587" s="1019">
        <v>0.35299999999999998</v>
      </c>
      <c r="AC3587" s="1032">
        <v>11.6</v>
      </c>
      <c r="AD3587" s="1033">
        <v>80</v>
      </c>
      <c r="AE3587" s="1033">
        <v>80</v>
      </c>
      <c r="AF3587" s="1033">
        <v>840</v>
      </c>
      <c r="AG3587" s="66">
        <f t="shared" si="136"/>
        <v>399.72500000000002</v>
      </c>
      <c r="AH3587" s="143">
        <f t="shared" si="137"/>
        <v>1000</v>
      </c>
    </row>
    <row r="3588" spans="1:34" s="1032" customFormat="1" x14ac:dyDescent="0.3">
      <c r="A3588" s="1032">
        <v>203517</v>
      </c>
      <c r="B3588" s="1018">
        <v>10.4</v>
      </c>
      <c r="C3588" s="1018">
        <v>4.0999999999999996</v>
      </c>
      <c r="D3588" s="1019">
        <v>8.1818181818181817</v>
      </c>
      <c r="E3588" s="1579">
        <v>8.1000000000000003E-2</v>
      </c>
      <c r="F3588" s="1017">
        <v>89.100000000000009</v>
      </c>
      <c r="H3588" s="1018">
        <v>2.31</v>
      </c>
      <c r="I3588" s="1017">
        <v>70</v>
      </c>
      <c r="J3588" s="1008">
        <v>8.0000000000000002E-3</v>
      </c>
      <c r="K3588" s="1008">
        <v>6.6</v>
      </c>
      <c r="L3588" s="1032">
        <v>160</v>
      </c>
      <c r="M3588" s="1008">
        <v>0.1</v>
      </c>
      <c r="N3588" s="1008">
        <v>0.09</v>
      </c>
      <c r="O3588" s="1008">
        <v>0.47</v>
      </c>
      <c r="P3588" s="1008">
        <v>0.88</v>
      </c>
      <c r="R3588" s="1019">
        <v>1.0272129767970366</v>
      </c>
      <c r="S3588" s="1018">
        <v>7.6</v>
      </c>
      <c r="Y3588" s="1018">
        <v>4.2</v>
      </c>
      <c r="AA3588" s="1019">
        <v>4.8</v>
      </c>
      <c r="AB3588" s="1019">
        <v>0.75</v>
      </c>
      <c r="AC3588" s="1032">
        <v>10.199999999999999</v>
      </c>
      <c r="AD3588" s="1033">
        <v>60</v>
      </c>
      <c r="AE3588" s="1033">
        <v>80</v>
      </c>
      <c r="AF3588" s="1033">
        <v>860</v>
      </c>
      <c r="AG3588" s="66">
        <f t="shared" si="136"/>
        <v>556.28571428571422</v>
      </c>
      <c r="AH3588" s="143">
        <f t="shared" si="137"/>
        <v>1000</v>
      </c>
    </row>
    <row r="3589" spans="1:34" s="1032" customFormat="1" x14ac:dyDescent="0.3">
      <c r="A3589" s="1032">
        <v>203518</v>
      </c>
      <c r="B3589" s="1018">
        <v>12.1</v>
      </c>
      <c r="C3589" s="1018">
        <v>5.5</v>
      </c>
      <c r="D3589" s="1019">
        <v>8</v>
      </c>
      <c r="E3589" s="1579">
        <v>8.1000000000000003E-2</v>
      </c>
      <c r="F3589" s="1017">
        <v>89.100000000000009</v>
      </c>
      <c r="H3589" s="1018">
        <v>2.57</v>
      </c>
      <c r="I3589" s="1017">
        <v>180</v>
      </c>
      <c r="J3589" s="1008">
        <v>7.9000000000000008E-3</v>
      </c>
      <c r="K3589" s="1008">
        <v>7.89</v>
      </c>
      <c r="L3589" s="1032">
        <v>260</v>
      </c>
      <c r="M3589" s="1008">
        <v>0.06</v>
      </c>
      <c r="N3589" s="1008">
        <v>0.36</v>
      </c>
      <c r="O3589" s="1008">
        <v>1.23</v>
      </c>
      <c r="P3589" s="1008">
        <v>1.57</v>
      </c>
      <c r="R3589" s="1019">
        <v>0.5002911859183542</v>
      </c>
      <c r="S3589" s="1018">
        <v>3.3400000000000003</v>
      </c>
      <c r="Y3589" s="1018">
        <v>9</v>
      </c>
      <c r="AA3589" s="1019">
        <v>4.37</v>
      </c>
      <c r="AB3589" s="1019">
        <v>0.34300000000000003</v>
      </c>
      <c r="AC3589" s="1032">
        <v>11.6</v>
      </c>
      <c r="AD3589" s="1033">
        <v>180</v>
      </c>
      <c r="AE3589" s="1033">
        <v>120</v>
      </c>
      <c r="AF3589" s="1033">
        <v>700</v>
      </c>
      <c r="AG3589" s="66">
        <f t="shared" si="136"/>
        <v>310.33999999999997</v>
      </c>
      <c r="AH3589" s="143">
        <f t="shared" si="137"/>
        <v>1000</v>
      </c>
    </row>
    <row r="3590" spans="1:34" s="1032" customFormat="1" x14ac:dyDescent="0.3">
      <c r="A3590" s="1032">
        <v>203519</v>
      </c>
      <c r="B3590" s="1018">
        <v>12.9</v>
      </c>
      <c r="C3590" s="1018">
        <v>7</v>
      </c>
      <c r="D3590" s="1019">
        <v>7.9090909090909074</v>
      </c>
      <c r="E3590" s="1579">
        <v>8.5999999999999993E-2</v>
      </c>
      <c r="F3590" s="1017">
        <v>94.600000000000009</v>
      </c>
      <c r="H3590" s="1018">
        <v>2.7</v>
      </c>
      <c r="I3590" s="1017">
        <v>160</v>
      </c>
      <c r="J3590" s="1008">
        <v>6.7999999999999996E-3</v>
      </c>
      <c r="K3590" s="1008">
        <v>8.2100000000000009</v>
      </c>
      <c r="L3590" s="1032">
        <v>270</v>
      </c>
      <c r="M3590" s="1008">
        <v>0.09</v>
      </c>
      <c r="N3590" s="1008">
        <v>0.33</v>
      </c>
      <c r="O3590" s="1008">
        <v>0.84</v>
      </c>
      <c r="P3590" s="1008">
        <v>1.77</v>
      </c>
      <c r="R3590" s="1019">
        <v>0.37561838080889742</v>
      </c>
      <c r="S3590" s="1018">
        <v>2.59</v>
      </c>
      <c r="Y3590" s="1018">
        <v>16.8</v>
      </c>
      <c r="AA3590" s="1019">
        <v>4.41</v>
      </c>
      <c r="AB3590" s="1019">
        <v>0.86899999999999999</v>
      </c>
      <c r="AC3590" s="1032">
        <v>7.6</v>
      </c>
      <c r="AD3590" s="1033">
        <v>240</v>
      </c>
      <c r="AE3590" s="1033">
        <v>120</v>
      </c>
      <c r="AF3590" s="1033">
        <v>640</v>
      </c>
      <c r="AG3590" s="66">
        <f t="shared" si="136"/>
        <v>172.99642857142859</v>
      </c>
      <c r="AH3590" s="143">
        <f t="shared" si="137"/>
        <v>1000</v>
      </c>
    </row>
    <row r="3591" spans="1:34" s="1032" customFormat="1" x14ac:dyDescent="0.3">
      <c r="A3591" s="1032">
        <v>203520</v>
      </c>
      <c r="B3591" s="1018">
        <v>20.100000000000001</v>
      </c>
      <c r="C3591" s="1018">
        <v>7.1</v>
      </c>
      <c r="D3591" s="1019">
        <v>7.9090909090909074</v>
      </c>
      <c r="E3591" s="1579">
        <v>8.4000000000000005E-2</v>
      </c>
      <c r="F3591" s="1017">
        <v>92.4</v>
      </c>
      <c r="H3591" s="1018">
        <v>1.78</v>
      </c>
      <c r="I3591" s="1017">
        <v>170</v>
      </c>
      <c r="J3591" s="1008">
        <v>7.1000000000000004E-3</v>
      </c>
      <c r="K3591" s="1008">
        <v>8.11</v>
      </c>
      <c r="L3591" s="1032">
        <v>250</v>
      </c>
      <c r="M3591" s="1008">
        <v>0.05</v>
      </c>
      <c r="N3591" s="1008">
        <v>0.36</v>
      </c>
      <c r="O3591" s="1008">
        <v>1.06</v>
      </c>
      <c r="P3591" s="1008">
        <v>1.69</v>
      </c>
      <c r="R3591" s="1019">
        <v>0.40726455427266445</v>
      </c>
      <c r="S3591" s="1018">
        <v>2.8499999999999996</v>
      </c>
      <c r="Y3591" s="1018">
        <v>15.6</v>
      </c>
      <c r="AA3591" s="1019">
        <v>4.3099999999999996</v>
      </c>
      <c r="AB3591" s="1019">
        <v>0.30399999999999999</v>
      </c>
      <c r="AC3591" s="1032">
        <v>7.9</v>
      </c>
      <c r="AD3591" s="1033">
        <v>260</v>
      </c>
      <c r="AE3591" s="1033">
        <v>140</v>
      </c>
      <c r="AF3591" s="1033">
        <v>600</v>
      </c>
      <c r="AG3591" s="66">
        <f t="shared" si="136"/>
        <v>184.03461538461539</v>
      </c>
      <c r="AH3591" s="143">
        <f t="shared" si="137"/>
        <v>1000</v>
      </c>
    </row>
    <row r="3592" spans="1:34" s="1032" customFormat="1" x14ac:dyDescent="0.3">
      <c r="A3592" s="1032">
        <v>203521</v>
      </c>
      <c r="B3592" s="1018">
        <v>17.2</v>
      </c>
      <c r="C3592" s="1018">
        <v>3.6</v>
      </c>
      <c r="D3592" s="1019">
        <v>8</v>
      </c>
      <c r="E3592" s="1579">
        <v>8.4000000000000005E-2</v>
      </c>
      <c r="F3592" s="1017">
        <v>92.4</v>
      </c>
      <c r="H3592" s="1018">
        <v>3.62</v>
      </c>
      <c r="I3592" s="1017">
        <v>120</v>
      </c>
      <c r="J3592" s="1008">
        <v>7.6E-3</v>
      </c>
      <c r="K3592" s="1008">
        <v>8.15</v>
      </c>
      <c r="L3592" s="1032">
        <v>230</v>
      </c>
      <c r="M3592" s="1008">
        <v>0.08</v>
      </c>
      <c r="N3592" s="1008">
        <v>0.26</v>
      </c>
      <c r="O3592" s="1008">
        <v>1.1299999999999999</v>
      </c>
      <c r="P3592" s="1008">
        <v>1.34</v>
      </c>
      <c r="R3592" s="1019">
        <v>0.39876574136777954</v>
      </c>
      <c r="S3592" s="1018">
        <v>2.84</v>
      </c>
      <c r="Y3592" s="1018">
        <v>16.2</v>
      </c>
      <c r="AA3592" s="1019">
        <v>4.7699999999999996</v>
      </c>
      <c r="AB3592" s="1019">
        <v>0.755</v>
      </c>
      <c r="AC3592" s="1032">
        <v>9.8000000000000007</v>
      </c>
      <c r="AD3592" s="1033">
        <v>270</v>
      </c>
      <c r="AE3592" s="1033">
        <v>150</v>
      </c>
      <c r="AF3592" s="1033">
        <v>580</v>
      </c>
      <c r="AG3592" s="66">
        <f t="shared" si="136"/>
        <v>178.09259259259261</v>
      </c>
      <c r="AH3592" s="143">
        <f t="shared" si="137"/>
        <v>1000</v>
      </c>
    </row>
    <row r="3593" spans="1:34" s="1032" customFormat="1" x14ac:dyDescent="0.3">
      <c r="A3593" s="1032">
        <v>203522</v>
      </c>
      <c r="B3593" s="1018">
        <v>34.1</v>
      </c>
      <c r="C3593" s="1018">
        <v>5.6</v>
      </c>
      <c r="D3593" s="1019">
        <v>8</v>
      </c>
      <c r="E3593" s="1579">
        <v>0.107</v>
      </c>
      <c r="F3593" s="1017">
        <v>117.70000000000002</v>
      </c>
      <c r="H3593" s="1018">
        <v>4.53</v>
      </c>
      <c r="I3593" s="1017">
        <v>280</v>
      </c>
      <c r="J3593" s="1008">
        <v>1.0200000000000001E-2</v>
      </c>
      <c r="K3593" s="1008">
        <v>8.41</v>
      </c>
      <c r="L3593" s="1032">
        <v>270</v>
      </c>
      <c r="M3593" s="1008">
        <v>0.09</v>
      </c>
      <c r="N3593" s="1008">
        <v>0.44</v>
      </c>
      <c r="O3593" s="1008">
        <v>1.93</v>
      </c>
      <c r="P3593" s="1008">
        <v>1.75</v>
      </c>
      <c r="R3593" s="1019">
        <v>0.41478414261342383</v>
      </c>
      <c r="S3593" s="1018">
        <v>3.09</v>
      </c>
      <c r="Y3593" s="1018">
        <v>26.6</v>
      </c>
      <c r="AA3593" s="1019">
        <v>4.55</v>
      </c>
      <c r="AB3593" s="1019">
        <v>0.877</v>
      </c>
      <c r="AC3593" s="1032">
        <v>8.9</v>
      </c>
      <c r="AD3593" s="1033">
        <v>380</v>
      </c>
      <c r="AE3593" s="1033">
        <v>300</v>
      </c>
      <c r="AF3593" s="1033">
        <v>320</v>
      </c>
      <c r="AG3593" s="66">
        <f t="shared" si="136"/>
        <v>111.92255639097743</v>
      </c>
      <c r="AH3593" s="143">
        <f t="shared" si="137"/>
        <v>1000</v>
      </c>
    </row>
    <row r="3594" spans="1:34" s="1032" customFormat="1" x14ac:dyDescent="0.3">
      <c r="A3594" s="1032">
        <v>203523</v>
      </c>
      <c r="B3594" s="1018">
        <v>31.7</v>
      </c>
      <c r="C3594" s="1018">
        <v>12.9</v>
      </c>
      <c r="D3594" s="1019">
        <v>8.0909090909090899</v>
      </c>
      <c r="E3594" s="1579">
        <v>0.107</v>
      </c>
      <c r="F3594" s="1017">
        <v>117.70000000000002</v>
      </c>
      <c r="H3594" s="1018">
        <v>3.9</v>
      </c>
      <c r="I3594" s="1017">
        <v>250</v>
      </c>
      <c r="J3594" s="1008">
        <v>1.06E-2</v>
      </c>
      <c r="K3594" s="1008">
        <v>8.3699999999999992</v>
      </c>
      <c r="L3594" s="1032">
        <v>250</v>
      </c>
      <c r="M3594" s="1008">
        <v>0.09</v>
      </c>
      <c r="N3594" s="1008">
        <v>0.27</v>
      </c>
      <c r="O3594" s="1008">
        <v>1.0900000000000001</v>
      </c>
      <c r="P3594" s="1008">
        <v>1.49</v>
      </c>
      <c r="R3594" s="1019">
        <v>0.19593138157410953</v>
      </c>
      <c r="S3594" s="1018">
        <v>1.43</v>
      </c>
      <c r="Y3594" s="1018">
        <v>22</v>
      </c>
      <c r="AA3594" s="1019">
        <v>3.99</v>
      </c>
      <c r="AB3594" s="1019">
        <v>0.47399999999999998</v>
      </c>
      <c r="AC3594" s="1032">
        <v>6.5</v>
      </c>
      <c r="AD3594" s="1033">
        <v>440</v>
      </c>
      <c r="AE3594" s="1033">
        <v>280</v>
      </c>
      <c r="AF3594" s="1033">
        <v>280</v>
      </c>
      <c r="AG3594" s="66">
        <f t="shared" si="136"/>
        <v>134.68090909090907</v>
      </c>
      <c r="AH3594" s="143">
        <f t="shared" si="137"/>
        <v>1000</v>
      </c>
    </row>
    <row r="3595" spans="1:34" s="1069" customFormat="1" x14ac:dyDescent="0.3">
      <c r="A3595" s="1069">
        <v>203524</v>
      </c>
      <c r="B3595" s="1070">
        <v>13.8</v>
      </c>
      <c r="C3595" s="1070">
        <v>3.6</v>
      </c>
      <c r="D3595" s="1071">
        <v>7.6363636363636358</v>
      </c>
      <c r="E3595" s="1580">
        <v>0.498</v>
      </c>
      <c r="F3595" s="1072">
        <v>547.80000000000007</v>
      </c>
      <c r="H3595" s="1070">
        <v>94.6</v>
      </c>
      <c r="I3595" s="1072">
        <v>280</v>
      </c>
      <c r="J3595" s="1193">
        <v>0.28499999999999998</v>
      </c>
      <c r="K3595" s="1193">
        <v>9.86</v>
      </c>
      <c r="L3595" s="1069">
        <v>1290</v>
      </c>
      <c r="M3595" s="1193">
        <v>2.89</v>
      </c>
      <c r="N3595" s="1193">
        <v>0.74</v>
      </c>
      <c r="O3595" s="1193">
        <v>5.24</v>
      </c>
      <c r="P3595" s="1193">
        <v>7.67</v>
      </c>
      <c r="R3595" s="1071">
        <v>2.0513725700000003</v>
      </c>
      <c r="S3595" s="1070">
        <v>27.07</v>
      </c>
      <c r="Y3595" s="1070">
        <v>40.6</v>
      </c>
      <c r="AA3595" s="1071">
        <v>4.16</v>
      </c>
      <c r="AB3595" s="1071">
        <v>0.76500000000000001</v>
      </c>
      <c r="AC3595" s="1069">
        <v>10.9</v>
      </c>
      <c r="AD3595" s="1074">
        <v>580</v>
      </c>
      <c r="AE3595" s="1074">
        <v>250</v>
      </c>
      <c r="AF3595" s="1074">
        <v>170</v>
      </c>
      <c r="AG3595" s="66">
        <f t="shared" si="136"/>
        <v>85.971428571428561</v>
      </c>
      <c r="AH3595" s="143">
        <f t="shared" si="137"/>
        <v>1000</v>
      </c>
    </row>
    <row r="3596" spans="1:34" s="1069" customFormat="1" x14ac:dyDescent="0.3">
      <c r="A3596" s="1069">
        <v>203525</v>
      </c>
      <c r="B3596" s="1070">
        <v>4</v>
      </c>
      <c r="C3596" s="1070"/>
      <c r="D3596" s="1071">
        <v>7.5454545454545459</v>
      </c>
      <c r="E3596" s="1580">
        <v>0.21099999999999999</v>
      </c>
      <c r="F3596" s="1072">
        <v>232.1</v>
      </c>
      <c r="H3596" s="1070">
        <v>24.16</v>
      </c>
      <c r="I3596" s="1072">
        <v>500</v>
      </c>
      <c r="J3596" s="1193">
        <v>7.1800000000000003E-2</v>
      </c>
      <c r="K3596" s="1193">
        <v>8.39</v>
      </c>
      <c r="L3596" s="1069">
        <v>320</v>
      </c>
      <c r="M3596" s="1193">
        <v>0.45</v>
      </c>
      <c r="N3596" s="1193">
        <v>0.87</v>
      </c>
      <c r="O3596" s="1193">
        <v>19.52</v>
      </c>
      <c r="P3596" s="1193">
        <v>3.76</v>
      </c>
      <c r="R3596" s="1071">
        <v>1.839353</v>
      </c>
      <c r="S3596" s="1070">
        <v>17.899999999999999</v>
      </c>
      <c r="Y3596" s="1070">
        <v>28</v>
      </c>
      <c r="AA3596" s="1071">
        <v>3.94</v>
      </c>
      <c r="AB3596" s="1071">
        <v>0.41899999999999998</v>
      </c>
      <c r="AC3596" s="1069">
        <v>9.4</v>
      </c>
      <c r="AD3596" s="1074">
        <v>560</v>
      </c>
      <c r="AE3596" s="1074">
        <v>280</v>
      </c>
      <c r="AF3596" s="1074">
        <v>160</v>
      </c>
      <c r="AG3596" s="66">
        <f t="shared" si="136"/>
        <v>106.07357142857143</v>
      </c>
      <c r="AH3596" s="143">
        <f t="shared" si="137"/>
        <v>1000</v>
      </c>
    </row>
    <row r="3597" spans="1:34" s="1262" customFormat="1" x14ac:dyDescent="0.3">
      <c r="A3597" s="1262">
        <v>203526</v>
      </c>
      <c r="B3597" s="1263">
        <v>15.8</v>
      </c>
      <c r="C3597" s="1263">
        <v>6.6</v>
      </c>
      <c r="D3597" s="1264">
        <v>7.7272727272727266</v>
      </c>
      <c r="E3597" s="1583">
        <v>0.99399999999999999</v>
      </c>
      <c r="F3597" s="1265">
        <v>1093.4000000000001</v>
      </c>
      <c r="H3597" s="1263">
        <v>310.73</v>
      </c>
      <c r="I3597" s="1265">
        <v>1410</v>
      </c>
      <c r="J3597" s="975">
        <v>0.57120000000000004</v>
      </c>
      <c r="K3597" s="975">
        <v>8.5500000000000007</v>
      </c>
      <c r="L3597" s="1262">
        <v>970</v>
      </c>
      <c r="M3597" s="975">
        <v>2.11</v>
      </c>
      <c r="N3597" s="975">
        <v>0.69</v>
      </c>
      <c r="O3597" s="975">
        <v>3.25</v>
      </c>
      <c r="P3597" s="975">
        <v>3.81</v>
      </c>
      <c r="R3597" s="1264">
        <v>2.14286033</v>
      </c>
      <c r="S3597" s="1263">
        <v>35.590000000000003</v>
      </c>
      <c r="Y3597" s="1263">
        <v>38.5</v>
      </c>
      <c r="AA3597" s="1264">
        <v>3.77</v>
      </c>
      <c r="AB3597" s="1264">
        <v>0.36699999999999999</v>
      </c>
      <c r="AC3597" s="1262">
        <v>9.1999999999999993</v>
      </c>
      <c r="AD3597" s="1267">
        <v>550</v>
      </c>
      <c r="AE3597" s="1267">
        <v>250</v>
      </c>
      <c r="AF3597" s="1267">
        <v>200</v>
      </c>
      <c r="AG3597" s="66">
        <f t="shared" si="136"/>
        <v>78.615584415584422</v>
      </c>
      <c r="AH3597" s="143">
        <f t="shared" si="137"/>
        <v>1000</v>
      </c>
    </row>
    <row r="3598" spans="1:34" s="1262" customFormat="1" x14ac:dyDescent="0.3">
      <c r="A3598" s="1262">
        <v>203527</v>
      </c>
      <c r="B3598" s="1263">
        <v>16.7</v>
      </c>
      <c r="C3598" s="1263">
        <v>4.4000000000000004</v>
      </c>
      <c r="D3598" s="1264">
        <v>7.6363636363636358</v>
      </c>
      <c r="E3598" s="1583">
        <v>0.27800000000000002</v>
      </c>
      <c r="F3598" s="1265">
        <v>305.80000000000007</v>
      </c>
      <c r="H3598" s="1263">
        <v>22.96</v>
      </c>
      <c r="I3598" s="1265">
        <v>220</v>
      </c>
      <c r="J3598" s="975">
        <v>0.1668</v>
      </c>
      <c r="K3598" s="975">
        <v>10.54</v>
      </c>
      <c r="L3598" s="1262">
        <v>340</v>
      </c>
      <c r="M3598" s="975">
        <v>0.59</v>
      </c>
      <c r="N3598" s="975">
        <v>0.61</v>
      </c>
      <c r="O3598" s="975">
        <v>10.63</v>
      </c>
      <c r="P3598" s="975">
        <v>3.55</v>
      </c>
      <c r="R3598" s="1264">
        <v>1.8032091300000002</v>
      </c>
      <c r="S3598" s="1263">
        <v>16.71</v>
      </c>
      <c r="Y3598" s="1263">
        <v>34.200000000000003</v>
      </c>
      <c r="AA3598" s="1264">
        <v>4.1100000000000003</v>
      </c>
      <c r="AB3598" s="1264">
        <v>0.88100000000000001</v>
      </c>
      <c r="AC3598" s="1262">
        <v>7.2</v>
      </c>
      <c r="AD3598" s="1267">
        <v>570</v>
      </c>
      <c r="AE3598" s="1267">
        <v>240</v>
      </c>
      <c r="AF3598" s="1267">
        <v>190</v>
      </c>
      <c r="AG3598" s="66">
        <f t="shared" si="136"/>
        <v>109.09824561403508</v>
      </c>
      <c r="AH3598" s="143">
        <f t="shared" si="137"/>
        <v>1000</v>
      </c>
    </row>
    <row r="3599" spans="1:34" s="811" customFormat="1" x14ac:dyDescent="0.3">
      <c r="A3599" s="811">
        <v>203528</v>
      </c>
      <c r="B3599" s="1348">
        <v>9.6</v>
      </c>
      <c r="C3599" s="1348"/>
      <c r="D3599" s="810">
        <v>7.8181818181818175</v>
      </c>
      <c r="E3599" s="808">
        <v>0.123</v>
      </c>
      <c r="F3599" s="812">
        <v>135.30000000000001</v>
      </c>
      <c r="H3599" s="1348">
        <v>13.03</v>
      </c>
      <c r="I3599" s="812">
        <v>180</v>
      </c>
      <c r="J3599" s="733">
        <v>4.9399999999999999E-2</v>
      </c>
      <c r="K3599" s="733">
        <v>7.4</v>
      </c>
      <c r="L3599" s="811">
        <v>370</v>
      </c>
      <c r="M3599" s="733">
        <v>0.23</v>
      </c>
      <c r="N3599" s="733">
        <v>1.28</v>
      </c>
      <c r="O3599" s="733">
        <v>6.73</v>
      </c>
      <c r="P3599" s="733">
        <v>2.0099999999999998</v>
      </c>
      <c r="R3599" s="810">
        <v>0.94479172061418104</v>
      </c>
      <c r="S3599" s="1348">
        <v>6.38</v>
      </c>
      <c r="Y3599" s="1348">
        <v>40.6</v>
      </c>
      <c r="AA3599" s="810">
        <v>3.76</v>
      </c>
      <c r="AB3599" s="810">
        <v>0.52600000000000002</v>
      </c>
      <c r="AC3599" s="811">
        <v>11.7</v>
      </c>
      <c r="AD3599" s="815">
        <v>580</v>
      </c>
      <c r="AE3599" s="815">
        <v>300</v>
      </c>
      <c r="AF3599" s="815">
        <v>120</v>
      </c>
      <c r="AG3599" s="66">
        <f t="shared" si="136"/>
        <v>64.52216748768474</v>
      </c>
      <c r="AH3599" s="143">
        <f t="shared" si="137"/>
        <v>1000</v>
      </c>
    </row>
    <row r="3600" spans="1:34" s="811" customFormat="1" x14ac:dyDescent="0.3">
      <c r="A3600" s="811">
        <v>203529</v>
      </c>
      <c r="B3600" s="1348">
        <v>5.4</v>
      </c>
      <c r="C3600" s="1348"/>
      <c r="D3600" s="810">
        <v>7.7272727272727266</v>
      </c>
      <c r="E3600" s="808">
        <v>0.20899999999999999</v>
      </c>
      <c r="F3600" s="812">
        <v>229.90000000000003</v>
      </c>
      <c r="H3600" s="1348">
        <v>21.28</v>
      </c>
      <c r="I3600" s="812">
        <v>410</v>
      </c>
      <c r="J3600" s="733">
        <v>9.5799999999999996E-2</v>
      </c>
      <c r="K3600" s="733">
        <v>6.87</v>
      </c>
      <c r="L3600" s="811">
        <v>400</v>
      </c>
      <c r="M3600" s="733">
        <v>0.47</v>
      </c>
      <c r="N3600" s="733">
        <v>1.48</v>
      </c>
      <c r="O3600" s="733">
        <v>31.16</v>
      </c>
      <c r="P3600" s="733">
        <v>3.49</v>
      </c>
      <c r="R3600" s="810">
        <v>1.2625974457713305</v>
      </c>
      <c r="S3600" s="1348">
        <v>9.379999999999999</v>
      </c>
      <c r="Y3600" s="1348">
        <v>33.6</v>
      </c>
      <c r="AA3600" s="810">
        <v>4.95</v>
      </c>
      <c r="AB3600" s="810">
        <v>0.27400000000000002</v>
      </c>
      <c r="AC3600" s="811">
        <v>9.6999999999999993</v>
      </c>
      <c r="AD3600" s="815">
        <v>560</v>
      </c>
      <c r="AE3600" s="815">
        <v>320</v>
      </c>
      <c r="AF3600" s="815">
        <v>120</v>
      </c>
      <c r="AG3600" s="66">
        <f t="shared" si="136"/>
        <v>72.380357142857136</v>
      </c>
      <c r="AH3600" s="143">
        <f t="shared" si="137"/>
        <v>1000</v>
      </c>
    </row>
    <row r="3601" spans="1:34" x14ac:dyDescent="0.3">
      <c r="A3601" s="1370">
        <v>203530</v>
      </c>
      <c r="B3601" s="1502">
        <v>24.5</v>
      </c>
      <c r="C3601" s="1371">
        <v>4.9000000000000004</v>
      </c>
      <c r="D3601" s="1372">
        <v>8.8800000000000008</v>
      </c>
      <c r="E3601" s="1587">
        <v>0.19800000000000001</v>
      </c>
      <c r="F3601" s="1373">
        <v>217.8</v>
      </c>
      <c r="G3601" s="1370"/>
      <c r="H3601" s="1503">
        <v>30.37</v>
      </c>
      <c r="I3601" s="1373">
        <f>J3601*1000</f>
        <v>118</v>
      </c>
      <c r="J3601" s="1504">
        <v>0.11799999999999999</v>
      </c>
      <c r="K3601" s="1504">
        <v>9.51</v>
      </c>
      <c r="L3601" s="1504">
        <v>480</v>
      </c>
      <c r="M3601" s="1504">
        <v>0.37</v>
      </c>
      <c r="N3601" s="1504">
        <v>0.7</v>
      </c>
      <c r="O3601" s="1504">
        <v>3.38</v>
      </c>
      <c r="P3601" s="1504">
        <v>2.25</v>
      </c>
      <c r="Q3601" s="1370"/>
      <c r="R3601" s="1372">
        <v>1.1877355831060472</v>
      </c>
      <c r="S3601" s="1371">
        <v>8.11</v>
      </c>
      <c r="T3601" s="1370"/>
      <c r="U3601" s="1370"/>
      <c r="V3601" s="1370"/>
      <c r="W3601" s="1370"/>
      <c r="X3601" s="1370"/>
      <c r="Y3601" s="1502">
        <v>26.4</v>
      </c>
      <c r="Z3601" s="1370"/>
      <c r="AA3601" s="1372">
        <v>4.16</v>
      </c>
      <c r="AB3601" s="1505">
        <v>0.52900000000000003</v>
      </c>
      <c r="AC3601" s="1370">
        <v>6.4</v>
      </c>
      <c r="AD3601" s="1506">
        <v>440</v>
      </c>
      <c r="AE3601" s="1506">
        <v>280</v>
      </c>
      <c r="AF3601" s="1506">
        <v>280</v>
      </c>
      <c r="AG3601" s="66">
        <f t="shared" si="136"/>
        <v>127.52045454545456</v>
      </c>
      <c r="AH3601" s="143">
        <f t="shared" si="137"/>
        <v>1000</v>
      </c>
    </row>
    <row r="3602" spans="1:34" x14ac:dyDescent="0.3">
      <c r="A3602" s="1370">
        <v>203531</v>
      </c>
      <c r="B3602" s="1502">
        <v>25.8</v>
      </c>
      <c r="C3602" s="1371">
        <v>4.0999999999999996</v>
      </c>
      <c r="D3602" s="1372">
        <v>8.7200000000000006</v>
      </c>
      <c r="E3602" s="1587">
        <v>0.21099999999999999</v>
      </c>
      <c r="F3602" s="1373">
        <v>232.1</v>
      </c>
      <c r="G3602" s="1370"/>
      <c r="H3602" s="1503">
        <v>84.9</v>
      </c>
      <c r="I3602" s="1373">
        <f>J3602*1000</f>
        <v>54</v>
      </c>
      <c r="J3602" s="1504">
        <v>5.3999999999999999E-2</v>
      </c>
      <c r="K3602" s="1504">
        <v>9.5500000000000007</v>
      </c>
      <c r="L3602" s="1504">
        <v>520</v>
      </c>
      <c r="M3602" s="1504">
        <v>0.62</v>
      </c>
      <c r="N3602" s="1504">
        <v>0.68</v>
      </c>
      <c r="O3602" s="1504">
        <v>4.3499999999999996</v>
      </c>
      <c r="P3602" s="1504">
        <v>2.5499999999999998</v>
      </c>
      <c r="Q3602" s="1370"/>
      <c r="R3602" s="1372">
        <v>1.3766627390349881</v>
      </c>
      <c r="S3602" s="1371">
        <v>8.98</v>
      </c>
      <c r="T3602" s="1370"/>
      <c r="U3602" s="1370"/>
      <c r="V3602" s="1370"/>
      <c r="W3602" s="1370"/>
      <c r="X3602" s="1370"/>
      <c r="Y3602" s="1502">
        <v>22.5</v>
      </c>
      <c r="Z3602" s="1370"/>
      <c r="AA3602" s="1372">
        <v>4.6399999999999997</v>
      </c>
      <c r="AB3602" s="1505">
        <v>0.9</v>
      </c>
      <c r="AC3602" s="1370">
        <v>11.2</v>
      </c>
      <c r="AD3602" s="1506">
        <v>450</v>
      </c>
      <c r="AE3602" s="1506">
        <v>280</v>
      </c>
      <c r="AF3602" s="1506">
        <v>270</v>
      </c>
      <c r="AG3602" s="66">
        <f t="shared" si="136"/>
        <v>150.25333333333336</v>
      </c>
      <c r="AH3602" s="143">
        <f t="shared" si="137"/>
        <v>1000</v>
      </c>
    </row>
    <row r="3603" spans="1:34" x14ac:dyDescent="0.3">
      <c r="A3603" s="1370">
        <v>203532</v>
      </c>
      <c r="B3603" s="1502">
        <v>0.3</v>
      </c>
      <c r="C3603" s="1371"/>
      <c r="D3603" s="1372">
        <v>7.25</v>
      </c>
      <c r="E3603" s="1587">
        <v>0.249</v>
      </c>
      <c r="F3603" s="1373">
        <v>273.90000000000003</v>
      </c>
      <c r="G3603" s="1370"/>
      <c r="H3603" s="1503">
        <v>27.07</v>
      </c>
      <c r="I3603" s="1373">
        <f>J3603*1000</f>
        <v>187</v>
      </c>
      <c r="J3603" s="1504">
        <v>0.187</v>
      </c>
      <c r="K3603" s="1504">
        <v>2.3199999999999998</v>
      </c>
      <c r="L3603" s="1504">
        <v>480</v>
      </c>
      <c r="M3603" s="1504">
        <v>0.18</v>
      </c>
      <c r="N3603" s="1504">
        <v>0.82</v>
      </c>
      <c r="O3603" s="1504">
        <v>14.4</v>
      </c>
      <c r="P3603" s="1504">
        <v>14.85</v>
      </c>
      <c r="Q3603" s="1370"/>
      <c r="R3603" s="1372">
        <v>0.82616052398050188</v>
      </c>
      <c r="S3603" s="1371">
        <v>6.15</v>
      </c>
      <c r="T3603" s="1370"/>
      <c r="U3603" s="1370"/>
      <c r="V3603" s="1370"/>
      <c r="W3603" s="1370"/>
      <c r="X3603" s="1370"/>
      <c r="Y3603" s="1502">
        <v>36.4</v>
      </c>
      <c r="Z3603" s="1370"/>
      <c r="AA3603" s="1372">
        <v>4.3499999999999996</v>
      </c>
      <c r="AB3603" s="1505">
        <v>0.29299999999999998</v>
      </c>
      <c r="AC3603" s="1370">
        <v>10.9</v>
      </c>
      <c r="AD3603" s="1506">
        <v>520</v>
      </c>
      <c r="AE3603" s="1506">
        <v>290</v>
      </c>
      <c r="AF3603" s="1506">
        <v>190</v>
      </c>
      <c r="AG3603" s="66">
        <f t="shared" si="136"/>
        <v>22.562637362637364</v>
      </c>
      <c r="AH3603" s="143">
        <f t="shared" si="137"/>
        <v>1000</v>
      </c>
    </row>
    <row r="3604" spans="1:34" x14ac:dyDescent="0.3">
      <c r="A3604" s="1370">
        <v>203533</v>
      </c>
      <c r="B3604" s="1502">
        <v>0.2</v>
      </c>
      <c r="C3604" s="1371"/>
      <c r="D3604" s="1372">
        <v>7.31</v>
      </c>
      <c r="E3604" s="1587">
        <v>0.27200000000000002</v>
      </c>
      <c r="F3604" s="1373">
        <v>299.20000000000005</v>
      </c>
      <c r="G3604" s="1370"/>
      <c r="H3604" s="1503">
        <v>11.18</v>
      </c>
      <c r="I3604" s="1373">
        <f>J3604*1000</f>
        <v>168</v>
      </c>
      <c r="J3604" s="1504">
        <v>0.16800000000000001</v>
      </c>
      <c r="K3604" s="1504">
        <v>3.24</v>
      </c>
      <c r="L3604" s="1504">
        <v>660</v>
      </c>
      <c r="M3604" s="1504">
        <v>0.17</v>
      </c>
      <c r="N3604" s="1504">
        <v>0.52</v>
      </c>
      <c r="O3604" s="1504">
        <v>9.2200000000000006</v>
      </c>
      <c r="P3604" s="1504">
        <v>10.3</v>
      </c>
      <c r="Q3604" s="1370"/>
      <c r="R3604" s="1372">
        <v>1.0448116768051807</v>
      </c>
      <c r="S3604" s="1371">
        <v>7.66</v>
      </c>
      <c r="T3604" s="1370"/>
      <c r="U3604" s="1370"/>
      <c r="V3604" s="1370"/>
      <c r="W3604" s="1370"/>
      <c r="X3604" s="1370"/>
      <c r="Y3604" s="1502">
        <v>26</v>
      </c>
      <c r="Z3604" s="1370"/>
      <c r="AA3604" s="1372">
        <v>3.94</v>
      </c>
      <c r="AB3604" s="1505">
        <v>0.29799999999999999</v>
      </c>
      <c r="AC3604" s="1370">
        <v>7.1</v>
      </c>
      <c r="AD3604" s="1506">
        <v>520</v>
      </c>
      <c r="AE3604" s="1506">
        <v>320</v>
      </c>
      <c r="AF3604" s="1506">
        <v>160</v>
      </c>
      <c r="AG3604" s="66">
        <f t="shared" si="136"/>
        <v>44.113846153846161</v>
      </c>
      <c r="AH3604" s="143">
        <f t="shared" si="137"/>
        <v>1000</v>
      </c>
    </row>
    <row r="3605" spans="1:34" s="1492" customFormat="1" x14ac:dyDescent="0.3">
      <c r="A3605" s="1370">
        <v>203534</v>
      </c>
      <c r="B3605" s="1507">
        <v>7.1</v>
      </c>
      <c r="C3605" s="1508"/>
      <c r="D3605" s="1372">
        <v>8.76</v>
      </c>
      <c r="E3605" s="1587">
        <v>0.66600000000000004</v>
      </c>
      <c r="F3605" s="1373">
        <v>732.60000000000014</v>
      </c>
      <c r="G3605" s="1509"/>
      <c r="H3605" s="1503">
        <v>72.459999999999994</v>
      </c>
      <c r="I3605" s="1373">
        <f>J3605*1000</f>
        <v>896</v>
      </c>
      <c r="J3605" s="1504">
        <v>0.89600000000000002</v>
      </c>
      <c r="K3605" s="1504">
        <v>8.31</v>
      </c>
      <c r="L3605" s="1504">
        <v>890</v>
      </c>
      <c r="M3605" s="1504">
        <v>1.1000000000000001</v>
      </c>
      <c r="N3605" s="1504">
        <v>0.93</v>
      </c>
      <c r="O3605" s="1504">
        <v>4.63</v>
      </c>
      <c r="P3605" s="1504">
        <v>2.61</v>
      </c>
      <c r="Q3605" s="1510"/>
      <c r="R3605" s="1511">
        <v>1.57</v>
      </c>
      <c r="S3605" s="1371">
        <v>10.35</v>
      </c>
      <c r="T3605" s="1512"/>
      <c r="U3605" s="1513"/>
      <c r="V3605" s="1508"/>
      <c r="W3605" s="1508"/>
      <c r="X3605" s="1508"/>
      <c r="Y3605" s="1507">
        <v>33.6</v>
      </c>
      <c r="Z3605" s="1514"/>
      <c r="AA3605" s="1514">
        <v>3.68</v>
      </c>
      <c r="AB3605" s="1515">
        <v>0.55900000000000005</v>
      </c>
      <c r="AC3605" s="1516">
        <v>9.9</v>
      </c>
      <c r="AD3605" s="1517">
        <v>560</v>
      </c>
      <c r="AE3605" s="1518">
        <v>290</v>
      </c>
      <c r="AF3605" s="1519">
        <v>150</v>
      </c>
      <c r="AG3605" s="66">
        <f t="shared" si="136"/>
        <v>87.551785714285714</v>
      </c>
      <c r="AH3605" s="143">
        <f t="shared" si="137"/>
        <v>1000</v>
      </c>
    </row>
    <row r="3606" spans="1:34" s="1492" customFormat="1" x14ac:dyDescent="0.3">
      <c r="A3606" s="1589">
        <v>203535</v>
      </c>
      <c r="B3606" s="1602">
        <v>0.01</v>
      </c>
      <c r="C3606" s="1602"/>
      <c r="D3606" s="1264">
        <v>5.38</v>
      </c>
      <c r="E3606" s="1591">
        <v>7.2999999999999995E-2</v>
      </c>
      <c r="F3606" s="1592">
        <v>80.3</v>
      </c>
      <c r="G3606" s="1592"/>
      <c r="H3606" s="1592">
        <v>201.29</v>
      </c>
      <c r="I3606" s="975">
        <v>110</v>
      </c>
      <c r="J3606" s="975">
        <v>1.7000000000000001E-2</v>
      </c>
      <c r="K3606" s="975">
        <v>0.47</v>
      </c>
      <c r="L3606" s="975">
        <v>90</v>
      </c>
      <c r="M3606" s="975">
        <v>0.59</v>
      </c>
      <c r="N3606" s="975">
        <v>1.18</v>
      </c>
      <c r="O3606" s="975">
        <v>81.3</v>
      </c>
      <c r="P3606" s="975">
        <v>38.479999999999997</v>
      </c>
      <c r="Q3606" s="1593"/>
      <c r="R3606" s="1594">
        <v>1.3264800937972654</v>
      </c>
      <c r="S3606" s="1595">
        <v>9.2900000000000009</v>
      </c>
      <c r="T3606" s="1596"/>
      <c r="U3606" s="1597"/>
      <c r="V3606" s="1590"/>
      <c r="W3606" s="1590"/>
      <c r="X3606" s="1590"/>
      <c r="Y3606" s="1620">
        <v>12</v>
      </c>
      <c r="Z3606" s="1620">
        <v>4.28</v>
      </c>
      <c r="AA3606" s="1620">
        <v>3.63</v>
      </c>
      <c r="AB3606" s="1620">
        <v>0.81</v>
      </c>
      <c r="AC3606" s="1598">
        <v>7.9</v>
      </c>
      <c r="AD3606" s="1599">
        <v>200</v>
      </c>
      <c r="AE3606" s="1600">
        <v>120</v>
      </c>
      <c r="AF3606" s="1601">
        <v>680</v>
      </c>
      <c r="AG3606" s="66">
        <f t="shared" si="136"/>
        <v>13.865</v>
      </c>
      <c r="AH3606" s="143">
        <f t="shared" si="137"/>
        <v>1000</v>
      </c>
    </row>
    <row r="3607" spans="1:34" s="1492" customFormat="1" x14ac:dyDescent="0.3">
      <c r="A3607" s="1589">
        <v>203536</v>
      </c>
      <c r="B3607" s="1602">
        <v>0.1</v>
      </c>
      <c r="C3607" s="1602"/>
      <c r="D3607" s="1264">
        <v>6.27</v>
      </c>
      <c r="E3607" s="1591">
        <v>4.7E-2</v>
      </c>
      <c r="F3607" s="1592">
        <v>51.7</v>
      </c>
      <c r="G3607" s="1592"/>
      <c r="H3607" s="1592">
        <v>72.88</v>
      </c>
      <c r="I3607" s="975">
        <v>130</v>
      </c>
      <c r="J3607" s="975">
        <v>2.3E-2</v>
      </c>
      <c r="K3607" s="975">
        <v>1.05</v>
      </c>
      <c r="L3607" s="975">
        <v>210</v>
      </c>
      <c r="M3607" s="975">
        <v>0.42</v>
      </c>
      <c r="N3607" s="975">
        <v>1.33</v>
      </c>
      <c r="O3607" s="975">
        <v>54.22</v>
      </c>
      <c r="P3607" s="975">
        <v>22.19</v>
      </c>
      <c r="Q3607" s="1593"/>
      <c r="R3607" s="1594">
        <v>1.0302267875409195</v>
      </c>
      <c r="S3607" s="1595">
        <v>6.7</v>
      </c>
      <c r="T3607" s="1596"/>
      <c r="U3607" s="1597"/>
      <c r="V3607" s="1590"/>
      <c r="W3607" s="1590"/>
      <c r="X3607" s="1590"/>
      <c r="Y3607" s="1620">
        <v>20</v>
      </c>
      <c r="Z3607" s="1620">
        <v>5.18</v>
      </c>
      <c r="AA3607" s="1620">
        <v>4.1500000000000004</v>
      </c>
      <c r="AB3607" s="1620">
        <v>0.51100000000000001</v>
      </c>
      <c r="AC3607" s="1598">
        <v>6.3</v>
      </c>
      <c r="AD3607" s="1599">
        <v>400</v>
      </c>
      <c r="AE3607" s="1600">
        <v>280</v>
      </c>
      <c r="AF3607" s="1601">
        <v>320</v>
      </c>
      <c r="AG3607" s="66">
        <f t="shared" si="136"/>
        <v>18.585000000000001</v>
      </c>
      <c r="AH3607" s="143">
        <f t="shared" si="137"/>
        <v>1000</v>
      </c>
    </row>
    <row r="3608" spans="1:34" s="1492" customFormat="1" x14ac:dyDescent="0.3">
      <c r="A3608" s="1589">
        <v>203537</v>
      </c>
      <c r="B3608" s="1602">
        <v>2.2999999999999998</v>
      </c>
      <c r="C3608" s="1602"/>
      <c r="D3608" s="1264">
        <v>7.66</v>
      </c>
      <c r="E3608" s="1591">
        <v>0.155</v>
      </c>
      <c r="F3608" s="1592">
        <v>170.5</v>
      </c>
      <c r="G3608" s="1592"/>
      <c r="H3608" s="1592">
        <v>17.16</v>
      </c>
      <c r="I3608" s="975">
        <v>110</v>
      </c>
      <c r="J3608" s="975">
        <v>4.7E-2</v>
      </c>
      <c r="K3608" s="975">
        <v>4.97</v>
      </c>
      <c r="L3608" s="975">
        <v>520</v>
      </c>
      <c r="M3608" s="975">
        <v>0.18</v>
      </c>
      <c r="N3608" s="975">
        <v>0.78</v>
      </c>
      <c r="O3608" s="975">
        <v>17.559999999999999</v>
      </c>
      <c r="P3608" s="975">
        <v>9.7899999999999991</v>
      </c>
      <c r="Q3608" s="1593"/>
      <c r="R3608" s="1594">
        <v>1.0538216609340423</v>
      </c>
      <c r="S3608" s="1595">
        <v>7.7</v>
      </c>
      <c r="T3608" s="1596"/>
      <c r="U3608" s="1597"/>
      <c r="V3608" s="1590"/>
      <c r="W3608" s="1590"/>
      <c r="X3608" s="1590"/>
      <c r="Y3608" s="1620">
        <v>34.799999999999997</v>
      </c>
      <c r="Z3608" s="1620"/>
      <c r="AA3608" s="1620">
        <v>3.87</v>
      </c>
      <c r="AB3608" s="1620">
        <v>0.45600000000000002</v>
      </c>
      <c r="AC3608" s="1598">
        <v>11.4</v>
      </c>
      <c r="AD3608" s="1599">
        <v>580</v>
      </c>
      <c r="AE3608" s="1600">
        <v>270</v>
      </c>
      <c r="AF3608" s="1601">
        <v>150</v>
      </c>
      <c r="AG3608" s="66">
        <f t="shared" si="136"/>
        <v>50.556896551724137</v>
      </c>
      <c r="AH3608" s="143">
        <f t="shared" si="137"/>
        <v>1000</v>
      </c>
    </row>
    <row r="3609" spans="1:34" s="1492" customFormat="1" x14ac:dyDescent="0.3">
      <c r="A3609" s="1589">
        <v>203538</v>
      </c>
      <c r="B3609" s="1602">
        <v>5.8</v>
      </c>
      <c r="C3609" s="1602"/>
      <c r="D3609" s="1264">
        <v>8.35</v>
      </c>
      <c r="E3609" s="1591">
        <v>0.218</v>
      </c>
      <c r="F3609" s="1592">
        <v>239.8</v>
      </c>
      <c r="G3609" s="1592"/>
      <c r="H3609" s="1592">
        <v>45.93</v>
      </c>
      <c r="I3609" s="975">
        <v>400</v>
      </c>
      <c r="J3609" s="975">
        <v>0.16800000000000001</v>
      </c>
      <c r="K3609" s="975">
        <v>9.8800000000000008</v>
      </c>
      <c r="L3609" s="975">
        <v>680</v>
      </c>
      <c r="M3609" s="975">
        <v>1.02</v>
      </c>
      <c r="N3609" s="975">
        <v>0.95</v>
      </c>
      <c r="O3609" s="975">
        <v>4.82</v>
      </c>
      <c r="P3609" s="975">
        <v>4.12</v>
      </c>
      <c r="Q3609" s="1593"/>
      <c r="R3609" s="1594">
        <v>1.7190820800000002</v>
      </c>
      <c r="S3609" s="1595">
        <v>14.16</v>
      </c>
      <c r="T3609" s="1596"/>
      <c r="U3609" s="1597"/>
      <c r="V3609" s="1590"/>
      <c r="W3609" s="1590"/>
      <c r="X3609" s="1590"/>
      <c r="Y3609" s="1620">
        <v>29.5</v>
      </c>
      <c r="Z3609" s="1620"/>
      <c r="AA3609" s="1620">
        <v>4.4800000000000004</v>
      </c>
      <c r="AB3609" s="1620">
        <v>0.47799999999999998</v>
      </c>
      <c r="AC3609" s="1598">
        <v>8.9</v>
      </c>
      <c r="AD3609" s="1599">
        <v>590</v>
      </c>
      <c r="AE3609" s="1600">
        <v>270</v>
      </c>
      <c r="AF3609" s="1601">
        <v>140</v>
      </c>
      <c r="AG3609" s="66">
        <f t="shared" si="136"/>
        <v>118.56</v>
      </c>
      <c r="AH3609" s="143">
        <f t="shared" si="137"/>
        <v>1000</v>
      </c>
    </row>
    <row r="3610" spans="1:34" s="1492" customFormat="1" x14ac:dyDescent="0.3">
      <c r="A3610" s="1485">
        <v>203539</v>
      </c>
      <c r="B3610" s="1603">
        <v>23.7</v>
      </c>
      <c r="C3610" s="1603">
        <v>6.6</v>
      </c>
      <c r="D3610" s="152">
        <v>8.32</v>
      </c>
      <c r="E3610" s="1520">
        <v>0.96499999999999997</v>
      </c>
      <c r="F3610" s="1487">
        <v>1061.5</v>
      </c>
      <c r="G3610" s="1487"/>
      <c r="H3610" s="1607">
        <v>5.17</v>
      </c>
      <c r="I3610" s="795">
        <v>394</v>
      </c>
      <c r="J3610" s="795">
        <v>0.55200000000000005</v>
      </c>
      <c r="K3610" s="795">
        <v>10.628</v>
      </c>
      <c r="L3610" s="1603">
        <v>675</v>
      </c>
      <c r="M3610" s="795">
        <v>0.73</v>
      </c>
      <c r="N3610" s="795">
        <v>0.89</v>
      </c>
      <c r="O3610" s="795">
        <v>5.25</v>
      </c>
      <c r="P3610" s="795">
        <v>14.37</v>
      </c>
      <c r="Q3610" s="1488"/>
      <c r="R3610" s="1607">
        <v>0.44904279887583548</v>
      </c>
      <c r="S3610" s="139">
        <v>3.21</v>
      </c>
      <c r="T3610" s="1489"/>
      <c r="U3610" s="1490"/>
      <c r="V3610" s="1486"/>
      <c r="W3610" s="1486"/>
      <c r="X3610" s="1486"/>
      <c r="Y3610" s="1603">
        <v>17</v>
      </c>
      <c r="Z3610" s="1621"/>
      <c r="AA3610" s="1621"/>
      <c r="AB3610" s="1621"/>
      <c r="AC3610" s="1491"/>
      <c r="AD3610" s="1604">
        <v>340</v>
      </c>
      <c r="AE3610" s="1605">
        <v>280</v>
      </c>
      <c r="AF3610" s="1606">
        <v>380</v>
      </c>
      <c r="AG3610" s="66">
        <f t="shared" si="136"/>
        <v>221.3124705882353</v>
      </c>
      <c r="AH3610" s="143">
        <f t="shared" si="137"/>
        <v>1000</v>
      </c>
    </row>
    <row r="3611" spans="1:34" s="90" customFormat="1" x14ac:dyDescent="0.3">
      <c r="A3611" s="90">
        <v>203540</v>
      </c>
      <c r="B3611" s="1608">
        <v>28</v>
      </c>
      <c r="C3611" s="1608">
        <v>12.9</v>
      </c>
      <c r="D3611" s="152">
        <v>8.25</v>
      </c>
      <c r="E3611" s="1127">
        <v>1.94</v>
      </c>
      <c r="F3611" s="1609">
        <v>2134</v>
      </c>
      <c r="H3611" s="152">
        <v>72.75</v>
      </c>
      <c r="I3611" s="804">
        <v>212</v>
      </c>
      <c r="J3611" s="753">
        <v>0.70899999999999996</v>
      </c>
      <c r="K3611" s="753">
        <v>11.432</v>
      </c>
      <c r="L3611" s="96">
        <v>1685</v>
      </c>
      <c r="M3611" s="753">
        <v>0.73</v>
      </c>
      <c r="N3611" s="753">
        <v>0.82</v>
      </c>
      <c r="O3611" s="753">
        <v>7.21</v>
      </c>
      <c r="P3611" s="753">
        <v>3.85</v>
      </c>
      <c r="R3611" s="152">
        <v>1.76639648</v>
      </c>
      <c r="S3611" s="152">
        <v>15.56</v>
      </c>
      <c r="Y3611" s="1608">
        <v>33.6</v>
      </c>
      <c r="AA3611" s="152">
        <v>3.64</v>
      </c>
      <c r="AB3611" s="1622">
        <v>0.57499999999999996</v>
      </c>
      <c r="AC3611" s="90">
        <v>7</v>
      </c>
      <c r="AD3611" s="1610">
        <v>540</v>
      </c>
      <c r="AE3611" s="1610">
        <v>300</v>
      </c>
      <c r="AF3611" s="1610">
        <v>160</v>
      </c>
      <c r="AG3611" s="66">
        <f t="shared" si="136"/>
        <v>120.44428571428571</v>
      </c>
      <c r="AH3611" s="143">
        <f t="shared" si="137"/>
        <v>1000</v>
      </c>
    </row>
    <row r="3612" spans="1:34" s="90" customFormat="1" x14ac:dyDescent="0.3">
      <c r="A3612" s="90">
        <v>203541</v>
      </c>
      <c r="B3612" s="1608">
        <v>22.5</v>
      </c>
      <c r="C3612" s="1608">
        <v>10.1</v>
      </c>
      <c r="D3612" s="152">
        <v>8.7799999999999994</v>
      </c>
      <c r="E3612" s="1127">
        <v>0.27900000000000003</v>
      </c>
      <c r="F3612" s="1609">
        <v>306.90000000000003</v>
      </c>
      <c r="H3612" s="152">
        <v>23.57</v>
      </c>
      <c r="I3612" s="804">
        <v>168</v>
      </c>
      <c r="J3612" s="753">
        <v>0.21</v>
      </c>
      <c r="K3612" s="753">
        <v>9.89</v>
      </c>
      <c r="L3612" s="96">
        <v>984</v>
      </c>
      <c r="M3612" s="753">
        <v>0.67</v>
      </c>
      <c r="N3612" s="753">
        <v>0.76</v>
      </c>
      <c r="O3612" s="753">
        <v>7.74</v>
      </c>
      <c r="P3612" s="753">
        <v>6.95</v>
      </c>
      <c r="R3612" s="152">
        <v>1.3506166835098079</v>
      </c>
      <c r="S3612" s="152">
        <v>8.81</v>
      </c>
      <c r="Y3612" s="1608">
        <v>28.5</v>
      </c>
      <c r="AA3612" s="152">
        <v>3.66</v>
      </c>
      <c r="AB3612" s="1622">
        <v>0.84799999999999998</v>
      </c>
      <c r="AC3612" s="90">
        <v>10.7</v>
      </c>
      <c r="AD3612" s="1610">
        <v>570</v>
      </c>
      <c r="AE3612" s="1610">
        <v>320</v>
      </c>
      <c r="AF3612" s="1610">
        <v>110</v>
      </c>
      <c r="AG3612" s="66">
        <f t="shared" si="136"/>
        <v>122.84421052631581</v>
      </c>
      <c r="AH3612" s="143">
        <f t="shared" si="137"/>
        <v>1000</v>
      </c>
    </row>
    <row r="3613" spans="1:34" s="90" customFormat="1" x14ac:dyDescent="0.3">
      <c r="A3613" s="90">
        <v>203542</v>
      </c>
      <c r="B3613" s="1608">
        <v>20.7</v>
      </c>
      <c r="C3613" s="1608">
        <v>10.4</v>
      </c>
      <c r="D3613" s="152">
        <v>8.6999999999999993</v>
      </c>
      <c r="E3613" s="1127">
        <v>0.183</v>
      </c>
      <c r="F3613" s="1609">
        <v>201.3</v>
      </c>
      <c r="H3613" s="152">
        <v>57.47</v>
      </c>
      <c r="I3613" s="804">
        <v>250</v>
      </c>
      <c r="J3613" s="753">
        <v>9.6000000000000002E-2</v>
      </c>
      <c r="K3613" s="753">
        <v>10.073</v>
      </c>
      <c r="L3613" s="96">
        <v>1158</v>
      </c>
      <c r="M3613" s="753">
        <v>1.0900000000000001</v>
      </c>
      <c r="N3613" s="753">
        <v>1.26</v>
      </c>
      <c r="O3613" s="753">
        <v>9.67</v>
      </c>
      <c r="P3613" s="753">
        <v>6.86</v>
      </c>
      <c r="R3613" s="152">
        <v>1.69368048</v>
      </c>
      <c r="S3613" s="152">
        <v>13.44</v>
      </c>
      <c r="Y3613" s="1608">
        <v>31</v>
      </c>
      <c r="AA3613" s="152">
        <v>4.2</v>
      </c>
      <c r="AB3613" s="1622">
        <v>0.61299999999999999</v>
      </c>
      <c r="AC3613" s="90">
        <v>8.1</v>
      </c>
      <c r="AD3613" s="1610">
        <v>620</v>
      </c>
      <c r="AE3613" s="1610">
        <v>280</v>
      </c>
      <c r="AF3613" s="1610">
        <v>100</v>
      </c>
      <c r="AG3613" s="66">
        <f t="shared" si="136"/>
        <v>115.02716129032258</v>
      </c>
      <c r="AH3613" s="143">
        <f t="shared" si="137"/>
        <v>1000</v>
      </c>
    </row>
    <row r="3614" spans="1:34" s="415" customFormat="1" x14ac:dyDescent="0.3">
      <c r="A3614" s="415">
        <v>203543</v>
      </c>
      <c r="B3614" s="1611">
        <v>0.1</v>
      </c>
      <c r="C3614" s="1611"/>
      <c r="D3614" s="1405">
        <v>6.42</v>
      </c>
      <c r="E3614" s="1585">
        <v>0.109</v>
      </c>
      <c r="F3614" s="1612">
        <v>119.9</v>
      </c>
      <c r="H3614" s="1405">
        <v>38.1</v>
      </c>
      <c r="I3614" s="1406">
        <v>121</v>
      </c>
      <c r="J3614" s="890">
        <v>0.105</v>
      </c>
      <c r="K3614" s="890">
        <v>0.83599999999999997</v>
      </c>
      <c r="L3614" s="1613">
        <v>195</v>
      </c>
      <c r="M3614" s="890">
        <v>0.39</v>
      </c>
      <c r="N3614" s="890">
        <v>0.57999999999999996</v>
      </c>
      <c r="O3614" s="890">
        <v>21.43</v>
      </c>
      <c r="P3614" s="890">
        <v>56.81</v>
      </c>
      <c r="R3614" s="1405">
        <v>0.68950174862983993</v>
      </c>
      <c r="S3614" s="1405">
        <v>5.14</v>
      </c>
      <c r="Y3614" s="1611">
        <v>3.6</v>
      </c>
      <c r="Z3614" s="415">
        <v>6.01</v>
      </c>
      <c r="AA3614" s="1405">
        <v>3.61</v>
      </c>
      <c r="AB3614" s="1623">
        <v>0.85399999999999998</v>
      </c>
      <c r="AC3614" s="415">
        <v>7.6</v>
      </c>
      <c r="AD3614" s="1614">
        <v>60</v>
      </c>
      <c r="AE3614" s="1614">
        <v>80</v>
      </c>
      <c r="AF3614" s="1614">
        <v>860</v>
      </c>
      <c r="AG3614" s="66">
        <f t="shared" si="136"/>
        <v>82.206666666666649</v>
      </c>
      <c r="AH3614" s="143">
        <f t="shared" si="137"/>
        <v>1000</v>
      </c>
    </row>
    <row r="3615" spans="1:34" s="415" customFormat="1" x14ac:dyDescent="0.3">
      <c r="A3615" s="415">
        <v>203544</v>
      </c>
      <c r="B3615" s="1611">
        <v>0.1</v>
      </c>
      <c r="C3615" s="1611"/>
      <c r="D3615" s="1405">
        <v>5.2</v>
      </c>
      <c r="E3615" s="1585">
        <v>0.13100000000000001</v>
      </c>
      <c r="F3615" s="1612">
        <v>144.1</v>
      </c>
      <c r="H3615" s="1405">
        <v>41.97</v>
      </c>
      <c r="I3615" s="1406">
        <v>61</v>
      </c>
      <c r="J3615" s="890">
        <v>0.14499999999999999</v>
      </c>
      <c r="K3615" s="890">
        <v>0.28199999999999997</v>
      </c>
      <c r="L3615" s="1613">
        <v>56</v>
      </c>
      <c r="M3615" s="890">
        <v>0.25</v>
      </c>
      <c r="N3615" s="890">
        <v>0.4</v>
      </c>
      <c r="O3615" s="890">
        <v>4.5599999999999996</v>
      </c>
      <c r="P3615" s="890">
        <v>168.83</v>
      </c>
      <c r="R3615" s="1405">
        <v>0.73823119080077693</v>
      </c>
      <c r="S3615" s="1405">
        <v>5.1100000000000003</v>
      </c>
      <c r="Y3615" s="1611">
        <v>3.6</v>
      </c>
      <c r="Z3615" s="415">
        <v>4.96</v>
      </c>
      <c r="AA3615" s="1405">
        <v>4.91</v>
      </c>
      <c r="AB3615" s="1623">
        <v>0.29599999999999999</v>
      </c>
      <c r="AC3615" s="415">
        <v>7</v>
      </c>
      <c r="AD3615" s="1614">
        <v>60</v>
      </c>
      <c r="AE3615" s="1614">
        <v>80</v>
      </c>
      <c r="AF3615" s="1614">
        <v>860</v>
      </c>
      <c r="AG3615" s="66">
        <f t="shared" si="136"/>
        <v>27.729999999999997</v>
      </c>
      <c r="AH3615" s="143">
        <f t="shared" si="137"/>
        <v>1000</v>
      </c>
    </row>
    <row r="3616" spans="1:34" s="415" customFormat="1" x14ac:dyDescent="0.3">
      <c r="A3616" s="415">
        <v>203545</v>
      </c>
      <c r="B3616" s="1611">
        <v>0</v>
      </c>
      <c r="C3616" s="1611"/>
      <c r="D3616" s="1405">
        <v>6.55</v>
      </c>
      <c r="E3616" s="1585">
        <v>4.2000000000000003E-2</v>
      </c>
      <c r="F3616" s="1612">
        <v>46.2</v>
      </c>
      <c r="H3616" s="1405">
        <v>8.6999999999999993</v>
      </c>
      <c r="I3616" s="1406">
        <v>50</v>
      </c>
      <c r="J3616" s="890">
        <v>0.08</v>
      </c>
      <c r="K3616" s="890">
        <v>0.94399999999999995</v>
      </c>
      <c r="L3616" s="1613">
        <v>262</v>
      </c>
      <c r="M3616" s="890">
        <v>0.85</v>
      </c>
      <c r="N3616" s="890">
        <v>0.45</v>
      </c>
      <c r="O3616" s="890">
        <v>13.13</v>
      </c>
      <c r="P3616" s="890">
        <v>61.79</v>
      </c>
      <c r="R3616" s="1405">
        <v>0.80561871378428052</v>
      </c>
      <c r="S3616" s="1405">
        <v>5.47</v>
      </c>
      <c r="Y3616" s="1611">
        <v>4.9000000000000004</v>
      </c>
      <c r="Z3616" s="415">
        <v>5.98</v>
      </c>
      <c r="AA3616" s="1405">
        <v>3.75</v>
      </c>
      <c r="AB3616" s="1623">
        <v>0.33</v>
      </c>
      <c r="AC3616" s="415">
        <v>9.6999999999999993</v>
      </c>
      <c r="AD3616" s="1614">
        <v>70</v>
      </c>
      <c r="AE3616" s="1614">
        <v>80</v>
      </c>
      <c r="AF3616" s="1614">
        <v>850</v>
      </c>
      <c r="AG3616" s="66">
        <f t="shared" si="136"/>
        <v>68.199183673469378</v>
      </c>
      <c r="AH3616" s="143">
        <f t="shared" si="137"/>
        <v>1000</v>
      </c>
    </row>
    <row r="3617" spans="1:34" s="90" customFormat="1" x14ac:dyDescent="0.3">
      <c r="A3617" s="755">
        <v>203546</v>
      </c>
      <c r="B3617" s="1615">
        <v>8.8000000000000007</v>
      </c>
      <c r="C3617" s="1615"/>
      <c r="D3617" s="757">
        <v>8.2100000000000009</v>
      </c>
      <c r="E3617" s="1570">
        <v>0.35699999999999998</v>
      </c>
      <c r="F3617" s="1616">
        <v>392.7</v>
      </c>
      <c r="G3617" s="755"/>
      <c r="H3617" s="757">
        <v>356.03</v>
      </c>
      <c r="I3617" s="758">
        <v>765</v>
      </c>
      <c r="J3617" s="986">
        <v>0.14299999999999999</v>
      </c>
      <c r="K3617" s="986">
        <v>9.8780000000000001</v>
      </c>
      <c r="L3617" s="1617">
        <v>1400</v>
      </c>
      <c r="M3617" s="986">
        <v>2.12</v>
      </c>
      <c r="N3617" s="986">
        <v>1.64</v>
      </c>
      <c r="O3617" s="986">
        <v>5.21</v>
      </c>
      <c r="P3617" s="986">
        <v>38.71</v>
      </c>
      <c r="Q3617" s="755"/>
      <c r="R3617" s="757">
        <v>1.63767152</v>
      </c>
      <c r="S3617" s="757">
        <v>11.92</v>
      </c>
      <c r="T3617" s="755"/>
      <c r="U3617" s="755"/>
      <c r="V3617" s="755"/>
      <c r="W3617" s="755"/>
      <c r="X3617" s="755"/>
      <c r="Y3617" s="1615">
        <v>36</v>
      </c>
      <c r="Z3617" s="755"/>
      <c r="AA3617" s="757">
        <v>4.84</v>
      </c>
      <c r="AB3617" s="1624">
        <v>0.34399999999999997</v>
      </c>
      <c r="AC3617" s="755">
        <v>11.4</v>
      </c>
      <c r="AD3617" s="1618">
        <v>600</v>
      </c>
      <c r="AE3617" s="1618">
        <v>280</v>
      </c>
      <c r="AF3617" s="1618">
        <v>120</v>
      </c>
      <c r="AG3617" s="66">
        <f t="shared" si="136"/>
        <v>97.13366666666667</v>
      </c>
      <c r="AH3617" s="143">
        <f t="shared" si="137"/>
        <v>1000</v>
      </c>
    </row>
    <row r="3618" spans="1:34" s="90" customFormat="1" x14ac:dyDescent="0.3">
      <c r="A3618" s="755">
        <v>203547</v>
      </c>
      <c r="B3618" s="1615">
        <v>9</v>
      </c>
      <c r="C3618" s="1615"/>
      <c r="D3618" s="757">
        <v>8.57</v>
      </c>
      <c r="E3618" s="1570">
        <v>0.2</v>
      </c>
      <c r="F3618" s="1616">
        <v>220.00000000000003</v>
      </c>
      <c r="G3618" s="755"/>
      <c r="H3618" s="757">
        <v>266.25</v>
      </c>
      <c r="I3618" s="758">
        <v>979</v>
      </c>
      <c r="J3618" s="986">
        <v>5.6000000000000001E-2</v>
      </c>
      <c r="K3618" s="986">
        <v>8.7230000000000008</v>
      </c>
      <c r="L3618" s="1617">
        <v>1137</v>
      </c>
      <c r="M3618" s="986">
        <v>2.62</v>
      </c>
      <c r="N3618" s="986">
        <v>1.72</v>
      </c>
      <c r="O3618" s="986">
        <v>12.83</v>
      </c>
      <c r="P3618" s="986">
        <v>21.4</v>
      </c>
      <c r="Q3618" s="755"/>
      <c r="R3618" s="757">
        <v>1.5720036800000001</v>
      </c>
      <c r="S3618" s="757">
        <v>10.24</v>
      </c>
      <c r="T3618" s="755"/>
      <c r="U3618" s="755"/>
      <c r="V3618" s="755"/>
      <c r="W3618" s="755"/>
      <c r="X3618" s="755"/>
      <c r="Y3618" s="1615">
        <v>36.6</v>
      </c>
      <c r="Z3618" s="755"/>
      <c r="AA3618" s="757">
        <v>4.91</v>
      </c>
      <c r="AB3618" s="1624">
        <v>0.36299999999999999</v>
      </c>
      <c r="AC3618" s="755">
        <v>9.5</v>
      </c>
      <c r="AD3618" s="1618">
        <v>610</v>
      </c>
      <c r="AE3618" s="1618">
        <v>379</v>
      </c>
      <c r="AF3618" s="1618">
        <v>110</v>
      </c>
      <c r="AG3618" s="66">
        <f t="shared" si="136"/>
        <v>84.37</v>
      </c>
      <c r="AH3618" s="143">
        <f t="shared" si="137"/>
        <v>1099</v>
      </c>
    </row>
    <row r="3619" spans="1:34" s="90" customFormat="1" x14ac:dyDescent="0.3">
      <c r="A3619" s="755">
        <v>203548</v>
      </c>
      <c r="B3619" s="1615">
        <v>13.2</v>
      </c>
      <c r="C3619" s="1615">
        <v>8.1</v>
      </c>
      <c r="D3619" s="757">
        <v>8.4</v>
      </c>
      <c r="E3619" s="1570">
        <v>0.27400000000000002</v>
      </c>
      <c r="F3619" s="1616">
        <v>301.40000000000003</v>
      </c>
      <c r="G3619" s="755"/>
      <c r="H3619" s="757">
        <v>332.64</v>
      </c>
      <c r="I3619" s="758">
        <v>584</v>
      </c>
      <c r="J3619" s="986">
        <v>6.6000000000000003E-2</v>
      </c>
      <c r="K3619" s="986">
        <v>8.7479999999999993</v>
      </c>
      <c r="L3619" s="1617">
        <v>784</v>
      </c>
      <c r="M3619" s="986">
        <v>1.79</v>
      </c>
      <c r="N3619" s="986">
        <v>0.9</v>
      </c>
      <c r="O3619" s="986">
        <v>3.48</v>
      </c>
      <c r="P3619" s="986">
        <v>10.72</v>
      </c>
      <c r="Q3619" s="755"/>
      <c r="R3619" s="757">
        <v>1.0526152430172084</v>
      </c>
      <c r="S3619" s="757">
        <v>7.75</v>
      </c>
      <c r="T3619" s="755"/>
      <c r="U3619" s="755"/>
      <c r="V3619" s="755"/>
      <c r="W3619" s="755"/>
      <c r="X3619" s="755"/>
      <c r="Y3619" s="1615">
        <v>36.229999999999997</v>
      </c>
      <c r="Z3619" s="755"/>
      <c r="AA3619" s="757">
        <v>4.01</v>
      </c>
      <c r="AB3619" s="1624">
        <v>0.60599999999999998</v>
      </c>
      <c r="AC3619" s="755">
        <v>9.4</v>
      </c>
      <c r="AD3619" s="1618">
        <v>590</v>
      </c>
      <c r="AE3619" s="1618">
        <v>280</v>
      </c>
      <c r="AF3619" s="1618">
        <v>130</v>
      </c>
      <c r="AG3619" s="66">
        <f t="shared" si="136"/>
        <v>85.47590394700525</v>
      </c>
      <c r="AH3619" s="143">
        <f t="shared" si="137"/>
        <v>1000</v>
      </c>
    </row>
    <row r="3620" spans="1:34" s="90" customFormat="1" x14ac:dyDescent="0.3">
      <c r="A3620" s="755">
        <v>203549</v>
      </c>
      <c r="B3620" s="1615">
        <v>6.8</v>
      </c>
      <c r="C3620" s="1615"/>
      <c r="D3620" s="757">
        <v>8.67</v>
      </c>
      <c r="E3620" s="1570">
        <v>0.16400000000000001</v>
      </c>
      <c r="F3620" s="1616">
        <v>180.40000000000003</v>
      </c>
      <c r="G3620" s="755"/>
      <c r="H3620" s="757">
        <v>94.25</v>
      </c>
      <c r="I3620" s="758">
        <v>796</v>
      </c>
      <c r="J3620" s="986">
        <v>0.05</v>
      </c>
      <c r="K3620" s="986">
        <v>9.5890000000000004</v>
      </c>
      <c r="L3620" s="1617">
        <v>952</v>
      </c>
      <c r="M3620" s="986">
        <v>0.41</v>
      </c>
      <c r="N3620" s="986">
        <v>1.01</v>
      </c>
      <c r="O3620" s="986">
        <v>3.25</v>
      </c>
      <c r="P3620" s="986">
        <v>5.35</v>
      </c>
      <c r="Q3620" s="755"/>
      <c r="R3620" s="757">
        <v>0.73850481875838647</v>
      </c>
      <c r="S3620" s="757">
        <v>4.88</v>
      </c>
      <c r="T3620" s="755"/>
      <c r="U3620" s="755"/>
      <c r="V3620" s="755"/>
      <c r="W3620" s="755"/>
      <c r="X3620" s="755"/>
      <c r="Y3620" s="1615">
        <v>36.1</v>
      </c>
      <c r="Z3620" s="755"/>
      <c r="AA3620" s="757">
        <v>3.54</v>
      </c>
      <c r="AB3620" s="1624">
        <v>0.66200000000000003</v>
      </c>
      <c r="AC3620" s="755">
        <v>7.1</v>
      </c>
      <c r="AD3620" s="1618">
        <v>580</v>
      </c>
      <c r="AE3620" s="1618">
        <v>270</v>
      </c>
      <c r="AF3620" s="1618">
        <v>150</v>
      </c>
      <c r="AG3620" s="66">
        <f t="shared" si="136"/>
        <v>94.030637119113578</v>
      </c>
      <c r="AH3620" s="143">
        <f t="shared" si="137"/>
        <v>1000</v>
      </c>
    </row>
    <row r="3621" spans="1:34" s="90" customFormat="1" x14ac:dyDescent="0.3">
      <c r="A3621" s="755">
        <v>203550</v>
      </c>
      <c r="B3621" s="1615">
        <v>12.2</v>
      </c>
      <c r="C3621" s="1615">
        <v>7.5</v>
      </c>
      <c r="D3621" s="757">
        <v>8.8000000000000007</v>
      </c>
      <c r="E3621" s="1570">
        <v>0.17499999999999999</v>
      </c>
      <c r="F3621" s="1616">
        <v>192.5</v>
      </c>
      <c r="G3621" s="755"/>
      <c r="H3621" s="757">
        <v>31.26</v>
      </c>
      <c r="I3621" s="758">
        <v>430</v>
      </c>
      <c r="J3621" s="986">
        <v>5.7000000000000002E-2</v>
      </c>
      <c r="K3621" s="986">
        <v>9.5649999999999995</v>
      </c>
      <c r="L3621" s="1617">
        <v>872</v>
      </c>
      <c r="M3621" s="986">
        <v>0.36</v>
      </c>
      <c r="N3621" s="986">
        <v>0.91</v>
      </c>
      <c r="O3621" s="986">
        <v>3.08</v>
      </c>
      <c r="P3621" s="986">
        <v>4.7300000000000004</v>
      </c>
      <c r="Q3621" s="755"/>
      <c r="R3621" s="757">
        <v>0.7587297969659853</v>
      </c>
      <c r="S3621" s="757">
        <v>4.95</v>
      </c>
      <c r="T3621" s="755"/>
      <c r="U3621" s="755"/>
      <c r="V3621" s="755"/>
      <c r="W3621" s="755"/>
      <c r="X3621" s="755"/>
      <c r="Y3621" s="1615">
        <v>35.200000000000003</v>
      </c>
      <c r="Z3621" s="755"/>
      <c r="AA3621" s="757">
        <v>4.72</v>
      </c>
      <c r="AB3621" s="1624">
        <v>0.48399999999999999</v>
      </c>
      <c r="AC3621" s="755">
        <v>6.1</v>
      </c>
      <c r="AD3621" s="1618">
        <v>580</v>
      </c>
      <c r="AE3621" s="1618">
        <v>260</v>
      </c>
      <c r="AF3621" s="1618">
        <v>160</v>
      </c>
      <c r="AG3621" s="66">
        <f t="shared" si="136"/>
        <v>96.193465909090889</v>
      </c>
      <c r="AH3621" s="143">
        <f t="shared" si="137"/>
        <v>1000</v>
      </c>
    </row>
    <row r="3622" spans="1:34" s="90" customFormat="1" x14ac:dyDescent="0.3">
      <c r="A3622" s="90">
        <v>203656</v>
      </c>
      <c r="B3622" s="803">
        <v>16.3</v>
      </c>
      <c r="C3622" s="803">
        <v>7.1</v>
      </c>
      <c r="D3622" s="152">
        <v>8.64</v>
      </c>
      <c r="E3622" s="1127">
        <v>0.11899999999999999</v>
      </c>
      <c r="F3622" s="804">
        <v>131</v>
      </c>
      <c r="H3622" s="152">
        <v>19.670000000000002</v>
      </c>
      <c r="I3622" s="804">
        <v>197</v>
      </c>
      <c r="J3622" s="795">
        <v>8.4000000000000005E-2</v>
      </c>
      <c r="K3622" s="795">
        <v>15.63</v>
      </c>
      <c r="L3622" s="90">
        <v>1093</v>
      </c>
      <c r="M3622" s="795">
        <v>0.27</v>
      </c>
      <c r="N3622" s="795">
        <v>1.57</v>
      </c>
      <c r="O3622" s="795">
        <v>2.8</v>
      </c>
      <c r="P3622" s="795">
        <v>3.6</v>
      </c>
      <c r="R3622" s="152">
        <v>1.7464548800000002</v>
      </c>
      <c r="S3622" s="803">
        <v>14.96</v>
      </c>
      <c r="Y3622" s="1615">
        <v>27</v>
      </c>
      <c r="AA3622" s="152">
        <v>3.89</v>
      </c>
      <c r="AB3622" s="152">
        <v>0.40699999999999997</v>
      </c>
      <c r="AC3622" s="90">
        <v>7.8</v>
      </c>
      <c r="AD3622" s="118">
        <v>540</v>
      </c>
      <c r="AE3622" s="118">
        <v>300</v>
      </c>
      <c r="AF3622" s="118">
        <v>160</v>
      </c>
      <c r="AG3622" s="66">
        <f t="shared" si="136"/>
        <v>204.92666666666668</v>
      </c>
      <c r="AH3622" s="143">
        <f t="shared" si="137"/>
        <v>1000</v>
      </c>
    </row>
    <row r="3623" spans="1:34" x14ac:dyDescent="0.3">
      <c r="A3623" s="90">
        <v>203657</v>
      </c>
      <c r="B3623" s="138">
        <v>21.3</v>
      </c>
      <c r="C3623" s="138">
        <v>4.0999999999999996</v>
      </c>
      <c r="D3623" s="152">
        <v>8.44</v>
      </c>
      <c r="E3623" s="752">
        <v>0.218</v>
      </c>
      <c r="F3623" s="804">
        <v>240</v>
      </c>
      <c r="H3623" s="139">
        <v>28.41</v>
      </c>
      <c r="I3623" s="142">
        <v>487</v>
      </c>
      <c r="J3623" s="795">
        <v>4.9000000000000002E-2</v>
      </c>
      <c r="K3623" s="795">
        <v>13.180999999999999</v>
      </c>
      <c r="L3623" s="140">
        <v>344</v>
      </c>
      <c r="M3623" s="795">
        <v>0.43</v>
      </c>
      <c r="N3623" s="795">
        <v>1.42</v>
      </c>
      <c r="O3623" s="795">
        <v>7.99</v>
      </c>
      <c r="P3623" s="795">
        <v>4.38</v>
      </c>
      <c r="R3623" s="139">
        <v>1.8539479999999999</v>
      </c>
      <c r="S3623" s="138">
        <v>18.399999999999999</v>
      </c>
      <c r="Y3623" s="1615">
        <v>31</v>
      </c>
      <c r="AA3623" s="139">
        <v>4.97</v>
      </c>
      <c r="AB3623" s="139">
        <v>0.56899999999999995</v>
      </c>
      <c r="AC3623" s="140">
        <v>11.7</v>
      </c>
      <c r="AD3623" s="70">
        <v>500</v>
      </c>
      <c r="AE3623" s="70">
        <v>280</v>
      </c>
      <c r="AF3623" s="70">
        <v>220</v>
      </c>
      <c r="AG3623" s="66">
        <f t="shared" si="136"/>
        <v>150.51851612903224</v>
      </c>
      <c r="AH3623" s="143">
        <f t="shared" si="137"/>
        <v>1000</v>
      </c>
    </row>
    <row r="3624" spans="1:34" s="942" customFormat="1" x14ac:dyDescent="0.3">
      <c r="A3624" s="942" t="s">
        <v>571</v>
      </c>
      <c r="B3624" s="1625"/>
      <c r="C3624" s="1625"/>
      <c r="D3624" s="1626"/>
      <c r="E3624" s="1627"/>
      <c r="F3624" s="1628"/>
      <c r="H3624" s="1628"/>
      <c r="I3624" s="1628"/>
      <c r="J3624" s="1630"/>
      <c r="K3624" s="1625"/>
      <c r="R3624" s="1626"/>
      <c r="S3624" s="1625"/>
      <c r="Y3624" s="1625"/>
      <c r="AA3624" s="1626"/>
      <c r="AB3624" s="1626"/>
      <c r="AD3624" s="1629"/>
      <c r="AE3624" s="1629"/>
      <c r="AF3624" s="1629"/>
      <c r="AG3624" s="66" t="e">
        <f t="shared" si="136"/>
        <v>#DIV/0!</v>
      </c>
      <c r="AH3624" s="143">
        <f t="shared" si="137"/>
        <v>0</v>
      </c>
    </row>
    <row r="3625" spans="1:34" x14ac:dyDescent="0.3">
      <c r="A3625" s="1032">
        <v>203659</v>
      </c>
      <c r="B3625" s="1018">
        <v>3.8</v>
      </c>
      <c r="C3625" s="1018"/>
      <c r="D3625" s="1019">
        <v>8.67</v>
      </c>
      <c r="E3625" s="1579">
        <v>0.188</v>
      </c>
      <c r="F3625" s="1017">
        <v>206.8</v>
      </c>
      <c r="G3625" s="1032"/>
      <c r="H3625" s="1017">
        <v>49.09</v>
      </c>
      <c r="I3625" s="1017">
        <v>871</v>
      </c>
      <c r="J3625" s="1008">
        <v>0.27</v>
      </c>
      <c r="K3625" s="1008">
        <v>7.8280000000000003</v>
      </c>
      <c r="L3625" s="1032">
        <v>1052</v>
      </c>
      <c r="M3625" s="1008">
        <v>1.03</v>
      </c>
      <c r="N3625" s="1008">
        <v>0.9</v>
      </c>
      <c r="O3625" s="1008">
        <v>5.31</v>
      </c>
      <c r="P3625" s="1008">
        <v>5.03</v>
      </c>
      <c r="Q3625" s="1032"/>
      <c r="R3625" s="1019">
        <v>1.9702285700000002</v>
      </c>
      <c r="S3625" s="1018">
        <v>22.93</v>
      </c>
      <c r="T3625" s="1032"/>
      <c r="U3625" s="1032"/>
      <c r="V3625" s="1032"/>
      <c r="W3625" s="1032"/>
      <c r="X3625" s="1032"/>
      <c r="Y3625" s="1018">
        <v>33.6</v>
      </c>
      <c r="Z3625" s="1032"/>
      <c r="AA3625" s="1019">
        <v>4.03</v>
      </c>
      <c r="AB3625" s="1019">
        <v>0.26600000000000001</v>
      </c>
      <c r="AC3625" s="1032">
        <v>12</v>
      </c>
      <c r="AD3625" s="1033">
        <v>480</v>
      </c>
      <c r="AE3625" s="1033">
        <v>340</v>
      </c>
      <c r="AF3625" s="1033">
        <v>180</v>
      </c>
      <c r="AG3625" s="66">
        <f t="shared" si="136"/>
        <v>82.473571428571432</v>
      </c>
      <c r="AH3625" s="143">
        <f t="shared" si="137"/>
        <v>1000</v>
      </c>
    </row>
    <row r="3626" spans="1:34" x14ac:dyDescent="0.3">
      <c r="A3626" s="1032">
        <v>203660</v>
      </c>
      <c r="B3626" s="1018">
        <v>6.9</v>
      </c>
      <c r="C3626" s="1018"/>
      <c r="D3626" s="1019">
        <v>8.57</v>
      </c>
      <c r="E3626" s="1579">
        <v>0.185</v>
      </c>
      <c r="F3626" s="1017">
        <v>203.5</v>
      </c>
      <c r="G3626" s="1032"/>
      <c r="H3626" s="1017">
        <v>44.26</v>
      </c>
      <c r="I3626" s="1017">
        <v>272</v>
      </c>
      <c r="J3626" s="1008">
        <v>0.217</v>
      </c>
      <c r="K3626" s="1008">
        <v>10.077</v>
      </c>
      <c r="L3626" s="1032">
        <v>865</v>
      </c>
      <c r="M3626" s="1008">
        <v>0.89</v>
      </c>
      <c r="N3626" s="1008">
        <v>1.1100000000000001</v>
      </c>
      <c r="O3626" s="1008">
        <v>6.66</v>
      </c>
      <c r="P3626" s="1008">
        <v>3.78</v>
      </c>
      <c r="Q3626" s="1032"/>
      <c r="R3626" s="1019">
        <v>1.8038329700000002</v>
      </c>
      <c r="S3626" s="1018">
        <v>16.73</v>
      </c>
      <c r="T3626" s="1032"/>
      <c r="U3626" s="1032"/>
      <c r="V3626" s="1032"/>
      <c r="W3626" s="1032"/>
      <c r="X3626" s="1032"/>
      <c r="Y3626" s="1018">
        <v>28.2</v>
      </c>
      <c r="Z3626" s="1032"/>
      <c r="AA3626" s="1019">
        <v>4.96</v>
      </c>
      <c r="AB3626" s="1019">
        <v>0.55400000000000005</v>
      </c>
      <c r="AC3626" s="1032">
        <v>9.1999999999999993</v>
      </c>
      <c r="AD3626" s="1033">
        <v>470</v>
      </c>
      <c r="AE3626" s="1033">
        <v>330</v>
      </c>
      <c r="AF3626" s="1033">
        <v>200</v>
      </c>
      <c r="AG3626" s="66">
        <f t="shared" si="136"/>
        <v>126.49851063829789</v>
      </c>
      <c r="AH3626" s="143">
        <f t="shared" si="137"/>
        <v>1000</v>
      </c>
    </row>
    <row r="3627" spans="1:34" x14ac:dyDescent="0.3">
      <c r="A3627" s="1032">
        <v>203661</v>
      </c>
      <c r="B3627" s="1018">
        <v>7.5</v>
      </c>
      <c r="C3627" s="1018"/>
      <c r="D3627" s="1019">
        <v>8.56</v>
      </c>
      <c r="E3627" s="1579">
        <v>0.191</v>
      </c>
      <c r="F3627" s="1017">
        <v>210.10000000000002</v>
      </c>
      <c r="G3627" s="1032"/>
      <c r="H3627" s="1017">
        <v>59.66</v>
      </c>
      <c r="I3627" s="1017">
        <v>628</v>
      </c>
      <c r="J3627" s="1008">
        <v>0.25900000000000001</v>
      </c>
      <c r="K3627" s="1008">
        <v>9.8699999999999992</v>
      </c>
      <c r="L3627" s="1032">
        <v>1164</v>
      </c>
      <c r="M3627" s="1008">
        <v>1</v>
      </c>
      <c r="N3627" s="1008">
        <v>0.9</v>
      </c>
      <c r="O3627" s="1008">
        <v>5.22</v>
      </c>
      <c r="P3627" s="1008">
        <v>4</v>
      </c>
      <c r="Q3627" s="1032"/>
      <c r="R3627" s="1019">
        <v>1.7534917700000001</v>
      </c>
      <c r="S3627" s="1018">
        <v>15.17</v>
      </c>
      <c r="T3627" s="1032"/>
      <c r="U3627" s="1032"/>
      <c r="V3627" s="1032"/>
      <c r="W3627" s="1032"/>
      <c r="X3627" s="1032"/>
      <c r="Y3627" s="1018">
        <v>27.6</v>
      </c>
      <c r="Z3627" s="1032"/>
      <c r="AA3627" s="1019">
        <v>3.48</v>
      </c>
      <c r="AB3627" s="1019">
        <v>0.72099999999999997</v>
      </c>
      <c r="AC3627" s="1032">
        <v>10.199999999999999</v>
      </c>
      <c r="AD3627" s="1033">
        <v>460</v>
      </c>
      <c r="AE3627" s="1033">
        <v>350</v>
      </c>
      <c r="AF3627" s="1033">
        <v>190</v>
      </c>
      <c r="AG3627" s="66">
        <f t="shared" si="136"/>
        <v>126.59347826086956</v>
      </c>
      <c r="AH3627" s="143">
        <f t="shared" si="137"/>
        <v>1000</v>
      </c>
    </row>
    <row r="3628" spans="1:34" x14ac:dyDescent="0.3">
      <c r="A3628" s="140">
        <v>203662</v>
      </c>
      <c r="B3628" s="138">
        <v>2.2000000000000002</v>
      </c>
      <c r="D3628" s="152">
        <v>8.08</v>
      </c>
      <c r="E3628" s="752">
        <v>1.0469999999999999</v>
      </c>
      <c r="F3628" s="142">
        <v>1151.7</v>
      </c>
      <c r="H3628" s="142">
        <v>43.82</v>
      </c>
      <c r="I3628" s="795">
        <v>325</v>
      </c>
      <c r="J3628" s="795">
        <v>1.08</v>
      </c>
      <c r="K3628" s="795">
        <v>6.66</v>
      </c>
      <c r="L3628" s="795">
        <v>1210</v>
      </c>
      <c r="M3628" s="795">
        <v>0.57999999999999996</v>
      </c>
      <c r="N3628" s="795">
        <v>0.65</v>
      </c>
      <c r="O3628" s="795">
        <v>3.29</v>
      </c>
      <c r="P3628" s="795">
        <v>3.52</v>
      </c>
      <c r="R3628" s="139">
        <v>1.6138970000000001</v>
      </c>
      <c r="S3628" s="558">
        <v>11.299999999999999</v>
      </c>
      <c r="Y3628" s="138">
        <v>31.2</v>
      </c>
      <c r="AA3628" s="139">
        <v>3.89</v>
      </c>
      <c r="AB3628" s="139">
        <v>0.72799999999999998</v>
      </c>
      <c r="AC3628" s="140">
        <v>11</v>
      </c>
      <c r="AD3628" s="70">
        <v>520</v>
      </c>
      <c r="AE3628" s="70">
        <v>340</v>
      </c>
      <c r="AF3628" s="70">
        <v>140</v>
      </c>
      <c r="AG3628" s="66">
        <f t="shared" si="136"/>
        <v>75.565384615384616</v>
      </c>
      <c r="AH3628" s="143">
        <f t="shared" si="137"/>
        <v>1000</v>
      </c>
    </row>
    <row r="3629" spans="1:34" x14ac:dyDescent="0.3">
      <c r="A3629" s="140">
        <v>203663</v>
      </c>
      <c r="B3629" s="138">
        <v>18.5</v>
      </c>
      <c r="C3629" s="138">
        <v>4.9000000000000004</v>
      </c>
      <c r="D3629" s="152">
        <v>8.6999999999999993</v>
      </c>
      <c r="E3629" s="752">
        <v>0.45300000000000001</v>
      </c>
      <c r="F3629" s="142">
        <v>498.30000000000007</v>
      </c>
      <c r="H3629" s="142">
        <v>25.99</v>
      </c>
      <c r="I3629" s="795">
        <v>337</v>
      </c>
      <c r="J3629" s="795">
        <v>0.61399999999999999</v>
      </c>
      <c r="K3629" s="795">
        <v>10.24</v>
      </c>
      <c r="L3629" s="795">
        <v>720</v>
      </c>
      <c r="M3629" s="795">
        <v>0.42</v>
      </c>
      <c r="N3629" s="795">
        <v>0.62</v>
      </c>
      <c r="O3629" s="795">
        <v>4.75</v>
      </c>
      <c r="P3629" s="795">
        <v>3.98</v>
      </c>
      <c r="R3629" s="139">
        <v>1.5903770000000002</v>
      </c>
      <c r="S3629" s="558">
        <v>10.700000000000001</v>
      </c>
      <c r="Y3629" s="138">
        <v>28</v>
      </c>
      <c r="AA3629" s="139">
        <v>4.5599999999999996</v>
      </c>
      <c r="AB3629" s="139">
        <v>0.753</v>
      </c>
      <c r="AC3629" s="140">
        <v>6.9</v>
      </c>
      <c r="AD3629" s="70">
        <v>560</v>
      </c>
      <c r="AE3629" s="70">
        <v>280</v>
      </c>
      <c r="AF3629" s="70">
        <v>160</v>
      </c>
      <c r="AG3629" s="66">
        <f t="shared" si="136"/>
        <v>129.46285714285713</v>
      </c>
      <c r="AH3629" s="143">
        <f t="shared" si="137"/>
        <v>1000</v>
      </c>
    </row>
    <row r="3630" spans="1:34" x14ac:dyDescent="0.3">
      <c r="A3630" s="140">
        <v>203664</v>
      </c>
      <c r="B3630" s="138">
        <v>15.9</v>
      </c>
      <c r="C3630" s="138">
        <v>7.4</v>
      </c>
      <c r="D3630" s="152">
        <v>8.09</v>
      </c>
      <c r="E3630" s="752">
        <v>0.224</v>
      </c>
      <c r="F3630" s="142">
        <v>246.40000000000003</v>
      </c>
      <c r="H3630" s="142">
        <v>20.95</v>
      </c>
      <c r="I3630" s="795">
        <v>263</v>
      </c>
      <c r="J3630" s="795">
        <v>0.374</v>
      </c>
      <c r="K3630" s="795">
        <v>10.06</v>
      </c>
      <c r="L3630" s="795">
        <v>620</v>
      </c>
      <c r="M3630" s="795">
        <v>0.43</v>
      </c>
      <c r="N3630" s="795">
        <v>0.56999999999999995</v>
      </c>
      <c r="O3630" s="795">
        <v>5.27</v>
      </c>
      <c r="P3630" s="795">
        <v>2.88</v>
      </c>
      <c r="R3630" s="139">
        <v>1.586408</v>
      </c>
      <c r="S3630" s="558">
        <v>10.600000000000001</v>
      </c>
      <c r="Y3630" s="138">
        <v>33</v>
      </c>
      <c r="AA3630" s="139">
        <v>4.96</v>
      </c>
      <c r="AB3630" s="139">
        <v>0.34899999999999998</v>
      </c>
      <c r="AC3630" s="140">
        <v>6.6</v>
      </c>
      <c r="AD3630" s="70">
        <v>550</v>
      </c>
      <c r="AE3630" s="70">
        <v>280</v>
      </c>
      <c r="AF3630" s="70">
        <v>170</v>
      </c>
      <c r="AG3630" s="66">
        <f t="shared" si="136"/>
        <v>107.91636363636364</v>
      </c>
      <c r="AH3630" s="143">
        <f t="shared" si="137"/>
        <v>1000</v>
      </c>
    </row>
    <row r="3631" spans="1:34" x14ac:dyDescent="0.3">
      <c r="A3631" s="114">
        <v>203665</v>
      </c>
      <c r="B3631" s="310">
        <v>15.1</v>
      </c>
      <c r="C3631" s="310">
        <v>7.2</v>
      </c>
      <c r="D3631" s="311">
        <v>8.49</v>
      </c>
      <c r="E3631" s="1543">
        <v>0.90400000000000003</v>
      </c>
      <c r="F3631" s="313">
        <v>994.40000000000009</v>
      </c>
      <c r="G3631" s="114"/>
      <c r="H3631" s="313">
        <v>16.89</v>
      </c>
      <c r="I3631" s="705">
        <v>601</v>
      </c>
      <c r="J3631" s="705">
        <v>0.92200000000000004</v>
      </c>
      <c r="K3631" s="705">
        <v>8.16</v>
      </c>
      <c r="L3631" s="705">
        <v>480</v>
      </c>
      <c r="M3631" s="705">
        <v>0.74</v>
      </c>
      <c r="N3631" s="705">
        <v>1.19</v>
      </c>
      <c r="O3631" s="705">
        <v>4.43</v>
      </c>
      <c r="P3631" s="705">
        <v>3.14</v>
      </c>
      <c r="Q3631" s="114"/>
      <c r="R3631" s="311">
        <v>0.94807262047050467</v>
      </c>
      <c r="S3631" s="1641">
        <v>6.7</v>
      </c>
      <c r="T3631" s="114"/>
      <c r="U3631" s="114"/>
      <c r="V3631" s="114"/>
      <c r="W3631" s="114"/>
      <c r="X3631" s="114"/>
      <c r="Y3631" s="310">
        <v>34.4</v>
      </c>
      <c r="Z3631" s="114"/>
      <c r="AA3631" s="311">
        <v>3.86</v>
      </c>
      <c r="AB3631" s="311">
        <v>0.63800000000000001</v>
      </c>
      <c r="AC3631" s="114">
        <v>9.6</v>
      </c>
      <c r="AD3631" s="776">
        <v>520</v>
      </c>
      <c r="AE3631" s="776">
        <v>290</v>
      </c>
      <c r="AF3631" s="776">
        <v>190</v>
      </c>
      <c r="AG3631" s="66">
        <f t="shared" si="136"/>
        <v>83.972093023255823</v>
      </c>
      <c r="AH3631" s="143">
        <f t="shared" si="137"/>
        <v>1000</v>
      </c>
    </row>
    <row r="3632" spans="1:34" x14ac:dyDescent="0.3">
      <c r="A3632" s="114">
        <v>203666</v>
      </c>
      <c r="B3632" s="310">
        <v>12.2</v>
      </c>
      <c r="C3632" s="310">
        <v>6.8</v>
      </c>
      <c r="D3632" s="311">
        <v>8.32</v>
      </c>
      <c r="E3632" s="1543">
        <v>0.623</v>
      </c>
      <c r="F3632" s="313">
        <v>685.30000000000007</v>
      </c>
      <c r="G3632" s="114"/>
      <c r="H3632" s="313">
        <v>22.2</v>
      </c>
      <c r="I3632" s="705">
        <v>629</v>
      </c>
      <c r="J3632" s="705">
        <v>0.59</v>
      </c>
      <c r="K3632" s="705">
        <v>8.15</v>
      </c>
      <c r="L3632" s="705">
        <v>590</v>
      </c>
      <c r="M3632" s="705">
        <v>1.36</v>
      </c>
      <c r="N3632" s="705">
        <v>1.19</v>
      </c>
      <c r="O3632" s="705">
        <v>3.52</v>
      </c>
      <c r="P3632" s="705">
        <v>3.61</v>
      </c>
      <c r="Q3632" s="114"/>
      <c r="R3632" s="311">
        <v>1.1776437986513164</v>
      </c>
      <c r="S3632" s="1641">
        <v>7.7</v>
      </c>
      <c r="T3632" s="114"/>
      <c r="U3632" s="114"/>
      <c r="V3632" s="114"/>
      <c r="W3632" s="114"/>
      <c r="X3632" s="114"/>
      <c r="Y3632" s="310">
        <v>32.4</v>
      </c>
      <c r="Z3632" s="114"/>
      <c r="AA3632" s="311">
        <v>3.82</v>
      </c>
      <c r="AB3632" s="311">
        <v>0.55600000000000005</v>
      </c>
      <c r="AC3632" s="114">
        <v>6.6</v>
      </c>
      <c r="AD3632" s="776">
        <v>540</v>
      </c>
      <c r="AE3632" s="776">
        <v>280</v>
      </c>
      <c r="AF3632" s="776">
        <v>180</v>
      </c>
      <c r="AG3632" s="66">
        <f t="shared" si="136"/>
        <v>89.046296296296305</v>
      </c>
      <c r="AH3632" s="143">
        <f t="shared" si="137"/>
        <v>1000</v>
      </c>
    </row>
    <row r="3633" spans="1:34" x14ac:dyDescent="0.3">
      <c r="A3633" s="735">
        <v>203712</v>
      </c>
      <c r="B3633" s="736">
        <v>52.833333333333329</v>
      </c>
      <c r="C3633" s="736">
        <v>11.4</v>
      </c>
      <c r="D3633" s="738">
        <v>8.6999999999999993</v>
      </c>
      <c r="E3633" s="1565">
        <v>0.52400000000000002</v>
      </c>
      <c r="F3633" s="739">
        <v>576.4</v>
      </c>
      <c r="G3633" s="735"/>
      <c r="H3633" s="739">
        <v>208.16</v>
      </c>
      <c r="I3633" s="1273">
        <v>411</v>
      </c>
      <c r="J3633" s="1273">
        <v>296</v>
      </c>
      <c r="K3633" s="1273">
        <v>10.31</v>
      </c>
      <c r="L3633" s="1273">
        <v>1229</v>
      </c>
      <c r="M3633" s="1273">
        <v>2.33</v>
      </c>
      <c r="N3633" s="1273">
        <v>11.66</v>
      </c>
      <c r="O3633" s="1273">
        <v>4.43</v>
      </c>
      <c r="P3633" s="1273">
        <v>12.93</v>
      </c>
      <c r="Q3633" s="735"/>
      <c r="R3633" s="738">
        <v>1.4179629003457921</v>
      </c>
      <c r="S3633" s="1646">
        <v>9.41</v>
      </c>
      <c r="T3633" s="735"/>
      <c r="U3633" s="735"/>
      <c r="V3633" s="735"/>
      <c r="W3633" s="735"/>
      <c r="X3633" s="735"/>
      <c r="Y3633" s="736">
        <v>25</v>
      </c>
      <c r="Z3633" s="735"/>
      <c r="AA3633" s="735">
        <v>3.71</v>
      </c>
      <c r="AB3633" s="735">
        <v>0.39700000000000002</v>
      </c>
      <c r="AC3633" s="735">
        <v>7.6</v>
      </c>
      <c r="AD3633" s="642">
        <v>500</v>
      </c>
      <c r="AE3633" s="742">
        <v>270</v>
      </c>
      <c r="AF3633" s="742">
        <v>230</v>
      </c>
      <c r="AG3633" s="66">
        <f t="shared" si="136"/>
        <v>145.9896</v>
      </c>
      <c r="AH3633" s="143">
        <f t="shared" si="137"/>
        <v>1000</v>
      </c>
    </row>
    <row r="3634" spans="1:34" x14ac:dyDescent="0.3">
      <c r="A3634" s="735">
        <v>203713</v>
      </c>
      <c r="B3634" s="736">
        <v>44.333333333333336</v>
      </c>
      <c r="C3634" s="736">
        <v>12.4</v>
      </c>
      <c r="D3634" s="738">
        <v>8.75</v>
      </c>
      <c r="E3634" s="1565">
        <v>0.34100000000000003</v>
      </c>
      <c r="F3634" s="739">
        <v>375.1</v>
      </c>
      <c r="G3634" s="735"/>
      <c r="H3634" s="739">
        <v>79.010000000000005</v>
      </c>
      <c r="I3634" s="1273">
        <v>757</v>
      </c>
      <c r="J3634" s="1273">
        <v>164</v>
      </c>
      <c r="K3634" s="1273">
        <v>10.46</v>
      </c>
      <c r="L3634" s="1273">
        <v>1181</v>
      </c>
      <c r="M3634" s="1273">
        <v>0.97</v>
      </c>
      <c r="N3634" s="1273">
        <v>5.79</v>
      </c>
      <c r="O3634" s="1273">
        <v>4.01</v>
      </c>
      <c r="P3634" s="1273">
        <v>4.6500000000000004</v>
      </c>
      <c r="Q3634" s="735"/>
      <c r="R3634" s="738">
        <v>1.9531967300000002</v>
      </c>
      <c r="S3634" s="1646">
        <v>22.19</v>
      </c>
      <c r="T3634" s="735"/>
      <c r="U3634" s="735"/>
      <c r="V3634" s="735"/>
      <c r="W3634" s="735"/>
      <c r="X3634" s="735"/>
      <c r="Y3634" s="736">
        <v>31.2</v>
      </c>
      <c r="Z3634" s="735"/>
      <c r="AA3634" s="735">
        <v>3.83</v>
      </c>
      <c r="AB3634" s="735">
        <v>0.81399999999999995</v>
      </c>
      <c r="AC3634" s="735">
        <v>10.1</v>
      </c>
      <c r="AD3634" s="642">
        <v>520</v>
      </c>
      <c r="AE3634" s="742">
        <v>220</v>
      </c>
      <c r="AF3634" s="742">
        <v>260</v>
      </c>
      <c r="AG3634" s="66">
        <f t="shared" si="136"/>
        <v>118.68076923076926</v>
      </c>
      <c r="AH3634" s="143">
        <f t="shared" si="137"/>
        <v>1000</v>
      </c>
    </row>
    <row r="3635" spans="1:34" x14ac:dyDescent="0.3">
      <c r="A3635" s="735">
        <v>203714</v>
      </c>
      <c r="B3635" s="736">
        <v>10.833333333333332</v>
      </c>
      <c r="C3635" s="736">
        <v>5.4</v>
      </c>
      <c r="D3635" s="738">
        <v>8.68</v>
      </c>
      <c r="E3635" s="1565">
        <v>0.26500000000000001</v>
      </c>
      <c r="F3635" s="739">
        <v>291.50000000000006</v>
      </c>
      <c r="G3635" s="735"/>
      <c r="H3635" s="739">
        <v>2.95</v>
      </c>
      <c r="I3635" s="1273">
        <v>31</v>
      </c>
      <c r="J3635" s="1273">
        <v>159</v>
      </c>
      <c r="K3635" s="1273">
        <v>6.37</v>
      </c>
      <c r="L3635" s="1273">
        <v>340</v>
      </c>
      <c r="M3635" s="1273">
        <v>0.19</v>
      </c>
      <c r="N3635" s="1273">
        <v>0.13</v>
      </c>
      <c r="O3635" s="1273">
        <v>1.1499999999999999</v>
      </c>
      <c r="P3635" s="1273">
        <v>3.37</v>
      </c>
      <c r="Q3635" s="735"/>
      <c r="R3635" s="738">
        <v>1.7501485700000001</v>
      </c>
      <c r="S3635" s="736">
        <v>15.07</v>
      </c>
      <c r="T3635" s="735"/>
      <c r="U3635" s="735"/>
      <c r="V3635" s="735"/>
      <c r="W3635" s="735"/>
      <c r="X3635" s="735"/>
      <c r="Y3635" s="736">
        <v>3</v>
      </c>
      <c r="Z3635" s="735"/>
      <c r="AA3635" s="735">
        <v>4.6900000000000004</v>
      </c>
      <c r="AB3635" s="735">
        <v>0.73699999999999999</v>
      </c>
      <c r="AC3635" s="735">
        <v>9.5</v>
      </c>
      <c r="AD3635" s="642">
        <v>60</v>
      </c>
      <c r="AE3635" s="742">
        <v>60</v>
      </c>
      <c r="AF3635" s="742">
        <v>880</v>
      </c>
      <c r="AG3635" s="66">
        <f t="shared" si="136"/>
        <v>751.66</v>
      </c>
      <c r="AH3635" s="143">
        <f t="shared" si="137"/>
        <v>1000</v>
      </c>
    </row>
    <row r="3636" spans="1:34" x14ac:dyDescent="0.3">
      <c r="A3636" s="735">
        <v>203715</v>
      </c>
      <c r="B3636" s="736">
        <v>1E-3</v>
      </c>
      <c r="C3636" s="736"/>
      <c r="D3636" s="738">
        <v>8.48</v>
      </c>
      <c r="E3636" s="1565">
        <v>0.16800000000000001</v>
      </c>
      <c r="F3636" s="739">
        <v>184.8</v>
      </c>
      <c r="G3636" s="735"/>
      <c r="H3636" s="739">
        <v>16.3</v>
      </c>
      <c r="I3636" s="1273">
        <v>41</v>
      </c>
      <c r="J3636" s="1273">
        <v>126</v>
      </c>
      <c r="K3636" s="1273">
        <v>1.1000000000000001</v>
      </c>
      <c r="L3636" s="1273">
        <v>208</v>
      </c>
      <c r="M3636" s="1273">
        <v>0.33</v>
      </c>
      <c r="N3636" s="1273">
        <v>0.14000000000000001</v>
      </c>
      <c r="O3636" s="1273">
        <v>1.1200000000000001</v>
      </c>
      <c r="P3636" s="1273">
        <v>4.22</v>
      </c>
      <c r="Q3636" s="735"/>
      <c r="R3636" s="738">
        <v>0.81473462451078837</v>
      </c>
      <c r="S3636" s="736">
        <v>6.03</v>
      </c>
      <c r="T3636" s="735"/>
      <c r="U3636" s="735"/>
      <c r="V3636" s="735"/>
      <c r="W3636" s="735"/>
      <c r="X3636" s="735"/>
      <c r="Y3636" s="736">
        <v>4.8</v>
      </c>
      <c r="Z3636" s="735"/>
      <c r="AA3636" s="735">
        <v>4.04</v>
      </c>
      <c r="AB3636" s="735">
        <v>0.32200000000000001</v>
      </c>
      <c r="AC3636" s="735">
        <v>11.4</v>
      </c>
      <c r="AD3636" s="642">
        <v>80</v>
      </c>
      <c r="AE3636" s="742">
        <v>60</v>
      </c>
      <c r="AF3636" s="742">
        <v>860</v>
      </c>
      <c r="AG3636" s="66">
        <f t="shared" si="136"/>
        <v>81.125000000000014</v>
      </c>
      <c r="AH3636" s="143">
        <f t="shared" si="137"/>
        <v>1000</v>
      </c>
    </row>
    <row r="3637" spans="1:34" x14ac:dyDescent="0.3">
      <c r="A3637" s="735">
        <v>203716</v>
      </c>
      <c r="B3637" s="736">
        <v>1E-3</v>
      </c>
      <c r="C3637" s="736"/>
      <c r="D3637" s="738">
        <v>7.71</v>
      </c>
      <c r="E3637" s="1565">
        <v>5.28</v>
      </c>
      <c r="F3637" s="739">
        <v>5808.0000000000009</v>
      </c>
      <c r="G3637" s="735"/>
      <c r="H3637" s="739">
        <v>42.86</v>
      </c>
      <c r="I3637" s="1273">
        <v>183</v>
      </c>
      <c r="J3637" s="1273">
        <v>6895</v>
      </c>
      <c r="K3637" s="1273">
        <v>2.71</v>
      </c>
      <c r="L3637" s="1273">
        <v>1674</v>
      </c>
      <c r="M3637" s="1273">
        <v>18.7</v>
      </c>
      <c r="N3637" s="1273">
        <v>0.27</v>
      </c>
      <c r="O3637" s="1273">
        <v>0.3</v>
      </c>
      <c r="P3637" s="1273">
        <v>5.33</v>
      </c>
      <c r="Q3637" s="735"/>
      <c r="R3637" s="738">
        <v>0.27372516044392037</v>
      </c>
      <c r="S3637" s="736">
        <v>1.85</v>
      </c>
      <c r="T3637" s="735"/>
      <c r="U3637" s="735"/>
      <c r="V3637" s="735"/>
      <c r="W3637" s="735"/>
      <c r="X3637" s="735"/>
      <c r="Y3637" s="736">
        <v>7</v>
      </c>
      <c r="Z3637" s="735"/>
      <c r="AA3637" s="735">
        <v>4.24</v>
      </c>
      <c r="AB3637" s="735">
        <v>0.54200000000000004</v>
      </c>
      <c r="AC3637" s="735">
        <v>11.6</v>
      </c>
      <c r="AD3637" s="642">
        <v>100</v>
      </c>
      <c r="AE3637" s="742">
        <v>60</v>
      </c>
      <c r="AF3637" s="742">
        <v>840</v>
      </c>
      <c r="AG3637" s="66">
        <f t="shared" si="136"/>
        <v>137.04857142857142</v>
      </c>
      <c r="AH3637" s="143">
        <f t="shared" si="137"/>
        <v>1000</v>
      </c>
    </row>
    <row r="3638" spans="1:34" x14ac:dyDescent="0.3">
      <c r="A3638" s="755">
        <v>203717</v>
      </c>
      <c r="B3638" s="1424">
        <v>9.4</v>
      </c>
      <c r="C3638" s="1424"/>
      <c r="D3638" s="757">
        <v>8.51</v>
      </c>
      <c r="E3638" s="1570">
        <v>0.14199999999999999</v>
      </c>
      <c r="F3638" s="758">
        <v>156.20000000000002</v>
      </c>
      <c r="G3638" s="755"/>
      <c r="H3638" s="758">
        <v>8.7899999999999991</v>
      </c>
      <c r="I3638" s="758">
        <v>237</v>
      </c>
      <c r="J3638" s="986">
        <v>9.4E-2</v>
      </c>
      <c r="K3638" s="986">
        <v>7.45</v>
      </c>
      <c r="L3638" s="755">
        <v>680</v>
      </c>
      <c r="M3638" s="986">
        <v>0.2</v>
      </c>
      <c r="N3638" s="986">
        <v>0.79</v>
      </c>
      <c r="O3638" s="986">
        <v>2.95</v>
      </c>
      <c r="P3638" s="986">
        <v>0.98</v>
      </c>
      <c r="Q3638" s="755"/>
      <c r="R3638" s="757">
        <v>0.62953777290665169</v>
      </c>
      <c r="S3638" s="1424">
        <v>4.46</v>
      </c>
      <c r="T3638" s="755"/>
      <c r="U3638" s="755"/>
      <c r="V3638" s="755"/>
      <c r="W3638" s="755"/>
      <c r="X3638" s="755"/>
      <c r="Y3638" s="1424">
        <v>8.4</v>
      </c>
      <c r="Z3638" s="755"/>
      <c r="AA3638" s="755">
        <v>4.63</v>
      </c>
      <c r="AB3638" s="755">
        <v>0.77200000000000002</v>
      </c>
      <c r="AC3638" s="755">
        <v>9.9</v>
      </c>
      <c r="AD3638" s="760">
        <v>140</v>
      </c>
      <c r="AE3638" s="760">
        <v>80</v>
      </c>
      <c r="AF3638" s="760">
        <v>780</v>
      </c>
      <c r="AG3638" s="66">
        <f t="shared" si="136"/>
        <v>313.96428571428572</v>
      </c>
      <c r="AH3638" s="143">
        <f t="shared" si="137"/>
        <v>1000</v>
      </c>
    </row>
    <row r="3639" spans="1:34" x14ac:dyDescent="0.3">
      <c r="A3639" s="755">
        <v>203718</v>
      </c>
      <c r="B3639" s="1424">
        <v>40</v>
      </c>
      <c r="C3639" s="1424">
        <v>11.8</v>
      </c>
      <c r="D3639" s="757">
        <v>8.16</v>
      </c>
      <c r="E3639" s="1570">
        <v>0.59599999999999997</v>
      </c>
      <c r="F3639" s="758">
        <v>655.6</v>
      </c>
      <c r="G3639" s="755"/>
      <c r="H3639" s="758">
        <v>183.93</v>
      </c>
      <c r="I3639" s="758">
        <v>677</v>
      </c>
      <c r="J3639" s="986">
        <v>0.70499999999999996</v>
      </c>
      <c r="K3639" s="986">
        <v>8.43</v>
      </c>
      <c r="L3639" s="755">
        <v>1140</v>
      </c>
      <c r="M3639" s="986">
        <v>18.12</v>
      </c>
      <c r="N3639" s="986">
        <v>2.12</v>
      </c>
      <c r="O3639" s="986">
        <v>4.72</v>
      </c>
      <c r="P3639" s="986">
        <v>6.45</v>
      </c>
      <c r="Q3639" s="755"/>
      <c r="R3639" s="757">
        <v>1.8366887300000001</v>
      </c>
      <c r="S3639" s="1424">
        <v>17.809999999999999</v>
      </c>
      <c r="T3639" s="755"/>
      <c r="U3639" s="755"/>
      <c r="V3639" s="755"/>
      <c r="W3639" s="755"/>
      <c r="X3639" s="755"/>
      <c r="Y3639" s="1424">
        <v>26</v>
      </c>
      <c r="Z3639" s="755"/>
      <c r="AA3639" s="757">
        <v>4.47</v>
      </c>
      <c r="AB3639" s="757">
        <v>0.66500000000000004</v>
      </c>
      <c r="AC3639" s="755">
        <v>11.7</v>
      </c>
      <c r="AD3639" s="760">
        <v>520</v>
      </c>
      <c r="AE3639" s="760">
        <v>280</v>
      </c>
      <c r="AF3639" s="760">
        <v>200</v>
      </c>
      <c r="AG3639" s="66">
        <f t="shared" si="136"/>
        <v>114.77769230769231</v>
      </c>
      <c r="AH3639" s="143">
        <f t="shared" si="137"/>
        <v>1000</v>
      </c>
    </row>
    <row r="3640" spans="1:34" x14ac:dyDescent="0.3">
      <c r="A3640" s="755">
        <v>203719</v>
      </c>
      <c r="B3640" s="1424">
        <v>4</v>
      </c>
      <c r="C3640" s="1424"/>
      <c r="D3640" s="757">
        <v>8.07</v>
      </c>
      <c r="E3640" s="1570">
        <v>0.74</v>
      </c>
      <c r="F3640" s="758">
        <v>814</v>
      </c>
      <c r="G3640" s="755"/>
      <c r="H3640" s="758">
        <v>20.71</v>
      </c>
      <c r="I3640" s="758">
        <v>170</v>
      </c>
      <c r="J3640" s="986">
        <v>0.57699999999999996</v>
      </c>
      <c r="K3640" s="986">
        <v>7.63</v>
      </c>
      <c r="L3640" s="755">
        <v>730</v>
      </c>
      <c r="M3640" s="986">
        <v>0.6</v>
      </c>
      <c r="N3640" s="986">
        <v>1.38</v>
      </c>
      <c r="O3640" s="986">
        <v>2.8</v>
      </c>
      <c r="P3640" s="986">
        <v>1.98</v>
      </c>
      <c r="Q3640" s="755"/>
      <c r="R3640" s="757">
        <v>0.64083890303455193</v>
      </c>
      <c r="S3640" s="1424">
        <v>4.74</v>
      </c>
      <c r="T3640" s="755"/>
      <c r="U3640" s="755"/>
      <c r="V3640" s="755"/>
      <c r="W3640" s="755"/>
      <c r="X3640" s="755"/>
      <c r="Y3640" s="1424">
        <v>30.9</v>
      </c>
      <c r="Z3640" s="755"/>
      <c r="AA3640" s="757">
        <v>3.99</v>
      </c>
      <c r="AB3640" s="757">
        <v>0.79600000000000004</v>
      </c>
      <c r="AC3640" s="755">
        <v>10.199999999999999</v>
      </c>
      <c r="AD3640" s="760">
        <v>500</v>
      </c>
      <c r="AE3640" s="760">
        <v>260</v>
      </c>
      <c r="AF3640" s="760">
        <v>240</v>
      </c>
      <c r="AG3640" s="66">
        <f t="shared" si="136"/>
        <v>87.411650485436894</v>
      </c>
      <c r="AH3640" s="143">
        <f t="shared" si="137"/>
        <v>1000</v>
      </c>
    </row>
    <row r="3641" spans="1:34" x14ac:dyDescent="0.3">
      <c r="A3641" s="755">
        <v>203720</v>
      </c>
      <c r="B3641" s="1424">
        <v>5.4</v>
      </c>
      <c r="C3641" s="1424"/>
      <c r="D3641" s="757">
        <v>7.83</v>
      </c>
      <c r="E3641" s="1570">
        <v>1.49</v>
      </c>
      <c r="F3641" s="758">
        <v>1639</v>
      </c>
      <c r="G3641" s="755"/>
      <c r="H3641" s="758">
        <v>25.3</v>
      </c>
      <c r="I3641" s="758">
        <v>244</v>
      </c>
      <c r="J3641" s="986">
        <v>0.95</v>
      </c>
      <c r="K3641" s="986">
        <v>9.35</v>
      </c>
      <c r="L3641" s="755">
        <v>1040</v>
      </c>
      <c r="M3641" s="986">
        <v>0.33</v>
      </c>
      <c r="N3641" s="986">
        <v>0.8</v>
      </c>
      <c r="O3641" s="986">
        <v>2.42</v>
      </c>
      <c r="P3641" s="986">
        <v>2.2599999999999998</v>
      </c>
      <c r="Q3641" s="755"/>
      <c r="R3641" s="757">
        <v>0.98763522012846183</v>
      </c>
      <c r="S3641" s="1424">
        <v>7.26</v>
      </c>
      <c r="T3641" s="755"/>
      <c r="U3641" s="755"/>
      <c r="V3641" s="755"/>
      <c r="W3641" s="755"/>
      <c r="X3641" s="755"/>
      <c r="Y3641" s="1424">
        <v>32.5</v>
      </c>
      <c r="Z3641" s="755"/>
      <c r="AA3641" s="757">
        <v>4.46</v>
      </c>
      <c r="AB3641" s="757">
        <v>0.85199999999999998</v>
      </c>
      <c r="AC3641" s="755">
        <v>8.4</v>
      </c>
      <c r="AD3641" s="760">
        <v>560</v>
      </c>
      <c r="AE3641" s="760">
        <v>320</v>
      </c>
      <c r="AF3641" s="760">
        <v>120</v>
      </c>
      <c r="AG3641" s="66">
        <f t="shared" si="136"/>
        <v>101.84307692307691</v>
      </c>
      <c r="AH3641" s="143">
        <f t="shared" si="137"/>
        <v>1000</v>
      </c>
    </row>
    <row r="3642" spans="1:34" x14ac:dyDescent="0.3">
      <c r="A3642" s="755">
        <v>203721</v>
      </c>
      <c r="B3642" s="1424">
        <v>4.4000000000000004</v>
      </c>
      <c r="C3642" s="1424"/>
      <c r="D3642" s="757">
        <v>8.19</v>
      </c>
      <c r="E3642" s="1570">
        <v>0.46</v>
      </c>
      <c r="F3642" s="758">
        <v>506.00000000000011</v>
      </c>
      <c r="G3642" s="755"/>
      <c r="H3642" s="758">
        <v>10.68</v>
      </c>
      <c r="I3642" s="758">
        <v>189</v>
      </c>
      <c r="J3642" s="986">
        <v>0.36399999999999999</v>
      </c>
      <c r="K3642" s="986">
        <v>8.16</v>
      </c>
      <c r="L3642" s="755">
        <v>700</v>
      </c>
      <c r="M3642" s="986">
        <v>0.31</v>
      </c>
      <c r="N3642" s="986">
        <v>0.73</v>
      </c>
      <c r="O3642" s="986">
        <v>2.12</v>
      </c>
      <c r="P3642" s="986">
        <v>1.83</v>
      </c>
      <c r="Q3642" s="755"/>
      <c r="R3642" s="757">
        <v>0.70027198040083682</v>
      </c>
      <c r="S3642" s="1424">
        <v>4.6100000000000003</v>
      </c>
      <c r="T3642" s="755"/>
      <c r="U3642" s="755"/>
      <c r="V3642" s="755"/>
      <c r="W3642" s="755"/>
      <c r="X3642" s="755"/>
      <c r="Y3642" s="1424">
        <v>27</v>
      </c>
      <c r="Z3642" s="755"/>
      <c r="AA3642" s="757">
        <v>4.79</v>
      </c>
      <c r="AB3642" s="757">
        <v>0.46700000000000003</v>
      </c>
      <c r="AC3642" s="755">
        <v>11.1</v>
      </c>
      <c r="AD3642" s="760">
        <v>540</v>
      </c>
      <c r="AE3642" s="760">
        <v>300</v>
      </c>
      <c r="AF3642" s="760">
        <v>160</v>
      </c>
      <c r="AG3642" s="66">
        <f t="shared" si="136"/>
        <v>106.98666666666668</v>
      </c>
      <c r="AH3642" s="143">
        <f t="shared" si="137"/>
        <v>1000</v>
      </c>
    </row>
    <row r="3643" spans="1:34" x14ac:dyDescent="0.3">
      <c r="A3643" s="1262">
        <v>203722</v>
      </c>
      <c r="B3643" s="1652">
        <v>11.666666666666666</v>
      </c>
      <c r="C3643" s="1263">
        <v>4.3</v>
      </c>
      <c r="D3643" s="1264">
        <v>8.51</v>
      </c>
      <c r="E3643" s="1583">
        <v>0.25800000000000001</v>
      </c>
      <c r="F3643" s="1265">
        <v>283.80000000000007</v>
      </c>
      <c r="G3643" s="1262"/>
      <c r="H3643" s="1265">
        <v>169.92</v>
      </c>
      <c r="I3643" s="1651">
        <v>654</v>
      </c>
      <c r="J3643" s="1653">
        <v>0.125</v>
      </c>
      <c r="K3643" s="1654">
        <v>8.65</v>
      </c>
      <c r="L3643" s="1267">
        <v>1410</v>
      </c>
      <c r="M3643" s="1654">
        <v>1.7</v>
      </c>
      <c r="N3643" s="1654">
        <v>1.6</v>
      </c>
      <c r="O3643" s="1654">
        <v>4.32</v>
      </c>
      <c r="P3643" s="1602">
        <v>6.31</v>
      </c>
      <c r="Q3643" s="1262"/>
      <c r="R3643" s="1655">
        <v>1.7211661200000001</v>
      </c>
      <c r="S3643" s="1655">
        <v>14.22</v>
      </c>
      <c r="T3643" s="1262"/>
      <c r="U3643" s="1262"/>
      <c r="V3643" s="1262"/>
      <c r="W3643" s="1262"/>
      <c r="X3643" s="1262"/>
      <c r="Y3643" s="1656">
        <v>31.2</v>
      </c>
      <c r="Z3643" s="1262"/>
      <c r="AA3643" s="1657">
        <v>3.89</v>
      </c>
      <c r="AB3643" s="1657">
        <v>0.247</v>
      </c>
      <c r="AC3643" s="1657">
        <v>8</v>
      </c>
      <c r="AD3643" s="1267">
        <v>520</v>
      </c>
      <c r="AE3643" s="1267">
        <v>280</v>
      </c>
      <c r="AF3643" s="1267">
        <v>200</v>
      </c>
      <c r="AG3643" s="66">
        <f t="shared" si="136"/>
        <v>98.144230769230788</v>
      </c>
      <c r="AH3643" s="143">
        <f t="shared" si="137"/>
        <v>1000</v>
      </c>
    </row>
    <row r="3644" spans="1:34" s="1492" customFormat="1" ht="18" customHeight="1" x14ac:dyDescent="0.3">
      <c r="A3644" s="1262">
        <v>203723</v>
      </c>
      <c r="B3644" s="1658">
        <v>7.333333333333333</v>
      </c>
      <c r="C3644" s="1590"/>
      <c r="D3644" s="1602">
        <v>8.64</v>
      </c>
      <c r="E3644" s="1583">
        <v>0.18099999999999999</v>
      </c>
      <c r="F3644" s="1265">
        <v>199.1</v>
      </c>
      <c r="G3644" s="1592"/>
      <c r="H3644" s="1596">
        <v>133.32</v>
      </c>
      <c r="I3644" s="1654">
        <v>249</v>
      </c>
      <c r="J3644" s="1654">
        <v>2.7E-2</v>
      </c>
      <c r="K3644" s="1654">
        <v>7.73</v>
      </c>
      <c r="L3644" s="1654">
        <v>520</v>
      </c>
      <c r="M3644" s="1654">
        <v>3.41</v>
      </c>
      <c r="N3644" s="1654">
        <v>1.28</v>
      </c>
      <c r="O3644" s="1654">
        <v>2.17</v>
      </c>
      <c r="P3644" s="1602">
        <v>3.07</v>
      </c>
      <c r="Q3644" s="1659"/>
      <c r="R3644" s="1655">
        <v>0.65299661137857112</v>
      </c>
      <c r="S3644" s="1655">
        <v>4.3</v>
      </c>
      <c r="T3644" s="1596"/>
      <c r="U3644" s="1597"/>
      <c r="V3644" s="1590"/>
      <c r="W3644" s="1590"/>
      <c r="X3644" s="1590"/>
      <c r="Y3644" s="1656">
        <v>4.5</v>
      </c>
      <c r="Z3644" s="1590"/>
      <c r="AA3644" s="1657">
        <v>3.48</v>
      </c>
      <c r="AB3644" s="1657">
        <v>0.67500000000000004</v>
      </c>
      <c r="AC3644" s="1657">
        <v>6.4</v>
      </c>
      <c r="AD3644" s="1589">
        <v>90</v>
      </c>
      <c r="AE3644" s="1660">
        <v>70</v>
      </c>
      <c r="AF3644" s="1661">
        <v>840</v>
      </c>
      <c r="AG3644" s="66">
        <f t="shared" si="136"/>
        <v>608.09333333333336</v>
      </c>
      <c r="AH3644" s="143">
        <f t="shared" si="137"/>
        <v>1000</v>
      </c>
    </row>
    <row r="3645" spans="1:34" s="1648" customFormat="1" ht="18" customHeight="1" x14ac:dyDescent="0.3">
      <c r="A3645" s="1262">
        <v>203724</v>
      </c>
      <c r="B3645" s="1658">
        <v>6.4583333333333339</v>
      </c>
      <c r="C3645" s="1590"/>
      <c r="D3645" s="1602">
        <v>8.61</v>
      </c>
      <c r="E3645" s="1583">
        <v>0.184</v>
      </c>
      <c r="F3645" s="1265">
        <v>202.40000000000003</v>
      </c>
      <c r="G3645" s="1592"/>
      <c r="H3645" s="1596">
        <v>125.04</v>
      </c>
      <c r="I3645" s="1654">
        <v>230</v>
      </c>
      <c r="J3645" s="1654">
        <v>0.03</v>
      </c>
      <c r="K3645" s="1654">
        <v>7.45</v>
      </c>
      <c r="L3645" s="1654">
        <v>510</v>
      </c>
      <c r="M3645" s="1654">
        <v>2.85</v>
      </c>
      <c r="N3645" s="1654">
        <v>1.1599999999999999</v>
      </c>
      <c r="O3645" s="1654">
        <v>1.8</v>
      </c>
      <c r="P3645" s="1602">
        <v>2.39</v>
      </c>
      <c r="Q3645" s="1659"/>
      <c r="R3645" s="1655">
        <v>0.60231183514208286</v>
      </c>
      <c r="S3645" s="1655">
        <v>4.2</v>
      </c>
      <c r="T3645" s="1596"/>
      <c r="U3645" s="1597"/>
      <c r="V3645" s="1590"/>
      <c r="W3645" s="1590"/>
      <c r="X3645" s="1590"/>
      <c r="Y3645" s="1656">
        <v>4</v>
      </c>
      <c r="Z3645" s="1590"/>
      <c r="AA3645" s="1657">
        <v>4.3099999999999996</v>
      </c>
      <c r="AB3645" s="1657">
        <v>0.39800000000000002</v>
      </c>
      <c r="AC3645" s="1657">
        <v>6.2</v>
      </c>
      <c r="AD3645" s="1589">
        <v>80</v>
      </c>
      <c r="AE3645" s="1660">
        <v>60</v>
      </c>
      <c r="AF3645" s="1661">
        <v>860</v>
      </c>
      <c r="AG3645" s="66">
        <f t="shared" si="136"/>
        <v>659.32500000000005</v>
      </c>
      <c r="AH3645" s="143">
        <f t="shared" si="137"/>
        <v>1000</v>
      </c>
    </row>
    <row r="3646" spans="1:34" s="1649" customFormat="1" ht="18" customHeight="1" x14ac:dyDescent="0.3">
      <c r="A3646" s="1262">
        <v>203725</v>
      </c>
      <c r="B3646" s="1658">
        <v>6.25</v>
      </c>
      <c r="C3646" s="1662"/>
      <c r="D3646" s="1602">
        <v>8.4700000000000006</v>
      </c>
      <c r="E3646" s="1583">
        <v>0.19</v>
      </c>
      <c r="F3646" s="1265">
        <v>209.00000000000003</v>
      </c>
      <c r="G3646" s="1663"/>
      <c r="H3646" s="1596">
        <v>178.27</v>
      </c>
      <c r="I3646" s="1654">
        <v>265</v>
      </c>
      <c r="J3646" s="1654">
        <v>3.9E-2</v>
      </c>
      <c r="K3646" s="1654">
        <v>6.95</v>
      </c>
      <c r="L3646" s="1654">
        <v>530</v>
      </c>
      <c r="M3646" s="1654">
        <v>3.33</v>
      </c>
      <c r="N3646" s="1654">
        <v>1.46</v>
      </c>
      <c r="O3646" s="1654">
        <v>2.16</v>
      </c>
      <c r="P3646" s="1602">
        <v>3.76</v>
      </c>
      <c r="Q3646" s="1664"/>
      <c r="R3646" s="1655">
        <v>0.75451368376051009</v>
      </c>
      <c r="S3646" s="1655">
        <v>5.49</v>
      </c>
      <c r="T3646" s="1665"/>
      <c r="U3646" s="1666"/>
      <c r="V3646" s="1662"/>
      <c r="W3646" s="1662"/>
      <c r="X3646" s="1662"/>
      <c r="Y3646" s="1656">
        <v>5.4</v>
      </c>
      <c r="Z3646" s="1662"/>
      <c r="AA3646" s="1657">
        <v>3.48</v>
      </c>
      <c r="AB3646" s="1657">
        <v>0.8</v>
      </c>
      <c r="AC3646" s="1657">
        <v>7.8</v>
      </c>
      <c r="AD3646" s="1660">
        <v>90</v>
      </c>
      <c r="AE3646" s="1660">
        <v>70</v>
      </c>
      <c r="AF3646" s="1660">
        <v>840</v>
      </c>
      <c r="AG3646" s="66">
        <f t="shared" si="136"/>
        <v>455.61111111111114</v>
      </c>
      <c r="AH3646" s="143">
        <f t="shared" si="137"/>
        <v>1000</v>
      </c>
    </row>
    <row r="3647" spans="1:34" s="1649" customFormat="1" ht="18" customHeight="1" x14ac:dyDescent="0.3">
      <c r="A3647" s="1262">
        <v>203726</v>
      </c>
      <c r="B3647" s="1658">
        <v>5.083333333333333</v>
      </c>
      <c r="C3647" s="1662"/>
      <c r="D3647" s="1602">
        <v>8.65</v>
      </c>
      <c r="E3647" s="1583">
        <v>0.17299999999999999</v>
      </c>
      <c r="F3647" s="1265">
        <v>190.29999999999998</v>
      </c>
      <c r="G3647" s="1663"/>
      <c r="H3647" s="1596">
        <v>125.84</v>
      </c>
      <c r="I3647" s="1654">
        <v>222</v>
      </c>
      <c r="J3647" s="1654">
        <v>2.7E-2</v>
      </c>
      <c r="K3647" s="1654">
        <v>7.02</v>
      </c>
      <c r="L3647" s="1654">
        <v>510</v>
      </c>
      <c r="M3647" s="1654">
        <v>3.34</v>
      </c>
      <c r="N3647" s="1654">
        <v>1.1299999999999999</v>
      </c>
      <c r="O3647" s="1654">
        <v>1.97</v>
      </c>
      <c r="P3647" s="1602">
        <v>3.69</v>
      </c>
      <c r="Q3647" s="1664"/>
      <c r="R3647" s="1655">
        <v>0.63393850192222367</v>
      </c>
      <c r="S3647" s="1655">
        <v>4.41</v>
      </c>
      <c r="T3647" s="1665"/>
      <c r="U3647" s="1666"/>
      <c r="V3647" s="1662"/>
      <c r="W3647" s="1662"/>
      <c r="X3647" s="1662"/>
      <c r="Y3647" s="1656">
        <v>6.3</v>
      </c>
      <c r="Z3647" s="1662"/>
      <c r="AA3647" s="1657">
        <v>4.03</v>
      </c>
      <c r="AB3647" s="1657">
        <v>0.48599999999999999</v>
      </c>
      <c r="AC3647" s="1657">
        <v>9.9</v>
      </c>
      <c r="AD3647" s="1660">
        <v>90</v>
      </c>
      <c r="AE3647" s="1660">
        <v>80</v>
      </c>
      <c r="AF3647" s="1660">
        <v>830</v>
      </c>
      <c r="AG3647" s="66">
        <f t="shared" si="136"/>
        <v>394.45714285714286</v>
      </c>
      <c r="AH3647" s="143">
        <f t="shared" si="137"/>
        <v>1000</v>
      </c>
    </row>
    <row r="3648" spans="1:34" s="1648" customFormat="1" ht="18" customHeight="1" x14ac:dyDescent="0.3">
      <c r="A3648" s="1262">
        <v>203727</v>
      </c>
      <c r="B3648" s="1658">
        <v>5.458333333333333</v>
      </c>
      <c r="C3648" s="1590"/>
      <c r="D3648" s="1602">
        <v>8.7799999999999994</v>
      </c>
      <c r="E3648" s="1583">
        <v>0.14199999999999999</v>
      </c>
      <c r="F3648" s="1265">
        <v>156.20000000000002</v>
      </c>
      <c r="G3648" s="1592"/>
      <c r="H3648" s="1596">
        <v>148.71</v>
      </c>
      <c r="I3648" s="1654">
        <v>254</v>
      </c>
      <c r="J3648" s="1654">
        <v>4.8000000000000001E-2</v>
      </c>
      <c r="K3648" s="1654">
        <v>5.61</v>
      </c>
      <c r="L3648" s="1654">
        <v>390</v>
      </c>
      <c r="M3648" s="1654">
        <v>2.87</v>
      </c>
      <c r="N3648" s="1667">
        <v>1</v>
      </c>
      <c r="O3648" s="1654">
        <v>1.98</v>
      </c>
      <c r="P3648" s="1602">
        <v>3.33</v>
      </c>
      <c r="Q3648" s="1659"/>
      <c r="R3648" s="1655">
        <v>0.81031641216679784</v>
      </c>
      <c r="S3648" s="1655">
        <v>5.53</v>
      </c>
      <c r="T3648" s="1596"/>
      <c r="U3648" s="1597"/>
      <c r="V3648" s="1590"/>
      <c r="W3648" s="1590"/>
      <c r="X3648" s="1590"/>
      <c r="Y3648" s="1656">
        <v>4.8</v>
      </c>
      <c r="Z3648" s="1590"/>
      <c r="AA3648" s="1657">
        <v>5</v>
      </c>
      <c r="AB3648" s="1657">
        <v>0.78900000000000003</v>
      </c>
      <c r="AC3648" s="1657">
        <v>10</v>
      </c>
      <c r="AD3648" s="1660">
        <v>80</v>
      </c>
      <c r="AE3648" s="1660">
        <v>70</v>
      </c>
      <c r="AF3648" s="1660">
        <v>850</v>
      </c>
      <c r="AG3648" s="66">
        <f t="shared" si="136"/>
        <v>413.73750000000001</v>
      </c>
      <c r="AH3648" s="143">
        <f t="shared" si="137"/>
        <v>1000</v>
      </c>
    </row>
    <row r="3649" spans="1:34" s="90" customFormat="1" x14ac:dyDescent="0.3">
      <c r="A3649" s="1262">
        <v>203728</v>
      </c>
      <c r="B3649" s="1658">
        <v>6.958333333333333</v>
      </c>
      <c r="C3649" s="1263"/>
      <c r="D3649" s="1264">
        <v>8.86</v>
      </c>
      <c r="E3649" s="1583">
        <v>0.14899999999999999</v>
      </c>
      <c r="F3649" s="1265">
        <v>163.9</v>
      </c>
      <c r="G3649" s="1262"/>
      <c r="H3649" s="1265">
        <v>169.35</v>
      </c>
      <c r="I3649" s="1654">
        <v>265</v>
      </c>
      <c r="J3649" s="1654">
        <v>3.4000000000000002E-2</v>
      </c>
      <c r="K3649" s="1654">
        <v>7.54</v>
      </c>
      <c r="L3649" s="1654">
        <v>590</v>
      </c>
      <c r="M3649" s="1654">
        <v>3.56</v>
      </c>
      <c r="N3649" s="1654">
        <v>1.02</v>
      </c>
      <c r="O3649" s="1654">
        <v>2.46</v>
      </c>
      <c r="P3649" s="1602">
        <v>4.21</v>
      </c>
      <c r="Q3649" s="1262"/>
      <c r="R3649" s="1655">
        <v>0.61633169285203016</v>
      </c>
      <c r="S3649" s="1655">
        <v>4.5999999999999996</v>
      </c>
      <c r="T3649" s="1262"/>
      <c r="U3649" s="1262"/>
      <c r="V3649" s="1262"/>
      <c r="W3649" s="1262"/>
      <c r="X3649" s="1262"/>
      <c r="Y3649" s="1656">
        <v>4.9000000000000004</v>
      </c>
      <c r="Z3649" s="1262"/>
      <c r="AA3649" s="1657">
        <v>3.7</v>
      </c>
      <c r="AB3649" s="1657">
        <v>0.61799999999999999</v>
      </c>
      <c r="AC3649" s="1657">
        <v>9.6999999999999993</v>
      </c>
      <c r="AD3649" s="1660">
        <v>70</v>
      </c>
      <c r="AE3649" s="1660">
        <v>70</v>
      </c>
      <c r="AF3649" s="1660">
        <v>860</v>
      </c>
      <c r="AG3649" s="66">
        <f t="shared" si="136"/>
        <v>544.72653061224491</v>
      </c>
      <c r="AH3649" s="143">
        <f t="shared" si="137"/>
        <v>1000</v>
      </c>
    </row>
    <row r="3650" spans="1:34" x14ac:dyDescent="0.3">
      <c r="A3650" s="1262">
        <v>203729</v>
      </c>
      <c r="B3650" s="1652">
        <v>9.4999999999999982</v>
      </c>
      <c r="C3650" s="1263"/>
      <c r="D3650" s="1264">
        <v>8.77</v>
      </c>
      <c r="E3650" s="1583">
        <v>0.151</v>
      </c>
      <c r="F3650" s="1265">
        <v>166.1</v>
      </c>
      <c r="G3650" s="1262"/>
      <c r="H3650" s="1265">
        <v>150.62</v>
      </c>
      <c r="I3650" s="1654">
        <v>164</v>
      </c>
      <c r="J3650" s="1654">
        <v>3.1E-2</v>
      </c>
      <c r="K3650" s="1654">
        <v>7.57</v>
      </c>
      <c r="L3650" s="1654">
        <v>510</v>
      </c>
      <c r="M3650" s="1654">
        <v>2.67</v>
      </c>
      <c r="N3650" s="1654">
        <v>0.9</v>
      </c>
      <c r="O3650" s="1654">
        <v>1.74</v>
      </c>
      <c r="P3650" s="1602">
        <v>3.15</v>
      </c>
      <c r="Q3650" s="1262"/>
      <c r="R3650" s="1655">
        <v>0.65409571996987459</v>
      </c>
      <c r="S3650" s="1655">
        <v>4.49</v>
      </c>
      <c r="T3650" s="1262"/>
      <c r="U3650" s="1262"/>
      <c r="V3650" s="1262"/>
      <c r="W3650" s="1262"/>
      <c r="X3650" s="1262"/>
      <c r="Y3650" s="1656">
        <v>4.8</v>
      </c>
      <c r="Z3650" s="1262"/>
      <c r="AA3650" s="1657">
        <v>4.63</v>
      </c>
      <c r="AB3650" s="1657">
        <v>0.40300000000000002</v>
      </c>
      <c r="AC3650" s="1657">
        <v>9</v>
      </c>
      <c r="AD3650" s="1660">
        <v>80</v>
      </c>
      <c r="AE3650" s="1660">
        <v>60</v>
      </c>
      <c r="AF3650" s="1660">
        <v>860</v>
      </c>
      <c r="AG3650" s="66">
        <f t="shared" ref="AG3650:AG3713" si="138">+K3650*3.54*100/Y3650</f>
        <v>558.28750000000002</v>
      </c>
      <c r="AH3650" s="143">
        <f t="shared" ref="AH3650:AH3713" si="139">+SUM(AD3650:AF3650)</f>
        <v>1000</v>
      </c>
    </row>
    <row r="3651" spans="1:34" x14ac:dyDescent="0.3">
      <c r="A3651" s="1262">
        <v>203730</v>
      </c>
      <c r="B3651" s="1652">
        <v>6.375</v>
      </c>
      <c r="C3651" s="1263"/>
      <c r="D3651" s="1264">
        <v>8.7899999999999991</v>
      </c>
      <c r="E3651" s="1583">
        <v>0.13600000000000001</v>
      </c>
      <c r="F3651" s="1265">
        <v>149.60000000000002</v>
      </c>
      <c r="G3651" s="1262"/>
      <c r="H3651" s="1265">
        <v>168.43</v>
      </c>
      <c r="I3651" s="1654">
        <v>225</v>
      </c>
      <c r="J3651" s="1654">
        <v>2.5999999999999999E-2</v>
      </c>
      <c r="K3651" s="1654">
        <v>6.17</v>
      </c>
      <c r="L3651" s="1654">
        <v>470</v>
      </c>
      <c r="M3651" s="1654">
        <v>2.4900000000000002</v>
      </c>
      <c r="N3651" s="1654">
        <v>0.94</v>
      </c>
      <c r="O3651" s="1654">
        <v>1.49</v>
      </c>
      <c r="P3651" s="1602">
        <v>3.72</v>
      </c>
      <c r="Q3651" s="1262"/>
      <c r="R3651" s="1655">
        <v>0.47729668943556386</v>
      </c>
      <c r="S3651" s="1655">
        <v>3.51</v>
      </c>
      <c r="T3651" s="1262"/>
      <c r="U3651" s="1262"/>
      <c r="V3651" s="1262"/>
      <c r="W3651" s="1262"/>
      <c r="X3651" s="1262"/>
      <c r="Y3651" s="1656">
        <v>6.3</v>
      </c>
      <c r="Z3651" s="1262"/>
      <c r="AA3651" s="1657">
        <v>3.58</v>
      </c>
      <c r="AB3651" s="1657">
        <v>0.78200000000000003</v>
      </c>
      <c r="AC3651" s="1657">
        <v>6.6</v>
      </c>
      <c r="AD3651" s="1267">
        <v>90</v>
      </c>
      <c r="AE3651" s="1267">
        <v>70</v>
      </c>
      <c r="AF3651" s="1267">
        <v>840</v>
      </c>
      <c r="AG3651" s="66">
        <f t="shared" si="138"/>
        <v>346.6952380952381</v>
      </c>
      <c r="AH3651" s="143">
        <f t="shared" si="139"/>
        <v>1000</v>
      </c>
    </row>
    <row r="3652" spans="1:34" x14ac:dyDescent="0.3">
      <c r="A3652" s="1262">
        <v>203731</v>
      </c>
      <c r="B3652" s="1652">
        <v>5.9583333333333339</v>
      </c>
      <c r="C3652" s="1263"/>
      <c r="D3652" s="1264">
        <v>8.86</v>
      </c>
      <c r="E3652" s="1583">
        <v>0.123</v>
      </c>
      <c r="F3652" s="1265">
        <v>135.30000000000001</v>
      </c>
      <c r="G3652" s="1262"/>
      <c r="H3652" s="1265">
        <v>14.74</v>
      </c>
      <c r="I3652" s="1654">
        <v>240</v>
      </c>
      <c r="J3652" s="1654">
        <v>2.7E-2</v>
      </c>
      <c r="K3652" s="1654">
        <v>5.67</v>
      </c>
      <c r="L3652" s="1654">
        <v>230</v>
      </c>
      <c r="M3652" s="1654">
        <v>0.52</v>
      </c>
      <c r="N3652" s="1654">
        <v>0.26</v>
      </c>
      <c r="O3652" s="1654">
        <v>2.41</v>
      </c>
      <c r="P3652" s="1602">
        <v>1.58</v>
      </c>
      <c r="Q3652" s="1262"/>
      <c r="R3652" s="1655">
        <v>0.46287102677256958</v>
      </c>
      <c r="S3652" s="1655">
        <v>3.34</v>
      </c>
      <c r="T3652" s="1262"/>
      <c r="U3652" s="1262"/>
      <c r="V3652" s="1262"/>
      <c r="W3652" s="1262"/>
      <c r="X3652" s="1262"/>
      <c r="Y3652" s="1656">
        <v>5.6</v>
      </c>
      <c r="Z3652" s="1262"/>
      <c r="AA3652" s="1657">
        <v>4.95</v>
      </c>
      <c r="AB3652" s="1657">
        <v>0.51900000000000002</v>
      </c>
      <c r="AC3652" s="1657">
        <v>11.6</v>
      </c>
      <c r="AD3652" s="1267">
        <v>80</v>
      </c>
      <c r="AE3652" s="1267">
        <v>60</v>
      </c>
      <c r="AF3652" s="1267">
        <v>860</v>
      </c>
      <c r="AG3652" s="66">
        <f t="shared" si="138"/>
        <v>358.42500000000001</v>
      </c>
      <c r="AH3652" s="143">
        <f t="shared" si="139"/>
        <v>1000</v>
      </c>
    </row>
    <row r="3653" spans="1:34" x14ac:dyDescent="0.3">
      <c r="A3653" s="1262">
        <v>203732</v>
      </c>
      <c r="B3653" s="1652">
        <v>6.25</v>
      </c>
      <c r="C3653" s="1263"/>
      <c r="D3653" s="1264">
        <v>8.82</v>
      </c>
      <c r="E3653" s="1583">
        <v>0.125</v>
      </c>
      <c r="F3653" s="1265">
        <v>137.5</v>
      </c>
      <c r="G3653" s="1262"/>
      <c r="H3653" s="1265">
        <v>81.069999999999993</v>
      </c>
      <c r="I3653" s="1654">
        <v>237</v>
      </c>
      <c r="J3653" s="1654">
        <v>2.3E-2</v>
      </c>
      <c r="K3653" s="1654">
        <v>7.39</v>
      </c>
      <c r="L3653" s="1654">
        <v>490</v>
      </c>
      <c r="M3653" s="1654">
        <v>1.73</v>
      </c>
      <c r="N3653" s="1654">
        <v>0.5</v>
      </c>
      <c r="O3653" s="1654">
        <v>2.15</v>
      </c>
      <c r="P3653" s="1602">
        <v>3.55</v>
      </c>
      <c r="Q3653" s="1262"/>
      <c r="R3653" s="1655">
        <v>0.61042138684217695</v>
      </c>
      <c r="S3653" s="1655">
        <v>4.04</v>
      </c>
      <c r="T3653" s="1262"/>
      <c r="U3653" s="1262"/>
      <c r="V3653" s="1262"/>
      <c r="W3653" s="1262"/>
      <c r="X3653" s="1262"/>
      <c r="Y3653" s="1656">
        <v>3.5</v>
      </c>
      <c r="Z3653" s="1262"/>
      <c r="AA3653" s="1657">
        <v>4.57</v>
      </c>
      <c r="AB3653" s="1657">
        <v>0.312</v>
      </c>
      <c r="AC3653" s="1657">
        <v>7.6</v>
      </c>
      <c r="AD3653" s="1267">
        <v>70</v>
      </c>
      <c r="AE3653" s="1267">
        <v>60</v>
      </c>
      <c r="AF3653" s="1267">
        <v>870</v>
      </c>
      <c r="AG3653" s="66">
        <f t="shared" si="138"/>
        <v>747.4457142857143</v>
      </c>
      <c r="AH3653" s="143">
        <f t="shared" si="139"/>
        <v>1000</v>
      </c>
    </row>
    <row r="3654" spans="1:34" x14ac:dyDescent="0.3">
      <c r="A3654" s="1262">
        <v>203733</v>
      </c>
      <c r="B3654" s="1652">
        <v>9.25</v>
      </c>
      <c r="C3654" s="1263"/>
      <c r="D3654" s="1264">
        <v>8.83</v>
      </c>
      <c r="E3654" s="1266">
        <v>0.14000000000000001</v>
      </c>
      <c r="F3654" s="1265">
        <v>154.00000000000003</v>
      </c>
      <c r="G3654" s="1262"/>
      <c r="H3654" s="1265">
        <v>99.94</v>
      </c>
      <c r="I3654" s="1654">
        <v>347</v>
      </c>
      <c r="J3654" s="1654">
        <v>2.9000000000000001E-2</v>
      </c>
      <c r="K3654" s="1654">
        <v>7.92</v>
      </c>
      <c r="L3654" s="1654">
        <v>410</v>
      </c>
      <c r="M3654" s="1654">
        <v>1.7</v>
      </c>
      <c r="N3654" s="1654">
        <v>1.45</v>
      </c>
      <c r="O3654" s="1654">
        <v>2.29</v>
      </c>
      <c r="P3654" s="1602">
        <v>2.97</v>
      </c>
      <c r="Q3654" s="1262"/>
      <c r="R3654" s="1655">
        <v>0.74324222227138892</v>
      </c>
      <c r="S3654" s="1655">
        <v>5.25</v>
      </c>
      <c r="T3654" s="1262"/>
      <c r="U3654" s="1262"/>
      <c r="V3654" s="1262"/>
      <c r="W3654" s="1262"/>
      <c r="X3654" s="1262"/>
      <c r="Y3654" s="1656">
        <v>4.9000000000000004</v>
      </c>
      <c r="Z3654" s="1262"/>
      <c r="AA3654" s="1657">
        <v>3.6</v>
      </c>
      <c r="AB3654" s="1657">
        <v>0.75</v>
      </c>
      <c r="AC3654" s="1657">
        <v>10.3</v>
      </c>
      <c r="AD3654" s="1267">
        <v>70</v>
      </c>
      <c r="AE3654" s="1267">
        <v>70</v>
      </c>
      <c r="AF3654" s="1267">
        <v>860</v>
      </c>
      <c r="AG3654" s="66">
        <f t="shared" si="138"/>
        <v>572.17959183673463</v>
      </c>
      <c r="AH3654" s="143">
        <f t="shared" si="139"/>
        <v>1000</v>
      </c>
    </row>
    <row r="3655" spans="1:34" x14ac:dyDescent="0.3">
      <c r="A3655" s="1262">
        <v>203734</v>
      </c>
      <c r="B3655" s="1652">
        <v>5.4166666666666661</v>
      </c>
      <c r="C3655" s="1263"/>
      <c r="D3655" s="1264">
        <v>8.5</v>
      </c>
      <c r="E3655" s="1583">
        <v>0.20399999999999999</v>
      </c>
      <c r="F3655" s="1265">
        <v>224.4</v>
      </c>
      <c r="G3655" s="1262"/>
      <c r="H3655" s="1265">
        <v>193.82</v>
      </c>
      <c r="I3655" s="1654">
        <v>168</v>
      </c>
      <c r="J3655" s="1654">
        <v>3.3000000000000002E-2</v>
      </c>
      <c r="K3655" s="1654">
        <v>7.71</v>
      </c>
      <c r="L3655" s="1654">
        <v>550</v>
      </c>
      <c r="M3655" s="1654">
        <v>3.61</v>
      </c>
      <c r="N3655" s="1654">
        <v>2.61</v>
      </c>
      <c r="O3655" s="1654">
        <v>1.81</v>
      </c>
      <c r="P3655" s="1602">
        <v>4.7300000000000004</v>
      </c>
      <c r="Q3655" s="1262"/>
      <c r="R3655" s="1655">
        <v>0.74633921819918603</v>
      </c>
      <c r="S3655" s="1655">
        <v>5.15</v>
      </c>
      <c r="T3655" s="1262"/>
      <c r="U3655" s="1262"/>
      <c r="V3655" s="1262"/>
      <c r="W3655" s="1262"/>
      <c r="X3655" s="1262"/>
      <c r="Y3655" s="1656">
        <v>4.8</v>
      </c>
      <c r="Z3655" s="1262"/>
      <c r="AA3655" s="1657">
        <v>4.7699999999999996</v>
      </c>
      <c r="AB3655" s="1657">
        <v>0.48899999999999999</v>
      </c>
      <c r="AC3655" s="1657">
        <v>12</v>
      </c>
      <c r="AD3655" s="1267">
        <v>80</v>
      </c>
      <c r="AE3655" s="1267">
        <v>70</v>
      </c>
      <c r="AF3655" s="1267">
        <v>850</v>
      </c>
      <c r="AG3655" s="66">
        <f t="shared" si="138"/>
        <v>568.61250000000007</v>
      </c>
      <c r="AH3655" s="143">
        <f t="shared" si="139"/>
        <v>1000</v>
      </c>
    </row>
    <row r="3656" spans="1:34" ht="17.100000000000001" customHeight="1" x14ac:dyDescent="0.3">
      <c r="A3656" s="755">
        <v>203735</v>
      </c>
      <c r="B3656" s="1424">
        <v>13.5</v>
      </c>
      <c r="C3656" s="1424">
        <v>4.63</v>
      </c>
      <c r="D3656" s="757">
        <v>8.4</v>
      </c>
      <c r="E3656" s="1570">
        <v>0.69299999999999995</v>
      </c>
      <c r="F3656" s="758">
        <v>762.3</v>
      </c>
      <c r="G3656" s="755"/>
      <c r="H3656" s="758">
        <v>12.06</v>
      </c>
      <c r="I3656" s="758">
        <v>190</v>
      </c>
      <c r="J3656" s="759">
        <v>0.749</v>
      </c>
      <c r="K3656" s="1424">
        <v>7.83</v>
      </c>
      <c r="L3656" s="755">
        <v>740</v>
      </c>
      <c r="M3656" s="755">
        <v>1.37</v>
      </c>
      <c r="N3656" s="755">
        <v>1.77</v>
      </c>
      <c r="O3656" s="755">
        <v>4.2</v>
      </c>
      <c r="P3656" s="755">
        <v>4.3600000000000003</v>
      </c>
      <c r="Q3656" s="755"/>
      <c r="R3656" s="757">
        <v>0.83487350080743417</v>
      </c>
      <c r="S3656" s="1424">
        <v>6.22</v>
      </c>
      <c r="T3656" s="755"/>
      <c r="U3656" s="755"/>
      <c r="V3656" s="755"/>
      <c r="W3656" s="755"/>
      <c r="X3656" s="755"/>
      <c r="Y3656" s="1424">
        <v>22</v>
      </c>
      <c r="Z3656" s="755"/>
      <c r="AA3656" s="757">
        <v>4.55</v>
      </c>
      <c r="AB3656" s="757">
        <v>0.36499999999999999</v>
      </c>
      <c r="AC3656" s="755">
        <v>10.1</v>
      </c>
      <c r="AD3656" s="760">
        <v>440</v>
      </c>
      <c r="AE3656" s="760">
        <v>260</v>
      </c>
      <c r="AF3656" s="760">
        <v>300</v>
      </c>
      <c r="AG3656" s="66">
        <f t="shared" si="138"/>
        <v>125.99181818181819</v>
      </c>
      <c r="AH3656" s="143">
        <f t="shared" si="139"/>
        <v>1000</v>
      </c>
    </row>
    <row r="3657" spans="1:34" x14ac:dyDescent="0.3">
      <c r="A3657" s="755">
        <v>203736</v>
      </c>
      <c r="B3657" s="1424">
        <v>0</v>
      </c>
      <c r="C3657" s="1424"/>
      <c r="D3657" s="757">
        <v>5.6</v>
      </c>
      <c r="E3657" s="1570">
        <v>0.16</v>
      </c>
      <c r="F3657" s="758">
        <v>176.00000000000003</v>
      </c>
      <c r="G3657" s="755"/>
      <c r="H3657" s="758">
        <v>116.11</v>
      </c>
      <c r="I3657" s="758">
        <v>160</v>
      </c>
      <c r="J3657" s="759">
        <v>1.2999999999999999E-2</v>
      </c>
      <c r="K3657" s="1424">
        <v>2.39</v>
      </c>
      <c r="L3657" s="755">
        <v>180</v>
      </c>
      <c r="M3657" s="755">
        <v>3.42</v>
      </c>
      <c r="N3657" s="755">
        <v>4.5999999999999996</v>
      </c>
      <c r="O3657" s="755">
        <v>106.33</v>
      </c>
      <c r="P3657" s="755">
        <v>161.52000000000001</v>
      </c>
      <c r="Q3657" s="755"/>
      <c r="R3657" s="757">
        <v>1.6557080000000002</v>
      </c>
      <c r="S3657" s="1424">
        <v>12.4</v>
      </c>
      <c r="T3657" s="755"/>
      <c r="U3657" s="755"/>
      <c r="V3657" s="755"/>
      <c r="W3657" s="755"/>
      <c r="X3657" s="755"/>
      <c r="Y3657" s="1424">
        <v>34.299999999999997</v>
      </c>
      <c r="Z3657" s="755">
        <v>3.83</v>
      </c>
      <c r="AA3657" s="757">
        <v>4.18</v>
      </c>
      <c r="AB3657" s="757">
        <v>0.44</v>
      </c>
      <c r="AC3657" s="755">
        <v>6.7</v>
      </c>
      <c r="AD3657" s="760">
        <v>490</v>
      </c>
      <c r="AE3657" s="760">
        <v>370</v>
      </c>
      <c r="AF3657" s="760">
        <v>140</v>
      </c>
      <c r="AG3657" s="66">
        <f t="shared" si="138"/>
        <v>24.666472303207005</v>
      </c>
      <c r="AH3657" s="143">
        <f t="shared" si="139"/>
        <v>1000</v>
      </c>
    </row>
    <row r="3658" spans="1:34" x14ac:dyDescent="0.3">
      <c r="A3658" s="140">
        <v>203737</v>
      </c>
      <c r="B3658" s="138">
        <v>16.249999999999996</v>
      </c>
      <c r="C3658" s="138">
        <v>8.375</v>
      </c>
      <c r="D3658" s="152">
        <v>7.94</v>
      </c>
      <c r="E3658" s="752">
        <v>1.69</v>
      </c>
      <c r="F3658" s="142">
        <v>1859</v>
      </c>
      <c r="H3658" s="142">
        <v>77.05</v>
      </c>
      <c r="M3658" s="140">
        <v>1.1599999999999999</v>
      </c>
      <c r="N3658" s="140">
        <v>0.91</v>
      </c>
      <c r="O3658" s="140">
        <v>8.23</v>
      </c>
      <c r="P3658" s="140">
        <v>4.3499999999999996</v>
      </c>
      <c r="AG3658" s="66" t="e">
        <f t="shared" si="138"/>
        <v>#DIV/0!</v>
      </c>
      <c r="AH3658" s="143">
        <f t="shared" si="139"/>
        <v>0</v>
      </c>
    </row>
    <row r="3659" spans="1:34" x14ac:dyDescent="0.3">
      <c r="A3659" s="140">
        <v>203738</v>
      </c>
      <c r="B3659" s="138">
        <v>17.333333333333336</v>
      </c>
      <c r="C3659" s="138">
        <v>8.125</v>
      </c>
      <c r="D3659" s="152">
        <v>8.27</v>
      </c>
      <c r="E3659" s="752">
        <v>0.21</v>
      </c>
      <c r="F3659" s="142">
        <v>231</v>
      </c>
      <c r="H3659" s="142">
        <v>17.72</v>
      </c>
      <c r="M3659" s="140">
        <v>0.56000000000000005</v>
      </c>
      <c r="N3659" s="140">
        <v>1.55</v>
      </c>
      <c r="O3659" s="140">
        <v>2.86</v>
      </c>
      <c r="P3659" s="140">
        <v>4.18</v>
      </c>
      <c r="AG3659" s="66" t="e">
        <f t="shared" si="138"/>
        <v>#DIV/0!</v>
      </c>
      <c r="AH3659" s="143">
        <f t="shared" si="139"/>
        <v>0</v>
      </c>
    </row>
    <row r="3660" spans="1:34" x14ac:dyDescent="0.3">
      <c r="A3660" s="140">
        <v>203739</v>
      </c>
      <c r="B3660" s="138">
        <v>2.9722222222222219</v>
      </c>
      <c r="C3660" s="1424"/>
      <c r="D3660" s="152">
        <v>8.2100000000000009</v>
      </c>
      <c r="E3660" s="752">
        <v>0.19700000000000001</v>
      </c>
      <c r="F3660" s="142">
        <v>216.70000000000005</v>
      </c>
      <c r="H3660" s="142">
        <v>175.31</v>
      </c>
      <c r="M3660" s="140">
        <v>0.95</v>
      </c>
      <c r="N3660" s="140">
        <v>1.82</v>
      </c>
      <c r="O3660" s="140">
        <v>2.5</v>
      </c>
      <c r="P3660" s="140">
        <v>9</v>
      </c>
      <c r="AG3660" s="66" t="e">
        <f t="shared" si="138"/>
        <v>#DIV/0!</v>
      </c>
      <c r="AH3660" s="143">
        <f t="shared" si="139"/>
        <v>0</v>
      </c>
    </row>
    <row r="3661" spans="1:34" x14ac:dyDescent="0.3">
      <c r="A3661" s="140">
        <v>203740</v>
      </c>
      <c r="B3661" s="138">
        <v>17.25</v>
      </c>
      <c r="C3661" s="138">
        <v>13.125</v>
      </c>
      <c r="D3661" s="152">
        <v>8.32</v>
      </c>
      <c r="E3661" s="752">
        <v>0.16200000000000001</v>
      </c>
      <c r="F3661" s="142">
        <v>178.20000000000002</v>
      </c>
      <c r="H3661" s="142">
        <v>16.260000000000002</v>
      </c>
      <c r="M3661" s="140">
        <v>1.05</v>
      </c>
      <c r="N3661" s="140">
        <v>4.28</v>
      </c>
      <c r="O3661" s="140">
        <v>1.82</v>
      </c>
      <c r="P3661" s="140">
        <v>7.05</v>
      </c>
      <c r="AG3661" s="66" t="e">
        <f t="shared" si="138"/>
        <v>#DIV/0!</v>
      </c>
      <c r="AH3661" s="143">
        <f t="shared" si="139"/>
        <v>0</v>
      </c>
    </row>
    <row r="3662" spans="1:34" x14ac:dyDescent="0.3">
      <c r="A3662" s="140">
        <v>203741</v>
      </c>
      <c r="B3662" s="138">
        <v>12.083333333333334</v>
      </c>
      <c r="C3662" s="138">
        <v>9.5</v>
      </c>
      <c r="D3662" s="152">
        <v>8.48</v>
      </c>
      <c r="E3662" s="752">
        <v>0.11</v>
      </c>
      <c r="F3662" s="142">
        <v>121.00000000000001</v>
      </c>
      <c r="H3662" s="142">
        <v>5.97</v>
      </c>
      <c r="M3662" s="140">
        <v>0.15</v>
      </c>
      <c r="N3662" s="140">
        <v>4.2300000000000004</v>
      </c>
      <c r="O3662" s="140">
        <v>0.74</v>
      </c>
      <c r="P3662" s="140">
        <v>3.22</v>
      </c>
      <c r="AG3662" s="66" t="e">
        <f t="shared" si="138"/>
        <v>#DIV/0!</v>
      </c>
      <c r="AH3662" s="143">
        <f t="shared" si="139"/>
        <v>0</v>
      </c>
    </row>
    <row r="3663" spans="1:34" x14ac:dyDescent="0.3">
      <c r="A3663" s="140">
        <v>203742</v>
      </c>
      <c r="B3663" s="138">
        <v>17.416666666666664</v>
      </c>
      <c r="C3663" s="138">
        <v>13.375</v>
      </c>
      <c r="D3663" s="152">
        <v>8.26</v>
      </c>
      <c r="E3663" s="752">
        <v>0.22</v>
      </c>
      <c r="F3663" s="142">
        <v>242.00000000000003</v>
      </c>
      <c r="H3663" s="142">
        <v>18.579999999999998</v>
      </c>
      <c r="M3663" s="140">
        <v>0.54</v>
      </c>
      <c r="N3663" s="140">
        <v>6.24</v>
      </c>
      <c r="O3663" s="140">
        <v>0.45</v>
      </c>
      <c r="P3663" s="140">
        <v>3.43</v>
      </c>
      <c r="AG3663" s="66" t="e">
        <f t="shared" si="138"/>
        <v>#DIV/0!</v>
      </c>
      <c r="AH3663" s="143">
        <f t="shared" si="139"/>
        <v>0</v>
      </c>
    </row>
    <row r="3664" spans="1:34" x14ac:dyDescent="0.3">
      <c r="A3664" s="140">
        <v>203743</v>
      </c>
      <c r="B3664" s="138">
        <v>13.416666666666666</v>
      </c>
      <c r="C3664" s="138">
        <v>8.875</v>
      </c>
      <c r="D3664" s="152">
        <v>8.3800000000000008</v>
      </c>
      <c r="E3664" s="752">
        <v>0.16</v>
      </c>
      <c r="F3664" s="142">
        <v>176.00000000000003</v>
      </c>
      <c r="H3664" s="142">
        <v>22.97</v>
      </c>
      <c r="M3664" s="140">
        <v>0.36</v>
      </c>
      <c r="N3664" s="140">
        <v>1.1299999999999999</v>
      </c>
      <c r="O3664" s="140">
        <v>0.17</v>
      </c>
      <c r="P3664" s="140">
        <v>5.86</v>
      </c>
      <c r="AG3664" s="66" t="e">
        <f t="shared" si="138"/>
        <v>#DIV/0!</v>
      </c>
      <c r="AH3664" s="143">
        <f t="shared" si="139"/>
        <v>0</v>
      </c>
    </row>
    <row r="3665" spans="1:34" x14ac:dyDescent="0.3">
      <c r="A3665" s="140">
        <v>203744</v>
      </c>
      <c r="B3665" s="138">
        <v>34.833333333333329</v>
      </c>
      <c r="C3665" s="138">
        <v>13.624999999999998</v>
      </c>
      <c r="D3665" s="152">
        <v>8.5299999999999994</v>
      </c>
      <c r="E3665" s="752">
        <v>1.22</v>
      </c>
      <c r="F3665" s="142">
        <v>1342</v>
      </c>
      <c r="H3665" s="142">
        <v>14.66</v>
      </c>
      <c r="M3665" s="140">
        <v>0.57999999999999996</v>
      </c>
      <c r="N3665" s="140">
        <v>1.82</v>
      </c>
      <c r="O3665" s="140">
        <v>1E-3</v>
      </c>
      <c r="P3665" s="140">
        <v>8.02</v>
      </c>
      <c r="AG3665" s="66" t="e">
        <f t="shared" si="138"/>
        <v>#DIV/0!</v>
      </c>
      <c r="AH3665" s="143">
        <f t="shared" si="139"/>
        <v>0</v>
      </c>
    </row>
    <row r="3666" spans="1:34" x14ac:dyDescent="0.3">
      <c r="A3666" s="140">
        <v>203745</v>
      </c>
      <c r="B3666" s="138">
        <v>41.666666666666664</v>
      </c>
      <c r="C3666" s="138">
        <v>9.8749999999999982</v>
      </c>
      <c r="D3666" s="152">
        <v>8.75</v>
      </c>
      <c r="E3666" s="752">
        <v>2.2000000000000002</v>
      </c>
      <c r="F3666" s="142">
        <v>2420.0000000000005</v>
      </c>
      <c r="H3666" s="142">
        <v>37.9</v>
      </c>
      <c r="M3666" s="140">
        <v>0.28999999999999998</v>
      </c>
      <c r="N3666" s="140">
        <v>0.42</v>
      </c>
      <c r="O3666" s="140">
        <v>1E-3</v>
      </c>
      <c r="P3666" s="140">
        <v>1.79</v>
      </c>
      <c r="AG3666" s="66" t="e">
        <f t="shared" si="138"/>
        <v>#DIV/0!</v>
      </c>
      <c r="AH3666" s="143">
        <f t="shared" si="139"/>
        <v>0</v>
      </c>
    </row>
    <row r="3667" spans="1:34" s="415" customFormat="1" x14ac:dyDescent="0.3">
      <c r="A3667" s="415">
        <v>203746</v>
      </c>
      <c r="B3667" s="1405">
        <v>6.8749999999999991</v>
      </c>
      <c r="C3667" s="1228"/>
      <c r="D3667" s="1405">
        <v>7.87</v>
      </c>
      <c r="E3667" s="1585">
        <v>0.79600000000000004</v>
      </c>
      <c r="F3667" s="1406">
        <f>+E3667*1.1*1000</f>
        <v>875.60000000000014</v>
      </c>
      <c r="H3667" s="1406">
        <v>410.1</v>
      </c>
      <c r="I3667" s="1406">
        <v>513</v>
      </c>
      <c r="J3667" s="1407">
        <v>0.503</v>
      </c>
      <c r="K3667" s="1405">
        <v>8.19</v>
      </c>
      <c r="L3667" s="415">
        <v>1088</v>
      </c>
      <c r="M3667" s="415">
        <v>6.63</v>
      </c>
      <c r="N3667" s="415">
        <v>7.38</v>
      </c>
      <c r="O3667" s="415">
        <v>10.220000000000001</v>
      </c>
      <c r="P3667" s="415">
        <v>24.14</v>
      </c>
      <c r="R3667" s="1405">
        <v>2.0295857700000002</v>
      </c>
      <c r="S3667" s="1228">
        <v>25.830000000000002</v>
      </c>
      <c r="Y3667" s="67">
        <v>24</v>
      </c>
      <c r="AA3667" s="68">
        <v>4.0199999999999996</v>
      </c>
      <c r="AB3667" s="68">
        <v>0.26400000000000001</v>
      </c>
      <c r="AC3667" s="69">
        <v>9.6</v>
      </c>
      <c r="AD3667" s="1408">
        <v>480</v>
      </c>
      <c r="AE3667" s="1408">
        <v>280</v>
      </c>
      <c r="AF3667" s="1408">
        <v>240</v>
      </c>
      <c r="AG3667" s="66">
        <f t="shared" si="138"/>
        <v>120.80249999999999</v>
      </c>
      <c r="AH3667" s="143">
        <f t="shared" si="139"/>
        <v>1000</v>
      </c>
    </row>
    <row r="3668" spans="1:34" s="415" customFormat="1" x14ac:dyDescent="0.3">
      <c r="A3668" s="415">
        <v>203747</v>
      </c>
      <c r="B3668" s="1405">
        <v>6.666666666666667</v>
      </c>
      <c r="C3668" s="1228"/>
      <c r="D3668" s="1405">
        <v>7.85</v>
      </c>
      <c r="E3668" s="1585">
        <v>3.37</v>
      </c>
      <c r="F3668" s="1406">
        <f t="shared" ref="F3668:F3687" si="140">+E3668*1.1*1000</f>
        <v>3707.0000000000005</v>
      </c>
      <c r="H3668" s="1406">
        <v>407.15</v>
      </c>
      <c r="I3668" s="1406">
        <v>200</v>
      </c>
      <c r="J3668" s="1407">
        <v>2.2450000000000001</v>
      </c>
      <c r="K3668" s="1405">
        <v>8.39</v>
      </c>
      <c r="L3668" s="415">
        <v>1864</v>
      </c>
      <c r="M3668" s="415">
        <v>7.6</v>
      </c>
      <c r="N3668" s="415">
        <v>1.75</v>
      </c>
      <c r="O3668" s="415">
        <v>11.71</v>
      </c>
      <c r="P3668" s="415">
        <v>18.7</v>
      </c>
      <c r="R3668" s="1405">
        <v>1.8295285699999999</v>
      </c>
      <c r="S3668" s="1228">
        <v>17.57</v>
      </c>
      <c r="Y3668" s="67">
        <v>25.2</v>
      </c>
      <c r="AA3668" s="68">
        <v>3.75</v>
      </c>
      <c r="AB3668" s="68">
        <v>0.437</v>
      </c>
      <c r="AC3668" s="69">
        <v>7.5</v>
      </c>
      <c r="AD3668" s="1408">
        <v>460</v>
      </c>
      <c r="AE3668" s="1408">
        <v>240</v>
      </c>
      <c r="AF3668" s="1408">
        <v>300</v>
      </c>
      <c r="AG3668" s="66">
        <f t="shared" si="138"/>
        <v>117.85952380952381</v>
      </c>
      <c r="AH3668" s="143">
        <f t="shared" si="139"/>
        <v>1000</v>
      </c>
    </row>
    <row r="3669" spans="1:34" s="415" customFormat="1" x14ac:dyDescent="0.3">
      <c r="A3669" s="415">
        <v>203748</v>
      </c>
      <c r="B3669" s="1405">
        <v>8.9583333333333339</v>
      </c>
      <c r="C3669" s="1228"/>
      <c r="D3669" s="1405">
        <v>8.66</v>
      </c>
      <c r="E3669" s="1585">
        <v>0.625</v>
      </c>
      <c r="F3669" s="1406">
        <f t="shared" si="140"/>
        <v>687.5</v>
      </c>
      <c r="G3669" s="1407"/>
      <c r="H3669" s="1406">
        <v>14.49</v>
      </c>
      <c r="I3669" s="1406">
        <v>118</v>
      </c>
      <c r="J3669" s="1407">
        <v>0.625</v>
      </c>
      <c r="K3669" s="1405">
        <v>7.48</v>
      </c>
      <c r="L3669" s="415">
        <v>849</v>
      </c>
      <c r="M3669" s="415">
        <v>0.59</v>
      </c>
      <c r="N3669" s="415">
        <v>0.44</v>
      </c>
      <c r="O3669" s="415">
        <v>3.19</v>
      </c>
      <c r="P3669" s="415">
        <v>4.83</v>
      </c>
      <c r="R3669" s="1405">
        <v>0.65428691395067606</v>
      </c>
      <c r="S3669" s="1228">
        <v>4.71</v>
      </c>
      <c r="Y3669" s="67">
        <v>20.399999999999999</v>
      </c>
      <c r="AA3669" s="68">
        <v>4.84</v>
      </c>
      <c r="AB3669" s="68">
        <v>0.48199999999999998</v>
      </c>
      <c r="AC3669" s="69">
        <v>7.8</v>
      </c>
      <c r="AD3669" s="1408">
        <v>340</v>
      </c>
      <c r="AE3669" s="1408">
        <v>220</v>
      </c>
      <c r="AF3669" s="1408">
        <v>440</v>
      </c>
      <c r="AG3669" s="66">
        <f t="shared" si="138"/>
        <v>129.80000000000001</v>
      </c>
      <c r="AH3669" s="143">
        <f t="shared" si="139"/>
        <v>1000</v>
      </c>
    </row>
    <row r="3670" spans="1:34" s="1045" customFormat="1" x14ac:dyDescent="0.3">
      <c r="A3670" s="1045">
        <v>203749</v>
      </c>
      <c r="B3670" s="1046">
        <v>4.4444444444444438</v>
      </c>
      <c r="C3670" s="1682"/>
      <c r="D3670" s="1046">
        <v>8.5299999999999994</v>
      </c>
      <c r="E3670" s="1683">
        <v>0.188</v>
      </c>
      <c r="F3670" s="1406">
        <f t="shared" si="140"/>
        <v>206.8</v>
      </c>
      <c r="H3670" s="1684">
        <v>79.55</v>
      </c>
      <c r="I3670" s="1684">
        <v>144</v>
      </c>
      <c r="J3670" s="1685">
        <v>0.08</v>
      </c>
      <c r="K3670" s="1046">
        <v>6.28</v>
      </c>
      <c r="L3670" s="1045">
        <v>505</v>
      </c>
      <c r="M3670" s="1045">
        <v>1.33</v>
      </c>
      <c r="N3670" s="1045">
        <v>0.44</v>
      </c>
      <c r="O3670" s="1045">
        <v>1.88</v>
      </c>
      <c r="P3670" s="1045">
        <v>2.62</v>
      </c>
      <c r="R3670" s="1046">
        <v>0.5640088208351256</v>
      </c>
      <c r="S3670" s="1682">
        <v>3.87</v>
      </c>
      <c r="Y3670" s="1686">
        <v>5</v>
      </c>
      <c r="AA3670" s="1046">
        <v>3.77</v>
      </c>
      <c r="AB3670" s="1046">
        <v>0.56200000000000006</v>
      </c>
      <c r="AC3670" s="1045">
        <v>9.8000000000000007</v>
      </c>
      <c r="AD3670" s="1687">
        <v>100</v>
      </c>
      <c r="AE3670" s="1687">
        <v>60</v>
      </c>
      <c r="AF3670" s="1687">
        <v>840</v>
      </c>
      <c r="AG3670" s="66">
        <f t="shared" si="138"/>
        <v>444.62399999999997</v>
      </c>
      <c r="AH3670" s="143">
        <f t="shared" si="139"/>
        <v>1000</v>
      </c>
    </row>
    <row r="3671" spans="1:34" s="1045" customFormat="1" x14ac:dyDescent="0.3">
      <c r="A3671" s="1045">
        <v>203750</v>
      </c>
      <c r="B3671" s="1046">
        <v>0.96666666666666656</v>
      </c>
      <c r="C3671" s="1682"/>
      <c r="D3671" s="1046">
        <v>8.48</v>
      </c>
      <c r="E3671" s="1683">
        <v>0.22</v>
      </c>
      <c r="F3671" s="1406">
        <f t="shared" si="140"/>
        <v>242.00000000000003</v>
      </c>
      <c r="H3671" s="1684">
        <v>100.37</v>
      </c>
      <c r="I3671" s="1684">
        <v>131</v>
      </c>
      <c r="J3671" s="1685">
        <v>8.1000000000000003E-2</v>
      </c>
      <c r="K3671" s="1046">
        <v>3.27</v>
      </c>
      <c r="L3671" s="1045">
        <v>346</v>
      </c>
      <c r="M3671" s="1045">
        <v>1.85</v>
      </c>
      <c r="N3671" s="1045">
        <v>0.42</v>
      </c>
      <c r="O3671" s="1045">
        <v>3.03</v>
      </c>
      <c r="P3671" s="1045">
        <v>3.33</v>
      </c>
      <c r="R3671" s="1046">
        <v>0.44346606999875104</v>
      </c>
      <c r="S3671" s="1682">
        <v>3.29</v>
      </c>
      <c r="Y3671" s="1686">
        <v>4</v>
      </c>
      <c r="AA3671" s="1046">
        <v>4.1500000000000004</v>
      </c>
      <c r="AB3671" s="1046">
        <v>0.747</v>
      </c>
      <c r="AC3671" s="1045">
        <v>8.6999999999999993</v>
      </c>
      <c r="AD3671" s="1687">
        <v>80</v>
      </c>
      <c r="AE3671" s="1687">
        <v>60</v>
      </c>
      <c r="AF3671" s="1687">
        <v>860</v>
      </c>
      <c r="AG3671" s="66">
        <f t="shared" si="138"/>
        <v>289.39500000000004</v>
      </c>
      <c r="AH3671" s="143">
        <f t="shared" si="139"/>
        <v>1000</v>
      </c>
    </row>
    <row r="3672" spans="1:34" s="1045" customFormat="1" x14ac:dyDescent="0.3">
      <c r="A3672" s="1045">
        <v>203751</v>
      </c>
      <c r="B3672" s="1046">
        <v>1.0833333333333333</v>
      </c>
      <c r="C3672" s="1682"/>
      <c r="D3672" s="1046">
        <v>8.5399999999999991</v>
      </c>
      <c r="E3672" s="1683">
        <v>0.23499999999999999</v>
      </c>
      <c r="F3672" s="1406">
        <f t="shared" si="140"/>
        <v>258.5</v>
      </c>
      <c r="H3672" s="1684">
        <v>41.13</v>
      </c>
      <c r="I3672" s="1684">
        <v>169</v>
      </c>
      <c r="J3672" s="1685">
        <v>0.128</v>
      </c>
      <c r="K3672" s="1046">
        <v>4.55</v>
      </c>
      <c r="L3672" s="1045">
        <v>395</v>
      </c>
      <c r="M3672" s="1045">
        <v>1.31</v>
      </c>
      <c r="N3672" s="1045">
        <v>0.51</v>
      </c>
      <c r="O3672" s="1045">
        <v>2.68</v>
      </c>
      <c r="P3672" s="1045">
        <v>3.25</v>
      </c>
      <c r="R3672" s="1046">
        <v>0.50570804821898674</v>
      </c>
      <c r="S3672" s="1682">
        <v>3.66</v>
      </c>
      <c r="Y3672" s="1686">
        <v>8.4</v>
      </c>
      <c r="AA3672" s="1046">
        <v>4.47</v>
      </c>
      <c r="AB3672" s="1046">
        <v>0.54700000000000004</v>
      </c>
      <c r="AC3672" s="1045">
        <v>10</v>
      </c>
      <c r="AD3672" s="1687">
        <v>120</v>
      </c>
      <c r="AE3672" s="1687">
        <v>60</v>
      </c>
      <c r="AF3672" s="1687">
        <v>820</v>
      </c>
      <c r="AG3672" s="66">
        <f t="shared" si="138"/>
        <v>191.74999999999997</v>
      </c>
      <c r="AH3672" s="143">
        <f t="shared" si="139"/>
        <v>1000</v>
      </c>
    </row>
    <row r="3673" spans="1:34" s="1045" customFormat="1" x14ac:dyDescent="0.3">
      <c r="A3673" s="1045">
        <v>203752</v>
      </c>
      <c r="B3673" s="1046">
        <v>1.4833333333333334</v>
      </c>
      <c r="C3673" s="1682"/>
      <c r="D3673" s="1046">
        <v>8.6199999999999992</v>
      </c>
      <c r="E3673" s="1683">
        <v>0.192</v>
      </c>
      <c r="F3673" s="1406">
        <f t="shared" si="140"/>
        <v>211.20000000000002</v>
      </c>
      <c r="H3673" s="1684">
        <v>147.37</v>
      </c>
      <c r="I3673" s="1684">
        <v>92</v>
      </c>
      <c r="J3673" s="1685">
        <v>0.193</v>
      </c>
      <c r="K3673" s="1046">
        <v>5.17</v>
      </c>
      <c r="L3673" s="1045">
        <v>781</v>
      </c>
      <c r="M3673" s="1045">
        <v>3.35</v>
      </c>
      <c r="N3673" s="1045">
        <v>0.71</v>
      </c>
      <c r="O3673" s="1045">
        <v>4.4000000000000004</v>
      </c>
      <c r="P3673" s="1045">
        <v>7.09</v>
      </c>
      <c r="R3673" s="1046">
        <v>0.94701518487539882</v>
      </c>
      <c r="S3673" s="1682">
        <v>6.7100000000000009</v>
      </c>
      <c r="Y3673" s="1686">
        <v>4</v>
      </c>
      <c r="AA3673" s="1046">
        <v>3.98</v>
      </c>
      <c r="AB3673" s="1046">
        <v>0.499</v>
      </c>
      <c r="AC3673" s="1045">
        <v>9.5</v>
      </c>
      <c r="AD3673" s="1687">
        <v>80</v>
      </c>
      <c r="AE3673" s="1687">
        <v>60</v>
      </c>
      <c r="AF3673" s="1687">
        <v>860</v>
      </c>
      <c r="AG3673" s="66">
        <f t="shared" si="138"/>
        <v>457.54500000000002</v>
      </c>
      <c r="AH3673" s="143">
        <f t="shared" si="139"/>
        <v>1000</v>
      </c>
    </row>
    <row r="3674" spans="1:34" s="1045" customFormat="1" x14ac:dyDescent="0.3">
      <c r="A3674" s="1045">
        <v>203753</v>
      </c>
      <c r="B3674" s="1046">
        <v>6.041666666666667</v>
      </c>
      <c r="C3674" s="1682"/>
      <c r="D3674" s="1046">
        <v>8.59</v>
      </c>
      <c r="E3674" s="1683">
        <v>0.36799999999999999</v>
      </c>
      <c r="F3674" s="1406">
        <f t="shared" si="140"/>
        <v>404.80000000000007</v>
      </c>
      <c r="H3674" s="1684">
        <v>309.07</v>
      </c>
      <c r="I3674" s="1684">
        <v>128</v>
      </c>
      <c r="J3674" s="1685">
        <v>0.21299999999999999</v>
      </c>
      <c r="K3674" s="1046">
        <v>6.27</v>
      </c>
      <c r="L3674" s="1045">
        <v>701</v>
      </c>
      <c r="M3674" s="1045">
        <v>3.8</v>
      </c>
      <c r="N3674" s="1045">
        <v>4.22</v>
      </c>
      <c r="O3674" s="1045">
        <v>6.43</v>
      </c>
      <c r="P3674" s="1045">
        <v>9.32</v>
      </c>
      <c r="R3674" s="1046">
        <v>1.2175773865284705</v>
      </c>
      <c r="S3674" s="1682">
        <v>8.18</v>
      </c>
      <c r="Y3674" s="1686">
        <v>4.8</v>
      </c>
      <c r="AA3674" s="1046">
        <v>3.92</v>
      </c>
      <c r="AB3674" s="1046">
        <v>0.25900000000000001</v>
      </c>
      <c r="AC3674" s="1045">
        <v>7.3</v>
      </c>
      <c r="AD3674" s="1687">
        <v>80</v>
      </c>
      <c r="AE3674" s="1687">
        <v>60</v>
      </c>
      <c r="AF3674" s="1687">
        <v>860</v>
      </c>
      <c r="AG3674" s="66">
        <f t="shared" si="138"/>
        <v>462.41250000000002</v>
      </c>
      <c r="AH3674" s="143">
        <f t="shared" si="139"/>
        <v>1000</v>
      </c>
    </row>
    <row r="3675" spans="1:34" s="415" customFormat="1" x14ac:dyDescent="0.3">
      <c r="A3675" s="415">
        <v>203754</v>
      </c>
      <c r="B3675" s="1405">
        <v>9.6666666666666643</v>
      </c>
      <c r="C3675" s="1228"/>
      <c r="D3675" s="1405">
        <v>8.65</v>
      </c>
      <c r="E3675" s="1585">
        <v>0.11799999999999999</v>
      </c>
      <c r="F3675" s="1406">
        <f t="shared" si="140"/>
        <v>129.80000000000001</v>
      </c>
      <c r="H3675" s="1406">
        <v>3.38</v>
      </c>
      <c r="I3675" s="1406">
        <v>205</v>
      </c>
      <c r="J3675" s="1407">
        <v>0.14099999999999999</v>
      </c>
      <c r="K3675" s="1405">
        <v>15.6</v>
      </c>
      <c r="L3675" s="415">
        <v>1697</v>
      </c>
      <c r="M3675" s="415">
        <v>0.08</v>
      </c>
      <c r="N3675" s="415">
        <v>0.57999999999999996</v>
      </c>
      <c r="O3675" s="415">
        <v>1.95</v>
      </c>
      <c r="P3675" s="415">
        <v>7.39</v>
      </c>
      <c r="R3675" s="1405">
        <v>1.0817064809233419</v>
      </c>
      <c r="S3675" s="1228">
        <v>7.08</v>
      </c>
      <c r="Y3675" s="67">
        <v>38</v>
      </c>
      <c r="AA3675" s="68">
        <v>4.0999999999999996</v>
      </c>
      <c r="AB3675" s="68">
        <v>0.83199999999999996</v>
      </c>
      <c r="AC3675" s="69">
        <v>10.9</v>
      </c>
      <c r="AD3675" s="1408">
        <v>600</v>
      </c>
      <c r="AE3675" s="1408">
        <v>280</v>
      </c>
      <c r="AF3675" s="1408">
        <v>120</v>
      </c>
      <c r="AG3675" s="66">
        <f t="shared" si="138"/>
        <v>145.32631578947368</v>
      </c>
      <c r="AH3675" s="143">
        <f t="shared" si="139"/>
        <v>1000</v>
      </c>
    </row>
    <row r="3676" spans="1:34" s="415" customFormat="1" x14ac:dyDescent="0.3">
      <c r="A3676" s="415">
        <v>203755</v>
      </c>
      <c r="B3676" s="1405">
        <v>0.18333333333333335</v>
      </c>
      <c r="C3676" s="1228"/>
      <c r="D3676" s="1405">
        <v>7.62</v>
      </c>
      <c r="E3676" s="1585">
        <v>0.106</v>
      </c>
      <c r="F3676" s="1406">
        <f t="shared" si="140"/>
        <v>116.60000000000001</v>
      </c>
      <c r="H3676" s="1406">
        <v>3.57</v>
      </c>
      <c r="I3676" s="1406">
        <v>228</v>
      </c>
      <c r="J3676" s="1407">
        <v>7.1999999999999995E-2</v>
      </c>
      <c r="K3676" s="1405">
        <v>13.93</v>
      </c>
      <c r="L3676" s="415">
        <v>1203</v>
      </c>
      <c r="M3676" s="415">
        <v>0.21</v>
      </c>
      <c r="N3676" s="415">
        <v>1.08</v>
      </c>
      <c r="O3676" s="415">
        <v>16.78</v>
      </c>
      <c r="P3676" s="415">
        <v>12.72</v>
      </c>
      <c r="R3676" s="1405">
        <v>1.2176269197306935</v>
      </c>
      <c r="S3676" s="1228">
        <v>8.65</v>
      </c>
      <c r="Y3676" s="67">
        <v>39</v>
      </c>
      <c r="AA3676" s="68">
        <v>4.97</v>
      </c>
      <c r="AB3676" s="68">
        <v>0.35199999999999998</v>
      </c>
      <c r="AC3676" s="69">
        <v>11.6</v>
      </c>
      <c r="AD3676" s="1408">
        <v>580</v>
      </c>
      <c r="AE3676" s="1408">
        <v>280</v>
      </c>
      <c r="AF3676" s="1408">
        <v>140</v>
      </c>
      <c r="AG3676" s="66">
        <f t="shared" si="138"/>
        <v>126.44153846153844</v>
      </c>
      <c r="AH3676" s="143">
        <f t="shared" si="139"/>
        <v>1000</v>
      </c>
    </row>
    <row r="3677" spans="1:34" s="415" customFormat="1" x14ac:dyDescent="0.3">
      <c r="A3677" s="415">
        <v>203756</v>
      </c>
      <c r="B3677" s="1405">
        <v>0.86666666666666681</v>
      </c>
      <c r="C3677" s="1228"/>
      <c r="D3677" s="1405">
        <v>8.2200000000000006</v>
      </c>
      <c r="E3677" s="1585">
        <v>0.158</v>
      </c>
      <c r="F3677" s="1406">
        <f t="shared" si="140"/>
        <v>173.8</v>
      </c>
      <c r="H3677" s="1406">
        <v>10.050000000000001</v>
      </c>
      <c r="I3677" s="1406">
        <v>201</v>
      </c>
      <c r="J3677" s="1407">
        <v>0.153</v>
      </c>
      <c r="K3677" s="1405">
        <v>15.05</v>
      </c>
      <c r="L3677" s="415">
        <v>1000</v>
      </c>
      <c r="M3677" s="415">
        <v>0.81</v>
      </c>
      <c r="N3677" s="415">
        <v>1.52</v>
      </c>
      <c r="O3677" s="415">
        <v>7.41</v>
      </c>
      <c r="P3677" s="415">
        <v>5.69</v>
      </c>
      <c r="R3677" s="1405">
        <v>1.7103443300000001</v>
      </c>
      <c r="S3677" s="1228">
        <v>13.91</v>
      </c>
      <c r="Y3677" s="67">
        <v>39</v>
      </c>
      <c r="AA3677" s="68">
        <v>3.78</v>
      </c>
      <c r="AB3677" s="68">
        <v>0.26</v>
      </c>
      <c r="AC3677" s="69">
        <v>9.1999999999999993</v>
      </c>
      <c r="AD3677" s="1408">
        <v>600</v>
      </c>
      <c r="AE3677" s="1408">
        <v>280</v>
      </c>
      <c r="AF3677" s="1408">
        <v>120</v>
      </c>
      <c r="AG3677" s="66">
        <f t="shared" si="138"/>
        <v>136.6076923076923</v>
      </c>
      <c r="AH3677" s="143">
        <f t="shared" si="139"/>
        <v>1000</v>
      </c>
    </row>
    <row r="3678" spans="1:34" s="415" customFormat="1" x14ac:dyDescent="0.3">
      <c r="A3678" s="415">
        <v>203757</v>
      </c>
      <c r="B3678" s="1405">
        <v>0.49999999999999994</v>
      </c>
      <c r="C3678" s="1228"/>
      <c r="D3678" s="1405">
        <v>8.18</v>
      </c>
      <c r="E3678" s="1585">
        <v>0.14499999999999999</v>
      </c>
      <c r="F3678" s="1406">
        <f t="shared" si="140"/>
        <v>159.5</v>
      </c>
      <c r="H3678" s="1406">
        <v>22.95</v>
      </c>
      <c r="I3678" s="1406">
        <v>239</v>
      </c>
      <c r="J3678" s="1407">
        <v>9.6000000000000002E-2</v>
      </c>
      <c r="K3678" s="1405">
        <v>7.79</v>
      </c>
      <c r="L3678" s="415">
        <v>316</v>
      </c>
      <c r="M3678" s="415">
        <v>0.36</v>
      </c>
      <c r="N3678" s="415">
        <v>0.99</v>
      </c>
      <c r="O3678" s="415">
        <v>7.84</v>
      </c>
      <c r="P3678" s="415">
        <v>6.95</v>
      </c>
      <c r="R3678" s="1405">
        <v>1.3728498183271642</v>
      </c>
      <c r="S3678" s="1228">
        <v>9.59</v>
      </c>
      <c r="Y3678" s="67">
        <v>38</v>
      </c>
      <c r="AA3678" s="68">
        <v>4.84</v>
      </c>
      <c r="AB3678" s="68">
        <v>0.76300000000000001</v>
      </c>
      <c r="AC3678" s="69">
        <v>7.3</v>
      </c>
      <c r="AD3678" s="1408">
        <v>580</v>
      </c>
      <c r="AE3678" s="1408">
        <v>280</v>
      </c>
      <c r="AF3678" s="1408">
        <v>140</v>
      </c>
      <c r="AG3678" s="66">
        <f t="shared" si="138"/>
        <v>72.569999999999993</v>
      </c>
      <c r="AH3678" s="143">
        <f t="shared" si="139"/>
        <v>1000</v>
      </c>
    </row>
    <row r="3679" spans="1:34" s="415" customFormat="1" x14ac:dyDescent="0.3">
      <c r="A3679" s="415">
        <v>203758</v>
      </c>
      <c r="B3679" s="1674">
        <v>30.06</v>
      </c>
      <c r="C3679" s="1228">
        <v>9.4</v>
      </c>
      <c r="D3679" s="1405">
        <v>8.32</v>
      </c>
      <c r="E3679" s="1585">
        <v>0.748</v>
      </c>
      <c r="F3679" s="1406">
        <f t="shared" si="140"/>
        <v>822.80000000000007</v>
      </c>
      <c r="H3679" s="1406">
        <v>25.5</v>
      </c>
      <c r="I3679" s="1406">
        <v>243</v>
      </c>
      <c r="J3679" s="1407">
        <v>0.56499999999999995</v>
      </c>
      <c r="K3679" s="1405">
        <v>10.97</v>
      </c>
      <c r="L3679" s="415">
        <v>1511</v>
      </c>
      <c r="M3679" s="415">
        <v>0.87</v>
      </c>
      <c r="N3679" s="415">
        <v>1.17</v>
      </c>
      <c r="O3679" s="415">
        <v>3.89</v>
      </c>
      <c r="P3679" s="415">
        <v>3.31</v>
      </c>
      <c r="R3679" s="1405">
        <v>1.3576233627316152</v>
      </c>
      <c r="S3679" s="1228">
        <v>10</v>
      </c>
      <c r="Y3679" s="67">
        <v>22</v>
      </c>
      <c r="AA3679" s="68">
        <v>4.32</v>
      </c>
      <c r="AB3679" s="68">
        <v>0.44800000000000001</v>
      </c>
      <c r="AC3679" s="69">
        <v>7</v>
      </c>
      <c r="AD3679" s="1408">
        <v>440</v>
      </c>
      <c r="AE3679" s="1408">
        <v>240</v>
      </c>
      <c r="AF3679" s="1408">
        <v>320</v>
      </c>
      <c r="AG3679" s="66">
        <f t="shared" si="138"/>
        <v>176.51727272727274</v>
      </c>
      <c r="AH3679" s="143">
        <f t="shared" si="139"/>
        <v>1000</v>
      </c>
    </row>
    <row r="3680" spans="1:34" s="415" customFormat="1" x14ac:dyDescent="0.3">
      <c r="A3680" s="415">
        <v>203759</v>
      </c>
      <c r="B3680" s="1674">
        <v>29.06</v>
      </c>
      <c r="C3680" s="1228">
        <v>10.199999999999999</v>
      </c>
      <c r="D3680" s="1405">
        <v>8.42</v>
      </c>
      <c r="E3680" s="1585">
        <v>0.67</v>
      </c>
      <c r="F3680" s="1406">
        <f t="shared" si="140"/>
        <v>737.00000000000011</v>
      </c>
      <c r="H3680" s="1406">
        <v>9.1199999999999992</v>
      </c>
      <c r="I3680" s="1406">
        <v>129</v>
      </c>
      <c r="J3680" s="1407">
        <v>0.51500000000000001</v>
      </c>
      <c r="K3680" s="1405">
        <v>11.7</v>
      </c>
      <c r="L3680" s="415">
        <v>1544</v>
      </c>
      <c r="M3680" s="415">
        <v>0.45</v>
      </c>
      <c r="N3680" s="415">
        <v>0.61</v>
      </c>
      <c r="O3680" s="415">
        <v>3.34</v>
      </c>
      <c r="P3680" s="415">
        <v>2.92</v>
      </c>
      <c r="R3680" s="1405">
        <v>0.93606428769580496</v>
      </c>
      <c r="S3680" s="1228">
        <v>6.3900000000000006</v>
      </c>
      <c r="Y3680" s="67">
        <v>29.4</v>
      </c>
      <c r="AA3680" s="68">
        <v>4.63</v>
      </c>
      <c r="AB3680" s="68">
        <v>0.64600000000000002</v>
      </c>
      <c r="AC3680" s="69">
        <v>9.1999999999999993</v>
      </c>
      <c r="AD3680" s="1408">
        <v>420</v>
      </c>
      <c r="AE3680" s="1408">
        <v>220</v>
      </c>
      <c r="AF3680" s="1408">
        <v>360</v>
      </c>
      <c r="AG3680" s="66">
        <f t="shared" si="138"/>
        <v>140.87755102040816</v>
      </c>
      <c r="AH3680" s="143">
        <f t="shared" si="139"/>
        <v>1000</v>
      </c>
    </row>
    <row r="3681" spans="1:34" s="415" customFormat="1" x14ac:dyDescent="0.3">
      <c r="A3681" s="415">
        <v>203760</v>
      </c>
      <c r="B3681" s="1674">
        <v>16.833333333333332</v>
      </c>
      <c r="C3681" s="1228">
        <v>7.2</v>
      </c>
      <c r="D3681" s="1405">
        <v>8.52</v>
      </c>
      <c r="E3681" s="1585">
        <v>0.187</v>
      </c>
      <c r="F3681" s="1406">
        <f t="shared" si="140"/>
        <v>205.70000000000002</v>
      </c>
      <c r="H3681" s="1406">
        <v>41.26</v>
      </c>
      <c r="I3681" s="1406">
        <v>536</v>
      </c>
      <c r="J3681" s="1407">
        <v>0.156</v>
      </c>
      <c r="K3681" s="1405">
        <v>12.17</v>
      </c>
      <c r="L3681" s="415">
        <v>1008</v>
      </c>
      <c r="M3681" s="415">
        <v>0.35</v>
      </c>
      <c r="N3681" s="415">
        <v>0.7</v>
      </c>
      <c r="O3681" s="415">
        <v>7.68</v>
      </c>
      <c r="P3681" s="415">
        <v>3.23</v>
      </c>
      <c r="R3681" s="1405">
        <v>1.67707172</v>
      </c>
      <c r="S3681" s="1228">
        <v>12.98</v>
      </c>
      <c r="Y3681" s="67">
        <v>29</v>
      </c>
      <c r="AA3681" s="68">
        <v>4.01</v>
      </c>
      <c r="AB3681" s="68">
        <v>0.52400000000000002</v>
      </c>
      <c r="AC3681" s="69">
        <v>8.1</v>
      </c>
      <c r="AD3681" s="1408">
        <v>580</v>
      </c>
      <c r="AE3681" s="1408">
        <v>300</v>
      </c>
      <c r="AF3681" s="1408">
        <v>120</v>
      </c>
      <c r="AG3681" s="66">
        <f t="shared" si="138"/>
        <v>148.55793103448278</v>
      </c>
      <c r="AH3681" s="143">
        <f t="shared" si="139"/>
        <v>1000</v>
      </c>
    </row>
    <row r="3682" spans="1:34" s="415" customFormat="1" x14ac:dyDescent="0.3">
      <c r="A3682" s="415">
        <v>203761</v>
      </c>
      <c r="B3682" s="1674">
        <v>11.8333333333333</v>
      </c>
      <c r="C3682" s="1228">
        <v>4.3</v>
      </c>
      <c r="D3682" s="1405">
        <v>8.51</v>
      </c>
      <c r="E3682" s="1585">
        <v>0.23300000000000001</v>
      </c>
      <c r="F3682" s="1406">
        <f>+E3682*1.1*1000</f>
        <v>256.3</v>
      </c>
      <c r="H3682" s="1406">
        <v>28.08</v>
      </c>
      <c r="I3682" s="1406">
        <v>578</v>
      </c>
      <c r="J3682" s="1407">
        <v>0.16400000000000001</v>
      </c>
      <c r="K3682" s="1405">
        <v>12.24</v>
      </c>
      <c r="L3682" s="415">
        <v>1042</v>
      </c>
      <c r="M3682" s="415">
        <v>0.36</v>
      </c>
      <c r="N3682" s="415">
        <v>0.65</v>
      </c>
      <c r="O3682" s="415">
        <v>6.6</v>
      </c>
      <c r="P3682" s="415">
        <v>3.04</v>
      </c>
      <c r="R3682" s="1405">
        <v>1.6308246799999999</v>
      </c>
      <c r="S3682" s="1228">
        <v>11.739999999999998</v>
      </c>
      <c r="Y3682" s="67">
        <v>38</v>
      </c>
      <c r="AA3682" s="68">
        <v>3.65</v>
      </c>
      <c r="AB3682" s="68">
        <v>0.52400000000000002</v>
      </c>
      <c r="AC3682" s="69">
        <v>8.4</v>
      </c>
      <c r="AD3682" s="1408">
        <v>600</v>
      </c>
      <c r="AE3682" s="1408">
        <v>280</v>
      </c>
      <c r="AF3682" s="1408">
        <v>120</v>
      </c>
      <c r="AG3682" s="66">
        <f t="shared" si="138"/>
        <v>114.02526315789474</v>
      </c>
      <c r="AH3682" s="143">
        <f t="shared" si="139"/>
        <v>1000</v>
      </c>
    </row>
    <row r="3683" spans="1:34" s="1045" customFormat="1" x14ac:dyDescent="0.3">
      <c r="A3683" s="1045">
        <v>203762</v>
      </c>
      <c r="B3683" s="1046">
        <v>4.583333333333333</v>
      </c>
      <c r="C3683" s="1682"/>
      <c r="D3683" s="1046">
        <v>8.83</v>
      </c>
      <c r="E3683" s="1683">
        <v>0.16900000000000001</v>
      </c>
      <c r="F3683" s="1684">
        <f t="shared" si="140"/>
        <v>185.90000000000003</v>
      </c>
      <c r="H3683" s="1684">
        <v>76.599999999999994</v>
      </c>
      <c r="I3683" s="1684">
        <v>79</v>
      </c>
      <c r="J3683" s="1685">
        <v>0.10199999999999999</v>
      </c>
      <c r="K3683" s="1046">
        <v>2.85</v>
      </c>
      <c r="L3683" s="1045">
        <v>340</v>
      </c>
      <c r="M3683" s="1045">
        <v>1.46</v>
      </c>
      <c r="N3683" s="1045">
        <v>1.5</v>
      </c>
      <c r="O3683" s="1045">
        <v>2.79</v>
      </c>
      <c r="P3683" s="1045">
        <v>2.31</v>
      </c>
      <c r="R3683" s="1046">
        <v>0.41588081015388639</v>
      </c>
      <c r="S3683" s="1682">
        <v>2.8100000000000005</v>
      </c>
      <c r="Y3683" s="1686">
        <v>4.8</v>
      </c>
      <c r="AA3683" s="1046">
        <v>4.53</v>
      </c>
      <c r="AB3683" s="1046">
        <v>0.58799999999999997</v>
      </c>
      <c r="AC3683" s="1045">
        <v>8.3000000000000007</v>
      </c>
      <c r="AD3683" s="1687">
        <v>80</v>
      </c>
      <c r="AE3683" s="1687">
        <v>60</v>
      </c>
      <c r="AF3683" s="1687">
        <v>860</v>
      </c>
      <c r="AG3683" s="66">
        <f t="shared" si="138"/>
        <v>210.18750000000003</v>
      </c>
      <c r="AH3683" s="143">
        <f t="shared" si="139"/>
        <v>1000</v>
      </c>
    </row>
    <row r="3684" spans="1:34" s="1045" customFormat="1" x14ac:dyDescent="0.3">
      <c r="A3684" s="1045">
        <v>203763</v>
      </c>
      <c r="B3684" s="1046">
        <v>3.583333333333333</v>
      </c>
      <c r="C3684" s="1682"/>
      <c r="D3684" s="1046">
        <v>8.24</v>
      </c>
      <c r="E3684" s="1683">
        <v>0.56100000000000005</v>
      </c>
      <c r="F3684" s="1684">
        <f t="shared" si="140"/>
        <v>617.10000000000014</v>
      </c>
      <c r="H3684" s="1684">
        <v>318.52999999999997</v>
      </c>
      <c r="I3684" s="1684">
        <v>143</v>
      </c>
      <c r="J3684" s="1685">
        <v>0.255</v>
      </c>
      <c r="K3684" s="1046">
        <v>4.3600000000000003</v>
      </c>
      <c r="L3684" s="1045">
        <v>820</v>
      </c>
      <c r="M3684" s="1045">
        <v>7.05</v>
      </c>
      <c r="N3684" s="1045">
        <v>1.54</v>
      </c>
      <c r="O3684" s="1045">
        <v>7.37</v>
      </c>
      <c r="P3684" s="1045">
        <v>5.69</v>
      </c>
      <c r="R3684" s="1046">
        <v>1.2442924613080104</v>
      </c>
      <c r="S3684" s="1682">
        <v>8.7899999999999991</v>
      </c>
      <c r="Y3684" s="1686">
        <v>7</v>
      </c>
      <c r="AA3684" s="1046">
        <v>4.04</v>
      </c>
      <c r="AB3684" s="1046">
        <v>0.626</v>
      </c>
      <c r="AC3684" s="1045">
        <v>10.3</v>
      </c>
      <c r="AD3684" s="1687">
        <v>100</v>
      </c>
      <c r="AE3684" s="1687">
        <v>60</v>
      </c>
      <c r="AF3684" s="1687">
        <v>840</v>
      </c>
      <c r="AG3684" s="66">
        <f t="shared" si="138"/>
        <v>220.4914285714286</v>
      </c>
      <c r="AH3684" s="143">
        <f t="shared" si="139"/>
        <v>1000</v>
      </c>
    </row>
    <row r="3685" spans="1:34" s="1045" customFormat="1" x14ac:dyDescent="0.3">
      <c r="A3685" s="1045">
        <v>203764</v>
      </c>
      <c r="B3685" s="1688">
        <v>12.708333333333332</v>
      </c>
      <c r="C3685" s="1682">
        <v>4.7</v>
      </c>
      <c r="D3685" s="1046">
        <v>7.92</v>
      </c>
      <c r="E3685" s="1683">
        <v>1.34</v>
      </c>
      <c r="F3685" s="1684">
        <f t="shared" si="140"/>
        <v>1474.0000000000002</v>
      </c>
      <c r="H3685" s="1684">
        <v>223.46</v>
      </c>
      <c r="I3685" s="1684">
        <v>650</v>
      </c>
      <c r="J3685" s="1685">
        <v>0.187</v>
      </c>
      <c r="K3685" s="1046">
        <v>6.03</v>
      </c>
      <c r="L3685" s="1045">
        <v>389</v>
      </c>
      <c r="M3685" s="1045">
        <v>2.88</v>
      </c>
      <c r="N3685" s="1045">
        <v>0.6</v>
      </c>
      <c r="O3685" s="1045">
        <v>2.64</v>
      </c>
      <c r="P3685" s="1045">
        <v>1.92</v>
      </c>
      <c r="R3685" s="1046">
        <v>0.82417981632053605</v>
      </c>
      <c r="S3685" s="1682">
        <v>6.18</v>
      </c>
      <c r="Y3685" s="1686">
        <v>4.8</v>
      </c>
      <c r="AA3685" s="1046">
        <v>3.85</v>
      </c>
      <c r="AB3685" s="1046">
        <v>0.48399999999999999</v>
      </c>
      <c r="AC3685" s="1045">
        <v>11.2</v>
      </c>
      <c r="AD3685" s="1687">
        <v>80</v>
      </c>
      <c r="AE3685" s="1687">
        <v>60</v>
      </c>
      <c r="AF3685" s="1687">
        <v>860</v>
      </c>
      <c r="AG3685" s="66">
        <f t="shared" si="138"/>
        <v>444.71249999999998</v>
      </c>
      <c r="AH3685" s="143">
        <f t="shared" si="139"/>
        <v>1000</v>
      </c>
    </row>
    <row r="3686" spans="1:34" s="1045" customFormat="1" x14ac:dyDescent="0.3">
      <c r="A3686" s="1045">
        <v>203765</v>
      </c>
      <c r="B3686" s="1046">
        <v>7.375</v>
      </c>
      <c r="C3686" s="1682"/>
      <c r="D3686" s="1046">
        <v>8.2799999999999994</v>
      </c>
      <c r="E3686" s="1683">
        <v>0.55600000000000005</v>
      </c>
      <c r="F3686" s="1684">
        <f t="shared" si="140"/>
        <v>611.60000000000014</v>
      </c>
      <c r="H3686" s="1684">
        <v>151.62</v>
      </c>
      <c r="I3686" s="1684">
        <v>470</v>
      </c>
      <c r="J3686" s="1685">
        <v>0.14199999999999999</v>
      </c>
      <c r="K3686" s="1046">
        <v>6.84</v>
      </c>
      <c r="L3686" s="1045">
        <v>837</v>
      </c>
      <c r="M3686" s="1045">
        <v>3.2</v>
      </c>
      <c r="N3686" s="1045">
        <v>2.31</v>
      </c>
      <c r="O3686" s="1045">
        <v>9.26</v>
      </c>
      <c r="P3686" s="1045">
        <v>3.28</v>
      </c>
      <c r="R3686" s="1046">
        <v>1.2598580580247745</v>
      </c>
      <c r="S3686" s="1682">
        <v>8.39</v>
      </c>
      <c r="Y3686" s="1686">
        <v>9.8000000000000007</v>
      </c>
      <c r="AA3686" s="1046">
        <v>4.7300000000000004</v>
      </c>
      <c r="AB3686" s="1046">
        <v>0.48199999999999998</v>
      </c>
      <c r="AC3686" s="1045">
        <v>7.7</v>
      </c>
      <c r="AD3686" s="1687">
        <v>140</v>
      </c>
      <c r="AE3686" s="1687">
        <v>60</v>
      </c>
      <c r="AF3686" s="1687">
        <v>800</v>
      </c>
      <c r="AG3686" s="66">
        <f t="shared" si="138"/>
        <v>247.07755102040815</v>
      </c>
      <c r="AH3686" s="143">
        <f t="shared" si="139"/>
        <v>1000</v>
      </c>
    </row>
    <row r="3687" spans="1:34" s="415" customFormat="1" x14ac:dyDescent="0.3">
      <c r="A3687" s="415">
        <v>203766</v>
      </c>
      <c r="B3687" s="1405">
        <v>1.7500000000000002</v>
      </c>
      <c r="C3687" s="1228"/>
      <c r="D3687" s="1405">
        <v>8.49</v>
      </c>
      <c r="E3687" s="1585">
        <v>0.16200000000000001</v>
      </c>
      <c r="F3687" s="1406">
        <f t="shared" si="140"/>
        <v>178.20000000000002</v>
      </c>
      <c r="H3687" s="1406">
        <v>112.81</v>
      </c>
      <c r="I3687" s="1406">
        <v>568</v>
      </c>
      <c r="J3687" s="1407">
        <v>4.7E-2</v>
      </c>
      <c r="K3687" s="1405">
        <v>6.42</v>
      </c>
      <c r="L3687" s="415">
        <v>1158</v>
      </c>
      <c r="M3687" s="415">
        <v>1.4</v>
      </c>
      <c r="N3687" s="415">
        <v>1.18</v>
      </c>
      <c r="O3687" s="415">
        <v>4.5599999999999996</v>
      </c>
      <c r="P3687" s="415">
        <v>3.92</v>
      </c>
      <c r="R3687" s="1405">
        <v>1.58282393</v>
      </c>
      <c r="S3687" s="1228">
        <v>10.51</v>
      </c>
      <c r="Y3687" s="67">
        <v>18</v>
      </c>
      <c r="AA3687" s="68">
        <v>3.61</v>
      </c>
      <c r="AB3687" s="68">
        <v>0.86399999999999999</v>
      </c>
      <c r="AC3687" s="69">
        <v>10</v>
      </c>
      <c r="AD3687" s="1408">
        <v>360</v>
      </c>
      <c r="AE3687" s="1408">
        <v>340</v>
      </c>
      <c r="AF3687" s="1408">
        <v>300</v>
      </c>
      <c r="AG3687" s="66">
        <f t="shared" si="138"/>
        <v>126.26000000000002</v>
      </c>
      <c r="AH3687" s="143">
        <f t="shared" si="139"/>
        <v>1000</v>
      </c>
    </row>
    <row r="3688" spans="1:34" s="711" customFormat="1" x14ac:dyDescent="0.3">
      <c r="A3688" s="711">
        <v>203767</v>
      </c>
      <c r="B3688" s="712">
        <v>29.9</v>
      </c>
      <c r="C3688" s="712">
        <v>7.75</v>
      </c>
      <c r="D3688" s="713">
        <v>8.14</v>
      </c>
      <c r="E3688" s="1566">
        <v>0.187</v>
      </c>
      <c r="F3688" s="714">
        <v>205.70000000000002</v>
      </c>
      <c r="H3688" s="714">
        <v>9.99</v>
      </c>
      <c r="I3688" s="714">
        <v>210</v>
      </c>
      <c r="J3688" s="1476">
        <v>3.5999999999999997E-2</v>
      </c>
      <c r="K3688" s="712">
        <v>18.54</v>
      </c>
      <c r="L3688" s="711">
        <v>370</v>
      </c>
      <c r="M3688" s="711">
        <v>0.44</v>
      </c>
      <c r="N3688" s="711">
        <v>4.45</v>
      </c>
      <c r="O3688" s="711">
        <v>7.58</v>
      </c>
      <c r="P3688" s="711">
        <v>7.33</v>
      </c>
      <c r="R3688" s="713">
        <v>1.6254680000000001</v>
      </c>
      <c r="S3688" s="712">
        <v>11.6</v>
      </c>
      <c r="Y3688" s="1704">
        <v>28.8</v>
      </c>
      <c r="AA3688" s="713">
        <v>4.8899999999999997</v>
      </c>
      <c r="AB3688" s="713">
        <v>0.61299999999999999</v>
      </c>
      <c r="AC3688" s="711">
        <v>11.1</v>
      </c>
      <c r="AD3688" s="716">
        <v>480</v>
      </c>
      <c r="AE3688" s="716">
        <v>360</v>
      </c>
      <c r="AF3688" s="716">
        <v>160</v>
      </c>
      <c r="AG3688" s="66">
        <f t="shared" si="138"/>
        <v>227.88749999999996</v>
      </c>
      <c r="AH3688" s="143">
        <f t="shared" si="139"/>
        <v>1000</v>
      </c>
    </row>
    <row r="3689" spans="1:34" s="711" customFormat="1" x14ac:dyDescent="0.3">
      <c r="A3689" s="711">
        <v>203768</v>
      </c>
      <c r="B3689" s="712">
        <v>1.1000000000000001</v>
      </c>
      <c r="C3689" s="712"/>
      <c r="D3689" s="713">
        <v>8.6</v>
      </c>
      <c r="E3689" s="1566">
        <v>0.33</v>
      </c>
      <c r="F3689" s="714">
        <v>363.00000000000006</v>
      </c>
      <c r="H3689" s="714">
        <v>22.43</v>
      </c>
      <c r="I3689" s="714">
        <v>460</v>
      </c>
      <c r="J3689" s="1476">
        <v>0.32800000000000001</v>
      </c>
      <c r="K3689" s="712">
        <v>5.88</v>
      </c>
      <c r="L3689" s="711">
        <v>440</v>
      </c>
      <c r="M3689" s="711">
        <v>0.48</v>
      </c>
      <c r="N3689" s="711">
        <v>1.1100000000000001</v>
      </c>
      <c r="O3689" s="711">
        <v>3.74</v>
      </c>
      <c r="P3689" s="711">
        <v>3.13</v>
      </c>
      <c r="R3689" s="713">
        <v>0.84647422621916335</v>
      </c>
      <c r="S3689" s="712">
        <v>5.6000000000000005</v>
      </c>
      <c r="Y3689" s="1704">
        <v>16.8</v>
      </c>
      <c r="AA3689" s="713">
        <v>4.0599999999999996</v>
      </c>
      <c r="AB3689" s="713">
        <v>0.35</v>
      </c>
      <c r="AC3689" s="711">
        <v>7.5</v>
      </c>
      <c r="AD3689" s="716">
        <v>280</v>
      </c>
      <c r="AE3689" s="716">
        <v>100</v>
      </c>
      <c r="AF3689" s="716">
        <v>620</v>
      </c>
      <c r="AG3689" s="66">
        <f t="shared" si="138"/>
        <v>123.89999999999999</v>
      </c>
      <c r="AH3689" s="143">
        <f t="shared" si="139"/>
        <v>1000</v>
      </c>
    </row>
    <row r="3690" spans="1:34" s="711" customFormat="1" x14ac:dyDescent="0.3">
      <c r="A3690" s="711">
        <v>203769</v>
      </c>
      <c r="B3690" s="712">
        <v>6.5</v>
      </c>
      <c r="C3690" s="712"/>
      <c r="D3690" s="713">
        <v>8.07</v>
      </c>
      <c r="E3690" s="1566">
        <v>0.504</v>
      </c>
      <c r="F3690" s="714">
        <v>554.4</v>
      </c>
      <c r="H3690" s="714">
        <v>542.67999999999995</v>
      </c>
      <c r="I3690" s="714">
        <v>1050</v>
      </c>
      <c r="J3690" s="1476">
        <v>0.20200000000000001</v>
      </c>
      <c r="K3690" s="712">
        <v>7.83</v>
      </c>
      <c r="L3690" s="711">
        <v>1460</v>
      </c>
      <c r="M3690" s="711">
        <v>6.66</v>
      </c>
      <c r="N3690" s="711">
        <v>1.98</v>
      </c>
      <c r="O3690" s="711">
        <v>3.59</v>
      </c>
      <c r="P3690" s="711">
        <v>45.71</v>
      </c>
      <c r="R3690" s="713">
        <v>2.0253079999999999</v>
      </c>
      <c r="S3690" s="712">
        <v>25.6</v>
      </c>
      <c r="Y3690" s="1704">
        <v>28</v>
      </c>
      <c r="AA3690" s="713">
        <v>4.3600000000000003</v>
      </c>
      <c r="AB3690" s="713">
        <v>0.52</v>
      </c>
      <c r="AC3690" s="711">
        <v>10.5</v>
      </c>
      <c r="AD3690" s="716">
        <v>400</v>
      </c>
      <c r="AE3690" s="716">
        <v>220</v>
      </c>
      <c r="AF3690" s="716">
        <v>380</v>
      </c>
      <c r="AG3690" s="66">
        <f t="shared" si="138"/>
        <v>98.993571428571428</v>
      </c>
      <c r="AH3690" s="143">
        <f t="shared" si="139"/>
        <v>1000</v>
      </c>
    </row>
    <row r="3691" spans="1:34" s="711" customFormat="1" x14ac:dyDescent="0.3">
      <c r="A3691" s="711">
        <v>203770</v>
      </c>
      <c r="B3691" s="712">
        <v>8.3000000000000007</v>
      </c>
      <c r="C3691" s="712"/>
      <c r="D3691" s="713">
        <v>8.1199999999999992</v>
      </c>
      <c r="E3691" s="713">
        <v>0.154</v>
      </c>
      <c r="F3691" s="714">
        <v>169.40000000000003</v>
      </c>
      <c r="H3691" s="714">
        <v>5.35</v>
      </c>
      <c r="I3691" s="714">
        <v>300</v>
      </c>
      <c r="J3691" s="1476">
        <v>0.1</v>
      </c>
      <c r="K3691" s="712">
        <v>16.52</v>
      </c>
      <c r="L3691" s="711">
        <v>420</v>
      </c>
      <c r="M3691" s="711">
        <v>0.21</v>
      </c>
      <c r="N3691" s="711">
        <v>1.08</v>
      </c>
      <c r="O3691" s="711">
        <v>8.17</v>
      </c>
      <c r="P3691" s="711">
        <v>7.24</v>
      </c>
      <c r="R3691" s="713">
        <v>1.7099930000000001</v>
      </c>
      <c r="S3691" s="712">
        <v>13.899999999999999</v>
      </c>
      <c r="Y3691" s="1704">
        <v>33.6</v>
      </c>
      <c r="AA3691" s="713">
        <v>3.47</v>
      </c>
      <c r="AB3691" s="713">
        <v>0.73899999999999999</v>
      </c>
      <c r="AC3691" s="711">
        <v>9.9</v>
      </c>
      <c r="AD3691" s="716">
        <v>480</v>
      </c>
      <c r="AE3691" s="716">
        <v>360</v>
      </c>
      <c r="AF3691" s="716">
        <v>160</v>
      </c>
      <c r="AG3691" s="66">
        <f t="shared" si="138"/>
        <v>174.04999999999998</v>
      </c>
      <c r="AH3691" s="143">
        <f t="shared" si="139"/>
        <v>1000</v>
      </c>
    </row>
    <row r="3692" spans="1:34" s="711" customFormat="1" x14ac:dyDescent="0.3">
      <c r="A3692" s="711">
        <v>203771</v>
      </c>
      <c r="B3692" s="712">
        <v>20.8</v>
      </c>
      <c r="C3692" s="712">
        <v>3.38</v>
      </c>
      <c r="D3692" s="713">
        <v>8.0399999999999991</v>
      </c>
      <c r="E3692" s="713">
        <v>4</v>
      </c>
      <c r="F3692" s="714">
        <v>4400</v>
      </c>
      <c r="H3692" s="714">
        <v>13.77</v>
      </c>
      <c r="I3692" s="714">
        <v>350</v>
      </c>
      <c r="J3692" s="1476">
        <v>2.0019999999999998</v>
      </c>
      <c r="K3692" s="712">
        <v>13.72</v>
      </c>
      <c r="L3692" s="711">
        <v>1150</v>
      </c>
      <c r="M3692" s="711">
        <v>0.24</v>
      </c>
      <c r="N3692" s="711">
        <v>0.42</v>
      </c>
      <c r="O3692" s="711">
        <v>0.32</v>
      </c>
      <c r="P3692" s="711">
        <v>2.08</v>
      </c>
      <c r="R3692" s="713">
        <v>0.60288519585888034</v>
      </c>
      <c r="S3692" s="712">
        <v>4.5</v>
      </c>
      <c r="Y3692" s="1704">
        <v>29.4</v>
      </c>
      <c r="AA3692" s="713">
        <v>3.62</v>
      </c>
      <c r="AB3692" s="713">
        <v>0.76200000000000001</v>
      </c>
      <c r="AC3692" s="711">
        <v>8.1999999999999993</v>
      </c>
      <c r="AD3692" s="716">
        <v>420</v>
      </c>
      <c r="AE3692" s="716">
        <v>220</v>
      </c>
      <c r="AF3692" s="716">
        <v>360</v>
      </c>
      <c r="AG3692" s="66">
        <f t="shared" si="138"/>
        <v>165.20000000000002</v>
      </c>
      <c r="AH3692" s="143">
        <f t="shared" si="139"/>
        <v>1000</v>
      </c>
    </row>
    <row r="3693" spans="1:34" s="711" customFormat="1" x14ac:dyDescent="0.3">
      <c r="A3693" s="711">
        <v>203772</v>
      </c>
      <c r="B3693" s="712">
        <v>18.3</v>
      </c>
      <c r="C3693" s="712">
        <v>3.75</v>
      </c>
      <c r="D3693" s="713">
        <v>8.1</v>
      </c>
      <c r="E3693" s="713">
        <v>4.79</v>
      </c>
      <c r="F3693" s="714">
        <v>5269</v>
      </c>
      <c r="H3693" s="714">
        <v>18.16</v>
      </c>
      <c r="I3693" s="714">
        <v>300</v>
      </c>
      <c r="J3693" s="1476">
        <v>3.0609999999999999</v>
      </c>
      <c r="K3693" s="712">
        <v>12.61</v>
      </c>
      <c r="L3693" s="711">
        <v>1370</v>
      </c>
      <c r="M3693" s="711">
        <v>0.17</v>
      </c>
      <c r="N3693" s="711">
        <v>0.38</v>
      </c>
      <c r="O3693" s="711">
        <v>0.14000000000000001</v>
      </c>
      <c r="P3693" s="711">
        <v>2.23</v>
      </c>
      <c r="R3693" s="713">
        <v>0.6989816870955301</v>
      </c>
      <c r="S3693" s="712">
        <v>4.9000000000000004</v>
      </c>
      <c r="Y3693" s="1704">
        <v>20</v>
      </c>
      <c r="AA3693" s="713">
        <v>4.6100000000000003</v>
      </c>
      <c r="AB3693" s="713">
        <v>0.755</v>
      </c>
      <c r="AC3693" s="711">
        <v>10.1</v>
      </c>
      <c r="AD3693" s="716">
        <v>400</v>
      </c>
      <c r="AE3693" s="716">
        <v>220</v>
      </c>
      <c r="AF3693" s="716">
        <v>380</v>
      </c>
      <c r="AG3693" s="66">
        <f t="shared" si="138"/>
        <v>223.19700000000003</v>
      </c>
      <c r="AH3693" s="143">
        <f t="shared" si="139"/>
        <v>1000</v>
      </c>
    </row>
    <row r="3694" spans="1:34" s="862" customFormat="1" x14ac:dyDescent="0.3">
      <c r="A3694" s="755">
        <v>203773</v>
      </c>
      <c r="B3694" s="1424">
        <v>4.7</v>
      </c>
      <c r="C3694" s="1424"/>
      <c r="D3694" s="757">
        <v>8.49</v>
      </c>
      <c r="E3694" s="1570">
        <v>0.11899999999999999</v>
      </c>
      <c r="F3694" s="758">
        <v>131</v>
      </c>
      <c r="G3694" s="755"/>
      <c r="H3694" s="758">
        <v>11.94</v>
      </c>
      <c r="I3694" s="758">
        <v>140</v>
      </c>
      <c r="J3694" s="759">
        <v>7.9000000000000001E-2</v>
      </c>
      <c r="K3694" s="1424">
        <v>7.73</v>
      </c>
      <c r="L3694" s="755">
        <v>960</v>
      </c>
      <c r="M3694" s="755">
        <v>0.19</v>
      </c>
      <c r="N3694" s="755">
        <v>0.75</v>
      </c>
      <c r="O3694" s="755">
        <v>2.59</v>
      </c>
      <c r="P3694" s="755">
        <v>4.5599999999999996</v>
      </c>
      <c r="Q3694" s="755"/>
      <c r="R3694" s="757">
        <v>1.6444730000000001</v>
      </c>
      <c r="S3694" s="1424">
        <v>12.1</v>
      </c>
      <c r="T3694" s="969"/>
      <c r="U3694" s="969"/>
      <c r="V3694" s="969"/>
      <c r="W3694" s="969"/>
      <c r="X3694" s="969"/>
      <c r="Y3694" s="1705">
        <v>35.299999999999997</v>
      </c>
      <c r="Z3694" s="969"/>
      <c r="AA3694" s="757">
        <v>4.5199999999999996</v>
      </c>
      <c r="AB3694" s="757">
        <v>0.39100000000000001</v>
      </c>
      <c r="AC3694" s="755">
        <v>7.2</v>
      </c>
      <c r="AD3694" s="760">
        <v>560</v>
      </c>
      <c r="AE3694" s="760">
        <v>240</v>
      </c>
      <c r="AF3694" s="760">
        <v>200</v>
      </c>
      <c r="AG3694" s="66">
        <f t="shared" si="138"/>
        <v>77.518980169971684</v>
      </c>
      <c r="AH3694" s="143">
        <f t="shared" si="139"/>
        <v>1000</v>
      </c>
    </row>
    <row r="3695" spans="1:34" x14ac:dyDescent="0.3">
      <c r="A3695" s="755">
        <v>203774</v>
      </c>
      <c r="B3695" s="1424">
        <v>2.9</v>
      </c>
      <c r="C3695" s="1424"/>
      <c r="D3695" s="757">
        <v>8.35</v>
      </c>
      <c r="E3695" s="1570">
        <v>9.8000000000000004E-2</v>
      </c>
      <c r="F3695" s="758">
        <v>108</v>
      </c>
      <c r="G3695" s="755"/>
      <c r="H3695" s="758">
        <v>7.99</v>
      </c>
      <c r="I3695" s="758">
        <v>130</v>
      </c>
      <c r="J3695" s="759">
        <v>9.0999999999999998E-2</v>
      </c>
      <c r="K3695" s="1424">
        <v>7.19</v>
      </c>
      <c r="L3695" s="755">
        <v>840</v>
      </c>
      <c r="M3695" s="755">
        <v>0.16</v>
      </c>
      <c r="N3695" s="755">
        <v>0.75</v>
      </c>
      <c r="O3695" s="755">
        <v>3.83</v>
      </c>
      <c r="P3695" s="755">
        <v>4.76</v>
      </c>
      <c r="Q3695" s="755"/>
      <c r="R3695" s="757">
        <v>0.96761008465884324</v>
      </c>
      <c r="S3695" s="1424">
        <v>7.2</v>
      </c>
      <c r="T3695" s="969"/>
      <c r="U3695" s="969"/>
      <c r="V3695" s="969"/>
      <c r="W3695" s="969"/>
      <c r="X3695" s="969"/>
      <c r="Y3695" s="1705">
        <v>32.4</v>
      </c>
      <c r="Z3695" s="969"/>
      <c r="AA3695" s="757">
        <v>4.5999999999999996</v>
      </c>
      <c r="AB3695" s="757">
        <v>0.32100000000000001</v>
      </c>
      <c r="AC3695" s="755">
        <v>7.7</v>
      </c>
      <c r="AD3695" s="760">
        <v>540</v>
      </c>
      <c r="AE3695" s="760">
        <v>260</v>
      </c>
      <c r="AF3695" s="760">
        <v>200</v>
      </c>
      <c r="AG3695" s="66">
        <f t="shared" si="138"/>
        <v>78.557407407407425</v>
      </c>
      <c r="AH3695" s="143">
        <f t="shared" si="139"/>
        <v>1000</v>
      </c>
    </row>
    <row r="3696" spans="1:34" x14ac:dyDescent="0.3">
      <c r="A3696" s="755">
        <v>203775</v>
      </c>
      <c r="B3696" s="1424">
        <v>32.200000000000003</v>
      </c>
      <c r="C3696" s="1424">
        <v>8.6300000000000008</v>
      </c>
      <c r="D3696" s="757">
        <v>8.74</v>
      </c>
      <c r="E3696" s="1570">
        <v>0.20799999999999999</v>
      </c>
      <c r="F3696" s="758">
        <v>229</v>
      </c>
      <c r="G3696" s="755"/>
      <c r="H3696" s="758">
        <v>6.02</v>
      </c>
      <c r="I3696" s="758">
        <v>180</v>
      </c>
      <c r="J3696" s="759">
        <v>0.47199999999999998</v>
      </c>
      <c r="K3696" s="1424">
        <v>10.42</v>
      </c>
      <c r="L3696" s="755">
        <v>1010</v>
      </c>
      <c r="M3696" s="755">
        <v>0.38</v>
      </c>
      <c r="N3696" s="755">
        <v>1.37</v>
      </c>
      <c r="O3696" s="755">
        <v>3.96</v>
      </c>
      <c r="P3696" s="755">
        <v>6.04</v>
      </c>
      <c r="Q3696" s="755"/>
      <c r="R3696" s="757">
        <v>1.6444730000000001</v>
      </c>
      <c r="S3696" s="1424">
        <v>12.1</v>
      </c>
      <c r="T3696" s="969"/>
      <c r="U3696" s="969"/>
      <c r="V3696" s="969"/>
      <c r="W3696" s="969"/>
      <c r="X3696" s="969"/>
      <c r="Y3696" s="1705">
        <v>34.799999999999997</v>
      </c>
      <c r="Z3696" s="969"/>
      <c r="AA3696" s="757">
        <v>3.79</v>
      </c>
      <c r="AB3696" s="757">
        <v>0.69899999999999995</v>
      </c>
      <c r="AC3696" s="755">
        <v>9.1</v>
      </c>
      <c r="AD3696" s="760">
        <v>580</v>
      </c>
      <c r="AE3696" s="760">
        <v>240</v>
      </c>
      <c r="AF3696" s="760">
        <v>180</v>
      </c>
      <c r="AG3696" s="66">
        <f t="shared" si="138"/>
        <v>105.99655172413794</v>
      </c>
      <c r="AH3696" s="143">
        <f t="shared" si="139"/>
        <v>1000</v>
      </c>
    </row>
    <row r="3697" spans="1:34" x14ac:dyDescent="0.3">
      <c r="A3697" s="755">
        <v>203776</v>
      </c>
      <c r="B3697" s="1424">
        <v>8.3000000000000007</v>
      </c>
      <c r="C3697" s="1424"/>
      <c r="D3697" s="757">
        <v>8.1300000000000008</v>
      </c>
      <c r="E3697" s="1570">
        <v>0.14000000000000001</v>
      </c>
      <c r="F3697" s="758">
        <v>154</v>
      </c>
      <c r="G3697" s="755"/>
      <c r="H3697" s="758">
        <v>78.95</v>
      </c>
      <c r="I3697" s="758">
        <v>180</v>
      </c>
      <c r="J3697" s="759">
        <v>3.6999999999999998E-2</v>
      </c>
      <c r="K3697" s="1424">
        <v>9.15</v>
      </c>
      <c r="L3697" s="755">
        <v>290</v>
      </c>
      <c r="M3697" s="755">
        <v>0.79</v>
      </c>
      <c r="N3697" s="755">
        <v>1.56</v>
      </c>
      <c r="O3697" s="755">
        <v>15.87</v>
      </c>
      <c r="P3697" s="755">
        <v>4.7300000000000004</v>
      </c>
      <c r="Q3697" s="755"/>
      <c r="R3697" s="757">
        <v>1.5784280000000002</v>
      </c>
      <c r="S3697" s="1424">
        <v>10.4</v>
      </c>
      <c r="T3697" s="969"/>
      <c r="U3697" s="969"/>
      <c r="V3697" s="969"/>
      <c r="W3697" s="969"/>
      <c r="X3697" s="969"/>
      <c r="Y3697" s="1705">
        <v>21</v>
      </c>
      <c r="Z3697" s="969"/>
      <c r="AA3697" s="757">
        <v>4.6900000000000004</v>
      </c>
      <c r="AB3697" s="757">
        <v>0.26</v>
      </c>
      <c r="AC3697" s="755">
        <v>8.1</v>
      </c>
      <c r="AD3697" s="760">
        <v>420</v>
      </c>
      <c r="AE3697" s="760">
        <v>120</v>
      </c>
      <c r="AF3697" s="760">
        <v>460</v>
      </c>
      <c r="AG3697" s="66">
        <f t="shared" si="138"/>
        <v>154.24285714285713</v>
      </c>
      <c r="AH3697" s="143">
        <f t="shared" si="139"/>
        <v>1000</v>
      </c>
    </row>
    <row r="3698" spans="1:34" x14ac:dyDescent="0.3">
      <c r="A3698" s="755">
        <v>203777</v>
      </c>
      <c r="B3698" s="1424">
        <v>23</v>
      </c>
      <c r="C3698" s="1424">
        <v>5.6</v>
      </c>
      <c r="D3698" s="757">
        <v>8.2200000000000006</v>
      </c>
      <c r="E3698" s="1570">
        <v>0.13800000000000001</v>
      </c>
      <c r="F3698" s="758">
        <v>152</v>
      </c>
      <c r="G3698" s="755"/>
      <c r="H3698" s="758">
        <v>59.51</v>
      </c>
      <c r="I3698" s="758">
        <v>140</v>
      </c>
      <c r="J3698" s="759">
        <v>3.7999999999999999E-2</v>
      </c>
      <c r="K3698" s="1424">
        <v>11.05</v>
      </c>
      <c r="L3698" s="755">
        <v>230</v>
      </c>
      <c r="M3698" s="755">
        <v>0.51</v>
      </c>
      <c r="N3698" s="755">
        <v>0.96</v>
      </c>
      <c r="O3698" s="755">
        <v>10.4</v>
      </c>
      <c r="P3698" s="755">
        <v>3.29</v>
      </c>
      <c r="Q3698" s="755"/>
      <c r="R3698" s="757">
        <v>1.6704920000000001</v>
      </c>
      <c r="S3698" s="1424">
        <v>12.8</v>
      </c>
      <c r="T3698" s="969"/>
      <c r="U3698" s="969"/>
      <c r="V3698" s="969"/>
      <c r="W3698" s="969"/>
      <c r="X3698" s="969"/>
      <c r="Y3698" s="1705">
        <v>30.8</v>
      </c>
      <c r="Z3698" s="969"/>
      <c r="AA3698" s="757">
        <v>4.03</v>
      </c>
      <c r="AB3698" s="757">
        <v>0.73799999999999999</v>
      </c>
      <c r="AC3698" s="755">
        <v>8.9</v>
      </c>
      <c r="AD3698" s="760">
        <v>440</v>
      </c>
      <c r="AE3698" s="760">
        <v>100</v>
      </c>
      <c r="AF3698" s="760">
        <v>460</v>
      </c>
      <c r="AG3698" s="66">
        <f t="shared" si="138"/>
        <v>127.00324675324676</v>
      </c>
      <c r="AH3698" s="143">
        <f t="shared" si="139"/>
        <v>1000</v>
      </c>
    </row>
    <row r="3699" spans="1:34" x14ac:dyDescent="0.3">
      <c r="A3699" s="755">
        <v>203778</v>
      </c>
      <c r="B3699" s="1424">
        <v>17.3</v>
      </c>
      <c r="C3699" s="1424">
        <v>5.6</v>
      </c>
      <c r="D3699" s="757">
        <v>8.35</v>
      </c>
      <c r="E3699" s="1570">
        <v>0.13400000000000001</v>
      </c>
      <c r="F3699" s="758">
        <v>147</v>
      </c>
      <c r="G3699" s="755"/>
      <c r="H3699" s="758">
        <v>40.04</v>
      </c>
      <c r="I3699" s="758">
        <v>170</v>
      </c>
      <c r="J3699" s="759">
        <v>4.3999999999999997E-2</v>
      </c>
      <c r="K3699" s="1424">
        <v>11.16</v>
      </c>
      <c r="L3699" s="755">
        <v>410</v>
      </c>
      <c r="M3699" s="755">
        <v>0.56999999999999995</v>
      </c>
      <c r="N3699" s="755">
        <v>1.18</v>
      </c>
      <c r="O3699" s="755">
        <v>6.96</v>
      </c>
      <c r="P3699" s="755">
        <v>3.08</v>
      </c>
      <c r="Q3699" s="755"/>
      <c r="R3699" s="757">
        <v>1.5784280000000002</v>
      </c>
      <c r="S3699" s="1424">
        <v>10.4</v>
      </c>
      <c r="T3699" s="969"/>
      <c r="U3699" s="969"/>
      <c r="V3699" s="969"/>
      <c r="W3699" s="969"/>
      <c r="X3699" s="969"/>
      <c r="Y3699" s="1705">
        <v>27.6</v>
      </c>
      <c r="Z3699" s="969"/>
      <c r="AA3699" s="757">
        <v>3.95</v>
      </c>
      <c r="AB3699" s="757">
        <v>0.64400000000000002</v>
      </c>
      <c r="AC3699" s="755">
        <v>6.4</v>
      </c>
      <c r="AD3699" s="760">
        <v>460</v>
      </c>
      <c r="AE3699" s="760">
        <v>120</v>
      </c>
      <c r="AF3699" s="760">
        <v>420</v>
      </c>
      <c r="AG3699" s="66">
        <f t="shared" si="138"/>
        <v>143.1391304347826</v>
      </c>
      <c r="AH3699" s="143">
        <f t="shared" si="139"/>
        <v>1000</v>
      </c>
    </row>
    <row r="3700" spans="1:34" x14ac:dyDescent="0.3">
      <c r="A3700" s="755">
        <v>203779</v>
      </c>
      <c r="B3700" s="1424">
        <v>43.7</v>
      </c>
      <c r="C3700" s="1424">
        <v>12.63</v>
      </c>
      <c r="D3700" s="757">
        <v>8.42</v>
      </c>
      <c r="E3700" s="1570">
        <v>0.14399999999999999</v>
      </c>
      <c r="F3700" s="758">
        <v>158</v>
      </c>
      <c r="G3700" s="755"/>
      <c r="H3700" s="758">
        <v>24.88</v>
      </c>
      <c r="I3700" s="758">
        <v>130</v>
      </c>
      <c r="J3700" s="759">
        <v>4.7E-2</v>
      </c>
      <c r="K3700" s="1424">
        <v>12.19</v>
      </c>
      <c r="L3700" s="755">
        <v>280</v>
      </c>
      <c r="M3700" s="755">
        <v>0.28000000000000003</v>
      </c>
      <c r="N3700" s="755">
        <v>0.78</v>
      </c>
      <c r="O3700" s="755">
        <v>5.6</v>
      </c>
      <c r="P3700" s="755">
        <v>3.15</v>
      </c>
      <c r="Q3700" s="755"/>
      <c r="R3700" s="757">
        <v>1.0096791099605089</v>
      </c>
      <c r="S3700" s="1424">
        <v>6.8</v>
      </c>
      <c r="T3700" s="969"/>
      <c r="U3700" s="969"/>
      <c r="V3700" s="969"/>
      <c r="W3700" s="969"/>
      <c r="X3700" s="969"/>
      <c r="Y3700" s="1705">
        <v>17</v>
      </c>
      <c r="Z3700" s="969"/>
      <c r="AA3700" s="757">
        <v>4.5999999999999996</v>
      </c>
      <c r="AB3700" s="757">
        <v>0.34</v>
      </c>
      <c r="AC3700" s="755">
        <v>6.9</v>
      </c>
      <c r="AD3700" s="760">
        <v>340</v>
      </c>
      <c r="AE3700" s="760">
        <v>80</v>
      </c>
      <c r="AF3700" s="760">
        <v>580</v>
      </c>
      <c r="AG3700" s="66">
        <f t="shared" si="138"/>
        <v>253.83882352941177</v>
      </c>
      <c r="AH3700" s="143">
        <f t="shared" si="139"/>
        <v>1000</v>
      </c>
    </row>
    <row r="3701" spans="1:34" x14ac:dyDescent="0.3">
      <c r="A3701" s="755">
        <v>203780</v>
      </c>
      <c r="B3701" s="1424">
        <v>47.7</v>
      </c>
      <c r="C3701" s="1424">
        <v>12.36</v>
      </c>
      <c r="D3701" s="757">
        <v>8.56</v>
      </c>
      <c r="E3701" s="1570">
        <v>0.748</v>
      </c>
      <c r="F3701" s="758">
        <v>823</v>
      </c>
      <c r="G3701" s="755"/>
      <c r="H3701" s="758">
        <v>14.1</v>
      </c>
      <c r="I3701" s="758">
        <v>190</v>
      </c>
      <c r="J3701" s="759">
        <v>0.53900000000000003</v>
      </c>
      <c r="K3701" s="1424">
        <v>9.93</v>
      </c>
      <c r="L3701" s="755">
        <v>780</v>
      </c>
      <c r="M3701" s="755">
        <v>0.42</v>
      </c>
      <c r="N3701" s="755">
        <v>0.4</v>
      </c>
      <c r="O3701" s="755">
        <v>1.8</v>
      </c>
      <c r="P3701" s="755">
        <v>0.85</v>
      </c>
      <c r="Q3701" s="755"/>
      <c r="R3701" s="757">
        <v>1.078253013100507</v>
      </c>
      <c r="S3701" s="1424">
        <v>7.5</v>
      </c>
      <c r="T3701" s="969"/>
      <c r="U3701" s="969"/>
      <c r="V3701" s="969"/>
      <c r="W3701" s="969"/>
      <c r="X3701" s="969"/>
      <c r="Y3701" s="1705">
        <v>28</v>
      </c>
      <c r="Z3701" s="969"/>
      <c r="AA3701" s="757">
        <v>4.43</v>
      </c>
      <c r="AB3701" s="757">
        <v>0.64800000000000002</v>
      </c>
      <c r="AC3701" s="755">
        <v>12</v>
      </c>
      <c r="AD3701" s="760">
        <v>400</v>
      </c>
      <c r="AE3701" s="760">
        <v>140</v>
      </c>
      <c r="AF3701" s="760">
        <v>460</v>
      </c>
      <c r="AG3701" s="66">
        <f t="shared" si="138"/>
        <v>125.54357142857144</v>
      </c>
      <c r="AH3701" s="143">
        <f t="shared" si="139"/>
        <v>1000</v>
      </c>
    </row>
    <row r="3702" spans="1:34" x14ac:dyDescent="0.3">
      <c r="A3702" s="755">
        <v>203781</v>
      </c>
      <c r="B3702" s="1424">
        <v>33.299999999999997</v>
      </c>
      <c r="C3702" s="1424">
        <v>10.96</v>
      </c>
      <c r="D3702" s="757">
        <v>8.34</v>
      </c>
      <c r="E3702" s="1570">
        <v>3.49</v>
      </c>
      <c r="F3702" s="758">
        <v>3839</v>
      </c>
      <c r="G3702" s="755"/>
      <c r="H3702" s="758">
        <v>19.27</v>
      </c>
      <c r="I3702" s="758">
        <v>840</v>
      </c>
      <c r="J3702" s="759">
        <v>3.5329999999999999</v>
      </c>
      <c r="K3702" s="1424">
        <v>10.48</v>
      </c>
      <c r="L3702" s="755">
        <v>1050</v>
      </c>
      <c r="M3702" s="755">
        <v>0.24</v>
      </c>
      <c r="N3702" s="755">
        <v>0.35</v>
      </c>
      <c r="O3702" s="755">
        <v>1.66</v>
      </c>
      <c r="P3702" s="755">
        <v>1.08</v>
      </c>
      <c r="Q3702" s="755"/>
      <c r="R3702" s="757">
        <v>1.5982730000000001</v>
      </c>
      <c r="S3702" s="1424">
        <v>10.9</v>
      </c>
      <c r="T3702" s="969"/>
      <c r="U3702" s="969"/>
      <c r="V3702" s="969"/>
      <c r="W3702" s="969"/>
      <c r="X3702" s="969"/>
      <c r="Y3702" s="1705">
        <v>33.6</v>
      </c>
      <c r="Z3702" s="969"/>
      <c r="AA3702" s="757">
        <v>4.8099999999999996</v>
      </c>
      <c r="AB3702" s="757">
        <v>0.33500000000000002</v>
      </c>
      <c r="AC3702" s="755">
        <v>11</v>
      </c>
      <c r="AD3702" s="760">
        <v>480</v>
      </c>
      <c r="AE3702" s="760">
        <v>160</v>
      </c>
      <c r="AF3702" s="760">
        <v>360</v>
      </c>
      <c r="AG3702" s="66">
        <f t="shared" si="138"/>
        <v>110.41428571428573</v>
      </c>
      <c r="AH3702" s="143">
        <f t="shared" si="139"/>
        <v>1000</v>
      </c>
    </row>
    <row r="3703" spans="1:34" s="1150" customFormat="1" x14ac:dyDescent="0.3">
      <c r="A3703" s="1150">
        <v>203782</v>
      </c>
      <c r="B3703" s="1151">
        <v>1.2</v>
      </c>
      <c r="C3703" s="1151"/>
      <c r="D3703" s="1152">
        <v>7.98</v>
      </c>
      <c r="E3703" s="1581">
        <v>1.25</v>
      </c>
      <c r="F3703" s="1153">
        <v>1375</v>
      </c>
      <c r="H3703" s="1153">
        <v>22.67</v>
      </c>
      <c r="I3703" s="1153">
        <v>280</v>
      </c>
      <c r="J3703" s="1154">
        <v>1.3260000000000001</v>
      </c>
      <c r="K3703" s="1151">
        <v>6.25</v>
      </c>
      <c r="L3703" s="1150">
        <v>1350</v>
      </c>
      <c r="M3703" s="1150">
        <v>0.27</v>
      </c>
      <c r="N3703" s="1150">
        <v>0.55000000000000004</v>
      </c>
      <c r="O3703" s="1150">
        <v>1.72</v>
      </c>
      <c r="P3703" s="1150">
        <v>4.5599999999999996</v>
      </c>
      <c r="R3703" s="1152">
        <v>1.6100120000000002</v>
      </c>
      <c r="S3703" s="1151">
        <v>11.200000000000001</v>
      </c>
      <c r="Y3703" s="67">
        <v>30.8</v>
      </c>
      <c r="AA3703" s="68">
        <v>4.29</v>
      </c>
      <c r="AB3703" s="68">
        <v>0.82399999999999995</v>
      </c>
      <c r="AC3703" s="69">
        <v>9.1</v>
      </c>
      <c r="AD3703" s="1155">
        <v>440</v>
      </c>
      <c r="AE3703" s="1155">
        <v>260</v>
      </c>
      <c r="AF3703" s="1155">
        <v>300</v>
      </c>
      <c r="AG3703" s="66">
        <f t="shared" si="138"/>
        <v>71.834415584415581</v>
      </c>
      <c r="AH3703" s="143">
        <f t="shared" si="139"/>
        <v>1000</v>
      </c>
    </row>
    <row r="3704" spans="1:34" s="1150" customFormat="1" x14ac:dyDescent="0.3">
      <c r="A3704" s="1150">
        <v>203783</v>
      </c>
      <c r="B3704" s="1151">
        <v>0.6</v>
      </c>
      <c r="C3704" s="1151"/>
      <c r="D3704" s="1152">
        <v>7.96</v>
      </c>
      <c r="E3704" s="1581">
        <v>1.1299999999999999</v>
      </c>
      <c r="F3704" s="1153">
        <v>1242.9999999999998</v>
      </c>
      <c r="H3704" s="1153">
        <v>31.21</v>
      </c>
      <c r="I3704" s="1153">
        <v>300</v>
      </c>
      <c r="J3704" s="1154">
        <v>1.359</v>
      </c>
      <c r="K3704" s="1151">
        <v>5.4</v>
      </c>
      <c r="L3704" s="1150">
        <v>1370</v>
      </c>
      <c r="M3704" s="1150">
        <v>0.37</v>
      </c>
      <c r="N3704" s="1150">
        <v>0.64</v>
      </c>
      <c r="O3704" s="1150">
        <v>2.0699999999999998</v>
      </c>
      <c r="P3704" s="1150">
        <v>7.97</v>
      </c>
      <c r="R3704" s="1152">
        <v>1.4425764328065076</v>
      </c>
      <c r="S3704" s="1151">
        <v>9.5</v>
      </c>
      <c r="Y3704" s="67">
        <v>32.200000000000003</v>
      </c>
      <c r="AA3704" s="68">
        <v>4.5199999999999996</v>
      </c>
      <c r="AB3704" s="68">
        <v>0.29599999999999999</v>
      </c>
      <c r="AC3704" s="69">
        <v>10.9</v>
      </c>
      <c r="AD3704" s="1155">
        <v>460</v>
      </c>
      <c r="AE3704" s="1155">
        <v>280</v>
      </c>
      <c r="AF3704" s="1155">
        <v>260</v>
      </c>
      <c r="AG3704" s="66">
        <f t="shared" si="138"/>
        <v>59.366459627329199</v>
      </c>
      <c r="AH3704" s="143">
        <f t="shared" si="139"/>
        <v>1000</v>
      </c>
    </row>
    <row r="3705" spans="1:34" s="1150" customFormat="1" x14ac:dyDescent="0.3">
      <c r="A3705" s="1150">
        <v>203784</v>
      </c>
      <c r="B3705" s="1151">
        <v>2.4</v>
      </c>
      <c r="C3705" s="1151"/>
      <c r="D3705" s="1152">
        <v>7.95</v>
      </c>
      <c r="E3705" s="1581">
        <v>1.1599999999999999</v>
      </c>
      <c r="F3705" s="1153">
        <v>1276</v>
      </c>
      <c r="H3705" s="1153">
        <v>16.53</v>
      </c>
      <c r="I3705" s="1153">
        <v>390</v>
      </c>
      <c r="J3705" s="1154">
        <v>1.4770000000000001</v>
      </c>
      <c r="K3705" s="1151">
        <v>8.75</v>
      </c>
      <c r="L3705" s="1150">
        <v>1650</v>
      </c>
      <c r="M3705" s="1150">
        <v>0.31</v>
      </c>
      <c r="N3705" s="1150">
        <v>0.56000000000000005</v>
      </c>
      <c r="O3705" s="1150">
        <v>1.48</v>
      </c>
      <c r="P3705" s="1150">
        <v>8.34</v>
      </c>
      <c r="R3705" s="1152">
        <v>1.5943320000000001</v>
      </c>
      <c r="S3705" s="1151">
        <v>10.8</v>
      </c>
      <c r="Y3705" s="67">
        <v>26.4</v>
      </c>
      <c r="AA3705" s="68">
        <v>4.92</v>
      </c>
      <c r="AB3705" s="68">
        <v>0.72899999999999998</v>
      </c>
      <c r="AC3705" s="69">
        <v>9.6</v>
      </c>
      <c r="AD3705" s="1155">
        <v>440</v>
      </c>
      <c r="AE3705" s="1155">
        <v>240</v>
      </c>
      <c r="AF3705" s="1155">
        <v>320</v>
      </c>
      <c r="AG3705" s="66">
        <f t="shared" si="138"/>
        <v>117.32954545454547</v>
      </c>
      <c r="AH3705" s="143">
        <f t="shared" si="139"/>
        <v>1000</v>
      </c>
    </row>
    <row r="3706" spans="1:34" s="1150" customFormat="1" x14ac:dyDescent="0.3">
      <c r="A3706" s="1150">
        <v>203785</v>
      </c>
      <c r="B3706" s="1151">
        <v>0.5</v>
      </c>
      <c r="C3706" s="1151"/>
      <c r="D3706" s="1152">
        <v>7.99</v>
      </c>
      <c r="E3706" s="1581">
        <v>0.87</v>
      </c>
      <c r="F3706" s="1153">
        <v>957.00000000000011</v>
      </c>
      <c r="H3706" s="1153">
        <v>19.79</v>
      </c>
      <c r="I3706" s="1153">
        <v>290</v>
      </c>
      <c r="J3706" s="1154">
        <v>1.127</v>
      </c>
      <c r="K3706" s="1151">
        <v>4.96</v>
      </c>
      <c r="L3706" s="1150">
        <v>1400</v>
      </c>
      <c r="M3706" s="1150">
        <v>0.39</v>
      </c>
      <c r="N3706" s="1150">
        <v>0.55000000000000004</v>
      </c>
      <c r="O3706" s="1150">
        <v>19.63</v>
      </c>
      <c r="P3706" s="1150">
        <v>7.14</v>
      </c>
      <c r="R3706" s="1152">
        <v>1.4254846394950267</v>
      </c>
      <c r="S3706" s="1151">
        <v>9.9</v>
      </c>
      <c r="Y3706" s="67">
        <v>32.200000000000003</v>
      </c>
      <c r="AA3706" s="68">
        <v>4.42</v>
      </c>
      <c r="AB3706" s="68">
        <v>0.88200000000000001</v>
      </c>
      <c r="AC3706" s="69">
        <v>12</v>
      </c>
      <c r="AD3706" s="1155">
        <v>460</v>
      </c>
      <c r="AE3706" s="1155">
        <v>260</v>
      </c>
      <c r="AF3706" s="1155">
        <v>280</v>
      </c>
      <c r="AG3706" s="66">
        <f t="shared" si="138"/>
        <v>54.529192546583843</v>
      </c>
      <c r="AH3706" s="143">
        <f t="shared" si="139"/>
        <v>1000</v>
      </c>
    </row>
    <row r="3707" spans="1:34" s="1150" customFormat="1" x14ac:dyDescent="0.3">
      <c r="A3707" s="1150">
        <v>203786</v>
      </c>
      <c r="B3707" s="1151">
        <v>12.5</v>
      </c>
      <c r="C3707" s="1151">
        <v>9.3000000000000007</v>
      </c>
      <c r="D3707" s="1152">
        <v>8.24</v>
      </c>
      <c r="E3707" s="1581">
        <v>1.21</v>
      </c>
      <c r="F3707" s="1153">
        <v>1331</v>
      </c>
      <c r="H3707" s="1153">
        <v>11.02</v>
      </c>
      <c r="I3707" s="1153">
        <v>290</v>
      </c>
      <c r="J3707" s="1154">
        <v>1.413</v>
      </c>
      <c r="K3707" s="1151">
        <v>13.48</v>
      </c>
      <c r="L3707" s="1150">
        <v>1740</v>
      </c>
      <c r="M3707" s="1150">
        <v>0.27</v>
      </c>
      <c r="N3707" s="1150">
        <v>0.4</v>
      </c>
      <c r="O3707" s="1150">
        <v>1.34</v>
      </c>
      <c r="P3707" s="1150">
        <v>5.89</v>
      </c>
      <c r="R3707" s="1152">
        <v>1.790297</v>
      </c>
      <c r="S3707" s="1151">
        <v>16.299999999999997</v>
      </c>
      <c r="Y3707" s="67">
        <v>26.4</v>
      </c>
      <c r="AA3707" s="68">
        <v>4.1900000000000004</v>
      </c>
      <c r="AB3707" s="68">
        <v>0.88700000000000001</v>
      </c>
      <c r="AC3707" s="69">
        <v>10.8</v>
      </c>
      <c r="AD3707" s="1155">
        <v>440</v>
      </c>
      <c r="AE3707" s="1155">
        <v>280</v>
      </c>
      <c r="AF3707" s="1155">
        <v>280</v>
      </c>
      <c r="AG3707" s="66">
        <f t="shared" si="138"/>
        <v>180.75454545454548</v>
      </c>
      <c r="AH3707" s="143">
        <f t="shared" si="139"/>
        <v>1000</v>
      </c>
    </row>
    <row r="3708" spans="1:34" s="1150" customFormat="1" x14ac:dyDescent="0.3">
      <c r="A3708" s="1150">
        <v>203787</v>
      </c>
      <c r="B3708" s="1151">
        <v>13.4</v>
      </c>
      <c r="C3708" s="1151">
        <v>9</v>
      </c>
      <c r="D3708" s="1152">
        <v>8.15</v>
      </c>
      <c r="E3708" s="1581">
        <v>0.76</v>
      </c>
      <c r="F3708" s="1153">
        <v>836.00000000000011</v>
      </c>
      <c r="H3708" s="1153">
        <v>16.850000000000001</v>
      </c>
      <c r="I3708" s="1153">
        <v>310</v>
      </c>
      <c r="J3708" s="1154">
        <v>1.016</v>
      </c>
      <c r="K3708" s="1151">
        <v>12.91</v>
      </c>
      <c r="L3708" s="1150">
        <v>1300</v>
      </c>
      <c r="M3708" s="1150">
        <v>0.9</v>
      </c>
      <c r="N3708" s="1150">
        <v>0.78</v>
      </c>
      <c r="O3708" s="1150">
        <v>15.72</v>
      </c>
      <c r="P3708" s="1150">
        <v>6.95</v>
      </c>
      <c r="R3708" s="1152">
        <v>1.629297</v>
      </c>
      <c r="S3708" s="1151">
        <v>11.7</v>
      </c>
      <c r="Y3708" s="67">
        <v>28.8</v>
      </c>
      <c r="AA3708" s="68">
        <v>3.94</v>
      </c>
      <c r="AB3708" s="68">
        <v>0.88200000000000001</v>
      </c>
      <c r="AC3708" s="69">
        <v>6.2</v>
      </c>
      <c r="AD3708" s="1155">
        <v>480</v>
      </c>
      <c r="AE3708" s="1155">
        <v>280</v>
      </c>
      <c r="AF3708" s="1155">
        <v>240</v>
      </c>
      <c r="AG3708" s="66">
        <f t="shared" si="138"/>
        <v>158.68541666666667</v>
      </c>
      <c r="AH3708" s="143">
        <f t="shared" si="139"/>
        <v>1000</v>
      </c>
    </row>
    <row r="3709" spans="1:34" s="1150" customFormat="1" x14ac:dyDescent="0.3">
      <c r="A3709" s="1150">
        <v>203788</v>
      </c>
      <c r="B3709" s="1151">
        <v>18.5</v>
      </c>
      <c r="C3709" s="1151">
        <v>12.5</v>
      </c>
      <c r="D3709" s="1152">
        <v>8.17</v>
      </c>
      <c r="E3709" s="1581">
        <v>1.52</v>
      </c>
      <c r="F3709" s="1153">
        <v>1672.0000000000002</v>
      </c>
      <c r="H3709" s="1153">
        <v>24.55</v>
      </c>
      <c r="I3709" s="1153">
        <v>270</v>
      </c>
      <c r="J3709" s="1154">
        <v>1.532</v>
      </c>
      <c r="K3709" s="1151">
        <v>12.77</v>
      </c>
      <c r="L3709" s="1150">
        <v>1240</v>
      </c>
      <c r="M3709" s="1150">
        <v>0.6</v>
      </c>
      <c r="N3709" s="1150">
        <v>0.78</v>
      </c>
      <c r="O3709" s="1150">
        <v>1.19</v>
      </c>
      <c r="P3709" s="1150">
        <v>2.58</v>
      </c>
      <c r="R3709" s="1152">
        <v>1.3574474704287409</v>
      </c>
      <c r="S3709" s="1151">
        <v>9.8000000000000007</v>
      </c>
      <c r="Y3709" s="67">
        <v>32.200000000000003</v>
      </c>
      <c r="AA3709" s="68">
        <v>4.33</v>
      </c>
      <c r="AB3709" s="68">
        <v>0.64300000000000002</v>
      </c>
      <c r="AC3709" s="69">
        <v>8</v>
      </c>
      <c r="AD3709" s="1155">
        <v>460</v>
      </c>
      <c r="AE3709" s="1155">
        <v>240</v>
      </c>
      <c r="AF3709" s="1155">
        <v>300</v>
      </c>
      <c r="AG3709" s="66">
        <f t="shared" si="138"/>
        <v>140.39068322981365</v>
      </c>
      <c r="AH3709" s="143">
        <f t="shared" si="139"/>
        <v>1000</v>
      </c>
    </row>
    <row r="3710" spans="1:34" s="1150" customFormat="1" x14ac:dyDescent="0.3">
      <c r="A3710" s="1150">
        <v>203789</v>
      </c>
      <c r="B3710" s="1151">
        <v>18.5</v>
      </c>
      <c r="C3710" s="1151">
        <v>12.4</v>
      </c>
      <c r="D3710" s="1152">
        <v>8.0399999999999991</v>
      </c>
      <c r="E3710" s="1581">
        <v>2.8</v>
      </c>
      <c r="F3710" s="1153">
        <v>3080</v>
      </c>
      <c r="H3710" s="1153">
        <v>29.86</v>
      </c>
      <c r="I3710" s="1153">
        <v>230</v>
      </c>
      <c r="J3710" s="1154">
        <v>2.6259999999999999</v>
      </c>
      <c r="K3710" s="1151">
        <v>13.96</v>
      </c>
      <c r="L3710" s="1150">
        <v>1340</v>
      </c>
      <c r="M3710" s="1150">
        <v>0.73</v>
      </c>
      <c r="N3710" s="1150">
        <v>5.62</v>
      </c>
      <c r="O3710" s="1150">
        <v>1.91</v>
      </c>
      <c r="P3710" s="1150">
        <v>3.64</v>
      </c>
      <c r="R3710" s="1152">
        <v>1.5943320000000001</v>
      </c>
      <c r="S3710" s="1151">
        <v>10.8</v>
      </c>
      <c r="Y3710" s="67">
        <v>35</v>
      </c>
      <c r="AA3710" s="68">
        <v>3.48</v>
      </c>
      <c r="AB3710" s="68">
        <v>0.54300000000000004</v>
      </c>
      <c r="AC3710" s="69">
        <v>10.3</v>
      </c>
      <c r="AD3710" s="1155">
        <v>500</v>
      </c>
      <c r="AE3710" s="1155">
        <v>280</v>
      </c>
      <c r="AF3710" s="1155">
        <v>220</v>
      </c>
      <c r="AG3710" s="66">
        <f t="shared" si="138"/>
        <v>141.19542857142858</v>
      </c>
      <c r="AH3710" s="143">
        <f t="shared" si="139"/>
        <v>1000</v>
      </c>
    </row>
    <row r="3711" spans="1:34" s="1150" customFormat="1" x14ac:dyDescent="0.3">
      <c r="A3711" s="1150">
        <v>203790</v>
      </c>
      <c r="B3711" s="1151">
        <v>2</v>
      </c>
      <c r="C3711" s="1151"/>
      <c r="D3711" s="1152">
        <v>7.84</v>
      </c>
      <c r="E3711" s="1581">
        <v>1.66</v>
      </c>
      <c r="F3711" s="1153">
        <v>1826</v>
      </c>
      <c r="H3711" s="1153">
        <v>40.380000000000003</v>
      </c>
      <c r="I3711" s="1153">
        <v>370</v>
      </c>
      <c r="J3711" s="1154">
        <v>1.976</v>
      </c>
      <c r="K3711" s="1151">
        <v>10.84</v>
      </c>
      <c r="L3711" s="1150">
        <v>1680</v>
      </c>
      <c r="M3711" s="1150">
        <v>0.8</v>
      </c>
      <c r="N3711" s="1150">
        <v>0.67</v>
      </c>
      <c r="O3711" s="1150">
        <v>2.04</v>
      </c>
      <c r="P3711" s="1150">
        <v>5.7</v>
      </c>
      <c r="R3711" s="1152">
        <v>1.6369130000000001</v>
      </c>
      <c r="S3711" s="1151">
        <v>11.899999999999999</v>
      </c>
      <c r="Y3711" s="67">
        <v>31.2</v>
      </c>
      <c r="AA3711" s="68">
        <v>3.89</v>
      </c>
      <c r="AB3711" s="68">
        <v>0.875</v>
      </c>
      <c r="AC3711" s="69">
        <v>10.4</v>
      </c>
      <c r="AD3711" s="1155">
        <v>520</v>
      </c>
      <c r="AE3711" s="1155">
        <v>280</v>
      </c>
      <c r="AF3711" s="1155">
        <v>200</v>
      </c>
      <c r="AG3711" s="66">
        <f t="shared" si="138"/>
        <v>122.9923076923077</v>
      </c>
      <c r="AH3711" s="143">
        <f t="shared" si="139"/>
        <v>1000</v>
      </c>
    </row>
    <row r="3712" spans="1:34" s="1150" customFormat="1" x14ac:dyDescent="0.3">
      <c r="A3712" s="1150">
        <v>203791</v>
      </c>
      <c r="B3712" s="1151">
        <v>5.6</v>
      </c>
      <c r="C3712" s="1151"/>
      <c r="D3712" s="1152">
        <v>8.36</v>
      </c>
      <c r="E3712" s="1581">
        <v>0.28000000000000003</v>
      </c>
      <c r="F3712" s="1153">
        <v>308.00000000000006</v>
      </c>
      <c r="H3712" s="1153">
        <v>50.02</v>
      </c>
      <c r="I3712" s="1153">
        <v>70</v>
      </c>
      <c r="J3712" s="1154">
        <v>8.6999999999999994E-2</v>
      </c>
      <c r="K3712" s="1151">
        <v>10.54</v>
      </c>
      <c r="L3712" s="1150">
        <v>250</v>
      </c>
      <c r="M3712" s="1150">
        <v>0.81</v>
      </c>
      <c r="N3712" s="1150">
        <v>0.24</v>
      </c>
      <c r="O3712" s="1150">
        <v>1.29</v>
      </c>
      <c r="P3712" s="1150">
        <v>3.44</v>
      </c>
      <c r="R3712" s="1152">
        <v>1.3729869314606373</v>
      </c>
      <c r="S3712" s="1151">
        <v>10</v>
      </c>
      <c r="Y3712" s="67">
        <v>11.2</v>
      </c>
      <c r="AA3712" s="68">
        <v>3.96</v>
      </c>
      <c r="AB3712" s="68">
        <v>0.41599999999999998</v>
      </c>
      <c r="AC3712" s="69">
        <v>10.1</v>
      </c>
      <c r="AD3712" s="1155">
        <v>160</v>
      </c>
      <c r="AE3712" s="1155">
        <v>60</v>
      </c>
      <c r="AF3712" s="1155">
        <v>780</v>
      </c>
      <c r="AG3712" s="66">
        <f t="shared" si="138"/>
        <v>333.13928571428573</v>
      </c>
      <c r="AH3712" s="143">
        <f t="shared" si="139"/>
        <v>1000</v>
      </c>
    </row>
    <row r="3713" spans="1:34" s="1150" customFormat="1" x14ac:dyDescent="0.3">
      <c r="A3713" s="1150">
        <v>203792</v>
      </c>
      <c r="B3713" s="1151">
        <v>4.2</v>
      </c>
      <c r="C3713" s="1151"/>
      <c r="D3713" s="1152">
        <v>8.25</v>
      </c>
      <c r="E3713" s="1581">
        <v>0.3</v>
      </c>
      <c r="F3713" s="1153">
        <v>330</v>
      </c>
      <c r="H3713" s="1153">
        <v>79.760000000000005</v>
      </c>
      <c r="I3713" s="1153">
        <v>260</v>
      </c>
      <c r="J3713" s="1154">
        <v>9.1999999999999998E-2</v>
      </c>
      <c r="K3713" s="1151">
        <v>8.1999999999999993</v>
      </c>
      <c r="L3713" s="1150">
        <v>230</v>
      </c>
      <c r="M3713" s="1150">
        <v>0.52</v>
      </c>
      <c r="N3713" s="1150">
        <v>0.22</v>
      </c>
      <c r="O3713" s="1150">
        <v>1.22</v>
      </c>
      <c r="P3713" s="1150">
        <v>3.52</v>
      </c>
      <c r="R3713" s="1152">
        <v>1.3256497055908207</v>
      </c>
      <c r="S3713" s="1151">
        <v>9.3000000000000007</v>
      </c>
      <c r="Y3713" s="67">
        <v>7</v>
      </c>
      <c r="AA3713" s="68">
        <v>4.34</v>
      </c>
      <c r="AB3713" s="68">
        <v>0.56999999999999995</v>
      </c>
      <c r="AC3713" s="69">
        <v>10.5</v>
      </c>
      <c r="AD3713" s="1155">
        <v>140</v>
      </c>
      <c r="AE3713" s="1155">
        <v>60</v>
      </c>
      <c r="AF3713" s="1155">
        <v>800</v>
      </c>
      <c r="AG3713" s="66">
        <f t="shared" si="138"/>
        <v>414.68571428571425</v>
      </c>
      <c r="AH3713" s="143">
        <f t="shared" si="139"/>
        <v>1000</v>
      </c>
    </row>
    <row r="3714" spans="1:34" s="1150" customFormat="1" x14ac:dyDescent="0.3">
      <c r="A3714" s="1150">
        <v>203793</v>
      </c>
      <c r="B3714" s="1151">
        <v>0.5</v>
      </c>
      <c r="C3714" s="1151"/>
      <c r="D3714" s="1152">
        <v>7.64</v>
      </c>
      <c r="E3714" s="1581">
        <v>0.93</v>
      </c>
      <c r="F3714" s="1153">
        <v>1023.0000000000001</v>
      </c>
      <c r="H3714" s="1153">
        <v>142.72999999999999</v>
      </c>
      <c r="I3714" s="1153">
        <v>190</v>
      </c>
      <c r="J3714" s="1154">
        <v>1.0229999999999999</v>
      </c>
      <c r="K3714" s="1151">
        <v>5.66</v>
      </c>
      <c r="L3714" s="1150">
        <v>2070</v>
      </c>
      <c r="M3714" s="1150">
        <v>0.36</v>
      </c>
      <c r="N3714" s="1150">
        <v>0.35</v>
      </c>
      <c r="O3714" s="1150">
        <v>5.5</v>
      </c>
      <c r="P3714" s="1150">
        <v>17.579999999999998</v>
      </c>
      <c r="R3714" s="1152">
        <v>1.3351739661018596</v>
      </c>
      <c r="S3714" s="1151">
        <v>8.8000000000000007</v>
      </c>
      <c r="Y3714" s="67">
        <v>26.4</v>
      </c>
      <c r="AA3714" s="68">
        <v>4.49</v>
      </c>
      <c r="AB3714" s="68">
        <v>0.47699999999999998</v>
      </c>
      <c r="AC3714" s="69">
        <v>7.2</v>
      </c>
      <c r="AD3714" s="1155">
        <v>440</v>
      </c>
      <c r="AE3714" s="1155">
        <v>290</v>
      </c>
      <c r="AF3714" s="1155">
        <v>270</v>
      </c>
      <c r="AG3714" s="66">
        <f t="shared" ref="AG3714:AG3777" si="141">+K3714*3.54*100/Y3714</f>
        <v>75.895454545454555</v>
      </c>
      <c r="AH3714" s="143">
        <f t="shared" ref="AH3714:AH3777" si="142">+SUM(AD3714:AF3714)</f>
        <v>1000</v>
      </c>
    </row>
    <row r="3715" spans="1:34" s="1150" customFormat="1" x14ac:dyDescent="0.3">
      <c r="A3715" s="1150">
        <v>203794</v>
      </c>
      <c r="B3715" s="1151">
        <v>0.3</v>
      </c>
      <c r="C3715" s="1151"/>
      <c r="D3715" s="1152">
        <v>7.59</v>
      </c>
      <c r="E3715" s="1581">
        <v>1.73</v>
      </c>
      <c r="F3715" s="1153">
        <v>1903</v>
      </c>
      <c r="H3715" s="1153">
        <v>98.86</v>
      </c>
      <c r="I3715" s="1153">
        <v>190</v>
      </c>
      <c r="J3715" s="1154">
        <v>1.3109999999999999</v>
      </c>
      <c r="K3715" s="1151">
        <v>5.5</v>
      </c>
      <c r="L3715" s="1150">
        <v>1760</v>
      </c>
      <c r="M3715" s="1150">
        <v>0.34</v>
      </c>
      <c r="N3715" s="1150">
        <v>0.38</v>
      </c>
      <c r="O3715" s="1150">
        <v>11.84</v>
      </c>
      <c r="P3715" s="1150">
        <v>16.22</v>
      </c>
      <c r="R3715" s="1152">
        <v>0.78914305222021774</v>
      </c>
      <c r="S3715" s="1151">
        <v>5.6000000000000005</v>
      </c>
      <c r="Y3715" s="67">
        <v>21.5</v>
      </c>
      <c r="AA3715" s="68">
        <v>4.42</v>
      </c>
      <c r="AB3715" s="68">
        <v>0.43099999999999999</v>
      </c>
      <c r="AC3715" s="69">
        <v>8.6999999999999993</v>
      </c>
      <c r="AD3715" s="1155">
        <v>430</v>
      </c>
      <c r="AE3715" s="1155">
        <v>290</v>
      </c>
      <c r="AF3715" s="1155">
        <v>280</v>
      </c>
      <c r="AG3715" s="66">
        <f t="shared" si="141"/>
        <v>90.558139534883722</v>
      </c>
      <c r="AH3715" s="143">
        <f t="shared" si="142"/>
        <v>1000</v>
      </c>
    </row>
    <row r="3716" spans="1:34" s="811" customFormat="1" x14ac:dyDescent="0.3">
      <c r="A3716" s="811">
        <v>203795</v>
      </c>
      <c r="B3716" s="1348">
        <v>19.899999999999999</v>
      </c>
      <c r="C3716" s="1348">
        <v>6.1</v>
      </c>
      <c r="D3716" s="810">
        <v>8.19</v>
      </c>
      <c r="E3716" s="808">
        <v>0.14499999999999999</v>
      </c>
      <c r="F3716" s="812">
        <v>159.5</v>
      </c>
      <c r="H3716" s="812">
        <v>51.84</v>
      </c>
      <c r="I3716" s="812">
        <v>344</v>
      </c>
      <c r="J3716" s="813">
        <v>6.0999999999999999E-2</v>
      </c>
      <c r="K3716" s="1348">
        <v>10.01</v>
      </c>
      <c r="L3716" s="811">
        <v>1084</v>
      </c>
      <c r="M3716" s="811">
        <v>0.56000000000000005</v>
      </c>
      <c r="N3716" s="811">
        <v>1.52</v>
      </c>
      <c r="O3716" s="811">
        <v>6.76</v>
      </c>
      <c r="P3716" s="811">
        <v>4.95</v>
      </c>
      <c r="R3716" s="810">
        <v>1.7774730000000001</v>
      </c>
      <c r="S3716" s="1348">
        <v>15.9</v>
      </c>
      <c r="Y3716" s="67">
        <v>33</v>
      </c>
      <c r="AA3716" s="68">
        <v>4.3099999999999996</v>
      </c>
      <c r="AB3716" s="68">
        <v>0.57399999999999995</v>
      </c>
      <c r="AC3716" s="69">
        <v>9.6999999999999993</v>
      </c>
      <c r="AD3716" s="815">
        <v>550</v>
      </c>
      <c r="AE3716" s="815">
        <v>220</v>
      </c>
      <c r="AF3716" s="815">
        <v>230</v>
      </c>
      <c r="AG3716" s="66">
        <f t="shared" si="141"/>
        <v>107.38</v>
      </c>
      <c r="AH3716" s="143">
        <f t="shared" si="142"/>
        <v>1000</v>
      </c>
    </row>
    <row r="3717" spans="1:34" s="811" customFormat="1" x14ac:dyDescent="0.3">
      <c r="A3717" s="811">
        <v>203796</v>
      </c>
      <c r="B3717" s="1348">
        <v>18</v>
      </c>
      <c r="C3717" s="1348">
        <v>5</v>
      </c>
      <c r="D3717" s="810">
        <v>8.17</v>
      </c>
      <c r="E3717" s="808">
        <v>0.155</v>
      </c>
      <c r="F3717" s="812">
        <v>170.5</v>
      </c>
      <c r="H3717" s="812">
        <v>53.23</v>
      </c>
      <c r="I3717" s="812">
        <v>288</v>
      </c>
      <c r="J3717" s="813">
        <v>6.3E-2</v>
      </c>
      <c r="K3717" s="1348">
        <v>10.32</v>
      </c>
      <c r="L3717" s="811">
        <v>949</v>
      </c>
      <c r="M3717" s="811">
        <v>0.45</v>
      </c>
      <c r="N3717" s="811">
        <v>1.56</v>
      </c>
      <c r="O3717" s="811">
        <v>8.4</v>
      </c>
      <c r="P3717" s="811">
        <v>4.9800000000000004</v>
      </c>
      <c r="R3717" s="810">
        <v>1.787112</v>
      </c>
      <c r="S3717" s="1348">
        <v>16.2</v>
      </c>
      <c r="Y3717" s="67">
        <v>27</v>
      </c>
      <c r="AA3717" s="68">
        <v>3.58</v>
      </c>
      <c r="AB3717" s="68">
        <v>0.35299999999999998</v>
      </c>
      <c r="AC3717" s="69">
        <v>8.9</v>
      </c>
      <c r="AD3717" s="815">
        <v>540</v>
      </c>
      <c r="AE3717" s="815">
        <v>240</v>
      </c>
      <c r="AF3717" s="815">
        <v>220</v>
      </c>
      <c r="AG3717" s="66">
        <f t="shared" si="141"/>
        <v>135.30666666666667</v>
      </c>
      <c r="AH3717" s="143">
        <f t="shared" si="142"/>
        <v>1000</v>
      </c>
    </row>
    <row r="3718" spans="1:34" s="811" customFormat="1" x14ac:dyDescent="0.3">
      <c r="A3718" s="811">
        <v>203797</v>
      </c>
      <c r="B3718" s="1348">
        <v>2.2000000000000002</v>
      </c>
      <c r="C3718" s="1348"/>
      <c r="D3718" s="810">
        <v>8.32</v>
      </c>
      <c r="E3718" s="808">
        <v>0.2</v>
      </c>
      <c r="F3718" s="812">
        <v>220.00000000000003</v>
      </c>
      <c r="H3718" s="812">
        <v>98.96</v>
      </c>
      <c r="I3718" s="812">
        <v>252</v>
      </c>
      <c r="J3718" s="813">
        <v>0.157</v>
      </c>
      <c r="K3718" s="1348">
        <v>10.15</v>
      </c>
      <c r="L3718" s="811">
        <v>1833</v>
      </c>
      <c r="M3718" s="811">
        <v>0.65</v>
      </c>
      <c r="N3718" s="811">
        <v>1.0900000000000001</v>
      </c>
      <c r="O3718" s="811">
        <v>2.27</v>
      </c>
      <c r="P3718" s="811">
        <v>3.44</v>
      </c>
      <c r="R3718" s="810">
        <v>1.4316986515324395</v>
      </c>
      <c r="S3718" s="1348">
        <v>9.4</v>
      </c>
      <c r="Y3718" s="67">
        <v>33.6</v>
      </c>
      <c r="AA3718" s="68">
        <v>4.2300000000000004</v>
      </c>
      <c r="AB3718" s="68">
        <v>0.81200000000000006</v>
      </c>
      <c r="AC3718" s="69">
        <v>10.1</v>
      </c>
      <c r="AD3718" s="815">
        <v>560</v>
      </c>
      <c r="AE3718" s="815">
        <v>330</v>
      </c>
      <c r="AF3718" s="815">
        <v>110</v>
      </c>
      <c r="AG3718" s="66">
        <f t="shared" si="141"/>
        <v>106.9375</v>
      </c>
      <c r="AH3718" s="143">
        <f t="shared" si="142"/>
        <v>1000</v>
      </c>
    </row>
    <row r="3719" spans="1:34" s="1045" customFormat="1" x14ac:dyDescent="0.3">
      <c r="A3719" s="1045">
        <v>203798</v>
      </c>
      <c r="B3719" s="1682">
        <v>1</v>
      </c>
      <c r="C3719" s="1682"/>
      <c r="D3719" s="1046">
        <v>8.1300000000000008</v>
      </c>
      <c r="E3719" s="1683">
        <v>0.13400000000000001</v>
      </c>
      <c r="F3719" s="1712">
        <v>147.40000000000003</v>
      </c>
      <c r="H3719" s="1684">
        <v>110.1</v>
      </c>
      <c r="I3719" s="1684">
        <v>170</v>
      </c>
      <c r="J3719" s="1685">
        <v>4.4999999999999998E-2</v>
      </c>
      <c r="K3719" s="1682">
        <v>3.47</v>
      </c>
      <c r="L3719" s="1045">
        <v>430</v>
      </c>
      <c r="M3719" s="1045">
        <v>2.48</v>
      </c>
      <c r="N3719" s="1045">
        <v>0.72</v>
      </c>
      <c r="O3719" s="1045">
        <v>4.55</v>
      </c>
      <c r="P3719" s="1045">
        <v>15.21</v>
      </c>
      <c r="R3719" s="1046">
        <v>1.3785213905242693</v>
      </c>
      <c r="S3719" s="1682">
        <v>9.3999999999999986</v>
      </c>
      <c r="Y3719" s="1686">
        <v>10</v>
      </c>
      <c r="AA3719" s="1046">
        <v>4.5999999999999996</v>
      </c>
      <c r="AB3719" s="1046">
        <v>0.629</v>
      </c>
      <c r="AC3719" s="1045">
        <v>9</v>
      </c>
      <c r="AD3719" s="1687">
        <v>200</v>
      </c>
      <c r="AE3719" s="1687">
        <v>60</v>
      </c>
      <c r="AF3719" s="1687">
        <v>740</v>
      </c>
      <c r="AG3719" s="66">
        <f t="shared" si="141"/>
        <v>122.83800000000001</v>
      </c>
      <c r="AH3719" s="143">
        <f t="shared" si="142"/>
        <v>1000</v>
      </c>
    </row>
    <row r="3720" spans="1:34" s="1412" customFormat="1" x14ac:dyDescent="0.3">
      <c r="A3720" s="1412">
        <v>203799</v>
      </c>
      <c r="B3720" s="1413">
        <v>10.4</v>
      </c>
      <c r="C3720" s="1413">
        <v>8.4</v>
      </c>
      <c r="D3720" s="1414">
        <v>8.2100000000000009</v>
      </c>
      <c r="E3720" s="1586">
        <v>0.13700000000000001</v>
      </c>
      <c r="F3720" s="1713">
        <v>150.70000000000002</v>
      </c>
      <c r="H3720" s="1415">
        <v>24</v>
      </c>
      <c r="I3720" s="1415">
        <v>210</v>
      </c>
      <c r="J3720" s="1714">
        <v>5.5E-2</v>
      </c>
      <c r="K3720" s="1413">
        <v>12.31</v>
      </c>
      <c r="L3720" s="1412">
        <v>310</v>
      </c>
      <c r="M3720" s="1412">
        <v>0.61</v>
      </c>
      <c r="N3720" s="1412">
        <v>0.73</v>
      </c>
      <c r="O3720" s="1412">
        <v>8.7899999999999991</v>
      </c>
      <c r="P3720" s="1412">
        <v>2.94</v>
      </c>
      <c r="R3720" s="1414">
        <v>1.6061130000000001</v>
      </c>
      <c r="S3720" s="1413">
        <v>11.100000000000001</v>
      </c>
      <c r="Y3720" s="1715">
        <v>25</v>
      </c>
      <c r="AA3720" s="1414"/>
      <c r="AB3720" s="1414"/>
      <c r="AC3720" s="1412">
        <v>6</v>
      </c>
      <c r="AD3720" s="1416"/>
      <c r="AE3720" s="1416"/>
      <c r="AF3720" s="1416"/>
      <c r="AG3720" s="66">
        <f t="shared" si="141"/>
        <v>174.30960000000002</v>
      </c>
      <c r="AH3720" s="143">
        <f t="shared" si="142"/>
        <v>0</v>
      </c>
    </row>
    <row r="3721" spans="1:34" s="1412" customFormat="1" x14ac:dyDescent="0.3">
      <c r="A3721" s="1412">
        <v>203800</v>
      </c>
      <c r="B3721" s="1413">
        <v>14.5</v>
      </c>
      <c r="C3721" s="1413">
        <v>8.6</v>
      </c>
      <c r="D3721" s="1414">
        <v>8.2899999999999991</v>
      </c>
      <c r="E3721" s="1586">
        <v>0.222</v>
      </c>
      <c r="F3721" s="1713">
        <v>244.20000000000002</v>
      </c>
      <c r="H3721" s="1415">
        <v>90.25</v>
      </c>
      <c r="I3721" s="1415">
        <v>680</v>
      </c>
      <c r="J3721" s="1714">
        <v>9.9000000000000005E-2</v>
      </c>
      <c r="K3721" s="1413">
        <v>11.98</v>
      </c>
      <c r="L3721" s="1412">
        <v>470</v>
      </c>
      <c r="M3721" s="1412">
        <v>1.45</v>
      </c>
      <c r="N3721" s="1412">
        <v>0.76</v>
      </c>
      <c r="O3721" s="1412">
        <v>12.64</v>
      </c>
      <c r="P3721" s="1412">
        <v>3.03</v>
      </c>
      <c r="R3721" s="1414">
        <v>1.706472</v>
      </c>
      <c r="S3721" s="1413">
        <v>13.799999999999999</v>
      </c>
      <c r="Y3721" s="1715">
        <v>22</v>
      </c>
      <c r="AA3721" s="1414"/>
      <c r="AB3721" s="1414"/>
      <c r="AC3721" s="1412">
        <v>11</v>
      </c>
      <c r="AD3721" s="1416"/>
      <c r="AE3721" s="1416"/>
      <c r="AF3721" s="1416"/>
      <c r="AG3721" s="66">
        <f t="shared" si="141"/>
        <v>192.76909090909092</v>
      </c>
      <c r="AH3721" s="143">
        <f t="shared" si="142"/>
        <v>0</v>
      </c>
    </row>
    <row r="3722" spans="1:34" s="1412" customFormat="1" x14ac:dyDescent="0.3">
      <c r="A3722" s="1412">
        <v>203801</v>
      </c>
      <c r="B3722" s="1413">
        <v>5.5</v>
      </c>
      <c r="C3722" s="1413"/>
      <c r="D3722" s="1414">
        <v>8.3800000000000008</v>
      </c>
      <c r="E3722" s="1586">
        <v>0.23799999999999999</v>
      </c>
      <c r="F3722" s="1713">
        <v>261.8</v>
      </c>
      <c r="H3722" s="1415">
        <v>172.02</v>
      </c>
      <c r="I3722" s="1415">
        <v>110</v>
      </c>
      <c r="J3722" s="1714">
        <v>0.14000000000000001</v>
      </c>
      <c r="K3722" s="1413">
        <v>4.2699999999999996</v>
      </c>
      <c r="L3722" s="1412">
        <v>580</v>
      </c>
      <c r="M3722" s="1412">
        <v>2.92</v>
      </c>
      <c r="N3722" s="1412">
        <v>3.59</v>
      </c>
      <c r="O3722" s="1412">
        <v>7.23</v>
      </c>
      <c r="P3722" s="1412">
        <v>3.16</v>
      </c>
      <c r="R3722" s="1414">
        <v>0.63711756499669314</v>
      </c>
      <c r="S3722" s="1413">
        <v>4.3</v>
      </c>
      <c r="Y3722" s="1715">
        <v>4.8</v>
      </c>
      <c r="AA3722" s="1414"/>
      <c r="AB3722" s="1414"/>
      <c r="AC3722" s="1412">
        <v>10.199999999999999</v>
      </c>
      <c r="AD3722" s="1416"/>
      <c r="AE3722" s="1416"/>
      <c r="AF3722" s="1416"/>
      <c r="AG3722" s="66">
        <f t="shared" si="141"/>
        <v>314.91250000000002</v>
      </c>
      <c r="AH3722" s="143">
        <f t="shared" si="142"/>
        <v>0</v>
      </c>
    </row>
    <row r="3723" spans="1:34" s="1412" customFormat="1" x14ac:dyDescent="0.3">
      <c r="A3723" s="1412">
        <v>203802</v>
      </c>
      <c r="B3723" s="1413">
        <v>13.8</v>
      </c>
      <c r="C3723" s="1413">
        <v>7.5</v>
      </c>
      <c r="D3723" s="1414">
        <v>8.43</v>
      </c>
      <c r="E3723" s="1586">
        <v>0.314</v>
      </c>
      <c r="F3723" s="1713">
        <v>345.40000000000003</v>
      </c>
      <c r="H3723" s="1415">
        <v>179.04</v>
      </c>
      <c r="I3723" s="1415">
        <v>190</v>
      </c>
      <c r="J3723" s="1714">
        <v>0.188</v>
      </c>
      <c r="K3723" s="1413">
        <v>7.11</v>
      </c>
      <c r="L3723" s="1412">
        <v>400</v>
      </c>
      <c r="M3723" s="1412">
        <v>1.43</v>
      </c>
      <c r="N3723" s="1412">
        <v>0.34</v>
      </c>
      <c r="O3723" s="1412">
        <v>3.28</v>
      </c>
      <c r="P3723" s="1412">
        <v>2.39</v>
      </c>
      <c r="R3723" s="1414">
        <v>0.67691792118019578</v>
      </c>
      <c r="S3723" s="1413">
        <v>4.9000000000000004</v>
      </c>
      <c r="Y3723" s="1715">
        <v>4.8</v>
      </c>
      <c r="AA3723" s="1414"/>
      <c r="AB3723" s="1414"/>
      <c r="AC3723" s="1412">
        <v>11</v>
      </c>
      <c r="AD3723" s="1416"/>
      <c r="AE3723" s="1416"/>
      <c r="AF3723" s="1416"/>
      <c r="AG3723" s="66">
        <f t="shared" si="141"/>
        <v>524.36250000000018</v>
      </c>
      <c r="AH3723" s="143">
        <f t="shared" si="142"/>
        <v>0</v>
      </c>
    </row>
    <row r="3724" spans="1:34" s="1412" customFormat="1" x14ac:dyDescent="0.3">
      <c r="A3724" s="1412">
        <v>203803</v>
      </c>
      <c r="B3724" s="1413">
        <v>27.2</v>
      </c>
      <c r="C3724" s="1413">
        <v>10.1</v>
      </c>
      <c r="D3724" s="1414">
        <v>8.08</v>
      </c>
      <c r="E3724" s="1586">
        <v>3.99</v>
      </c>
      <c r="F3724" s="1713">
        <v>4389</v>
      </c>
      <c r="H3724" s="1415">
        <v>19.09</v>
      </c>
      <c r="I3724" s="1415">
        <v>460</v>
      </c>
      <c r="J3724" s="1714">
        <v>2.798</v>
      </c>
      <c r="K3724" s="1413">
        <v>12.76</v>
      </c>
      <c r="L3724" s="1412">
        <v>1410</v>
      </c>
      <c r="M3724" s="1412">
        <v>0.34</v>
      </c>
      <c r="N3724" s="1412">
        <v>0.81</v>
      </c>
      <c r="O3724" s="1412">
        <v>3.53</v>
      </c>
      <c r="P3724" s="1412">
        <v>4.07</v>
      </c>
      <c r="R3724" s="1414">
        <v>0.32447725489450119</v>
      </c>
      <c r="S3724" s="1413">
        <v>2.4</v>
      </c>
      <c r="Y3724" s="1715">
        <v>39.6</v>
      </c>
      <c r="AA3724" s="1414"/>
      <c r="AB3724" s="1414"/>
      <c r="AC3724" s="1412">
        <v>11.1</v>
      </c>
      <c r="AD3724" s="1416"/>
      <c r="AE3724" s="1416"/>
      <c r="AF3724" s="1416"/>
      <c r="AG3724" s="66">
        <f t="shared" si="141"/>
        <v>114.06666666666666</v>
      </c>
      <c r="AH3724" s="143">
        <f t="shared" si="142"/>
        <v>0</v>
      </c>
    </row>
    <row r="3725" spans="1:34" s="898" customFormat="1" x14ac:dyDescent="0.3">
      <c r="A3725" s="898">
        <v>203804</v>
      </c>
      <c r="B3725" s="899">
        <v>22.5</v>
      </c>
      <c r="C3725" s="899">
        <v>12.8</v>
      </c>
      <c r="D3725" s="884">
        <v>8.18</v>
      </c>
      <c r="E3725" s="1576">
        <v>2.92</v>
      </c>
      <c r="F3725" s="1716">
        <v>3212</v>
      </c>
      <c r="H3725" s="1717">
        <v>32.869999999999997</v>
      </c>
      <c r="I3725" s="1717">
        <v>400</v>
      </c>
      <c r="J3725" s="1718">
        <v>2.0590000000000002</v>
      </c>
      <c r="K3725" s="899">
        <v>13.3</v>
      </c>
      <c r="L3725" s="898">
        <v>1280</v>
      </c>
      <c r="R3725" s="884">
        <v>0.81360792540905003</v>
      </c>
      <c r="S3725" s="899">
        <v>5.5</v>
      </c>
      <c r="Y3725" s="1719">
        <v>39.6</v>
      </c>
      <c r="AA3725" s="884"/>
      <c r="AB3725" s="884"/>
      <c r="AC3725" s="898">
        <v>11.7</v>
      </c>
      <c r="AD3725" s="901"/>
      <c r="AE3725" s="901"/>
      <c r="AF3725" s="901"/>
      <c r="AG3725" s="66">
        <f t="shared" si="141"/>
        <v>118.89393939393939</v>
      </c>
      <c r="AH3725" s="143">
        <f t="shared" si="142"/>
        <v>0</v>
      </c>
    </row>
    <row r="3726" spans="1:34" s="1412" customFormat="1" x14ac:dyDescent="0.3">
      <c r="A3726" s="1412">
        <v>203805</v>
      </c>
      <c r="B3726" s="1413">
        <v>21.8</v>
      </c>
      <c r="C3726" s="1413">
        <v>13.6</v>
      </c>
      <c r="D3726" s="1414">
        <v>8.33</v>
      </c>
      <c r="E3726" s="1586">
        <v>0.94199999999999995</v>
      </c>
      <c r="F3726" s="1713">
        <v>1036.2</v>
      </c>
      <c r="H3726" s="1415">
        <v>20.94</v>
      </c>
      <c r="I3726" s="1415">
        <v>350</v>
      </c>
      <c r="J3726" s="1714">
        <v>0.89500000000000002</v>
      </c>
      <c r="K3726" s="1413">
        <v>12.56</v>
      </c>
      <c r="L3726" s="1412">
        <v>1390</v>
      </c>
      <c r="M3726" s="1412">
        <v>0.59</v>
      </c>
      <c r="N3726" s="1412">
        <v>1.61</v>
      </c>
      <c r="O3726" s="1412">
        <v>7.04</v>
      </c>
      <c r="P3726" s="1412">
        <v>16.5</v>
      </c>
      <c r="R3726" s="1414">
        <v>0.58793898637108688</v>
      </c>
      <c r="S3726" s="1413">
        <v>4.3</v>
      </c>
      <c r="Y3726" s="1715">
        <v>34</v>
      </c>
      <c r="AA3726" s="1414"/>
      <c r="AB3726" s="1414"/>
      <c r="AC3726" s="1412">
        <v>9.3000000000000007</v>
      </c>
      <c r="AD3726" s="1416"/>
      <c r="AE3726" s="1416"/>
      <c r="AF3726" s="1416"/>
      <c r="AG3726" s="66">
        <f t="shared" si="141"/>
        <v>130.77176470588233</v>
      </c>
      <c r="AH3726" s="143">
        <f t="shared" si="142"/>
        <v>0</v>
      </c>
    </row>
    <row r="3727" spans="1:34" s="898" customFormat="1" x14ac:dyDescent="0.3">
      <c r="A3727" s="898">
        <v>203806</v>
      </c>
      <c r="B3727" s="899">
        <v>25.8</v>
      </c>
      <c r="C3727" s="899">
        <v>14.3</v>
      </c>
      <c r="D3727" s="884">
        <v>8.07</v>
      </c>
      <c r="E3727" s="1576">
        <v>1.246</v>
      </c>
      <c r="F3727" s="1716">
        <v>1370.6000000000001</v>
      </c>
      <c r="H3727" s="1717">
        <v>23.02</v>
      </c>
      <c r="I3727" s="1717">
        <v>380</v>
      </c>
      <c r="J3727" s="1718">
        <v>0.56299999999999994</v>
      </c>
      <c r="K3727" s="899">
        <v>14.11</v>
      </c>
      <c r="L3727" s="898">
        <v>1080</v>
      </c>
      <c r="R3727" s="884">
        <v>0.98359860290002388</v>
      </c>
      <c r="S3727" s="899">
        <v>6.7</v>
      </c>
      <c r="Y3727" s="1719">
        <v>33</v>
      </c>
      <c r="AA3727" s="884"/>
      <c r="AB3727" s="884"/>
      <c r="AC3727" s="898">
        <v>9.8000000000000007</v>
      </c>
      <c r="AD3727" s="901"/>
      <c r="AE3727" s="901"/>
      <c r="AF3727" s="901"/>
      <c r="AG3727" s="66">
        <f t="shared" si="141"/>
        <v>151.36181818181817</v>
      </c>
      <c r="AH3727" s="143">
        <f t="shared" si="142"/>
        <v>0</v>
      </c>
    </row>
    <row r="3728" spans="1:34" s="1412" customFormat="1" x14ac:dyDescent="0.3">
      <c r="A3728" s="1412">
        <v>203807</v>
      </c>
      <c r="B3728" s="1413">
        <v>3.2</v>
      </c>
      <c r="C3728" s="1413"/>
      <c r="D3728" s="1414">
        <v>8.5500000000000007</v>
      </c>
      <c r="E3728" s="1586">
        <v>0.14099999999999999</v>
      </c>
      <c r="F3728" s="1713">
        <v>155.1</v>
      </c>
      <c r="H3728" s="1415">
        <v>98.1</v>
      </c>
      <c r="I3728" s="1415">
        <v>110</v>
      </c>
      <c r="J3728" s="1714">
        <v>3.9E-2</v>
      </c>
      <c r="K3728" s="1413">
        <v>6.34</v>
      </c>
      <c r="L3728" s="1412">
        <v>540</v>
      </c>
      <c r="M3728" s="1412">
        <v>3.09</v>
      </c>
      <c r="N3728" s="1412">
        <v>0.49</v>
      </c>
      <c r="O3728" s="1412">
        <v>4.3499999999999996</v>
      </c>
      <c r="P3728" s="1412">
        <v>2.37</v>
      </c>
      <c r="R3728" s="1414">
        <v>0.73917745669284474</v>
      </c>
      <c r="S3728" s="1413">
        <v>5.0999999999999996</v>
      </c>
      <c r="Y3728" s="1715">
        <v>5.6</v>
      </c>
      <c r="AA3728" s="1414"/>
      <c r="AB3728" s="1414"/>
      <c r="AC3728" s="1412">
        <v>6.2</v>
      </c>
      <c r="AD3728" s="1416"/>
      <c r="AE3728" s="1416"/>
      <c r="AF3728" s="1416"/>
      <c r="AG3728" s="66">
        <f t="shared" si="141"/>
        <v>400.77857142857147</v>
      </c>
      <c r="AH3728" s="143">
        <f t="shared" si="142"/>
        <v>0</v>
      </c>
    </row>
    <row r="3729" spans="1:34" s="1412" customFormat="1" x14ac:dyDescent="0.3">
      <c r="A3729" s="1412">
        <v>203808</v>
      </c>
      <c r="B3729" s="1413">
        <v>5.6</v>
      </c>
      <c r="C3729" s="1413"/>
      <c r="D3729" s="1414">
        <v>8.69</v>
      </c>
      <c r="E3729" s="1586">
        <v>0.186</v>
      </c>
      <c r="F3729" s="1713">
        <v>204.6</v>
      </c>
      <c r="H3729" s="1415">
        <v>253.51</v>
      </c>
      <c r="I3729" s="1415">
        <v>260</v>
      </c>
      <c r="J3729" s="1714">
        <v>6.4000000000000001E-2</v>
      </c>
      <c r="K3729" s="1413">
        <v>7.55</v>
      </c>
      <c r="L3729" s="1412">
        <v>610</v>
      </c>
      <c r="M3729" s="1412">
        <v>2.88</v>
      </c>
      <c r="N3729" s="1412">
        <v>0.4</v>
      </c>
      <c r="O3729" s="1412">
        <v>7.88</v>
      </c>
      <c r="P3729" s="1412">
        <v>3.21</v>
      </c>
      <c r="R3729" s="1414">
        <v>0.61932236745932112</v>
      </c>
      <c r="S3729" s="1413">
        <v>4.6000000000000005</v>
      </c>
      <c r="Y3729" s="1715">
        <v>5.6</v>
      </c>
      <c r="AA3729" s="1414"/>
      <c r="AB3729" s="1414"/>
      <c r="AC3729" s="1412">
        <v>8.5</v>
      </c>
      <c r="AD3729" s="1416"/>
      <c r="AE3729" s="1416"/>
      <c r="AF3729" s="1416"/>
      <c r="AG3729" s="66">
        <f t="shared" si="141"/>
        <v>477.26785714285717</v>
      </c>
      <c r="AH3729" s="143">
        <f t="shared" si="142"/>
        <v>0</v>
      </c>
    </row>
    <row r="3730" spans="1:34" s="1045" customFormat="1" x14ac:dyDescent="0.3">
      <c r="A3730" s="1045">
        <v>203809</v>
      </c>
      <c r="B3730" s="1682">
        <v>8.3000000000000007</v>
      </c>
      <c r="C3730" s="1682"/>
      <c r="D3730" s="1046">
        <v>7.51</v>
      </c>
      <c r="E3730" s="1683">
        <v>30.6</v>
      </c>
      <c r="F3730" s="1712">
        <v>33660.000000000007</v>
      </c>
      <c r="H3730" s="1684">
        <v>17.16</v>
      </c>
      <c r="I3730" s="1684">
        <v>650</v>
      </c>
      <c r="J3730" s="1685">
        <v>22.06</v>
      </c>
      <c r="K3730" s="1682">
        <v>31.27</v>
      </c>
      <c r="L3730" s="1045">
        <v>9630</v>
      </c>
      <c r="M3730" s="1045">
        <v>1.54</v>
      </c>
      <c r="N3730" s="1045">
        <v>0.84</v>
      </c>
      <c r="O3730" s="1045">
        <v>11.99</v>
      </c>
      <c r="P3730" s="1045">
        <v>2.4500000000000002</v>
      </c>
      <c r="R3730" s="1046">
        <v>1.2952503186634199</v>
      </c>
      <c r="S3730" s="1682">
        <v>9.6999999999999993</v>
      </c>
      <c r="Y3730" s="1686">
        <v>39.9</v>
      </c>
      <c r="AA3730" s="1046">
        <v>3.85</v>
      </c>
      <c r="AB3730" s="1046">
        <v>0.80300000000000005</v>
      </c>
      <c r="AC3730" s="1045">
        <v>7.6</v>
      </c>
      <c r="AD3730" s="1687">
        <v>680</v>
      </c>
      <c r="AE3730" s="1687">
        <v>280</v>
      </c>
      <c r="AF3730" s="1687">
        <v>40</v>
      </c>
      <c r="AG3730" s="66">
        <f t="shared" si="141"/>
        <v>277.43308270676692</v>
      </c>
      <c r="AH3730" s="143">
        <f t="shared" si="142"/>
        <v>1000</v>
      </c>
    </row>
    <row r="3731" spans="1:34" s="1045" customFormat="1" x14ac:dyDescent="0.3">
      <c r="A3731" s="1045">
        <v>203810</v>
      </c>
      <c r="B3731" s="1682">
        <v>28.7</v>
      </c>
      <c r="C3731" s="1682">
        <v>6</v>
      </c>
      <c r="D3731" s="1046">
        <v>7.76</v>
      </c>
      <c r="E3731" s="1683">
        <v>51.7</v>
      </c>
      <c r="F3731" s="1712">
        <v>56870.000000000007</v>
      </c>
      <c r="H3731" s="1684">
        <v>6.91</v>
      </c>
      <c r="I3731" s="1684">
        <v>230</v>
      </c>
      <c r="J3731" s="1685">
        <v>73.72</v>
      </c>
      <c r="K3731" s="1682">
        <v>43.08</v>
      </c>
      <c r="L3731" s="1045">
        <v>3570</v>
      </c>
      <c r="M3731" s="1045">
        <v>0.36</v>
      </c>
      <c r="N3731" s="1045">
        <v>0.2</v>
      </c>
      <c r="O3731" s="1045">
        <v>0.56999999999999995</v>
      </c>
      <c r="P3731" s="1045">
        <v>1.53</v>
      </c>
      <c r="R3731" s="1046">
        <v>0.81195356987729661</v>
      </c>
      <c r="S3731" s="1682">
        <v>5.3000000000000007</v>
      </c>
      <c r="Y3731" s="1686">
        <v>22.4</v>
      </c>
      <c r="AA3731" s="1046">
        <v>4.2300000000000004</v>
      </c>
      <c r="AB3731" s="1046">
        <v>0.67200000000000004</v>
      </c>
      <c r="AC3731" s="1045">
        <v>7.6</v>
      </c>
      <c r="AD3731" s="1687">
        <v>320</v>
      </c>
      <c r="AE3731" s="1687">
        <v>120</v>
      </c>
      <c r="AF3731" s="1687">
        <v>560</v>
      </c>
      <c r="AG3731" s="66">
        <f t="shared" si="141"/>
        <v>680.81785714285718</v>
      </c>
      <c r="AH3731" s="143">
        <f t="shared" si="142"/>
        <v>1000</v>
      </c>
    </row>
    <row r="3732" spans="1:34" s="1045" customFormat="1" x14ac:dyDescent="0.3">
      <c r="A3732" s="1045">
        <v>203811</v>
      </c>
      <c r="B3732" s="1682">
        <v>2.7</v>
      </c>
      <c r="C3732" s="1682"/>
      <c r="D3732" s="1046">
        <v>8.64</v>
      </c>
      <c r="E3732" s="1683">
        <v>0.315</v>
      </c>
      <c r="F3732" s="1712">
        <v>346.50000000000006</v>
      </c>
      <c r="H3732" s="1684">
        <v>396.49</v>
      </c>
      <c r="I3732" s="1684">
        <v>750</v>
      </c>
      <c r="J3732" s="1685">
        <v>0.10299999999999999</v>
      </c>
      <c r="K3732" s="1682">
        <v>7.2</v>
      </c>
      <c r="L3732" s="1045">
        <v>950</v>
      </c>
      <c r="M3732" s="1045">
        <v>6.49</v>
      </c>
      <c r="N3732" s="1045">
        <v>1.77</v>
      </c>
      <c r="O3732" s="1045">
        <v>10.19</v>
      </c>
      <c r="P3732" s="1045">
        <v>10.38</v>
      </c>
      <c r="R3732" s="1046">
        <v>1.8274250000000001</v>
      </c>
      <c r="S3732" s="1682">
        <v>17.5</v>
      </c>
      <c r="Y3732" s="1686">
        <v>26.4</v>
      </c>
      <c r="AA3732" s="1046">
        <v>3.46</v>
      </c>
      <c r="AB3732" s="1046">
        <v>0.29099999999999998</v>
      </c>
      <c r="AC3732" s="1045">
        <v>6.4</v>
      </c>
      <c r="AD3732" s="1687">
        <v>440</v>
      </c>
      <c r="AE3732" s="1687">
        <v>160</v>
      </c>
      <c r="AF3732" s="1687">
        <v>400</v>
      </c>
      <c r="AG3732" s="66">
        <f t="shared" si="141"/>
        <v>96.545454545454561</v>
      </c>
      <c r="AH3732" s="143">
        <f t="shared" si="142"/>
        <v>1000</v>
      </c>
    </row>
    <row r="3733" spans="1:34" s="1045" customFormat="1" x14ac:dyDescent="0.3">
      <c r="A3733" s="1045">
        <v>203812</v>
      </c>
      <c r="B3733" s="1682">
        <v>10.1</v>
      </c>
      <c r="C3733" s="1682">
        <v>4</v>
      </c>
      <c r="D3733" s="1046">
        <v>8.74</v>
      </c>
      <c r="E3733" s="1683">
        <v>0.88700000000000001</v>
      </c>
      <c r="F3733" s="1712">
        <v>975.70000000000016</v>
      </c>
      <c r="H3733" s="1684">
        <v>13.33</v>
      </c>
      <c r="I3733" s="1684">
        <v>280</v>
      </c>
      <c r="J3733" s="1685">
        <v>0.97799999999999998</v>
      </c>
      <c r="K3733" s="1682">
        <v>7.94</v>
      </c>
      <c r="L3733" s="1045">
        <v>630</v>
      </c>
      <c r="M3733" s="1045">
        <v>0.28999999999999998</v>
      </c>
      <c r="N3733" s="1045">
        <v>0.48</v>
      </c>
      <c r="O3733" s="1045">
        <v>3.37</v>
      </c>
      <c r="P3733" s="1045">
        <v>1.96</v>
      </c>
      <c r="R3733" s="1046">
        <v>0.77030084449952485</v>
      </c>
      <c r="S3733" s="1682">
        <v>5.4</v>
      </c>
      <c r="Y3733" s="1686">
        <v>22.8</v>
      </c>
      <c r="AA3733" s="1046">
        <v>4.63</v>
      </c>
      <c r="AB3733" s="1046">
        <v>0.28299999999999997</v>
      </c>
      <c r="AC3733" s="1045">
        <v>8.3000000000000007</v>
      </c>
      <c r="AD3733" s="1687">
        <v>380</v>
      </c>
      <c r="AE3733" s="1687">
        <v>140</v>
      </c>
      <c r="AF3733" s="1687">
        <v>480</v>
      </c>
      <c r="AG3733" s="66">
        <f t="shared" si="141"/>
        <v>123.27894736842106</v>
      </c>
      <c r="AH3733" s="143">
        <f t="shared" si="142"/>
        <v>1000</v>
      </c>
    </row>
    <row r="3734" spans="1:34" s="1412" customFormat="1" x14ac:dyDescent="0.3">
      <c r="A3734" s="1412">
        <v>203813</v>
      </c>
      <c r="B3734" s="1413">
        <v>17.100000000000001</v>
      </c>
      <c r="C3734" s="1413">
        <v>6.25</v>
      </c>
      <c r="D3734" s="1414">
        <v>8.6999999999999993</v>
      </c>
      <c r="E3734" s="1586">
        <v>0.16200000000000001</v>
      </c>
      <c r="F3734" s="1713">
        <v>178.20000000000002</v>
      </c>
      <c r="H3734" s="1415">
        <v>14.92</v>
      </c>
      <c r="I3734" s="1415">
        <v>70</v>
      </c>
      <c r="J3734" s="1714">
        <v>5.3999999999999999E-2</v>
      </c>
      <c r="K3734" s="1413">
        <v>11.7</v>
      </c>
      <c r="L3734" s="1412">
        <v>220</v>
      </c>
      <c r="M3734" s="1412">
        <v>0.23</v>
      </c>
      <c r="N3734" s="1412">
        <v>0.15</v>
      </c>
      <c r="O3734" s="1412">
        <v>2.71</v>
      </c>
      <c r="P3734" s="1412">
        <v>1.96</v>
      </c>
      <c r="R3734" s="1414">
        <v>0.90889294501154838</v>
      </c>
      <c r="S3734" s="1413">
        <v>6.4</v>
      </c>
      <c r="Y3734" s="1715">
        <v>25.2</v>
      </c>
      <c r="AA3734" s="1414"/>
      <c r="AB3734" s="1414"/>
      <c r="AC3734" s="1412">
        <v>11.9</v>
      </c>
      <c r="AD3734" s="1416"/>
      <c r="AE3734" s="1416"/>
      <c r="AF3734" s="1416"/>
      <c r="AG3734" s="66">
        <f t="shared" si="141"/>
        <v>164.35714285714286</v>
      </c>
      <c r="AH3734" s="143">
        <f t="shared" si="142"/>
        <v>0</v>
      </c>
    </row>
    <row r="3735" spans="1:34" s="1150" customFormat="1" x14ac:dyDescent="0.3">
      <c r="A3735" s="1150">
        <v>203814</v>
      </c>
      <c r="B3735" s="1151">
        <v>7</v>
      </c>
      <c r="C3735" s="1151"/>
      <c r="D3735" s="1152">
        <v>8.89</v>
      </c>
      <c r="E3735" s="1581">
        <v>0.23400000000000001</v>
      </c>
      <c r="F3735" s="1153">
        <v>257.40000000000003</v>
      </c>
      <c r="H3735" s="1153">
        <v>192.31</v>
      </c>
      <c r="I3735" s="1153">
        <v>290</v>
      </c>
      <c r="J3735" s="1154">
        <v>0.125</v>
      </c>
      <c r="K3735" s="1151">
        <v>5.83</v>
      </c>
      <c r="L3735" s="1150">
        <v>520</v>
      </c>
      <c r="M3735" s="1150">
        <v>2.71</v>
      </c>
      <c r="N3735" s="1150">
        <v>0.75</v>
      </c>
      <c r="O3735" s="1150">
        <v>1.19</v>
      </c>
      <c r="P3735" s="1150">
        <v>2.96</v>
      </c>
      <c r="R3735" s="1152">
        <v>0.72354266379295384</v>
      </c>
      <c r="S3735" s="1151">
        <v>5</v>
      </c>
      <c r="Y3735" s="1728">
        <v>4.8</v>
      </c>
      <c r="AA3735" s="1152"/>
      <c r="AB3735" s="1152"/>
      <c r="AC3735" s="1150">
        <v>7.7</v>
      </c>
      <c r="AD3735" s="1155"/>
      <c r="AE3735" s="1155"/>
      <c r="AF3735" s="1155"/>
      <c r="AG3735" s="66">
        <f t="shared" si="141"/>
        <v>429.96250000000003</v>
      </c>
      <c r="AH3735" s="143">
        <f t="shared" si="142"/>
        <v>0</v>
      </c>
    </row>
    <row r="3736" spans="1:34" s="1150" customFormat="1" x14ac:dyDescent="0.3">
      <c r="A3736" s="1150">
        <v>203815</v>
      </c>
      <c r="B3736" s="1151">
        <v>8.8000000000000007</v>
      </c>
      <c r="C3736" s="1151"/>
      <c r="D3736" s="1152">
        <v>8.6</v>
      </c>
      <c r="E3736" s="1581">
        <v>0.34799999999999998</v>
      </c>
      <c r="F3736" s="1153">
        <v>382.8</v>
      </c>
      <c r="H3736" s="1153">
        <v>301.82</v>
      </c>
      <c r="I3736" s="1153">
        <v>230</v>
      </c>
      <c r="J3736" s="1154">
        <v>0.19600000000000001</v>
      </c>
      <c r="K3736" s="1151">
        <v>5.98</v>
      </c>
      <c r="L3736" s="1150">
        <v>630</v>
      </c>
      <c r="M3736" s="1150">
        <v>3.35</v>
      </c>
      <c r="N3736" s="1150">
        <v>3.03</v>
      </c>
      <c r="O3736" s="1150">
        <v>1.38</v>
      </c>
      <c r="P3736" s="1150">
        <v>13.16</v>
      </c>
      <c r="R3736" s="1152">
        <v>0.93287422993530411</v>
      </c>
      <c r="S3736" s="1151">
        <v>6.3</v>
      </c>
      <c r="Y3736" s="1728">
        <v>4</v>
      </c>
      <c r="AA3736" s="1152">
        <v>3.47</v>
      </c>
      <c r="AB3736" s="1152">
        <v>0.58599999999999997</v>
      </c>
      <c r="AC3736" s="1150">
        <v>7.7</v>
      </c>
      <c r="AD3736" s="1155">
        <v>80</v>
      </c>
      <c r="AE3736" s="1155">
        <v>60</v>
      </c>
      <c r="AF3736" s="1155">
        <v>860</v>
      </c>
      <c r="AG3736" s="66">
        <f t="shared" si="141"/>
        <v>529.23</v>
      </c>
      <c r="AH3736" s="143">
        <f t="shared" si="142"/>
        <v>1000</v>
      </c>
    </row>
    <row r="3737" spans="1:34" s="1150" customFormat="1" x14ac:dyDescent="0.3">
      <c r="A3737" s="1150">
        <v>203816</v>
      </c>
      <c r="B3737" s="1151">
        <v>8.3000000000000007</v>
      </c>
      <c r="C3737" s="1151"/>
      <c r="D3737" s="1152">
        <v>8.6300000000000008</v>
      </c>
      <c r="E3737" s="1581">
        <v>0.36299999999999999</v>
      </c>
      <c r="F3737" s="1153">
        <v>399.30000000000007</v>
      </c>
      <c r="H3737" s="1153">
        <v>447.24</v>
      </c>
      <c r="I3737" s="1153">
        <v>250</v>
      </c>
      <c r="J3737" s="1154">
        <v>0.23</v>
      </c>
      <c r="K3737" s="1151">
        <v>6.35</v>
      </c>
      <c r="L3737" s="1150">
        <v>830</v>
      </c>
      <c r="M3737" s="1150">
        <v>4.08</v>
      </c>
      <c r="N3737" s="1150">
        <v>3.94</v>
      </c>
      <c r="O3737" s="1150">
        <v>1.85</v>
      </c>
      <c r="P3737" s="1150">
        <v>7.6</v>
      </c>
      <c r="R3737" s="1152">
        <v>1.0197004949888453</v>
      </c>
      <c r="S3737" s="1151">
        <v>7.6</v>
      </c>
      <c r="Y3737" s="1728">
        <v>4.8</v>
      </c>
      <c r="AA3737" s="1152">
        <v>4.62</v>
      </c>
      <c r="AB3737" s="1152">
        <v>0.54500000000000004</v>
      </c>
      <c r="AC3737" s="1150">
        <v>7</v>
      </c>
      <c r="AD3737" s="1155">
        <v>80</v>
      </c>
      <c r="AE3737" s="1155">
        <v>60</v>
      </c>
      <c r="AF3737" s="1155">
        <v>860</v>
      </c>
      <c r="AG3737" s="66">
        <f t="shared" si="141"/>
        <v>468.31250000000006</v>
      </c>
      <c r="AH3737" s="143">
        <f t="shared" si="142"/>
        <v>1000</v>
      </c>
    </row>
    <row r="3738" spans="1:34" s="1150" customFormat="1" x14ac:dyDescent="0.3">
      <c r="A3738" s="1150">
        <v>203817</v>
      </c>
      <c r="B3738" s="1151">
        <v>11.3</v>
      </c>
      <c r="C3738" s="1151">
        <v>5.25</v>
      </c>
      <c r="D3738" s="1152">
        <v>8.23</v>
      </c>
      <c r="E3738" s="1581">
        <v>0.25800000000000001</v>
      </c>
      <c r="F3738" s="1153">
        <v>283.80000000000007</v>
      </c>
      <c r="H3738" s="1153">
        <v>13.55</v>
      </c>
      <c r="I3738" s="1153">
        <v>410</v>
      </c>
      <c r="J3738" s="1154">
        <v>0.06</v>
      </c>
      <c r="K3738" s="1151">
        <v>10.16</v>
      </c>
      <c r="L3738" s="1150">
        <v>300</v>
      </c>
      <c r="M3738" s="1150">
        <v>4.42</v>
      </c>
      <c r="N3738" s="1150">
        <v>1.17</v>
      </c>
      <c r="O3738" s="1150">
        <v>5.53</v>
      </c>
      <c r="P3738" s="1150">
        <v>2.38</v>
      </c>
      <c r="R3738" s="1152">
        <v>1.1296324761667413</v>
      </c>
      <c r="S3738" s="1151">
        <v>8</v>
      </c>
      <c r="Y3738" s="1728">
        <v>30.8</v>
      </c>
      <c r="AA3738" s="1152"/>
      <c r="AB3738" s="1152"/>
      <c r="AC3738" s="1150">
        <v>9.3000000000000007</v>
      </c>
      <c r="AD3738" s="1155"/>
      <c r="AE3738" s="1155"/>
      <c r="AF3738" s="1155"/>
      <c r="AG3738" s="66">
        <f t="shared" si="141"/>
        <v>116.77402597402596</v>
      </c>
      <c r="AH3738" s="143">
        <f t="shared" si="142"/>
        <v>0</v>
      </c>
    </row>
    <row r="3739" spans="1:34" s="1150" customFormat="1" x14ac:dyDescent="0.3">
      <c r="A3739" s="1150">
        <v>203818</v>
      </c>
      <c r="B3739" s="1151">
        <v>22.2</v>
      </c>
      <c r="C3739" s="1151">
        <v>10.25</v>
      </c>
      <c r="D3739" s="1152">
        <v>8.4700000000000006</v>
      </c>
      <c r="E3739" s="1581">
        <v>0.11799999999999999</v>
      </c>
      <c r="F3739" s="1153">
        <v>129.80000000000001</v>
      </c>
      <c r="H3739" s="1153">
        <v>3.16</v>
      </c>
      <c r="I3739" s="1153">
        <v>220</v>
      </c>
      <c r="J3739" s="1154">
        <v>8.9999999999999993E-3</v>
      </c>
      <c r="K3739" s="1151">
        <v>10.17</v>
      </c>
      <c r="L3739" s="1150">
        <v>100</v>
      </c>
      <c r="M3739" s="1150">
        <v>1.78</v>
      </c>
      <c r="N3739" s="1150">
        <v>0.77</v>
      </c>
      <c r="O3739" s="1150">
        <v>3.81</v>
      </c>
      <c r="P3739" s="1150">
        <v>2.21</v>
      </c>
      <c r="R3739" s="1152">
        <v>1.0500995570467422</v>
      </c>
      <c r="S3739" s="1151">
        <v>7</v>
      </c>
      <c r="Y3739" s="1728">
        <v>26.6</v>
      </c>
      <c r="AA3739" s="1152"/>
      <c r="AB3739" s="1152"/>
      <c r="AC3739" s="1150">
        <v>11.9</v>
      </c>
      <c r="AD3739" s="1155"/>
      <c r="AE3739" s="1155"/>
      <c r="AF3739" s="1155"/>
      <c r="AG3739" s="66">
        <f t="shared" si="141"/>
        <v>135.3451127819549</v>
      </c>
      <c r="AH3739" s="143">
        <f t="shared" si="142"/>
        <v>0</v>
      </c>
    </row>
    <row r="3740" spans="1:34" s="1150" customFormat="1" x14ac:dyDescent="0.3">
      <c r="A3740" s="1150">
        <v>203819</v>
      </c>
      <c r="B3740" s="1151">
        <v>36.299999999999997</v>
      </c>
      <c r="C3740" s="1151">
        <v>5.38</v>
      </c>
      <c r="D3740" s="1152">
        <v>8.59</v>
      </c>
      <c r="E3740" s="1581">
        <v>0.17599999999999999</v>
      </c>
      <c r="F3740" s="1153">
        <v>193.6</v>
      </c>
      <c r="H3740" s="1153">
        <v>22.41</v>
      </c>
      <c r="I3740" s="1153">
        <v>220</v>
      </c>
      <c r="J3740" s="1154">
        <v>0.03</v>
      </c>
      <c r="K3740" s="1151">
        <v>7.76</v>
      </c>
      <c r="L3740" s="1150">
        <v>500</v>
      </c>
      <c r="M3740" s="1150">
        <v>0.66</v>
      </c>
      <c r="N3740" s="1150">
        <v>0.48</v>
      </c>
      <c r="O3740" s="1150">
        <v>1.5</v>
      </c>
      <c r="P3740" s="1150">
        <v>2.59</v>
      </c>
      <c r="R3740" s="1152">
        <v>0.38800050421709276</v>
      </c>
      <c r="S3740" s="1151">
        <v>2.6</v>
      </c>
      <c r="Y3740" s="1728">
        <v>23.8</v>
      </c>
      <c r="AA3740" s="1152">
        <v>4.2300000000000004</v>
      </c>
      <c r="AB3740" s="1152">
        <v>0.88400000000000001</v>
      </c>
      <c r="AC3740" s="1150">
        <v>8.4</v>
      </c>
      <c r="AD3740" s="1155">
        <v>340</v>
      </c>
      <c r="AE3740" s="1155">
        <v>180</v>
      </c>
      <c r="AF3740" s="1155">
        <v>480</v>
      </c>
      <c r="AG3740" s="66">
        <f t="shared" si="141"/>
        <v>115.4218487394958</v>
      </c>
      <c r="AH3740" s="143">
        <f t="shared" si="142"/>
        <v>1000</v>
      </c>
    </row>
    <row r="3741" spans="1:34" s="1150" customFormat="1" x14ac:dyDescent="0.3">
      <c r="A3741" s="1150">
        <v>203820</v>
      </c>
      <c r="B3741" s="1151">
        <v>0.2</v>
      </c>
      <c r="C3741" s="1151"/>
      <c r="D3741" s="1152">
        <v>7.67</v>
      </c>
      <c r="E3741" s="1581">
        <v>0.1</v>
      </c>
      <c r="F3741" s="1153">
        <v>110.00000000000001</v>
      </c>
      <c r="H3741" s="1153">
        <v>127.33</v>
      </c>
      <c r="I3741" s="1153">
        <v>80</v>
      </c>
      <c r="J3741" s="1154">
        <v>2.3E-2</v>
      </c>
      <c r="K3741" s="1151">
        <v>1.1200000000000001</v>
      </c>
      <c r="L3741" s="1150">
        <v>60</v>
      </c>
      <c r="M3741" s="1150">
        <v>1.84</v>
      </c>
      <c r="N3741" s="1150">
        <v>0.45</v>
      </c>
      <c r="O3741" s="1150">
        <v>3.23</v>
      </c>
      <c r="P3741" s="1150">
        <v>8.0399999999999991</v>
      </c>
      <c r="R3741" s="1152">
        <v>0.56362868249091735</v>
      </c>
      <c r="S3741" s="1151">
        <v>3.9000000000000004</v>
      </c>
      <c r="Y3741" s="1728">
        <v>3</v>
      </c>
      <c r="AA3741" s="1152">
        <v>4.71</v>
      </c>
      <c r="AB3741" s="1152">
        <v>0.47499999999999998</v>
      </c>
      <c r="AC3741" s="1150">
        <v>8.5</v>
      </c>
      <c r="AD3741" s="1155">
        <v>80</v>
      </c>
      <c r="AE3741" s="1155">
        <v>60</v>
      </c>
      <c r="AF3741" s="1155">
        <v>860</v>
      </c>
      <c r="AG3741" s="66">
        <f t="shared" si="141"/>
        <v>132.16</v>
      </c>
      <c r="AH3741" s="143">
        <f t="shared" si="142"/>
        <v>1000</v>
      </c>
    </row>
    <row r="3742" spans="1:34" s="1150" customFormat="1" x14ac:dyDescent="0.3">
      <c r="A3742" s="1150">
        <v>203821</v>
      </c>
      <c r="B3742" s="1151">
        <v>0.1</v>
      </c>
      <c r="C3742" s="1151"/>
      <c r="D3742" s="1152">
        <v>7.29</v>
      </c>
      <c r="E3742" s="1581">
        <v>9.4E-2</v>
      </c>
      <c r="F3742" s="1153">
        <v>103.4</v>
      </c>
      <c r="H3742" s="1153">
        <v>151.30000000000001</v>
      </c>
      <c r="I3742" s="1153">
        <v>130</v>
      </c>
      <c r="J3742" s="1154">
        <v>4.4999999999999998E-2</v>
      </c>
      <c r="K3742" s="1151">
        <v>2.2999999999999998</v>
      </c>
      <c r="L3742" s="1150">
        <v>230</v>
      </c>
      <c r="M3742" s="1150">
        <v>1.62</v>
      </c>
      <c r="N3742" s="1150">
        <v>0.49</v>
      </c>
      <c r="O3742" s="1150">
        <v>7.43</v>
      </c>
      <c r="P3742" s="1150">
        <v>29.38</v>
      </c>
      <c r="R3742" s="1152">
        <v>1.0955283087891952</v>
      </c>
      <c r="S3742" s="1151">
        <v>8.1000000000000014</v>
      </c>
      <c r="Y3742" s="1728">
        <v>11.2</v>
      </c>
      <c r="AA3742" s="1152">
        <v>4.1500000000000004</v>
      </c>
      <c r="AB3742" s="1152">
        <v>0.47099999999999997</v>
      </c>
      <c r="AC3742" s="1150">
        <v>9</v>
      </c>
      <c r="AD3742" s="1155">
        <v>160</v>
      </c>
      <c r="AE3742" s="1155">
        <v>60</v>
      </c>
      <c r="AF3742" s="1155">
        <v>780</v>
      </c>
      <c r="AG3742" s="66">
        <f t="shared" si="141"/>
        <v>72.696428571428569</v>
      </c>
      <c r="AH3742" s="143">
        <f t="shared" si="142"/>
        <v>1000</v>
      </c>
    </row>
    <row r="3743" spans="1:34" s="862" customFormat="1" x14ac:dyDescent="0.3">
      <c r="A3743" s="862">
        <v>203822</v>
      </c>
      <c r="B3743" s="863">
        <v>10.3</v>
      </c>
      <c r="C3743" s="863">
        <v>5.8</v>
      </c>
      <c r="D3743" s="647">
        <v>7.23</v>
      </c>
      <c r="E3743" s="1573">
        <v>0.374</v>
      </c>
      <c r="F3743" s="864">
        <v>411.40000000000003</v>
      </c>
      <c r="H3743" s="864">
        <v>18.329999999999998</v>
      </c>
      <c r="I3743" s="864">
        <v>350</v>
      </c>
      <c r="J3743" s="1816">
        <v>0.105</v>
      </c>
      <c r="K3743" s="863">
        <v>10.4</v>
      </c>
      <c r="L3743" s="862">
        <v>460</v>
      </c>
      <c r="M3743" s="862">
        <v>0.62</v>
      </c>
      <c r="N3743" s="862">
        <v>0.82</v>
      </c>
      <c r="O3743" s="862">
        <v>2.85</v>
      </c>
      <c r="P3743" s="862">
        <v>3.23</v>
      </c>
      <c r="R3743" s="647">
        <v>1.1097094967813919</v>
      </c>
      <c r="S3743" s="863">
        <v>8</v>
      </c>
      <c r="Y3743" s="1817">
        <v>25</v>
      </c>
      <c r="AA3743" s="647">
        <v>4.84</v>
      </c>
      <c r="AB3743" s="647">
        <v>0.77800000000000002</v>
      </c>
      <c r="AC3743" s="862">
        <v>7.9</v>
      </c>
      <c r="AD3743" s="867">
        <v>500</v>
      </c>
      <c r="AE3743" s="867">
        <v>200</v>
      </c>
      <c r="AF3743" s="867">
        <v>300</v>
      </c>
      <c r="AG3743" s="66">
        <f t="shared" si="141"/>
        <v>147.26400000000001</v>
      </c>
      <c r="AH3743" s="143">
        <f t="shared" si="142"/>
        <v>1000</v>
      </c>
    </row>
    <row r="3744" spans="1:34" s="862" customFormat="1" x14ac:dyDescent="0.3">
      <c r="A3744" s="862">
        <v>203823</v>
      </c>
      <c r="B3744" s="863">
        <v>20.8</v>
      </c>
      <c r="C3744" s="863">
        <v>10.199999999999999</v>
      </c>
      <c r="D3744" s="647">
        <v>8.31</v>
      </c>
      <c r="E3744" s="1573">
        <v>0.42599999999999999</v>
      </c>
      <c r="F3744" s="864">
        <v>468.6</v>
      </c>
      <c r="H3744" s="864">
        <v>4.21</v>
      </c>
      <c r="I3744" s="864">
        <v>110</v>
      </c>
      <c r="J3744" s="1816">
        <v>0.61299999999999999</v>
      </c>
      <c r="K3744" s="863">
        <v>8.7100000000000009</v>
      </c>
      <c r="L3744" s="862">
        <v>670</v>
      </c>
      <c r="M3744" s="862">
        <v>0.68</v>
      </c>
      <c r="N3744" s="862">
        <v>1.3</v>
      </c>
      <c r="O3744" s="862">
        <v>3.43</v>
      </c>
      <c r="P3744" s="862">
        <v>12.79</v>
      </c>
      <c r="R3744" s="647">
        <v>0.88319195724189892</v>
      </c>
      <c r="S3744" s="863">
        <v>6.51</v>
      </c>
      <c r="Y3744" s="1817">
        <v>33.6</v>
      </c>
      <c r="AA3744" s="647"/>
      <c r="AB3744" s="647"/>
      <c r="AC3744" s="862">
        <v>8</v>
      </c>
      <c r="AD3744" s="867">
        <v>560</v>
      </c>
      <c r="AE3744" s="867">
        <v>300</v>
      </c>
      <c r="AF3744" s="867">
        <v>140</v>
      </c>
      <c r="AG3744" s="66">
        <f t="shared" si="141"/>
        <v>91.766071428571436</v>
      </c>
      <c r="AH3744" s="143">
        <f t="shared" si="142"/>
        <v>1000</v>
      </c>
    </row>
    <row r="3745" spans="1:34" s="862" customFormat="1" x14ac:dyDescent="0.3">
      <c r="A3745" s="862">
        <v>203824</v>
      </c>
      <c r="B3745" s="863">
        <v>18.899999999999999</v>
      </c>
      <c r="C3745" s="863">
        <v>8.66</v>
      </c>
      <c r="D3745" s="647">
        <v>8.15</v>
      </c>
      <c r="E3745" s="1573">
        <v>0.48</v>
      </c>
      <c r="F3745" s="864">
        <v>528</v>
      </c>
      <c r="H3745" s="864">
        <v>16.97</v>
      </c>
      <c r="I3745" s="864">
        <v>180</v>
      </c>
      <c r="J3745" s="1816">
        <v>0.442</v>
      </c>
      <c r="K3745" s="863">
        <v>10.88</v>
      </c>
      <c r="L3745" s="862">
        <v>630</v>
      </c>
      <c r="M3745" s="862">
        <v>1.01</v>
      </c>
      <c r="N3745" s="862">
        <v>1.5</v>
      </c>
      <c r="O3745" s="862">
        <v>4.4400000000000004</v>
      </c>
      <c r="P3745" s="862">
        <v>13.48</v>
      </c>
      <c r="R3745" s="647">
        <v>1.1535988743956647</v>
      </c>
      <c r="S3745" s="863">
        <v>8.59</v>
      </c>
      <c r="Y3745" s="1817">
        <v>37.799999999999997</v>
      </c>
      <c r="AA3745" s="647"/>
      <c r="AB3745" s="647"/>
      <c r="AC3745" s="862">
        <v>9.8000000000000007</v>
      </c>
      <c r="AD3745" s="867">
        <v>540</v>
      </c>
      <c r="AE3745" s="867">
        <v>320</v>
      </c>
      <c r="AF3745" s="867">
        <v>140</v>
      </c>
      <c r="AG3745" s="66">
        <f t="shared" si="141"/>
        <v>101.8920634920635</v>
      </c>
      <c r="AH3745" s="143">
        <f t="shared" si="142"/>
        <v>1000</v>
      </c>
    </row>
    <row r="3746" spans="1:34" s="862" customFormat="1" x14ac:dyDescent="0.3">
      <c r="A3746" s="862">
        <v>203825</v>
      </c>
      <c r="B3746" s="863">
        <v>7.5</v>
      </c>
      <c r="C3746" s="863"/>
      <c r="D3746" s="647">
        <v>7.93</v>
      </c>
      <c r="E3746" s="1573">
        <v>0.54200000000000004</v>
      </c>
      <c r="F3746" s="864">
        <v>596.20000000000005</v>
      </c>
      <c r="H3746" s="864">
        <v>19.559999999999999</v>
      </c>
      <c r="I3746" s="864">
        <v>290</v>
      </c>
      <c r="J3746" s="1816">
        <v>0.45600000000000002</v>
      </c>
      <c r="K3746" s="863">
        <v>11.5</v>
      </c>
      <c r="L3746" s="862">
        <v>670</v>
      </c>
      <c r="M3746" s="862">
        <v>0.51</v>
      </c>
      <c r="N3746" s="862">
        <v>0.89</v>
      </c>
      <c r="O3746" s="862">
        <v>3.68</v>
      </c>
      <c r="P3746" s="862">
        <v>3.68</v>
      </c>
      <c r="R3746" s="647">
        <v>1.6076742799999999</v>
      </c>
      <c r="S3746" s="863">
        <v>11.14</v>
      </c>
      <c r="Y3746" s="1817">
        <v>26</v>
      </c>
      <c r="AA3746" s="647"/>
      <c r="AB3746" s="647"/>
      <c r="AC3746" s="862">
        <v>6.7</v>
      </c>
      <c r="AD3746" s="867">
        <v>520</v>
      </c>
      <c r="AE3746" s="867">
        <v>280</v>
      </c>
      <c r="AF3746" s="867">
        <v>200</v>
      </c>
      <c r="AG3746" s="66">
        <f t="shared" si="141"/>
        <v>156.57692307692307</v>
      </c>
      <c r="AH3746" s="143">
        <f t="shared" si="142"/>
        <v>1000</v>
      </c>
    </row>
    <row r="3747" spans="1:34" s="862" customFormat="1" x14ac:dyDescent="0.3">
      <c r="A3747" s="862">
        <v>203826</v>
      </c>
      <c r="B3747" s="863">
        <v>8.8000000000000007</v>
      </c>
      <c r="C3747" s="863"/>
      <c r="D3747" s="647">
        <v>8.15</v>
      </c>
      <c r="E3747" s="1573">
        <v>0.66800000000000004</v>
      </c>
      <c r="F3747" s="864">
        <v>734.80000000000007</v>
      </c>
      <c r="H3747" s="864">
        <v>37.57</v>
      </c>
      <c r="I3747" s="864">
        <v>300</v>
      </c>
      <c r="J3747" s="1816">
        <v>0.55100000000000005</v>
      </c>
      <c r="K3747" s="863">
        <v>10.85</v>
      </c>
      <c r="L3747" s="862">
        <v>910</v>
      </c>
      <c r="M3747" s="862">
        <v>0.56000000000000005</v>
      </c>
      <c r="N3747" s="862">
        <v>0.71</v>
      </c>
      <c r="O3747" s="862">
        <v>3.92</v>
      </c>
      <c r="P3747" s="862">
        <v>3.3</v>
      </c>
      <c r="R3747" s="647">
        <v>1.5998454800000002</v>
      </c>
      <c r="S3747" s="863">
        <v>10.940000000000001</v>
      </c>
      <c r="Y3747" s="1817">
        <v>35</v>
      </c>
      <c r="AA3747" s="647"/>
      <c r="AB3747" s="647"/>
      <c r="AC3747" s="862">
        <v>9.6</v>
      </c>
      <c r="AD3747" s="867">
        <v>500</v>
      </c>
      <c r="AE3747" s="867">
        <v>280</v>
      </c>
      <c r="AF3747" s="867">
        <v>220</v>
      </c>
      <c r="AG3747" s="66">
        <f t="shared" si="141"/>
        <v>109.74000000000001</v>
      </c>
      <c r="AH3747" s="143">
        <f t="shared" si="142"/>
        <v>1000</v>
      </c>
    </row>
    <row r="3748" spans="1:34" s="862" customFormat="1" x14ac:dyDescent="0.3">
      <c r="A3748" s="862">
        <v>203827</v>
      </c>
      <c r="B3748" s="863">
        <v>0.1</v>
      </c>
      <c r="C3748" s="863"/>
      <c r="D3748" s="647">
        <v>8.07</v>
      </c>
      <c r="E3748" s="1573">
        <v>1.0609999999999999</v>
      </c>
      <c r="F3748" s="864">
        <v>1167.1000000000001</v>
      </c>
      <c r="H3748" s="864">
        <v>20.99</v>
      </c>
      <c r="I3748" s="864">
        <v>130</v>
      </c>
      <c r="J3748" s="1816">
        <v>1.194</v>
      </c>
      <c r="K3748" s="863">
        <v>3.21</v>
      </c>
      <c r="L3748" s="862">
        <v>570</v>
      </c>
      <c r="M3748" s="862">
        <v>0.75</v>
      </c>
      <c r="N3748" s="862">
        <v>0.48</v>
      </c>
      <c r="O3748" s="862">
        <v>4.68</v>
      </c>
      <c r="P3748" s="862">
        <v>2.62</v>
      </c>
      <c r="R3748" s="647">
        <v>0.92554526585987196</v>
      </c>
      <c r="S3748" s="863">
        <v>6.61</v>
      </c>
      <c r="Y3748" s="1817">
        <v>24</v>
      </c>
      <c r="AA3748" s="647">
        <v>4.16</v>
      </c>
      <c r="AB3748" s="647">
        <v>0.66300000000000003</v>
      </c>
      <c r="AC3748" s="862">
        <v>9.9</v>
      </c>
      <c r="AD3748" s="867">
        <v>480</v>
      </c>
      <c r="AE3748" s="867">
        <v>140</v>
      </c>
      <c r="AF3748" s="867">
        <v>380</v>
      </c>
      <c r="AG3748" s="66">
        <f t="shared" si="141"/>
        <v>47.347500000000004</v>
      </c>
      <c r="AH3748" s="143">
        <f t="shared" si="142"/>
        <v>1000</v>
      </c>
    </row>
    <row r="3749" spans="1:34" s="862" customFormat="1" x14ac:dyDescent="0.3">
      <c r="A3749" s="862">
        <v>203828</v>
      </c>
      <c r="B3749" s="863">
        <v>2.2999999999999998</v>
      </c>
      <c r="C3749" s="863"/>
      <c r="D3749" s="647">
        <v>8.81</v>
      </c>
      <c r="E3749" s="1573">
        <v>0.23</v>
      </c>
      <c r="F3749" s="864">
        <v>253.00000000000006</v>
      </c>
      <c r="H3749" s="864">
        <v>5.87</v>
      </c>
      <c r="I3749" s="864">
        <v>350</v>
      </c>
      <c r="J3749" s="1816">
        <v>0.23699999999999999</v>
      </c>
      <c r="K3749" s="863">
        <v>4.75</v>
      </c>
      <c r="L3749" s="862">
        <v>270</v>
      </c>
      <c r="M3749" s="862">
        <v>0.33</v>
      </c>
      <c r="N3749" s="862">
        <v>0.61</v>
      </c>
      <c r="O3749" s="862">
        <v>0.35</v>
      </c>
      <c r="P3749" s="862">
        <v>1.46</v>
      </c>
      <c r="R3749" s="647">
        <v>0.28900142140133339</v>
      </c>
      <c r="S3749" s="863">
        <v>1.8900000000000001</v>
      </c>
      <c r="Y3749" s="1817">
        <v>10.8</v>
      </c>
      <c r="AA3749" s="647">
        <v>4.79</v>
      </c>
      <c r="AB3749" s="647">
        <v>0.34899999999999998</v>
      </c>
      <c r="AC3749" s="862">
        <v>7.8</v>
      </c>
      <c r="AD3749" s="867">
        <v>180</v>
      </c>
      <c r="AE3749" s="867">
        <v>80</v>
      </c>
      <c r="AF3749" s="867">
        <v>740</v>
      </c>
      <c r="AG3749" s="66">
        <f t="shared" si="141"/>
        <v>155.69444444444446</v>
      </c>
      <c r="AH3749" s="143">
        <f t="shared" si="142"/>
        <v>1000</v>
      </c>
    </row>
    <row r="3750" spans="1:34" s="862" customFormat="1" x14ac:dyDescent="0.3">
      <c r="A3750" s="862">
        <v>203829</v>
      </c>
      <c r="B3750" s="863"/>
      <c r="C3750" s="863"/>
      <c r="D3750" s="647"/>
      <c r="E3750" s="1573"/>
      <c r="F3750" s="864"/>
      <c r="H3750" s="864"/>
      <c r="I3750" s="864"/>
      <c r="J3750" s="1816"/>
      <c r="K3750" s="863"/>
      <c r="R3750" s="647"/>
      <c r="S3750" s="863"/>
      <c r="Y3750" s="1817"/>
      <c r="AA3750" s="647"/>
      <c r="AB3750" s="647"/>
      <c r="AD3750" s="867"/>
      <c r="AE3750" s="867"/>
      <c r="AF3750" s="867"/>
      <c r="AG3750" s="66" t="e">
        <f t="shared" si="141"/>
        <v>#DIV/0!</v>
      </c>
      <c r="AH3750" s="143">
        <f t="shared" si="142"/>
        <v>0</v>
      </c>
    </row>
    <row r="3751" spans="1:34" s="862" customFormat="1" x14ac:dyDescent="0.3">
      <c r="A3751" s="862">
        <v>203830</v>
      </c>
      <c r="B3751" s="863">
        <v>9.7499999999999982</v>
      </c>
      <c r="C3751" s="863"/>
      <c r="D3751" s="647">
        <v>8.43</v>
      </c>
      <c r="E3751" s="1573">
        <v>0.14899999999999999</v>
      </c>
      <c r="F3751" s="864">
        <v>163.9</v>
      </c>
      <c r="H3751" s="864">
        <v>35.869999999999997</v>
      </c>
      <c r="I3751" s="864"/>
      <c r="J3751" s="1816"/>
      <c r="K3751" s="863"/>
      <c r="M3751" s="862">
        <v>0.46</v>
      </c>
      <c r="N3751" s="862">
        <v>0.6</v>
      </c>
      <c r="O3751" s="862">
        <v>10.8</v>
      </c>
      <c r="P3751" s="862">
        <v>4.7</v>
      </c>
      <c r="R3751" s="647">
        <v>1.8568250000000002</v>
      </c>
      <c r="S3751" s="863">
        <v>18.5</v>
      </c>
      <c r="Y3751" s="863">
        <v>28.8</v>
      </c>
      <c r="AA3751" s="647">
        <v>4.91</v>
      </c>
      <c r="AB3751" s="647">
        <v>0.377</v>
      </c>
      <c r="AC3751" s="862">
        <v>9</v>
      </c>
      <c r="AD3751" s="867">
        <v>480</v>
      </c>
      <c r="AE3751" s="867">
        <v>280</v>
      </c>
      <c r="AF3751" s="867">
        <v>240</v>
      </c>
      <c r="AG3751" s="66">
        <f t="shared" si="141"/>
        <v>0</v>
      </c>
      <c r="AH3751" s="143">
        <f t="shared" si="142"/>
        <v>1000</v>
      </c>
    </row>
    <row r="3752" spans="1:34" s="862" customFormat="1" x14ac:dyDescent="0.3">
      <c r="A3752" s="862">
        <v>203831</v>
      </c>
      <c r="B3752" s="863">
        <v>16.666666666666664</v>
      </c>
      <c r="C3752" s="863">
        <v>6.4999999999999991</v>
      </c>
      <c r="D3752" s="647">
        <v>8.4700000000000006</v>
      </c>
      <c r="E3752" s="1573">
        <v>0.11899999999999999</v>
      </c>
      <c r="F3752" s="864">
        <v>130.9</v>
      </c>
      <c r="H3752" s="864">
        <v>27.34</v>
      </c>
      <c r="I3752" s="864"/>
      <c r="J3752" s="1816"/>
      <c r="K3752" s="863"/>
      <c r="M3752" s="862">
        <v>0.39</v>
      </c>
      <c r="N3752" s="862">
        <v>0.65</v>
      </c>
      <c r="O3752" s="862">
        <v>15.78</v>
      </c>
      <c r="P3752" s="862">
        <v>4.6500000000000004</v>
      </c>
      <c r="R3752" s="647">
        <v>1.83876192</v>
      </c>
      <c r="S3752" s="863">
        <v>17.88</v>
      </c>
      <c r="Y3752" s="863">
        <v>23</v>
      </c>
      <c r="AA3752" s="647">
        <v>3.96</v>
      </c>
      <c r="AB3752" s="647">
        <v>0.81200000000000006</v>
      </c>
      <c r="AC3752" s="862">
        <v>11.4</v>
      </c>
      <c r="AD3752" s="867">
        <v>460</v>
      </c>
      <c r="AE3752" s="867">
        <v>280</v>
      </c>
      <c r="AF3752" s="867">
        <v>260</v>
      </c>
      <c r="AG3752" s="66">
        <f t="shared" si="141"/>
        <v>0</v>
      </c>
      <c r="AH3752" s="143">
        <f t="shared" si="142"/>
        <v>1000</v>
      </c>
    </row>
    <row r="3753" spans="1:34" s="862" customFormat="1" x14ac:dyDescent="0.3">
      <c r="A3753" s="862">
        <v>203832</v>
      </c>
      <c r="B3753" s="863">
        <v>13.749999999999998</v>
      </c>
      <c r="C3753" s="863">
        <v>4.8749999999999982</v>
      </c>
      <c r="D3753" s="647">
        <v>8.3699999999999992</v>
      </c>
      <c r="E3753" s="1573">
        <v>0.161</v>
      </c>
      <c r="F3753" s="864">
        <v>177.1</v>
      </c>
      <c r="H3753" s="864">
        <v>25.48</v>
      </c>
      <c r="I3753" s="864"/>
      <c r="J3753" s="1816"/>
      <c r="K3753" s="863"/>
      <c r="M3753" s="862">
        <v>0.46</v>
      </c>
      <c r="N3753" s="862">
        <v>1.08</v>
      </c>
      <c r="O3753" s="862">
        <v>11.4</v>
      </c>
      <c r="P3753" s="862">
        <v>5.19</v>
      </c>
      <c r="R3753" s="647">
        <v>1.85997353</v>
      </c>
      <c r="S3753" s="863">
        <v>18.61</v>
      </c>
      <c r="Y3753" s="863">
        <v>26.4</v>
      </c>
      <c r="AA3753" s="647">
        <v>4.7300000000000004</v>
      </c>
      <c r="AB3753" s="647">
        <v>0.629</v>
      </c>
      <c r="AC3753" s="862">
        <v>6.1</v>
      </c>
      <c r="AD3753" s="867">
        <v>440</v>
      </c>
      <c r="AE3753" s="867">
        <v>310</v>
      </c>
      <c r="AF3753" s="867">
        <v>250</v>
      </c>
      <c r="AG3753" s="66">
        <f t="shared" si="141"/>
        <v>0</v>
      </c>
      <c r="AH3753" s="143">
        <f t="shared" si="142"/>
        <v>1000</v>
      </c>
    </row>
    <row r="3754" spans="1:34" s="862" customFormat="1" x14ac:dyDescent="0.3">
      <c r="A3754" s="862">
        <v>203833</v>
      </c>
      <c r="B3754" s="863">
        <v>8.6666666666666679</v>
      </c>
      <c r="C3754" s="863"/>
      <c r="D3754" s="647">
        <v>8.4700000000000006</v>
      </c>
      <c r="E3754" s="1573">
        <v>0.13200000000000001</v>
      </c>
      <c r="F3754" s="864">
        <v>145.20000000000002</v>
      </c>
      <c r="H3754" s="864">
        <v>20.92</v>
      </c>
      <c r="I3754" s="864"/>
      <c r="J3754" s="1816"/>
      <c r="K3754" s="863"/>
      <c r="M3754" s="862">
        <v>0.61</v>
      </c>
      <c r="N3754" s="862">
        <v>0.53</v>
      </c>
      <c r="O3754" s="862">
        <v>9.02</v>
      </c>
      <c r="P3754" s="862">
        <v>5.62</v>
      </c>
      <c r="R3754" s="647">
        <v>1.8078742800000001</v>
      </c>
      <c r="S3754" s="863">
        <v>16.86</v>
      </c>
      <c r="Y3754" s="863">
        <v>30.8</v>
      </c>
      <c r="AA3754" s="647">
        <v>3.47</v>
      </c>
      <c r="AB3754" s="647">
        <v>0.59799999999999998</v>
      </c>
      <c r="AC3754" s="862">
        <v>7.6</v>
      </c>
      <c r="AD3754" s="867">
        <v>440</v>
      </c>
      <c r="AE3754" s="867">
        <v>320</v>
      </c>
      <c r="AF3754" s="867">
        <v>240</v>
      </c>
      <c r="AG3754" s="66">
        <f t="shared" si="141"/>
        <v>0</v>
      </c>
      <c r="AH3754" s="143">
        <f t="shared" si="142"/>
        <v>1000</v>
      </c>
    </row>
    <row r="3755" spans="1:34" s="862" customFormat="1" x14ac:dyDescent="0.3">
      <c r="A3755" s="862">
        <v>203834</v>
      </c>
      <c r="B3755" s="863">
        <v>5.9166666666666661</v>
      </c>
      <c r="C3755" s="863"/>
      <c r="D3755" s="647">
        <v>8.36</v>
      </c>
      <c r="E3755" s="1573">
        <v>0.14099999999999999</v>
      </c>
      <c r="F3755" s="864">
        <v>155.1</v>
      </c>
      <c r="H3755" s="864">
        <v>30.88</v>
      </c>
      <c r="I3755" s="864"/>
      <c r="J3755" s="1816"/>
      <c r="K3755" s="863"/>
      <c r="M3755" s="862">
        <v>0.59</v>
      </c>
      <c r="N3755" s="862">
        <v>1.04</v>
      </c>
      <c r="O3755" s="862">
        <v>19.809999999999999</v>
      </c>
      <c r="P3755" s="862">
        <v>5.58</v>
      </c>
      <c r="R3755" s="647">
        <v>1.7985124800000001</v>
      </c>
      <c r="S3755" s="863">
        <v>16.559999999999999</v>
      </c>
      <c r="Y3755" s="863">
        <v>25.2</v>
      </c>
      <c r="AA3755" s="647">
        <v>4.79</v>
      </c>
      <c r="AB3755" s="647">
        <v>0.55500000000000005</v>
      </c>
      <c r="AC3755" s="862">
        <v>11.5</v>
      </c>
      <c r="AD3755" s="867">
        <v>420</v>
      </c>
      <c r="AE3755" s="867">
        <v>340</v>
      </c>
      <c r="AF3755" s="867">
        <v>240</v>
      </c>
      <c r="AG3755" s="66">
        <f t="shared" si="141"/>
        <v>0</v>
      </c>
      <c r="AH3755" s="143">
        <f t="shared" si="142"/>
        <v>1000</v>
      </c>
    </row>
    <row r="3756" spans="1:34" s="862" customFormat="1" x14ac:dyDescent="0.3">
      <c r="A3756" s="862">
        <v>203835</v>
      </c>
      <c r="B3756" s="863">
        <v>0.88333333333333341</v>
      </c>
      <c r="C3756" s="863"/>
      <c r="D3756" s="647">
        <v>8.51</v>
      </c>
      <c r="E3756" s="1573">
        <v>0.106</v>
      </c>
      <c r="F3756" s="864">
        <v>116.60000000000001</v>
      </c>
      <c r="H3756" s="864">
        <v>26.5</v>
      </c>
      <c r="I3756" s="864"/>
      <c r="J3756" s="1816"/>
      <c r="K3756" s="863"/>
      <c r="M3756" s="862">
        <v>0.4</v>
      </c>
      <c r="N3756" s="862">
        <v>0.66</v>
      </c>
      <c r="O3756" s="862">
        <v>10.61</v>
      </c>
      <c r="P3756" s="862">
        <v>4.13</v>
      </c>
      <c r="R3756" s="647">
        <v>1.72531908</v>
      </c>
      <c r="S3756" s="863">
        <v>14.34</v>
      </c>
      <c r="Y3756" s="863">
        <v>26.4</v>
      </c>
      <c r="AA3756" s="647">
        <v>3.6</v>
      </c>
      <c r="AB3756" s="647">
        <v>0.64800000000000002</v>
      </c>
      <c r="AC3756" s="862">
        <v>9.5</v>
      </c>
      <c r="AD3756" s="867">
        <v>440</v>
      </c>
      <c r="AE3756" s="867">
        <v>400</v>
      </c>
      <c r="AF3756" s="867">
        <v>160</v>
      </c>
      <c r="AG3756" s="66">
        <f t="shared" si="141"/>
        <v>0</v>
      </c>
      <c r="AH3756" s="143">
        <f t="shared" si="142"/>
        <v>1000</v>
      </c>
    </row>
    <row r="3757" spans="1:34" s="862" customFormat="1" x14ac:dyDescent="0.3">
      <c r="A3757" s="862">
        <v>203836</v>
      </c>
      <c r="B3757" s="863">
        <v>4.1666666666666661</v>
      </c>
      <c r="C3757" s="863"/>
      <c r="D3757" s="647">
        <v>8.57</v>
      </c>
      <c r="E3757" s="1573">
        <v>0.16200000000000001</v>
      </c>
      <c r="F3757" s="864">
        <v>178.20000000000002</v>
      </c>
      <c r="H3757" s="864">
        <v>27.52</v>
      </c>
      <c r="I3757" s="864"/>
      <c r="J3757" s="1816"/>
      <c r="K3757" s="863"/>
      <c r="M3757" s="862">
        <v>0.26</v>
      </c>
      <c r="N3757" s="862">
        <v>0.69</v>
      </c>
      <c r="O3757" s="862">
        <v>3.27</v>
      </c>
      <c r="P3757" s="862">
        <v>7.04</v>
      </c>
      <c r="R3757" s="647">
        <v>1.7607975300000001</v>
      </c>
      <c r="S3757" s="863">
        <v>15.389999999999999</v>
      </c>
      <c r="Y3757" s="863">
        <v>31.2</v>
      </c>
      <c r="AA3757" s="647">
        <v>4.8</v>
      </c>
      <c r="AB3757" s="647">
        <v>0.83799999999999997</v>
      </c>
      <c r="AC3757" s="862">
        <v>6.9</v>
      </c>
      <c r="AD3757" s="867">
        <v>520</v>
      </c>
      <c r="AE3757" s="867">
        <v>360</v>
      </c>
      <c r="AF3757" s="867">
        <v>120</v>
      </c>
      <c r="AG3757" s="66">
        <f t="shared" si="141"/>
        <v>0</v>
      </c>
      <c r="AH3757" s="143">
        <f t="shared" si="142"/>
        <v>1000</v>
      </c>
    </row>
    <row r="3758" spans="1:34" s="862" customFormat="1" x14ac:dyDescent="0.3">
      <c r="A3758" s="862">
        <v>203837</v>
      </c>
      <c r="B3758" s="863">
        <v>3.2166666666666663</v>
      </c>
      <c r="C3758" s="863"/>
      <c r="D3758" s="647">
        <v>8.5399999999999991</v>
      </c>
      <c r="E3758" s="1573">
        <v>0.16</v>
      </c>
      <c r="F3758" s="864">
        <v>176.00000000000003</v>
      </c>
      <c r="H3758" s="864">
        <v>36.520000000000003</v>
      </c>
      <c r="I3758" s="864"/>
      <c r="J3758" s="1816"/>
      <c r="K3758" s="863"/>
      <c r="M3758" s="862">
        <v>0.24</v>
      </c>
      <c r="N3758" s="862">
        <v>0.7</v>
      </c>
      <c r="O3758" s="862">
        <v>3.91</v>
      </c>
      <c r="P3758" s="862">
        <v>5.6</v>
      </c>
      <c r="R3758" s="647">
        <v>1.7194297700000001</v>
      </c>
      <c r="S3758" s="863">
        <v>14.17</v>
      </c>
      <c r="Y3758" s="863">
        <v>31.2</v>
      </c>
      <c r="AA3758" s="647">
        <v>4.28</v>
      </c>
      <c r="AB3758" s="647">
        <v>0.72499999999999998</v>
      </c>
      <c r="AC3758" s="862">
        <v>10.7</v>
      </c>
      <c r="AD3758" s="867">
        <v>520</v>
      </c>
      <c r="AE3758" s="867">
        <v>350</v>
      </c>
      <c r="AF3758" s="867">
        <v>130</v>
      </c>
      <c r="AG3758" s="66">
        <f t="shared" si="141"/>
        <v>0</v>
      </c>
      <c r="AH3758" s="143">
        <f t="shared" si="142"/>
        <v>1000</v>
      </c>
    </row>
    <row r="3759" spans="1:34" s="862" customFormat="1" x14ac:dyDescent="0.3">
      <c r="A3759" s="862">
        <v>203838</v>
      </c>
      <c r="B3759" s="863">
        <v>0.33333333333333331</v>
      </c>
      <c r="C3759" s="863"/>
      <c r="D3759" s="647">
        <v>8.3800000000000008</v>
      </c>
      <c r="E3759" s="1573">
        <v>0.255</v>
      </c>
      <c r="F3759" s="864">
        <v>280.5</v>
      </c>
      <c r="H3759" s="864">
        <v>10.23</v>
      </c>
      <c r="I3759" s="864"/>
      <c r="J3759" s="1816"/>
      <c r="K3759" s="863"/>
      <c r="M3759" s="862">
        <v>0.63</v>
      </c>
      <c r="N3759" s="862">
        <v>1.6</v>
      </c>
      <c r="O3759" s="862">
        <v>2.37</v>
      </c>
      <c r="P3759" s="862">
        <v>2.33</v>
      </c>
      <c r="R3759" s="647">
        <v>1.3565434015518711</v>
      </c>
      <c r="S3759" s="863">
        <v>9.9600000000000009</v>
      </c>
      <c r="Y3759" s="863">
        <v>27.6</v>
      </c>
      <c r="AA3759" s="647">
        <v>4.96</v>
      </c>
      <c r="AB3759" s="647">
        <v>0.81499999999999995</v>
      </c>
      <c r="AC3759" s="862">
        <v>8.3000000000000007</v>
      </c>
      <c r="AD3759" s="867">
        <v>460</v>
      </c>
      <c r="AE3759" s="867">
        <v>340</v>
      </c>
      <c r="AF3759" s="867">
        <v>200</v>
      </c>
      <c r="AG3759" s="66">
        <f t="shared" si="141"/>
        <v>0</v>
      </c>
      <c r="AH3759" s="143">
        <f t="shared" si="142"/>
        <v>1000</v>
      </c>
    </row>
    <row r="3760" spans="1:34" s="862" customFormat="1" x14ac:dyDescent="0.3">
      <c r="A3760" s="862">
        <v>203839</v>
      </c>
      <c r="B3760" s="863">
        <v>1.1666666666666667</v>
      </c>
      <c r="C3760" s="863"/>
      <c r="D3760" s="647">
        <v>8.86</v>
      </c>
      <c r="E3760" s="1573">
        <v>0.39100000000000001</v>
      </c>
      <c r="F3760" s="864">
        <v>430.1</v>
      </c>
      <c r="H3760" s="864">
        <v>45.78</v>
      </c>
      <c r="I3760" s="864"/>
      <c r="J3760" s="1816"/>
      <c r="K3760" s="863"/>
      <c r="M3760" s="862">
        <v>1.05</v>
      </c>
      <c r="N3760" s="862">
        <v>0.5</v>
      </c>
      <c r="O3760" s="862">
        <v>14.86</v>
      </c>
      <c r="P3760" s="862">
        <v>4.8</v>
      </c>
      <c r="R3760" s="647">
        <v>1.1920593032570768</v>
      </c>
      <c r="S3760" s="863">
        <v>7.91</v>
      </c>
      <c r="Y3760" s="863">
        <v>3.6</v>
      </c>
      <c r="AA3760" s="647">
        <v>4.99</v>
      </c>
      <c r="AB3760" s="647">
        <v>0.34100000000000003</v>
      </c>
      <c r="AC3760" s="862">
        <v>11.4</v>
      </c>
      <c r="AD3760" s="867">
        <v>60</v>
      </c>
      <c r="AE3760" s="867">
        <v>60</v>
      </c>
      <c r="AF3760" s="867">
        <v>880</v>
      </c>
      <c r="AG3760" s="66">
        <f t="shared" si="141"/>
        <v>0</v>
      </c>
      <c r="AH3760" s="143">
        <f t="shared" si="142"/>
        <v>1000</v>
      </c>
    </row>
    <row r="3761" spans="1:34" s="862" customFormat="1" x14ac:dyDescent="0.3">
      <c r="A3761" s="862">
        <v>203840</v>
      </c>
      <c r="B3761" s="863">
        <v>12</v>
      </c>
      <c r="C3761" s="863">
        <v>7.1249999999999991</v>
      </c>
      <c r="D3761" s="647">
        <v>8.5299999999999994</v>
      </c>
      <c r="E3761" s="1573">
        <v>0.63700000000000001</v>
      </c>
      <c r="F3761" s="864">
        <v>700.7</v>
      </c>
      <c r="H3761" s="864">
        <v>165.5</v>
      </c>
      <c r="I3761" s="864"/>
      <c r="J3761" s="1816"/>
      <c r="K3761" s="863"/>
      <c r="M3761" s="862">
        <v>4.1399999999999997</v>
      </c>
      <c r="N3761" s="862">
        <v>3.09</v>
      </c>
      <c r="O3761" s="862">
        <v>4.03</v>
      </c>
      <c r="P3761" s="862">
        <v>11.59</v>
      </c>
      <c r="R3761" s="647">
        <v>1.8496062500000001</v>
      </c>
      <c r="S3761" s="863">
        <v>18.25</v>
      </c>
      <c r="Y3761" s="863">
        <v>30</v>
      </c>
      <c r="AA3761" s="647">
        <v>4.4400000000000004</v>
      </c>
      <c r="AB3761" s="647">
        <v>0.27700000000000002</v>
      </c>
      <c r="AC3761" s="862">
        <v>11.9</v>
      </c>
      <c r="AD3761" s="867">
        <v>500</v>
      </c>
      <c r="AE3761" s="867">
        <v>330</v>
      </c>
      <c r="AF3761" s="867">
        <v>170</v>
      </c>
      <c r="AG3761" s="66">
        <f t="shared" si="141"/>
        <v>0</v>
      </c>
      <c r="AH3761" s="143">
        <f t="shared" si="142"/>
        <v>1000</v>
      </c>
    </row>
    <row r="3762" spans="1:34" s="862" customFormat="1" x14ac:dyDescent="0.3">
      <c r="A3762" s="862">
        <v>203841</v>
      </c>
      <c r="B3762" s="863">
        <v>2.7166666666666663</v>
      </c>
      <c r="C3762" s="863"/>
      <c r="D3762" s="647">
        <v>8.1300000000000008</v>
      </c>
      <c r="E3762" s="1573">
        <v>0.48599999999999999</v>
      </c>
      <c r="F3762" s="864">
        <v>534.6</v>
      </c>
      <c r="H3762" s="864">
        <v>318.24</v>
      </c>
      <c r="I3762" s="864"/>
      <c r="J3762" s="1816"/>
      <c r="K3762" s="863"/>
      <c r="M3762" s="862">
        <v>7.26</v>
      </c>
      <c r="N3762" s="862">
        <v>4.99</v>
      </c>
      <c r="O3762" s="862">
        <v>4.45</v>
      </c>
      <c r="P3762" s="862">
        <v>5.28</v>
      </c>
      <c r="R3762" s="647">
        <v>1.2489693569442424</v>
      </c>
      <c r="S3762" s="863">
        <v>8.33</v>
      </c>
      <c r="Y3762" s="863">
        <v>4.8</v>
      </c>
      <c r="AA3762" s="647">
        <v>4.04</v>
      </c>
      <c r="AB3762" s="647">
        <v>0.29099999999999998</v>
      </c>
      <c r="AC3762" s="862">
        <v>6.2</v>
      </c>
      <c r="AD3762" s="867">
        <v>80</v>
      </c>
      <c r="AE3762" s="867">
        <v>60</v>
      </c>
      <c r="AF3762" s="867">
        <v>860</v>
      </c>
      <c r="AG3762" s="66">
        <f t="shared" si="141"/>
        <v>0</v>
      </c>
      <c r="AH3762" s="143">
        <f t="shared" si="142"/>
        <v>1000</v>
      </c>
    </row>
    <row r="3763" spans="1:34" s="862" customFormat="1" x14ac:dyDescent="0.3">
      <c r="A3763" s="862">
        <v>203842</v>
      </c>
      <c r="B3763" s="863">
        <v>0.6166666666666667</v>
      </c>
      <c r="C3763" s="863"/>
      <c r="D3763" s="647">
        <v>8.1</v>
      </c>
      <c r="E3763" s="1573">
        <v>0.20799999999999999</v>
      </c>
      <c r="F3763" s="864">
        <v>228.8</v>
      </c>
      <c r="H3763" s="864">
        <v>150.01</v>
      </c>
      <c r="I3763" s="864"/>
      <c r="J3763" s="1816"/>
      <c r="K3763" s="863"/>
      <c r="M3763" s="862">
        <v>6.88</v>
      </c>
      <c r="N3763" s="862">
        <v>8.32</v>
      </c>
      <c r="O3763" s="862">
        <v>5.48</v>
      </c>
      <c r="P3763" s="862">
        <v>7.07</v>
      </c>
      <c r="R3763" s="647">
        <v>0.94805567434188265</v>
      </c>
      <c r="S3763" s="863">
        <v>6.4</v>
      </c>
      <c r="Y3763" s="863">
        <v>3</v>
      </c>
      <c r="AA3763" s="647">
        <v>4.4400000000000004</v>
      </c>
      <c r="AB3763" s="647">
        <v>0.39300000000000002</v>
      </c>
      <c r="AC3763" s="862">
        <v>11.7</v>
      </c>
      <c r="AD3763" s="867">
        <v>60</v>
      </c>
      <c r="AE3763" s="867">
        <v>80</v>
      </c>
      <c r="AF3763" s="867">
        <v>860</v>
      </c>
      <c r="AG3763" s="66">
        <f t="shared" si="141"/>
        <v>0</v>
      </c>
      <c r="AH3763" s="143">
        <f t="shared" si="142"/>
        <v>1000</v>
      </c>
    </row>
    <row r="3764" spans="1:34" s="862" customFormat="1" x14ac:dyDescent="0.3">
      <c r="A3764" s="862">
        <v>203843</v>
      </c>
      <c r="B3764" s="863">
        <v>5.208333333333333</v>
      </c>
      <c r="C3764" s="863"/>
      <c r="D3764" s="647">
        <v>8.85</v>
      </c>
      <c r="E3764" s="1573">
        <v>0.378</v>
      </c>
      <c r="F3764" s="864">
        <v>415.80000000000007</v>
      </c>
      <c r="H3764" s="864">
        <v>21.21</v>
      </c>
      <c r="I3764" s="864"/>
      <c r="J3764" s="1816"/>
      <c r="K3764" s="863"/>
      <c r="M3764" s="862">
        <v>0.61</v>
      </c>
      <c r="N3764" s="862">
        <v>2.23</v>
      </c>
      <c r="O3764" s="862">
        <v>5.47</v>
      </c>
      <c r="P3764" s="862">
        <v>4.4800000000000004</v>
      </c>
      <c r="R3764" s="647">
        <v>1.651977</v>
      </c>
      <c r="S3764" s="863">
        <v>12.3</v>
      </c>
      <c r="Y3764" s="863">
        <v>24.5</v>
      </c>
      <c r="AA3764" s="647">
        <v>4.6100000000000003</v>
      </c>
      <c r="AB3764" s="647">
        <v>0.622</v>
      </c>
      <c r="AC3764" s="862">
        <v>7.1</v>
      </c>
      <c r="AD3764" s="867">
        <v>490</v>
      </c>
      <c r="AE3764" s="867">
        <v>320</v>
      </c>
      <c r="AF3764" s="867">
        <v>190</v>
      </c>
      <c r="AG3764" s="66">
        <f t="shared" si="141"/>
        <v>0</v>
      </c>
      <c r="AH3764" s="143">
        <f t="shared" si="142"/>
        <v>1000</v>
      </c>
    </row>
    <row r="3765" spans="1:34" s="862" customFormat="1" x14ac:dyDescent="0.3">
      <c r="A3765" s="862">
        <v>203844</v>
      </c>
      <c r="B3765" s="863">
        <v>4.1666666666666661</v>
      </c>
      <c r="C3765" s="863"/>
      <c r="D3765" s="647">
        <v>8.9</v>
      </c>
      <c r="E3765" s="1573">
        <v>0.23</v>
      </c>
      <c r="F3765" s="864">
        <v>253.00000000000006</v>
      </c>
      <c r="H3765" s="864">
        <v>20.54</v>
      </c>
      <c r="I3765" s="864"/>
      <c r="J3765" s="1816"/>
      <c r="K3765" s="863"/>
      <c r="M3765" s="862">
        <v>0.43</v>
      </c>
      <c r="N3765" s="862">
        <v>1.73</v>
      </c>
      <c r="O3765" s="862">
        <v>8.6999999999999993</v>
      </c>
      <c r="P3765" s="862">
        <v>4.76</v>
      </c>
      <c r="R3765" s="647">
        <v>1.6323501199999999</v>
      </c>
      <c r="S3765" s="863">
        <v>11.78</v>
      </c>
      <c r="Y3765" s="863">
        <v>33.6</v>
      </c>
      <c r="AA3765" s="647">
        <v>4.0999999999999996</v>
      </c>
      <c r="AB3765" s="647">
        <v>0.38200000000000001</v>
      </c>
      <c r="AC3765" s="862">
        <v>8.9</v>
      </c>
      <c r="AD3765" s="867">
        <v>480</v>
      </c>
      <c r="AE3765" s="867">
        <v>340</v>
      </c>
      <c r="AF3765" s="867">
        <v>180</v>
      </c>
      <c r="AG3765" s="66">
        <f t="shared" si="141"/>
        <v>0</v>
      </c>
      <c r="AH3765" s="143">
        <f t="shared" si="142"/>
        <v>1000</v>
      </c>
    </row>
    <row r="3766" spans="1:34" s="862" customFormat="1" x14ac:dyDescent="0.3">
      <c r="A3766" s="862">
        <v>203845</v>
      </c>
      <c r="B3766" s="863">
        <v>17.833333333333332</v>
      </c>
      <c r="C3766" s="863">
        <v>9.8749999999999982</v>
      </c>
      <c r="D3766" s="647">
        <v>8.7899999999999991</v>
      </c>
      <c r="E3766" s="1573">
        <v>0.13600000000000001</v>
      </c>
      <c r="F3766" s="864">
        <v>149.60000000000002</v>
      </c>
      <c r="H3766" s="864">
        <v>9.43</v>
      </c>
      <c r="I3766" s="864"/>
      <c r="J3766" s="1816"/>
      <c r="K3766" s="863"/>
      <c r="M3766" s="862">
        <v>0.26</v>
      </c>
      <c r="N3766" s="862">
        <v>1.1200000000000001</v>
      </c>
      <c r="O3766" s="862">
        <v>2.92</v>
      </c>
      <c r="P3766" s="862">
        <v>3.11</v>
      </c>
      <c r="R3766" s="647">
        <v>1.7719549699999999</v>
      </c>
      <c r="S3766" s="863">
        <v>15.73</v>
      </c>
      <c r="Y3766" s="863">
        <v>31.2</v>
      </c>
      <c r="AA3766" s="647">
        <v>4.74</v>
      </c>
      <c r="AB3766" s="647">
        <v>0.48199999999999998</v>
      </c>
      <c r="AC3766" s="862">
        <v>6.9</v>
      </c>
      <c r="AD3766" s="867">
        <v>520</v>
      </c>
      <c r="AE3766" s="867">
        <v>330</v>
      </c>
      <c r="AF3766" s="867">
        <v>150</v>
      </c>
      <c r="AG3766" s="66">
        <f t="shared" si="141"/>
        <v>0</v>
      </c>
      <c r="AH3766" s="143">
        <f t="shared" si="142"/>
        <v>1000</v>
      </c>
    </row>
    <row r="3767" spans="1:34" s="862" customFormat="1" x14ac:dyDescent="0.3">
      <c r="A3767" s="862">
        <v>203846</v>
      </c>
      <c r="B3767" s="863">
        <v>14.166666666666666</v>
      </c>
      <c r="C3767" s="863">
        <v>8.375</v>
      </c>
      <c r="D3767" s="647">
        <v>8.48</v>
      </c>
      <c r="E3767" s="1573">
        <v>0.219</v>
      </c>
      <c r="F3767" s="864">
        <v>240.90000000000003</v>
      </c>
      <c r="H3767" s="864">
        <v>15.74</v>
      </c>
      <c r="I3767" s="864"/>
      <c r="J3767" s="1816"/>
      <c r="K3767" s="863"/>
      <c r="M3767" s="862">
        <v>0.37</v>
      </c>
      <c r="N3767" s="862">
        <v>1.03</v>
      </c>
      <c r="O3767" s="862">
        <v>5.24</v>
      </c>
      <c r="P3767" s="862">
        <v>11.5</v>
      </c>
      <c r="R3767" s="647">
        <v>1.8149663300000001</v>
      </c>
      <c r="S3767" s="863">
        <v>17.09</v>
      </c>
      <c r="Y3767" s="863">
        <v>33.6</v>
      </c>
      <c r="AA3767" s="647">
        <v>4.82</v>
      </c>
      <c r="AB3767" s="647">
        <v>0.433</v>
      </c>
      <c r="AC3767" s="862">
        <v>7.3</v>
      </c>
      <c r="AD3767" s="867">
        <v>560</v>
      </c>
      <c r="AE3767" s="867">
        <v>320</v>
      </c>
      <c r="AF3767" s="867">
        <v>120</v>
      </c>
      <c r="AG3767" s="66">
        <f t="shared" si="141"/>
        <v>0</v>
      </c>
      <c r="AH3767" s="143">
        <f t="shared" si="142"/>
        <v>1000</v>
      </c>
    </row>
    <row r="3768" spans="1:34" s="862" customFormat="1" x14ac:dyDescent="0.3">
      <c r="A3768" s="862">
        <v>203847</v>
      </c>
      <c r="B3768" s="863">
        <v>10.999999999999998</v>
      </c>
      <c r="C3768" s="863">
        <v>5.8749999999999991</v>
      </c>
      <c r="D3768" s="647">
        <v>8.51</v>
      </c>
      <c r="E3768" s="1573">
        <v>0.20100000000000001</v>
      </c>
      <c r="F3768" s="864">
        <v>221.10000000000002</v>
      </c>
      <c r="H3768" s="864">
        <v>14.34</v>
      </c>
      <c r="I3768" s="864"/>
      <c r="J3768" s="1816"/>
      <c r="K3768" s="863"/>
      <c r="M3768" s="862">
        <v>0.28999999999999998</v>
      </c>
      <c r="N3768" s="862">
        <v>0.75</v>
      </c>
      <c r="O3768" s="862">
        <v>7.1</v>
      </c>
      <c r="P3768" s="862">
        <v>8.6999999999999993</v>
      </c>
      <c r="R3768" s="647">
        <v>1.6929645200000003</v>
      </c>
      <c r="S3768" s="863">
        <v>13.420000000000002</v>
      </c>
      <c r="Y3768" s="863">
        <v>34.799999999999997</v>
      </c>
      <c r="AA3768" s="647">
        <v>4.9000000000000004</v>
      </c>
      <c r="AB3768" s="647">
        <v>0.73699999999999999</v>
      </c>
      <c r="AC3768" s="862">
        <v>8.1999999999999993</v>
      </c>
      <c r="AD3768" s="867">
        <v>580</v>
      </c>
      <c r="AE3768" s="867">
        <v>280</v>
      </c>
      <c r="AF3768" s="867">
        <v>140</v>
      </c>
      <c r="AG3768" s="66">
        <f t="shared" si="141"/>
        <v>0</v>
      </c>
      <c r="AH3768" s="143">
        <f t="shared" si="142"/>
        <v>1000</v>
      </c>
    </row>
    <row r="3769" spans="1:34" s="862" customFormat="1" x14ac:dyDescent="0.3">
      <c r="A3769" s="862">
        <v>203848</v>
      </c>
      <c r="B3769" s="863">
        <v>9.4166666666666661</v>
      </c>
      <c r="C3769" s="863"/>
      <c r="D3769" s="647">
        <v>8.7200000000000006</v>
      </c>
      <c r="E3769" s="1573">
        <v>0.14000000000000001</v>
      </c>
      <c r="F3769" s="864">
        <v>154.00000000000003</v>
      </c>
      <c r="H3769" s="864">
        <v>8.86</v>
      </c>
      <c r="I3769" s="864"/>
      <c r="J3769" s="1816"/>
      <c r="K3769" s="863"/>
      <c r="M3769" s="862">
        <v>0.32</v>
      </c>
      <c r="N3769" s="862">
        <v>0.71</v>
      </c>
      <c r="O3769" s="862">
        <v>2.86</v>
      </c>
      <c r="P3769" s="862">
        <v>8.5299999999999994</v>
      </c>
      <c r="R3769" s="647">
        <v>1.8372817700000001</v>
      </c>
      <c r="S3769" s="863">
        <v>17.829999999999998</v>
      </c>
      <c r="Y3769" s="863">
        <v>33.6</v>
      </c>
      <c r="AA3769" s="647">
        <v>4</v>
      </c>
      <c r="AB3769" s="647">
        <v>0.54400000000000004</v>
      </c>
      <c r="AC3769" s="862">
        <v>11.7</v>
      </c>
      <c r="AD3769" s="867">
        <v>560</v>
      </c>
      <c r="AE3769" s="867">
        <v>300</v>
      </c>
      <c r="AF3769" s="867">
        <v>140</v>
      </c>
      <c r="AG3769" s="66">
        <f t="shared" si="141"/>
        <v>0</v>
      </c>
      <c r="AH3769" s="143">
        <f t="shared" si="142"/>
        <v>1000</v>
      </c>
    </row>
    <row r="3770" spans="1:34" s="862" customFormat="1" x14ac:dyDescent="0.3">
      <c r="A3770" s="862">
        <v>203849</v>
      </c>
      <c r="B3770" s="863">
        <v>25.666666666666664</v>
      </c>
      <c r="C3770" s="863">
        <v>8.375</v>
      </c>
      <c r="D3770" s="647">
        <v>8.69</v>
      </c>
      <c r="E3770" s="1573">
        <v>1.103</v>
      </c>
      <c r="F3770" s="864">
        <v>1213.3</v>
      </c>
      <c r="H3770" s="864">
        <v>61.81</v>
      </c>
      <c r="I3770" s="864"/>
      <c r="J3770" s="1816"/>
      <c r="K3770" s="863"/>
      <c r="M3770" s="862">
        <v>1.06</v>
      </c>
      <c r="N3770" s="862">
        <v>2.2400000000000002</v>
      </c>
      <c r="O3770" s="862">
        <v>2.02</v>
      </c>
      <c r="P3770" s="862">
        <v>8.39</v>
      </c>
      <c r="R3770" s="647">
        <v>1.7141997200000001</v>
      </c>
      <c r="S3770" s="863">
        <v>14.02</v>
      </c>
      <c r="Y3770" s="863">
        <v>32.4</v>
      </c>
      <c r="AA3770" s="647">
        <v>4.07</v>
      </c>
      <c r="AB3770" s="647">
        <v>0.54700000000000004</v>
      </c>
      <c r="AC3770" s="862">
        <v>6.5</v>
      </c>
      <c r="AD3770" s="867">
        <v>540</v>
      </c>
      <c r="AE3770" s="867">
        <v>260</v>
      </c>
      <c r="AF3770" s="867">
        <v>200</v>
      </c>
      <c r="AG3770" s="66">
        <f t="shared" si="141"/>
        <v>0</v>
      </c>
      <c r="AH3770" s="143">
        <f t="shared" si="142"/>
        <v>1000</v>
      </c>
    </row>
    <row r="3771" spans="1:34" s="862" customFormat="1" x14ac:dyDescent="0.3">
      <c r="A3771" s="862">
        <v>203850</v>
      </c>
      <c r="B3771" s="863">
        <v>26.166666666666664</v>
      </c>
      <c r="C3771" s="863">
        <v>11.875</v>
      </c>
      <c r="D3771" s="647">
        <v>8.82</v>
      </c>
      <c r="E3771" s="1573">
        <v>1.06</v>
      </c>
      <c r="F3771" s="864">
        <v>1166.0000000000002</v>
      </c>
      <c r="H3771" s="864">
        <v>51.71</v>
      </c>
      <c r="I3771" s="864"/>
      <c r="J3771" s="1816"/>
      <c r="K3771" s="863"/>
      <c r="M3771" s="862">
        <v>1.18</v>
      </c>
      <c r="N3771" s="862">
        <v>1.41</v>
      </c>
      <c r="O3771" s="862">
        <v>1.19</v>
      </c>
      <c r="P3771" s="862">
        <v>14.05</v>
      </c>
      <c r="R3771" s="647">
        <v>1.9402842500000002</v>
      </c>
      <c r="S3771" s="863">
        <v>21.65</v>
      </c>
      <c r="Y3771" s="863">
        <v>39.200000000000003</v>
      </c>
      <c r="AA3771" s="647">
        <v>3.68</v>
      </c>
      <c r="AB3771" s="647">
        <v>0.66600000000000004</v>
      </c>
      <c r="AC3771" s="862">
        <v>7.1</v>
      </c>
      <c r="AD3771" s="867">
        <v>560</v>
      </c>
      <c r="AE3771" s="867">
        <v>300</v>
      </c>
      <c r="AF3771" s="867">
        <v>140</v>
      </c>
      <c r="AG3771" s="66">
        <f t="shared" si="141"/>
        <v>0</v>
      </c>
      <c r="AH3771" s="143">
        <f t="shared" si="142"/>
        <v>1000</v>
      </c>
    </row>
    <row r="3772" spans="1:34" s="862" customFormat="1" x14ac:dyDescent="0.3">
      <c r="A3772" s="862">
        <v>203851</v>
      </c>
      <c r="B3772" s="863">
        <v>26</v>
      </c>
      <c r="C3772" s="863">
        <v>12.5</v>
      </c>
      <c r="D3772" s="647">
        <v>8.8000000000000007</v>
      </c>
      <c r="E3772" s="1573">
        <v>1.18</v>
      </c>
      <c r="F3772" s="864">
        <v>1298</v>
      </c>
      <c r="H3772" s="864">
        <v>30.88</v>
      </c>
      <c r="I3772" s="864"/>
      <c r="J3772" s="1816"/>
      <c r="K3772" s="863"/>
      <c r="M3772" s="862">
        <v>0.56000000000000005</v>
      </c>
      <c r="N3772" s="862">
        <v>1.78</v>
      </c>
      <c r="O3772" s="862">
        <v>0.97</v>
      </c>
      <c r="P3772" s="862">
        <v>13.76</v>
      </c>
      <c r="R3772" s="647">
        <v>1.7673803299999999</v>
      </c>
      <c r="S3772" s="863">
        <v>15.59</v>
      </c>
      <c r="Y3772" s="863">
        <v>27.5</v>
      </c>
      <c r="AA3772" s="647">
        <v>4.53</v>
      </c>
      <c r="AB3772" s="647">
        <v>0.71899999999999997</v>
      </c>
      <c r="AC3772" s="862">
        <v>9</v>
      </c>
      <c r="AD3772" s="867">
        <v>550</v>
      </c>
      <c r="AE3772" s="867">
        <v>310</v>
      </c>
      <c r="AF3772" s="867">
        <v>140</v>
      </c>
      <c r="AG3772" s="66">
        <f t="shared" si="141"/>
        <v>0</v>
      </c>
      <c r="AH3772" s="143">
        <f t="shared" si="142"/>
        <v>1000</v>
      </c>
    </row>
    <row r="3773" spans="1:34" s="862" customFormat="1" x14ac:dyDescent="0.3">
      <c r="A3773" s="862">
        <v>203852</v>
      </c>
      <c r="B3773" s="863">
        <v>30.2</v>
      </c>
      <c r="C3773" s="863">
        <v>7.38</v>
      </c>
      <c r="D3773" s="647">
        <v>8.16</v>
      </c>
      <c r="E3773" s="1573">
        <v>0.52200000000000002</v>
      </c>
      <c r="F3773" s="864">
        <v>574.20000000000005</v>
      </c>
      <c r="H3773" s="864">
        <v>99.48</v>
      </c>
      <c r="I3773" s="864">
        <v>4110</v>
      </c>
      <c r="J3773" s="1816">
        <v>0.122</v>
      </c>
      <c r="K3773" s="863">
        <v>11.29</v>
      </c>
      <c r="L3773" s="862">
        <v>430</v>
      </c>
      <c r="M3773" s="862">
        <v>1.47</v>
      </c>
      <c r="N3773" s="862">
        <v>1.89</v>
      </c>
      <c r="O3773" s="862">
        <v>9.4600000000000009</v>
      </c>
      <c r="P3773" s="862">
        <v>13.2</v>
      </c>
      <c r="R3773" s="647">
        <v>1.7774730000000001</v>
      </c>
      <c r="S3773" s="863">
        <v>15.9</v>
      </c>
      <c r="Y3773" s="1817">
        <v>25</v>
      </c>
      <c r="AA3773" s="647">
        <v>4.84</v>
      </c>
      <c r="AB3773" s="647">
        <v>0.86099999999999999</v>
      </c>
      <c r="AC3773" s="862">
        <v>7.7</v>
      </c>
      <c r="AD3773" s="867">
        <v>500</v>
      </c>
      <c r="AE3773" s="867">
        <v>300</v>
      </c>
      <c r="AF3773" s="867">
        <v>200</v>
      </c>
      <c r="AG3773" s="66">
        <f t="shared" si="141"/>
        <v>159.8664</v>
      </c>
      <c r="AH3773" s="143">
        <f t="shared" si="142"/>
        <v>1000</v>
      </c>
    </row>
    <row r="3774" spans="1:34" s="862" customFormat="1" x14ac:dyDescent="0.3">
      <c r="A3774" s="862">
        <v>203853</v>
      </c>
      <c r="B3774" s="863">
        <v>30</v>
      </c>
      <c r="C3774" s="863">
        <v>8.25</v>
      </c>
      <c r="D3774" s="647">
        <v>8.02</v>
      </c>
      <c r="E3774" s="1573">
        <v>1.863</v>
      </c>
      <c r="F3774" s="864">
        <v>2049.3000000000002</v>
      </c>
      <c r="H3774" s="864">
        <v>50.72</v>
      </c>
      <c r="I3774" s="864">
        <v>6840</v>
      </c>
      <c r="J3774" s="1816">
        <v>0.157</v>
      </c>
      <c r="K3774" s="863">
        <v>11.52</v>
      </c>
      <c r="L3774" s="862">
        <v>390</v>
      </c>
      <c r="M3774" s="862">
        <v>0.88</v>
      </c>
      <c r="N3774" s="862">
        <v>1.52</v>
      </c>
      <c r="O3774" s="862">
        <v>4.43</v>
      </c>
      <c r="P3774" s="862">
        <v>9.61</v>
      </c>
      <c r="R3774" s="647">
        <v>1.6100120000000002</v>
      </c>
      <c r="S3774" s="863">
        <v>11.200000000000001</v>
      </c>
      <c r="Y3774" s="1817">
        <v>36.4</v>
      </c>
      <c r="AA3774" s="647">
        <v>4.43</v>
      </c>
      <c r="AB3774" s="647">
        <v>0.85499999999999998</v>
      </c>
      <c r="AC3774" s="862">
        <v>8.1999999999999993</v>
      </c>
      <c r="AD3774" s="867">
        <v>520</v>
      </c>
      <c r="AE3774" s="867">
        <v>320</v>
      </c>
      <c r="AF3774" s="867">
        <v>160</v>
      </c>
      <c r="AG3774" s="66">
        <f t="shared" si="141"/>
        <v>112.03516483516484</v>
      </c>
      <c r="AH3774" s="143">
        <f t="shared" si="142"/>
        <v>1000</v>
      </c>
    </row>
    <row r="3775" spans="1:34" s="862" customFormat="1" x14ac:dyDescent="0.3">
      <c r="A3775" s="862">
        <v>203854</v>
      </c>
      <c r="B3775" s="863">
        <v>0.2</v>
      </c>
      <c r="C3775" s="863"/>
      <c r="D3775" s="647">
        <v>8.36</v>
      </c>
      <c r="E3775" s="1573">
        <v>3.4000000000000002E-2</v>
      </c>
      <c r="F3775" s="864">
        <v>37.400000000000006</v>
      </c>
      <c r="H3775" s="864">
        <v>67.28</v>
      </c>
      <c r="I3775" s="864">
        <v>90</v>
      </c>
      <c r="J3775" s="1816">
        <v>1.7999999999999999E-2</v>
      </c>
      <c r="K3775" s="863">
        <v>0.35</v>
      </c>
      <c r="L3775" s="862">
        <v>120</v>
      </c>
      <c r="M3775" s="862">
        <v>10.7</v>
      </c>
      <c r="N3775" s="862">
        <v>0.2</v>
      </c>
      <c r="O3775" s="862">
        <v>0.32</v>
      </c>
      <c r="P3775" s="862">
        <v>7.24</v>
      </c>
      <c r="R3775" s="647">
        <v>0.51926777602858298</v>
      </c>
      <c r="S3775" s="863">
        <v>3.7</v>
      </c>
      <c r="Y3775" s="1817">
        <v>4.8</v>
      </c>
      <c r="AA3775" s="647">
        <v>3.7</v>
      </c>
      <c r="AB3775" s="647">
        <v>0.39400000000000002</v>
      </c>
      <c r="AC3775" s="862">
        <v>8.4</v>
      </c>
      <c r="AD3775" s="867">
        <v>80</v>
      </c>
      <c r="AE3775" s="867">
        <v>60</v>
      </c>
      <c r="AF3775" s="867">
        <v>860</v>
      </c>
      <c r="AG3775" s="66">
        <f t="shared" si="141"/>
        <v>25.8125</v>
      </c>
      <c r="AH3775" s="143">
        <f t="shared" si="142"/>
        <v>1000</v>
      </c>
    </row>
    <row r="3776" spans="1:34" s="862" customFormat="1" x14ac:dyDescent="0.3">
      <c r="A3776" s="862">
        <v>203855</v>
      </c>
      <c r="B3776" s="863">
        <v>0.2</v>
      </c>
      <c r="C3776" s="863"/>
      <c r="D3776" s="647">
        <v>8.4</v>
      </c>
      <c r="E3776" s="1573">
        <v>4.2000000000000003E-2</v>
      </c>
      <c r="F3776" s="864">
        <v>46.2</v>
      </c>
      <c r="H3776" s="864">
        <v>50.2</v>
      </c>
      <c r="I3776" s="864">
        <v>100</v>
      </c>
      <c r="J3776" s="1816">
        <v>1.4E-2</v>
      </c>
      <c r="K3776" s="863">
        <v>0.4</v>
      </c>
      <c r="L3776" s="862">
        <v>110</v>
      </c>
      <c r="M3776" s="862">
        <v>6.96</v>
      </c>
      <c r="N3776" s="862">
        <v>0.28000000000000003</v>
      </c>
      <c r="O3776" s="862">
        <v>0.76</v>
      </c>
      <c r="P3776" s="862">
        <v>4.6900000000000004</v>
      </c>
      <c r="R3776" s="647">
        <v>0.49149767951034251</v>
      </c>
      <c r="S3776" s="863">
        <v>3.3000000000000003</v>
      </c>
      <c r="Y3776" s="1817">
        <v>4</v>
      </c>
      <c r="AA3776" s="647">
        <v>4.83</v>
      </c>
      <c r="AB3776" s="647">
        <v>0.315</v>
      </c>
      <c r="AC3776" s="862">
        <v>10</v>
      </c>
      <c r="AD3776" s="867">
        <v>80</v>
      </c>
      <c r="AE3776" s="867">
        <v>60</v>
      </c>
      <c r="AF3776" s="867">
        <v>860</v>
      </c>
      <c r="AG3776" s="66">
        <f t="shared" si="141"/>
        <v>35.400000000000006</v>
      </c>
      <c r="AH3776" s="143">
        <f t="shared" si="142"/>
        <v>1000</v>
      </c>
    </row>
    <row r="3777" spans="1:34" s="862" customFormat="1" x14ac:dyDescent="0.3">
      <c r="A3777" s="862">
        <v>203856</v>
      </c>
      <c r="B3777" s="863">
        <v>0.2</v>
      </c>
      <c r="C3777" s="863"/>
      <c r="D3777" s="647">
        <v>8.43</v>
      </c>
      <c r="E3777" s="1573">
        <v>7.2999999999999995E-2</v>
      </c>
      <c r="F3777" s="864">
        <v>80.3</v>
      </c>
      <c r="H3777" s="864">
        <v>3.66</v>
      </c>
      <c r="I3777" s="864">
        <v>120</v>
      </c>
      <c r="J3777" s="1816">
        <v>5.6000000000000001E-2</v>
      </c>
      <c r="K3777" s="863">
        <v>4.34</v>
      </c>
      <c r="L3777" s="862">
        <v>720</v>
      </c>
      <c r="M3777" s="862">
        <v>0.26</v>
      </c>
      <c r="N3777" s="862">
        <v>0.68</v>
      </c>
      <c r="O3777" s="862">
        <v>7.89</v>
      </c>
      <c r="P3777" s="862">
        <v>3.13</v>
      </c>
      <c r="R3777" s="647">
        <v>1.5903770000000002</v>
      </c>
      <c r="S3777" s="863">
        <v>10.700000000000001</v>
      </c>
      <c r="Y3777" s="1817">
        <v>30.8</v>
      </c>
      <c r="AA3777" s="647">
        <v>4.29</v>
      </c>
      <c r="AB3777" s="647">
        <v>0.89800000000000002</v>
      </c>
      <c r="AC3777" s="862">
        <v>6.4</v>
      </c>
      <c r="AD3777" s="867">
        <v>440</v>
      </c>
      <c r="AE3777" s="867">
        <v>200</v>
      </c>
      <c r="AF3777" s="867">
        <v>360</v>
      </c>
      <c r="AG3777" s="66">
        <f t="shared" si="141"/>
        <v>49.881818181818176</v>
      </c>
      <c r="AH3777" s="143">
        <f t="shared" si="142"/>
        <v>1000</v>
      </c>
    </row>
    <row r="3778" spans="1:34" s="862" customFormat="1" x14ac:dyDescent="0.3">
      <c r="A3778" s="862">
        <v>203857</v>
      </c>
      <c r="B3778" s="863">
        <v>8.8000000000000007</v>
      </c>
      <c r="C3778" s="863"/>
      <c r="D3778" s="647">
        <v>8.7100000000000009</v>
      </c>
      <c r="E3778" s="1573">
        <v>0.16900000000000001</v>
      </c>
      <c r="F3778" s="864">
        <v>185.90000000000003</v>
      </c>
      <c r="G3778" s="862">
        <v>27.67</v>
      </c>
      <c r="H3778" s="864">
        <v>398.82</v>
      </c>
      <c r="I3778" s="864">
        <v>150</v>
      </c>
      <c r="J3778" s="1816">
        <v>3.5999999999999997E-2</v>
      </c>
      <c r="K3778" s="863">
        <v>5.71</v>
      </c>
      <c r="L3778" s="862">
        <v>460</v>
      </c>
      <c r="M3778" s="862">
        <v>4.08</v>
      </c>
      <c r="N3778" s="862">
        <v>4.4800000000000004</v>
      </c>
      <c r="O3778" s="862">
        <v>1.23</v>
      </c>
      <c r="P3778" s="862">
        <v>3.99</v>
      </c>
      <c r="R3778" s="647">
        <v>1.0894300764571678</v>
      </c>
      <c r="S3778" s="863">
        <v>7.6</v>
      </c>
      <c r="Y3778" s="1817">
        <v>5.6</v>
      </c>
      <c r="AA3778" s="647">
        <v>3.93</v>
      </c>
      <c r="AB3778" s="647">
        <v>0.746</v>
      </c>
      <c r="AC3778" s="862">
        <v>11.7</v>
      </c>
      <c r="AD3778" s="867">
        <v>80</v>
      </c>
      <c r="AE3778" s="867">
        <v>60</v>
      </c>
      <c r="AF3778" s="867">
        <v>860</v>
      </c>
      <c r="AG3778" s="66">
        <f t="shared" ref="AG3778:AG3841" si="143">+K3778*3.54*100/Y3778</f>
        <v>360.95357142857142</v>
      </c>
      <c r="AH3778" s="143">
        <f t="shared" ref="AH3778:AH3841" si="144">+SUM(AD3778:AF3778)</f>
        <v>1000</v>
      </c>
    </row>
    <row r="3779" spans="1:34" s="862" customFormat="1" x14ac:dyDescent="0.3">
      <c r="A3779" s="862">
        <v>203858</v>
      </c>
      <c r="B3779" s="863">
        <v>11.8</v>
      </c>
      <c r="C3779" s="863">
        <v>5.25</v>
      </c>
      <c r="D3779" s="647">
        <v>8.68</v>
      </c>
      <c r="E3779" s="1573">
        <v>0.15</v>
      </c>
      <c r="F3779" s="864">
        <v>165</v>
      </c>
      <c r="H3779" s="864">
        <v>17.75</v>
      </c>
      <c r="I3779" s="864">
        <v>150</v>
      </c>
      <c r="J3779" s="1816">
        <v>4.9000000000000002E-2</v>
      </c>
      <c r="K3779" s="863">
        <v>15.79</v>
      </c>
      <c r="L3779" s="862">
        <v>1680</v>
      </c>
      <c r="M3779" s="862">
        <v>0.12</v>
      </c>
      <c r="N3779" s="862">
        <v>1.82</v>
      </c>
      <c r="O3779" s="862">
        <v>0.37</v>
      </c>
      <c r="P3779" s="862">
        <v>8.26</v>
      </c>
      <c r="R3779" s="647">
        <v>1.6407</v>
      </c>
      <c r="S3779" s="863">
        <v>12</v>
      </c>
      <c r="Y3779" s="1817">
        <v>33</v>
      </c>
      <c r="AA3779" s="647">
        <v>4.5999999999999996</v>
      </c>
      <c r="AB3779" s="647">
        <v>0.78700000000000003</v>
      </c>
      <c r="AC3779" s="862">
        <v>6.4</v>
      </c>
      <c r="AD3779" s="867">
        <v>660</v>
      </c>
      <c r="AE3779" s="867">
        <v>260</v>
      </c>
      <c r="AF3779" s="867">
        <v>80</v>
      </c>
      <c r="AG3779" s="66">
        <f t="shared" si="143"/>
        <v>169.38363636363636</v>
      </c>
      <c r="AH3779" s="143">
        <f t="shared" si="144"/>
        <v>1000</v>
      </c>
    </row>
    <row r="3780" spans="1:34" s="862" customFormat="1" x14ac:dyDescent="0.3">
      <c r="A3780" s="862">
        <v>203859</v>
      </c>
      <c r="B3780" s="863">
        <v>8.5</v>
      </c>
      <c r="C3780" s="863"/>
      <c r="D3780" s="647">
        <v>8.57</v>
      </c>
      <c r="E3780" s="1573">
        <v>0.158</v>
      </c>
      <c r="F3780" s="864">
        <v>173.8</v>
      </c>
      <c r="H3780" s="864">
        <v>31.94</v>
      </c>
      <c r="I3780" s="864">
        <v>210</v>
      </c>
      <c r="J3780" s="1816">
        <v>0.06</v>
      </c>
      <c r="K3780" s="863">
        <v>8.26</v>
      </c>
      <c r="L3780" s="862">
        <v>300</v>
      </c>
      <c r="M3780" s="862">
        <v>1.2</v>
      </c>
      <c r="N3780" s="862">
        <v>0.68</v>
      </c>
      <c r="O3780" s="862">
        <v>5.4</v>
      </c>
      <c r="P3780" s="862">
        <v>2.77</v>
      </c>
      <c r="R3780" s="647">
        <v>1.7934680000000001</v>
      </c>
      <c r="S3780" s="863">
        <v>16.399999999999999</v>
      </c>
      <c r="Y3780" s="1817">
        <v>27.6</v>
      </c>
      <c r="AA3780" s="647">
        <v>4.9800000000000004</v>
      </c>
      <c r="AB3780" s="647">
        <v>0.624</v>
      </c>
      <c r="AC3780" s="862">
        <v>6</v>
      </c>
      <c r="AD3780" s="867">
        <v>460</v>
      </c>
      <c r="AE3780" s="867">
        <v>160</v>
      </c>
      <c r="AF3780" s="867">
        <v>380</v>
      </c>
      <c r="AG3780" s="66">
        <f t="shared" si="143"/>
        <v>105.94347826086955</v>
      </c>
      <c r="AH3780" s="143">
        <f t="shared" si="144"/>
        <v>1000</v>
      </c>
    </row>
    <row r="3781" spans="1:34" s="862" customFormat="1" x14ac:dyDescent="0.3">
      <c r="A3781" s="862">
        <v>203860</v>
      </c>
      <c r="B3781" s="863">
        <v>9.6999999999999993</v>
      </c>
      <c r="C3781" s="863"/>
      <c r="D3781" s="647">
        <v>8.6</v>
      </c>
      <c r="E3781" s="1573">
        <v>0.20799999999999999</v>
      </c>
      <c r="F3781" s="864">
        <v>228.8</v>
      </c>
      <c r="H3781" s="864">
        <v>14.53</v>
      </c>
      <c r="I3781" s="864">
        <v>270</v>
      </c>
      <c r="J3781" s="1816">
        <v>0.129</v>
      </c>
      <c r="K3781" s="863">
        <v>10.029999999999999</v>
      </c>
      <c r="L3781" s="862">
        <v>230</v>
      </c>
      <c r="M3781" s="862">
        <v>0.23</v>
      </c>
      <c r="N3781" s="862">
        <v>0.79</v>
      </c>
      <c r="O3781" s="862">
        <v>4.01</v>
      </c>
      <c r="P3781" s="862">
        <v>1.48</v>
      </c>
      <c r="R3781" s="647">
        <v>1.720472</v>
      </c>
      <c r="S3781" s="863">
        <v>14.2</v>
      </c>
      <c r="Y3781" s="1817">
        <v>20</v>
      </c>
      <c r="AA3781" s="647">
        <v>4.74</v>
      </c>
      <c r="AB3781" s="647">
        <v>0.79400000000000004</v>
      </c>
      <c r="AC3781" s="862">
        <v>11.4</v>
      </c>
      <c r="AD3781" s="867">
        <v>400</v>
      </c>
      <c r="AE3781" s="867">
        <v>180</v>
      </c>
      <c r="AF3781" s="867">
        <v>420</v>
      </c>
      <c r="AG3781" s="66">
        <f t="shared" si="143"/>
        <v>177.53100000000001</v>
      </c>
      <c r="AH3781" s="143">
        <f t="shared" si="144"/>
        <v>1000</v>
      </c>
    </row>
    <row r="3782" spans="1:34" s="862" customFormat="1" x14ac:dyDescent="0.3">
      <c r="A3782" s="862">
        <v>203861</v>
      </c>
      <c r="B3782" s="863">
        <v>22.8</v>
      </c>
      <c r="C3782" s="863">
        <v>6.5</v>
      </c>
      <c r="D3782" s="647">
        <v>7.73</v>
      </c>
      <c r="E3782" s="1573">
        <v>1.264</v>
      </c>
      <c r="F3782" s="864">
        <v>1390.4</v>
      </c>
      <c r="H3782" s="864">
        <v>55.64</v>
      </c>
      <c r="I3782" s="864">
        <v>120</v>
      </c>
      <c r="J3782" s="1816">
        <v>0.60099999999999998</v>
      </c>
      <c r="K3782" s="863">
        <v>11.3</v>
      </c>
      <c r="L3782" s="862">
        <v>370</v>
      </c>
      <c r="M3782" s="862">
        <v>0.53</v>
      </c>
      <c r="N3782" s="862">
        <v>0.6</v>
      </c>
      <c r="O3782" s="862">
        <v>13.01</v>
      </c>
      <c r="P3782" s="862">
        <v>1.64</v>
      </c>
      <c r="R3782" s="647">
        <v>1.7709770000000002</v>
      </c>
      <c r="S3782" s="863">
        <v>15.700000000000001</v>
      </c>
      <c r="Y3782" s="1817">
        <v>32.200000000000003</v>
      </c>
      <c r="AA3782" s="647">
        <v>3.5</v>
      </c>
      <c r="AB3782" s="647">
        <v>0.51900000000000002</v>
      </c>
      <c r="AC3782" s="862">
        <v>7.4</v>
      </c>
      <c r="AD3782" s="867">
        <v>460</v>
      </c>
      <c r="AE3782" s="867">
        <v>160</v>
      </c>
      <c r="AF3782" s="867">
        <v>380</v>
      </c>
      <c r="AG3782" s="66">
        <f t="shared" si="143"/>
        <v>124.22981366459626</v>
      </c>
      <c r="AH3782" s="143">
        <f t="shared" si="144"/>
        <v>1000</v>
      </c>
    </row>
    <row r="3783" spans="1:34" s="862" customFormat="1" x14ac:dyDescent="0.3">
      <c r="A3783" s="862">
        <v>203862</v>
      </c>
      <c r="B3783" s="863">
        <v>3.6</v>
      </c>
      <c r="C3783" s="863"/>
      <c r="D3783" s="647">
        <v>7.7</v>
      </c>
      <c r="E3783" s="1573">
        <v>2.35</v>
      </c>
      <c r="F3783" s="864">
        <v>2585.0000000000005</v>
      </c>
      <c r="H3783" s="864">
        <v>78.81</v>
      </c>
      <c r="I3783" s="864">
        <v>470</v>
      </c>
      <c r="J3783" s="1816">
        <v>0.81</v>
      </c>
      <c r="K3783" s="863">
        <v>11.97</v>
      </c>
      <c r="L3783" s="862">
        <v>700</v>
      </c>
      <c r="M3783" s="862">
        <v>0.59</v>
      </c>
      <c r="N3783" s="862">
        <v>0.99</v>
      </c>
      <c r="O3783" s="862">
        <v>23.03</v>
      </c>
      <c r="P3783" s="862">
        <v>3.07</v>
      </c>
      <c r="R3783" s="647">
        <v>1.7709770000000002</v>
      </c>
      <c r="S3783" s="863">
        <v>15.700000000000001</v>
      </c>
      <c r="Y3783" s="1817">
        <v>22</v>
      </c>
      <c r="AA3783" s="647">
        <v>4.03</v>
      </c>
      <c r="AB3783" s="647">
        <v>0.84099999999999997</v>
      </c>
      <c r="AC3783" s="862">
        <v>10.5</v>
      </c>
      <c r="AD3783" s="867">
        <v>440</v>
      </c>
      <c r="AE3783" s="867">
        <v>200</v>
      </c>
      <c r="AF3783" s="867">
        <v>360</v>
      </c>
      <c r="AG3783" s="66">
        <f t="shared" si="143"/>
        <v>192.60818181818183</v>
      </c>
      <c r="AH3783" s="143">
        <f t="shared" si="144"/>
        <v>1000</v>
      </c>
    </row>
    <row r="3784" spans="1:34" s="862" customFormat="1" x14ac:dyDescent="0.3">
      <c r="A3784" s="862">
        <v>203863</v>
      </c>
      <c r="B3784" s="863">
        <v>15.2</v>
      </c>
      <c r="C3784" s="863">
        <v>2.38</v>
      </c>
      <c r="D3784" s="647">
        <v>8.67</v>
      </c>
      <c r="E3784" s="1573">
        <v>0.47699999999999998</v>
      </c>
      <c r="F3784" s="864">
        <v>524.70000000000005</v>
      </c>
      <c r="H3784" s="864">
        <v>126.57</v>
      </c>
      <c r="I3784" s="864">
        <v>110</v>
      </c>
      <c r="J3784" s="1816">
        <v>0.35099999999999998</v>
      </c>
      <c r="K3784" s="863">
        <v>6.96</v>
      </c>
      <c r="L3784" s="862">
        <v>530</v>
      </c>
      <c r="M3784" s="862">
        <v>1.54</v>
      </c>
      <c r="N3784" s="862">
        <v>2.8</v>
      </c>
      <c r="O3784" s="862">
        <v>1.28</v>
      </c>
      <c r="P3784" s="862">
        <v>2.9</v>
      </c>
      <c r="R3784" s="647">
        <v>1.0590519745898386</v>
      </c>
      <c r="S3784" s="863">
        <v>7.9</v>
      </c>
      <c r="Y3784" s="1817">
        <v>4</v>
      </c>
      <c r="AA3784" s="647">
        <v>3.96</v>
      </c>
      <c r="AB3784" s="647">
        <v>0.35099999999999998</v>
      </c>
      <c r="AC3784" s="862">
        <v>6.9</v>
      </c>
      <c r="AD3784" s="867">
        <v>80</v>
      </c>
      <c r="AE3784" s="867">
        <v>60</v>
      </c>
      <c r="AF3784" s="867">
        <v>860</v>
      </c>
      <c r="AG3784" s="66">
        <f t="shared" si="143"/>
        <v>615.96</v>
      </c>
      <c r="AH3784" s="143">
        <f t="shared" si="144"/>
        <v>1000</v>
      </c>
    </row>
    <row r="3785" spans="1:34" s="862" customFormat="1" x14ac:dyDescent="0.3">
      <c r="A3785" s="862">
        <v>203864</v>
      </c>
      <c r="B3785" s="863">
        <v>16.8</v>
      </c>
      <c r="C3785" s="863">
        <v>1.1299999999999999</v>
      </c>
      <c r="D3785" s="647">
        <v>8.59</v>
      </c>
      <c r="E3785" s="1573">
        <v>0.66300000000000003</v>
      </c>
      <c r="F3785" s="864">
        <v>729.30000000000007</v>
      </c>
      <c r="H3785" s="864">
        <v>243.58</v>
      </c>
      <c r="I3785" s="864">
        <v>100</v>
      </c>
      <c r="J3785" s="1816">
        <v>0.48399999999999999</v>
      </c>
      <c r="K3785" s="863">
        <v>6.53</v>
      </c>
      <c r="L3785" s="862">
        <v>690</v>
      </c>
      <c r="M3785" s="862">
        <v>3.85</v>
      </c>
      <c r="N3785" s="862">
        <v>2.29</v>
      </c>
      <c r="O3785" s="862">
        <v>1.79</v>
      </c>
      <c r="P3785" s="862">
        <v>3.45</v>
      </c>
      <c r="R3785" s="647">
        <v>1.2904740553713312</v>
      </c>
      <c r="S3785" s="863">
        <v>8.9</v>
      </c>
      <c r="Y3785" s="1817">
        <v>4.8</v>
      </c>
      <c r="AA3785" s="647">
        <v>4.16</v>
      </c>
      <c r="AB3785" s="647">
        <v>0.58399999999999996</v>
      </c>
      <c r="AC3785" s="862">
        <v>9.6</v>
      </c>
      <c r="AD3785" s="867">
        <v>80</v>
      </c>
      <c r="AE3785" s="867">
        <v>60</v>
      </c>
      <c r="AF3785" s="867">
        <v>860</v>
      </c>
      <c r="AG3785" s="66">
        <f t="shared" si="143"/>
        <v>481.58750000000009</v>
      </c>
      <c r="AH3785" s="143">
        <f t="shared" si="144"/>
        <v>1000</v>
      </c>
    </row>
    <row r="3786" spans="1:34" s="862" customFormat="1" x14ac:dyDescent="0.3">
      <c r="A3786" s="862">
        <v>203865</v>
      </c>
      <c r="B3786" s="863">
        <v>13.5</v>
      </c>
      <c r="C3786" s="863">
        <v>2.5</v>
      </c>
      <c r="D3786" s="647">
        <v>8.6</v>
      </c>
      <c r="E3786" s="1573">
        <v>0.61799999999999999</v>
      </c>
      <c r="F3786" s="864">
        <v>679.80000000000007</v>
      </c>
      <c r="H3786" s="864">
        <v>139.68</v>
      </c>
      <c r="I3786" s="864">
        <v>130</v>
      </c>
      <c r="J3786" s="1816">
        <v>0.40500000000000003</v>
      </c>
      <c r="K3786" s="863">
        <v>6.59</v>
      </c>
      <c r="L3786" s="862">
        <v>590</v>
      </c>
      <c r="M3786" s="862">
        <v>2.02</v>
      </c>
      <c r="N3786" s="862">
        <v>3.03</v>
      </c>
      <c r="O3786" s="862">
        <v>1.42</v>
      </c>
      <c r="P3786" s="862">
        <v>4.0999999999999996</v>
      </c>
      <c r="R3786" s="647">
        <v>1.1174035400435209</v>
      </c>
      <c r="S3786" s="863">
        <v>8.1000000000000014</v>
      </c>
      <c r="Y3786" s="1817">
        <v>4</v>
      </c>
      <c r="AA3786" s="647">
        <v>3.87</v>
      </c>
      <c r="AB3786" s="647">
        <v>0.65100000000000002</v>
      </c>
      <c r="AC3786" s="862">
        <v>7.1</v>
      </c>
      <c r="AD3786" s="867">
        <v>80</v>
      </c>
      <c r="AE3786" s="867">
        <v>60</v>
      </c>
      <c r="AF3786" s="867">
        <v>860</v>
      </c>
      <c r="AG3786" s="66">
        <f t="shared" si="143"/>
        <v>583.21499999999992</v>
      </c>
      <c r="AH3786" s="143">
        <f t="shared" si="144"/>
        <v>1000</v>
      </c>
    </row>
    <row r="3787" spans="1:34" s="862" customFormat="1" x14ac:dyDescent="0.3">
      <c r="A3787" s="862">
        <v>203866</v>
      </c>
      <c r="B3787" s="863">
        <v>13.3</v>
      </c>
      <c r="C3787" s="863">
        <v>1.63</v>
      </c>
      <c r="D3787" s="647">
        <v>8.6199999999999992</v>
      </c>
      <c r="E3787" s="1573">
        <v>0.57099999999999995</v>
      </c>
      <c r="F3787" s="864">
        <v>628.1</v>
      </c>
      <c r="H3787" s="864">
        <v>144.1</v>
      </c>
      <c r="I3787" s="864">
        <v>180</v>
      </c>
      <c r="J3787" s="1816">
        <v>0.46</v>
      </c>
      <c r="K3787" s="863">
        <v>7.26</v>
      </c>
      <c r="L3787" s="862">
        <v>720</v>
      </c>
      <c r="M3787" s="862">
        <v>1.93</v>
      </c>
      <c r="N3787" s="862">
        <v>3.64</v>
      </c>
      <c r="O3787" s="862">
        <v>1.28</v>
      </c>
      <c r="P3787" s="862">
        <v>4.2300000000000004</v>
      </c>
      <c r="R3787" s="647">
        <v>1.0379357253345876</v>
      </c>
      <c r="S3787" s="863">
        <v>7.6</v>
      </c>
      <c r="Y3787" s="1817">
        <v>4</v>
      </c>
      <c r="AA3787" s="647">
        <v>4.4400000000000004</v>
      </c>
      <c r="AB3787" s="647">
        <v>0.36599999999999999</v>
      </c>
      <c r="AC3787" s="862">
        <v>11.4</v>
      </c>
      <c r="AD3787" s="867">
        <v>80</v>
      </c>
      <c r="AE3787" s="867">
        <v>60</v>
      </c>
      <c r="AF3787" s="867">
        <v>860</v>
      </c>
      <c r="AG3787" s="66">
        <f t="shared" si="143"/>
        <v>642.51</v>
      </c>
      <c r="AH3787" s="143">
        <f t="shared" si="144"/>
        <v>1000</v>
      </c>
    </row>
    <row r="3788" spans="1:34" s="862" customFormat="1" x14ac:dyDescent="0.3">
      <c r="A3788" s="862">
        <v>203867</v>
      </c>
      <c r="B3788" s="863">
        <v>14.7</v>
      </c>
      <c r="C3788" s="863">
        <v>2</v>
      </c>
      <c r="D3788" s="647">
        <v>8.7200000000000006</v>
      </c>
      <c r="E3788" s="1573">
        <v>1.1499999999999999</v>
      </c>
      <c r="F3788" s="864">
        <v>1265</v>
      </c>
      <c r="H3788" s="864">
        <v>182.38</v>
      </c>
      <c r="I3788" s="864">
        <v>140</v>
      </c>
      <c r="J3788" s="1816">
        <v>0.217</v>
      </c>
      <c r="K3788" s="863">
        <v>6.65</v>
      </c>
      <c r="L3788" s="862">
        <v>500</v>
      </c>
      <c r="M3788" s="862">
        <v>1.44</v>
      </c>
      <c r="N3788" s="862">
        <v>4.67</v>
      </c>
      <c r="O3788" s="862">
        <v>1.78</v>
      </c>
      <c r="P3788" s="862">
        <v>3.27</v>
      </c>
      <c r="R3788" s="647">
        <v>0.83182387415862047</v>
      </c>
      <c r="S3788" s="863">
        <v>6</v>
      </c>
      <c r="Y3788" s="1817">
        <v>5.6</v>
      </c>
      <c r="AA3788" s="647">
        <v>4.1500000000000004</v>
      </c>
      <c r="AB3788" s="647">
        <v>0.77400000000000002</v>
      </c>
      <c r="AC3788" s="862">
        <v>10.6</v>
      </c>
      <c r="AD3788" s="867">
        <v>80</v>
      </c>
      <c r="AE3788" s="867">
        <v>60</v>
      </c>
      <c r="AF3788" s="867">
        <v>860</v>
      </c>
      <c r="AG3788" s="66">
        <f t="shared" si="143"/>
        <v>420.375</v>
      </c>
      <c r="AH3788" s="143">
        <f t="shared" si="144"/>
        <v>1000</v>
      </c>
    </row>
    <row r="3789" spans="1:34" s="862" customFormat="1" x14ac:dyDescent="0.3">
      <c r="A3789" s="862">
        <v>203868</v>
      </c>
      <c r="B3789" s="863">
        <v>14.8</v>
      </c>
      <c r="C3789" s="863">
        <v>1.38</v>
      </c>
      <c r="D3789" s="647">
        <v>8.68</v>
      </c>
      <c r="E3789" s="1573">
        <v>0.53</v>
      </c>
      <c r="F3789" s="864">
        <v>583.00000000000011</v>
      </c>
      <c r="H3789" s="864">
        <v>179.38</v>
      </c>
      <c r="I3789" s="864">
        <v>130</v>
      </c>
      <c r="J3789" s="1816">
        <v>0.313</v>
      </c>
      <c r="K3789" s="863">
        <v>6.9</v>
      </c>
      <c r="L3789" s="862">
        <v>610</v>
      </c>
      <c r="M3789" s="862">
        <v>1.84</v>
      </c>
      <c r="N3789" s="862">
        <v>4.43</v>
      </c>
      <c r="O3789" s="862">
        <v>1.77</v>
      </c>
      <c r="P3789" s="862">
        <v>4.8600000000000003</v>
      </c>
      <c r="R3789" s="647">
        <v>1.1273637543154171</v>
      </c>
      <c r="S3789" s="863">
        <v>7.8000000000000007</v>
      </c>
      <c r="Y3789" s="1817">
        <v>7</v>
      </c>
      <c r="AA3789" s="647">
        <v>3.66</v>
      </c>
      <c r="AB3789" s="647">
        <v>0.39800000000000002</v>
      </c>
      <c r="AC3789" s="862">
        <v>7.7</v>
      </c>
      <c r="AD3789" s="867">
        <v>100</v>
      </c>
      <c r="AE3789" s="867">
        <v>60</v>
      </c>
      <c r="AF3789" s="867">
        <v>840</v>
      </c>
      <c r="AG3789" s="66">
        <f t="shared" si="143"/>
        <v>348.94285714285718</v>
      </c>
      <c r="AH3789" s="143">
        <f t="shared" si="144"/>
        <v>1000</v>
      </c>
    </row>
    <row r="3790" spans="1:34" s="862" customFormat="1" x14ac:dyDescent="0.3">
      <c r="A3790" s="862">
        <v>203869</v>
      </c>
      <c r="B3790" s="863">
        <v>8.3000000000000007</v>
      </c>
      <c r="C3790" s="863"/>
      <c r="D3790" s="647">
        <v>8.7799999999999994</v>
      </c>
      <c r="E3790" s="1573">
        <v>0.27</v>
      </c>
      <c r="F3790" s="864">
        <v>297.00000000000006</v>
      </c>
      <c r="H3790" s="864">
        <v>19.690000000000001</v>
      </c>
      <c r="I3790" s="864">
        <v>210</v>
      </c>
      <c r="J3790" s="1816">
        <v>0.52400000000000002</v>
      </c>
      <c r="K3790" s="863">
        <v>11.72</v>
      </c>
      <c r="L3790" s="862">
        <v>1070</v>
      </c>
      <c r="M3790" s="862">
        <v>0.15</v>
      </c>
      <c r="N3790" s="862">
        <v>0.64</v>
      </c>
      <c r="O3790" s="862">
        <v>1.1200000000000001</v>
      </c>
      <c r="P3790" s="862">
        <v>1.1399999999999999</v>
      </c>
      <c r="R3790" s="647">
        <v>1.3882410080082033</v>
      </c>
      <c r="S3790" s="863">
        <v>10</v>
      </c>
      <c r="Y3790" s="1817">
        <v>33.6</v>
      </c>
      <c r="AA3790" s="647">
        <v>3.5</v>
      </c>
      <c r="AB3790" s="647">
        <v>0.73799999999999999</v>
      </c>
      <c r="AC3790" s="862">
        <v>11.4</v>
      </c>
      <c r="AD3790" s="867">
        <v>560</v>
      </c>
      <c r="AE3790" s="867">
        <v>300</v>
      </c>
      <c r="AF3790" s="867">
        <v>140</v>
      </c>
      <c r="AG3790" s="66">
        <f t="shared" si="143"/>
        <v>123.47857142857143</v>
      </c>
      <c r="AH3790" s="143">
        <f t="shared" si="144"/>
        <v>1000</v>
      </c>
    </row>
    <row r="3791" spans="1:34" s="862" customFormat="1" x14ac:dyDescent="0.3">
      <c r="A3791" s="862">
        <v>203870</v>
      </c>
      <c r="B3791" s="863">
        <v>0.3</v>
      </c>
      <c r="C3791" s="863"/>
      <c r="D3791" s="647">
        <v>8.0480769230769216</v>
      </c>
      <c r="E3791" s="1573">
        <v>0.16200000000000001</v>
      </c>
      <c r="F3791" s="864">
        <v>178.20000000000002</v>
      </c>
      <c r="H3791" s="864">
        <v>12.92</v>
      </c>
      <c r="I3791" s="864">
        <v>230</v>
      </c>
      <c r="J3791" s="1816">
        <v>0.41199999999999998</v>
      </c>
      <c r="K3791" s="647">
        <v>5.0599999999999996</v>
      </c>
      <c r="L3791" s="864">
        <v>510</v>
      </c>
      <c r="M3791" s="647">
        <v>0.33</v>
      </c>
      <c r="N3791" s="647">
        <v>0.32</v>
      </c>
      <c r="O3791" s="647">
        <v>2.69</v>
      </c>
      <c r="P3791" s="862">
        <v>8.31</v>
      </c>
      <c r="R3791" s="647">
        <v>0.7597632310240765</v>
      </c>
      <c r="S3791" s="863">
        <v>5</v>
      </c>
      <c r="Y3791" s="1817">
        <v>30.8</v>
      </c>
      <c r="AA3791" s="647">
        <v>4.2699999999999996</v>
      </c>
      <c r="AB3791" s="647">
        <v>0.35899999999999999</v>
      </c>
      <c r="AC3791" s="862">
        <v>10.4</v>
      </c>
      <c r="AD3791" s="867">
        <v>440</v>
      </c>
      <c r="AE3791" s="867">
        <v>220</v>
      </c>
      <c r="AF3791" s="867">
        <v>340</v>
      </c>
      <c r="AG3791" s="66">
        <f t="shared" si="143"/>
        <v>58.157142857142851</v>
      </c>
      <c r="AH3791" s="143">
        <f t="shared" si="144"/>
        <v>1000</v>
      </c>
    </row>
    <row r="3792" spans="1:34" s="862" customFormat="1" x14ac:dyDescent="0.3">
      <c r="A3792" s="862">
        <v>203871</v>
      </c>
      <c r="B3792" s="863">
        <v>6.3</v>
      </c>
      <c r="C3792" s="863"/>
      <c r="D3792" s="647">
        <v>8.365384615384615</v>
      </c>
      <c r="E3792" s="1573">
        <v>0.155</v>
      </c>
      <c r="F3792" s="864">
        <v>170.5</v>
      </c>
      <c r="H3792" s="864">
        <v>71.42</v>
      </c>
      <c r="I3792" s="864">
        <v>170</v>
      </c>
      <c r="J3792" s="1816">
        <v>8.5000000000000006E-2</v>
      </c>
      <c r="K3792" s="647">
        <v>10.19</v>
      </c>
      <c r="L3792" s="864">
        <v>900</v>
      </c>
      <c r="M3792" s="647">
        <v>0.94</v>
      </c>
      <c r="N3792" s="647">
        <v>1.1200000000000001</v>
      </c>
      <c r="O3792" s="647">
        <v>7.04</v>
      </c>
      <c r="P3792" s="862">
        <v>6.67</v>
      </c>
      <c r="R3792" s="647">
        <v>1.1928737455392786</v>
      </c>
      <c r="S3792" s="863">
        <v>7.9</v>
      </c>
      <c r="Y3792" s="1817">
        <v>23</v>
      </c>
      <c r="AA3792" s="647">
        <v>3.98</v>
      </c>
      <c r="AB3792" s="647">
        <v>0.49099999999999999</v>
      </c>
      <c r="AC3792" s="862">
        <v>11.8</v>
      </c>
      <c r="AD3792" s="867">
        <v>460</v>
      </c>
      <c r="AE3792" s="867">
        <v>200</v>
      </c>
      <c r="AF3792" s="867">
        <v>340</v>
      </c>
      <c r="AG3792" s="66">
        <f t="shared" si="143"/>
        <v>156.83739130434785</v>
      </c>
      <c r="AH3792" s="143">
        <f t="shared" si="144"/>
        <v>1000</v>
      </c>
    </row>
    <row r="3793" spans="1:34" s="862" customFormat="1" x14ac:dyDescent="0.3">
      <c r="A3793" s="862">
        <v>203872</v>
      </c>
      <c r="B3793" s="863">
        <v>5.3</v>
      </c>
      <c r="C3793" s="863"/>
      <c r="D3793" s="647">
        <v>8.2115384615384599</v>
      </c>
      <c r="E3793" s="1573">
        <v>0.60799999999999998</v>
      </c>
      <c r="F3793" s="864">
        <v>668.80000000000007</v>
      </c>
      <c r="H3793" s="864">
        <v>301.60000000000002</v>
      </c>
      <c r="I3793" s="864">
        <v>1830</v>
      </c>
      <c r="J3793" s="1816">
        <v>0.23599999999999999</v>
      </c>
      <c r="K3793" s="647">
        <v>9.43</v>
      </c>
      <c r="L3793" s="864">
        <v>880</v>
      </c>
      <c r="M3793" s="647">
        <v>3.07</v>
      </c>
      <c r="N3793" s="647">
        <v>1.58</v>
      </c>
      <c r="O3793" s="647">
        <v>8.59</v>
      </c>
      <c r="P3793" s="862">
        <v>7.14</v>
      </c>
      <c r="R3793" s="647">
        <v>1.3540497816444177</v>
      </c>
      <c r="S3793" s="863">
        <v>10.1</v>
      </c>
      <c r="Y3793" s="1817">
        <v>21.6</v>
      </c>
      <c r="AA3793" s="647">
        <v>4.5999999999999996</v>
      </c>
      <c r="AB3793" s="647">
        <v>0.65600000000000003</v>
      </c>
      <c r="AC3793" s="862">
        <v>8.8000000000000007</v>
      </c>
      <c r="AD3793" s="867">
        <v>360</v>
      </c>
      <c r="AE3793" s="867">
        <v>180</v>
      </c>
      <c r="AF3793" s="867">
        <v>460</v>
      </c>
      <c r="AG3793" s="66">
        <f t="shared" si="143"/>
        <v>154.54722222222219</v>
      </c>
      <c r="AH3793" s="143">
        <f t="shared" si="144"/>
        <v>1000</v>
      </c>
    </row>
    <row r="3794" spans="1:34" s="862" customFormat="1" x14ac:dyDescent="0.3">
      <c r="A3794" s="862">
        <v>203873</v>
      </c>
      <c r="B3794" s="863">
        <v>1.6</v>
      </c>
      <c r="C3794" s="863"/>
      <c r="D3794" s="647">
        <v>7.9519230769230766</v>
      </c>
      <c r="E3794" s="1573">
        <v>0.25800000000000001</v>
      </c>
      <c r="F3794" s="864">
        <v>283.80000000000007</v>
      </c>
      <c r="H3794" s="864">
        <v>28.51</v>
      </c>
      <c r="I3794" s="864">
        <v>120</v>
      </c>
      <c r="J3794" s="1816">
        <v>0.182</v>
      </c>
      <c r="K3794" s="647">
        <v>10.61</v>
      </c>
      <c r="L3794" s="864">
        <v>940</v>
      </c>
      <c r="M3794" s="647">
        <v>0.61</v>
      </c>
      <c r="N3794" s="647">
        <v>1.04</v>
      </c>
      <c r="O3794" s="647">
        <v>4.46</v>
      </c>
      <c r="P3794" s="862">
        <v>8.9499999999999993</v>
      </c>
      <c r="R3794" s="647">
        <v>1.674153</v>
      </c>
      <c r="S3794" s="863">
        <v>12.9</v>
      </c>
      <c r="Y3794" s="1817">
        <v>27.6</v>
      </c>
      <c r="AA3794" s="647">
        <v>4.03</v>
      </c>
      <c r="AB3794" s="647">
        <v>0.48</v>
      </c>
      <c r="AC3794" s="862">
        <v>6</v>
      </c>
      <c r="AD3794" s="867">
        <v>460</v>
      </c>
      <c r="AE3794" s="867">
        <v>160</v>
      </c>
      <c r="AF3794" s="867">
        <v>380</v>
      </c>
      <c r="AG3794" s="66">
        <f t="shared" si="143"/>
        <v>136.08478260869563</v>
      </c>
      <c r="AH3794" s="143">
        <f t="shared" si="144"/>
        <v>1000</v>
      </c>
    </row>
    <row r="3795" spans="1:34" s="862" customFormat="1" x14ac:dyDescent="0.3">
      <c r="A3795" s="862">
        <v>203874</v>
      </c>
      <c r="B3795" s="863">
        <v>9.6</v>
      </c>
      <c r="C3795" s="863"/>
      <c r="D3795" s="647">
        <v>8.4519230769230766</v>
      </c>
      <c r="E3795" s="1573">
        <v>0.151</v>
      </c>
      <c r="F3795" s="864">
        <v>166.1</v>
      </c>
      <c r="H3795" s="864">
        <v>11.22</v>
      </c>
      <c r="I3795" s="864">
        <v>100</v>
      </c>
      <c r="J3795" s="1816">
        <v>0.14799999999999999</v>
      </c>
      <c r="K3795" s="647">
        <v>11.09</v>
      </c>
      <c r="L3795" s="864">
        <v>930</v>
      </c>
      <c r="M3795" s="647">
        <v>0.11</v>
      </c>
      <c r="N3795" s="647">
        <v>1.77</v>
      </c>
      <c r="O3795" s="647">
        <v>3.44</v>
      </c>
      <c r="P3795" s="862">
        <v>4.8899999999999997</v>
      </c>
      <c r="R3795" s="647">
        <v>0.72009735482212478</v>
      </c>
      <c r="S3795" s="863">
        <v>5.2</v>
      </c>
      <c r="Y3795" s="1817">
        <v>30</v>
      </c>
      <c r="AA3795" s="647">
        <v>4.57</v>
      </c>
      <c r="AB3795" s="647">
        <v>0.56100000000000005</v>
      </c>
      <c r="AC3795" s="862">
        <v>7.3</v>
      </c>
      <c r="AD3795" s="867">
        <v>600</v>
      </c>
      <c r="AE3795" s="867">
        <v>300</v>
      </c>
      <c r="AF3795" s="867">
        <v>100</v>
      </c>
      <c r="AG3795" s="66">
        <f t="shared" si="143"/>
        <v>130.86199999999999</v>
      </c>
      <c r="AH3795" s="143">
        <f t="shared" si="144"/>
        <v>1000</v>
      </c>
    </row>
    <row r="3796" spans="1:34" s="862" customFormat="1" x14ac:dyDescent="0.3">
      <c r="A3796" s="862">
        <v>203875</v>
      </c>
      <c r="B3796" s="863">
        <v>9</v>
      </c>
      <c r="C3796" s="863"/>
      <c r="D3796" s="647">
        <v>8.365384615384615</v>
      </c>
      <c r="E3796" s="1573">
        <v>0.193</v>
      </c>
      <c r="F3796" s="864">
        <v>212.3</v>
      </c>
      <c r="H3796" s="864">
        <v>10.6</v>
      </c>
      <c r="I3796" s="864">
        <v>120</v>
      </c>
      <c r="J3796" s="1816">
        <v>0.28199999999999997</v>
      </c>
      <c r="K3796" s="647">
        <v>11.3</v>
      </c>
      <c r="L3796" s="864">
        <v>1080</v>
      </c>
      <c r="M3796" s="647">
        <v>0.1</v>
      </c>
      <c r="N3796" s="647">
        <v>1.77</v>
      </c>
      <c r="O3796" s="647">
        <v>3.52</v>
      </c>
      <c r="P3796" s="862">
        <v>5.68</v>
      </c>
      <c r="R3796" s="647">
        <v>0.74395969295339259</v>
      </c>
      <c r="S3796" s="863">
        <v>5.3000000000000007</v>
      </c>
      <c r="Y3796" s="1817">
        <v>29.5</v>
      </c>
      <c r="AA3796" s="647">
        <v>3.47</v>
      </c>
      <c r="AB3796" s="647">
        <v>0.43</v>
      </c>
      <c r="AC3796" s="862">
        <v>8.8000000000000007</v>
      </c>
      <c r="AD3796" s="867">
        <v>590</v>
      </c>
      <c r="AE3796" s="867">
        <v>300</v>
      </c>
      <c r="AF3796" s="867">
        <v>110</v>
      </c>
      <c r="AG3796" s="66">
        <f t="shared" si="143"/>
        <v>135.60000000000002</v>
      </c>
      <c r="AH3796" s="143">
        <f t="shared" si="144"/>
        <v>1000</v>
      </c>
    </row>
    <row r="3797" spans="1:34" s="862" customFormat="1" x14ac:dyDescent="0.3">
      <c r="A3797" s="862">
        <v>203876</v>
      </c>
      <c r="B3797" s="863">
        <v>5.0999999999999996</v>
      </c>
      <c r="C3797" s="863"/>
      <c r="D3797" s="647">
        <v>7.9615384615384608</v>
      </c>
      <c r="E3797" s="1573">
        <v>0.623</v>
      </c>
      <c r="F3797" s="864">
        <v>685.30000000000007</v>
      </c>
      <c r="H3797" s="864">
        <v>22.1</v>
      </c>
      <c r="I3797" s="864">
        <v>1160</v>
      </c>
      <c r="J3797" s="1816">
        <v>0.25</v>
      </c>
      <c r="K3797" s="647">
        <v>11.34</v>
      </c>
      <c r="L3797" s="864">
        <v>500</v>
      </c>
      <c r="M3797" s="647">
        <v>0.26</v>
      </c>
      <c r="N3797" s="647">
        <v>1.1000000000000001</v>
      </c>
      <c r="O3797" s="647">
        <v>3.45</v>
      </c>
      <c r="P3797" s="862">
        <v>2.92</v>
      </c>
      <c r="R3797" s="647">
        <v>1.1612050302739971</v>
      </c>
      <c r="S3797" s="863">
        <v>7.9</v>
      </c>
      <c r="Y3797" s="1817">
        <v>28</v>
      </c>
      <c r="AA3797" s="647">
        <v>3.61</v>
      </c>
      <c r="AB3797" s="647">
        <v>0.56399999999999995</v>
      </c>
      <c r="AC3797" s="862">
        <v>11</v>
      </c>
      <c r="AD3797" s="867">
        <v>560</v>
      </c>
      <c r="AE3797" s="867">
        <v>300</v>
      </c>
      <c r="AF3797" s="867">
        <v>140</v>
      </c>
      <c r="AG3797" s="66">
        <f t="shared" si="143"/>
        <v>143.37</v>
      </c>
      <c r="AH3797" s="143">
        <f t="shared" si="144"/>
        <v>1000</v>
      </c>
    </row>
    <row r="3798" spans="1:34" s="862" customFormat="1" x14ac:dyDescent="0.3">
      <c r="A3798" s="862">
        <v>203877</v>
      </c>
      <c r="B3798" s="863">
        <v>5.5</v>
      </c>
      <c r="C3798" s="863"/>
      <c r="D3798" s="647">
        <v>8.3942307692307701</v>
      </c>
      <c r="E3798" s="1573">
        <v>0.158</v>
      </c>
      <c r="F3798" s="864">
        <v>173.8</v>
      </c>
      <c r="H3798" s="864">
        <v>16.309999999999999</v>
      </c>
      <c r="I3798" s="864">
        <v>300</v>
      </c>
      <c r="J3798" s="1816">
        <v>0.08</v>
      </c>
      <c r="K3798" s="647">
        <v>10.79</v>
      </c>
      <c r="L3798" s="864">
        <v>650</v>
      </c>
      <c r="M3798" s="647">
        <v>0.28999999999999998</v>
      </c>
      <c r="N3798" s="647">
        <v>1.46</v>
      </c>
      <c r="O3798" s="647">
        <v>2.19</v>
      </c>
      <c r="P3798" s="862">
        <v>4.29</v>
      </c>
      <c r="R3798" s="647">
        <v>1.1343253208507851</v>
      </c>
      <c r="S3798" s="863">
        <v>8.5</v>
      </c>
      <c r="Y3798" s="1817">
        <v>39.9</v>
      </c>
      <c r="AA3798" s="647">
        <v>3.99</v>
      </c>
      <c r="AB3798" s="647">
        <v>0.57899999999999996</v>
      </c>
      <c r="AC3798" s="862">
        <v>9.1999999999999993</v>
      </c>
      <c r="AD3798" s="867">
        <v>570</v>
      </c>
      <c r="AE3798" s="867">
        <v>320</v>
      </c>
      <c r="AF3798" s="867">
        <v>110</v>
      </c>
      <c r="AG3798" s="66">
        <f t="shared" si="143"/>
        <v>95.730827067669168</v>
      </c>
      <c r="AH3798" s="143">
        <f t="shared" si="144"/>
        <v>1000</v>
      </c>
    </row>
    <row r="3799" spans="1:34" s="862" customFormat="1" x14ac:dyDescent="0.3">
      <c r="A3799" s="862">
        <v>203878</v>
      </c>
      <c r="B3799" s="863">
        <v>5</v>
      </c>
      <c r="C3799" s="863"/>
      <c r="D3799" s="647">
        <v>8.6442307692307683</v>
      </c>
      <c r="E3799" s="1573">
        <v>0.151</v>
      </c>
      <c r="F3799" s="864">
        <v>166.1</v>
      </c>
      <c r="H3799" s="864">
        <v>26.45</v>
      </c>
      <c r="I3799" s="864">
        <v>310</v>
      </c>
      <c r="J3799" s="1816">
        <v>8.1000000000000003E-2</v>
      </c>
      <c r="K3799" s="647">
        <v>10.79</v>
      </c>
      <c r="L3799" s="864">
        <v>660</v>
      </c>
      <c r="M3799" s="647">
        <v>0.32</v>
      </c>
      <c r="N3799" s="647">
        <v>2.09</v>
      </c>
      <c r="O3799" s="647">
        <v>8.6999999999999993</v>
      </c>
      <c r="P3799" s="862">
        <v>4.5599999999999996</v>
      </c>
      <c r="R3799" s="647">
        <v>0.66165807424231637</v>
      </c>
      <c r="S3799" s="863">
        <v>4.5</v>
      </c>
      <c r="Y3799" s="1817">
        <v>27.6</v>
      </c>
      <c r="AA3799" s="647">
        <v>4.8499999999999996</v>
      </c>
      <c r="AB3799" s="647">
        <v>0.67300000000000004</v>
      </c>
      <c r="AC3799" s="862">
        <v>7.4</v>
      </c>
      <c r="AD3799" s="867">
        <v>460</v>
      </c>
      <c r="AE3799" s="867">
        <v>200</v>
      </c>
      <c r="AF3799" s="867">
        <v>340</v>
      </c>
      <c r="AG3799" s="66">
        <f t="shared" si="143"/>
        <v>138.39347826086956</v>
      </c>
      <c r="AH3799" s="143">
        <f t="shared" si="144"/>
        <v>1000</v>
      </c>
    </row>
    <row r="3800" spans="1:34" s="862" customFormat="1" x14ac:dyDescent="0.3">
      <c r="A3800" s="862">
        <v>203879</v>
      </c>
      <c r="B3800" s="863">
        <v>5.3</v>
      </c>
      <c r="C3800" s="863"/>
      <c r="D3800" s="647">
        <v>8.625</v>
      </c>
      <c r="E3800" s="1573">
        <v>0.158</v>
      </c>
      <c r="F3800" s="864">
        <v>173.8</v>
      </c>
      <c r="H3800" s="864">
        <v>9.0500000000000007</v>
      </c>
      <c r="I3800" s="864">
        <v>80</v>
      </c>
      <c r="J3800" s="1816">
        <v>0.22600000000000001</v>
      </c>
      <c r="K3800" s="647">
        <v>10.86</v>
      </c>
      <c r="L3800" s="864">
        <v>450</v>
      </c>
      <c r="M3800" s="647">
        <v>0.11</v>
      </c>
      <c r="N3800" s="647">
        <v>1.52</v>
      </c>
      <c r="O3800" s="647">
        <v>1.7</v>
      </c>
      <c r="P3800" s="862">
        <v>4.74</v>
      </c>
      <c r="R3800" s="647">
        <v>0.73388306027155659</v>
      </c>
      <c r="S3800" s="863">
        <v>5.2</v>
      </c>
      <c r="Y3800" s="1817">
        <v>22.5</v>
      </c>
      <c r="AA3800" s="647">
        <v>4.9400000000000004</v>
      </c>
      <c r="AB3800" s="647">
        <v>0.66100000000000003</v>
      </c>
      <c r="AC3800" s="862">
        <v>8.6</v>
      </c>
      <c r="AD3800" s="867">
        <v>450</v>
      </c>
      <c r="AE3800" s="867">
        <v>240</v>
      </c>
      <c r="AF3800" s="867">
        <v>310</v>
      </c>
      <c r="AG3800" s="66">
        <f t="shared" si="143"/>
        <v>170.864</v>
      </c>
      <c r="AH3800" s="143">
        <f t="shared" si="144"/>
        <v>1000</v>
      </c>
    </row>
    <row r="3801" spans="1:34" s="862" customFormat="1" x14ac:dyDescent="0.3">
      <c r="A3801" s="862">
        <v>203880</v>
      </c>
      <c r="B3801" s="863">
        <v>5.3</v>
      </c>
      <c r="C3801" s="863"/>
      <c r="D3801" s="647">
        <v>8.4423076923076916</v>
      </c>
      <c r="E3801" s="1573">
        <v>0.24299999999999999</v>
      </c>
      <c r="F3801" s="864">
        <v>267.3</v>
      </c>
      <c r="H3801" s="864">
        <v>25.35</v>
      </c>
      <c r="I3801" s="864">
        <v>120</v>
      </c>
      <c r="J3801" s="1816">
        <v>0.26700000000000002</v>
      </c>
      <c r="K3801" s="647">
        <v>11.01</v>
      </c>
      <c r="L3801" s="864">
        <v>490</v>
      </c>
      <c r="M3801" s="647">
        <v>0.26</v>
      </c>
      <c r="N3801" s="647">
        <v>1.1000000000000001</v>
      </c>
      <c r="O3801" s="647">
        <v>4.8499999999999996</v>
      </c>
      <c r="P3801" s="862">
        <v>2.83</v>
      </c>
      <c r="R3801" s="647">
        <v>0.87140794590594217</v>
      </c>
      <c r="S3801" s="863">
        <v>6.2</v>
      </c>
      <c r="Y3801" s="1817">
        <v>26.4</v>
      </c>
      <c r="AA3801" s="647">
        <v>3.6</v>
      </c>
      <c r="AB3801" s="647">
        <v>0.42</v>
      </c>
      <c r="AC3801" s="862">
        <v>10</v>
      </c>
      <c r="AD3801" s="867">
        <v>440</v>
      </c>
      <c r="AE3801" s="867">
        <v>220</v>
      </c>
      <c r="AF3801" s="867">
        <v>340</v>
      </c>
      <c r="AG3801" s="66">
        <f t="shared" si="143"/>
        <v>147.63409090909093</v>
      </c>
      <c r="AH3801" s="143">
        <f t="shared" si="144"/>
        <v>1000</v>
      </c>
    </row>
    <row r="3802" spans="1:34" s="862" customFormat="1" x14ac:dyDescent="0.3">
      <c r="A3802" s="862">
        <v>203881</v>
      </c>
      <c r="B3802" s="863">
        <v>6.5</v>
      </c>
      <c r="C3802" s="863"/>
      <c r="D3802" s="647">
        <v>8.634615384615385</v>
      </c>
      <c r="E3802" s="1573">
        <v>0.23</v>
      </c>
      <c r="F3802" s="864">
        <v>253.00000000000006</v>
      </c>
      <c r="H3802" s="864">
        <v>10.57</v>
      </c>
      <c r="I3802" s="864">
        <v>80</v>
      </c>
      <c r="J3802" s="1816">
        <v>0.42299999999999999</v>
      </c>
      <c r="K3802" s="647">
        <v>11.04</v>
      </c>
      <c r="L3802" s="864">
        <v>740</v>
      </c>
      <c r="M3802" s="647">
        <v>0.1</v>
      </c>
      <c r="N3802" s="647">
        <v>1.68</v>
      </c>
      <c r="O3802" s="647">
        <v>2.25</v>
      </c>
      <c r="P3802" s="862">
        <v>3.82</v>
      </c>
      <c r="R3802" s="647">
        <v>0.76187372210823245</v>
      </c>
      <c r="S3802" s="863">
        <v>5.6000000000000005</v>
      </c>
      <c r="Y3802" s="1817">
        <v>29</v>
      </c>
      <c r="AA3802" s="647">
        <v>4.43</v>
      </c>
      <c r="AB3802" s="647">
        <v>0.878</v>
      </c>
      <c r="AC3802" s="862">
        <v>6.5</v>
      </c>
      <c r="AD3802" s="867">
        <v>580</v>
      </c>
      <c r="AE3802" s="867">
        <v>320</v>
      </c>
      <c r="AF3802" s="867">
        <v>100</v>
      </c>
      <c r="AG3802" s="66">
        <f t="shared" si="143"/>
        <v>134.76413793103447</v>
      </c>
      <c r="AH3802" s="143">
        <f t="shared" si="144"/>
        <v>1000</v>
      </c>
    </row>
    <row r="3803" spans="1:34" s="862" customFormat="1" x14ac:dyDescent="0.3">
      <c r="A3803" s="862">
        <v>203882</v>
      </c>
      <c r="B3803" s="863">
        <v>6.8</v>
      </c>
      <c r="C3803" s="863"/>
      <c r="D3803" s="647">
        <v>8.4230769230769234</v>
      </c>
      <c r="E3803" s="1573">
        <v>0.127</v>
      </c>
      <c r="F3803" s="864">
        <v>139.70000000000002</v>
      </c>
      <c r="H3803" s="864">
        <v>15.04</v>
      </c>
      <c r="I3803" s="864">
        <v>200</v>
      </c>
      <c r="J3803" s="1816">
        <v>7.6999999999999999E-2</v>
      </c>
      <c r="K3803" s="647">
        <v>10.87</v>
      </c>
      <c r="L3803" s="864">
        <v>560</v>
      </c>
      <c r="M3803" s="647">
        <v>0.17</v>
      </c>
      <c r="N3803" s="647">
        <v>1.54</v>
      </c>
      <c r="O3803" s="647">
        <v>3.62</v>
      </c>
      <c r="P3803" s="862">
        <v>4.3600000000000003</v>
      </c>
      <c r="R3803" s="647">
        <v>0.6804093294575394</v>
      </c>
      <c r="S3803" s="863">
        <v>5.0999999999999996</v>
      </c>
      <c r="Y3803" s="1817">
        <v>24</v>
      </c>
      <c r="AA3803" s="647">
        <v>3.6</v>
      </c>
      <c r="AB3803" s="647">
        <v>0.54800000000000004</v>
      </c>
      <c r="AC3803" s="862">
        <v>6.6</v>
      </c>
      <c r="AD3803" s="867">
        <v>480</v>
      </c>
      <c r="AE3803" s="867">
        <v>220</v>
      </c>
      <c r="AF3803" s="867">
        <v>300</v>
      </c>
      <c r="AG3803" s="66">
        <f t="shared" si="143"/>
        <v>160.33249999999998</v>
      </c>
      <c r="AH3803" s="143">
        <f t="shared" si="144"/>
        <v>1000</v>
      </c>
    </row>
    <row r="3804" spans="1:34" s="862" customFormat="1" x14ac:dyDescent="0.3">
      <c r="A3804" s="862">
        <v>203883</v>
      </c>
      <c r="B3804" s="863">
        <v>6.5</v>
      </c>
      <c r="C3804" s="863"/>
      <c r="D3804" s="647">
        <v>8.4519230769230766</v>
      </c>
      <c r="E3804" s="1573">
        <v>0.13200000000000001</v>
      </c>
      <c r="F3804" s="864">
        <v>145.20000000000002</v>
      </c>
      <c r="H3804" s="864">
        <v>16.510000000000002</v>
      </c>
      <c r="I3804" s="864">
        <v>260</v>
      </c>
      <c r="J3804" s="1816">
        <v>7.3999999999999996E-2</v>
      </c>
      <c r="K3804" s="647">
        <v>10.98</v>
      </c>
      <c r="L3804" s="864">
        <v>600</v>
      </c>
      <c r="M3804" s="647">
        <v>0.21</v>
      </c>
      <c r="N3804" s="647">
        <v>1.76</v>
      </c>
      <c r="O3804" s="647">
        <v>3.86</v>
      </c>
      <c r="P3804" s="862">
        <v>5.0199999999999996</v>
      </c>
      <c r="R3804" s="647">
        <v>0.90076635145002515</v>
      </c>
      <c r="S3804" s="863">
        <v>6.4</v>
      </c>
      <c r="Y3804" s="1817">
        <v>34.299999999999997</v>
      </c>
      <c r="AA3804" s="647">
        <v>4.7300000000000004</v>
      </c>
      <c r="AB3804" s="647">
        <v>0.34</v>
      </c>
      <c r="AC3804" s="862">
        <v>9.1</v>
      </c>
      <c r="AD3804" s="867">
        <v>490</v>
      </c>
      <c r="AE3804" s="867">
        <v>230</v>
      </c>
      <c r="AF3804" s="867">
        <v>280</v>
      </c>
      <c r="AG3804" s="66">
        <f t="shared" si="143"/>
        <v>113.32128279883383</v>
      </c>
      <c r="AH3804" s="143">
        <f t="shared" si="144"/>
        <v>1000</v>
      </c>
    </row>
    <row r="3805" spans="1:34" s="862" customFormat="1" x14ac:dyDescent="0.3">
      <c r="A3805" s="862">
        <v>203884</v>
      </c>
      <c r="B3805" s="863">
        <v>6.2</v>
      </c>
      <c r="C3805" s="863"/>
      <c r="D3805" s="647">
        <v>8.7211538461538467</v>
      </c>
      <c r="E3805" s="1573">
        <v>0.158</v>
      </c>
      <c r="F3805" s="864">
        <v>173.8</v>
      </c>
      <c r="H3805" s="864">
        <v>20.8</v>
      </c>
      <c r="I3805" s="864">
        <v>70</v>
      </c>
      <c r="J3805" s="1816">
        <v>0.22900000000000001</v>
      </c>
      <c r="K3805" s="647">
        <v>11.78</v>
      </c>
      <c r="L3805" s="864">
        <v>360</v>
      </c>
      <c r="M3805" s="647">
        <v>0.2</v>
      </c>
      <c r="N3805" s="647">
        <v>1.03</v>
      </c>
      <c r="O3805" s="647">
        <v>3.28</v>
      </c>
      <c r="P3805" s="862">
        <v>2.86</v>
      </c>
      <c r="R3805" s="647">
        <v>0.58871494808442038</v>
      </c>
      <c r="S3805" s="863">
        <v>3.9000000000000004</v>
      </c>
      <c r="Y3805" s="1817">
        <v>21.6</v>
      </c>
      <c r="AA3805" s="647">
        <v>4.41</v>
      </c>
      <c r="AB3805" s="647">
        <v>0.81100000000000005</v>
      </c>
      <c r="AC3805" s="862">
        <v>11.8</v>
      </c>
      <c r="AD3805" s="867">
        <v>360</v>
      </c>
      <c r="AE3805" s="867">
        <v>160</v>
      </c>
      <c r="AF3805" s="867">
        <v>480</v>
      </c>
      <c r="AG3805" s="66">
        <f t="shared" si="143"/>
        <v>193.0611111111111</v>
      </c>
      <c r="AH3805" s="143">
        <f t="shared" si="144"/>
        <v>1000</v>
      </c>
    </row>
    <row r="3806" spans="1:34" s="862" customFormat="1" x14ac:dyDescent="0.3">
      <c r="A3806" s="862">
        <v>203885</v>
      </c>
      <c r="B3806" s="863">
        <v>8.6</v>
      </c>
      <c r="C3806" s="863"/>
      <c r="D3806" s="647">
        <v>7.9615384615384608</v>
      </c>
      <c r="E3806" s="1573">
        <v>0.56000000000000005</v>
      </c>
      <c r="F3806" s="864">
        <v>616.00000000000011</v>
      </c>
      <c r="H3806" s="864">
        <v>29.9</v>
      </c>
      <c r="I3806" s="864">
        <v>150</v>
      </c>
      <c r="J3806" s="1816">
        <v>0.35299999999999998</v>
      </c>
      <c r="K3806" s="647">
        <v>11.81</v>
      </c>
      <c r="L3806" s="864">
        <v>620</v>
      </c>
      <c r="M3806" s="647">
        <v>0.56000000000000005</v>
      </c>
      <c r="N3806" s="647">
        <v>1.84</v>
      </c>
      <c r="O3806" s="647">
        <v>9.52</v>
      </c>
      <c r="P3806" s="862">
        <v>5.24</v>
      </c>
      <c r="R3806" s="647">
        <v>0.87060805814737374</v>
      </c>
      <c r="S3806" s="863">
        <v>6.5</v>
      </c>
      <c r="Y3806" s="1817">
        <v>29</v>
      </c>
      <c r="AA3806" s="647">
        <v>4.3499999999999996</v>
      </c>
      <c r="AB3806" s="647">
        <v>0.34899999999999998</v>
      </c>
      <c r="AC3806" s="862">
        <v>6.3</v>
      </c>
      <c r="AD3806" s="867">
        <v>580</v>
      </c>
      <c r="AE3806" s="867">
        <v>300</v>
      </c>
      <c r="AF3806" s="867">
        <v>120</v>
      </c>
      <c r="AG3806" s="66">
        <f t="shared" si="143"/>
        <v>144.16344827586207</v>
      </c>
      <c r="AH3806" s="143">
        <f t="shared" si="144"/>
        <v>1000</v>
      </c>
    </row>
    <row r="3807" spans="1:34" s="862" customFormat="1" x14ac:dyDescent="0.3">
      <c r="A3807" s="862">
        <v>203886</v>
      </c>
      <c r="B3807" s="863">
        <v>7.7</v>
      </c>
      <c r="C3807" s="863"/>
      <c r="D3807" s="647">
        <v>8.5096153846153832</v>
      </c>
      <c r="E3807" s="1573">
        <v>0.28699999999999998</v>
      </c>
      <c r="F3807" s="864">
        <v>315.7</v>
      </c>
      <c r="H3807" s="864">
        <v>15.46</v>
      </c>
      <c r="I3807" s="864">
        <v>100</v>
      </c>
      <c r="J3807" s="1816">
        <v>0.34599999999999997</v>
      </c>
      <c r="K3807" s="647">
        <v>11.52</v>
      </c>
      <c r="L3807" s="864">
        <v>680</v>
      </c>
      <c r="M3807" s="647">
        <v>0.13</v>
      </c>
      <c r="N3807" s="647">
        <v>1.37</v>
      </c>
      <c r="O3807" s="647">
        <v>1.43</v>
      </c>
      <c r="P3807" s="862">
        <v>4.1399999999999997</v>
      </c>
      <c r="R3807" s="647">
        <v>0.64015175116735146</v>
      </c>
      <c r="S3807" s="863">
        <v>4.8</v>
      </c>
      <c r="Y3807" s="1817">
        <v>27</v>
      </c>
      <c r="AA3807" s="647">
        <v>4.2300000000000004</v>
      </c>
      <c r="AB3807" s="647">
        <v>0.42799999999999999</v>
      </c>
      <c r="AC3807" s="862">
        <v>7.5</v>
      </c>
      <c r="AD3807" s="867">
        <v>540</v>
      </c>
      <c r="AE3807" s="867">
        <v>220</v>
      </c>
      <c r="AF3807" s="867">
        <v>240</v>
      </c>
      <c r="AG3807" s="66">
        <f t="shared" si="143"/>
        <v>151.04</v>
      </c>
      <c r="AH3807" s="143">
        <f t="shared" si="144"/>
        <v>1000</v>
      </c>
    </row>
    <row r="3808" spans="1:34" s="862" customFormat="1" x14ac:dyDescent="0.3">
      <c r="A3808" s="862">
        <v>203887</v>
      </c>
      <c r="B3808" s="863">
        <v>4.7</v>
      </c>
      <c r="C3808" s="863"/>
      <c r="D3808" s="647">
        <v>8.1538461538461533</v>
      </c>
      <c r="E3808" s="1573">
        <v>0.39700000000000002</v>
      </c>
      <c r="F3808" s="864">
        <v>436.70000000000005</v>
      </c>
      <c r="H3808" s="864">
        <v>14.7</v>
      </c>
      <c r="I3808" s="864">
        <v>130</v>
      </c>
      <c r="J3808" s="1816">
        <v>0.23300000000000001</v>
      </c>
      <c r="K3808" s="647">
        <v>10.64</v>
      </c>
      <c r="L3808" s="864">
        <v>520</v>
      </c>
      <c r="M3808" s="647">
        <v>0.13</v>
      </c>
      <c r="N3808" s="647">
        <v>1.36</v>
      </c>
      <c r="O3808" s="647">
        <v>0.69</v>
      </c>
      <c r="P3808" s="862">
        <v>4.04</v>
      </c>
      <c r="R3808" s="647">
        <v>0.93316339456046205</v>
      </c>
      <c r="S3808" s="863">
        <v>6.5</v>
      </c>
      <c r="Y3808" s="1817">
        <v>26.5</v>
      </c>
      <c r="AA3808" s="647">
        <v>4.99</v>
      </c>
      <c r="AB3808" s="647">
        <v>0.433</v>
      </c>
      <c r="AC3808" s="862">
        <v>10.6</v>
      </c>
      <c r="AD3808" s="867">
        <v>530</v>
      </c>
      <c r="AE3808" s="867">
        <v>230</v>
      </c>
      <c r="AF3808" s="867">
        <v>240</v>
      </c>
      <c r="AG3808" s="66">
        <f t="shared" si="143"/>
        <v>142.13433962264153</v>
      </c>
      <c r="AH3808" s="143">
        <f t="shared" si="144"/>
        <v>1000</v>
      </c>
    </row>
    <row r="3809" spans="1:34" s="862" customFormat="1" x14ac:dyDescent="0.3">
      <c r="A3809" s="862">
        <v>203888</v>
      </c>
      <c r="B3809" s="863">
        <v>2.9</v>
      </c>
      <c r="C3809" s="863"/>
      <c r="D3809" s="647">
        <v>8.2019230769230766</v>
      </c>
      <c r="E3809" s="1573">
        <v>0.35799999999999998</v>
      </c>
      <c r="F3809" s="864">
        <v>393.8</v>
      </c>
      <c r="H3809" s="864">
        <v>13.82</v>
      </c>
      <c r="I3809" s="864">
        <v>100</v>
      </c>
      <c r="J3809" s="1816">
        <v>0.314</v>
      </c>
      <c r="K3809" s="647">
        <v>10.16</v>
      </c>
      <c r="L3809" s="864">
        <v>520</v>
      </c>
      <c r="M3809" s="647">
        <v>0.27</v>
      </c>
      <c r="N3809" s="647">
        <v>1.23</v>
      </c>
      <c r="O3809" s="647">
        <v>4.57</v>
      </c>
      <c r="P3809" s="862">
        <v>3.46</v>
      </c>
      <c r="R3809" s="647">
        <v>0.71940095529275849</v>
      </c>
      <c r="S3809" s="863">
        <v>5.0999999999999996</v>
      </c>
      <c r="Y3809" s="1817">
        <v>22.8</v>
      </c>
      <c r="AA3809" s="647">
        <v>3.65</v>
      </c>
      <c r="AB3809" s="647">
        <v>0.77</v>
      </c>
      <c r="AC3809" s="862">
        <v>10.9</v>
      </c>
      <c r="AD3809" s="867">
        <v>380</v>
      </c>
      <c r="AE3809" s="867">
        <v>160</v>
      </c>
      <c r="AF3809" s="867">
        <v>460</v>
      </c>
      <c r="AG3809" s="66">
        <f t="shared" si="143"/>
        <v>157.74736842105261</v>
      </c>
      <c r="AH3809" s="143">
        <f t="shared" si="144"/>
        <v>1000</v>
      </c>
    </row>
    <row r="3810" spans="1:34" s="862" customFormat="1" x14ac:dyDescent="0.3">
      <c r="A3810" s="862">
        <v>203889</v>
      </c>
      <c r="B3810" s="863">
        <v>3.5</v>
      </c>
      <c r="C3810" s="863"/>
      <c r="D3810" s="647">
        <v>8.2788461538461533</v>
      </c>
      <c r="E3810" s="1573">
        <v>0.443</v>
      </c>
      <c r="F3810" s="864">
        <v>487.30000000000007</v>
      </c>
      <c r="H3810" s="864">
        <v>10.06</v>
      </c>
      <c r="I3810" s="864">
        <v>130</v>
      </c>
      <c r="J3810" s="1816">
        <v>0.373</v>
      </c>
      <c r="K3810" s="647">
        <v>10.68</v>
      </c>
      <c r="L3810" s="864">
        <v>670</v>
      </c>
      <c r="M3810" s="647">
        <v>0.28000000000000003</v>
      </c>
      <c r="N3810" s="647">
        <v>1.4</v>
      </c>
      <c r="O3810" s="647">
        <v>4.67</v>
      </c>
      <c r="P3810" s="862">
        <v>3.79</v>
      </c>
      <c r="R3810" s="647">
        <v>0.80441391429122089</v>
      </c>
      <c r="S3810" s="863">
        <v>5.8</v>
      </c>
      <c r="Y3810" s="1817">
        <v>30.8</v>
      </c>
      <c r="AA3810" s="647">
        <v>4.99</v>
      </c>
      <c r="AB3810" s="647">
        <v>0.38800000000000001</v>
      </c>
      <c r="AC3810" s="862">
        <v>11.1</v>
      </c>
      <c r="AD3810" s="867">
        <v>440</v>
      </c>
      <c r="AE3810" s="867">
        <v>200</v>
      </c>
      <c r="AF3810" s="867">
        <v>360</v>
      </c>
      <c r="AG3810" s="66">
        <f t="shared" si="143"/>
        <v>122.75064935064935</v>
      </c>
      <c r="AH3810" s="143">
        <f t="shared" si="144"/>
        <v>1000</v>
      </c>
    </row>
    <row r="3811" spans="1:34" s="862" customFormat="1" x14ac:dyDescent="0.3">
      <c r="A3811" s="862">
        <v>203890</v>
      </c>
      <c r="B3811" s="863">
        <v>7.7</v>
      </c>
      <c r="C3811" s="863"/>
      <c r="D3811" s="647">
        <v>8.1249999999999982</v>
      </c>
      <c r="E3811" s="1573">
        <v>0.44</v>
      </c>
      <c r="F3811" s="864">
        <v>484.00000000000006</v>
      </c>
      <c r="H3811" s="864">
        <v>14.22</v>
      </c>
      <c r="I3811" s="864">
        <v>190</v>
      </c>
      <c r="J3811" s="1816">
        <v>0.312</v>
      </c>
      <c r="K3811" s="647">
        <v>10.4</v>
      </c>
      <c r="L3811" s="864">
        <v>590</v>
      </c>
      <c r="M3811" s="647">
        <v>0.22</v>
      </c>
      <c r="N3811" s="647">
        <v>1.17</v>
      </c>
      <c r="O3811" s="647">
        <v>5.31</v>
      </c>
      <c r="P3811" s="862">
        <v>2.85</v>
      </c>
      <c r="R3811" s="647">
        <v>0.94070357636519586</v>
      </c>
      <c r="S3811" s="863">
        <v>6.4</v>
      </c>
      <c r="Y3811" s="1817">
        <v>31.5</v>
      </c>
      <c r="AA3811" s="647">
        <v>4.07</v>
      </c>
      <c r="AB3811" s="647">
        <v>0.85699999999999998</v>
      </c>
      <c r="AC3811" s="862">
        <v>9.5</v>
      </c>
      <c r="AD3811" s="867">
        <v>450</v>
      </c>
      <c r="AE3811" s="867">
        <v>230</v>
      </c>
      <c r="AF3811" s="867">
        <v>320</v>
      </c>
      <c r="AG3811" s="66">
        <f t="shared" si="143"/>
        <v>116.87619047619049</v>
      </c>
      <c r="AH3811" s="143">
        <f t="shared" si="144"/>
        <v>1000</v>
      </c>
    </row>
    <row r="3812" spans="1:34" s="862" customFormat="1" x14ac:dyDescent="0.3">
      <c r="A3812" s="862">
        <v>203891</v>
      </c>
      <c r="B3812" s="863">
        <v>8.1999999999999993</v>
      </c>
      <c r="C3812" s="863"/>
      <c r="D3812" s="647">
        <v>8.5288461538461533</v>
      </c>
      <c r="E3812" s="1573">
        <v>0.17699999999999999</v>
      </c>
      <c r="F3812" s="864">
        <v>194.70000000000002</v>
      </c>
      <c r="H3812" s="864">
        <v>11.65</v>
      </c>
      <c r="I3812" s="864">
        <v>60</v>
      </c>
      <c r="J3812" s="1816">
        <v>0.125</v>
      </c>
      <c r="K3812" s="647">
        <v>10.130000000000001</v>
      </c>
      <c r="L3812" s="864">
        <v>510</v>
      </c>
      <c r="M3812" s="647">
        <v>0.1</v>
      </c>
      <c r="N3812" s="647">
        <v>0.87</v>
      </c>
      <c r="O3812" s="647">
        <v>1.52</v>
      </c>
      <c r="P3812" s="862">
        <v>2.67</v>
      </c>
      <c r="R3812" s="647">
        <v>0.53651606170238153</v>
      </c>
      <c r="S3812" s="863">
        <v>3.9000000000000004</v>
      </c>
      <c r="Y3812" s="1817">
        <v>18</v>
      </c>
      <c r="AA3812" s="647">
        <v>4.78</v>
      </c>
      <c r="AB3812" s="647">
        <v>0.70499999999999996</v>
      </c>
      <c r="AC3812" s="862">
        <v>10.4</v>
      </c>
      <c r="AD3812" s="867">
        <v>360</v>
      </c>
      <c r="AE3812" s="867">
        <v>140</v>
      </c>
      <c r="AF3812" s="867">
        <v>500</v>
      </c>
      <c r="AG3812" s="66">
        <f t="shared" si="143"/>
        <v>199.22333333333336</v>
      </c>
      <c r="AH3812" s="143">
        <f t="shared" si="144"/>
        <v>1000</v>
      </c>
    </row>
    <row r="3813" spans="1:34" s="862" customFormat="1" x14ac:dyDescent="0.3">
      <c r="A3813" s="862">
        <v>203892</v>
      </c>
      <c r="B3813" s="863">
        <v>5.2</v>
      </c>
      <c r="C3813" s="863"/>
      <c r="D3813" s="647">
        <v>8.3461538461538449</v>
      </c>
      <c r="E3813" s="1573">
        <v>0.23599999999999999</v>
      </c>
      <c r="F3813" s="864">
        <v>259.60000000000002</v>
      </c>
      <c r="H3813" s="864">
        <v>14.95</v>
      </c>
      <c r="I3813" s="864">
        <v>120</v>
      </c>
      <c r="J3813" s="1816">
        <v>0.28699999999999998</v>
      </c>
      <c r="K3813" s="647">
        <v>11.13</v>
      </c>
      <c r="L3813" s="864">
        <v>760</v>
      </c>
      <c r="M3813" s="647">
        <v>0.18</v>
      </c>
      <c r="N3813" s="647">
        <v>1.76</v>
      </c>
      <c r="O3813" s="647">
        <v>2.79</v>
      </c>
      <c r="P3813" s="862">
        <v>5.68</v>
      </c>
      <c r="R3813" s="647">
        <v>0.83851249641584924</v>
      </c>
      <c r="S3813" s="863">
        <v>6</v>
      </c>
      <c r="Y3813" s="1817">
        <v>33.6</v>
      </c>
      <c r="AA3813" s="647">
        <v>4.87</v>
      </c>
      <c r="AB3813" s="647">
        <v>0.60299999999999998</v>
      </c>
      <c r="AC3813" s="862">
        <v>10.9</v>
      </c>
      <c r="AD3813" s="867">
        <v>560</v>
      </c>
      <c r="AE3813" s="867">
        <v>320</v>
      </c>
      <c r="AF3813" s="867">
        <v>120</v>
      </c>
      <c r="AG3813" s="66">
        <f t="shared" si="143"/>
        <v>117.2625</v>
      </c>
      <c r="AH3813" s="143">
        <f t="shared" si="144"/>
        <v>1000</v>
      </c>
    </row>
    <row r="3814" spans="1:34" s="862" customFormat="1" x14ac:dyDescent="0.3">
      <c r="A3814" s="862">
        <v>203893</v>
      </c>
      <c r="B3814" s="863">
        <v>5.2</v>
      </c>
      <c r="C3814" s="863"/>
      <c r="D3814" s="647">
        <v>8.25</v>
      </c>
      <c r="E3814" s="1573">
        <v>0.26900000000000002</v>
      </c>
      <c r="F3814" s="864">
        <v>295.90000000000003</v>
      </c>
      <c r="H3814" s="864">
        <v>16.11</v>
      </c>
      <c r="I3814" s="864">
        <v>120</v>
      </c>
      <c r="J3814" s="1816">
        <v>0.23499999999999999</v>
      </c>
      <c r="K3814" s="647">
        <v>10.89</v>
      </c>
      <c r="L3814" s="864">
        <v>710</v>
      </c>
      <c r="M3814" s="647">
        <v>0.44</v>
      </c>
      <c r="N3814" s="647">
        <v>1.9</v>
      </c>
      <c r="O3814" s="647">
        <v>3</v>
      </c>
      <c r="P3814" s="862">
        <v>5.37</v>
      </c>
      <c r="R3814" s="647">
        <v>0.96759228741279135</v>
      </c>
      <c r="S3814" s="863">
        <v>7</v>
      </c>
      <c r="Y3814" s="1817">
        <v>41.3</v>
      </c>
      <c r="AA3814" s="647">
        <v>3.71</v>
      </c>
      <c r="AB3814" s="647">
        <v>0.442</v>
      </c>
      <c r="AC3814" s="862">
        <v>10.8</v>
      </c>
      <c r="AD3814" s="867">
        <v>590</v>
      </c>
      <c r="AE3814" s="867">
        <v>300</v>
      </c>
      <c r="AF3814" s="867">
        <v>110</v>
      </c>
      <c r="AG3814" s="66">
        <f t="shared" si="143"/>
        <v>93.342857142857156</v>
      </c>
      <c r="AH3814" s="143">
        <f t="shared" si="144"/>
        <v>1000</v>
      </c>
    </row>
    <row r="3815" spans="1:34" s="862" customFormat="1" x14ac:dyDescent="0.3">
      <c r="A3815" s="862">
        <v>203894</v>
      </c>
      <c r="B3815" s="863">
        <v>6.6</v>
      </c>
      <c r="C3815" s="863"/>
      <c r="D3815" s="647">
        <v>8.625</v>
      </c>
      <c r="E3815" s="1573">
        <v>0.157</v>
      </c>
      <c r="F3815" s="864">
        <v>172.70000000000002</v>
      </c>
      <c r="H3815" s="864">
        <v>12.97</v>
      </c>
      <c r="I3815" s="864">
        <v>80</v>
      </c>
      <c r="J3815" s="1816">
        <v>0.184</v>
      </c>
      <c r="K3815" s="647">
        <v>10.85</v>
      </c>
      <c r="L3815" s="864">
        <v>590</v>
      </c>
      <c r="M3815" s="647">
        <v>0.14000000000000001</v>
      </c>
      <c r="N3815" s="647">
        <v>1.27</v>
      </c>
      <c r="O3815" s="647">
        <v>1.91</v>
      </c>
      <c r="P3815" s="862">
        <v>3.77</v>
      </c>
      <c r="R3815" s="647">
        <v>0.60723817864987628</v>
      </c>
      <c r="S3815" s="863">
        <v>4</v>
      </c>
      <c r="Y3815" s="1817">
        <v>21</v>
      </c>
      <c r="AA3815" s="647">
        <v>3.48</v>
      </c>
      <c r="AB3815" s="647">
        <v>0.625</v>
      </c>
      <c r="AC3815" s="862">
        <v>11.1</v>
      </c>
      <c r="AD3815" s="867">
        <v>420</v>
      </c>
      <c r="AE3815" s="867">
        <v>240</v>
      </c>
      <c r="AF3815" s="867">
        <v>340</v>
      </c>
      <c r="AG3815" s="66">
        <f t="shared" si="143"/>
        <v>182.9</v>
      </c>
      <c r="AH3815" s="143">
        <f t="shared" si="144"/>
        <v>1000</v>
      </c>
    </row>
    <row r="3816" spans="1:34" s="862" customFormat="1" x14ac:dyDescent="0.3">
      <c r="A3816" s="862">
        <v>203895</v>
      </c>
      <c r="B3816" s="863">
        <v>6.3</v>
      </c>
      <c r="C3816" s="863"/>
      <c r="D3816" s="647">
        <v>8.0769230769230766</v>
      </c>
      <c r="E3816" s="1573">
        <v>0.53400000000000003</v>
      </c>
      <c r="F3816" s="864">
        <v>587.4</v>
      </c>
      <c r="H3816" s="864">
        <v>13.17</v>
      </c>
      <c r="I3816" s="864">
        <v>140</v>
      </c>
      <c r="J3816" s="1816">
        <v>0.40500000000000003</v>
      </c>
      <c r="K3816" s="647">
        <v>11.31</v>
      </c>
      <c r="L3816" s="864">
        <v>650</v>
      </c>
      <c r="M3816" s="647">
        <v>0.22</v>
      </c>
      <c r="N3816" s="647">
        <v>2.02</v>
      </c>
      <c r="O3816" s="647">
        <v>9.4499999999999993</v>
      </c>
      <c r="P3816" s="862">
        <v>5.78</v>
      </c>
      <c r="R3816" s="647">
        <v>0.81253647240369331</v>
      </c>
      <c r="S3816" s="863">
        <v>6</v>
      </c>
      <c r="Y3816" s="1817">
        <v>34.799999999999997</v>
      </c>
      <c r="AA3816" s="647">
        <v>4.29</v>
      </c>
      <c r="AB3816" s="647">
        <v>0.87</v>
      </c>
      <c r="AC3816" s="862">
        <v>9.6</v>
      </c>
      <c r="AD3816" s="867">
        <v>580</v>
      </c>
      <c r="AE3816" s="867">
        <v>320</v>
      </c>
      <c r="AF3816" s="867">
        <v>100</v>
      </c>
      <c r="AG3816" s="66">
        <f t="shared" si="143"/>
        <v>115.05000000000003</v>
      </c>
      <c r="AH3816" s="143">
        <f t="shared" si="144"/>
        <v>1000</v>
      </c>
    </row>
    <row r="3817" spans="1:34" s="862" customFormat="1" x14ac:dyDescent="0.3">
      <c r="A3817" s="862">
        <v>203896</v>
      </c>
      <c r="B3817" s="863">
        <v>6.3</v>
      </c>
      <c r="C3817" s="863"/>
      <c r="D3817" s="647">
        <v>8.5384615384615383</v>
      </c>
      <c r="E3817" s="1573">
        <v>0.28999999999999998</v>
      </c>
      <c r="F3817" s="864">
        <v>319</v>
      </c>
      <c r="H3817" s="864">
        <v>11.31</v>
      </c>
      <c r="I3817" s="864">
        <v>110</v>
      </c>
      <c r="J3817" s="1816">
        <v>0.34799999999999998</v>
      </c>
      <c r="K3817" s="647">
        <v>11.06</v>
      </c>
      <c r="L3817" s="864">
        <v>610</v>
      </c>
      <c r="M3817" s="647">
        <v>0.18</v>
      </c>
      <c r="N3817" s="647">
        <v>1.74</v>
      </c>
      <c r="O3817" s="647">
        <v>4.8499999999999996</v>
      </c>
      <c r="P3817" s="862">
        <v>6.52</v>
      </c>
      <c r="R3817" s="647">
        <v>0.7466407152559591</v>
      </c>
      <c r="S3817" s="863">
        <v>5</v>
      </c>
      <c r="Y3817" s="1817">
        <v>32.4</v>
      </c>
      <c r="AA3817" s="647">
        <v>3.67</v>
      </c>
      <c r="AB3817" s="647">
        <v>0.29099999999999998</v>
      </c>
      <c r="AC3817" s="862">
        <v>9.9</v>
      </c>
      <c r="AD3817" s="867">
        <v>540</v>
      </c>
      <c r="AE3817" s="867">
        <v>280</v>
      </c>
      <c r="AF3817" s="867">
        <v>180</v>
      </c>
      <c r="AG3817" s="66">
        <f t="shared" si="143"/>
        <v>120.84074074074074</v>
      </c>
      <c r="AH3817" s="143">
        <f t="shared" si="144"/>
        <v>1000</v>
      </c>
    </row>
    <row r="3818" spans="1:34" s="862" customFormat="1" x14ac:dyDescent="0.3">
      <c r="A3818" s="862">
        <v>203897</v>
      </c>
      <c r="B3818" s="863">
        <v>7.4</v>
      </c>
      <c r="C3818" s="863"/>
      <c r="D3818" s="647">
        <v>8.2019230769230766</v>
      </c>
      <c r="E3818" s="1573">
        <v>0.22600000000000001</v>
      </c>
      <c r="F3818" s="864">
        <v>248.60000000000002</v>
      </c>
      <c r="H3818" s="864">
        <v>11.17</v>
      </c>
      <c r="I3818" s="864">
        <v>60</v>
      </c>
      <c r="J3818" s="1816">
        <v>0.17899999999999999</v>
      </c>
      <c r="K3818" s="647">
        <v>10.69</v>
      </c>
      <c r="L3818" s="864">
        <v>440</v>
      </c>
      <c r="M3818" s="647">
        <v>0.21</v>
      </c>
      <c r="N3818" s="647">
        <v>1.35</v>
      </c>
      <c r="O3818" s="647">
        <v>8.91</v>
      </c>
      <c r="P3818" s="862">
        <v>3.47</v>
      </c>
      <c r="R3818" s="647">
        <v>0.49157288185884951</v>
      </c>
      <c r="S3818" s="863">
        <v>3.4000000000000004</v>
      </c>
      <c r="Y3818" s="1817">
        <v>26.6</v>
      </c>
      <c r="AA3818" s="647">
        <v>4.78</v>
      </c>
      <c r="AB3818" s="647">
        <v>0.82499999999999996</v>
      </c>
      <c r="AC3818" s="862">
        <v>7.9</v>
      </c>
      <c r="AD3818" s="867">
        <v>380</v>
      </c>
      <c r="AE3818" s="867">
        <v>220</v>
      </c>
      <c r="AF3818" s="867">
        <v>400</v>
      </c>
      <c r="AG3818" s="66">
        <f t="shared" si="143"/>
        <v>142.26541353383456</v>
      </c>
      <c r="AH3818" s="143">
        <f t="shared" si="144"/>
        <v>1000</v>
      </c>
    </row>
    <row r="3819" spans="1:34" s="862" customFormat="1" x14ac:dyDescent="0.3">
      <c r="A3819" s="862">
        <v>203898</v>
      </c>
      <c r="B3819" s="863">
        <v>8.6999999999999993</v>
      </c>
      <c r="C3819" s="863"/>
      <c r="D3819" s="647">
        <v>8.4615384615384617</v>
      </c>
      <c r="E3819" s="1573">
        <v>0.185</v>
      </c>
      <c r="F3819" s="864">
        <v>203.5</v>
      </c>
      <c r="H3819" s="864">
        <v>11.34</v>
      </c>
      <c r="I3819" s="864">
        <v>50</v>
      </c>
      <c r="J3819" s="1816">
        <v>0.14599999999999999</v>
      </c>
      <c r="K3819" s="647">
        <v>10.72</v>
      </c>
      <c r="L3819" s="864">
        <v>450</v>
      </c>
      <c r="M3819" s="647">
        <v>0.17</v>
      </c>
      <c r="N3819" s="647">
        <v>1.1100000000000001</v>
      </c>
      <c r="O3819" s="647">
        <v>5.52</v>
      </c>
      <c r="P3819" s="862">
        <v>3.46</v>
      </c>
      <c r="R3819" s="647">
        <v>0.36701356981458688</v>
      </c>
      <c r="S3819" s="863">
        <v>2.5</v>
      </c>
      <c r="Y3819" s="1817">
        <v>29.4</v>
      </c>
      <c r="AA3819" s="647">
        <v>4.32</v>
      </c>
      <c r="AB3819" s="647">
        <v>0.66300000000000003</v>
      </c>
      <c r="AC3819" s="862">
        <v>10.5</v>
      </c>
      <c r="AD3819" s="867">
        <v>420</v>
      </c>
      <c r="AE3819" s="867">
        <v>200</v>
      </c>
      <c r="AF3819" s="867">
        <v>380</v>
      </c>
      <c r="AG3819" s="66">
        <f t="shared" si="143"/>
        <v>129.07755102040818</v>
      </c>
      <c r="AH3819" s="143">
        <f t="shared" si="144"/>
        <v>1000</v>
      </c>
    </row>
    <row r="3820" spans="1:34" s="862" customFormat="1" x14ac:dyDescent="0.3">
      <c r="A3820" s="862">
        <v>203899</v>
      </c>
      <c r="B3820" s="863">
        <v>6.3</v>
      </c>
      <c r="C3820" s="863"/>
      <c r="D3820" s="647">
        <v>8.0480769230769216</v>
      </c>
      <c r="E3820" s="1573">
        <v>0.98599999999999999</v>
      </c>
      <c r="F3820" s="864">
        <v>1084.5999999999999</v>
      </c>
      <c r="H3820" s="864">
        <v>11.76</v>
      </c>
      <c r="I3820" s="864">
        <v>170</v>
      </c>
      <c r="J3820" s="1816">
        <v>0.72099999999999997</v>
      </c>
      <c r="K3820" s="647">
        <v>11.56</v>
      </c>
      <c r="L3820" s="864">
        <v>920</v>
      </c>
      <c r="M3820" s="647">
        <v>0.24</v>
      </c>
      <c r="N3820" s="647">
        <v>1.69</v>
      </c>
      <c r="O3820" s="647">
        <v>20.61</v>
      </c>
      <c r="P3820" s="862">
        <v>4.7</v>
      </c>
      <c r="R3820" s="647">
        <v>0.95428791405901792</v>
      </c>
      <c r="S3820" s="863">
        <v>6.7</v>
      </c>
      <c r="Y3820" s="1817">
        <v>30.8</v>
      </c>
      <c r="AA3820" s="647">
        <v>4.58</v>
      </c>
      <c r="AB3820" s="647">
        <v>0.436</v>
      </c>
      <c r="AC3820" s="862">
        <v>11.7</v>
      </c>
      <c r="AD3820" s="867">
        <v>440</v>
      </c>
      <c r="AE3820" s="867">
        <v>260</v>
      </c>
      <c r="AF3820" s="867">
        <v>300</v>
      </c>
      <c r="AG3820" s="66">
        <f t="shared" si="143"/>
        <v>132.86493506493508</v>
      </c>
      <c r="AH3820" s="143">
        <f t="shared" si="144"/>
        <v>1000</v>
      </c>
    </row>
    <row r="3821" spans="1:34" s="862" customFormat="1" x14ac:dyDescent="0.3">
      <c r="A3821" s="862">
        <v>203900</v>
      </c>
      <c r="B3821" s="863">
        <v>8.5</v>
      </c>
      <c r="C3821" s="863"/>
      <c r="D3821" s="647">
        <v>8.1634615384615383</v>
      </c>
      <c r="E3821" s="1573">
        <v>0.26100000000000001</v>
      </c>
      <c r="F3821" s="864">
        <v>287.10000000000002</v>
      </c>
      <c r="H3821" s="864">
        <v>23.85</v>
      </c>
      <c r="I3821" s="864">
        <v>160</v>
      </c>
      <c r="J3821" s="1816">
        <v>0.219</v>
      </c>
      <c r="K3821" s="647">
        <v>11.31</v>
      </c>
      <c r="L3821" s="864">
        <v>670</v>
      </c>
      <c r="M3821" s="647">
        <v>0.15</v>
      </c>
      <c r="N3821" s="647">
        <v>1.65</v>
      </c>
      <c r="O3821" s="647">
        <v>16.190000000000001</v>
      </c>
      <c r="P3821" s="862">
        <v>5.53</v>
      </c>
      <c r="R3821" s="647">
        <v>0.87373461281886022</v>
      </c>
      <c r="S3821" s="863">
        <v>5.6999999999999993</v>
      </c>
      <c r="Y3821" s="1817">
        <v>32.200000000000003</v>
      </c>
      <c r="AA3821" s="647">
        <v>3.56</v>
      </c>
      <c r="AB3821" s="647">
        <v>0.30099999999999999</v>
      </c>
      <c r="AC3821" s="862">
        <v>10.8</v>
      </c>
      <c r="AD3821" s="867">
        <v>460</v>
      </c>
      <c r="AE3821" s="867">
        <v>300</v>
      </c>
      <c r="AF3821" s="867">
        <v>240</v>
      </c>
      <c r="AG3821" s="66">
        <f t="shared" si="143"/>
        <v>124.33975155279504</v>
      </c>
      <c r="AH3821" s="143">
        <f t="shared" si="144"/>
        <v>1000</v>
      </c>
    </row>
    <row r="3822" spans="1:34" s="862" customFormat="1" x14ac:dyDescent="0.3">
      <c r="A3822" s="862">
        <v>203901</v>
      </c>
      <c r="B3822" s="863">
        <v>7</v>
      </c>
      <c r="C3822" s="863"/>
      <c r="D3822" s="647">
        <v>8.375</v>
      </c>
      <c r="E3822" s="1573">
        <v>0.28299999999999997</v>
      </c>
      <c r="F3822" s="864">
        <v>311.3</v>
      </c>
      <c r="H3822" s="864">
        <v>11.82</v>
      </c>
      <c r="I3822" s="864">
        <v>70</v>
      </c>
      <c r="J3822" s="1816">
        <v>0.26600000000000001</v>
      </c>
      <c r="K3822" s="647">
        <v>10.41</v>
      </c>
      <c r="L3822" s="864">
        <v>520</v>
      </c>
      <c r="M3822" s="647">
        <v>0.13</v>
      </c>
      <c r="N3822" s="647">
        <v>1.28</v>
      </c>
      <c r="O3822" s="647">
        <v>2.95</v>
      </c>
      <c r="P3822" s="862">
        <v>3.06</v>
      </c>
      <c r="R3822" s="647">
        <v>0.42333822388765674</v>
      </c>
      <c r="S3822" s="863">
        <v>2.8000000000000003</v>
      </c>
      <c r="Y3822" s="1817">
        <v>26.4</v>
      </c>
      <c r="AA3822" s="647">
        <v>4.3499999999999996</v>
      </c>
      <c r="AB3822" s="647">
        <v>0.70799999999999996</v>
      </c>
      <c r="AC3822" s="862">
        <v>6.2</v>
      </c>
      <c r="AD3822" s="867">
        <v>440</v>
      </c>
      <c r="AE3822" s="867">
        <v>180</v>
      </c>
      <c r="AF3822" s="867">
        <v>380</v>
      </c>
      <c r="AG3822" s="66">
        <f t="shared" si="143"/>
        <v>139.58863636363637</v>
      </c>
      <c r="AH3822" s="143">
        <f t="shared" si="144"/>
        <v>1000</v>
      </c>
    </row>
    <row r="3823" spans="1:34" s="862" customFormat="1" x14ac:dyDescent="0.3">
      <c r="A3823" s="862">
        <v>203902</v>
      </c>
      <c r="B3823" s="863">
        <v>6.7</v>
      </c>
      <c r="C3823" s="863"/>
      <c r="D3823" s="647">
        <v>8.1923076923076916</v>
      </c>
      <c r="E3823" s="1573">
        <v>0.48699999999999999</v>
      </c>
      <c r="F3823" s="864">
        <v>535.70000000000005</v>
      </c>
      <c r="H3823" s="864">
        <v>11.03</v>
      </c>
      <c r="I3823" s="864">
        <v>110</v>
      </c>
      <c r="J3823" s="1816">
        <v>0.372</v>
      </c>
      <c r="K3823" s="647">
        <v>10.92</v>
      </c>
      <c r="L3823" s="864">
        <v>660</v>
      </c>
      <c r="M3823" s="647">
        <v>0.26</v>
      </c>
      <c r="N3823" s="647">
        <v>1.48</v>
      </c>
      <c r="O3823" s="647">
        <v>3.34</v>
      </c>
      <c r="P3823" s="862">
        <v>3.57</v>
      </c>
      <c r="R3823" s="647">
        <v>0.58997187380881977</v>
      </c>
      <c r="S3823" s="863">
        <v>3.9000000000000004</v>
      </c>
      <c r="Y3823" s="1817">
        <v>23</v>
      </c>
      <c r="AA3823" s="647">
        <v>4.16</v>
      </c>
      <c r="AB3823" s="647">
        <v>0.27800000000000002</v>
      </c>
      <c r="AC3823" s="862">
        <v>6.2</v>
      </c>
      <c r="AD3823" s="867">
        <v>460</v>
      </c>
      <c r="AE3823" s="867">
        <v>260</v>
      </c>
      <c r="AF3823" s="867">
        <v>280</v>
      </c>
      <c r="AG3823" s="66">
        <f t="shared" si="143"/>
        <v>168.07304347826087</v>
      </c>
      <c r="AH3823" s="143">
        <f t="shared" si="144"/>
        <v>1000</v>
      </c>
    </row>
    <row r="3824" spans="1:34" s="862" customFormat="1" x14ac:dyDescent="0.3">
      <c r="A3824" s="862">
        <v>203903</v>
      </c>
      <c r="B3824" s="863">
        <v>4.2</v>
      </c>
      <c r="C3824" s="863"/>
      <c r="D3824" s="647">
        <v>8.1730769230769234</v>
      </c>
      <c r="E3824" s="1573">
        <v>0.441</v>
      </c>
      <c r="F3824" s="864">
        <v>485.1</v>
      </c>
      <c r="H3824" s="864">
        <v>12.3</v>
      </c>
      <c r="I3824" s="864">
        <v>160</v>
      </c>
      <c r="J3824" s="1816">
        <v>0.4</v>
      </c>
      <c r="K3824" s="647">
        <v>10.3</v>
      </c>
      <c r="L3824" s="864">
        <v>710</v>
      </c>
      <c r="M3824" s="647">
        <v>0.31</v>
      </c>
      <c r="N3824" s="647">
        <v>1.75</v>
      </c>
      <c r="O3824" s="647">
        <v>9.8699999999999992</v>
      </c>
      <c r="P3824" s="862">
        <v>4.5</v>
      </c>
      <c r="R3824" s="647">
        <v>1.1611082129709409</v>
      </c>
      <c r="S3824" s="863">
        <v>7.8000000000000007</v>
      </c>
      <c r="Y3824" s="1817">
        <v>32.200000000000003</v>
      </c>
      <c r="AA3824" s="647">
        <v>4.29</v>
      </c>
      <c r="AB3824" s="647">
        <v>0.76800000000000002</v>
      </c>
      <c r="AC3824" s="862">
        <v>6.7</v>
      </c>
      <c r="AD3824" s="867">
        <v>460</v>
      </c>
      <c r="AE3824" s="867">
        <v>240</v>
      </c>
      <c r="AF3824" s="867">
        <v>300</v>
      </c>
      <c r="AG3824" s="66">
        <f t="shared" si="143"/>
        <v>113.23602484472049</v>
      </c>
      <c r="AH3824" s="143">
        <f t="shared" si="144"/>
        <v>1000</v>
      </c>
    </row>
    <row r="3825" spans="1:34" s="862" customFormat="1" x14ac:dyDescent="0.3">
      <c r="A3825" s="862">
        <v>203904</v>
      </c>
      <c r="B3825" s="863">
        <v>4.7</v>
      </c>
      <c r="C3825" s="863"/>
      <c r="D3825" s="647">
        <v>8.2211538461538467</v>
      </c>
      <c r="E3825" s="1573">
        <v>0.61</v>
      </c>
      <c r="F3825" s="864">
        <v>671</v>
      </c>
      <c r="H3825" s="864">
        <v>12.97</v>
      </c>
      <c r="I3825" s="864">
        <v>110</v>
      </c>
      <c r="J3825" s="1816">
        <v>0.68100000000000005</v>
      </c>
      <c r="K3825" s="647">
        <v>11.68</v>
      </c>
      <c r="L3825" s="864">
        <v>780</v>
      </c>
      <c r="M3825" s="647">
        <v>0.23</v>
      </c>
      <c r="N3825" s="647">
        <v>1.97</v>
      </c>
      <c r="O3825" s="647">
        <v>7.88</v>
      </c>
      <c r="P3825" s="862">
        <v>6.02</v>
      </c>
      <c r="R3825" s="647">
        <v>0.72474153385985751</v>
      </c>
      <c r="S3825" s="863">
        <v>5.0999999999999996</v>
      </c>
      <c r="Y3825" s="1817">
        <v>26</v>
      </c>
      <c r="AA3825" s="647">
        <v>3.82</v>
      </c>
      <c r="AB3825" s="647">
        <v>0.73899999999999999</v>
      </c>
      <c r="AC3825" s="862">
        <v>6.8</v>
      </c>
      <c r="AD3825" s="867">
        <v>520</v>
      </c>
      <c r="AE3825" s="867">
        <v>300</v>
      </c>
      <c r="AF3825" s="867">
        <v>180</v>
      </c>
      <c r="AG3825" s="66">
        <f t="shared" si="143"/>
        <v>159.02769230769232</v>
      </c>
      <c r="AH3825" s="143">
        <f t="shared" si="144"/>
        <v>1000</v>
      </c>
    </row>
    <row r="3826" spans="1:34" s="862" customFormat="1" x14ac:dyDescent="0.3">
      <c r="A3826" s="862">
        <v>203905</v>
      </c>
      <c r="B3826" s="863">
        <v>5.5</v>
      </c>
      <c r="C3826" s="863"/>
      <c r="D3826" s="647">
        <v>8.0673076923076934</v>
      </c>
      <c r="E3826" s="1573">
        <v>0.48499999999999999</v>
      </c>
      <c r="F3826" s="864">
        <v>533.5</v>
      </c>
      <c r="H3826" s="864">
        <v>14.27</v>
      </c>
      <c r="I3826" s="864">
        <v>120</v>
      </c>
      <c r="J3826" s="1816">
        <v>0.37</v>
      </c>
      <c r="K3826" s="647">
        <v>10.29</v>
      </c>
      <c r="L3826" s="864">
        <v>570</v>
      </c>
      <c r="M3826" s="647">
        <v>0.38</v>
      </c>
      <c r="N3826" s="647">
        <v>1.46</v>
      </c>
      <c r="O3826" s="647">
        <v>15.79</v>
      </c>
      <c r="P3826" s="862">
        <v>3.11</v>
      </c>
      <c r="R3826" s="647">
        <v>0.82455165920430717</v>
      </c>
      <c r="S3826" s="863">
        <v>5.8</v>
      </c>
      <c r="Y3826" s="1817">
        <v>24</v>
      </c>
      <c r="AA3826" s="647">
        <v>3.59</v>
      </c>
      <c r="AB3826" s="647">
        <v>0.83899999999999997</v>
      </c>
      <c r="AC3826" s="862">
        <v>11.2</v>
      </c>
      <c r="AD3826" s="867">
        <v>480</v>
      </c>
      <c r="AE3826" s="867">
        <v>280</v>
      </c>
      <c r="AF3826" s="867">
        <v>240</v>
      </c>
      <c r="AG3826" s="66">
        <f t="shared" si="143"/>
        <v>151.7775</v>
      </c>
      <c r="AH3826" s="143">
        <f t="shared" si="144"/>
        <v>1000</v>
      </c>
    </row>
    <row r="3827" spans="1:34" s="862" customFormat="1" x14ac:dyDescent="0.3">
      <c r="A3827" s="862">
        <v>203906</v>
      </c>
      <c r="B3827" s="863">
        <v>5.5</v>
      </c>
      <c r="C3827" s="863"/>
      <c r="D3827" s="647">
        <v>8.2692307692307683</v>
      </c>
      <c r="E3827" s="1573">
        <v>0.23400000000000001</v>
      </c>
      <c r="F3827" s="864">
        <v>257.40000000000003</v>
      </c>
      <c r="H3827" s="864">
        <v>19.64</v>
      </c>
      <c r="I3827" s="864">
        <v>640</v>
      </c>
      <c r="J3827" s="1816">
        <v>0.112</v>
      </c>
      <c r="K3827" s="647">
        <v>11.85</v>
      </c>
      <c r="L3827" s="864">
        <v>620</v>
      </c>
      <c r="M3827" s="647">
        <v>0.23</v>
      </c>
      <c r="N3827" s="647">
        <v>2.1800000000000002</v>
      </c>
      <c r="O3827" s="647">
        <v>3.08</v>
      </c>
      <c r="P3827" s="862">
        <v>6.13</v>
      </c>
      <c r="R3827" s="647">
        <v>0.96184598577956393</v>
      </c>
      <c r="S3827" s="863">
        <v>6.7</v>
      </c>
      <c r="Y3827" s="1817">
        <v>35</v>
      </c>
      <c r="AA3827" s="647">
        <v>3.61</v>
      </c>
      <c r="AB3827" s="647">
        <v>0.71099999999999997</v>
      </c>
      <c r="AC3827" s="862">
        <v>10.6</v>
      </c>
      <c r="AD3827" s="867">
        <v>500</v>
      </c>
      <c r="AE3827" s="867">
        <v>280</v>
      </c>
      <c r="AF3827" s="867">
        <v>220</v>
      </c>
      <c r="AG3827" s="66">
        <f t="shared" si="143"/>
        <v>119.85428571428571</v>
      </c>
      <c r="AH3827" s="143">
        <f t="shared" si="144"/>
        <v>1000</v>
      </c>
    </row>
    <row r="3828" spans="1:34" s="862" customFormat="1" x14ac:dyDescent="0.3">
      <c r="A3828" s="862">
        <v>203907</v>
      </c>
      <c r="B3828" s="863">
        <v>7.6</v>
      </c>
      <c r="C3828" s="863"/>
      <c r="D3828" s="647">
        <v>8.4807692307692299</v>
      </c>
      <c r="E3828" s="1573">
        <v>0.14799999999999999</v>
      </c>
      <c r="F3828" s="864">
        <v>162.80000000000001</v>
      </c>
      <c r="H3828" s="864">
        <v>12.35</v>
      </c>
      <c r="I3828" s="864">
        <v>60</v>
      </c>
      <c r="J3828" s="1816">
        <v>0.10299999999999999</v>
      </c>
      <c r="K3828" s="647">
        <v>10.08</v>
      </c>
      <c r="L3828" s="864">
        <v>440</v>
      </c>
      <c r="M3828" s="647">
        <v>0.09</v>
      </c>
      <c r="N3828" s="647">
        <v>0.69</v>
      </c>
      <c r="O3828" s="647">
        <v>1.37</v>
      </c>
      <c r="P3828" s="862">
        <v>2.29</v>
      </c>
      <c r="R3828" s="647">
        <v>0.3964506018111385</v>
      </c>
      <c r="S3828" s="863">
        <v>2.9</v>
      </c>
      <c r="Y3828" s="1817">
        <v>19.600000000000001</v>
      </c>
      <c r="AA3828" s="647">
        <v>3.89</v>
      </c>
      <c r="AB3828" s="647">
        <v>0.42199999999999999</v>
      </c>
      <c r="AC3828" s="862">
        <v>9.5</v>
      </c>
      <c r="AD3828" s="867">
        <v>280</v>
      </c>
      <c r="AE3828" s="867">
        <v>140</v>
      </c>
      <c r="AF3828" s="867">
        <v>580</v>
      </c>
      <c r="AG3828" s="66">
        <f t="shared" si="143"/>
        <v>182.05714285714282</v>
      </c>
      <c r="AH3828" s="143">
        <f t="shared" si="144"/>
        <v>1000</v>
      </c>
    </row>
    <row r="3829" spans="1:34" s="862" customFormat="1" x14ac:dyDescent="0.3">
      <c r="A3829" s="862">
        <v>203908</v>
      </c>
      <c r="B3829" s="863">
        <v>6.2</v>
      </c>
      <c r="C3829" s="863"/>
      <c r="D3829" s="647">
        <v>8.0769230769230766</v>
      </c>
      <c r="E3829" s="1573">
        <v>0.46800000000000003</v>
      </c>
      <c r="F3829" s="864">
        <v>514.80000000000007</v>
      </c>
      <c r="H3829" s="864">
        <v>11.51</v>
      </c>
      <c r="I3829" s="864">
        <v>100</v>
      </c>
      <c r="J3829" s="1816">
        <v>0.35599999999999998</v>
      </c>
      <c r="K3829" s="647">
        <v>10.87</v>
      </c>
      <c r="L3829" s="864">
        <v>580</v>
      </c>
      <c r="M3829" s="647">
        <v>0.23</v>
      </c>
      <c r="N3829" s="647">
        <v>1.54</v>
      </c>
      <c r="O3829" s="647">
        <v>40.71</v>
      </c>
      <c r="P3829" s="862">
        <v>4.8499999999999996</v>
      </c>
      <c r="R3829" s="647">
        <v>0.65525527818329932</v>
      </c>
      <c r="S3829" s="863">
        <v>4.6999999999999993</v>
      </c>
      <c r="Y3829" s="1817">
        <v>32.200000000000003</v>
      </c>
      <c r="AA3829" s="647">
        <v>4.5199999999999996</v>
      </c>
      <c r="AB3829" s="647">
        <v>0.41099999999999998</v>
      </c>
      <c r="AC3829" s="862">
        <v>9.9</v>
      </c>
      <c r="AD3829" s="867">
        <v>460</v>
      </c>
      <c r="AE3829" s="867">
        <v>260</v>
      </c>
      <c r="AF3829" s="867">
        <v>280</v>
      </c>
      <c r="AG3829" s="66">
        <f t="shared" si="143"/>
        <v>119.50248447204966</v>
      </c>
      <c r="AH3829" s="143">
        <f t="shared" si="144"/>
        <v>1000</v>
      </c>
    </row>
    <row r="3830" spans="1:34" s="862" customFormat="1" x14ac:dyDescent="0.3">
      <c r="A3830" s="862">
        <v>203909</v>
      </c>
      <c r="B3830" s="863">
        <v>6.1</v>
      </c>
      <c r="C3830" s="863"/>
      <c r="D3830" s="647">
        <v>8.25</v>
      </c>
      <c r="E3830" s="1573">
        <v>0.46899999999999997</v>
      </c>
      <c r="F3830" s="864">
        <v>515.9</v>
      </c>
      <c r="H3830" s="864">
        <v>23.14</v>
      </c>
      <c r="I3830" s="864">
        <v>150</v>
      </c>
      <c r="J3830" s="1816">
        <v>0.46500000000000002</v>
      </c>
      <c r="K3830" s="647">
        <v>10.87</v>
      </c>
      <c r="L3830" s="864">
        <v>750</v>
      </c>
      <c r="M3830" s="647">
        <v>0.41</v>
      </c>
      <c r="N3830" s="647">
        <v>1.88</v>
      </c>
      <c r="O3830" s="647">
        <v>1.83</v>
      </c>
      <c r="P3830" s="862">
        <v>5.71</v>
      </c>
      <c r="R3830" s="647">
        <v>1.0778072935995149</v>
      </c>
      <c r="S3830" s="863">
        <v>8</v>
      </c>
      <c r="Y3830" s="1817">
        <v>30</v>
      </c>
      <c r="AA3830" s="647">
        <v>3.92</v>
      </c>
      <c r="AB3830" s="647">
        <v>0.36399999999999999</v>
      </c>
      <c r="AC3830" s="862">
        <v>9.4</v>
      </c>
      <c r="AD3830" s="867">
        <v>500</v>
      </c>
      <c r="AE3830" s="867">
        <v>320</v>
      </c>
      <c r="AF3830" s="867">
        <v>180</v>
      </c>
      <c r="AG3830" s="66">
        <f t="shared" si="143"/>
        <v>128.26599999999999</v>
      </c>
      <c r="AH3830" s="143">
        <f t="shared" si="144"/>
        <v>1000</v>
      </c>
    </row>
    <row r="3831" spans="1:34" s="862" customFormat="1" x14ac:dyDescent="0.3">
      <c r="A3831" s="862">
        <v>203910</v>
      </c>
      <c r="B3831" s="863">
        <v>22</v>
      </c>
      <c r="C3831" s="863">
        <v>11.5</v>
      </c>
      <c r="D3831" s="647">
        <v>8.3173076923076916</v>
      </c>
      <c r="E3831" s="1573">
        <v>0.48599999999999999</v>
      </c>
      <c r="F3831" s="864">
        <v>534.6</v>
      </c>
      <c r="H3831" s="864">
        <v>16.87</v>
      </c>
      <c r="I3831" s="864">
        <v>310</v>
      </c>
      <c r="J3831" s="1816">
        <v>0.42099999999999999</v>
      </c>
      <c r="K3831" s="647">
        <v>10.91</v>
      </c>
      <c r="L3831" s="864">
        <v>920</v>
      </c>
      <c r="M3831" s="647">
        <v>0.2</v>
      </c>
      <c r="N3831" s="647">
        <v>0.59</v>
      </c>
      <c r="O3831" s="647">
        <v>1.17</v>
      </c>
      <c r="P3831" s="862">
        <v>1.96</v>
      </c>
      <c r="R3831" s="647">
        <v>0.45169868837012056</v>
      </c>
      <c r="S3831" s="863">
        <v>3</v>
      </c>
      <c r="Y3831" s="1817">
        <v>20</v>
      </c>
      <c r="AA3831" s="647">
        <v>4.8899999999999997</v>
      </c>
      <c r="AB3831" s="647">
        <v>0.55700000000000005</v>
      </c>
      <c r="AC3831" s="862">
        <v>10.9</v>
      </c>
      <c r="AD3831" s="867">
        <v>400</v>
      </c>
      <c r="AE3831" s="867">
        <v>220</v>
      </c>
      <c r="AF3831" s="867">
        <v>380</v>
      </c>
      <c r="AG3831" s="66">
        <f t="shared" si="143"/>
        <v>193.10700000000003</v>
      </c>
      <c r="AH3831" s="143">
        <f t="shared" si="144"/>
        <v>1000</v>
      </c>
    </row>
    <row r="3832" spans="1:34" s="862" customFormat="1" x14ac:dyDescent="0.3">
      <c r="A3832" s="862">
        <v>203911</v>
      </c>
      <c r="B3832" s="863">
        <v>25.5</v>
      </c>
      <c r="C3832" s="863">
        <v>10.875</v>
      </c>
      <c r="D3832" s="647">
        <v>8.3076923076923084</v>
      </c>
      <c r="E3832" s="1573">
        <v>0.42799999999999999</v>
      </c>
      <c r="F3832" s="864">
        <v>470.80000000000007</v>
      </c>
      <c r="H3832" s="864">
        <v>12.3</v>
      </c>
      <c r="I3832" s="864">
        <v>260</v>
      </c>
      <c r="J3832" s="1816">
        <v>0.32500000000000001</v>
      </c>
      <c r="K3832" s="647">
        <v>11.14</v>
      </c>
      <c r="L3832" s="864">
        <v>930</v>
      </c>
      <c r="M3832" s="647">
        <v>0.13</v>
      </c>
      <c r="N3832" s="647">
        <v>0.67</v>
      </c>
      <c r="O3832" s="647">
        <v>2.27</v>
      </c>
      <c r="P3832" s="862">
        <v>1.88</v>
      </c>
      <c r="R3832" s="647">
        <v>0.63044179877559803</v>
      </c>
      <c r="S3832" s="863">
        <v>4.4000000000000004</v>
      </c>
      <c r="Y3832" s="1817">
        <v>33.6</v>
      </c>
      <c r="AA3832" s="647">
        <v>4.5999999999999996</v>
      </c>
      <c r="AB3832" s="647">
        <v>0.37</v>
      </c>
      <c r="AC3832" s="862">
        <v>8</v>
      </c>
      <c r="AD3832" s="867">
        <v>560</v>
      </c>
      <c r="AE3832" s="867">
        <v>260</v>
      </c>
      <c r="AF3832" s="867">
        <v>180</v>
      </c>
      <c r="AG3832" s="66">
        <f t="shared" si="143"/>
        <v>117.36785714285713</v>
      </c>
      <c r="AH3832" s="143">
        <f t="shared" si="144"/>
        <v>1000</v>
      </c>
    </row>
    <row r="3833" spans="1:34" s="862" customFormat="1" x14ac:dyDescent="0.3">
      <c r="A3833" s="862">
        <v>203912</v>
      </c>
      <c r="B3833" s="863">
        <v>20.8</v>
      </c>
      <c r="C3833" s="863">
        <v>8.6249999999999982</v>
      </c>
      <c r="D3833" s="647">
        <v>7.8557692307692308</v>
      </c>
      <c r="E3833" s="1573">
        <v>1.1379999999999999</v>
      </c>
      <c r="F3833" s="864">
        <v>1251.8</v>
      </c>
      <c r="H3833" s="864">
        <v>171.88</v>
      </c>
      <c r="I3833" s="864">
        <v>1190</v>
      </c>
      <c r="J3833" s="1816">
        <v>0.54500000000000004</v>
      </c>
      <c r="K3833" s="647">
        <v>11.68</v>
      </c>
      <c r="L3833" s="864">
        <v>980</v>
      </c>
      <c r="M3833" s="647">
        <v>1.49</v>
      </c>
      <c r="N3833" s="647">
        <v>1.23</v>
      </c>
      <c r="O3833" s="647">
        <v>16.98</v>
      </c>
      <c r="P3833" s="862">
        <v>4.7</v>
      </c>
      <c r="R3833" s="647">
        <v>1.5824250000000002</v>
      </c>
      <c r="S3833" s="863">
        <v>10.5</v>
      </c>
      <c r="Y3833" s="1817">
        <v>24</v>
      </c>
      <c r="AA3833" s="647">
        <v>4.5</v>
      </c>
      <c r="AB3833" s="647">
        <v>0.27300000000000002</v>
      </c>
      <c r="AC3833" s="862">
        <v>7.4</v>
      </c>
      <c r="AD3833" s="867">
        <v>400</v>
      </c>
      <c r="AE3833" s="867">
        <v>160</v>
      </c>
      <c r="AF3833" s="867">
        <v>440</v>
      </c>
      <c r="AG3833" s="66">
        <f t="shared" si="143"/>
        <v>172.28</v>
      </c>
      <c r="AH3833" s="143">
        <f t="shared" si="144"/>
        <v>1000</v>
      </c>
    </row>
    <row r="3834" spans="1:34" s="862" customFormat="1" x14ac:dyDescent="0.3">
      <c r="A3834" s="862">
        <v>203913</v>
      </c>
      <c r="B3834" s="863">
        <v>31.5</v>
      </c>
      <c r="C3834" s="863">
        <v>11.25</v>
      </c>
      <c r="D3834" s="647">
        <v>8.4134615384615383</v>
      </c>
      <c r="E3834" s="1573">
        <v>0.23699999999999999</v>
      </c>
      <c r="F3834" s="864">
        <v>260.7</v>
      </c>
      <c r="H3834" s="864">
        <v>12.3</v>
      </c>
      <c r="I3834" s="864">
        <v>230</v>
      </c>
      <c r="J3834" s="1816">
        <v>0.17599999999999999</v>
      </c>
      <c r="K3834" s="647">
        <v>10.91</v>
      </c>
      <c r="L3834" s="864">
        <v>750</v>
      </c>
      <c r="M3834" s="647">
        <v>0.12</v>
      </c>
      <c r="N3834" s="647">
        <v>0.45</v>
      </c>
      <c r="O3834" s="647">
        <v>2.29</v>
      </c>
      <c r="P3834" s="862">
        <v>1.64</v>
      </c>
      <c r="R3834" s="647">
        <v>0.40755732654988069</v>
      </c>
      <c r="S3834" s="863">
        <v>2.9</v>
      </c>
      <c r="Y3834" s="1817">
        <v>30.8</v>
      </c>
      <c r="AA3834" s="647">
        <v>4.53</v>
      </c>
      <c r="AB3834" s="647">
        <v>0.40899999999999997</v>
      </c>
      <c r="AC3834" s="862">
        <v>11</v>
      </c>
      <c r="AD3834" s="867">
        <v>440</v>
      </c>
      <c r="AE3834" s="867">
        <v>180</v>
      </c>
      <c r="AF3834" s="867">
        <v>380</v>
      </c>
      <c r="AG3834" s="66">
        <f t="shared" si="143"/>
        <v>125.39415584415585</v>
      </c>
      <c r="AH3834" s="143">
        <f t="shared" si="144"/>
        <v>1000</v>
      </c>
    </row>
    <row r="3835" spans="1:34" s="862" customFormat="1" x14ac:dyDescent="0.3">
      <c r="A3835" s="862">
        <v>203914</v>
      </c>
      <c r="B3835" s="863">
        <v>23.2</v>
      </c>
      <c r="C3835" s="863">
        <v>9.2499999999999982</v>
      </c>
      <c r="D3835" s="647">
        <v>8.5</v>
      </c>
      <c r="E3835" s="1573">
        <v>0.57999999999999996</v>
      </c>
      <c r="F3835" s="864">
        <v>638</v>
      </c>
      <c r="H3835" s="864">
        <v>25.86</v>
      </c>
      <c r="I3835" s="864">
        <v>510</v>
      </c>
      <c r="J3835" s="1816">
        <v>0.80700000000000005</v>
      </c>
      <c r="K3835" s="647">
        <v>10.9</v>
      </c>
      <c r="L3835" s="864">
        <v>720</v>
      </c>
      <c r="M3835" s="647">
        <v>0.27</v>
      </c>
      <c r="N3835" s="647">
        <v>0.87</v>
      </c>
      <c r="O3835" s="647">
        <v>5.77</v>
      </c>
      <c r="P3835" s="862">
        <v>1.92</v>
      </c>
      <c r="R3835" s="647">
        <v>0.78124333179658134</v>
      </c>
      <c r="S3835" s="863">
        <v>5.4</v>
      </c>
      <c r="Y3835" s="1817">
        <v>27.6</v>
      </c>
      <c r="AA3835" s="647">
        <v>3.81</v>
      </c>
      <c r="AB3835" s="647">
        <v>0.32</v>
      </c>
      <c r="AC3835" s="862">
        <v>6.3</v>
      </c>
      <c r="AD3835" s="867">
        <v>460</v>
      </c>
      <c r="AE3835" s="867">
        <v>260</v>
      </c>
      <c r="AF3835" s="867">
        <v>280</v>
      </c>
      <c r="AG3835" s="66">
        <f t="shared" si="143"/>
        <v>139.80434782608694</v>
      </c>
      <c r="AH3835" s="143">
        <f t="shared" si="144"/>
        <v>1000</v>
      </c>
    </row>
    <row r="3836" spans="1:34" s="862" customFormat="1" x14ac:dyDescent="0.3">
      <c r="A3836" s="862">
        <v>203915</v>
      </c>
      <c r="B3836" s="863">
        <v>40.5</v>
      </c>
      <c r="C3836" s="863">
        <v>9.8749999999999982</v>
      </c>
      <c r="D3836" s="647">
        <v>8.3557692307692299</v>
      </c>
      <c r="E3836" s="1573">
        <v>0.14099999999999999</v>
      </c>
      <c r="F3836" s="864">
        <v>155.1</v>
      </c>
      <c r="H3836" s="864">
        <v>10.01</v>
      </c>
      <c r="I3836" s="864">
        <v>180</v>
      </c>
      <c r="J3836" s="1816">
        <v>0.08</v>
      </c>
      <c r="K3836" s="647">
        <v>10.77</v>
      </c>
      <c r="L3836" s="864">
        <v>680</v>
      </c>
      <c r="M3836" s="647">
        <v>0.1</v>
      </c>
      <c r="N3836" s="647">
        <v>0.33</v>
      </c>
      <c r="O3836" s="647">
        <v>0.32</v>
      </c>
      <c r="P3836" s="862">
        <v>0.96</v>
      </c>
      <c r="R3836" s="647">
        <v>0.37796617360127704</v>
      </c>
      <c r="S3836" s="863">
        <v>2.7</v>
      </c>
      <c r="Y3836" s="1817">
        <v>18</v>
      </c>
      <c r="AA3836" s="647">
        <v>3.76</v>
      </c>
      <c r="AB3836" s="647">
        <v>0.65700000000000003</v>
      </c>
      <c r="AC3836" s="862">
        <v>10.6</v>
      </c>
      <c r="AD3836" s="867">
        <v>300</v>
      </c>
      <c r="AE3836" s="867">
        <v>120</v>
      </c>
      <c r="AF3836" s="867">
        <v>580</v>
      </c>
      <c r="AG3836" s="66">
        <f t="shared" si="143"/>
        <v>211.81</v>
      </c>
      <c r="AH3836" s="143">
        <f t="shared" si="144"/>
        <v>1000</v>
      </c>
    </row>
    <row r="3837" spans="1:34" s="862" customFormat="1" x14ac:dyDescent="0.3">
      <c r="A3837" s="862">
        <v>203916</v>
      </c>
      <c r="B3837" s="863">
        <v>16</v>
      </c>
      <c r="C3837" s="863">
        <v>6.25</v>
      </c>
      <c r="D3837" s="647">
        <v>7.5576923076923075</v>
      </c>
      <c r="E3837" s="1573">
        <v>5.16</v>
      </c>
      <c r="F3837" s="864">
        <v>5676.0000000000009</v>
      </c>
      <c r="H3837" s="864">
        <v>460.14</v>
      </c>
      <c r="I3837" s="864">
        <v>3930</v>
      </c>
      <c r="J3837" s="1816">
        <v>4.226</v>
      </c>
      <c r="K3837" s="647">
        <v>13.24</v>
      </c>
      <c r="L3837" s="864">
        <v>1760</v>
      </c>
      <c r="M3837" s="647">
        <v>3.44</v>
      </c>
      <c r="N3837" s="647">
        <v>2.61</v>
      </c>
      <c r="O3837" s="647">
        <v>45.43</v>
      </c>
      <c r="P3837" s="862">
        <v>23.92</v>
      </c>
      <c r="R3837" s="647">
        <v>2.021528</v>
      </c>
      <c r="S3837" s="863">
        <v>25.4</v>
      </c>
      <c r="Y3837" s="1817">
        <v>14.4</v>
      </c>
      <c r="AA3837" s="647">
        <v>4.8899999999999997</v>
      </c>
      <c r="AB3837" s="647">
        <v>0.56399999999999995</v>
      </c>
      <c r="AC3837" s="862">
        <v>8.4</v>
      </c>
      <c r="AD3837" s="867">
        <v>240</v>
      </c>
      <c r="AE3837" s="867">
        <v>100</v>
      </c>
      <c r="AF3837" s="867">
        <v>660</v>
      </c>
      <c r="AG3837" s="66">
        <f t="shared" si="143"/>
        <v>325.48333333333335</v>
      </c>
      <c r="AH3837" s="143">
        <f t="shared" si="144"/>
        <v>1000</v>
      </c>
    </row>
    <row r="3838" spans="1:34" s="862" customFormat="1" x14ac:dyDescent="0.3">
      <c r="A3838" s="862">
        <v>203917</v>
      </c>
      <c r="B3838" s="863">
        <v>19.2</v>
      </c>
      <c r="C3838" s="863">
        <v>8.375</v>
      </c>
      <c r="D3838" s="647">
        <v>7.6826923076923075</v>
      </c>
      <c r="E3838" s="1573">
        <v>2.5</v>
      </c>
      <c r="F3838" s="864">
        <v>2750</v>
      </c>
      <c r="H3838" s="864">
        <v>117.22</v>
      </c>
      <c r="I3838" s="864">
        <v>1300</v>
      </c>
      <c r="J3838" s="1816">
        <v>1.113</v>
      </c>
      <c r="K3838" s="647">
        <v>12.87</v>
      </c>
      <c r="L3838" s="864">
        <v>1260</v>
      </c>
      <c r="M3838" s="647">
        <v>1.1399999999999999</v>
      </c>
      <c r="N3838" s="647">
        <v>1.1100000000000001</v>
      </c>
      <c r="O3838" s="647">
        <v>24.68</v>
      </c>
      <c r="P3838" s="862">
        <v>3.7</v>
      </c>
      <c r="R3838" s="647">
        <v>1.6482320000000001</v>
      </c>
      <c r="S3838" s="863">
        <v>12.2</v>
      </c>
      <c r="Y3838" s="1817">
        <v>23</v>
      </c>
      <c r="AA3838" s="647">
        <v>3.67</v>
      </c>
      <c r="AB3838" s="647">
        <v>0.34799999999999998</v>
      </c>
      <c r="AC3838" s="862">
        <v>7.3</v>
      </c>
      <c r="AD3838" s="867">
        <v>460</v>
      </c>
      <c r="AE3838" s="867">
        <v>160</v>
      </c>
      <c r="AF3838" s="867">
        <v>380</v>
      </c>
      <c r="AG3838" s="66">
        <f t="shared" si="143"/>
        <v>198.08608695652171</v>
      </c>
      <c r="AH3838" s="143">
        <f t="shared" si="144"/>
        <v>1000</v>
      </c>
    </row>
    <row r="3839" spans="1:34" s="862" customFormat="1" x14ac:dyDescent="0.3">
      <c r="A3839" s="862">
        <v>203918</v>
      </c>
      <c r="B3839" s="863">
        <v>32</v>
      </c>
      <c r="C3839" s="863">
        <v>9.7499999999999982</v>
      </c>
      <c r="D3839" s="647">
        <v>9</v>
      </c>
      <c r="E3839" s="1573">
        <v>0.80500000000000005</v>
      </c>
      <c r="F3839" s="864">
        <v>885.50000000000023</v>
      </c>
      <c r="H3839" s="864">
        <v>15.94</v>
      </c>
      <c r="I3839" s="864">
        <v>590</v>
      </c>
      <c r="J3839" s="1816">
        <v>1.425</v>
      </c>
      <c r="K3839" s="647">
        <v>10.6</v>
      </c>
      <c r="L3839" s="864">
        <v>780</v>
      </c>
      <c r="M3839" s="647">
        <v>0.12</v>
      </c>
      <c r="N3839" s="647">
        <v>0.44</v>
      </c>
      <c r="O3839" s="647">
        <v>0.6</v>
      </c>
      <c r="P3839" s="862">
        <v>1.54</v>
      </c>
      <c r="R3839" s="647">
        <v>0.31970867812632775</v>
      </c>
      <c r="S3839" s="863">
        <v>2.1</v>
      </c>
      <c r="Y3839" s="1817">
        <v>30.8</v>
      </c>
      <c r="AA3839" s="647">
        <v>4.66</v>
      </c>
      <c r="AB3839" s="647">
        <v>0.52</v>
      </c>
      <c r="AC3839" s="862">
        <v>11</v>
      </c>
      <c r="AD3839" s="867">
        <v>440</v>
      </c>
      <c r="AE3839" s="867">
        <v>240</v>
      </c>
      <c r="AF3839" s="867">
        <v>320</v>
      </c>
      <c r="AG3839" s="66">
        <f t="shared" si="143"/>
        <v>121.83116883116882</v>
      </c>
      <c r="AH3839" s="143">
        <f t="shared" si="144"/>
        <v>1000</v>
      </c>
    </row>
    <row r="3840" spans="1:34" s="862" customFormat="1" x14ac:dyDescent="0.3">
      <c r="A3840" s="862">
        <v>203919</v>
      </c>
      <c r="B3840" s="863">
        <v>18.5</v>
      </c>
      <c r="C3840" s="863">
        <v>7.5</v>
      </c>
      <c r="D3840" s="647">
        <v>7.8557692307692308</v>
      </c>
      <c r="E3840" s="1573">
        <v>2.1</v>
      </c>
      <c r="F3840" s="864">
        <v>2310.0000000000005</v>
      </c>
      <c r="H3840" s="864">
        <v>440.5</v>
      </c>
      <c r="I3840" s="864">
        <v>2250</v>
      </c>
      <c r="J3840" s="1816">
        <v>1.0740000000000001</v>
      </c>
      <c r="K3840" s="647">
        <v>12.99</v>
      </c>
      <c r="L3840" s="864">
        <v>1130</v>
      </c>
      <c r="M3840" s="647">
        <v>2.48</v>
      </c>
      <c r="N3840" s="647">
        <v>1.19</v>
      </c>
      <c r="O3840" s="647">
        <v>25.38</v>
      </c>
      <c r="P3840" s="862">
        <v>6.84</v>
      </c>
      <c r="R3840" s="647">
        <v>1.790297</v>
      </c>
      <c r="S3840" s="863">
        <v>16.299999999999997</v>
      </c>
      <c r="Y3840" s="1817">
        <v>14.4</v>
      </c>
      <c r="AA3840" s="647">
        <v>4.42</v>
      </c>
      <c r="AB3840" s="647">
        <v>0.626</v>
      </c>
      <c r="AC3840" s="862">
        <v>9.5</v>
      </c>
      <c r="AD3840" s="867">
        <v>240</v>
      </c>
      <c r="AE3840" s="867">
        <v>100</v>
      </c>
      <c r="AF3840" s="867">
        <v>660</v>
      </c>
      <c r="AG3840" s="66">
        <f t="shared" si="143"/>
        <v>319.33749999999998</v>
      </c>
      <c r="AH3840" s="143">
        <f t="shared" si="144"/>
        <v>1000</v>
      </c>
    </row>
    <row r="3841" spans="1:34" s="862" customFormat="1" x14ac:dyDescent="0.3">
      <c r="A3841" s="862">
        <v>203920</v>
      </c>
      <c r="B3841" s="863">
        <v>27.5</v>
      </c>
      <c r="C3841" s="863">
        <v>10.499999999999998</v>
      </c>
      <c r="D3841" s="647">
        <v>8.8598130841121492</v>
      </c>
      <c r="E3841" s="1573">
        <v>0.57699999999999996</v>
      </c>
      <c r="F3841" s="864">
        <v>634.70000000000005</v>
      </c>
      <c r="H3841" s="864">
        <v>15.69</v>
      </c>
      <c r="I3841" s="864">
        <v>470</v>
      </c>
      <c r="J3841" s="1816">
        <v>1.0409999999999999</v>
      </c>
      <c r="K3841" s="647">
        <v>10.73</v>
      </c>
      <c r="L3841" s="864">
        <v>710</v>
      </c>
      <c r="M3841" s="647">
        <v>0.15</v>
      </c>
      <c r="N3841" s="647">
        <v>0.68</v>
      </c>
      <c r="O3841" s="647">
        <v>1.78</v>
      </c>
      <c r="P3841" s="862">
        <v>1.64</v>
      </c>
      <c r="R3841" s="647">
        <v>0.48616220012661276</v>
      </c>
      <c r="S3841" s="863">
        <v>3.3000000000000003</v>
      </c>
      <c r="Y3841" s="1817">
        <v>25.2</v>
      </c>
      <c r="AA3841" s="647">
        <v>4.82</v>
      </c>
      <c r="AB3841" s="647">
        <v>0.52800000000000002</v>
      </c>
      <c r="AC3841" s="862">
        <v>10.3</v>
      </c>
      <c r="AD3841" s="867">
        <v>420</v>
      </c>
      <c r="AE3841" s="867">
        <v>220</v>
      </c>
      <c r="AF3841" s="867">
        <v>360</v>
      </c>
      <c r="AG3841" s="66">
        <f t="shared" si="143"/>
        <v>150.73095238095237</v>
      </c>
      <c r="AH3841" s="143">
        <f t="shared" si="144"/>
        <v>1000</v>
      </c>
    </row>
    <row r="3842" spans="1:34" s="862" customFormat="1" x14ac:dyDescent="0.3">
      <c r="A3842" s="862">
        <v>203921</v>
      </c>
      <c r="B3842" s="863">
        <v>20.2</v>
      </c>
      <c r="C3842" s="863">
        <v>9.5</v>
      </c>
      <c r="D3842" s="647">
        <v>8.1730769230769234</v>
      </c>
      <c r="E3842" s="1573">
        <v>0.373</v>
      </c>
      <c r="F3842" s="864">
        <v>410.30000000000007</v>
      </c>
      <c r="H3842" s="864">
        <v>16.93</v>
      </c>
      <c r="I3842" s="864">
        <v>380</v>
      </c>
      <c r="J3842" s="1816">
        <v>0.127</v>
      </c>
      <c r="K3842" s="647">
        <v>12.27</v>
      </c>
      <c r="L3842" s="864">
        <v>990</v>
      </c>
      <c r="M3842" s="647">
        <v>0.33</v>
      </c>
      <c r="N3842" s="647">
        <v>1.0900000000000001</v>
      </c>
      <c r="O3842" s="647">
        <v>3.11</v>
      </c>
      <c r="P3842" s="862">
        <v>1.79</v>
      </c>
      <c r="R3842" s="647">
        <v>1.0270598374454545</v>
      </c>
      <c r="S3842" s="863">
        <v>7.1</v>
      </c>
      <c r="Y3842" s="1817">
        <v>28.8</v>
      </c>
      <c r="AA3842" s="647">
        <v>4.47</v>
      </c>
      <c r="AB3842" s="647">
        <v>0.89400000000000002</v>
      </c>
      <c r="AC3842" s="862">
        <v>12</v>
      </c>
      <c r="AD3842" s="867">
        <v>480</v>
      </c>
      <c r="AE3842" s="867">
        <v>240</v>
      </c>
      <c r="AF3842" s="867">
        <v>280</v>
      </c>
      <c r="AG3842" s="66">
        <f t="shared" ref="AG3842:AG3905" si="145">+K3842*3.54*100/Y3842</f>
        <v>150.81874999999999</v>
      </c>
      <c r="AH3842" s="143">
        <f t="shared" ref="AH3842:AH3905" si="146">+SUM(AD3842:AF3842)</f>
        <v>1000</v>
      </c>
    </row>
    <row r="3843" spans="1:34" s="862" customFormat="1" x14ac:dyDescent="0.3">
      <c r="A3843" s="862">
        <v>203922</v>
      </c>
      <c r="B3843" s="863">
        <v>18.3</v>
      </c>
      <c r="C3843" s="863">
        <v>6.7499999999999982</v>
      </c>
      <c r="D3843" s="647">
        <v>8.2692307692307683</v>
      </c>
      <c r="E3843" s="1573">
        <v>1.028</v>
      </c>
      <c r="F3843" s="864">
        <v>1130.8</v>
      </c>
      <c r="H3843" s="864">
        <v>19.440000000000001</v>
      </c>
      <c r="I3843" s="864">
        <v>560</v>
      </c>
      <c r="J3843" s="1816">
        <v>1.0660000000000001</v>
      </c>
      <c r="K3843" s="647">
        <v>11.42</v>
      </c>
      <c r="L3843" s="864">
        <v>1070</v>
      </c>
      <c r="M3843" s="647">
        <v>0.25</v>
      </c>
      <c r="N3843" s="647">
        <v>0.91</v>
      </c>
      <c r="O3843" s="647">
        <v>2.85</v>
      </c>
      <c r="P3843" s="862">
        <v>2.2999999999999998</v>
      </c>
      <c r="R3843" s="647">
        <v>1.0716230984494006</v>
      </c>
      <c r="S3843" s="863">
        <v>7.1</v>
      </c>
      <c r="Y3843" s="1817">
        <v>25</v>
      </c>
      <c r="AA3843" s="647">
        <v>3.85</v>
      </c>
      <c r="AB3843" s="647">
        <v>0.25600000000000001</v>
      </c>
      <c r="AC3843" s="862">
        <v>7.1</v>
      </c>
      <c r="AD3843" s="867">
        <v>500</v>
      </c>
      <c r="AE3843" s="867">
        <v>260</v>
      </c>
      <c r="AF3843" s="867">
        <v>240</v>
      </c>
      <c r="AG3843" s="66">
        <f t="shared" si="145"/>
        <v>161.7072</v>
      </c>
      <c r="AH3843" s="143">
        <f t="shared" si="146"/>
        <v>1000</v>
      </c>
    </row>
    <row r="3844" spans="1:34" s="862" customFormat="1" x14ac:dyDescent="0.3">
      <c r="A3844" s="862">
        <v>203923</v>
      </c>
      <c r="B3844" s="863">
        <v>18</v>
      </c>
      <c r="C3844" s="863">
        <v>6.875</v>
      </c>
      <c r="D3844" s="647">
        <v>8.1826923076923066</v>
      </c>
      <c r="E3844" s="1573">
        <v>0.314</v>
      </c>
      <c r="F3844" s="864">
        <v>345.40000000000003</v>
      </c>
      <c r="H3844" s="864">
        <v>41.48</v>
      </c>
      <c r="I3844" s="864">
        <v>680</v>
      </c>
      <c r="J3844" s="1816">
        <v>9.4E-2</v>
      </c>
      <c r="K3844" s="647">
        <v>12</v>
      </c>
      <c r="L3844" s="864">
        <v>780</v>
      </c>
      <c r="M3844" s="647">
        <v>0.91</v>
      </c>
      <c r="N3844" s="647">
        <v>1.32</v>
      </c>
      <c r="O3844" s="647">
        <v>8.7200000000000006</v>
      </c>
      <c r="P3844" s="862">
        <v>2.11</v>
      </c>
      <c r="R3844" s="647">
        <v>1.3125691332647513</v>
      </c>
      <c r="S3844" s="863">
        <v>9.2000000000000011</v>
      </c>
      <c r="Y3844" s="1817">
        <v>22.8</v>
      </c>
      <c r="AA3844" s="647">
        <v>3.63</v>
      </c>
      <c r="AB3844" s="647">
        <v>0.77</v>
      </c>
      <c r="AC3844" s="862">
        <v>6.1</v>
      </c>
      <c r="AD3844" s="867">
        <v>380</v>
      </c>
      <c r="AE3844" s="867">
        <v>160</v>
      </c>
      <c r="AF3844" s="867">
        <v>460</v>
      </c>
      <c r="AG3844" s="66">
        <f t="shared" si="145"/>
        <v>186.31578947368419</v>
      </c>
      <c r="AH3844" s="143">
        <f t="shared" si="146"/>
        <v>1000</v>
      </c>
    </row>
    <row r="3845" spans="1:34" s="862" customFormat="1" x14ac:dyDescent="0.3">
      <c r="A3845" s="862">
        <v>203924</v>
      </c>
      <c r="B3845" s="863">
        <v>22</v>
      </c>
      <c r="C3845" s="863">
        <v>9.8749999999999982</v>
      </c>
      <c r="D3845" s="647">
        <v>8.2692307692307683</v>
      </c>
      <c r="E3845" s="1573">
        <v>0.69899999999999995</v>
      </c>
      <c r="F3845" s="864">
        <v>768.9</v>
      </c>
      <c r="H3845" s="864">
        <v>26.08</v>
      </c>
      <c r="I3845" s="864">
        <v>640</v>
      </c>
      <c r="J3845" s="1816">
        <v>0.73299999999999998</v>
      </c>
      <c r="K3845" s="647">
        <v>11.68</v>
      </c>
      <c r="L3845" s="864">
        <v>1140</v>
      </c>
      <c r="M3845" s="647">
        <v>0.26</v>
      </c>
      <c r="N3845" s="647">
        <v>1.51</v>
      </c>
      <c r="O3845" s="647">
        <v>1.5</v>
      </c>
      <c r="P3845" s="862">
        <v>2.2400000000000002</v>
      </c>
      <c r="R3845" s="647">
        <v>0.65740939925646069</v>
      </c>
      <c r="S3845" s="863">
        <v>4.6999999999999993</v>
      </c>
      <c r="Y3845" s="1817">
        <v>30</v>
      </c>
      <c r="AA3845" s="647">
        <v>4.3600000000000003</v>
      </c>
      <c r="AB3845" s="647">
        <v>0.69199999999999995</v>
      </c>
      <c r="AC3845" s="862">
        <v>8.6999999999999993</v>
      </c>
      <c r="AD3845" s="867">
        <v>500</v>
      </c>
      <c r="AE3845" s="867">
        <v>280</v>
      </c>
      <c r="AF3845" s="867">
        <v>320</v>
      </c>
      <c r="AG3845" s="66">
        <f t="shared" si="145"/>
        <v>137.82400000000001</v>
      </c>
      <c r="AH3845" s="143">
        <f t="shared" si="146"/>
        <v>1100</v>
      </c>
    </row>
    <row r="3846" spans="1:34" s="862" customFormat="1" x14ac:dyDescent="0.3">
      <c r="A3846" s="862">
        <v>203925</v>
      </c>
      <c r="B3846" s="863">
        <v>26.3</v>
      </c>
      <c r="C3846" s="863">
        <v>10.25</v>
      </c>
      <c r="D3846" s="647">
        <v>8.6442307692307683</v>
      </c>
      <c r="E3846" s="1573">
        <v>0.13400000000000001</v>
      </c>
      <c r="F3846" s="864">
        <v>147.40000000000003</v>
      </c>
      <c r="H3846" s="864">
        <v>11.11</v>
      </c>
      <c r="I3846" s="864">
        <v>220</v>
      </c>
      <c r="J3846" s="1816">
        <v>9.2999999999999999E-2</v>
      </c>
      <c r="K3846" s="647">
        <v>11.38</v>
      </c>
      <c r="L3846" s="864">
        <v>790</v>
      </c>
      <c r="M3846" s="647">
        <v>0.09</v>
      </c>
      <c r="N3846" s="647">
        <v>0.44</v>
      </c>
      <c r="O3846" s="647">
        <v>1.1000000000000001</v>
      </c>
      <c r="P3846" s="862">
        <v>1.58</v>
      </c>
      <c r="R3846" s="647">
        <v>0.48370599622894794</v>
      </c>
      <c r="S3846" s="863">
        <v>3.5</v>
      </c>
      <c r="Y3846" s="1817">
        <v>23</v>
      </c>
      <c r="AA3846" s="647">
        <v>4.29</v>
      </c>
      <c r="AB3846" s="647">
        <v>0.57699999999999996</v>
      </c>
      <c r="AC3846" s="862">
        <v>7.9</v>
      </c>
      <c r="AD3846" s="867">
        <v>460</v>
      </c>
      <c r="AE3846" s="867">
        <v>260</v>
      </c>
      <c r="AF3846" s="867">
        <v>280</v>
      </c>
      <c r="AG3846" s="66">
        <f t="shared" si="145"/>
        <v>175.15304347826088</v>
      </c>
      <c r="AH3846" s="143">
        <f t="shared" si="146"/>
        <v>1000</v>
      </c>
    </row>
    <row r="3847" spans="1:34" s="862" customFormat="1" x14ac:dyDescent="0.3">
      <c r="A3847" s="862">
        <v>203926</v>
      </c>
      <c r="B3847" s="863">
        <v>16.7</v>
      </c>
      <c r="C3847" s="863">
        <v>5.9999999999999982</v>
      </c>
      <c r="D3847" s="647">
        <v>7.6442307692307692</v>
      </c>
      <c r="E3847" s="1573">
        <v>2.9</v>
      </c>
      <c r="F3847" s="864">
        <v>3190</v>
      </c>
      <c r="H3847" s="864">
        <v>491</v>
      </c>
      <c r="I3847" s="864">
        <v>2670</v>
      </c>
      <c r="J3847" s="1816">
        <v>1.9890000000000001</v>
      </c>
      <c r="K3847" s="647">
        <v>12.58</v>
      </c>
      <c r="L3847" s="864">
        <v>1270</v>
      </c>
      <c r="M3847" s="647">
        <v>3.21</v>
      </c>
      <c r="N3847" s="647">
        <v>1.33</v>
      </c>
      <c r="O3847" s="647">
        <v>31.85</v>
      </c>
      <c r="P3847" s="862">
        <v>8.44</v>
      </c>
      <c r="R3847" s="647">
        <v>1.824408</v>
      </c>
      <c r="S3847" s="863">
        <v>17.399999999999999</v>
      </c>
      <c r="Y3847" s="1817">
        <v>13</v>
      </c>
      <c r="AA3847" s="647">
        <v>3.55</v>
      </c>
      <c r="AB3847" s="647">
        <v>0.63100000000000001</v>
      </c>
      <c r="AC3847" s="862">
        <v>6.3</v>
      </c>
      <c r="AD3847" s="867">
        <v>260</v>
      </c>
      <c r="AE3847" s="867">
        <v>100</v>
      </c>
      <c r="AF3847" s="867">
        <v>640</v>
      </c>
      <c r="AG3847" s="66">
        <f t="shared" si="145"/>
        <v>342.56307692307689</v>
      </c>
      <c r="AH3847" s="143">
        <f t="shared" si="146"/>
        <v>1000</v>
      </c>
    </row>
    <row r="3848" spans="1:34" s="862" customFormat="1" x14ac:dyDescent="0.3">
      <c r="A3848" s="862">
        <v>203927</v>
      </c>
      <c r="B3848" s="863">
        <v>20</v>
      </c>
      <c r="C3848" s="863">
        <v>8.375</v>
      </c>
      <c r="D3848" s="647">
        <v>7.7211538461538449</v>
      </c>
      <c r="E3848" s="1573">
        <v>2.84</v>
      </c>
      <c r="F3848" s="864">
        <v>3124</v>
      </c>
      <c r="H3848" s="864">
        <v>375.56</v>
      </c>
      <c r="I3848" s="864">
        <v>2360</v>
      </c>
      <c r="J3848" s="1816">
        <v>1.8660000000000001</v>
      </c>
      <c r="K3848" s="647">
        <v>12.16</v>
      </c>
      <c r="L3848" s="864">
        <v>1130</v>
      </c>
      <c r="M3848" s="647">
        <v>2.5299999999999998</v>
      </c>
      <c r="N3848" s="647">
        <v>4.63</v>
      </c>
      <c r="O3848" s="647">
        <v>27.84</v>
      </c>
      <c r="P3848" s="862">
        <v>4.49</v>
      </c>
      <c r="R3848" s="647">
        <v>1.7273879999999999</v>
      </c>
      <c r="S3848" s="863">
        <v>14.399999999999999</v>
      </c>
      <c r="Y3848" s="1817">
        <v>16</v>
      </c>
      <c r="AA3848" s="647">
        <v>3.62</v>
      </c>
      <c r="AB3848" s="647">
        <v>0.57999999999999996</v>
      </c>
      <c r="AC3848" s="862">
        <v>6.7</v>
      </c>
      <c r="AD3848" s="867">
        <v>320</v>
      </c>
      <c r="AE3848" s="867">
        <v>200</v>
      </c>
      <c r="AF3848" s="867">
        <v>480</v>
      </c>
      <c r="AG3848" s="66">
        <f t="shared" si="145"/>
        <v>269.03999999999996</v>
      </c>
      <c r="AH3848" s="143">
        <f t="shared" si="146"/>
        <v>1000</v>
      </c>
    </row>
    <row r="3849" spans="1:34" s="862" customFormat="1" x14ac:dyDescent="0.3">
      <c r="A3849" s="862">
        <v>203928</v>
      </c>
      <c r="B3849" s="863">
        <v>23.5</v>
      </c>
      <c r="C3849" s="863">
        <v>9.5</v>
      </c>
      <c r="D3849" s="647">
        <v>8.5384615384615383</v>
      </c>
      <c r="E3849" s="1573">
        <v>0.46600000000000003</v>
      </c>
      <c r="F3849" s="864">
        <v>512.6</v>
      </c>
      <c r="H3849" s="864">
        <v>15.66</v>
      </c>
      <c r="I3849" s="864">
        <v>330</v>
      </c>
      <c r="J3849" s="1816">
        <v>0.68</v>
      </c>
      <c r="K3849" s="647">
        <v>11.14</v>
      </c>
      <c r="L3849" s="864">
        <v>930</v>
      </c>
      <c r="M3849" s="647">
        <v>0.2</v>
      </c>
      <c r="N3849" s="647">
        <v>0.71</v>
      </c>
      <c r="O3849" s="647">
        <v>1.95</v>
      </c>
      <c r="P3849" s="862">
        <v>2.11</v>
      </c>
      <c r="R3849" s="647">
        <v>0.70703875501270796</v>
      </c>
      <c r="S3849" s="863">
        <v>4.6000000000000005</v>
      </c>
      <c r="Y3849" s="1817">
        <v>33.6</v>
      </c>
      <c r="AA3849" s="647">
        <v>4.43</v>
      </c>
      <c r="AB3849" s="647">
        <v>0.88100000000000001</v>
      </c>
      <c r="AC3849" s="862">
        <v>9.6999999999999993</v>
      </c>
      <c r="AD3849" s="867">
        <v>480</v>
      </c>
      <c r="AE3849" s="867">
        <v>200</v>
      </c>
      <c r="AF3849" s="867">
        <v>320</v>
      </c>
      <c r="AG3849" s="66">
        <f t="shared" si="145"/>
        <v>117.36785714285713</v>
      </c>
      <c r="AH3849" s="143">
        <f t="shared" si="146"/>
        <v>1000</v>
      </c>
    </row>
    <row r="3850" spans="1:34" s="862" customFormat="1" x14ac:dyDescent="0.3">
      <c r="A3850" s="862">
        <v>203929</v>
      </c>
      <c r="B3850" s="863">
        <v>34.5</v>
      </c>
      <c r="C3850" s="863">
        <v>11.375</v>
      </c>
      <c r="D3850" s="647">
        <v>8.5576923076923084</v>
      </c>
      <c r="E3850" s="1573">
        <v>0.308</v>
      </c>
      <c r="F3850" s="864">
        <v>338.80000000000007</v>
      </c>
      <c r="H3850" s="864">
        <v>13.23</v>
      </c>
      <c r="I3850" s="864">
        <v>350</v>
      </c>
      <c r="J3850" s="1816">
        <v>0.25600000000000001</v>
      </c>
      <c r="K3850" s="647">
        <v>11.22</v>
      </c>
      <c r="L3850" s="864">
        <v>850</v>
      </c>
      <c r="M3850" s="647">
        <v>0.14000000000000001</v>
      </c>
      <c r="N3850" s="647">
        <v>0.39</v>
      </c>
      <c r="O3850" s="647">
        <v>0.94</v>
      </c>
      <c r="P3850" s="862">
        <v>1.25</v>
      </c>
      <c r="R3850" s="647">
        <v>0.47815069401773708</v>
      </c>
      <c r="S3850" s="863">
        <v>3.3000000000000003</v>
      </c>
      <c r="Y3850" s="1817">
        <v>22.8</v>
      </c>
      <c r="AA3850" s="647">
        <v>4.22</v>
      </c>
      <c r="AB3850" s="647">
        <v>0.65700000000000003</v>
      </c>
      <c r="AC3850" s="862">
        <v>9.3000000000000007</v>
      </c>
      <c r="AD3850" s="867">
        <v>380</v>
      </c>
      <c r="AE3850" s="867">
        <v>180</v>
      </c>
      <c r="AF3850" s="867">
        <v>440</v>
      </c>
      <c r="AG3850" s="66">
        <f t="shared" si="145"/>
        <v>174.20526315789473</v>
      </c>
      <c r="AH3850" s="143">
        <f t="shared" si="146"/>
        <v>1000</v>
      </c>
    </row>
    <row r="3851" spans="1:34" s="862" customFormat="1" x14ac:dyDescent="0.3">
      <c r="A3851" s="862">
        <v>203930</v>
      </c>
      <c r="B3851" s="863">
        <v>26.7</v>
      </c>
      <c r="C3851" s="863">
        <v>11.25</v>
      </c>
      <c r="D3851" s="647">
        <v>8.4423076923076916</v>
      </c>
      <c r="E3851" s="1573">
        <v>0.252</v>
      </c>
      <c r="F3851" s="864">
        <v>277.2</v>
      </c>
      <c r="H3851" s="864">
        <v>11.68</v>
      </c>
      <c r="I3851" s="864">
        <v>240</v>
      </c>
      <c r="J3851" s="1816">
        <v>0.16</v>
      </c>
      <c r="K3851" s="647">
        <v>16.71</v>
      </c>
      <c r="L3851" s="864">
        <v>900</v>
      </c>
      <c r="M3851" s="647">
        <v>0.22</v>
      </c>
      <c r="N3851" s="647">
        <v>1.17</v>
      </c>
      <c r="O3851" s="647">
        <v>4.28</v>
      </c>
      <c r="P3851" s="862">
        <v>1.75</v>
      </c>
      <c r="R3851" s="647">
        <v>0.72318707946166905</v>
      </c>
      <c r="S3851" s="863">
        <v>5</v>
      </c>
      <c r="Y3851" s="1817">
        <v>25.2</v>
      </c>
      <c r="AA3851" s="647">
        <v>4.99</v>
      </c>
      <c r="AB3851" s="647">
        <v>0.872</v>
      </c>
      <c r="AC3851" s="862">
        <v>10.7</v>
      </c>
      <c r="AD3851" s="867">
        <v>420</v>
      </c>
      <c r="AE3851" s="867">
        <v>200</v>
      </c>
      <c r="AF3851" s="867">
        <v>380</v>
      </c>
      <c r="AG3851" s="66">
        <f t="shared" si="145"/>
        <v>234.73571428571429</v>
      </c>
      <c r="AH3851" s="143">
        <f t="shared" si="146"/>
        <v>1000</v>
      </c>
    </row>
    <row r="3852" spans="1:34" s="862" customFormat="1" x14ac:dyDescent="0.3">
      <c r="A3852" s="862">
        <v>203931</v>
      </c>
      <c r="B3852" s="863">
        <v>22.8</v>
      </c>
      <c r="C3852" s="863">
        <v>10.499999999999998</v>
      </c>
      <c r="D3852" s="647">
        <v>8.0480769230769216</v>
      </c>
      <c r="E3852" s="1573">
        <v>1.242</v>
      </c>
      <c r="F3852" s="864">
        <v>1366.2</v>
      </c>
      <c r="H3852" s="864">
        <v>118.18</v>
      </c>
      <c r="I3852" s="864">
        <v>930</v>
      </c>
      <c r="J3852" s="1816">
        <v>0.755</v>
      </c>
      <c r="K3852" s="647">
        <v>11.73</v>
      </c>
      <c r="L3852" s="864">
        <v>1080</v>
      </c>
      <c r="M3852" s="647">
        <v>1.1000000000000001</v>
      </c>
      <c r="N3852" s="647">
        <v>1.94</v>
      </c>
      <c r="O3852" s="647">
        <v>18.93</v>
      </c>
      <c r="P3852" s="862">
        <v>3.86</v>
      </c>
      <c r="R3852" s="647">
        <v>1.6138970000000001</v>
      </c>
      <c r="S3852" s="863">
        <v>11.299999999999999</v>
      </c>
      <c r="Y3852" s="1817">
        <v>26.6</v>
      </c>
      <c r="AA3852" s="647">
        <v>3.86</v>
      </c>
      <c r="AB3852" s="647">
        <v>0.45300000000000001</v>
      </c>
      <c r="AC3852" s="862">
        <v>9.1999999999999993</v>
      </c>
      <c r="AD3852" s="867">
        <v>380</v>
      </c>
      <c r="AE3852" s="867">
        <v>180</v>
      </c>
      <c r="AF3852" s="867">
        <v>440</v>
      </c>
      <c r="AG3852" s="66">
        <f t="shared" si="145"/>
        <v>156.10601503759398</v>
      </c>
      <c r="AH3852" s="143">
        <f t="shared" si="146"/>
        <v>1000</v>
      </c>
    </row>
    <row r="3853" spans="1:34" s="862" customFormat="1" x14ac:dyDescent="0.3">
      <c r="A3853" s="862">
        <v>203932</v>
      </c>
      <c r="B3853" s="863">
        <v>32.299999999999997</v>
      </c>
      <c r="C3853" s="863">
        <v>11.875</v>
      </c>
      <c r="D3853" s="647">
        <v>8.4423076923076916</v>
      </c>
      <c r="E3853" s="1573">
        <v>0.26400000000000001</v>
      </c>
      <c r="F3853" s="864">
        <v>290.40000000000003</v>
      </c>
      <c r="H3853" s="864">
        <v>13.43</v>
      </c>
      <c r="I3853" s="864">
        <v>190</v>
      </c>
      <c r="J3853" s="1816">
        <v>0.16200000000000001</v>
      </c>
      <c r="K3853" s="647">
        <v>11.35</v>
      </c>
      <c r="L3853" s="864">
        <v>740</v>
      </c>
      <c r="M3853" s="647">
        <v>0.14000000000000001</v>
      </c>
      <c r="N3853" s="647">
        <v>0.55000000000000004</v>
      </c>
      <c r="O3853" s="647">
        <v>2.98</v>
      </c>
      <c r="P3853" s="862">
        <v>1.56</v>
      </c>
      <c r="R3853" s="647">
        <v>0.55018092818648667</v>
      </c>
      <c r="S3853" s="863">
        <v>3.5999999999999996</v>
      </c>
      <c r="Y3853" s="1817">
        <v>33.6</v>
      </c>
      <c r="AA3853" s="647">
        <v>4.0199999999999996</v>
      </c>
      <c r="AB3853" s="647">
        <v>0.75600000000000001</v>
      </c>
      <c r="AC3853" s="862">
        <v>10.3</v>
      </c>
      <c r="AD3853" s="867">
        <v>480</v>
      </c>
      <c r="AE3853" s="867">
        <v>220</v>
      </c>
      <c r="AF3853" s="867">
        <v>300</v>
      </c>
      <c r="AG3853" s="66">
        <f t="shared" si="145"/>
        <v>119.58035714285714</v>
      </c>
      <c r="AH3853" s="143">
        <f t="shared" si="146"/>
        <v>1000</v>
      </c>
    </row>
    <row r="3854" spans="1:34" s="862" customFormat="1" x14ac:dyDescent="0.3">
      <c r="A3854" s="862">
        <v>203933</v>
      </c>
      <c r="B3854" s="863">
        <v>20.2</v>
      </c>
      <c r="C3854" s="863">
        <v>8.875</v>
      </c>
      <c r="D3854" s="647">
        <v>8.2692307692307683</v>
      </c>
      <c r="E3854" s="1573">
        <v>0.55700000000000005</v>
      </c>
      <c r="F3854" s="864">
        <v>612.70000000000016</v>
      </c>
      <c r="H3854" s="864">
        <v>24.64</v>
      </c>
      <c r="I3854" s="864">
        <v>530</v>
      </c>
      <c r="J3854" s="1816">
        <v>0.40400000000000003</v>
      </c>
      <c r="K3854" s="647">
        <v>11.4</v>
      </c>
      <c r="L3854" s="864">
        <v>1000</v>
      </c>
      <c r="M3854" s="647">
        <v>0.32</v>
      </c>
      <c r="N3854" s="647">
        <v>2.36</v>
      </c>
      <c r="O3854" s="647">
        <v>4.7</v>
      </c>
      <c r="P3854" s="862">
        <v>2.2999999999999998</v>
      </c>
      <c r="R3854" s="647">
        <v>1.032854711977965</v>
      </c>
      <c r="S3854" s="863">
        <v>7.6</v>
      </c>
      <c r="Y3854" s="1817">
        <v>31.2</v>
      </c>
      <c r="AA3854" s="647">
        <v>4.53</v>
      </c>
      <c r="AB3854" s="647">
        <v>0.30599999999999999</v>
      </c>
      <c r="AC3854" s="862">
        <v>9.1</v>
      </c>
      <c r="AD3854" s="867">
        <v>520</v>
      </c>
      <c r="AE3854" s="867">
        <v>280</v>
      </c>
      <c r="AF3854" s="867">
        <v>200</v>
      </c>
      <c r="AG3854" s="66">
        <f t="shared" si="145"/>
        <v>129.34615384615387</v>
      </c>
      <c r="AH3854" s="143">
        <f t="shared" si="146"/>
        <v>1000</v>
      </c>
    </row>
    <row r="3855" spans="1:34" s="862" customFormat="1" x14ac:dyDescent="0.3">
      <c r="A3855" s="862">
        <v>203934</v>
      </c>
      <c r="B3855" s="863">
        <v>19.5</v>
      </c>
      <c r="C3855" s="863">
        <v>9</v>
      </c>
      <c r="D3855" s="647">
        <v>8.5384615384615383</v>
      </c>
      <c r="E3855" s="1573">
        <v>0.50800000000000001</v>
      </c>
      <c r="F3855" s="864">
        <v>558.80000000000007</v>
      </c>
      <c r="H3855" s="864">
        <v>16.079999999999998</v>
      </c>
      <c r="I3855" s="864">
        <v>410</v>
      </c>
      <c r="J3855" s="1816">
        <v>0.60799999999999998</v>
      </c>
      <c r="K3855" s="647">
        <v>11.02</v>
      </c>
      <c r="L3855" s="864">
        <v>990</v>
      </c>
      <c r="M3855" s="647">
        <v>0.28000000000000003</v>
      </c>
      <c r="N3855" s="647">
        <v>0.96</v>
      </c>
      <c r="O3855" s="647">
        <v>3.16</v>
      </c>
      <c r="P3855" s="862">
        <v>2.36</v>
      </c>
      <c r="R3855" s="647">
        <v>1.2414517761259782</v>
      </c>
      <c r="S3855" s="863">
        <v>8.2999999999999989</v>
      </c>
      <c r="Y3855" s="1817">
        <v>30.8</v>
      </c>
      <c r="AA3855" s="647">
        <v>3.48</v>
      </c>
      <c r="AB3855" s="647">
        <v>0.46400000000000002</v>
      </c>
      <c r="AC3855" s="862">
        <v>9.1999999999999993</v>
      </c>
      <c r="AD3855" s="867">
        <v>440</v>
      </c>
      <c r="AE3855" s="867">
        <v>240</v>
      </c>
      <c r="AF3855" s="867">
        <v>320</v>
      </c>
      <c r="AG3855" s="66">
        <f t="shared" si="145"/>
        <v>126.65844155844154</v>
      </c>
      <c r="AH3855" s="143">
        <f t="shared" si="146"/>
        <v>1000</v>
      </c>
    </row>
    <row r="3856" spans="1:34" s="862" customFormat="1" x14ac:dyDescent="0.3">
      <c r="A3856" s="862">
        <v>203935</v>
      </c>
      <c r="B3856" s="863">
        <v>16.8</v>
      </c>
      <c r="C3856" s="863">
        <v>7.7499999999999991</v>
      </c>
      <c r="D3856" s="647">
        <v>8.0769230769230766</v>
      </c>
      <c r="E3856" s="1573">
        <v>1.4279999999999999</v>
      </c>
      <c r="F3856" s="864">
        <v>1570.8</v>
      </c>
      <c r="H3856" s="864">
        <v>115.66</v>
      </c>
      <c r="I3856" s="864">
        <v>1400</v>
      </c>
      <c r="J3856" s="1816">
        <v>1.111</v>
      </c>
      <c r="K3856" s="647">
        <v>11.76</v>
      </c>
      <c r="L3856" s="864">
        <v>1190</v>
      </c>
      <c r="M3856" s="647">
        <v>1.24</v>
      </c>
      <c r="N3856" s="647">
        <v>1.74</v>
      </c>
      <c r="O3856" s="647">
        <v>31.34</v>
      </c>
      <c r="P3856" s="862">
        <v>10.84</v>
      </c>
      <c r="R3856" s="647">
        <v>1.774232</v>
      </c>
      <c r="S3856" s="863">
        <v>15.8</v>
      </c>
      <c r="Y3856" s="1817">
        <v>13</v>
      </c>
      <c r="AA3856" s="647">
        <v>4.9400000000000004</v>
      </c>
      <c r="AB3856" s="647">
        <v>0.38300000000000001</v>
      </c>
      <c r="AC3856" s="862">
        <v>6.8</v>
      </c>
      <c r="AD3856" s="867">
        <v>260</v>
      </c>
      <c r="AE3856" s="867">
        <v>160</v>
      </c>
      <c r="AF3856" s="867">
        <v>580</v>
      </c>
      <c r="AG3856" s="66">
        <f t="shared" si="145"/>
        <v>320.23384615384617</v>
      </c>
      <c r="AH3856" s="143">
        <f t="shared" si="146"/>
        <v>1000</v>
      </c>
    </row>
    <row r="3857" spans="1:34" s="862" customFormat="1" x14ac:dyDescent="0.3">
      <c r="A3857" s="862">
        <v>203936</v>
      </c>
      <c r="B3857" s="863">
        <v>24.2</v>
      </c>
      <c r="C3857" s="863">
        <v>9.7499999999999982</v>
      </c>
      <c r="D3857" s="647">
        <v>8.2692307692307683</v>
      </c>
      <c r="E3857" s="1573">
        <v>0.96499999999999997</v>
      </c>
      <c r="F3857" s="864">
        <v>1061.5</v>
      </c>
      <c r="H3857" s="864">
        <v>98.91</v>
      </c>
      <c r="I3857" s="864">
        <v>810</v>
      </c>
      <c r="J3857" s="1816">
        <v>0.622</v>
      </c>
      <c r="K3857" s="647">
        <v>13.54</v>
      </c>
      <c r="L3857" s="864">
        <v>990</v>
      </c>
      <c r="M3857" s="647">
        <v>0.99</v>
      </c>
      <c r="N3857" s="647">
        <v>1.08</v>
      </c>
      <c r="O3857" s="647">
        <v>5.21</v>
      </c>
      <c r="P3857" s="862">
        <v>3.69</v>
      </c>
      <c r="R3857" s="647">
        <v>1.2494955169021857</v>
      </c>
      <c r="S3857" s="863">
        <v>9.1</v>
      </c>
      <c r="Y3857" s="1817">
        <v>29.4</v>
      </c>
      <c r="AA3857" s="647">
        <v>4.8499999999999996</v>
      </c>
      <c r="AB3857" s="647">
        <v>0.27700000000000002</v>
      </c>
      <c r="AC3857" s="862">
        <v>7.5</v>
      </c>
      <c r="AD3857" s="867">
        <v>420</v>
      </c>
      <c r="AE3857" s="867">
        <v>200</v>
      </c>
      <c r="AF3857" s="867">
        <v>380</v>
      </c>
      <c r="AG3857" s="66">
        <f t="shared" si="145"/>
        <v>163.03265306122449</v>
      </c>
      <c r="AH3857" s="143">
        <f t="shared" si="146"/>
        <v>1000</v>
      </c>
    </row>
    <row r="3858" spans="1:34" s="862" customFormat="1" x14ac:dyDescent="0.3">
      <c r="A3858" s="862">
        <v>203937</v>
      </c>
      <c r="B3858" s="863">
        <v>28.8</v>
      </c>
      <c r="C3858" s="863">
        <v>11.749999999999998</v>
      </c>
      <c r="D3858" s="647">
        <v>8.7641509433962259</v>
      </c>
      <c r="E3858" s="1573">
        <v>2.4700000000000002</v>
      </c>
      <c r="F3858" s="864">
        <v>2717.0000000000005</v>
      </c>
      <c r="H3858" s="864">
        <v>18.309999999999999</v>
      </c>
      <c r="I3858" s="864">
        <v>450</v>
      </c>
      <c r="J3858" s="1816">
        <v>3.1989999999999998</v>
      </c>
      <c r="K3858" s="647">
        <v>11.13</v>
      </c>
      <c r="L3858" s="864">
        <v>930</v>
      </c>
      <c r="M3858" s="647">
        <v>0.11</v>
      </c>
      <c r="N3858" s="647">
        <v>0.34</v>
      </c>
      <c r="O3858" s="647">
        <v>0.14000000000000001</v>
      </c>
      <c r="P3858" s="862">
        <v>1.71</v>
      </c>
      <c r="R3858" s="647">
        <v>0.43557560673869372</v>
      </c>
      <c r="S3858" s="863">
        <v>3.2</v>
      </c>
      <c r="Y3858" s="1817">
        <v>39.200000000000003</v>
      </c>
      <c r="AA3858" s="647">
        <v>4.4000000000000004</v>
      </c>
      <c r="AB3858" s="647">
        <v>0.36599999999999999</v>
      </c>
      <c r="AC3858" s="862">
        <v>9.6</v>
      </c>
      <c r="AD3858" s="867">
        <v>560</v>
      </c>
      <c r="AE3858" s="867">
        <v>260</v>
      </c>
      <c r="AF3858" s="867">
        <v>180</v>
      </c>
      <c r="AG3858" s="66">
        <f t="shared" si="145"/>
        <v>100.51071428571429</v>
      </c>
      <c r="AH3858" s="143">
        <f t="shared" si="146"/>
        <v>1000</v>
      </c>
    </row>
    <row r="3859" spans="1:34" s="862" customFormat="1" x14ac:dyDescent="0.3">
      <c r="A3859" s="862">
        <v>203938</v>
      </c>
      <c r="B3859" s="863">
        <v>25.7</v>
      </c>
      <c r="C3859" s="863">
        <v>10.875</v>
      </c>
      <c r="D3859" s="647">
        <v>8.7476635514018675</v>
      </c>
      <c r="E3859" s="1573">
        <v>2.21</v>
      </c>
      <c r="F3859" s="864">
        <v>2431</v>
      </c>
      <c r="H3859" s="864">
        <v>21.84</v>
      </c>
      <c r="I3859" s="864">
        <v>720</v>
      </c>
      <c r="J3859" s="1816">
        <v>3.351</v>
      </c>
      <c r="K3859" s="647">
        <v>11.18</v>
      </c>
      <c r="L3859" s="864">
        <v>910</v>
      </c>
      <c r="M3859" s="647">
        <v>0.2</v>
      </c>
      <c r="N3859" s="647">
        <v>0.73</v>
      </c>
      <c r="O3859" s="647">
        <v>0.91</v>
      </c>
      <c r="P3859" s="862">
        <v>2.11</v>
      </c>
      <c r="R3859" s="647">
        <v>1.2397074323886521</v>
      </c>
      <c r="S3859" s="863">
        <v>8.4</v>
      </c>
      <c r="Y3859" s="1817">
        <v>20</v>
      </c>
      <c r="AA3859" s="647">
        <v>3.79</v>
      </c>
      <c r="AB3859" s="647">
        <v>0.67800000000000005</v>
      </c>
      <c r="AC3859" s="862">
        <v>6.5</v>
      </c>
      <c r="AD3859" s="867">
        <v>400</v>
      </c>
      <c r="AE3859" s="867">
        <v>240</v>
      </c>
      <c r="AF3859" s="867">
        <v>360</v>
      </c>
      <c r="AG3859" s="66">
        <f t="shared" si="145"/>
        <v>197.886</v>
      </c>
      <c r="AH3859" s="143">
        <f t="shared" si="146"/>
        <v>1000</v>
      </c>
    </row>
    <row r="3860" spans="1:34" s="862" customFormat="1" x14ac:dyDescent="0.3">
      <c r="A3860" s="862">
        <v>203939</v>
      </c>
      <c r="B3860" s="863">
        <v>18.5</v>
      </c>
      <c r="C3860" s="863">
        <v>6.4999999999999991</v>
      </c>
      <c r="D3860" s="647">
        <v>8.1730769230769234</v>
      </c>
      <c r="E3860" s="1573">
        <v>0.42799999999999999</v>
      </c>
      <c r="F3860" s="864">
        <v>470.80000000000007</v>
      </c>
      <c r="H3860" s="864">
        <v>31.62</v>
      </c>
      <c r="I3860" s="864">
        <v>550</v>
      </c>
      <c r="J3860" s="1816">
        <v>0.13500000000000001</v>
      </c>
      <c r="K3860" s="647">
        <v>11.89</v>
      </c>
      <c r="L3860" s="864">
        <v>630</v>
      </c>
      <c r="M3860" s="647">
        <v>0.33</v>
      </c>
      <c r="N3860" s="647">
        <v>0.82</v>
      </c>
      <c r="O3860" s="647">
        <v>3.15</v>
      </c>
      <c r="P3860" s="862">
        <v>1.82</v>
      </c>
      <c r="R3860" s="647">
        <v>1.5039969503346342</v>
      </c>
      <c r="S3860" s="863">
        <v>10.199999999999999</v>
      </c>
      <c r="Y3860" s="1817">
        <v>19</v>
      </c>
      <c r="AA3860" s="647">
        <v>4.71</v>
      </c>
      <c r="AB3860" s="647">
        <v>0.437</v>
      </c>
      <c r="AC3860" s="862">
        <v>11.3</v>
      </c>
      <c r="AD3860" s="867">
        <v>380</v>
      </c>
      <c r="AE3860" s="867">
        <v>200</v>
      </c>
      <c r="AF3860" s="867">
        <v>420</v>
      </c>
      <c r="AG3860" s="66">
        <f t="shared" si="145"/>
        <v>221.52947368421056</v>
      </c>
      <c r="AH3860" s="143">
        <f t="shared" si="146"/>
        <v>1000</v>
      </c>
    </row>
    <row r="3861" spans="1:34" s="862" customFormat="1" x14ac:dyDescent="0.3">
      <c r="A3861" s="862">
        <v>203940</v>
      </c>
      <c r="B3861" s="863">
        <v>20.5</v>
      </c>
      <c r="C3861" s="863">
        <v>9.1249999999999982</v>
      </c>
      <c r="D3861" s="647">
        <v>8.1923076923076916</v>
      </c>
      <c r="E3861" s="1573">
        <v>2.0499999999999998</v>
      </c>
      <c r="F3861" s="864">
        <v>2255</v>
      </c>
      <c r="H3861" s="864">
        <v>192.81</v>
      </c>
      <c r="I3861" s="864">
        <v>1040</v>
      </c>
      <c r="J3861" s="1816">
        <v>1.78</v>
      </c>
      <c r="K3861" s="647">
        <v>11.69</v>
      </c>
      <c r="L3861" s="864">
        <v>1060</v>
      </c>
      <c r="M3861" s="647">
        <v>1.01</v>
      </c>
      <c r="N3861" s="647">
        <v>0.95</v>
      </c>
      <c r="O3861" s="647">
        <v>13.61</v>
      </c>
      <c r="P3861" s="862">
        <v>3.14</v>
      </c>
      <c r="R3861" s="647">
        <v>1.7308250000000001</v>
      </c>
      <c r="S3861" s="863">
        <v>14.5</v>
      </c>
      <c r="Y3861" s="1817">
        <v>20</v>
      </c>
      <c r="AA3861" s="647">
        <v>4.6100000000000003</v>
      </c>
      <c r="AB3861" s="647">
        <v>0.26400000000000001</v>
      </c>
      <c r="AC3861" s="862">
        <v>10.5</v>
      </c>
      <c r="AD3861" s="867">
        <v>400</v>
      </c>
      <c r="AE3861" s="867">
        <v>160</v>
      </c>
      <c r="AF3861" s="867">
        <v>440</v>
      </c>
      <c r="AG3861" s="66">
        <f t="shared" si="145"/>
        <v>206.91299999999995</v>
      </c>
      <c r="AH3861" s="143">
        <f t="shared" si="146"/>
        <v>1000</v>
      </c>
    </row>
    <row r="3862" spans="1:34" s="862" customFormat="1" x14ac:dyDescent="0.3">
      <c r="A3862" s="862">
        <v>203941</v>
      </c>
      <c r="B3862" s="863">
        <v>36.799999999999997</v>
      </c>
      <c r="C3862" s="647">
        <v>11.1</v>
      </c>
      <c r="D3862" s="647">
        <v>8.884615384615385</v>
      </c>
      <c r="E3862" s="1573">
        <v>0.29499999999999998</v>
      </c>
      <c r="F3862" s="864">
        <v>324.5</v>
      </c>
      <c r="H3862" s="864">
        <v>7.61</v>
      </c>
      <c r="I3862" s="864">
        <v>225</v>
      </c>
      <c r="J3862" s="647">
        <v>0.45600000000000002</v>
      </c>
      <c r="K3862" s="647">
        <v>8.43</v>
      </c>
      <c r="L3862" s="864">
        <v>726</v>
      </c>
      <c r="M3862" s="647">
        <v>0.11</v>
      </c>
      <c r="N3862" s="647">
        <v>0.36</v>
      </c>
      <c r="O3862" s="647">
        <v>0.59</v>
      </c>
      <c r="P3862" s="862">
        <v>1.32</v>
      </c>
      <c r="R3862" s="647">
        <v>0.58332750813861534</v>
      </c>
      <c r="S3862" s="863">
        <v>3.9000000000000004</v>
      </c>
      <c r="Y3862" s="1817">
        <v>26.4</v>
      </c>
      <c r="AA3862" s="647">
        <v>4.04</v>
      </c>
      <c r="AB3862" s="647">
        <v>0.51700000000000002</v>
      </c>
      <c r="AC3862" s="862">
        <v>10.9</v>
      </c>
      <c r="AD3862" s="867">
        <v>440</v>
      </c>
      <c r="AE3862" s="867">
        <v>200</v>
      </c>
      <c r="AF3862" s="867">
        <v>360</v>
      </c>
      <c r="AG3862" s="66">
        <f t="shared" si="145"/>
        <v>113.03863636363636</v>
      </c>
      <c r="AH3862" s="143">
        <f t="shared" si="146"/>
        <v>1000</v>
      </c>
    </row>
    <row r="3863" spans="1:34" s="862" customFormat="1" x14ac:dyDescent="0.3">
      <c r="A3863" s="862">
        <v>203942</v>
      </c>
      <c r="B3863" s="863">
        <v>22.2</v>
      </c>
      <c r="C3863" s="647">
        <v>8.6</v>
      </c>
      <c r="D3863" s="647">
        <v>8.2019230769230766</v>
      </c>
      <c r="E3863" s="1573">
        <v>2.891</v>
      </c>
      <c r="F3863" s="864">
        <v>3180.1000000000004</v>
      </c>
      <c r="H3863" s="864">
        <v>102.86</v>
      </c>
      <c r="I3863" s="864">
        <v>2024</v>
      </c>
      <c r="J3863" s="1816">
        <v>3.4910000000000001</v>
      </c>
      <c r="K3863" s="863">
        <v>10.28</v>
      </c>
      <c r="L3863" s="862">
        <v>676</v>
      </c>
      <c r="M3863" s="862">
        <v>1.02</v>
      </c>
      <c r="N3863" s="862">
        <v>1.25</v>
      </c>
      <c r="O3863" s="862">
        <v>20.77</v>
      </c>
      <c r="P3863" s="862">
        <v>7.24</v>
      </c>
      <c r="R3863" s="647">
        <v>1.3875064208831784</v>
      </c>
      <c r="S3863" s="863">
        <v>9.3000000000000007</v>
      </c>
      <c r="Y3863" s="1817">
        <v>18</v>
      </c>
      <c r="AA3863" s="647">
        <v>4.4400000000000004</v>
      </c>
      <c r="AB3863" s="647">
        <v>0.74299999999999999</v>
      </c>
      <c r="AC3863" s="862">
        <v>8.9</v>
      </c>
      <c r="AD3863" s="867">
        <v>360</v>
      </c>
      <c r="AE3863" s="867">
        <v>160</v>
      </c>
      <c r="AF3863" s="867">
        <v>480</v>
      </c>
      <c r="AG3863" s="66">
        <f t="shared" si="145"/>
        <v>202.17333333333332</v>
      </c>
      <c r="AH3863" s="143">
        <f t="shared" si="146"/>
        <v>1000</v>
      </c>
    </row>
    <row r="3864" spans="1:34" s="862" customFormat="1" x14ac:dyDescent="0.3">
      <c r="A3864" s="862">
        <v>203943</v>
      </c>
      <c r="B3864" s="863">
        <v>33.5</v>
      </c>
      <c r="C3864" s="647">
        <v>10</v>
      </c>
      <c r="D3864" s="647">
        <v>8.8685586258401798</v>
      </c>
      <c r="E3864" s="1573">
        <v>0.67200000000000004</v>
      </c>
      <c r="F3864" s="864">
        <v>739.2</v>
      </c>
      <c r="H3864" s="864">
        <v>11.73</v>
      </c>
      <c r="I3864" s="864">
        <v>752</v>
      </c>
      <c r="J3864" s="1816">
        <v>1.234</v>
      </c>
      <c r="K3864" s="863">
        <v>8.3699999999999992</v>
      </c>
      <c r="L3864" s="862">
        <v>506</v>
      </c>
      <c r="M3864" s="862">
        <v>0.13</v>
      </c>
      <c r="N3864" s="862">
        <v>0.48</v>
      </c>
      <c r="O3864" s="862">
        <v>0.86</v>
      </c>
      <c r="P3864" s="862">
        <v>1.31</v>
      </c>
      <c r="R3864" s="647">
        <v>0.44010889271524217</v>
      </c>
      <c r="S3864" s="863">
        <v>2.9</v>
      </c>
      <c r="Y3864" s="1817">
        <v>24</v>
      </c>
      <c r="AA3864" s="647">
        <v>4.21</v>
      </c>
      <c r="AB3864" s="647">
        <v>0.84699999999999998</v>
      </c>
      <c r="AC3864" s="862">
        <v>7.1</v>
      </c>
      <c r="AD3864" s="867">
        <v>400</v>
      </c>
      <c r="AE3864" s="867">
        <v>180</v>
      </c>
      <c r="AF3864" s="867">
        <v>420</v>
      </c>
      <c r="AG3864" s="66">
        <f t="shared" si="145"/>
        <v>123.45749999999998</v>
      </c>
      <c r="AH3864" s="143">
        <f t="shared" si="146"/>
        <v>1000</v>
      </c>
    </row>
    <row r="3865" spans="1:34" s="862" customFormat="1" x14ac:dyDescent="0.3">
      <c r="A3865" s="862">
        <v>203944</v>
      </c>
      <c r="B3865" s="863">
        <v>38.5</v>
      </c>
      <c r="C3865" s="647">
        <v>9.9</v>
      </c>
      <c r="D3865" s="647">
        <v>8.9051677429747098</v>
      </c>
      <c r="E3865" s="1573">
        <v>0.88</v>
      </c>
      <c r="F3865" s="864">
        <v>968.00000000000011</v>
      </c>
      <c r="H3865" s="864">
        <v>15.62</v>
      </c>
      <c r="I3865" s="864">
        <v>741</v>
      </c>
      <c r="J3865" s="1816">
        <v>1.7729999999999999</v>
      </c>
      <c r="K3865" s="863">
        <v>8.17</v>
      </c>
      <c r="L3865" s="862">
        <v>482</v>
      </c>
      <c r="M3865" s="862">
        <v>0.15</v>
      </c>
      <c r="N3865" s="862">
        <v>0.42</v>
      </c>
      <c r="O3865" s="862">
        <v>0.89</v>
      </c>
      <c r="P3865" s="862">
        <v>1.31</v>
      </c>
      <c r="R3865" s="647">
        <v>0.40357985347687952</v>
      </c>
      <c r="S3865" s="863">
        <v>2.8000000000000003</v>
      </c>
      <c r="Y3865" s="1817">
        <v>25.2</v>
      </c>
      <c r="AA3865" s="647">
        <v>4.5</v>
      </c>
      <c r="AB3865" s="647">
        <v>0.70499999999999996</v>
      </c>
      <c r="AC3865" s="862">
        <v>9.9</v>
      </c>
      <c r="AD3865" s="867">
        <v>420</v>
      </c>
      <c r="AE3865" s="867">
        <v>140</v>
      </c>
      <c r="AF3865" s="867">
        <v>440</v>
      </c>
      <c r="AG3865" s="66">
        <f t="shared" si="145"/>
        <v>114.76904761904764</v>
      </c>
      <c r="AH3865" s="143">
        <f t="shared" si="146"/>
        <v>1000</v>
      </c>
    </row>
    <row r="3866" spans="1:34" s="862" customFormat="1" x14ac:dyDescent="0.3">
      <c r="A3866" s="862">
        <v>203945</v>
      </c>
      <c r="B3866" s="863">
        <v>26</v>
      </c>
      <c r="C3866" s="647">
        <v>9.1</v>
      </c>
      <c r="D3866" s="647">
        <v>8.375</v>
      </c>
      <c r="E3866" s="1573">
        <v>0.156</v>
      </c>
      <c r="F3866" s="864">
        <v>171.6</v>
      </c>
      <c r="H3866" s="864">
        <v>5.4</v>
      </c>
      <c r="I3866" s="864">
        <v>325</v>
      </c>
      <c r="J3866" s="1816">
        <v>0.111</v>
      </c>
      <c r="K3866" s="863">
        <v>8.74</v>
      </c>
      <c r="L3866" s="862">
        <v>675</v>
      </c>
      <c r="M3866" s="862">
        <v>0.14000000000000001</v>
      </c>
      <c r="N3866" s="862">
        <v>0.76</v>
      </c>
      <c r="O3866" s="862">
        <v>1.63</v>
      </c>
      <c r="P3866" s="862">
        <v>1.28</v>
      </c>
      <c r="R3866" s="647">
        <v>0.69541815827527209</v>
      </c>
      <c r="S3866" s="863">
        <v>4.6000000000000005</v>
      </c>
      <c r="Y3866" s="1817">
        <v>28</v>
      </c>
      <c r="AA3866" s="647">
        <v>4.12</v>
      </c>
      <c r="AB3866" s="647">
        <v>0.34300000000000003</v>
      </c>
      <c r="AC3866" s="862">
        <v>8.5</v>
      </c>
      <c r="AD3866" s="867">
        <v>400</v>
      </c>
      <c r="AE3866" s="867">
        <v>140</v>
      </c>
      <c r="AF3866" s="867">
        <v>460</v>
      </c>
      <c r="AG3866" s="66">
        <f t="shared" si="145"/>
        <v>110.49857142857142</v>
      </c>
      <c r="AH3866" s="143">
        <f t="shared" si="146"/>
        <v>1000</v>
      </c>
    </row>
    <row r="3867" spans="1:34" s="862" customFormat="1" x14ac:dyDescent="0.3">
      <c r="A3867" s="862">
        <v>203946</v>
      </c>
      <c r="B3867" s="863">
        <v>24.7</v>
      </c>
      <c r="C3867" s="647">
        <v>9.4</v>
      </c>
      <c r="D3867" s="647">
        <v>8.4230769230769234</v>
      </c>
      <c r="E3867" s="1573">
        <v>0.73199999999999998</v>
      </c>
      <c r="F3867" s="864">
        <v>805.2</v>
      </c>
      <c r="H3867" s="864">
        <v>18.79</v>
      </c>
      <c r="I3867" s="864">
        <v>593</v>
      </c>
      <c r="J3867" s="1816">
        <v>0.92800000000000005</v>
      </c>
      <c r="K3867" s="863">
        <v>10.44</v>
      </c>
      <c r="L3867" s="862">
        <v>709</v>
      </c>
      <c r="M3867" s="862">
        <v>0.21</v>
      </c>
      <c r="N3867" s="862">
        <v>0.77</v>
      </c>
      <c r="O3867" s="862">
        <v>3.74</v>
      </c>
      <c r="P3867" s="862">
        <v>2.09</v>
      </c>
      <c r="R3867" s="647">
        <v>1.0084880107592895</v>
      </c>
      <c r="S3867" s="863">
        <v>6.7</v>
      </c>
      <c r="Y3867" s="1817">
        <v>22</v>
      </c>
      <c r="AA3867" s="647">
        <v>3.68</v>
      </c>
      <c r="AB3867" s="647">
        <v>0.85899999999999999</v>
      </c>
      <c r="AC3867" s="862">
        <v>10.199999999999999</v>
      </c>
      <c r="AD3867" s="867">
        <v>440</v>
      </c>
      <c r="AE3867" s="867">
        <v>160</v>
      </c>
      <c r="AF3867" s="867">
        <v>400</v>
      </c>
      <c r="AG3867" s="66">
        <f t="shared" si="145"/>
        <v>167.98909090909089</v>
      </c>
      <c r="AH3867" s="143">
        <f t="shared" si="146"/>
        <v>1000</v>
      </c>
    </row>
    <row r="3868" spans="1:34" s="862" customFormat="1" x14ac:dyDescent="0.3">
      <c r="A3868" s="862">
        <v>203947</v>
      </c>
      <c r="B3868" s="863">
        <v>21.3</v>
      </c>
      <c r="C3868" s="647">
        <v>8.5</v>
      </c>
      <c r="D3868" s="647">
        <v>8.11</v>
      </c>
      <c r="E3868" s="1573">
        <v>1.554</v>
      </c>
      <c r="F3868" s="864">
        <v>1709.4000000000003</v>
      </c>
      <c r="H3868" s="864">
        <v>203.74</v>
      </c>
      <c r="I3868" s="864">
        <v>1774</v>
      </c>
      <c r="J3868" s="1816">
        <v>0.76400000000000001</v>
      </c>
      <c r="K3868" s="863">
        <v>10.66</v>
      </c>
      <c r="L3868" s="862">
        <v>743</v>
      </c>
      <c r="M3868" s="862">
        <v>1.48</v>
      </c>
      <c r="N3868" s="862">
        <v>4.1500000000000004</v>
      </c>
      <c r="O3868" s="862">
        <v>21.51</v>
      </c>
      <c r="P3868" s="862">
        <v>5.07</v>
      </c>
      <c r="R3868" s="647">
        <v>1.6407</v>
      </c>
      <c r="S3868" s="863">
        <v>12</v>
      </c>
      <c r="Y3868" s="1817">
        <v>21</v>
      </c>
      <c r="AA3868" s="647">
        <v>3.65</v>
      </c>
      <c r="AB3868" s="647">
        <v>0.64200000000000002</v>
      </c>
      <c r="AC3868" s="862">
        <v>11</v>
      </c>
      <c r="AD3868" s="867">
        <v>420</v>
      </c>
      <c r="AE3868" s="867">
        <v>120</v>
      </c>
      <c r="AF3868" s="867">
        <v>460</v>
      </c>
      <c r="AG3868" s="66">
        <f t="shared" si="145"/>
        <v>179.69714285714286</v>
      </c>
      <c r="AH3868" s="143">
        <f t="shared" si="146"/>
        <v>1000</v>
      </c>
    </row>
    <row r="3869" spans="1:34" s="862" customFormat="1" x14ac:dyDescent="0.3">
      <c r="A3869" s="862">
        <v>203948</v>
      </c>
      <c r="B3869" s="863">
        <v>33.5</v>
      </c>
      <c r="C3869" s="647">
        <v>9.1</v>
      </c>
      <c r="D3869" s="647">
        <v>8.4711538461538467</v>
      </c>
      <c r="E3869" s="1573">
        <v>0.26</v>
      </c>
      <c r="F3869" s="864">
        <v>286.00000000000006</v>
      </c>
      <c r="H3869" s="864">
        <v>10.19</v>
      </c>
      <c r="I3869" s="864">
        <v>227</v>
      </c>
      <c r="J3869" s="1816">
        <v>0.23400000000000001</v>
      </c>
      <c r="K3869" s="863">
        <v>8.73</v>
      </c>
      <c r="L3869" s="862">
        <v>654</v>
      </c>
      <c r="M3869" s="862">
        <v>0.14000000000000001</v>
      </c>
      <c r="N3869" s="862">
        <v>0.53</v>
      </c>
      <c r="O3869" s="862">
        <v>0.9</v>
      </c>
      <c r="P3869" s="862">
        <v>1.05</v>
      </c>
      <c r="R3869" s="647">
        <v>0.6137700111852521</v>
      </c>
      <c r="S3869" s="863">
        <v>4.3</v>
      </c>
      <c r="Y3869" s="1817">
        <v>21</v>
      </c>
      <c r="AA3869" s="647">
        <v>3.63</v>
      </c>
      <c r="AB3869" s="647">
        <v>0.85499999999999998</v>
      </c>
      <c r="AC3869" s="862">
        <v>10.4</v>
      </c>
      <c r="AD3869" s="867">
        <v>420</v>
      </c>
      <c r="AE3869" s="867">
        <v>140</v>
      </c>
      <c r="AF3869" s="867">
        <v>440</v>
      </c>
      <c r="AG3869" s="66">
        <f t="shared" si="145"/>
        <v>147.16285714285715</v>
      </c>
      <c r="AH3869" s="143">
        <f t="shared" si="146"/>
        <v>1000</v>
      </c>
    </row>
    <row r="3870" spans="1:34" s="862" customFormat="1" x14ac:dyDescent="0.3">
      <c r="A3870" s="862">
        <v>203949</v>
      </c>
      <c r="B3870" s="863">
        <v>18.3</v>
      </c>
      <c r="C3870" s="647">
        <v>7.3</v>
      </c>
      <c r="D3870" s="647">
        <v>8.4134615384615383</v>
      </c>
      <c r="E3870" s="1573">
        <v>1.4059999999999999</v>
      </c>
      <c r="F3870" s="864">
        <v>1546.6</v>
      </c>
      <c r="H3870" s="864">
        <v>17.260000000000002</v>
      </c>
      <c r="I3870" s="864">
        <v>619</v>
      </c>
      <c r="J3870" s="1816">
        <v>1.764</v>
      </c>
      <c r="K3870" s="863">
        <v>10.31</v>
      </c>
      <c r="L3870" s="862">
        <v>986</v>
      </c>
      <c r="M3870" s="862">
        <v>0.27</v>
      </c>
      <c r="N3870" s="862">
        <v>0.82</v>
      </c>
      <c r="O3870" s="862">
        <v>3.7</v>
      </c>
      <c r="P3870" s="862">
        <v>3.16</v>
      </c>
      <c r="R3870" s="647">
        <v>0.90159094657763228</v>
      </c>
      <c r="S3870" s="863">
        <v>6.6000000000000005</v>
      </c>
      <c r="Y3870" s="1817">
        <v>22</v>
      </c>
      <c r="AA3870" s="647">
        <v>4</v>
      </c>
      <c r="AB3870" s="647">
        <v>0.56799999999999995</v>
      </c>
      <c r="AC3870" s="862">
        <v>8.1999999999999993</v>
      </c>
      <c r="AD3870" s="867">
        <v>440</v>
      </c>
      <c r="AE3870" s="867">
        <v>160</v>
      </c>
      <c r="AF3870" s="867">
        <v>400</v>
      </c>
      <c r="AG3870" s="66">
        <f t="shared" si="145"/>
        <v>165.89727272727271</v>
      </c>
      <c r="AH3870" s="143">
        <f t="shared" si="146"/>
        <v>1000</v>
      </c>
    </row>
    <row r="3871" spans="1:34" s="862" customFormat="1" x14ac:dyDescent="0.3">
      <c r="A3871" s="862">
        <v>203950</v>
      </c>
      <c r="B3871" s="863">
        <v>17.2</v>
      </c>
      <c r="C3871" s="647">
        <v>8</v>
      </c>
      <c r="D3871" s="647">
        <v>8.2307692307692317</v>
      </c>
      <c r="E3871" s="1573">
        <v>0.42599999999999999</v>
      </c>
      <c r="F3871" s="864">
        <v>468.6</v>
      </c>
      <c r="H3871" s="864">
        <v>17.39</v>
      </c>
      <c r="I3871" s="864">
        <v>420</v>
      </c>
      <c r="J3871" s="1816">
        <v>0.30499999999999999</v>
      </c>
      <c r="K3871" s="863">
        <v>8.56</v>
      </c>
      <c r="L3871" s="862">
        <v>846</v>
      </c>
      <c r="M3871" s="862">
        <v>0.36</v>
      </c>
      <c r="N3871" s="862">
        <v>1.19</v>
      </c>
      <c r="O3871" s="862">
        <v>7.53</v>
      </c>
      <c r="P3871" s="862">
        <v>2.5299999999999998</v>
      </c>
      <c r="R3871" s="647">
        <v>1.2017351211680005</v>
      </c>
      <c r="S3871" s="863">
        <v>8.8000000000000007</v>
      </c>
      <c r="Y3871" s="1817">
        <v>24</v>
      </c>
      <c r="AA3871" s="647">
        <v>3.96</v>
      </c>
      <c r="AB3871" s="647">
        <v>0.628</v>
      </c>
      <c r="AC3871" s="862">
        <v>7.8</v>
      </c>
      <c r="AD3871" s="867">
        <v>480</v>
      </c>
      <c r="AE3871" s="867">
        <v>200</v>
      </c>
      <c r="AF3871" s="867">
        <v>320</v>
      </c>
      <c r="AG3871" s="66">
        <f t="shared" si="145"/>
        <v>126.26</v>
      </c>
      <c r="AH3871" s="143">
        <f t="shared" si="146"/>
        <v>1000</v>
      </c>
    </row>
    <row r="3872" spans="1:34" s="862" customFormat="1" x14ac:dyDescent="0.3">
      <c r="A3872" s="862">
        <v>203951</v>
      </c>
      <c r="B3872" s="863">
        <v>21.4</v>
      </c>
      <c r="C3872" s="647">
        <v>9.5</v>
      </c>
      <c r="D3872" s="647">
        <v>8.48</v>
      </c>
      <c r="E3872" s="1573">
        <v>9.7200000000000006</v>
      </c>
      <c r="F3872" s="864">
        <v>10692.000000000002</v>
      </c>
      <c r="H3872" s="864">
        <v>447.54</v>
      </c>
      <c r="I3872" s="864">
        <v>3067</v>
      </c>
      <c r="J3872" s="1816">
        <v>10.968999999999999</v>
      </c>
      <c r="K3872" s="863">
        <v>12.16</v>
      </c>
      <c r="L3872" s="862">
        <v>1709</v>
      </c>
      <c r="M3872" s="862">
        <v>1.01</v>
      </c>
      <c r="N3872" s="862">
        <v>1.42</v>
      </c>
      <c r="O3872" s="862">
        <v>10.65</v>
      </c>
      <c r="P3872" s="862">
        <v>2.9</v>
      </c>
      <c r="R3872" s="647">
        <v>1.6444730000000001</v>
      </c>
      <c r="S3872" s="863">
        <v>12.1</v>
      </c>
      <c r="Y3872" s="1817">
        <v>28</v>
      </c>
      <c r="AA3872" s="647">
        <v>4.16</v>
      </c>
      <c r="AB3872" s="647">
        <v>0.53700000000000003</v>
      </c>
      <c r="AC3872" s="862">
        <v>6</v>
      </c>
      <c r="AD3872" s="867">
        <v>400</v>
      </c>
      <c r="AE3872" s="867">
        <v>180</v>
      </c>
      <c r="AF3872" s="867">
        <v>420</v>
      </c>
      <c r="AG3872" s="66">
        <f t="shared" si="145"/>
        <v>153.73714285714283</v>
      </c>
      <c r="AH3872" s="143">
        <f t="shared" si="146"/>
        <v>1000</v>
      </c>
    </row>
    <row r="3873" spans="1:34" s="862" customFormat="1" x14ac:dyDescent="0.3">
      <c r="A3873" s="862">
        <v>203952</v>
      </c>
      <c r="B3873" s="863">
        <v>37.6</v>
      </c>
      <c r="C3873" s="647">
        <v>8.9</v>
      </c>
      <c r="D3873" s="647">
        <v>8.9899178491411504</v>
      </c>
      <c r="E3873" s="1573">
        <v>1.857</v>
      </c>
      <c r="F3873" s="864">
        <v>2042.7</v>
      </c>
      <c r="H3873" s="864">
        <v>15.72</v>
      </c>
      <c r="I3873" s="864">
        <v>1123</v>
      </c>
      <c r="J3873" s="1816">
        <v>6.6260000000000003</v>
      </c>
      <c r="K3873" s="863">
        <v>8.77</v>
      </c>
      <c r="L3873" s="862">
        <v>890</v>
      </c>
      <c r="M3873" s="862">
        <v>0.13</v>
      </c>
      <c r="N3873" s="862">
        <v>0.46</v>
      </c>
      <c r="O3873" s="862">
        <v>0.74</v>
      </c>
      <c r="P3873" s="862">
        <v>1.7</v>
      </c>
      <c r="R3873" s="647">
        <v>0.41612416085309101</v>
      </c>
      <c r="S3873" s="863">
        <v>2.8000000000000003</v>
      </c>
      <c r="Y3873" s="1817">
        <v>21</v>
      </c>
      <c r="AA3873" s="647">
        <v>4.21</v>
      </c>
      <c r="AB3873" s="647">
        <v>0.52400000000000002</v>
      </c>
      <c r="AC3873" s="862">
        <v>7.1</v>
      </c>
      <c r="AD3873" s="867">
        <v>420</v>
      </c>
      <c r="AE3873" s="867">
        <v>200</v>
      </c>
      <c r="AF3873" s="867">
        <v>380</v>
      </c>
      <c r="AG3873" s="66">
        <f t="shared" si="145"/>
        <v>147.83714285714285</v>
      </c>
      <c r="AH3873" s="143">
        <f t="shared" si="146"/>
        <v>1000</v>
      </c>
    </row>
    <row r="3874" spans="1:34" s="862" customFormat="1" x14ac:dyDescent="0.3">
      <c r="A3874" s="862">
        <v>203953</v>
      </c>
      <c r="B3874" s="863">
        <v>27.8</v>
      </c>
      <c r="C3874" s="647">
        <v>8.5</v>
      </c>
      <c r="D3874" s="647">
        <v>8.9058999253173994</v>
      </c>
      <c r="E3874" s="1573">
        <v>0.93500000000000005</v>
      </c>
      <c r="F3874" s="864">
        <v>1028.5000000000002</v>
      </c>
      <c r="H3874" s="864">
        <v>15.02</v>
      </c>
      <c r="I3874" s="864">
        <v>711</v>
      </c>
      <c r="J3874" s="1816">
        <v>1.5429999999999999</v>
      </c>
      <c r="K3874" s="863">
        <v>8.0399999999999991</v>
      </c>
      <c r="L3874" s="862">
        <v>640</v>
      </c>
      <c r="M3874" s="862">
        <v>0.16</v>
      </c>
      <c r="N3874" s="862">
        <v>0.81</v>
      </c>
      <c r="O3874" s="862">
        <v>1.1599999999999999</v>
      </c>
      <c r="P3874" s="862">
        <v>1.94</v>
      </c>
      <c r="R3874" s="647">
        <v>0.74618431760778947</v>
      </c>
      <c r="S3874" s="863">
        <v>5</v>
      </c>
      <c r="Y3874" s="1817">
        <v>30.8</v>
      </c>
      <c r="AA3874" s="647">
        <v>4.66</v>
      </c>
      <c r="AB3874" s="647">
        <v>0.74</v>
      </c>
      <c r="AC3874" s="862">
        <v>11.3</v>
      </c>
      <c r="AD3874" s="867">
        <v>440</v>
      </c>
      <c r="AE3874" s="867">
        <v>160</v>
      </c>
      <c r="AF3874" s="867">
        <v>400</v>
      </c>
      <c r="AG3874" s="66">
        <f t="shared" si="145"/>
        <v>92.407792207792198</v>
      </c>
      <c r="AH3874" s="143">
        <f t="shared" si="146"/>
        <v>1000</v>
      </c>
    </row>
    <row r="3875" spans="1:34" s="862" customFormat="1" x14ac:dyDescent="0.3">
      <c r="A3875" s="862">
        <v>203954</v>
      </c>
      <c r="B3875" s="863">
        <v>22.2</v>
      </c>
      <c r="C3875" s="647">
        <v>9.5</v>
      </c>
      <c r="D3875" s="647">
        <v>8.259615384615385</v>
      </c>
      <c r="E3875" s="1573">
        <v>0.37</v>
      </c>
      <c r="F3875" s="864">
        <v>407</v>
      </c>
      <c r="H3875" s="864">
        <v>16.53</v>
      </c>
      <c r="I3875" s="864">
        <v>591</v>
      </c>
      <c r="J3875" s="1816">
        <v>0.17799999999999999</v>
      </c>
      <c r="K3875" s="863">
        <v>10.07</v>
      </c>
      <c r="L3875" s="862">
        <v>612</v>
      </c>
      <c r="M3875" s="862">
        <v>0.25</v>
      </c>
      <c r="N3875" s="862">
        <v>0.73</v>
      </c>
      <c r="O3875" s="862">
        <v>4.2300000000000004</v>
      </c>
      <c r="P3875" s="862">
        <v>1.78</v>
      </c>
      <c r="R3875" s="647">
        <v>0.90592044996810717</v>
      </c>
      <c r="S3875" s="863">
        <v>6</v>
      </c>
      <c r="Y3875" s="1817">
        <v>32.200000000000003</v>
      </c>
      <c r="AA3875" s="647">
        <v>3.74</v>
      </c>
      <c r="AB3875" s="647">
        <v>0.629</v>
      </c>
      <c r="AC3875" s="862">
        <v>6.4</v>
      </c>
      <c r="AD3875" s="867">
        <v>460</v>
      </c>
      <c r="AE3875" s="867">
        <v>120</v>
      </c>
      <c r="AF3875" s="867">
        <v>420</v>
      </c>
      <c r="AG3875" s="66">
        <f t="shared" si="145"/>
        <v>110.70745341614906</v>
      </c>
      <c r="AH3875" s="143">
        <f t="shared" si="146"/>
        <v>1000</v>
      </c>
    </row>
    <row r="3876" spans="1:34" s="862" customFormat="1" x14ac:dyDescent="0.3">
      <c r="A3876" s="862">
        <v>203955</v>
      </c>
      <c r="B3876" s="863">
        <v>14.3</v>
      </c>
      <c r="C3876" s="647">
        <v>4.3</v>
      </c>
      <c r="D3876" s="647">
        <v>8.2788461538461533</v>
      </c>
      <c r="E3876" s="1573">
        <v>0.16400000000000001</v>
      </c>
      <c r="F3876" s="864">
        <v>180.40000000000003</v>
      </c>
      <c r="H3876" s="864">
        <v>14.73</v>
      </c>
      <c r="I3876" s="864">
        <v>304</v>
      </c>
      <c r="J3876" s="1816">
        <v>5.8999999999999997E-2</v>
      </c>
      <c r="K3876" s="863">
        <v>10.31</v>
      </c>
      <c r="L3876" s="862">
        <v>566</v>
      </c>
      <c r="M3876" s="862">
        <v>0.22</v>
      </c>
      <c r="N3876" s="862">
        <v>0.85</v>
      </c>
      <c r="O3876" s="862">
        <v>3</v>
      </c>
      <c r="P3876" s="862">
        <v>2.57</v>
      </c>
      <c r="R3876" s="647">
        <v>0.62772394180408941</v>
      </c>
      <c r="S3876" s="863">
        <v>4.6000000000000005</v>
      </c>
      <c r="Y3876" s="1817">
        <v>21.6</v>
      </c>
      <c r="AA3876" s="647">
        <v>4.09</v>
      </c>
      <c r="AB3876" s="647">
        <v>0.70299999999999996</v>
      </c>
      <c r="AC3876" s="862">
        <v>8.8000000000000007</v>
      </c>
      <c r="AD3876" s="867">
        <v>360</v>
      </c>
      <c r="AE3876" s="867">
        <v>160</v>
      </c>
      <c r="AF3876" s="867">
        <v>480</v>
      </c>
      <c r="AG3876" s="66">
        <f t="shared" si="145"/>
        <v>168.96944444444443</v>
      </c>
      <c r="AH3876" s="143">
        <f t="shared" si="146"/>
        <v>1000</v>
      </c>
    </row>
    <row r="3877" spans="1:34" s="862" customFormat="1" x14ac:dyDescent="0.3">
      <c r="A3877" s="862">
        <v>203956</v>
      </c>
      <c r="B3877" s="863">
        <v>13.3</v>
      </c>
      <c r="C3877" s="647">
        <v>4.5</v>
      </c>
      <c r="D3877" s="647">
        <v>8.7788461538461551</v>
      </c>
      <c r="E3877" s="1573">
        <v>0.183</v>
      </c>
      <c r="F3877" s="864">
        <v>201.3</v>
      </c>
      <c r="H3877" s="864">
        <v>12.62</v>
      </c>
      <c r="I3877" s="864">
        <v>645</v>
      </c>
      <c r="J3877" s="1816">
        <v>0.24199999999999999</v>
      </c>
      <c r="K3877" s="863">
        <v>10.119999999999999</v>
      </c>
      <c r="L3877" s="862">
        <v>775</v>
      </c>
      <c r="M3877" s="862">
        <v>0.26</v>
      </c>
      <c r="N3877" s="862">
        <v>0.94</v>
      </c>
      <c r="O3877" s="862">
        <v>2.21</v>
      </c>
      <c r="P3877" s="862">
        <v>2.79</v>
      </c>
      <c r="R3877" s="647">
        <v>0.64375616612194508</v>
      </c>
      <c r="S3877" s="863">
        <v>4.6999999999999993</v>
      </c>
      <c r="Y3877" s="1817">
        <v>32.200000000000003</v>
      </c>
      <c r="AA3877" s="647">
        <v>4.92</v>
      </c>
      <c r="AB3877" s="647">
        <v>0.82499999999999996</v>
      </c>
      <c r="AC3877" s="862">
        <v>9.8000000000000007</v>
      </c>
      <c r="AD3877" s="867">
        <v>460</v>
      </c>
      <c r="AE3877" s="867">
        <v>160</v>
      </c>
      <c r="AF3877" s="867">
        <v>380</v>
      </c>
      <c r="AG3877" s="66">
        <f t="shared" si="145"/>
        <v>111.25714285714284</v>
      </c>
      <c r="AH3877" s="143">
        <f t="shared" si="146"/>
        <v>1000</v>
      </c>
    </row>
    <row r="3878" spans="1:34" s="862" customFormat="1" x14ac:dyDescent="0.3">
      <c r="A3878" s="862">
        <v>203957</v>
      </c>
      <c r="B3878" s="863">
        <v>22.5</v>
      </c>
      <c r="C3878" s="647">
        <v>9.6</v>
      </c>
      <c r="D3878" s="647">
        <v>8.5288461538461533</v>
      </c>
      <c r="E3878" s="1573">
        <v>0.21199999999999999</v>
      </c>
      <c r="F3878" s="864">
        <v>233.20000000000002</v>
      </c>
      <c r="H3878" s="864">
        <v>42.09</v>
      </c>
      <c r="I3878" s="864">
        <v>555</v>
      </c>
      <c r="J3878" s="1816">
        <v>0.17799999999999999</v>
      </c>
      <c r="K3878" s="863">
        <v>10.41</v>
      </c>
      <c r="L3878" s="862">
        <v>660</v>
      </c>
      <c r="M3878" s="862">
        <v>0.26</v>
      </c>
      <c r="N3878" s="862">
        <v>1.2</v>
      </c>
      <c r="O3878" s="862">
        <v>3.36</v>
      </c>
      <c r="P3878" s="862">
        <v>1.93</v>
      </c>
      <c r="R3878" s="647">
        <v>0.84716804289765202</v>
      </c>
      <c r="S3878" s="863">
        <v>6.2</v>
      </c>
      <c r="Y3878" s="1817">
        <v>20</v>
      </c>
      <c r="AA3878" s="647">
        <v>4.2699999999999996</v>
      </c>
      <c r="AB3878" s="647">
        <v>0.61299999999999999</v>
      </c>
      <c r="AC3878" s="862">
        <v>10.7</v>
      </c>
      <c r="AD3878" s="867">
        <v>400</v>
      </c>
      <c r="AE3878" s="867">
        <v>120</v>
      </c>
      <c r="AF3878" s="867">
        <v>480</v>
      </c>
      <c r="AG3878" s="66">
        <f t="shared" si="145"/>
        <v>184.25700000000001</v>
      </c>
      <c r="AH3878" s="143">
        <f t="shared" si="146"/>
        <v>1000</v>
      </c>
    </row>
    <row r="3879" spans="1:34" s="862" customFormat="1" x14ac:dyDescent="0.3">
      <c r="A3879" s="862">
        <v>203958</v>
      </c>
      <c r="B3879" s="863">
        <v>18.3</v>
      </c>
      <c r="C3879" s="647">
        <v>8.4</v>
      </c>
      <c r="D3879" s="647">
        <v>8.375</v>
      </c>
      <c r="E3879" s="1573">
        <v>0.372</v>
      </c>
      <c r="F3879" s="864">
        <v>409.2</v>
      </c>
      <c r="H3879" s="864">
        <v>14.34</v>
      </c>
      <c r="I3879" s="864">
        <v>392</v>
      </c>
      <c r="J3879" s="1816">
        <v>0.30199999999999999</v>
      </c>
      <c r="K3879" s="863">
        <v>10.65</v>
      </c>
      <c r="L3879" s="862">
        <v>918</v>
      </c>
      <c r="M3879" s="862">
        <v>0.28000000000000003</v>
      </c>
      <c r="N3879" s="862">
        <v>1.03</v>
      </c>
      <c r="O3879" s="862">
        <v>7.75</v>
      </c>
      <c r="P3879" s="862">
        <v>2.2200000000000002</v>
      </c>
      <c r="R3879" s="647">
        <v>1.0467188225777655</v>
      </c>
      <c r="S3879" s="863">
        <v>7.3</v>
      </c>
      <c r="Y3879" s="1817">
        <v>32.200000000000003</v>
      </c>
      <c r="AA3879" s="647">
        <v>4.7</v>
      </c>
      <c r="AB3879" s="647">
        <v>0.55200000000000005</v>
      </c>
      <c r="AC3879" s="862">
        <v>8.4</v>
      </c>
      <c r="AD3879" s="867">
        <v>460</v>
      </c>
      <c r="AE3879" s="867">
        <v>160</v>
      </c>
      <c r="AF3879" s="867">
        <v>380</v>
      </c>
      <c r="AG3879" s="66">
        <f t="shared" si="145"/>
        <v>117.08385093167701</v>
      </c>
      <c r="AH3879" s="143">
        <f t="shared" si="146"/>
        <v>1000</v>
      </c>
    </row>
    <row r="3880" spans="1:34" s="862" customFormat="1" x14ac:dyDescent="0.3">
      <c r="A3880" s="862">
        <v>203959</v>
      </c>
      <c r="B3880" s="863">
        <v>9.6</v>
      </c>
      <c r="C3880" s="647">
        <v>6.3</v>
      </c>
      <c r="D3880" s="647">
        <v>7.9</v>
      </c>
      <c r="E3880" s="1573">
        <v>3.26</v>
      </c>
      <c r="F3880" s="864">
        <v>3586</v>
      </c>
      <c r="H3880" s="864">
        <v>607.41999999999996</v>
      </c>
      <c r="I3880" s="864">
        <v>3031</v>
      </c>
      <c r="J3880" s="1816">
        <v>1.6879999999999999</v>
      </c>
      <c r="K3880" s="863">
        <v>12.07</v>
      </c>
      <c r="L3880" s="862">
        <v>1262</v>
      </c>
      <c r="M3880" s="862">
        <v>4.5999999999999996</v>
      </c>
      <c r="N3880" s="862">
        <v>1.51</v>
      </c>
      <c r="O3880" s="862">
        <v>49.74</v>
      </c>
      <c r="P3880" s="862">
        <v>5.9</v>
      </c>
      <c r="R3880" s="647">
        <v>2.055177</v>
      </c>
      <c r="S3880" s="863">
        <v>27.3</v>
      </c>
      <c r="Y3880" s="1817">
        <v>18</v>
      </c>
      <c r="AA3880" s="647">
        <v>3.63</v>
      </c>
      <c r="AB3880" s="647">
        <v>0.71299999999999997</v>
      </c>
      <c r="AC3880" s="862">
        <v>11.5</v>
      </c>
      <c r="AD3880" s="867">
        <v>360</v>
      </c>
      <c r="AE3880" s="867">
        <v>160</v>
      </c>
      <c r="AF3880" s="867">
        <v>480</v>
      </c>
      <c r="AG3880" s="66">
        <f t="shared" si="145"/>
        <v>237.37666666666669</v>
      </c>
      <c r="AH3880" s="143">
        <f t="shared" si="146"/>
        <v>1000</v>
      </c>
    </row>
    <row r="3881" spans="1:34" s="862" customFormat="1" x14ac:dyDescent="0.3">
      <c r="A3881" s="862">
        <v>203960</v>
      </c>
      <c r="B3881" s="863">
        <v>30.3</v>
      </c>
      <c r="C3881" s="647">
        <v>10.8</v>
      </c>
      <c r="D3881" s="647">
        <v>8.8173076923076916</v>
      </c>
      <c r="E3881" s="1573">
        <v>1.0049999999999999</v>
      </c>
      <c r="F3881" s="864">
        <v>1105.5</v>
      </c>
      <c r="H3881" s="864">
        <v>7.3</v>
      </c>
      <c r="I3881" s="864">
        <v>423</v>
      </c>
      <c r="J3881" s="1816">
        <v>1.63</v>
      </c>
      <c r="K3881" s="863">
        <v>10.17</v>
      </c>
      <c r="L3881" s="862">
        <v>728</v>
      </c>
      <c r="M3881" s="862">
        <v>0.17</v>
      </c>
      <c r="N3881" s="862">
        <v>0.68</v>
      </c>
      <c r="O3881" s="862">
        <v>0.54</v>
      </c>
      <c r="P3881" s="862">
        <v>1.79</v>
      </c>
      <c r="R3881" s="647">
        <v>0.90671297277875051</v>
      </c>
      <c r="S3881" s="863">
        <v>6.3</v>
      </c>
      <c r="Y3881" s="1817">
        <v>24</v>
      </c>
      <c r="AA3881" s="647">
        <v>4.59</v>
      </c>
      <c r="AB3881" s="647">
        <v>0.65600000000000003</v>
      </c>
      <c r="AC3881" s="862">
        <v>6</v>
      </c>
      <c r="AD3881" s="867">
        <v>400</v>
      </c>
      <c r="AE3881" s="867">
        <v>180</v>
      </c>
      <c r="AF3881" s="867">
        <v>420</v>
      </c>
      <c r="AG3881" s="66">
        <f t="shared" si="145"/>
        <v>150.00750000000002</v>
      </c>
      <c r="AH3881" s="143">
        <f t="shared" si="146"/>
        <v>1000</v>
      </c>
    </row>
    <row r="3882" spans="1:34" s="862" customFormat="1" x14ac:dyDescent="0.3">
      <c r="A3882" s="862">
        <v>203961</v>
      </c>
      <c r="B3882" s="863">
        <v>12</v>
      </c>
      <c r="C3882" s="647">
        <v>4.8</v>
      </c>
      <c r="D3882" s="647">
        <v>8.5</v>
      </c>
      <c r="E3882" s="1573">
        <v>0.22500000000000001</v>
      </c>
      <c r="F3882" s="864">
        <v>247.50000000000003</v>
      </c>
      <c r="H3882" s="864">
        <v>17.649999999999999</v>
      </c>
      <c r="I3882" s="864">
        <v>860</v>
      </c>
      <c r="J3882" s="1816">
        <v>0.13300000000000001</v>
      </c>
      <c r="K3882" s="863">
        <v>8.59</v>
      </c>
      <c r="L3882" s="862">
        <v>795</v>
      </c>
      <c r="M3882" s="862">
        <v>0.41</v>
      </c>
      <c r="N3882" s="862">
        <v>1.29</v>
      </c>
      <c r="O3882" s="862">
        <v>4.4800000000000004</v>
      </c>
      <c r="P3882" s="862">
        <v>3.25</v>
      </c>
      <c r="R3882" s="647">
        <v>1.1971239506007434</v>
      </c>
      <c r="S3882" s="863">
        <v>8.1000000000000014</v>
      </c>
      <c r="Y3882" s="1817">
        <v>25.2</v>
      </c>
      <c r="AA3882" s="647">
        <v>3.93</v>
      </c>
      <c r="AB3882" s="647">
        <v>0.71499999999999997</v>
      </c>
      <c r="AC3882" s="862">
        <v>10.199999999999999</v>
      </c>
      <c r="AD3882" s="867">
        <v>420</v>
      </c>
      <c r="AE3882" s="867">
        <v>180</v>
      </c>
      <c r="AF3882" s="867">
        <v>400</v>
      </c>
      <c r="AG3882" s="66">
        <f t="shared" si="145"/>
        <v>120.66904761904763</v>
      </c>
      <c r="AH3882" s="143">
        <f t="shared" si="146"/>
        <v>1000</v>
      </c>
    </row>
    <row r="3883" spans="1:34" s="862" customFormat="1" x14ac:dyDescent="0.3">
      <c r="A3883" s="862">
        <v>203962</v>
      </c>
      <c r="B3883" s="863">
        <v>25.3</v>
      </c>
      <c r="C3883" s="647">
        <v>9.8000000000000007</v>
      </c>
      <c r="D3883" s="647">
        <v>8.7788461538461551</v>
      </c>
      <c r="E3883" s="1573">
        <v>0.70499999999999996</v>
      </c>
      <c r="F3883" s="864">
        <v>775.5</v>
      </c>
      <c r="H3883" s="864">
        <v>6.23</v>
      </c>
      <c r="I3883" s="864">
        <v>517</v>
      </c>
      <c r="J3883" s="1816">
        <v>1.1100000000000001</v>
      </c>
      <c r="K3883" s="863">
        <v>8.73</v>
      </c>
      <c r="L3883" s="862">
        <v>557</v>
      </c>
      <c r="M3883" s="862">
        <v>0.23</v>
      </c>
      <c r="N3883" s="862">
        <v>0.88</v>
      </c>
      <c r="O3883" s="862">
        <v>2.41</v>
      </c>
      <c r="P3883" s="862">
        <v>2.0099999999999998</v>
      </c>
      <c r="R3883" s="647">
        <v>0.88516993913750064</v>
      </c>
      <c r="S3883" s="863">
        <v>6.2</v>
      </c>
      <c r="Y3883" s="1817">
        <v>26.6</v>
      </c>
      <c r="AA3883" s="647">
        <v>4.1399999999999997</v>
      </c>
      <c r="AB3883" s="647">
        <v>0.53900000000000003</v>
      </c>
      <c r="AC3883" s="862">
        <v>9.1999999999999993</v>
      </c>
      <c r="AD3883" s="867">
        <v>380</v>
      </c>
      <c r="AE3883" s="867">
        <v>160</v>
      </c>
      <c r="AF3883" s="867">
        <v>460</v>
      </c>
      <c r="AG3883" s="66">
        <f t="shared" si="145"/>
        <v>116.18120300751879</v>
      </c>
      <c r="AH3883" s="143">
        <f t="shared" si="146"/>
        <v>1000</v>
      </c>
    </row>
    <row r="3884" spans="1:34" s="862" customFormat="1" x14ac:dyDescent="0.3">
      <c r="A3884" s="862">
        <v>203963</v>
      </c>
      <c r="B3884" s="863">
        <v>34.200000000000003</v>
      </c>
      <c r="C3884" s="647">
        <v>11.6</v>
      </c>
      <c r="D3884" s="647">
        <v>8.5673076923076916</v>
      </c>
      <c r="E3884" s="1573">
        <v>0.30099999999999999</v>
      </c>
      <c r="F3884" s="864">
        <v>331.1</v>
      </c>
      <c r="H3884" s="864">
        <v>4.3600000000000003</v>
      </c>
      <c r="I3884" s="864">
        <v>116</v>
      </c>
      <c r="J3884" s="1816">
        <v>0.255</v>
      </c>
      <c r="K3884" s="863">
        <v>10.6</v>
      </c>
      <c r="L3884" s="862">
        <v>757</v>
      </c>
      <c r="M3884" s="862">
        <v>0.12</v>
      </c>
      <c r="N3884" s="862">
        <v>0.35</v>
      </c>
      <c r="O3884" s="862">
        <v>0.75</v>
      </c>
      <c r="P3884" s="862">
        <v>1.21</v>
      </c>
      <c r="R3884" s="647">
        <v>0.44367312913344054</v>
      </c>
      <c r="S3884" s="863">
        <v>3</v>
      </c>
      <c r="Y3884" s="1817">
        <v>26.4</v>
      </c>
      <c r="AA3884" s="647">
        <v>4.78</v>
      </c>
      <c r="AB3884" s="647">
        <v>0.60599999999999998</v>
      </c>
      <c r="AC3884" s="862">
        <v>6.5</v>
      </c>
      <c r="AD3884" s="867">
        <v>440</v>
      </c>
      <c r="AE3884" s="867">
        <v>180</v>
      </c>
      <c r="AF3884" s="867">
        <v>380</v>
      </c>
      <c r="AG3884" s="66">
        <f t="shared" si="145"/>
        <v>142.13636363636365</v>
      </c>
      <c r="AH3884" s="143">
        <f t="shared" si="146"/>
        <v>1000</v>
      </c>
    </row>
    <row r="3885" spans="1:34" s="862" customFormat="1" x14ac:dyDescent="0.3">
      <c r="A3885" s="862">
        <v>203964</v>
      </c>
      <c r="B3885" s="863">
        <v>31.5</v>
      </c>
      <c r="C3885" s="647">
        <v>12</v>
      </c>
      <c r="D3885" s="647">
        <v>8.5096153846153832</v>
      </c>
      <c r="E3885" s="1573">
        <v>0.36199999999999999</v>
      </c>
      <c r="F3885" s="864">
        <v>398.2</v>
      </c>
      <c r="H3885" s="864">
        <v>5.04</v>
      </c>
      <c r="I3885" s="864">
        <v>111</v>
      </c>
      <c r="J3885" s="1816">
        <v>0.255</v>
      </c>
      <c r="K3885" s="863">
        <v>10.39</v>
      </c>
      <c r="L3885" s="862">
        <v>750</v>
      </c>
      <c r="M3885" s="862">
        <v>0.12</v>
      </c>
      <c r="N3885" s="862">
        <v>0.47</v>
      </c>
      <c r="O3885" s="862">
        <v>1.62</v>
      </c>
      <c r="P3885" s="862">
        <v>1.32</v>
      </c>
      <c r="R3885" s="647">
        <v>0.61249317503858181</v>
      </c>
      <c r="S3885" s="863">
        <v>4.2</v>
      </c>
      <c r="Y3885" s="1817">
        <v>32.200000000000003</v>
      </c>
      <c r="AA3885" s="647">
        <v>4.63</v>
      </c>
      <c r="AB3885" s="647">
        <v>0.253</v>
      </c>
      <c r="AC3885" s="862">
        <v>8.1</v>
      </c>
      <c r="AD3885" s="867">
        <v>460</v>
      </c>
      <c r="AE3885" s="867">
        <v>200</v>
      </c>
      <c r="AF3885" s="867">
        <v>340</v>
      </c>
      <c r="AG3885" s="66">
        <f t="shared" si="145"/>
        <v>114.22546583850931</v>
      </c>
      <c r="AH3885" s="143">
        <f t="shared" si="146"/>
        <v>1000</v>
      </c>
    </row>
    <row r="3886" spans="1:34" s="862" customFormat="1" x14ac:dyDescent="0.3">
      <c r="A3886" s="862">
        <v>203965</v>
      </c>
      <c r="B3886" s="863">
        <v>12.5</v>
      </c>
      <c r="C3886" s="647">
        <v>4.5999999999999996</v>
      </c>
      <c r="D3886" s="647">
        <v>8.634615384615385</v>
      </c>
      <c r="E3886" s="1573">
        <v>0.21099999999999999</v>
      </c>
      <c r="F3886" s="864">
        <v>232.1</v>
      </c>
      <c r="H3886" s="864">
        <v>16.79</v>
      </c>
      <c r="I3886" s="864">
        <v>792</v>
      </c>
      <c r="J3886" s="1816">
        <v>0.17299999999999999</v>
      </c>
      <c r="K3886" s="863">
        <v>9.93</v>
      </c>
      <c r="L3886" s="862">
        <v>880</v>
      </c>
      <c r="M3886" s="862">
        <v>0.36</v>
      </c>
      <c r="N3886" s="862">
        <v>1.1399999999999999</v>
      </c>
      <c r="O3886" s="862">
        <v>3.51</v>
      </c>
      <c r="P3886" s="862">
        <v>2.93</v>
      </c>
      <c r="R3886" s="647">
        <v>1.1314312741487766</v>
      </c>
      <c r="S3886" s="863">
        <v>8</v>
      </c>
      <c r="Y3886" s="1817">
        <v>28.8</v>
      </c>
      <c r="AA3886" s="647">
        <v>4.8499999999999996</v>
      </c>
      <c r="AB3886" s="647">
        <v>0.72299999999999998</v>
      </c>
      <c r="AC3886" s="862">
        <v>8.1999999999999993</v>
      </c>
      <c r="AD3886" s="867">
        <v>480</v>
      </c>
      <c r="AE3886" s="867">
        <v>220</v>
      </c>
      <c r="AF3886" s="867">
        <v>300</v>
      </c>
      <c r="AG3886" s="66">
        <f t="shared" si="145"/>
        <v>122.05625000000001</v>
      </c>
      <c r="AH3886" s="143">
        <f t="shared" si="146"/>
        <v>1000</v>
      </c>
    </row>
    <row r="3887" spans="1:34" s="862" customFormat="1" x14ac:dyDescent="0.3">
      <c r="A3887" s="862">
        <v>203966</v>
      </c>
      <c r="B3887" s="863">
        <v>17.2</v>
      </c>
      <c r="C3887" s="647">
        <v>6.6</v>
      </c>
      <c r="D3887" s="647">
        <v>8.36</v>
      </c>
      <c r="E3887" s="1573">
        <v>1.3979999999999999</v>
      </c>
      <c r="F3887" s="864">
        <v>1537.8</v>
      </c>
      <c r="H3887" s="864">
        <v>306.06</v>
      </c>
      <c r="I3887" s="864">
        <v>1863</v>
      </c>
      <c r="J3887" s="1816">
        <v>0.90100000000000002</v>
      </c>
      <c r="K3887" s="863">
        <v>10.67</v>
      </c>
      <c r="L3887" s="862">
        <v>856</v>
      </c>
      <c r="M3887" s="862">
        <v>2.35</v>
      </c>
      <c r="N3887" s="862">
        <v>1.51</v>
      </c>
      <c r="O3887" s="862">
        <v>19.649999999999999</v>
      </c>
      <c r="P3887" s="862">
        <v>5.78</v>
      </c>
      <c r="R3887" s="647">
        <v>1.6993880000000001</v>
      </c>
      <c r="S3887" s="863">
        <v>13.600000000000001</v>
      </c>
      <c r="Y3887" s="1817">
        <v>21.6</v>
      </c>
      <c r="AA3887" s="647">
        <v>4.62</v>
      </c>
      <c r="AB3887" s="647">
        <v>0.35499999999999998</v>
      </c>
      <c r="AC3887" s="862">
        <v>8.1</v>
      </c>
      <c r="AD3887" s="867">
        <v>360</v>
      </c>
      <c r="AE3887" s="867">
        <v>120</v>
      </c>
      <c r="AF3887" s="867">
        <v>520</v>
      </c>
      <c r="AG3887" s="66">
        <f t="shared" si="145"/>
        <v>174.86944444444441</v>
      </c>
      <c r="AH3887" s="143">
        <f t="shared" si="146"/>
        <v>1000</v>
      </c>
    </row>
    <row r="3888" spans="1:34" s="862" customFormat="1" x14ac:dyDescent="0.3">
      <c r="A3888" s="862">
        <v>203967</v>
      </c>
      <c r="B3888" s="863">
        <v>21.9</v>
      </c>
      <c r="C3888" s="647">
        <v>9.9</v>
      </c>
      <c r="D3888" s="647">
        <v>8.384615384615385</v>
      </c>
      <c r="E3888" s="1573">
        <v>0.33800000000000002</v>
      </c>
      <c r="F3888" s="864">
        <v>371.80000000000007</v>
      </c>
      <c r="H3888" s="864">
        <v>12.36</v>
      </c>
      <c r="I3888" s="864">
        <v>365</v>
      </c>
      <c r="J3888" s="1816">
        <v>0.155</v>
      </c>
      <c r="K3888" s="863">
        <v>9.89</v>
      </c>
      <c r="L3888" s="862">
        <v>656</v>
      </c>
      <c r="M3888" s="862">
        <v>0.32</v>
      </c>
      <c r="N3888" s="862">
        <v>1.31</v>
      </c>
      <c r="O3888" s="862">
        <v>5.23</v>
      </c>
      <c r="P3888" s="862">
        <v>1.92</v>
      </c>
      <c r="R3888" s="647">
        <v>1.1547602407520183</v>
      </c>
      <c r="S3888" s="863">
        <v>8.1999999999999993</v>
      </c>
      <c r="Y3888" s="1817">
        <v>30.8</v>
      </c>
      <c r="AA3888" s="647">
        <v>4.46</v>
      </c>
      <c r="AB3888" s="647">
        <v>0.70699999999999996</v>
      </c>
      <c r="AC3888" s="862">
        <v>8.1999999999999993</v>
      </c>
      <c r="AD3888" s="867">
        <v>440</v>
      </c>
      <c r="AE3888" s="867">
        <v>180</v>
      </c>
      <c r="AF3888" s="867">
        <v>380</v>
      </c>
      <c r="AG3888" s="66">
        <f t="shared" si="145"/>
        <v>113.67077922077924</v>
      </c>
      <c r="AH3888" s="143">
        <f t="shared" si="146"/>
        <v>1000</v>
      </c>
    </row>
    <row r="3889" spans="1:34" s="862" customFormat="1" x14ac:dyDescent="0.3">
      <c r="A3889" s="862">
        <v>203968</v>
      </c>
      <c r="B3889" s="863">
        <v>24.7</v>
      </c>
      <c r="C3889" s="647">
        <v>9.1</v>
      </c>
      <c r="D3889" s="647">
        <v>8.365384615384615</v>
      </c>
      <c r="E3889" s="1573">
        <v>0.50600000000000001</v>
      </c>
      <c r="F3889" s="864">
        <v>556.60000000000014</v>
      </c>
      <c r="H3889" s="864">
        <v>16.68</v>
      </c>
      <c r="I3889" s="864">
        <v>648</v>
      </c>
      <c r="J3889" s="1816">
        <v>0.22600000000000001</v>
      </c>
      <c r="K3889" s="863">
        <v>10.25</v>
      </c>
      <c r="L3889" s="862">
        <v>679</v>
      </c>
      <c r="M3889" s="862">
        <v>0.2</v>
      </c>
      <c r="N3889" s="862">
        <v>0.6</v>
      </c>
      <c r="O3889" s="862">
        <v>2.57</v>
      </c>
      <c r="P3889" s="862">
        <v>1.97</v>
      </c>
      <c r="R3889" s="647">
        <v>0.5948927412728221</v>
      </c>
      <c r="S3889" s="863">
        <v>4.4000000000000004</v>
      </c>
      <c r="Y3889" s="1817">
        <v>22</v>
      </c>
      <c r="AA3889" s="647">
        <v>4.08</v>
      </c>
      <c r="AB3889" s="647">
        <v>0.53800000000000003</v>
      </c>
      <c r="AC3889" s="862">
        <v>11.5</v>
      </c>
      <c r="AD3889" s="867">
        <v>440</v>
      </c>
      <c r="AE3889" s="867">
        <v>180</v>
      </c>
      <c r="AF3889" s="867">
        <v>380</v>
      </c>
      <c r="AG3889" s="66">
        <f t="shared" si="145"/>
        <v>164.93181818181822</v>
      </c>
      <c r="AH3889" s="143">
        <f t="shared" si="146"/>
        <v>1000</v>
      </c>
    </row>
    <row r="3890" spans="1:34" s="862" customFormat="1" x14ac:dyDescent="0.3">
      <c r="A3890" s="862">
        <v>203969</v>
      </c>
      <c r="B3890" s="863">
        <v>11.3</v>
      </c>
      <c r="C3890" s="647">
        <v>3.9</v>
      </c>
      <c r="D3890" s="647">
        <v>8.5192307692307701</v>
      </c>
      <c r="E3890" s="1573">
        <v>0.184</v>
      </c>
      <c r="F3890" s="864">
        <v>202.40000000000003</v>
      </c>
      <c r="H3890" s="864">
        <v>22.1</v>
      </c>
      <c r="I3890" s="864">
        <v>609</v>
      </c>
      <c r="J3890" s="1816">
        <v>8.3000000000000004E-2</v>
      </c>
      <c r="K3890" s="863">
        <v>10.45</v>
      </c>
      <c r="L3890" s="862">
        <v>585</v>
      </c>
      <c r="M3890" s="862">
        <v>0.39</v>
      </c>
      <c r="N3890" s="862">
        <v>1.2</v>
      </c>
      <c r="O3890" s="862">
        <v>4.47</v>
      </c>
      <c r="P3890" s="862">
        <v>3.01</v>
      </c>
      <c r="R3890" s="647">
        <v>1.218457321938428</v>
      </c>
      <c r="S3890" s="863">
        <v>8.1999999999999993</v>
      </c>
      <c r="Y3890" s="1817">
        <v>28</v>
      </c>
      <c r="AA3890" s="647">
        <v>4.5199999999999996</v>
      </c>
      <c r="AB3890" s="647">
        <v>0.64100000000000001</v>
      </c>
      <c r="AC3890" s="862">
        <v>10.8</v>
      </c>
      <c r="AD3890" s="867">
        <v>400</v>
      </c>
      <c r="AE3890" s="867">
        <v>160</v>
      </c>
      <c r="AF3890" s="867">
        <v>440</v>
      </c>
      <c r="AG3890" s="66">
        <f t="shared" si="145"/>
        <v>132.1178571428571</v>
      </c>
      <c r="AH3890" s="143">
        <f t="shared" si="146"/>
        <v>1000</v>
      </c>
    </row>
    <row r="3891" spans="1:34" s="862" customFormat="1" x14ac:dyDescent="0.3">
      <c r="A3891" s="862">
        <v>203970</v>
      </c>
      <c r="B3891" s="863">
        <v>11.7</v>
      </c>
      <c r="C3891" s="647">
        <v>4.0999999999999996</v>
      </c>
      <c r="D3891" s="647">
        <v>8.4615384615384617</v>
      </c>
      <c r="E3891" s="1573">
        <v>0.2</v>
      </c>
      <c r="F3891" s="864">
        <v>220.00000000000003</v>
      </c>
      <c r="H3891" s="864">
        <v>14.7</v>
      </c>
      <c r="I3891" s="864">
        <v>447</v>
      </c>
      <c r="J3891" s="1816">
        <v>8.1000000000000003E-2</v>
      </c>
      <c r="K3891" s="863">
        <v>10</v>
      </c>
      <c r="L3891" s="862">
        <v>580</v>
      </c>
      <c r="M3891" s="862">
        <v>0.31</v>
      </c>
      <c r="N3891" s="862">
        <v>1.05</v>
      </c>
      <c r="O3891" s="862">
        <v>3.72</v>
      </c>
      <c r="P3891" s="862">
        <v>2.99</v>
      </c>
      <c r="R3891" s="647">
        <v>1.0151657589086933</v>
      </c>
      <c r="S3891" s="863">
        <v>7.3</v>
      </c>
      <c r="Y3891" s="1817">
        <v>28.7</v>
      </c>
      <c r="AA3891" s="647">
        <v>5</v>
      </c>
      <c r="AB3891" s="647">
        <v>0.61899999999999999</v>
      </c>
      <c r="AC3891" s="862">
        <v>6.1</v>
      </c>
      <c r="AD3891" s="867">
        <v>410</v>
      </c>
      <c r="AE3891" s="867">
        <v>160</v>
      </c>
      <c r="AF3891" s="867">
        <v>430</v>
      </c>
      <c r="AG3891" s="66">
        <f t="shared" si="145"/>
        <v>123.34494773519164</v>
      </c>
      <c r="AH3891" s="143">
        <f t="shared" si="146"/>
        <v>1000</v>
      </c>
    </row>
    <row r="3892" spans="1:34" s="862" customFormat="1" x14ac:dyDescent="0.3">
      <c r="A3892" s="862">
        <v>203971</v>
      </c>
      <c r="B3892" s="863">
        <v>34.299999999999997</v>
      </c>
      <c r="C3892" s="647">
        <v>10.8</v>
      </c>
      <c r="D3892" s="647">
        <v>8.9366515837104075</v>
      </c>
      <c r="E3892" s="1573">
        <v>1.115</v>
      </c>
      <c r="F3892" s="864">
        <v>1226.5000000000002</v>
      </c>
      <c r="H3892" s="864">
        <v>10.66</v>
      </c>
      <c r="I3892" s="864">
        <v>266</v>
      </c>
      <c r="J3892" s="1816">
        <v>1.5149999999999999</v>
      </c>
      <c r="K3892" s="863">
        <v>9.8699999999999992</v>
      </c>
      <c r="L3892" s="862">
        <v>719</v>
      </c>
      <c r="M3892" s="862">
        <v>0.13</v>
      </c>
      <c r="N3892" s="862">
        <v>0.46</v>
      </c>
      <c r="O3892" s="862">
        <v>0.11</v>
      </c>
      <c r="P3892" s="862">
        <v>1.65</v>
      </c>
      <c r="R3892" s="647">
        <v>0.42910969945694322</v>
      </c>
      <c r="S3892" s="863">
        <v>3.1</v>
      </c>
      <c r="Y3892" s="1817">
        <v>26.6</v>
      </c>
      <c r="AA3892" s="647">
        <v>4.47</v>
      </c>
      <c r="AB3892" s="647">
        <v>0.45800000000000002</v>
      </c>
      <c r="AC3892" s="862">
        <v>11.1</v>
      </c>
      <c r="AD3892" s="867">
        <v>380</v>
      </c>
      <c r="AE3892" s="867">
        <v>180</v>
      </c>
      <c r="AF3892" s="867">
        <v>440</v>
      </c>
      <c r="AG3892" s="66">
        <f t="shared" si="145"/>
        <v>131.35263157894735</v>
      </c>
      <c r="AH3892" s="143">
        <f t="shared" si="146"/>
        <v>1000</v>
      </c>
    </row>
    <row r="3893" spans="1:34" s="862" customFormat="1" x14ac:dyDescent="0.3">
      <c r="A3893" s="862">
        <v>203972</v>
      </c>
      <c r="B3893" s="863">
        <v>24.3</v>
      </c>
      <c r="C3893" s="647">
        <v>9.9</v>
      </c>
      <c r="D3893" s="647">
        <v>8.5865384615384617</v>
      </c>
      <c r="E3893" s="1573">
        <v>0.32900000000000001</v>
      </c>
      <c r="F3893" s="864">
        <v>361.90000000000003</v>
      </c>
      <c r="H3893" s="864">
        <v>6.39</v>
      </c>
      <c r="I3893" s="864">
        <v>240</v>
      </c>
      <c r="J3893" s="1816">
        <v>0.29499999999999998</v>
      </c>
      <c r="K3893" s="863">
        <v>10.68</v>
      </c>
      <c r="L3893" s="862">
        <v>521</v>
      </c>
      <c r="M3893" s="862">
        <v>0.12</v>
      </c>
      <c r="N3893" s="862">
        <v>0.59</v>
      </c>
      <c r="O3893" s="862">
        <v>2.66</v>
      </c>
      <c r="P3893" s="862">
        <v>1.99</v>
      </c>
      <c r="R3893" s="647">
        <v>0.57140039409233601</v>
      </c>
      <c r="S3893" s="863">
        <v>3.9000000000000004</v>
      </c>
      <c r="Y3893" s="1817">
        <v>28</v>
      </c>
      <c r="AA3893" s="647">
        <v>4.0199999999999996</v>
      </c>
      <c r="AB3893" s="647">
        <v>0.46700000000000003</v>
      </c>
      <c r="AC3893" s="862">
        <v>7.3</v>
      </c>
      <c r="AD3893" s="867">
        <v>400</v>
      </c>
      <c r="AE3893" s="867">
        <v>160</v>
      </c>
      <c r="AF3893" s="867">
        <v>440</v>
      </c>
      <c r="AG3893" s="66">
        <f t="shared" si="145"/>
        <v>135.02571428571429</v>
      </c>
      <c r="AH3893" s="143">
        <f t="shared" si="146"/>
        <v>1000</v>
      </c>
    </row>
    <row r="3894" spans="1:34" s="862" customFormat="1" x14ac:dyDescent="0.3">
      <c r="A3894" s="862">
        <v>203973</v>
      </c>
      <c r="B3894" s="863">
        <v>26.2</v>
      </c>
      <c r="C3894" s="647">
        <v>10.3</v>
      </c>
      <c r="D3894" s="647">
        <v>8.5384615384615383</v>
      </c>
      <c r="E3894" s="1573">
        <v>0.38900000000000001</v>
      </c>
      <c r="F3894" s="864">
        <v>427.90000000000003</v>
      </c>
      <c r="H3894" s="864">
        <v>16.16</v>
      </c>
      <c r="I3894" s="864">
        <v>244</v>
      </c>
      <c r="J3894" s="1816">
        <v>0.32400000000000001</v>
      </c>
      <c r="K3894" s="863">
        <v>10.57</v>
      </c>
      <c r="L3894" s="862">
        <v>549</v>
      </c>
      <c r="M3894" s="862">
        <v>0.15</v>
      </c>
      <c r="N3894" s="862">
        <v>0.51</v>
      </c>
      <c r="O3894" s="862">
        <v>3.47</v>
      </c>
      <c r="P3894" s="862">
        <v>1.87</v>
      </c>
      <c r="R3894" s="647">
        <v>0.67605447906970817</v>
      </c>
      <c r="S3894" s="863">
        <v>4.6999999999999993</v>
      </c>
      <c r="Y3894" s="1817">
        <v>29.4</v>
      </c>
      <c r="AA3894" s="647">
        <v>4.67</v>
      </c>
      <c r="AB3894" s="647">
        <v>0.38600000000000001</v>
      </c>
      <c r="AC3894" s="862">
        <v>6.4</v>
      </c>
      <c r="AD3894" s="867">
        <v>420</v>
      </c>
      <c r="AE3894" s="867">
        <v>180</v>
      </c>
      <c r="AF3894" s="867">
        <v>400</v>
      </c>
      <c r="AG3894" s="66">
        <f t="shared" si="145"/>
        <v>127.27142857142857</v>
      </c>
      <c r="AH3894" s="143">
        <f t="shared" si="146"/>
        <v>1000</v>
      </c>
    </row>
    <row r="3895" spans="1:34" s="862" customFormat="1" x14ac:dyDescent="0.3">
      <c r="A3895" s="862">
        <v>203974</v>
      </c>
      <c r="B3895" s="863">
        <v>19.7</v>
      </c>
      <c r="C3895" s="647">
        <v>9.1</v>
      </c>
      <c r="D3895" s="647">
        <v>8.5096153846153832</v>
      </c>
      <c r="E3895" s="1573">
        <v>0.32300000000000001</v>
      </c>
      <c r="F3895" s="864">
        <v>355.30000000000007</v>
      </c>
      <c r="H3895" s="864">
        <v>15.64</v>
      </c>
      <c r="I3895" s="864">
        <v>373</v>
      </c>
      <c r="J3895" s="1816">
        <v>0.22700000000000001</v>
      </c>
      <c r="K3895" s="863">
        <v>10.25</v>
      </c>
      <c r="L3895" s="862">
        <v>664</v>
      </c>
      <c r="M3895" s="862">
        <v>0.3</v>
      </c>
      <c r="N3895" s="862">
        <v>1.26</v>
      </c>
      <c r="O3895" s="862">
        <v>6.2</v>
      </c>
      <c r="P3895" s="862">
        <v>2.1800000000000002</v>
      </c>
      <c r="R3895" s="647">
        <v>0.92983547411630951</v>
      </c>
      <c r="S3895" s="863">
        <v>6.6000000000000005</v>
      </c>
      <c r="Y3895" s="1817">
        <v>20</v>
      </c>
      <c r="AA3895" s="647">
        <v>3.48</v>
      </c>
      <c r="AB3895" s="647">
        <v>0.59499999999999997</v>
      </c>
      <c r="AC3895" s="862">
        <v>9.5</v>
      </c>
      <c r="AD3895" s="867">
        <v>400</v>
      </c>
      <c r="AE3895" s="867">
        <v>160</v>
      </c>
      <c r="AF3895" s="867">
        <v>440</v>
      </c>
      <c r="AG3895" s="66">
        <f t="shared" si="145"/>
        <v>181.42500000000001</v>
      </c>
      <c r="AH3895" s="143">
        <f t="shared" si="146"/>
        <v>1000</v>
      </c>
    </row>
    <row r="3896" spans="1:34" s="862" customFormat="1" x14ac:dyDescent="0.3">
      <c r="A3896" s="862">
        <v>203975</v>
      </c>
      <c r="B3896" s="863">
        <v>23.8</v>
      </c>
      <c r="C3896" s="647">
        <v>10.8</v>
      </c>
      <c r="D3896" s="647">
        <v>8.3269230769230766</v>
      </c>
      <c r="E3896" s="1573">
        <v>0.20300000000000001</v>
      </c>
      <c r="F3896" s="864">
        <v>223.30000000000004</v>
      </c>
      <c r="H3896" s="864">
        <v>5.32</v>
      </c>
      <c r="I3896" s="864">
        <v>282</v>
      </c>
      <c r="J3896" s="1816">
        <v>0.112</v>
      </c>
      <c r="K3896" s="863">
        <v>10.35</v>
      </c>
      <c r="L3896" s="862">
        <v>828</v>
      </c>
      <c r="M3896" s="862">
        <v>0.2</v>
      </c>
      <c r="N3896" s="862">
        <v>0.7</v>
      </c>
      <c r="O3896" s="862">
        <v>1.5</v>
      </c>
      <c r="P3896" s="862">
        <v>1.69</v>
      </c>
      <c r="R3896" s="647">
        <v>0.85826896437473787</v>
      </c>
      <c r="S3896" s="863">
        <v>6.2</v>
      </c>
      <c r="Y3896" s="1817">
        <v>28</v>
      </c>
      <c r="AA3896" s="647">
        <v>4.76</v>
      </c>
      <c r="AB3896" s="647">
        <v>0.55700000000000005</v>
      </c>
      <c r="AC3896" s="862">
        <v>6.6</v>
      </c>
      <c r="AD3896" s="867">
        <v>400</v>
      </c>
      <c r="AE3896" s="867">
        <v>200</v>
      </c>
      <c r="AF3896" s="867">
        <v>400</v>
      </c>
      <c r="AG3896" s="66">
        <f t="shared" si="145"/>
        <v>130.85357142857143</v>
      </c>
      <c r="AH3896" s="143">
        <f t="shared" si="146"/>
        <v>1000</v>
      </c>
    </row>
    <row r="3897" spans="1:34" s="862" customFormat="1" x14ac:dyDescent="0.3">
      <c r="A3897" s="862">
        <v>203976</v>
      </c>
      <c r="B3897" s="863">
        <v>28.5</v>
      </c>
      <c r="C3897" s="647">
        <v>9.5</v>
      </c>
      <c r="D3897" s="647">
        <v>8.2884615384615365</v>
      </c>
      <c r="E3897" s="1573">
        <v>0.155</v>
      </c>
      <c r="F3897" s="864">
        <v>170.5</v>
      </c>
      <c r="H3897" s="864">
        <v>3.13</v>
      </c>
      <c r="I3897" s="864">
        <v>186</v>
      </c>
      <c r="J3897" s="1816">
        <v>7.5999999999999998E-2</v>
      </c>
      <c r="K3897" s="863">
        <v>10.130000000000001</v>
      </c>
      <c r="L3897" s="862">
        <v>624</v>
      </c>
      <c r="M3897" s="862">
        <v>0.13</v>
      </c>
      <c r="N3897" s="862">
        <v>0.52</v>
      </c>
      <c r="O3897" s="862">
        <v>1.72</v>
      </c>
      <c r="P3897" s="862">
        <v>1.32</v>
      </c>
      <c r="R3897" s="647">
        <v>0.70882852550027453</v>
      </c>
      <c r="S3897" s="863">
        <v>4.9000000000000004</v>
      </c>
      <c r="Y3897" s="1817">
        <v>22.8</v>
      </c>
      <c r="AA3897" s="647">
        <v>3.92</v>
      </c>
      <c r="AB3897" s="647">
        <v>0.68300000000000005</v>
      </c>
      <c r="AC3897" s="862">
        <v>7.7</v>
      </c>
      <c r="AD3897" s="867">
        <v>380</v>
      </c>
      <c r="AE3897" s="867">
        <v>160</v>
      </c>
      <c r="AF3897" s="867">
        <v>460</v>
      </c>
      <c r="AG3897" s="66">
        <f t="shared" si="145"/>
        <v>157.28157894736844</v>
      </c>
      <c r="AH3897" s="143">
        <f t="shared" si="146"/>
        <v>1000</v>
      </c>
    </row>
    <row r="3898" spans="1:34" s="862" customFormat="1" x14ac:dyDescent="0.3">
      <c r="A3898" s="862">
        <v>203977</v>
      </c>
      <c r="B3898" s="863">
        <v>25.2</v>
      </c>
      <c r="C3898" s="647">
        <v>10.9</v>
      </c>
      <c r="D3898" s="647">
        <v>8.25</v>
      </c>
      <c r="E3898" s="1573">
        <v>0.21299999999999999</v>
      </c>
      <c r="F3898" s="864">
        <v>234.3</v>
      </c>
      <c r="H3898" s="864">
        <v>13.04</v>
      </c>
      <c r="I3898" s="864">
        <v>288</v>
      </c>
      <c r="J3898" s="1816">
        <v>0.113</v>
      </c>
      <c r="K3898" s="863">
        <v>9.94</v>
      </c>
      <c r="L3898" s="862">
        <v>843</v>
      </c>
      <c r="M3898" s="862">
        <v>0.23</v>
      </c>
      <c r="N3898" s="862">
        <v>0.59</v>
      </c>
      <c r="O3898" s="862">
        <v>1.29</v>
      </c>
      <c r="P3898" s="862">
        <v>1.75</v>
      </c>
      <c r="R3898" s="647">
        <v>0.6333864611497837</v>
      </c>
      <c r="S3898" s="863">
        <v>4.6999999999999993</v>
      </c>
      <c r="Y3898" s="1817">
        <v>24</v>
      </c>
      <c r="AA3898" s="647">
        <v>4.22</v>
      </c>
      <c r="AB3898" s="647">
        <v>0.79</v>
      </c>
      <c r="AC3898" s="862">
        <v>6</v>
      </c>
      <c r="AD3898" s="867">
        <v>400</v>
      </c>
      <c r="AE3898" s="867">
        <v>160</v>
      </c>
      <c r="AF3898" s="867">
        <v>440</v>
      </c>
      <c r="AG3898" s="66">
        <f t="shared" si="145"/>
        <v>146.61499999999998</v>
      </c>
      <c r="AH3898" s="143">
        <f t="shared" si="146"/>
        <v>1000</v>
      </c>
    </row>
    <row r="3899" spans="1:34" s="862" customFormat="1" x14ac:dyDescent="0.3">
      <c r="A3899" s="862">
        <v>203978</v>
      </c>
      <c r="B3899" s="863">
        <v>22.7</v>
      </c>
      <c r="C3899" s="647">
        <v>10.9</v>
      </c>
      <c r="D3899" s="647">
        <v>8.4700000000000006</v>
      </c>
      <c r="E3899" s="1573">
        <v>0.5</v>
      </c>
      <c r="F3899" s="864">
        <v>550</v>
      </c>
      <c r="H3899" s="864">
        <v>7.43</v>
      </c>
      <c r="I3899" s="864">
        <v>209</v>
      </c>
      <c r="J3899" s="1816">
        <v>0.35699999999999998</v>
      </c>
      <c r="K3899" s="863">
        <v>10.28</v>
      </c>
      <c r="L3899" s="862">
        <v>894</v>
      </c>
      <c r="M3899" s="862">
        <v>0.22</v>
      </c>
      <c r="N3899" s="862">
        <v>0.94</v>
      </c>
      <c r="O3899" s="862">
        <v>3.19</v>
      </c>
      <c r="P3899" s="862">
        <v>2.2200000000000002</v>
      </c>
      <c r="R3899" s="647">
        <v>1.1985375548182982</v>
      </c>
      <c r="S3899" s="863">
        <v>8.1000000000000014</v>
      </c>
      <c r="Y3899" s="1817">
        <v>30.8</v>
      </c>
      <c r="AA3899" s="647">
        <v>4.72</v>
      </c>
      <c r="AB3899" s="647">
        <v>0.308</v>
      </c>
      <c r="AC3899" s="862">
        <v>7</v>
      </c>
      <c r="AD3899" s="867">
        <v>440</v>
      </c>
      <c r="AE3899" s="867">
        <v>140</v>
      </c>
      <c r="AF3899" s="867">
        <v>420</v>
      </c>
      <c r="AG3899" s="66">
        <f t="shared" si="145"/>
        <v>118.15324675324675</v>
      </c>
      <c r="AH3899" s="143">
        <f t="shared" si="146"/>
        <v>1000</v>
      </c>
    </row>
    <row r="3900" spans="1:34" s="862" customFormat="1" x14ac:dyDescent="0.3">
      <c r="A3900" s="862">
        <v>203979</v>
      </c>
      <c r="B3900" s="863">
        <v>19.2</v>
      </c>
      <c r="C3900" s="647">
        <v>8.9</v>
      </c>
      <c r="D3900" s="647">
        <v>8.3699999999999992</v>
      </c>
      <c r="E3900" s="1573">
        <v>0.23400000000000001</v>
      </c>
      <c r="F3900" s="864">
        <v>257.40000000000003</v>
      </c>
      <c r="H3900" s="864">
        <v>25.86</v>
      </c>
      <c r="I3900" s="864">
        <v>352</v>
      </c>
      <c r="J3900" s="1816">
        <v>8.7999999999999995E-2</v>
      </c>
      <c r="K3900" s="863">
        <v>9.9499999999999993</v>
      </c>
      <c r="L3900" s="862">
        <v>602</v>
      </c>
      <c r="M3900" s="862">
        <v>1.65</v>
      </c>
      <c r="N3900" s="862">
        <v>1.29</v>
      </c>
      <c r="O3900" s="862">
        <v>10.48</v>
      </c>
      <c r="P3900" s="862">
        <v>2.35</v>
      </c>
      <c r="R3900" s="647">
        <v>1.3490058170099233</v>
      </c>
      <c r="S3900" s="863">
        <v>9.6</v>
      </c>
      <c r="Y3900" s="1817">
        <v>24</v>
      </c>
      <c r="AA3900" s="647">
        <v>3.56</v>
      </c>
      <c r="AB3900" s="647">
        <v>0.47799999999999998</v>
      </c>
      <c r="AC3900" s="862">
        <v>6.9</v>
      </c>
      <c r="AD3900" s="867">
        <v>400</v>
      </c>
      <c r="AE3900" s="867">
        <v>140</v>
      </c>
      <c r="AF3900" s="867">
        <v>460</v>
      </c>
      <c r="AG3900" s="66">
        <f t="shared" si="145"/>
        <v>146.76249999999999</v>
      </c>
      <c r="AH3900" s="143">
        <f t="shared" si="146"/>
        <v>1000</v>
      </c>
    </row>
    <row r="3901" spans="1:34" s="862" customFormat="1" x14ac:dyDescent="0.3">
      <c r="A3901" s="862">
        <v>203980</v>
      </c>
      <c r="B3901" s="863">
        <v>30.7</v>
      </c>
      <c r="C3901" s="647">
        <v>12</v>
      </c>
      <c r="D3901" s="647">
        <v>8.1826923076923066</v>
      </c>
      <c r="E3901" s="1573">
        <v>0.52200000000000002</v>
      </c>
      <c r="F3901" s="864">
        <v>574.20000000000005</v>
      </c>
      <c r="H3901" s="864">
        <v>7.12</v>
      </c>
      <c r="I3901" s="864">
        <v>167</v>
      </c>
      <c r="J3901" s="1816">
        <v>0.434</v>
      </c>
      <c r="K3901" s="863">
        <v>10.63</v>
      </c>
      <c r="L3901" s="862">
        <v>946</v>
      </c>
      <c r="M3901" s="862">
        <v>0.19</v>
      </c>
      <c r="N3901" s="862">
        <v>0.77</v>
      </c>
      <c r="O3901" s="862">
        <v>1.65</v>
      </c>
      <c r="P3901" s="862">
        <v>2.0499999999999998</v>
      </c>
      <c r="R3901" s="647">
        <v>0.84685346868484768</v>
      </c>
      <c r="S3901" s="863">
        <v>5.8</v>
      </c>
      <c r="Y3901" s="1817">
        <v>30.8</v>
      </c>
      <c r="AA3901" s="647">
        <v>3.57</v>
      </c>
      <c r="AB3901" s="647">
        <v>0.27800000000000002</v>
      </c>
      <c r="AC3901" s="862">
        <v>10</v>
      </c>
      <c r="AD3901" s="867">
        <v>440</v>
      </c>
      <c r="AE3901" s="867">
        <v>180</v>
      </c>
      <c r="AF3901" s="867">
        <v>380</v>
      </c>
      <c r="AG3901" s="66">
        <f t="shared" si="145"/>
        <v>122.17597402597404</v>
      </c>
      <c r="AH3901" s="143">
        <f t="shared" si="146"/>
        <v>1000</v>
      </c>
    </row>
    <row r="3902" spans="1:34" s="862" customFormat="1" x14ac:dyDescent="0.3">
      <c r="A3902" s="862">
        <v>203981</v>
      </c>
      <c r="B3902" s="863">
        <v>32.200000000000003</v>
      </c>
      <c r="C3902" s="647">
        <v>11.4</v>
      </c>
      <c r="D3902" s="647">
        <v>8.3365384615384617</v>
      </c>
      <c r="E3902" s="1573">
        <v>0.55800000000000005</v>
      </c>
      <c r="F3902" s="864">
        <v>613.80000000000007</v>
      </c>
      <c r="H3902" s="864">
        <v>8.74</v>
      </c>
      <c r="I3902" s="864">
        <v>274</v>
      </c>
      <c r="J3902" s="1816">
        <v>0.48299999999999998</v>
      </c>
      <c r="K3902" s="863">
        <v>10.11</v>
      </c>
      <c r="L3902" s="862">
        <v>889</v>
      </c>
      <c r="M3902" s="862">
        <v>0.12</v>
      </c>
      <c r="N3902" s="862">
        <v>0.43</v>
      </c>
      <c r="O3902" s="862">
        <v>0.59</v>
      </c>
      <c r="P3902" s="862">
        <v>1.46</v>
      </c>
      <c r="R3902" s="647">
        <v>0.48705503351713558</v>
      </c>
      <c r="S3902" s="863">
        <v>3.5</v>
      </c>
      <c r="Y3902" s="1817">
        <v>22</v>
      </c>
      <c r="AA3902" s="647">
        <v>3.61</v>
      </c>
      <c r="AB3902" s="647">
        <v>0.70299999999999996</v>
      </c>
      <c r="AC3902" s="862">
        <v>8.1</v>
      </c>
      <c r="AD3902" s="867">
        <v>440</v>
      </c>
      <c r="AE3902" s="867">
        <v>180</v>
      </c>
      <c r="AF3902" s="867">
        <v>380</v>
      </c>
      <c r="AG3902" s="66">
        <f t="shared" si="145"/>
        <v>162.67909090909092</v>
      </c>
      <c r="AH3902" s="143">
        <f t="shared" si="146"/>
        <v>1000</v>
      </c>
    </row>
    <row r="3903" spans="1:34" s="862" customFormat="1" x14ac:dyDescent="0.3">
      <c r="A3903" s="862">
        <v>203982</v>
      </c>
      <c r="B3903" s="863">
        <v>27</v>
      </c>
      <c r="C3903" s="647">
        <v>10.6</v>
      </c>
      <c r="D3903" s="647">
        <v>8.2307692307692317</v>
      </c>
      <c r="E3903" s="1573">
        <v>0.69399999999999995</v>
      </c>
      <c r="F3903" s="864">
        <v>763.4</v>
      </c>
      <c r="H3903" s="864">
        <v>7.22</v>
      </c>
      <c r="I3903" s="864">
        <v>199</v>
      </c>
      <c r="J3903" s="1816">
        <v>0.49299999999999999</v>
      </c>
      <c r="K3903" s="863">
        <v>10.06</v>
      </c>
      <c r="L3903" s="862">
        <v>868</v>
      </c>
      <c r="M3903" s="862">
        <v>0.09</v>
      </c>
      <c r="N3903" s="862">
        <v>0.64</v>
      </c>
      <c r="O3903" s="862">
        <v>0.64</v>
      </c>
      <c r="P3903" s="862">
        <v>1.46</v>
      </c>
      <c r="R3903" s="647">
        <v>0.67624701809504795</v>
      </c>
      <c r="S3903" s="863">
        <v>4.8</v>
      </c>
      <c r="Y3903" s="1817">
        <v>30.8</v>
      </c>
      <c r="AA3903" s="647">
        <v>4.54</v>
      </c>
      <c r="AB3903" s="647">
        <v>0.47299999999999998</v>
      </c>
      <c r="AC3903" s="862">
        <v>8.6</v>
      </c>
      <c r="AD3903" s="867">
        <v>440</v>
      </c>
      <c r="AE3903" s="867">
        <v>160</v>
      </c>
      <c r="AF3903" s="867">
        <v>400</v>
      </c>
      <c r="AG3903" s="66">
        <f t="shared" si="145"/>
        <v>115.62467532467532</v>
      </c>
      <c r="AH3903" s="143">
        <f t="shared" si="146"/>
        <v>1000</v>
      </c>
    </row>
    <row r="3904" spans="1:34" s="862" customFormat="1" x14ac:dyDescent="0.3">
      <c r="A3904" s="862">
        <v>203983</v>
      </c>
      <c r="B3904" s="863">
        <v>19.600000000000001</v>
      </c>
      <c r="C3904" s="647">
        <v>8.6</v>
      </c>
      <c r="D3904" s="647">
        <v>8.2019230769230766</v>
      </c>
      <c r="E3904" s="1573">
        <v>0.34100000000000003</v>
      </c>
      <c r="F3904" s="864">
        <v>375.1</v>
      </c>
      <c r="H3904" s="864">
        <v>26.3</v>
      </c>
      <c r="I3904" s="864">
        <v>613</v>
      </c>
      <c r="J3904" s="1816">
        <v>0.19</v>
      </c>
      <c r="K3904" s="863">
        <v>10.19</v>
      </c>
      <c r="L3904" s="862">
        <v>636</v>
      </c>
      <c r="M3904" s="862">
        <v>0.47</v>
      </c>
      <c r="N3904" s="862">
        <v>1.1299999999999999</v>
      </c>
      <c r="O3904" s="862">
        <v>4.6900000000000004</v>
      </c>
      <c r="P3904" s="862">
        <v>2.08</v>
      </c>
      <c r="R3904" s="647">
        <v>1.075697739982109</v>
      </c>
      <c r="S3904" s="863">
        <v>7.5</v>
      </c>
      <c r="Y3904" s="1817">
        <v>21</v>
      </c>
      <c r="AA3904" s="647">
        <v>4.71</v>
      </c>
      <c r="AB3904" s="647">
        <v>0.52500000000000002</v>
      </c>
      <c r="AC3904" s="862">
        <v>9.6</v>
      </c>
      <c r="AD3904" s="867">
        <v>420</v>
      </c>
      <c r="AE3904" s="867">
        <v>180</v>
      </c>
      <c r="AF3904" s="867">
        <v>400</v>
      </c>
      <c r="AG3904" s="66">
        <f t="shared" si="145"/>
        <v>171.77428571428572</v>
      </c>
      <c r="AH3904" s="143">
        <f t="shared" si="146"/>
        <v>1000</v>
      </c>
    </row>
    <row r="3905" spans="1:34" s="862" customFormat="1" x14ac:dyDescent="0.3">
      <c r="A3905" s="862">
        <v>203984</v>
      </c>
      <c r="B3905" s="863">
        <v>20.7</v>
      </c>
      <c r="C3905" s="647">
        <v>9.5</v>
      </c>
      <c r="D3905" s="647">
        <v>8.6923076923076916</v>
      </c>
      <c r="E3905" s="1573">
        <v>2.254</v>
      </c>
      <c r="F3905" s="864">
        <v>2479.4</v>
      </c>
      <c r="H3905" s="864">
        <v>20.23</v>
      </c>
      <c r="I3905" s="864">
        <v>1072</v>
      </c>
      <c r="J3905" s="1816">
        <v>3.7090000000000001</v>
      </c>
      <c r="K3905" s="863">
        <v>9.85</v>
      </c>
      <c r="L3905" s="862">
        <v>963</v>
      </c>
      <c r="M3905" s="862">
        <v>0.26</v>
      </c>
      <c r="N3905" s="862">
        <v>0.79</v>
      </c>
      <c r="O3905" s="862">
        <v>1.81</v>
      </c>
      <c r="P3905" s="862">
        <v>2.4500000000000002</v>
      </c>
      <c r="R3905" s="647">
        <v>0.8774166337682624</v>
      </c>
      <c r="S3905" s="863">
        <v>6.5</v>
      </c>
      <c r="Y3905" s="1817">
        <v>22</v>
      </c>
      <c r="AA3905" s="647">
        <v>4.97</v>
      </c>
      <c r="AB3905" s="647">
        <v>0.53400000000000003</v>
      </c>
      <c r="AC3905" s="862">
        <v>7.8</v>
      </c>
      <c r="AD3905" s="867">
        <v>440</v>
      </c>
      <c r="AE3905" s="867">
        <v>180</v>
      </c>
      <c r="AF3905" s="867">
        <v>380</v>
      </c>
      <c r="AG3905" s="66">
        <f t="shared" si="145"/>
        <v>158.49545454545455</v>
      </c>
      <c r="AH3905" s="143">
        <f t="shared" si="146"/>
        <v>1000</v>
      </c>
    </row>
    <row r="3906" spans="1:34" s="862" customFormat="1" x14ac:dyDescent="0.3">
      <c r="A3906" s="862">
        <v>203985</v>
      </c>
      <c r="B3906" s="863">
        <v>33.299999999999997</v>
      </c>
      <c r="C3906" s="647">
        <v>10.5</v>
      </c>
      <c r="D3906" s="647">
        <v>8.6634615384615383</v>
      </c>
      <c r="E3906" s="1573">
        <v>4.7</v>
      </c>
      <c r="F3906" s="864">
        <v>5170.0000000000009</v>
      </c>
      <c r="H3906" s="864">
        <v>15.3</v>
      </c>
      <c r="I3906" s="864">
        <v>785</v>
      </c>
      <c r="J3906" s="1816">
        <v>4.109</v>
      </c>
      <c r="K3906" s="863">
        <v>10.029999999999999</v>
      </c>
      <c r="L3906" s="862">
        <v>964</v>
      </c>
      <c r="M3906" s="862">
        <v>0.19</v>
      </c>
      <c r="N3906" s="862">
        <v>0.56000000000000005</v>
      </c>
      <c r="O3906" s="862">
        <v>0.49</v>
      </c>
      <c r="P3906" s="862">
        <v>2.36</v>
      </c>
      <c r="R3906" s="647">
        <v>0.45885668884232583</v>
      </c>
      <c r="S3906" s="863">
        <v>3.4000000000000004</v>
      </c>
      <c r="Y3906" s="1817">
        <v>30.8</v>
      </c>
      <c r="AA3906" s="647">
        <v>3.68</v>
      </c>
      <c r="AB3906" s="647">
        <v>0.48299999999999998</v>
      </c>
      <c r="AC3906" s="862">
        <v>10.4</v>
      </c>
      <c r="AD3906" s="867">
        <v>440</v>
      </c>
      <c r="AE3906" s="867">
        <v>200</v>
      </c>
      <c r="AF3906" s="867">
        <v>360</v>
      </c>
      <c r="AG3906" s="66">
        <f t="shared" ref="AG3906:AG3969" si="147">+K3906*3.54*100/Y3906</f>
        <v>115.27987012987012</v>
      </c>
      <c r="AH3906" s="143">
        <f t="shared" ref="AH3906:AH3969" si="148">+SUM(AD3906:AF3906)</f>
        <v>1000</v>
      </c>
    </row>
    <row r="3907" spans="1:34" s="862" customFormat="1" x14ac:dyDescent="0.3">
      <c r="A3907" s="862">
        <v>203986</v>
      </c>
      <c r="B3907" s="863">
        <v>30.8</v>
      </c>
      <c r="C3907" s="647">
        <v>10.8</v>
      </c>
      <c r="D3907" s="647">
        <v>8.9423076923076934</v>
      </c>
      <c r="E3907" s="1573">
        <v>2.0049999999999999</v>
      </c>
      <c r="F3907" s="864">
        <v>2205.5000000000005</v>
      </c>
      <c r="H3907" s="864">
        <v>12.23</v>
      </c>
      <c r="I3907" s="864">
        <v>994</v>
      </c>
      <c r="J3907" s="1816">
        <v>3.3889999999999998</v>
      </c>
      <c r="K3907" s="863">
        <v>10.18</v>
      </c>
      <c r="L3907" s="862">
        <v>537</v>
      </c>
      <c r="M3907" s="862">
        <v>0.15</v>
      </c>
      <c r="N3907" s="862">
        <v>0.68</v>
      </c>
      <c r="O3907" s="862">
        <v>0.95</v>
      </c>
      <c r="P3907" s="862">
        <v>1.85</v>
      </c>
      <c r="R3907" s="647">
        <v>0.48193127968269311</v>
      </c>
      <c r="S3907" s="863">
        <v>3.5999999999999996</v>
      </c>
      <c r="Y3907" s="1817">
        <v>30.8</v>
      </c>
      <c r="AA3907" s="647">
        <v>4.26</v>
      </c>
      <c r="AB3907" s="647">
        <v>0.59799999999999998</v>
      </c>
      <c r="AC3907" s="862">
        <v>9.6999999999999993</v>
      </c>
      <c r="AD3907" s="867">
        <v>440</v>
      </c>
      <c r="AE3907" s="867">
        <v>200</v>
      </c>
      <c r="AF3907" s="867">
        <v>360</v>
      </c>
      <c r="AG3907" s="66">
        <f t="shared" si="147"/>
        <v>117.0038961038961</v>
      </c>
      <c r="AH3907" s="143">
        <f t="shared" si="148"/>
        <v>1000</v>
      </c>
    </row>
    <row r="3908" spans="1:34" s="862" customFormat="1" x14ac:dyDescent="0.3">
      <c r="A3908" s="862">
        <v>203987</v>
      </c>
      <c r="B3908" s="863">
        <v>31</v>
      </c>
      <c r="C3908" s="647">
        <v>11</v>
      </c>
      <c r="D3908" s="647">
        <v>8.7980769230769234</v>
      </c>
      <c r="E3908" s="1573">
        <v>2.96</v>
      </c>
      <c r="F3908" s="864">
        <v>3256</v>
      </c>
      <c r="H3908" s="864">
        <v>10.48</v>
      </c>
      <c r="I3908" s="864">
        <v>683</v>
      </c>
      <c r="J3908" s="1816">
        <v>4.5469999999999997</v>
      </c>
      <c r="K3908" s="863">
        <v>10.02</v>
      </c>
      <c r="L3908" s="862">
        <v>793</v>
      </c>
      <c r="M3908" s="862">
        <v>0.14000000000000001</v>
      </c>
      <c r="N3908" s="862">
        <v>0.66</v>
      </c>
      <c r="O3908" s="862">
        <v>0.45</v>
      </c>
      <c r="P3908" s="862">
        <v>1.74</v>
      </c>
      <c r="R3908" s="647">
        <v>0.57267238454681935</v>
      </c>
      <c r="S3908" s="863">
        <v>3.9000000000000004</v>
      </c>
      <c r="Y3908" s="1817">
        <v>22</v>
      </c>
      <c r="AA3908" s="647">
        <v>4.32</v>
      </c>
      <c r="AB3908" s="647">
        <v>0.79500000000000004</v>
      </c>
      <c r="AC3908" s="862">
        <v>10.9</v>
      </c>
      <c r="AD3908" s="867">
        <v>440</v>
      </c>
      <c r="AE3908" s="867">
        <v>180</v>
      </c>
      <c r="AF3908" s="867">
        <v>380</v>
      </c>
      <c r="AG3908" s="66">
        <f t="shared" si="147"/>
        <v>161.23090909090908</v>
      </c>
      <c r="AH3908" s="143">
        <f t="shared" si="148"/>
        <v>1000</v>
      </c>
    </row>
    <row r="3909" spans="1:34" s="862" customFormat="1" x14ac:dyDescent="0.3">
      <c r="A3909" s="862">
        <v>203988</v>
      </c>
      <c r="B3909" s="863">
        <v>21.8</v>
      </c>
      <c r="C3909" s="647">
        <v>9.6</v>
      </c>
      <c r="D3909" s="647">
        <v>8.1826923076923066</v>
      </c>
      <c r="E3909" s="1573">
        <v>7.8</v>
      </c>
      <c r="F3909" s="864">
        <v>8580</v>
      </c>
      <c r="H3909" s="864">
        <v>199.99</v>
      </c>
      <c r="I3909" s="864">
        <v>1768</v>
      </c>
      <c r="J3909" s="1816">
        <v>10.573</v>
      </c>
      <c r="K3909" s="863">
        <v>11.25</v>
      </c>
      <c r="L3909" s="862">
        <v>1188</v>
      </c>
      <c r="M3909" s="862">
        <v>1.07</v>
      </c>
      <c r="N3909" s="862">
        <v>1.75</v>
      </c>
      <c r="O3909" s="862">
        <v>10.97</v>
      </c>
      <c r="P3909" s="862">
        <v>3.79</v>
      </c>
      <c r="R3909" s="647">
        <v>1.5903770000000002</v>
      </c>
      <c r="S3909" s="863">
        <v>10.700000000000001</v>
      </c>
      <c r="Y3909" s="1817">
        <v>25.2</v>
      </c>
      <c r="AA3909" s="647">
        <v>4.3499999999999996</v>
      </c>
      <c r="AB3909" s="647">
        <v>0.438</v>
      </c>
      <c r="AC3909" s="862">
        <v>9.9</v>
      </c>
      <c r="AD3909" s="867">
        <v>420</v>
      </c>
      <c r="AE3909" s="867">
        <v>180</v>
      </c>
      <c r="AF3909" s="867">
        <v>400</v>
      </c>
      <c r="AG3909" s="66">
        <f t="shared" si="147"/>
        <v>158.03571428571431</v>
      </c>
      <c r="AH3909" s="143">
        <f t="shared" si="148"/>
        <v>1000</v>
      </c>
    </row>
    <row r="3910" spans="1:34" s="862" customFormat="1" x14ac:dyDescent="0.3">
      <c r="A3910" s="862">
        <v>203989</v>
      </c>
      <c r="B3910" s="863">
        <v>34.5</v>
      </c>
      <c r="C3910" s="647">
        <v>11.3</v>
      </c>
      <c r="D3910" s="647">
        <v>8.884615384615385</v>
      </c>
      <c r="E3910" s="1573">
        <v>2.9670000000000001</v>
      </c>
      <c r="F3910" s="864">
        <v>3263.7000000000003</v>
      </c>
      <c r="H3910" s="864">
        <v>12.36</v>
      </c>
      <c r="I3910" s="864">
        <v>628</v>
      </c>
      <c r="J3910" s="1816">
        <v>4.399</v>
      </c>
      <c r="K3910" s="863">
        <v>9.91</v>
      </c>
      <c r="L3910" s="862">
        <v>898</v>
      </c>
      <c r="M3910" s="862">
        <v>0.13</v>
      </c>
      <c r="N3910" s="862">
        <v>0.51</v>
      </c>
      <c r="O3910" s="862">
        <v>0.4</v>
      </c>
      <c r="P3910" s="862">
        <v>1.64</v>
      </c>
      <c r="R3910" s="647">
        <v>0.48730858181397779</v>
      </c>
      <c r="S3910" s="863">
        <v>3.3000000000000003</v>
      </c>
      <c r="Y3910" s="1817">
        <v>26.4</v>
      </c>
      <c r="AA3910" s="647">
        <v>4.17</v>
      </c>
      <c r="AB3910" s="647">
        <v>0.61899999999999999</v>
      </c>
      <c r="AC3910" s="862">
        <v>6.9</v>
      </c>
      <c r="AD3910" s="867">
        <v>440</v>
      </c>
      <c r="AE3910" s="867">
        <v>200</v>
      </c>
      <c r="AF3910" s="867">
        <v>360</v>
      </c>
      <c r="AG3910" s="66">
        <f t="shared" si="147"/>
        <v>132.88409090909093</v>
      </c>
      <c r="AH3910" s="143">
        <f t="shared" si="148"/>
        <v>1000</v>
      </c>
    </row>
    <row r="3911" spans="1:34" s="862" customFormat="1" x14ac:dyDescent="0.3">
      <c r="A3911" s="862">
        <v>203990</v>
      </c>
      <c r="B3911" s="863">
        <v>23.1</v>
      </c>
      <c r="C3911" s="647">
        <v>10.1</v>
      </c>
      <c r="D3911" s="647">
        <v>8.9366515837104075</v>
      </c>
      <c r="E3911" s="1573">
        <v>2.4630000000000001</v>
      </c>
      <c r="F3911" s="864">
        <v>2709.3</v>
      </c>
      <c r="H3911" s="864">
        <v>40.19</v>
      </c>
      <c r="I3911" s="864">
        <v>1821</v>
      </c>
      <c r="J3911" s="1816">
        <v>4.383</v>
      </c>
      <c r="K3911" s="863">
        <v>8.66</v>
      </c>
      <c r="L3911" s="862">
        <v>705</v>
      </c>
      <c r="M3911" s="862">
        <v>0.41</v>
      </c>
      <c r="N3911" s="862">
        <v>1.58</v>
      </c>
      <c r="O3911" s="862">
        <v>6.82</v>
      </c>
      <c r="P3911" s="862">
        <v>3.43</v>
      </c>
      <c r="R3911" s="647">
        <v>1.0198762404823656</v>
      </c>
      <c r="S3911" s="863">
        <v>7.5</v>
      </c>
      <c r="Y3911" s="1817">
        <v>30.1</v>
      </c>
      <c r="AA3911" s="647">
        <v>3.82</v>
      </c>
      <c r="AB3911" s="647">
        <v>0.66100000000000003</v>
      </c>
      <c r="AC3911" s="862">
        <v>12</v>
      </c>
      <c r="AD3911" s="867">
        <v>430</v>
      </c>
      <c r="AE3911" s="867">
        <v>200</v>
      </c>
      <c r="AF3911" s="867">
        <v>370</v>
      </c>
      <c r="AG3911" s="66">
        <f t="shared" si="147"/>
        <v>101.84850498338871</v>
      </c>
      <c r="AH3911" s="143">
        <f t="shared" si="148"/>
        <v>1000</v>
      </c>
    </row>
    <row r="3912" spans="1:34" s="862" customFormat="1" x14ac:dyDescent="0.3">
      <c r="A3912" s="862">
        <v>203991</v>
      </c>
      <c r="B3912" s="863">
        <v>32.799999999999997</v>
      </c>
      <c r="C3912" s="647">
        <v>10</v>
      </c>
      <c r="D3912" s="647">
        <v>8.9712471994025389</v>
      </c>
      <c r="E3912" s="1573">
        <v>1.0369999999999999</v>
      </c>
      <c r="F3912" s="864">
        <v>1140.7</v>
      </c>
      <c r="H3912" s="864">
        <v>17.07</v>
      </c>
      <c r="I3912" s="864">
        <v>886</v>
      </c>
      <c r="J3912" s="1816">
        <v>1.611</v>
      </c>
      <c r="K3912" s="863">
        <v>8.51</v>
      </c>
      <c r="L3912" s="862">
        <v>608</v>
      </c>
      <c r="M3912" s="862">
        <v>0.17</v>
      </c>
      <c r="N3912" s="862">
        <v>0.7</v>
      </c>
      <c r="O3912" s="862">
        <v>1.24</v>
      </c>
      <c r="P3912" s="862">
        <v>1.87</v>
      </c>
      <c r="R3912" s="647">
        <v>0.48512948741946199</v>
      </c>
      <c r="S3912" s="863">
        <v>3.5999999999999996</v>
      </c>
      <c r="Y3912" s="1817">
        <v>25.2</v>
      </c>
      <c r="AA3912" s="647">
        <v>4.87</v>
      </c>
      <c r="AB3912" s="647">
        <v>0.622</v>
      </c>
      <c r="AC3912" s="862">
        <v>11.5</v>
      </c>
      <c r="AD3912" s="867">
        <v>420</v>
      </c>
      <c r="AE3912" s="867">
        <v>200</v>
      </c>
      <c r="AF3912" s="867">
        <v>380</v>
      </c>
      <c r="AG3912" s="66">
        <f t="shared" si="147"/>
        <v>119.54523809523809</v>
      </c>
      <c r="AH3912" s="143">
        <f t="shared" si="148"/>
        <v>1000</v>
      </c>
    </row>
    <row r="3913" spans="1:34" s="862" customFormat="1" x14ac:dyDescent="0.3">
      <c r="A3913" s="862">
        <v>203992</v>
      </c>
      <c r="B3913" s="863">
        <v>34.200000000000003</v>
      </c>
      <c r="C3913" s="647">
        <v>11.8</v>
      </c>
      <c r="D3913" s="647">
        <v>8.9127218934911241</v>
      </c>
      <c r="E3913" s="1573">
        <v>0.89</v>
      </c>
      <c r="F3913" s="864">
        <v>979.00000000000011</v>
      </c>
      <c r="H3913" s="864">
        <v>14.34</v>
      </c>
      <c r="I3913" s="864">
        <v>750</v>
      </c>
      <c r="J3913" s="1816">
        <v>1.4870000000000001</v>
      </c>
      <c r="K3913" s="863">
        <v>9.61</v>
      </c>
      <c r="L3913" s="862">
        <v>535</v>
      </c>
      <c r="M3913" s="862">
        <v>0.11</v>
      </c>
      <c r="N3913" s="862">
        <v>0.43</v>
      </c>
      <c r="O3913" s="862">
        <v>0.49</v>
      </c>
      <c r="P3913" s="862">
        <v>1.59</v>
      </c>
      <c r="R3913" s="647">
        <v>0.39222862059558039</v>
      </c>
      <c r="S3913" s="863">
        <v>2.7</v>
      </c>
      <c r="Y3913" s="1817">
        <v>21</v>
      </c>
      <c r="AA3913" s="647">
        <v>3.99</v>
      </c>
      <c r="AB3913" s="647">
        <v>0.26400000000000001</v>
      </c>
      <c r="AC3913" s="862">
        <v>7.6</v>
      </c>
      <c r="AD3913" s="867">
        <v>420</v>
      </c>
      <c r="AE3913" s="867">
        <v>200</v>
      </c>
      <c r="AF3913" s="867">
        <v>380</v>
      </c>
      <c r="AG3913" s="66">
        <f t="shared" si="147"/>
        <v>161.99714285714285</v>
      </c>
      <c r="AH3913" s="143">
        <f t="shared" si="148"/>
        <v>1000</v>
      </c>
    </row>
    <row r="3914" spans="1:34" s="862" customFormat="1" x14ac:dyDescent="0.3">
      <c r="A3914" s="862">
        <v>203993</v>
      </c>
      <c r="B3914" s="863">
        <v>16.3</v>
      </c>
      <c r="C3914" s="647">
        <v>7.6</v>
      </c>
      <c r="D3914" s="647">
        <v>8.27</v>
      </c>
      <c r="E3914" s="1573">
        <v>8.64</v>
      </c>
      <c r="F3914" s="864">
        <v>9504.0000000000018</v>
      </c>
      <c r="H3914" s="864">
        <v>110.71</v>
      </c>
      <c r="I3914" s="864">
        <v>2358</v>
      </c>
      <c r="J3914" s="1816">
        <v>11.377000000000001</v>
      </c>
      <c r="K3914" s="863">
        <v>10.93</v>
      </c>
      <c r="L3914" s="862">
        <v>1375</v>
      </c>
      <c r="M3914" s="862">
        <v>1</v>
      </c>
      <c r="N3914" s="862">
        <v>1.67</v>
      </c>
      <c r="O3914" s="862">
        <v>16.55</v>
      </c>
      <c r="P3914" s="862">
        <v>2.78</v>
      </c>
      <c r="R3914" s="647">
        <v>1.737657</v>
      </c>
      <c r="S3914" s="863">
        <v>14.7</v>
      </c>
      <c r="Y3914" s="1817">
        <v>21</v>
      </c>
      <c r="AA3914" s="647">
        <v>4.43</v>
      </c>
      <c r="AB3914" s="647">
        <v>0.67</v>
      </c>
      <c r="AC3914" s="862">
        <v>11.7</v>
      </c>
      <c r="AD3914" s="867">
        <v>420</v>
      </c>
      <c r="AE3914" s="867">
        <v>180</v>
      </c>
      <c r="AF3914" s="867">
        <v>400</v>
      </c>
      <c r="AG3914" s="66">
        <f t="shared" si="147"/>
        <v>184.24857142857141</v>
      </c>
      <c r="AH3914" s="143">
        <f t="shared" si="148"/>
        <v>1000</v>
      </c>
    </row>
    <row r="3915" spans="1:34" s="862" customFormat="1" x14ac:dyDescent="0.3">
      <c r="A3915" s="862">
        <v>203994</v>
      </c>
      <c r="B3915" s="863">
        <v>23.5</v>
      </c>
      <c r="C3915" s="647">
        <v>9.9</v>
      </c>
      <c r="D3915" s="647">
        <v>8.6826923076923066</v>
      </c>
      <c r="E3915" s="1573">
        <v>1.24</v>
      </c>
      <c r="F3915" s="864">
        <v>1364</v>
      </c>
      <c r="H3915" s="864">
        <v>15.54</v>
      </c>
      <c r="I3915" s="864">
        <v>1068</v>
      </c>
      <c r="J3915" s="1816">
        <v>1.919</v>
      </c>
      <c r="K3915" s="863">
        <v>9.82</v>
      </c>
      <c r="L3915" s="862">
        <v>507</v>
      </c>
      <c r="M3915" s="862">
        <v>0.26</v>
      </c>
      <c r="N3915" s="862">
        <v>0.95</v>
      </c>
      <c r="O3915" s="862">
        <v>1.88</v>
      </c>
      <c r="P3915" s="862">
        <v>1.9</v>
      </c>
      <c r="R3915" s="647">
        <v>0.64482873955180264</v>
      </c>
      <c r="S3915" s="863">
        <v>4.4000000000000004</v>
      </c>
      <c r="Y3915" s="1817">
        <v>30.8</v>
      </c>
      <c r="AA3915" s="647">
        <v>3.65</v>
      </c>
      <c r="AB3915" s="647">
        <v>0.33200000000000002</v>
      </c>
      <c r="AC3915" s="862">
        <v>8.1999999999999993</v>
      </c>
      <c r="AD3915" s="867">
        <v>440</v>
      </c>
      <c r="AE3915" s="867">
        <v>200</v>
      </c>
      <c r="AF3915" s="867">
        <v>360</v>
      </c>
      <c r="AG3915" s="66">
        <f t="shared" si="147"/>
        <v>112.86623376623376</v>
      </c>
      <c r="AH3915" s="143">
        <f t="shared" si="148"/>
        <v>1000</v>
      </c>
    </row>
    <row r="3916" spans="1:34" s="862" customFormat="1" x14ac:dyDescent="0.3">
      <c r="A3916" s="862">
        <v>203995</v>
      </c>
      <c r="B3916" s="863">
        <v>18.5</v>
      </c>
      <c r="C3916" s="647">
        <v>8.5</v>
      </c>
      <c r="D3916" s="647">
        <v>8.43</v>
      </c>
      <c r="E3916" s="1573">
        <v>4.63</v>
      </c>
      <c r="F3916" s="864">
        <v>5093</v>
      </c>
      <c r="H3916" s="864">
        <v>86.76</v>
      </c>
      <c r="I3916" s="864">
        <v>1268</v>
      </c>
      <c r="J3916" s="1816">
        <v>5.6520000000000001</v>
      </c>
      <c r="K3916" s="863">
        <v>10.9</v>
      </c>
      <c r="L3916" s="862">
        <v>844</v>
      </c>
      <c r="M3916" s="862">
        <v>0.75</v>
      </c>
      <c r="N3916" s="862">
        <v>1.07</v>
      </c>
      <c r="O3916" s="862">
        <v>4.5199999999999996</v>
      </c>
      <c r="P3916" s="862">
        <v>2.65</v>
      </c>
      <c r="R3916" s="647">
        <v>1.2767745947269686</v>
      </c>
      <c r="S3916" s="863">
        <v>8.9</v>
      </c>
      <c r="Y3916" s="1817">
        <v>26.4</v>
      </c>
      <c r="AA3916" s="647">
        <v>3.73</v>
      </c>
      <c r="AB3916" s="647">
        <v>0.84</v>
      </c>
      <c r="AC3916" s="862">
        <v>9.5</v>
      </c>
      <c r="AD3916" s="867">
        <v>440</v>
      </c>
      <c r="AE3916" s="867">
        <v>160</v>
      </c>
      <c r="AF3916" s="867">
        <v>400</v>
      </c>
      <c r="AG3916" s="66">
        <f t="shared" si="147"/>
        <v>146.15909090909091</v>
      </c>
      <c r="AH3916" s="143">
        <f t="shared" si="148"/>
        <v>1000</v>
      </c>
    </row>
    <row r="3917" spans="1:34" s="862" customFormat="1" x14ac:dyDescent="0.3">
      <c r="A3917" s="862">
        <v>203996</v>
      </c>
      <c r="B3917" s="863">
        <v>44</v>
      </c>
      <c r="C3917" s="647">
        <v>11.3</v>
      </c>
      <c r="D3917" s="647">
        <v>8.9497041420118322</v>
      </c>
      <c r="E3917" s="1573">
        <v>0.34699999999999998</v>
      </c>
      <c r="F3917" s="864">
        <v>381.7</v>
      </c>
      <c r="H3917" s="864">
        <v>11.86</v>
      </c>
      <c r="I3917" s="864">
        <v>651</v>
      </c>
      <c r="J3917" s="1816">
        <v>0.55500000000000005</v>
      </c>
      <c r="K3917" s="863">
        <v>8.7100000000000009</v>
      </c>
      <c r="L3917" s="862">
        <v>689</v>
      </c>
      <c r="M3917" s="862">
        <v>0.11</v>
      </c>
      <c r="N3917" s="862">
        <v>0.34</v>
      </c>
      <c r="O3917" s="862">
        <v>0.5</v>
      </c>
      <c r="P3917" s="862">
        <v>1.01</v>
      </c>
      <c r="R3917" s="647">
        <v>0.38953877299663209</v>
      </c>
      <c r="S3917" s="863">
        <v>2.9</v>
      </c>
      <c r="Y3917" s="1817">
        <v>19</v>
      </c>
      <c r="AA3917" s="647">
        <v>4.5</v>
      </c>
      <c r="AB3917" s="647">
        <v>0.58899999999999997</v>
      </c>
      <c r="AC3917" s="862">
        <v>8.8000000000000007</v>
      </c>
      <c r="AD3917" s="867">
        <v>380</v>
      </c>
      <c r="AE3917" s="867">
        <v>160</v>
      </c>
      <c r="AF3917" s="867">
        <v>460</v>
      </c>
      <c r="AG3917" s="66">
        <f t="shared" si="147"/>
        <v>162.28105263157897</v>
      </c>
      <c r="AH3917" s="143">
        <f t="shared" si="148"/>
        <v>1000</v>
      </c>
    </row>
    <row r="3918" spans="1:34" s="862" customFormat="1" x14ac:dyDescent="0.3">
      <c r="A3918" s="862">
        <v>203997</v>
      </c>
      <c r="B3918" s="863">
        <v>20.8</v>
      </c>
      <c r="C3918" s="647">
        <v>8.8000000000000007</v>
      </c>
      <c r="D3918" s="647">
        <v>8.6442307692307683</v>
      </c>
      <c r="E3918" s="1573">
        <v>1.27</v>
      </c>
      <c r="F3918" s="864">
        <v>1397.0000000000002</v>
      </c>
      <c r="H3918" s="864">
        <v>77.09</v>
      </c>
      <c r="I3918" s="864">
        <v>1256</v>
      </c>
      <c r="J3918" s="1816">
        <v>1.8480000000000001</v>
      </c>
      <c r="K3918" s="863">
        <v>8.57</v>
      </c>
      <c r="L3918" s="862">
        <v>721</v>
      </c>
      <c r="M3918" s="862">
        <v>0.64</v>
      </c>
      <c r="N3918" s="862">
        <v>0.99</v>
      </c>
      <c r="O3918" s="862">
        <v>11.04</v>
      </c>
      <c r="P3918" s="862">
        <v>2.62</v>
      </c>
      <c r="R3918" s="647">
        <v>1.3665807705616377</v>
      </c>
      <c r="S3918" s="863">
        <v>9.1</v>
      </c>
      <c r="Y3918" s="1817">
        <v>24</v>
      </c>
      <c r="AA3918" s="647">
        <v>3.83</v>
      </c>
      <c r="AB3918" s="647">
        <v>0.36699999999999999</v>
      </c>
      <c r="AC3918" s="862">
        <v>11.2</v>
      </c>
      <c r="AD3918" s="867">
        <v>400</v>
      </c>
      <c r="AE3918" s="867">
        <v>180</v>
      </c>
      <c r="AF3918" s="867">
        <v>420</v>
      </c>
      <c r="AG3918" s="66">
        <f t="shared" si="147"/>
        <v>126.40750000000001</v>
      </c>
      <c r="AH3918" s="143">
        <f t="shared" si="148"/>
        <v>1000</v>
      </c>
    </row>
    <row r="3919" spans="1:34" s="862" customFormat="1" x14ac:dyDescent="0.3">
      <c r="A3919" s="862">
        <v>203998</v>
      </c>
      <c r="B3919" s="863">
        <v>26.7</v>
      </c>
      <c r="C3919" s="647">
        <v>10.1</v>
      </c>
      <c r="D3919" s="647">
        <v>8.9743589743589745</v>
      </c>
      <c r="E3919" s="1573">
        <v>0.375</v>
      </c>
      <c r="F3919" s="864">
        <v>412.50000000000006</v>
      </c>
      <c r="H3919" s="864">
        <v>13.53</v>
      </c>
      <c r="I3919" s="864">
        <v>723</v>
      </c>
      <c r="J3919" s="1816">
        <v>0.622</v>
      </c>
      <c r="K3919" s="863">
        <v>8.6</v>
      </c>
      <c r="L3919" s="862">
        <v>760</v>
      </c>
      <c r="M3919" s="862">
        <v>0.17</v>
      </c>
      <c r="N3919" s="862">
        <v>0.82</v>
      </c>
      <c r="O3919" s="862">
        <v>1.72</v>
      </c>
      <c r="P3919" s="862">
        <v>1.6</v>
      </c>
      <c r="R3919" s="647">
        <v>0.57217119256343296</v>
      </c>
      <c r="S3919" s="863">
        <v>4.2</v>
      </c>
      <c r="Y3919" s="1817">
        <v>26.6</v>
      </c>
      <c r="AA3919" s="647">
        <v>4.75</v>
      </c>
      <c r="AB3919" s="647">
        <v>0.56599999999999995</v>
      </c>
      <c r="AC3919" s="862">
        <v>9.4</v>
      </c>
      <c r="AD3919" s="867">
        <v>380</v>
      </c>
      <c r="AE3919" s="867">
        <v>160</v>
      </c>
      <c r="AF3919" s="867">
        <v>460</v>
      </c>
      <c r="AG3919" s="66">
        <f t="shared" si="147"/>
        <v>114.45112781954887</v>
      </c>
      <c r="AH3919" s="143">
        <f t="shared" si="148"/>
        <v>1000</v>
      </c>
    </row>
    <row r="3920" spans="1:34" s="862" customFormat="1" x14ac:dyDescent="0.3">
      <c r="A3920" s="862">
        <v>203999</v>
      </c>
      <c r="B3920" s="863">
        <v>30.5</v>
      </c>
      <c r="C3920" s="647">
        <v>10.1</v>
      </c>
      <c r="D3920" s="647">
        <v>8.384615384615385</v>
      </c>
      <c r="E3920" s="1573">
        <v>0.69399999999999995</v>
      </c>
      <c r="F3920" s="864">
        <v>763.4</v>
      </c>
      <c r="H3920" s="864">
        <v>22.63</v>
      </c>
      <c r="I3920" s="864">
        <v>659</v>
      </c>
      <c r="J3920" s="1816">
        <v>0.53600000000000003</v>
      </c>
      <c r="K3920" s="863">
        <v>9.91</v>
      </c>
      <c r="L3920" s="862">
        <v>671</v>
      </c>
      <c r="M3920" s="862">
        <v>0.2</v>
      </c>
      <c r="N3920" s="862">
        <v>0.59</v>
      </c>
      <c r="O3920" s="862">
        <v>1.22</v>
      </c>
      <c r="P3920" s="862">
        <v>1.59</v>
      </c>
      <c r="R3920" s="647">
        <v>0.57227906192200007</v>
      </c>
      <c r="S3920" s="863">
        <v>3.9000000000000004</v>
      </c>
      <c r="Y3920" s="1817">
        <v>23</v>
      </c>
      <c r="AA3920" s="647">
        <v>3.47</v>
      </c>
      <c r="AB3920" s="647">
        <v>0.38400000000000001</v>
      </c>
      <c r="AC3920" s="862">
        <v>11.7</v>
      </c>
      <c r="AD3920" s="867">
        <v>460</v>
      </c>
      <c r="AE3920" s="867">
        <v>200</v>
      </c>
      <c r="AF3920" s="867">
        <v>340</v>
      </c>
      <c r="AG3920" s="66">
        <f t="shared" si="147"/>
        <v>152.52782608695654</v>
      </c>
      <c r="AH3920" s="143">
        <f t="shared" si="148"/>
        <v>1000</v>
      </c>
    </row>
    <row r="3921" spans="1:34" s="862" customFormat="1" x14ac:dyDescent="0.3">
      <c r="A3921" s="862">
        <v>204000</v>
      </c>
      <c r="B3921" s="863">
        <v>14.7</v>
      </c>
      <c r="C3921" s="647">
        <v>2.4</v>
      </c>
      <c r="D3921" s="647">
        <v>8.2211538461538467</v>
      </c>
      <c r="E3921" s="1573">
        <v>1.075</v>
      </c>
      <c r="F3921" s="864">
        <v>1182.5</v>
      </c>
      <c r="H3921" s="864">
        <v>33.6</v>
      </c>
      <c r="I3921" s="864">
        <v>244</v>
      </c>
      <c r="J3921" s="1816">
        <v>0.82099999999999995</v>
      </c>
      <c r="K3921" s="863">
        <v>10.54</v>
      </c>
      <c r="L3921" s="862">
        <v>791</v>
      </c>
      <c r="M3921" s="862">
        <v>0.55000000000000004</v>
      </c>
      <c r="N3921" s="862">
        <v>0.75</v>
      </c>
      <c r="O3921" s="862">
        <v>2.02</v>
      </c>
      <c r="P3921" s="862">
        <v>3.3</v>
      </c>
      <c r="R3921" s="647">
        <v>0.45428812884805425</v>
      </c>
      <c r="S3921" s="863">
        <v>3.1</v>
      </c>
      <c r="Y3921" s="1817">
        <v>26.6</v>
      </c>
      <c r="AA3921" s="647">
        <v>4.45</v>
      </c>
      <c r="AB3921" s="647">
        <v>0.74099999999999999</v>
      </c>
      <c r="AC3921" s="862">
        <v>10.9</v>
      </c>
      <c r="AD3921" s="867">
        <v>380</v>
      </c>
      <c r="AE3921" s="867">
        <v>180</v>
      </c>
      <c r="AF3921" s="867">
        <v>440</v>
      </c>
      <c r="AG3921" s="66">
        <f t="shared" si="147"/>
        <v>140.2691729323308</v>
      </c>
      <c r="AH3921" s="143">
        <f t="shared" si="148"/>
        <v>1000</v>
      </c>
    </row>
    <row r="3922" spans="1:34" s="862" customFormat="1" x14ac:dyDescent="0.3">
      <c r="A3922" s="862">
        <v>204001</v>
      </c>
      <c r="B3922" s="863">
        <v>18</v>
      </c>
      <c r="C3922" s="647">
        <v>3.9</v>
      </c>
      <c r="D3922" s="647">
        <v>8.5</v>
      </c>
      <c r="E3922" s="1573">
        <v>1.35</v>
      </c>
      <c r="F3922" s="864">
        <v>1485.0000000000002</v>
      </c>
      <c r="H3922" s="864">
        <v>10.9</v>
      </c>
      <c r="I3922" s="864">
        <v>302</v>
      </c>
      <c r="J3922" s="1816">
        <v>0.96</v>
      </c>
      <c r="K3922" s="863">
        <v>11.15</v>
      </c>
      <c r="L3922" s="862">
        <v>917</v>
      </c>
      <c r="M3922" s="862">
        <v>0.32</v>
      </c>
      <c r="N3922" s="862">
        <v>0.71</v>
      </c>
      <c r="O3922" s="862">
        <v>1.06</v>
      </c>
      <c r="P3922" s="862">
        <v>2.41</v>
      </c>
      <c r="R3922" s="647">
        <v>0.30710403806071884</v>
      </c>
      <c r="S3922" s="863">
        <v>2.2000000000000002</v>
      </c>
      <c r="Y3922" s="1817">
        <v>23</v>
      </c>
      <c r="AA3922" s="647">
        <v>4.54</v>
      </c>
      <c r="AB3922" s="647">
        <v>0.85599999999999998</v>
      </c>
      <c r="AC3922" s="862">
        <v>7.4</v>
      </c>
      <c r="AD3922" s="867">
        <v>460</v>
      </c>
      <c r="AE3922" s="867">
        <v>180</v>
      </c>
      <c r="AF3922" s="867">
        <v>360</v>
      </c>
      <c r="AG3922" s="66">
        <f t="shared" si="147"/>
        <v>171.61304347826089</v>
      </c>
      <c r="AH3922" s="143">
        <f t="shared" si="148"/>
        <v>1000</v>
      </c>
    </row>
    <row r="3923" spans="1:34" s="862" customFormat="1" x14ac:dyDescent="0.3">
      <c r="A3923" s="862">
        <v>204002</v>
      </c>
      <c r="B3923" s="863">
        <v>16.7</v>
      </c>
      <c r="C3923" s="647">
        <v>3.8</v>
      </c>
      <c r="D3923" s="647">
        <v>8.625</v>
      </c>
      <c r="E3923" s="1573">
        <v>0.20200000000000001</v>
      </c>
      <c r="F3923" s="864">
        <v>222.20000000000005</v>
      </c>
      <c r="H3923" s="864">
        <v>114.33</v>
      </c>
      <c r="I3923" s="864">
        <v>265</v>
      </c>
      <c r="J3923" s="1816">
        <v>0.23499999999999999</v>
      </c>
      <c r="K3923" s="863">
        <v>10.58</v>
      </c>
      <c r="L3923" s="862">
        <v>825</v>
      </c>
      <c r="M3923" s="862">
        <v>2.61</v>
      </c>
      <c r="N3923" s="862">
        <v>1.05</v>
      </c>
      <c r="O3923" s="862">
        <v>1.53</v>
      </c>
      <c r="P3923" s="862">
        <v>5.76</v>
      </c>
      <c r="R3923" s="647">
        <v>0.6015116648174117</v>
      </c>
      <c r="S3923" s="863">
        <v>4.3</v>
      </c>
      <c r="Y3923" s="1817">
        <v>20</v>
      </c>
      <c r="AA3923" s="647">
        <v>4.5999999999999996</v>
      </c>
      <c r="AB3923" s="647">
        <v>0.80500000000000005</v>
      </c>
      <c r="AC3923" s="862">
        <v>11.8</v>
      </c>
      <c r="AD3923" s="867">
        <v>400</v>
      </c>
      <c r="AE3923" s="867">
        <v>160</v>
      </c>
      <c r="AF3923" s="867">
        <v>440</v>
      </c>
      <c r="AG3923" s="66">
        <f t="shared" si="147"/>
        <v>187.26600000000002</v>
      </c>
      <c r="AH3923" s="143">
        <f t="shared" si="148"/>
        <v>1000</v>
      </c>
    </row>
    <row r="3924" spans="1:34" s="862" customFormat="1" x14ac:dyDescent="0.3">
      <c r="A3924" s="862">
        <v>204003</v>
      </c>
      <c r="B3924" s="863">
        <v>22.8</v>
      </c>
      <c r="C3924" s="647">
        <v>4.5</v>
      </c>
      <c r="D3924" s="647">
        <v>8.5865384615384617</v>
      </c>
      <c r="E3924" s="1573">
        <v>0.30399999999999999</v>
      </c>
      <c r="F3924" s="864">
        <v>334.40000000000003</v>
      </c>
      <c r="H3924" s="864">
        <v>24.71</v>
      </c>
      <c r="I3924" s="864">
        <v>183</v>
      </c>
      <c r="J3924" s="1816">
        <v>0.28599999999999998</v>
      </c>
      <c r="K3924" s="863">
        <v>10.69</v>
      </c>
      <c r="L3924" s="862">
        <v>680</v>
      </c>
      <c r="M3924" s="862">
        <v>0.35</v>
      </c>
      <c r="N3924" s="862">
        <v>0.53</v>
      </c>
      <c r="O3924" s="862">
        <v>0.78</v>
      </c>
      <c r="P3924" s="862">
        <v>3.24</v>
      </c>
      <c r="R3924" s="647">
        <v>0.44246766957376044</v>
      </c>
      <c r="S3924" s="863">
        <v>3.3000000000000003</v>
      </c>
      <c r="Y3924" s="1817">
        <v>28</v>
      </c>
      <c r="AA3924" s="647">
        <v>3.97</v>
      </c>
      <c r="AB3924" s="647">
        <v>0.38900000000000001</v>
      </c>
      <c r="AC3924" s="862">
        <v>9.8000000000000007</v>
      </c>
      <c r="AD3924" s="867">
        <v>400</v>
      </c>
      <c r="AE3924" s="867">
        <v>180</v>
      </c>
      <c r="AF3924" s="867">
        <v>420</v>
      </c>
      <c r="AG3924" s="66">
        <f t="shared" si="147"/>
        <v>135.15214285714285</v>
      </c>
      <c r="AH3924" s="143">
        <f t="shared" si="148"/>
        <v>1000</v>
      </c>
    </row>
    <row r="3925" spans="1:34" s="862" customFormat="1" x14ac:dyDescent="0.3">
      <c r="A3925" s="862">
        <v>204004</v>
      </c>
      <c r="B3925" s="863">
        <v>17.7</v>
      </c>
      <c r="C3925" s="647">
        <v>2.6</v>
      </c>
      <c r="D3925" s="647">
        <v>8.3557692307692299</v>
      </c>
      <c r="E3925" s="1573">
        <v>0.42599999999999999</v>
      </c>
      <c r="F3925" s="864">
        <v>468.6</v>
      </c>
      <c r="H3925" s="864">
        <v>46.63</v>
      </c>
      <c r="I3925" s="864">
        <v>257</v>
      </c>
      <c r="J3925" s="1816">
        <v>0.41399999999999998</v>
      </c>
      <c r="K3925" s="863">
        <v>10.73</v>
      </c>
      <c r="L3925" s="862">
        <v>792</v>
      </c>
      <c r="M3925" s="862">
        <v>0.55000000000000004</v>
      </c>
      <c r="N3925" s="862">
        <v>0.91</v>
      </c>
      <c r="O3925" s="862">
        <v>22.06</v>
      </c>
      <c r="P3925" s="862">
        <v>4.34</v>
      </c>
      <c r="R3925" s="647">
        <v>0.45510190175404408</v>
      </c>
      <c r="S3925" s="863">
        <v>3.3000000000000003</v>
      </c>
      <c r="Y3925" s="1817">
        <v>28</v>
      </c>
      <c r="AA3925" s="647">
        <v>4.53</v>
      </c>
      <c r="AB3925" s="647">
        <v>0.54700000000000004</v>
      </c>
      <c r="AC3925" s="862">
        <v>6.9</v>
      </c>
      <c r="AD3925" s="867">
        <v>400</v>
      </c>
      <c r="AE3925" s="867">
        <v>160</v>
      </c>
      <c r="AF3925" s="867">
        <v>440</v>
      </c>
      <c r="AG3925" s="66">
        <f t="shared" si="147"/>
        <v>135.65785714285715</v>
      </c>
      <c r="AH3925" s="143">
        <f t="shared" si="148"/>
        <v>1000</v>
      </c>
    </row>
    <row r="3926" spans="1:34" s="862" customFormat="1" x14ac:dyDescent="0.3">
      <c r="A3926" s="862">
        <v>204005</v>
      </c>
      <c r="B3926" s="863">
        <v>20.3</v>
      </c>
      <c r="C3926" s="647">
        <v>4.0999999999999996</v>
      </c>
      <c r="D3926" s="647">
        <v>8.6057692307692299</v>
      </c>
      <c r="E3926" s="1573">
        <v>0.29599999999999999</v>
      </c>
      <c r="F3926" s="864">
        <v>325.60000000000002</v>
      </c>
      <c r="H3926" s="864">
        <v>67.66</v>
      </c>
      <c r="I3926" s="864">
        <v>253</v>
      </c>
      <c r="J3926" s="1816">
        <v>0.29799999999999999</v>
      </c>
      <c r="K3926" s="863">
        <v>10.85</v>
      </c>
      <c r="L3926" s="862">
        <v>876</v>
      </c>
      <c r="M3926" s="862">
        <v>1.46</v>
      </c>
      <c r="N3926" s="862">
        <v>0.8</v>
      </c>
      <c r="O3926" s="862">
        <v>0.86</v>
      </c>
      <c r="P3926" s="862">
        <v>5.12</v>
      </c>
      <c r="R3926" s="647">
        <v>0.44218604394879441</v>
      </c>
      <c r="S3926" s="863">
        <v>3.3000000000000003</v>
      </c>
      <c r="Y3926" s="1817">
        <v>25.2</v>
      </c>
      <c r="AA3926" s="647">
        <v>4.12</v>
      </c>
      <c r="AB3926" s="647">
        <v>0.43099999999999999</v>
      </c>
      <c r="AC3926" s="862">
        <v>6.4</v>
      </c>
      <c r="AD3926" s="867">
        <v>420</v>
      </c>
      <c r="AE3926" s="867">
        <v>180</v>
      </c>
      <c r="AF3926" s="867">
        <v>400</v>
      </c>
      <c r="AG3926" s="66">
        <f t="shared" si="147"/>
        <v>152.41666666666669</v>
      </c>
      <c r="AH3926" s="143">
        <f t="shared" si="148"/>
        <v>1000</v>
      </c>
    </row>
    <row r="3927" spans="1:34" s="862" customFormat="1" x14ac:dyDescent="0.3">
      <c r="A3927" s="862">
        <v>204006</v>
      </c>
      <c r="B3927" s="863">
        <v>0.2</v>
      </c>
      <c r="C3927" s="647"/>
      <c r="D3927" s="647">
        <v>8.2100000000000009</v>
      </c>
      <c r="E3927" s="1573">
        <v>0.16700000000000001</v>
      </c>
      <c r="F3927" s="864">
        <v>183.70000000000002</v>
      </c>
      <c r="H3927" s="864">
        <v>131.84</v>
      </c>
      <c r="I3927" s="864">
        <v>174</v>
      </c>
      <c r="J3927" s="1816">
        <v>0.10199999999999999</v>
      </c>
      <c r="K3927" s="863">
        <v>1.61</v>
      </c>
      <c r="L3927" s="862">
        <v>82</v>
      </c>
      <c r="M3927" s="862">
        <v>1.08</v>
      </c>
      <c r="N3927" s="862">
        <v>0.33</v>
      </c>
      <c r="O3927" s="862">
        <v>4.4800000000000004</v>
      </c>
      <c r="P3927" s="862">
        <v>8.59</v>
      </c>
      <c r="R3927" s="647">
        <v>0.55306721748922505</v>
      </c>
      <c r="S3927" s="863">
        <v>4</v>
      </c>
      <c r="Y3927" s="1817">
        <v>4.2</v>
      </c>
      <c r="AA3927" s="647">
        <v>3.69</v>
      </c>
      <c r="AB3927" s="647">
        <v>0.86399999999999999</v>
      </c>
      <c r="AC3927" s="862">
        <v>7.6</v>
      </c>
      <c r="AD3927" s="867">
        <v>60</v>
      </c>
      <c r="AE3927" s="867">
        <v>60</v>
      </c>
      <c r="AF3927" s="867">
        <v>880</v>
      </c>
      <c r="AG3927" s="66">
        <f t="shared" si="147"/>
        <v>135.70000000000002</v>
      </c>
      <c r="AH3927" s="143">
        <f t="shared" si="148"/>
        <v>1000</v>
      </c>
    </row>
    <row r="3928" spans="1:34" s="862" customFormat="1" x14ac:dyDescent="0.3">
      <c r="A3928" s="862">
        <v>204007</v>
      </c>
      <c r="B3928" s="863">
        <v>11.9</v>
      </c>
      <c r="C3928" s="647">
        <v>5</v>
      </c>
      <c r="D3928" s="647">
        <v>8.2307692307692317</v>
      </c>
      <c r="E3928" s="1573">
        <v>0.77700000000000002</v>
      </c>
      <c r="F3928" s="864">
        <v>854.70000000000016</v>
      </c>
      <c r="H3928" s="864">
        <v>177.21</v>
      </c>
      <c r="I3928" s="864">
        <v>1012</v>
      </c>
      <c r="J3928" s="1816">
        <v>1.254</v>
      </c>
      <c r="K3928" s="863">
        <v>10.43</v>
      </c>
      <c r="L3928" s="862">
        <v>1659</v>
      </c>
      <c r="M3928" s="862">
        <v>2.94</v>
      </c>
      <c r="N3928" s="862">
        <v>4.78</v>
      </c>
      <c r="O3928" s="862">
        <v>3.16</v>
      </c>
      <c r="P3928" s="862">
        <v>18.059999999999999</v>
      </c>
      <c r="R3928" s="647">
        <v>1.7273879999999999</v>
      </c>
      <c r="S3928" s="863">
        <v>14.399999999999999</v>
      </c>
      <c r="Y3928" s="1817">
        <v>23</v>
      </c>
      <c r="AA3928" s="647">
        <v>4.08</v>
      </c>
      <c r="AB3928" s="647">
        <v>0.44900000000000001</v>
      </c>
      <c r="AC3928" s="862">
        <v>8.8000000000000007</v>
      </c>
      <c r="AD3928" s="867">
        <v>460</v>
      </c>
      <c r="AE3928" s="867">
        <v>260</v>
      </c>
      <c r="AF3928" s="867">
        <v>280</v>
      </c>
      <c r="AG3928" s="66">
        <f t="shared" si="147"/>
        <v>160.53130434782608</v>
      </c>
      <c r="AH3928" s="143">
        <f t="shared" si="148"/>
        <v>1000</v>
      </c>
    </row>
    <row r="3929" spans="1:34" s="862" customFormat="1" x14ac:dyDescent="0.3">
      <c r="A3929" s="862">
        <v>204008</v>
      </c>
      <c r="B3929" s="863">
        <v>12.3</v>
      </c>
      <c r="C3929" s="647">
        <v>5.0999999999999996</v>
      </c>
      <c r="D3929" s="647">
        <v>8.259615384615385</v>
      </c>
      <c r="E3929" s="1573">
        <v>1.1200000000000001</v>
      </c>
      <c r="F3929" s="864">
        <v>1232.0000000000002</v>
      </c>
      <c r="H3929" s="864">
        <v>95.41</v>
      </c>
      <c r="I3929" s="864">
        <v>1177</v>
      </c>
      <c r="J3929" s="1816">
        <v>1.651</v>
      </c>
      <c r="K3929" s="863">
        <v>10.66</v>
      </c>
      <c r="L3929" s="862">
        <v>1637</v>
      </c>
      <c r="M3929" s="862">
        <v>1.82</v>
      </c>
      <c r="N3929" s="862">
        <v>4.49</v>
      </c>
      <c r="O3929" s="862">
        <v>4.17</v>
      </c>
      <c r="P3929" s="862">
        <v>17.36</v>
      </c>
      <c r="R3929" s="647">
        <v>1.706472</v>
      </c>
      <c r="S3929" s="863">
        <v>13.799999999999999</v>
      </c>
      <c r="Y3929" s="1817">
        <v>32.9</v>
      </c>
      <c r="AA3929" s="647">
        <v>4.7</v>
      </c>
      <c r="AB3929" s="647">
        <v>0.307</v>
      </c>
      <c r="AC3929" s="862">
        <v>10.4</v>
      </c>
      <c r="AD3929" s="867">
        <v>470</v>
      </c>
      <c r="AE3929" s="867">
        <v>260</v>
      </c>
      <c r="AF3929" s="867">
        <v>270</v>
      </c>
      <c r="AG3929" s="66">
        <f t="shared" si="147"/>
        <v>114.7003039513678</v>
      </c>
      <c r="AH3929" s="143">
        <f t="shared" si="148"/>
        <v>1000</v>
      </c>
    </row>
    <row r="3930" spans="1:34" s="862" customFormat="1" x14ac:dyDescent="0.3">
      <c r="A3930" s="862">
        <v>204009</v>
      </c>
      <c r="B3930" s="863">
        <v>15.1</v>
      </c>
      <c r="C3930" s="647">
        <v>3.1</v>
      </c>
      <c r="D3930" s="647">
        <v>8.3269230769230766</v>
      </c>
      <c r="E3930" s="1573">
        <v>0.39200000000000002</v>
      </c>
      <c r="F3930" s="864">
        <v>431.20000000000005</v>
      </c>
      <c r="H3930" s="864">
        <v>76.209999999999994</v>
      </c>
      <c r="I3930" s="864">
        <v>623</v>
      </c>
      <c r="J3930" s="1816">
        <v>9.8000000000000004E-2</v>
      </c>
      <c r="K3930" s="863">
        <v>10.51</v>
      </c>
      <c r="L3930" s="862">
        <v>679</v>
      </c>
      <c r="M3930" s="862">
        <v>0.31</v>
      </c>
      <c r="N3930" s="862">
        <v>0.48</v>
      </c>
      <c r="O3930" s="862">
        <v>0.52</v>
      </c>
      <c r="P3930" s="862">
        <v>2.2400000000000002</v>
      </c>
      <c r="R3930" s="647">
        <v>0.41575813292391589</v>
      </c>
      <c r="S3930" s="863">
        <v>2.8000000000000003</v>
      </c>
      <c r="Y3930" s="1817">
        <v>25.2</v>
      </c>
      <c r="AA3930" s="647">
        <v>4.8899999999999997</v>
      </c>
      <c r="AB3930" s="647">
        <v>0.89800000000000002</v>
      </c>
      <c r="AC3930" s="862">
        <v>11</v>
      </c>
      <c r="AD3930" s="867">
        <v>360</v>
      </c>
      <c r="AE3930" s="867">
        <v>140</v>
      </c>
      <c r="AF3930" s="867">
        <v>500</v>
      </c>
      <c r="AG3930" s="66">
        <f t="shared" si="147"/>
        <v>147.64047619047619</v>
      </c>
      <c r="AH3930" s="143">
        <f t="shared" si="148"/>
        <v>1000</v>
      </c>
    </row>
    <row r="3931" spans="1:34" s="862" customFormat="1" x14ac:dyDescent="0.3">
      <c r="A3931" s="862">
        <v>204010</v>
      </c>
      <c r="B3931" s="863">
        <v>12.8</v>
      </c>
      <c r="C3931" s="647">
        <v>2.6</v>
      </c>
      <c r="D3931" s="647">
        <v>8.5673076923076916</v>
      </c>
      <c r="E3931" s="1573">
        <v>0.21299999999999999</v>
      </c>
      <c r="F3931" s="864">
        <v>234.3</v>
      </c>
      <c r="H3931" s="864">
        <v>252.74</v>
      </c>
      <c r="I3931" s="864">
        <v>741</v>
      </c>
      <c r="J3931" s="1816">
        <v>4.8000000000000001E-2</v>
      </c>
      <c r="K3931" s="863">
        <v>10.27</v>
      </c>
      <c r="L3931" s="862">
        <v>708</v>
      </c>
      <c r="M3931" s="862">
        <v>0.83</v>
      </c>
      <c r="N3931" s="862">
        <v>0.33</v>
      </c>
      <c r="O3931" s="862">
        <v>7.0000000000000007E-2</v>
      </c>
      <c r="P3931" s="862">
        <v>1.8</v>
      </c>
      <c r="R3931" s="647">
        <v>0.48208409577639189</v>
      </c>
      <c r="S3931" s="863">
        <v>3.2</v>
      </c>
      <c r="Y3931" s="1817">
        <v>26.6</v>
      </c>
      <c r="AA3931" s="647">
        <v>4.4800000000000004</v>
      </c>
      <c r="AB3931" s="647">
        <v>0.41199999999999998</v>
      </c>
      <c r="AC3931" s="862">
        <v>6.5</v>
      </c>
      <c r="AD3931" s="867">
        <v>380</v>
      </c>
      <c r="AE3931" s="867">
        <v>160</v>
      </c>
      <c r="AF3931" s="867">
        <v>460</v>
      </c>
      <c r="AG3931" s="66">
        <f t="shared" si="147"/>
        <v>136.67593984962406</v>
      </c>
      <c r="AH3931" s="143">
        <f t="shared" si="148"/>
        <v>1000</v>
      </c>
    </row>
    <row r="3932" spans="1:34" s="862" customFormat="1" x14ac:dyDescent="0.3">
      <c r="A3932" s="862">
        <v>204011</v>
      </c>
      <c r="B3932" s="863">
        <v>43.8</v>
      </c>
      <c r="C3932" s="647">
        <v>9.5</v>
      </c>
      <c r="D3932" s="647">
        <v>8.240384615384615</v>
      </c>
      <c r="E3932" s="1573">
        <v>0.34599999999999997</v>
      </c>
      <c r="F3932" s="864">
        <v>380.59999999999997</v>
      </c>
      <c r="H3932" s="864">
        <v>8.5299999999999994</v>
      </c>
      <c r="I3932" s="864">
        <v>379</v>
      </c>
      <c r="J3932" s="1816">
        <v>0.125</v>
      </c>
      <c r="K3932" s="863">
        <v>11.67</v>
      </c>
      <c r="L3932" s="862">
        <v>303</v>
      </c>
      <c r="M3932" s="862">
        <v>0.09</v>
      </c>
      <c r="N3932" s="862">
        <v>0.53</v>
      </c>
      <c r="O3932" s="862">
        <v>0.2</v>
      </c>
      <c r="P3932" s="862">
        <v>1.44</v>
      </c>
      <c r="R3932" s="647">
        <v>0.48791197952521265</v>
      </c>
      <c r="S3932" s="863">
        <v>3.5</v>
      </c>
      <c r="Y3932" s="1817">
        <v>20</v>
      </c>
      <c r="AA3932" s="647">
        <v>3.89</v>
      </c>
      <c r="AB3932" s="647">
        <v>0.70899999999999996</v>
      </c>
      <c r="AC3932" s="862">
        <v>9.9</v>
      </c>
      <c r="AD3932" s="867">
        <v>400</v>
      </c>
      <c r="AE3932" s="867">
        <v>140</v>
      </c>
      <c r="AF3932" s="867">
        <v>460</v>
      </c>
      <c r="AG3932" s="66">
        <f t="shared" si="147"/>
        <v>206.55899999999997</v>
      </c>
      <c r="AH3932" s="143">
        <f t="shared" si="148"/>
        <v>1000</v>
      </c>
    </row>
    <row r="3933" spans="1:34" s="862" customFormat="1" x14ac:dyDescent="0.3">
      <c r="A3933" s="862">
        <v>204012</v>
      </c>
      <c r="B3933" s="863">
        <v>18.3</v>
      </c>
      <c r="C3933" s="647">
        <v>8.4</v>
      </c>
      <c r="D3933" s="647">
        <v>8.44</v>
      </c>
      <c r="E3933" s="1573">
        <v>0.91200000000000003</v>
      </c>
      <c r="F3933" s="864">
        <v>1003.2</v>
      </c>
      <c r="H3933" s="864">
        <v>41.02</v>
      </c>
      <c r="I3933" s="864">
        <v>655</v>
      </c>
      <c r="J3933" s="1816">
        <v>0.32400000000000001</v>
      </c>
      <c r="K3933" s="863">
        <v>11.23</v>
      </c>
      <c r="L3933" s="862">
        <v>1122</v>
      </c>
      <c r="M3933" s="862">
        <v>0.78</v>
      </c>
      <c r="N3933" s="862">
        <v>0.99</v>
      </c>
      <c r="O3933" s="862">
        <v>2.65</v>
      </c>
      <c r="P3933" s="862">
        <v>2.78</v>
      </c>
      <c r="R3933" s="647">
        <v>1.1946384842212265</v>
      </c>
      <c r="S3933" s="863">
        <v>8.8000000000000007</v>
      </c>
      <c r="Y3933" s="1817">
        <v>27.6</v>
      </c>
      <c r="AA3933" s="647">
        <v>3.54</v>
      </c>
      <c r="AB3933" s="647">
        <v>0.27700000000000002</v>
      </c>
      <c r="AC3933" s="862">
        <v>11.2</v>
      </c>
      <c r="AD3933" s="867">
        <v>460</v>
      </c>
      <c r="AE3933" s="867">
        <v>260</v>
      </c>
      <c r="AF3933" s="867">
        <v>280</v>
      </c>
      <c r="AG3933" s="66">
        <f t="shared" si="147"/>
        <v>144.03695652173914</v>
      </c>
      <c r="AH3933" s="143">
        <f t="shared" si="148"/>
        <v>1000</v>
      </c>
    </row>
    <row r="3934" spans="1:34" s="862" customFormat="1" x14ac:dyDescent="0.3">
      <c r="A3934" s="862">
        <v>204013</v>
      </c>
      <c r="B3934" s="863">
        <v>12.7</v>
      </c>
      <c r="C3934" s="647">
        <v>1</v>
      </c>
      <c r="D3934" s="647">
        <v>8.7899999999999991</v>
      </c>
      <c r="E3934" s="1816">
        <v>0.17799999999999999</v>
      </c>
      <c r="F3934" s="864">
        <v>195.8</v>
      </c>
      <c r="H3934" s="864">
        <v>233.65</v>
      </c>
      <c r="I3934" s="864">
        <v>45</v>
      </c>
      <c r="J3934" s="1816">
        <v>0.18</v>
      </c>
      <c r="K3934" s="863">
        <v>5.04</v>
      </c>
      <c r="L3934" s="862">
        <v>266</v>
      </c>
      <c r="M3934" s="862">
        <v>1.88</v>
      </c>
      <c r="N3934" s="862">
        <v>0.32</v>
      </c>
      <c r="O3934" s="862">
        <v>3.54</v>
      </c>
      <c r="P3934" s="862">
        <v>2.06</v>
      </c>
      <c r="R3934" s="647">
        <v>0.92512122016186649</v>
      </c>
      <c r="S3934" s="863">
        <v>6.2</v>
      </c>
      <c r="Y3934" s="1817">
        <v>3.6</v>
      </c>
      <c r="AA3934" s="647">
        <v>4.26</v>
      </c>
      <c r="AB3934" s="647">
        <v>0.78700000000000003</v>
      </c>
      <c r="AC3934" s="862">
        <v>9.4</v>
      </c>
      <c r="AD3934" s="867">
        <v>60</v>
      </c>
      <c r="AE3934" s="867">
        <v>60</v>
      </c>
      <c r="AF3934" s="867">
        <v>880</v>
      </c>
      <c r="AG3934" s="66">
        <f t="shared" si="147"/>
        <v>495.59999999999997</v>
      </c>
      <c r="AH3934" s="143">
        <f t="shared" si="148"/>
        <v>1000</v>
      </c>
    </row>
    <row r="3935" spans="1:34" s="862" customFormat="1" x14ac:dyDescent="0.3">
      <c r="A3935" s="862">
        <v>204014</v>
      </c>
      <c r="B3935" s="863">
        <v>3.4</v>
      </c>
      <c r="C3935" s="863"/>
      <c r="D3935" s="647">
        <v>8.76</v>
      </c>
      <c r="E3935" s="1816">
        <v>0.10199999999999999</v>
      </c>
      <c r="F3935" s="864">
        <v>112.2</v>
      </c>
      <c r="H3935" s="864">
        <v>179.47</v>
      </c>
      <c r="I3935" s="864">
        <v>89</v>
      </c>
      <c r="J3935" s="1816">
        <v>3.5000000000000003E-2</v>
      </c>
      <c r="K3935" s="863">
        <v>4.74</v>
      </c>
      <c r="L3935" s="862">
        <v>513</v>
      </c>
      <c r="M3935" s="862">
        <v>4.79</v>
      </c>
      <c r="N3935" s="862">
        <v>0.44</v>
      </c>
      <c r="O3935" s="862">
        <v>3.66</v>
      </c>
      <c r="P3935" s="862">
        <v>6.49</v>
      </c>
      <c r="R3935" s="647">
        <v>0.92750432558539753</v>
      </c>
      <c r="S3935" s="863">
        <v>6.4</v>
      </c>
      <c r="Y3935" s="1817">
        <v>3</v>
      </c>
      <c r="AA3935" s="647">
        <v>4.4000000000000004</v>
      </c>
      <c r="AB3935" s="647">
        <v>0.371</v>
      </c>
      <c r="AC3935" s="862">
        <v>8.8000000000000007</v>
      </c>
      <c r="AD3935" s="867">
        <v>60</v>
      </c>
      <c r="AE3935" s="867">
        <v>60</v>
      </c>
      <c r="AF3935" s="867">
        <v>880</v>
      </c>
      <c r="AG3935" s="66">
        <f t="shared" si="147"/>
        <v>559.32000000000005</v>
      </c>
      <c r="AH3935" s="143">
        <f t="shared" si="148"/>
        <v>1000</v>
      </c>
    </row>
    <row r="3936" spans="1:34" s="862" customFormat="1" x14ac:dyDescent="0.3">
      <c r="A3936" s="862">
        <v>204015</v>
      </c>
      <c r="B3936" s="863">
        <v>3</v>
      </c>
      <c r="C3936" s="863"/>
      <c r="D3936" s="647">
        <v>8.5299999999999994</v>
      </c>
      <c r="E3936" s="1573">
        <v>0.14499999999999999</v>
      </c>
      <c r="F3936" s="864">
        <v>159.5</v>
      </c>
      <c r="H3936" s="864">
        <v>302.95</v>
      </c>
      <c r="I3936" s="864">
        <v>253</v>
      </c>
      <c r="J3936" s="1816">
        <v>4.1000000000000002E-2</v>
      </c>
      <c r="K3936" s="863">
        <v>5.97</v>
      </c>
      <c r="L3936" s="862">
        <v>589</v>
      </c>
      <c r="M3936" s="862">
        <v>4.62</v>
      </c>
      <c r="N3936" s="862">
        <v>1.46</v>
      </c>
      <c r="O3936" s="862">
        <v>3.89</v>
      </c>
      <c r="P3936" s="862">
        <v>9.2100000000000009</v>
      </c>
      <c r="R3936" s="647">
        <v>1.2154290847803773</v>
      </c>
      <c r="S3936" s="863">
        <v>9</v>
      </c>
      <c r="Y3936" s="1817">
        <v>3.6</v>
      </c>
      <c r="AA3936" s="647">
        <v>4.63</v>
      </c>
      <c r="AB3936" s="647">
        <v>0.73699999999999999</v>
      </c>
      <c r="AC3936" s="862">
        <v>12</v>
      </c>
      <c r="AD3936" s="867">
        <v>60</v>
      </c>
      <c r="AE3936" s="867">
        <v>60</v>
      </c>
      <c r="AF3936" s="867">
        <v>880</v>
      </c>
      <c r="AG3936" s="66">
        <f t="shared" si="147"/>
        <v>587.05000000000007</v>
      </c>
      <c r="AH3936" s="143">
        <f t="shared" si="148"/>
        <v>1000</v>
      </c>
    </row>
    <row r="3937" spans="1:34" s="862" customFormat="1" x14ac:dyDescent="0.3">
      <c r="A3937" s="862">
        <v>204016</v>
      </c>
      <c r="B3937" s="863">
        <v>3.6</v>
      </c>
      <c r="C3937" s="863"/>
      <c r="D3937" s="647">
        <v>8.49</v>
      </c>
      <c r="E3937" s="1573">
        <v>0.17199999999999999</v>
      </c>
      <c r="F3937" s="864">
        <v>189.20000000000002</v>
      </c>
      <c r="H3937" s="864">
        <v>337.33</v>
      </c>
      <c r="I3937" s="864">
        <v>76</v>
      </c>
      <c r="J3937" s="1816">
        <v>4.1000000000000002E-2</v>
      </c>
      <c r="K3937" s="863">
        <v>5.63</v>
      </c>
      <c r="L3937" s="862">
        <v>607</v>
      </c>
      <c r="M3937" s="862">
        <v>4.3099999999999996</v>
      </c>
      <c r="N3937" s="862">
        <v>0.63</v>
      </c>
      <c r="O3937" s="862">
        <v>4.1500000000000004</v>
      </c>
      <c r="P3937" s="862">
        <v>4.67</v>
      </c>
      <c r="R3937" s="647">
        <v>1.1396763315632541</v>
      </c>
      <c r="S3937" s="863">
        <v>7.9</v>
      </c>
      <c r="Y3937" s="1817">
        <v>3.6</v>
      </c>
      <c r="AA3937" s="647">
        <v>3.83</v>
      </c>
      <c r="AB3937" s="647">
        <v>0.41899999999999998</v>
      </c>
      <c r="AC3937" s="862">
        <v>9.8000000000000007</v>
      </c>
      <c r="AD3937" s="867">
        <v>60</v>
      </c>
      <c r="AE3937" s="867">
        <v>60</v>
      </c>
      <c r="AF3937" s="867">
        <v>880</v>
      </c>
      <c r="AG3937" s="66">
        <f t="shared" si="147"/>
        <v>553.61666666666667</v>
      </c>
      <c r="AH3937" s="143">
        <f t="shared" si="148"/>
        <v>1000</v>
      </c>
    </row>
    <row r="3938" spans="1:34" s="862" customFormat="1" x14ac:dyDescent="0.3">
      <c r="A3938" s="862">
        <v>204017</v>
      </c>
      <c r="B3938" s="863">
        <v>25.1</v>
      </c>
      <c r="C3938" s="647">
        <v>11.6</v>
      </c>
      <c r="D3938" s="647">
        <v>8.25</v>
      </c>
      <c r="E3938" s="1573">
        <v>2.476</v>
      </c>
      <c r="F3938" s="864">
        <v>2723.6000000000004</v>
      </c>
      <c r="H3938" s="864">
        <v>12.88</v>
      </c>
      <c r="I3938" s="864">
        <v>432</v>
      </c>
      <c r="J3938" s="1816">
        <v>2.4830000000000001</v>
      </c>
      <c r="K3938" s="863">
        <v>10.35</v>
      </c>
      <c r="L3938" s="862">
        <v>1324</v>
      </c>
      <c r="M3938" s="862">
        <v>1.21</v>
      </c>
      <c r="N3938" s="862">
        <v>0.76</v>
      </c>
      <c r="O3938" s="862">
        <v>5.46</v>
      </c>
      <c r="P3938" s="862">
        <v>1.69</v>
      </c>
      <c r="R3938" s="647">
        <v>1.586408</v>
      </c>
      <c r="S3938" s="863">
        <v>10.600000000000001</v>
      </c>
      <c r="Y3938" s="1817">
        <v>25.2</v>
      </c>
      <c r="AA3938" s="647">
        <v>3.83</v>
      </c>
      <c r="AB3938" s="647">
        <v>0.877</v>
      </c>
      <c r="AC3938" s="862">
        <v>10.199999999999999</v>
      </c>
      <c r="AD3938" s="867">
        <v>420</v>
      </c>
      <c r="AE3938" s="867">
        <v>240</v>
      </c>
      <c r="AF3938" s="867">
        <v>340</v>
      </c>
      <c r="AG3938" s="66">
        <f t="shared" si="147"/>
        <v>145.39285714285714</v>
      </c>
      <c r="AH3938" s="143">
        <f t="shared" si="148"/>
        <v>1000</v>
      </c>
    </row>
    <row r="3939" spans="1:34" s="862" customFormat="1" x14ac:dyDescent="0.3">
      <c r="A3939" s="862">
        <v>204018</v>
      </c>
      <c r="B3939" s="863">
        <v>15.1</v>
      </c>
      <c r="C3939" s="863">
        <v>8.3000000000000007</v>
      </c>
      <c r="D3939" s="647">
        <v>7.97</v>
      </c>
      <c r="E3939" s="1573">
        <v>4.13</v>
      </c>
      <c r="F3939" s="864">
        <v>4543</v>
      </c>
      <c r="H3939" s="864">
        <v>44.09</v>
      </c>
      <c r="I3939" s="864">
        <v>878</v>
      </c>
      <c r="J3939" s="1816">
        <v>2.399</v>
      </c>
      <c r="K3939" s="863">
        <v>12.33</v>
      </c>
      <c r="L3939" s="862">
        <v>1479</v>
      </c>
      <c r="M3939" s="862">
        <v>0.44</v>
      </c>
      <c r="N3939" s="862">
        <v>0.71</v>
      </c>
      <c r="O3939" s="862">
        <v>5.34</v>
      </c>
      <c r="P3939" s="862">
        <v>1.25</v>
      </c>
      <c r="R3939" s="647">
        <v>1.4485266623293496</v>
      </c>
      <c r="S3939" s="863">
        <v>9.8000000000000007</v>
      </c>
      <c r="Y3939" s="1817">
        <v>36.4</v>
      </c>
      <c r="AA3939" s="647">
        <v>3.93</v>
      </c>
      <c r="AB3939" s="647">
        <v>0.63700000000000001</v>
      </c>
      <c r="AC3939" s="862">
        <v>8.1999999999999993</v>
      </c>
      <c r="AD3939" s="867">
        <v>520</v>
      </c>
      <c r="AE3939" s="867">
        <v>300</v>
      </c>
      <c r="AF3939" s="867">
        <v>180</v>
      </c>
      <c r="AG3939" s="66">
        <f t="shared" si="147"/>
        <v>119.91263736263738</v>
      </c>
      <c r="AH3939" s="143">
        <f t="shared" si="148"/>
        <v>1000</v>
      </c>
    </row>
    <row r="3940" spans="1:34" s="862" customFormat="1" x14ac:dyDescent="0.3">
      <c r="A3940" s="862">
        <v>204019</v>
      </c>
      <c r="B3940" s="863">
        <v>18.5</v>
      </c>
      <c r="C3940" s="863">
        <v>10.8</v>
      </c>
      <c r="D3940" s="647">
        <v>8.5</v>
      </c>
      <c r="E3940" s="1573">
        <v>0.57499999999999996</v>
      </c>
      <c r="F3940" s="864">
        <v>632.5</v>
      </c>
      <c r="H3940" s="864">
        <v>12.07</v>
      </c>
      <c r="I3940" s="864">
        <v>545</v>
      </c>
      <c r="J3940" s="1816">
        <v>0.41699999999999998</v>
      </c>
      <c r="K3940" s="863">
        <v>10.7</v>
      </c>
      <c r="L3940" s="862">
        <v>1324</v>
      </c>
      <c r="M3940" s="862">
        <v>0.69</v>
      </c>
      <c r="N3940" s="862">
        <v>0.95</v>
      </c>
      <c r="O3940" s="862">
        <v>7.04</v>
      </c>
      <c r="P3940" s="862">
        <v>2.4700000000000002</v>
      </c>
      <c r="R3940" s="647">
        <v>1.4132147240689226</v>
      </c>
      <c r="S3940" s="863">
        <v>9.3000000000000007</v>
      </c>
      <c r="Y3940" s="1817">
        <v>32.4</v>
      </c>
      <c r="AA3940" s="647">
        <v>4.5199999999999996</v>
      </c>
      <c r="AB3940" s="647">
        <v>0.53</v>
      </c>
      <c r="AC3940" s="862">
        <v>11.6</v>
      </c>
      <c r="AD3940" s="867">
        <v>540</v>
      </c>
      <c r="AE3940" s="867">
        <v>300</v>
      </c>
      <c r="AF3940" s="867">
        <v>160</v>
      </c>
      <c r="AG3940" s="66">
        <f t="shared" si="147"/>
        <v>116.90740740740742</v>
      </c>
      <c r="AH3940" s="143">
        <f t="shared" si="148"/>
        <v>1000</v>
      </c>
    </row>
    <row r="3941" spans="1:34" s="862" customFormat="1" x14ac:dyDescent="0.3">
      <c r="A3941" s="862">
        <v>204020</v>
      </c>
      <c r="B3941" s="863">
        <v>20.3</v>
      </c>
      <c r="C3941" s="863">
        <v>10.3</v>
      </c>
      <c r="D3941" s="647">
        <v>8.24</v>
      </c>
      <c r="E3941" s="1573">
        <v>2.9039999999999999</v>
      </c>
      <c r="F3941" s="864">
        <v>3194.4000000000005</v>
      </c>
      <c r="H3941" s="864">
        <v>19.920000000000002</v>
      </c>
      <c r="I3941" s="864">
        <v>513</v>
      </c>
      <c r="J3941" s="1816">
        <v>2.7989999999999999</v>
      </c>
      <c r="K3941" s="863">
        <v>11.08</v>
      </c>
      <c r="L3941" s="862">
        <v>1369</v>
      </c>
      <c r="M3941" s="862">
        <v>0.41</v>
      </c>
      <c r="N3941" s="862">
        <v>1.04</v>
      </c>
      <c r="O3941" s="862">
        <v>6.92</v>
      </c>
      <c r="P3941" s="862">
        <v>2.4300000000000002</v>
      </c>
      <c r="R3941" s="647">
        <v>1.787112</v>
      </c>
      <c r="S3941" s="863">
        <v>16.200000000000003</v>
      </c>
      <c r="Y3941" s="1817">
        <v>27.6</v>
      </c>
      <c r="AA3941" s="647">
        <v>4.13</v>
      </c>
      <c r="AB3941" s="647">
        <v>0.74</v>
      </c>
      <c r="AC3941" s="862">
        <v>8</v>
      </c>
      <c r="AD3941" s="867">
        <v>460</v>
      </c>
      <c r="AE3941" s="867">
        <v>260</v>
      </c>
      <c r="AF3941" s="867">
        <v>280</v>
      </c>
      <c r="AG3941" s="66">
        <f t="shared" si="147"/>
        <v>142.11304347826086</v>
      </c>
      <c r="AH3941" s="143">
        <f t="shared" si="148"/>
        <v>1000</v>
      </c>
    </row>
    <row r="3942" spans="1:34" s="862" customFormat="1" x14ac:dyDescent="0.3">
      <c r="A3942" s="862">
        <v>204021</v>
      </c>
      <c r="B3942" s="863">
        <v>21.3</v>
      </c>
      <c r="C3942" s="863">
        <v>12.5</v>
      </c>
      <c r="D3942" s="647">
        <v>8.23</v>
      </c>
      <c r="E3942" s="1573">
        <v>3.28</v>
      </c>
      <c r="F3942" s="864">
        <v>3608</v>
      </c>
      <c r="H3942" s="864">
        <v>8.06</v>
      </c>
      <c r="I3942" s="864">
        <v>268</v>
      </c>
      <c r="J3942" s="1816">
        <v>2.4329999999999998</v>
      </c>
      <c r="K3942" s="863">
        <v>10.98</v>
      </c>
      <c r="L3942" s="862">
        <v>1450</v>
      </c>
      <c r="M3942" s="862">
        <v>0.28999999999999998</v>
      </c>
      <c r="N3942" s="862">
        <v>0.56999999999999995</v>
      </c>
      <c r="O3942" s="862">
        <v>5.83</v>
      </c>
      <c r="P3942" s="862">
        <v>1.71</v>
      </c>
      <c r="R3942" s="647">
        <v>1.1836029407164579</v>
      </c>
      <c r="S3942" s="863">
        <v>8.1999999999999993</v>
      </c>
      <c r="Y3942" s="1817">
        <v>28</v>
      </c>
      <c r="AA3942" s="647">
        <v>4.5199999999999996</v>
      </c>
      <c r="AB3942" s="647">
        <v>0.32100000000000001</v>
      </c>
      <c r="AC3942" s="862">
        <v>6.5</v>
      </c>
      <c r="AD3942" s="867">
        <v>400</v>
      </c>
      <c r="AE3942" s="867">
        <v>220</v>
      </c>
      <c r="AF3942" s="867">
        <v>380</v>
      </c>
      <c r="AG3942" s="66">
        <f t="shared" si="147"/>
        <v>138.81857142857143</v>
      </c>
      <c r="AH3942" s="143">
        <f t="shared" si="148"/>
        <v>1000</v>
      </c>
    </row>
    <row r="3943" spans="1:34" s="862" customFormat="1" x14ac:dyDescent="0.3">
      <c r="A3943" s="862">
        <v>204022</v>
      </c>
      <c r="B3943" s="863">
        <v>30.8</v>
      </c>
      <c r="C3943" s="863">
        <v>11.6</v>
      </c>
      <c r="D3943" s="647">
        <v>8.2799999999999994</v>
      </c>
      <c r="E3943" s="1573">
        <v>1.9019999999999999</v>
      </c>
      <c r="F3943" s="864">
        <v>2092.2000000000003</v>
      </c>
      <c r="H3943" s="864">
        <v>19.03</v>
      </c>
      <c r="I3943" s="864">
        <v>195</v>
      </c>
      <c r="J3943" s="1816">
        <v>1.952</v>
      </c>
      <c r="K3943" s="863">
        <v>8.51</v>
      </c>
      <c r="L3943" s="862">
        <v>552</v>
      </c>
      <c r="M3943" s="862">
        <v>0.35</v>
      </c>
      <c r="N3943" s="862">
        <v>0.79</v>
      </c>
      <c r="O3943" s="862">
        <v>8.4600000000000009</v>
      </c>
      <c r="P3943" s="862">
        <v>2.16</v>
      </c>
      <c r="R3943" s="647">
        <v>0.96305456126850519</v>
      </c>
      <c r="S3943" s="863">
        <v>7.1999999999999993</v>
      </c>
      <c r="Y3943" s="1817">
        <v>22</v>
      </c>
      <c r="AA3943" s="647">
        <v>4.59</v>
      </c>
      <c r="AB3943" s="647">
        <v>0.25900000000000001</v>
      </c>
      <c r="AC3943" s="862">
        <v>9.1</v>
      </c>
      <c r="AD3943" s="867">
        <v>440</v>
      </c>
      <c r="AE3943" s="867">
        <v>200</v>
      </c>
      <c r="AF3943" s="867">
        <v>360</v>
      </c>
      <c r="AG3943" s="66">
        <f t="shared" si="147"/>
        <v>136.93363636363637</v>
      </c>
      <c r="AH3943" s="143">
        <f t="shared" si="148"/>
        <v>1000</v>
      </c>
    </row>
    <row r="3944" spans="1:34" s="862" customFormat="1" x14ac:dyDescent="0.3">
      <c r="A3944" s="862">
        <v>204023</v>
      </c>
      <c r="B3944" s="863">
        <v>37.200000000000003</v>
      </c>
      <c r="C3944" s="863">
        <v>12.8</v>
      </c>
      <c r="D3944" s="647">
        <v>8.39</v>
      </c>
      <c r="E3944" s="1573">
        <v>0.63</v>
      </c>
      <c r="F3944" s="864">
        <v>693.00000000000011</v>
      </c>
      <c r="H3944" s="864">
        <v>17.2</v>
      </c>
      <c r="I3944" s="864">
        <v>317</v>
      </c>
      <c r="J3944" s="1816">
        <v>0.40400000000000003</v>
      </c>
      <c r="K3944" s="863">
        <v>8.2899999999999991</v>
      </c>
      <c r="L3944" s="862">
        <v>574</v>
      </c>
      <c r="M3944" s="862">
        <v>0.26</v>
      </c>
      <c r="N3944" s="862">
        <v>0.76</v>
      </c>
      <c r="O3944" s="862">
        <v>7.84</v>
      </c>
      <c r="P3944" s="862">
        <v>2.12</v>
      </c>
      <c r="R3944" s="647">
        <v>0.980706237878745</v>
      </c>
      <c r="S3944" s="863">
        <v>6.7</v>
      </c>
      <c r="Y3944" s="1817">
        <v>21</v>
      </c>
      <c r="AA3944" s="647">
        <v>3.67</v>
      </c>
      <c r="AB3944" s="647">
        <v>0.753</v>
      </c>
      <c r="AC3944" s="862">
        <v>8.1</v>
      </c>
      <c r="AD3944" s="867">
        <v>420</v>
      </c>
      <c r="AE3944" s="867">
        <v>240</v>
      </c>
      <c r="AF3944" s="867">
        <v>340</v>
      </c>
      <c r="AG3944" s="66">
        <f t="shared" si="147"/>
        <v>139.74571428571429</v>
      </c>
      <c r="AH3944" s="143">
        <f t="shared" si="148"/>
        <v>1000</v>
      </c>
    </row>
    <row r="3945" spans="1:34" s="862" customFormat="1" x14ac:dyDescent="0.3">
      <c r="A3945" s="862">
        <v>204024</v>
      </c>
      <c r="B3945" s="863">
        <v>15.8</v>
      </c>
      <c r="C3945" s="863">
        <v>6.5</v>
      </c>
      <c r="D3945" s="647">
        <v>8.1999999999999993</v>
      </c>
      <c r="E3945" s="1573">
        <v>1.05</v>
      </c>
      <c r="F3945" s="864">
        <v>1155.0000000000002</v>
      </c>
      <c r="H3945" s="864">
        <v>19.41</v>
      </c>
      <c r="I3945" s="864">
        <v>240</v>
      </c>
      <c r="J3945" s="1816">
        <v>0.81499999999999995</v>
      </c>
      <c r="K3945" s="863">
        <v>10.66</v>
      </c>
      <c r="L3945" s="862">
        <v>484</v>
      </c>
      <c r="M3945" s="862">
        <v>0.35</v>
      </c>
      <c r="N3945" s="862">
        <v>0.86</v>
      </c>
      <c r="O3945" s="862">
        <v>8.75</v>
      </c>
      <c r="P3945" s="862">
        <v>3.03</v>
      </c>
      <c r="R3945" s="647">
        <v>1.6557080000000002</v>
      </c>
      <c r="S3945" s="863">
        <v>12.4</v>
      </c>
      <c r="Y3945" s="1817">
        <v>20</v>
      </c>
      <c r="AA3945" s="647">
        <v>4.83</v>
      </c>
      <c r="AB3945" s="647">
        <v>0.60299999999999998</v>
      </c>
      <c r="AC3945" s="862">
        <v>11.9</v>
      </c>
      <c r="AD3945" s="867">
        <v>400</v>
      </c>
      <c r="AE3945" s="867">
        <v>240</v>
      </c>
      <c r="AF3945" s="867">
        <v>360</v>
      </c>
      <c r="AG3945" s="66">
        <f t="shared" si="147"/>
        <v>188.68200000000002</v>
      </c>
      <c r="AH3945" s="143">
        <f t="shared" si="148"/>
        <v>1000</v>
      </c>
    </row>
    <row r="3946" spans="1:34" s="862" customFormat="1" x14ac:dyDescent="0.3">
      <c r="A3946" s="862">
        <v>204025</v>
      </c>
      <c r="B3946" s="863">
        <v>10</v>
      </c>
      <c r="C3946" s="863">
        <v>4.5</v>
      </c>
      <c r="D3946" s="647">
        <v>8.1999999999999993</v>
      </c>
      <c r="E3946" s="1573">
        <v>2.84</v>
      </c>
      <c r="F3946" s="864">
        <v>3124</v>
      </c>
      <c r="H3946" s="864">
        <v>12.58</v>
      </c>
      <c r="I3946" s="864">
        <v>339</v>
      </c>
      <c r="J3946" s="1816">
        <v>2.2709999999999999</v>
      </c>
      <c r="K3946" s="863">
        <v>10.6</v>
      </c>
      <c r="L3946" s="862">
        <v>1846</v>
      </c>
      <c r="M3946" s="862">
        <v>0.28000000000000003</v>
      </c>
      <c r="N3946" s="862">
        <v>0.92</v>
      </c>
      <c r="O3946" s="862">
        <v>5.0999999999999996</v>
      </c>
      <c r="P3946" s="862">
        <v>2</v>
      </c>
      <c r="R3946" s="647">
        <v>0.9906929210879597</v>
      </c>
      <c r="S3946" s="863">
        <v>6.7</v>
      </c>
      <c r="Y3946" s="1817">
        <v>30</v>
      </c>
      <c r="AA3946" s="647">
        <v>4.5999999999999996</v>
      </c>
      <c r="AB3946" s="647">
        <v>0.81200000000000006</v>
      </c>
      <c r="AC3946" s="862">
        <v>11.3</v>
      </c>
      <c r="AD3946" s="867">
        <v>500</v>
      </c>
      <c r="AE3946" s="867">
        <v>260</v>
      </c>
      <c r="AF3946" s="867">
        <v>240</v>
      </c>
      <c r="AG3946" s="66">
        <f t="shared" si="147"/>
        <v>125.08</v>
      </c>
      <c r="AH3946" s="143">
        <f t="shared" si="148"/>
        <v>1000</v>
      </c>
    </row>
    <row r="3947" spans="1:34" s="862" customFormat="1" x14ac:dyDescent="0.3">
      <c r="A3947" s="862">
        <v>204026</v>
      </c>
      <c r="B3947" s="863">
        <v>18.399999999999999</v>
      </c>
      <c r="C3947" s="863">
        <v>7.4</v>
      </c>
      <c r="D3947" s="647">
        <v>8.31</v>
      </c>
      <c r="E3947" s="1573">
        <v>2.41</v>
      </c>
      <c r="F3947" s="864">
        <v>2651.0000000000005</v>
      </c>
      <c r="H3947" s="864">
        <v>28.44</v>
      </c>
      <c r="I3947" s="864">
        <v>447</v>
      </c>
      <c r="J3947" s="1816">
        <v>1.736</v>
      </c>
      <c r="K3947" s="863">
        <v>8.68</v>
      </c>
      <c r="L3947" s="862">
        <v>1246</v>
      </c>
      <c r="M3947" s="862">
        <v>0.36</v>
      </c>
      <c r="N3947" s="862">
        <v>0.74</v>
      </c>
      <c r="O3947" s="862">
        <v>6.98</v>
      </c>
      <c r="P3947" s="862">
        <v>1.99</v>
      </c>
      <c r="R3947" s="647">
        <v>1.4007060351972569</v>
      </c>
      <c r="S3947" s="863">
        <v>9.6</v>
      </c>
      <c r="Y3947" s="1817">
        <v>30.8</v>
      </c>
      <c r="AA3947" s="647">
        <v>4.43</v>
      </c>
      <c r="AB3947" s="647">
        <v>0.83299999999999996</v>
      </c>
      <c r="AC3947" s="862">
        <v>6.4</v>
      </c>
      <c r="AD3947" s="867">
        <v>440</v>
      </c>
      <c r="AE3947" s="867">
        <v>200</v>
      </c>
      <c r="AF3947" s="867">
        <v>360</v>
      </c>
      <c r="AG3947" s="66">
        <f t="shared" si="147"/>
        <v>99.763636363636351</v>
      </c>
      <c r="AH3947" s="143">
        <f t="shared" si="148"/>
        <v>1000</v>
      </c>
    </row>
    <row r="3948" spans="1:34" s="862" customFormat="1" x14ac:dyDescent="0.3">
      <c r="A3948" s="862">
        <v>204027</v>
      </c>
      <c r="B3948" s="863">
        <v>21.4</v>
      </c>
      <c r="C3948" s="863">
        <v>9.3000000000000007</v>
      </c>
      <c r="D3948" s="647">
        <v>8.3000000000000007</v>
      </c>
      <c r="E3948" s="1573">
        <v>2.2469999999999999</v>
      </c>
      <c r="F3948" s="864">
        <v>2471.7000000000003</v>
      </c>
      <c r="H3948" s="864">
        <v>25.74</v>
      </c>
      <c r="I3948" s="864">
        <v>480</v>
      </c>
      <c r="J3948" s="1816">
        <v>1.99</v>
      </c>
      <c r="K3948" s="863">
        <v>11.72</v>
      </c>
      <c r="L3948" s="862">
        <v>1324</v>
      </c>
      <c r="M3948" s="862">
        <v>0.7</v>
      </c>
      <c r="N3948" s="862">
        <v>0.67</v>
      </c>
      <c r="O3948" s="862">
        <v>8.35</v>
      </c>
      <c r="P3948" s="862">
        <v>1.88</v>
      </c>
      <c r="R3948" s="647">
        <v>1.9718</v>
      </c>
      <c r="S3948" s="863">
        <v>23</v>
      </c>
      <c r="Y3948" s="1817">
        <v>21</v>
      </c>
      <c r="AA3948" s="647">
        <v>3.48</v>
      </c>
      <c r="AB3948" s="647">
        <v>0.43</v>
      </c>
      <c r="AC3948" s="862">
        <v>8</v>
      </c>
      <c r="AD3948" s="867">
        <v>420</v>
      </c>
      <c r="AE3948" s="867">
        <v>200</v>
      </c>
      <c r="AF3948" s="867">
        <v>380</v>
      </c>
      <c r="AG3948" s="66">
        <f t="shared" si="147"/>
        <v>197.56571428571428</v>
      </c>
      <c r="AH3948" s="143">
        <f t="shared" si="148"/>
        <v>1000</v>
      </c>
    </row>
    <row r="3949" spans="1:34" s="862" customFormat="1" x14ac:dyDescent="0.3">
      <c r="A3949" s="862">
        <v>204028</v>
      </c>
      <c r="B3949" s="863">
        <v>21.7</v>
      </c>
      <c r="C3949" s="863">
        <v>12.6</v>
      </c>
      <c r="D3949" s="647">
        <v>8.2799999999999994</v>
      </c>
      <c r="E3949" s="1573">
        <v>2.96</v>
      </c>
      <c r="F3949" s="864">
        <v>3256</v>
      </c>
      <c r="H3949" s="864">
        <v>17.79</v>
      </c>
      <c r="I3949" s="864">
        <v>326</v>
      </c>
      <c r="J3949" s="1816">
        <v>2.9510000000000001</v>
      </c>
      <c r="K3949" s="863">
        <v>11.51</v>
      </c>
      <c r="L3949" s="862">
        <v>1342</v>
      </c>
      <c r="M3949" s="862">
        <v>0.37</v>
      </c>
      <c r="N3949" s="862">
        <v>0.54</v>
      </c>
      <c r="O3949" s="862">
        <v>5.72</v>
      </c>
      <c r="P3949" s="862">
        <v>1.7</v>
      </c>
      <c r="R3949" s="647">
        <v>1.5784280000000002</v>
      </c>
      <c r="S3949" s="863">
        <v>10.4</v>
      </c>
      <c r="Y3949" s="1817">
        <v>28.8</v>
      </c>
      <c r="AA3949" s="647">
        <v>4.09</v>
      </c>
      <c r="AB3949" s="647">
        <v>0.67800000000000005</v>
      </c>
      <c r="AC3949" s="862">
        <v>6.1</v>
      </c>
      <c r="AD3949" s="867">
        <v>480</v>
      </c>
      <c r="AE3949" s="867">
        <v>260</v>
      </c>
      <c r="AF3949" s="867">
        <v>260</v>
      </c>
      <c r="AG3949" s="66">
        <f t="shared" si="147"/>
        <v>141.47708333333333</v>
      </c>
      <c r="AH3949" s="143">
        <f t="shared" si="148"/>
        <v>1000</v>
      </c>
    </row>
    <row r="3950" spans="1:34" s="862" customFormat="1" x14ac:dyDescent="0.3">
      <c r="A3950" s="862">
        <v>204029</v>
      </c>
      <c r="B3950" s="863">
        <v>5.8</v>
      </c>
      <c r="C3950" s="863"/>
      <c r="D3950" s="647">
        <v>8.35</v>
      </c>
      <c r="E3950" s="1573">
        <v>0.78500000000000003</v>
      </c>
      <c r="F3950" s="864">
        <v>863.50000000000011</v>
      </c>
      <c r="H3950" s="864">
        <v>22.13</v>
      </c>
      <c r="I3950" s="864">
        <v>164</v>
      </c>
      <c r="J3950" s="1816">
        <v>0.27800000000000002</v>
      </c>
      <c r="K3950" s="863">
        <v>8.68</v>
      </c>
      <c r="L3950" s="862">
        <v>518</v>
      </c>
      <c r="M3950" s="862">
        <v>0.37</v>
      </c>
      <c r="N3950" s="862">
        <v>0.34</v>
      </c>
      <c r="O3950" s="862">
        <v>8.7200000000000006</v>
      </c>
      <c r="P3950" s="862">
        <v>2.1</v>
      </c>
      <c r="R3950" s="647">
        <v>0.92976141781277943</v>
      </c>
      <c r="S3950" s="863">
        <v>6.6000000000000005</v>
      </c>
      <c r="Y3950" s="1817">
        <v>39.200000000000003</v>
      </c>
      <c r="AA3950" s="647">
        <v>3.79</v>
      </c>
      <c r="AB3950" s="647">
        <v>0.40500000000000003</v>
      </c>
      <c r="AC3950" s="862">
        <v>7.7</v>
      </c>
      <c r="AD3950" s="867">
        <v>560</v>
      </c>
      <c r="AE3950" s="867">
        <v>280</v>
      </c>
      <c r="AF3950" s="867">
        <v>160</v>
      </c>
      <c r="AG3950" s="66">
        <f t="shared" si="147"/>
        <v>78.385714285714272</v>
      </c>
      <c r="AH3950" s="143">
        <f t="shared" si="148"/>
        <v>1000</v>
      </c>
    </row>
    <row r="3951" spans="1:34" s="862" customFormat="1" x14ac:dyDescent="0.3">
      <c r="A3951" s="862">
        <v>204030</v>
      </c>
      <c r="B3951" s="863">
        <v>7</v>
      </c>
      <c r="C3951" s="863"/>
      <c r="D3951" s="647">
        <v>8.41</v>
      </c>
      <c r="E3951" s="1573">
        <v>0.82599999999999996</v>
      </c>
      <c r="F3951" s="864">
        <v>908.6</v>
      </c>
      <c r="H3951" s="864">
        <v>151.49</v>
      </c>
      <c r="I3951" s="864">
        <v>916</v>
      </c>
      <c r="J3951" s="1816">
        <v>0.47099999999999997</v>
      </c>
      <c r="K3951" s="863">
        <v>8.58</v>
      </c>
      <c r="L3951" s="862">
        <v>2016</v>
      </c>
      <c r="M3951" s="862">
        <v>1.86</v>
      </c>
      <c r="N3951" s="862">
        <v>0.79</v>
      </c>
      <c r="O3951" s="862">
        <v>6.25</v>
      </c>
      <c r="P3951" s="862">
        <v>3.09</v>
      </c>
      <c r="R3951" s="647">
        <v>1.8152730000000001</v>
      </c>
      <c r="S3951" s="863">
        <v>17.100000000000001</v>
      </c>
      <c r="Y3951" s="1817">
        <v>34.200000000000003</v>
      </c>
      <c r="AA3951" s="647">
        <v>3.57</v>
      </c>
      <c r="AB3951" s="647">
        <v>0.42799999999999999</v>
      </c>
      <c r="AC3951" s="862">
        <v>6.9</v>
      </c>
      <c r="AD3951" s="867">
        <v>570</v>
      </c>
      <c r="AE3951" s="867">
        <v>290</v>
      </c>
      <c r="AF3951" s="867">
        <v>140</v>
      </c>
      <c r="AG3951" s="66">
        <f t="shared" si="147"/>
        <v>88.810526315789474</v>
      </c>
      <c r="AH3951" s="143">
        <f t="shared" si="148"/>
        <v>1000</v>
      </c>
    </row>
    <row r="3952" spans="1:34" s="862" customFormat="1" x14ac:dyDescent="0.3">
      <c r="A3952" s="862">
        <v>204031</v>
      </c>
      <c r="B3952" s="863">
        <v>4.7</v>
      </c>
      <c r="C3952" s="863"/>
      <c r="D3952" s="647">
        <v>8.52</v>
      </c>
      <c r="E3952" s="1573">
        <v>0.18099999999999999</v>
      </c>
      <c r="F3952" s="864">
        <v>199.1</v>
      </c>
      <c r="H3952" s="864">
        <v>287.7</v>
      </c>
      <c r="I3952" s="864">
        <v>223</v>
      </c>
      <c r="J3952" s="1816">
        <v>0.06</v>
      </c>
      <c r="K3952" s="863">
        <v>6.41</v>
      </c>
      <c r="L3952" s="862">
        <v>644</v>
      </c>
      <c r="M3952" s="862">
        <v>1.29</v>
      </c>
      <c r="N3952" s="862">
        <v>0.41</v>
      </c>
      <c r="O3952" s="862">
        <v>4.1399999999999997</v>
      </c>
      <c r="P3952" s="862">
        <v>6.23</v>
      </c>
      <c r="R3952" s="647">
        <v>1.5824250000000002</v>
      </c>
      <c r="S3952" s="863">
        <v>10.5</v>
      </c>
      <c r="Y3952" s="1817">
        <v>28</v>
      </c>
      <c r="AA3952" s="647">
        <v>3.68</v>
      </c>
      <c r="AB3952" s="647">
        <v>0.48499999999999999</v>
      </c>
      <c r="AC3952" s="862">
        <v>7.1</v>
      </c>
      <c r="AD3952" s="867">
        <v>400</v>
      </c>
      <c r="AE3952" s="867">
        <v>220</v>
      </c>
      <c r="AF3952" s="867">
        <v>380</v>
      </c>
      <c r="AG3952" s="66">
        <f t="shared" si="147"/>
        <v>81.040714285714301</v>
      </c>
      <c r="AH3952" s="143">
        <f t="shared" si="148"/>
        <v>1000</v>
      </c>
    </row>
    <row r="3953" spans="1:34" s="862" customFormat="1" x14ac:dyDescent="0.3">
      <c r="A3953" s="862">
        <v>204032</v>
      </c>
      <c r="B3953" s="863">
        <v>4.7</v>
      </c>
      <c r="C3953" s="863"/>
      <c r="D3953" s="647">
        <v>8.4499999999999993</v>
      </c>
      <c r="E3953" s="1573">
        <v>0.34799999999999998</v>
      </c>
      <c r="F3953" s="864">
        <v>382.8</v>
      </c>
      <c r="H3953" s="864">
        <v>710.1</v>
      </c>
      <c r="I3953" s="864">
        <v>799</v>
      </c>
      <c r="J3953" s="1816">
        <v>0.108</v>
      </c>
      <c r="K3953" s="863">
        <v>6.98</v>
      </c>
      <c r="L3953" s="862">
        <v>954</v>
      </c>
      <c r="M3953" s="862">
        <v>3.38</v>
      </c>
      <c r="N3953" s="862">
        <v>0.91</v>
      </c>
      <c r="O3953" s="862">
        <v>6.03</v>
      </c>
      <c r="P3953" s="862">
        <v>8.16</v>
      </c>
      <c r="R3953" s="647">
        <v>1.9035920000000002</v>
      </c>
      <c r="S3953" s="863">
        <v>20.2</v>
      </c>
      <c r="Y3953" s="1817">
        <v>22</v>
      </c>
      <c r="AA3953" s="647">
        <v>3.61</v>
      </c>
      <c r="AB3953" s="647">
        <v>0.49099999999999999</v>
      </c>
      <c r="AC3953" s="862">
        <v>9.8000000000000007</v>
      </c>
      <c r="AD3953" s="867">
        <v>440</v>
      </c>
      <c r="AE3953" s="867">
        <v>200</v>
      </c>
      <c r="AF3953" s="867">
        <v>360</v>
      </c>
      <c r="AG3953" s="66">
        <f t="shared" si="147"/>
        <v>112.31454545454545</v>
      </c>
      <c r="AH3953" s="143">
        <f t="shared" si="148"/>
        <v>1000</v>
      </c>
    </row>
    <row r="3954" spans="1:34" s="862" customFormat="1" x14ac:dyDescent="0.3">
      <c r="A3954" s="862">
        <v>204033</v>
      </c>
      <c r="B3954" s="863">
        <v>2</v>
      </c>
      <c r="C3954" s="863"/>
      <c r="D3954" s="647">
        <v>8.31</v>
      </c>
      <c r="E3954" s="1573">
        <v>0.17799999999999999</v>
      </c>
      <c r="F3954" s="864">
        <v>195.8</v>
      </c>
      <c r="H3954" s="864">
        <v>210.09</v>
      </c>
      <c r="I3954" s="864">
        <v>194</v>
      </c>
      <c r="J3954" s="1816">
        <v>4.7E-2</v>
      </c>
      <c r="K3954" s="863">
        <v>5.25</v>
      </c>
      <c r="L3954" s="862">
        <v>677</v>
      </c>
      <c r="M3954" s="862">
        <v>2.2999999999999998</v>
      </c>
      <c r="N3954" s="862">
        <v>5.57</v>
      </c>
      <c r="O3954" s="862">
        <v>6.27</v>
      </c>
      <c r="P3954" s="862">
        <v>10.66</v>
      </c>
      <c r="R3954" s="647">
        <v>1.787112</v>
      </c>
      <c r="S3954" s="863">
        <v>16.200000000000003</v>
      </c>
      <c r="Y3954" s="1817">
        <v>25.8</v>
      </c>
      <c r="AA3954" s="647">
        <v>4.1900000000000004</v>
      </c>
      <c r="AB3954" s="647">
        <v>0.47799999999999998</v>
      </c>
      <c r="AC3954" s="862">
        <v>8.5</v>
      </c>
      <c r="AD3954" s="867">
        <v>430</v>
      </c>
      <c r="AE3954" s="867">
        <v>210</v>
      </c>
      <c r="AF3954" s="867">
        <v>360</v>
      </c>
      <c r="AG3954" s="66">
        <f t="shared" si="147"/>
        <v>72.034883720930225</v>
      </c>
      <c r="AH3954" s="143">
        <f t="shared" si="148"/>
        <v>1000</v>
      </c>
    </row>
    <row r="3955" spans="1:34" s="862" customFormat="1" x14ac:dyDescent="0.3">
      <c r="A3955" s="862">
        <v>204034</v>
      </c>
      <c r="B3955" s="863">
        <v>9.8000000000000007</v>
      </c>
      <c r="C3955" s="863"/>
      <c r="D3955" s="647">
        <v>8.5500000000000007</v>
      </c>
      <c r="E3955" s="1573">
        <v>0.56699999999999995</v>
      </c>
      <c r="F3955" s="864">
        <v>623.70000000000005</v>
      </c>
      <c r="H3955" s="864">
        <v>60.48</v>
      </c>
      <c r="I3955" s="864">
        <v>461</v>
      </c>
      <c r="J3955" s="1816">
        <v>0.245</v>
      </c>
      <c r="K3955" s="863">
        <v>8.5299999999999994</v>
      </c>
      <c r="L3955" s="862">
        <v>1756</v>
      </c>
      <c r="M3955" s="862">
        <v>1.5</v>
      </c>
      <c r="N3955" s="862">
        <v>0.73</v>
      </c>
      <c r="O3955" s="862">
        <v>5.99</v>
      </c>
      <c r="P3955" s="862">
        <v>2.38</v>
      </c>
      <c r="R3955" s="647">
        <v>1.8183320000000001</v>
      </c>
      <c r="S3955" s="863">
        <v>17.2</v>
      </c>
      <c r="Y3955" s="1817">
        <v>26</v>
      </c>
      <c r="AA3955" s="647">
        <v>4.76</v>
      </c>
      <c r="AB3955" s="647">
        <v>0.32</v>
      </c>
      <c r="AC3955" s="862">
        <v>8.1999999999999993</v>
      </c>
      <c r="AD3955" s="867">
        <v>520</v>
      </c>
      <c r="AE3955" s="867">
        <v>260</v>
      </c>
      <c r="AF3955" s="867">
        <v>220</v>
      </c>
      <c r="AG3955" s="66">
        <f t="shared" si="147"/>
        <v>116.13923076923076</v>
      </c>
      <c r="AH3955" s="143">
        <f t="shared" si="148"/>
        <v>1000</v>
      </c>
    </row>
    <row r="3956" spans="1:34" s="862" customFormat="1" x14ac:dyDescent="0.3">
      <c r="A3956" s="862">
        <v>204035</v>
      </c>
      <c r="B3956" s="863">
        <v>3.4</v>
      </c>
      <c r="C3956" s="863"/>
      <c r="D3956" s="647">
        <v>8.66</v>
      </c>
      <c r="E3956" s="1573">
        <v>0.20300000000000001</v>
      </c>
      <c r="F3956" s="864">
        <v>223.30000000000004</v>
      </c>
      <c r="H3956" s="864">
        <v>192</v>
      </c>
      <c r="I3956" s="864">
        <v>303</v>
      </c>
      <c r="J3956" s="1816">
        <v>6.5000000000000002E-2</v>
      </c>
      <c r="K3956" s="863">
        <v>7.35</v>
      </c>
      <c r="L3956" s="862">
        <v>620</v>
      </c>
      <c r="M3956" s="862">
        <v>1.36</v>
      </c>
      <c r="N3956" s="862">
        <v>0.49</v>
      </c>
      <c r="O3956" s="862">
        <v>4.83</v>
      </c>
      <c r="P3956" s="862">
        <v>5.84</v>
      </c>
      <c r="R3956" s="647">
        <v>1.0566100672023138</v>
      </c>
      <c r="S3956" s="863">
        <v>7.1</v>
      </c>
      <c r="Y3956" s="1817">
        <v>21.6</v>
      </c>
      <c r="AA3956" s="647">
        <v>4.68</v>
      </c>
      <c r="AB3956" s="647">
        <v>0.74399999999999999</v>
      </c>
      <c r="AC3956" s="862">
        <v>9.6999999999999993</v>
      </c>
      <c r="AD3956" s="867">
        <v>360</v>
      </c>
      <c r="AE3956" s="867">
        <v>160</v>
      </c>
      <c r="AF3956" s="867">
        <v>480</v>
      </c>
      <c r="AG3956" s="66">
        <f t="shared" si="147"/>
        <v>120.45833333333331</v>
      </c>
      <c r="AH3956" s="143">
        <f t="shared" si="148"/>
        <v>1000</v>
      </c>
    </row>
    <row r="3957" spans="1:34" s="862" customFormat="1" x14ac:dyDescent="0.3">
      <c r="A3957" s="862">
        <v>204036</v>
      </c>
      <c r="B3957" s="863">
        <v>13.8</v>
      </c>
      <c r="C3957" s="863">
        <v>0.8</v>
      </c>
      <c r="D3957" s="647">
        <v>8.7899999999999991</v>
      </c>
      <c r="E3957" s="1573">
        <v>2.1110000000000002</v>
      </c>
      <c r="F3957" s="864">
        <v>2322.1000000000004</v>
      </c>
      <c r="H3957" s="864">
        <v>51.64</v>
      </c>
      <c r="I3957" s="864">
        <v>135</v>
      </c>
      <c r="J3957" s="1816">
        <v>1.4059999999999999</v>
      </c>
      <c r="K3957" s="863">
        <v>7.15</v>
      </c>
      <c r="L3957" s="862">
        <v>873</v>
      </c>
      <c r="M3957" s="862">
        <v>0.56999999999999995</v>
      </c>
      <c r="N3957" s="862">
        <v>0.6</v>
      </c>
      <c r="O3957" s="862">
        <v>4.1500000000000004</v>
      </c>
      <c r="P3957" s="862">
        <v>2.37</v>
      </c>
      <c r="R3957" s="647">
        <v>0.47534628880351903</v>
      </c>
      <c r="S3957" s="863">
        <v>3.1</v>
      </c>
      <c r="Y3957" s="1817">
        <v>8</v>
      </c>
      <c r="AA3957" s="647">
        <v>4.07</v>
      </c>
      <c r="AB3957" s="647">
        <v>0.80800000000000005</v>
      </c>
      <c r="AC3957" s="862">
        <v>7.2</v>
      </c>
      <c r="AD3957" s="867">
        <v>160</v>
      </c>
      <c r="AE3957" s="867">
        <v>60</v>
      </c>
      <c r="AF3957" s="867">
        <v>780</v>
      </c>
      <c r="AG3957" s="66">
        <f t="shared" si="147"/>
        <v>316.38749999999999</v>
      </c>
      <c r="AH3957" s="143">
        <f t="shared" si="148"/>
        <v>1000</v>
      </c>
    </row>
    <row r="3958" spans="1:34" s="862" customFormat="1" x14ac:dyDescent="0.3">
      <c r="A3958" s="862">
        <v>204037</v>
      </c>
      <c r="B3958" s="863">
        <v>5.2</v>
      </c>
      <c r="C3958" s="863"/>
      <c r="D3958" s="647">
        <v>8.16</v>
      </c>
      <c r="E3958" s="1573">
        <v>0.41599999999999998</v>
      </c>
      <c r="F3958" s="864">
        <v>457.6</v>
      </c>
      <c r="H3958" s="864">
        <v>737.34</v>
      </c>
      <c r="I3958" s="864">
        <v>491</v>
      </c>
      <c r="J3958" s="1816">
        <v>0.24</v>
      </c>
      <c r="K3958" s="863">
        <v>6.78</v>
      </c>
      <c r="L3958" s="862">
        <v>811</v>
      </c>
      <c r="M3958" s="862">
        <v>0.93</v>
      </c>
      <c r="N3958" s="862">
        <v>0.98</v>
      </c>
      <c r="O3958" s="862">
        <v>13.73</v>
      </c>
      <c r="P3958" s="862">
        <v>4.34</v>
      </c>
      <c r="R3958" s="647">
        <v>1.720472</v>
      </c>
      <c r="S3958" s="863">
        <v>14.2</v>
      </c>
      <c r="Y3958" s="1817">
        <v>28</v>
      </c>
      <c r="AA3958" s="647">
        <v>4.97</v>
      </c>
      <c r="AB3958" s="647">
        <v>0.67300000000000004</v>
      </c>
      <c r="AC3958" s="862">
        <v>10.4</v>
      </c>
      <c r="AD3958" s="867">
        <v>400</v>
      </c>
      <c r="AE3958" s="867">
        <v>220</v>
      </c>
      <c r="AF3958" s="867">
        <v>380</v>
      </c>
      <c r="AG3958" s="66">
        <f t="shared" si="147"/>
        <v>85.718571428571423</v>
      </c>
      <c r="AH3958" s="143">
        <f t="shared" si="148"/>
        <v>1000</v>
      </c>
    </row>
    <row r="3959" spans="1:34" s="862" customFormat="1" x14ac:dyDescent="0.3">
      <c r="A3959" s="862">
        <v>204038</v>
      </c>
      <c r="B3959" s="863">
        <v>13.5</v>
      </c>
      <c r="C3959" s="863">
        <v>6.8</v>
      </c>
      <c r="D3959" s="647">
        <v>8.5</v>
      </c>
      <c r="E3959" s="1573">
        <v>0.41899999999999998</v>
      </c>
      <c r="F3959" s="864">
        <v>460.90000000000003</v>
      </c>
      <c r="H3959" s="864">
        <v>22.67</v>
      </c>
      <c r="I3959" s="864">
        <v>643</v>
      </c>
      <c r="J3959" s="1816">
        <v>0.29499999999999998</v>
      </c>
      <c r="K3959" s="863">
        <v>10.51</v>
      </c>
      <c r="L3959" s="862">
        <v>880</v>
      </c>
      <c r="M3959" s="862">
        <v>0.38</v>
      </c>
      <c r="N3959" s="862">
        <v>0.81</v>
      </c>
      <c r="O3959" s="862">
        <v>7.34</v>
      </c>
      <c r="P3959" s="862">
        <v>2.65</v>
      </c>
      <c r="R3959" s="647">
        <v>1.3471889501995571</v>
      </c>
      <c r="S3959" s="863">
        <v>10.1</v>
      </c>
      <c r="Y3959" s="1817">
        <v>29.4</v>
      </c>
      <c r="AA3959" s="647">
        <v>3.9</v>
      </c>
      <c r="AB3959" s="647">
        <v>0.57399999999999995</v>
      </c>
      <c r="AC3959" s="862">
        <v>8.5</v>
      </c>
      <c r="AD3959" s="867">
        <v>420</v>
      </c>
      <c r="AE3959" s="867">
        <v>260</v>
      </c>
      <c r="AF3959" s="867">
        <v>320</v>
      </c>
      <c r="AG3959" s="66">
        <f t="shared" si="147"/>
        <v>126.54897959183674</v>
      </c>
      <c r="AH3959" s="143">
        <f t="shared" si="148"/>
        <v>1000</v>
      </c>
    </row>
    <row r="3960" spans="1:34" s="862" customFormat="1" x14ac:dyDescent="0.3">
      <c r="A3960" s="862">
        <v>204039</v>
      </c>
      <c r="B3960" s="863">
        <v>7.1</v>
      </c>
      <c r="C3960" s="863"/>
      <c r="D3960" s="647">
        <v>8.2100000000000009</v>
      </c>
      <c r="E3960" s="1573">
        <v>1.22</v>
      </c>
      <c r="F3960" s="864">
        <v>1342</v>
      </c>
      <c r="H3960" s="864">
        <v>189.99</v>
      </c>
      <c r="I3960" s="864">
        <v>2125</v>
      </c>
      <c r="J3960" s="1816">
        <v>0.91200000000000003</v>
      </c>
      <c r="K3960" s="863">
        <v>11.57</v>
      </c>
      <c r="L3960" s="862">
        <v>1419</v>
      </c>
      <c r="M3960" s="862">
        <v>2.34</v>
      </c>
      <c r="N3960" s="862">
        <v>1.85</v>
      </c>
      <c r="O3960" s="862">
        <v>13.84</v>
      </c>
      <c r="P3960" s="862">
        <v>5.6</v>
      </c>
      <c r="R3960" s="647">
        <v>1.824408</v>
      </c>
      <c r="S3960" s="863">
        <v>17.399999999999999</v>
      </c>
      <c r="Y3960" s="1817">
        <v>24</v>
      </c>
      <c r="AA3960" s="647">
        <v>3.77</v>
      </c>
      <c r="AB3960" s="647">
        <v>0.76500000000000001</v>
      </c>
      <c r="AC3960" s="862">
        <v>10.6</v>
      </c>
      <c r="AD3960" s="867">
        <v>400</v>
      </c>
      <c r="AE3960" s="867">
        <v>240</v>
      </c>
      <c r="AF3960" s="867">
        <v>360</v>
      </c>
      <c r="AG3960" s="66">
        <f t="shared" si="147"/>
        <v>170.6575</v>
      </c>
      <c r="AH3960" s="143">
        <f t="shared" si="148"/>
        <v>1000</v>
      </c>
    </row>
    <row r="3961" spans="1:34" s="862" customFormat="1" x14ac:dyDescent="0.3">
      <c r="A3961" s="862">
        <v>204040</v>
      </c>
      <c r="B3961" s="863">
        <v>7.8</v>
      </c>
      <c r="C3961" s="863"/>
      <c r="D3961" s="647">
        <v>8.34</v>
      </c>
      <c r="E3961" s="1573">
        <v>0.83299999999999996</v>
      </c>
      <c r="F3961" s="864">
        <v>916.3</v>
      </c>
      <c r="H3961" s="864">
        <v>108.51</v>
      </c>
      <c r="I3961" s="864">
        <v>1558</v>
      </c>
      <c r="J3961" s="1816">
        <v>0.58099999999999996</v>
      </c>
      <c r="K3961" s="863">
        <v>11.38</v>
      </c>
      <c r="L3961" s="862">
        <v>1273</v>
      </c>
      <c r="M3961" s="862">
        <v>1.08</v>
      </c>
      <c r="N3961" s="862">
        <v>1.01</v>
      </c>
      <c r="O3961" s="862">
        <v>7.35</v>
      </c>
      <c r="P3961" s="862">
        <v>2.99</v>
      </c>
      <c r="R3961" s="647">
        <v>1.6704920000000001</v>
      </c>
      <c r="S3961" s="863">
        <v>12.8</v>
      </c>
      <c r="Y3961" s="1817">
        <v>22</v>
      </c>
      <c r="AA3961" s="647">
        <v>4.05</v>
      </c>
      <c r="AB3961" s="647">
        <v>0.57099999999999995</v>
      </c>
      <c r="AC3961" s="862">
        <v>9</v>
      </c>
      <c r="AD3961" s="867">
        <v>440</v>
      </c>
      <c r="AE3961" s="867">
        <v>240</v>
      </c>
      <c r="AF3961" s="867">
        <v>320</v>
      </c>
      <c r="AG3961" s="66">
        <f t="shared" si="147"/>
        <v>183.11454545454546</v>
      </c>
      <c r="AH3961" s="143">
        <f t="shared" si="148"/>
        <v>1000</v>
      </c>
    </row>
    <row r="3962" spans="1:34" s="862" customFormat="1" x14ac:dyDescent="0.3">
      <c r="A3962" s="862">
        <v>204127</v>
      </c>
      <c r="B3962" s="863">
        <v>0.8</v>
      </c>
      <c r="C3962" s="863"/>
      <c r="D3962" s="647">
        <v>8.52</v>
      </c>
      <c r="E3962" s="1573">
        <v>0.152</v>
      </c>
      <c r="F3962" s="864">
        <v>167.20000000000002</v>
      </c>
      <c r="H3962" s="864">
        <v>167.85</v>
      </c>
      <c r="I3962" s="864">
        <v>164</v>
      </c>
      <c r="J3962" s="1816">
        <v>2.9000000000000001E-2</v>
      </c>
      <c r="K3962" s="863">
        <v>2.63</v>
      </c>
      <c r="L3962" s="862">
        <v>401</v>
      </c>
      <c r="M3962" s="862">
        <v>3.66</v>
      </c>
      <c r="N3962" s="862">
        <v>0.99</v>
      </c>
      <c r="O3962" s="862">
        <v>3.1</v>
      </c>
      <c r="P3962" s="862">
        <v>5.29</v>
      </c>
      <c r="R3962" s="647">
        <v>0.8582599541819026</v>
      </c>
      <c r="S3962" s="863">
        <v>5.8999999999999995</v>
      </c>
      <c r="Y3962" s="1817">
        <v>8.4</v>
      </c>
      <c r="AA3962" s="647">
        <v>4.93</v>
      </c>
      <c r="AB3962" s="647">
        <v>0.77500000000000002</v>
      </c>
      <c r="AC3962" s="862">
        <v>11.7</v>
      </c>
      <c r="AD3962" s="867">
        <v>120</v>
      </c>
      <c r="AE3962" s="867">
        <v>60</v>
      </c>
      <c r="AF3962" s="867">
        <v>820</v>
      </c>
      <c r="AG3962" s="66">
        <f t="shared" si="147"/>
        <v>110.83571428571427</v>
      </c>
      <c r="AH3962" s="143">
        <f t="shared" si="148"/>
        <v>1000</v>
      </c>
    </row>
    <row r="3963" spans="1:34" s="862" customFormat="1" x14ac:dyDescent="0.3">
      <c r="A3963" s="862">
        <v>204128</v>
      </c>
      <c r="B3963" s="863">
        <v>1.3</v>
      </c>
      <c r="C3963" s="863"/>
      <c r="D3963" s="647">
        <v>8.44</v>
      </c>
      <c r="E3963" s="1573">
        <v>0.20100000000000001</v>
      </c>
      <c r="F3963" s="864">
        <v>221.10000000000002</v>
      </c>
      <c r="H3963" s="864">
        <v>372.05</v>
      </c>
      <c r="I3963" s="864">
        <v>200</v>
      </c>
      <c r="J3963" s="1816">
        <v>3.2000000000000001E-2</v>
      </c>
      <c r="K3963" s="863">
        <v>4.62</v>
      </c>
      <c r="L3963" s="862">
        <v>565</v>
      </c>
      <c r="M3963" s="862">
        <v>4.6399999999999997</v>
      </c>
      <c r="N3963" s="862">
        <v>1.73</v>
      </c>
      <c r="O3963" s="862">
        <v>3.95</v>
      </c>
      <c r="P3963" s="862">
        <v>6.07</v>
      </c>
      <c r="R3963" s="647">
        <v>0.8135337911392031</v>
      </c>
      <c r="S3963" s="863">
        <v>5.6000000000000005</v>
      </c>
      <c r="Y3963" s="1817">
        <v>6</v>
      </c>
      <c r="AA3963" s="647">
        <v>4.29</v>
      </c>
      <c r="AB3963" s="647">
        <v>0.76400000000000001</v>
      </c>
      <c r="AC3963" s="862">
        <v>7.3</v>
      </c>
      <c r="AD3963" s="867">
        <v>100</v>
      </c>
      <c r="AE3963" s="867">
        <v>60</v>
      </c>
      <c r="AF3963" s="867">
        <v>840</v>
      </c>
      <c r="AG3963" s="66">
        <f t="shared" si="147"/>
        <v>272.58</v>
      </c>
      <c r="AH3963" s="143">
        <f t="shared" si="148"/>
        <v>1000</v>
      </c>
    </row>
    <row r="3964" spans="1:34" s="862" customFormat="1" x14ac:dyDescent="0.3">
      <c r="A3964" s="862">
        <v>204107</v>
      </c>
      <c r="B3964" s="863">
        <v>14</v>
      </c>
      <c r="C3964" s="863">
        <v>3.4</v>
      </c>
      <c r="D3964" s="647">
        <v>7.9803921568627452</v>
      </c>
      <c r="E3964" s="1573">
        <v>1.466</v>
      </c>
      <c r="F3964" s="864">
        <v>1612.6000000000001</v>
      </c>
      <c r="H3964" s="864">
        <v>93.08</v>
      </c>
      <c r="I3964" s="864">
        <v>418</v>
      </c>
      <c r="J3964" s="1816">
        <v>1.371</v>
      </c>
      <c r="K3964" s="863">
        <v>11.1</v>
      </c>
      <c r="L3964" s="862">
        <v>1060</v>
      </c>
      <c r="M3964" s="862">
        <v>2</v>
      </c>
      <c r="N3964" s="862">
        <v>0.85</v>
      </c>
      <c r="O3964" s="862">
        <v>5.66</v>
      </c>
      <c r="P3964" s="862">
        <v>4.07</v>
      </c>
      <c r="R3964" s="647">
        <v>0.7324210334321728</v>
      </c>
      <c r="S3964" s="863">
        <v>4.8</v>
      </c>
      <c r="Y3964" s="1817">
        <v>22.8</v>
      </c>
      <c r="AA3964" s="647">
        <v>4.6399999999999997</v>
      </c>
      <c r="AB3964" s="647">
        <v>0.88200000000000001</v>
      </c>
      <c r="AC3964" s="862">
        <v>10.3</v>
      </c>
      <c r="AD3964" s="867">
        <v>380</v>
      </c>
      <c r="AE3964" s="867">
        <v>180</v>
      </c>
      <c r="AF3964" s="867">
        <v>440</v>
      </c>
      <c r="AG3964" s="66">
        <f t="shared" si="147"/>
        <v>172.34210526315786</v>
      </c>
      <c r="AH3964" s="143">
        <f t="shared" si="148"/>
        <v>1000</v>
      </c>
    </row>
    <row r="3965" spans="1:34" s="862" customFormat="1" x14ac:dyDescent="0.3">
      <c r="A3965" s="862">
        <v>204108</v>
      </c>
      <c r="B3965" s="863">
        <v>28</v>
      </c>
      <c r="C3965" s="863">
        <v>11.4</v>
      </c>
      <c r="D3965" s="647">
        <v>8.6960784313725483</v>
      </c>
      <c r="E3965" s="1573">
        <v>0.26400000000000001</v>
      </c>
      <c r="F3965" s="864">
        <v>290.40000000000003</v>
      </c>
      <c r="H3965" s="864">
        <v>23.93</v>
      </c>
      <c r="I3965" s="864">
        <v>280</v>
      </c>
      <c r="J3965" s="1816">
        <v>0.221</v>
      </c>
      <c r="K3965" s="863">
        <v>10.39</v>
      </c>
      <c r="L3965" s="862">
        <v>460</v>
      </c>
      <c r="M3965" s="862">
        <v>2.13</v>
      </c>
      <c r="N3965" s="862">
        <v>0.46</v>
      </c>
      <c r="O3965" s="862">
        <v>2.76</v>
      </c>
      <c r="P3965" s="862">
        <v>2.15</v>
      </c>
      <c r="R3965" s="647">
        <v>0.37450106241959324</v>
      </c>
      <c r="S3965" s="863">
        <v>2.8000000000000003</v>
      </c>
      <c r="Y3965" s="1817">
        <v>28</v>
      </c>
      <c r="AA3965" s="647">
        <v>4.51</v>
      </c>
      <c r="AB3965" s="647">
        <v>0.65200000000000002</v>
      </c>
      <c r="AC3965" s="862">
        <v>8.9</v>
      </c>
      <c r="AD3965" s="867">
        <v>400</v>
      </c>
      <c r="AE3965" s="867">
        <v>180</v>
      </c>
      <c r="AF3965" s="867">
        <v>420</v>
      </c>
      <c r="AG3965" s="66">
        <f t="shared" si="147"/>
        <v>131.3592857142857</v>
      </c>
      <c r="AH3965" s="143">
        <f t="shared" si="148"/>
        <v>1000</v>
      </c>
    </row>
    <row r="3966" spans="1:34" s="862" customFormat="1" x14ac:dyDescent="0.3">
      <c r="A3966" s="862">
        <v>204109</v>
      </c>
      <c r="B3966" s="863">
        <v>17.8</v>
      </c>
      <c r="C3966" s="863">
        <v>3.9</v>
      </c>
      <c r="D3966" s="647">
        <v>8.4509803921568611</v>
      </c>
      <c r="E3966" s="1573">
        <v>0.26200000000000001</v>
      </c>
      <c r="F3966" s="864">
        <v>288.2</v>
      </c>
      <c r="H3966" s="864">
        <v>91.05</v>
      </c>
      <c r="I3966" s="864">
        <v>240</v>
      </c>
      <c r="J3966" s="1816">
        <v>0.215</v>
      </c>
      <c r="K3966" s="863">
        <v>10.48</v>
      </c>
      <c r="L3966" s="862">
        <v>550</v>
      </c>
      <c r="M3966" s="862">
        <v>7.16</v>
      </c>
      <c r="N3966" s="862">
        <v>0.65</v>
      </c>
      <c r="O3966" s="862">
        <v>5.34</v>
      </c>
      <c r="P3966" s="862">
        <v>4.37</v>
      </c>
      <c r="R3966" s="647">
        <v>0.40593397663134773</v>
      </c>
      <c r="S3966" s="863">
        <v>2.9</v>
      </c>
      <c r="Y3966" s="1817">
        <v>27.3</v>
      </c>
      <c r="AA3966" s="647">
        <v>4.66</v>
      </c>
      <c r="AB3966" s="647">
        <v>0.69299999999999995</v>
      </c>
      <c r="AC3966" s="862">
        <v>8.1999999999999993</v>
      </c>
      <c r="AD3966" s="867">
        <v>390</v>
      </c>
      <c r="AE3966" s="867">
        <v>180</v>
      </c>
      <c r="AF3966" s="867">
        <v>430</v>
      </c>
      <c r="AG3966" s="66">
        <f t="shared" si="147"/>
        <v>135.89450549450552</v>
      </c>
      <c r="AH3966" s="143">
        <f t="shared" si="148"/>
        <v>1000</v>
      </c>
    </row>
    <row r="3967" spans="1:34" s="862" customFormat="1" x14ac:dyDescent="0.3">
      <c r="A3967" s="862">
        <v>204110</v>
      </c>
      <c r="B3967" s="863">
        <v>59.2</v>
      </c>
      <c r="C3967" s="863">
        <v>13.4</v>
      </c>
      <c r="D3967" s="647">
        <v>8.4411764705882337</v>
      </c>
      <c r="E3967" s="1573">
        <v>0.41499999999999998</v>
      </c>
      <c r="F3967" s="864">
        <v>456.5</v>
      </c>
      <c r="H3967" s="864">
        <v>166.16</v>
      </c>
      <c r="I3967" s="864">
        <v>130</v>
      </c>
      <c r="J3967" s="1816">
        <v>0.34300000000000003</v>
      </c>
      <c r="K3967" s="863">
        <v>10.41</v>
      </c>
      <c r="L3967" s="862">
        <v>630</v>
      </c>
      <c r="M3967" s="862">
        <v>20.309999999999999</v>
      </c>
      <c r="N3967" s="862">
        <v>0.93</v>
      </c>
      <c r="O3967" s="862">
        <v>4.96</v>
      </c>
      <c r="P3967" s="862">
        <v>15.27</v>
      </c>
      <c r="R3967" s="647">
        <v>1.6061130000000001</v>
      </c>
      <c r="S3967" s="863">
        <v>11.100000000000001</v>
      </c>
      <c r="Y3967" s="1817">
        <v>26.6</v>
      </c>
      <c r="AA3967" s="647">
        <v>3.47</v>
      </c>
      <c r="AB3967" s="647">
        <v>0.54500000000000004</v>
      </c>
      <c r="AC3967" s="862">
        <v>7.4</v>
      </c>
      <c r="AD3967" s="867">
        <v>380</v>
      </c>
      <c r="AE3967" s="867">
        <v>160</v>
      </c>
      <c r="AF3967" s="867">
        <v>460</v>
      </c>
      <c r="AG3967" s="66">
        <f t="shared" si="147"/>
        <v>138.5390977443609</v>
      </c>
      <c r="AH3967" s="143">
        <f t="shared" si="148"/>
        <v>1000</v>
      </c>
    </row>
    <row r="3968" spans="1:34" s="862" customFormat="1" x14ac:dyDescent="0.3">
      <c r="A3968" s="862">
        <v>204111</v>
      </c>
      <c r="B3968" s="863">
        <v>11.4</v>
      </c>
      <c r="C3968" s="863">
        <v>4.3</v>
      </c>
      <c r="D3968" s="647">
        <v>8.1666666666666661</v>
      </c>
      <c r="E3968" s="1573">
        <v>0.30099999999999999</v>
      </c>
      <c r="F3968" s="864">
        <v>331.1</v>
      </c>
      <c r="H3968" s="864">
        <v>316.38</v>
      </c>
      <c r="I3968" s="864">
        <v>424</v>
      </c>
      <c r="J3968" s="1816">
        <v>0.20699999999999999</v>
      </c>
      <c r="K3968" s="863">
        <v>10.19</v>
      </c>
      <c r="L3968" s="862">
        <v>720</v>
      </c>
      <c r="M3968" s="862">
        <v>37.58</v>
      </c>
      <c r="N3968" s="862">
        <v>1</v>
      </c>
      <c r="O3968" s="862">
        <v>7.43</v>
      </c>
      <c r="P3968" s="862">
        <v>15.61</v>
      </c>
      <c r="R3968" s="647">
        <v>1.9267129999999999</v>
      </c>
      <c r="S3968" s="863">
        <v>21.099999999999998</v>
      </c>
      <c r="Y3968" s="1817">
        <v>28</v>
      </c>
      <c r="AA3968" s="647">
        <v>3.49</v>
      </c>
      <c r="AB3968" s="647">
        <v>0.76700000000000002</v>
      </c>
      <c r="AC3968" s="862">
        <v>10.1</v>
      </c>
      <c r="AD3968" s="867">
        <v>400</v>
      </c>
      <c r="AE3968" s="867">
        <v>150</v>
      </c>
      <c r="AF3968" s="867">
        <v>450</v>
      </c>
      <c r="AG3968" s="66">
        <f t="shared" si="147"/>
        <v>128.83071428571429</v>
      </c>
      <c r="AH3968" s="143">
        <f t="shared" si="148"/>
        <v>1000</v>
      </c>
    </row>
    <row r="3969" spans="1:34" s="862" customFormat="1" x14ac:dyDescent="0.3">
      <c r="A3969" s="862">
        <v>204112</v>
      </c>
      <c r="B3969" s="863">
        <v>54.7</v>
      </c>
      <c r="C3969" s="863">
        <v>13.1</v>
      </c>
      <c r="D3969" s="647">
        <v>8.4117647058823533</v>
      </c>
      <c r="E3969" s="1573">
        <v>0.32800000000000001</v>
      </c>
      <c r="F3969" s="864">
        <v>360.80000000000007</v>
      </c>
      <c r="H3969" s="864">
        <v>124.93</v>
      </c>
      <c r="I3969" s="864">
        <v>290</v>
      </c>
      <c r="J3969" s="1816">
        <v>0.20200000000000001</v>
      </c>
      <c r="K3969" s="863">
        <v>10.7</v>
      </c>
      <c r="L3969" s="862">
        <v>640</v>
      </c>
      <c r="M3969" s="862">
        <v>13.94</v>
      </c>
      <c r="N3969" s="862">
        <v>1.76</v>
      </c>
      <c r="O3969" s="862">
        <v>4.57</v>
      </c>
      <c r="P3969" s="862">
        <v>3.87</v>
      </c>
      <c r="R3969" s="647">
        <v>0.75852566300942503</v>
      </c>
      <c r="S3969" s="863">
        <v>5</v>
      </c>
      <c r="Y3969" s="1817">
        <v>28</v>
      </c>
      <c r="AA3969" s="647">
        <v>4.8600000000000003</v>
      </c>
      <c r="AB3969" s="647">
        <v>0.57099999999999995</v>
      </c>
      <c r="AC3969" s="862">
        <v>8.8000000000000007</v>
      </c>
      <c r="AD3969" s="867">
        <v>400</v>
      </c>
      <c r="AE3969" s="867">
        <v>160</v>
      </c>
      <c r="AF3969" s="867">
        <v>440</v>
      </c>
      <c r="AG3969" s="66">
        <f t="shared" si="147"/>
        <v>135.27857142857144</v>
      </c>
      <c r="AH3969" s="143">
        <f t="shared" si="148"/>
        <v>1000</v>
      </c>
    </row>
    <row r="3970" spans="1:34" s="862" customFormat="1" x14ac:dyDescent="0.3">
      <c r="A3970" s="862">
        <v>204113</v>
      </c>
      <c r="B3970" s="863">
        <v>20.8</v>
      </c>
      <c r="C3970" s="863">
        <v>5.8</v>
      </c>
      <c r="D3970" s="647">
        <v>8.2843137254901951</v>
      </c>
      <c r="E3970" s="1573">
        <v>0.97599999999999998</v>
      </c>
      <c r="F3970" s="864">
        <v>1073.6000000000001</v>
      </c>
      <c r="H3970" s="864">
        <v>27.73</v>
      </c>
      <c r="I3970" s="864">
        <v>389</v>
      </c>
      <c r="J3970" s="1816">
        <v>0.61399999999999999</v>
      </c>
      <c r="K3970" s="863">
        <v>10.83</v>
      </c>
      <c r="L3970" s="862">
        <v>730</v>
      </c>
      <c r="M3970" s="862">
        <v>1.85</v>
      </c>
      <c r="N3970" s="862">
        <v>3.67</v>
      </c>
      <c r="O3970" s="862">
        <v>10.32</v>
      </c>
      <c r="P3970" s="862">
        <v>2.4300000000000002</v>
      </c>
      <c r="R3970" s="647">
        <v>0.57756320348228463</v>
      </c>
      <c r="S3970" s="863">
        <v>3.9000000000000004</v>
      </c>
      <c r="Y3970" s="1817">
        <v>28</v>
      </c>
      <c r="AA3970" s="647">
        <v>3.69</v>
      </c>
      <c r="AB3970" s="647">
        <v>0.65700000000000003</v>
      </c>
      <c r="AC3970" s="862">
        <v>11.8</v>
      </c>
      <c r="AD3970" s="867">
        <v>400</v>
      </c>
      <c r="AE3970" s="867">
        <v>150</v>
      </c>
      <c r="AF3970" s="867">
        <v>450</v>
      </c>
      <c r="AG3970" s="66">
        <f t="shared" ref="AG3970:AG4033" si="149">+K3970*3.54*100/Y3970</f>
        <v>136.92214285714286</v>
      </c>
      <c r="AH3970" s="143">
        <f t="shared" ref="AH3970:AH4033" si="150">+SUM(AD3970:AF3970)</f>
        <v>1000</v>
      </c>
    </row>
    <row r="3971" spans="1:34" s="862" customFormat="1" x14ac:dyDescent="0.3">
      <c r="A3971" s="862">
        <v>204114</v>
      </c>
      <c r="B3971" s="863">
        <v>19.8</v>
      </c>
      <c r="C3971" s="863">
        <v>2.2999999999999998</v>
      </c>
      <c r="D3971" s="647">
        <v>8.2254901960784323</v>
      </c>
      <c r="E3971" s="1573">
        <v>0.65700000000000003</v>
      </c>
      <c r="F3971" s="864">
        <v>722.70000000000016</v>
      </c>
      <c r="H3971" s="864">
        <v>184.92</v>
      </c>
      <c r="I3971" s="864">
        <v>180</v>
      </c>
      <c r="J3971" s="1816">
        <v>0.47299999999999998</v>
      </c>
      <c r="K3971" s="863">
        <v>8.7100000000000009</v>
      </c>
      <c r="L3971" s="862">
        <v>670</v>
      </c>
      <c r="M3971" s="862">
        <v>5.01</v>
      </c>
      <c r="N3971" s="862">
        <v>1.46</v>
      </c>
      <c r="O3971" s="862">
        <v>28.01</v>
      </c>
      <c r="P3971" s="862">
        <v>7.11</v>
      </c>
      <c r="R3971" s="647">
        <v>0.93043945447573062</v>
      </c>
      <c r="S3971" s="863">
        <v>6.8999999999999995</v>
      </c>
      <c r="Y3971" s="1817">
        <v>21</v>
      </c>
      <c r="AA3971" s="647">
        <v>4.46</v>
      </c>
      <c r="AB3971" s="647">
        <v>0.73499999999999999</v>
      </c>
      <c r="AC3971" s="862">
        <v>11</v>
      </c>
      <c r="AD3971" s="867">
        <v>300</v>
      </c>
      <c r="AE3971" s="867">
        <v>130</v>
      </c>
      <c r="AF3971" s="867">
        <v>570</v>
      </c>
      <c r="AG3971" s="66">
        <f t="shared" si="149"/>
        <v>146.82571428571433</v>
      </c>
      <c r="AH3971" s="143">
        <f t="shared" si="150"/>
        <v>1000</v>
      </c>
    </row>
    <row r="3972" spans="1:34" s="862" customFormat="1" x14ac:dyDescent="0.3">
      <c r="A3972" s="862">
        <v>204115</v>
      </c>
      <c r="B3972" s="863">
        <v>12.5</v>
      </c>
      <c r="C3972" s="863">
        <v>3.1</v>
      </c>
      <c r="D3972" s="647">
        <v>8.4509803921568611</v>
      </c>
      <c r="E3972" s="1573">
        <v>0.246</v>
      </c>
      <c r="F3972" s="864">
        <v>270.60000000000002</v>
      </c>
      <c r="H3972" s="864">
        <v>23.02</v>
      </c>
      <c r="I3972" s="864">
        <v>260</v>
      </c>
      <c r="J3972" s="1816">
        <v>0.224</v>
      </c>
      <c r="K3972" s="863">
        <v>10.45</v>
      </c>
      <c r="L3972" s="862">
        <v>630</v>
      </c>
      <c r="M3972" s="862">
        <v>2.68</v>
      </c>
      <c r="N3972" s="862">
        <v>1.18</v>
      </c>
      <c r="O3972" s="862">
        <v>14.66</v>
      </c>
      <c r="P3972" s="862">
        <v>3.97</v>
      </c>
      <c r="R3972" s="647">
        <v>0.55280040930756136</v>
      </c>
      <c r="S3972" s="863">
        <v>4.0999999999999996</v>
      </c>
      <c r="Y3972" s="1817">
        <v>28</v>
      </c>
      <c r="AA3972" s="647">
        <v>4.93</v>
      </c>
      <c r="AB3972" s="647">
        <v>0.27100000000000002</v>
      </c>
      <c r="AC3972" s="862">
        <v>7.2</v>
      </c>
      <c r="AD3972" s="867">
        <v>400</v>
      </c>
      <c r="AE3972" s="867">
        <v>160</v>
      </c>
      <c r="AF3972" s="867">
        <v>440</v>
      </c>
      <c r="AG3972" s="66">
        <f t="shared" si="149"/>
        <v>132.1178571428571</v>
      </c>
      <c r="AH3972" s="143">
        <f t="shared" si="150"/>
        <v>1000</v>
      </c>
    </row>
    <row r="3973" spans="1:34" s="862" customFormat="1" x14ac:dyDescent="0.3">
      <c r="A3973" s="862">
        <v>204116</v>
      </c>
      <c r="B3973" s="863">
        <v>17.100000000000001</v>
      </c>
      <c r="C3973" s="863">
        <v>5.0999999999999996</v>
      </c>
      <c r="D3973" s="647">
        <v>8.4215686274509807</v>
      </c>
      <c r="E3973" s="1573">
        <v>0.35499999999999998</v>
      </c>
      <c r="F3973" s="864">
        <v>390.5</v>
      </c>
      <c r="H3973" s="864">
        <v>134.44999999999999</v>
      </c>
      <c r="I3973" s="864">
        <v>396</v>
      </c>
      <c r="J3973" s="1816">
        <v>0.219</v>
      </c>
      <c r="K3973" s="863">
        <v>10.55</v>
      </c>
      <c r="L3973" s="862">
        <v>700</v>
      </c>
      <c r="M3973" s="862">
        <v>15.83</v>
      </c>
      <c r="N3973" s="862">
        <v>4.17</v>
      </c>
      <c r="O3973" s="862">
        <v>22.52</v>
      </c>
      <c r="P3973" s="862">
        <v>7.57</v>
      </c>
      <c r="R3973" s="647">
        <v>0.8529496422511309</v>
      </c>
      <c r="S3973" s="863">
        <v>5.8999999999999995</v>
      </c>
      <c r="Y3973" s="1817">
        <v>20</v>
      </c>
      <c r="AA3973" s="647">
        <v>3.65</v>
      </c>
      <c r="AB3973" s="647">
        <v>0.85899999999999999</v>
      </c>
      <c r="AC3973" s="862">
        <v>9.5</v>
      </c>
      <c r="AD3973" s="867">
        <v>400</v>
      </c>
      <c r="AE3973" s="867">
        <v>180</v>
      </c>
      <c r="AF3973" s="867">
        <v>420</v>
      </c>
      <c r="AG3973" s="66">
        <f t="shared" si="149"/>
        <v>186.73500000000001</v>
      </c>
      <c r="AH3973" s="143">
        <f t="shared" si="150"/>
        <v>1000</v>
      </c>
    </row>
    <row r="3974" spans="1:34" s="862" customFormat="1" x14ac:dyDescent="0.3">
      <c r="A3974" s="862">
        <v>204117</v>
      </c>
      <c r="B3974" s="863">
        <v>48.3</v>
      </c>
      <c r="C3974" s="863">
        <v>9.9</v>
      </c>
      <c r="D3974" s="647">
        <v>8.7156862745098049</v>
      </c>
      <c r="E3974" s="1573">
        <v>0.27100000000000002</v>
      </c>
      <c r="F3974" s="864">
        <v>298.10000000000002</v>
      </c>
      <c r="H3974" s="864">
        <v>41.75</v>
      </c>
      <c r="I3974" s="864">
        <v>140</v>
      </c>
      <c r="J3974" s="1816">
        <v>0.20200000000000001</v>
      </c>
      <c r="K3974" s="863">
        <v>10.6</v>
      </c>
      <c r="L3974" s="862">
        <v>500</v>
      </c>
      <c r="M3974" s="862">
        <v>2.3199999999999998</v>
      </c>
      <c r="N3974" s="862">
        <v>0.68</v>
      </c>
      <c r="O3974" s="862">
        <v>3.65</v>
      </c>
      <c r="P3974" s="862">
        <v>2.76</v>
      </c>
      <c r="R3974" s="647">
        <v>0.56840422385794498</v>
      </c>
      <c r="S3974" s="863">
        <v>4</v>
      </c>
      <c r="Y3974" s="1817">
        <v>25.2</v>
      </c>
      <c r="AA3974" s="647">
        <v>4.59</v>
      </c>
      <c r="AB3974" s="647">
        <v>0.67500000000000004</v>
      </c>
      <c r="AC3974" s="862">
        <v>8.6</v>
      </c>
      <c r="AD3974" s="867">
        <v>360</v>
      </c>
      <c r="AE3974" s="867">
        <v>160</v>
      </c>
      <c r="AF3974" s="867">
        <v>480</v>
      </c>
      <c r="AG3974" s="66">
        <f t="shared" si="149"/>
        <v>148.90476190476193</v>
      </c>
      <c r="AH3974" s="143">
        <f t="shared" si="150"/>
        <v>1000</v>
      </c>
    </row>
    <row r="3975" spans="1:34" s="862" customFormat="1" x14ac:dyDescent="0.3">
      <c r="A3975" s="862">
        <v>204118</v>
      </c>
      <c r="B3975" s="863">
        <v>19.7</v>
      </c>
      <c r="C3975" s="863">
        <v>5.8</v>
      </c>
      <c r="D3975" s="647">
        <v>8.5588235294117645</v>
      </c>
      <c r="E3975" s="1573">
        <v>0.29299999999999998</v>
      </c>
      <c r="F3975" s="864">
        <v>322.3</v>
      </c>
      <c r="H3975" s="864">
        <v>66.180000000000007</v>
      </c>
      <c r="I3975" s="864">
        <v>432</v>
      </c>
      <c r="J3975" s="1816">
        <v>0.23899999999999999</v>
      </c>
      <c r="K3975" s="863">
        <v>10.93</v>
      </c>
      <c r="L3975" s="862">
        <v>590</v>
      </c>
      <c r="M3975" s="862">
        <v>2.72</v>
      </c>
      <c r="N3975" s="862">
        <v>0.64</v>
      </c>
      <c r="O3975" s="862">
        <v>6.73</v>
      </c>
      <c r="P3975" s="862">
        <v>3.05</v>
      </c>
      <c r="R3975" s="647">
        <v>0.53716107796279067</v>
      </c>
      <c r="S3975" s="863">
        <v>3.9000000000000004</v>
      </c>
      <c r="Y3975" s="1817">
        <v>19.5</v>
      </c>
      <c r="AA3975" s="647">
        <v>4.37</v>
      </c>
      <c r="AB3975" s="647">
        <v>0.46700000000000003</v>
      </c>
      <c r="AC3975" s="862">
        <v>8.3000000000000007</v>
      </c>
      <c r="AD3975" s="867">
        <v>390</v>
      </c>
      <c r="AE3975" s="867">
        <v>180</v>
      </c>
      <c r="AF3975" s="867">
        <v>430</v>
      </c>
      <c r="AG3975" s="66">
        <f t="shared" si="149"/>
        <v>198.42153846153846</v>
      </c>
      <c r="AH3975" s="143">
        <f t="shared" si="150"/>
        <v>1000</v>
      </c>
    </row>
    <row r="3976" spans="1:34" s="862" customFormat="1" x14ac:dyDescent="0.3">
      <c r="A3976" s="862">
        <v>204119</v>
      </c>
      <c r="B3976" s="863">
        <v>32</v>
      </c>
      <c r="C3976" s="863">
        <v>10.3</v>
      </c>
      <c r="D3976" s="647">
        <v>8.5</v>
      </c>
      <c r="E3976" s="1573">
        <v>0.55300000000000005</v>
      </c>
      <c r="F3976" s="864">
        <v>608.30000000000007</v>
      </c>
      <c r="H3976" s="864">
        <v>61.06</v>
      </c>
      <c r="I3976" s="864">
        <v>180</v>
      </c>
      <c r="J3976" s="1816">
        <v>0.48</v>
      </c>
      <c r="K3976" s="863">
        <v>10.88</v>
      </c>
      <c r="L3976" s="862">
        <v>670</v>
      </c>
      <c r="M3976" s="862">
        <v>4.8</v>
      </c>
      <c r="N3976" s="862">
        <v>1.1499999999999999</v>
      </c>
      <c r="O3976" s="862">
        <v>8.26</v>
      </c>
      <c r="P3976" s="862">
        <v>7.75</v>
      </c>
      <c r="R3976" s="647">
        <v>0.73318965055780561</v>
      </c>
      <c r="S3976" s="863">
        <v>5.3000000000000007</v>
      </c>
      <c r="Y3976" s="1817">
        <v>24</v>
      </c>
      <c r="AA3976" s="647">
        <v>4.5599999999999996</v>
      </c>
      <c r="AB3976" s="647">
        <v>0.84399999999999997</v>
      </c>
      <c r="AC3976" s="862">
        <v>8.4</v>
      </c>
      <c r="AD3976" s="867">
        <v>400</v>
      </c>
      <c r="AE3976" s="867">
        <v>180</v>
      </c>
      <c r="AF3976" s="867">
        <v>420</v>
      </c>
      <c r="AG3976" s="66">
        <f t="shared" si="149"/>
        <v>160.47999999999999</v>
      </c>
      <c r="AH3976" s="143">
        <f t="shared" si="150"/>
        <v>1000</v>
      </c>
    </row>
    <row r="3977" spans="1:34" s="862" customFormat="1" x14ac:dyDescent="0.3">
      <c r="A3977" s="862">
        <v>204120</v>
      </c>
      <c r="B3977" s="863">
        <v>27.2</v>
      </c>
      <c r="C3977" s="863">
        <v>10.4</v>
      </c>
      <c r="D3977" s="647">
        <v>8.6960784313725483</v>
      </c>
      <c r="E3977" s="1573">
        <v>0.246</v>
      </c>
      <c r="F3977" s="864">
        <v>270.60000000000002</v>
      </c>
      <c r="H3977" s="864">
        <v>93.29</v>
      </c>
      <c r="I3977" s="864">
        <v>395</v>
      </c>
      <c r="J3977" s="1816">
        <v>0.28599999999999998</v>
      </c>
      <c r="K3977" s="863">
        <v>11.23</v>
      </c>
      <c r="L3977" s="862">
        <v>820</v>
      </c>
      <c r="M3977" s="862">
        <v>4.6399999999999997</v>
      </c>
      <c r="N3977" s="862">
        <v>1.77</v>
      </c>
      <c r="O3977" s="862">
        <v>6.47</v>
      </c>
      <c r="P3977" s="862">
        <v>7.3</v>
      </c>
      <c r="R3977" s="647">
        <v>0.8742181449237687</v>
      </c>
      <c r="S3977" s="863">
        <v>5.6999999999999993</v>
      </c>
      <c r="Y3977" s="1817">
        <v>26.4</v>
      </c>
      <c r="AA3977" s="647">
        <v>4.3899999999999997</v>
      </c>
      <c r="AB3977" s="647">
        <v>0.66100000000000003</v>
      </c>
      <c r="AC3977" s="862">
        <v>10.3</v>
      </c>
      <c r="AD3977" s="867">
        <v>440</v>
      </c>
      <c r="AE3977" s="867">
        <v>180</v>
      </c>
      <c r="AF3977" s="867">
        <v>380</v>
      </c>
      <c r="AG3977" s="66">
        <f t="shared" si="149"/>
        <v>150.58409090909095</v>
      </c>
      <c r="AH3977" s="143">
        <f t="shared" si="150"/>
        <v>1000</v>
      </c>
    </row>
    <row r="3978" spans="1:34" s="862" customFormat="1" x14ac:dyDescent="0.3">
      <c r="A3978" s="862">
        <v>204121</v>
      </c>
      <c r="B3978" s="863">
        <v>14</v>
      </c>
      <c r="C3978" s="863">
        <v>3.9</v>
      </c>
      <c r="D3978" s="647">
        <v>8.7745098039215677</v>
      </c>
      <c r="E3978" s="1573">
        <v>0.16500000000000001</v>
      </c>
      <c r="F3978" s="864">
        <v>181.50000000000003</v>
      </c>
      <c r="H3978" s="864">
        <v>81.27</v>
      </c>
      <c r="I3978" s="864">
        <v>170</v>
      </c>
      <c r="J3978" s="1816">
        <v>0.17699999999999999</v>
      </c>
      <c r="K3978" s="863">
        <v>10.23</v>
      </c>
      <c r="L3978" s="862">
        <v>630</v>
      </c>
      <c r="M3978" s="862">
        <v>5.32</v>
      </c>
      <c r="N3978" s="862">
        <v>1</v>
      </c>
      <c r="O3978" s="862">
        <v>8.9700000000000006</v>
      </c>
      <c r="P3978" s="862">
        <v>14.16</v>
      </c>
      <c r="R3978" s="647">
        <v>1.0577868442126215</v>
      </c>
      <c r="S3978" s="863">
        <v>7.1999999999999993</v>
      </c>
      <c r="Y3978" s="1817">
        <v>27.3</v>
      </c>
      <c r="AA3978" s="647">
        <v>4.33</v>
      </c>
      <c r="AB3978" s="647">
        <v>0.67100000000000004</v>
      </c>
      <c r="AC3978" s="862">
        <v>10.199999999999999</v>
      </c>
      <c r="AD3978" s="867">
        <v>390</v>
      </c>
      <c r="AE3978" s="867">
        <v>160</v>
      </c>
      <c r="AF3978" s="867">
        <v>450</v>
      </c>
      <c r="AG3978" s="66">
        <f t="shared" si="149"/>
        <v>132.65274725274728</v>
      </c>
      <c r="AH3978" s="143">
        <f t="shared" si="150"/>
        <v>1000</v>
      </c>
    </row>
    <row r="3979" spans="1:34" s="862" customFormat="1" x14ac:dyDescent="0.3">
      <c r="A3979" s="862">
        <v>204122</v>
      </c>
      <c r="B3979" s="863">
        <v>17.5</v>
      </c>
      <c r="C3979" s="863">
        <v>7.1</v>
      </c>
      <c r="D3979" s="647">
        <v>8.4607843137254903</v>
      </c>
      <c r="E3979" s="1573">
        <v>0.5</v>
      </c>
      <c r="F3979" s="864">
        <v>550</v>
      </c>
      <c r="H3979" s="864">
        <v>20.39</v>
      </c>
      <c r="I3979" s="864">
        <v>669</v>
      </c>
      <c r="J3979" s="1816">
        <v>0.92500000000000004</v>
      </c>
      <c r="K3979" s="863">
        <v>10.48</v>
      </c>
      <c r="L3979" s="862">
        <v>1470</v>
      </c>
      <c r="M3979" s="862">
        <v>0.5</v>
      </c>
      <c r="N3979" s="862">
        <v>1.18</v>
      </c>
      <c r="O3979" s="862">
        <v>10.050000000000001</v>
      </c>
      <c r="P3979" s="862">
        <v>5.13</v>
      </c>
      <c r="R3979" s="647">
        <v>1.7478000000000002</v>
      </c>
      <c r="S3979" s="863">
        <v>15</v>
      </c>
      <c r="Y3979" s="1817">
        <v>34.799999999999997</v>
      </c>
      <c r="AA3979" s="647">
        <v>4.01</v>
      </c>
      <c r="AB3979" s="647">
        <v>0.28499999999999998</v>
      </c>
      <c r="AC3979" s="862">
        <v>11.2</v>
      </c>
      <c r="AD3979" s="867">
        <v>580</v>
      </c>
      <c r="AE3979" s="867">
        <v>280</v>
      </c>
      <c r="AF3979" s="867">
        <v>140</v>
      </c>
      <c r="AG3979" s="66">
        <f t="shared" si="149"/>
        <v>106.60689655172416</v>
      </c>
      <c r="AH3979" s="143">
        <f t="shared" si="150"/>
        <v>1000</v>
      </c>
    </row>
    <row r="3980" spans="1:34" s="862" customFormat="1" x14ac:dyDescent="0.3">
      <c r="A3980" s="862">
        <v>204123</v>
      </c>
      <c r="B3980" s="863">
        <v>15.2</v>
      </c>
      <c r="C3980" s="863">
        <v>5.9</v>
      </c>
      <c r="D3980" s="647">
        <v>8.3627450980392144</v>
      </c>
      <c r="E3980" s="1573">
        <v>0.40400000000000003</v>
      </c>
      <c r="F3980" s="864">
        <v>444.40000000000009</v>
      </c>
      <c r="H3980" s="864">
        <v>38.01</v>
      </c>
      <c r="I3980" s="864">
        <v>892</v>
      </c>
      <c r="J3980" s="1816">
        <v>0.49399999999999999</v>
      </c>
      <c r="K3980" s="863">
        <v>11.95</v>
      </c>
      <c r="L3980" s="862">
        <v>970</v>
      </c>
      <c r="M3980" s="862">
        <v>0.74</v>
      </c>
      <c r="N3980" s="862">
        <v>1.38</v>
      </c>
      <c r="O3980" s="862">
        <v>6</v>
      </c>
      <c r="P3980" s="862">
        <v>3.85</v>
      </c>
      <c r="R3980" s="647">
        <v>1.7966250000000001</v>
      </c>
      <c r="S3980" s="863">
        <v>16.5</v>
      </c>
      <c r="Y3980" s="1817">
        <v>39.200000000000003</v>
      </c>
      <c r="AA3980" s="647">
        <v>4.8600000000000003</v>
      </c>
      <c r="AB3980" s="647">
        <v>0.48099999999999998</v>
      </c>
      <c r="AC3980" s="862">
        <v>7.9</v>
      </c>
      <c r="AD3980" s="867">
        <v>590</v>
      </c>
      <c r="AE3980" s="867">
        <v>260</v>
      </c>
      <c r="AF3980" s="867">
        <v>150</v>
      </c>
      <c r="AG3980" s="66">
        <f t="shared" si="149"/>
        <v>107.91581632653059</v>
      </c>
      <c r="AH3980" s="143">
        <f t="shared" si="150"/>
        <v>1000</v>
      </c>
    </row>
    <row r="3981" spans="1:34" s="862" customFormat="1" x14ac:dyDescent="0.3">
      <c r="A3981" s="862">
        <v>204124</v>
      </c>
      <c r="B3981" s="863">
        <v>49.2</v>
      </c>
      <c r="C3981" s="863">
        <v>7.9</v>
      </c>
      <c r="D3981" s="647">
        <v>7.8039215686274508</v>
      </c>
      <c r="E3981" s="1573">
        <v>2.202</v>
      </c>
      <c r="F3981" s="864">
        <v>2422.2000000000003</v>
      </c>
      <c r="H3981" s="864">
        <v>7.05</v>
      </c>
      <c r="I3981" s="864">
        <v>160</v>
      </c>
      <c r="J3981" s="1816">
        <v>3.1E-2</v>
      </c>
      <c r="K3981" s="863">
        <v>19.38</v>
      </c>
      <c r="L3981" s="862">
        <v>160</v>
      </c>
      <c r="M3981" s="862">
        <v>0.08</v>
      </c>
      <c r="N3981" s="862">
        <v>0.22</v>
      </c>
      <c r="O3981" s="862">
        <v>2.27</v>
      </c>
      <c r="P3981" s="862">
        <v>2.63</v>
      </c>
      <c r="R3981" s="647">
        <v>0.67404742378266791</v>
      </c>
      <c r="S3981" s="863">
        <v>4.4000000000000004</v>
      </c>
      <c r="Y3981" s="1817">
        <v>20</v>
      </c>
      <c r="AA3981" s="647">
        <v>3.73</v>
      </c>
      <c r="AB3981" s="647">
        <v>0.83599999999999997</v>
      </c>
      <c r="AC3981" s="862">
        <v>6</v>
      </c>
      <c r="AD3981" s="867">
        <v>400</v>
      </c>
      <c r="AE3981" s="867">
        <v>160</v>
      </c>
      <c r="AF3981" s="867">
        <v>440</v>
      </c>
      <c r="AG3981" s="66">
        <f t="shared" si="149"/>
        <v>343.02599999999995</v>
      </c>
      <c r="AH3981" s="143">
        <f t="shared" si="150"/>
        <v>1000</v>
      </c>
    </row>
    <row r="3982" spans="1:34" s="862" customFormat="1" x14ac:dyDescent="0.3">
      <c r="A3982" s="862">
        <v>204125</v>
      </c>
      <c r="B3982" s="863">
        <v>14.4</v>
      </c>
      <c r="C3982" s="863">
        <v>4.9000000000000004</v>
      </c>
      <c r="D3982" s="647">
        <v>7.7254901960784315</v>
      </c>
      <c r="E3982" s="1573">
        <v>2.3319999999999999</v>
      </c>
      <c r="F3982" s="864">
        <v>2565.1999999999998</v>
      </c>
      <c r="H3982" s="864">
        <v>6.66</v>
      </c>
      <c r="I3982" s="864">
        <v>240</v>
      </c>
      <c r="J3982" s="1816">
        <v>0.123</v>
      </c>
      <c r="K3982" s="863">
        <v>29.74</v>
      </c>
      <c r="L3982" s="862">
        <v>540</v>
      </c>
      <c r="M3982" s="862">
        <v>0.12</v>
      </c>
      <c r="N3982" s="862">
        <v>0.89</v>
      </c>
      <c r="O3982" s="862">
        <v>3.87</v>
      </c>
      <c r="P3982" s="862">
        <v>1.7</v>
      </c>
      <c r="R3982" s="647">
        <v>1.1470369060844114</v>
      </c>
      <c r="S3982" s="863">
        <v>7.6</v>
      </c>
      <c r="Y3982" s="1817">
        <v>24</v>
      </c>
      <c r="AA3982" s="647">
        <v>4.2</v>
      </c>
      <c r="AB3982" s="647">
        <v>0.85499999999999998</v>
      </c>
      <c r="AC3982" s="862">
        <v>10.1</v>
      </c>
      <c r="AD3982" s="867">
        <v>480</v>
      </c>
      <c r="AE3982" s="867">
        <v>260</v>
      </c>
      <c r="AF3982" s="867">
        <v>260</v>
      </c>
      <c r="AG3982" s="66">
        <f t="shared" si="149"/>
        <v>438.66500000000002</v>
      </c>
      <c r="AH3982" s="143">
        <f t="shared" si="150"/>
        <v>1000</v>
      </c>
    </row>
    <row r="3983" spans="1:34" s="862" customFormat="1" x14ac:dyDescent="0.3">
      <c r="A3983" s="862">
        <v>204126</v>
      </c>
      <c r="B3983" s="863">
        <v>8.8000000000000007</v>
      </c>
      <c r="C3983" s="863"/>
      <c r="D3983" s="647">
        <v>8.2647058823529402</v>
      </c>
      <c r="E3983" s="1573">
        <v>0.308</v>
      </c>
      <c r="F3983" s="864">
        <v>338.80000000000007</v>
      </c>
      <c r="H3983" s="864">
        <v>100.78</v>
      </c>
      <c r="I3983" s="864">
        <v>616</v>
      </c>
      <c r="J3983" s="1816">
        <v>6.3E-2</v>
      </c>
      <c r="K3983" s="863">
        <v>10.93</v>
      </c>
      <c r="L3983" s="862">
        <v>1580</v>
      </c>
      <c r="M3983" s="862">
        <v>1.83</v>
      </c>
      <c r="N3983" s="862">
        <v>2.97</v>
      </c>
      <c r="O3983" s="862">
        <v>25.17</v>
      </c>
      <c r="P3983" s="862">
        <v>7.73</v>
      </c>
      <c r="R3983" s="647">
        <v>1.9216730000000002</v>
      </c>
      <c r="S3983" s="863">
        <v>20.9</v>
      </c>
      <c r="Y3983" s="1817">
        <v>24.5</v>
      </c>
      <c r="AA3983" s="647">
        <v>4.9400000000000004</v>
      </c>
      <c r="AB3983" s="647">
        <v>0.36899999999999999</v>
      </c>
      <c r="AC3983" s="862">
        <v>11.7</v>
      </c>
      <c r="AD3983" s="867">
        <v>490</v>
      </c>
      <c r="AE3983" s="867">
        <v>240</v>
      </c>
      <c r="AF3983" s="867">
        <v>270</v>
      </c>
      <c r="AG3983" s="66">
        <f t="shared" si="149"/>
        <v>157.92734693877551</v>
      </c>
      <c r="AH3983" s="143">
        <f t="shared" si="150"/>
        <v>1000</v>
      </c>
    </row>
    <row r="3984" spans="1:34" s="862" customFormat="1" x14ac:dyDescent="0.3">
      <c r="A3984" s="862">
        <v>204130</v>
      </c>
      <c r="B3984" s="863">
        <v>14.2</v>
      </c>
      <c r="C3984" s="863">
        <v>0.01</v>
      </c>
      <c r="D3984" s="647">
        <v>8.4509803921568611</v>
      </c>
      <c r="E3984" s="1573">
        <v>0.22700000000000001</v>
      </c>
      <c r="F3984" s="864">
        <v>249.70000000000005</v>
      </c>
      <c r="H3984" s="864">
        <v>250.22</v>
      </c>
      <c r="I3984" s="864">
        <v>190</v>
      </c>
      <c r="J3984" s="1816">
        <v>6.2E-2</v>
      </c>
      <c r="K3984" s="863">
        <v>5.64</v>
      </c>
      <c r="L3984" s="862">
        <v>500</v>
      </c>
      <c r="M3984" s="862">
        <v>6.31</v>
      </c>
      <c r="N3984" s="862">
        <v>0.59</v>
      </c>
      <c r="O3984" s="862">
        <v>4.97</v>
      </c>
      <c r="P3984" s="862">
        <v>5.3</v>
      </c>
      <c r="R3984" s="647">
        <v>1.3487907784336408</v>
      </c>
      <c r="S3984" s="863">
        <v>9.2000000000000011</v>
      </c>
      <c r="Y3984" s="1817">
        <v>4</v>
      </c>
      <c r="AA3984" s="647">
        <v>4.0199999999999996</v>
      </c>
      <c r="AB3984" s="647">
        <v>0.88300000000000001</v>
      </c>
      <c r="AC3984" s="862">
        <v>10.4</v>
      </c>
      <c r="AD3984" s="867">
        <v>80</v>
      </c>
      <c r="AE3984" s="867">
        <v>60</v>
      </c>
      <c r="AF3984" s="867">
        <v>860</v>
      </c>
      <c r="AG3984" s="66">
        <f t="shared" si="149"/>
        <v>499.14</v>
      </c>
      <c r="AH3984" s="143">
        <f t="shared" si="150"/>
        <v>1000</v>
      </c>
    </row>
    <row r="3985" spans="1:34" s="862" customFormat="1" x14ac:dyDescent="0.3">
      <c r="A3985" s="862">
        <v>204131</v>
      </c>
      <c r="B3985" s="863">
        <v>12.1</v>
      </c>
      <c r="C3985" s="863">
        <v>0.01</v>
      </c>
      <c r="D3985" s="647">
        <v>8.4803921568627452</v>
      </c>
      <c r="E3985" s="1573">
        <v>0.35199999999999998</v>
      </c>
      <c r="F3985" s="864">
        <v>387.2</v>
      </c>
      <c r="H3985" s="864">
        <v>276.86</v>
      </c>
      <c r="I3985" s="864">
        <v>190</v>
      </c>
      <c r="J3985" s="1816">
        <v>0.111</v>
      </c>
      <c r="K3985" s="863">
        <v>5.41</v>
      </c>
      <c r="L3985" s="862">
        <v>450</v>
      </c>
      <c r="M3985" s="862">
        <v>4.1900000000000004</v>
      </c>
      <c r="N3985" s="862">
        <v>0.43</v>
      </c>
      <c r="O3985" s="862">
        <v>4.78</v>
      </c>
      <c r="P3985" s="862">
        <v>3.86</v>
      </c>
      <c r="R3985" s="647">
        <v>0.96454265037512488</v>
      </c>
      <c r="S3985" s="863">
        <v>6.6000000000000005</v>
      </c>
      <c r="Y3985" s="1817">
        <v>4</v>
      </c>
      <c r="AA3985" s="647">
        <v>3.78</v>
      </c>
      <c r="AB3985" s="647">
        <v>0.254</v>
      </c>
      <c r="AC3985" s="862">
        <v>11.8</v>
      </c>
      <c r="AD3985" s="867">
        <v>80</v>
      </c>
      <c r="AE3985" s="867">
        <v>60</v>
      </c>
      <c r="AF3985" s="867">
        <v>860</v>
      </c>
      <c r="AG3985" s="66">
        <f t="shared" si="149"/>
        <v>478.78500000000008</v>
      </c>
      <c r="AH3985" s="143">
        <f t="shared" si="150"/>
        <v>1000</v>
      </c>
    </row>
    <row r="3986" spans="1:34" s="862" customFormat="1" x14ac:dyDescent="0.3">
      <c r="A3986" s="862">
        <v>204151</v>
      </c>
      <c r="B3986" s="863">
        <v>2.6</v>
      </c>
      <c r="C3986" s="863"/>
      <c r="D3986" s="647">
        <v>8.3627450980392144</v>
      </c>
      <c r="E3986" s="1573">
        <v>0.32400000000000001</v>
      </c>
      <c r="F3986" s="864">
        <v>356.40000000000003</v>
      </c>
      <c r="H3986" s="864">
        <v>15.5</v>
      </c>
      <c r="I3986" s="864">
        <v>90</v>
      </c>
      <c r="J3986" s="1816">
        <v>0.11700000000000001</v>
      </c>
      <c r="K3986" s="863">
        <v>5.98</v>
      </c>
      <c r="L3986" s="862">
        <v>210</v>
      </c>
      <c r="M3986" s="862">
        <v>0.24</v>
      </c>
      <c r="N3986" s="862">
        <v>0.81</v>
      </c>
      <c r="O3986" s="862">
        <v>4.33</v>
      </c>
      <c r="P3986" s="862">
        <v>2.27</v>
      </c>
      <c r="R3986" s="647">
        <v>0.63457816931442701</v>
      </c>
      <c r="S3986" s="863">
        <v>4.3</v>
      </c>
      <c r="Y3986" s="1817">
        <v>27.6</v>
      </c>
      <c r="AA3986" s="647">
        <v>3.85</v>
      </c>
      <c r="AB3986" s="647">
        <v>0.82099999999999995</v>
      </c>
      <c r="AC3986" s="862">
        <v>6.6</v>
      </c>
      <c r="AD3986" s="867">
        <v>460</v>
      </c>
      <c r="AE3986" s="867">
        <v>160</v>
      </c>
      <c r="AF3986" s="867">
        <v>380</v>
      </c>
      <c r="AG3986" s="66">
        <f t="shared" si="149"/>
        <v>76.7</v>
      </c>
      <c r="AH3986" s="143">
        <f t="shared" si="150"/>
        <v>1000</v>
      </c>
    </row>
    <row r="3987" spans="1:34" s="862" customFormat="1" x14ac:dyDescent="0.3">
      <c r="A3987" s="862">
        <v>204152</v>
      </c>
      <c r="B3987" s="863">
        <v>1.5</v>
      </c>
      <c r="C3987" s="863"/>
      <c r="D3987" s="647">
        <v>8.3431372549019596</v>
      </c>
      <c r="E3987" s="1573">
        <v>0.182</v>
      </c>
      <c r="F3987" s="864">
        <v>200.20000000000002</v>
      </c>
      <c r="H3987" s="864">
        <v>277.02</v>
      </c>
      <c r="I3987" s="864">
        <v>702</v>
      </c>
      <c r="J3987" s="1816">
        <v>7.5999999999999998E-2</v>
      </c>
      <c r="K3987" s="863">
        <v>5.35</v>
      </c>
      <c r="L3987" s="862">
        <v>630</v>
      </c>
      <c r="M3987" s="862">
        <v>4.22</v>
      </c>
      <c r="N3987" s="862">
        <v>2.74</v>
      </c>
      <c r="O3987" s="862">
        <v>35.159999999999997</v>
      </c>
      <c r="P3987" s="862">
        <v>55.11</v>
      </c>
      <c r="R3987" s="647">
        <v>1.8452330000000001</v>
      </c>
      <c r="S3987" s="863">
        <v>18.100000000000001</v>
      </c>
      <c r="Y3987" s="1817">
        <v>27.3</v>
      </c>
      <c r="AA3987" s="647">
        <v>4.0999999999999996</v>
      </c>
      <c r="AB3987" s="647">
        <v>0.34899999999999998</v>
      </c>
      <c r="AC3987" s="862">
        <v>8.8000000000000007</v>
      </c>
      <c r="AD3987" s="867">
        <v>390</v>
      </c>
      <c r="AE3987" s="867">
        <v>140</v>
      </c>
      <c r="AF3987" s="867">
        <v>470</v>
      </c>
      <c r="AG3987" s="66">
        <f t="shared" si="149"/>
        <v>69.373626373626379</v>
      </c>
      <c r="AH3987" s="143">
        <f t="shared" si="150"/>
        <v>1000</v>
      </c>
    </row>
    <row r="3988" spans="1:34" s="862" customFormat="1" x14ac:dyDescent="0.3">
      <c r="A3988" s="862">
        <v>204153</v>
      </c>
      <c r="B3988" s="863">
        <v>4.7</v>
      </c>
      <c r="C3988" s="863"/>
      <c r="D3988" s="647">
        <v>8.1960784313725483</v>
      </c>
      <c r="E3988" s="1573">
        <v>0.81399999999999995</v>
      </c>
      <c r="F3988" s="864">
        <v>895.4</v>
      </c>
      <c r="H3988" s="864">
        <v>131.56</v>
      </c>
      <c r="I3988" s="864">
        <v>1008</v>
      </c>
      <c r="J3988" s="1816">
        <v>0.76900000000000002</v>
      </c>
      <c r="K3988" s="863">
        <v>9.83</v>
      </c>
      <c r="L3988" s="862">
        <v>1330</v>
      </c>
      <c r="M3988" s="862">
        <v>2.69</v>
      </c>
      <c r="N3988" s="862">
        <v>4.05</v>
      </c>
      <c r="O3988" s="862">
        <v>8.73</v>
      </c>
      <c r="P3988" s="862">
        <v>3.42</v>
      </c>
      <c r="R3988" s="647">
        <v>1.720472</v>
      </c>
      <c r="S3988" s="863">
        <v>14.2</v>
      </c>
      <c r="Y3988" s="1817">
        <v>28.8</v>
      </c>
      <c r="AA3988" s="647">
        <v>4.03</v>
      </c>
      <c r="AB3988" s="647">
        <v>0.47699999999999998</v>
      </c>
      <c r="AC3988" s="862">
        <v>8.1999999999999993</v>
      </c>
      <c r="AD3988" s="867">
        <v>480</v>
      </c>
      <c r="AE3988" s="867">
        <v>240</v>
      </c>
      <c r="AF3988" s="867">
        <v>280</v>
      </c>
      <c r="AG3988" s="66">
        <f t="shared" si="149"/>
        <v>120.82708333333333</v>
      </c>
      <c r="AH3988" s="143">
        <f t="shared" si="150"/>
        <v>1000</v>
      </c>
    </row>
    <row r="3989" spans="1:34" s="862" customFormat="1" x14ac:dyDescent="0.3">
      <c r="A3989" s="862">
        <v>204154</v>
      </c>
      <c r="B3989" s="863">
        <v>9</v>
      </c>
      <c r="C3989" s="863"/>
      <c r="D3989" s="647">
        <v>8.1862745098039209</v>
      </c>
      <c r="E3989" s="1573">
        <v>0.55300000000000005</v>
      </c>
      <c r="F3989" s="864">
        <v>608.30000000000007</v>
      </c>
      <c r="H3989" s="864">
        <v>26.17</v>
      </c>
      <c r="I3989" s="864">
        <v>558</v>
      </c>
      <c r="J3989" s="1816">
        <v>0.53600000000000003</v>
      </c>
      <c r="K3989" s="863">
        <v>11.7</v>
      </c>
      <c r="L3989" s="862">
        <v>1250</v>
      </c>
      <c r="M3989" s="862">
        <v>0.39</v>
      </c>
      <c r="N3989" s="862">
        <v>1.54</v>
      </c>
      <c r="O3989" s="862">
        <v>5.22</v>
      </c>
      <c r="P3989" s="862">
        <v>2.09</v>
      </c>
      <c r="R3989" s="647">
        <v>1.2486643576004777</v>
      </c>
      <c r="S3989" s="863">
        <v>8.2999999999999989</v>
      </c>
      <c r="Y3989" s="1817">
        <v>32.200000000000003</v>
      </c>
      <c r="AA3989" s="647">
        <v>3.98</v>
      </c>
      <c r="AB3989" s="647">
        <v>0.435</v>
      </c>
      <c r="AC3989" s="862">
        <v>11.8</v>
      </c>
      <c r="AD3989" s="867">
        <v>460</v>
      </c>
      <c r="AE3989" s="867">
        <v>240</v>
      </c>
      <c r="AF3989" s="867">
        <v>300</v>
      </c>
      <c r="AG3989" s="66">
        <f t="shared" si="149"/>
        <v>128.62732919254657</v>
      </c>
      <c r="AH3989" s="143">
        <f t="shared" si="150"/>
        <v>1000</v>
      </c>
    </row>
    <row r="3990" spans="1:34" s="862" customFormat="1" x14ac:dyDescent="0.3">
      <c r="A3990" s="862">
        <v>204155</v>
      </c>
      <c r="B3990" s="863">
        <v>4.4000000000000004</v>
      </c>
      <c r="C3990" s="863"/>
      <c r="D3990" s="647">
        <v>8.2058823529411757</v>
      </c>
      <c r="E3990" s="1573">
        <v>0.72599999999999998</v>
      </c>
      <c r="F3990" s="864">
        <v>798.60000000000014</v>
      </c>
      <c r="H3990" s="864">
        <v>87.25</v>
      </c>
      <c r="I3990" s="864">
        <v>599</v>
      </c>
      <c r="J3990" s="1816">
        <v>0.88</v>
      </c>
      <c r="K3990" s="863">
        <v>10.74</v>
      </c>
      <c r="L3990" s="862">
        <v>1380</v>
      </c>
      <c r="M3990" s="862">
        <v>0.91</v>
      </c>
      <c r="N3990" s="862">
        <v>2.23</v>
      </c>
      <c r="O3990" s="862">
        <v>5.59</v>
      </c>
      <c r="P3990" s="862">
        <v>2.93</v>
      </c>
      <c r="R3990" s="647">
        <v>1.4138496361468174</v>
      </c>
      <c r="S3990" s="863">
        <v>10</v>
      </c>
      <c r="Y3990" s="1817">
        <v>28.8</v>
      </c>
      <c r="AA3990" s="647">
        <v>3.58</v>
      </c>
      <c r="AB3990" s="647">
        <v>0.621</v>
      </c>
      <c r="AC3990" s="862">
        <v>8.6</v>
      </c>
      <c r="AD3990" s="867">
        <v>480</v>
      </c>
      <c r="AE3990" s="867">
        <v>240</v>
      </c>
      <c r="AF3990" s="867">
        <v>280</v>
      </c>
      <c r="AG3990" s="66">
        <f t="shared" si="149"/>
        <v>132.01250000000002</v>
      </c>
      <c r="AH3990" s="143">
        <f t="shared" si="150"/>
        <v>1000</v>
      </c>
    </row>
    <row r="3991" spans="1:34" s="862" customFormat="1" x14ac:dyDescent="0.3">
      <c r="A3991" s="862">
        <v>204156</v>
      </c>
      <c r="B3991" s="863">
        <v>13.5</v>
      </c>
      <c r="C3991" s="863">
        <v>7.6</v>
      </c>
      <c r="D3991" s="647">
        <v>8.1470588235294112</v>
      </c>
      <c r="E3991" s="1573">
        <v>0.89100000000000001</v>
      </c>
      <c r="F3991" s="864">
        <v>980.10000000000014</v>
      </c>
      <c r="H3991" s="864">
        <v>66.650000000000006</v>
      </c>
      <c r="I3991" s="864">
        <v>551</v>
      </c>
      <c r="J3991" s="1816">
        <v>0.85299999999999998</v>
      </c>
      <c r="K3991" s="863">
        <v>11.65</v>
      </c>
      <c r="L3991" s="862">
        <v>1250</v>
      </c>
      <c r="M3991" s="862">
        <v>0.81</v>
      </c>
      <c r="N3991" s="862">
        <v>2.41</v>
      </c>
      <c r="O3991" s="862">
        <v>6.12</v>
      </c>
      <c r="P3991" s="862">
        <v>2.5499999999999998</v>
      </c>
      <c r="R3991" s="647">
        <v>1.6922480000000002</v>
      </c>
      <c r="S3991" s="863">
        <v>13.4</v>
      </c>
      <c r="Y3991" s="1817">
        <v>29.4</v>
      </c>
      <c r="AA3991" s="647">
        <v>3.56</v>
      </c>
      <c r="AB3991" s="647">
        <v>0.39200000000000002</v>
      </c>
      <c r="AC3991" s="862">
        <v>8.3000000000000007</v>
      </c>
      <c r="AD3991" s="867">
        <v>420</v>
      </c>
      <c r="AE3991" s="867">
        <v>180</v>
      </c>
      <c r="AF3991" s="867">
        <v>400</v>
      </c>
      <c r="AG3991" s="66">
        <f t="shared" si="149"/>
        <v>140.27551020408166</v>
      </c>
      <c r="AH3991" s="143">
        <f t="shared" si="150"/>
        <v>1000</v>
      </c>
    </row>
    <row r="3992" spans="1:34" s="862" customFormat="1" x14ac:dyDescent="0.3">
      <c r="A3992" s="862">
        <v>204157</v>
      </c>
      <c r="B3992" s="863">
        <v>11</v>
      </c>
      <c r="C3992" s="863">
        <v>5.0999999999999996</v>
      </c>
      <c r="D3992" s="647">
        <v>7.7450980392156863</v>
      </c>
      <c r="E3992" s="1573">
        <v>2.4</v>
      </c>
      <c r="F3992" s="864">
        <v>2640</v>
      </c>
      <c r="H3992" s="864">
        <v>4.24</v>
      </c>
      <c r="I3992" s="864">
        <v>190</v>
      </c>
      <c r="J3992" s="1816">
        <v>8.7999999999999995E-2</v>
      </c>
      <c r="K3992" s="863">
        <v>22.25</v>
      </c>
      <c r="L3992" s="862">
        <v>760</v>
      </c>
      <c r="M3992" s="862">
        <v>7.0000000000000007E-2</v>
      </c>
      <c r="N3992" s="862">
        <v>0.37</v>
      </c>
      <c r="O3992" s="862">
        <v>3.03</v>
      </c>
      <c r="P3992" s="862">
        <v>0.93</v>
      </c>
      <c r="R3992" s="647">
        <v>0.75660462970558806</v>
      </c>
      <c r="S3992" s="863">
        <v>5.3000000000000007</v>
      </c>
      <c r="Y3992" s="1817">
        <v>26.4</v>
      </c>
      <c r="AA3992" s="647">
        <v>3.61</v>
      </c>
      <c r="AB3992" s="647">
        <v>0.57099999999999995</v>
      </c>
      <c r="AC3992" s="862">
        <v>7.1</v>
      </c>
      <c r="AD3992" s="867">
        <v>440</v>
      </c>
      <c r="AE3992" s="867">
        <v>200</v>
      </c>
      <c r="AF3992" s="867">
        <v>360</v>
      </c>
      <c r="AG3992" s="66">
        <f t="shared" si="149"/>
        <v>298.35227272727275</v>
      </c>
      <c r="AH3992" s="143">
        <f t="shared" si="150"/>
        <v>1000</v>
      </c>
    </row>
    <row r="3993" spans="1:34" s="862" customFormat="1" x14ac:dyDescent="0.3">
      <c r="A3993" s="862">
        <v>204158</v>
      </c>
      <c r="B3993" s="863">
        <v>29.5</v>
      </c>
      <c r="C3993" s="863">
        <v>12.4</v>
      </c>
      <c r="D3993" s="647">
        <v>8.5</v>
      </c>
      <c r="E3993" s="1573">
        <v>0.22600000000000001</v>
      </c>
      <c r="F3993" s="864">
        <v>248.60000000000002</v>
      </c>
      <c r="H3993" s="864">
        <v>11.55</v>
      </c>
      <c r="I3993" s="864">
        <v>509</v>
      </c>
      <c r="J3993" s="1816">
        <v>3.4000000000000002E-2</v>
      </c>
      <c r="K3993" s="863">
        <v>12.41</v>
      </c>
      <c r="L3993" s="862">
        <v>540</v>
      </c>
      <c r="M3993" s="862">
        <v>0.22</v>
      </c>
      <c r="N3993" s="862">
        <v>0.45</v>
      </c>
      <c r="O3993" s="862">
        <v>2.7</v>
      </c>
      <c r="P3993" s="862">
        <v>2.15</v>
      </c>
      <c r="R3993" s="647">
        <v>1.6061130000000001</v>
      </c>
      <c r="S3993" s="863">
        <v>11.100000000000001</v>
      </c>
      <c r="Y3993" s="1817">
        <v>30.1</v>
      </c>
      <c r="AA3993" s="647">
        <v>4.67</v>
      </c>
      <c r="AB3993" s="647">
        <v>0.42199999999999999</v>
      </c>
      <c r="AC3993" s="862">
        <v>9</v>
      </c>
      <c r="AD3993" s="867">
        <v>430</v>
      </c>
      <c r="AE3993" s="867">
        <v>200</v>
      </c>
      <c r="AF3993" s="867">
        <v>370</v>
      </c>
      <c r="AG3993" s="66">
        <f t="shared" si="149"/>
        <v>145.95149501661129</v>
      </c>
      <c r="AH3993" s="143">
        <f t="shared" si="150"/>
        <v>1000</v>
      </c>
    </row>
    <row r="3994" spans="1:34" s="862" customFormat="1" x14ac:dyDescent="0.3">
      <c r="A3994" s="862">
        <v>204159</v>
      </c>
      <c r="B3994" s="863">
        <v>56.7</v>
      </c>
      <c r="C3994" s="863">
        <v>12.9</v>
      </c>
      <c r="D3994" s="647">
        <v>8.5490196078431371</v>
      </c>
      <c r="E3994" s="1573">
        <v>0.15</v>
      </c>
      <c r="F3994" s="864">
        <v>165</v>
      </c>
      <c r="H3994" s="864">
        <v>10.38</v>
      </c>
      <c r="I3994" s="864">
        <v>290</v>
      </c>
      <c r="J3994" s="1816">
        <v>5.6000000000000001E-2</v>
      </c>
      <c r="K3994" s="863">
        <v>12.48</v>
      </c>
      <c r="L3994" s="862">
        <v>590</v>
      </c>
      <c r="M3994" s="862">
        <v>0.11</v>
      </c>
      <c r="N3994" s="862">
        <v>0.46</v>
      </c>
      <c r="O3994" s="862">
        <v>3.29</v>
      </c>
      <c r="P3994" s="862">
        <v>1.82</v>
      </c>
      <c r="R3994" s="647">
        <v>1.0261493297970423</v>
      </c>
      <c r="S3994" s="863">
        <v>7.4</v>
      </c>
      <c r="Y3994" s="1817">
        <v>29.4</v>
      </c>
      <c r="AA3994" s="647">
        <v>3.72</v>
      </c>
      <c r="AB3994" s="647">
        <v>0.61499999999999999</v>
      </c>
      <c r="AC3994" s="862">
        <v>7.8</v>
      </c>
      <c r="AD3994" s="867">
        <v>420</v>
      </c>
      <c r="AE3994" s="867">
        <v>180</v>
      </c>
      <c r="AF3994" s="867">
        <v>400</v>
      </c>
      <c r="AG3994" s="66">
        <f t="shared" si="149"/>
        <v>150.26938775510206</v>
      </c>
      <c r="AH3994" s="143">
        <f t="shared" si="150"/>
        <v>1000</v>
      </c>
    </row>
    <row r="3995" spans="1:34" s="862" customFormat="1" x14ac:dyDescent="0.3">
      <c r="A3995" s="862">
        <v>204160</v>
      </c>
      <c r="B3995" s="863">
        <v>22.9</v>
      </c>
      <c r="C3995" s="863">
        <v>10.8</v>
      </c>
      <c r="D3995" s="647">
        <v>8.5588235294117645</v>
      </c>
      <c r="E3995" s="1573">
        <v>0.13500000000000001</v>
      </c>
      <c r="F3995" s="864">
        <v>148.50000000000003</v>
      </c>
      <c r="H3995" s="864">
        <v>8.89</v>
      </c>
      <c r="I3995" s="864">
        <v>260</v>
      </c>
      <c r="J3995" s="1816">
        <v>5.8999999999999997E-2</v>
      </c>
      <c r="K3995" s="863">
        <v>12.28</v>
      </c>
      <c r="L3995" s="862">
        <v>910</v>
      </c>
      <c r="M3995" s="862">
        <v>0.11</v>
      </c>
      <c r="N3995" s="862">
        <v>0.72</v>
      </c>
      <c r="O3995" s="862">
        <v>4.33</v>
      </c>
      <c r="P3995" s="862">
        <v>3.72</v>
      </c>
      <c r="R3995" s="647">
        <v>1.8304280000000002</v>
      </c>
      <c r="S3995" s="863">
        <v>17.600000000000001</v>
      </c>
      <c r="Y3995" s="1817">
        <v>32.4</v>
      </c>
      <c r="AA3995" s="647">
        <v>3.45</v>
      </c>
      <c r="AB3995" s="647">
        <v>0.30199999999999999</v>
      </c>
      <c r="AC3995" s="862">
        <v>6.5</v>
      </c>
      <c r="AD3995" s="867">
        <v>540</v>
      </c>
      <c r="AE3995" s="867">
        <v>220</v>
      </c>
      <c r="AF3995" s="867">
        <v>240</v>
      </c>
      <c r="AG3995" s="66">
        <f t="shared" si="149"/>
        <v>134.17037037037036</v>
      </c>
      <c r="AH3995" s="143">
        <f t="shared" si="150"/>
        <v>1000</v>
      </c>
    </row>
    <row r="3996" spans="1:34" s="862" customFormat="1" x14ac:dyDescent="0.3">
      <c r="A3996" s="862">
        <v>204161</v>
      </c>
      <c r="B3996" s="863">
        <v>40.5</v>
      </c>
      <c r="C3996" s="863">
        <v>13.5</v>
      </c>
      <c r="D3996" s="647">
        <v>8.6372549019607838</v>
      </c>
      <c r="E3996" s="1573">
        <v>0.13100000000000001</v>
      </c>
      <c r="F3996" s="864">
        <v>144.1</v>
      </c>
      <c r="H3996" s="864">
        <v>11</v>
      </c>
      <c r="I3996" s="864">
        <v>190</v>
      </c>
      <c r="J3996" s="1816">
        <v>7.6999999999999999E-2</v>
      </c>
      <c r="K3996" s="863">
        <v>12.38</v>
      </c>
      <c r="L3996" s="862">
        <v>1050</v>
      </c>
      <c r="M3996" s="862">
        <v>0.12</v>
      </c>
      <c r="N3996" s="862">
        <v>0.56000000000000005</v>
      </c>
      <c r="O3996" s="862">
        <v>5.15</v>
      </c>
      <c r="P3996" s="862">
        <v>3.34</v>
      </c>
      <c r="R3996" s="647">
        <v>1.5744170000000002</v>
      </c>
      <c r="S3996" s="863">
        <v>10.3</v>
      </c>
      <c r="Y3996" s="1817">
        <v>19</v>
      </c>
      <c r="AA3996" s="647">
        <v>4.1100000000000003</v>
      </c>
      <c r="AB3996" s="647">
        <v>0.376</v>
      </c>
      <c r="AC3996" s="862">
        <v>11.8</v>
      </c>
      <c r="AD3996" s="867">
        <v>380</v>
      </c>
      <c r="AE3996" s="867">
        <v>180</v>
      </c>
      <c r="AF3996" s="867">
        <v>440</v>
      </c>
      <c r="AG3996" s="66">
        <f t="shared" si="149"/>
        <v>230.65894736842108</v>
      </c>
      <c r="AH3996" s="143">
        <f t="shared" si="150"/>
        <v>1000</v>
      </c>
    </row>
    <row r="3997" spans="1:34" s="862" customFormat="1" x14ac:dyDescent="0.3">
      <c r="A3997" s="862">
        <v>204162</v>
      </c>
      <c r="B3997" s="863">
        <v>39.299999999999997</v>
      </c>
      <c r="C3997" s="863">
        <v>9.5</v>
      </c>
      <c r="D3997" s="647">
        <v>8.2352941176470598</v>
      </c>
      <c r="E3997" s="1573">
        <v>0.73699999999999999</v>
      </c>
      <c r="F3997" s="864">
        <v>810.7</v>
      </c>
      <c r="H3997" s="864">
        <v>12.17</v>
      </c>
      <c r="I3997" s="864">
        <v>140</v>
      </c>
      <c r="J3997" s="1816">
        <v>0.54200000000000004</v>
      </c>
      <c r="K3997" s="863">
        <v>11.26</v>
      </c>
      <c r="L3997" s="862">
        <v>1080</v>
      </c>
      <c r="M3997" s="862">
        <v>0.15</v>
      </c>
      <c r="N3997" s="862">
        <v>0.35</v>
      </c>
      <c r="O3997" s="862">
        <v>5.58</v>
      </c>
      <c r="P3997" s="862">
        <v>2.23</v>
      </c>
      <c r="R3997" s="647">
        <v>1.7273879999999999</v>
      </c>
      <c r="S3997" s="863">
        <v>14.399999999999999</v>
      </c>
      <c r="Y3997" s="1817">
        <v>29.4</v>
      </c>
      <c r="AA3997" s="647">
        <v>4.58</v>
      </c>
      <c r="AB3997" s="647">
        <v>0.86599999999999999</v>
      </c>
      <c r="AC3997" s="862">
        <v>10.4</v>
      </c>
      <c r="AD3997" s="867">
        <v>420</v>
      </c>
      <c r="AE3997" s="867">
        <v>180</v>
      </c>
      <c r="AF3997" s="867">
        <v>400</v>
      </c>
      <c r="AG3997" s="66">
        <f t="shared" si="149"/>
        <v>135.57959183673469</v>
      </c>
      <c r="AH3997" s="143">
        <f t="shared" si="150"/>
        <v>1000</v>
      </c>
    </row>
    <row r="3998" spans="1:34" s="862" customFormat="1" x14ac:dyDescent="0.3">
      <c r="A3998" s="862">
        <v>204163</v>
      </c>
      <c r="B3998" s="863">
        <v>41</v>
      </c>
      <c r="C3998" s="863">
        <v>10</v>
      </c>
      <c r="D3998" s="647">
        <v>8.5882352941176467</v>
      </c>
      <c r="E3998" s="1573">
        <v>0.34699999999999998</v>
      </c>
      <c r="F3998" s="864">
        <v>381.7</v>
      </c>
      <c r="H3998" s="864">
        <v>1.9</v>
      </c>
      <c r="I3998" s="864">
        <v>120</v>
      </c>
      <c r="J3998" s="1816">
        <v>0.23899999999999999</v>
      </c>
      <c r="K3998" s="863">
        <v>10.74</v>
      </c>
      <c r="L3998" s="862">
        <v>1350</v>
      </c>
      <c r="M3998" s="862">
        <v>0.1</v>
      </c>
      <c r="N3998" s="862">
        <v>0.19</v>
      </c>
      <c r="O3998" s="862">
        <v>5.29</v>
      </c>
      <c r="P3998" s="862">
        <v>1.36</v>
      </c>
      <c r="R3998" s="647">
        <v>1.5943320000000001</v>
      </c>
      <c r="S3998" s="863">
        <v>10.8</v>
      </c>
      <c r="Y3998" s="1817">
        <v>28</v>
      </c>
      <c r="AA3998" s="647">
        <v>3.64</v>
      </c>
      <c r="AB3998" s="647">
        <v>0.76300000000000001</v>
      </c>
      <c r="AC3998" s="862">
        <v>9.6</v>
      </c>
      <c r="AD3998" s="867">
        <v>400</v>
      </c>
      <c r="AE3998" s="867">
        <v>160</v>
      </c>
      <c r="AF3998" s="867">
        <v>440</v>
      </c>
      <c r="AG3998" s="66">
        <f t="shared" si="149"/>
        <v>135.78428571428574</v>
      </c>
      <c r="AH3998" s="143">
        <f t="shared" si="150"/>
        <v>1000</v>
      </c>
    </row>
    <row r="3999" spans="1:34" s="862" customFormat="1" x14ac:dyDescent="0.3">
      <c r="A3999" s="862">
        <v>204164</v>
      </c>
      <c r="B3999" s="863">
        <v>23.2</v>
      </c>
      <c r="C3999" s="863">
        <v>9.8000000000000007</v>
      </c>
      <c r="D3999" s="647">
        <v>8.6078431372549016</v>
      </c>
      <c r="E3999" s="1573">
        <v>0.13500000000000001</v>
      </c>
      <c r="F3999" s="864">
        <v>148.50000000000003</v>
      </c>
      <c r="H3999" s="864">
        <v>9.44</v>
      </c>
      <c r="I3999" s="864">
        <v>170</v>
      </c>
      <c r="J3999" s="1816">
        <v>5.7000000000000002E-2</v>
      </c>
      <c r="K3999" s="863">
        <v>12.46</v>
      </c>
      <c r="L3999" s="862">
        <v>730</v>
      </c>
      <c r="M3999" s="862">
        <v>0.09</v>
      </c>
      <c r="N3999" s="862">
        <v>0.66</v>
      </c>
      <c r="O3999" s="862">
        <v>4.3899999999999997</v>
      </c>
      <c r="P3999" s="862">
        <v>3.19</v>
      </c>
      <c r="R3999" s="647">
        <v>1.720472</v>
      </c>
      <c r="S3999" s="863">
        <v>14.2</v>
      </c>
      <c r="Y3999" s="1817">
        <v>25</v>
      </c>
      <c r="AA3999" s="647">
        <v>4.26</v>
      </c>
      <c r="AB3999" s="647">
        <v>0.56399999999999995</v>
      </c>
      <c r="AC3999" s="862">
        <v>10.4</v>
      </c>
      <c r="AD3999" s="867">
        <v>500</v>
      </c>
      <c r="AE3999" s="867">
        <v>240</v>
      </c>
      <c r="AF3999" s="867">
        <v>260</v>
      </c>
      <c r="AG3999" s="66">
        <f t="shared" si="149"/>
        <v>176.43360000000001</v>
      </c>
      <c r="AH3999" s="143">
        <f t="shared" si="150"/>
        <v>1000</v>
      </c>
    </row>
    <row r="4000" spans="1:34" s="862" customFormat="1" x14ac:dyDescent="0.3">
      <c r="A4000" s="862">
        <v>204165</v>
      </c>
      <c r="B4000" s="863">
        <v>35.299999999999997</v>
      </c>
      <c r="C4000" s="863">
        <v>14</v>
      </c>
      <c r="D4000" s="647">
        <v>8.735294117647058</v>
      </c>
      <c r="E4000" s="1573">
        <v>0.115</v>
      </c>
      <c r="F4000" s="864">
        <v>126.50000000000003</v>
      </c>
      <c r="H4000" s="864">
        <v>5.41</v>
      </c>
      <c r="I4000" s="864">
        <v>130</v>
      </c>
      <c r="J4000" s="1816">
        <v>5.5E-2</v>
      </c>
      <c r="K4000" s="863">
        <v>11.95</v>
      </c>
      <c r="L4000" s="862">
        <v>710</v>
      </c>
      <c r="M4000" s="862">
        <v>0.09</v>
      </c>
      <c r="N4000" s="862">
        <v>0.45</v>
      </c>
      <c r="O4000" s="862">
        <v>4.24</v>
      </c>
      <c r="P4000" s="862">
        <v>2.0299999999999998</v>
      </c>
      <c r="R4000" s="647">
        <v>1.3368310453279373</v>
      </c>
      <c r="S4000" s="863">
        <v>9.6999999999999993</v>
      </c>
      <c r="Y4000" s="1817">
        <v>21</v>
      </c>
      <c r="AA4000" s="647">
        <v>4.18</v>
      </c>
      <c r="AB4000" s="647">
        <v>0.60199999999999998</v>
      </c>
      <c r="AC4000" s="862">
        <v>8.8000000000000007</v>
      </c>
      <c r="AD4000" s="867">
        <v>420</v>
      </c>
      <c r="AE4000" s="867">
        <v>180</v>
      </c>
      <c r="AF4000" s="867">
        <v>400</v>
      </c>
      <c r="AG4000" s="66">
        <f t="shared" si="149"/>
        <v>201.44285714285712</v>
      </c>
      <c r="AH4000" s="143">
        <f t="shared" si="150"/>
        <v>1000</v>
      </c>
    </row>
    <row r="4001" spans="1:34" s="862" customFormat="1" x14ac:dyDescent="0.3">
      <c r="A4001" s="862">
        <v>204166</v>
      </c>
      <c r="B4001" s="863">
        <v>23.7</v>
      </c>
      <c r="C4001" s="863">
        <v>9.9</v>
      </c>
      <c r="D4001" s="647">
        <v>8.5980392156862742</v>
      </c>
      <c r="E4001" s="1573">
        <v>0.114</v>
      </c>
      <c r="F4001" s="864">
        <v>125.4</v>
      </c>
      <c r="H4001" s="864">
        <v>8.56</v>
      </c>
      <c r="I4001" s="864">
        <v>160</v>
      </c>
      <c r="J4001" s="1816">
        <v>4.2999999999999997E-2</v>
      </c>
      <c r="K4001" s="863">
        <v>11.8</v>
      </c>
      <c r="L4001" s="862">
        <v>930</v>
      </c>
      <c r="M4001" s="862">
        <v>0.12</v>
      </c>
      <c r="N4001" s="862">
        <v>0.56000000000000005</v>
      </c>
      <c r="O4001" s="862">
        <v>5.3</v>
      </c>
      <c r="P4001" s="862">
        <v>2.75</v>
      </c>
      <c r="R4001" s="647">
        <v>1.7099930000000001</v>
      </c>
      <c r="S4001" s="863">
        <v>13.899999999999999</v>
      </c>
      <c r="Y4001" s="1817">
        <v>22</v>
      </c>
      <c r="AA4001" s="647">
        <v>3.97</v>
      </c>
      <c r="AB4001" s="647">
        <v>0.434</v>
      </c>
      <c r="AC4001" s="862">
        <v>9.1</v>
      </c>
      <c r="AD4001" s="867">
        <v>440</v>
      </c>
      <c r="AE4001" s="867">
        <v>220</v>
      </c>
      <c r="AF4001" s="867">
        <v>340</v>
      </c>
      <c r="AG4001" s="66">
        <f t="shared" si="149"/>
        <v>189.8727272727273</v>
      </c>
      <c r="AH4001" s="143">
        <f t="shared" si="150"/>
        <v>1000</v>
      </c>
    </row>
    <row r="4002" spans="1:34" s="862" customFormat="1" x14ac:dyDescent="0.3">
      <c r="A4002" s="862">
        <v>204167</v>
      </c>
      <c r="B4002" s="863">
        <v>27.8</v>
      </c>
      <c r="C4002" s="863">
        <v>15.1</v>
      </c>
      <c r="D4002" s="647">
        <v>8.7450980392156854</v>
      </c>
      <c r="E4002" s="1573">
        <v>0.11600000000000001</v>
      </c>
      <c r="F4002" s="864">
        <v>127.60000000000002</v>
      </c>
      <c r="H4002" s="864">
        <v>6.01</v>
      </c>
      <c r="I4002" s="864">
        <v>110</v>
      </c>
      <c r="J4002" s="1816">
        <v>0.05</v>
      </c>
      <c r="K4002" s="863">
        <v>11.59</v>
      </c>
      <c r="L4002" s="862">
        <v>1060</v>
      </c>
      <c r="M4002" s="862">
        <v>7.0000000000000007E-2</v>
      </c>
      <c r="N4002" s="862">
        <v>0.43</v>
      </c>
      <c r="O4002" s="862">
        <v>4.22</v>
      </c>
      <c r="P4002" s="862">
        <v>1.89</v>
      </c>
      <c r="R4002" s="647">
        <v>1.0348773562956124</v>
      </c>
      <c r="S4002" s="863">
        <v>7.5</v>
      </c>
      <c r="Y4002" s="1817">
        <v>32.4</v>
      </c>
      <c r="AA4002" s="647">
        <v>3.52</v>
      </c>
      <c r="AB4002" s="647">
        <v>0.49099999999999999</v>
      </c>
      <c r="AC4002" s="862">
        <v>6.3</v>
      </c>
      <c r="AD4002" s="867">
        <v>540</v>
      </c>
      <c r="AE4002" s="867">
        <v>260</v>
      </c>
      <c r="AF4002" s="867">
        <v>200</v>
      </c>
      <c r="AG4002" s="66">
        <f t="shared" si="149"/>
        <v>126.63148148148147</v>
      </c>
      <c r="AH4002" s="143">
        <f t="shared" si="150"/>
        <v>1000</v>
      </c>
    </row>
    <row r="4003" spans="1:34" s="862" customFormat="1" x14ac:dyDescent="0.3">
      <c r="A4003" s="862">
        <v>204168</v>
      </c>
      <c r="B4003" s="863">
        <v>11.1</v>
      </c>
      <c r="C4003" s="863">
        <v>8.3000000000000007</v>
      </c>
      <c r="D4003" s="647">
        <v>8.5490196078431371</v>
      </c>
      <c r="E4003" s="1573">
        <v>0.122</v>
      </c>
      <c r="F4003" s="864">
        <v>134.20000000000002</v>
      </c>
      <c r="H4003" s="864">
        <v>8.9499999999999993</v>
      </c>
      <c r="I4003" s="864">
        <v>260</v>
      </c>
      <c r="J4003" s="1816">
        <v>3.5999999999999997E-2</v>
      </c>
      <c r="K4003" s="863">
        <v>12.19</v>
      </c>
      <c r="L4003" s="862">
        <v>1000</v>
      </c>
      <c r="M4003" s="862">
        <v>0.16</v>
      </c>
      <c r="N4003" s="862">
        <v>0.61</v>
      </c>
      <c r="O4003" s="862">
        <v>4.55</v>
      </c>
      <c r="P4003" s="862">
        <v>2.77</v>
      </c>
      <c r="R4003" s="647">
        <v>1.9242000000000001</v>
      </c>
      <c r="S4003" s="863">
        <v>21</v>
      </c>
      <c r="Y4003" s="1817">
        <v>28.8</v>
      </c>
      <c r="AA4003" s="647">
        <v>3.94</v>
      </c>
      <c r="AB4003" s="647">
        <v>0.55400000000000005</v>
      </c>
      <c r="AC4003" s="862">
        <v>9.3000000000000007</v>
      </c>
      <c r="AD4003" s="867">
        <v>480</v>
      </c>
      <c r="AE4003" s="867">
        <v>260</v>
      </c>
      <c r="AF4003" s="867">
        <v>260</v>
      </c>
      <c r="AG4003" s="66">
        <f t="shared" si="149"/>
        <v>149.83541666666667</v>
      </c>
      <c r="AH4003" s="143">
        <f t="shared" si="150"/>
        <v>1000</v>
      </c>
    </row>
    <row r="4004" spans="1:34" s="862" customFormat="1" x14ac:dyDescent="0.3">
      <c r="A4004" s="862">
        <v>204169</v>
      </c>
      <c r="B4004" s="863">
        <v>16.7</v>
      </c>
      <c r="C4004" s="863">
        <v>12.3</v>
      </c>
      <c r="D4004" s="647">
        <v>8.6372549019607838</v>
      </c>
      <c r="E4004" s="1573">
        <v>0.11799999999999999</v>
      </c>
      <c r="F4004" s="864">
        <v>129.80000000000001</v>
      </c>
      <c r="H4004" s="864">
        <v>9.4700000000000006</v>
      </c>
      <c r="I4004" s="864">
        <v>180</v>
      </c>
      <c r="J4004" s="1816">
        <v>3.4000000000000002E-2</v>
      </c>
      <c r="K4004" s="863">
        <v>12.94</v>
      </c>
      <c r="L4004" s="862">
        <v>1000</v>
      </c>
      <c r="M4004" s="862">
        <v>0.1</v>
      </c>
      <c r="N4004" s="862">
        <v>0.54</v>
      </c>
      <c r="O4004" s="862">
        <v>4.6900000000000004</v>
      </c>
      <c r="P4004" s="862">
        <v>2.19</v>
      </c>
      <c r="R4004" s="647">
        <v>1.7677080000000001</v>
      </c>
      <c r="S4004" s="863">
        <v>15.600000000000001</v>
      </c>
      <c r="Y4004" s="1817">
        <v>35</v>
      </c>
      <c r="AA4004" s="647">
        <v>4.3899999999999997</v>
      </c>
      <c r="AB4004" s="647">
        <v>0.40600000000000003</v>
      </c>
      <c r="AC4004" s="862">
        <v>9.1999999999999993</v>
      </c>
      <c r="AD4004" s="867">
        <v>500</v>
      </c>
      <c r="AE4004" s="867">
        <v>260</v>
      </c>
      <c r="AF4004" s="867">
        <v>240</v>
      </c>
      <c r="AG4004" s="66">
        <f t="shared" si="149"/>
        <v>130.87885714285716</v>
      </c>
      <c r="AH4004" s="143">
        <f t="shared" si="150"/>
        <v>1000</v>
      </c>
    </row>
    <row r="4005" spans="1:34" s="862" customFormat="1" x14ac:dyDescent="0.3">
      <c r="A4005" s="862">
        <v>204170</v>
      </c>
      <c r="B4005" s="863">
        <v>20.7</v>
      </c>
      <c r="C4005" s="863">
        <v>10.5</v>
      </c>
      <c r="D4005" s="647">
        <v>8.5686274509803919</v>
      </c>
      <c r="E4005" s="1573">
        <v>0.127</v>
      </c>
      <c r="F4005" s="864">
        <v>139.70000000000002</v>
      </c>
      <c r="H4005" s="864">
        <v>13.26</v>
      </c>
      <c r="I4005" s="864">
        <v>200</v>
      </c>
      <c r="J4005" s="1816">
        <v>4.8000000000000001E-2</v>
      </c>
      <c r="K4005" s="863">
        <v>12.16</v>
      </c>
      <c r="L4005" s="862">
        <v>740</v>
      </c>
      <c r="M4005" s="862">
        <v>0.12</v>
      </c>
      <c r="N4005" s="862">
        <v>0.57999999999999996</v>
      </c>
      <c r="O4005" s="862">
        <v>5.71</v>
      </c>
      <c r="P4005" s="862">
        <v>2.9</v>
      </c>
      <c r="R4005" s="647">
        <v>1.8875480000000002</v>
      </c>
      <c r="S4005" s="863">
        <v>19.600000000000001</v>
      </c>
      <c r="Y4005" s="1817">
        <v>25</v>
      </c>
      <c r="AA4005" s="647">
        <v>4.7699999999999996</v>
      </c>
      <c r="AB4005" s="647">
        <v>0.39100000000000001</v>
      </c>
      <c r="AC4005" s="862">
        <v>10.8</v>
      </c>
      <c r="AD4005" s="867">
        <v>500</v>
      </c>
      <c r="AE4005" s="867">
        <v>240</v>
      </c>
      <c r="AF4005" s="867">
        <v>260</v>
      </c>
      <c r="AG4005" s="66">
        <f t="shared" si="149"/>
        <v>172.18559999999997</v>
      </c>
      <c r="AH4005" s="143">
        <f t="shared" si="150"/>
        <v>1000</v>
      </c>
    </row>
    <row r="4006" spans="1:34" s="862" customFormat="1" x14ac:dyDescent="0.3">
      <c r="A4006" s="862">
        <v>204171</v>
      </c>
      <c r="B4006" s="863">
        <v>45.8</v>
      </c>
      <c r="C4006" s="863">
        <v>14.8</v>
      </c>
      <c r="D4006" s="647">
        <v>8.7156862745098049</v>
      </c>
      <c r="E4006" s="1573">
        <v>0.129</v>
      </c>
      <c r="F4006" s="864">
        <v>141.90000000000003</v>
      </c>
      <c r="H4006" s="864">
        <v>9</v>
      </c>
      <c r="I4006" s="864">
        <v>110</v>
      </c>
      <c r="J4006" s="1816">
        <v>4.3999999999999997E-2</v>
      </c>
      <c r="K4006" s="863">
        <v>12.35</v>
      </c>
      <c r="L4006" s="862">
        <v>880</v>
      </c>
      <c r="M4006" s="862">
        <v>0.09</v>
      </c>
      <c r="N4006" s="862">
        <v>0.42</v>
      </c>
      <c r="O4006" s="862">
        <v>3.82</v>
      </c>
      <c r="P4006" s="862">
        <v>1.49</v>
      </c>
      <c r="R4006" s="647">
        <v>1.0486755599354416</v>
      </c>
      <c r="S4006" s="863">
        <v>7.3</v>
      </c>
      <c r="Y4006" s="1817">
        <v>29.4</v>
      </c>
      <c r="AA4006" s="647">
        <v>3.57</v>
      </c>
      <c r="AB4006" s="647">
        <v>0.75900000000000001</v>
      </c>
      <c r="AC4006" s="862">
        <v>7.8</v>
      </c>
      <c r="AD4006" s="867">
        <v>420</v>
      </c>
      <c r="AE4006" s="867">
        <v>260</v>
      </c>
      <c r="AF4006" s="867">
        <v>320</v>
      </c>
      <c r="AG4006" s="66">
        <f t="shared" si="149"/>
        <v>148.7040816326531</v>
      </c>
      <c r="AH4006" s="143">
        <f t="shared" si="150"/>
        <v>1000</v>
      </c>
    </row>
    <row r="4007" spans="1:34" s="862" customFormat="1" x14ac:dyDescent="0.3">
      <c r="A4007" s="862">
        <v>204172</v>
      </c>
      <c r="B4007" s="863">
        <v>25.7</v>
      </c>
      <c r="C4007" s="863">
        <v>12</v>
      </c>
      <c r="D4007" s="647">
        <v>8.5490196078431371</v>
      </c>
      <c r="E4007" s="1573">
        <v>0.126</v>
      </c>
      <c r="F4007" s="864">
        <v>138.6</v>
      </c>
      <c r="H4007" s="864">
        <v>7.39</v>
      </c>
      <c r="I4007" s="864">
        <v>330</v>
      </c>
      <c r="J4007" s="1816">
        <v>4.3999999999999997E-2</v>
      </c>
      <c r="K4007" s="863">
        <v>11.75</v>
      </c>
      <c r="L4007" s="862">
        <v>860</v>
      </c>
      <c r="M4007" s="862">
        <v>0.12</v>
      </c>
      <c r="N4007" s="862">
        <v>0.97</v>
      </c>
      <c r="O4007" s="862">
        <v>3.1</v>
      </c>
      <c r="P4007" s="862">
        <v>3.04</v>
      </c>
      <c r="R4007" s="647">
        <v>1.666817</v>
      </c>
      <c r="S4007" s="863">
        <v>12.7</v>
      </c>
      <c r="Y4007" s="1817">
        <v>31.2</v>
      </c>
      <c r="AA4007" s="647">
        <v>4.3499999999999996</v>
      </c>
      <c r="AB4007" s="647">
        <v>0.47599999999999998</v>
      </c>
      <c r="AC4007" s="862">
        <v>8</v>
      </c>
      <c r="AD4007" s="867">
        <v>520</v>
      </c>
      <c r="AE4007" s="867">
        <v>280</v>
      </c>
      <c r="AF4007" s="867">
        <v>200</v>
      </c>
      <c r="AG4007" s="66">
        <f t="shared" si="149"/>
        <v>133.31730769230771</v>
      </c>
      <c r="AH4007" s="143">
        <f t="shared" si="150"/>
        <v>1000</v>
      </c>
    </row>
    <row r="4008" spans="1:34" s="862" customFormat="1" x14ac:dyDescent="0.3">
      <c r="A4008" s="862">
        <v>204173</v>
      </c>
      <c r="B4008" s="863">
        <v>44.2</v>
      </c>
      <c r="C4008" s="863">
        <v>11.9</v>
      </c>
      <c r="D4008" s="647">
        <v>8.7549019607843128</v>
      </c>
      <c r="E4008" s="1573">
        <v>0.123</v>
      </c>
      <c r="F4008" s="864">
        <v>135.30000000000001</v>
      </c>
      <c r="H4008" s="864">
        <v>5.0199999999999996</v>
      </c>
      <c r="I4008" s="864">
        <v>300</v>
      </c>
      <c r="J4008" s="1816">
        <v>9.2999999999999999E-2</v>
      </c>
      <c r="K4008" s="863">
        <v>12.98</v>
      </c>
      <c r="L4008" s="862">
        <v>1360</v>
      </c>
      <c r="M4008" s="862">
        <v>0.14000000000000001</v>
      </c>
      <c r="N4008" s="862">
        <v>0.73</v>
      </c>
      <c r="O4008" s="862">
        <v>4.96</v>
      </c>
      <c r="P4008" s="862">
        <v>2.39</v>
      </c>
      <c r="R4008" s="647">
        <v>1.5824250000000002</v>
      </c>
      <c r="S4008" s="863">
        <v>10.5</v>
      </c>
      <c r="Y4008" s="1817">
        <v>26.4</v>
      </c>
      <c r="AA4008" s="647">
        <v>4.49</v>
      </c>
      <c r="AB4008" s="647">
        <v>0.63</v>
      </c>
      <c r="AC4008" s="862">
        <v>6</v>
      </c>
      <c r="AD4008" s="867">
        <v>440</v>
      </c>
      <c r="AE4008" s="867">
        <v>260</v>
      </c>
      <c r="AF4008" s="867">
        <v>300</v>
      </c>
      <c r="AG4008" s="66">
        <f t="shared" si="149"/>
        <v>174.05</v>
      </c>
      <c r="AH4008" s="143">
        <f t="shared" si="150"/>
        <v>1000</v>
      </c>
    </row>
    <row r="4009" spans="1:34" s="862" customFormat="1" x14ac:dyDescent="0.3">
      <c r="A4009" s="862">
        <v>204174</v>
      </c>
      <c r="B4009" s="863">
        <v>13.3</v>
      </c>
      <c r="C4009" s="863">
        <v>6.1</v>
      </c>
      <c r="D4009" s="647">
        <v>7.79</v>
      </c>
      <c r="E4009" s="1573">
        <v>2.2999999999999998</v>
      </c>
      <c r="F4009" s="864">
        <v>2530</v>
      </c>
      <c r="H4009" s="864">
        <v>4.47</v>
      </c>
      <c r="I4009" s="864">
        <v>220</v>
      </c>
      <c r="J4009" s="1816">
        <v>5.1999999999999998E-2</v>
      </c>
      <c r="K4009" s="863">
        <v>20.420000000000002</v>
      </c>
      <c r="L4009" s="862">
        <v>540</v>
      </c>
      <c r="M4009" s="862">
        <v>0.09</v>
      </c>
      <c r="N4009" s="862">
        <v>0.55000000000000004</v>
      </c>
      <c r="O4009" s="862">
        <v>3.07</v>
      </c>
      <c r="P4009" s="862">
        <v>1.65</v>
      </c>
      <c r="R4009" s="647">
        <v>1.0580672277117804</v>
      </c>
      <c r="S4009" s="863">
        <v>7</v>
      </c>
      <c r="Y4009" s="1817">
        <v>24</v>
      </c>
      <c r="AA4009" s="647">
        <v>4.04</v>
      </c>
      <c r="AB4009" s="647">
        <v>0.28699999999999998</v>
      </c>
      <c r="AC4009" s="862">
        <v>7</v>
      </c>
      <c r="AD4009" s="867">
        <v>400</v>
      </c>
      <c r="AE4009" s="867">
        <v>260</v>
      </c>
      <c r="AF4009" s="867">
        <v>340</v>
      </c>
      <c r="AG4009" s="66">
        <f t="shared" si="149"/>
        <v>301.19500000000005</v>
      </c>
      <c r="AH4009" s="143">
        <f t="shared" si="150"/>
        <v>1000</v>
      </c>
    </row>
    <row r="4010" spans="1:34" s="862" customFormat="1" x14ac:dyDescent="0.3">
      <c r="A4010" s="862">
        <v>204175</v>
      </c>
      <c r="B4010" s="863">
        <v>0.1</v>
      </c>
      <c r="C4010" s="863"/>
      <c r="D4010" s="647">
        <v>7.8725490196078427</v>
      </c>
      <c r="E4010" s="1573">
        <v>0.17699999999999999</v>
      </c>
      <c r="F4010" s="864">
        <v>194.70000000000002</v>
      </c>
      <c r="H4010" s="864">
        <v>104.95</v>
      </c>
      <c r="I4010" s="864">
        <v>150</v>
      </c>
      <c r="J4010" s="1816">
        <v>0.17100000000000001</v>
      </c>
      <c r="K4010" s="863">
        <v>2.56</v>
      </c>
      <c r="L4010" s="862">
        <v>550</v>
      </c>
      <c r="M4010" s="862">
        <v>0.96</v>
      </c>
      <c r="N4010" s="862">
        <v>1.2</v>
      </c>
      <c r="O4010" s="862">
        <v>21.37</v>
      </c>
      <c r="P4010" s="862">
        <v>24.7</v>
      </c>
      <c r="R4010" s="647">
        <v>1.5824250000000002</v>
      </c>
      <c r="S4010" s="863">
        <v>10.5</v>
      </c>
      <c r="Y4010" s="1817">
        <v>25.2</v>
      </c>
      <c r="AA4010" s="647">
        <v>3.49</v>
      </c>
      <c r="AB4010" s="647">
        <v>0.42799999999999999</v>
      </c>
      <c r="AC4010" s="862">
        <v>7.6</v>
      </c>
      <c r="AD4010" s="867">
        <v>360</v>
      </c>
      <c r="AE4010" s="867">
        <v>160</v>
      </c>
      <c r="AF4010" s="867">
        <v>480</v>
      </c>
      <c r="AG4010" s="66">
        <f t="shared" si="149"/>
        <v>35.961904761904762</v>
      </c>
      <c r="AH4010" s="143">
        <f t="shared" si="150"/>
        <v>1000</v>
      </c>
    </row>
    <row r="4011" spans="1:34" s="862" customFormat="1" x14ac:dyDescent="0.3">
      <c r="A4011" s="862">
        <v>204176</v>
      </c>
      <c r="B4011" s="863">
        <v>0.9</v>
      </c>
      <c r="C4011" s="863"/>
      <c r="D4011" s="647">
        <v>8.3235294117647065</v>
      </c>
      <c r="E4011" s="1573">
        <v>0.42399999999999999</v>
      </c>
      <c r="F4011" s="864">
        <v>466.40000000000003</v>
      </c>
      <c r="H4011" s="864">
        <v>61.86</v>
      </c>
      <c r="I4011" s="864">
        <v>320</v>
      </c>
      <c r="J4011" s="1816">
        <v>0.28899999999999998</v>
      </c>
      <c r="K4011" s="863">
        <v>7.61</v>
      </c>
      <c r="L4011" s="862">
        <v>1180</v>
      </c>
      <c r="M4011" s="862">
        <v>0.7</v>
      </c>
      <c r="N4011" s="862">
        <v>1.79</v>
      </c>
      <c r="O4011" s="862">
        <v>6.34</v>
      </c>
      <c r="P4011" s="862">
        <v>15.33</v>
      </c>
      <c r="R4011" s="647">
        <v>1.751153</v>
      </c>
      <c r="S4011" s="863">
        <v>15.1</v>
      </c>
      <c r="Y4011" s="1817">
        <v>25</v>
      </c>
      <c r="AA4011" s="647">
        <v>5</v>
      </c>
      <c r="AB4011" s="647">
        <v>0.29099999999999998</v>
      </c>
      <c r="AC4011" s="862">
        <v>9.1999999999999993</v>
      </c>
      <c r="AD4011" s="867">
        <v>500</v>
      </c>
      <c r="AE4011" s="867">
        <v>200</v>
      </c>
      <c r="AF4011" s="867">
        <v>300</v>
      </c>
      <c r="AG4011" s="66">
        <f t="shared" si="149"/>
        <v>107.7576</v>
      </c>
      <c r="AH4011" s="143">
        <f t="shared" si="150"/>
        <v>1000</v>
      </c>
    </row>
    <row r="4012" spans="1:34" s="862" customFormat="1" x14ac:dyDescent="0.3">
      <c r="A4012" s="862">
        <v>204177</v>
      </c>
      <c r="B4012" s="863">
        <v>0.8</v>
      </c>
      <c r="C4012" s="863"/>
      <c r="D4012" s="647">
        <v>8.0784313725490193</v>
      </c>
      <c r="E4012" s="1573">
        <v>0.33300000000000002</v>
      </c>
      <c r="F4012" s="864">
        <v>366.30000000000007</v>
      </c>
      <c r="H4012" s="864">
        <v>113.17</v>
      </c>
      <c r="I4012" s="864">
        <v>210</v>
      </c>
      <c r="J4012" s="1816">
        <v>0.24099999999999999</v>
      </c>
      <c r="K4012" s="863">
        <v>4.7699999999999996</v>
      </c>
      <c r="L4012" s="862">
        <v>780</v>
      </c>
      <c r="M4012" s="862">
        <v>1.03</v>
      </c>
      <c r="N4012" s="862">
        <v>1.49</v>
      </c>
      <c r="O4012" s="862">
        <v>4.68</v>
      </c>
      <c r="P4012" s="862">
        <v>23.76</v>
      </c>
      <c r="R4012" s="647">
        <v>1.629297</v>
      </c>
      <c r="S4012" s="863">
        <v>11.7</v>
      </c>
      <c r="Y4012" s="1817">
        <v>35</v>
      </c>
      <c r="AA4012" s="647">
        <v>4.5199999999999996</v>
      </c>
      <c r="AB4012" s="647">
        <v>0.64400000000000002</v>
      </c>
      <c r="AC4012" s="862">
        <v>9</v>
      </c>
      <c r="AD4012" s="867">
        <v>500</v>
      </c>
      <c r="AE4012" s="867">
        <v>220</v>
      </c>
      <c r="AF4012" s="867">
        <v>280</v>
      </c>
      <c r="AG4012" s="66">
        <f t="shared" si="149"/>
        <v>48.245142857142852</v>
      </c>
      <c r="AH4012" s="143">
        <f t="shared" si="150"/>
        <v>1000</v>
      </c>
    </row>
    <row r="4013" spans="1:34" s="862" customFormat="1" x14ac:dyDescent="0.3">
      <c r="A4013" s="862">
        <v>204178</v>
      </c>
      <c r="B4013" s="863">
        <v>18.7</v>
      </c>
      <c r="C4013" s="863">
        <v>1.5</v>
      </c>
      <c r="D4013" s="647">
        <v>8.0098039215686274</v>
      </c>
      <c r="E4013" s="1573">
        <v>0.18</v>
      </c>
      <c r="F4013" s="864">
        <v>198</v>
      </c>
      <c r="H4013" s="864">
        <v>25.21</v>
      </c>
      <c r="I4013" s="864">
        <v>130</v>
      </c>
      <c r="J4013" s="1816">
        <v>7.4999999999999997E-2</v>
      </c>
      <c r="K4013" s="863">
        <v>10.06</v>
      </c>
      <c r="L4013" s="862">
        <v>210</v>
      </c>
      <c r="M4013" s="862">
        <v>0.47</v>
      </c>
      <c r="N4013" s="862">
        <v>0.34</v>
      </c>
      <c r="O4013" s="862">
        <v>10.48</v>
      </c>
      <c r="P4013" s="862">
        <v>6.11</v>
      </c>
      <c r="R4013" s="647">
        <v>1.8122</v>
      </c>
      <c r="S4013" s="863">
        <v>17</v>
      </c>
      <c r="Y4013" s="1817">
        <v>22</v>
      </c>
      <c r="AA4013" s="647">
        <v>4.4400000000000004</v>
      </c>
      <c r="AB4013" s="647">
        <v>0.622</v>
      </c>
      <c r="AC4013" s="862">
        <v>9.1</v>
      </c>
      <c r="AD4013" s="867">
        <v>440</v>
      </c>
      <c r="AE4013" s="867">
        <v>180</v>
      </c>
      <c r="AF4013" s="867">
        <v>380</v>
      </c>
      <c r="AG4013" s="66">
        <f t="shared" si="149"/>
        <v>161.87454545454545</v>
      </c>
      <c r="AH4013" s="143">
        <f t="shared" si="150"/>
        <v>1000</v>
      </c>
    </row>
    <row r="4014" spans="1:34" s="862" customFormat="1" x14ac:dyDescent="0.3">
      <c r="A4014" s="862">
        <v>204041</v>
      </c>
      <c r="B4014" s="863">
        <v>0.3</v>
      </c>
      <c r="C4014" s="863"/>
      <c r="D4014" s="647">
        <v>7.29</v>
      </c>
      <c r="E4014" s="1573"/>
      <c r="F4014" s="864"/>
      <c r="H4014" s="864">
        <v>71.62</v>
      </c>
      <c r="I4014" s="864">
        <v>440</v>
      </c>
      <c r="J4014" s="1816"/>
      <c r="K4014" s="863"/>
      <c r="R4014" s="647"/>
      <c r="S4014" s="863">
        <v>16.8</v>
      </c>
      <c r="T4014" s="1818"/>
      <c r="U4014" s="1818"/>
      <c r="V4014" s="1818"/>
      <c r="W4014" s="1818"/>
      <c r="X4014" s="1818"/>
      <c r="Y4014" s="1817">
        <v>12.750000000000062</v>
      </c>
      <c r="Z4014" s="862">
        <v>6.33</v>
      </c>
      <c r="AA4014" s="647">
        <v>4.78</v>
      </c>
      <c r="AB4014" s="647">
        <v>0.25700000000000001</v>
      </c>
      <c r="AC4014" s="862">
        <v>7.2</v>
      </c>
      <c r="AD4014" s="1819">
        <v>212.50000000000102</v>
      </c>
      <c r="AE4014" s="1819">
        <v>253.10399999999896</v>
      </c>
      <c r="AF4014" s="1819">
        <v>505.50000000000011</v>
      </c>
      <c r="AG4014" s="66">
        <f t="shared" si="149"/>
        <v>0</v>
      </c>
      <c r="AH4014" s="143">
        <f t="shared" si="150"/>
        <v>971.10400000000004</v>
      </c>
    </row>
    <row r="4015" spans="1:34" s="862" customFormat="1" x14ac:dyDescent="0.3">
      <c r="A4015" s="862">
        <v>204042</v>
      </c>
      <c r="B4015" s="863">
        <v>16.3</v>
      </c>
      <c r="C4015" s="863">
        <v>6.4</v>
      </c>
      <c r="D4015" s="647">
        <v>8.2100000000000009</v>
      </c>
      <c r="E4015" s="1573"/>
      <c r="F4015" s="864"/>
      <c r="H4015" s="864">
        <v>24.76</v>
      </c>
      <c r="I4015" s="864">
        <v>414</v>
      </c>
      <c r="J4015" s="1816"/>
      <c r="K4015" s="863"/>
      <c r="R4015" s="647"/>
      <c r="S4015" s="863">
        <v>22.5</v>
      </c>
      <c r="T4015" s="1818"/>
      <c r="U4015" s="1818"/>
      <c r="V4015" s="1818"/>
      <c r="W4015" s="1818"/>
      <c r="X4015" s="1818"/>
      <c r="Y4015" s="1817">
        <v>13.050000000000029</v>
      </c>
      <c r="Z4015" s="862">
        <v>7.25</v>
      </c>
      <c r="AA4015" s="647">
        <v>3.76</v>
      </c>
      <c r="AB4015" s="647">
        <v>0.60499999999999998</v>
      </c>
      <c r="AC4015" s="862">
        <v>7.2</v>
      </c>
      <c r="AD4015" s="1819">
        <v>217.50000000000048</v>
      </c>
      <c r="AE4015" s="1819">
        <v>518.7999999999995</v>
      </c>
      <c r="AF4015" s="1819">
        <v>225</v>
      </c>
      <c r="AG4015" s="66">
        <f t="shared" si="149"/>
        <v>0</v>
      </c>
      <c r="AH4015" s="143">
        <f t="shared" si="150"/>
        <v>961.3</v>
      </c>
    </row>
    <row r="4016" spans="1:34" s="862" customFormat="1" x14ac:dyDescent="0.3">
      <c r="A4016" s="862">
        <v>204043</v>
      </c>
      <c r="B4016" s="863">
        <v>15.8</v>
      </c>
      <c r="C4016" s="863">
        <v>7</v>
      </c>
      <c r="D4016" s="647">
        <v>8.23</v>
      </c>
      <c r="E4016" s="1573"/>
      <c r="F4016" s="864"/>
      <c r="H4016" s="864">
        <v>19.53</v>
      </c>
      <c r="I4016" s="864">
        <v>320</v>
      </c>
      <c r="J4016" s="1816"/>
      <c r="K4016" s="863"/>
      <c r="R4016" s="647"/>
      <c r="S4016" s="863">
        <v>21.5</v>
      </c>
      <c r="T4016" s="1818"/>
      <c r="U4016" s="1818"/>
      <c r="V4016" s="1818"/>
      <c r="W4016" s="1818"/>
      <c r="X4016" s="1818"/>
      <c r="Y4016" s="1817">
        <v>13.049999999999963</v>
      </c>
      <c r="Z4016" s="862">
        <v>7.27</v>
      </c>
      <c r="AA4016" s="647">
        <v>4.2</v>
      </c>
      <c r="AB4016" s="647">
        <v>0.79800000000000004</v>
      </c>
      <c r="AC4016" s="862">
        <v>7.8</v>
      </c>
      <c r="AD4016" s="1819">
        <v>217.49999999999937</v>
      </c>
      <c r="AE4016" s="1819">
        <v>500.02000000000061</v>
      </c>
      <c r="AF4016" s="1819">
        <v>245.49999999999997</v>
      </c>
      <c r="AG4016" s="66">
        <f t="shared" si="149"/>
        <v>0</v>
      </c>
      <c r="AH4016" s="143">
        <f t="shared" si="150"/>
        <v>963.02</v>
      </c>
    </row>
    <row r="4017" spans="1:34" s="862" customFormat="1" x14ac:dyDescent="0.3">
      <c r="A4017" s="862">
        <v>204044</v>
      </c>
      <c r="B4017" s="863">
        <v>0.1</v>
      </c>
      <c r="C4017" s="863"/>
      <c r="D4017" s="647">
        <v>6.76</v>
      </c>
      <c r="E4017" s="1573"/>
      <c r="F4017" s="864"/>
      <c r="H4017" s="864">
        <v>14.8</v>
      </c>
      <c r="I4017" s="864">
        <v>70</v>
      </c>
      <c r="J4017" s="1816"/>
      <c r="K4017" s="863"/>
      <c r="R4017" s="647"/>
      <c r="S4017" s="863">
        <v>14.6</v>
      </c>
      <c r="T4017" s="1818"/>
      <c r="U4017" s="1818"/>
      <c r="V4017" s="1818"/>
      <c r="W4017" s="1818"/>
      <c r="X4017" s="1818"/>
      <c r="Y4017" s="1817">
        <v>14.549999999999995</v>
      </c>
      <c r="Z4017" s="862">
        <v>5.8</v>
      </c>
      <c r="AA4017" s="647">
        <v>3.65</v>
      </c>
      <c r="AB4017" s="647">
        <v>0.59799999999999998</v>
      </c>
      <c r="AC4017" s="862">
        <v>9.5</v>
      </c>
      <c r="AD4017" s="1819">
        <v>242.49999999999994</v>
      </c>
      <c r="AE4017" s="1819">
        <v>330.18799999999999</v>
      </c>
      <c r="AF4017" s="1819">
        <v>402.20000000000005</v>
      </c>
      <c r="AG4017" s="66">
        <f t="shared" si="149"/>
        <v>0</v>
      </c>
      <c r="AH4017" s="143">
        <f t="shared" si="150"/>
        <v>974.88799999999992</v>
      </c>
    </row>
    <row r="4018" spans="1:34" s="862" customFormat="1" x14ac:dyDescent="0.3">
      <c r="A4018" s="862">
        <v>204045</v>
      </c>
      <c r="B4018" s="863">
        <v>41.2</v>
      </c>
      <c r="C4018" s="863">
        <v>12.6</v>
      </c>
      <c r="D4018" s="647">
        <v>8.35</v>
      </c>
      <c r="E4018" s="1573"/>
      <c r="F4018" s="864"/>
      <c r="H4018" s="864">
        <v>21.02</v>
      </c>
      <c r="I4018" s="864">
        <v>240</v>
      </c>
      <c r="J4018" s="1816"/>
      <c r="K4018" s="863"/>
      <c r="R4018" s="647"/>
      <c r="S4018" s="863">
        <v>20.099999999999998</v>
      </c>
      <c r="T4018" s="1818"/>
      <c r="U4018" s="1818"/>
      <c r="V4018" s="1818"/>
      <c r="W4018" s="1818"/>
      <c r="X4018" s="1818"/>
      <c r="Y4018" s="1817">
        <v>13.000000000000011</v>
      </c>
      <c r="Z4018" s="862">
        <v>7.39</v>
      </c>
      <c r="AA4018" s="647">
        <v>4.71</v>
      </c>
      <c r="AB4018" s="647">
        <v>0.58499999999999996</v>
      </c>
      <c r="AC4018" s="862">
        <v>9.3000000000000007</v>
      </c>
      <c r="AD4018" s="1819">
        <v>260.00000000000023</v>
      </c>
      <c r="AE4018" s="1819">
        <v>453.92799999999966</v>
      </c>
      <c r="AF4018" s="1819">
        <v>251.5</v>
      </c>
      <c r="AG4018" s="66">
        <f t="shared" si="149"/>
        <v>0</v>
      </c>
      <c r="AH4018" s="143">
        <f t="shared" si="150"/>
        <v>965.42799999999988</v>
      </c>
    </row>
    <row r="4019" spans="1:34" s="862" customFormat="1" x14ac:dyDescent="0.3">
      <c r="A4019" s="862">
        <v>204046</v>
      </c>
      <c r="B4019" s="863">
        <v>26.7</v>
      </c>
      <c r="C4019" s="863">
        <v>7.9</v>
      </c>
      <c r="D4019" s="647">
        <v>8.32</v>
      </c>
      <c r="E4019" s="1573"/>
      <c r="F4019" s="864"/>
      <c r="H4019" s="864">
        <v>29.84</v>
      </c>
      <c r="I4019" s="864">
        <v>300</v>
      </c>
      <c r="J4019" s="1816"/>
      <c r="K4019" s="863"/>
      <c r="R4019" s="647"/>
      <c r="S4019" s="863">
        <v>25</v>
      </c>
      <c r="T4019" s="1818"/>
      <c r="U4019" s="1818"/>
      <c r="V4019" s="1818"/>
      <c r="W4019" s="1818"/>
      <c r="X4019" s="1818"/>
      <c r="Y4019" s="1817">
        <v>13.825000000000031</v>
      </c>
      <c r="Z4019" s="862">
        <v>7.36</v>
      </c>
      <c r="AA4019" s="647">
        <v>3.84</v>
      </c>
      <c r="AB4019" s="647">
        <v>0.72299999999999998</v>
      </c>
      <c r="AC4019" s="862">
        <v>12</v>
      </c>
      <c r="AD4019" s="1819">
        <v>197.50000000000045</v>
      </c>
      <c r="AE4019" s="1819">
        <v>463.19999999999959</v>
      </c>
      <c r="AF4019" s="1819">
        <v>296.29999999999995</v>
      </c>
      <c r="AG4019" s="66">
        <f t="shared" si="149"/>
        <v>0</v>
      </c>
      <c r="AH4019" s="143">
        <f t="shared" si="150"/>
        <v>957</v>
      </c>
    </row>
    <row r="4020" spans="1:34" s="862" customFormat="1" x14ac:dyDescent="0.3">
      <c r="A4020" s="862">
        <v>204047</v>
      </c>
      <c r="B4020" s="863">
        <v>46.8</v>
      </c>
      <c r="C4020" s="863">
        <v>13.4</v>
      </c>
      <c r="D4020" s="647">
        <v>8.6</v>
      </c>
      <c r="E4020" s="1573"/>
      <c r="F4020" s="864"/>
      <c r="H4020" s="864">
        <v>56.17</v>
      </c>
      <c r="I4020" s="864">
        <v>220</v>
      </c>
      <c r="J4020" s="1816"/>
      <c r="K4020" s="863"/>
      <c r="R4020" s="647"/>
      <c r="S4020" s="863">
        <v>21.5</v>
      </c>
      <c r="T4020" s="1818"/>
      <c r="U4020" s="1818"/>
      <c r="V4020" s="1818"/>
      <c r="W4020" s="1818"/>
      <c r="X4020" s="1818"/>
      <c r="Y4020" s="1817">
        <v>10.500000000000009</v>
      </c>
      <c r="Z4020" s="862">
        <v>7.64</v>
      </c>
      <c r="AA4020" s="647">
        <v>3.98</v>
      </c>
      <c r="AB4020" s="647">
        <v>0.57599999999999996</v>
      </c>
      <c r="AC4020" s="862">
        <v>10.5</v>
      </c>
      <c r="AD4020" s="1819">
        <v>210.0000000000002</v>
      </c>
      <c r="AE4020" s="1819">
        <v>438.61999999999966</v>
      </c>
      <c r="AF4020" s="1819">
        <v>314.39999999999998</v>
      </c>
      <c r="AG4020" s="66">
        <f t="shared" si="149"/>
        <v>0</v>
      </c>
      <c r="AH4020" s="143">
        <f t="shared" si="150"/>
        <v>963.01999999999987</v>
      </c>
    </row>
    <row r="4021" spans="1:34" s="862" customFormat="1" x14ac:dyDescent="0.3">
      <c r="A4021" s="862">
        <v>204048</v>
      </c>
      <c r="B4021" s="863">
        <v>8</v>
      </c>
      <c r="C4021" s="863"/>
      <c r="D4021" s="647">
        <v>8.24</v>
      </c>
      <c r="E4021" s="1573"/>
      <c r="F4021" s="864"/>
      <c r="H4021" s="864">
        <v>20.73</v>
      </c>
      <c r="I4021" s="864">
        <v>540</v>
      </c>
      <c r="J4021" s="1816"/>
      <c r="K4021" s="863"/>
      <c r="R4021" s="647"/>
      <c r="S4021" s="863">
        <v>21.099999999999998</v>
      </c>
      <c r="T4021" s="1818"/>
      <c r="U4021" s="1818"/>
      <c r="V4021" s="1818"/>
      <c r="W4021" s="1818"/>
      <c r="X4021" s="1818"/>
      <c r="Y4021" s="1817">
        <v>16.274999999999995</v>
      </c>
      <c r="Z4021" s="862">
        <v>7.28</v>
      </c>
      <c r="AA4021" s="647">
        <v>3.53</v>
      </c>
      <c r="AB4021" s="647">
        <v>0.56699999999999995</v>
      </c>
      <c r="AC4021" s="862">
        <v>6.3</v>
      </c>
      <c r="AD4021" s="1819">
        <v>232.49999999999994</v>
      </c>
      <c r="AE4021" s="1819">
        <v>472.80800000000005</v>
      </c>
      <c r="AF4021" s="1819">
        <v>258.39999999999998</v>
      </c>
      <c r="AG4021" s="66">
        <f t="shared" si="149"/>
        <v>0</v>
      </c>
      <c r="AH4021" s="143">
        <f t="shared" si="150"/>
        <v>963.70799999999997</v>
      </c>
    </row>
    <row r="4022" spans="1:34" s="862" customFormat="1" x14ac:dyDescent="0.3">
      <c r="A4022" s="862">
        <v>204049</v>
      </c>
      <c r="B4022" s="863">
        <v>0.3</v>
      </c>
      <c r="C4022" s="863"/>
      <c r="D4022" s="647">
        <v>7.06</v>
      </c>
      <c r="E4022" s="1573"/>
      <c r="F4022" s="864"/>
      <c r="H4022" s="864">
        <v>25.08</v>
      </c>
      <c r="I4022" s="864">
        <v>100</v>
      </c>
      <c r="J4022" s="1816"/>
      <c r="K4022" s="863"/>
      <c r="R4022" s="647"/>
      <c r="S4022" s="863">
        <v>20.9</v>
      </c>
      <c r="T4022" s="1818"/>
      <c r="U4022" s="1818"/>
      <c r="V4022" s="1818"/>
      <c r="W4022" s="1818"/>
      <c r="X4022" s="1818"/>
      <c r="Y4022" s="1817">
        <v>12.249999999999982</v>
      </c>
      <c r="Z4022" s="862">
        <v>6.1</v>
      </c>
      <c r="AA4022" s="647">
        <v>4.67</v>
      </c>
      <c r="AB4022" s="647">
        <v>0.307</v>
      </c>
      <c r="AC4022" s="862">
        <v>11.1</v>
      </c>
      <c r="AD4022" s="1819">
        <v>244.99999999999966</v>
      </c>
      <c r="AE4022" s="1819">
        <v>191.85200000000043</v>
      </c>
      <c r="AF4022" s="1819">
        <v>527.19999999999993</v>
      </c>
      <c r="AG4022" s="66">
        <f t="shared" si="149"/>
        <v>0</v>
      </c>
      <c r="AH4022" s="143">
        <f t="shared" si="150"/>
        <v>964.05200000000002</v>
      </c>
    </row>
    <row r="4023" spans="1:34" s="862" customFormat="1" x14ac:dyDescent="0.3">
      <c r="A4023" s="862">
        <v>204050</v>
      </c>
      <c r="B4023" s="863">
        <v>38.700000000000003</v>
      </c>
      <c r="C4023" s="863">
        <v>11</v>
      </c>
      <c r="D4023" s="647">
        <v>8.61</v>
      </c>
      <c r="E4023" s="1573"/>
      <c r="F4023" s="864"/>
      <c r="H4023" s="864">
        <v>46.77</v>
      </c>
      <c r="I4023" s="864">
        <v>529</v>
      </c>
      <c r="J4023" s="1816"/>
      <c r="K4023" s="863"/>
      <c r="R4023" s="647"/>
      <c r="S4023" s="863">
        <v>22</v>
      </c>
      <c r="T4023" s="1818"/>
      <c r="U4023" s="1818"/>
      <c r="V4023" s="1818"/>
      <c r="W4023" s="1818"/>
      <c r="X4023" s="1818"/>
      <c r="Y4023" s="1817">
        <v>12.300000000000045</v>
      </c>
      <c r="Z4023" s="862">
        <v>7.65</v>
      </c>
      <c r="AA4023" s="647">
        <v>4.3099999999999996</v>
      </c>
      <c r="AB4023" s="647">
        <v>0.495</v>
      </c>
      <c r="AC4023" s="862">
        <v>11.2</v>
      </c>
      <c r="AD4023" s="1819">
        <v>205.00000000000074</v>
      </c>
      <c r="AE4023" s="1819">
        <v>435.55999999999921</v>
      </c>
      <c r="AF4023" s="1819">
        <v>321.59999999999997</v>
      </c>
      <c r="AG4023" s="66">
        <f t="shared" si="149"/>
        <v>0</v>
      </c>
      <c r="AH4023" s="143">
        <f t="shared" si="150"/>
        <v>962.15999999999985</v>
      </c>
    </row>
    <row r="4024" spans="1:34" s="862" customFormat="1" x14ac:dyDescent="0.3">
      <c r="A4024" s="862">
        <v>204051</v>
      </c>
      <c r="B4024" s="863">
        <v>15.4</v>
      </c>
      <c r="C4024" s="863">
        <v>8.9</v>
      </c>
      <c r="D4024" s="647">
        <v>8.35</v>
      </c>
      <c r="E4024" s="1573"/>
      <c r="F4024" s="864"/>
      <c r="H4024" s="864">
        <v>27.42</v>
      </c>
      <c r="I4024" s="864">
        <v>457</v>
      </c>
      <c r="J4024" s="1816"/>
      <c r="K4024" s="863"/>
      <c r="R4024" s="647"/>
      <c r="S4024" s="863">
        <v>21.299999999999997</v>
      </c>
      <c r="T4024" s="1818"/>
      <c r="U4024" s="1818"/>
      <c r="V4024" s="1818"/>
      <c r="W4024" s="1818"/>
      <c r="X4024" s="1818"/>
      <c r="Y4024" s="1817">
        <v>13.650000000000029</v>
      </c>
      <c r="Z4024" s="862">
        <v>7.39</v>
      </c>
      <c r="AA4024" s="647">
        <v>4.79</v>
      </c>
      <c r="AB4024" s="647">
        <v>0.74099999999999999</v>
      </c>
      <c r="AC4024" s="862">
        <v>8.6</v>
      </c>
      <c r="AD4024" s="1819">
        <v>227.50000000000048</v>
      </c>
      <c r="AE4024" s="1819">
        <v>456.06399999999962</v>
      </c>
      <c r="AF4024" s="1819">
        <v>279.8</v>
      </c>
      <c r="AG4024" s="66">
        <f t="shared" si="149"/>
        <v>0</v>
      </c>
      <c r="AH4024" s="143">
        <f t="shared" si="150"/>
        <v>963.36400000000003</v>
      </c>
    </row>
    <row r="4025" spans="1:34" s="862" customFormat="1" x14ac:dyDescent="0.3">
      <c r="A4025" s="862">
        <v>204052</v>
      </c>
      <c r="B4025" s="863">
        <v>0.2</v>
      </c>
      <c r="C4025" s="863"/>
      <c r="D4025" s="647">
        <v>6.31</v>
      </c>
      <c r="E4025" s="1573"/>
      <c r="F4025" s="864"/>
      <c r="H4025" s="864">
        <v>32.39</v>
      </c>
      <c r="I4025" s="864">
        <v>290</v>
      </c>
      <c r="J4025" s="1816"/>
      <c r="K4025" s="863"/>
      <c r="R4025" s="647"/>
      <c r="S4025" s="863">
        <v>9.3000000000000007</v>
      </c>
      <c r="T4025" s="1818"/>
      <c r="U4025" s="1818"/>
      <c r="V4025" s="1818"/>
      <c r="W4025" s="1818"/>
      <c r="X4025" s="1818"/>
      <c r="Y4025" s="1817">
        <v>7.1249999999999929</v>
      </c>
      <c r="Z4025" s="862">
        <v>5.35</v>
      </c>
      <c r="AA4025" s="647">
        <v>3.45</v>
      </c>
      <c r="AB4025" s="647">
        <v>0.876</v>
      </c>
      <c r="AC4025" s="862">
        <v>8.6</v>
      </c>
      <c r="AD4025" s="1819">
        <v>142.49999999999986</v>
      </c>
      <c r="AE4025" s="1819">
        <v>309.60400000000027</v>
      </c>
      <c r="AF4025" s="1819">
        <v>531.9</v>
      </c>
      <c r="AG4025" s="66">
        <f t="shared" si="149"/>
        <v>0</v>
      </c>
      <c r="AH4025" s="143">
        <f t="shared" si="150"/>
        <v>984.00400000000013</v>
      </c>
    </row>
    <row r="4026" spans="1:34" s="862" customFormat="1" x14ac:dyDescent="0.3">
      <c r="A4026" s="862">
        <v>204053</v>
      </c>
      <c r="B4026" s="863">
        <v>0.4</v>
      </c>
      <c r="C4026" s="863"/>
      <c r="D4026" s="647">
        <v>7.96</v>
      </c>
      <c r="E4026" s="1573"/>
      <c r="F4026" s="864"/>
      <c r="H4026" s="864">
        <v>58.04</v>
      </c>
      <c r="I4026" s="864">
        <v>711</v>
      </c>
      <c r="J4026" s="1816"/>
      <c r="K4026" s="863"/>
      <c r="R4026" s="647"/>
      <c r="S4026" s="863">
        <v>16.399999999999999</v>
      </c>
      <c r="T4026" s="1818"/>
      <c r="U4026" s="1818"/>
      <c r="V4026" s="1818"/>
      <c r="W4026" s="1818"/>
      <c r="X4026" s="1818"/>
      <c r="Y4026" s="1817">
        <v>23.800000000000018</v>
      </c>
      <c r="Z4026" s="862">
        <v>7</v>
      </c>
      <c r="AA4026" s="647">
        <v>4.54</v>
      </c>
      <c r="AB4026" s="647">
        <v>0.68600000000000005</v>
      </c>
      <c r="AC4026" s="862">
        <v>8.5</v>
      </c>
      <c r="AD4026" s="1819">
        <v>340.00000000000028</v>
      </c>
      <c r="AE4026" s="1819">
        <v>356.0919999999997</v>
      </c>
      <c r="AF4026" s="1819">
        <v>275.70000000000005</v>
      </c>
      <c r="AG4026" s="66">
        <f t="shared" si="149"/>
        <v>0</v>
      </c>
      <c r="AH4026" s="143">
        <f t="shared" si="150"/>
        <v>971.79200000000003</v>
      </c>
    </row>
    <row r="4027" spans="1:34" s="862" customFormat="1" x14ac:dyDescent="0.3">
      <c r="A4027" s="862">
        <v>204054</v>
      </c>
      <c r="B4027" s="863">
        <v>0.1</v>
      </c>
      <c r="C4027" s="863"/>
      <c r="D4027" s="647">
        <v>6.94</v>
      </c>
      <c r="E4027" s="1573"/>
      <c r="F4027" s="864"/>
      <c r="H4027" s="864">
        <v>23.31</v>
      </c>
      <c r="I4027" s="864">
        <v>180</v>
      </c>
      <c r="J4027" s="1816"/>
      <c r="K4027" s="863"/>
      <c r="R4027" s="647"/>
      <c r="S4027" s="863">
        <v>13.700000000000001</v>
      </c>
      <c r="T4027" s="1818"/>
      <c r="U4027" s="1818"/>
      <c r="V4027" s="1818"/>
      <c r="W4027" s="1818"/>
      <c r="X4027" s="1818"/>
      <c r="Y4027" s="1817">
        <v>18.374999999999996</v>
      </c>
      <c r="Z4027" s="862">
        <v>5.98</v>
      </c>
      <c r="AA4027" s="647">
        <v>3.52</v>
      </c>
      <c r="AB4027" s="647">
        <v>0.49</v>
      </c>
      <c r="AC4027" s="862">
        <v>10.8</v>
      </c>
      <c r="AD4027" s="1819">
        <v>262.49999999999994</v>
      </c>
      <c r="AE4027" s="1819">
        <v>256.536</v>
      </c>
      <c r="AF4027" s="1819">
        <v>457.4</v>
      </c>
      <c r="AG4027" s="66">
        <f t="shared" si="149"/>
        <v>0</v>
      </c>
      <c r="AH4027" s="143">
        <f t="shared" si="150"/>
        <v>976.43599999999992</v>
      </c>
    </row>
    <row r="4028" spans="1:34" s="862" customFormat="1" x14ac:dyDescent="0.3">
      <c r="A4028" s="862">
        <v>204055</v>
      </c>
      <c r="B4028" s="863">
        <v>0.2</v>
      </c>
      <c r="C4028" s="863"/>
      <c r="D4028" s="647">
        <v>7.2</v>
      </c>
      <c r="E4028" s="1573"/>
      <c r="F4028" s="864"/>
      <c r="H4028" s="864">
        <v>67.09</v>
      </c>
      <c r="I4028" s="864">
        <v>384</v>
      </c>
      <c r="J4028" s="1816"/>
      <c r="K4028" s="863"/>
      <c r="R4028" s="647"/>
      <c r="S4028" s="863">
        <v>10.9</v>
      </c>
      <c r="T4028" s="1818"/>
      <c r="U4028" s="1818"/>
      <c r="V4028" s="1818"/>
      <c r="W4028" s="1818"/>
      <c r="X4028" s="1818"/>
      <c r="Y4028" s="1817">
        <v>8.8750000000000213</v>
      </c>
      <c r="Z4028" s="862">
        <v>6.24</v>
      </c>
      <c r="AA4028" s="647">
        <v>3.6</v>
      </c>
      <c r="AB4028" s="647">
        <v>0.83099999999999996</v>
      </c>
      <c r="AC4028" s="862">
        <v>6</v>
      </c>
      <c r="AD4028" s="1819">
        <v>177.50000000000043</v>
      </c>
      <c r="AE4028" s="1819">
        <v>191.75199999999953</v>
      </c>
      <c r="AF4028" s="1819">
        <v>612</v>
      </c>
      <c r="AG4028" s="66">
        <f t="shared" si="149"/>
        <v>0</v>
      </c>
      <c r="AH4028" s="143">
        <f t="shared" si="150"/>
        <v>981.25199999999995</v>
      </c>
    </row>
    <row r="4029" spans="1:34" s="862" customFormat="1" x14ac:dyDescent="0.3">
      <c r="A4029" s="862">
        <v>204056</v>
      </c>
      <c r="B4029" s="863">
        <v>4.0999999999999996</v>
      </c>
      <c r="C4029" s="863"/>
      <c r="D4029" s="647">
        <v>8.34</v>
      </c>
      <c r="E4029" s="1573"/>
      <c r="F4029" s="864"/>
      <c r="H4029" s="864">
        <v>81.09</v>
      </c>
      <c r="I4029" s="864">
        <v>1068</v>
      </c>
      <c r="J4029" s="1816"/>
      <c r="K4029" s="863"/>
      <c r="R4029" s="647"/>
      <c r="S4029" s="863">
        <v>16.100000000000001</v>
      </c>
      <c r="T4029" s="1818"/>
      <c r="U4029" s="1818"/>
      <c r="V4029" s="1818"/>
      <c r="W4029" s="1818"/>
      <c r="X4029" s="1818"/>
      <c r="Y4029" s="1817">
        <v>17.125</v>
      </c>
      <c r="Z4029" s="862">
        <v>7.38</v>
      </c>
      <c r="AA4029" s="647">
        <v>3.48</v>
      </c>
      <c r="AB4029" s="647">
        <v>0.26500000000000001</v>
      </c>
      <c r="AC4029" s="862">
        <v>10.3</v>
      </c>
      <c r="AD4029" s="1819">
        <v>342.5</v>
      </c>
      <c r="AE4029" s="1819">
        <v>251.9079999999999</v>
      </c>
      <c r="AF4029" s="1819">
        <v>377.90000000000009</v>
      </c>
      <c r="AG4029" s="66">
        <f t="shared" si="149"/>
        <v>0</v>
      </c>
      <c r="AH4029" s="143">
        <f t="shared" si="150"/>
        <v>972.30799999999999</v>
      </c>
    </row>
    <row r="4030" spans="1:34" s="862" customFormat="1" x14ac:dyDescent="0.3">
      <c r="A4030" s="862">
        <v>204057</v>
      </c>
      <c r="B4030" s="863">
        <v>0.3</v>
      </c>
      <c r="C4030" s="863"/>
      <c r="D4030" s="647">
        <v>7.56</v>
      </c>
      <c r="E4030" s="1573"/>
      <c r="F4030" s="864"/>
      <c r="H4030" s="864">
        <v>49.35</v>
      </c>
      <c r="I4030" s="864">
        <v>180</v>
      </c>
      <c r="J4030" s="1816"/>
      <c r="K4030" s="863"/>
      <c r="R4030" s="647"/>
      <c r="S4030" s="863">
        <v>15.5</v>
      </c>
      <c r="T4030" s="1818"/>
      <c r="U4030" s="1818"/>
      <c r="V4030" s="1818"/>
      <c r="W4030" s="1818"/>
      <c r="X4030" s="1818"/>
      <c r="Y4030" s="1817">
        <v>10.949999999999994</v>
      </c>
      <c r="Z4030" s="862">
        <v>6.6</v>
      </c>
      <c r="AA4030" s="647">
        <v>3.72</v>
      </c>
      <c r="AB4030" s="647">
        <v>0.36399999999999999</v>
      </c>
      <c r="AC4030" s="862">
        <v>6.5</v>
      </c>
      <c r="AD4030" s="1819">
        <v>182.49999999999989</v>
      </c>
      <c r="AE4030" s="1819">
        <v>363.74000000000018</v>
      </c>
      <c r="AF4030" s="1819">
        <v>427.09999999999991</v>
      </c>
      <c r="AG4030" s="66">
        <f t="shared" si="149"/>
        <v>0</v>
      </c>
      <c r="AH4030" s="143">
        <f t="shared" si="150"/>
        <v>973.33999999999992</v>
      </c>
    </row>
    <row r="4031" spans="1:34" s="862" customFormat="1" x14ac:dyDescent="0.3">
      <c r="A4031" s="862">
        <v>204058</v>
      </c>
      <c r="B4031" s="863">
        <v>28.8</v>
      </c>
      <c r="C4031" s="863">
        <v>11.5</v>
      </c>
      <c r="D4031" s="647">
        <v>8.4600000000000009</v>
      </c>
      <c r="E4031" s="1573"/>
      <c r="F4031" s="864"/>
      <c r="H4031" s="864">
        <v>64.36</v>
      </c>
      <c r="I4031" s="864">
        <v>595</v>
      </c>
      <c r="J4031" s="1816"/>
      <c r="K4031" s="863"/>
      <c r="R4031" s="647"/>
      <c r="S4031" s="863">
        <v>18.2</v>
      </c>
      <c r="T4031" s="1818"/>
      <c r="U4031" s="1818"/>
      <c r="V4031" s="1818"/>
      <c r="W4031" s="1818"/>
      <c r="X4031" s="1818"/>
      <c r="Y4031" s="1817">
        <v>11.750000000000039</v>
      </c>
      <c r="Z4031" s="862">
        <v>7.5</v>
      </c>
      <c r="AA4031" s="647">
        <v>4.32</v>
      </c>
      <c r="AB4031" s="647">
        <v>0.505</v>
      </c>
      <c r="AC4031" s="862">
        <v>8</v>
      </c>
      <c r="AD4031" s="1819">
        <v>235.00000000000077</v>
      </c>
      <c r="AE4031" s="1819">
        <v>381.69599999999923</v>
      </c>
      <c r="AF4031" s="1819">
        <v>352</v>
      </c>
      <c r="AG4031" s="66">
        <f t="shared" si="149"/>
        <v>0</v>
      </c>
      <c r="AH4031" s="143">
        <f t="shared" si="150"/>
        <v>968.69600000000003</v>
      </c>
    </row>
    <row r="4032" spans="1:34" s="862" customFormat="1" x14ac:dyDescent="0.3">
      <c r="A4032" s="862">
        <v>204059</v>
      </c>
      <c r="B4032" s="863">
        <v>30.2</v>
      </c>
      <c r="C4032" s="863">
        <v>10.9</v>
      </c>
      <c r="D4032" s="647">
        <v>8.5</v>
      </c>
      <c r="E4032" s="1573"/>
      <c r="F4032" s="864"/>
      <c r="H4032" s="864">
        <v>24.74</v>
      </c>
      <c r="I4032" s="864">
        <v>250</v>
      </c>
      <c r="J4032" s="1816"/>
      <c r="K4032" s="863"/>
      <c r="R4032" s="647"/>
      <c r="S4032" s="863">
        <v>16.899999999999999</v>
      </c>
      <c r="T4032" s="1818"/>
      <c r="U4032" s="1818"/>
      <c r="V4032" s="1818"/>
      <c r="W4032" s="1818"/>
      <c r="X4032" s="1818"/>
      <c r="Y4032" s="1817">
        <v>16.100000000000012</v>
      </c>
      <c r="Z4032" s="862">
        <v>7.54</v>
      </c>
      <c r="AA4032" s="647">
        <v>4.41</v>
      </c>
      <c r="AB4032" s="647">
        <v>0.76400000000000001</v>
      </c>
      <c r="AC4032" s="862">
        <v>11</v>
      </c>
      <c r="AD4032" s="1819">
        <v>230.0000000000002</v>
      </c>
      <c r="AE4032" s="1819">
        <v>486.33199999999977</v>
      </c>
      <c r="AF4032" s="1819">
        <v>254.59999999999997</v>
      </c>
      <c r="AG4032" s="66">
        <f t="shared" si="149"/>
        <v>0</v>
      </c>
      <c r="AH4032" s="143">
        <f t="shared" si="150"/>
        <v>970.93200000000002</v>
      </c>
    </row>
    <row r="4033" spans="1:34" s="862" customFormat="1" x14ac:dyDescent="0.3">
      <c r="A4033" s="862">
        <v>204060</v>
      </c>
      <c r="B4033" s="863">
        <v>0.1</v>
      </c>
      <c r="C4033" s="863"/>
      <c r="D4033" s="647">
        <v>6.9</v>
      </c>
      <c r="E4033" s="1573"/>
      <c r="F4033" s="864"/>
      <c r="H4033" s="864">
        <v>19.59</v>
      </c>
      <c r="I4033" s="864">
        <v>90</v>
      </c>
      <c r="J4033" s="1816"/>
      <c r="K4033" s="863"/>
      <c r="R4033" s="647"/>
      <c r="S4033" s="863">
        <v>16.200000000000003</v>
      </c>
      <c r="T4033" s="1818"/>
      <c r="U4033" s="1818"/>
      <c r="V4033" s="1818"/>
      <c r="W4033" s="1818"/>
      <c r="X4033" s="1818"/>
      <c r="Y4033" s="1817">
        <v>14.349999999999975</v>
      </c>
      <c r="Z4033" s="862">
        <v>5.94</v>
      </c>
      <c r="AA4033" s="647">
        <v>3.6</v>
      </c>
      <c r="AB4033" s="647">
        <v>0.56899999999999995</v>
      </c>
      <c r="AC4033" s="862">
        <v>6.1</v>
      </c>
      <c r="AD4033" s="1819">
        <v>204.99999999999963</v>
      </c>
      <c r="AE4033" s="1819">
        <v>229.53600000000026</v>
      </c>
      <c r="AF4033" s="1819">
        <v>537.6</v>
      </c>
      <c r="AG4033" s="66">
        <f t="shared" si="149"/>
        <v>0</v>
      </c>
      <c r="AH4033" s="143">
        <f t="shared" si="150"/>
        <v>972.13599999999997</v>
      </c>
    </row>
    <row r="4034" spans="1:34" s="862" customFormat="1" x14ac:dyDescent="0.3">
      <c r="A4034" s="862">
        <v>204061</v>
      </c>
      <c r="B4034" s="863">
        <v>0</v>
      </c>
      <c r="C4034" s="863"/>
      <c r="D4034" s="647">
        <v>6.7299999999999995</v>
      </c>
      <c r="E4034" s="1573"/>
      <c r="F4034" s="864"/>
      <c r="H4034" s="864">
        <v>23.38</v>
      </c>
      <c r="I4034" s="864">
        <v>60</v>
      </c>
      <c r="J4034" s="1816"/>
      <c r="K4034" s="863"/>
      <c r="R4034" s="647"/>
      <c r="S4034" s="863">
        <v>8.6</v>
      </c>
      <c r="T4034" s="1818"/>
      <c r="U4034" s="1818"/>
      <c r="V4034" s="1818"/>
      <c r="W4034" s="1818"/>
      <c r="X4034" s="1818"/>
      <c r="Y4034" s="1817">
        <v>11.20000000000001</v>
      </c>
      <c r="Z4034" s="862">
        <v>5.77</v>
      </c>
      <c r="AA4034" s="647">
        <v>4.01</v>
      </c>
      <c r="AB4034" s="647">
        <v>0.438</v>
      </c>
      <c r="AC4034" s="862">
        <v>10.9</v>
      </c>
      <c r="AD4034" s="1819">
        <v>160.00000000000014</v>
      </c>
      <c r="AE4034" s="1819">
        <v>165.80799999999979</v>
      </c>
      <c r="AF4034" s="1819">
        <v>659.40000000000009</v>
      </c>
      <c r="AG4034" s="66">
        <f t="shared" ref="AG4034:AG4097" si="151">+K4034*3.54*100/Y4034</f>
        <v>0</v>
      </c>
      <c r="AH4034" s="143">
        <f t="shared" ref="AH4034:AH4097" si="152">+SUM(AD4034:AF4034)</f>
        <v>985.20800000000008</v>
      </c>
    </row>
    <row r="4035" spans="1:34" s="862" customFormat="1" x14ac:dyDescent="0.3">
      <c r="A4035" s="862">
        <v>204062</v>
      </c>
      <c r="B4035" s="863">
        <v>18</v>
      </c>
      <c r="C4035" s="863">
        <v>6.8</v>
      </c>
      <c r="D4035" s="647">
        <v>8.5500000000000007</v>
      </c>
      <c r="E4035" s="1573"/>
      <c r="F4035" s="864"/>
      <c r="H4035" s="864">
        <v>21.1</v>
      </c>
      <c r="I4035" s="864">
        <v>190</v>
      </c>
      <c r="J4035" s="1816"/>
      <c r="K4035" s="863"/>
      <c r="R4035" s="647"/>
      <c r="S4035" s="863">
        <v>19.7</v>
      </c>
      <c r="T4035" s="1818"/>
      <c r="U4035" s="1818"/>
      <c r="V4035" s="1818"/>
      <c r="W4035" s="1818"/>
      <c r="X4035" s="1818"/>
      <c r="Y4035" s="1817">
        <v>10.500000000000009</v>
      </c>
      <c r="Z4035" s="862">
        <v>7.59</v>
      </c>
      <c r="AA4035" s="647">
        <v>4.71</v>
      </c>
      <c r="AB4035" s="647">
        <v>0.77700000000000002</v>
      </c>
      <c r="AC4035" s="862">
        <v>10.199999999999999</v>
      </c>
      <c r="AD4035" s="1819">
        <v>210.0000000000002</v>
      </c>
      <c r="AE4035" s="1819">
        <v>364.61599999999976</v>
      </c>
      <c r="AF4035" s="1819">
        <v>391.5</v>
      </c>
      <c r="AG4035" s="66">
        <f t="shared" si="151"/>
        <v>0</v>
      </c>
      <c r="AH4035" s="143">
        <f t="shared" si="152"/>
        <v>966.11599999999999</v>
      </c>
    </row>
    <row r="4036" spans="1:34" s="862" customFormat="1" x14ac:dyDescent="0.3">
      <c r="A4036" s="862">
        <v>204063</v>
      </c>
      <c r="B4036" s="863">
        <v>0.2</v>
      </c>
      <c r="C4036" s="863"/>
      <c r="D4036" s="647">
        <v>6.63</v>
      </c>
      <c r="E4036" s="1573"/>
      <c r="F4036" s="864"/>
      <c r="H4036" s="864">
        <v>25.18</v>
      </c>
      <c r="I4036" s="864">
        <v>80</v>
      </c>
      <c r="J4036" s="1816"/>
      <c r="K4036" s="863"/>
      <c r="R4036" s="647"/>
      <c r="S4036" s="863">
        <v>10.600000000000001</v>
      </c>
      <c r="T4036" s="1818"/>
      <c r="U4036" s="1818"/>
      <c r="V4036" s="1818"/>
      <c r="W4036" s="1818"/>
      <c r="X4036" s="1818"/>
      <c r="Y4036" s="1817">
        <v>6.4500000000000224</v>
      </c>
      <c r="Z4036" s="862">
        <v>5.67</v>
      </c>
      <c r="AA4036" s="647">
        <v>3.61</v>
      </c>
      <c r="AB4036" s="647">
        <v>0.56399999999999995</v>
      </c>
      <c r="AC4036" s="862">
        <v>11.6</v>
      </c>
      <c r="AD4036" s="1819">
        <v>107.50000000000037</v>
      </c>
      <c r="AE4036" s="1819">
        <v>218.06799999999956</v>
      </c>
      <c r="AF4036" s="1819">
        <v>656.2</v>
      </c>
      <c r="AG4036" s="66">
        <f t="shared" si="151"/>
        <v>0</v>
      </c>
      <c r="AH4036" s="143">
        <f t="shared" si="152"/>
        <v>981.76800000000003</v>
      </c>
    </row>
    <row r="4037" spans="1:34" s="862" customFormat="1" x14ac:dyDescent="0.3">
      <c r="A4037" s="862">
        <v>204064</v>
      </c>
      <c r="B4037" s="863">
        <v>0</v>
      </c>
      <c r="C4037" s="863"/>
      <c r="D4037" s="647">
        <v>6.21</v>
      </c>
      <c r="E4037" s="1573"/>
      <c r="F4037" s="864"/>
      <c r="H4037" s="864">
        <v>30.8</v>
      </c>
      <c r="I4037" s="864">
        <v>100</v>
      </c>
      <c r="J4037" s="1816"/>
      <c r="K4037" s="863"/>
      <c r="R4037" s="647"/>
      <c r="S4037" s="863">
        <v>8.2999999999999989</v>
      </c>
      <c r="T4037" s="1818"/>
      <c r="U4037" s="1818"/>
      <c r="V4037" s="1818"/>
      <c r="W4037" s="1818"/>
      <c r="X4037" s="1818"/>
      <c r="Y4037" s="1817">
        <v>7.1249999999999929</v>
      </c>
      <c r="Z4037" s="862">
        <v>5.25</v>
      </c>
      <c r="AA4037" s="647">
        <v>4.03</v>
      </c>
      <c r="AB4037" s="647">
        <v>0.33900000000000002</v>
      </c>
      <c r="AC4037" s="862">
        <v>8.8000000000000007</v>
      </c>
      <c r="AD4037" s="1819">
        <v>142.49999999999986</v>
      </c>
      <c r="AE4037" s="1819">
        <v>342.52400000000023</v>
      </c>
      <c r="AF4037" s="1819">
        <v>500.70000000000005</v>
      </c>
      <c r="AG4037" s="66">
        <f t="shared" si="151"/>
        <v>0</v>
      </c>
      <c r="AH4037" s="143">
        <f t="shared" si="152"/>
        <v>985.72400000000016</v>
      </c>
    </row>
    <row r="4038" spans="1:34" s="862" customFormat="1" x14ac:dyDescent="0.3">
      <c r="A4038" s="862">
        <v>204065</v>
      </c>
      <c r="B4038" s="863">
        <v>0.1</v>
      </c>
      <c r="C4038" s="863"/>
      <c r="D4038" s="647">
        <v>7.09</v>
      </c>
      <c r="E4038" s="1573"/>
      <c r="F4038" s="864"/>
      <c r="H4038" s="864">
        <v>77.5</v>
      </c>
      <c r="I4038" s="864">
        <v>320</v>
      </c>
      <c r="J4038" s="1816"/>
      <c r="K4038" s="863"/>
      <c r="R4038" s="647"/>
      <c r="S4038" s="863">
        <v>15.4</v>
      </c>
      <c r="T4038" s="1818"/>
      <c r="U4038" s="1818"/>
      <c r="V4038" s="1818"/>
      <c r="W4038" s="1818"/>
      <c r="X4038" s="1818"/>
      <c r="Y4038" s="1817">
        <v>14.69999999999998</v>
      </c>
      <c r="Z4038" s="862">
        <v>6.13</v>
      </c>
      <c r="AA4038" s="647">
        <v>4.3</v>
      </c>
      <c r="AB4038" s="647">
        <v>0.46600000000000003</v>
      </c>
      <c r="AC4038" s="862">
        <v>6.4</v>
      </c>
      <c r="AD4038" s="1819">
        <v>244.99999999999966</v>
      </c>
      <c r="AE4038" s="1819">
        <v>227.11200000000048</v>
      </c>
      <c r="AF4038" s="1819">
        <v>501.39999999999992</v>
      </c>
      <c r="AG4038" s="66">
        <f t="shared" si="151"/>
        <v>0</v>
      </c>
      <c r="AH4038" s="143">
        <f t="shared" si="152"/>
        <v>973.51200000000006</v>
      </c>
    </row>
    <row r="4039" spans="1:34" s="862" customFormat="1" x14ac:dyDescent="0.3">
      <c r="A4039" s="862">
        <v>204066</v>
      </c>
      <c r="B4039" s="863">
        <v>0.1</v>
      </c>
      <c r="C4039" s="863"/>
      <c r="D4039" s="647">
        <v>7.02</v>
      </c>
      <c r="E4039" s="1573"/>
      <c r="F4039" s="864"/>
      <c r="H4039" s="864">
        <v>80.78</v>
      </c>
      <c r="I4039" s="864">
        <v>270</v>
      </c>
      <c r="J4039" s="1816"/>
      <c r="K4039" s="863"/>
      <c r="R4039" s="647"/>
      <c r="S4039" s="863">
        <v>23.1</v>
      </c>
      <c r="T4039" s="1818"/>
      <c r="U4039" s="1818"/>
      <c r="V4039" s="1818"/>
      <c r="W4039" s="1818"/>
      <c r="X4039" s="1818"/>
      <c r="Y4039" s="1817">
        <v>16.974999999999994</v>
      </c>
      <c r="Z4039" s="862">
        <v>6.06</v>
      </c>
      <c r="AA4039" s="647">
        <v>3.68</v>
      </c>
      <c r="AB4039" s="647">
        <v>0.43</v>
      </c>
      <c r="AC4039" s="862">
        <v>7.4</v>
      </c>
      <c r="AD4039" s="1819">
        <v>242.49999999999994</v>
      </c>
      <c r="AE4039" s="1819">
        <v>336.0680000000001</v>
      </c>
      <c r="AF4039" s="1819">
        <v>381.7</v>
      </c>
      <c r="AG4039" s="66">
        <f t="shared" si="151"/>
        <v>0</v>
      </c>
      <c r="AH4039" s="143">
        <f t="shared" si="152"/>
        <v>960.26800000000003</v>
      </c>
    </row>
    <row r="4040" spans="1:34" s="862" customFormat="1" x14ac:dyDescent="0.3">
      <c r="A4040" s="862">
        <v>204067</v>
      </c>
      <c r="B4040" s="863">
        <v>19.3</v>
      </c>
      <c r="C4040" s="863">
        <v>6.5</v>
      </c>
      <c r="D4040" s="647">
        <v>8.39</v>
      </c>
      <c r="E4040" s="1573"/>
      <c r="F4040" s="864"/>
      <c r="H4040" s="864">
        <v>14.29</v>
      </c>
      <c r="I4040" s="864">
        <v>230</v>
      </c>
      <c r="J4040" s="1816"/>
      <c r="K4040" s="863"/>
      <c r="R4040" s="647"/>
      <c r="S4040" s="863">
        <v>21.5</v>
      </c>
      <c r="T4040" s="1818"/>
      <c r="U4040" s="1818"/>
      <c r="V4040" s="1818"/>
      <c r="W4040" s="1818"/>
      <c r="X4040" s="1818"/>
      <c r="Y4040" s="1817">
        <v>18.024999999999956</v>
      </c>
      <c r="Z4040" s="862">
        <v>7.43</v>
      </c>
      <c r="AA4040" s="647">
        <v>4.55</v>
      </c>
      <c r="AB4040" s="647">
        <v>0.436</v>
      </c>
      <c r="AC4040" s="862">
        <v>10.8</v>
      </c>
      <c r="AD4040" s="1819">
        <v>257.49999999999937</v>
      </c>
      <c r="AE4040" s="1819">
        <v>422.32000000000068</v>
      </c>
      <c r="AF4040" s="1819">
        <v>283.2</v>
      </c>
      <c r="AG4040" s="66">
        <f t="shared" si="151"/>
        <v>0</v>
      </c>
      <c r="AH4040" s="143">
        <f t="shared" si="152"/>
        <v>963.02</v>
      </c>
    </row>
    <row r="4041" spans="1:34" s="862" customFormat="1" x14ac:dyDescent="0.3">
      <c r="A4041" s="862">
        <v>204068</v>
      </c>
      <c r="B4041" s="863">
        <v>18.3</v>
      </c>
      <c r="C4041" s="863">
        <v>6.75</v>
      </c>
      <c r="D4041" s="647">
        <v>8.43</v>
      </c>
      <c r="E4041" s="1573"/>
      <c r="F4041" s="864"/>
      <c r="H4041" s="864">
        <v>23.92</v>
      </c>
      <c r="I4041" s="864">
        <v>280</v>
      </c>
      <c r="J4041" s="1816"/>
      <c r="K4041" s="863"/>
      <c r="R4041" s="647"/>
      <c r="S4041" s="863">
        <v>21.099999999999998</v>
      </c>
      <c r="T4041" s="1818"/>
      <c r="U4041" s="1818"/>
      <c r="V4041" s="1818"/>
      <c r="W4041" s="1818"/>
      <c r="X4041" s="1818"/>
      <c r="Y4041" s="1817">
        <v>13.000000000000011</v>
      </c>
      <c r="Z4041" s="862">
        <v>7.47</v>
      </c>
      <c r="AA4041" s="647">
        <v>3.9</v>
      </c>
      <c r="AB4041" s="647">
        <v>0.45700000000000002</v>
      </c>
      <c r="AC4041" s="862">
        <v>9.5</v>
      </c>
      <c r="AD4041" s="1819">
        <v>260.00000000000023</v>
      </c>
      <c r="AE4041" s="1819">
        <v>413.70799999999974</v>
      </c>
      <c r="AF4041" s="1819">
        <v>290</v>
      </c>
      <c r="AG4041" s="66">
        <f t="shared" si="151"/>
        <v>0</v>
      </c>
      <c r="AH4041" s="143">
        <f t="shared" si="152"/>
        <v>963.70799999999997</v>
      </c>
    </row>
    <row r="4042" spans="1:34" s="862" customFormat="1" x14ac:dyDescent="0.3">
      <c r="A4042" s="862">
        <v>204069</v>
      </c>
      <c r="B4042" s="863">
        <v>0.1</v>
      </c>
      <c r="C4042" s="863">
        <v>24</v>
      </c>
      <c r="D4042" s="647">
        <v>6.64</v>
      </c>
      <c r="E4042" s="1573"/>
      <c r="F4042" s="864"/>
      <c r="H4042" s="864">
        <v>14.13</v>
      </c>
      <c r="I4042" s="864">
        <v>90</v>
      </c>
      <c r="J4042" s="1816"/>
      <c r="K4042" s="863"/>
      <c r="R4042" s="647"/>
      <c r="S4042" s="863">
        <v>11.399999999999999</v>
      </c>
      <c r="T4042" s="1818"/>
      <c r="U4042" s="1818"/>
      <c r="V4042" s="1818"/>
      <c r="W4042" s="1818"/>
      <c r="X4042" s="1818"/>
      <c r="Y4042" s="1817">
        <v>20.625000000000004</v>
      </c>
      <c r="Z4042" s="862">
        <v>5.68</v>
      </c>
      <c r="AA4042" s="647">
        <v>4.54</v>
      </c>
      <c r="AB4042" s="647">
        <v>0.33300000000000002</v>
      </c>
      <c r="AC4042" s="862">
        <v>6.2</v>
      </c>
      <c r="AD4042" s="1819">
        <v>412.50000000000011</v>
      </c>
      <c r="AE4042" s="1819">
        <v>167.69200000000001</v>
      </c>
      <c r="AF4042" s="1819">
        <v>400.19999999999993</v>
      </c>
      <c r="AG4042" s="66">
        <f t="shared" si="151"/>
        <v>0</v>
      </c>
      <c r="AH4042" s="143">
        <f t="shared" si="152"/>
        <v>980.39200000000005</v>
      </c>
    </row>
    <row r="4043" spans="1:34" s="862" customFormat="1" x14ac:dyDescent="0.3">
      <c r="A4043" s="862">
        <v>204070</v>
      </c>
      <c r="B4043" s="863">
        <v>28.3</v>
      </c>
      <c r="C4043" s="863">
        <v>10.38</v>
      </c>
      <c r="D4043" s="647">
        <v>8.5300000000000011</v>
      </c>
      <c r="E4043" s="1573"/>
      <c r="F4043" s="864"/>
      <c r="H4043" s="864">
        <v>22.34</v>
      </c>
      <c r="I4043" s="864">
        <v>190</v>
      </c>
      <c r="J4043" s="1816"/>
      <c r="K4043" s="863"/>
      <c r="R4043" s="647"/>
      <c r="S4043" s="863">
        <v>21.6</v>
      </c>
      <c r="T4043" s="1818"/>
      <c r="U4043" s="1818"/>
      <c r="V4043" s="1818"/>
      <c r="W4043" s="1818"/>
      <c r="X4043" s="1818"/>
      <c r="Y4043" s="1817">
        <v>14.749999999999986</v>
      </c>
      <c r="Z4043" s="862">
        <v>7.57</v>
      </c>
      <c r="AA4043" s="647">
        <v>3.69</v>
      </c>
      <c r="AB4043" s="647">
        <v>0.67100000000000004</v>
      </c>
      <c r="AC4043" s="862">
        <v>11.8</v>
      </c>
      <c r="AD4043" s="1819">
        <v>294.99999999999972</v>
      </c>
      <c r="AE4043" s="1819">
        <v>409.04800000000017</v>
      </c>
      <c r="AF4043" s="1819">
        <v>258.80000000000007</v>
      </c>
      <c r="AG4043" s="66">
        <f t="shared" si="151"/>
        <v>0</v>
      </c>
      <c r="AH4043" s="143">
        <f t="shared" si="152"/>
        <v>962.84799999999996</v>
      </c>
    </row>
    <row r="4044" spans="1:34" s="862" customFormat="1" x14ac:dyDescent="0.3">
      <c r="A4044" s="862">
        <v>204071</v>
      </c>
      <c r="B4044" s="863">
        <v>40.5</v>
      </c>
      <c r="C4044" s="863">
        <v>11.75</v>
      </c>
      <c r="D4044" s="647">
        <v>8.629999999999999</v>
      </c>
      <c r="E4044" s="1573"/>
      <c r="F4044" s="864"/>
      <c r="H4044" s="864">
        <v>16.989999999999998</v>
      </c>
      <c r="I4044" s="864">
        <v>190</v>
      </c>
      <c r="J4044" s="1816"/>
      <c r="K4044" s="863"/>
      <c r="R4044" s="647"/>
      <c r="S4044" s="863">
        <v>17</v>
      </c>
      <c r="T4044" s="1818"/>
      <c r="U4044" s="1818"/>
      <c r="V4044" s="1818"/>
      <c r="W4044" s="1818"/>
      <c r="X4044" s="1818"/>
      <c r="Y4044" s="1817">
        <v>12.599999999999945</v>
      </c>
      <c r="Z4044" s="862">
        <v>7.67</v>
      </c>
      <c r="AA4044" s="647">
        <v>4.68</v>
      </c>
      <c r="AB4044" s="647">
        <v>0.39800000000000002</v>
      </c>
      <c r="AC4044" s="862">
        <v>6.6</v>
      </c>
      <c r="AD4044" s="1819">
        <v>209.99999999999909</v>
      </c>
      <c r="AE4044" s="1819">
        <v>499.7600000000009</v>
      </c>
      <c r="AF4044" s="1819">
        <v>261</v>
      </c>
      <c r="AG4044" s="66">
        <f t="shared" si="151"/>
        <v>0</v>
      </c>
      <c r="AH4044" s="143">
        <f t="shared" si="152"/>
        <v>970.76</v>
      </c>
    </row>
    <row r="4045" spans="1:34" s="862" customFormat="1" x14ac:dyDescent="0.3">
      <c r="A4045" s="862">
        <v>204072</v>
      </c>
      <c r="B4045" s="863">
        <v>16.8</v>
      </c>
      <c r="C4045" s="863">
        <v>6.88</v>
      </c>
      <c r="D4045" s="647">
        <v>8.43</v>
      </c>
      <c r="E4045" s="1573"/>
      <c r="F4045" s="864"/>
      <c r="H4045" s="864">
        <v>21.56</v>
      </c>
      <c r="I4045" s="864">
        <v>270</v>
      </c>
      <c r="J4045" s="1816"/>
      <c r="K4045" s="863"/>
      <c r="R4045" s="647"/>
      <c r="S4045" s="863">
        <v>21.099999999999998</v>
      </c>
      <c r="T4045" s="1818"/>
      <c r="U4045" s="1818"/>
      <c r="V4045" s="1818"/>
      <c r="W4045" s="1818"/>
      <c r="X4045" s="1818"/>
      <c r="Y4045" s="1817">
        <v>15.225000000000033</v>
      </c>
      <c r="Z4045" s="862">
        <v>7.47</v>
      </c>
      <c r="AA4045" s="647">
        <v>4.53</v>
      </c>
      <c r="AB4045" s="647">
        <v>0.78800000000000003</v>
      </c>
      <c r="AC4045" s="862">
        <v>11.6</v>
      </c>
      <c r="AD4045" s="1819">
        <v>217.50000000000048</v>
      </c>
      <c r="AE4045" s="1819">
        <v>492.60799999999949</v>
      </c>
      <c r="AF4045" s="1819">
        <v>253.60000000000002</v>
      </c>
      <c r="AG4045" s="66">
        <f t="shared" si="151"/>
        <v>0</v>
      </c>
      <c r="AH4045" s="143">
        <f t="shared" si="152"/>
        <v>963.70799999999997</v>
      </c>
    </row>
    <row r="4046" spans="1:34" s="862" customFormat="1" x14ac:dyDescent="0.3">
      <c r="A4046" s="862">
        <v>204073</v>
      </c>
      <c r="B4046" s="863">
        <v>15.8</v>
      </c>
      <c r="C4046" s="863">
        <v>8</v>
      </c>
      <c r="D4046" s="647">
        <v>8.4499999999999993</v>
      </c>
      <c r="E4046" s="1573"/>
      <c r="F4046" s="864"/>
      <c r="H4046" s="864">
        <v>25.12</v>
      </c>
      <c r="I4046" s="864">
        <v>250</v>
      </c>
      <c r="J4046" s="1816"/>
      <c r="K4046" s="863"/>
      <c r="R4046" s="647"/>
      <c r="S4046" s="863">
        <v>23.3</v>
      </c>
      <c r="T4046" s="1818"/>
      <c r="U4046" s="1818"/>
      <c r="V4046" s="1818"/>
      <c r="W4046" s="1818"/>
      <c r="X4046" s="1818"/>
      <c r="Y4046" s="1817">
        <v>13.124999999999998</v>
      </c>
      <c r="Z4046" s="862">
        <v>7.49</v>
      </c>
      <c r="AA4046" s="647">
        <v>5</v>
      </c>
      <c r="AB4046" s="647">
        <v>0.28000000000000003</v>
      </c>
      <c r="AC4046" s="862">
        <v>7.5</v>
      </c>
      <c r="AD4046" s="1819">
        <v>262.49999999999994</v>
      </c>
      <c r="AE4046" s="1819">
        <v>406.42400000000004</v>
      </c>
      <c r="AF4046" s="1819">
        <v>291</v>
      </c>
      <c r="AG4046" s="66">
        <f t="shared" si="151"/>
        <v>0</v>
      </c>
      <c r="AH4046" s="143">
        <f t="shared" si="152"/>
        <v>959.92399999999998</v>
      </c>
    </row>
    <row r="4047" spans="1:34" s="862" customFormat="1" x14ac:dyDescent="0.3">
      <c r="A4047" s="862">
        <v>204074</v>
      </c>
      <c r="B4047" s="863">
        <v>0.1</v>
      </c>
      <c r="C4047" s="863"/>
      <c r="D4047" s="647">
        <v>6.88</v>
      </c>
      <c r="E4047" s="1573"/>
      <c r="F4047" s="864"/>
      <c r="H4047" s="864">
        <v>31.2</v>
      </c>
      <c r="I4047" s="864">
        <v>120</v>
      </c>
      <c r="J4047" s="1816"/>
      <c r="K4047" s="863"/>
      <c r="R4047" s="647"/>
      <c r="S4047" s="863">
        <v>10.700000000000001</v>
      </c>
      <c r="T4047" s="1818"/>
      <c r="U4047" s="1818"/>
      <c r="V4047" s="1818"/>
      <c r="W4047" s="1818"/>
      <c r="X4047" s="1818"/>
      <c r="Y4047" s="1817">
        <v>10.325000000000028</v>
      </c>
      <c r="Z4047" s="862">
        <v>5.92</v>
      </c>
      <c r="AA4047" s="647">
        <v>4.66</v>
      </c>
      <c r="AB4047" s="647">
        <v>0.79</v>
      </c>
      <c r="AC4047" s="862">
        <v>11.3</v>
      </c>
      <c r="AD4047" s="1819">
        <v>147.5000000000004</v>
      </c>
      <c r="AE4047" s="1819">
        <v>261.89599999999962</v>
      </c>
      <c r="AF4047" s="1819">
        <v>572.20000000000005</v>
      </c>
      <c r="AG4047" s="66">
        <f t="shared" si="151"/>
        <v>0</v>
      </c>
      <c r="AH4047" s="143">
        <f t="shared" si="152"/>
        <v>981.596</v>
      </c>
    </row>
    <row r="4048" spans="1:34" s="862" customFormat="1" x14ac:dyDescent="0.3">
      <c r="A4048" s="862">
        <v>204075</v>
      </c>
      <c r="B4048" s="863">
        <v>0.3</v>
      </c>
      <c r="C4048" s="863"/>
      <c r="D4048" s="647">
        <v>7.36</v>
      </c>
      <c r="E4048" s="1573"/>
      <c r="F4048" s="864"/>
      <c r="H4048" s="864">
        <v>196.59</v>
      </c>
      <c r="I4048" s="864">
        <v>370</v>
      </c>
      <c r="J4048" s="1816"/>
      <c r="K4048" s="863"/>
      <c r="R4048" s="647"/>
      <c r="S4048" s="863">
        <v>17.100000000000001</v>
      </c>
      <c r="T4048" s="1818"/>
      <c r="U4048" s="1818"/>
      <c r="V4048" s="1818"/>
      <c r="W4048" s="1818"/>
      <c r="X4048" s="1818"/>
      <c r="Y4048" s="1817">
        <v>12.949999999999973</v>
      </c>
      <c r="Z4048" s="862">
        <v>6.4</v>
      </c>
      <c r="AA4048" s="647">
        <v>4.01</v>
      </c>
      <c r="AB4048" s="647">
        <v>0.32400000000000001</v>
      </c>
      <c r="AC4048" s="862">
        <v>6.8</v>
      </c>
      <c r="AD4048" s="1819">
        <v>184.9999999999996</v>
      </c>
      <c r="AE4048" s="1819">
        <v>271.38800000000026</v>
      </c>
      <c r="AF4048" s="1819">
        <v>514.20000000000005</v>
      </c>
      <c r="AG4048" s="66">
        <f t="shared" si="151"/>
        <v>0</v>
      </c>
      <c r="AH4048" s="143">
        <f t="shared" si="152"/>
        <v>970.58799999999997</v>
      </c>
    </row>
    <row r="4049" spans="1:34" s="862" customFormat="1" x14ac:dyDescent="0.3">
      <c r="A4049" s="862">
        <v>204076</v>
      </c>
      <c r="B4049" s="863">
        <v>0.1</v>
      </c>
      <c r="C4049" s="863"/>
      <c r="D4049" s="647">
        <v>6.71</v>
      </c>
      <c r="E4049" s="1573"/>
      <c r="F4049" s="864"/>
      <c r="H4049" s="864">
        <v>86.52</v>
      </c>
      <c r="I4049" s="864">
        <v>220</v>
      </c>
      <c r="J4049" s="1816"/>
      <c r="K4049" s="863"/>
      <c r="R4049" s="647"/>
      <c r="S4049" s="863">
        <v>12.2</v>
      </c>
      <c r="T4049" s="1818"/>
      <c r="U4049" s="1818"/>
      <c r="V4049" s="1818"/>
      <c r="W4049" s="1818"/>
      <c r="X4049" s="1818"/>
      <c r="Y4049" s="1817">
        <v>6.3000000000000389</v>
      </c>
      <c r="Z4049" s="862">
        <v>5.75</v>
      </c>
      <c r="AA4049" s="647">
        <v>3.95</v>
      </c>
      <c r="AB4049" s="647">
        <v>0.28499999999999998</v>
      </c>
      <c r="AC4049" s="862">
        <v>9.5</v>
      </c>
      <c r="AD4049" s="1819">
        <v>105.00000000000065</v>
      </c>
      <c r="AE4049" s="1819">
        <v>189.61599999999927</v>
      </c>
      <c r="AF4049" s="1819">
        <v>684.4</v>
      </c>
      <c r="AG4049" s="66">
        <f t="shared" si="151"/>
        <v>0</v>
      </c>
      <c r="AH4049" s="143">
        <f t="shared" si="152"/>
        <v>979.01599999999985</v>
      </c>
    </row>
    <row r="4050" spans="1:34" s="862" customFormat="1" x14ac:dyDescent="0.3">
      <c r="A4050" s="862">
        <v>204077</v>
      </c>
      <c r="B4050" s="863">
        <v>35.200000000000003</v>
      </c>
      <c r="C4050" s="863">
        <v>12.5</v>
      </c>
      <c r="D4050" s="647">
        <v>8.52</v>
      </c>
      <c r="E4050" s="1573"/>
      <c r="F4050" s="864"/>
      <c r="H4050" s="864">
        <v>31.14</v>
      </c>
      <c r="I4050" s="864">
        <v>140</v>
      </c>
      <c r="J4050" s="1816"/>
      <c r="K4050" s="863"/>
      <c r="R4050" s="647"/>
      <c r="S4050" s="863">
        <v>18</v>
      </c>
      <c r="T4050" s="1818"/>
      <c r="U4050" s="1818"/>
      <c r="V4050" s="1818"/>
      <c r="W4050" s="1818"/>
      <c r="X4050" s="1818"/>
      <c r="Y4050" s="1817">
        <v>7.7500000000000338</v>
      </c>
      <c r="Z4050" s="862">
        <v>7.56</v>
      </c>
      <c r="AA4050" s="647">
        <v>4.04</v>
      </c>
      <c r="AB4050" s="647">
        <v>0.34</v>
      </c>
      <c r="AC4050" s="862">
        <v>7.9</v>
      </c>
      <c r="AD4050" s="1819">
        <v>155.00000000000068</v>
      </c>
      <c r="AE4050" s="1819">
        <v>518.83999999999924</v>
      </c>
      <c r="AF4050" s="1819">
        <v>295.2</v>
      </c>
      <c r="AG4050" s="66">
        <f t="shared" si="151"/>
        <v>0</v>
      </c>
      <c r="AH4050" s="143">
        <f t="shared" si="152"/>
        <v>969.04</v>
      </c>
    </row>
    <row r="4051" spans="1:34" s="862" customFormat="1" x14ac:dyDescent="0.3">
      <c r="A4051" s="862">
        <v>204078</v>
      </c>
      <c r="B4051" s="863">
        <v>0.1</v>
      </c>
      <c r="C4051" s="863"/>
      <c r="D4051" s="647">
        <v>7.36</v>
      </c>
      <c r="E4051" s="1573"/>
      <c r="F4051" s="864"/>
      <c r="H4051" s="864">
        <v>35.21</v>
      </c>
      <c r="I4051" s="864">
        <v>130</v>
      </c>
      <c r="J4051" s="1816"/>
      <c r="K4051" s="863"/>
      <c r="R4051" s="647"/>
      <c r="S4051" s="863">
        <v>10.199999999999999</v>
      </c>
      <c r="T4051" s="1818"/>
      <c r="U4051" s="1818"/>
      <c r="V4051" s="1818"/>
      <c r="W4051" s="1818"/>
      <c r="X4051" s="1818"/>
      <c r="Y4051" s="1817">
        <v>6.0000000000000044</v>
      </c>
      <c r="Z4051" s="862">
        <v>6.4</v>
      </c>
      <c r="AA4051" s="647">
        <v>4.2699999999999996</v>
      </c>
      <c r="AB4051" s="647">
        <v>0.49099999999999999</v>
      </c>
      <c r="AC4051" s="862">
        <v>11.6</v>
      </c>
      <c r="AD4051" s="1819">
        <v>100.00000000000009</v>
      </c>
      <c r="AE4051" s="1819">
        <v>209.95599999999996</v>
      </c>
      <c r="AF4051" s="1819">
        <v>672.5</v>
      </c>
      <c r="AG4051" s="66">
        <f t="shared" si="151"/>
        <v>0</v>
      </c>
      <c r="AH4051" s="143">
        <f t="shared" si="152"/>
        <v>982.45600000000002</v>
      </c>
    </row>
    <row r="4052" spans="1:34" s="862" customFormat="1" x14ac:dyDescent="0.3">
      <c r="A4052" s="862">
        <v>204079</v>
      </c>
      <c r="B4052" s="863">
        <v>0.2</v>
      </c>
      <c r="C4052" s="863"/>
      <c r="D4052" s="647">
        <v>6.26</v>
      </c>
      <c r="E4052" s="1573"/>
      <c r="F4052" s="864"/>
      <c r="H4052" s="864">
        <v>37.909999999999997</v>
      </c>
      <c r="I4052" s="864">
        <v>110</v>
      </c>
      <c r="J4052" s="1816"/>
      <c r="K4052" s="863"/>
      <c r="R4052" s="647"/>
      <c r="S4052" s="863">
        <v>9.5</v>
      </c>
      <c r="T4052" s="1818"/>
      <c r="U4052" s="1818"/>
      <c r="V4052" s="1818"/>
      <c r="W4052" s="1818"/>
      <c r="X4052" s="1818"/>
      <c r="Y4052" s="1817">
        <v>9.6250000000000266</v>
      </c>
      <c r="Z4052" s="862">
        <v>5.3</v>
      </c>
      <c r="AA4052" s="647">
        <v>3.69</v>
      </c>
      <c r="AB4052" s="647">
        <v>0.30499999999999999</v>
      </c>
      <c r="AC4052" s="862">
        <v>9.6999999999999993</v>
      </c>
      <c r="AD4052" s="1819">
        <v>137.5000000000004</v>
      </c>
      <c r="AE4052" s="1819">
        <v>410.95999999999958</v>
      </c>
      <c r="AF4052" s="1819">
        <v>435.2</v>
      </c>
      <c r="AG4052" s="66">
        <f t="shared" si="151"/>
        <v>0</v>
      </c>
      <c r="AH4052" s="143">
        <f t="shared" si="152"/>
        <v>983.66000000000008</v>
      </c>
    </row>
    <row r="4053" spans="1:34" s="862" customFormat="1" x14ac:dyDescent="0.3">
      <c r="A4053" s="862">
        <v>204080</v>
      </c>
      <c r="B4053" s="863">
        <v>0.1</v>
      </c>
      <c r="C4053" s="863"/>
      <c r="D4053" s="647">
        <v>7.39</v>
      </c>
      <c r="E4053" s="1573"/>
      <c r="F4053" s="864"/>
      <c r="H4053" s="864">
        <v>165.18</v>
      </c>
      <c r="I4053" s="864">
        <v>660</v>
      </c>
      <c r="J4053" s="1816"/>
      <c r="K4053" s="863"/>
      <c r="R4053" s="647"/>
      <c r="S4053" s="863">
        <v>22.9</v>
      </c>
      <c r="T4053" s="1818"/>
      <c r="U4053" s="1818"/>
      <c r="V4053" s="1818"/>
      <c r="W4053" s="1818"/>
      <c r="X4053" s="1818"/>
      <c r="Y4053" s="1817">
        <v>2.375000000000016</v>
      </c>
      <c r="Z4053" s="862">
        <v>6.43</v>
      </c>
      <c r="AA4053" s="647">
        <v>4.55</v>
      </c>
      <c r="AB4053" s="647">
        <v>0.46899999999999997</v>
      </c>
      <c r="AC4053" s="862">
        <v>9.3000000000000007</v>
      </c>
      <c r="AD4053" s="1819">
        <v>47.50000000000032</v>
      </c>
      <c r="AE4053" s="1819">
        <v>472.61199999999957</v>
      </c>
      <c r="AF4053" s="1819">
        <v>440.50000000000006</v>
      </c>
      <c r="AG4053" s="66">
        <f t="shared" si="151"/>
        <v>0</v>
      </c>
      <c r="AH4053" s="143">
        <f t="shared" si="152"/>
        <v>960.61199999999985</v>
      </c>
    </row>
    <row r="4054" spans="1:34" s="862" customFormat="1" x14ac:dyDescent="0.3">
      <c r="A4054" s="862">
        <v>204081</v>
      </c>
      <c r="B4054" s="863">
        <v>0.4</v>
      </c>
      <c r="C4054" s="863"/>
      <c r="D4054" s="647">
        <v>6.68</v>
      </c>
      <c r="E4054" s="1573"/>
      <c r="F4054" s="864"/>
      <c r="H4054" s="864">
        <v>27.02</v>
      </c>
      <c r="I4054" s="864">
        <v>150</v>
      </c>
      <c r="J4054" s="1816"/>
      <c r="K4054" s="863"/>
      <c r="R4054" s="647"/>
      <c r="S4054" s="863">
        <v>15.5</v>
      </c>
      <c r="T4054" s="1818"/>
      <c r="U4054" s="1818"/>
      <c r="V4054" s="1818"/>
      <c r="W4054" s="1818"/>
      <c r="X4054" s="1818"/>
      <c r="Y4054" s="1817">
        <v>13.474999999999991</v>
      </c>
      <c r="Z4054" s="862">
        <v>5.72</v>
      </c>
      <c r="AA4054" s="647">
        <v>4.8600000000000003</v>
      </c>
      <c r="AB4054" s="647">
        <v>0.47199999999999998</v>
      </c>
      <c r="AC4054" s="862">
        <v>6.4</v>
      </c>
      <c r="AD4054" s="1819">
        <v>192.49999999999989</v>
      </c>
      <c r="AE4054" s="1819">
        <v>320.74000000000012</v>
      </c>
      <c r="AF4054" s="1819">
        <v>460.1</v>
      </c>
      <c r="AG4054" s="66">
        <f t="shared" si="151"/>
        <v>0</v>
      </c>
      <c r="AH4054" s="143">
        <f t="shared" si="152"/>
        <v>973.34</v>
      </c>
    </row>
    <row r="4055" spans="1:34" s="862" customFormat="1" x14ac:dyDescent="0.3">
      <c r="A4055" s="862">
        <v>204082</v>
      </c>
      <c r="B4055" s="863">
        <v>0.2</v>
      </c>
      <c r="C4055" s="863"/>
      <c r="D4055" s="647">
        <v>6.55</v>
      </c>
      <c r="E4055" s="1573"/>
      <c r="F4055" s="864"/>
      <c r="H4055" s="864">
        <v>67.63</v>
      </c>
      <c r="I4055" s="864">
        <v>150</v>
      </c>
      <c r="J4055" s="1816"/>
      <c r="K4055" s="863"/>
      <c r="R4055" s="647"/>
      <c r="S4055" s="863">
        <v>14.5</v>
      </c>
      <c r="T4055" s="1818"/>
      <c r="U4055" s="1818"/>
      <c r="V4055" s="1818"/>
      <c r="W4055" s="1818"/>
      <c r="X4055" s="1818"/>
      <c r="Y4055" s="1817">
        <v>3.5000000000000027</v>
      </c>
      <c r="Z4055" s="862">
        <v>5.59</v>
      </c>
      <c r="AA4055" s="647">
        <v>4.87</v>
      </c>
      <c r="AB4055" s="647">
        <v>0.42299999999999999</v>
      </c>
      <c r="AC4055" s="862">
        <v>8</v>
      </c>
      <c r="AD4055" s="1819">
        <v>70.000000000000057</v>
      </c>
      <c r="AE4055" s="1819">
        <v>245.15999999999991</v>
      </c>
      <c r="AF4055" s="1819">
        <v>659.9</v>
      </c>
      <c r="AG4055" s="66">
        <f t="shared" si="151"/>
        <v>0</v>
      </c>
      <c r="AH4055" s="143">
        <f t="shared" si="152"/>
        <v>975.06</v>
      </c>
    </row>
    <row r="4056" spans="1:34" s="862" customFormat="1" x14ac:dyDescent="0.3">
      <c r="A4056" s="862">
        <v>204083</v>
      </c>
      <c r="B4056" s="863">
        <v>27.8</v>
      </c>
      <c r="C4056" s="863">
        <v>11.38</v>
      </c>
      <c r="D4056" s="647">
        <v>8.4699999999999989</v>
      </c>
      <c r="E4056" s="1573"/>
      <c r="F4056" s="864"/>
      <c r="H4056" s="864">
        <v>35.5</v>
      </c>
      <c r="I4056" s="864">
        <v>330</v>
      </c>
      <c r="J4056" s="1816"/>
      <c r="K4056" s="863"/>
      <c r="R4056" s="647"/>
      <c r="S4056" s="863">
        <v>17.2</v>
      </c>
      <c r="T4056" s="1818"/>
      <c r="U4056" s="1818"/>
      <c r="V4056" s="1818"/>
      <c r="W4056" s="1818"/>
      <c r="X4056" s="1818"/>
      <c r="Y4056" s="1817">
        <v>7.6249999999999929</v>
      </c>
      <c r="Z4056" s="862">
        <v>7.51</v>
      </c>
      <c r="AA4056" s="647">
        <v>4.9800000000000004</v>
      </c>
      <c r="AB4056" s="647">
        <v>0.46600000000000003</v>
      </c>
      <c r="AC4056" s="862">
        <v>8.6</v>
      </c>
      <c r="AD4056" s="1819">
        <v>152.49999999999986</v>
      </c>
      <c r="AE4056" s="1819">
        <v>515.91600000000017</v>
      </c>
      <c r="AF4056" s="1819">
        <v>302.00000000000006</v>
      </c>
      <c r="AG4056" s="66">
        <f t="shared" si="151"/>
        <v>0</v>
      </c>
      <c r="AH4056" s="143">
        <f t="shared" si="152"/>
        <v>970.41600000000017</v>
      </c>
    </row>
    <row r="4057" spans="1:34" s="862" customFormat="1" x14ac:dyDescent="0.3">
      <c r="A4057" s="862">
        <v>204084</v>
      </c>
      <c r="B4057" s="863">
        <v>3</v>
      </c>
      <c r="C4057" s="863"/>
      <c r="D4057" s="647">
        <v>8.2100000000000009</v>
      </c>
      <c r="E4057" s="1573"/>
      <c r="F4057" s="864"/>
      <c r="H4057" s="864">
        <v>41.74</v>
      </c>
      <c r="I4057" s="864">
        <v>640</v>
      </c>
      <c r="J4057" s="1816"/>
      <c r="K4057" s="863"/>
      <c r="R4057" s="647"/>
      <c r="S4057" s="863">
        <v>17.2</v>
      </c>
      <c r="T4057" s="1818"/>
      <c r="U4057" s="1818"/>
      <c r="V4057" s="1818"/>
      <c r="W4057" s="1818"/>
      <c r="X4057" s="1818"/>
      <c r="Y4057" s="1817">
        <v>7.7499999999999787</v>
      </c>
      <c r="Z4057" s="862">
        <v>7.25</v>
      </c>
      <c r="AA4057" s="647">
        <v>4.49</v>
      </c>
      <c r="AB4057" s="647">
        <v>0.77600000000000002</v>
      </c>
      <c r="AC4057" s="862">
        <v>9.9</v>
      </c>
      <c r="AD4057" s="1819">
        <v>154.99999999999957</v>
      </c>
      <c r="AE4057" s="1819">
        <v>456.61600000000038</v>
      </c>
      <c r="AF4057" s="1819">
        <v>358.80000000000007</v>
      </c>
      <c r="AG4057" s="66">
        <f t="shared" si="151"/>
        <v>0</v>
      </c>
      <c r="AH4057" s="143">
        <f t="shared" si="152"/>
        <v>970.41600000000005</v>
      </c>
    </row>
    <row r="4058" spans="1:34" s="862" customFormat="1" x14ac:dyDescent="0.3">
      <c r="A4058" s="862">
        <v>204085</v>
      </c>
      <c r="B4058" s="863">
        <v>0.1</v>
      </c>
      <c r="C4058" s="863"/>
      <c r="D4058" s="647">
        <v>7.01</v>
      </c>
      <c r="E4058" s="1573"/>
      <c r="F4058" s="864"/>
      <c r="H4058" s="864">
        <v>20.79</v>
      </c>
      <c r="I4058" s="864">
        <v>90</v>
      </c>
      <c r="J4058" s="1816"/>
      <c r="K4058" s="863"/>
      <c r="R4058" s="647"/>
      <c r="S4058" s="863">
        <v>16</v>
      </c>
      <c r="T4058" s="1818"/>
      <c r="U4058" s="1818"/>
      <c r="V4058" s="1818"/>
      <c r="W4058" s="1818"/>
      <c r="X4058" s="1818"/>
      <c r="Y4058" s="1817">
        <v>13.825000000000031</v>
      </c>
      <c r="Z4058" s="862">
        <v>6.05</v>
      </c>
      <c r="AA4058" s="647">
        <v>3.47</v>
      </c>
      <c r="AB4058" s="647">
        <v>0.32700000000000001</v>
      </c>
      <c r="AC4058" s="862">
        <v>7.9</v>
      </c>
      <c r="AD4058" s="1819">
        <v>197.50000000000045</v>
      </c>
      <c r="AE4058" s="1819">
        <v>242.57999999999959</v>
      </c>
      <c r="AF4058" s="1819">
        <v>532.4</v>
      </c>
      <c r="AG4058" s="66">
        <f t="shared" si="151"/>
        <v>0</v>
      </c>
      <c r="AH4058" s="143">
        <f t="shared" si="152"/>
        <v>972.48</v>
      </c>
    </row>
    <row r="4059" spans="1:34" s="862" customFormat="1" x14ac:dyDescent="0.3">
      <c r="A4059" s="862">
        <v>204086</v>
      </c>
      <c r="B4059" s="863">
        <v>20.5</v>
      </c>
      <c r="C4059" s="863">
        <v>9.6300000000000008</v>
      </c>
      <c r="D4059" s="647">
        <v>8.5399999999999991</v>
      </c>
      <c r="E4059" s="1573"/>
      <c r="F4059" s="864"/>
      <c r="H4059" s="864">
        <v>27.45</v>
      </c>
      <c r="I4059" s="864">
        <v>250</v>
      </c>
      <c r="J4059" s="1816"/>
      <c r="K4059" s="863"/>
      <c r="R4059" s="647"/>
      <c r="S4059" s="863">
        <v>19.8</v>
      </c>
      <c r="T4059" s="1818"/>
      <c r="U4059" s="1818"/>
      <c r="V4059" s="1818"/>
      <c r="W4059" s="1818"/>
      <c r="X4059" s="1818"/>
      <c r="Y4059" s="1817">
        <v>11.399999999999944</v>
      </c>
      <c r="Z4059" s="862">
        <v>7.58</v>
      </c>
      <c r="AA4059" s="647">
        <v>4.4400000000000004</v>
      </c>
      <c r="AB4059" s="647">
        <v>0.53600000000000003</v>
      </c>
      <c r="AC4059" s="862">
        <v>6.3</v>
      </c>
      <c r="AD4059" s="1819">
        <v>189.99999999999906</v>
      </c>
      <c r="AE4059" s="1819">
        <v>530.24400000000094</v>
      </c>
      <c r="AF4059" s="1819">
        <v>245.7</v>
      </c>
      <c r="AG4059" s="66">
        <f t="shared" si="151"/>
        <v>0</v>
      </c>
      <c r="AH4059" s="143">
        <f t="shared" si="152"/>
        <v>965.94399999999996</v>
      </c>
    </row>
    <row r="4060" spans="1:34" s="862" customFormat="1" x14ac:dyDescent="0.3">
      <c r="A4060" s="862">
        <v>204087</v>
      </c>
      <c r="B4060" s="863">
        <v>0.1</v>
      </c>
      <c r="C4060" s="863"/>
      <c r="D4060" s="647">
        <v>7.57</v>
      </c>
      <c r="E4060" s="1573"/>
      <c r="F4060" s="864"/>
      <c r="H4060" s="864">
        <v>33.200000000000003</v>
      </c>
      <c r="I4060" s="864">
        <v>220</v>
      </c>
      <c r="J4060" s="1816"/>
      <c r="K4060" s="863"/>
      <c r="R4060" s="647"/>
      <c r="S4060" s="863">
        <v>10.3</v>
      </c>
      <c r="T4060" s="1818"/>
      <c r="U4060" s="1818"/>
      <c r="V4060" s="1818"/>
      <c r="W4060" s="1818"/>
      <c r="X4060" s="1818"/>
      <c r="Y4060" s="1817">
        <v>8.3750000000000213</v>
      </c>
      <c r="Z4060" s="862">
        <v>6.61</v>
      </c>
      <c r="AA4060" s="647">
        <v>4.29</v>
      </c>
      <c r="AB4060" s="647">
        <v>0.89200000000000002</v>
      </c>
      <c r="AC4060" s="862">
        <v>6.6</v>
      </c>
      <c r="AD4060" s="1819">
        <v>167.50000000000043</v>
      </c>
      <c r="AE4060" s="1819">
        <v>297.38399999999956</v>
      </c>
      <c r="AF4060" s="1819">
        <v>517.40000000000009</v>
      </c>
      <c r="AG4060" s="66">
        <f t="shared" si="151"/>
        <v>0</v>
      </c>
      <c r="AH4060" s="143">
        <f t="shared" si="152"/>
        <v>982.28400000000011</v>
      </c>
    </row>
    <row r="4061" spans="1:34" s="862" customFormat="1" x14ac:dyDescent="0.3">
      <c r="A4061" s="862">
        <v>204088</v>
      </c>
      <c r="B4061" s="863">
        <v>1.2</v>
      </c>
      <c r="C4061" s="863"/>
      <c r="D4061" s="647">
        <v>8.14</v>
      </c>
      <c r="E4061" s="1573"/>
      <c r="F4061" s="864"/>
      <c r="H4061" s="864">
        <v>14.13</v>
      </c>
      <c r="I4061" s="864">
        <v>430</v>
      </c>
      <c r="J4061" s="1816"/>
      <c r="K4061" s="863"/>
      <c r="R4061" s="647"/>
      <c r="S4061" s="863">
        <v>18.400000000000002</v>
      </c>
      <c r="T4061" s="1818"/>
      <c r="U4061" s="1818"/>
      <c r="V4061" s="1818"/>
      <c r="W4061" s="1818"/>
      <c r="X4061" s="1818"/>
      <c r="Y4061" s="1817">
        <v>11.249999999999982</v>
      </c>
      <c r="Z4061" s="862">
        <v>7.18</v>
      </c>
      <c r="AA4061" s="647">
        <v>4.07</v>
      </c>
      <c r="AB4061" s="647">
        <v>0.86899999999999999</v>
      </c>
      <c r="AC4061" s="862">
        <v>10</v>
      </c>
      <c r="AD4061" s="1819">
        <v>224.99999999999966</v>
      </c>
      <c r="AE4061" s="1819">
        <v>496.95200000000023</v>
      </c>
      <c r="AF4061" s="1819">
        <v>246.39999999999998</v>
      </c>
      <c r="AG4061" s="66">
        <f t="shared" si="151"/>
        <v>0</v>
      </c>
      <c r="AH4061" s="143">
        <f t="shared" si="152"/>
        <v>968.35199999999986</v>
      </c>
    </row>
    <row r="4062" spans="1:34" s="862" customFormat="1" x14ac:dyDescent="0.3">
      <c r="A4062" s="862">
        <v>204089</v>
      </c>
      <c r="B4062" s="863">
        <v>0</v>
      </c>
      <c r="C4062" s="863"/>
      <c r="D4062" s="647">
        <v>5.65</v>
      </c>
      <c r="E4062" s="1573"/>
      <c r="F4062" s="864"/>
      <c r="H4062" s="864">
        <v>70.150000000000006</v>
      </c>
      <c r="I4062" s="864">
        <v>150</v>
      </c>
      <c r="J4062" s="1816"/>
      <c r="K4062" s="863"/>
      <c r="R4062" s="647"/>
      <c r="S4062" s="863">
        <v>9.2000000000000011</v>
      </c>
      <c r="T4062" s="1818"/>
      <c r="U4062" s="1818"/>
      <c r="V4062" s="1818"/>
      <c r="W4062" s="1818"/>
      <c r="X4062" s="1818"/>
      <c r="Y4062" s="1817">
        <v>4.5000000000000044</v>
      </c>
      <c r="Z4062" s="862">
        <v>4.6900000000000004</v>
      </c>
      <c r="AA4062" s="647">
        <v>4.8499999999999996</v>
      </c>
      <c r="AB4062" s="647">
        <v>0.80900000000000005</v>
      </c>
      <c r="AC4062" s="862">
        <v>11.7</v>
      </c>
      <c r="AD4062" s="1819">
        <v>90.000000000000085</v>
      </c>
      <c r="AE4062" s="1819">
        <v>257.67599999999993</v>
      </c>
      <c r="AF4062" s="1819">
        <v>636.5</v>
      </c>
      <c r="AG4062" s="66">
        <f t="shared" si="151"/>
        <v>0</v>
      </c>
      <c r="AH4062" s="143">
        <f t="shared" si="152"/>
        <v>984.17600000000004</v>
      </c>
    </row>
    <row r="4063" spans="1:34" s="862" customFormat="1" x14ac:dyDescent="0.3">
      <c r="A4063" s="862">
        <v>204090</v>
      </c>
      <c r="B4063" s="863">
        <v>0.1</v>
      </c>
      <c r="C4063" s="863"/>
      <c r="D4063" s="647">
        <v>7.45</v>
      </c>
      <c r="E4063" s="1573"/>
      <c r="F4063" s="864"/>
      <c r="H4063" s="864">
        <v>20.329999999999998</v>
      </c>
      <c r="I4063" s="864">
        <v>130</v>
      </c>
      <c r="J4063" s="1816"/>
      <c r="K4063" s="863"/>
      <c r="R4063" s="647"/>
      <c r="S4063" s="863">
        <v>14.399999999999999</v>
      </c>
      <c r="T4063" s="1818"/>
      <c r="U4063" s="1818"/>
      <c r="V4063" s="1818"/>
      <c r="W4063" s="1818"/>
      <c r="X4063" s="1818"/>
      <c r="Y4063" s="1817">
        <v>12.949999999999973</v>
      </c>
      <c r="Z4063" s="862">
        <v>6.49</v>
      </c>
      <c r="AA4063" s="647">
        <v>3.97</v>
      </c>
      <c r="AB4063" s="647">
        <v>0.70499999999999996</v>
      </c>
      <c r="AC4063" s="862">
        <v>10</v>
      </c>
      <c r="AD4063" s="1819">
        <v>184.9999999999996</v>
      </c>
      <c r="AE4063" s="1819">
        <v>427.83200000000039</v>
      </c>
      <c r="AF4063" s="1819">
        <v>362.4</v>
      </c>
      <c r="AG4063" s="66">
        <f t="shared" si="151"/>
        <v>0</v>
      </c>
      <c r="AH4063" s="143">
        <f t="shared" si="152"/>
        <v>975.23199999999997</v>
      </c>
    </row>
    <row r="4064" spans="1:34" s="862" customFormat="1" x14ac:dyDescent="0.3">
      <c r="A4064" s="862">
        <v>204091</v>
      </c>
      <c r="B4064" s="863">
        <v>16.8</v>
      </c>
      <c r="C4064" s="863">
        <v>9.3800000000000008</v>
      </c>
      <c r="D4064" s="647">
        <v>8.43</v>
      </c>
      <c r="E4064" s="1573"/>
      <c r="F4064" s="864"/>
      <c r="H4064" s="864">
        <v>16.72</v>
      </c>
      <c r="I4064" s="864">
        <v>280</v>
      </c>
      <c r="J4064" s="1816"/>
      <c r="K4064" s="863"/>
      <c r="R4064" s="647"/>
      <c r="S4064" s="863">
        <v>21</v>
      </c>
      <c r="T4064" s="1818"/>
      <c r="U4064" s="1818"/>
      <c r="V4064" s="1818"/>
      <c r="W4064" s="1818"/>
      <c r="X4064" s="1818"/>
      <c r="Y4064" s="1817">
        <v>13.050000000000029</v>
      </c>
      <c r="Z4064" s="862">
        <v>7.47</v>
      </c>
      <c r="AA4064" s="647">
        <v>4.47</v>
      </c>
      <c r="AB4064" s="647">
        <v>0.33900000000000002</v>
      </c>
      <c r="AC4064" s="862">
        <v>6</v>
      </c>
      <c r="AD4064" s="1819">
        <v>217.50000000000048</v>
      </c>
      <c r="AE4064" s="1819">
        <v>449.77999999999929</v>
      </c>
      <c r="AF4064" s="1819">
        <v>296.60000000000014</v>
      </c>
      <c r="AG4064" s="66">
        <f t="shared" si="151"/>
        <v>0</v>
      </c>
      <c r="AH4064" s="143">
        <f t="shared" si="152"/>
        <v>963.87999999999988</v>
      </c>
    </row>
    <row r="4065" spans="1:34" s="862" customFormat="1" x14ac:dyDescent="0.3">
      <c r="A4065" s="862">
        <v>204092</v>
      </c>
      <c r="B4065" s="863">
        <v>21.3</v>
      </c>
      <c r="C4065" s="863">
        <v>6.88</v>
      </c>
      <c r="D4065" s="647">
        <v>8.51</v>
      </c>
      <c r="E4065" s="1573"/>
      <c r="F4065" s="864"/>
      <c r="H4065" s="864">
        <v>28.73</v>
      </c>
      <c r="I4065" s="864">
        <v>260</v>
      </c>
      <c r="J4065" s="1816"/>
      <c r="K4065" s="863"/>
      <c r="R4065" s="647"/>
      <c r="S4065" s="863">
        <v>16.8</v>
      </c>
      <c r="T4065" s="1818"/>
      <c r="U4065" s="1818"/>
      <c r="V4065" s="1818"/>
      <c r="W4065" s="1818"/>
      <c r="X4065" s="1818"/>
      <c r="Y4065" s="1817">
        <v>7.5000000000000071</v>
      </c>
      <c r="Z4065" s="862">
        <v>7.55</v>
      </c>
      <c r="AA4065" s="647">
        <v>4.24</v>
      </c>
      <c r="AB4065" s="647">
        <v>0.35899999999999999</v>
      </c>
      <c r="AC4065" s="862">
        <v>8.1</v>
      </c>
      <c r="AD4065" s="1819">
        <v>150.00000000000014</v>
      </c>
      <c r="AE4065" s="1819">
        <v>425.50399999999991</v>
      </c>
      <c r="AF4065" s="1819">
        <v>395.59999999999991</v>
      </c>
      <c r="AG4065" s="66">
        <f t="shared" si="151"/>
        <v>0</v>
      </c>
      <c r="AH4065" s="143">
        <f t="shared" si="152"/>
        <v>971.10399999999993</v>
      </c>
    </row>
    <row r="4066" spans="1:34" s="862" customFormat="1" x14ac:dyDescent="0.3">
      <c r="A4066" s="862">
        <v>204093</v>
      </c>
      <c r="B4066" s="863">
        <v>0.1</v>
      </c>
      <c r="C4066" s="863">
        <v>24</v>
      </c>
      <c r="D4066" s="647">
        <v>6.66</v>
      </c>
      <c r="E4066" s="1573"/>
      <c r="F4066" s="864"/>
      <c r="H4066" s="864">
        <v>44.22</v>
      </c>
      <c r="I4066" s="864">
        <v>90</v>
      </c>
      <c r="J4066" s="1816"/>
      <c r="K4066" s="863"/>
      <c r="R4066" s="647"/>
      <c r="S4066" s="863">
        <v>10.3</v>
      </c>
      <c r="T4066" s="1818"/>
      <c r="U4066" s="1818"/>
      <c r="V4066" s="1818"/>
      <c r="W4066" s="1818"/>
      <c r="X4066" s="1818"/>
      <c r="Y4066" s="1817">
        <v>1.4999999999999682</v>
      </c>
      <c r="Z4066" s="862">
        <v>5.7</v>
      </c>
      <c r="AA4066" s="647">
        <v>3.48</v>
      </c>
      <c r="AB4066" s="647">
        <v>0.34399999999999997</v>
      </c>
      <c r="AC4066" s="862">
        <v>8.1999999999999993</v>
      </c>
      <c r="AD4066" s="1819">
        <v>24.999999999999467</v>
      </c>
      <c r="AE4066" s="1819">
        <v>121.78400000000062</v>
      </c>
      <c r="AF4066" s="1819">
        <v>835.49999999999989</v>
      </c>
      <c r="AG4066" s="66">
        <f t="shared" si="151"/>
        <v>0</v>
      </c>
      <c r="AH4066" s="143">
        <f t="shared" si="152"/>
        <v>982.28399999999999</v>
      </c>
    </row>
    <row r="4067" spans="1:34" s="862" customFormat="1" x14ac:dyDescent="0.3">
      <c r="A4067" s="862">
        <v>204094</v>
      </c>
      <c r="B4067" s="863">
        <v>20.9</v>
      </c>
      <c r="C4067" s="863">
        <v>7</v>
      </c>
      <c r="D4067" s="647">
        <v>8.5500000000000007</v>
      </c>
      <c r="E4067" s="1573"/>
      <c r="F4067" s="864"/>
      <c r="H4067" s="864">
        <v>30.45</v>
      </c>
      <c r="I4067" s="864">
        <v>240</v>
      </c>
      <c r="J4067" s="1816"/>
      <c r="K4067" s="863"/>
      <c r="R4067" s="647"/>
      <c r="S4067" s="863">
        <v>20</v>
      </c>
      <c r="T4067" s="1818"/>
      <c r="U4067" s="1818"/>
      <c r="V4067" s="1818"/>
      <c r="W4067" s="1818"/>
      <c r="X4067" s="1818"/>
      <c r="Y4067" s="1817">
        <v>10.500000000000043</v>
      </c>
      <c r="Z4067" s="862">
        <v>7.59</v>
      </c>
      <c r="AA4067" s="647">
        <v>4.2699999999999996</v>
      </c>
      <c r="AB4067" s="647">
        <v>0.70899999999999996</v>
      </c>
      <c r="AC4067" s="862">
        <v>9.5</v>
      </c>
      <c r="AD4067" s="1819">
        <v>175.00000000000071</v>
      </c>
      <c r="AE4067" s="1819">
        <v>467.29999999999939</v>
      </c>
      <c r="AF4067" s="1819">
        <v>323.29999999999995</v>
      </c>
      <c r="AG4067" s="66">
        <f t="shared" si="151"/>
        <v>0</v>
      </c>
      <c r="AH4067" s="143">
        <f t="shared" si="152"/>
        <v>965.6</v>
      </c>
    </row>
    <row r="4068" spans="1:34" s="862" customFormat="1" x14ac:dyDescent="0.3">
      <c r="A4068" s="862">
        <v>204095</v>
      </c>
      <c r="B4068" s="863">
        <v>27.2</v>
      </c>
      <c r="C4068" s="863">
        <v>13.13</v>
      </c>
      <c r="D4068" s="647">
        <v>8.4499999999999993</v>
      </c>
      <c r="E4068" s="1573"/>
      <c r="F4068" s="864"/>
      <c r="H4068" s="864">
        <v>18.14</v>
      </c>
      <c r="I4068" s="864">
        <v>260</v>
      </c>
      <c r="J4068" s="1816"/>
      <c r="K4068" s="863"/>
      <c r="R4068" s="647"/>
      <c r="S4068" s="863">
        <v>16.399999999999999</v>
      </c>
      <c r="T4068" s="1818"/>
      <c r="U4068" s="1818"/>
      <c r="V4068" s="1818"/>
      <c r="W4068" s="1818"/>
      <c r="X4068" s="1818"/>
      <c r="Y4068" s="1817">
        <v>10.375000000000023</v>
      </c>
      <c r="Z4068" s="862">
        <v>7.49</v>
      </c>
      <c r="AA4068" s="647">
        <v>4.5199999999999996</v>
      </c>
      <c r="AB4068" s="647">
        <v>0.253</v>
      </c>
      <c r="AC4068" s="862">
        <v>8.5</v>
      </c>
      <c r="AD4068" s="1819">
        <v>207.50000000000045</v>
      </c>
      <c r="AE4068" s="1819">
        <v>533.49199999999951</v>
      </c>
      <c r="AF4068" s="1819">
        <v>230.80000000000004</v>
      </c>
      <c r="AG4068" s="66">
        <f t="shared" si="151"/>
        <v>0</v>
      </c>
      <c r="AH4068" s="143">
        <f t="shared" si="152"/>
        <v>971.79200000000003</v>
      </c>
    </row>
    <row r="4069" spans="1:34" s="862" customFormat="1" x14ac:dyDescent="0.3">
      <c r="A4069" s="862">
        <v>204096</v>
      </c>
      <c r="B4069" s="863">
        <v>0.1</v>
      </c>
      <c r="C4069" s="863"/>
      <c r="D4069" s="647">
        <v>6.21</v>
      </c>
      <c r="E4069" s="1573"/>
      <c r="F4069" s="864"/>
      <c r="H4069" s="864">
        <v>33.07</v>
      </c>
      <c r="I4069" s="864">
        <v>100</v>
      </c>
      <c r="J4069" s="1816"/>
      <c r="K4069" s="863"/>
      <c r="R4069" s="647"/>
      <c r="S4069" s="863">
        <v>19.399999999999999</v>
      </c>
      <c r="T4069" s="1818"/>
      <c r="U4069" s="1818"/>
      <c r="V4069" s="1818"/>
      <c r="W4069" s="1818"/>
      <c r="X4069" s="1818"/>
      <c r="Y4069" s="1817">
        <v>14.25000000000003</v>
      </c>
      <c r="Z4069" s="862">
        <v>5.25</v>
      </c>
      <c r="AA4069" s="647">
        <v>4.62</v>
      </c>
      <c r="AB4069" s="647">
        <v>0.74399999999999999</v>
      </c>
      <c r="AC4069" s="862">
        <v>11.2</v>
      </c>
      <c r="AD4069" s="1819">
        <v>237.50000000000048</v>
      </c>
      <c r="AE4069" s="1819">
        <v>287.63199999999938</v>
      </c>
      <c r="AF4069" s="1819">
        <v>441.5</v>
      </c>
      <c r="AG4069" s="66">
        <f t="shared" si="151"/>
        <v>0</v>
      </c>
      <c r="AH4069" s="143">
        <f t="shared" si="152"/>
        <v>966.63199999999983</v>
      </c>
    </row>
    <row r="4070" spans="1:34" s="862" customFormat="1" x14ac:dyDescent="0.3">
      <c r="A4070" s="862">
        <v>204097</v>
      </c>
      <c r="B4070" s="863">
        <v>0</v>
      </c>
      <c r="C4070" s="863"/>
      <c r="D4070" s="647">
        <v>6.53</v>
      </c>
      <c r="E4070" s="1573"/>
      <c r="F4070" s="864"/>
      <c r="H4070" s="864">
        <v>15.68</v>
      </c>
      <c r="I4070" s="864">
        <v>90</v>
      </c>
      <c r="J4070" s="1816"/>
      <c r="K4070" s="863"/>
      <c r="R4070" s="647"/>
      <c r="S4070" s="863">
        <v>12</v>
      </c>
      <c r="T4070" s="1818"/>
      <c r="U4070" s="1818"/>
      <c r="V4070" s="1818"/>
      <c r="W4070" s="1818"/>
      <c r="X4070" s="1818"/>
      <c r="Y4070" s="1817">
        <v>6.8999999999999728</v>
      </c>
      <c r="Z4070" s="862">
        <v>5.57</v>
      </c>
      <c r="AA4070" s="647">
        <v>4.59</v>
      </c>
      <c r="AB4070" s="647">
        <v>0.31900000000000001</v>
      </c>
      <c r="AC4070" s="862">
        <v>7.7</v>
      </c>
      <c r="AD4070" s="1819">
        <v>114.99999999999955</v>
      </c>
      <c r="AE4070" s="1819">
        <v>372.36000000000047</v>
      </c>
      <c r="AF4070" s="1819">
        <v>492</v>
      </c>
      <c r="AG4070" s="66">
        <f t="shared" si="151"/>
        <v>0</v>
      </c>
      <c r="AH4070" s="143">
        <f t="shared" si="152"/>
        <v>979.36</v>
      </c>
    </row>
    <row r="4071" spans="1:34" s="862" customFormat="1" x14ac:dyDescent="0.3">
      <c r="A4071" s="862">
        <v>204098</v>
      </c>
      <c r="B4071" s="863">
        <v>0.1</v>
      </c>
      <c r="C4071" s="863"/>
      <c r="D4071" s="647">
        <v>6.12</v>
      </c>
      <c r="E4071" s="1573"/>
      <c r="F4071" s="864"/>
      <c r="H4071" s="864">
        <v>12.39</v>
      </c>
      <c r="I4071" s="864">
        <v>70</v>
      </c>
      <c r="J4071" s="1816"/>
      <c r="K4071" s="863"/>
      <c r="R4071" s="647"/>
      <c r="S4071" s="863">
        <v>7.1</v>
      </c>
      <c r="T4071" s="1818"/>
      <c r="U4071" s="1818"/>
      <c r="V4071" s="1818"/>
      <c r="W4071" s="1818"/>
      <c r="X4071" s="1818"/>
      <c r="Y4071" s="1817">
        <v>1.8000000000000016</v>
      </c>
      <c r="Z4071" s="862">
        <v>5.16</v>
      </c>
      <c r="AA4071" s="647">
        <v>3.45</v>
      </c>
      <c r="AB4071" s="647">
        <v>0.70099999999999996</v>
      </c>
      <c r="AC4071" s="862">
        <v>11.2</v>
      </c>
      <c r="AD4071" s="1819">
        <v>30.000000000000028</v>
      </c>
      <c r="AE4071" s="1819">
        <v>326.38799999999998</v>
      </c>
      <c r="AF4071" s="1819">
        <v>631.40000000000009</v>
      </c>
      <c r="AG4071" s="66">
        <f t="shared" si="151"/>
        <v>0</v>
      </c>
      <c r="AH4071" s="143">
        <f t="shared" si="152"/>
        <v>987.78800000000012</v>
      </c>
    </row>
    <row r="4072" spans="1:34" s="862" customFormat="1" x14ac:dyDescent="0.3">
      <c r="A4072" s="862">
        <v>204099</v>
      </c>
      <c r="B4072" s="863">
        <v>1.5</v>
      </c>
      <c r="C4072" s="863"/>
      <c r="D4072" s="647">
        <v>8.2899999999999991</v>
      </c>
      <c r="E4072" s="1573"/>
      <c r="F4072" s="864"/>
      <c r="H4072" s="864">
        <v>52.89</v>
      </c>
      <c r="I4072" s="864">
        <v>340</v>
      </c>
      <c r="J4072" s="1816"/>
      <c r="K4072" s="863"/>
      <c r="R4072" s="647"/>
      <c r="S4072" s="863">
        <v>13.899999999999999</v>
      </c>
      <c r="T4072" s="1818"/>
      <c r="U4072" s="1818"/>
      <c r="V4072" s="1818"/>
      <c r="W4072" s="1818"/>
      <c r="X4072" s="1818"/>
      <c r="Y4072" s="1817">
        <v>8.5499999999999901</v>
      </c>
      <c r="Z4072" s="862">
        <v>7.33</v>
      </c>
      <c r="AA4072" s="647">
        <v>4.0599999999999996</v>
      </c>
      <c r="AB4072" s="647">
        <v>0.26300000000000001</v>
      </c>
      <c r="AC4072" s="862">
        <v>10.5</v>
      </c>
      <c r="AD4072" s="1819">
        <v>142.49999999999986</v>
      </c>
      <c r="AE4072" s="1819">
        <v>414.39200000000017</v>
      </c>
      <c r="AF4072" s="1819">
        <v>419.19999999999993</v>
      </c>
      <c r="AG4072" s="66">
        <f t="shared" si="151"/>
        <v>0</v>
      </c>
      <c r="AH4072" s="143">
        <f t="shared" si="152"/>
        <v>976.09199999999998</v>
      </c>
    </row>
    <row r="4073" spans="1:34" s="862" customFormat="1" x14ac:dyDescent="0.3">
      <c r="A4073" s="862">
        <v>204100</v>
      </c>
      <c r="B4073" s="863">
        <v>1</v>
      </c>
      <c r="C4073" s="863"/>
      <c r="D4073" s="647">
        <v>8.24</v>
      </c>
      <c r="E4073" s="1573"/>
      <c r="F4073" s="864"/>
      <c r="H4073" s="864">
        <v>69.8</v>
      </c>
      <c r="I4073" s="864">
        <v>610</v>
      </c>
      <c r="J4073" s="1816"/>
      <c r="K4073" s="863"/>
      <c r="R4073" s="647"/>
      <c r="S4073" s="863">
        <v>14.7</v>
      </c>
      <c r="T4073" s="1818"/>
      <c r="U4073" s="1818"/>
      <c r="V4073" s="1818"/>
      <c r="W4073" s="1818"/>
      <c r="X4073" s="1818"/>
      <c r="Y4073" s="1817">
        <v>8.7499999999999787</v>
      </c>
      <c r="Z4073" s="862">
        <v>7.28</v>
      </c>
      <c r="AA4073" s="647">
        <v>4.95</v>
      </c>
      <c r="AB4073" s="647">
        <v>0.60399999999999998</v>
      </c>
      <c r="AC4073" s="862">
        <v>10.199999999999999</v>
      </c>
      <c r="AD4073" s="1819">
        <v>174.9999999999996</v>
      </c>
      <c r="AE4073" s="1819">
        <v>289.41600000000051</v>
      </c>
      <c r="AF4073" s="1819">
        <v>510.29999999999995</v>
      </c>
      <c r="AG4073" s="66">
        <f t="shared" si="151"/>
        <v>0</v>
      </c>
      <c r="AH4073" s="143">
        <f t="shared" si="152"/>
        <v>974.71600000000012</v>
      </c>
    </row>
    <row r="4074" spans="1:34" s="862" customFormat="1" x14ac:dyDescent="0.3">
      <c r="A4074" s="862">
        <v>204101</v>
      </c>
      <c r="B4074" s="863">
        <v>0.4</v>
      </c>
      <c r="C4074" s="863"/>
      <c r="D4074" s="647">
        <v>8.15</v>
      </c>
      <c r="E4074" s="1573"/>
      <c r="F4074" s="864"/>
      <c r="H4074" s="864">
        <v>78.36</v>
      </c>
      <c r="I4074" s="864">
        <v>590</v>
      </c>
      <c r="J4074" s="1816"/>
      <c r="K4074" s="863"/>
      <c r="R4074" s="647"/>
      <c r="S4074" s="863">
        <v>16.5</v>
      </c>
      <c r="T4074" s="1818"/>
      <c r="U4074" s="1818"/>
      <c r="V4074" s="1818"/>
      <c r="W4074" s="1818"/>
      <c r="X4074" s="1818"/>
      <c r="Y4074" s="1817">
        <v>15.049999999999976</v>
      </c>
      <c r="Z4074" s="862">
        <v>7.19</v>
      </c>
      <c r="AA4074" s="647">
        <v>4.6500000000000004</v>
      </c>
      <c r="AB4074" s="647">
        <v>0.66900000000000004</v>
      </c>
      <c r="AC4074" s="862">
        <v>6.2</v>
      </c>
      <c r="AD4074" s="1819">
        <v>214.99999999999963</v>
      </c>
      <c r="AE4074" s="1819">
        <v>498.72000000000037</v>
      </c>
      <c r="AF4074" s="1819">
        <v>257.90000000000009</v>
      </c>
      <c r="AG4074" s="66">
        <f t="shared" si="151"/>
        <v>0</v>
      </c>
      <c r="AH4074" s="143">
        <f t="shared" si="152"/>
        <v>971.62000000000012</v>
      </c>
    </row>
    <row r="4075" spans="1:34" s="862" customFormat="1" x14ac:dyDescent="0.3">
      <c r="A4075" s="862">
        <v>204102</v>
      </c>
      <c r="B4075" s="863">
        <v>0.1</v>
      </c>
      <c r="C4075" s="863"/>
      <c r="D4075" s="647">
        <v>6.35</v>
      </c>
      <c r="E4075" s="1573"/>
      <c r="F4075" s="864"/>
      <c r="H4075" s="864">
        <v>15.17</v>
      </c>
      <c r="I4075" s="864">
        <v>80</v>
      </c>
      <c r="J4075" s="1816"/>
      <c r="K4075" s="863"/>
      <c r="R4075" s="647"/>
      <c r="S4075" s="863">
        <v>8.2999999999999989</v>
      </c>
      <c r="T4075" s="1818"/>
      <c r="U4075" s="1818"/>
      <c r="V4075" s="1818"/>
      <c r="W4075" s="1818"/>
      <c r="X4075" s="1818"/>
      <c r="Y4075" s="1817">
        <v>4.8000000000000043</v>
      </c>
      <c r="Z4075" s="862">
        <v>5.39</v>
      </c>
      <c r="AA4075" s="647">
        <v>4.72</v>
      </c>
      <c r="AB4075" s="647">
        <v>0.496</v>
      </c>
      <c r="AC4075" s="862">
        <v>6.7</v>
      </c>
      <c r="AD4075" s="1819">
        <v>80.000000000000071</v>
      </c>
      <c r="AE4075" s="1819">
        <v>231.02399999999989</v>
      </c>
      <c r="AF4075" s="1819">
        <v>674.7</v>
      </c>
      <c r="AG4075" s="66">
        <f t="shared" si="151"/>
        <v>0</v>
      </c>
      <c r="AH4075" s="143">
        <f t="shared" si="152"/>
        <v>985.72399999999993</v>
      </c>
    </row>
    <row r="4076" spans="1:34" s="862" customFormat="1" x14ac:dyDescent="0.3">
      <c r="A4076" s="862">
        <v>204103</v>
      </c>
      <c r="B4076" s="863">
        <v>0.1</v>
      </c>
      <c r="C4076" s="863"/>
      <c r="D4076" s="647">
        <v>6.68</v>
      </c>
      <c r="E4076" s="1573"/>
      <c r="F4076" s="864"/>
      <c r="H4076" s="864">
        <v>30.98</v>
      </c>
      <c r="I4076" s="864">
        <v>120</v>
      </c>
      <c r="J4076" s="1816"/>
      <c r="K4076" s="863"/>
      <c r="R4076" s="647"/>
      <c r="S4076" s="863">
        <v>12.4</v>
      </c>
      <c r="T4076" s="1818"/>
      <c r="U4076" s="1818"/>
      <c r="V4076" s="1818"/>
      <c r="W4076" s="1818"/>
      <c r="X4076" s="1818"/>
      <c r="Y4076" s="1817">
        <v>6.7499999999999893</v>
      </c>
      <c r="Z4076" s="862">
        <v>5.72</v>
      </c>
      <c r="AA4076" s="647">
        <v>4.3899999999999997</v>
      </c>
      <c r="AB4076" s="647">
        <v>0.77</v>
      </c>
      <c r="AC4076" s="862">
        <v>6.7</v>
      </c>
      <c r="AD4076" s="1819">
        <v>112.49999999999983</v>
      </c>
      <c r="AE4076" s="1819">
        <v>295.87200000000018</v>
      </c>
      <c r="AF4076" s="1819">
        <v>570.29999999999995</v>
      </c>
      <c r="AG4076" s="66">
        <f t="shared" si="151"/>
        <v>0</v>
      </c>
      <c r="AH4076" s="143">
        <f t="shared" si="152"/>
        <v>978.67200000000003</v>
      </c>
    </row>
    <row r="4077" spans="1:34" s="862" customFormat="1" x14ac:dyDescent="0.3">
      <c r="A4077" s="862">
        <v>204104</v>
      </c>
      <c r="B4077" s="863">
        <v>20</v>
      </c>
      <c r="C4077" s="863">
        <v>8.25</v>
      </c>
      <c r="D4077" s="647">
        <v>8.43</v>
      </c>
      <c r="E4077" s="1573"/>
      <c r="F4077" s="864"/>
      <c r="H4077" s="864">
        <v>10.89</v>
      </c>
      <c r="I4077" s="864">
        <v>260</v>
      </c>
      <c r="J4077" s="1816"/>
      <c r="K4077" s="863"/>
      <c r="R4077" s="647"/>
      <c r="S4077" s="863">
        <v>20.2</v>
      </c>
      <c r="T4077" s="1818"/>
      <c r="U4077" s="1818"/>
      <c r="V4077" s="1818"/>
      <c r="W4077" s="1818"/>
      <c r="X4077" s="1818"/>
      <c r="Y4077" s="1817">
        <v>11.250000000000027</v>
      </c>
      <c r="Z4077" s="862">
        <v>7.47</v>
      </c>
      <c r="AA4077" s="647">
        <v>4.6399999999999997</v>
      </c>
      <c r="AB4077" s="647">
        <v>0.47299999999999998</v>
      </c>
      <c r="AC4077" s="862">
        <v>7.2</v>
      </c>
      <c r="AD4077" s="1819">
        <v>187.50000000000045</v>
      </c>
      <c r="AE4077" s="1819">
        <v>515.35599999999954</v>
      </c>
      <c r="AF4077" s="1819">
        <v>262.39999999999998</v>
      </c>
      <c r="AG4077" s="66">
        <f t="shared" si="151"/>
        <v>0</v>
      </c>
      <c r="AH4077" s="143">
        <f t="shared" si="152"/>
        <v>965.25599999999997</v>
      </c>
    </row>
    <row r="4078" spans="1:34" s="862" customFormat="1" x14ac:dyDescent="0.3">
      <c r="A4078" s="862">
        <v>204105</v>
      </c>
      <c r="B4078" s="863">
        <v>18.8</v>
      </c>
      <c r="C4078" s="863">
        <v>8.3800000000000008</v>
      </c>
      <c r="D4078" s="647">
        <v>8.5599999999999987</v>
      </c>
      <c r="E4078" s="1573"/>
      <c r="F4078" s="864"/>
      <c r="H4078" s="864">
        <v>21.65</v>
      </c>
      <c r="I4078" s="864">
        <v>280</v>
      </c>
      <c r="J4078" s="1816"/>
      <c r="K4078" s="863"/>
      <c r="R4078" s="647"/>
      <c r="S4078" s="863">
        <v>18.799999999999997</v>
      </c>
      <c r="T4078" s="1818"/>
      <c r="U4078" s="1818"/>
      <c r="V4078" s="1818"/>
      <c r="W4078" s="1818"/>
      <c r="X4078" s="1818"/>
      <c r="Y4078" s="1817">
        <v>12.249999999999973</v>
      </c>
      <c r="Z4078" s="862">
        <v>7.6</v>
      </c>
      <c r="AA4078" s="647">
        <v>3.85</v>
      </c>
      <c r="AB4078" s="647">
        <v>0.48899999999999999</v>
      </c>
      <c r="AC4078" s="862">
        <v>8.8000000000000007</v>
      </c>
      <c r="AD4078" s="1819">
        <v>174.9999999999996</v>
      </c>
      <c r="AE4078" s="1819">
        <v>548.26400000000035</v>
      </c>
      <c r="AF4078" s="1819">
        <v>244.40000000000003</v>
      </c>
      <c r="AG4078" s="66">
        <f t="shared" si="151"/>
        <v>0</v>
      </c>
      <c r="AH4078" s="143">
        <f t="shared" si="152"/>
        <v>967.66399999999999</v>
      </c>
    </row>
    <row r="4079" spans="1:34" s="862" customFormat="1" x14ac:dyDescent="0.3">
      <c r="A4079" s="862">
        <v>204106</v>
      </c>
      <c r="B4079" s="863">
        <v>12.9</v>
      </c>
      <c r="C4079" s="863">
        <v>6.5</v>
      </c>
      <c r="D4079" s="647">
        <v>8.41</v>
      </c>
      <c r="E4079" s="1573"/>
      <c r="F4079" s="864"/>
      <c r="H4079" s="864">
        <v>31.41</v>
      </c>
      <c r="I4079" s="864">
        <v>430</v>
      </c>
      <c r="J4079" s="1816"/>
      <c r="K4079" s="863"/>
      <c r="R4079" s="647"/>
      <c r="S4079" s="863">
        <v>18.5</v>
      </c>
      <c r="T4079" s="1818"/>
      <c r="U4079" s="1818"/>
      <c r="V4079" s="1818"/>
      <c r="W4079" s="1818"/>
      <c r="X4079" s="1818"/>
      <c r="Y4079" s="1817">
        <v>8.499999999999952</v>
      </c>
      <c r="Z4079" s="862">
        <v>7.45</v>
      </c>
      <c r="AA4079" s="647">
        <v>3.73</v>
      </c>
      <c r="AB4079" s="647">
        <v>0.53800000000000003</v>
      </c>
      <c r="AC4079" s="862">
        <v>9.5</v>
      </c>
      <c r="AD4079" s="1819">
        <v>169.99999999999903</v>
      </c>
      <c r="AE4079" s="1819">
        <v>566.18000000000097</v>
      </c>
      <c r="AF4079" s="1819">
        <v>232.00000000000006</v>
      </c>
      <c r="AG4079" s="66">
        <f t="shared" si="151"/>
        <v>0</v>
      </c>
      <c r="AH4079" s="143">
        <f t="shared" si="152"/>
        <v>968.18000000000006</v>
      </c>
    </row>
    <row r="4080" spans="1:34" s="862" customFormat="1" x14ac:dyDescent="0.3">
      <c r="A4080" s="862">
        <v>204132</v>
      </c>
      <c r="B4080" s="863">
        <v>0.2</v>
      </c>
      <c r="C4080" s="863"/>
      <c r="D4080" s="647">
        <v>6.85</v>
      </c>
      <c r="E4080" s="1573"/>
      <c r="F4080" s="864"/>
      <c r="H4080" s="864">
        <v>21.56</v>
      </c>
      <c r="I4080" s="864">
        <v>110</v>
      </c>
      <c r="J4080" s="1816"/>
      <c r="K4080" s="863"/>
      <c r="R4080" s="647"/>
      <c r="S4080" s="863">
        <v>16</v>
      </c>
      <c r="T4080" s="1818"/>
      <c r="U4080" s="1818"/>
      <c r="V4080" s="1818"/>
      <c r="W4080" s="1818"/>
      <c r="X4080" s="1818"/>
      <c r="Y4080" s="1817">
        <v>8.0499999999999687</v>
      </c>
      <c r="Z4080" s="862">
        <v>5.89</v>
      </c>
      <c r="AA4080" s="647">
        <v>4.07</v>
      </c>
      <c r="AB4080" s="647">
        <v>0.60899999999999999</v>
      </c>
      <c r="AC4080" s="862">
        <v>11.5</v>
      </c>
      <c r="AD4080" s="1819">
        <v>114.99999999999955</v>
      </c>
      <c r="AE4080" s="1819">
        <v>246.5800000000005</v>
      </c>
      <c r="AF4080" s="1819">
        <v>610.9</v>
      </c>
      <c r="AG4080" s="66">
        <f t="shared" si="151"/>
        <v>0</v>
      </c>
      <c r="AH4080" s="143">
        <f t="shared" si="152"/>
        <v>972.48</v>
      </c>
    </row>
    <row r="4081" spans="1:34" s="862" customFormat="1" x14ac:dyDescent="0.3">
      <c r="A4081" s="862">
        <v>204133</v>
      </c>
      <c r="B4081" s="863">
        <v>0.1</v>
      </c>
      <c r="C4081" s="863"/>
      <c r="D4081" s="647">
        <v>6.33</v>
      </c>
      <c r="E4081" s="1573"/>
      <c r="F4081" s="864"/>
      <c r="H4081" s="864">
        <v>24.53</v>
      </c>
      <c r="I4081" s="864">
        <v>110</v>
      </c>
      <c r="J4081" s="1816"/>
      <c r="K4081" s="863"/>
      <c r="R4081" s="647"/>
      <c r="S4081" s="863">
        <v>16.899999999999999</v>
      </c>
      <c r="T4081" s="1818"/>
      <c r="U4081" s="1818"/>
      <c r="V4081" s="1818"/>
      <c r="W4081" s="1818"/>
      <c r="X4081" s="1818"/>
      <c r="Y4081" s="1817">
        <v>17.49999999999994</v>
      </c>
      <c r="Z4081" s="862">
        <v>5.37</v>
      </c>
      <c r="AA4081" s="647">
        <v>4.79</v>
      </c>
      <c r="AB4081" s="647">
        <v>0.51500000000000001</v>
      </c>
      <c r="AC4081" s="862">
        <v>11.2</v>
      </c>
      <c r="AD4081" s="1819">
        <v>249.99999999999912</v>
      </c>
      <c r="AE4081" s="1819">
        <v>271.03200000000095</v>
      </c>
      <c r="AF4081" s="1819">
        <v>449.9</v>
      </c>
      <c r="AG4081" s="66">
        <f t="shared" si="151"/>
        <v>0</v>
      </c>
      <c r="AH4081" s="143">
        <f t="shared" si="152"/>
        <v>970.93200000000002</v>
      </c>
    </row>
    <row r="4082" spans="1:34" s="862" customFormat="1" x14ac:dyDescent="0.3">
      <c r="A4082" s="862">
        <v>204134</v>
      </c>
      <c r="B4082" s="863">
        <v>0.1</v>
      </c>
      <c r="C4082" s="863"/>
      <c r="D4082" s="647">
        <v>6.36</v>
      </c>
      <c r="E4082" s="1573"/>
      <c r="F4082" s="864"/>
      <c r="H4082" s="864">
        <v>15.76</v>
      </c>
      <c r="I4082" s="864">
        <v>70</v>
      </c>
      <c r="J4082" s="1816"/>
      <c r="K4082" s="863"/>
      <c r="R4082" s="647"/>
      <c r="S4082" s="863">
        <v>16.200000000000003</v>
      </c>
      <c r="T4082" s="1818"/>
      <c r="U4082" s="1818"/>
      <c r="V4082" s="1818"/>
      <c r="W4082" s="1818"/>
      <c r="X4082" s="1818"/>
      <c r="Y4082" s="1817">
        <v>15.149999999999995</v>
      </c>
      <c r="Z4082" s="862">
        <v>5.4</v>
      </c>
      <c r="AA4082" s="647">
        <v>4.82</v>
      </c>
      <c r="AB4082" s="647">
        <v>0.64100000000000001</v>
      </c>
      <c r="AC4082" s="862">
        <v>9.3000000000000007</v>
      </c>
      <c r="AD4082" s="1819">
        <v>252.49999999999994</v>
      </c>
      <c r="AE4082" s="1819">
        <v>279.53600000000012</v>
      </c>
      <c r="AF4082" s="1819">
        <v>440.1</v>
      </c>
      <c r="AG4082" s="66">
        <f t="shared" si="151"/>
        <v>0</v>
      </c>
      <c r="AH4082" s="143">
        <f t="shared" si="152"/>
        <v>972.13600000000008</v>
      </c>
    </row>
    <row r="4083" spans="1:34" s="862" customFormat="1" x14ac:dyDescent="0.3">
      <c r="A4083" s="862">
        <v>204135</v>
      </c>
      <c r="B4083" s="863">
        <v>0.1</v>
      </c>
      <c r="C4083" s="863"/>
      <c r="D4083" s="647">
        <v>6.67</v>
      </c>
      <c r="E4083" s="1573"/>
      <c r="F4083" s="864"/>
      <c r="H4083" s="864">
        <v>10.92</v>
      </c>
      <c r="I4083" s="864">
        <v>140</v>
      </c>
      <c r="J4083" s="1816"/>
      <c r="K4083" s="863"/>
      <c r="R4083" s="647"/>
      <c r="S4083" s="863">
        <v>17.2</v>
      </c>
      <c r="T4083" s="1818"/>
      <c r="U4083" s="1818"/>
      <c r="V4083" s="1818"/>
      <c r="W4083" s="1818"/>
      <c r="X4083" s="1818"/>
      <c r="Y4083" s="1817">
        <v>13.125000000000055</v>
      </c>
      <c r="Z4083" s="862">
        <v>5.71</v>
      </c>
      <c r="AA4083" s="647">
        <v>4.62</v>
      </c>
      <c r="AB4083" s="647">
        <v>0.64200000000000002</v>
      </c>
      <c r="AC4083" s="862">
        <v>10.5</v>
      </c>
      <c r="AD4083" s="1819">
        <v>262.50000000000108</v>
      </c>
      <c r="AE4083" s="1819">
        <v>259.71599999999899</v>
      </c>
      <c r="AF4083" s="1819">
        <v>448.2</v>
      </c>
      <c r="AG4083" s="66">
        <f t="shared" si="151"/>
        <v>0</v>
      </c>
      <c r="AH4083" s="143">
        <f t="shared" si="152"/>
        <v>970.41600000000017</v>
      </c>
    </row>
    <row r="4084" spans="1:34" s="862" customFormat="1" x14ac:dyDescent="0.3">
      <c r="A4084" s="862">
        <v>204136</v>
      </c>
      <c r="B4084" s="863">
        <v>0.2</v>
      </c>
      <c r="C4084" s="863"/>
      <c r="D4084" s="647">
        <v>6.77</v>
      </c>
      <c r="E4084" s="1573"/>
      <c r="F4084" s="864"/>
      <c r="H4084" s="864">
        <v>59.61</v>
      </c>
      <c r="I4084" s="864">
        <v>140</v>
      </c>
      <c r="J4084" s="1816"/>
      <c r="K4084" s="863"/>
      <c r="R4084" s="647"/>
      <c r="S4084" s="863">
        <v>19.899999999999999</v>
      </c>
      <c r="T4084" s="864"/>
      <c r="U4084" s="864"/>
      <c r="V4084" s="864"/>
      <c r="W4084" s="864"/>
      <c r="X4084" s="864"/>
      <c r="Y4084" s="1817">
        <v>13.649999999999963</v>
      </c>
      <c r="Z4084" s="862">
        <v>5.81</v>
      </c>
      <c r="AA4084" s="647">
        <v>4.62</v>
      </c>
      <c r="AB4084" s="647">
        <v>0.89800000000000002</v>
      </c>
      <c r="AC4084" s="862">
        <v>11.2</v>
      </c>
      <c r="AD4084" s="1819">
        <v>227.49999999999937</v>
      </c>
      <c r="AE4084" s="1819">
        <v>111.17200000000054</v>
      </c>
      <c r="AF4084" s="1819">
        <v>627.10000000000025</v>
      </c>
      <c r="AG4084" s="66">
        <f t="shared" si="151"/>
        <v>0</v>
      </c>
      <c r="AH4084" s="143">
        <f t="shared" si="152"/>
        <v>965.77200000000016</v>
      </c>
    </row>
    <row r="4085" spans="1:34" s="862" customFormat="1" x14ac:dyDescent="0.3">
      <c r="A4085" s="862">
        <v>204137</v>
      </c>
      <c r="B4085" s="863">
        <v>0.1</v>
      </c>
      <c r="C4085" s="863"/>
      <c r="D4085" s="647">
        <v>6.2</v>
      </c>
      <c r="E4085" s="1573"/>
      <c r="F4085" s="864"/>
      <c r="H4085" s="864">
        <v>15.63</v>
      </c>
      <c r="I4085" s="864">
        <v>90</v>
      </c>
      <c r="J4085" s="1816"/>
      <c r="K4085" s="863"/>
      <c r="R4085" s="647"/>
      <c r="S4085" s="863">
        <v>11.299999999999999</v>
      </c>
      <c r="T4085" s="864"/>
      <c r="U4085" s="864"/>
      <c r="V4085" s="864"/>
      <c r="W4085" s="864"/>
      <c r="X4085" s="864"/>
      <c r="Y4085" s="1817">
        <v>14.549999999999995</v>
      </c>
      <c r="Z4085" s="862">
        <v>5.24</v>
      </c>
      <c r="AA4085" s="647">
        <v>3.96</v>
      </c>
      <c r="AB4085" s="647">
        <v>0.43</v>
      </c>
      <c r="AC4085" s="862">
        <v>10.4</v>
      </c>
      <c r="AD4085" s="1819">
        <v>242.49999999999994</v>
      </c>
      <c r="AE4085" s="1819">
        <v>172.06400000000008</v>
      </c>
      <c r="AF4085" s="1819">
        <v>566</v>
      </c>
      <c r="AG4085" s="66">
        <f t="shared" si="151"/>
        <v>0</v>
      </c>
      <c r="AH4085" s="143">
        <f t="shared" si="152"/>
        <v>980.56400000000008</v>
      </c>
    </row>
    <row r="4086" spans="1:34" s="862" customFormat="1" x14ac:dyDescent="0.3">
      <c r="A4086" s="862">
        <v>204138</v>
      </c>
      <c r="B4086" s="863">
        <v>0.1</v>
      </c>
      <c r="C4086" s="863"/>
      <c r="D4086" s="647">
        <v>6.93</v>
      </c>
      <c r="E4086" s="1573"/>
      <c r="F4086" s="864"/>
      <c r="H4086" s="864">
        <v>124.81</v>
      </c>
      <c r="I4086" s="864">
        <v>530</v>
      </c>
      <c r="J4086" s="1816"/>
      <c r="K4086" s="863"/>
      <c r="R4086" s="647"/>
      <c r="S4086" s="863">
        <v>12.8</v>
      </c>
      <c r="T4086" s="864"/>
      <c r="U4086" s="864"/>
      <c r="V4086" s="864"/>
      <c r="W4086" s="864"/>
      <c r="X4086" s="864"/>
      <c r="Y4086" s="1817">
        <v>8.9999999999999538</v>
      </c>
      <c r="Z4086" s="862">
        <v>5.97</v>
      </c>
      <c r="AA4086" s="647">
        <v>3.76</v>
      </c>
      <c r="AB4086" s="647">
        <v>0.78700000000000003</v>
      </c>
      <c r="AC4086" s="862">
        <v>10.9</v>
      </c>
      <c r="AD4086" s="1819">
        <v>179.99999999999906</v>
      </c>
      <c r="AE4086" s="1819">
        <v>131.78400000000093</v>
      </c>
      <c r="AF4086" s="1819">
        <v>666.2</v>
      </c>
      <c r="AG4086" s="66">
        <f t="shared" si="151"/>
        <v>0</v>
      </c>
      <c r="AH4086" s="143">
        <f t="shared" si="152"/>
        <v>977.98400000000004</v>
      </c>
    </row>
    <row r="4087" spans="1:34" s="862" customFormat="1" x14ac:dyDescent="0.3">
      <c r="A4087" s="862">
        <v>204139</v>
      </c>
      <c r="B4087" s="863">
        <v>22.8</v>
      </c>
      <c r="C4087" s="863">
        <v>10.38</v>
      </c>
      <c r="D4087" s="647">
        <v>7.97</v>
      </c>
      <c r="E4087" s="1573"/>
      <c r="F4087" s="864"/>
      <c r="H4087" s="864">
        <v>22.69</v>
      </c>
      <c r="I4087" s="864">
        <v>240</v>
      </c>
      <c r="J4087" s="1816"/>
      <c r="K4087" s="863"/>
      <c r="R4087" s="647"/>
      <c r="S4087" s="863">
        <v>20.2</v>
      </c>
      <c r="T4087" s="864"/>
      <c r="U4087" s="864"/>
      <c r="V4087" s="864"/>
      <c r="W4087" s="864"/>
      <c r="X4087" s="864"/>
      <c r="Y4087" s="1817">
        <v>16.499999999999982</v>
      </c>
      <c r="Z4087" s="862">
        <v>7.01</v>
      </c>
      <c r="AA4087" s="647">
        <v>4.95</v>
      </c>
      <c r="AB4087" s="647">
        <v>0.35499999999999998</v>
      </c>
      <c r="AC4087" s="862">
        <v>8.9</v>
      </c>
      <c r="AD4087" s="1819">
        <v>274.99999999999972</v>
      </c>
      <c r="AE4087" s="1819">
        <v>421.9560000000003</v>
      </c>
      <c r="AF4087" s="1819">
        <v>268.29999999999995</v>
      </c>
      <c r="AG4087" s="66">
        <f t="shared" si="151"/>
        <v>0</v>
      </c>
      <c r="AH4087" s="143">
        <f t="shared" si="152"/>
        <v>965.25599999999997</v>
      </c>
    </row>
    <row r="4088" spans="1:34" s="862" customFormat="1" x14ac:dyDescent="0.3">
      <c r="A4088" s="862">
        <v>204140</v>
      </c>
      <c r="B4088" s="863">
        <v>0.2</v>
      </c>
      <c r="C4088" s="863"/>
      <c r="D4088" s="647">
        <v>7.44</v>
      </c>
      <c r="E4088" s="1573"/>
      <c r="F4088" s="864"/>
      <c r="H4088" s="864">
        <v>56.77</v>
      </c>
      <c r="I4088" s="864">
        <v>400</v>
      </c>
      <c r="J4088" s="1816"/>
      <c r="K4088" s="863"/>
      <c r="R4088" s="647"/>
      <c r="S4088" s="863">
        <v>18.100000000000001</v>
      </c>
      <c r="T4088" s="864"/>
      <c r="U4088" s="864"/>
      <c r="V4088" s="864"/>
      <c r="W4088" s="864"/>
      <c r="X4088" s="864"/>
      <c r="Y4088" s="1817">
        <v>12.249999999999982</v>
      </c>
      <c r="Z4088" s="862">
        <v>6.48</v>
      </c>
      <c r="AA4088" s="647">
        <v>4.5599999999999996</v>
      </c>
      <c r="AB4088" s="647">
        <v>0.748</v>
      </c>
      <c r="AC4088" s="862">
        <v>9</v>
      </c>
      <c r="AD4088" s="1819">
        <v>244.99999999999966</v>
      </c>
      <c r="AE4088" s="1819">
        <v>194.6680000000004</v>
      </c>
      <c r="AF4088" s="1819">
        <v>529.20000000000005</v>
      </c>
      <c r="AG4088" s="66">
        <f t="shared" si="151"/>
        <v>0</v>
      </c>
      <c r="AH4088" s="143">
        <f t="shared" si="152"/>
        <v>968.86800000000017</v>
      </c>
    </row>
    <row r="4089" spans="1:34" s="862" customFormat="1" x14ac:dyDescent="0.3">
      <c r="A4089" s="862">
        <v>204141</v>
      </c>
      <c r="B4089" s="863">
        <v>19</v>
      </c>
      <c r="C4089" s="863">
        <v>9.75</v>
      </c>
      <c r="D4089" s="647">
        <v>8.0300000000000011</v>
      </c>
      <c r="E4089" s="1573"/>
      <c r="F4089" s="864"/>
      <c r="H4089" s="864">
        <v>13.75</v>
      </c>
      <c r="I4089" s="864">
        <v>270</v>
      </c>
      <c r="J4089" s="1816"/>
      <c r="K4089" s="863"/>
      <c r="R4089" s="647"/>
      <c r="S4089" s="863">
        <v>18</v>
      </c>
      <c r="T4089" s="864"/>
      <c r="U4089" s="864"/>
      <c r="V4089" s="864"/>
      <c r="W4089" s="864"/>
      <c r="X4089" s="864"/>
      <c r="Y4089" s="1817">
        <v>11.699999999999978</v>
      </c>
      <c r="Z4089" s="862">
        <v>7.07</v>
      </c>
      <c r="AA4089" s="647">
        <v>4.75</v>
      </c>
      <c r="AB4089" s="647">
        <v>0.59399999999999997</v>
      </c>
      <c r="AC4089" s="862">
        <v>6.2</v>
      </c>
      <c r="AD4089" s="1819">
        <v>194.99999999999963</v>
      </c>
      <c r="AE4089" s="1819">
        <v>504.24000000000035</v>
      </c>
      <c r="AF4089" s="1819">
        <v>269.79999999999995</v>
      </c>
      <c r="AG4089" s="66">
        <f t="shared" si="151"/>
        <v>0</v>
      </c>
      <c r="AH4089" s="143">
        <f t="shared" si="152"/>
        <v>969.04</v>
      </c>
    </row>
    <row r="4090" spans="1:34" s="862" customFormat="1" x14ac:dyDescent="0.3">
      <c r="A4090" s="862">
        <v>204142</v>
      </c>
      <c r="B4090" s="863">
        <v>0.1</v>
      </c>
      <c r="C4090" s="863"/>
      <c r="D4090" s="647">
        <v>6.61</v>
      </c>
      <c r="E4090" s="1573"/>
      <c r="F4090" s="864"/>
      <c r="H4090" s="864">
        <v>19.72</v>
      </c>
      <c r="I4090" s="864">
        <v>80</v>
      </c>
      <c r="J4090" s="1816"/>
      <c r="K4090" s="863"/>
      <c r="R4090" s="647"/>
      <c r="S4090" s="863">
        <v>12.1</v>
      </c>
      <c r="T4090" s="864"/>
      <c r="U4090" s="864"/>
      <c r="V4090" s="864"/>
      <c r="W4090" s="864"/>
      <c r="X4090" s="864"/>
      <c r="Y4090" s="1817">
        <v>0.69999999999992302</v>
      </c>
      <c r="Z4090" s="862">
        <v>5.65</v>
      </c>
      <c r="AA4090" s="647">
        <v>4.3</v>
      </c>
      <c r="AB4090" s="647">
        <v>0.61199999999999999</v>
      </c>
      <c r="AC4090" s="862">
        <v>6.1</v>
      </c>
      <c r="AD4090" s="1819">
        <v>9.9999999999988987</v>
      </c>
      <c r="AE4090" s="1819">
        <v>400.48800000000119</v>
      </c>
      <c r="AF4090" s="1819">
        <v>568.69999999999993</v>
      </c>
      <c r="AG4090" s="66">
        <f t="shared" si="151"/>
        <v>0</v>
      </c>
      <c r="AH4090" s="143">
        <f t="shared" si="152"/>
        <v>979.1880000000001</v>
      </c>
    </row>
    <row r="4091" spans="1:34" s="862" customFormat="1" x14ac:dyDescent="0.3">
      <c r="A4091" s="862">
        <v>204143</v>
      </c>
      <c r="B4091" s="863">
        <v>0.1</v>
      </c>
      <c r="C4091" s="863"/>
      <c r="D4091" s="647">
        <v>6.7</v>
      </c>
      <c r="E4091" s="1573"/>
      <c r="F4091" s="864"/>
      <c r="H4091" s="864">
        <v>37.19</v>
      </c>
      <c r="I4091" s="864">
        <v>320</v>
      </c>
      <c r="J4091" s="1816"/>
      <c r="K4091" s="863"/>
      <c r="R4091" s="647"/>
      <c r="S4091" s="863">
        <v>13</v>
      </c>
      <c r="T4091" s="864"/>
      <c r="U4091" s="864"/>
      <c r="V4091" s="864"/>
      <c r="W4091" s="864"/>
      <c r="X4091" s="864"/>
      <c r="Y4091" s="1817">
        <v>9.0000000000000089</v>
      </c>
      <c r="Z4091" s="862">
        <v>5.74</v>
      </c>
      <c r="AA4091" s="647">
        <v>3.88</v>
      </c>
      <c r="AB4091" s="647">
        <v>0.52400000000000002</v>
      </c>
      <c r="AC4091" s="862">
        <v>8.1</v>
      </c>
      <c r="AD4091" s="1819">
        <v>150.00000000000014</v>
      </c>
      <c r="AE4091" s="1819">
        <v>327.63999999999976</v>
      </c>
      <c r="AF4091" s="1819">
        <v>500.00000000000011</v>
      </c>
      <c r="AG4091" s="66">
        <f t="shared" si="151"/>
        <v>0</v>
      </c>
      <c r="AH4091" s="143">
        <f t="shared" si="152"/>
        <v>977.64</v>
      </c>
    </row>
    <row r="4092" spans="1:34" s="862" customFormat="1" x14ac:dyDescent="0.3">
      <c r="A4092" s="862">
        <v>204144</v>
      </c>
      <c r="B4092" s="863">
        <v>0.1</v>
      </c>
      <c r="C4092" s="863"/>
      <c r="D4092" s="647">
        <v>6.54</v>
      </c>
      <c r="E4092" s="1573"/>
      <c r="F4092" s="864"/>
      <c r="H4092" s="864">
        <v>33.340000000000003</v>
      </c>
      <c r="I4092" s="864">
        <v>250</v>
      </c>
      <c r="J4092" s="1816"/>
      <c r="K4092" s="863"/>
      <c r="R4092" s="647"/>
      <c r="S4092" s="863">
        <v>12.3</v>
      </c>
      <c r="T4092" s="864"/>
      <c r="U4092" s="864"/>
      <c r="V4092" s="864"/>
      <c r="W4092" s="864"/>
      <c r="X4092" s="864"/>
      <c r="Y4092" s="1817">
        <v>5.9999999999999503</v>
      </c>
      <c r="Z4092" s="862">
        <v>5.58</v>
      </c>
      <c r="AA4092" s="647">
        <v>4.5599999999999996</v>
      </c>
      <c r="AB4092" s="647">
        <v>0.56000000000000005</v>
      </c>
      <c r="AC4092" s="862">
        <v>8.6999999999999993</v>
      </c>
      <c r="AD4092" s="1819">
        <v>119.99999999999899</v>
      </c>
      <c r="AE4092" s="1819">
        <v>312.34400000000107</v>
      </c>
      <c r="AF4092" s="1819">
        <v>546.5</v>
      </c>
      <c r="AG4092" s="66">
        <f t="shared" si="151"/>
        <v>0</v>
      </c>
      <c r="AH4092" s="143">
        <f t="shared" si="152"/>
        <v>978.84400000000005</v>
      </c>
    </row>
    <row r="4093" spans="1:34" s="862" customFormat="1" x14ac:dyDescent="0.3">
      <c r="A4093" s="862">
        <v>204145</v>
      </c>
      <c r="B4093" s="863">
        <v>0.1</v>
      </c>
      <c r="C4093" s="863"/>
      <c r="D4093" s="647">
        <v>6.51</v>
      </c>
      <c r="E4093" s="1573"/>
      <c r="F4093" s="864"/>
      <c r="H4093" s="864">
        <v>43.96</v>
      </c>
      <c r="I4093" s="864">
        <v>370</v>
      </c>
      <c r="J4093" s="1816"/>
      <c r="K4093" s="863"/>
      <c r="R4093" s="647"/>
      <c r="S4093" s="863">
        <v>11.899999999999999</v>
      </c>
      <c r="T4093" s="864"/>
      <c r="U4093" s="864"/>
      <c r="V4093" s="864"/>
      <c r="W4093" s="864"/>
      <c r="X4093" s="864"/>
      <c r="Y4093" s="1817">
        <v>14.874999999999917</v>
      </c>
      <c r="Z4093" s="862">
        <v>5.55</v>
      </c>
      <c r="AA4093" s="647">
        <v>3.46</v>
      </c>
      <c r="AB4093" s="647">
        <v>0.63100000000000001</v>
      </c>
      <c r="AC4093" s="862">
        <v>7.5</v>
      </c>
      <c r="AD4093" s="1819">
        <v>212.49999999999881</v>
      </c>
      <c r="AE4093" s="1819">
        <v>376.53200000000123</v>
      </c>
      <c r="AF4093" s="1819">
        <v>390.5</v>
      </c>
      <c r="AG4093" s="66">
        <f t="shared" si="151"/>
        <v>0</v>
      </c>
      <c r="AH4093" s="143">
        <f t="shared" si="152"/>
        <v>979.53200000000004</v>
      </c>
    </row>
    <row r="4094" spans="1:34" s="862" customFormat="1" x14ac:dyDescent="0.3">
      <c r="A4094" s="862">
        <v>204146</v>
      </c>
      <c r="B4094" s="863">
        <v>0.1</v>
      </c>
      <c r="C4094" s="863"/>
      <c r="D4094" s="647">
        <v>6.62</v>
      </c>
      <c r="E4094" s="1573"/>
      <c r="F4094" s="864"/>
      <c r="H4094" s="864">
        <v>43.48</v>
      </c>
      <c r="I4094" s="864">
        <v>170</v>
      </c>
      <c r="J4094" s="1816"/>
      <c r="K4094" s="863"/>
      <c r="R4094" s="647"/>
      <c r="S4094" s="863">
        <v>17</v>
      </c>
      <c r="T4094" s="864"/>
      <c r="U4094" s="864"/>
      <c r="V4094" s="864"/>
      <c r="W4094" s="864"/>
      <c r="X4094" s="864"/>
      <c r="Y4094" s="1817">
        <v>16.624999999999957</v>
      </c>
      <c r="Z4094" s="862">
        <v>5.66</v>
      </c>
      <c r="AA4094" s="647">
        <v>4.9400000000000004</v>
      </c>
      <c r="AB4094" s="647">
        <v>0.68799999999999994</v>
      </c>
      <c r="AC4094" s="862">
        <v>9.8000000000000007</v>
      </c>
      <c r="AD4094" s="1819">
        <v>237.49999999999937</v>
      </c>
      <c r="AE4094" s="1819">
        <v>357.4600000000006</v>
      </c>
      <c r="AF4094" s="1819">
        <v>375.8</v>
      </c>
      <c r="AG4094" s="66">
        <f t="shared" si="151"/>
        <v>0</v>
      </c>
      <c r="AH4094" s="143">
        <f t="shared" si="152"/>
        <v>970.76</v>
      </c>
    </row>
    <row r="4095" spans="1:34" s="862" customFormat="1" x14ac:dyDescent="0.3">
      <c r="A4095" s="862">
        <v>204147</v>
      </c>
      <c r="B4095" s="863">
        <v>12.9</v>
      </c>
      <c r="C4095" s="863">
        <v>8.3800000000000008</v>
      </c>
      <c r="D4095" s="647">
        <v>7.78</v>
      </c>
      <c r="E4095" s="1573"/>
      <c r="F4095" s="864"/>
      <c r="H4095" s="864">
        <v>18.649999999999999</v>
      </c>
      <c r="I4095" s="864">
        <v>300</v>
      </c>
      <c r="J4095" s="1816"/>
      <c r="K4095" s="863"/>
      <c r="R4095" s="647"/>
      <c r="S4095" s="863">
        <v>19.3</v>
      </c>
      <c r="T4095" s="864"/>
      <c r="U4095" s="864"/>
      <c r="V4095" s="864"/>
      <c r="W4095" s="864"/>
      <c r="X4095" s="864"/>
      <c r="Y4095" s="1817">
        <v>11.400000000000009</v>
      </c>
      <c r="Z4095" s="862">
        <v>6.82</v>
      </c>
      <c r="AA4095" s="647">
        <v>4.29</v>
      </c>
      <c r="AB4095" s="647">
        <v>0.59599999999999997</v>
      </c>
      <c r="AC4095" s="862">
        <v>6.7</v>
      </c>
      <c r="AD4095" s="1819">
        <v>190.00000000000017</v>
      </c>
      <c r="AE4095" s="1819">
        <v>531.50399999999991</v>
      </c>
      <c r="AF4095" s="1819">
        <v>245.29999999999998</v>
      </c>
      <c r="AG4095" s="66">
        <f t="shared" si="151"/>
        <v>0</v>
      </c>
      <c r="AH4095" s="143">
        <f t="shared" si="152"/>
        <v>966.80400000000009</v>
      </c>
    </row>
    <row r="4096" spans="1:34" s="862" customFormat="1" x14ac:dyDescent="0.3">
      <c r="A4096" s="862">
        <v>204148</v>
      </c>
      <c r="B4096" s="863">
        <v>9.1999999999999993</v>
      </c>
      <c r="C4096" s="863"/>
      <c r="D4096" s="647">
        <v>7.29</v>
      </c>
      <c r="E4096" s="1573"/>
      <c r="F4096" s="864"/>
      <c r="H4096" s="864">
        <v>17.93</v>
      </c>
      <c r="I4096" s="864">
        <v>320</v>
      </c>
      <c r="J4096" s="1816"/>
      <c r="K4096" s="863"/>
      <c r="R4096" s="647"/>
      <c r="S4096" s="863">
        <v>21.6</v>
      </c>
      <c r="T4096" s="864"/>
      <c r="U4096" s="864"/>
      <c r="V4096" s="864"/>
      <c r="W4096" s="864"/>
      <c r="X4096" s="864"/>
      <c r="Y4096" s="1817">
        <v>5.1249999999999911</v>
      </c>
      <c r="Z4096" s="862">
        <v>6.33</v>
      </c>
      <c r="AA4096" s="647">
        <v>3.86</v>
      </c>
      <c r="AB4096" s="647">
        <v>0.316</v>
      </c>
      <c r="AC4096" s="862">
        <v>10</v>
      </c>
      <c r="AD4096" s="1819">
        <v>102.49999999999982</v>
      </c>
      <c r="AE4096" s="1819">
        <v>600.64800000000014</v>
      </c>
      <c r="AF4096" s="1819">
        <v>259.70000000000005</v>
      </c>
      <c r="AG4096" s="66">
        <f t="shared" si="151"/>
        <v>0</v>
      </c>
      <c r="AH4096" s="143">
        <f t="shared" si="152"/>
        <v>962.84799999999996</v>
      </c>
    </row>
    <row r="4097" spans="1:34" s="862" customFormat="1" x14ac:dyDescent="0.3">
      <c r="A4097" s="862">
        <v>204149</v>
      </c>
      <c r="B4097" s="863">
        <v>21.8</v>
      </c>
      <c r="C4097" s="863">
        <v>10.63</v>
      </c>
      <c r="D4097" s="647">
        <v>8.0599999999999987</v>
      </c>
      <c r="E4097" s="1573"/>
      <c r="F4097" s="864"/>
      <c r="H4097" s="864">
        <v>20.09</v>
      </c>
      <c r="I4097" s="864">
        <v>260</v>
      </c>
      <c r="J4097" s="1816"/>
      <c r="K4097" s="863"/>
      <c r="R4097" s="647"/>
      <c r="S4097" s="863">
        <v>16.299999999999997</v>
      </c>
      <c r="T4097" s="864"/>
      <c r="U4097" s="864"/>
      <c r="V4097" s="864"/>
      <c r="W4097" s="864"/>
      <c r="X4097" s="864"/>
      <c r="Y4097" s="1817">
        <v>7.7499999999999787</v>
      </c>
      <c r="Z4097" s="862">
        <v>7.1</v>
      </c>
      <c r="AA4097" s="647">
        <v>3.73</v>
      </c>
      <c r="AB4097" s="647">
        <v>0.439</v>
      </c>
      <c r="AC4097" s="862">
        <v>10.1</v>
      </c>
      <c r="AD4097" s="1819">
        <v>154.99999999999957</v>
      </c>
      <c r="AE4097" s="1819">
        <v>585.96400000000062</v>
      </c>
      <c r="AF4097" s="1819">
        <v>230.99999999999994</v>
      </c>
      <c r="AG4097" s="66">
        <f t="shared" si="151"/>
        <v>0</v>
      </c>
      <c r="AH4097" s="143">
        <f t="shared" si="152"/>
        <v>971.96400000000017</v>
      </c>
    </row>
    <row r="4098" spans="1:34" s="862" customFormat="1" x14ac:dyDescent="0.3">
      <c r="A4098" s="862">
        <v>204150</v>
      </c>
      <c r="B4098" s="863">
        <v>16.399999999999999</v>
      </c>
      <c r="C4098" s="863">
        <v>10</v>
      </c>
      <c r="D4098" s="647">
        <v>8.11</v>
      </c>
      <c r="E4098" s="1573"/>
      <c r="F4098" s="864"/>
      <c r="H4098" s="864">
        <v>23.73</v>
      </c>
      <c r="I4098" s="864">
        <v>260</v>
      </c>
      <c r="J4098" s="1816"/>
      <c r="K4098" s="863"/>
      <c r="R4098" s="647"/>
      <c r="S4098" s="863">
        <v>20</v>
      </c>
      <c r="T4098" s="864"/>
      <c r="U4098" s="864"/>
      <c r="V4098" s="864"/>
      <c r="W4098" s="864"/>
      <c r="X4098" s="864"/>
      <c r="Y4098" s="1817">
        <v>9.4500000000000242</v>
      </c>
      <c r="Z4098" s="862">
        <v>7.15</v>
      </c>
      <c r="AA4098" s="647">
        <v>3.69</v>
      </c>
      <c r="AB4098" s="647">
        <v>0.36499999999999999</v>
      </c>
      <c r="AC4098" s="862">
        <v>7.6</v>
      </c>
      <c r="AD4098" s="1819">
        <v>157.50000000000043</v>
      </c>
      <c r="AE4098" s="1819">
        <v>526.79999999999961</v>
      </c>
      <c r="AF4098" s="1819">
        <v>281.29999999999995</v>
      </c>
      <c r="AG4098" s="66">
        <f t="shared" ref="AG4098:AG4161" si="153">+K4098*3.54*100/Y4098</f>
        <v>0</v>
      </c>
      <c r="AH4098" s="143">
        <f t="shared" ref="AH4098:AH4161" si="154">+SUM(AD4098:AF4098)</f>
        <v>965.6</v>
      </c>
    </row>
    <row r="4099" spans="1:34" s="862" customFormat="1" x14ac:dyDescent="0.3">
      <c r="A4099" s="862">
        <v>204179</v>
      </c>
      <c r="B4099" s="863">
        <v>19.899999999999999</v>
      </c>
      <c r="C4099" s="863">
        <v>10.5</v>
      </c>
      <c r="D4099" s="647">
        <v>8.1885714285714286</v>
      </c>
      <c r="E4099" s="1573"/>
      <c r="F4099" s="864"/>
      <c r="H4099" s="864">
        <v>35.39</v>
      </c>
      <c r="I4099" s="864">
        <v>410</v>
      </c>
      <c r="J4099" s="1816"/>
      <c r="K4099" s="863"/>
      <c r="R4099" s="647"/>
      <c r="S4099" s="863">
        <v>21.200000000000003</v>
      </c>
      <c r="T4099" s="864"/>
      <c r="U4099" s="864"/>
      <c r="V4099" s="864"/>
      <c r="W4099" s="864"/>
      <c r="X4099" s="864"/>
      <c r="Y4099" s="1817">
        <v>19.949999999999978</v>
      </c>
      <c r="Z4099" s="647">
        <v>7.2285714285714278</v>
      </c>
      <c r="AA4099" s="647">
        <v>4.08</v>
      </c>
      <c r="AB4099" s="647">
        <v>0.47299999999999998</v>
      </c>
      <c r="AC4099" s="862">
        <v>9.3000000000000007</v>
      </c>
      <c r="AD4099" s="1819">
        <v>284.99999999999972</v>
      </c>
      <c r="AE4099" s="1819">
        <v>384.53600000000023</v>
      </c>
      <c r="AF4099" s="1819">
        <v>294</v>
      </c>
      <c r="AG4099" s="66">
        <f t="shared" si="153"/>
        <v>0</v>
      </c>
      <c r="AH4099" s="143">
        <f t="shared" si="154"/>
        <v>963.53599999999994</v>
      </c>
    </row>
    <row r="4100" spans="1:34" s="862" customFormat="1" x14ac:dyDescent="0.3">
      <c r="A4100" s="862">
        <v>204180</v>
      </c>
      <c r="B4100" s="863">
        <v>27.5</v>
      </c>
      <c r="C4100" s="863">
        <v>13.5</v>
      </c>
      <c r="D4100" s="647">
        <v>8.1980952380952381</v>
      </c>
      <c r="E4100" s="1573"/>
      <c r="F4100" s="864"/>
      <c r="H4100" s="864">
        <v>23.67</v>
      </c>
      <c r="I4100" s="864">
        <v>220</v>
      </c>
      <c r="J4100" s="1816"/>
      <c r="K4100" s="863"/>
      <c r="R4100" s="647"/>
      <c r="S4100" s="863">
        <v>20.2</v>
      </c>
      <c r="T4100" s="864"/>
      <c r="U4100" s="864"/>
      <c r="V4100" s="864"/>
      <c r="W4100" s="864"/>
      <c r="X4100" s="864"/>
      <c r="Y4100" s="1817">
        <v>15.499999999999957</v>
      </c>
      <c r="Z4100" s="647">
        <v>7.2380952380952372</v>
      </c>
      <c r="AA4100" s="647">
        <v>3.86</v>
      </c>
      <c r="AB4100" s="647">
        <v>0.89100000000000001</v>
      </c>
      <c r="AC4100" s="862">
        <v>11.7</v>
      </c>
      <c r="AD4100" s="1819">
        <v>309.99999999999915</v>
      </c>
      <c r="AE4100" s="1819">
        <v>358.45600000000087</v>
      </c>
      <c r="AF4100" s="1819">
        <v>296.79999999999995</v>
      </c>
      <c r="AG4100" s="66">
        <f t="shared" si="153"/>
        <v>0</v>
      </c>
      <c r="AH4100" s="143">
        <f t="shared" si="154"/>
        <v>965.25599999999997</v>
      </c>
    </row>
    <row r="4101" spans="1:34" s="862" customFormat="1" x14ac:dyDescent="0.3">
      <c r="A4101" s="862">
        <v>204181</v>
      </c>
      <c r="B4101" s="863">
        <v>22.4</v>
      </c>
      <c r="C4101" s="863">
        <v>11.4</v>
      </c>
      <c r="D4101" s="647">
        <v>8.2838095238095235</v>
      </c>
      <c r="E4101" s="1573"/>
      <c r="F4101" s="864"/>
      <c r="H4101" s="864">
        <v>22.3</v>
      </c>
      <c r="I4101" s="864">
        <v>140</v>
      </c>
      <c r="J4101" s="1816"/>
      <c r="K4101" s="863"/>
      <c r="R4101" s="647"/>
      <c r="S4101" s="863">
        <v>20.8</v>
      </c>
      <c r="T4101" s="864"/>
      <c r="U4101" s="864"/>
      <c r="V4101" s="864"/>
      <c r="W4101" s="864"/>
      <c r="X4101" s="864"/>
      <c r="Y4101" s="1817">
        <v>6.3749999999999636</v>
      </c>
      <c r="Z4101" s="647">
        <v>7.3238095238095235</v>
      </c>
      <c r="AA4101" s="647">
        <v>4.95</v>
      </c>
      <c r="AB4101" s="647">
        <v>0.56200000000000006</v>
      </c>
      <c r="AC4101" s="862">
        <v>6</v>
      </c>
      <c r="AD4101" s="1819">
        <v>127.49999999999928</v>
      </c>
      <c r="AE4101" s="1819">
        <v>589.72400000000084</v>
      </c>
      <c r="AF4101" s="1819">
        <v>247.00000000000003</v>
      </c>
      <c r="AG4101" s="66">
        <f t="shared" si="153"/>
        <v>0</v>
      </c>
      <c r="AH4101" s="143">
        <f t="shared" si="154"/>
        <v>964.22400000000016</v>
      </c>
    </row>
    <row r="4102" spans="1:34" s="862" customFormat="1" x14ac:dyDescent="0.3">
      <c r="A4102" s="862">
        <v>204182</v>
      </c>
      <c r="B4102" s="863">
        <v>24.8</v>
      </c>
      <c r="C4102" s="863">
        <v>11.1</v>
      </c>
      <c r="D4102" s="647">
        <v>8.36</v>
      </c>
      <c r="E4102" s="1573"/>
      <c r="F4102" s="864"/>
      <c r="H4102" s="864">
        <v>31.13</v>
      </c>
      <c r="I4102" s="864">
        <v>180</v>
      </c>
      <c r="J4102" s="1816"/>
      <c r="K4102" s="863"/>
      <c r="R4102" s="647"/>
      <c r="S4102" s="863">
        <v>21.8</v>
      </c>
      <c r="T4102" s="864"/>
      <c r="U4102" s="864"/>
      <c r="V4102" s="864"/>
      <c r="W4102" s="864"/>
      <c r="X4102" s="864"/>
      <c r="Y4102" s="1817">
        <v>13.349999999999927</v>
      </c>
      <c r="Z4102" s="647">
        <v>7.3999999999999995</v>
      </c>
      <c r="AA4102" s="647">
        <v>3.58</v>
      </c>
      <c r="AB4102" s="647">
        <v>0.59499999999999997</v>
      </c>
      <c r="AC4102" s="862">
        <v>6.8</v>
      </c>
      <c r="AD4102" s="1819">
        <v>222.49999999999881</v>
      </c>
      <c r="AE4102" s="1819">
        <v>417.90400000000119</v>
      </c>
      <c r="AF4102" s="1819">
        <v>322.10000000000002</v>
      </c>
      <c r="AG4102" s="66">
        <f t="shared" si="153"/>
        <v>0</v>
      </c>
      <c r="AH4102" s="143">
        <f t="shared" si="154"/>
        <v>962.50400000000002</v>
      </c>
    </row>
    <row r="4103" spans="1:34" s="862" customFormat="1" x14ac:dyDescent="0.3">
      <c r="A4103" s="862">
        <v>204183</v>
      </c>
      <c r="B4103" s="863">
        <v>20</v>
      </c>
      <c r="C4103" s="863">
        <v>11.1</v>
      </c>
      <c r="D4103" s="647">
        <v>8.255238095238095</v>
      </c>
      <c r="E4103" s="1573"/>
      <c r="F4103" s="864"/>
      <c r="H4103" s="864">
        <v>32.880000000000003</v>
      </c>
      <c r="I4103" s="864">
        <v>290</v>
      </c>
      <c r="J4103" s="1816"/>
      <c r="K4103" s="863"/>
      <c r="R4103" s="647"/>
      <c r="S4103" s="863">
        <v>22.9</v>
      </c>
      <c r="T4103" s="864"/>
      <c r="U4103" s="864"/>
      <c r="V4103" s="864"/>
      <c r="W4103" s="864"/>
      <c r="X4103" s="864"/>
      <c r="Y4103" s="1817">
        <v>8.9999999999999538</v>
      </c>
      <c r="Z4103" s="647">
        <v>7.2952380952380951</v>
      </c>
      <c r="AA4103" s="647">
        <v>3.88</v>
      </c>
      <c r="AB4103" s="647">
        <v>0.39300000000000002</v>
      </c>
      <c r="AC4103" s="862">
        <v>11.9</v>
      </c>
      <c r="AD4103" s="1819">
        <v>179.99999999999906</v>
      </c>
      <c r="AE4103" s="1819">
        <v>516.41200000000094</v>
      </c>
      <c r="AF4103" s="1819">
        <v>264.19999999999993</v>
      </c>
      <c r="AG4103" s="66">
        <f t="shared" si="153"/>
        <v>0</v>
      </c>
      <c r="AH4103" s="143">
        <f t="shared" si="154"/>
        <v>960.61199999999997</v>
      </c>
    </row>
    <row r="4104" spans="1:34" s="862" customFormat="1" x14ac:dyDescent="0.3">
      <c r="A4104" s="862">
        <v>204184</v>
      </c>
      <c r="B4104" s="863">
        <v>8.6</v>
      </c>
      <c r="C4104" s="863"/>
      <c r="D4104" s="647">
        <v>8.1314285714285717</v>
      </c>
      <c r="E4104" s="1573"/>
      <c r="F4104" s="864"/>
      <c r="H4104" s="864">
        <v>22.25</v>
      </c>
      <c r="I4104" s="864">
        <v>650</v>
      </c>
      <c r="J4104" s="1816"/>
      <c r="K4104" s="863"/>
      <c r="R4104" s="647"/>
      <c r="S4104" s="863">
        <v>22.5</v>
      </c>
      <c r="T4104" s="864"/>
      <c r="U4104" s="864"/>
      <c r="V4104" s="864"/>
      <c r="W4104" s="864"/>
      <c r="X4104" s="864"/>
      <c r="Y4104" s="1817">
        <v>11.749999999999982</v>
      </c>
      <c r="Z4104" s="647">
        <v>7.1714285714285717</v>
      </c>
      <c r="AA4104" s="647">
        <v>3.69</v>
      </c>
      <c r="AB4104" s="647">
        <v>0.57999999999999996</v>
      </c>
      <c r="AC4104" s="862">
        <v>10.5</v>
      </c>
      <c r="AD4104" s="1819">
        <v>234.99999999999966</v>
      </c>
      <c r="AE4104" s="1819">
        <v>528.90000000000032</v>
      </c>
      <c r="AF4104" s="1819">
        <v>197.39999999999998</v>
      </c>
      <c r="AG4104" s="66">
        <f t="shared" si="153"/>
        <v>0</v>
      </c>
      <c r="AH4104" s="143">
        <f t="shared" si="154"/>
        <v>961.3</v>
      </c>
    </row>
    <row r="4105" spans="1:34" s="862" customFormat="1" x14ac:dyDescent="0.3">
      <c r="A4105" s="862">
        <v>204185</v>
      </c>
      <c r="B4105" s="863">
        <v>13.3</v>
      </c>
      <c r="C4105" s="863">
        <v>4</v>
      </c>
      <c r="D4105" s="647">
        <v>8.2266666666666666</v>
      </c>
      <c r="E4105" s="1573"/>
      <c r="F4105" s="864"/>
      <c r="H4105" s="864">
        <v>22.35</v>
      </c>
      <c r="I4105" s="864">
        <v>230</v>
      </c>
      <c r="J4105" s="1816"/>
      <c r="K4105" s="863"/>
      <c r="R4105" s="647"/>
      <c r="S4105" s="863">
        <v>19.099999999999998</v>
      </c>
      <c r="T4105" s="864"/>
      <c r="U4105" s="864"/>
      <c r="V4105" s="864"/>
      <c r="W4105" s="864"/>
      <c r="X4105" s="864"/>
      <c r="Y4105" s="1817">
        <v>18.449999999999967</v>
      </c>
      <c r="Z4105" s="647">
        <v>7.2666666666666666</v>
      </c>
      <c r="AA4105" s="647">
        <v>4.3</v>
      </c>
      <c r="AB4105" s="647">
        <v>0.47199999999999998</v>
      </c>
      <c r="AC4105" s="862">
        <v>12</v>
      </c>
      <c r="AD4105" s="1819">
        <v>307.49999999999943</v>
      </c>
      <c r="AE4105" s="1819">
        <v>245.74800000000062</v>
      </c>
      <c r="AF4105" s="1819">
        <v>413.9</v>
      </c>
      <c r="AG4105" s="66">
        <f t="shared" si="153"/>
        <v>0</v>
      </c>
      <c r="AH4105" s="143">
        <f t="shared" si="154"/>
        <v>967.14800000000002</v>
      </c>
    </row>
    <row r="4106" spans="1:34" s="862" customFormat="1" x14ac:dyDescent="0.3">
      <c r="A4106" s="862">
        <v>204186</v>
      </c>
      <c r="B4106" s="863">
        <v>18.7</v>
      </c>
      <c r="C4106" s="863">
        <v>12.1</v>
      </c>
      <c r="D4106" s="647">
        <v>8.2361904761904761</v>
      </c>
      <c r="E4106" s="1573"/>
      <c r="F4106" s="864"/>
      <c r="H4106" s="864">
        <v>18.45</v>
      </c>
      <c r="I4106" s="864">
        <v>220</v>
      </c>
      <c r="J4106" s="1816"/>
      <c r="K4106" s="863"/>
      <c r="R4106" s="647"/>
      <c r="S4106" s="863">
        <v>19</v>
      </c>
      <c r="T4106" s="864"/>
      <c r="U4106" s="864"/>
      <c r="V4106" s="864"/>
      <c r="W4106" s="864"/>
      <c r="X4106" s="864"/>
      <c r="Y4106" s="1817">
        <v>9.1499999999999915</v>
      </c>
      <c r="Z4106" s="647">
        <v>7.2761904761904752</v>
      </c>
      <c r="AA4106" s="647">
        <v>4.5</v>
      </c>
      <c r="AB4106" s="647">
        <v>0.54900000000000004</v>
      </c>
      <c r="AC4106" s="862">
        <v>7.5</v>
      </c>
      <c r="AD4106" s="1819">
        <v>152.49999999999986</v>
      </c>
      <c r="AE4106" s="1819">
        <v>543.82000000000016</v>
      </c>
      <c r="AF4106" s="1819">
        <v>271</v>
      </c>
      <c r="AG4106" s="66">
        <f t="shared" si="153"/>
        <v>0</v>
      </c>
      <c r="AH4106" s="143">
        <f t="shared" si="154"/>
        <v>967.32</v>
      </c>
    </row>
    <row r="4107" spans="1:34" s="862" customFormat="1" x14ac:dyDescent="0.3">
      <c r="A4107" s="862">
        <v>204187</v>
      </c>
      <c r="B4107" s="863">
        <v>16.8</v>
      </c>
      <c r="C4107" s="863">
        <v>11.4</v>
      </c>
      <c r="D4107" s="647">
        <v>8.2838095238095235</v>
      </c>
      <c r="E4107" s="1573"/>
      <c r="F4107" s="864"/>
      <c r="H4107" s="864">
        <v>37.99</v>
      </c>
      <c r="I4107" s="864">
        <v>270</v>
      </c>
      <c r="J4107" s="1816"/>
      <c r="K4107" s="863"/>
      <c r="R4107" s="647"/>
      <c r="S4107" s="863">
        <v>18.799999999999997</v>
      </c>
      <c r="T4107" s="864"/>
      <c r="U4107" s="864"/>
      <c r="V4107" s="864"/>
      <c r="W4107" s="864"/>
      <c r="X4107" s="864"/>
      <c r="Y4107" s="1817">
        <v>14.999999999999948</v>
      </c>
      <c r="Z4107" s="647">
        <v>7.3238095238095235</v>
      </c>
      <c r="AA4107" s="647">
        <v>3.61</v>
      </c>
      <c r="AB4107" s="647">
        <v>0.76600000000000001</v>
      </c>
      <c r="AC4107" s="862">
        <v>8.8000000000000007</v>
      </c>
      <c r="AD4107" s="1819">
        <v>249.99999999999912</v>
      </c>
      <c r="AE4107" s="1819">
        <v>457.06400000000099</v>
      </c>
      <c r="AF4107" s="1819">
        <v>260.59999999999997</v>
      </c>
      <c r="AG4107" s="66">
        <f t="shared" si="153"/>
        <v>0</v>
      </c>
      <c r="AH4107" s="143">
        <f t="shared" si="154"/>
        <v>967.66399999999999</v>
      </c>
    </row>
    <row r="4108" spans="1:34" s="862" customFormat="1" x14ac:dyDescent="0.3">
      <c r="A4108" s="862">
        <v>204188</v>
      </c>
      <c r="B4108" s="863">
        <v>13.8</v>
      </c>
      <c r="C4108" s="863">
        <v>5.4</v>
      </c>
      <c r="D4108" s="647">
        <v>8.3028571428571425</v>
      </c>
      <c r="E4108" s="1573"/>
      <c r="F4108" s="864"/>
      <c r="H4108" s="864">
        <v>15.35</v>
      </c>
      <c r="I4108" s="864">
        <v>150</v>
      </c>
      <c r="J4108" s="1816"/>
      <c r="K4108" s="863"/>
      <c r="R4108" s="647"/>
      <c r="S4108" s="863">
        <v>15.2</v>
      </c>
      <c r="T4108" s="864"/>
      <c r="U4108" s="864"/>
      <c r="V4108" s="864"/>
      <c r="W4108" s="864"/>
      <c r="X4108" s="864"/>
      <c r="Y4108" s="1817">
        <v>11.724999999999952</v>
      </c>
      <c r="Z4108" s="647">
        <v>7.3428571428571425</v>
      </c>
      <c r="AA4108" s="647">
        <v>3.62</v>
      </c>
      <c r="AB4108" s="647">
        <v>0.60599999999999998</v>
      </c>
      <c r="AC4108" s="862">
        <v>6.5</v>
      </c>
      <c r="AD4108" s="1819">
        <v>167.49999999999932</v>
      </c>
      <c r="AE4108" s="1819">
        <v>443.45600000000076</v>
      </c>
      <c r="AF4108" s="1819">
        <v>362.9</v>
      </c>
      <c r="AG4108" s="66">
        <f t="shared" si="153"/>
        <v>0</v>
      </c>
      <c r="AH4108" s="143">
        <f t="shared" si="154"/>
        <v>973.85600000000011</v>
      </c>
    </row>
    <row r="4109" spans="1:34" s="862" customFormat="1" x14ac:dyDescent="0.3">
      <c r="A4109" s="862">
        <v>204189</v>
      </c>
      <c r="B4109" s="863">
        <v>25.5</v>
      </c>
      <c r="C4109" s="863">
        <v>12.9</v>
      </c>
      <c r="D4109" s="647">
        <v>8.36</v>
      </c>
      <c r="E4109" s="1573"/>
      <c r="F4109" s="864"/>
      <c r="H4109" s="864">
        <v>167.2</v>
      </c>
      <c r="I4109" s="864">
        <v>840</v>
      </c>
      <c r="J4109" s="1816"/>
      <c r="K4109" s="863"/>
      <c r="R4109" s="647"/>
      <c r="S4109" s="863">
        <v>26.099999999999998</v>
      </c>
      <c r="T4109" s="864"/>
      <c r="U4109" s="864"/>
      <c r="V4109" s="864"/>
      <c r="W4109" s="864"/>
      <c r="X4109" s="864"/>
      <c r="Y4109" s="1817">
        <v>6.8749999999999645</v>
      </c>
      <c r="Z4109" s="647">
        <v>7.3999999999999995</v>
      </c>
      <c r="AA4109" s="647">
        <v>4.7300000000000004</v>
      </c>
      <c r="AB4109" s="647">
        <v>0.69399999999999995</v>
      </c>
      <c r="AC4109" s="862">
        <v>11.1</v>
      </c>
      <c r="AD4109" s="1819">
        <v>137.49999999999929</v>
      </c>
      <c r="AE4109" s="1819">
        <v>523.9080000000007</v>
      </c>
      <c r="AF4109" s="1819">
        <v>293.70000000000005</v>
      </c>
      <c r="AG4109" s="66">
        <f t="shared" si="153"/>
        <v>0</v>
      </c>
      <c r="AH4109" s="143">
        <f t="shared" si="154"/>
        <v>955.10800000000006</v>
      </c>
    </row>
    <row r="4110" spans="1:34" s="862" customFormat="1" x14ac:dyDescent="0.3">
      <c r="A4110" s="862">
        <v>204190</v>
      </c>
      <c r="B4110" s="863">
        <v>16.7</v>
      </c>
      <c r="C4110" s="863">
        <v>8.1</v>
      </c>
      <c r="D4110" s="647">
        <v>8.2266666666666666</v>
      </c>
      <c r="E4110" s="1573"/>
      <c r="F4110" s="864"/>
      <c r="H4110" s="864">
        <v>22.43</v>
      </c>
      <c r="I4110" s="864">
        <v>240</v>
      </c>
      <c r="J4110" s="1816"/>
      <c r="K4110" s="863"/>
      <c r="R4110" s="647"/>
      <c r="S4110" s="863">
        <v>22.5</v>
      </c>
      <c r="T4110" s="864"/>
      <c r="U4110" s="864"/>
      <c r="V4110" s="864"/>
      <c r="W4110" s="864"/>
      <c r="X4110" s="864"/>
      <c r="Y4110" s="1817">
        <v>10.20000000000001</v>
      </c>
      <c r="Z4110" s="647">
        <v>7.2666666666666666</v>
      </c>
      <c r="AA4110" s="647">
        <v>3.49</v>
      </c>
      <c r="AB4110" s="647">
        <v>0.35499999999999998</v>
      </c>
      <c r="AC4110" s="862">
        <v>11.2</v>
      </c>
      <c r="AD4110" s="1819">
        <v>170.00000000000014</v>
      </c>
      <c r="AE4110" s="1819">
        <v>469.5999999999998</v>
      </c>
      <c r="AF4110" s="1819">
        <v>321.70000000000005</v>
      </c>
      <c r="AG4110" s="66">
        <f t="shared" si="153"/>
        <v>0</v>
      </c>
      <c r="AH4110" s="143">
        <f t="shared" si="154"/>
        <v>961.3</v>
      </c>
    </row>
    <row r="4111" spans="1:34" s="862" customFormat="1" x14ac:dyDescent="0.3">
      <c r="A4111" s="862">
        <v>204191</v>
      </c>
      <c r="B4111" s="863">
        <v>23.7</v>
      </c>
      <c r="C4111" s="863">
        <v>8.6</v>
      </c>
      <c r="D4111" s="647">
        <v>8.2647619047619045</v>
      </c>
      <c r="E4111" s="1573"/>
      <c r="F4111" s="864"/>
      <c r="H4111" s="864">
        <v>33.909999999999997</v>
      </c>
      <c r="I4111" s="864">
        <v>410</v>
      </c>
      <c r="J4111" s="1816"/>
      <c r="K4111" s="863"/>
      <c r="R4111" s="647"/>
      <c r="S4111" s="863">
        <v>20</v>
      </c>
      <c r="T4111" s="864"/>
      <c r="U4111" s="864"/>
      <c r="V4111" s="864"/>
      <c r="W4111" s="864"/>
      <c r="X4111" s="864"/>
      <c r="Y4111" s="1817">
        <v>12.949999999999973</v>
      </c>
      <c r="Z4111" s="647">
        <v>7.3047619047619046</v>
      </c>
      <c r="AA4111" s="647">
        <v>3.97</v>
      </c>
      <c r="AB4111" s="647">
        <v>0.41599999999999998</v>
      </c>
      <c r="AC4111" s="862">
        <v>8.4</v>
      </c>
      <c r="AD4111" s="1819">
        <v>184.9999999999996</v>
      </c>
      <c r="AE4111" s="1819">
        <v>499.00000000000051</v>
      </c>
      <c r="AF4111" s="1819">
        <v>281.59999999999997</v>
      </c>
      <c r="AG4111" s="66">
        <f t="shared" si="153"/>
        <v>0</v>
      </c>
      <c r="AH4111" s="143">
        <f t="shared" si="154"/>
        <v>965.60000000000014</v>
      </c>
    </row>
    <row r="4112" spans="1:34" s="862" customFormat="1" x14ac:dyDescent="0.3">
      <c r="A4112" s="862">
        <v>204192</v>
      </c>
      <c r="B4112" s="863">
        <v>13.3</v>
      </c>
      <c r="C4112" s="863">
        <v>9.3000000000000007</v>
      </c>
      <c r="D4112" s="647">
        <v>8.36</v>
      </c>
      <c r="E4112" s="1573"/>
      <c r="F4112" s="864"/>
      <c r="H4112" s="864">
        <v>30.4</v>
      </c>
      <c r="I4112" s="864">
        <v>250</v>
      </c>
      <c r="J4112" s="1816"/>
      <c r="K4112" s="863"/>
      <c r="R4112" s="647"/>
      <c r="S4112" s="863">
        <v>19.099999999999998</v>
      </c>
      <c r="T4112" s="864"/>
      <c r="U4112" s="864"/>
      <c r="V4112" s="864"/>
      <c r="W4112" s="864"/>
      <c r="X4112" s="864"/>
      <c r="Y4112" s="1817">
        <v>9.6249999999999503</v>
      </c>
      <c r="Z4112" s="647">
        <v>7.3999999999999995</v>
      </c>
      <c r="AA4112" s="647">
        <v>4.53</v>
      </c>
      <c r="AB4112" s="647">
        <v>0.71799999999999997</v>
      </c>
      <c r="AC4112" s="862">
        <v>7.6</v>
      </c>
      <c r="AD4112" s="1819">
        <v>137.49999999999929</v>
      </c>
      <c r="AE4112" s="1819">
        <v>523.94800000000066</v>
      </c>
      <c r="AF4112" s="1819">
        <v>305.70000000000005</v>
      </c>
      <c r="AG4112" s="66">
        <f t="shared" si="153"/>
        <v>0</v>
      </c>
      <c r="AH4112" s="143">
        <f t="shared" si="154"/>
        <v>967.14800000000002</v>
      </c>
    </row>
    <row r="4113" spans="1:34" s="862" customFormat="1" x14ac:dyDescent="0.3">
      <c r="A4113" s="862">
        <v>204193</v>
      </c>
      <c r="B4113" s="863">
        <v>20.2</v>
      </c>
      <c r="C4113" s="863">
        <v>10.9</v>
      </c>
      <c r="D4113" s="647">
        <v>8.5599999999999987</v>
      </c>
      <c r="E4113" s="1573"/>
      <c r="F4113" s="864"/>
      <c r="H4113" s="864">
        <v>20.440000000000001</v>
      </c>
      <c r="I4113" s="864">
        <v>170</v>
      </c>
      <c r="J4113" s="1816"/>
      <c r="K4113" s="863"/>
      <c r="R4113" s="647"/>
      <c r="S4113" s="863">
        <v>18.799999999999997</v>
      </c>
      <c r="T4113" s="864"/>
      <c r="U4113" s="864"/>
      <c r="V4113" s="864"/>
      <c r="W4113" s="864"/>
      <c r="X4113" s="864"/>
      <c r="Y4113" s="1817">
        <v>16.274999999999917</v>
      </c>
      <c r="Z4113" s="647">
        <v>7.6</v>
      </c>
      <c r="AA4113" s="647">
        <v>4.79</v>
      </c>
      <c r="AB4113" s="647">
        <v>0.69899999999999995</v>
      </c>
      <c r="AC4113" s="862">
        <v>9.1999999999999993</v>
      </c>
      <c r="AD4113" s="1819">
        <v>232.49999999999881</v>
      </c>
      <c r="AE4113" s="1819">
        <v>394.36400000000123</v>
      </c>
      <c r="AF4113" s="1819">
        <v>340.79999999999995</v>
      </c>
      <c r="AG4113" s="66">
        <f t="shared" si="153"/>
        <v>0</v>
      </c>
      <c r="AH4113" s="143">
        <f t="shared" si="154"/>
        <v>967.66399999999999</v>
      </c>
    </row>
    <row r="4114" spans="1:34" s="862" customFormat="1" x14ac:dyDescent="0.3">
      <c r="A4114" s="862">
        <v>204194</v>
      </c>
      <c r="B4114" s="863">
        <v>22.3</v>
      </c>
      <c r="C4114" s="863">
        <v>12.3</v>
      </c>
      <c r="D4114" s="647">
        <v>8.2647619047619045</v>
      </c>
      <c r="E4114" s="1573"/>
      <c r="F4114" s="864"/>
      <c r="H4114" s="864">
        <v>27.51</v>
      </c>
      <c r="I4114" s="864">
        <v>280</v>
      </c>
      <c r="J4114" s="1816"/>
      <c r="K4114" s="863"/>
      <c r="R4114" s="647"/>
      <c r="S4114" s="863">
        <v>17.899999999999999</v>
      </c>
      <c r="T4114" s="864"/>
      <c r="U4114" s="864"/>
      <c r="V4114" s="864"/>
      <c r="W4114" s="864"/>
      <c r="X4114" s="864"/>
      <c r="Y4114" s="1817">
        <v>20.849999999999969</v>
      </c>
      <c r="Z4114" s="647">
        <v>7.3047619047619046</v>
      </c>
      <c r="AA4114" s="647">
        <v>3.77</v>
      </c>
      <c r="AB4114" s="647">
        <v>0.622</v>
      </c>
      <c r="AC4114" s="862">
        <v>9.9</v>
      </c>
      <c r="AD4114" s="1819">
        <v>347.49999999999949</v>
      </c>
      <c r="AE4114" s="1819">
        <v>306.11200000000048</v>
      </c>
      <c r="AF4114" s="1819">
        <v>315.60000000000002</v>
      </c>
      <c r="AG4114" s="66">
        <f t="shared" si="153"/>
        <v>0</v>
      </c>
      <c r="AH4114" s="143">
        <f t="shared" si="154"/>
        <v>969.21199999999999</v>
      </c>
    </row>
    <row r="4115" spans="1:34" s="862" customFormat="1" x14ac:dyDescent="0.3">
      <c r="A4115" s="862">
        <v>204195</v>
      </c>
      <c r="B4115" s="863">
        <v>26.2</v>
      </c>
      <c r="C4115" s="863">
        <v>11.3</v>
      </c>
      <c r="D4115" s="647">
        <v>8.4266666666666659</v>
      </c>
      <c r="E4115" s="1573"/>
      <c r="F4115" s="864"/>
      <c r="H4115" s="864">
        <v>28.39</v>
      </c>
      <c r="I4115" s="864">
        <v>190</v>
      </c>
      <c r="J4115" s="1816"/>
      <c r="K4115" s="863"/>
      <c r="R4115" s="647"/>
      <c r="S4115" s="863">
        <v>15.2</v>
      </c>
      <c r="T4115" s="864"/>
      <c r="U4115" s="864"/>
      <c r="V4115" s="864"/>
      <c r="W4115" s="864"/>
      <c r="X4115" s="864"/>
      <c r="Y4115" s="1817">
        <v>14.249999999999986</v>
      </c>
      <c r="Z4115" s="647">
        <v>7.4666666666666659</v>
      </c>
      <c r="AA4115" s="647">
        <v>4.8899999999999997</v>
      </c>
      <c r="AB4115" s="647">
        <v>0.76900000000000002</v>
      </c>
      <c r="AC4115" s="862">
        <v>9.9</v>
      </c>
      <c r="AD4115" s="1819">
        <v>284.99999999999972</v>
      </c>
      <c r="AE4115" s="1819">
        <v>290.65600000000023</v>
      </c>
      <c r="AF4115" s="1819">
        <v>398.2</v>
      </c>
      <c r="AG4115" s="66">
        <f t="shared" si="153"/>
        <v>0</v>
      </c>
      <c r="AH4115" s="143">
        <f t="shared" si="154"/>
        <v>973.85599999999999</v>
      </c>
    </row>
    <row r="4116" spans="1:34" s="862" customFormat="1" x14ac:dyDescent="0.3">
      <c r="A4116" s="862">
        <v>204196</v>
      </c>
      <c r="B4116" s="863">
        <v>11.7</v>
      </c>
      <c r="C4116" s="863">
        <v>8.4</v>
      </c>
      <c r="D4116" s="647">
        <v>8.293333333333333</v>
      </c>
      <c r="E4116" s="1573"/>
      <c r="F4116" s="864"/>
      <c r="H4116" s="864">
        <v>25.68</v>
      </c>
      <c r="I4116" s="864">
        <v>370</v>
      </c>
      <c r="J4116" s="1816"/>
      <c r="K4116" s="863"/>
      <c r="R4116" s="647"/>
      <c r="S4116" s="863">
        <v>18.600000000000001</v>
      </c>
      <c r="T4116" s="864"/>
      <c r="U4116" s="864"/>
      <c r="V4116" s="864"/>
      <c r="W4116" s="864"/>
      <c r="X4116" s="864"/>
      <c r="Y4116" s="1817">
        <v>15.000000000000014</v>
      </c>
      <c r="Z4116" s="647">
        <v>7.333333333333333</v>
      </c>
      <c r="AA4116" s="647">
        <v>4.63</v>
      </c>
      <c r="AB4116" s="647">
        <v>0.64800000000000002</v>
      </c>
      <c r="AC4116" s="862">
        <v>6.1</v>
      </c>
      <c r="AD4116" s="1819">
        <v>300.00000000000028</v>
      </c>
      <c r="AE4116" s="1819">
        <v>447.50799999999975</v>
      </c>
      <c r="AF4116" s="1819">
        <v>220.50000000000006</v>
      </c>
      <c r="AG4116" s="66">
        <f t="shared" si="153"/>
        <v>0</v>
      </c>
      <c r="AH4116" s="143">
        <f t="shared" si="154"/>
        <v>968.00800000000004</v>
      </c>
    </row>
    <row r="4117" spans="1:34" s="862" customFormat="1" x14ac:dyDescent="0.3">
      <c r="A4117" s="862">
        <v>204197</v>
      </c>
      <c r="B4117" s="863">
        <v>19.2</v>
      </c>
      <c r="C4117" s="863">
        <v>10.1</v>
      </c>
      <c r="D4117" s="647">
        <v>8.3695238095238089</v>
      </c>
      <c r="E4117" s="1573"/>
      <c r="F4117" s="864"/>
      <c r="H4117" s="864">
        <v>33.090000000000003</v>
      </c>
      <c r="I4117" s="864">
        <v>180</v>
      </c>
      <c r="J4117" s="1816"/>
      <c r="K4117" s="863"/>
      <c r="R4117" s="647"/>
      <c r="S4117" s="863">
        <v>18.799999999999997</v>
      </c>
      <c r="T4117" s="864"/>
      <c r="U4117" s="864"/>
      <c r="V4117" s="864"/>
      <c r="W4117" s="864"/>
      <c r="X4117" s="864"/>
      <c r="Y4117" s="1817">
        <v>20.699999999999985</v>
      </c>
      <c r="Z4117" s="647">
        <v>7.4095238095238098</v>
      </c>
      <c r="AA4117" s="647">
        <v>4.55</v>
      </c>
      <c r="AB4117" s="647">
        <v>0.58099999999999996</v>
      </c>
      <c r="AC4117" s="862">
        <v>9.9</v>
      </c>
      <c r="AD4117" s="1819">
        <v>344.99999999999977</v>
      </c>
      <c r="AE4117" s="1819">
        <v>276.36400000000015</v>
      </c>
      <c r="AF4117" s="1819">
        <v>346.3</v>
      </c>
      <c r="AG4117" s="66">
        <f t="shared" si="153"/>
        <v>0</v>
      </c>
      <c r="AH4117" s="143">
        <f t="shared" si="154"/>
        <v>967.66399999999999</v>
      </c>
    </row>
    <row r="4118" spans="1:34" s="862" customFormat="1" x14ac:dyDescent="0.3">
      <c r="A4118" s="862">
        <v>204198</v>
      </c>
      <c r="B4118" s="863">
        <v>23</v>
      </c>
      <c r="C4118" s="863">
        <v>14</v>
      </c>
      <c r="D4118" s="647">
        <v>8.5980952380952367</v>
      </c>
      <c r="E4118" s="1573"/>
      <c r="F4118" s="864"/>
      <c r="H4118" s="864">
        <v>25.37</v>
      </c>
      <c r="I4118" s="864">
        <v>110</v>
      </c>
      <c r="J4118" s="1816"/>
      <c r="K4118" s="863"/>
      <c r="R4118" s="647"/>
      <c r="S4118" s="863">
        <v>15</v>
      </c>
      <c r="T4118" s="864"/>
      <c r="U4118" s="864"/>
      <c r="V4118" s="864"/>
      <c r="W4118" s="864"/>
      <c r="X4118" s="864"/>
      <c r="Y4118" s="1817">
        <v>12.499999999999957</v>
      </c>
      <c r="Z4118" s="647">
        <v>7.6380952380952376</v>
      </c>
      <c r="AA4118" s="647">
        <v>3.57</v>
      </c>
      <c r="AB4118" s="647">
        <v>0.25600000000000001</v>
      </c>
      <c r="AC4118" s="862">
        <v>12</v>
      </c>
      <c r="AD4118" s="1819">
        <v>249.99999999999912</v>
      </c>
      <c r="AE4118" s="1819">
        <v>316.70000000000095</v>
      </c>
      <c r="AF4118" s="1819">
        <v>407.5</v>
      </c>
      <c r="AG4118" s="66">
        <f t="shared" si="153"/>
        <v>0</v>
      </c>
      <c r="AH4118" s="143">
        <f t="shared" si="154"/>
        <v>974.2</v>
      </c>
    </row>
    <row r="4119" spans="1:34" s="862" customFormat="1" x14ac:dyDescent="0.3">
      <c r="A4119" s="862">
        <v>204199</v>
      </c>
      <c r="B4119" s="863">
        <v>20.2</v>
      </c>
      <c r="C4119" s="863">
        <v>17</v>
      </c>
      <c r="D4119" s="647">
        <v>8.3028571428571425</v>
      </c>
      <c r="E4119" s="1573"/>
      <c r="F4119" s="864"/>
      <c r="H4119" s="864">
        <v>27.31</v>
      </c>
      <c r="I4119" s="864">
        <v>380</v>
      </c>
      <c r="J4119" s="1816"/>
      <c r="K4119" s="863"/>
      <c r="R4119" s="647"/>
      <c r="S4119" s="863">
        <v>21.5</v>
      </c>
      <c r="T4119" s="864"/>
      <c r="U4119" s="864"/>
      <c r="V4119" s="864"/>
      <c r="W4119" s="864"/>
      <c r="X4119" s="864"/>
      <c r="Y4119" s="1817">
        <v>16.200000000000014</v>
      </c>
      <c r="Z4119" s="647">
        <v>7.3428571428571425</v>
      </c>
      <c r="AA4119" s="647">
        <v>4.45</v>
      </c>
      <c r="AB4119" s="647">
        <v>0.75900000000000001</v>
      </c>
      <c r="AC4119" s="862">
        <v>11</v>
      </c>
      <c r="AD4119" s="1819">
        <v>270.00000000000023</v>
      </c>
      <c r="AE4119" s="1819">
        <v>380.01999999999975</v>
      </c>
      <c r="AF4119" s="1819">
        <v>313</v>
      </c>
      <c r="AG4119" s="66">
        <f t="shared" si="153"/>
        <v>0</v>
      </c>
      <c r="AH4119" s="143">
        <f t="shared" si="154"/>
        <v>963.02</v>
      </c>
    </row>
    <row r="4120" spans="1:34" s="862" customFormat="1" x14ac:dyDescent="0.3">
      <c r="A4120" s="862">
        <v>204200</v>
      </c>
      <c r="B4120" s="863">
        <v>26.3</v>
      </c>
      <c r="C4120" s="863">
        <v>10.1</v>
      </c>
      <c r="D4120" s="647">
        <v>8.3790476190476184</v>
      </c>
      <c r="E4120" s="1573"/>
      <c r="F4120" s="864"/>
      <c r="H4120" s="864">
        <v>33.6</v>
      </c>
      <c r="I4120" s="864">
        <v>370</v>
      </c>
      <c r="J4120" s="1816"/>
      <c r="K4120" s="863"/>
      <c r="R4120" s="647"/>
      <c r="S4120" s="863">
        <v>19</v>
      </c>
      <c r="Y4120" s="1817">
        <v>16.800000000000015</v>
      </c>
      <c r="Z4120" s="647">
        <v>7.4190476190476184</v>
      </c>
      <c r="AA4120" s="647">
        <v>4.54</v>
      </c>
      <c r="AB4120" s="647">
        <v>0.45</v>
      </c>
      <c r="AC4120" s="862">
        <v>11.4</v>
      </c>
      <c r="AD4120" s="867">
        <v>240.00000000000023</v>
      </c>
      <c r="AE4120" s="1819">
        <v>409.51999999999987</v>
      </c>
      <c r="AF4120" s="1819">
        <v>317.8</v>
      </c>
      <c r="AG4120" s="66">
        <f t="shared" si="153"/>
        <v>0</v>
      </c>
      <c r="AH4120" s="143">
        <f t="shared" si="154"/>
        <v>967.32000000000016</v>
      </c>
    </row>
    <row r="4121" spans="1:34" s="862" customFormat="1" x14ac:dyDescent="0.3">
      <c r="A4121" s="862">
        <v>204201</v>
      </c>
      <c r="B4121" s="863">
        <v>10</v>
      </c>
      <c r="C4121" s="863">
        <v>5.9</v>
      </c>
      <c r="D4121" s="647">
        <v>8.2171428571428571</v>
      </c>
      <c r="E4121" s="1573"/>
      <c r="F4121" s="864"/>
      <c r="H4121" s="864">
        <v>19.48</v>
      </c>
      <c r="I4121" s="864">
        <v>420</v>
      </c>
      <c r="J4121" s="1816"/>
      <c r="K4121" s="863"/>
      <c r="R4121" s="647"/>
      <c r="S4121" s="863">
        <v>21.6</v>
      </c>
      <c r="Y4121" s="1817">
        <v>8.3750000000000213</v>
      </c>
      <c r="Z4121" s="647">
        <v>7.2571428571428571</v>
      </c>
      <c r="AA4121" s="647">
        <v>4.8600000000000003</v>
      </c>
      <c r="AB4121" s="647">
        <v>0.59099999999999997</v>
      </c>
      <c r="AC4121" s="862">
        <v>11.9</v>
      </c>
      <c r="AD4121" s="867">
        <v>167.50000000000043</v>
      </c>
      <c r="AE4121" s="1819">
        <v>583.64799999999957</v>
      </c>
      <c r="AF4121" s="1819">
        <v>211.69999999999993</v>
      </c>
      <c r="AG4121" s="66">
        <f t="shared" si="153"/>
        <v>0</v>
      </c>
      <c r="AH4121" s="143">
        <f t="shared" si="154"/>
        <v>962.84799999999996</v>
      </c>
    </row>
    <row r="4122" spans="1:34" s="862" customFormat="1" x14ac:dyDescent="0.3">
      <c r="A4122" s="862">
        <v>204202</v>
      </c>
      <c r="B4122" s="863">
        <v>9.3000000000000007</v>
      </c>
      <c r="C4122" s="863"/>
      <c r="D4122" s="647">
        <v>8.312380952380952</v>
      </c>
      <c r="E4122" s="1573"/>
      <c r="F4122" s="864"/>
      <c r="H4122" s="864">
        <v>40.76</v>
      </c>
      <c r="I4122" s="864">
        <v>210</v>
      </c>
      <c r="J4122" s="1816"/>
      <c r="K4122" s="863"/>
      <c r="R4122" s="647"/>
      <c r="S4122" s="863">
        <v>24.8</v>
      </c>
      <c r="Y4122" s="1817">
        <v>9.7499999999999911</v>
      </c>
      <c r="Z4122" s="647">
        <v>7.352380952380952</v>
      </c>
      <c r="AA4122" s="647">
        <v>4.8</v>
      </c>
      <c r="AB4122" s="647">
        <v>0.439</v>
      </c>
      <c r="AC4122" s="862">
        <v>11.7</v>
      </c>
      <c r="AD4122" s="867">
        <v>162.49999999999986</v>
      </c>
      <c r="AE4122" s="1819">
        <v>505.74400000000014</v>
      </c>
      <c r="AF4122" s="1819">
        <v>289.09999999999997</v>
      </c>
      <c r="AG4122" s="66">
        <f t="shared" si="153"/>
        <v>0</v>
      </c>
      <c r="AH4122" s="143">
        <f t="shared" si="154"/>
        <v>957.34400000000005</v>
      </c>
    </row>
    <row r="4123" spans="1:34" s="862" customFormat="1" x14ac:dyDescent="0.3">
      <c r="A4123" s="862">
        <v>204203</v>
      </c>
      <c r="B4123" s="863">
        <v>22</v>
      </c>
      <c r="C4123" s="863">
        <v>10.9</v>
      </c>
      <c r="D4123" s="647">
        <v>8.2457142857142856</v>
      </c>
      <c r="E4123" s="1573"/>
      <c r="F4123" s="864"/>
      <c r="H4123" s="864">
        <v>45.2</v>
      </c>
      <c r="I4123" s="864">
        <v>280</v>
      </c>
      <c r="J4123" s="1816"/>
      <c r="K4123" s="863"/>
      <c r="R4123" s="647"/>
      <c r="S4123" s="863">
        <v>17</v>
      </c>
      <c r="Y4123" s="1817">
        <v>9.8000000000000078</v>
      </c>
      <c r="Z4123" s="647">
        <v>7.2857142857142856</v>
      </c>
      <c r="AA4123" s="647">
        <v>3.68</v>
      </c>
      <c r="AB4123" s="647">
        <v>0.27500000000000002</v>
      </c>
      <c r="AC4123" s="862">
        <v>6.8</v>
      </c>
      <c r="AD4123" s="867">
        <v>140.00000000000011</v>
      </c>
      <c r="AE4123" s="1819">
        <v>537.45999999999992</v>
      </c>
      <c r="AF4123" s="1819">
        <v>293.29999999999995</v>
      </c>
      <c r="AG4123" s="66">
        <f t="shared" si="153"/>
        <v>0</v>
      </c>
      <c r="AH4123" s="143">
        <f t="shared" si="154"/>
        <v>970.76</v>
      </c>
    </row>
    <row r="4124" spans="1:34" s="862" customFormat="1" x14ac:dyDescent="0.3">
      <c r="A4124" s="862">
        <v>204204</v>
      </c>
      <c r="B4124" s="863">
        <v>20</v>
      </c>
      <c r="C4124" s="863">
        <v>10.6</v>
      </c>
      <c r="D4124" s="647">
        <v>8.3790476190476184</v>
      </c>
      <c r="E4124" s="1573"/>
      <c r="F4124" s="864"/>
      <c r="H4124" s="864">
        <v>52.53</v>
      </c>
      <c r="I4124" s="864">
        <v>520</v>
      </c>
      <c r="J4124" s="1816"/>
      <c r="K4124" s="863"/>
      <c r="R4124" s="647"/>
      <c r="S4124" s="863">
        <v>22.1</v>
      </c>
      <c r="Y4124" s="1817">
        <v>10.850000000000048</v>
      </c>
      <c r="Z4124" s="647">
        <v>7.4190476190476184</v>
      </c>
      <c r="AA4124" s="647">
        <v>4.5599999999999996</v>
      </c>
      <c r="AB4124" s="647">
        <v>0.35099999999999998</v>
      </c>
      <c r="AC4124" s="862">
        <v>8.9</v>
      </c>
      <c r="AD4124" s="867">
        <v>155.00000000000068</v>
      </c>
      <c r="AE4124" s="1819">
        <v>483.18799999999936</v>
      </c>
      <c r="AF4124" s="1819">
        <v>323.79999999999995</v>
      </c>
      <c r="AG4124" s="66">
        <f t="shared" si="153"/>
        <v>0</v>
      </c>
      <c r="AH4124" s="143">
        <f t="shared" si="154"/>
        <v>961.98800000000006</v>
      </c>
    </row>
    <row r="4125" spans="1:34" s="862" customFormat="1" x14ac:dyDescent="0.3">
      <c r="A4125" s="862">
        <v>204205</v>
      </c>
      <c r="B4125" s="863">
        <v>24.5</v>
      </c>
      <c r="C4125" s="863">
        <v>12.1</v>
      </c>
      <c r="D4125" s="647">
        <v>8.4361904761904754</v>
      </c>
      <c r="E4125" s="1573"/>
      <c r="F4125" s="864"/>
      <c r="H4125" s="864">
        <v>27.18</v>
      </c>
      <c r="I4125" s="864">
        <v>480</v>
      </c>
      <c r="J4125" s="1816"/>
      <c r="K4125" s="863"/>
      <c r="R4125" s="647"/>
      <c r="S4125" s="863">
        <v>17.8</v>
      </c>
      <c r="Y4125" s="1817">
        <v>10.500000000000009</v>
      </c>
      <c r="Z4125" s="647">
        <v>7.4761904761904754</v>
      </c>
      <c r="AA4125" s="647">
        <v>4.99</v>
      </c>
      <c r="AB4125" s="647">
        <v>0.9</v>
      </c>
      <c r="AC4125" s="862">
        <v>11.1</v>
      </c>
      <c r="AD4125" s="867">
        <v>210.0000000000002</v>
      </c>
      <c r="AE4125" s="1819">
        <v>480.28399999999976</v>
      </c>
      <c r="AF4125" s="1819">
        <v>279.10000000000002</v>
      </c>
      <c r="AG4125" s="66">
        <f t="shared" si="153"/>
        <v>0</v>
      </c>
      <c r="AH4125" s="143">
        <f t="shared" si="154"/>
        <v>969.38400000000001</v>
      </c>
    </row>
    <row r="4126" spans="1:34" s="862" customFormat="1" x14ac:dyDescent="0.3">
      <c r="A4126" s="862">
        <v>204206</v>
      </c>
      <c r="B4126" s="863">
        <v>11.8</v>
      </c>
      <c r="C4126" s="863">
        <v>5.6</v>
      </c>
      <c r="D4126" s="647">
        <v>8.255238095238095</v>
      </c>
      <c r="E4126" s="1573"/>
      <c r="F4126" s="864"/>
      <c r="H4126" s="864">
        <v>43.96</v>
      </c>
      <c r="I4126" s="864">
        <v>410</v>
      </c>
      <c r="J4126" s="1816"/>
      <c r="K4126" s="863"/>
      <c r="R4126" s="647"/>
      <c r="S4126" s="863">
        <v>23</v>
      </c>
      <c r="Y4126" s="1817">
        <v>10.20000000000001</v>
      </c>
      <c r="Z4126" s="647">
        <v>7.2952380952380951</v>
      </c>
      <c r="AA4126" s="647">
        <v>4.9800000000000004</v>
      </c>
      <c r="AB4126" s="647">
        <v>0.30299999999999999</v>
      </c>
      <c r="AC4126" s="862">
        <v>12</v>
      </c>
      <c r="AD4126" s="867">
        <v>170.00000000000014</v>
      </c>
      <c r="AE4126" s="1819">
        <v>573.8399999999998</v>
      </c>
      <c r="AF4126" s="1819">
        <v>216.6</v>
      </c>
      <c r="AG4126" s="66">
        <f t="shared" si="153"/>
        <v>0</v>
      </c>
      <c r="AH4126" s="143">
        <f t="shared" si="154"/>
        <v>960.43999999999994</v>
      </c>
    </row>
    <row r="4127" spans="1:34" s="862" customFormat="1" x14ac:dyDescent="0.3">
      <c r="A4127" s="862">
        <v>204207</v>
      </c>
      <c r="B4127" s="863">
        <v>21.3</v>
      </c>
      <c r="C4127" s="863">
        <v>9.8000000000000007</v>
      </c>
      <c r="D4127" s="647">
        <v>8.4457142857142848</v>
      </c>
      <c r="E4127" s="1573"/>
      <c r="F4127" s="864"/>
      <c r="H4127" s="864">
        <v>34.020000000000003</v>
      </c>
      <c r="I4127" s="864">
        <v>290</v>
      </c>
      <c r="J4127" s="1816"/>
      <c r="K4127" s="863"/>
      <c r="R4127" s="647"/>
      <c r="S4127" s="863">
        <v>18.3</v>
      </c>
      <c r="Y4127" s="1817">
        <v>10.050000000000026</v>
      </c>
      <c r="Z4127" s="647">
        <v>7.4857142857142858</v>
      </c>
      <c r="AA4127" s="647">
        <v>3.69</v>
      </c>
      <c r="AB4127" s="647">
        <v>0.52100000000000002</v>
      </c>
      <c r="AC4127" s="862">
        <v>6.8</v>
      </c>
      <c r="AD4127" s="867">
        <v>167.50000000000043</v>
      </c>
      <c r="AE4127" s="1819">
        <v>467.12399999999957</v>
      </c>
      <c r="AF4127" s="1819">
        <v>333.9</v>
      </c>
      <c r="AG4127" s="66">
        <f t="shared" si="153"/>
        <v>0</v>
      </c>
      <c r="AH4127" s="143">
        <f t="shared" si="154"/>
        <v>968.524</v>
      </c>
    </row>
    <row r="4128" spans="1:34" s="862" customFormat="1" x14ac:dyDescent="0.3">
      <c r="A4128" s="862">
        <v>204208</v>
      </c>
      <c r="B4128" s="863">
        <v>19.5</v>
      </c>
      <c r="C4128" s="863">
        <v>11.8</v>
      </c>
      <c r="D4128" s="647">
        <v>8.3980952380952374</v>
      </c>
      <c r="E4128" s="1573"/>
      <c r="F4128" s="864"/>
      <c r="H4128" s="864">
        <v>24.44</v>
      </c>
      <c r="I4128" s="864">
        <v>230</v>
      </c>
      <c r="J4128" s="1816"/>
      <c r="K4128" s="863"/>
      <c r="R4128" s="647"/>
      <c r="S4128" s="863">
        <v>19.7</v>
      </c>
      <c r="Y4128" s="1817">
        <v>13.300000000000011</v>
      </c>
      <c r="Z4128" s="647">
        <v>7.4380952380952374</v>
      </c>
      <c r="AA4128" s="647">
        <v>4.17</v>
      </c>
      <c r="AB4128" s="647">
        <v>0.64600000000000002</v>
      </c>
      <c r="AC4128" s="862">
        <v>10.5</v>
      </c>
      <c r="AD4128" s="867">
        <v>190.00000000000017</v>
      </c>
      <c r="AE4128" s="1819">
        <v>408.11599999999981</v>
      </c>
      <c r="AF4128" s="1819">
        <v>368</v>
      </c>
      <c r="AG4128" s="66">
        <f t="shared" si="153"/>
        <v>0</v>
      </c>
      <c r="AH4128" s="143">
        <f t="shared" si="154"/>
        <v>966.11599999999999</v>
      </c>
    </row>
    <row r="4129" spans="1:34" s="862" customFormat="1" x14ac:dyDescent="0.3">
      <c r="A4129" s="862">
        <v>204209</v>
      </c>
      <c r="B4129" s="863">
        <v>41.2</v>
      </c>
      <c r="C4129" s="863">
        <v>13.4</v>
      </c>
      <c r="D4129" s="647">
        <v>8.331428571428571</v>
      </c>
      <c r="E4129" s="1573"/>
      <c r="F4129" s="864"/>
      <c r="H4129" s="864">
        <v>28.42</v>
      </c>
      <c r="I4129" s="864">
        <v>250</v>
      </c>
      <c r="J4129" s="1816"/>
      <c r="K4129" s="863"/>
      <c r="R4129" s="647"/>
      <c r="S4129" s="863">
        <v>16.599999999999998</v>
      </c>
      <c r="Y4129" s="1817">
        <v>8.3750000000000213</v>
      </c>
      <c r="Z4129" s="647">
        <v>7.371428571428571</v>
      </c>
      <c r="AA4129" s="647">
        <v>3.45</v>
      </c>
      <c r="AB4129" s="647">
        <v>0.55300000000000005</v>
      </c>
      <c r="AC4129" s="862">
        <v>6.2</v>
      </c>
      <c r="AD4129" s="867">
        <v>167.50000000000043</v>
      </c>
      <c r="AE4129" s="1819">
        <v>490.24799999999959</v>
      </c>
      <c r="AF4129" s="1819">
        <v>313.7</v>
      </c>
      <c r="AG4129" s="66">
        <f t="shared" si="153"/>
        <v>0</v>
      </c>
      <c r="AH4129" s="143">
        <f t="shared" si="154"/>
        <v>971.44800000000009</v>
      </c>
    </row>
    <row r="4130" spans="1:34" s="862" customFormat="1" x14ac:dyDescent="0.3">
      <c r="A4130" s="862">
        <v>204210</v>
      </c>
      <c r="B4130" s="863">
        <v>33.299999999999997</v>
      </c>
      <c r="C4130" s="863">
        <v>13.3</v>
      </c>
      <c r="D4130" s="647">
        <v>8.5409523809523797</v>
      </c>
      <c r="E4130" s="1573"/>
      <c r="F4130" s="864"/>
      <c r="H4130" s="864">
        <v>103.95</v>
      </c>
      <c r="I4130" s="864">
        <v>660</v>
      </c>
      <c r="J4130" s="1816"/>
      <c r="K4130" s="863"/>
      <c r="R4130" s="647"/>
      <c r="S4130" s="863">
        <v>20.6</v>
      </c>
      <c r="Y4130" s="1817">
        <v>11.099999999999977</v>
      </c>
      <c r="Z4130" s="647">
        <v>7.5809523809523807</v>
      </c>
      <c r="AA4130" s="647">
        <v>4.99</v>
      </c>
      <c r="AB4130" s="647">
        <v>0.83399999999999996</v>
      </c>
      <c r="AC4130" s="862">
        <v>10.199999999999999</v>
      </c>
      <c r="AD4130" s="867">
        <v>184.9999999999996</v>
      </c>
      <c r="AE4130" s="1819">
        <v>386.76800000000043</v>
      </c>
      <c r="AF4130" s="1819">
        <v>392.79999999999995</v>
      </c>
      <c r="AG4130" s="66">
        <f t="shared" si="153"/>
        <v>0</v>
      </c>
      <c r="AH4130" s="143">
        <f t="shared" si="154"/>
        <v>964.56799999999998</v>
      </c>
    </row>
    <row r="4131" spans="1:34" s="862" customFormat="1" x14ac:dyDescent="0.3">
      <c r="A4131" s="862">
        <v>204211</v>
      </c>
      <c r="B4131" s="863">
        <v>13.5</v>
      </c>
      <c r="C4131" s="863">
        <v>8.4</v>
      </c>
      <c r="D4131" s="647">
        <v>8.331428571428571</v>
      </c>
      <c r="E4131" s="1573"/>
      <c r="F4131" s="864"/>
      <c r="H4131" s="864">
        <v>31.05</v>
      </c>
      <c r="I4131" s="864">
        <v>380</v>
      </c>
      <c r="J4131" s="1816"/>
      <c r="K4131" s="863"/>
      <c r="R4131" s="647"/>
      <c r="S4131" s="863">
        <v>20.8</v>
      </c>
      <c r="Y4131" s="1817">
        <v>9.2499999999999787</v>
      </c>
      <c r="Z4131" s="647">
        <v>7.371428571428571</v>
      </c>
      <c r="AA4131" s="647">
        <v>4.09</v>
      </c>
      <c r="AB4131" s="647">
        <v>0.73399999999999999</v>
      </c>
      <c r="AC4131" s="862">
        <v>9.1999999999999993</v>
      </c>
      <c r="AD4131" s="867">
        <v>184.9999999999996</v>
      </c>
      <c r="AE4131" s="1819">
        <v>515.62400000000048</v>
      </c>
      <c r="AF4131" s="1819">
        <v>263.60000000000002</v>
      </c>
      <c r="AG4131" s="66">
        <f t="shared" si="153"/>
        <v>0</v>
      </c>
      <c r="AH4131" s="143">
        <f t="shared" si="154"/>
        <v>964.22400000000005</v>
      </c>
    </row>
    <row r="4132" spans="1:34" s="862" customFormat="1" x14ac:dyDescent="0.3">
      <c r="A4132" s="862">
        <v>204212</v>
      </c>
      <c r="B4132" s="863">
        <v>20.8</v>
      </c>
      <c r="C4132" s="863">
        <v>10.3</v>
      </c>
      <c r="D4132" s="647">
        <v>8.3409523809523805</v>
      </c>
      <c r="E4132" s="1573"/>
      <c r="F4132" s="864"/>
      <c r="H4132" s="864">
        <v>71.94</v>
      </c>
      <c r="I4132" s="864">
        <v>580</v>
      </c>
      <c r="J4132" s="1816"/>
      <c r="K4132" s="863"/>
      <c r="R4132" s="647"/>
      <c r="S4132" s="863">
        <v>24.700000000000003</v>
      </c>
      <c r="Y4132" s="1817">
        <v>13.649999999999963</v>
      </c>
      <c r="Z4132" s="647">
        <v>7.3809523809523805</v>
      </c>
      <c r="AA4132" s="647">
        <v>4.58</v>
      </c>
      <c r="AB4132" s="647">
        <v>0.60699999999999998</v>
      </c>
      <c r="AC4132" s="862">
        <v>11.3</v>
      </c>
      <c r="AD4132" s="867">
        <v>227.49999999999937</v>
      </c>
      <c r="AE4132" s="1819">
        <v>410.51600000000047</v>
      </c>
      <c r="AF4132" s="1819">
        <v>319.5</v>
      </c>
      <c r="AG4132" s="66">
        <f t="shared" si="153"/>
        <v>0</v>
      </c>
      <c r="AH4132" s="143">
        <f t="shared" si="154"/>
        <v>957.51599999999985</v>
      </c>
    </row>
    <row r="4133" spans="1:34" s="862" customFormat="1" x14ac:dyDescent="0.3">
      <c r="A4133" s="862">
        <v>204213</v>
      </c>
      <c r="B4133" s="863">
        <v>17.8</v>
      </c>
      <c r="C4133" s="863">
        <v>8.9</v>
      </c>
      <c r="D4133" s="647">
        <v>8.293333333333333</v>
      </c>
      <c r="E4133" s="1573"/>
      <c r="F4133" s="864"/>
      <c r="H4133" s="864">
        <v>51.26</v>
      </c>
      <c r="I4133" s="864">
        <v>500</v>
      </c>
      <c r="J4133" s="1816"/>
      <c r="K4133" s="863"/>
      <c r="R4133" s="647"/>
      <c r="S4133" s="863">
        <v>18.600000000000001</v>
      </c>
      <c r="Y4133" s="1817">
        <v>15.050000000000052</v>
      </c>
      <c r="Z4133" s="647">
        <v>7.333333333333333</v>
      </c>
      <c r="AA4133" s="647">
        <v>4.4800000000000004</v>
      </c>
      <c r="AB4133" s="647">
        <v>0.435</v>
      </c>
      <c r="AC4133" s="862">
        <v>9.8000000000000007</v>
      </c>
      <c r="AD4133" s="867">
        <v>215.00000000000074</v>
      </c>
      <c r="AE4133" s="1819">
        <v>473.70799999999934</v>
      </c>
      <c r="AF4133" s="1819">
        <v>279.29999999999995</v>
      </c>
      <c r="AG4133" s="66">
        <f t="shared" si="153"/>
        <v>0</v>
      </c>
      <c r="AH4133" s="143">
        <f t="shared" si="154"/>
        <v>968.00800000000004</v>
      </c>
    </row>
    <row r="4134" spans="1:34" s="862" customFormat="1" x14ac:dyDescent="0.3">
      <c r="A4134" s="862">
        <v>204214</v>
      </c>
      <c r="B4134" s="863">
        <v>22.2</v>
      </c>
      <c r="C4134" s="863">
        <v>10.1</v>
      </c>
      <c r="D4134" s="647">
        <v>8.3885714285714279</v>
      </c>
      <c r="E4134" s="1573"/>
      <c r="F4134" s="864"/>
      <c r="H4134" s="864">
        <v>34.28</v>
      </c>
      <c r="I4134" s="864">
        <v>260</v>
      </c>
      <c r="J4134" s="1816"/>
      <c r="K4134" s="863"/>
      <c r="R4134" s="647"/>
      <c r="S4134" s="863">
        <v>18.700000000000003</v>
      </c>
      <c r="Y4134" s="1817">
        <v>6.7500000000000338</v>
      </c>
      <c r="Z4134" s="647">
        <v>7.4285714285714279</v>
      </c>
      <c r="AA4134" s="647">
        <v>4.01</v>
      </c>
      <c r="AB4134" s="647">
        <v>0.47299999999999998</v>
      </c>
      <c r="AC4134" s="862">
        <v>6.4</v>
      </c>
      <c r="AD4134" s="867">
        <v>135.00000000000068</v>
      </c>
      <c r="AE4134" s="1819">
        <v>520.03599999999938</v>
      </c>
      <c r="AF4134" s="1819">
        <v>312.8</v>
      </c>
      <c r="AG4134" s="66">
        <f t="shared" si="153"/>
        <v>0</v>
      </c>
      <c r="AH4134" s="143">
        <f t="shared" si="154"/>
        <v>967.83600000000001</v>
      </c>
    </row>
    <row r="4135" spans="1:34" s="862" customFormat="1" x14ac:dyDescent="0.3">
      <c r="A4135" s="862">
        <v>204215</v>
      </c>
      <c r="B4135" s="863">
        <v>26.8</v>
      </c>
      <c r="C4135" s="863">
        <v>11.4</v>
      </c>
      <c r="D4135" s="647">
        <v>8.3980952380952374</v>
      </c>
      <c r="E4135" s="1573"/>
      <c r="F4135" s="864"/>
      <c r="H4135" s="864">
        <v>43.67</v>
      </c>
      <c r="I4135" s="864">
        <v>210</v>
      </c>
      <c r="J4135" s="1816"/>
      <c r="K4135" s="863"/>
      <c r="R4135" s="647"/>
      <c r="S4135" s="863">
        <v>18.100000000000001</v>
      </c>
      <c r="Y4135" s="1817">
        <v>9.7500000000000586</v>
      </c>
      <c r="Z4135" s="647">
        <v>7.4380952380952374</v>
      </c>
      <c r="AA4135" s="647">
        <v>3.52</v>
      </c>
      <c r="AB4135" s="647">
        <v>0.312</v>
      </c>
      <c r="AC4135" s="862">
        <v>10.199999999999999</v>
      </c>
      <c r="AD4135" s="867">
        <v>162.50000000000097</v>
      </c>
      <c r="AE4135" s="1819">
        <v>421.06799999999902</v>
      </c>
      <c r="AF4135" s="1819">
        <v>385.3</v>
      </c>
      <c r="AG4135" s="66">
        <f t="shared" si="153"/>
        <v>0</v>
      </c>
      <c r="AH4135" s="143">
        <f t="shared" si="154"/>
        <v>968.86799999999994</v>
      </c>
    </row>
    <row r="4136" spans="1:34" s="862" customFormat="1" x14ac:dyDescent="0.3">
      <c r="A4136" s="862">
        <v>204216</v>
      </c>
      <c r="B4136" s="863">
        <v>31.7</v>
      </c>
      <c r="C4136" s="863">
        <v>12.1</v>
      </c>
      <c r="D4136" s="647">
        <v>8.3409523809523805</v>
      </c>
      <c r="E4136" s="1573"/>
      <c r="F4136" s="864"/>
      <c r="H4136" s="864">
        <v>45.94</v>
      </c>
      <c r="I4136" s="864">
        <v>320</v>
      </c>
      <c r="J4136" s="1816"/>
      <c r="K4136" s="863"/>
      <c r="R4136" s="647"/>
      <c r="S4136" s="863">
        <v>17.3</v>
      </c>
      <c r="Y4136" s="1817">
        <v>9.8999999999999755</v>
      </c>
      <c r="Z4136" s="647">
        <v>7.3809523809523805</v>
      </c>
      <c r="AA4136" s="647">
        <v>3.69</v>
      </c>
      <c r="AB4136" s="647">
        <v>0.85799999999999998</v>
      </c>
      <c r="AC4136" s="862">
        <v>6.2</v>
      </c>
      <c r="AD4136" s="867">
        <v>164.9999999999996</v>
      </c>
      <c r="AE4136" s="1819">
        <v>472.04400000000049</v>
      </c>
      <c r="AF4136" s="1819">
        <v>333.19999999999993</v>
      </c>
      <c r="AG4136" s="66">
        <f t="shared" si="153"/>
        <v>0</v>
      </c>
      <c r="AH4136" s="143">
        <f t="shared" si="154"/>
        <v>970.24400000000003</v>
      </c>
    </row>
    <row r="4137" spans="1:34" s="862" customFormat="1" x14ac:dyDescent="0.3">
      <c r="A4137" s="862">
        <v>204217</v>
      </c>
      <c r="B4137" s="863">
        <v>18.7</v>
      </c>
      <c r="C4137" s="863">
        <v>9.5</v>
      </c>
      <c r="D4137" s="647">
        <v>8.3219047619047615</v>
      </c>
      <c r="E4137" s="1573"/>
      <c r="F4137" s="864"/>
      <c r="H4137" s="864">
        <v>37.42</v>
      </c>
      <c r="I4137" s="864">
        <v>220</v>
      </c>
      <c r="J4137" s="1816"/>
      <c r="K4137" s="863"/>
      <c r="R4137" s="647"/>
      <c r="S4137" s="863">
        <v>17.5</v>
      </c>
      <c r="Y4137" s="1817">
        <v>13.125000000000032</v>
      </c>
      <c r="Z4137" s="647">
        <v>7.3619047619047624</v>
      </c>
      <c r="AA4137" s="647">
        <v>3.85</v>
      </c>
      <c r="AB4137" s="647">
        <v>0.34200000000000003</v>
      </c>
      <c r="AC4137" s="862">
        <v>9.9</v>
      </c>
      <c r="AD4137" s="867">
        <v>187.50000000000045</v>
      </c>
      <c r="AE4137" s="1819">
        <v>466.39999999999952</v>
      </c>
      <c r="AF4137" s="1819">
        <v>316</v>
      </c>
      <c r="AG4137" s="66">
        <f t="shared" si="153"/>
        <v>0</v>
      </c>
      <c r="AH4137" s="143">
        <f t="shared" si="154"/>
        <v>969.9</v>
      </c>
    </row>
    <row r="4138" spans="1:34" s="862" customFormat="1" x14ac:dyDescent="0.3">
      <c r="A4138" s="862">
        <v>204218</v>
      </c>
      <c r="B4138" s="863">
        <v>21.8</v>
      </c>
      <c r="C4138" s="863">
        <v>11.9</v>
      </c>
      <c r="D4138" s="647">
        <v>8.3980952380952374</v>
      </c>
      <c r="E4138" s="1573"/>
      <c r="F4138" s="864"/>
      <c r="H4138" s="864">
        <v>31.56</v>
      </c>
      <c r="I4138" s="864">
        <v>300</v>
      </c>
      <c r="J4138" s="1816"/>
      <c r="K4138" s="863"/>
      <c r="R4138" s="647"/>
      <c r="S4138" s="863">
        <v>18.2</v>
      </c>
      <c r="Y4138" s="1817">
        <v>9.9750000000000689</v>
      </c>
      <c r="Z4138" s="647">
        <v>7.4380952380952374</v>
      </c>
      <c r="AA4138" s="647">
        <v>4.3099999999999996</v>
      </c>
      <c r="AB4138" s="647">
        <v>0.79700000000000004</v>
      </c>
      <c r="AC4138" s="862">
        <v>11.4</v>
      </c>
      <c r="AD4138" s="867">
        <v>142.50000000000097</v>
      </c>
      <c r="AE4138" s="1819">
        <v>407.49599999999901</v>
      </c>
      <c r="AF4138" s="1819">
        <v>418.70000000000005</v>
      </c>
      <c r="AG4138" s="66">
        <f t="shared" si="153"/>
        <v>0</v>
      </c>
      <c r="AH4138" s="143">
        <f t="shared" si="154"/>
        <v>968.69600000000003</v>
      </c>
    </row>
    <row r="4139" spans="1:34" s="862" customFormat="1" x14ac:dyDescent="0.3">
      <c r="A4139" s="862">
        <v>204219</v>
      </c>
      <c r="B4139" s="863">
        <v>19.3</v>
      </c>
      <c r="C4139" s="863">
        <v>9.1</v>
      </c>
      <c r="D4139" s="647">
        <v>8.4266666666666659</v>
      </c>
      <c r="E4139" s="1573"/>
      <c r="F4139" s="864"/>
      <c r="H4139" s="864">
        <v>22.79</v>
      </c>
      <c r="I4139" s="864">
        <v>120</v>
      </c>
      <c r="J4139" s="1816"/>
      <c r="K4139" s="863"/>
      <c r="R4139" s="647"/>
      <c r="S4139" s="863">
        <v>20.299999999999997</v>
      </c>
      <c r="Y4139" s="1817">
        <v>9.1000000000000849</v>
      </c>
      <c r="Z4139" s="647">
        <v>7.4666666666666659</v>
      </c>
      <c r="AA4139" s="647">
        <v>4.88</v>
      </c>
      <c r="AB4139" s="647">
        <v>0.61</v>
      </c>
      <c r="AC4139" s="862">
        <v>6.4</v>
      </c>
      <c r="AD4139" s="867">
        <v>130.00000000000122</v>
      </c>
      <c r="AE4139" s="1819">
        <v>550.08399999999881</v>
      </c>
      <c r="AF4139" s="1819">
        <v>284.99999999999994</v>
      </c>
      <c r="AG4139" s="66">
        <f t="shared" si="153"/>
        <v>0</v>
      </c>
      <c r="AH4139" s="143">
        <f t="shared" si="154"/>
        <v>965.08400000000006</v>
      </c>
    </row>
    <row r="4140" spans="1:34" s="862" customFormat="1" x14ac:dyDescent="0.3">
      <c r="A4140" s="862">
        <v>204220</v>
      </c>
      <c r="B4140" s="863">
        <v>24.2</v>
      </c>
      <c r="C4140" s="863">
        <v>12.3</v>
      </c>
      <c r="D4140" s="647">
        <v>8.3790476190476184</v>
      </c>
      <c r="E4140" s="1573"/>
      <c r="F4140" s="864"/>
      <c r="H4140" s="864">
        <v>35.28</v>
      </c>
      <c r="I4140" s="864">
        <v>310</v>
      </c>
      <c r="J4140" s="1816"/>
      <c r="K4140" s="863"/>
      <c r="R4140" s="647"/>
      <c r="S4140" s="863">
        <v>20.8</v>
      </c>
      <c r="Y4140" s="1817">
        <v>12.425000000000029</v>
      </c>
      <c r="Z4140" s="647">
        <v>7.4190476190476184</v>
      </c>
      <c r="AA4140" s="647">
        <v>4.49</v>
      </c>
      <c r="AB4140" s="647">
        <v>0.35</v>
      </c>
      <c r="AC4140" s="862">
        <v>7.2</v>
      </c>
      <c r="AD4140" s="867">
        <v>177.50000000000043</v>
      </c>
      <c r="AE4140" s="1819">
        <v>472.02399999999966</v>
      </c>
      <c r="AF4140" s="1819">
        <v>314.7</v>
      </c>
      <c r="AG4140" s="66">
        <f t="shared" si="153"/>
        <v>0</v>
      </c>
      <c r="AH4140" s="143">
        <f t="shared" si="154"/>
        <v>964.22400000000016</v>
      </c>
    </row>
    <row r="4141" spans="1:34" s="862" customFormat="1" x14ac:dyDescent="0.3">
      <c r="A4141" s="862">
        <v>204221</v>
      </c>
      <c r="B4141" s="863">
        <v>21.2</v>
      </c>
      <c r="C4141" s="863">
        <v>11.8</v>
      </c>
      <c r="D4141" s="647">
        <v>8.3409523809523805</v>
      </c>
      <c r="E4141" s="1573"/>
      <c r="F4141" s="864"/>
      <c r="H4141" s="864">
        <v>32.42</v>
      </c>
      <c r="I4141" s="864">
        <v>300</v>
      </c>
      <c r="J4141" s="1816"/>
      <c r="K4141" s="863"/>
      <c r="R4141" s="647"/>
      <c r="S4141" s="863">
        <v>18.899999999999999</v>
      </c>
      <c r="Y4141" s="1817">
        <v>13.650000000000052</v>
      </c>
      <c r="Z4141" s="647">
        <v>7.3809523809523805</v>
      </c>
      <c r="AA4141" s="647">
        <v>3.47</v>
      </c>
      <c r="AB4141" s="647">
        <v>0.41099999999999998</v>
      </c>
      <c r="AC4141" s="862">
        <v>7.5</v>
      </c>
      <c r="AD4141" s="867">
        <v>195.00000000000074</v>
      </c>
      <c r="AE4141" s="1819">
        <v>478.19199999999915</v>
      </c>
      <c r="AF4141" s="1819">
        <v>294.3</v>
      </c>
      <c r="AG4141" s="66">
        <f t="shared" si="153"/>
        <v>0</v>
      </c>
      <c r="AH4141" s="143">
        <f t="shared" si="154"/>
        <v>967.49199999999996</v>
      </c>
    </row>
    <row r="4142" spans="1:34" s="862" customFormat="1" x14ac:dyDescent="0.3">
      <c r="A4142" s="862">
        <v>204222</v>
      </c>
      <c r="B4142" s="863">
        <v>18.8</v>
      </c>
      <c r="C4142" s="863">
        <v>8.3000000000000007</v>
      </c>
      <c r="D4142" s="647">
        <v>8.1980952380952381</v>
      </c>
      <c r="E4142" s="1573"/>
      <c r="F4142" s="864"/>
      <c r="H4142" s="864">
        <v>26.43</v>
      </c>
      <c r="I4142" s="864">
        <v>360</v>
      </c>
      <c r="J4142" s="1816"/>
      <c r="K4142" s="863"/>
      <c r="R4142" s="647"/>
      <c r="S4142" s="863">
        <v>18.3</v>
      </c>
      <c r="Y4142" s="1817">
        <v>9.6249999999999947</v>
      </c>
      <c r="Z4142" s="647">
        <v>7.2380952380952372</v>
      </c>
      <c r="AA4142" s="647">
        <v>4.59</v>
      </c>
      <c r="AB4142" s="647">
        <v>0.48599999999999999</v>
      </c>
      <c r="AC4142" s="862">
        <v>9.1999999999999993</v>
      </c>
      <c r="AD4142" s="867">
        <v>192.49999999999989</v>
      </c>
      <c r="AE4142" s="1819">
        <v>510.72400000000016</v>
      </c>
      <c r="AF4142" s="1819">
        <v>265.3</v>
      </c>
      <c r="AG4142" s="66">
        <f t="shared" si="153"/>
        <v>0</v>
      </c>
      <c r="AH4142" s="143">
        <f t="shared" si="154"/>
        <v>968.52400000000011</v>
      </c>
    </row>
    <row r="4143" spans="1:34" s="862" customFormat="1" x14ac:dyDescent="0.3">
      <c r="A4143" s="862">
        <v>204223</v>
      </c>
      <c r="B4143" s="863">
        <v>31.8</v>
      </c>
      <c r="C4143" s="863">
        <v>14.6</v>
      </c>
      <c r="D4143" s="647">
        <v>8.3885714285714279</v>
      </c>
      <c r="E4143" s="1573"/>
      <c r="F4143" s="864"/>
      <c r="H4143" s="864">
        <v>41.66</v>
      </c>
      <c r="I4143" s="864">
        <v>210</v>
      </c>
      <c r="J4143" s="1816"/>
      <c r="K4143" s="863"/>
      <c r="R4143" s="647"/>
      <c r="S4143" s="863">
        <v>18.400000000000002</v>
      </c>
      <c r="Y4143" s="1817">
        <v>15.225000000000033</v>
      </c>
      <c r="Z4143" s="647">
        <v>7.4285714285714279</v>
      </c>
      <c r="AA4143" s="647">
        <v>4.63</v>
      </c>
      <c r="AB4143" s="647">
        <v>0.249</v>
      </c>
      <c r="AC4143" s="862">
        <v>8.8000000000000007</v>
      </c>
      <c r="AD4143" s="867">
        <v>217.50000000000048</v>
      </c>
      <c r="AE4143" s="1819">
        <v>414.7519999999995</v>
      </c>
      <c r="AF4143" s="1819">
        <v>336.1</v>
      </c>
      <c r="AG4143" s="66">
        <f t="shared" si="153"/>
        <v>0</v>
      </c>
      <c r="AH4143" s="143">
        <f t="shared" si="154"/>
        <v>968.35199999999998</v>
      </c>
    </row>
    <row r="4144" spans="1:34" s="862" customFormat="1" x14ac:dyDescent="0.3">
      <c r="A4144" s="862">
        <v>204224</v>
      </c>
      <c r="B4144" s="863">
        <v>27.3</v>
      </c>
      <c r="C4144" s="863">
        <v>12</v>
      </c>
      <c r="D4144" s="647">
        <v>8.3409523809523805</v>
      </c>
      <c r="E4144" s="1573"/>
      <c r="F4144" s="864"/>
      <c r="H4144" s="864">
        <v>34.869999999999997</v>
      </c>
      <c r="I4144" s="864">
        <v>370</v>
      </c>
      <c r="J4144" s="1816"/>
      <c r="K4144" s="863"/>
      <c r="R4144" s="647"/>
      <c r="S4144" s="863">
        <v>19.8</v>
      </c>
      <c r="Y4144" s="1817">
        <v>9.8999999999999755</v>
      </c>
      <c r="Z4144" s="647">
        <v>7.3809523809523805</v>
      </c>
      <c r="AA4144" s="647">
        <v>3.51</v>
      </c>
      <c r="AB4144" s="647">
        <v>0.64400000000000002</v>
      </c>
      <c r="AC4144" s="862">
        <v>8.8000000000000007</v>
      </c>
      <c r="AD4144" s="867">
        <v>164.9999999999996</v>
      </c>
      <c r="AE4144" s="1819">
        <v>428.9440000000003</v>
      </c>
      <c r="AF4144" s="1819">
        <v>372.00000000000011</v>
      </c>
      <c r="AG4144" s="66">
        <f t="shared" si="153"/>
        <v>0</v>
      </c>
      <c r="AH4144" s="143">
        <f t="shared" si="154"/>
        <v>965.94400000000007</v>
      </c>
    </row>
    <row r="4145" spans="1:34" s="862" customFormat="1" x14ac:dyDescent="0.3">
      <c r="A4145" s="862">
        <v>204225</v>
      </c>
      <c r="B4145" s="863">
        <v>28.8</v>
      </c>
      <c r="C4145" s="863">
        <v>14.1</v>
      </c>
      <c r="D4145" s="647">
        <v>8.331428571428571</v>
      </c>
      <c r="E4145" s="1573"/>
      <c r="F4145" s="864"/>
      <c r="H4145" s="864">
        <v>41.43</v>
      </c>
      <c r="I4145" s="864">
        <v>380</v>
      </c>
      <c r="J4145" s="1816"/>
      <c r="K4145" s="863"/>
      <c r="R4145" s="647"/>
      <c r="S4145" s="863">
        <v>19.099999999999998</v>
      </c>
      <c r="Y4145" s="1817">
        <v>11.749999999999982</v>
      </c>
      <c r="Z4145" s="647">
        <v>7.371428571428571</v>
      </c>
      <c r="AA4145" s="647">
        <v>3.45</v>
      </c>
      <c r="AB4145" s="647">
        <v>0.40600000000000003</v>
      </c>
      <c r="AC4145" s="862">
        <v>6.6</v>
      </c>
      <c r="AD4145" s="867">
        <v>234.99999999999966</v>
      </c>
      <c r="AE4145" s="1819">
        <v>430.44800000000032</v>
      </c>
      <c r="AF4145" s="1819">
        <v>301.70000000000005</v>
      </c>
      <c r="AG4145" s="66">
        <f t="shared" si="153"/>
        <v>0</v>
      </c>
      <c r="AH4145" s="143">
        <f t="shared" si="154"/>
        <v>967.14800000000002</v>
      </c>
    </row>
    <row r="4146" spans="1:34" s="862" customFormat="1" x14ac:dyDescent="0.3">
      <c r="A4146" s="862">
        <v>204226</v>
      </c>
      <c r="B4146" s="863">
        <v>18.3</v>
      </c>
      <c r="C4146" s="863">
        <v>10.6</v>
      </c>
      <c r="D4146" s="647">
        <v>8.3028571428571425</v>
      </c>
      <c r="E4146" s="1573"/>
      <c r="F4146" s="864"/>
      <c r="H4146" s="864">
        <v>31.85</v>
      </c>
      <c r="I4146" s="864">
        <v>410</v>
      </c>
      <c r="J4146" s="1816"/>
      <c r="K4146" s="863"/>
      <c r="R4146" s="647"/>
      <c r="S4146" s="863">
        <v>19.399999999999999</v>
      </c>
      <c r="Y4146" s="1817">
        <v>22.200000000000017</v>
      </c>
      <c r="Z4146" s="647">
        <v>7.3428571428571425</v>
      </c>
      <c r="AA4146" s="647">
        <v>4.28</v>
      </c>
      <c r="AB4146" s="647">
        <v>0.67</v>
      </c>
      <c r="AC4146" s="862">
        <v>6.4</v>
      </c>
      <c r="AD4146" s="867">
        <v>370.00000000000034</v>
      </c>
      <c r="AE4146" s="1819">
        <v>374.23199999999974</v>
      </c>
      <c r="AF4146" s="1819">
        <v>222.39999999999998</v>
      </c>
      <c r="AG4146" s="66">
        <f t="shared" si="153"/>
        <v>0</v>
      </c>
      <c r="AH4146" s="143">
        <f t="shared" si="154"/>
        <v>966.63200000000006</v>
      </c>
    </row>
    <row r="4147" spans="1:34" s="862" customFormat="1" x14ac:dyDescent="0.3">
      <c r="A4147" s="862">
        <v>204227</v>
      </c>
      <c r="B4147" s="863">
        <v>29.5</v>
      </c>
      <c r="C4147" s="863">
        <v>12.6</v>
      </c>
      <c r="D4147" s="647">
        <v>8.5219047619047608</v>
      </c>
      <c r="E4147" s="1573"/>
      <c r="F4147" s="864"/>
      <c r="H4147" s="864">
        <v>35.9</v>
      </c>
      <c r="I4147" s="864">
        <v>170</v>
      </c>
      <c r="J4147" s="1816"/>
      <c r="K4147" s="863"/>
      <c r="R4147" s="647"/>
      <c r="S4147" s="863">
        <v>16</v>
      </c>
      <c r="Y4147" s="1817">
        <v>15.574999999999994</v>
      </c>
      <c r="Z4147" s="647">
        <v>7.5619047619047617</v>
      </c>
      <c r="AA4147" s="647">
        <v>3.66</v>
      </c>
      <c r="AB4147" s="647">
        <v>0.82599999999999996</v>
      </c>
      <c r="AC4147" s="862">
        <v>11.5</v>
      </c>
      <c r="AD4147" s="867">
        <v>222.49999999999991</v>
      </c>
      <c r="AE4147" s="1819">
        <v>364.98000000000013</v>
      </c>
      <c r="AF4147" s="1819">
        <v>385</v>
      </c>
      <c r="AG4147" s="66">
        <f t="shared" si="153"/>
        <v>0</v>
      </c>
      <c r="AH4147" s="143">
        <f t="shared" si="154"/>
        <v>972.48</v>
      </c>
    </row>
    <row r="4148" spans="1:34" s="862" customFormat="1" x14ac:dyDescent="0.3">
      <c r="A4148" s="862">
        <v>204228</v>
      </c>
      <c r="B4148" s="863">
        <v>21.5</v>
      </c>
      <c r="C4148" s="863">
        <v>10.1</v>
      </c>
      <c r="D4148" s="647">
        <v>8.5219047619047608</v>
      </c>
      <c r="E4148" s="1573"/>
      <c r="F4148" s="864"/>
      <c r="H4148" s="864">
        <v>21.94</v>
      </c>
      <c r="I4148" s="864">
        <v>390</v>
      </c>
      <c r="J4148" s="1816"/>
      <c r="K4148" s="863"/>
      <c r="R4148" s="647"/>
      <c r="S4148" s="863">
        <v>17.7</v>
      </c>
      <c r="Y4148" s="1817">
        <v>13.650000000000029</v>
      </c>
      <c r="Z4148" s="647">
        <v>7.5619047619047617</v>
      </c>
      <c r="AA4148" s="647">
        <v>3.92</v>
      </c>
      <c r="AB4148" s="647">
        <v>0.84899999999999998</v>
      </c>
      <c r="AC4148" s="862">
        <v>8.9</v>
      </c>
      <c r="AD4148" s="867">
        <v>227.50000000000048</v>
      </c>
      <c r="AE4148" s="1819">
        <v>476.35599999999954</v>
      </c>
      <c r="AF4148" s="1819">
        <v>265.69999999999993</v>
      </c>
      <c r="AG4148" s="66">
        <f t="shared" si="153"/>
        <v>0</v>
      </c>
      <c r="AH4148" s="143">
        <f t="shared" si="154"/>
        <v>969.55599999999993</v>
      </c>
    </row>
    <row r="4149" spans="1:34" s="862" customFormat="1" x14ac:dyDescent="0.3">
      <c r="A4149" s="862">
        <v>204229</v>
      </c>
      <c r="B4149" s="863">
        <v>17.5</v>
      </c>
      <c r="C4149" s="863">
        <v>10.1</v>
      </c>
      <c r="D4149" s="647">
        <v>8.4171428571428564</v>
      </c>
      <c r="E4149" s="1573"/>
      <c r="F4149" s="864"/>
      <c r="H4149" s="864">
        <v>53.15</v>
      </c>
      <c r="I4149" s="864">
        <v>700</v>
      </c>
      <c r="J4149" s="1816"/>
      <c r="K4149" s="863"/>
      <c r="R4149" s="647"/>
      <c r="S4149" s="863">
        <v>22.200000000000003</v>
      </c>
      <c r="Y4149" s="1817">
        <v>15.400000000000013</v>
      </c>
      <c r="Z4149" s="647">
        <v>7.4571428571428573</v>
      </c>
      <c r="AA4149" s="647">
        <v>4.5199999999999996</v>
      </c>
      <c r="AB4149" s="647">
        <v>0.3</v>
      </c>
      <c r="AC4149" s="862">
        <v>8</v>
      </c>
      <c r="AD4149" s="867">
        <v>220.0000000000002</v>
      </c>
      <c r="AE4149" s="1819">
        <v>480.21599999999989</v>
      </c>
      <c r="AF4149" s="1819">
        <v>261.59999999999997</v>
      </c>
      <c r="AG4149" s="66">
        <f t="shared" si="153"/>
        <v>0</v>
      </c>
      <c r="AH4149" s="143">
        <f t="shared" si="154"/>
        <v>961.81600000000003</v>
      </c>
    </row>
    <row r="4150" spans="1:34" s="862" customFormat="1" x14ac:dyDescent="0.3">
      <c r="A4150" s="862">
        <v>204230</v>
      </c>
      <c r="B4150" s="863">
        <v>15.2</v>
      </c>
      <c r="C4150" s="863">
        <v>6.1</v>
      </c>
      <c r="D4150" s="647">
        <v>8.3504761904761899</v>
      </c>
      <c r="E4150" s="1573"/>
      <c r="F4150" s="864"/>
      <c r="H4150" s="864">
        <v>56.53</v>
      </c>
      <c r="I4150" s="864">
        <v>880</v>
      </c>
      <c r="J4150" s="1816"/>
      <c r="K4150" s="863"/>
      <c r="R4150" s="647"/>
      <c r="S4150" s="863">
        <v>20.5</v>
      </c>
      <c r="Y4150" s="1817">
        <v>12.899999999999977</v>
      </c>
      <c r="Z4150" s="647">
        <v>7.39047619047619</v>
      </c>
      <c r="AA4150" s="647">
        <v>4.6900000000000004</v>
      </c>
      <c r="AB4150" s="647">
        <v>0.82699999999999996</v>
      </c>
      <c r="AC4150" s="862">
        <v>9.5</v>
      </c>
      <c r="AD4150" s="867">
        <v>214.99999999999963</v>
      </c>
      <c r="AE4150" s="1819">
        <v>461.4400000000004</v>
      </c>
      <c r="AF4150" s="1819">
        <v>288.29999999999995</v>
      </c>
      <c r="AG4150" s="66">
        <f t="shared" si="153"/>
        <v>0</v>
      </c>
      <c r="AH4150" s="143">
        <f t="shared" si="154"/>
        <v>964.74</v>
      </c>
    </row>
    <row r="4151" spans="1:34" s="862" customFormat="1" x14ac:dyDescent="0.3">
      <c r="A4151" s="862">
        <v>204231</v>
      </c>
      <c r="B4151" s="863">
        <v>25</v>
      </c>
      <c r="C4151" s="863">
        <v>10.125000000000002</v>
      </c>
      <c r="D4151" s="647">
        <v>8.25</v>
      </c>
      <c r="E4151" s="1573"/>
      <c r="F4151" s="864"/>
      <c r="H4151" s="864">
        <v>24.95</v>
      </c>
      <c r="I4151" s="864">
        <v>210</v>
      </c>
      <c r="J4151" s="1816"/>
      <c r="K4151" s="863"/>
      <c r="R4151" s="647"/>
      <c r="S4151" s="863">
        <v>17.5</v>
      </c>
      <c r="T4151" s="864"/>
      <c r="U4151" s="864"/>
      <c r="V4151" s="864"/>
      <c r="W4151" s="864"/>
      <c r="X4151" s="864"/>
      <c r="Y4151" s="1817">
        <v>11.100000000000044</v>
      </c>
      <c r="Z4151" s="862">
        <v>7.29</v>
      </c>
      <c r="AA4151" s="647">
        <v>3.82</v>
      </c>
      <c r="AB4151" s="647">
        <v>0.56799999999999995</v>
      </c>
      <c r="AC4151" s="862">
        <v>10</v>
      </c>
      <c r="AD4151" s="867">
        <v>185.00000000000071</v>
      </c>
      <c r="AE4151" s="1819">
        <v>455.4999999999992</v>
      </c>
      <c r="AF4151" s="1819">
        <v>329.4</v>
      </c>
      <c r="AG4151" s="66">
        <f t="shared" si="153"/>
        <v>0</v>
      </c>
      <c r="AH4151" s="143">
        <f t="shared" si="154"/>
        <v>969.89999999999986</v>
      </c>
    </row>
    <row r="4152" spans="1:34" s="862" customFormat="1" x14ac:dyDescent="0.3">
      <c r="A4152" s="862">
        <v>204232</v>
      </c>
      <c r="B4152" s="863">
        <v>11.8</v>
      </c>
      <c r="C4152" s="863">
        <v>7.2</v>
      </c>
      <c r="D4152" s="647">
        <v>8</v>
      </c>
      <c r="E4152" s="1573"/>
      <c r="F4152" s="864"/>
      <c r="H4152" s="864">
        <v>29.45</v>
      </c>
      <c r="I4152" s="864">
        <v>510</v>
      </c>
      <c r="J4152" s="1816"/>
      <c r="K4152" s="863"/>
      <c r="R4152" s="647"/>
      <c r="S4152" s="863">
        <v>18.5</v>
      </c>
      <c r="T4152" s="864"/>
      <c r="U4152" s="864"/>
      <c r="V4152" s="864"/>
      <c r="W4152" s="864"/>
      <c r="X4152" s="864"/>
      <c r="Y4152" s="1817">
        <v>11.124999999999995</v>
      </c>
      <c r="Z4152" s="862">
        <v>7.04</v>
      </c>
      <c r="AA4152" s="647">
        <v>4.7300000000000004</v>
      </c>
      <c r="AB4152" s="647">
        <v>0.30299999999999999</v>
      </c>
      <c r="AC4152" s="862">
        <v>6.9</v>
      </c>
      <c r="AD4152" s="867">
        <v>222.49999999999991</v>
      </c>
      <c r="AE4152" s="1819">
        <v>548.88000000000011</v>
      </c>
      <c r="AF4152" s="1819">
        <v>196.8</v>
      </c>
      <c r="AG4152" s="66">
        <f t="shared" si="153"/>
        <v>0</v>
      </c>
      <c r="AH4152" s="143">
        <f t="shared" si="154"/>
        <v>968.18000000000006</v>
      </c>
    </row>
    <row r="4153" spans="1:34" s="862" customFormat="1" x14ac:dyDescent="0.3">
      <c r="A4153" s="862">
        <v>204233</v>
      </c>
      <c r="B4153" s="863">
        <v>12.5</v>
      </c>
      <c r="C4153" s="863">
        <v>7.0000000000000018</v>
      </c>
      <c r="D4153" s="647">
        <v>8.3000000000000007</v>
      </c>
      <c r="E4153" s="1573"/>
      <c r="F4153" s="864"/>
      <c r="H4153" s="864">
        <v>10.83</v>
      </c>
      <c r="I4153" s="864">
        <v>180</v>
      </c>
      <c r="J4153" s="1816"/>
      <c r="K4153" s="863"/>
      <c r="R4153" s="647"/>
      <c r="S4153" s="863">
        <v>16.599999999999998</v>
      </c>
      <c r="T4153" s="864"/>
      <c r="U4153" s="864"/>
      <c r="V4153" s="864"/>
      <c r="W4153" s="864"/>
      <c r="X4153" s="864"/>
      <c r="Y4153" s="1817">
        <v>12.77500000000007</v>
      </c>
      <c r="Z4153" s="862">
        <v>7.34</v>
      </c>
      <c r="AA4153" s="647">
        <v>3.65</v>
      </c>
      <c r="AB4153" s="647">
        <v>0.81499999999999995</v>
      </c>
      <c r="AC4153" s="862">
        <v>9.9</v>
      </c>
      <c r="AD4153" s="867">
        <v>182.50000000000099</v>
      </c>
      <c r="AE4153" s="1819">
        <v>539.94799999999896</v>
      </c>
      <c r="AF4153" s="1819">
        <v>249</v>
      </c>
      <c r="AG4153" s="66">
        <f t="shared" si="153"/>
        <v>0</v>
      </c>
      <c r="AH4153" s="143">
        <f t="shared" si="154"/>
        <v>971.44799999999998</v>
      </c>
    </row>
    <row r="4154" spans="1:34" s="862" customFormat="1" x14ac:dyDescent="0.3">
      <c r="A4154" s="862">
        <v>204234</v>
      </c>
      <c r="B4154" s="863">
        <v>18.3</v>
      </c>
      <c r="C4154" s="863">
        <v>9.8750000000000036</v>
      </c>
      <c r="D4154" s="647">
        <v>8.5599999999999987</v>
      </c>
      <c r="E4154" s="1573"/>
      <c r="F4154" s="864"/>
      <c r="H4154" s="864">
        <v>37.01</v>
      </c>
      <c r="I4154" s="864">
        <v>140</v>
      </c>
      <c r="J4154" s="1816"/>
      <c r="K4154" s="863"/>
      <c r="R4154" s="647"/>
      <c r="S4154" s="863">
        <v>15.5</v>
      </c>
      <c r="T4154" s="864"/>
      <c r="U4154" s="864"/>
      <c r="V4154" s="864"/>
      <c r="W4154" s="864"/>
      <c r="X4154" s="864"/>
      <c r="Y4154" s="1817">
        <v>8.7499999999999698</v>
      </c>
      <c r="Z4154" s="862">
        <v>7.6</v>
      </c>
      <c r="AA4154" s="647">
        <v>4.1500000000000004</v>
      </c>
      <c r="AB4154" s="647">
        <v>0.45100000000000001</v>
      </c>
      <c r="AC4154" s="862">
        <v>8</v>
      </c>
      <c r="AD4154" s="867">
        <v>124.99999999999956</v>
      </c>
      <c r="AE4154" s="1819">
        <v>534.14000000000055</v>
      </c>
      <c r="AF4154" s="1819">
        <v>314.19999999999993</v>
      </c>
      <c r="AG4154" s="66">
        <f t="shared" si="153"/>
        <v>0</v>
      </c>
      <c r="AH4154" s="143">
        <f t="shared" si="154"/>
        <v>973.34</v>
      </c>
    </row>
    <row r="4155" spans="1:34" s="862" customFormat="1" x14ac:dyDescent="0.3">
      <c r="A4155" s="862">
        <v>204235</v>
      </c>
      <c r="B4155" s="863">
        <v>12.5</v>
      </c>
      <c r="C4155" s="863">
        <v>7.6250000000000018</v>
      </c>
      <c r="D4155" s="647">
        <v>8.5</v>
      </c>
      <c r="E4155" s="1573"/>
      <c r="F4155" s="864"/>
      <c r="H4155" s="864">
        <v>38.880000000000003</v>
      </c>
      <c r="I4155" s="864">
        <v>160</v>
      </c>
      <c r="J4155" s="1816"/>
      <c r="K4155" s="863"/>
      <c r="R4155" s="647"/>
      <c r="S4155" s="863">
        <v>14.6</v>
      </c>
      <c r="T4155" s="864"/>
      <c r="U4155" s="864"/>
      <c r="V4155" s="864"/>
      <c r="W4155" s="864"/>
      <c r="X4155" s="864"/>
      <c r="Y4155" s="1817">
        <v>6.7499999999999787</v>
      </c>
      <c r="Z4155" s="862">
        <v>7.54</v>
      </c>
      <c r="AA4155" s="647">
        <v>3.66</v>
      </c>
      <c r="AB4155" s="647">
        <v>0.46700000000000003</v>
      </c>
      <c r="AC4155" s="862">
        <v>8.8000000000000007</v>
      </c>
      <c r="AD4155" s="867">
        <v>134.99999999999957</v>
      </c>
      <c r="AE4155" s="1819">
        <v>357.18800000000056</v>
      </c>
      <c r="AF4155" s="1819">
        <v>482.7</v>
      </c>
      <c r="AG4155" s="66">
        <f t="shared" si="153"/>
        <v>0</v>
      </c>
      <c r="AH4155" s="143">
        <f t="shared" si="154"/>
        <v>974.88800000000015</v>
      </c>
    </row>
    <row r="4156" spans="1:34" s="862" customFormat="1" x14ac:dyDescent="0.3">
      <c r="A4156" s="862">
        <v>204236</v>
      </c>
      <c r="B4156" s="863">
        <v>15.2</v>
      </c>
      <c r="C4156" s="863">
        <v>5.8750000000000018</v>
      </c>
      <c r="D4156" s="647">
        <v>8.1</v>
      </c>
      <c r="E4156" s="1573"/>
      <c r="F4156" s="864"/>
      <c r="H4156" s="864">
        <v>24.08</v>
      </c>
      <c r="I4156" s="864">
        <v>230</v>
      </c>
      <c r="J4156" s="1816"/>
      <c r="K4156" s="863"/>
      <c r="R4156" s="647"/>
      <c r="S4156" s="863">
        <v>18.5</v>
      </c>
      <c r="T4156" s="864"/>
      <c r="U4156" s="864"/>
      <c r="V4156" s="864"/>
      <c r="W4156" s="864"/>
      <c r="X4156" s="864"/>
      <c r="Y4156" s="1817">
        <v>15.5</v>
      </c>
      <c r="Z4156" s="862">
        <v>7.14</v>
      </c>
      <c r="AA4156" s="647">
        <v>4.12</v>
      </c>
      <c r="AB4156" s="647">
        <v>0.72</v>
      </c>
      <c r="AC4156" s="862">
        <v>7.9</v>
      </c>
      <c r="AD4156" s="867">
        <v>310</v>
      </c>
      <c r="AE4156" s="1819">
        <v>390</v>
      </c>
      <c r="AF4156" s="1819">
        <v>288</v>
      </c>
      <c r="AG4156" s="66">
        <f t="shared" si="153"/>
        <v>0</v>
      </c>
      <c r="AH4156" s="143">
        <f t="shared" si="154"/>
        <v>988</v>
      </c>
    </row>
    <row r="4157" spans="1:34" s="862" customFormat="1" x14ac:dyDescent="0.3">
      <c r="A4157" s="862">
        <v>204237</v>
      </c>
      <c r="B4157" s="863">
        <v>20</v>
      </c>
      <c r="C4157" s="863">
        <v>8.6250000000000036</v>
      </c>
      <c r="D4157" s="647">
        <v>8.2100000000000009</v>
      </c>
      <c r="E4157" s="1573"/>
      <c r="F4157" s="864"/>
      <c r="H4157" s="864">
        <v>174.29</v>
      </c>
      <c r="I4157" s="864">
        <v>500</v>
      </c>
      <c r="J4157" s="1816"/>
      <c r="K4157" s="863"/>
      <c r="R4157" s="647"/>
      <c r="S4157" s="863">
        <v>24.5</v>
      </c>
      <c r="T4157" s="864"/>
      <c r="U4157" s="864"/>
      <c r="V4157" s="864"/>
      <c r="W4157" s="864"/>
      <c r="X4157" s="864"/>
      <c r="Y4157" s="1817">
        <v>13.5</v>
      </c>
      <c r="Z4157" s="862">
        <v>7.25</v>
      </c>
      <c r="AA4157" s="647">
        <v>3.87</v>
      </c>
      <c r="AB4157" s="647">
        <v>0.46300000000000002</v>
      </c>
      <c r="AC4157" s="862">
        <v>11.5</v>
      </c>
      <c r="AD4157" s="867">
        <v>270</v>
      </c>
      <c r="AE4157" s="1819">
        <v>370</v>
      </c>
      <c r="AF4157" s="1819">
        <v>348</v>
      </c>
      <c r="AG4157" s="66">
        <f t="shared" si="153"/>
        <v>0</v>
      </c>
      <c r="AH4157" s="143">
        <f t="shared" si="154"/>
        <v>988</v>
      </c>
    </row>
    <row r="4158" spans="1:34" s="862" customFormat="1" x14ac:dyDescent="0.3">
      <c r="A4158" s="862">
        <v>204238</v>
      </c>
      <c r="B4158" s="863">
        <v>28.5</v>
      </c>
      <c r="C4158" s="863">
        <v>10.625000000000002</v>
      </c>
      <c r="D4158" s="647">
        <v>8.27</v>
      </c>
      <c r="E4158" s="1573"/>
      <c r="F4158" s="864"/>
      <c r="H4158" s="864">
        <v>41.17</v>
      </c>
      <c r="I4158" s="864">
        <v>180</v>
      </c>
      <c r="J4158" s="1816"/>
      <c r="K4158" s="863"/>
      <c r="R4158" s="647"/>
      <c r="S4158" s="863">
        <v>16.899999999999999</v>
      </c>
      <c r="T4158" s="864"/>
      <c r="U4158" s="864"/>
      <c r="V4158" s="864"/>
      <c r="W4158" s="864"/>
      <c r="X4158" s="864"/>
      <c r="Y4158" s="1817">
        <v>16.100000000000001</v>
      </c>
      <c r="Z4158" s="862">
        <v>7.31</v>
      </c>
      <c r="AA4158" s="647">
        <v>3.6</v>
      </c>
      <c r="AB4158" s="647">
        <v>0.85</v>
      </c>
      <c r="AC4158" s="862">
        <v>8.5</v>
      </c>
      <c r="AD4158" s="867">
        <v>230</v>
      </c>
      <c r="AE4158" s="1819">
        <v>350</v>
      </c>
      <c r="AF4158" s="1819">
        <v>408</v>
      </c>
      <c r="AG4158" s="66">
        <f t="shared" si="153"/>
        <v>0</v>
      </c>
      <c r="AH4158" s="143">
        <f t="shared" si="154"/>
        <v>988</v>
      </c>
    </row>
    <row r="4159" spans="1:34" s="862" customFormat="1" x14ac:dyDescent="0.3">
      <c r="A4159" s="862">
        <v>204239</v>
      </c>
      <c r="B4159" s="863">
        <v>18.2</v>
      </c>
      <c r="C4159" s="863">
        <v>9.0000000000000018</v>
      </c>
      <c r="D4159" s="647">
        <v>8.33</v>
      </c>
      <c r="E4159" s="1573"/>
      <c r="F4159" s="864"/>
      <c r="H4159" s="864">
        <v>48.73</v>
      </c>
      <c r="I4159" s="864">
        <v>320</v>
      </c>
      <c r="J4159" s="1816"/>
      <c r="K4159" s="863"/>
      <c r="R4159" s="647"/>
      <c r="S4159" s="863">
        <v>20.299999999999997</v>
      </c>
      <c r="T4159" s="864"/>
      <c r="U4159" s="864"/>
      <c r="V4159" s="864"/>
      <c r="W4159" s="864"/>
      <c r="X4159" s="864"/>
      <c r="Y4159" s="1817">
        <v>14.7</v>
      </c>
      <c r="Z4159" s="862">
        <v>7.37</v>
      </c>
      <c r="AA4159" s="647">
        <v>4.51</v>
      </c>
      <c r="AB4159" s="647">
        <v>0.74299999999999999</v>
      </c>
      <c r="AC4159" s="862">
        <v>8.8000000000000007</v>
      </c>
      <c r="AD4159" s="867">
        <v>210</v>
      </c>
      <c r="AE4159" s="1819">
        <v>350</v>
      </c>
      <c r="AF4159" s="1819">
        <v>428</v>
      </c>
      <c r="AG4159" s="66">
        <f t="shared" si="153"/>
        <v>0</v>
      </c>
      <c r="AH4159" s="143">
        <f t="shared" si="154"/>
        <v>988</v>
      </c>
    </row>
    <row r="4160" spans="1:34" s="862" customFormat="1" x14ac:dyDescent="0.3">
      <c r="A4160" s="862">
        <v>204240</v>
      </c>
      <c r="B4160" s="863">
        <v>9.8000000000000007</v>
      </c>
      <c r="C4160" s="863"/>
      <c r="D4160" s="647">
        <v>8.09</v>
      </c>
      <c r="E4160" s="1573"/>
      <c r="F4160" s="864"/>
      <c r="H4160" s="864">
        <v>67.989999999999995</v>
      </c>
      <c r="I4160" s="864">
        <v>590</v>
      </c>
      <c r="J4160" s="1816"/>
      <c r="K4160" s="863"/>
      <c r="R4160" s="647"/>
      <c r="S4160" s="863">
        <v>22.9</v>
      </c>
      <c r="T4160" s="864"/>
      <c r="U4160" s="864"/>
      <c r="V4160" s="864"/>
      <c r="W4160" s="864"/>
      <c r="X4160" s="864"/>
      <c r="Y4160" s="1817">
        <v>16.100000000000001</v>
      </c>
      <c r="Z4160" s="862">
        <v>7.13</v>
      </c>
      <c r="AA4160" s="647">
        <v>3.65</v>
      </c>
      <c r="AB4160" s="647">
        <v>0.77200000000000002</v>
      </c>
      <c r="AC4160" s="862">
        <v>8.3000000000000007</v>
      </c>
      <c r="AD4160" s="867">
        <v>230</v>
      </c>
      <c r="AE4160" s="1819">
        <v>390</v>
      </c>
      <c r="AF4160" s="1819">
        <v>368</v>
      </c>
      <c r="AG4160" s="66">
        <f t="shared" si="153"/>
        <v>0</v>
      </c>
      <c r="AH4160" s="143">
        <f t="shared" si="154"/>
        <v>988</v>
      </c>
    </row>
    <row r="4161" spans="1:34" s="862" customFormat="1" x14ac:dyDescent="0.3">
      <c r="A4161" s="862">
        <v>204241</v>
      </c>
      <c r="B4161" s="863">
        <v>18.8</v>
      </c>
      <c r="C4161" s="863">
        <v>7.6250000000000018</v>
      </c>
      <c r="D4161" s="647">
        <v>8.26</v>
      </c>
      <c r="E4161" s="1573"/>
      <c r="F4161" s="864"/>
      <c r="H4161" s="864">
        <v>169.24</v>
      </c>
      <c r="I4161" s="864">
        <v>530</v>
      </c>
      <c r="J4161" s="1816"/>
      <c r="K4161" s="863"/>
      <c r="R4161" s="647"/>
      <c r="S4161" s="863">
        <v>25.299999999999997</v>
      </c>
      <c r="T4161" s="864"/>
      <c r="U4161" s="864"/>
      <c r="V4161" s="864"/>
      <c r="W4161" s="864"/>
      <c r="X4161" s="864"/>
      <c r="Y4161" s="1817">
        <v>13.8</v>
      </c>
      <c r="Z4161" s="862">
        <v>7.3</v>
      </c>
      <c r="AA4161" s="647">
        <v>3.85</v>
      </c>
      <c r="AB4161" s="647">
        <v>0.64400000000000002</v>
      </c>
      <c r="AC4161" s="862">
        <v>11.4</v>
      </c>
      <c r="AD4161" s="867">
        <v>230</v>
      </c>
      <c r="AE4161" s="1819">
        <v>370</v>
      </c>
      <c r="AF4161" s="1819">
        <v>388</v>
      </c>
      <c r="AG4161" s="66">
        <f t="shared" si="153"/>
        <v>0</v>
      </c>
      <c r="AH4161" s="143">
        <f t="shared" si="154"/>
        <v>988</v>
      </c>
    </row>
    <row r="4162" spans="1:34" s="862" customFormat="1" x14ac:dyDescent="0.3">
      <c r="A4162" s="862">
        <v>204242</v>
      </c>
      <c r="B4162" s="863">
        <v>18.7</v>
      </c>
      <c r="C4162" s="863">
        <v>8.8750000000000018</v>
      </c>
      <c r="D4162" s="647">
        <v>8.41</v>
      </c>
      <c r="E4162" s="1573"/>
      <c r="F4162" s="864"/>
      <c r="H4162" s="864">
        <v>34.33</v>
      </c>
      <c r="I4162" s="864">
        <v>160</v>
      </c>
      <c r="J4162" s="1816"/>
      <c r="K4162" s="863"/>
      <c r="R4162" s="647"/>
      <c r="S4162" s="863">
        <v>17.8</v>
      </c>
      <c r="T4162" s="864"/>
      <c r="U4162" s="864"/>
      <c r="V4162" s="864"/>
      <c r="W4162" s="864"/>
      <c r="X4162" s="864"/>
      <c r="Y4162" s="1817">
        <v>16.100000000000001</v>
      </c>
      <c r="Z4162" s="862">
        <v>7.45</v>
      </c>
      <c r="AA4162" s="647">
        <v>3.89</v>
      </c>
      <c r="AB4162" s="647">
        <v>0.58799999999999997</v>
      </c>
      <c r="AC4162" s="862">
        <v>9.8000000000000007</v>
      </c>
      <c r="AD4162" s="867">
        <v>230</v>
      </c>
      <c r="AE4162" s="1819">
        <v>330</v>
      </c>
      <c r="AF4162" s="1819">
        <v>428</v>
      </c>
      <c r="AG4162" s="66">
        <f t="shared" ref="AG4162:AG4225" si="155">+K4162*3.54*100/Y4162</f>
        <v>0</v>
      </c>
      <c r="AH4162" s="143">
        <f t="shared" ref="AH4162:AH4225" si="156">+SUM(AD4162:AF4162)</f>
        <v>988</v>
      </c>
    </row>
    <row r="4163" spans="1:34" s="862" customFormat="1" x14ac:dyDescent="0.3">
      <c r="A4163" s="862">
        <v>204243</v>
      </c>
      <c r="B4163" s="863">
        <v>14.3</v>
      </c>
      <c r="C4163" s="863">
        <v>8.3750000000000018</v>
      </c>
      <c r="D4163" s="647">
        <v>8.18</v>
      </c>
      <c r="E4163" s="1573"/>
      <c r="F4163" s="864"/>
      <c r="H4163" s="864">
        <v>29.56</v>
      </c>
      <c r="I4163" s="864">
        <v>290</v>
      </c>
      <c r="J4163" s="1816"/>
      <c r="K4163" s="863"/>
      <c r="R4163" s="647"/>
      <c r="S4163" s="863">
        <v>15.600000000000001</v>
      </c>
      <c r="T4163" s="864"/>
      <c r="U4163" s="864"/>
      <c r="V4163" s="864"/>
      <c r="W4163" s="864"/>
      <c r="X4163" s="864"/>
      <c r="Y4163" s="1817">
        <v>16.5</v>
      </c>
      <c r="Z4163" s="862">
        <v>7.22</v>
      </c>
      <c r="AA4163" s="647">
        <v>4.8899999999999997</v>
      </c>
      <c r="AB4163" s="647">
        <v>0.623</v>
      </c>
      <c r="AC4163" s="862">
        <v>7.9</v>
      </c>
      <c r="AD4163" s="867">
        <v>330</v>
      </c>
      <c r="AE4163" s="1819">
        <v>430</v>
      </c>
      <c r="AF4163" s="1819">
        <v>228</v>
      </c>
      <c r="AG4163" s="66">
        <f t="shared" si="155"/>
        <v>0</v>
      </c>
      <c r="AH4163" s="143">
        <f t="shared" si="156"/>
        <v>988</v>
      </c>
    </row>
    <row r="4164" spans="1:34" s="862" customFormat="1" x14ac:dyDescent="0.3">
      <c r="A4164" s="862">
        <v>204244</v>
      </c>
      <c r="B4164" s="863">
        <v>22.2</v>
      </c>
      <c r="C4164" s="863">
        <v>8.8750000000000018</v>
      </c>
      <c r="D4164" s="647">
        <v>8.42</v>
      </c>
      <c r="E4164" s="1573"/>
      <c r="F4164" s="864"/>
      <c r="H4164" s="864">
        <v>92.25</v>
      </c>
      <c r="I4164" s="864">
        <v>160</v>
      </c>
      <c r="J4164" s="1816"/>
      <c r="K4164" s="863"/>
      <c r="R4164" s="647"/>
      <c r="S4164" s="863">
        <v>13.5</v>
      </c>
      <c r="T4164" s="864"/>
      <c r="U4164" s="864"/>
      <c r="V4164" s="864"/>
      <c r="W4164" s="864"/>
      <c r="X4164" s="864"/>
      <c r="Y4164" s="1817">
        <v>17.5</v>
      </c>
      <c r="Z4164" s="862">
        <v>7.46</v>
      </c>
      <c r="AA4164" s="647">
        <v>4.4800000000000004</v>
      </c>
      <c r="AB4164" s="647">
        <v>0.747</v>
      </c>
      <c r="AC4164" s="862">
        <v>6.3</v>
      </c>
      <c r="AD4164" s="867">
        <v>250</v>
      </c>
      <c r="AE4164" s="1819">
        <v>350</v>
      </c>
      <c r="AF4164" s="1819">
        <v>388</v>
      </c>
      <c r="AG4164" s="66">
        <f t="shared" si="155"/>
        <v>0</v>
      </c>
      <c r="AH4164" s="143">
        <f t="shared" si="156"/>
        <v>988</v>
      </c>
    </row>
    <row r="4165" spans="1:34" s="862" customFormat="1" x14ac:dyDescent="0.3">
      <c r="A4165" s="862">
        <v>204245</v>
      </c>
      <c r="B4165" s="863">
        <v>19.5</v>
      </c>
      <c r="C4165" s="863">
        <v>7.6250000000000018</v>
      </c>
      <c r="D4165" s="647">
        <v>8.36</v>
      </c>
      <c r="E4165" s="1573"/>
      <c r="F4165" s="864"/>
      <c r="H4165" s="864">
        <v>24.76</v>
      </c>
      <c r="I4165" s="864">
        <v>520</v>
      </c>
      <c r="J4165" s="1816"/>
      <c r="K4165" s="863"/>
      <c r="R4165" s="647"/>
      <c r="S4165" s="863">
        <v>21.8</v>
      </c>
      <c r="T4165" s="864"/>
      <c r="U4165" s="864"/>
      <c r="V4165" s="864"/>
      <c r="W4165" s="864"/>
      <c r="X4165" s="864"/>
      <c r="Y4165" s="1817">
        <v>18.899999999999999</v>
      </c>
      <c r="Z4165" s="862">
        <v>7.4</v>
      </c>
      <c r="AA4165" s="647">
        <v>4.41</v>
      </c>
      <c r="AB4165" s="647">
        <v>0.745</v>
      </c>
      <c r="AC4165" s="862">
        <v>7.4</v>
      </c>
      <c r="AD4165" s="867">
        <v>270</v>
      </c>
      <c r="AE4165" s="1819">
        <v>370</v>
      </c>
      <c r="AF4165" s="1819">
        <v>348</v>
      </c>
      <c r="AG4165" s="66">
        <f t="shared" si="155"/>
        <v>0</v>
      </c>
      <c r="AH4165" s="143">
        <f t="shared" si="156"/>
        <v>988</v>
      </c>
    </row>
    <row r="4166" spans="1:34" s="862" customFormat="1" x14ac:dyDescent="0.3">
      <c r="A4166" s="867">
        <v>204246</v>
      </c>
      <c r="B4166" s="863">
        <v>8.4</v>
      </c>
      <c r="C4166" s="863"/>
      <c r="D4166" s="647">
        <v>8.5</v>
      </c>
      <c r="E4166" s="1573"/>
      <c r="F4166" s="864"/>
      <c r="H4166" s="864">
        <v>17.13</v>
      </c>
      <c r="I4166" s="864">
        <v>140</v>
      </c>
      <c r="J4166" s="1816"/>
      <c r="K4166" s="863"/>
      <c r="R4166" s="647"/>
      <c r="S4166" s="863">
        <v>9.6999999999999993</v>
      </c>
      <c r="T4166" s="864"/>
      <c r="U4166" s="864"/>
      <c r="V4166" s="864"/>
      <c r="W4166" s="864"/>
      <c r="X4166" s="864"/>
      <c r="Y4166" s="1817">
        <v>19.8</v>
      </c>
      <c r="Z4166" s="862">
        <v>7.54</v>
      </c>
      <c r="AA4166" s="647">
        <v>4.2</v>
      </c>
      <c r="AB4166" s="647">
        <v>0.74</v>
      </c>
      <c r="AC4166" s="862">
        <v>9.6999999999999993</v>
      </c>
      <c r="AD4166" s="867">
        <v>330</v>
      </c>
      <c r="AE4166" s="1819">
        <v>370</v>
      </c>
      <c r="AF4166" s="1819">
        <v>288</v>
      </c>
      <c r="AG4166" s="66">
        <f t="shared" si="155"/>
        <v>0</v>
      </c>
      <c r="AH4166" s="143">
        <f t="shared" si="156"/>
        <v>988</v>
      </c>
    </row>
    <row r="4167" spans="1:34" s="862" customFormat="1" x14ac:dyDescent="0.3">
      <c r="A4167" s="867">
        <v>204247</v>
      </c>
      <c r="B4167" s="863">
        <v>18.2</v>
      </c>
      <c r="C4167" s="863">
        <v>3.8750000000000018</v>
      </c>
      <c r="D4167" s="647">
        <v>8.5599999999999987</v>
      </c>
      <c r="E4167" s="1573"/>
      <c r="F4167" s="864"/>
      <c r="H4167" s="864">
        <v>44.18</v>
      </c>
      <c r="I4167" s="864">
        <v>230</v>
      </c>
      <c r="J4167" s="1816"/>
      <c r="K4167" s="863"/>
      <c r="R4167" s="647"/>
      <c r="S4167" s="863">
        <v>12.4</v>
      </c>
      <c r="T4167" s="864"/>
      <c r="U4167" s="864"/>
      <c r="V4167" s="864"/>
      <c r="W4167" s="864"/>
      <c r="X4167" s="864"/>
      <c r="Y4167" s="1817">
        <v>17.399999999999999</v>
      </c>
      <c r="Z4167" s="862">
        <v>7.6</v>
      </c>
      <c r="AA4167" s="647">
        <v>4.58</v>
      </c>
      <c r="AB4167" s="647">
        <v>0.80800000000000005</v>
      </c>
      <c r="AC4167" s="862">
        <v>10.9</v>
      </c>
      <c r="AD4167" s="867">
        <v>290</v>
      </c>
      <c r="AE4167" s="1819">
        <v>390</v>
      </c>
      <c r="AF4167" s="1819">
        <v>308</v>
      </c>
      <c r="AG4167" s="66">
        <f t="shared" si="155"/>
        <v>0</v>
      </c>
      <c r="AH4167" s="143">
        <f t="shared" si="156"/>
        <v>988</v>
      </c>
    </row>
    <row r="4168" spans="1:34" s="862" customFormat="1" x14ac:dyDescent="0.3">
      <c r="A4168" s="867">
        <v>204248</v>
      </c>
      <c r="B4168" s="863">
        <v>17.2</v>
      </c>
      <c r="C4168" s="863">
        <v>7.6250000000000018</v>
      </c>
      <c r="D4168" s="647">
        <v>8.2199999999999989</v>
      </c>
      <c r="E4168" s="1573"/>
      <c r="F4168" s="864"/>
      <c r="H4168" s="864">
        <v>40.590000000000003</v>
      </c>
      <c r="I4168" s="864">
        <v>310</v>
      </c>
      <c r="J4168" s="1816"/>
      <c r="K4168" s="863"/>
      <c r="R4168" s="647"/>
      <c r="S4168" s="863">
        <v>23.1</v>
      </c>
      <c r="T4168" s="864"/>
      <c r="U4168" s="864"/>
      <c r="V4168" s="864"/>
      <c r="W4168" s="864"/>
      <c r="X4168" s="864"/>
      <c r="Y4168" s="1817">
        <v>16.100000000000001</v>
      </c>
      <c r="Z4168" s="862">
        <v>7.26</v>
      </c>
      <c r="AA4168" s="647">
        <v>4.4400000000000004</v>
      </c>
      <c r="AB4168" s="647">
        <v>0.375</v>
      </c>
      <c r="AC4168" s="862">
        <v>10.6</v>
      </c>
      <c r="AD4168" s="867">
        <v>230</v>
      </c>
      <c r="AE4168" s="1819">
        <v>370</v>
      </c>
      <c r="AF4168" s="1819">
        <v>388</v>
      </c>
      <c r="AG4168" s="66">
        <f t="shared" si="155"/>
        <v>0</v>
      </c>
      <c r="AH4168" s="143">
        <f t="shared" si="156"/>
        <v>988</v>
      </c>
    </row>
    <row r="4169" spans="1:34" s="862" customFormat="1" x14ac:dyDescent="0.3">
      <c r="A4169" s="862">
        <v>204249</v>
      </c>
      <c r="B4169" s="863">
        <v>30.4</v>
      </c>
      <c r="C4169" s="647">
        <v>0.01</v>
      </c>
      <c r="D4169" s="647">
        <v>8.65</v>
      </c>
      <c r="E4169" s="1573">
        <v>0.115</v>
      </c>
      <c r="F4169" s="864">
        <v>126.50000000000003</v>
      </c>
      <c r="G4169" s="862">
        <v>14.46</v>
      </c>
      <c r="H4169" s="864">
        <v>324.98</v>
      </c>
      <c r="I4169" s="864">
        <v>140</v>
      </c>
      <c r="J4169" s="1816">
        <v>5.7000000000000002E-2</v>
      </c>
      <c r="K4169" s="863">
        <v>5.49</v>
      </c>
      <c r="L4169" s="862">
        <v>730</v>
      </c>
      <c r="M4169" s="862">
        <v>4.18</v>
      </c>
      <c r="N4169" s="862">
        <v>2.06</v>
      </c>
      <c r="O4169" s="862">
        <v>1.96</v>
      </c>
      <c r="P4169" s="862">
        <v>4.2</v>
      </c>
      <c r="R4169" s="647">
        <v>0.76831638706500138</v>
      </c>
      <c r="S4169" s="863">
        <v>5</v>
      </c>
      <c r="Y4169" s="863">
        <v>5.6</v>
      </c>
      <c r="AA4169" s="647">
        <v>4.6500000000000004</v>
      </c>
      <c r="AB4169" s="647">
        <v>0.39700000000000002</v>
      </c>
      <c r="AC4169" s="862">
        <v>10.4</v>
      </c>
      <c r="AD4169" s="867">
        <v>80</v>
      </c>
      <c r="AE4169" s="867">
        <v>60</v>
      </c>
      <c r="AF4169" s="867">
        <v>860</v>
      </c>
      <c r="AG4169" s="66">
        <f t="shared" si="155"/>
        <v>347.04642857142858</v>
      </c>
      <c r="AH4169" s="143">
        <f t="shared" si="156"/>
        <v>1000</v>
      </c>
    </row>
    <row r="4170" spans="1:34" s="862" customFormat="1" x14ac:dyDescent="0.3">
      <c r="A4170" s="862">
        <v>204250</v>
      </c>
      <c r="B4170" s="863">
        <v>30.7</v>
      </c>
      <c r="C4170" s="647">
        <v>0.01</v>
      </c>
      <c r="D4170" s="647">
        <v>8.02</v>
      </c>
      <c r="E4170" s="1573">
        <v>0.191</v>
      </c>
      <c r="F4170" s="864">
        <v>210.10000000000002</v>
      </c>
      <c r="H4170" s="864">
        <v>104.1</v>
      </c>
      <c r="I4170" s="864">
        <v>480</v>
      </c>
      <c r="J4170" s="1816">
        <v>1.9E-2</v>
      </c>
      <c r="K4170" s="863">
        <v>3.88</v>
      </c>
      <c r="L4170" s="862">
        <v>1070</v>
      </c>
      <c r="M4170" s="862">
        <v>2.41</v>
      </c>
      <c r="N4170" s="862">
        <v>5.63</v>
      </c>
      <c r="O4170" s="862">
        <v>7.27</v>
      </c>
      <c r="P4170" s="862">
        <v>9.09</v>
      </c>
      <c r="R4170" s="647">
        <v>1.7806999999999999</v>
      </c>
      <c r="S4170" s="863">
        <v>16</v>
      </c>
      <c r="Y4170" s="863">
        <v>12.6</v>
      </c>
      <c r="AA4170" s="647">
        <v>4.83</v>
      </c>
      <c r="AB4170" s="647">
        <v>0.67900000000000005</v>
      </c>
      <c r="AC4170" s="862">
        <v>11.9</v>
      </c>
      <c r="AD4170" s="867">
        <v>180</v>
      </c>
      <c r="AE4170" s="867">
        <v>120</v>
      </c>
      <c r="AF4170" s="867">
        <v>700</v>
      </c>
      <c r="AG4170" s="66">
        <f t="shared" si="155"/>
        <v>109.00952380952381</v>
      </c>
      <c r="AH4170" s="143">
        <f t="shared" si="156"/>
        <v>1000</v>
      </c>
    </row>
    <row r="4171" spans="1:34" s="862" customFormat="1" x14ac:dyDescent="0.3">
      <c r="A4171" s="862">
        <v>204251</v>
      </c>
      <c r="B4171" s="863">
        <v>43.7</v>
      </c>
      <c r="C4171" s="647">
        <v>0.01</v>
      </c>
      <c r="D4171" s="647">
        <v>8.0500000000000007</v>
      </c>
      <c r="E4171" s="1573">
        <v>0.13900000000000001</v>
      </c>
      <c r="F4171" s="864">
        <v>152.90000000000003</v>
      </c>
      <c r="H4171" s="864">
        <v>62.31</v>
      </c>
      <c r="I4171" s="864">
        <v>180</v>
      </c>
      <c r="J4171" s="1816">
        <v>8.0000000000000002E-3</v>
      </c>
      <c r="K4171" s="863">
        <v>2.4</v>
      </c>
      <c r="L4171" s="862">
        <v>620</v>
      </c>
      <c r="M4171" s="862">
        <v>1.36</v>
      </c>
      <c r="N4171" s="862">
        <v>2.68</v>
      </c>
      <c r="O4171" s="862">
        <v>4.17</v>
      </c>
      <c r="P4171" s="862">
        <v>6.12</v>
      </c>
      <c r="R4171" s="647">
        <v>1.5784280000000002</v>
      </c>
      <c r="S4171" s="863">
        <v>10.4</v>
      </c>
      <c r="Y4171" s="863">
        <v>11.2</v>
      </c>
      <c r="AA4171" s="647">
        <v>4.3899999999999997</v>
      </c>
      <c r="AB4171" s="647">
        <v>0.71</v>
      </c>
      <c r="AC4171" s="862">
        <v>10.8</v>
      </c>
      <c r="AD4171" s="867">
        <v>160</v>
      </c>
      <c r="AE4171" s="867">
        <v>80</v>
      </c>
      <c r="AF4171" s="867">
        <v>760</v>
      </c>
      <c r="AG4171" s="66">
        <f t="shared" si="155"/>
        <v>75.857142857142861</v>
      </c>
      <c r="AH4171" s="143">
        <f t="shared" si="156"/>
        <v>1000</v>
      </c>
    </row>
    <row r="4172" spans="1:34" s="862" customFormat="1" x14ac:dyDescent="0.3">
      <c r="A4172" s="862">
        <v>204252</v>
      </c>
      <c r="B4172" s="863">
        <v>41</v>
      </c>
      <c r="C4172" s="647">
        <v>0.01</v>
      </c>
      <c r="D4172" s="647">
        <v>8.0299999999999994</v>
      </c>
      <c r="E4172" s="1573">
        <v>0.126</v>
      </c>
      <c r="F4172" s="864">
        <v>138.6</v>
      </c>
      <c r="H4172" s="864">
        <v>115.79</v>
      </c>
      <c r="I4172" s="864">
        <v>450</v>
      </c>
      <c r="J4172" s="1816">
        <v>8.9999999999999993E-3</v>
      </c>
      <c r="K4172" s="863">
        <v>3.02</v>
      </c>
      <c r="L4172" s="862">
        <v>800</v>
      </c>
      <c r="M4172" s="862">
        <v>2.27</v>
      </c>
      <c r="N4172" s="862">
        <v>2.7</v>
      </c>
      <c r="O4172" s="862">
        <v>6.95</v>
      </c>
      <c r="P4172" s="862">
        <v>7.11</v>
      </c>
      <c r="R4172" s="647">
        <v>1.6631279999999999</v>
      </c>
      <c r="S4172" s="863">
        <v>12.6</v>
      </c>
      <c r="Y4172" s="863">
        <v>14</v>
      </c>
      <c r="AA4172" s="647">
        <v>4.0599999999999996</v>
      </c>
      <c r="AB4172" s="647">
        <v>0.56200000000000006</v>
      </c>
      <c r="AC4172" s="862">
        <v>9.9</v>
      </c>
      <c r="AD4172" s="867">
        <v>280</v>
      </c>
      <c r="AE4172" s="867">
        <v>100</v>
      </c>
      <c r="AF4172" s="867">
        <v>620</v>
      </c>
      <c r="AG4172" s="66">
        <f t="shared" si="155"/>
        <v>76.362857142857138</v>
      </c>
      <c r="AH4172" s="143">
        <f t="shared" si="156"/>
        <v>1000</v>
      </c>
    </row>
    <row r="4173" spans="1:34" s="862" customFormat="1" x14ac:dyDescent="0.3">
      <c r="A4173" s="862">
        <v>204253</v>
      </c>
      <c r="B4173" s="863">
        <v>1.4</v>
      </c>
      <c r="C4173" s="863"/>
      <c r="D4173" s="647">
        <v>8.32</v>
      </c>
      <c r="E4173" s="1573">
        <v>0.154</v>
      </c>
      <c r="F4173" s="864">
        <v>169.40000000000003</v>
      </c>
      <c r="H4173" s="864">
        <v>30.96</v>
      </c>
      <c r="I4173" s="864">
        <v>310</v>
      </c>
      <c r="J4173" s="1816">
        <v>3.6999999999999998E-2</v>
      </c>
      <c r="K4173" s="863">
        <v>4.59</v>
      </c>
      <c r="L4173" s="862">
        <v>1620</v>
      </c>
      <c r="M4173" s="862">
        <v>0.63</v>
      </c>
      <c r="N4173" s="862">
        <v>0.77</v>
      </c>
      <c r="O4173" s="862">
        <v>4.6900000000000004</v>
      </c>
      <c r="P4173" s="862">
        <v>6.24</v>
      </c>
      <c r="R4173" s="647">
        <v>1.9976720000000001</v>
      </c>
      <c r="S4173" s="863">
        <v>24.2</v>
      </c>
      <c r="Y4173" s="863">
        <v>17</v>
      </c>
      <c r="AA4173" s="647">
        <v>4.1100000000000003</v>
      </c>
      <c r="AB4173" s="647">
        <v>0.71</v>
      </c>
      <c r="AC4173" s="862">
        <v>10.1</v>
      </c>
      <c r="AD4173" s="867">
        <v>340</v>
      </c>
      <c r="AE4173" s="867">
        <v>140</v>
      </c>
      <c r="AF4173" s="867">
        <v>520</v>
      </c>
      <c r="AG4173" s="66">
        <f t="shared" si="155"/>
        <v>95.58</v>
      </c>
      <c r="AH4173" s="143">
        <f t="shared" si="156"/>
        <v>1000</v>
      </c>
    </row>
    <row r="4174" spans="1:34" s="862" customFormat="1" x14ac:dyDescent="0.3">
      <c r="A4174" s="862">
        <v>204254</v>
      </c>
      <c r="B4174" s="863">
        <v>37.299999999999997</v>
      </c>
      <c r="C4174" s="647">
        <v>0.01</v>
      </c>
      <c r="D4174" s="647">
        <v>8.08</v>
      </c>
      <c r="E4174" s="1573">
        <v>0.13800000000000001</v>
      </c>
      <c r="F4174" s="864">
        <v>151.80000000000001</v>
      </c>
      <c r="H4174" s="864">
        <v>71.3</v>
      </c>
      <c r="I4174" s="864">
        <v>200</v>
      </c>
      <c r="J4174" s="1816">
        <v>1.4999999999999999E-2</v>
      </c>
      <c r="K4174" s="863">
        <v>3.47</v>
      </c>
      <c r="L4174" s="862">
        <v>760</v>
      </c>
      <c r="M4174" s="862">
        <v>2.35</v>
      </c>
      <c r="N4174" s="862">
        <v>2.25</v>
      </c>
      <c r="O4174" s="862">
        <v>4.37</v>
      </c>
      <c r="P4174" s="862">
        <v>7.52</v>
      </c>
      <c r="R4174" s="647">
        <v>1.9191320000000001</v>
      </c>
      <c r="S4174" s="863">
        <v>20.8</v>
      </c>
      <c r="Y4174" s="863">
        <v>22.4</v>
      </c>
      <c r="AA4174" s="647">
        <v>3.54</v>
      </c>
      <c r="AB4174" s="647">
        <v>0.26400000000000001</v>
      </c>
      <c r="AC4174" s="862">
        <v>10.8</v>
      </c>
      <c r="AD4174" s="867">
        <v>320</v>
      </c>
      <c r="AE4174" s="867">
        <v>120</v>
      </c>
      <c r="AF4174" s="867">
        <v>560</v>
      </c>
      <c r="AG4174" s="66">
        <f t="shared" si="155"/>
        <v>54.838392857142864</v>
      </c>
      <c r="AH4174" s="143">
        <f t="shared" si="156"/>
        <v>1000</v>
      </c>
    </row>
    <row r="4175" spans="1:34" s="862" customFormat="1" x14ac:dyDescent="0.3">
      <c r="A4175" s="862">
        <v>204255</v>
      </c>
      <c r="B4175" s="863">
        <v>1.6</v>
      </c>
      <c r="C4175" s="863"/>
      <c r="D4175" s="647">
        <v>8.7100000000000009</v>
      </c>
      <c r="E4175" s="1573">
        <v>0.104</v>
      </c>
      <c r="F4175" s="864">
        <v>114.4</v>
      </c>
      <c r="H4175" s="864">
        <v>17.420000000000002</v>
      </c>
      <c r="I4175" s="864">
        <v>220</v>
      </c>
      <c r="J4175" s="1816">
        <v>1.7000000000000001E-2</v>
      </c>
      <c r="K4175" s="863">
        <v>4.72</v>
      </c>
      <c r="L4175" s="862">
        <v>150</v>
      </c>
      <c r="M4175" s="862">
        <v>0.31</v>
      </c>
      <c r="N4175" s="862">
        <v>0.24</v>
      </c>
      <c r="O4175" s="862">
        <v>1.85</v>
      </c>
      <c r="P4175" s="862">
        <v>1.98</v>
      </c>
      <c r="R4175" s="647">
        <v>0.41997726459616097</v>
      </c>
      <c r="S4175" s="863">
        <v>3</v>
      </c>
      <c r="Y4175" s="863">
        <v>7</v>
      </c>
      <c r="AA4175" s="647">
        <v>4.38</v>
      </c>
      <c r="AB4175" s="647">
        <v>0.49399999999999999</v>
      </c>
      <c r="AC4175" s="862">
        <v>7.5</v>
      </c>
      <c r="AD4175" s="867">
        <v>140</v>
      </c>
      <c r="AE4175" s="867">
        <v>60</v>
      </c>
      <c r="AF4175" s="867">
        <v>800</v>
      </c>
      <c r="AG4175" s="66">
        <f t="shared" si="155"/>
        <v>238.69714285714286</v>
      </c>
      <c r="AH4175" s="143">
        <f t="shared" si="156"/>
        <v>1000</v>
      </c>
    </row>
    <row r="4176" spans="1:34" s="862" customFormat="1" x14ac:dyDescent="0.3">
      <c r="A4176" s="862">
        <v>204256</v>
      </c>
      <c r="B4176" s="863">
        <v>3.6</v>
      </c>
      <c r="C4176" s="863"/>
      <c r="D4176" s="647">
        <v>8.59</v>
      </c>
      <c r="E4176" s="1573">
        <v>0.21199999999999999</v>
      </c>
      <c r="F4176" s="864">
        <v>233.20000000000002</v>
      </c>
      <c r="H4176" s="864">
        <v>324.57</v>
      </c>
      <c r="I4176" s="864">
        <v>480</v>
      </c>
      <c r="J4176" s="1816">
        <v>0.09</v>
      </c>
      <c r="K4176" s="863">
        <v>3.91</v>
      </c>
      <c r="L4176" s="862">
        <v>730</v>
      </c>
      <c r="M4176" s="862">
        <v>7.27</v>
      </c>
      <c r="N4176" s="862">
        <v>1.78</v>
      </c>
      <c r="O4176" s="862">
        <v>2.29</v>
      </c>
      <c r="P4176" s="862">
        <v>6.84</v>
      </c>
      <c r="R4176" s="647">
        <v>1.1639642944137232</v>
      </c>
      <c r="S4176" s="863">
        <v>8</v>
      </c>
      <c r="Y4176" s="863">
        <v>8.4</v>
      </c>
      <c r="AA4176" s="647">
        <v>3.76</v>
      </c>
      <c r="AB4176" s="647">
        <v>0.53500000000000003</v>
      </c>
      <c r="AC4176" s="862">
        <v>8.6</v>
      </c>
      <c r="AD4176" s="867">
        <v>120</v>
      </c>
      <c r="AE4176" s="867">
        <v>60</v>
      </c>
      <c r="AF4176" s="867">
        <v>820</v>
      </c>
      <c r="AG4176" s="66">
        <f t="shared" si="155"/>
        <v>164.77857142857144</v>
      </c>
      <c r="AH4176" s="143">
        <f t="shared" si="156"/>
        <v>1000</v>
      </c>
    </row>
    <row r="4177" spans="1:34" s="862" customFormat="1" x14ac:dyDescent="0.3">
      <c r="A4177" s="862">
        <v>204257</v>
      </c>
      <c r="B4177" s="863">
        <v>19.5</v>
      </c>
      <c r="C4177" s="863">
        <v>8.3000000000000007</v>
      </c>
      <c r="D4177" s="647">
        <v>8.0399999999999991</v>
      </c>
      <c r="E4177" s="1573">
        <v>1.1000000000000001</v>
      </c>
      <c r="F4177" s="864">
        <v>1210.0000000000002</v>
      </c>
      <c r="H4177" s="864">
        <v>38.380000000000003</v>
      </c>
      <c r="I4177" s="864">
        <v>480</v>
      </c>
      <c r="J4177" s="1816">
        <v>0.97399999999999998</v>
      </c>
      <c r="K4177" s="863">
        <v>10.45</v>
      </c>
      <c r="L4177" s="862">
        <v>850</v>
      </c>
      <c r="M4177" s="862">
        <v>0.56000000000000005</v>
      </c>
      <c r="N4177" s="862">
        <v>0.88</v>
      </c>
      <c r="O4177" s="862">
        <v>3.53</v>
      </c>
      <c r="P4177" s="862">
        <v>2.15</v>
      </c>
      <c r="R4177" s="647">
        <v>1.4458882042700418</v>
      </c>
      <c r="S4177" s="863">
        <v>9.6999999999999993</v>
      </c>
      <c r="Y4177" s="1817">
        <v>22</v>
      </c>
      <c r="AA4177" s="647">
        <v>4.17</v>
      </c>
      <c r="AB4177" s="647">
        <v>0.86599999999999999</v>
      </c>
      <c r="AC4177" s="862">
        <v>8.5</v>
      </c>
      <c r="AD4177" s="867">
        <v>440</v>
      </c>
      <c r="AE4177" s="867">
        <v>180</v>
      </c>
      <c r="AF4177" s="867">
        <v>380</v>
      </c>
      <c r="AG4177" s="66">
        <f t="shared" si="155"/>
        <v>168.14999999999998</v>
      </c>
      <c r="AH4177" s="143">
        <f t="shared" si="156"/>
        <v>1000</v>
      </c>
    </row>
    <row r="4178" spans="1:34" s="862" customFormat="1" x14ac:dyDescent="0.3">
      <c r="A4178" s="862">
        <v>204258</v>
      </c>
      <c r="B4178" s="863">
        <v>26.7</v>
      </c>
      <c r="C4178" s="863">
        <v>11.9</v>
      </c>
      <c r="D4178" s="647">
        <v>8.5</v>
      </c>
      <c r="E4178" s="1573">
        <v>0.115</v>
      </c>
      <c r="F4178" s="864">
        <v>126.50000000000003</v>
      </c>
      <c r="H4178" s="864">
        <v>2.16</v>
      </c>
      <c r="I4178" s="864">
        <v>260</v>
      </c>
      <c r="J4178" s="1816">
        <v>3.5000000000000003E-2</v>
      </c>
      <c r="K4178" s="863">
        <v>10.57</v>
      </c>
      <c r="L4178" s="862">
        <v>800</v>
      </c>
      <c r="M4178" s="862">
        <v>0.1</v>
      </c>
      <c r="N4178" s="862">
        <v>0.63</v>
      </c>
      <c r="O4178" s="862">
        <v>1.67</v>
      </c>
      <c r="P4178" s="862">
        <v>2.64</v>
      </c>
      <c r="R4178" s="647">
        <v>1.6444730000000001</v>
      </c>
      <c r="S4178" s="863">
        <v>12.1</v>
      </c>
      <c r="Y4178" s="1817">
        <v>36</v>
      </c>
      <c r="AA4178" s="647">
        <v>3.78</v>
      </c>
      <c r="AB4178" s="647">
        <v>0.76700000000000002</v>
      </c>
      <c r="AC4178" s="862">
        <v>7.5</v>
      </c>
      <c r="AD4178" s="867">
        <v>600</v>
      </c>
      <c r="AE4178" s="867">
        <v>260</v>
      </c>
      <c r="AF4178" s="867">
        <v>140</v>
      </c>
      <c r="AG4178" s="66">
        <f t="shared" si="155"/>
        <v>103.93833333333333</v>
      </c>
      <c r="AH4178" s="143">
        <f t="shared" si="156"/>
        <v>1000</v>
      </c>
    </row>
    <row r="4179" spans="1:34" s="862" customFormat="1" x14ac:dyDescent="0.3">
      <c r="A4179" s="862">
        <v>204259</v>
      </c>
      <c r="B4179" s="863">
        <v>22</v>
      </c>
      <c r="C4179" s="863">
        <v>11</v>
      </c>
      <c r="D4179" s="647">
        <v>8.58</v>
      </c>
      <c r="E4179" s="1573">
        <v>0.126</v>
      </c>
      <c r="F4179" s="864">
        <v>138.6</v>
      </c>
      <c r="H4179" s="864">
        <v>2.4700000000000002</v>
      </c>
      <c r="I4179" s="864">
        <v>200</v>
      </c>
      <c r="J4179" s="1816">
        <v>8.3000000000000004E-2</v>
      </c>
      <c r="K4179" s="863">
        <v>11.06</v>
      </c>
      <c r="L4179" s="862">
        <v>1240</v>
      </c>
      <c r="M4179" s="862">
        <v>0.09</v>
      </c>
      <c r="N4179" s="862">
        <v>0.74</v>
      </c>
      <c r="O4179" s="862">
        <v>1.17</v>
      </c>
      <c r="P4179" s="862">
        <v>2.8</v>
      </c>
      <c r="R4179" s="647">
        <v>1.2185982931295885</v>
      </c>
      <c r="S4179" s="863">
        <v>8.4</v>
      </c>
      <c r="Y4179" s="1817">
        <v>30</v>
      </c>
      <c r="AA4179" s="647">
        <v>4.8</v>
      </c>
      <c r="AB4179" s="647">
        <v>0.30399999999999999</v>
      </c>
      <c r="AC4179" s="862">
        <v>9.6999999999999993</v>
      </c>
      <c r="AD4179" s="867">
        <v>600</v>
      </c>
      <c r="AE4179" s="867">
        <v>280</v>
      </c>
      <c r="AF4179" s="867">
        <v>120</v>
      </c>
      <c r="AG4179" s="66">
        <f t="shared" si="155"/>
        <v>130.50799999999998</v>
      </c>
      <c r="AH4179" s="143">
        <f t="shared" si="156"/>
        <v>1000</v>
      </c>
    </row>
    <row r="4180" spans="1:34" s="862" customFormat="1" x14ac:dyDescent="0.3">
      <c r="A4180" s="862">
        <v>204260</v>
      </c>
      <c r="B4180" s="863">
        <v>20</v>
      </c>
      <c r="C4180" s="863">
        <v>8.9</v>
      </c>
      <c r="D4180" s="647">
        <v>8.39</v>
      </c>
      <c r="E4180" s="1573">
        <v>0.129</v>
      </c>
      <c r="F4180" s="864">
        <v>141.90000000000003</v>
      </c>
      <c r="H4180" s="864">
        <v>7.3</v>
      </c>
      <c r="I4180" s="864">
        <v>570</v>
      </c>
      <c r="J4180" s="1816">
        <v>3.7999999999999999E-2</v>
      </c>
      <c r="K4180" s="863">
        <v>11.27</v>
      </c>
      <c r="L4180" s="862">
        <v>630</v>
      </c>
      <c r="M4180" s="862">
        <v>0.2</v>
      </c>
      <c r="N4180" s="862">
        <v>0.83</v>
      </c>
      <c r="O4180" s="862">
        <v>2.7</v>
      </c>
      <c r="P4180" s="862">
        <v>3.08</v>
      </c>
      <c r="R4180" s="647">
        <v>1.8274250000000001</v>
      </c>
      <c r="S4180" s="863">
        <v>17.5</v>
      </c>
      <c r="Y4180" s="1817">
        <v>21</v>
      </c>
      <c r="AA4180" s="647">
        <v>4.5599999999999996</v>
      </c>
      <c r="AB4180" s="647">
        <v>0.74199999999999999</v>
      </c>
      <c r="AC4180" s="862">
        <v>11.7</v>
      </c>
      <c r="AD4180" s="867">
        <v>420</v>
      </c>
      <c r="AE4180" s="867">
        <v>220</v>
      </c>
      <c r="AF4180" s="867">
        <v>360</v>
      </c>
      <c r="AG4180" s="66">
        <f t="shared" si="155"/>
        <v>189.98</v>
      </c>
      <c r="AH4180" s="143">
        <f t="shared" si="156"/>
        <v>1000</v>
      </c>
    </row>
    <row r="4181" spans="1:34" s="862" customFormat="1" x14ac:dyDescent="0.3">
      <c r="A4181" s="862">
        <v>204261</v>
      </c>
      <c r="B4181" s="863">
        <v>26.2</v>
      </c>
      <c r="C4181" s="863">
        <v>13</v>
      </c>
      <c r="D4181" s="647">
        <v>8.52</v>
      </c>
      <c r="E4181" s="1573">
        <v>0.112</v>
      </c>
      <c r="F4181" s="864">
        <v>123.20000000000002</v>
      </c>
      <c r="H4181" s="864">
        <v>3.5</v>
      </c>
      <c r="I4181" s="864">
        <v>440</v>
      </c>
      <c r="J4181" s="1816">
        <v>7.6999999999999999E-2</v>
      </c>
      <c r="K4181" s="863">
        <v>11.73</v>
      </c>
      <c r="L4181" s="862">
        <v>910</v>
      </c>
      <c r="M4181" s="862">
        <v>7.0000000000000007E-2</v>
      </c>
      <c r="N4181" s="862">
        <v>0.62</v>
      </c>
      <c r="O4181" s="862">
        <v>1.9</v>
      </c>
      <c r="P4181" s="862">
        <v>2.5099999999999998</v>
      </c>
      <c r="R4181" s="647">
        <v>1.4534193344518027</v>
      </c>
      <c r="S4181" s="863">
        <v>10</v>
      </c>
      <c r="Y4181" s="1817">
        <v>36.4</v>
      </c>
      <c r="AA4181" s="647">
        <v>4.97</v>
      </c>
      <c r="AB4181" s="647">
        <v>0.627</v>
      </c>
      <c r="AC4181" s="862">
        <v>8.5</v>
      </c>
      <c r="AD4181" s="867">
        <v>520</v>
      </c>
      <c r="AE4181" s="867">
        <v>280</v>
      </c>
      <c r="AF4181" s="867">
        <v>200</v>
      </c>
      <c r="AG4181" s="66">
        <f t="shared" si="155"/>
        <v>114.07747252747254</v>
      </c>
      <c r="AH4181" s="143">
        <f t="shared" si="156"/>
        <v>1000</v>
      </c>
    </row>
    <row r="4182" spans="1:34" s="862" customFormat="1" x14ac:dyDescent="0.3">
      <c r="A4182" s="862">
        <v>204262</v>
      </c>
      <c r="B4182" s="863">
        <v>17.7</v>
      </c>
      <c r="C4182" s="863">
        <v>7.9</v>
      </c>
      <c r="D4182" s="647">
        <v>7.7</v>
      </c>
      <c r="E4182" s="1573">
        <v>2.29</v>
      </c>
      <c r="F4182" s="864">
        <v>2519</v>
      </c>
      <c r="H4182" s="864">
        <v>25.7</v>
      </c>
      <c r="I4182" s="864">
        <v>930</v>
      </c>
      <c r="J4182" s="1816">
        <v>3.5000000000000003E-2</v>
      </c>
      <c r="K4182" s="863">
        <v>19.829999999999998</v>
      </c>
      <c r="L4182" s="862">
        <v>630</v>
      </c>
      <c r="M4182" s="862">
        <v>0.19</v>
      </c>
      <c r="N4182" s="862">
        <v>0.74</v>
      </c>
      <c r="O4182" s="862">
        <v>1.78</v>
      </c>
      <c r="P4182" s="862">
        <v>1.47</v>
      </c>
      <c r="R4182" s="647">
        <v>1.0728129911486659</v>
      </c>
      <c r="S4182" s="863">
        <v>7.4</v>
      </c>
      <c r="Y4182" s="1817">
        <v>27.6</v>
      </c>
      <c r="AA4182" s="647">
        <v>3.93</v>
      </c>
      <c r="AB4182" s="647">
        <v>0.33700000000000002</v>
      </c>
      <c r="AC4182" s="862">
        <v>6.2</v>
      </c>
      <c r="AD4182" s="867">
        <v>460</v>
      </c>
      <c r="AE4182" s="867">
        <v>280</v>
      </c>
      <c r="AF4182" s="867">
        <v>260</v>
      </c>
      <c r="AG4182" s="66">
        <f t="shared" si="155"/>
        <v>254.34130434782605</v>
      </c>
      <c r="AH4182" s="143">
        <f t="shared" si="156"/>
        <v>1000</v>
      </c>
    </row>
    <row r="4183" spans="1:34" s="862" customFormat="1" x14ac:dyDescent="0.3">
      <c r="A4183" s="862">
        <v>204263</v>
      </c>
      <c r="B4183" s="863">
        <v>17.2</v>
      </c>
      <c r="C4183" s="863">
        <v>6.8</v>
      </c>
      <c r="D4183" s="647">
        <v>8.39</v>
      </c>
      <c r="E4183" s="1573">
        <v>0.48099999999999998</v>
      </c>
      <c r="F4183" s="864">
        <v>529.1</v>
      </c>
      <c r="H4183" s="864">
        <v>26.09</v>
      </c>
      <c r="I4183" s="864">
        <v>1070</v>
      </c>
      <c r="J4183" s="1816">
        <v>0.73699999999999999</v>
      </c>
      <c r="K4183" s="863">
        <v>11.27</v>
      </c>
      <c r="L4183" s="862">
        <v>790</v>
      </c>
      <c r="M4183" s="862">
        <v>0.34</v>
      </c>
      <c r="N4183" s="862">
        <v>1.1499999999999999</v>
      </c>
      <c r="O4183" s="862">
        <v>2.63</v>
      </c>
      <c r="P4183" s="862">
        <v>2.4300000000000002</v>
      </c>
      <c r="R4183" s="647">
        <v>1.5744170000000002</v>
      </c>
      <c r="S4183" s="863">
        <v>10.3</v>
      </c>
      <c r="Y4183" s="1817">
        <v>37.799999999999997</v>
      </c>
      <c r="AA4183" s="647">
        <v>3.58</v>
      </c>
      <c r="AB4183" s="647">
        <v>0.61</v>
      </c>
      <c r="AC4183" s="862">
        <v>7.1</v>
      </c>
      <c r="AD4183" s="867">
        <v>540</v>
      </c>
      <c r="AE4183" s="867">
        <v>300</v>
      </c>
      <c r="AF4183" s="867">
        <v>160</v>
      </c>
      <c r="AG4183" s="66">
        <f t="shared" si="155"/>
        <v>105.54444444444445</v>
      </c>
      <c r="AH4183" s="143">
        <f t="shared" si="156"/>
        <v>1000</v>
      </c>
    </row>
    <row r="4184" spans="1:34" s="862" customFormat="1" x14ac:dyDescent="0.3">
      <c r="A4184" s="862">
        <v>204264</v>
      </c>
      <c r="B4184" s="863">
        <v>15.2</v>
      </c>
      <c r="C4184" s="863">
        <v>6.6</v>
      </c>
      <c r="D4184" s="647">
        <v>8.5500000000000007</v>
      </c>
      <c r="E4184" s="1573">
        <v>0.41299999999999998</v>
      </c>
      <c r="F4184" s="864">
        <v>454.3</v>
      </c>
      <c r="H4184" s="864">
        <v>8.1</v>
      </c>
      <c r="I4184" s="864">
        <v>390</v>
      </c>
      <c r="J4184" s="1816">
        <v>0.76500000000000001</v>
      </c>
      <c r="K4184" s="863">
        <v>10.62</v>
      </c>
      <c r="L4184" s="862">
        <v>1480</v>
      </c>
      <c r="M4184" s="862">
        <v>0.42</v>
      </c>
      <c r="N4184" s="862">
        <v>1.19</v>
      </c>
      <c r="O4184" s="862">
        <v>3.87</v>
      </c>
      <c r="P4184" s="862">
        <v>2.94</v>
      </c>
      <c r="R4184" s="647">
        <v>1.674153</v>
      </c>
      <c r="S4184" s="863">
        <v>12.9</v>
      </c>
      <c r="Y4184" s="1817">
        <v>42</v>
      </c>
      <c r="AA4184" s="647">
        <v>4.83</v>
      </c>
      <c r="AB4184" s="647">
        <v>0.70399999999999996</v>
      </c>
      <c r="AC4184" s="862">
        <v>10.1</v>
      </c>
      <c r="AD4184" s="867">
        <v>600</v>
      </c>
      <c r="AE4184" s="867">
        <v>280</v>
      </c>
      <c r="AF4184" s="867">
        <v>120</v>
      </c>
      <c r="AG4184" s="66">
        <f t="shared" si="155"/>
        <v>89.511428571428567</v>
      </c>
      <c r="AH4184" s="143">
        <f t="shared" si="156"/>
        <v>1000</v>
      </c>
    </row>
    <row r="4185" spans="1:34" s="862" customFormat="1" x14ac:dyDescent="0.3">
      <c r="A4185" s="862">
        <v>204265</v>
      </c>
      <c r="B4185" s="863">
        <v>10</v>
      </c>
      <c r="C4185" s="863">
        <v>5.0999999999999996</v>
      </c>
      <c r="D4185" s="647">
        <v>8.52</v>
      </c>
      <c r="E4185" s="1573">
        <v>0.23300000000000001</v>
      </c>
      <c r="F4185" s="864">
        <v>256.3</v>
      </c>
      <c r="H4185" s="864">
        <v>8.36</v>
      </c>
      <c r="I4185" s="864">
        <v>180</v>
      </c>
      <c r="J4185" s="1816">
        <v>0.16400000000000001</v>
      </c>
      <c r="K4185" s="863">
        <v>9.9499999999999993</v>
      </c>
      <c r="L4185" s="862">
        <v>780</v>
      </c>
      <c r="M4185" s="862">
        <v>1.22</v>
      </c>
      <c r="N4185" s="862">
        <v>1.38</v>
      </c>
      <c r="O4185" s="862">
        <v>10.6</v>
      </c>
      <c r="P4185" s="862">
        <v>2.89</v>
      </c>
      <c r="R4185" s="647">
        <v>1.0532027064288834</v>
      </c>
      <c r="S4185" s="863">
        <v>7.1</v>
      </c>
      <c r="Y4185" s="1817">
        <v>27.6</v>
      </c>
      <c r="AA4185" s="647">
        <v>4.72</v>
      </c>
      <c r="AB4185" s="647">
        <v>0.66</v>
      </c>
      <c r="AC4185" s="862">
        <v>7.4</v>
      </c>
      <c r="AD4185" s="867">
        <v>460</v>
      </c>
      <c r="AE4185" s="867">
        <v>200</v>
      </c>
      <c r="AF4185" s="867">
        <v>340</v>
      </c>
      <c r="AG4185" s="66">
        <f t="shared" si="155"/>
        <v>127.61956521739128</v>
      </c>
      <c r="AH4185" s="143">
        <f t="shared" si="156"/>
        <v>1000</v>
      </c>
    </row>
    <row r="4186" spans="1:34" s="862" customFormat="1" x14ac:dyDescent="0.3">
      <c r="A4186" s="862">
        <v>204266</v>
      </c>
      <c r="B4186" s="863">
        <v>10.1</v>
      </c>
      <c r="C4186" s="863">
        <v>6.4</v>
      </c>
      <c r="D4186" s="647">
        <v>8.33</v>
      </c>
      <c r="E4186" s="1573">
        <v>0.20100000000000001</v>
      </c>
      <c r="F4186" s="864">
        <v>221.10000000000002</v>
      </c>
      <c r="H4186" s="864">
        <v>117.92</v>
      </c>
      <c r="I4186" s="864">
        <v>410</v>
      </c>
      <c r="J4186" s="1816">
        <v>0.13100000000000001</v>
      </c>
      <c r="K4186" s="863">
        <v>10.38</v>
      </c>
      <c r="L4186" s="862">
        <v>790</v>
      </c>
      <c r="M4186" s="862">
        <v>1.58</v>
      </c>
      <c r="N4186" s="862">
        <v>1.43</v>
      </c>
      <c r="O4186" s="862">
        <v>3.97</v>
      </c>
      <c r="P4186" s="862">
        <v>8.83</v>
      </c>
      <c r="R4186" s="647">
        <v>1.7099930000000001</v>
      </c>
      <c r="S4186" s="863">
        <v>13.899999999999999</v>
      </c>
      <c r="Y4186" s="1817">
        <v>36</v>
      </c>
      <c r="AA4186" s="647">
        <v>3.98</v>
      </c>
      <c r="AB4186" s="647">
        <v>0.40899999999999997</v>
      </c>
      <c r="AC4186" s="862">
        <v>7.3</v>
      </c>
      <c r="AD4186" s="867">
        <v>600</v>
      </c>
      <c r="AE4186" s="867">
        <v>280</v>
      </c>
      <c r="AF4186" s="867">
        <v>120</v>
      </c>
      <c r="AG4186" s="66">
        <f t="shared" si="155"/>
        <v>102.07000000000001</v>
      </c>
      <c r="AH4186" s="143">
        <f t="shared" si="156"/>
        <v>1000</v>
      </c>
    </row>
    <row r="4187" spans="1:34" s="862" customFormat="1" x14ac:dyDescent="0.3">
      <c r="A4187" s="862">
        <v>204267</v>
      </c>
      <c r="B4187" s="863">
        <v>9.3000000000000007</v>
      </c>
      <c r="C4187" s="863"/>
      <c r="D4187" s="647">
        <v>8.44</v>
      </c>
      <c r="E4187" s="1573">
        <v>0.16200000000000001</v>
      </c>
      <c r="F4187" s="864">
        <v>178.20000000000002</v>
      </c>
      <c r="H4187" s="864">
        <v>68.77</v>
      </c>
      <c r="I4187" s="864">
        <v>250</v>
      </c>
      <c r="J4187" s="1816">
        <v>6.8000000000000005E-2</v>
      </c>
      <c r="K4187" s="863">
        <v>8.66</v>
      </c>
      <c r="L4187" s="862">
        <v>510</v>
      </c>
      <c r="M4187" s="862">
        <v>1.45</v>
      </c>
      <c r="N4187" s="862">
        <v>1.59</v>
      </c>
      <c r="O4187" s="862">
        <v>14.91</v>
      </c>
      <c r="P4187" s="862">
        <v>6.03</v>
      </c>
      <c r="R4187" s="647">
        <v>1.2312870027522935</v>
      </c>
      <c r="S4187" s="863">
        <v>8.4</v>
      </c>
      <c r="Y4187" s="1817">
        <v>28</v>
      </c>
      <c r="AA4187" s="647">
        <v>4.8</v>
      </c>
      <c r="AB4187" s="647">
        <v>0.60499999999999998</v>
      </c>
      <c r="AC4187" s="862">
        <v>6.8</v>
      </c>
      <c r="AD4187" s="867">
        <v>400</v>
      </c>
      <c r="AE4187" s="867">
        <v>160</v>
      </c>
      <c r="AF4187" s="867">
        <v>440</v>
      </c>
      <c r="AG4187" s="66">
        <f t="shared" si="155"/>
        <v>109.48714285714287</v>
      </c>
      <c r="AH4187" s="143">
        <f t="shared" si="156"/>
        <v>1000</v>
      </c>
    </row>
    <row r="4188" spans="1:34" s="862" customFormat="1" x14ac:dyDescent="0.3">
      <c r="A4188" s="862">
        <v>204268</v>
      </c>
      <c r="B4188" s="863">
        <v>21</v>
      </c>
      <c r="C4188" s="863">
        <v>9.5</v>
      </c>
      <c r="D4188" s="647">
        <v>8.24</v>
      </c>
      <c r="E4188" s="1573">
        <v>0.245</v>
      </c>
      <c r="F4188" s="864">
        <v>269.5</v>
      </c>
      <c r="H4188" s="864">
        <v>40.21</v>
      </c>
      <c r="I4188" s="864">
        <v>540</v>
      </c>
      <c r="J4188" s="1816">
        <v>4.1000000000000002E-2</v>
      </c>
      <c r="K4188" s="863">
        <v>9.81</v>
      </c>
      <c r="L4188" s="862">
        <v>310</v>
      </c>
      <c r="M4188" s="862">
        <v>1.1000000000000001</v>
      </c>
      <c r="N4188" s="862">
        <v>0.83</v>
      </c>
      <c r="O4188" s="862">
        <v>8.5</v>
      </c>
      <c r="P4188" s="862">
        <v>2.5</v>
      </c>
      <c r="R4188" s="647">
        <v>1.6177680000000001</v>
      </c>
      <c r="S4188" s="863">
        <v>11.399999999999999</v>
      </c>
      <c r="Y4188" s="1817">
        <v>24</v>
      </c>
      <c r="AA4188" s="647">
        <v>4.09</v>
      </c>
      <c r="AB4188" s="647">
        <v>0.70199999999999996</v>
      </c>
      <c r="AC4188" s="862">
        <v>8.3000000000000007</v>
      </c>
      <c r="AD4188" s="867">
        <v>400</v>
      </c>
      <c r="AE4188" s="867">
        <v>120</v>
      </c>
      <c r="AF4188" s="867">
        <v>480</v>
      </c>
      <c r="AG4188" s="66">
        <f t="shared" si="155"/>
        <v>144.69750000000002</v>
      </c>
      <c r="AH4188" s="143">
        <f t="shared" si="156"/>
        <v>1000</v>
      </c>
    </row>
    <row r="4189" spans="1:34" s="862" customFormat="1" x14ac:dyDescent="0.3">
      <c r="A4189" s="862">
        <v>204269</v>
      </c>
      <c r="B4189" s="863">
        <v>20.3</v>
      </c>
      <c r="C4189" s="863">
        <v>7.9</v>
      </c>
      <c r="D4189" s="647">
        <v>8.25</v>
      </c>
      <c r="E4189" s="1573">
        <v>0.16600000000000001</v>
      </c>
      <c r="F4189" s="864">
        <v>182.60000000000002</v>
      </c>
      <c r="H4189" s="864">
        <v>28.88</v>
      </c>
      <c r="I4189" s="864">
        <v>350</v>
      </c>
      <c r="J4189" s="1816">
        <v>1.6E-2</v>
      </c>
      <c r="K4189" s="863">
        <v>10.07</v>
      </c>
      <c r="L4189" s="862">
        <v>260</v>
      </c>
      <c r="M4189" s="862">
        <v>0.91</v>
      </c>
      <c r="N4189" s="862">
        <v>0.72</v>
      </c>
      <c r="O4189" s="862">
        <v>6.73</v>
      </c>
      <c r="P4189" s="862">
        <v>2.56</v>
      </c>
      <c r="R4189" s="647">
        <v>1.3189061203293668</v>
      </c>
      <c r="S4189" s="863">
        <v>9.8000000000000007</v>
      </c>
      <c r="Y4189" s="1817">
        <v>19</v>
      </c>
      <c r="AA4189" s="647">
        <v>3.79</v>
      </c>
      <c r="AB4189" s="647">
        <v>0.67</v>
      </c>
      <c r="AC4189" s="862">
        <v>9.1</v>
      </c>
      <c r="AD4189" s="867">
        <v>380</v>
      </c>
      <c r="AE4189" s="867">
        <v>160</v>
      </c>
      <c r="AF4189" s="867">
        <v>460</v>
      </c>
      <c r="AG4189" s="66">
        <f t="shared" si="155"/>
        <v>187.62</v>
      </c>
      <c r="AH4189" s="143">
        <f t="shared" si="156"/>
        <v>1000</v>
      </c>
    </row>
    <row r="4190" spans="1:34" s="862" customFormat="1" x14ac:dyDescent="0.3">
      <c r="A4190" s="862">
        <v>204270</v>
      </c>
      <c r="B4190" s="863">
        <v>6.7</v>
      </c>
      <c r="C4190" s="863"/>
      <c r="D4190" s="647">
        <v>7.87</v>
      </c>
      <c r="E4190" s="1573">
        <v>0.36</v>
      </c>
      <c r="F4190" s="864">
        <v>396</v>
      </c>
      <c r="H4190" s="864">
        <v>467.8</v>
      </c>
      <c r="I4190" s="864">
        <v>140</v>
      </c>
      <c r="J4190" s="1816">
        <v>0.122</v>
      </c>
      <c r="K4190" s="863">
        <v>5.99</v>
      </c>
      <c r="L4190" s="862">
        <v>610</v>
      </c>
      <c r="M4190" s="862">
        <v>1.94</v>
      </c>
      <c r="N4190" s="862">
        <v>5.51</v>
      </c>
      <c r="O4190" s="862">
        <v>3.25</v>
      </c>
      <c r="P4190" s="862">
        <v>3.86</v>
      </c>
      <c r="R4190" s="647">
        <v>1.6022000000000001</v>
      </c>
      <c r="S4190" s="863">
        <v>11</v>
      </c>
      <c r="Y4190" s="1817">
        <v>4</v>
      </c>
      <c r="AA4190" s="647">
        <v>4.17</v>
      </c>
      <c r="AB4190" s="647">
        <v>0.28799999999999998</v>
      </c>
      <c r="AC4190" s="862">
        <v>9.8000000000000007</v>
      </c>
      <c r="AD4190" s="867">
        <v>80</v>
      </c>
      <c r="AE4190" s="867">
        <v>60</v>
      </c>
      <c r="AF4190" s="867">
        <v>860</v>
      </c>
      <c r="AG4190" s="66">
        <f t="shared" si="155"/>
        <v>530.11500000000001</v>
      </c>
      <c r="AH4190" s="143">
        <f t="shared" si="156"/>
        <v>1000</v>
      </c>
    </row>
    <row r="4191" spans="1:34" s="862" customFormat="1" x14ac:dyDescent="0.3">
      <c r="A4191" s="862">
        <v>204271</v>
      </c>
      <c r="B4191" s="863">
        <v>5.6</v>
      </c>
      <c r="C4191" s="863"/>
      <c r="D4191" s="647">
        <v>7.88</v>
      </c>
      <c r="E4191" s="1573">
        <v>0.34499999999999997</v>
      </c>
      <c r="F4191" s="864">
        <v>379.5</v>
      </c>
      <c r="H4191" s="864">
        <v>446.88</v>
      </c>
      <c r="I4191" s="864">
        <v>130</v>
      </c>
      <c r="J4191" s="1816">
        <v>0.11799999999999999</v>
      </c>
      <c r="K4191" s="863">
        <v>5.68</v>
      </c>
      <c r="L4191" s="862">
        <v>650</v>
      </c>
      <c r="M4191" s="862">
        <v>3.13</v>
      </c>
      <c r="N4191" s="862">
        <v>6.87</v>
      </c>
      <c r="O4191" s="862">
        <v>3.15</v>
      </c>
      <c r="P4191" s="862">
        <v>4.05</v>
      </c>
      <c r="R4191" s="647">
        <v>1.6061130000000001</v>
      </c>
      <c r="S4191" s="863">
        <v>11.100000000000001</v>
      </c>
      <c r="Y4191" s="1817">
        <v>4</v>
      </c>
      <c r="AA4191" s="647">
        <v>3.66</v>
      </c>
      <c r="AB4191" s="647">
        <v>0.89</v>
      </c>
      <c r="AC4191" s="862">
        <v>6.2</v>
      </c>
      <c r="AD4191" s="867">
        <v>80</v>
      </c>
      <c r="AE4191" s="867">
        <v>60</v>
      </c>
      <c r="AF4191" s="867">
        <v>860</v>
      </c>
      <c r="AG4191" s="66">
        <f t="shared" si="155"/>
        <v>502.67999999999995</v>
      </c>
      <c r="AH4191" s="143">
        <f t="shared" si="156"/>
        <v>1000</v>
      </c>
    </row>
    <row r="4192" spans="1:34" s="862" customFormat="1" x14ac:dyDescent="0.3">
      <c r="A4192" s="862">
        <v>204272</v>
      </c>
      <c r="B4192" s="863">
        <v>4.5</v>
      </c>
      <c r="C4192" s="863"/>
      <c r="D4192" s="647">
        <v>7.93</v>
      </c>
      <c r="E4192" s="1573">
        <v>0.33200000000000002</v>
      </c>
      <c r="F4192" s="864">
        <v>365.20000000000005</v>
      </c>
      <c r="H4192" s="864">
        <v>437.78</v>
      </c>
      <c r="I4192" s="864">
        <v>140</v>
      </c>
      <c r="J4192" s="1816">
        <v>0.104</v>
      </c>
      <c r="K4192" s="863">
        <v>4.4400000000000004</v>
      </c>
      <c r="L4192" s="862">
        <v>710</v>
      </c>
      <c r="M4192" s="862">
        <v>2.89</v>
      </c>
      <c r="N4192" s="862">
        <v>9.02</v>
      </c>
      <c r="O4192" s="862">
        <v>2.3199999999999998</v>
      </c>
      <c r="P4192" s="862">
        <v>4.32</v>
      </c>
      <c r="R4192" s="647">
        <v>1.0581300643488136</v>
      </c>
      <c r="S4192" s="863">
        <v>6.8999999999999995</v>
      </c>
      <c r="Y4192" s="1817">
        <v>4.8</v>
      </c>
      <c r="AA4192" s="647">
        <v>4.51</v>
      </c>
      <c r="AB4192" s="647">
        <v>0.35199999999999998</v>
      </c>
      <c r="AC4192" s="862">
        <v>10.3</v>
      </c>
      <c r="AD4192" s="867">
        <v>80</v>
      </c>
      <c r="AE4192" s="867">
        <v>60</v>
      </c>
      <c r="AF4192" s="867">
        <v>860</v>
      </c>
      <c r="AG4192" s="66">
        <f t="shared" si="155"/>
        <v>327.45</v>
      </c>
      <c r="AH4192" s="143">
        <f t="shared" si="156"/>
        <v>1000</v>
      </c>
    </row>
    <row r="4193" spans="1:34" s="862" customFormat="1" x14ac:dyDescent="0.3">
      <c r="A4193" s="862">
        <v>204273</v>
      </c>
      <c r="B4193" s="863">
        <v>8.3000000000000007</v>
      </c>
      <c r="C4193" s="863"/>
      <c r="D4193" s="647">
        <v>7.75</v>
      </c>
      <c r="E4193" s="1573">
        <v>0.79500000000000004</v>
      </c>
      <c r="F4193" s="864">
        <v>874.50000000000011</v>
      </c>
      <c r="H4193" s="864">
        <v>649.66</v>
      </c>
      <c r="I4193" s="864">
        <v>420</v>
      </c>
      <c r="J4193" s="1816">
        <v>0.32600000000000001</v>
      </c>
      <c r="K4193" s="863">
        <v>8.11</v>
      </c>
      <c r="L4193" s="862">
        <v>1530</v>
      </c>
      <c r="M4193" s="862">
        <v>20.14</v>
      </c>
      <c r="N4193" s="862">
        <v>4.08</v>
      </c>
      <c r="O4193" s="862">
        <v>5.55</v>
      </c>
      <c r="P4193" s="862">
        <v>13.75</v>
      </c>
      <c r="R4193" s="647">
        <v>1.8902570000000001</v>
      </c>
      <c r="S4193" s="863">
        <v>19.7</v>
      </c>
      <c r="Y4193" s="1817">
        <v>32.200000000000003</v>
      </c>
      <c r="AA4193" s="647">
        <v>4.17</v>
      </c>
      <c r="AB4193" s="647">
        <v>0.77500000000000002</v>
      </c>
      <c r="AC4193" s="862">
        <v>10.199999999999999</v>
      </c>
      <c r="AD4193" s="867">
        <v>460</v>
      </c>
      <c r="AE4193" s="867">
        <v>260</v>
      </c>
      <c r="AF4193" s="867">
        <v>280</v>
      </c>
      <c r="AG4193" s="66">
        <f t="shared" si="155"/>
        <v>89.159627329192546</v>
      </c>
      <c r="AH4193" s="143">
        <f t="shared" si="156"/>
        <v>1000</v>
      </c>
    </row>
    <row r="4194" spans="1:34" s="862" customFormat="1" x14ac:dyDescent="0.3">
      <c r="A4194" s="862">
        <v>204274</v>
      </c>
      <c r="B4194" s="863">
        <v>1.8</v>
      </c>
      <c r="C4194" s="863"/>
      <c r="D4194" s="647">
        <v>8.0299999999999994</v>
      </c>
      <c r="E4194" s="1573">
        <v>0.27400000000000002</v>
      </c>
      <c r="F4194" s="864">
        <v>301.40000000000003</v>
      </c>
      <c r="H4194" s="864">
        <v>755.96</v>
      </c>
      <c r="I4194" s="864">
        <v>620</v>
      </c>
      <c r="J4194" s="1816">
        <v>9.7000000000000003E-2</v>
      </c>
      <c r="K4194" s="863">
        <v>5.42</v>
      </c>
      <c r="L4194" s="862">
        <v>1300</v>
      </c>
      <c r="M4194" s="862">
        <v>17.04</v>
      </c>
      <c r="N4194" s="862">
        <v>2.9</v>
      </c>
      <c r="O4194" s="862">
        <v>3.59</v>
      </c>
      <c r="P4194" s="862">
        <v>6.21</v>
      </c>
      <c r="R4194" s="647">
        <v>1.5943320000000001</v>
      </c>
      <c r="S4194" s="863">
        <v>10.8</v>
      </c>
      <c r="Y4194" s="1817">
        <v>29.4</v>
      </c>
      <c r="AA4194" s="647">
        <v>4.5199999999999996</v>
      </c>
      <c r="AB4194" s="647">
        <v>0.84499999999999997</v>
      </c>
      <c r="AC4194" s="862">
        <v>10</v>
      </c>
      <c r="AD4194" s="867">
        <v>420</v>
      </c>
      <c r="AE4194" s="867">
        <v>280</v>
      </c>
      <c r="AF4194" s="867">
        <v>300</v>
      </c>
      <c r="AG4194" s="66">
        <f t="shared" si="155"/>
        <v>65.261224489795921</v>
      </c>
      <c r="AH4194" s="143">
        <f t="shared" si="156"/>
        <v>1000</v>
      </c>
    </row>
    <row r="4195" spans="1:34" s="862" customFormat="1" x14ac:dyDescent="0.3">
      <c r="A4195" s="862">
        <v>204275</v>
      </c>
      <c r="B4195" s="863">
        <v>5.2</v>
      </c>
      <c r="C4195" s="863"/>
      <c r="D4195" s="647">
        <v>8.1999999999999993</v>
      </c>
      <c r="E4195" s="1573">
        <v>0.375</v>
      </c>
      <c r="F4195" s="864">
        <v>412.50000000000006</v>
      </c>
      <c r="H4195" s="864">
        <v>818.6</v>
      </c>
      <c r="I4195" s="864">
        <v>710</v>
      </c>
      <c r="J4195" s="1816">
        <v>0.15</v>
      </c>
      <c r="K4195" s="863">
        <v>7.99</v>
      </c>
      <c r="L4195" s="862">
        <v>1720</v>
      </c>
      <c r="M4195" s="862">
        <v>13.34</v>
      </c>
      <c r="N4195" s="862">
        <v>2.3199999999999998</v>
      </c>
      <c r="O4195" s="862">
        <v>3.25</v>
      </c>
      <c r="P4195" s="862">
        <v>3.08</v>
      </c>
      <c r="R4195" s="647">
        <v>1.9140080000000002</v>
      </c>
      <c r="S4195" s="863">
        <v>20.6</v>
      </c>
      <c r="Y4195" s="1817">
        <v>23</v>
      </c>
      <c r="AA4195" s="647">
        <v>4.78</v>
      </c>
      <c r="AB4195" s="647">
        <v>0.72699999999999998</v>
      </c>
      <c r="AC4195" s="862">
        <v>11.3</v>
      </c>
      <c r="AD4195" s="867">
        <v>460</v>
      </c>
      <c r="AE4195" s="867">
        <v>280</v>
      </c>
      <c r="AF4195" s="867">
        <v>260</v>
      </c>
      <c r="AG4195" s="66">
        <f t="shared" si="155"/>
        <v>122.97652173913043</v>
      </c>
      <c r="AH4195" s="143">
        <f t="shared" si="156"/>
        <v>1000</v>
      </c>
    </row>
    <row r="4196" spans="1:34" s="862" customFormat="1" x14ac:dyDescent="0.3">
      <c r="A4196" s="862">
        <v>204276</v>
      </c>
      <c r="B4196" s="863">
        <v>5.9</v>
      </c>
      <c r="C4196" s="863"/>
      <c r="D4196" s="647">
        <v>8.94</v>
      </c>
      <c r="E4196" s="1573">
        <v>0.18099999999999999</v>
      </c>
      <c r="F4196" s="864">
        <v>199.1</v>
      </c>
      <c r="H4196" s="864">
        <v>188.04</v>
      </c>
      <c r="I4196" s="864">
        <v>140</v>
      </c>
      <c r="J4196" s="1816">
        <v>0.2</v>
      </c>
      <c r="K4196" s="863">
        <v>5.66</v>
      </c>
      <c r="L4196" s="862">
        <v>720</v>
      </c>
      <c r="M4196" s="862">
        <v>3.98</v>
      </c>
      <c r="N4196" s="862">
        <v>1.45</v>
      </c>
      <c r="O4196" s="862">
        <v>2.37</v>
      </c>
      <c r="P4196" s="862">
        <v>2.2000000000000002</v>
      </c>
      <c r="R4196" s="647">
        <v>0.97781441650539402</v>
      </c>
      <c r="S4196" s="863">
        <v>6.8000000000000007</v>
      </c>
      <c r="Y4196" s="1817">
        <v>7</v>
      </c>
      <c r="AA4196" s="647">
        <v>4.9800000000000004</v>
      </c>
      <c r="AB4196" s="647">
        <v>0.77500000000000002</v>
      </c>
      <c r="AC4196" s="862">
        <v>6.4</v>
      </c>
      <c r="AD4196" s="867">
        <v>100</v>
      </c>
      <c r="AE4196" s="867">
        <v>60</v>
      </c>
      <c r="AF4196" s="867">
        <v>840</v>
      </c>
      <c r="AG4196" s="66">
        <f t="shared" si="155"/>
        <v>286.2342857142857</v>
      </c>
      <c r="AH4196" s="143">
        <f t="shared" si="156"/>
        <v>1000</v>
      </c>
    </row>
    <row r="4197" spans="1:34" s="862" customFormat="1" x14ac:dyDescent="0.3">
      <c r="A4197" s="862">
        <v>204277</v>
      </c>
      <c r="B4197" s="863">
        <v>5.4</v>
      </c>
      <c r="C4197" s="863"/>
      <c r="D4197" s="647">
        <v>8.36</v>
      </c>
      <c r="E4197" s="1573">
        <v>0.312</v>
      </c>
      <c r="F4197" s="864">
        <v>343.2</v>
      </c>
      <c r="H4197" s="864">
        <v>358.54</v>
      </c>
      <c r="I4197" s="864">
        <v>170</v>
      </c>
      <c r="J4197" s="1816">
        <v>0.124</v>
      </c>
      <c r="K4197" s="863">
        <v>6.82</v>
      </c>
      <c r="L4197" s="862">
        <v>660</v>
      </c>
      <c r="M4197" s="862">
        <v>2.83</v>
      </c>
      <c r="N4197" s="862">
        <v>0.8</v>
      </c>
      <c r="O4197" s="862">
        <v>4.32</v>
      </c>
      <c r="P4197" s="862">
        <v>4.1100000000000003</v>
      </c>
      <c r="R4197" s="647">
        <v>1.6100120000000002</v>
      </c>
      <c r="S4197" s="863">
        <v>11.200000000000001</v>
      </c>
      <c r="Y4197" s="1817">
        <v>6</v>
      </c>
      <c r="AA4197" s="647">
        <v>4.6399999999999997</v>
      </c>
      <c r="AB4197" s="647">
        <v>0.40600000000000003</v>
      </c>
      <c r="AC4197" s="862">
        <v>9.6</v>
      </c>
      <c r="AD4197" s="867">
        <v>100</v>
      </c>
      <c r="AE4197" s="867">
        <v>60</v>
      </c>
      <c r="AF4197" s="867">
        <v>840</v>
      </c>
      <c r="AG4197" s="66">
        <f t="shared" si="155"/>
        <v>402.38000000000005</v>
      </c>
      <c r="AH4197" s="143">
        <f t="shared" si="156"/>
        <v>1000</v>
      </c>
    </row>
    <row r="4198" spans="1:34" s="862" customFormat="1" x14ac:dyDescent="0.3">
      <c r="A4198" s="862">
        <v>204278</v>
      </c>
      <c r="B4198" s="863">
        <v>5.4</v>
      </c>
      <c r="C4198" s="863"/>
      <c r="D4198" s="647">
        <v>8.33</v>
      </c>
      <c r="E4198" s="1573">
        <v>0.27500000000000002</v>
      </c>
      <c r="F4198" s="864">
        <v>302.50000000000006</v>
      </c>
      <c r="H4198" s="864">
        <v>436.56</v>
      </c>
      <c r="I4198" s="864">
        <v>160</v>
      </c>
      <c r="J4198" s="1816">
        <v>0.13</v>
      </c>
      <c r="K4198" s="863">
        <v>6.49</v>
      </c>
      <c r="L4198" s="862">
        <v>720</v>
      </c>
      <c r="M4198" s="862">
        <v>9.3699999999999992</v>
      </c>
      <c r="N4198" s="862">
        <v>2.11</v>
      </c>
      <c r="O4198" s="862">
        <v>3.92</v>
      </c>
      <c r="P4198" s="862">
        <v>7.08</v>
      </c>
      <c r="R4198" s="647">
        <v>1.373576686730583</v>
      </c>
      <c r="S4198" s="863">
        <v>10</v>
      </c>
      <c r="Y4198" s="1817">
        <v>8.4</v>
      </c>
      <c r="AA4198" s="647">
        <v>4.54</v>
      </c>
      <c r="AB4198" s="647">
        <v>0.57099999999999995</v>
      </c>
      <c r="AC4198" s="862">
        <v>11.7</v>
      </c>
      <c r="AD4198" s="867">
        <v>120</v>
      </c>
      <c r="AE4198" s="867">
        <v>80</v>
      </c>
      <c r="AF4198" s="867">
        <v>800</v>
      </c>
      <c r="AG4198" s="66">
        <f t="shared" si="155"/>
        <v>273.50714285714287</v>
      </c>
      <c r="AH4198" s="143">
        <f t="shared" si="156"/>
        <v>1000</v>
      </c>
    </row>
    <row r="4199" spans="1:34" s="862" customFormat="1" x14ac:dyDescent="0.3">
      <c r="A4199" s="862">
        <v>204279</v>
      </c>
      <c r="B4199" s="863">
        <v>6</v>
      </c>
      <c r="C4199" s="863"/>
      <c r="D4199" s="647">
        <v>8.0399999999999991</v>
      </c>
      <c r="E4199" s="1573">
        <v>0.49299999999999999</v>
      </c>
      <c r="F4199" s="864">
        <v>542.29999999999995</v>
      </c>
      <c r="H4199" s="864">
        <v>550.24</v>
      </c>
      <c r="I4199" s="864">
        <v>730</v>
      </c>
      <c r="J4199" s="1816">
        <v>0.13400000000000001</v>
      </c>
      <c r="K4199" s="863">
        <v>6.19</v>
      </c>
      <c r="L4199" s="862">
        <v>790</v>
      </c>
      <c r="M4199" s="862">
        <v>9.51</v>
      </c>
      <c r="N4199" s="862">
        <v>2.65</v>
      </c>
      <c r="O4199" s="862">
        <v>5.41</v>
      </c>
      <c r="P4199" s="862">
        <v>7.83</v>
      </c>
      <c r="R4199" s="647">
        <v>1.6886570000000001</v>
      </c>
      <c r="S4199" s="863">
        <v>13.3</v>
      </c>
      <c r="Y4199" s="1817">
        <v>4</v>
      </c>
      <c r="AA4199" s="647">
        <v>4.04</v>
      </c>
      <c r="AB4199" s="647">
        <v>0.26400000000000001</v>
      </c>
      <c r="AC4199" s="862">
        <v>8.1999999999999993</v>
      </c>
      <c r="AD4199" s="867">
        <v>80</v>
      </c>
      <c r="AE4199" s="867">
        <v>60</v>
      </c>
      <c r="AF4199" s="867">
        <v>860</v>
      </c>
      <c r="AG4199" s="66">
        <f t="shared" si="155"/>
        <v>547.81500000000005</v>
      </c>
      <c r="AH4199" s="143">
        <f t="shared" si="156"/>
        <v>1000</v>
      </c>
    </row>
    <row r="4200" spans="1:34" s="862" customFormat="1" x14ac:dyDescent="0.3">
      <c r="A4200" s="862">
        <v>204280</v>
      </c>
      <c r="B4200" s="863">
        <v>9.5</v>
      </c>
      <c r="C4200" s="863"/>
      <c r="D4200" s="647">
        <v>8.07</v>
      </c>
      <c r="E4200" s="1573">
        <v>0.42799999999999999</v>
      </c>
      <c r="F4200" s="864">
        <v>470.80000000000007</v>
      </c>
      <c r="H4200" s="864">
        <v>774.88</v>
      </c>
      <c r="I4200" s="864">
        <v>230</v>
      </c>
      <c r="J4200" s="1816">
        <v>0.14799999999999999</v>
      </c>
      <c r="K4200" s="863">
        <v>6.45</v>
      </c>
      <c r="L4200" s="862">
        <v>980</v>
      </c>
      <c r="M4200" s="862">
        <v>7.12</v>
      </c>
      <c r="N4200" s="862">
        <v>1.52</v>
      </c>
      <c r="O4200" s="862">
        <v>5.98</v>
      </c>
      <c r="P4200" s="862">
        <v>8.4</v>
      </c>
      <c r="R4200" s="647">
        <v>1.873793</v>
      </c>
      <c r="S4200" s="863">
        <v>19.099999999999998</v>
      </c>
      <c r="Y4200" s="1817">
        <v>6</v>
      </c>
      <c r="AA4200" s="647">
        <v>3.94</v>
      </c>
      <c r="AB4200" s="647">
        <v>0.42299999999999999</v>
      </c>
      <c r="AC4200" s="862">
        <v>11.3</v>
      </c>
      <c r="AD4200" s="867">
        <v>100</v>
      </c>
      <c r="AE4200" s="867">
        <v>60</v>
      </c>
      <c r="AF4200" s="867">
        <v>840</v>
      </c>
      <c r="AG4200" s="66">
        <f t="shared" si="155"/>
        <v>380.55</v>
      </c>
      <c r="AH4200" s="143">
        <f t="shared" si="156"/>
        <v>1000</v>
      </c>
    </row>
    <row r="4201" spans="1:34" s="862" customFormat="1" ht="21.75" customHeight="1" x14ac:dyDescent="0.3">
      <c r="A4201" s="862">
        <v>204281</v>
      </c>
      <c r="B4201" s="863">
        <v>29.3</v>
      </c>
      <c r="C4201" s="863">
        <v>13.625000000000004</v>
      </c>
      <c r="D4201" s="647">
        <v>7.9</v>
      </c>
      <c r="E4201" s="1573">
        <v>1.1319999999999999</v>
      </c>
      <c r="F4201" s="864">
        <v>1245.2</v>
      </c>
      <c r="H4201" s="864">
        <v>36.299999999999997</v>
      </c>
      <c r="I4201" s="864">
        <v>490</v>
      </c>
      <c r="J4201" s="1816">
        <v>0.40300000000000002</v>
      </c>
      <c r="K4201" s="863">
        <v>11.18</v>
      </c>
      <c r="L4201" s="862">
        <v>1190</v>
      </c>
      <c r="M4201" s="862">
        <v>0.46</v>
      </c>
      <c r="N4201" s="862">
        <v>0.59</v>
      </c>
      <c r="O4201" s="862">
        <v>3.54</v>
      </c>
      <c r="P4201" s="862">
        <v>1.64</v>
      </c>
      <c r="R4201" s="647">
        <v>1.5903770000000002</v>
      </c>
      <c r="S4201" s="863">
        <v>10.700000000000001</v>
      </c>
      <c r="Y4201" s="1817">
        <v>21</v>
      </c>
      <c r="AA4201" s="647">
        <v>3.85</v>
      </c>
      <c r="AB4201" s="647">
        <v>0.53400000000000003</v>
      </c>
      <c r="AC4201" s="862">
        <v>9.3000000000000007</v>
      </c>
      <c r="AD4201" s="867">
        <v>420</v>
      </c>
      <c r="AE4201" s="867">
        <v>220</v>
      </c>
      <c r="AF4201" s="867">
        <v>360</v>
      </c>
      <c r="AG4201" s="66">
        <f t="shared" si="155"/>
        <v>188.46285714285713</v>
      </c>
      <c r="AH4201" s="143">
        <f t="shared" si="156"/>
        <v>1000</v>
      </c>
    </row>
    <row r="4202" spans="1:34" s="862" customFormat="1" x14ac:dyDescent="0.3">
      <c r="A4202" s="862">
        <v>204282</v>
      </c>
      <c r="B4202" s="863">
        <v>43.3</v>
      </c>
      <c r="C4202" s="863">
        <v>14.250000000000004</v>
      </c>
      <c r="D4202" s="647">
        <v>7.93</v>
      </c>
      <c r="E4202" s="1573">
        <v>0.63300000000000001</v>
      </c>
      <c r="F4202" s="864">
        <v>696.30000000000007</v>
      </c>
      <c r="H4202" s="864">
        <v>56.75</v>
      </c>
      <c r="I4202" s="864">
        <v>410</v>
      </c>
      <c r="J4202" s="1816">
        <v>0.36199999999999999</v>
      </c>
      <c r="K4202" s="863">
        <v>10.09</v>
      </c>
      <c r="L4202" s="862">
        <v>1110</v>
      </c>
      <c r="M4202" s="862">
        <v>1.08</v>
      </c>
      <c r="N4202" s="862">
        <v>1.1000000000000001</v>
      </c>
      <c r="O4202" s="862">
        <v>3.46</v>
      </c>
      <c r="P4202" s="862">
        <v>2.14</v>
      </c>
      <c r="R4202" s="647">
        <v>1.931697</v>
      </c>
      <c r="S4202" s="863">
        <v>21.299999999999997</v>
      </c>
      <c r="Y4202" s="1817">
        <v>22.8</v>
      </c>
      <c r="AA4202" s="647">
        <v>4.8</v>
      </c>
      <c r="AB4202" s="647">
        <v>0.86899999999999999</v>
      </c>
      <c r="AC4202" s="862">
        <v>6.3</v>
      </c>
      <c r="AD4202" s="867">
        <v>380</v>
      </c>
      <c r="AE4202" s="867">
        <v>180</v>
      </c>
      <c r="AF4202" s="867">
        <v>440</v>
      </c>
      <c r="AG4202" s="66">
        <f t="shared" si="155"/>
        <v>156.66052631578947</v>
      </c>
      <c r="AH4202" s="143">
        <f t="shared" si="156"/>
        <v>1000</v>
      </c>
    </row>
    <row r="4203" spans="1:34" s="862" customFormat="1" x14ac:dyDescent="0.3">
      <c r="A4203" s="862">
        <v>204283</v>
      </c>
      <c r="B4203" s="863">
        <v>36.700000000000003</v>
      </c>
      <c r="C4203" s="863">
        <v>13.625000000000004</v>
      </c>
      <c r="D4203" s="647">
        <v>8.24</v>
      </c>
      <c r="E4203" s="1573">
        <v>0.32300000000000001</v>
      </c>
      <c r="F4203" s="864">
        <v>355.30000000000007</v>
      </c>
      <c r="H4203" s="864">
        <v>57.02</v>
      </c>
      <c r="I4203" s="864">
        <v>480</v>
      </c>
      <c r="J4203" s="1816">
        <v>0.20100000000000001</v>
      </c>
      <c r="K4203" s="863">
        <v>10.45</v>
      </c>
      <c r="L4203" s="862">
        <v>1220</v>
      </c>
      <c r="M4203" s="862">
        <v>1.05</v>
      </c>
      <c r="N4203" s="862">
        <v>1.41</v>
      </c>
      <c r="O4203" s="862">
        <v>3.54</v>
      </c>
      <c r="P4203" s="862">
        <v>2.8</v>
      </c>
      <c r="R4203" s="647">
        <v>1.9140080000000002</v>
      </c>
      <c r="S4203" s="863">
        <v>20.6</v>
      </c>
      <c r="Y4203" s="1817">
        <v>24</v>
      </c>
      <c r="AA4203" s="647">
        <v>3.86</v>
      </c>
      <c r="AB4203" s="647">
        <v>0.26600000000000001</v>
      </c>
      <c r="AC4203" s="862">
        <v>10.7</v>
      </c>
      <c r="AD4203" s="867">
        <v>400</v>
      </c>
      <c r="AE4203" s="867">
        <v>170</v>
      </c>
      <c r="AF4203" s="867">
        <v>430</v>
      </c>
      <c r="AG4203" s="66">
        <f t="shared" si="155"/>
        <v>154.13749999999996</v>
      </c>
      <c r="AH4203" s="143">
        <f t="shared" si="156"/>
        <v>1000</v>
      </c>
    </row>
    <row r="4204" spans="1:34" s="862" customFormat="1" x14ac:dyDescent="0.3">
      <c r="A4204" s="862">
        <v>204284</v>
      </c>
      <c r="B4204" s="863">
        <v>57</v>
      </c>
      <c r="C4204" s="863">
        <v>16.125000000000004</v>
      </c>
      <c r="D4204" s="647">
        <v>8.33</v>
      </c>
      <c r="E4204" s="1573">
        <v>0.46</v>
      </c>
      <c r="F4204" s="864">
        <v>506.00000000000011</v>
      </c>
      <c r="H4204" s="864">
        <v>72.12</v>
      </c>
      <c r="I4204" s="864">
        <v>290</v>
      </c>
      <c r="J4204" s="1816">
        <v>0.26</v>
      </c>
      <c r="K4204" s="863">
        <v>10.23</v>
      </c>
      <c r="L4204" s="862">
        <v>870</v>
      </c>
      <c r="M4204" s="862">
        <v>0.42</v>
      </c>
      <c r="N4204" s="862">
        <v>0.28999999999999998</v>
      </c>
      <c r="O4204" s="862">
        <v>1</v>
      </c>
      <c r="P4204" s="862">
        <v>1.5</v>
      </c>
      <c r="R4204" s="647">
        <v>1.5982730000000001</v>
      </c>
      <c r="S4204" s="863">
        <v>10.9</v>
      </c>
      <c r="Y4204" s="1817">
        <v>26.6</v>
      </c>
      <c r="AA4204" s="647">
        <v>4.8099999999999996</v>
      </c>
      <c r="AB4204" s="647">
        <v>0.34300000000000003</v>
      </c>
      <c r="AC4204" s="862">
        <v>10.1</v>
      </c>
      <c r="AD4204" s="867">
        <v>380</v>
      </c>
      <c r="AE4204" s="867">
        <v>200</v>
      </c>
      <c r="AF4204" s="867">
        <v>420</v>
      </c>
      <c r="AG4204" s="66">
        <f t="shared" si="155"/>
        <v>136.1436090225564</v>
      </c>
      <c r="AH4204" s="143">
        <f t="shared" si="156"/>
        <v>1000</v>
      </c>
    </row>
    <row r="4205" spans="1:34" s="862" customFormat="1" x14ac:dyDescent="0.3">
      <c r="A4205" s="862">
        <v>204285</v>
      </c>
      <c r="B4205" s="863">
        <v>0.1</v>
      </c>
      <c r="C4205" s="863"/>
      <c r="D4205" s="647">
        <v>6.35</v>
      </c>
      <c r="E4205" s="1573">
        <v>0.16800000000000001</v>
      </c>
      <c r="F4205" s="864">
        <v>184.8</v>
      </c>
      <c r="H4205" s="864">
        <v>60.51</v>
      </c>
      <c r="I4205" s="864">
        <v>70</v>
      </c>
      <c r="J4205" s="1816">
        <v>0.113</v>
      </c>
      <c r="K4205" s="863">
        <v>0.54</v>
      </c>
      <c r="L4205" s="862">
        <v>90</v>
      </c>
      <c r="M4205" s="862">
        <v>0.99</v>
      </c>
      <c r="N4205" s="862">
        <v>0.39</v>
      </c>
      <c r="O4205" s="862">
        <v>1.27</v>
      </c>
      <c r="P4205" s="862">
        <v>188.24</v>
      </c>
      <c r="R4205" s="647">
        <v>0.5965281074758968</v>
      </c>
      <c r="S4205" s="863">
        <v>4.0999999999999996</v>
      </c>
      <c r="Y4205" s="1817">
        <v>4</v>
      </c>
      <c r="Z4205" s="862">
        <v>5.93</v>
      </c>
      <c r="AA4205" s="647">
        <v>3.51</v>
      </c>
      <c r="AB4205" s="647">
        <v>0.79200000000000004</v>
      </c>
      <c r="AC4205" s="862">
        <v>9.6999999999999993</v>
      </c>
      <c r="AD4205" s="867">
        <v>80</v>
      </c>
      <c r="AE4205" s="867">
        <v>60</v>
      </c>
      <c r="AF4205" s="867">
        <v>860</v>
      </c>
      <c r="AG4205" s="66">
        <f t="shared" si="155"/>
        <v>47.790000000000006</v>
      </c>
      <c r="AH4205" s="143">
        <f t="shared" si="156"/>
        <v>1000</v>
      </c>
    </row>
    <row r="4206" spans="1:34" s="862" customFormat="1" x14ac:dyDescent="0.3">
      <c r="A4206" s="862">
        <v>204286</v>
      </c>
      <c r="B4206" s="863">
        <v>0.1</v>
      </c>
      <c r="C4206" s="863"/>
      <c r="D4206" s="647">
        <v>5.35</v>
      </c>
      <c r="E4206" s="1573">
        <v>0.22800000000000001</v>
      </c>
      <c r="F4206" s="864">
        <v>250.8</v>
      </c>
      <c r="H4206" s="864">
        <v>46.57</v>
      </c>
      <c r="I4206" s="864">
        <v>60</v>
      </c>
      <c r="J4206" s="1816">
        <v>0.24</v>
      </c>
      <c r="K4206" s="863">
        <v>0.34</v>
      </c>
      <c r="L4206" s="862">
        <v>100</v>
      </c>
      <c r="M4206" s="862">
        <v>0.41</v>
      </c>
      <c r="N4206" s="862">
        <v>0.36</v>
      </c>
      <c r="O4206" s="862">
        <v>3.47</v>
      </c>
      <c r="P4206" s="862">
        <v>149.27000000000001</v>
      </c>
      <c r="R4206" s="647">
        <v>0.53202363880431813</v>
      </c>
      <c r="S4206" s="863">
        <v>3.9000000000000004</v>
      </c>
      <c r="Y4206" s="1817">
        <v>4</v>
      </c>
      <c r="Z4206" s="862">
        <v>4.88</v>
      </c>
      <c r="AA4206" s="647">
        <v>3.6</v>
      </c>
      <c r="AB4206" s="647">
        <v>0.82199999999999995</v>
      </c>
      <c r="AC4206" s="862">
        <v>8.4</v>
      </c>
      <c r="AD4206" s="867">
        <v>80</v>
      </c>
      <c r="AE4206" s="867">
        <v>60</v>
      </c>
      <c r="AF4206" s="867">
        <v>860</v>
      </c>
      <c r="AG4206" s="66">
        <f t="shared" si="155"/>
        <v>30.09</v>
      </c>
      <c r="AH4206" s="143">
        <f t="shared" si="156"/>
        <v>1000</v>
      </c>
    </row>
    <row r="4207" spans="1:34" s="862" customFormat="1" x14ac:dyDescent="0.3">
      <c r="A4207" s="862">
        <v>204287</v>
      </c>
      <c r="B4207" s="863">
        <v>0.1</v>
      </c>
      <c r="C4207" s="863"/>
      <c r="D4207" s="647">
        <v>6.63</v>
      </c>
      <c r="E4207" s="1573">
        <v>0.1</v>
      </c>
      <c r="F4207" s="864">
        <v>110.00000000000001</v>
      </c>
      <c r="H4207" s="864">
        <v>32.33</v>
      </c>
      <c r="I4207" s="864">
        <v>150</v>
      </c>
      <c r="J4207" s="1816">
        <v>5.0999999999999997E-2</v>
      </c>
      <c r="K4207" s="863">
        <v>1.05</v>
      </c>
      <c r="L4207" s="862">
        <v>200</v>
      </c>
      <c r="M4207" s="862">
        <v>0.39</v>
      </c>
      <c r="N4207" s="862">
        <v>0.87</v>
      </c>
      <c r="O4207" s="862">
        <v>7.51</v>
      </c>
      <c r="P4207" s="862">
        <v>31.15</v>
      </c>
      <c r="R4207" s="647">
        <v>0.61363481563090616</v>
      </c>
      <c r="S4207" s="863">
        <v>4.6000000000000005</v>
      </c>
      <c r="Y4207" s="1817">
        <v>6</v>
      </c>
      <c r="Z4207" s="862">
        <v>6.16</v>
      </c>
      <c r="AA4207" s="647">
        <v>4.91</v>
      </c>
      <c r="AB4207" s="647">
        <v>0.63100000000000001</v>
      </c>
      <c r="AC4207" s="862">
        <v>8.3000000000000007</v>
      </c>
      <c r="AD4207" s="867">
        <v>100</v>
      </c>
      <c r="AE4207" s="867">
        <v>60</v>
      </c>
      <c r="AF4207" s="867">
        <v>840</v>
      </c>
      <c r="AG4207" s="66">
        <f t="shared" si="155"/>
        <v>61.949999999999996</v>
      </c>
      <c r="AH4207" s="143">
        <f t="shared" si="156"/>
        <v>1000</v>
      </c>
    </row>
    <row r="4208" spans="1:34" s="862" customFormat="1" x14ac:dyDescent="0.3">
      <c r="A4208" s="862">
        <v>204288</v>
      </c>
      <c r="B4208" s="863">
        <v>0.1</v>
      </c>
      <c r="C4208" s="863"/>
      <c r="D4208" s="647">
        <v>6.81</v>
      </c>
      <c r="E4208" s="1573">
        <v>0.224</v>
      </c>
      <c r="F4208" s="864">
        <v>246.40000000000003</v>
      </c>
      <c r="H4208" s="864">
        <v>28.59</v>
      </c>
      <c r="I4208" s="864">
        <v>150</v>
      </c>
      <c r="J4208" s="1816">
        <v>0.41899999999999998</v>
      </c>
      <c r="K4208" s="863">
        <v>3.77</v>
      </c>
      <c r="L4208" s="862">
        <v>920</v>
      </c>
      <c r="M4208" s="862">
        <v>0.83</v>
      </c>
      <c r="N4208" s="862">
        <v>1.1299999999999999</v>
      </c>
      <c r="O4208" s="862">
        <v>11.95</v>
      </c>
      <c r="P4208" s="862">
        <v>27.68</v>
      </c>
      <c r="R4208" s="647">
        <v>1.5744170000000002</v>
      </c>
      <c r="S4208" s="863">
        <v>10.3</v>
      </c>
      <c r="Y4208" s="1817">
        <v>21.6</v>
      </c>
      <c r="Z4208" s="862">
        <v>6.31</v>
      </c>
      <c r="AA4208" s="647">
        <v>4.84</v>
      </c>
      <c r="AB4208" s="647">
        <v>0.53</v>
      </c>
      <c r="AC4208" s="862">
        <v>6.6</v>
      </c>
      <c r="AD4208" s="867">
        <v>360</v>
      </c>
      <c r="AE4208" s="867">
        <v>160</v>
      </c>
      <c r="AF4208" s="867">
        <v>480</v>
      </c>
      <c r="AG4208" s="66">
        <f t="shared" si="155"/>
        <v>61.786111111111111</v>
      </c>
      <c r="AH4208" s="143">
        <f t="shared" si="156"/>
        <v>1000</v>
      </c>
    </row>
    <row r="4209" spans="1:34" s="693" customFormat="1" x14ac:dyDescent="0.3">
      <c r="A4209" s="862">
        <v>204289</v>
      </c>
      <c r="B4209" s="863" t="s">
        <v>528</v>
      </c>
      <c r="C4209" s="863"/>
      <c r="D4209" s="647"/>
      <c r="E4209" s="1573"/>
      <c r="F4209" s="864"/>
      <c r="G4209" s="862"/>
      <c r="H4209" s="864"/>
      <c r="I4209" s="864"/>
      <c r="J4209" s="1816"/>
      <c r="K4209" s="863"/>
      <c r="L4209" s="862"/>
      <c r="M4209" s="862"/>
      <c r="N4209" s="862"/>
      <c r="O4209" s="862"/>
      <c r="P4209" s="862"/>
      <c r="Q4209" s="862"/>
      <c r="R4209" s="647"/>
      <c r="S4209" s="863"/>
      <c r="T4209" s="862"/>
      <c r="U4209" s="862"/>
      <c r="V4209" s="862"/>
      <c r="W4209" s="862"/>
      <c r="X4209" s="862"/>
      <c r="Y4209" s="1817"/>
      <c r="Z4209" s="862"/>
      <c r="AA4209" s="647"/>
      <c r="AB4209" s="647"/>
      <c r="AC4209" s="862"/>
      <c r="AD4209" s="867"/>
      <c r="AE4209" s="867"/>
      <c r="AF4209" s="867"/>
      <c r="AG4209" s="66" t="e">
        <f t="shared" si="155"/>
        <v>#DIV/0!</v>
      </c>
      <c r="AH4209" s="143">
        <f t="shared" si="156"/>
        <v>0</v>
      </c>
    </row>
    <row r="4210" spans="1:34" s="1262" customFormat="1" x14ac:dyDescent="0.3">
      <c r="A4210" s="862">
        <v>204290</v>
      </c>
      <c r="B4210" s="863">
        <v>30.2</v>
      </c>
      <c r="C4210" s="863">
        <v>13.375000000000002</v>
      </c>
      <c r="D4210" s="647">
        <v>8.65</v>
      </c>
      <c r="E4210" s="1816">
        <v>0.222</v>
      </c>
      <c r="F4210" s="864">
        <v>244.20000000000002</v>
      </c>
      <c r="G4210" s="862"/>
      <c r="H4210" s="864">
        <v>21.61</v>
      </c>
      <c r="I4210" s="864">
        <v>710</v>
      </c>
      <c r="J4210" s="1816">
        <v>0.42</v>
      </c>
      <c r="K4210" s="863">
        <v>11.7</v>
      </c>
      <c r="L4210" s="862">
        <v>1500</v>
      </c>
      <c r="M4210" s="862">
        <v>0.18</v>
      </c>
      <c r="N4210" s="862">
        <v>1.1200000000000001</v>
      </c>
      <c r="O4210" s="862">
        <v>3.14</v>
      </c>
      <c r="P4210" s="862">
        <v>2.48</v>
      </c>
      <c r="Q4210" s="862"/>
      <c r="R4210" s="647">
        <v>1.651977</v>
      </c>
      <c r="S4210" s="863">
        <v>12.3</v>
      </c>
      <c r="T4210" s="862"/>
      <c r="U4210" s="862"/>
      <c r="V4210" s="862"/>
      <c r="W4210" s="862"/>
      <c r="X4210" s="862"/>
      <c r="Y4210" s="1817">
        <v>26.4</v>
      </c>
      <c r="Z4210" s="862"/>
      <c r="AA4210" s="647">
        <v>3.46</v>
      </c>
      <c r="AB4210" s="647">
        <v>0.75600000000000001</v>
      </c>
      <c r="AC4210" s="862">
        <v>8.6</v>
      </c>
      <c r="AD4210" s="867">
        <v>440</v>
      </c>
      <c r="AE4210" s="867">
        <v>220</v>
      </c>
      <c r="AF4210" s="867">
        <v>340</v>
      </c>
      <c r="AG4210" s="66">
        <f t="shared" si="155"/>
        <v>156.88636363636365</v>
      </c>
      <c r="AH4210" s="143">
        <f t="shared" si="156"/>
        <v>1000</v>
      </c>
    </row>
    <row r="4211" spans="1:34" x14ac:dyDescent="0.3">
      <c r="A4211" s="862">
        <v>204291</v>
      </c>
      <c r="B4211" s="863">
        <v>15.2</v>
      </c>
      <c r="C4211" s="863">
        <v>9.6250000000000018</v>
      </c>
      <c r="D4211" s="647">
        <v>8.36</v>
      </c>
      <c r="E4211" s="647"/>
      <c r="F4211" s="864"/>
      <c r="G4211" s="862"/>
      <c r="H4211" s="864">
        <v>53.41</v>
      </c>
      <c r="I4211" s="864">
        <v>280</v>
      </c>
      <c r="J4211" s="1816"/>
      <c r="K4211" s="863"/>
      <c r="L4211" s="862"/>
      <c r="M4211" s="862"/>
      <c r="N4211" s="862"/>
      <c r="O4211" s="862"/>
      <c r="P4211" s="862"/>
      <c r="Q4211" s="862"/>
      <c r="R4211" s="647"/>
      <c r="S4211" s="863">
        <v>16.5</v>
      </c>
      <c r="T4211" s="864"/>
      <c r="U4211" s="864"/>
      <c r="V4211" s="864"/>
      <c r="W4211" s="864"/>
      <c r="X4211" s="864"/>
      <c r="Y4211" s="1817">
        <v>2.1250000000000431</v>
      </c>
      <c r="Z4211" s="862">
        <v>7.3</v>
      </c>
      <c r="AA4211" s="647">
        <v>3.6</v>
      </c>
      <c r="AB4211" s="647">
        <v>0.874</v>
      </c>
      <c r="AC4211" s="862">
        <v>11</v>
      </c>
      <c r="AD4211" s="1819">
        <v>42.500000000000867</v>
      </c>
      <c r="AE4211" s="1819">
        <v>673.81999999999925</v>
      </c>
      <c r="AF4211" s="1819">
        <v>255.29999999999998</v>
      </c>
      <c r="AG4211" s="66">
        <f t="shared" si="155"/>
        <v>0</v>
      </c>
      <c r="AH4211" s="143">
        <f t="shared" si="156"/>
        <v>971.62000000000012</v>
      </c>
    </row>
    <row r="4212" spans="1:34" x14ac:dyDescent="0.3">
      <c r="A4212" s="862">
        <v>204292</v>
      </c>
      <c r="B4212" s="863">
        <v>18.2</v>
      </c>
      <c r="C4212" s="863">
        <v>8.8750000000000018</v>
      </c>
      <c r="D4212" s="647">
        <v>8.25</v>
      </c>
      <c r="E4212" s="647"/>
      <c r="F4212" s="864"/>
      <c r="G4212" s="862"/>
      <c r="H4212" s="864">
        <v>34.799999999999997</v>
      </c>
      <c r="I4212" s="864">
        <v>140</v>
      </c>
      <c r="J4212" s="1816"/>
      <c r="K4212" s="863"/>
      <c r="L4212" s="862"/>
      <c r="M4212" s="862"/>
      <c r="N4212" s="862"/>
      <c r="O4212" s="862"/>
      <c r="P4212" s="862"/>
      <c r="Q4212" s="862"/>
      <c r="R4212" s="647"/>
      <c r="S4212" s="863">
        <v>17.8</v>
      </c>
      <c r="T4212" s="864"/>
      <c r="U4212" s="864"/>
      <c r="V4212" s="864"/>
      <c r="W4212" s="864"/>
      <c r="X4212" s="864"/>
      <c r="Y4212" s="1817">
        <v>7.0500000000000229</v>
      </c>
      <c r="Z4212" s="862">
        <v>7.45</v>
      </c>
      <c r="AA4212" s="647">
        <v>4.6100000000000003</v>
      </c>
      <c r="AB4212" s="647">
        <v>0.79100000000000004</v>
      </c>
      <c r="AC4212" s="862">
        <v>11.9</v>
      </c>
      <c r="AD4212" s="1819">
        <v>117.50000000000038</v>
      </c>
      <c r="AE4212" s="1819">
        <v>510.48399999999975</v>
      </c>
      <c r="AF4212" s="1819">
        <v>341.4</v>
      </c>
      <c r="AG4212" s="66">
        <f t="shared" si="155"/>
        <v>0</v>
      </c>
      <c r="AH4212" s="143">
        <f t="shared" si="156"/>
        <v>969.38400000000013</v>
      </c>
    </row>
    <row r="4213" spans="1:34" x14ac:dyDescent="0.3">
      <c r="A4213" s="862">
        <v>204293</v>
      </c>
      <c r="B4213" s="863">
        <v>17.8</v>
      </c>
      <c r="C4213" s="863">
        <v>12.375000000000004</v>
      </c>
      <c r="D4213" s="647">
        <v>8.27</v>
      </c>
      <c r="E4213" s="647"/>
      <c r="F4213" s="864"/>
      <c r="G4213" s="862"/>
      <c r="H4213" s="864">
        <v>28.02</v>
      </c>
      <c r="I4213" s="864">
        <v>100</v>
      </c>
      <c r="J4213" s="1816"/>
      <c r="K4213" s="863"/>
      <c r="L4213" s="862"/>
      <c r="M4213" s="862"/>
      <c r="N4213" s="862"/>
      <c r="O4213" s="862"/>
      <c r="P4213" s="862"/>
      <c r="Q4213" s="862"/>
      <c r="R4213" s="647"/>
      <c r="S4213" s="863">
        <v>12.7</v>
      </c>
      <c r="T4213" s="864"/>
      <c r="U4213" s="864"/>
      <c r="V4213" s="864"/>
      <c r="W4213" s="864"/>
      <c r="X4213" s="864"/>
      <c r="Y4213" s="1817">
        <v>8.0000000000000071</v>
      </c>
      <c r="Z4213" s="862">
        <v>7.41</v>
      </c>
      <c r="AA4213" s="647">
        <v>4.68</v>
      </c>
      <c r="AB4213" s="647">
        <v>0.39500000000000002</v>
      </c>
      <c r="AC4213" s="862">
        <v>9.6999999999999993</v>
      </c>
      <c r="AD4213" s="1819">
        <v>160.00000000000014</v>
      </c>
      <c r="AE4213" s="1819">
        <v>551.85599999999988</v>
      </c>
      <c r="AF4213" s="1819">
        <v>266.29999999999995</v>
      </c>
      <c r="AG4213" s="66">
        <f t="shared" si="155"/>
        <v>0</v>
      </c>
      <c r="AH4213" s="143">
        <f t="shared" si="156"/>
        <v>978.15599999999995</v>
      </c>
    </row>
    <row r="4214" spans="1:34" x14ac:dyDescent="0.3">
      <c r="A4214" s="862">
        <v>204294</v>
      </c>
      <c r="B4214" s="863">
        <v>17.8</v>
      </c>
      <c r="C4214" s="863">
        <v>9.8750000000000036</v>
      </c>
      <c r="D4214" s="647">
        <v>8.26</v>
      </c>
      <c r="E4214" s="1573"/>
      <c r="F4214" s="864"/>
      <c r="G4214" s="862"/>
      <c r="H4214" s="864">
        <v>70.61</v>
      </c>
      <c r="I4214" s="864">
        <v>240</v>
      </c>
      <c r="J4214" s="1816"/>
      <c r="K4214" s="863"/>
      <c r="L4214" s="862"/>
      <c r="M4214" s="862"/>
      <c r="N4214" s="862"/>
      <c r="O4214" s="862"/>
      <c r="P4214" s="862"/>
      <c r="Q4214" s="862"/>
      <c r="R4214" s="647"/>
      <c r="S4214" s="863">
        <v>15.600000000000001</v>
      </c>
      <c r="T4214" s="864"/>
      <c r="U4214" s="864"/>
      <c r="V4214" s="864"/>
      <c r="W4214" s="864"/>
      <c r="X4214" s="864"/>
      <c r="Y4214" s="1817">
        <v>9.7500000000000586</v>
      </c>
      <c r="Z4214" s="862">
        <v>7.44</v>
      </c>
      <c r="AA4214" s="647">
        <v>4.5599999999999996</v>
      </c>
      <c r="AB4214" s="647">
        <v>0.42499999999999999</v>
      </c>
      <c r="AC4214" s="862">
        <v>7.6</v>
      </c>
      <c r="AD4214" s="1819">
        <v>162.50000000000097</v>
      </c>
      <c r="AE4214" s="1819">
        <v>538.16799999999898</v>
      </c>
      <c r="AF4214" s="1819">
        <v>272.5</v>
      </c>
      <c r="AG4214" s="66">
        <f t="shared" si="155"/>
        <v>0</v>
      </c>
      <c r="AH4214" s="143">
        <f t="shared" si="156"/>
        <v>973.16799999999989</v>
      </c>
    </row>
    <row r="4215" spans="1:34" x14ac:dyDescent="0.3">
      <c r="A4215" s="862">
        <v>204295</v>
      </c>
      <c r="B4215" s="863">
        <v>33.799999999999997</v>
      </c>
      <c r="C4215" s="863">
        <v>8.7500000000000018</v>
      </c>
      <c r="D4215" s="647">
        <v>8.1999999999999993</v>
      </c>
      <c r="E4215" s="1573"/>
      <c r="F4215" s="864"/>
      <c r="G4215" s="862"/>
      <c r="H4215" s="864">
        <v>93.03</v>
      </c>
      <c r="I4215" s="864">
        <v>370</v>
      </c>
      <c r="J4215" s="1816"/>
      <c r="K4215" s="863"/>
      <c r="L4215" s="862"/>
      <c r="M4215" s="862"/>
      <c r="N4215" s="862"/>
      <c r="O4215" s="862"/>
      <c r="P4215" s="862"/>
      <c r="Q4215" s="862"/>
      <c r="R4215" s="647"/>
      <c r="S4215" s="863">
        <v>14.5</v>
      </c>
      <c r="T4215" s="864"/>
      <c r="U4215" s="864"/>
      <c r="V4215" s="864"/>
      <c r="W4215" s="864"/>
      <c r="X4215" s="864"/>
      <c r="Y4215" s="1817">
        <v>5.0000000000000044</v>
      </c>
      <c r="Z4215" s="862">
        <v>7.62</v>
      </c>
      <c r="AA4215" s="647">
        <v>3.81</v>
      </c>
      <c r="AB4215" s="647">
        <v>0.86799999999999999</v>
      </c>
      <c r="AC4215" s="862">
        <v>10.8</v>
      </c>
      <c r="AD4215" s="1819">
        <v>100.00000000000009</v>
      </c>
      <c r="AE4215" s="1819">
        <v>370.95999999999981</v>
      </c>
      <c r="AF4215" s="1819">
        <v>504.1</v>
      </c>
      <c r="AG4215" s="66">
        <f t="shared" si="155"/>
        <v>0</v>
      </c>
      <c r="AH4215" s="143">
        <f t="shared" si="156"/>
        <v>975.06</v>
      </c>
    </row>
    <row r="4216" spans="1:34" x14ac:dyDescent="0.3">
      <c r="A4216" s="862">
        <v>204296</v>
      </c>
      <c r="B4216" s="863">
        <v>24.2</v>
      </c>
      <c r="C4216" s="863">
        <v>13.875000000000002</v>
      </c>
      <c r="D4216" s="647">
        <v>8.4600000000000009</v>
      </c>
      <c r="E4216" s="1573"/>
      <c r="F4216" s="864"/>
      <c r="G4216" s="862"/>
      <c r="H4216" s="864">
        <v>38.729999999999997</v>
      </c>
      <c r="I4216" s="864">
        <v>120</v>
      </c>
      <c r="J4216" s="1816"/>
      <c r="K4216" s="863"/>
      <c r="L4216" s="862"/>
      <c r="M4216" s="862"/>
      <c r="N4216" s="862"/>
      <c r="O4216" s="862"/>
      <c r="P4216" s="862"/>
      <c r="Q4216" s="862"/>
      <c r="R4216" s="647"/>
      <c r="S4216" s="863">
        <v>11.799999999999999</v>
      </c>
      <c r="T4216" s="864"/>
      <c r="U4216" s="864"/>
      <c r="V4216" s="864"/>
      <c r="W4216" s="864"/>
      <c r="X4216" s="864"/>
      <c r="Y4216" s="1817">
        <v>10.650000000000025</v>
      </c>
      <c r="Z4216" s="862">
        <v>7.48</v>
      </c>
      <c r="AA4216" s="647">
        <v>3.74</v>
      </c>
      <c r="AB4216" s="647">
        <v>0.86599999999999999</v>
      </c>
      <c r="AC4216" s="862">
        <v>10.5</v>
      </c>
      <c r="AD4216" s="1819">
        <v>177.50000000000043</v>
      </c>
      <c r="AE4216" s="1819">
        <v>449.00399999999945</v>
      </c>
      <c r="AF4216" s="1819">
        <v>353.2</v>
      </c>
      <c r="AG4216" s="66">
        <f t="shared" si="155"/>
        <v>0</v>
      </c>
      <c r="AH4216" s="143">
        <f t="shared" si="156"/>
        <v>979.70399999999995</v>
      </c>
    </row>
    <row r="4217" spans="1:34" x14ac:dyDescent="0.3">
      <c r="A4217" s="862">
        <v>204297</v>
      </c>
      <c r="B4217" s="863">
        <v>1.5</v>
      </c>
      <c r="C4217" s="863"/>
      <c r="D4217" s="647">
        <v>8.0399999999999991</v>
      </c>
      <c r="E4217" s="1573"/>
      <c r="F4217" s="864"/>
      <c r="G4217" s="862"/>
      <c r="H4217" s="864">
        <v>68.88</v>
      </c>
      <c r="I4217" s="864">
        <v>180</v>
      </c>
      <c r="J4217" s="1816"/>
      <c r="K4217" s="863"/>
      <c r="L4217" s="862"/>
      <c r="M4217" s="862"/>
      <c r="N4217" s="862"/>
      <c r="O4217" s="862"/>
      <c r="P4217" s="862"/>
      <c r="Q4217" s="862"/>
      <c r="R4217" s="647"/>
      <c r="S4217" s="863">
        <v>15</v>
      </c>
      <c r="T4217" s="864"/>
      <c r="U4217" s="864"/>
      <c r="V4217" s="864"/>
      <c r="W4217" s="864"/>
      <c r="X4217" s="864"/>
      <c r="Y4217" s="1817">
        <v>12.512499999999982</v>
      </c>
      <c r="Z4217" s="862">
        <v>7.2</v>
      </c>
      <c r="AA4217" s="647">
        <v>4.1900000000000004</v>
      </c>
      <c r="AB4217" s="647">
        <v>0.57199999999999995</v>
      </c>
      <c r="AC4217" s="862">
        <v>7.2</v>
      </c>
      <c r="AD4217" s="1819">
        <v>250.24999999999963</v>
      </c>
      <c r="AE4217" s="1819">
        <v>240.25000000000043</v>
      </c>
      <c r="AF4217" s="1819">
        <v>483.70000000000005</v>
      </c>
      <c r="AG4217" s="66">
        <f t="shared" si="155"/>
        <v>0</v>
      </c>
      <c r="AH4217" s="143">
        <f t="shared" si="156"/>
        <v>974.2</v>
      </c>
    </row>
    <row r="4218" spans="1:34" x14ac:dyDescent="0.3">
      <c r="A4218" s="862">
        <v>204298</v>
      </c>
      <c r="B4218" s="863">
        <v>1.5</v>
      </c>
      <c r="C4218" s="863"/>
      <c r="D4218" s="647">
        <v>7.97</v>
      </c>
      <c r="E4218" s="1573"/>
      <c r="F4218" s="864"/>
      <c r="G4218" s="862"/>
      <c r="H4218" s="864">
        <v>74.55</v>
      </c>
      <c r="I4218" s="864">
        <v>300</v>
      </c>
      <c r="J4218" s="1816"/>
      <c r="K4218" s="863"/>
      <c r="L4218" s="862"/>
      <c r="M4218" s="862"/>
      <c r="N4218" s="862"/>
      <c r="O4218" s="862"/>
      <c r="P4218" s="862"/>
      <c r="Q4218" s="862"/>
      <c r="R4218" s="647"/>
      <c r="S4218" s="863">
        <v>16.899999999999999</v>
      </c>
      <c r="T4218" s="864"/>
      <c r="U4218" s="864"/>
      <c r="V4218" s="864"/>
      <c r="W4218" s="864"/>
      <c r="X4218" s="864"/>
      <c r="Y4218" s="1817">
        <v>22.749999999999982</v>
      </c>
      <c r="Z4218" s="862">
        <v>6.98</v>
      </c>
      <c r="AA4218" s="647">
        <v>4.3099999999999996</v>
      </c>
      <c r="AB4218" s="647">
        <v>0.60299999999999998</v>
      </c>
      <c r="AC4218" s="862">
        <v>8.3000000000000007</v>
      </c>
      <c r="AD4218" s="1819">
        <v>324.99999999999972</v>
      </c>
      <c r="AE4218" s="1819">
        <v>376.13200000000023</v>
      </c>
      <c r="AF4218" s="1819">
        <v>269.8</v>
      </c>
      <c r="AG4218" s="66">
        <f t="shared" si="155"/>
        <v>0</v>
      </c>
      <c r="AH4218" s="143">
        <f t="shared" si="156"/>
        <v>970.93200000000002</v>
      </c>
    </row>
    <row r="4219" spans="1:34" x14ac:dyDescent="0.3">
      <c r="A4219" s="862">
        <v>204299</v>
      </c>
      <c r="B4219" s="863">
        <v>16.7</v>
      </c>
      <c r="C4219" s="863">
        <v>7.8750000000000009</v>
      </c>
      <c r="D4219" s="647">
        <v>8.33</v>
      </c>
      <c r="E4219" s="1573"/>
      <c r="F4219" s="864"/>
      <c r="G4219" s="862"/>
      <c r="H4219" s="864">
        <v>30.6</v>
      </c>
      <c r="I4219" s="864">
        <v>110</v>
      </c>
      <c r="J4219" s="1816"/>
      <c r="K4219" s="863"/>
      <c r="L4219" s="862"/>
      <c r="M4219" s="862"/>
      <c r="N4219" s="862"/>
      <c r="O4219" s="862"/>
      <c r="P4219" s="862"/>
      <c r="Q4219" s="862"/>
      <c r="R4219" s="647"/>
      <c r="S4219" s="863">
        <v>16.5</v>
      </c>
      <c r="T4219" s="864"/>
      <c r="U4219" s="864"/>
      <c r="V4219" s="864"/>
      <c r="W4219" s="864"/>
      <c r="X4219" s="864"/>
      <c r="Y4219" s="1817">
        <v>8.3750000000000213</v>
      </c>
      <c r="Z4219" s="862">
        <v>7.4</v>
      </c>
      <c r="AA4219" s="647">
        <v>3.96</v>
      </c>
      <c r="AB4219" s="647">
        <v>0.41499999999999998</v>
      </c>
      <c r="AC4219" s="862">
        <v>7</v>
      </c>
      <c r="AD4219" s="1819">
        <v>167.50000000000043</v>
      </c>
      <c r="AE4219" s="1819">
        <v>432.4199999999995</v>
      </c>
      <c r="AF4219" s="1819">
        <v>371.70000000000005</v>
      </c>
      <c r="AG4219" s="66">
        <f t="shared" si="155"/>
        <v>0</v>
      </c>
      <c r="AH4219" s="143">
        <f t="shared" si="156"/>
        <v>971.62</v>
      </c>
    </row>
    <row r="4220" spans="1:34" x14ac:dyDescent="0.3">
      <c r="A4220" s="862">
        <v>204300</v>
      </c>
      <c r="B4220" s="863">
        <v>6.3</v>
      </c>
      <c r="C4220" s="863">
        <v>2.8750000000000009</v>
      </c>
      <c r="D4220" s="647">
        <v>8.25</v>
      </c>
      <c r="E4220" s="1573"/>
      <c r="F4220" s="864"/>
      <c r="G4220" s="862"/>
      <c r="H4220" s="864">
        <v>65.489999999999995</v>
      </c>
      <c r="I4220" s="864">
        <v>430</v>
      </c>
      <c r="J4220" s="1816"/>
      <c r="K4220" s="863"/>
      <c r="L4220" s="862"/>
      <c r="M4220" s="862"/>
      <c r="N4220" s="862"/>
      <c r="O4220" s="862"/>
      <c r="P4220" s="862"/>
      <c r="Q4220" s="862"/>
      <c r="R4220" s="647"/>
      <c r="S4220" s="863">
        <v>11.100000000000001</v>
      </c>
      <c r="T4220" s="864"/>
      <c r="U4220" s="864"/>
      <c r="V4220" s="864"/>
      <c r="W4220" s="864"/>
      <c r="X4220" s="864"/>
      <c r="Y4220" s="1817">
        <v>11.549999999999972</v>
      </c>
      <c r="Z4220" s="862">
        <v>7.45</v>
      </c>
      <c r="AA4220" s="647">
        <v>4.58</v>
      </c>
      <c r="AB4220" s="647">
        <v>0.81299999999999994</v>
      </c>
      <c r="AC4220" s="862">
        <v>11.7</v>
      </c>
      <c r="AD4220" s="1819">
        <v>164.9999999999996</v>
      </c>
      <c r="AE4220" s="1819">
        <v>322.00800000000044</v>
      </c>
      <c r="AF4220" s="1819">
        <v>493.90000000000003</v>
      </c>
      <c r="AG4220" s="66">
        <f t="shared" si="155"/>
        <v>0</v>
      </c>
      <c r="AH4220" s="143">
        <f t="shared" si="156"/>
        <v>980.90800000000013</v>
      </c>
    </row>
    <row r="4221" spans="1:34" x14ac:dyDescent="0.3">
      <c r="A4221" s="862">
        <v>204301</v>
      </c>
      <c r="B4221" s="863">
        <v>28.7</v>
      </c>
      <c r="C4221" s="863">
        <v>11.125000000000004</v>
      </c>
      <c r="D4221" s="647">
        <v>8.17</v>
      </c>
      <c r="E4221" s="1573"/>
      <c r="F4221" s="864"/>
      <c r="G4221" s="862"/>
      <c r="H4221" s="864">
        <v>99.43</v>
      </c>
      <c r="I4221" s="864">
        <v>110</v>
      </c>
      <c r="J4221" s="1816"/>
      <c r="K4221" s="863"/>
      <c r="L4221" s="862"/>
      <c r="M4221" s="862"/>
      <c r="N4221" s="862"/>
      <c r="O4221" s="862"/>
      <c r="P4221" s="862"/>
      <c r="Q4221" s="862"/>
      <c r="R4221" s="647"/>
      <c r="S4221" s="863">
        <v>12.3</v>
      </c>
      <c r="T4221" s="864"/>
      <c r="U4221" s="864"/>
      <c r="V4221" s="864"/>
      <c r="W4221" s="864"/>
      <c r="X4221" s="864"/>
      <c r="Y4221" s="1817">
        <v>10.150000000000048</v>
      </c>
      <c r="Z4221" s="862">
        <v>7.48</v>
      </c>
      <c r="AA4221" s="647">
        <v>4.59</v>
      </c>
      <c r="AB4221" s="647">
        <v>0.40100000000000002</v>
      </c>
      <c r="AC4221" s="862">
        <v>10.5</v>
      </c>
      <c r="AD4221" s="1819">
        <v>145.00000000000068</v>
      </c>
      <c r="AE4221" s="1819">
        <v>411.84399999999943</v>
      </c>
      <c r="AF4221" s="1819">
        <v>422</v>
      </c>
      <c r="AG4221" s="66">
        <f t="shared" si="155"/>
        <v>0</v>
      </c>
      <c r="AH4221" s="143">
        <f t="shared" si="156"/>
        <v>978.84400000000005</v>
      </c>
    </row>
    <row r="4222" spans="1:34" x14ac:dyDescent="0.3">
      <c r="A4222" s="862">
        <v>204302</v>
      </c>
      <c r="B4222" s="863">
        <v>14.7</v>
      </c>
      <c r="C4222" s="863">
        <v>8.1250000000000018</v>
      </c>
      <c r="D4222" s="647">
        <v>8.27</v>
      </c>
      <c r="E4222" s="1573"/>
      <c r="F4222" s="864"/>
      <c r="G4222" s="862"/>
      <c r="H4222" s="864">
        <v>77.069999999999993</v>
      </c>
      <c r="I4222" s="864">
        <v>260</v>
      </c>
      <c r="J4222" s="1816"/>
      <c r="K4222" s="863"/>
      <c r="L4222" s="862"/>
      <c r="M4222" s="862"/>
      <c r="N4222" s="862"/>
      <c r="O4222" s="862"/>
      <c r="P4222" s="862"/>
      <c r="Q4222" s="862"/>
      <c r="R4222" s="647"/>
      <c r="S4222" s="863">
        <v>22.1</v>
      </c>
      <c r="T4222" s="864"/>
      <c r="U4222" s="864"/>
      <c r="V4222" s="864"/>
      <c r="W4222" s="864"/>
      <c r="X4222" s="864"/>
      <c r="Y4222" s="1817">
        <v>3.1249999999999893</v>
      </c>
      <c r="Z4222" s="862">
        <v>7.43</v>
      </c>
      <c r="AA4222" s="647">
        <v>4.7</v>
      </c>
      <c r="AB4222" s="647">
        <v>0.81299999999999994</v>
      </c>
      <c r="AC4222" s="862">
        <v>9.5</v>
      </c>
      <c r="AD4222" s="1819">
        <v>62.49999999999978</v>
      </c>
      <c r="AE4222" s="1819">
        <v>578.88800000000026</v>
      </c>
      <c r="AF4222" s="1819">
        <v>320.59999999999991</v>
      </c>
      <c r="AG4222" s="66">
        <f t="shared" si="155"/>
        <v>0</v>
      </c>
      <c r="AH4222" s="143">
        <f t="shared" si="156"/>
        <v>961.98799999999994</v>
      </c>
    </row>
    <row r="4223" spans="1:34" x14ac:dyDescent="0.3">
      <c r="A4223" s="862">
        <v>204303</v>
      </c>
      <c r="B4223" s="863">
        <v>2</v>
      </c>
      <c r="C4223" s="863"/>
      <c r="D4223" s="647">
        <v>8.1300000000000008</v>
      </c>
      <c r="E4223" s="1573"/>
      <c r="F4223" s="864"/>
      <c r="G4223" s="862"/>
      <c r="H4223" s="864">
        <v>97.83</v>
      </c>
      <c r="I4223" s="864">
        <v>290</v>
      </c>
      <c r="J4223" s="1816"/>
      <c r="K4223" s="863"/>
      <c r="L4223" s="862"/>
      <c r="M4223" s="862"/>
      <c r="N4223" s="862"/>
      <c r="O4223" s="862"/>
      <c r="P4223" s="862"/>
      <c r="Q4223" s="862"/>
      <c r="R4223" s="647"/>
      <c r="S4223" s="863">
        <v>21.099999999999998</v>
      </c>
      <c r="T4223" s="864"/>
      <c r="U4223" s="864"/>
      <c r="V4223" s="864"/>
      <c r="W4223" s="864"/>
      <c r="X4223" s="864"/>
      <c r="Y4223" s="1817">
        <v>15.749999999999977</v>
      </c>
      <c r="Z4223" s="862">
        <v>7.1</v>
      </c>
      <c r="AA4223" s="647">
        <v>4.8</v>
      </c>
      <c r="AB4223" s="647">
        <v>0.38600000000000001</v>
      </c>
      <c r="AC4223" s="862">
        <v>9.4</v>
      </c>
      <c r="AD4223" s="1819">
        <v>224.99999999999966</v>
      </c>
      <c r="AE4223" s="1819">
        <v>387.30800000000039</v>
      </c>
      <c r="AF4223" s="1819">
        <v>351.4</v>
      </c>
      <c r="AG4223" s="66">
        <f t="shared" si="155"/>
        <v>0</v>
      </c>
      <c r="AH4223" s="143">
        <f t="shared" si="156"/>
        <v>963.70799999999997</v>
      </c>
    </row>
    <row r="4224" spans="1:34" x14ac:dyDescent="0.3">
      <c r="A4224" s="862">
        <v>204304</v>
      </c>
      <c r="B4224" s="863">
        <v>11.6</v>
      </c>
      <c r="C4224" s="863">
        <v>6.8750000000000018</v>
      </c>
      <c r="D4224" s="647">
        <v>8.31</v>
      </c>
      <c r="E4224" s="1573"/>
      <c r="F4224" s="864"/>
      <c r="G4224" s="862"/>
      <c r="H4224" s="864">
        <v>47.34</v>
      </c>
      <c r="I4224" s="864">
        <v>160</v>
      </c>
      <c r="J4224" s="1816"/>
      <c r="K4224" s="863"/>
      <c r="L4224" s="862"/>
      <c r="M4224" s="862"/>
      <c r="N4224" s="862"/>
      <c r="O4224" s="862"/>
      <c r="P4224" s="862"/>
      <c r="Q4224" s="862"/>
      <c r="R4224" s="647"/>
      <c r="S4224" s="863">
        <v>14.299999999999999</v>
      </c>
      <c r="T4224" s="864"/>
      <c r="U4224" s="864"/>
      <c r="V4224" s="864"/>
      <c r="W4224" s="864"/>
      <c r="X4224" s="864"/>
      <c r="Y4224" s="1817">
        <v>11.549999999999972</v>
      </c>
      <c r="Z4224" s="862">
        <v>7.31</v>
      </c>
      <c r="AA4224" s="647">
        <v>4.5599999999999996</v>
      </c>
      <c r="AB4224" s="647">
        <v>0.32400000000000001</v>
      </c>
      <c r="AC4224" s="862">
        <v>9.4</v>
      </c>
      <c r="AD4224" s="1819">
        <v>164.9999999999996</v>
      </c>
      <c r="AE4224" s="1819">
        <v>468.90400000000039</v>
      </c>
      <c r="AF4224" s="1819">
        <v>341.5</v>
      </c>
      <c r="AG4224" s="66">
        <f t="shared" si="155"/>
        <v>0</v>
      </c>
      <c r="AH4224" s="143">
        <f t="shared" si="156"/>
        <v>975.404</v>
      </c>
    </row>
    <row r="4225" spans="1:34" x14ac:dyDescent="0.3">
      <c r="A4225" s="862">
        <v>204305</v>
      </c>
      <c r="B4225" s="863">
        <v>23.5</v>
      </c>
      <c r="C4225" s="863">
        <v>10.125000000000002</v>
      </c>
      <c r="D4225" s="647">
        <v>8.3699999999999992</v>
      </c>
      <c r="E4225" s="1573"/>
      <c r="F4225" s="864"/>
      <c r="G4225" s="862"/>
      <c r="H4225" s="864">
        <v>62.67</v>
      </c>
      <c r="I4225" s="864">
        <v>100</v>
      </c>
      <c r="J4225" s="1816"/>
      <c r="K4225" s="863"/>
      <c r="L4225" s="862"/>
      <c r="M4225" s="862"/>
      <c r="N4225" s="862"/>
      <c r="O4225" s="862"/>
      <c r="P4225" s="862"/>
      <c r="Q4225" s="862"/>
      <c r="R4225" s="647"/>
      <c r="S4225" s="863">
        <v>11.299999999999999</v>
      </c>
      <c r="T4225" s="864"/>
      <c r="U4225" s="864"/>
      <c r="V4225" s="864"/>
      <c r="W4225" s="864"/>
      <c r="X4225" s="864"/>
      <c r="Y4225" s="1817">
        <v>1.9250000000000211</v>
      </c>
      <c r="Z4225" s="862">
        <v>7.41</v>
      </c>
      <c r="AA4225" s="647">
        <v>3.84</v>
      </c>
      <c r="AB4225" s="647">
        <v>0.628</v>
      </c>
      <c r="AC4225" s="862">
        <v>11.8</v>
      </c>
      <c r="AD4225" s="1819">
        <v>27.500000000000302</v>
      </c>
      <c r="AE4225" s="1819">
        <v>562.26399999999967</v>
      </c>
      <c r="AF4225" s="1819">
        <v>390.80000000000007</v>
      </c>
      <c r="AG4225" s="66">
        <f t="shared" si="155"/>
        <v>0</v>
      </c>
      <c r="AH4225" s="143">
        <f t="shared" si="156"/>
        <v>980.56400000000008</v>
      </c>
    </row>
    <row r="4226" spans="1:34" x14ac:dyDescent="0.3">
      <c r="A4226" s="862">
        <v>204306</v>
      </c>
      <c r="B4226" s="863">
        <v>21.3</v>
      </c>
      <c r="C4226" s="863">
        <v>13.125000000000002</v>
      </c>
      <c r="D4226" s="647">
        <v>8.34</v>
      </c>
      <c r="E4226" s="1573"/>
      <c r="F4226" s="864"/>
      <c r="G4226" s="862"/>
      <c r="H4226" s="864">
        <v>34.04</v>
      </c>
      <c r="I4226" s="864">
        <v>80</v>
      </c>
      <c r="J4226" s="1816"/>
      <c r="K4226" s="863"/>
      <c r="L4226" s="862"/>
      <c r="M4226" s="862"/>
      <c r="N4226" s="862"/>
      <c r="O4226" s="862"/>
      <c r="P4226" s="862"/>
      <c r="Q4226" s="862"/>
      <c r="R4226" s="647"/>
      <c r="S4226" s="863">
        <v>13</v>
      </c>
      <c r="T4226" s="864"/>
      <c r="U4226" s="864"/>
      <c r="V4226" s="864"/>
      <c r="W4226" s="864"/>
      <c r="X4226" s="864"/>
      <c r="Y4226" s="1817">
        <v>13.825000000000031</v>
      </c>
      <c r="Z4226" s="862">
        <v>7.31</v>
      </c>
      <c r="AA4226" s="647">
        <v>3.78</v>
      </c>
      <c r="AB4226" s="647">
        <v>0.50700000000000001</v>
      </c>
      <c r="AC4226" s="862">
        <v>11.9</v>
      </c>
      <c r="AD4226" s="1819">
        <v>197.50000000000045</v>
      </c>
      <c r="AE4226" s="1819">
        <v>378.63999999999959</v>
      </c>
      <c r="AF4226" s="1819">
        <v>401.5</v>
      </c>
      <c r="AG4226" s="66">
        <f t="shared" ref="AG4226:AG4289" si="157">+K4226*3.54*100/Y4226</f>
        <v>0</v>
      </c>
      <c r="AH4226" s="143">
        <f t="shared" ref="AH4226:AH4289" si="158">+SUM(AD4226:AF4226)</f>
        <v>977.6400000000001</v>
      </c>
    </row>
    <row r="4227" spans="1:34" x14ac:dyDescent="0.3">
      <c r="A4227" s="862">
        <v>204307</v>
      </c>
      <c r="B4227" s="863">
        <v>6.3</v>
      </c>
      <c r="C4227" s="863"/>
      <c r="D4227" s="647">
        <v>8.32</v>
      </c>
      <c r="E4227" s="1573"/>
      <c r="F4227" s="864"/>
      <c r="G4227" s="862"/>
      <c r="H4227" s="864">
        <v>66.36</v>
      </c>
      <c r="I4227" s="864">
        <v>100</v>
      </c>
      <c r="J4227" s="1816"/>
      <c r="K4227" s="863"/>
      <c r="L4227" s="862"/>
      <c r="M4227" s="862"/>
      <c r="N4227" s="862"/>
      <c r="O4227" s="862"/>
      <c r="P4227" s="862"/>
      <c r="Q4227" s="862"/>
      <c r="R4227" s="647"/>
      <c r="S4227" s="863">
        <v>12.2</v>
      </c>
      <c r="T4227" s="864"/>
      <c r="U4227" s="864"/>
      <c r="V4227" s="864"/>
      <c r="W4227" s="864"/>
      <c r="X4227" s="864"/>
      <c r="Y4227" s="1817">
        <v>7.1249999999999929</v>
      </c>
      <c r="Z4227" s="862">
        <v>7.41</v>
      </c>
      <c r="AA4227" s="647">
        <v>4.75</v>
      </c>
      <c r="AB4227" s="647">
        <v>0.85399999999999998</v>
      </c>
      <c r="AC4227" s="862">
        <v>7.7</v>
      </c>
      <c r="AD4227" s="1819">
        <v>142.49999999999986</v>
      </c>
      <c r="AE4227" s="1819">
        <v>259.31600000000003</v>
      </c>
      <c r="AF4227" s="1819">
        <v>577.20000000000005</v>
      </c>
      <c r="AG4227" s="66">
        <f t="shared" si="157"/>
        <v>0</v>
      </c>
      <c r="AH4227" s="143">
        <f t="shared" si="158"/>
        <v>979.01599999999996</v>
      </c>
    </row>
    <row r="4228" spans="1:34" x14ac:dyDescent="0.3">
      <c r="A4228" s="862">
        <v>204308</v>
      </c>
      <c r="B4228" s="863">
        <v>21.2</v>
      </c>
      <c r="C4228" s="863">
        <v>7.5000000000000018</v>
      </c>
      <c r="D4228" s="647">
        <v>8.34</v>
      </c>
      <c r="E4228" s="1573"/>
      <c r="F4228" s="864"/>
      <c r="G4228" s="862"/>
      <c r="H4228" s="864">
        <v>39.58</v>
      </c>
      <c r="I4228" s="864">
        <v>140</v>
      </c>
      <c r="J4228" s="1816"/>
      <c r="K4228" s="863"/>
      <c r="L4228" s="862"/>
      <c r="M4228" s="862"/>
      <c r="N4228" s="862"/>
      <c r="O4228" s="862"/>
      <c r="P4228" s="862"/>
      <c r="Q4228" s="862"/>
      <c r="R4228" s="647"/>
      <c r="S4228" s="863">
        <v>14.399999999999999</v>
      </c>
      <c r="T4228" s="864"/>
      <c r="U4228" s="864"/>
      <c r="V4228" s="864"/>
      <c r="W4228" s="864"/>
      <c r="X4228" s="864"/>
      <c r="Y4228" s="1817">
        <v>8.7500000000000355</v>
      </c>
      <c r="Z4228" s="862">
        <v>7.33</v>
      </c>
      <c r="AA4228" s="647">
        <v>4.4800000000000004</v>
      </c>
      <c r="AB4228" s="647">
        <v>0.77100000000000002</v>
      </c>
      <c r="AC4228" s="862">
        <v>7.4</v>
      </c>
      <c r="AD4228" s="1819">
        <v>175.00000000000071</v>
      </c>
      <c r="AE4228" s="1819">
        <v>393.73199999999929</v>
      </c>
      <c r="AF4228" s="1819">
        <v>406.5</v>
      </c>
      <c r="AG4228" s="66">
        <f t="shared" si="157"/>
        <v>0</v>
      </c>
      <c r="AH4228" s="143">
        <f t="shared" si="158"/>
        <v>975.23199999999997</v>
      </c>
    </row>
    <row r="4229" spans="1:34" x14ac:dyDescent="0.3">
      <c r="A4229" s="862">
        <v>204309</v>
      </c>
      <c r="B4229" s="863">
        <v>11.5</v>
      </c>
      <c r="C4229" s="863">
        <v>4.2500000000000027</v>
      </c>
      <c r="D4229" s="647">
        <v>8.31</v>
      </c>
      <c r="E4229" s="1573"/>
      <c r="F4229" s="864"/>
      <c r="G4229" s="862"/>
      <c r="H4229" s="864">
        <v>39.659999999999997</v>
      </c>
      <c r="I4229" s="864">
        <v>240</v>
      </c>
      <c r="J4229" s="1816"/>
      <c r="K4229" s="863"/>
      <c r="L4229" s="862"/>
      <c r="M4229" s="862"/>
      <c r="N4229" s="862"/>
      <c r="O4229" s="862"/>
      <c r="P4229" s="862"/>
      <c r="Q4229" s="862"/>
      <c r="R4229" s="647"/>
      <c r="S4229" s="863">
        <v>18.3</v>
      </c>
      <c r="T4229" s="864"/>
      <c r="U4229" s="864"/>
      <c r="V4229" s="864"/>
      <c r="W4229" s="864"/>
      <c r="X4229" s="864"/>
      <c r="Y4229" s="1817">
        <v>9.1250000000000497</v>
      </c>
      <c r="Z4229" s="862">
        <v>7.23</v>
      </c>
      <c r="AA4229" s="647">
        <v>3.83</v>
      </c>
      <c r="AB4229" s="647">
        <v>0.34399999999999997</v>
      </c>
      <c r="AC4229" s="862">
        <v>7.4</v>
      </c>
      <c r="AD4229" s="1819">
        <v>182.50000000000099</v>
      </c>
      <c r="AE4229" s="1819">
        <v>466.72399999999902</v>
      </c>
      <c r="AF4229" s="1819">
        <v>319.29999999999995</v>
      </c>
      <c r="AG4229" s="66">
        <f t="shared" si="157"/>
        <v>0</v>
      </c>
      <c r="AH4229" s="143">
        <f t="shared" si="158"/>
        <v>968.524</v>
      </c>
    </row>
    <row r="4230" spans="1:34" x14ac:dyDescent="0.3">
      <c r="A4230" s="862">
        <v>204310</v>
      </c>
      <c r="B4230" s="863">
        <v>24.5</v>
      </c>
      <c r="C4230" s="863">
        <v>13.125000000000002</v>
      </c>
      <c r="D4230" s="647">
        <v>8.35</v>
      </c>
      <c r="E4230" s="1573"/>
      <c r="F4230" s="864"/>
      <c r="G4230" s="862"/>
      <c r="H4230" s="864">
        <v>41.96</v>
      </c>
      <c r="I4230" s="864">
        <v>100</v>
      </c>
      <c r="J4230" s="1816"/>
      <c r="K4230" s="863"/>
      <c r="L4230" s="862"/>
      <c r="M4230" s="862"/>
      <c r="N4230" s="862"/>
      <c r="O4230" s="862"/>
      <c r="P4230" s="862"/>
      <c r="Q4230" s="862"/>
      <c r="R4230" s="647"/>
      <c r="S4230" s="863">
        <v>14.9</v>
      </c>
      <c r="T4230" s="864"/>
      <c r="U4230" s="864"/>
      <c r="V4230" s="864"/>
      <c r="W4230" s="864"/>
      <c r="X4230" s="864"/>
      <c r="Y4230" s="1817">
        <v>7.8000000000000069</v>
      </c>
      <c r="Z4230" s="862">
        <v>7.35</v>
      </c>
      <c r="AA4230" s="647">
        <v>4.7</v>
      </c>
      <c r="AB4230" s="647">
        <v>0.69299999999999995</v>
      </c>
      <c r="AC4230" s="862">
        <v>9.1999999999999993</v>
      </c>
      <c r="AD4230" s="1819">
        <v>130.00000000000011</v>
      </c>
      <c r="AE4230" s="1819">
        <v>538.1719999999998</v>
      </c>
      <c r="AF4230" s="1819">
        <v>306.20000000000005</v>
      </c>
      <c r="AG4230" s="66">
        <f t="shared" si="157"/>
        <v>0</v>
      </c>
      <c r="AH4230" s="143">
        <f t="shared" si="158"/>
        <v>974.37199999999996</v>
      </c>
    </row>
    <row r="4231" spans="1:34" x14ac:dyDescent="0.3">
      <c r="A4231" s="862">
        <v>204311</v>
      </c>
      <c r="B4231" s="863">
        <v>1.1000000000000001</v>
      </c>
      <c r="C4231" s="863"/>
      <c r="D4231" s="647">
        <v>7.91</v>
      </c>
      <c r="E4231" s="1573"/>
      <c r="F4231" s="864"/>
      <c r="G4231" s="862"/>
      <c r="H4231" s="864">
        <v>101.19</v>
      </c>
      <c r="I4231" s="864">
        <v>1000</v>
      </c>
      <c r="J4231" s="1816"/>
      <c r="K4231" s="863"/>
      <c r="L4231" s="862"/>
      <c r="M4231" s="862"/>
      <c r="N4231" s="862"/>
      <c r="O4231" s="862"/>
      <c r="P4231" s="862"/>
      <c r="Q4231" s="862"/>
      <c r="R4231" s="647"/>
      <c r="S4231" s="863">
        <v>13</v>
      </c>
      <c r="T4231" s="864"/>
      <c r="U4231" s="864"/>
      <c r="V4231" s="864"/>
      <c r="W4231" s="864"/>
      <c r="X4231" s="864"/>
      <c r="Y4231" s="1817">
        <v>29.050000000000065</v>
      </c>
      <c r="Z4231" s="862">
        <v>6.97</v>
      </c>
      <c r="AA4231" s="647">
        <v>3.85</v>
      </c>
      <c r="AB4231" s="647">
        <v>0.33900000000000002</v>
      </c>
      <c r="AC4231" s="862">
        <v>10.5</v>
      </c>
      <c r="AD4231" s="1819">
        <v>415.00000000000091</v>
      </c>
      <c r="AE4231" s="1819">
        <v>359.43999999999903</v>
      </c>
      <c r="AF4231" s="1819">
        <v>203.20000000000002</v>
      </c>
      <c r="AG4231" s="66">
        <f t="shared" si="157"/>
        <v>0</v>
      </c>
      <c r="AH4231" s="143">
        <f t="shared" si="158"/>
        <v>977.64</v>
      </c>
    </row>
    <row r="4232" spans="1:34" x14ac:dyDescent="0.3">
      <c r="A4232" s="862">
        <v>204312</v>
      </c>
      <c r="B4232" s="863">
        <v>17</v>
      </c>
      <c r="C4232" s="863">
        <v>9.5000000000000018</v>
      </c>
      <c r="D4232" s="647">
        <v>8.23</v>
      </c>
      <c r="E4232" s="1573"/>
      <c r="F4232" s="864"/>
      <c r="G4232" s="862"/>
      <c r="H4232" s="864">
        <v>37.22</v>
      </c>
      <c r="I4232" s="864">
        <v>210</v>
      </c>
      <c r="J4232" s="1816"/>
      <c r="K4232" s="863"/>
      <c r="L4232" s="862"/>
      <c r="M4232" s="862"/>
      <c r="N4232" s="862"/>
      <c r="O4232" s="862"/>
      <c r="P4232" s="862"/>
      <c r="Q4232" s="862"/>
      <c r="R4232" s="647"/>
      <c r="S4232" s="863">
        <v>17.7</v>
      </c>
      <c r="T4232" s="864"/>
      <c r="U4232" s="864"/>
      <c r="V4232" s="864"/>
      <c r="W4232" s="864"/>
      <c r="X4232" s="864"/>
      <c r="Y4232" s="1817">
        <v>11.55000000000005</v>
      </c>
      <c r="Z4232" s="862">
        <v>7.12</v>
      </c>
      <c r="AA4232" s="647">
        <v>4.4800000000000004</v>
      </c>
      <c r="AB4232" s="647">
        <v>0.27500000000000002</v>
      </c>
      <c r="AC4232" s="862">
        <v>9.1999999999999993</v>
      </c>
      <c r="AD4232" s="1819">
        <v>165.00000000000071</v>
      </c>
      <c r="AE4232" s="1819">
        <v>524.7559999999994</v>
      </c>
      <c r="AF4232" s="1819">
        <v>279.8</v>
      </c>
      <c r="AG4232" s="66">
        <f t="shared" si="157"/>
        <v>0</v>
      </c>
      <c r="AH4232" s="143">
        <f t="shared" si="158"/>
        <v>969.55600000000004</v>
      </c>
    </row>
    <row r="4233" spans="1:34" x14ac:dyDescent="0.3">
      <c r="A4233" s="862">
        <v>204313</v>
      </c>
      <c r="B4233" s="863">
        <v>1.9</v>
      </c>
      <c r="C4233" s="863"/>
      <c r="D4233" s="647">
        <v>8.1</v>
      </c>
      <c r="E4233" s="1573"/>
      <c r="F4233" s="864"/>
      <c r="G4233" s="862"/>
      <c r="H4233" s="864">
        <v>81.55</v>
      </c>
      <c r="I4233" s="864">
        <v>880</v>
      </c>
      <c r="J4233" s="1816"/>
      <c r="K4233" s="863"/>
      <c r="L4233" s="862"/>
      <c r="M4233" s="862"/>
      <c r="N4233" s="862"/>
      <c r="O4233" s="862"/>
      <c r="P4233" s="862"/>
      <c r="Q4233" s="862"/>
      <c r="R4233" s="647"/>
      <c r="S4233" s="863">
        <v>16.200000000000003</v>
      </c>
      <c r="T4233" s="864"/>
      <c r="U4233" s="864"/>
      <c r="V4233" s="864"/>
      <c r="W4233" s="864"/>
      <c r="X4233" s="864"/>
      <c r="Y4233" s="1817">
        <v>18.200000000000017</v>
      </c>
      <c r="Z4233" s="862">
        <v>7.05</v>
      </c>
      <c r="AA4233" s="647">
        <v>4.21</v>
      </c>
      <c r="AB4233" s="647">
        <v>0.63</v>
      </c>
      <c r="AC4233" s="862">
        <v>9.4</v>
      </c>
      <c r="AD4233" s="1819">
        <v>260.00000000000023</v>
      </c>
      <c r="AE4233" s="1819">
        <v>347.93599999999969</v>
      </c>
      <c r="AF4233" s="1819">
        <v>364.20000000000005</v>
      </c>
      <c r="AG4233" s="66">
        <f t="shared" si="157"/>
        <v>0</v>
      </c>
      <c r="AH4233" s="143">
        <f t="shared" si="158"/>
        <v>972.13599999999997</v>
      </c>
    </row>
    <row r="4234" spans="1:34" x14ac:dyDescent="0.3">
      <c r="A4234" s="862">
        <v>204314</v>
      </c>
      <c r="B4234" s="863">
        <v>13.3</v>
      </c>
      <c r="C4234" s="863">
        <v>7.1250000000000018</v>
      </c>
      <c r="D4234" s="647">
        <v>8.09</v>
      </c>
      <c r="E4234" s="1573"/>
      <c r="F4234" s="864"/>
      <c r="G4234" s="862"/>
      <c r="H4234" s="864">
        <v>195.78</v>
      </c>
      <c r="I4234" s="864">
        <v>400</v>
      </c>
      <c r="J4234" s="1816"/>
      <c r="K4234" s="863"/>
      <c r="L4234" s="862"/>
      <c r="M4234" s="862"/>
      <c r="N4234" s="862"/>
      <c r="O4234" s="862"/>
      <c r="P4234" s="862"/>
      <c r="Q4234" s="862"/>
      <c r="R4234" s="647"/>
      <c r="S4234" s="863">
        <v>18</v>
      </c>
      <c r="T4234" s="864"/>
      <c r="U4234" s="864"/>
      <c r="V4234" s="864"/>
      <c r="W4234" s="864"/>
      <c r="X4234" s="864"/>
      <c r="Y4234" s="1817">
        <v>10.500000000000043</v>
      </c>
      <c r="Z4234" s="862">
        <v>7.44</v>
      </c>
      <c r="AA4234" s="647">
        <v>4.51</v>
      </c>
      <c r="AB4234" s="647">
        <v>0.44800000000000001</v>
      </c>
      <c r="AC4234" s="862">
        <v>6.1</v>
      </c>
      <c r="AD4234" s="1819">
        <v>175.00000000000071</v>
      </c>
      <c r="AE4234" s="1819">
        <v>296.63999999999908</v>
      </c>
      <c r="AF4234" s="1819">
        <v>497.40000000000009</v>
      </c>
      <c r="AG4234" s="66">
        <f t="shared" si="157"/>
        <v>0</v>
      </c>
      <c r="AH4234" s="143">
        <f t="shared" si="158"/>
        <v>969.03999999999985</v>
      </c>
    </row>
    <row r="4235" spans="1:34" x14ac:dyDescent="0.3">
      <c r="A4235" s="862">
        <v>204315</v>
      </c>
      <c r="B4235" s="863">
        <v>3.9</v>
      </c>
      <c r="C4235" s="863"/>
      <c r="D4235" s="647">
        <v>8.19</v>
      </c>
      <c r="E4235" s="1573"/>
      <c r="F4235" s="864"/>
      <c r="G4235" s="862"/>
      <c r="H4235" s="864">
        <v>75.34</v>
      </c>
      <c r="I4235" s="864">
        <v>300</v>
      </c>
      <c r="J4235" s="1816"/>
      <c r="K4235" s="863"/>
      <c r="L4235" s="862"/>
      <c r="M4235" s="862"/>
      <c r="N4235" s="862"/>
      <c r="O4235" s="862"/>
      <c r="P4235" s="862"/>
      <c r="Q4235" s="862"/>
      <c r="R4235" s="647"/>
      <c r="S4235" s="863">
        <v>15.8</v>
      </c>
      <c r="T4235" s="864"/>
      <c r="U4235" s="864"/>
      <c r="V4235" s="864"/>
      <c r="W4235" s="864"/>
      <c r="X4235" s="864"/>
      <c r="Y4235" s="1817">
        <v>2.0000000000000573</v>
      </c>
      <c r="Z4235" s="862">
        <v>7.01</v>
      </c>
      <c r="AA4235" s="647">
        <v>4.66</v>
      </c>
      <c r="AB4235" s="647">
        <v>0.33300000000000002</v>
      </c>
      <c r="AC4235" s="862">
        <v>11.7</v>
      </c>
      <c r="AD4235" s="1819">
        <v>40.000000000001144</v>
      </c>
      <c r="AE4235" s="1819">
        <v>634.82399999999893</v>
      </c>
      <c r="AF4235" s="1819">
        <v>298</v>
      </c>
      <c r="AG4235" s="66">
        <f t="shared" si="157"/>
        <v>0</v>
      </c>
      <c r="AH4235" s="143">
        <f t="shared" si="158"/>
        <v>972.82400000000007</v>
      </c>
    </row>
    <row r="4236" spans="1:34" x14ac:dyDescent="0.3">
      <c r="A4236" s="862">
        <v>204316</v>
      </c>
      <c r="B4236" s="863">
        <v>12.7</v>
      </c>
      <c r="C4236" s="863">
        <v>6.7500000000000027</v>
      </c>
      <c r="D4236" s="647">
        <v>8.1199999999999992</v>
      </c>
      <c r="E4236" s="1573"/>
      <c r="F4236" s="864"/>
      <c r="G4236" s="862"/>
      <c r="H4236" s="864">
        <v>43.56</v>
      </c>
      <c r="I4236" s="864">
        <v>160</v>
      </c>
      <c r="J4236" s="1816"/>
      <c r="K4236" s="863"/>
      <c r="L4236" s="862"/>
      <c r="M4236" s="862"/>
      <c r="N4236" s="862"/>
      <c r="O4236" s="862"/>
      <c r="P4236" s="862"/>
      <c r="Q4236" s="862"/>
      <c r="R4236" s="647"/>
      <c r="S4236" s="863">
        <v>17.100000000000001</v>
      </c>
      <c r="T4236" s="864"/>
      <c r="U4236" s="864"/>
      <c r="V4236" s="864"/>
      <c r="W4236" s="864"/>
      <c r="X4236" s="864"/>
      <c r="Y4236" s="1817">
        <v>4.6500000000000208</v>
      </c>
      <c r="Z4236" s="862">
        <v>7.21</v>
      </c>
      <c r="AA4236" s="647">
        <v>3.67</v>
      </c>
      <c r="AB4236" s="647">
        <v>0.59299999999999997</v>
      </c>
      <c r="AC4236" s="862">
        <v>9.6999999999999993</v>
      </c>
      <c r="AD4236" s="1819">
        <v>77.500000000000341</v>
      </c>
      <c r="AE4236" s="1819">
        <v>556.78799999999956</v>
      </c>
      <c r="AF4236" s="1819">
        <v>336.3</v>
      </c>
      <c r="AG4236" s="66">
        <f t="shared" si="157"/>
        <v>0</v>
      </c>
      <c r="AH4236" s="143">
        <f t="shared" si="158"/>
        <v>970.58799999999997</v>
      </c>
    </row>
    <row r="4237" spans="1:34" x14ac:dyDescent="0.3">
      <c r="A4237" s="862">
        <v>204317</v>
      </c>
      <c r="B4237" s="863">
        <v>2.7</v>
      </c>
      <c r="C4237" s="863"/>
      <c r="D4237" s="647">
        <v>8.01</v>
      </c>
      <c r="E4237" s="1573"/>
      <c r="F4237" s="864"/>
      <c r="G4237" s="862"/>
      <c r="H4237" s="864">
        <v>45.46</v>
      </c>
      <c r="I4237" s="864">
        <v>490</v>
      </c>
      <c r="J4237" s="1816"/>
      <c r="K4237" s="863"/>
      <c r="L4237" s="862"/>
      <c r="M4237" s="862"/>
      <c r="N4237" s="862"/>
      <c r="O4237" s="862"/>
      <c r="P4237" s="862"/>
      <c r="Q4237" s="862"/>
      <c r="R4237" s="647"/>
      <c r="S4237" s="863">
        <v>13.4</v>
      </c>
      <c r="T4237" s="864"/>
      <c r="U4237" s="864"/>
      <c r="V4237" s="864"/>
      <c r="W4237" s="864"/>
      <c r="X4237" s="864"/>
      <c r="Y4237" s="1817">
        <v>20.750000000000046</v>
      </c>
      <c r="Z4237" s="862">
        <v>6.84</v>
      </c>
      <c r="AA4237" s="647">
        <v>4.6500000000000004</v>
      </c>
      <c r="AB4237" s="647">
        <v>0.52700000000000002</v>
      </c>
      <c r="AC4237" s="862">
        <v>11.3</v>
      </c>
      <c r="AD4237" s="1819">
        <v>415.00000000000091</v>
      </c>
      <c r="AE4237" s="1819">
        <v>477.65199999999902</v>
      </c>
      <c r="AF4237" s="1819">
        <v>84.3</v>
      </c>
      <c r="AG4237" s="66">
        <f t="shared" si="157"/>
        <v>0</v>
      </c>
      <c r="AH4237" s="143">
        <f t="shared" si="158"/>
        <v>976.95199999999988</v>
      </c>
    </row>
    <row r="4238" spans="1:34" x14ac:dyDescent="0.3">
      <c r="A4238" s="862">
        <v>204318</v>
      </c>
      <c r="B4238" s="863">
        <v>13.3</v>
      </c>
      <c r="C4238" s="863">
        <v>6.3750000000000018</v>
      </c>
      <c r="D4238" s="647">
        <v>8.2899999999999991</v>
      </c>
      <c r="E4238" s="1573"/>
      <c r="F4238" s="864"/>
      <c r="G4238" s="862"/>
      <c r="H4238" s="864">
        <v>75.72</v>
      </c>
      <c r="I4238" s="864">
        <v>240</v>
      </c>
      <c r="J4238" s="1816"/>
      <c r="K4238" s="863"/>
      <c r="L4238" s="862"/>
      <c r="M4238" s="862"/>
      <c r="N4238" s="862"/>
      <c r="O4238" s="862"/>
      <c r="P4238" s="862"/>
      <c r="Q4238" s="862"/>
      <c r="R4238" s="647"/>
      <c r="S4238" s="863">
        <v>19.099999999999998</v>
      </c>
      <c r="T4238" s="864"/>
      <c r="U4238" s="864"/>
      <c r="V4238" s="864"/>
      <c r="W4238" s="864"/>
      <c r="X4238" s="864"/>
      <c r="Y4238" s="1817">
        <v>11.249999999999961</v>
      </c>
      <c r="Z4238" s="862">
        <v>7.31</v>
      </c>
      <c r="AA4238" s="647">
        <v>3.87</v>
      </c>
      <c r="AB4238" s="647">
        <v>0.496</v>
      </c>
      <c r="AC4238" s="862">
        <v>7.3</v>
      </c>
      <c r="AD4238" s="1819">
        <v>187.49999999999935</v>
      </c>
      <c r="AE4238" s="1819">
        <v>400.94800000000077</v>
      </c>
      <c r="AF4238" s="1819">
        <v>378.7</v>
      </c>
      <c r="AG4238" s="66">
        <f t="shared" si="157"/>
        <v>0</v>
      </c>
      <c r="AH4238" s="143">
        <f t="shared" si="158"/>
        <v>967.14800000000014</v>
      </c>
    </row>
    <row r="4239" spans="1:34" x14ac:dyDescent="0.3">
      <c r="A4239" s="862">
        <v>204319</v>
      </c>
      <c r="B4239" s="863">
        <v>8.3000000000000007</v>
      </c>
      <c r="C4239" s="863"/>
      <c r="D4239" s="647">
        <v>8.25</v>
      </c>
      <c r="E4239" s="1573"/>
      <c r="F4239" s="864"/>
      <c r="G4239" s="862"/>
      <c r="H4239" s="864">
        <v>47.2</v>
      </c>
      <c r="I4239" s="864">
        <v>390</v>
      </c>
      <c r="J4239" s="1816"/>
      <c r="K4239" s="863"/>
      <c r="L4239" s="862"/>
      <c r="M4239" s="862"/>
      <c r="N4239" s="862"/>
      <c r="O4239" s="862"/>
      <c r="P4239" s="862"/>
      <c r="Q4239" s="862"/>
      <c r="R4239" s="647"/>
      <c r="S4239" s="863">
        <v>17.7</v>
      </c>
      <c r="T4239" s="864"/>
      <c r="U4239" s="864"/>
      <c r="V4239" s="864"/>
      <c r="W4239" s="864"/>
      <c r="X4239" s="864"/>
      <c r="Y4239" s="1817">
        <v>15.400000000000013</v>
      </c>
      <c r="Z4239" s="862">
        <v>7.07</v>
      </c>
      <c r="AA4239" s="647">
        <v>3.57</v>
      </c>
      <c r="AB4239" s="647">
        <v>0.28999999999999998</v>
      </c>
      <c r="AC4239" s="862">
        <v>8.6999999999999993</v>
      </c>
      <c r="AD4239" s="1819">
        <v>220.0000000000002</v>
      </c>
      <c r="AE4239" s="1819">
        <v>517.85599999999988</v>
      </c>
      <c r="AF4239" s="1819">
        <v>231.7</v>
      </c>
      <c r="AG4239" s="66">
        <f t="shared" si="157"/>
        <v>0</v>
      </c>
      <c r="AH4239" s="143">
        <f t="shared" si="158"/>
        <v>969.55600000000004</v>
      </c>
    </row>
    <row r="4240" spans="1:34" x14ac:dyDescent="0.3">
      <c r="A4240" s="862">
        <v>204320</v>
      </c>
      <c r="B4240" s="863">
        <v>16.7</v>
      </c>
      <c r="C4240" s="863">
        <v>9.75</v>
      </c>
      <c r="D4240" s="647">
        <v>8.2200000000000006</v>
      </c>
      <c r="E4240" s="1573"/>
      <c r="F4240" s="864"/>
      <c r="G4240" s="862"/>
      <c r="H4240" s="864">
        <v>32.49</v>
      </c>
      <c r="I4240" s="864">
        <v>130</v>
      </c>
      <c r="J4240" s="1816"/>
      <c r="K4240" s="863"/>
      <c r="L4240" s="862"/>
      <c r="M4240" s="862"/>
      <c r="N4240" s="862"/>
      <c r="O4240" s="862"/>
      <c r="P4240" s="862"/>
      <c r="Q4240" s="862"/>
      <c r="R4240" s="647"/>
      <c r="S4240" s="863">
        <v>17.899999999999999</v>
      </c>
      <c r="T4240" s="864"/>
      <c r="U4240" s="864"/>
      <c r="V4240" s="864"/>
      <c r="W4240" s="864"/>
      <c r="X4240" s="864"/>
      <c r="Y4240" s="1817">
        <v>7.2499999999999787</v>
      </c>
      <c r="Z4240" s="862">
        <v>7.3</v>
      </c>
      <c r="AA4240" s="647">
        <v>4.0199999999999996</v>
      </c>
      <c r="AB4240" s="647">
        <v>0.82399999999999995</v>
      </c>
      <c r="AC4240" s="862">
        <v>7.9</v>
      </c>
      <c r="AD4240" s="1819">
        <v>144.99999999999957</v>
      </c>
      <c r="AE4240" s="1819">
        <v>604.31200000000035</v>
      </c>
      <c r="AF4240" s="1819">
        <v>219.90000000000003</v>
      </c>
      <c r="AG4240" s="66">
        <f t="shared" si="157"/>
        <v>0</v>
      </c>
      <c r="AH4240" s="143">
        <f t="shared" si="158"/>
        <v>969.21199999999999</v>
      </c>
    </row>
    <row r="4241" spans="1:34" x14ac:dyDescent="0.3">
      <c r="A4241" s="862">
        <v>204321</v>
      </c>
      <c r="B4241" s="863">
        <v>1.2</v>
      </c>
      <c r="C4241" s="863"/>
      <c r="D4241" s="647">
        <v>7.93</v>
      </c>
      <c r="E4241" s="1573"/>
      <c r="F4241" s="864"/>
      <c r="G4241" s="862"/>
      <c r="H4241" s="864">
        <v>178.44</v>
      </c>
      <c r="I4241" s="864">
        <v>1450</v>
      </c>
      <c r="J4241" s="1816"/>
      <c r="K4241" s="863"/>
      <c r="L4241" s="862"/>
      <c r="M4241" s="862"/>
      <c r="N4241" s="862"/>
      <c r="O4241" s="862"/>
      <c r="P4241" s="862"/>
      <c r="Q4241" s="862"/>
      <c r="R4241" s="647"/>
      <c r="S4241" s="863">
        <v>19</v>
      </c>
      <c r="T4241" s="864"/>
      <c r="U4241" s="864"/>
      <c r="V4241" s="864"/>
      <c r="W4241" s="864"/>
      <c r="X4241" s="864"/>
      <c r="Y4241" s="1817">
        <v>19.074999999999996</v>
      </c>
      <c r="Z4241" s="862">
        <v>7</v>
      </c>
      <c r="AA4241" s="647">
        <v>4.2300000000000004</v>
      </c>
      <c r="AB4241" s="647">
        <v>0.86199999999999999</v>
      </c>
      <c r="AC4241" s="862">
        <v>9.6999999999999993</v>
      </c>
      <c r="AD4241" s="1819">
        <v>272.49999999999994</v>
      </c>
      <c r="AE4241" s="1819">
        <v>445.82000000000011</v>
      </c>
      <c r="AF4241" s="1819">
        <v>249.00000000000006</v>
      </c>
      <c r="AG4241" s="66">
        <f t="shared" si="157"/>
        <v>0</v>
      </c>
      <c r="AH4241" s="143">
        <f t="shared" si="158"/>
        <v>967.32000000000016</v>
      </c>
    </row>
    <row r="4242" spans="1:34" x14ac:dyDescent="0.3">
      <c r="A4242" s="862">
        <v>204322</v>
      </c>
      <c r="B4242" s="863">
        <v>1.8</v>
      </c>
      <c r="C4242" s="863"/>
      <c r="D4242" s="647">
        <v>7.95</v>
      </c>
      <c r="E4242" s="1573"/>
      <c r="F4242" s="864"/>
      <c r="G4242" s="862"/>
      <c r="H4242" s="864">
        <v>72.22</v>
      </c>
      <c r="I4242" s="864">
        <v>360</v>
      </c>
      <c r="J4242" s="1816"/>
      <c r="K4242" s="863"/>
      <c r="L4242" s="862"/>
      <c r="M4242" s="862"/>
      <c r="N4242" s="862"/>
      <c r="O4242" s="862"/>
      <c r="P4242" s="862"/>
      <c r="Q4242" s="862"/>
      <c r="R4242" s="647"/>
      <c r="S4242" s="863">
        <v>15.1</v>
      </c>
      <c r="T4242" s="864"/>
      <c r="U4242" s="864"/>
      <c r="V4242" s="864"/>
      <c r="W4242" s="864"/>
      <c r="X4242" s="864"/>
      <c r="Y4242" s="1817">
        <v>13.625000000000055</v>
      </c>
      <c r="Z4242" s="862">
        <v>6.98</v>
      </c>
      <c r="AA4242" s="647">
        <v>4.0999999999999996</v>
      </c>
      <c r="AB4242" s="647">
        <v>0.878</v>
      </c>
      <c r="AC4242" s="862">
        <v>7.1</v>
      </c>
      <c r="AD4242" s="1819">
        <v>272.50000000000108</v>
      </c>
      <c r="AE4242" s="1819">
        <v>390.32799999999889</v>
      </c>
      <c r="AF4242" s="1819">
        <v>311.2</v>
      </c>
      <c r="AG4242" s="66">
        <f t="shared" si="157"/>
        <v>0</v>
      </c>
      <c r="AH4242" s="143">
        <f t="shared" si="158"/>
        <v>974.02800000000002</v>
      </c>
    </row>
    <row r="4243" spans="1:34" x14ac:dyDescent="0.3">
      <c r="A4243" s="862">
        <v>204323</v>
      </c>
      <c r="B4243" s="863">
        <v>12.2</v>
      </c>
      <c r="C4243" s="863">
        <v>2.1250000000000036</v>
      </c>
      <c r="D4243" s="647">
        <v>8.07</v>
      </c>
      <c r="E4243" s="1573"/>
      <c r="F4243" s="864"/>
      <c r="G4243" s="862"/>
      <c r="H4243" s="864">
        <v>57.21</v>
      </c>
      <c r="I4243" s="864">
        <v>150</v>
      </c>
      <c r="J4243" s="1816"/>
      <c r="K4243" s="863"/>
      <c r="L4243" s="862"/>
      <c r="M4243" s="862"/>
      <c r="N4243" s="862"/>
      <c r="O4243" s="862"/>
      <c r="P4243" s="862"/>
      <c r="Q4243" s="862"/>
      <c r="R4243" s="647"/>
      <c r="S4243" s="863">
        <v>11.5</v>
      </c>
      <c r="T4243" s="864"/>
      <c r="U4243" s="864"/>
      <c r="V4243" s="864"/>
      <c r="W4243" s="864"/>
      <c r="X4243" s="864"/>
      <c r="Y4243" s="1817">
        <v>11.624999999999998</v>
      </c>
      <c r="Z4243" s="862">
        <v>7.42</v>
      </c>
      <c r="AA4243" s="647">
        <v>4.8</v>
      </c>
      <c r="AB4243" s="647">
        <v>0.25600000000000001</v>
      </c>
      <c r="AC4243" s="862">
        <v>9.1</v>
      </c>
      <c r="AD4243" s="1819">
        <v>232.49999999999994</v>
      </c>
      <c r="AE4243" s="1819">
        <v>352.0200000000001</v>
      </c>
      <c r="AF4243" s="1819">
        <v>395.70000000000005</v>
      </c>
      <c r="AG4243" s="66">
        <f t="shared" si="157"/>
        <v>0</v>
      </c>
      <c r="AH4243" s="143">
        <f t="shared" si="158"/>
        <v>980.22</v>
      </c>
    </row>
    <row r="4244" spans="1:34" x14ac:dyDescent="0.3">
      <c r="A4244" s="862">
        <v>204324</v>
      </c>
      <c r="B4244" s="863">
        <v>2</v>
      </c>
      <c r="C4244" s="863"/>
      <c r="D4244" s="647">
        <v>8.16</v>
      </c>
      <c r="E4244" s="1573"/>
      <c r="F4244" s="864"/>
      <c r="G4244" s="862"/>
      <c r="H4244" s="864">
        <v>42.56</v>
      </c>
      <c r="I4244" s="864">
        <v>280</v>
      </c>
      <c r="J4244" s="1816"/>
      <c r="K4244" s="863"/>
      <c r="L4244" s="862"/>
      <c r="M4244" s="862"/>
      <c r="N4244" s="862"/>
      <c r="O4244" s="862"/>
      <c r="P4244" s="862"/>
      <c r="Q4244" s="862"/>
      <c r="R4244" s="647"/>
      <c r="S4244" s="863">
        <v>11.899999999999999</v>
      </c>
      <c r="T4244" s="864"/>
      <c r="U4244" s="864"/>
      <c r="V4244" s="864"/>
      <c r="W4244" s="864"/>
      <c r="X4244" s="864"/>
      <c r="Y4244" s="1817">
        <v>20.000000000000018</v>
      </c>
      <c r="Z4244" s="862">
        <v>7.07</v>
      </c>
      <c r="AA4244" s="647">
        <v>3.91</v>
      </c>
      <c r="AB4244" s="647">
        <v>0.77300000000000002</v>
      </c>
      <c r="AC4244" s="862">
        <v>9.6</v>
      </c>
      <c r="AD4244" s="1819">
        <v>400.00000000000034</v>
      </c>
      <c r="AE4244" s="1819">
        <v>395.53199999999981</v>
      </c>
      <c r="AF4244" s="1819">
        <v>183.99999999999994</v>
      </c>
      <c r="AG4244" s="66">
        <f t="shared" si="157"/>
        <v>0</v>
      </c>
      <c r="AH4244" s="143">
        <f t="shared" si="158"/>
        <v>979.53200000000015</v>
      </c>
    </row>
    <row r="4245" spans="1:34" x14ac:dyDescent="0.3">
      <c r="A4245" s="862">
        <v>204325</v>
      </c>
      <c r="B4245" s="863">
        <v>20</v>
      </c>
      <c r="C4245" s="863">
        <v>11.250000000000002</v>
      </c>
      <c r="D4245" s="647">
        <v>8.2200000000000006</v>
      </c>
      <c r="E4245" s="1573"/>
      <c r="F4245" s="864"/>
      <c r="G4245" s="862"/>
      <c r="H4245" s="864">
        <v>39.36</v>
      </c>
      <c r="I4245" s="864">
        <v>180</v>
      </c>
      <c r="J4245" s="1816"/>
      <c r="K4245" s="863"/>
      <c r="L4245" s="862"/>
      <c r="M4245" s="862"/>
      <c r="N4245" s="862"/>
      <c r="O4245" s="862"/>
      <c r="P4245" s="862"/>
      <c r="Q4245" s="862"/>
      <c r="R4245" s="647"/>
      <c r="S4245" s="863">
        <v>17.899999999999999</v>
      </c>
      <c r="T4245" s="864"/>
      <c r="U4245" s="864"/>
      <c r="V4245" s="864"/>
      <c r="W4245" s="864"/>
      <c r="X4245" s="864"/>
      <c r="Y4245" s="1817">
        <v>12.950000000000051</v>
      </c>
      <c r="Z4245" s="862">
        <v>7.59</v>
      </c>
      <c r="AA4245" s="647">
        <v>3.93</v>
      </c>
      <c r="AB4245" s="647">
        <v>0.60399999999999998</v>
      </c>
      <c r="AC4245" s="862">
        <v>10.199999999999999</v>
      </c>
      <c r="AD4245" s="1819">
        <v>185.00000000000071</v>
      </c>
      <c r="AE4245" s="1819">
        <v>376.71199999999931</v>
      </c>
      <c r="AF4245" s="1819">
        <v>407.5</v>
      </c>
      <c r="AG4245" s="66">
        <f t="shared" si="157"/>
        <v>0</v>
      </c>
      <c r="AH4245" s="143">
        <f t="shared" si="158"/>
        <v>969.21199999999999</v>
      </c>
    </row>
    <row r="4246" spans="1:34" x14ac:dyDescent="0.3">
      <c r="A4246" s="862">
        <v>204326</v>
      </c>
      <c r="B4246" s="863">
        <v>10.5</v>
      </c>
      <c r="C4246" s="863">
        <v>2.6250000000000018</v>
      </c>
      <c r="D4246" s="647">
        <v>8.24</v>
      </c>
      <c r="E4246" s="1573"/>
      <c r="F4246" s="864"/>
      <c r="G4246" s="862"/>
      <c r="H4246" s="864">
        <v>41.61</v>
      </c>
      <c r="I4246" s="864">
        <v>130</v>
      </c>
      <c r="J4246" s="1816"/>
      <c r="K4246" s="863"/>
      <c r="L4246" s="862"/>
      <c r="M4246" s="862"/>
      <c r="N4246" s="862"/>
      <c r="O4246" s="862"/>
      <c r="P4246" s="862"/>
      <c r="Q4246" s="862"/>
      <c r="R4246" s="647"/>
      <c r="S4246" s="863">
        <v>8.6</v>
      </c>
      <c r="T4246" s="864"/>
      <c r="U4246" s="864"/>
      <c r="V4246" s="864"/>
      <c r="W4246" s="864"/>
      <c r="X4246" s="864"/>
      <c r="Y4246" s="1817">
        <v>11.72500000000003</v>
      </c>
      <c r="Z4246" s="862">
        <v>7.69</v>
      </c>
      <c r="AA4246" s="647">
        <v>3.96</v>
      </c>
      <c r="AB4246" s="647">
        <v>0.79600000000000004</v>
      </c>
      <c r="AC4246" s="862">
        <v>8.5</v>
      </c>
      <c r="AD4246" s="1819">
        <v>167.50000000000043</v>
      </c>
      <c r="AE4246" s="1819">
        <v>350.10799999999961</v>
      </c>
      <c r="AF4246" s="1819">
        <v>467.59999999999997</v>
      </c>
      <c r="AG4246" s="66">
        <f t="shared" si="157"/>
        <v>0</v>
      </c>
      <c r="AH4246" s="143">
        <f t="shared" si="158"/>
        <v>985.20800000000008</v>
      </c>
    </row>
    <row r="4247" spans="1:34" x14ac:dyDescent="0.3">
      <c r="A4247" s="862">
        <v>204327</v>
      </c>
      <c r="B4247" s="863">
        <v>1.7</v>
      </c>
      <c r="C4247" s="863"/>
      <c r="D4247" s="647">
        <v>7.97</v>
      </c>
      <c r="E4247" s="1573"/>
      <c r="F4247" s="864"/>
      <c r="G4247" s="862"/>
      <c r="H4247" s="864">
        <v>81.680000000000007</v>
      </c>
      <c r="I4247" s="864">
        <v>350</v>
      </c>
      <c r="J4247" s="1816"/>
      <c r="K4247" s="863"/>
      <c r="L4247" s="862"/>
      <c r="M4247" s="862"/>
      <c r="N4247" s="862"/>
      <c r="O4247" s="862"/>
      <c r="P4247" s="862"/>
      <c r="Q4247" s="862"/>
      <c r="R4247" s="647"/>
      <c r="S4247" s="863">
        <v>16.399999999999999</v>
      </c>
      <c r="T4247" s="864"/>
      <c r="U4247" s="864"/>
      <c r="V4247" s="864"/>
      <c r="W4247" s="864"/>
      <c r="X4247" s="864"/>
      <c r="Y4247" s="1817">
        <v>20.25</v>
      </c>
      <c r="Z4247" s="862">
        <v>7.07</v>
      </c>
      <c r="AA4247" s="647">
        <v>3.5</v>
      </c>
      <c r="AB4247" s="647">
        <v>0.68</v>
      </c>
      <c r="AC4247" s="862">
        <v>7.7</v>
      </c>
      <c r="AD4247" s="1819">
        <v>405</v>
      </c>
      <c r="AE4247" s="1819">
        <v>355</v>
      </c>
      <c r="AF4247" s="1819">
        <v>217</v>
      </c>
      <c r="AG4247" s="66">
        <f t="shared" si="157"/>
        <v>0</v>
      </c>
      <c r="AH4247" s="143">
        <f t="shared" si="158"/>
        <v>977</v>
      </c>
    </row>
    <row r="4248" spans="1:34" x14ac:dyDescent="0.3">
      <c r="A4248" s="862">
        <v>204328</v>
      </c>
      <c r="B4248" s="863">
        <v>11.8</v>
      </c>
      <c r="C4248" s="863">
        <v>6.1250000000000027</v>
      </c>
      <c r="D4248" s="647">
        <v>8.19</v>
      </c>
      <c r="E4248" s="1573"/>
      <c r="F4248" s="864"/>
      <c r="G4248" s="862"/>
      <c r="H4248" s="864">
        <v>24.46</v>
      </c>
      <c r="I4248" s="864">
        <v>130</v>
      </c>
      <c r="J4248" s="1816"/>
      <c r="K4248" s="863"/>
      <c r="L4248" s="862"/>
      <c r="M4248" s="862"/>
      <c r="N4248" s="862"/>
      <c r="O4248" s="862"/>
      <c r="P4248" s="862"/>
      <c r="Q4248" s="862"/>
      <c r="R4248" s="647"/>
      <c r="S4248" s="863">
        <v>16.8</v>
      </c>
      <c r="T4248" s="864"/>
      <c r="U4248" s="864"/>
      <c r="V4248" s="864"/>
      <c r="W4248" s="864"/>
      <c r="X4248" s="864"/>
      <c r="Y4248" s="1817">
        <v>21.35</v>
      </c>
      <c r="Z4248" s="862">
        <v>7.51</v>
      </c>
      <c r="AA4248" s="647">
        <v>4.6900000000000004</v>
      </c>
      <c r="AB4248" s="647">
        <v>0.41899999999999998</v>
      </c>
      <c r="AC4248" s="862">
        <v>6.4</v>
      </c>
      <c r="AD4248" s="1819">
        <v>305</v>
      </c>
      <c r="AE4248" s="1819">
        <v>348</v>
      </c>
      <c r="AF4248" s="1819">
        <v>329</v>
      </c>
      <c r="AG4248" s="66">
        <f t="shared" si="157"/>
        <v>0</v>
      </c>
      <c r="AH4248" s="143">
        <f t="shared" si="158"/>
        <v>982</v>
      </c>
    </row>
    <row r="4249" spans="1:34" x14ac:dyDescent="0.3">
      <c r="A4249" s="862">
        <v>204329</v>
      </c>
      <c r="B4249" s="863">
        <v>11.2</v>
      </c>
      <c r="C4249" s="863">
        <v>5.8750000000000018</v>
      </c>
      <c r="D4249" s="647">
        <v>8.42</v>
      </c>
      <c r="E4249" s="1573"/>
      <c r="F4249" s="864"/>
      <c r="G4249" s="862"/>
      <c r="H4249" s="864">
        <v>30.27</v>
      </c>
      <c r="I4249" s="864">
        <v>190</v>
      </c>
      <c r="J4249" s="1816"/>
      <c r="K4249" s="863"/>
      <c r="L4249" s="862"/>
      <c r="M4249" s="862"/>
      <c r="N4249" s="862"/>
      <c r="O4249" s="862"/>
      <c r="P4249" s="862"/>
      <c r="Q4249" s="862"/>
      <c r="R4249" s="647"/>
      <c r="S4249" s="863">
        <v>20</v>
      </c>
      <c r="T4249" s="864"/>
      <c r="U4249" s="864"/>
      <c r="V4249" s="864"/>
      <c r="W4249" s="864"/>
      <c r="X4249" s="864"/>
      <c r="Y4249" s="1817">
        <v>15.25</v>
      </c>
      <c r="Z4249" s="862">
        <v>7.5</v>
      </c>
      <c r="AA4249" s="647">
        <v>4.6100000000000003</v>
      </c>
      <c r="AB4249" s="647">
        <v>0.33100000000000002</v>
      </c>
      <c r="AC4249" s="862">
        <v>11.6</v>
      </c>
      <c r="AD4249" s="1819">
        <v>305</v>
      </c>
      <c r="AE4249" s="1819">
        <v>361</v>
      </c>
      <c r="AF4249" s="1819">
        <v>320</v>
      </c>
      <c r="AG4249" s="66">
        <f t="shared" si="157"/>
        <v>0</v>
      </c>
      <c r="AH4249" s="143">
        <f t="shared" si="158"/>
        <v>986</v>
      </c>
    </row>
    <row r="4250" spans="1:34" x14ac:dyDescent="0.3">
      <c r="A4250" s="862">
        <v>204330</v>
      </c>
      <c r="B4250" s="863">
        <v>13.9</v>
      </c>
      <c r="C4250" s="863">
        <v>6.8750000000000018</v>
      </c>
      <c r="D4250" s="647">
        <v>8.16</v>
      </c>
      <c r="E4250" s="1573"/>
      <c r="F4250" s="864"/>
      <c r="G4250" s="862"/>
      <c r="H4250" s="864">
        <v>36.619999999999997</v>
      </c>
      <c r="I4250" s="864">
        <v>200</v>
      </c>
      <c r="J4250" s="1816"/>
      <c r="K4250" s="863"/>
      <c r="L4250" s="862"/>
      <c r="M4250" s="862"/>
      <c r="N4250" s="862"/>
      <c r="O4250" s="862"/>
      <c r="P4250" s="862"/>
      <c r="Q4250" s="862"/>
      <c r="R4250" s="647"/>
      <c r="S4250" s="863">
        <v>18.2</v>
      </c>
      <c r="T4250" s="864"/>
      <c r="U4250" s="864"/>
      <c r="V4250" s="864"/>
      <c r="W4250" s="864"/>
      <c r="X4250" s="864"/>
      <c r="Y4250" s="1817">
        <v>20.65</v>
      </c>
      <c r="Z4250" s="862">
        <v>7.39</v>
      </c>
      <c r="AA4250" s="647">
        <v>4.62</v>
      </c>
      <c r="AB4250" s="647">
        <v>0.41299999999999998</v>
      </c>
      <c r="AC4250" s="862">
        <v>9.5</v>
      </c>
      <c r="AD4250" s="1819">
        <v>295</v>
      </c>
      <c r="AE4250" s="1819">
        <v>352</v>
      </c>
      <c r="AF4250" s="1819">
        <v>337</v>
      </c>
      <c r="AG4250" s="66">
        <f t="shared" si="157"/>
        <v>0</v>
      </c>
      <c r="AH4250" s="143">
        <f t="shared" si="158"/>
        <v>984</v>
      </c>
    </row>
    <row r="4251" spans="1:34" x14ac:dyDescent="0.3">
      <c r="A4251" s="862">
        <v>204331</v>
      </c>
      <c r="B4251" s="863">
        <v>14.6</v>
      </c>
      <c r="C4251" s="863">
        <v>6.1250000000000027</v>
      </c>
      <c r="D4251" s="647">
        <v>8.14</v>
      </c>
      <c r="E4251" s="1573"/>
      <c r="F4251" s="864"/>
      <c r="G4251" s="862"/>
      <c r="H4251" s="864">
        <v>38.869999999999997</v>
      </c>
      <c r="I4251" s="864">
        <v>180</v>
      </c>
      <c r="J4251" s="1816"/>
      <c r="K4251" s="863"/>
      <c r="L4251" s="862"/>
      <c r="M4251" s="862"/>
      <c r="N4251" s="862"/>
      <c r="O4251" s="862"/>
      <c r="P4251" s="862"/>
      <c r="Q4251" s="862"/>
      <c r="R4251" s="647"/>
      <c r="S4251" s="863">
        <v>17.7</v>
      </c>
      <c r="T4251" s="864"/>
      <c r="U4251" s="864"/>
      <c r="V4251" s="864"/>
      <c r="W4251" s="864"/>
      <c r="X4251" s="864"/>
      <c r="Y4251" s="1817">
        <v>21.35</v>
      </c>
      <c r="Z4251" s="862">
        <v>7.43</v>
      </c>
      <c r="AA4251" s="647">
        <v>4.51</v>
      </c>
      <c r="AB4251" s="647">
        <v>0.63900000000000001</v>
      </c>
      <c r="AC4251" s="862">
        <v>6.8</v>
      </c>
      <c r="AD4251" s="1819">
        <v>305</v>
      </c>
      <c r="AE4251" s="1819">
        <v>371</v>
      </c>
      <c r="AF4251" s="1819">
        <v>312</v>
      </c>
      <c r="AG4251" s="66">
        <f t="shared" si="157"/>
        <v>0</v>
      </c>
      <c r="AH4251" s="143">
        <f t="shared" si="158"/>
        <v>988</v>
      </c>
    </row>
    <row r="4252" spans="1:34" x14ac:dyDescent="0.3">
      <c r="A4252" s="862">
        <v>204332</v>
      </c>
      <c r="B4252" s="863">
        <v>1.8</v>
      </c>
      <c r="C4252" s="863"/>
      <c r="D4252" s="647">
        <v>8.4</v>
      </c>
      <c r="E4252" s="1573"/>
      <c r="F4252" s="864"/>
      <c r="G4252" s="862"/>
      <c r="H4252" s="864">
        <v>57.1</v>
      </c>
      <c r="I4252" s="864">
        <v>380</v>
      </c>
      <c r="J4252" s="1816"/>
      <c r="K4252" s="863"/>
      <c r="L4252" s="862"/>
      <c r="M4252" s="862"/>
      <c r="N4252" s="862"/>
      <c r="O4252" s="862"/>
      <c r="P4252" s="862"/>
      <c r="Q4252" s="862"/>
      <c r="R4252" s="647"/>
      <c r="S4252" s="863">
        <v>17.100000000000001</v>
      </c>
      <c r="T4252" s="864"/>
      <c r="U4252" s="864"/>
      <c r="V4252" s="864"/>
      <c r="W4252" s="864"/>
      <c r="X4252" s="864"/>
      <c r="Y4252" s="1817">
        <v>17.100000000000001</v>
      </c>
      <c r="Z4252" s="862">
        <v>7.36</v>
      </c>
      <c r="AA4252" s="647">
        <v>4.6100000000000003</v>
      </c>
      <c r="AB4252" s="647">
        <v>0.443</v>
      </c>
      <c r="AC4252" s="862">
        <v>6.4</v>
      </c>
      <c r="AD4252" s="1819">
        <v>285</v>
      </c>
      <c r="AE4252" s="1819">
        <v>370</v>
      </c>
      <c r="AF4252" s="1819">
        <v>321</v>
      </c>
      <c r="AG4252" s="66">
        <f t="shared" si="157"/>
        <v>0</v>
      </c>
      <c r="AH4252" s="143">
        <f t="shared" si="158"/>
        <v>976</v>
      </c>
    </row>
    <row r="4253" spans="1:34" x14ac:dyDescent="0.3">
      <c r="A4253" s="862">
        <v>204333</v>
      </c>
      <c r="B4253" s="863">
        <v>11.2</v>
      </c>
      <c r="C4253" s="863">
        <v>5.8750000000000018</v>
      </c>
      <c r="D4253" s="647">
        <v>8.01</v>
      </c>
      <c r="E4253" s="1573"/>
      <c r="F4253" s="864"/>
      <c r="G4253" s="862"/>
      <c r="H4253" s="864">
        <v>60.74</v>
      </c>
      <c r="I4253" s="864">
        <v>680</v>
      </c>
      <c r="J4253" s="1816"/>
      <c r="K4253" s="863"/>
      <c r="L4253" s="862"/>
      <c r="M4253" s="862"/>
      <c r="N4253" s="862"/>
      <c r="O4253" s="862"/>
      <c r="P4253" s="862"/>
      <c r="Q4253" s="862"/>
      <c r="R4253" s="647"/>
      <c r="S4253" s="863">
        <v>22</v>
      </c>
      <c r="T4253" s="864"/>
      <c r="U4253" s="864"/>
      <c r="V4253" s="864"/>
      <c r="W4253" s="864"/>
      <c r="X4253" s="864"/>
      <c r="Y4253" s="1817">
        <v>15.75</v>
      </c>
      <c r="Z4253" s="862">
        <v>7.38</v>
      </c>
      <c r="AA4253" s="647">
        <v>4.88</v>
      </c>
      <c r="AB4253" s="647">
        <v>0.7</v>
      </c>
      <c r="AC4253" s="862">
        <v>6.3</v>
      </c>
      <c r="AD4253" s="1819">
        <v>315</v>
      </c>
      <c r="AE4253" s="1819">
        <v>340</v>
      </c>
      <c r="AF4253" s="1819">
        <v>320</v>
      </c>
      <c r="AG4253" s="66">
        <f t="shared" si="157"/>
        <v>0</v>
      </c>
      <c r="AH4253" s="143">
        <f t="shared" si="158"/>
        <v>975</v>
      </c>
    </row>
    <row r="4254" spans="1:34" x14ac:dyDescent="0.3">
      <c r="A4254" s="862">
        <v>204334</v>
      </c>
      <c r="B4254" s="863">
        <v>2.5</v>
      </c>
      <c r="C4254" s="863"/>
      <c r="D4254" s="647">
        <v>8.27</v>
      </c>
      <c r="E4254" s="1573"/>
      <c r="F4254" s="864"/>
      <c r="G4254" s="862"/>
      <c r="H4254" s="864">
        <v>39.17</v>
      </c>
      <c r="I4254" s="864">
        <v>540</v>
      </c>
      <c r="J4254" s="1816"/>
      <c r="K4254" s="863"/>
      <c r="L4254" s="862"/>
      <c r="M4254" s="862"/>
      <c r="N4254" s="862"/>
      <c r="O4254" s="862"/>
      <c r="P4254" s="862"/>
      <c r="Q4254" s="862"/>
      <c r="R4254" s="647"/>
      <c r="S4254" s="863">
        <v>10.5</v>
      </c>
      <c r="T4254" s="864"/>
      <c r="U4254" s="864"/>
      <c r="V4254" s="864"/>
      <c r="W4254" s="864"/>
      <c r="X4254" s="864"/>
      <c r="Y4254" s="1817">
        <v>19.25</v>
      </c>
      <c r="Z4254" s="862">
        <v>7.14</v>
      </c>
      <c r="AA4254" s="647">
        <v>4.87</v>
      </c>
      <c r="AB4254" s="647">
        <v>0.622</v>
      </c>
      <c r="AC4254" s="862">
        <v>7.1</v>
      </c>
      <c r="AD4254" s="1819">
        <v>385</v>
      </c>
      <c r="AE4254" s="1819">
        <v>375</v>
      </c>
      <c r="AF4254" s="1819">
        <v>200</v>
      </c>
      <c r="AG4254" s="66">
        <f t="shared" si="157"/>
        <v>0</v>
      </c>
      <c r="AH4254" s="143">
        <f t="shared" si="158"/>
        <v>960</v>
      </c>
    </row>
    <row r="4255" spans="1:34" x14ac:dyDescent="0.3">
      <c r="A4255" s="862">
        <v>204335</v>
      </c>
      <c r="B4255" s="863">
        <v>19.3</v>
      </c>
      <c r="C4255" s="863">
        <v>11.1</v>
      </c>
      <c r="D4255" s="647">
        <v>8.2100000000000009</v>
      </c>
      <c r="E4255" s="1573"/>
      <c r="F4255" s="864"/>
      <c r="G4255" s="862"/>
      <c r="H4255" s="864">
        <v>37.57</v>
      </c>
      <c r="I4255" s="864">
        <v>110</v>
      </c>
      <c r="J4255" s="1816"/>
      <c r="K4255" s="863"/>
      <c r="L4255" s="862"/>
      <c r="M4255" s="862"/>
      <c r="N4255" s="862"/>
      <c r="O4255" s="862"/>
      <c r="P4255" s="862"/>
      <c r="Q4255" s="862"/>
      <c r="R4255" s="647"/>
      <c r="S4255" s="863">
        <v>13.5</v>
      </c>
      <c r="T4255" s="864"/>
      <c r="U4255" s="864"/>
      <c r="V4255" s="864"/>
      <c r="W4255" s="864"/>
      <c r="X4255" s="864"/>
      <c r="Y4255" s="1817">
        <v>14.25</v>
      </c>
      <c r="Z4255" s="862">
        <v>7.62</v>
      </c>
      <c r="AA4255" s="647">
        <v>4.2699999999999996</v>
      </c>
      <c r="AB4255" s="647">
        <v>0.86199999999999999</v>
      </c>
      <c r="AC4255" s="862">
        <v>11</v>
      </c>
      <c r="AD4255" s="1819">
        <v>285</v>
      </c>
      <c r="AE4255" s="1819">
        <v>335</v>
      </c>
      <c r="AF4255" s="1819">
        <v>352</v>
      </c>
      <c r="AG4255" s="66">
        <f t="shared" si="157"/>
        <v>0</v>
      </c>
      <c r="AH4255" s="143">
        <f t="shared" si="158"/>
        <v>972</v>
      </c>
    </row>
    <row r="4256" spans="1:34" s="735" customFormat="1" x14ac:dyDescent="0.3">
      <c r="A4256" s="862">
        <v>204336</v>
      </c>
      <c r="B4256" s="863">
        <v>68.3</v>
      </c>
      <c r="C4256" s="863">
        <v>0.1</v>
      </c>
      <c r="D4256" s="647">
        <v>8.1999999999999993</v>
      </c>
      <c r="E4256" s="1573">
        <v>0.32400000000000001</v>
      </c>
      <c r="F4256" s="864">
        <v>356.40000000000003</v>
      </c>
      <c r="G4256" s="862"/>
      <c r="H4256" s="864">
        <v>5.69</v>
      </c>
      <c r="I4256" s="864">
        <v>60</v>
      </c>
      <c r="J4256" s="647">
        <v>7.0000000000000007E-2</v>
      </c>
      <c r="K4256" s="863">
        <v>8.67</v>
      </c>
      <c r="L4256" s="862">
        <v>610</v>
      </c>
      <c r="M4256" s="862">
        <v>0.1</v>
      </c>
      <c r="N4256" s="862">
        <v>0.31</v>
      </c>
      <c r="O4256" s="862">
        <v>1.33</v>
      </c>
      <c r="P4256" s="862">
        <v>1.33</v>
      </c>
      <c r="Q4256" s="862"/>
      <c r="R4256" s="647">
        <v>0.9344813839311884</v>
      </c>
      <c r="S4256" s="863">
        <v>6.4</v>
      </c>
      <c r="T4256" s="862"/>
      <c r="U4256" s="862"/>
      <c r="V4256" s="862"/>
      <c r="W4256" s="862"/>
      <c r="X4256" s="862"/>
      <c r="Y4256" s="1817">
        <v>19.2</v>
      </c>
      <c r="Z4256" s="862"/>
      <c r="AA4256" s="647">
        <v>4.26</v>
      </c>
      <c r="AB4256" s="647">
        <v>0.26100000000000001</v>
      </c>
      <c r="AC4256" s="862">
        <v>11.1</v>
      </c>
      <c r="AD4256" s="867">
        <v>320</v>
      </c>
      <c r="AE4256" s="867">
        <v>180</v>
      </c>
      <c r="AF4256" s="867">
        <v>500</v>
      </c>
      <c r="AG4256" s="66">
        <f t="shared" si="157"/>
        <v>159.85312500000003</v>
      </c>
      <c r="AH4256" s="143">
        <f t="shared" si="158"/>
        <v>1000</v>
      </c>
    </row>
    <row r="4257" spans="1:34" s="735" customFormat="1" x14ac:dyDescent="0.3">
      <c r="A4257" s="862">
        <v>204337</v>
      </c>
      <c r="B4257" s="863">
        <v>32.5</v>
      </c>
      <c r="C4257" s="863">
        <v>13.5</v>
      </c>
      <c r="D4257" s="647">
        <v>8.26</v>
      </c>
      <c r="E4257" s="1573">
        <v>1.4830000000000001</v>
      </c>
      <c r="F4257" s="864">
        <v>1631.3000000000002</v>
      </c>
      <c r="G4257" s="862"/>
      <c r="H4257" s="864">
        <v>25.03</v>
      </c>
      <c r="I4257" s="864">
        <v>710</v>
      </c>
      <c r="J4257" s="647">
        <v>1.0109999999999999</v>
      </c>
      <c r="K4257" s="863">
        <v>11.71</v>
      </c>
      <c r="L4257" s="862">
        <v>900</v>
      </c>
      <c r="M4257" s="862">
        <v>0.28000000000000003</v>
      </c>
      <c r="N4257" s="862">
        <v>0.56999999999999995</v>
      </c>
      <c r="O4257" s="862">
        <v>2.75</v>
      </c>
      <c r="P4257" s="862">
        <v>1.07</v>
      </c>
      <c r="Q4257" s="862"/>
      <c r="R4257" s="647">
        <v>0.7727176711447441</v>
      </c>
      <c r="S4257" s="863">
        <v>5.2</v>
      </c>
      <c r="T4257" s="862"/>
      <c r="U4257" s="862"/>
      <c r="V4257" s="862"/>
      <c r="W4257" s="862"/>
      <c r="X4257" s="862"/>
      <c r="Y4257" s="1817">
        <v>30.8</v>
      </c>
      <c r="Z4257" s="862"/>
      <c r="AA4257" s="647">
        <v>4.4800000000000004</v>
      </c>
      <c r="AB4257" s="647">
        <v>0.53800000000000003</v>
      </c>
      <c r="AC4257" s="862">
        <v>8.4</v>
      </c>
      <c r="AD4257" s="867">
        <v>440</v>
      </c>
      <c r="AE4257" s="867">
        <v>220</v>
      </c>
      <c r="AF4257" s="867">
        <v>340</v>
      </c>
      <c r="AG4257" s="66">
        <f t="shared" si="157"/>
        <v>134.58896103896103</v>
      </c>
      <c r="AH4257" s="143">
        <f t="shared" si="158"/>
        <v>1000</v>
      </c>
    </row>
    <row r="4258" spans="1:34" s="735" customFormat="1" x14ac:dyDescent="0.3">
      <c r="A4258" s="862">
        <v>204338</v>
      </c>
      <c r="B4258" s="863">
        <v>32.700000000000003</v>
      </c>
      <c r="C4258" s="863">
        <v>13.875000000000002</v>
      </c>
      <c r="D4258" s="647">
        <v>8.19</v>
      </c>
      <c r="E4258" s="1573">
        <v>1.665</v>
      </c>
      <c r="F4258" s="864">
        <v>1831.5000000000002</v>
      </c>
      <c r="G4258" s="862"/>
      <c r="H4258" s="864">
        <v>18.71</v>
      </c>
      <c r="I4258" s="864">
        <v>670</v>
      </c>
      <c r="J4258" s="647">
        <v>1.339</v>
      </c>
      <c r="K4258" s="863">
        <v>12.03</v>
      </c>
      <c r="L4258" s="862">
        <v>970</v>
      </c>
      <c r="M4258" s="862">
        <v>0.3</v>
      </c>
      <c r="N4258" s="862">
        <v>0.71</v>
      </c>
      <c r="O4258" s="862">
        <v>3.17</v>
      </c>
      <c r="P4258" s="862">
        <v>1.32</v>
      </c>
      <c r="Q4258" s="862"/>
      <c r="R4258" s="647">
        <v>0.90003215571842765</v>
      </c>
      <c r="S4258" s="863">
        <v>6.1</v>
      </c>
      <c r="T4258" s="862"/>
      <c r="U4258" s="862"/>
      <c r="V4258" s="862"/>
      <c r="W4258" s="862"/>
      <c r="X4258" s="862"/>
      <c r="Y4258" s="1817">
        <v>28</v>
      </c>
      <c r="Z4258" s="862"/>
      <c r="AA4258" s="647">
        <v>4.71</v>
      </c>
      <c r="AB4258" s="647">
        <v>0.29799999999999999</v>
      </c>
      <c r="AC4258" s="862">
        <v>11.7</v>
      </c>
      <c r="AD4258" s="867">
        <v>560</v>
      </c>
      <c r="AE4258" s="867">
        <v>240</v>
      </c>
      <c r="AF4258" s="867">
        <v>200</v>
      </c>
      <c r="AG4258" s="66">
        <f t="shared" si="157"/>
        <v>152.09357142857144</v>
      </c>
      <c r="AH4258" s="143">
        <f t="shared" si="158"/>
        <v>1000</v>
      </c>
    </row>
    <row r="4259" spans="1:34" s="735" customFormat="1" x14ac:dyDescent="0.3">
      <c r="A4259" s="862">
        <v>204339</v>
      </c>
      <c r="B4259" s="863">
        <v>38.5</v>
      </c>
      <c r="C4259" s="863">
        <v>10.750000000000002</v>
      </c>
      <c r="D4259" s="647">
        <v>8.32</v>
      </c>
      <c r="E4259" s="1573">
        <v>2.33</v>
      </c>
      <c r="F4259" s="864">
        <v>2563</v>
      </c>
      <c r="G4259" s="862"/>
      <c r="H4259" s="864">
        <v>37.92</v>
      </c>
      <c r="I4259" s="864">
        <v>260</v>
      </c>
      <c r="J4259" s="647">
        <v>1.599</v>
      </c>
      <c r="K4259" s="863">
        <v>12.22</v>
      </c>
      <c r="L4259" s="862">
        <v>850</v>
      </c>
      <c r="M4259" s="862">
        <v>0.21</v>
      </c>
      <c r="N4259" s="862">
        <v>0.27</v>
      </c>
      <c r="O4259" s="862">
        <v>1.92</v>
      </c>
      <c r="P4259" s="862">
        <v>0.69</v>
      </c>
      <c r="Q4259" s="862"/>
      <c r="R4259" s="647">
        <v>0.46989572925980416</v>
      </c>
      <c r="S4259" s="863">
        <v>3.2</v>
      </c>
      <c r="T4259" s="862"/>
      <c r="U4259" s="862"/>
      <c r="V4259" s="862"/>
      <c r="W4259" s="862"/>
      <c r="X4259" s="862"/>
      <c r="Y4259" s="1817">
        <v>29.4</v>
      </c>
      <c r="Z4259" s="862"/>
      <c r="AA4259" s="647">
        <v>4.82</v>
      </c>
      <c r="AB4259" s="647">
        <v>0.71099999999999997</v>
      </c>
      <c r="AC4259" s="862">
        <v>8.1999999999999993</v>
      </c>
      <c r="AD4259" s="867">
        <v>420</v>
      </c>
      <c r="AE4259" s="867">
        <v>200</v>
      </c>
      <c r="AF4259" s="867">
        <v>380</v>
      </c>
      <c r="AG4259" s="66">
        <f t="shared" si="157"/>
        <v>147.13877551020408</v>
      </c>
      <c r="AH4259" s="143">
        <f t="shared" si="158"/>
        <v>1000</v>
      </c>
    </row>
    <row r="4260" spans="1:34" s="735" customFormat="1" x14ac:dyDescent="0.3">
      <c r="A4260" s="862">
        <v>204340</v>
      </c>
      <c r="B4260" s="863">
        <v>28.7</v>
      </c>
      <c r="C4260" s="863">
        <v>11.875000000000002</v>
      </c>
      <c r="D4260" s="647">
        <v>8.1</v>
      </c>
      <c r="E4260" s="1573">
        <v>5.53</v>
      </c>
      <c r="F4260" s="864">
        <v>6083.0000000000009</v>
      </c>
      <c r="G4260" s="862"/>
      <c r="H4260" s="864">
        <v>64.16</v>
      </c>
      <c r="I4260" s="864">
        <v>290</v>
      </c>
      <c r="J4260" s="647">
        <v>5.1559999999999997</v>
      </c>
      <c r="K4260" s="863">
        <v>14.69</v>
      </c>
      <c r="L4260" s="862">
        <v>1300</v>
      </c>
      <c r="M4260" s="862">
        <v>0.34</v>
      </c>
      <c r="N4260" s="862">
        <v>0.3</v>
      </c>
      <c r="O4260" s="862">
        <v>1.69</v>
      </c>
      <c r="P4260" s="862">
        <v>0.68</v>
      </c>
      <c r="Q4260" s="862"/>
      <c r="R4260" s="647">
        <v>0.93713184445227637</v>
      </c>
      <c r="S4260" s="863">
        <v>6.4</v>
      </c>
      <c r="T4260" s="862"/>
      <c r="U4260" s="862"/>
      <c r="V4260" s="862"/>
      <c r="W4260" s="862"/>
      <c r="X4260" s="862"/>
      <c r="Y4260" s="1817">
        <v>20.399999999999999</v>
      </c>
      <c r="Z4260" s="862"/>
      <c r="AA4260" s="647">
        <v>4.2</v>
      </c>
      <c r="AB4260" s="647">
        <v>0.49399999999999999</v>
      </c>
      <c r="AC4260" s="862">
        <v>7.8</v>
      </c>
      <c r="AD4260" s="867">
        <v>340</v>
      </c>
      <c r="AE4260" s="867">
        <v>200</v>
      </c>
      <c r="AF4260" s="867">
        <v>460</v>
      </c>
      <c r="AG4260" s="66">
        <f t="shared" si="157"/>
        <v>254.91470588235296</v>
      </c>
      <c r="AH4260" s="143">
        <f t="shared" si="158"/>
        <v>1000</v>
      </c>
    </row>
    <row r="4261" spans="1:34" s="735" customFormat="1" x14ac:dyDescent="0.3">
      <c r="A4261" s="862">
        <v>204341</v>
      </c>
      <c r="B4261" s="863">
        <v>27.2</v>
      </c>
      <c r="C4261" s="863">
        <v>6.0000000000000009</v>
      </c>
      <c r="D4261" s="647">
        <v>8.57</v>
      </c>
      <c r="E4261" s="1573">
        <v>0.51100000000000001</v>
      </c>
      <c r="F4261" s="864">
        <v>562.1</v>
      </c>
      <c r="G4261" s="862"/>
      <c r="H4261" s="864">
        <v>93.87</v>
      </c>
      <c r="I4261" s="864">
        <v>330</v>
      </c>
      <c r="J4261" s="647">
        <v>0.19</v>
      </c>
      <c r="K4261" s="863">
        <v>7.51</v>
      </c>
      <c r="L4261" s="862">
        <v>830</v>
      </c>
      <c r="M4261" s="862">
        <v>1.01</v>
      </c>
      <c r="N4261" s="862">
        <v>1.53</v>
      </c>
      <c r="O4261" s="862">
        <v>2.1</v>
      </c>
      <c r="P4261" s="862">
        <v>2</v>
      </c>
      <c r="Q4261" s="862"/>
      <c r="R4261" s="647">
        <v>1.0394945682146592</v>
      </c>
      <c r="S4261" s="863">
        <v>7.3</v>
      </c>
      <c r="T4261" s="862"/>
      <c r="U4261" s="862"/>
      <c r="V4261" s="862"/>
      <c r="W4261" s="862"/>
      <c r="X4261" s="862"/>
      <c r="Y4261" s="1817">
        <v>24</v>
      </c>
      <c r="Z4261" s="862"/>
      <c r="AA4261" s="647">
        <v>4.08</v>
      </c>
      <c r="AB4261" s="647">
        <v>0.249</v>
      </c>
      <c r="AC4261" s="862">
        <v>6.6</v>
      </c>
      <c r="AD4261" s="867">
        <v>400</v>
      </c>
      <c r="AE4261" s="867">
        <v>160</v>
      </c>
      <c r="AF4261" s="867">
        <v>440</v>
      </c>
      <c r="AG4261" s="66">
        <f t="shared" si="157"/>
        <v>110.77249999999999</v>
      </c>
      <c r="AH4261" s="143">
        <f t="shared" si="158"/>
        <v>1000</v>
      </c>
    </row>
    <row r="4262" spans="1:34" s="735" customFormat="1" x14ac:dyDescent="0.3">
      <c r="A4262" s="862">
        <v>204342</v>
      </c>
      <c r="B4262" s="863">
        <v>27.7</v>
      </c>
      <c r="C4262" s="863">
        <v>6.3750000000000018</v>
      </c>
      <c r="D4262" s="647">
        <v>8.5500000000000007</v>
      </c>
      <c r="E4262" s="862">
        <v>0.66400000000000003</v>
      </c>
      <c r="F4262" s="864">
        <v>730.40000000000009</v>
      </c>
      <c r="G4262" s="862"/>
      <c r="H4262" s="864">
        <v>5.42</v>
      </c>
      <c r="I4262" s="864">
        <v>110</v>
      </c>
      <c r="J4262" s="647">
        <v>0.48499999999999999</v>
      </c>
      <c r="K4262" s="863">
        <v>10.6</v>
      </c>
      <c r="L4262" s="862">
        <v>640</v>
      </c>
      <c r="M4262" s="862">
        <v>0.4</v>
      </c>
      <c r="N4262" s="862">
        <v>0.54</v>
      </c>
      <c r="O4262" s="862">
        <v>2.12</v>
      </c>
      <c r="P4262" s="862">
        <v>3.01</v>
      </c>
      <c r="Q4262" s="862"/>
      <c r="R4262" s="647">
        <v>0.25411405730880204</v>
      </c>
      <c r="S4262" s="863">
        <v>1.7999999999999998</v>
      </c>
      <c r="T4262" s="862"/>
      <c r="U4262" s="862"/>
      <c r="V4262" s="862"/>
      <c r="W4262" s="862"/>
      <c r="X4262" s="862"/>
      <c r="Y4262" s="1817">
        <v>24</v>
      </c>
      <c r="Z4262" s="862"/>
      <c r="AA4262" s="647">
        <v>4.3899999999999997</v>
      </c>
      <c r="AB4262" s="647">
        <v>0.68300000000000005</v>
      </c>
      <c r="AC4262" s="862">
        <v>9.9</v>
      </c>
      <c r="AD4262" s="867">
        <v>480</v>
      </c>
      <c r="AE4262" s="867">
        <v>240</v>
      </c>
      <c r="AF4262" s="867">
        <v>280</v>
      </c>
      <c r="AG4262" s="66">
        <f t="shared" si="157"/>
        <v>156.35</v>
      </c>
      <c r="AH4262" s="143">
        <f t="shared" si="158"/>
        <v>1000</v>
      </c>
    </row>
    <row r="4263" spans="1:34" s="735" customFormat="1" x14ac:dyDescent="0.3">
      <c r="A4263" s="862">
        <v>204343</v>
      </c>
      <c r="B4263" s="863">
        <v>32.5</v>
      </c>
      <c r="C4263" s="863">
        <v>8.6250000000000036</v>
      </c>
      <c r="D4263" s="647">
        <v>8.26</v>
      </c>
      <c r="E4263" s="1573">
        <v>3.01</v>
      </c>
      <c r="F4263" s="864">
        <v>3311</v>
      </c>
      <c r="G4263" s="862"/>
      <c r="H4263" s="864">
        <v>47.74</v>
      </c>
      <c r="I4263" s="864">
        <v>260</v>
      </c>
      <c r="J4263" s="647">
        <v>2.7869999999999999</v>
      </c>
      <c r="K4263" s="863">
        <v>12.09</v>
      </c>
      <c r="L4263" s="862">
        <v>1320</v>
      </c>
      <c r="M4263" s="862">
        <v>0.67</v>
      </c>
      <c r="N4263" s="862">
        <v>0.44</v>
      </c>
      <c r="O4263" s="862">
        <v>2.2599999999999998</v>
      </c>
      <c r="P4263" s="862">
        <v>1.99</v>
      </c>
      <c r="Q4263" s="862"/>
      <c r="R4263" s="647">
        <v>1.3043187114859496</v>
      </c>
      <c r="S4263" s="863">
        <v>9.1</v>
      </c>
      <c r="T4263" s="862"/>
      <c r="U4263" s="862"/>
      <c r="V4263" s="862"/>
      <c r="W4263" s="862"/>
      <c r="X4263" s="862"/>
      <c r="Y4263" s="1817">
        <v>28.8</v>
      </c>
      <c r="Z4263" s="862"/>
      <c r="AA4263" s="647">
        <v>4.74</v>
      </c>
      <c r="AB4263" s="647">
        <v>0.77500000000000002</v>
      </c>
      <c r="AC4263" s="862">
        <v>6.3</v>
      </c>
      <c r="AD4263" s="867">
        <v>480</v>
      </c>
      <c r="AE4263" s="862">
        <v>260</v>
      </c>
      <c r="AF4263" s="867">
        <v>260</v>
      </c>
      <c r="AG4263" s="66">
        <f t="shared" si="157"/>
        <v>148.60624999999999</v>
      </c>
      <c r="AH4263" s="143">
        <f t="shared" si="158"/>
        <v>1000</v>
      </c>
    </row>
    <row r="4264" spans="1:34" s="735" customFormat="1" x14ac:dyDescent="0.3">
      <c r="A4264" s="862">
        <v>204344</v>
      </c>
      <c r="B4264" s="862">
        <v>31.2</v>
      </c>
      <c r="C4264" s="863">
        <v>9.125</v>
      </c>
      <c r="D4264" s="647">
        <v>8.58</v>
      </c>
      <c r="E4264" s="1573">
        <v>0.16500000000000001</v>
      </c>
      <c r="F4264" s="864">
        <v>181.50000000000003</v>
      </c>
      <c r="G4264" s="862"/>
      <c r="H4264" s="864">
        <v>9.31</v>
      </c>
      <c r="I4264" s="864">
        <v>510</v>
      </c>
      <c r="J4264" s="647">
        <v>5.5E-2</v>
      </c>
      <c r="K4264" s="863">
        <v>8.68</v>
      </c>
      <c r="L4264" s="862">
        <v>290</v>
      </c>
      <c r="M4264" s="862">
        <v>0.06</v>
      </c>
      <c r="N4264" s="1102">
        <v>0.25</v>
      </c>
      <c r="O4264" s="1102">
        <v>0.47</v>
      </c>
      <c r="P4264" s="1102">
        <v>0.52</v>
      </c>
      <c r="Q4264" s="862"/>
      <c r="R4264" s="647">
        <v>0.86213284941088653</v>
      </c>
      <c r="S4264" s="863">
        <v>5.6999999999999993</v>
      </c>
      <c r="T4264" s="862"/>
      <c r="U4264" s="862"/>
      <c r="V4264" s="862"/>
      <c r="W4264" s="862"/>
      <c r="X4264" s="862"/>
      <c r="Y4264" s="1817">
        <v>10.1</v>
      </c>
      <c r="Z4264" s="862"/>
      <c r="AA4264" s="647">
        <v>4.7</v>
      </c>
      <c r="AB4264" s="647">
        <v>0.55400000000000005</v>
      </c>
      <c r="AC4264" s="862">
        <v>10.6</v>
      </c>
      <c r="AD4264" s="1819">
        <v>202</v>
      </c>
      <c r="AE4264" s="1819">
        <v>142</v>
      </c>
      <c r="AF4264" s="1819">
        <v>650.17499999999995</v>
      </c>
      <c r="AG4264" s="66">
        <f t="shared" si="157"/>
        <v>304.22970297029701</v>
      </c>
      <c r="AH4264" s="143">
        <f t="shared" si="158"/>
        <v>994.17499999999995</v>
      </c>
    </row>
    <row r="4265" spans="1:34" s="735" customFormat="1" x14ac:dyDescent="0.3">
      <c r="A4265" s="862">
        <v>204345</v>
      </c>
      <c r="B4265" s="863">
        <v>10</v>
      </c>
      <c r="C4265" s="863">
        <v>3.75</v>
      </c>
      <c r="D4265" s="647">
        <v>8.0399999999999991</v>
      </c>
      <c r="E4265" s="1573">
        <v>3.78</v>
      </c>
      <c r="F4265" s="864">
        <v>4158</v>
      </c>
      <c r="G4265" s="862"/>
      <c r="H4265" s="864">
        <v>11.58</v>
      </c>
      <c r="I4265" s="864">
        <v>1100</v>
      </c>
      <c r="J4265" s="647">
        <v>3.0550000000000002</v>
      </c>
      <c r="K4265" s="863">
        <v>13.06</v>
      </c>
      <c r="L4265" s="862">
        <v>770</v>
      </c>
      <c r="M4265" s="862">
        <v>7.0000000000000007E-2</v>
      </c>
      <c r="N4265" s="1102">
        <v>0.14000000000000001</v>
      </c>
      <c r="O4265" s="1102">
        <v>0.56999999999999995</v>
      </c>
      <c r="P4265" s="1102">
        <v>1</v>
      </c>
      <c r="Q4265" s="862"/>
      <c r="R4265" s="647">
        <v>0.57148189431259955</v>
      </c>
      <c r="S4265" s="863">
        <v>4</v>
      </c>
      <c r="T4265" s="862"/>
      <c r="U4265" s="862"/>
      <c r="V4265" s="862"/>
      <c r="W4265" s="862"/>
      <c r="X4265" s="862"/>
      <c r="Y4265" s="1817">
        <v>19</v>
      </c>
      <c r="Z4265" s="862"/>
      <c r="AA4265" s="647">
        <v>4.26</v>
      </c>
      <c r="AB4265" s="647">
        <v>0.47899999999999998</v>
      </c>
      <c r="AC4265" s="862">
        <v>6.6</v>
      </c>
      <c r="AD4265" s="867">
        <v>380</v>
      </c>
      <c r="AE4265" s="867">
        <v>160</v>
      </c>
      <c r="AF4265" s="867">
        <v>460</v>
      </c>
      <c r="AG4265" s="66">
        <f t="shared" si="157"/>
        <v>243.32842105263163</v>
      </c>
      <c r="AH4265" s="143">
        <f t="shared" si="158"/>
        <v>1000</v>
      </c>
    </row>
    <row r="4266" spans="1:34" s="735" customFormat="1" x14ac:dyDescent="0.3">
      <c r="A4266" s="862">
        <v>204346</v>
      </c>
      <c r="B4266" s="863">
        <v>11.8</v>
      </c>
      <c r="C4266" s="863">
        <v>9.5000000000000018</v>
      </c>
      <c r="D4266" s="647">
        <v>8.24</v>
      </c>
      <c r="E4266" s="1573">
        <v>1.042</v>
      </c>
      <c r="F4266" s="864">
        <v>1146.2</v>
      </c>
      <c r="G4266" s="862"/>
      <c r="H4266" s="864">
        <v>108.57</v>
      </c>
      <c r="I4266" s="864">
        <v>750</v>
      </c>
      <c r="J4266" s="647">
        <v>1.2809999999999999</v>
      </c>
      <c r="K4266" s="863">
        <v>12.14</v>
      </c>
      <c r="L4266" s="862">
        <v>1060</v>
      </c>
      <c r="M4266" s="862">
        <v>1.46</v>
      </c>
      <c r="N4266" s="1102">
        <v>1.06</v>
      </c>
      <c r="O4266" s="1102">
        <v>13.14</v>
      </c>
      <c r="P4266" s="1102">
        <v>2.92</v>
      </c>
      <c r="Q4266" s="862"/>
      <c r="R4266" s="647">
        <v>1.6331120000000001</v>
      </c>
      <c r="S4266" s="863">
        <v>11.799999999999999</v>
      </c>
      <c r="T4266" s="862"/>
      <c r="U4266" s="862"/>
      <c r="V4266" s="862"/>
      <c r="W4266" s="862"/>
      <c r="X4266" s="862"/>
      <c r="Y4266" s="1817">
        <v>28</v>
      </c>
      <c r="Z4266" s="862"/>
      <c r="AA4266" s="647">
        <v>4.4400000000000004</v>
      </c>
      <c r="AB4266" s="647">
        <v>0.66900000000000004</v>
      </c>
      <c r="AC4266" s="862">
        <v>6.9</v>
      </c>
      <c r="AD4266" s="867">
        <v>480</v>
      </c>
      <c r="AE4266" s="867">
        <v>240</v>
      </c>
      <c r="AF4266" s="867">
        <v>280</v>
      </c>
      <c r="AG4266" s="66">
        <f t="shared" si="157"/>
        <v>153.48428571428573</v>
      </c>
      <c r="AH4266" s="143">
        <f t="shared" si="158"/>
        <v>1000</v>
      </c>
    </row>
    <row r="4267" spans="1:34" s="735" customFormat="1" x14ac:dyDescent="0.3">
      <c r="A4267" s="862">
        <v>204347</v>
      </c>
      <c r="B4267" s="863">
        <v>15</v>
      </c>
      <c r="C4267" s="863">
        <v>8.0000000000000036</v>
      </c>
      <c r="D4267" s="647">
        <v>8.3000000000000007</v>
      </c>
      <c r="E4267" s="1573">
        <v>1.919</v>
      </c>
      <c r="F4267" s="864">
        <v>2110.9</v>
      </c>
      <c r="G4267" s="862"/>
      <c r="H4267" s="864">
        <v>81.91</v>
      </c>
      <c r="I4267" s="864">
        <v>390</v>
      </c>
      <c r="J4267" s="647">
        <v>1.982</v>
      </c>
      <c r="K4267" s="863">
        <v>12.25</v>
      </c>
      <c r="L4267" s="862">
        <v>1060</v>
      </c>
      <c r="M4267" s="862">
        <v>2.4900000000000002</v>
      </c>
      <c r="N4267" s="1102">
        <v>0.98</v>
      </c>
      <c r="O4267" s="1102">
        <v>16.48</v>
      </c>
      <c r="P4267" s="1102">
        <v>3.48</v>
      </c>
      <c r="Q4267" s="862"/>
      <c r="R4267" s="647">
        <v>1.666817</v>
      </c>
      <c r="S4267" s="863">
        <v>12.7</v>
      </c>
      <c r="T4267" s="862"/>
      <c r="U4267" s="862"/>
      <c r="V4267" s="862"/>
      <c r="W4267" s="862"/>
      <c r="X4267" s="862"/>
      <c r="Y4267" s="1817">
        <v>31.2</v>
      </c>
      <c r="Z4267" s="862"/>
      <c r="AA4267" s="647">
        <v>4.3899999999999997</v>
      </c>
      <c r="AB4267" s="647">
        <v>0.40400000000000003</v>
      </c>
      <c r="AC4267" s="862">
        <v>7</v>
      </c>
      <c r="AD4267" s="867">
        <v>520</v>
      </c>
      <c r="AE4267" s="867">
        <v>280</v>
      </c>
      <c r="AF4267" s="867">
        <v>200</v>
      </c>
      <c r="AG4267" s="66">
        <f t="shared" si="157"/>
        <v>138.99038461538461</v>
      </c>
      <c r="AH4267" s="143">
        <f t="shared" si="158"/>
        <v>1000</v>
      </c>
    </row>
    <row r="4268" spans="1:34" s="735" customFormat="1" x14ac:dyDescent="0.3">
      <c r="A4268" s="862">
        <v>204348</v>
      </c>
      <c r="B4268" s="863">
        <v>47.8</v>
      </c>
      <c r="C4268" s="863">
        <v>10.625</v>
      </c>
      <c r="D4268" s="647">
        <v>8.02</v>
      </c>
      <c r="E4268" s="1573">
        <v>0.32800000000000001</v>
      </c>
      <c r="F4268" s="864">
        <v>360.80000000000007</v>
      </c>
      <c r="G4268" s="862"/>
      <c r="H4268" s="864">
        <v>28.88</v>
      </c>
      <c r="I4268" s="1861">
        <v>300</v>
      </c>
      <c r="J4268" s="1861">
        <v>0.22</v>
      </c>
      <c r="K4268" s="1861">
        <v>10.86</v>
      </c>
      <c r="L4268" s="1861">
        <v>670</v>
      </c>
      <c r="M4268" s="1825">
        <v>0.75</v>
      </c>
      <c r="N4268" s="1825">
        <v>0.78</v>
      </c>
      <c r="O4268" s="1825">
        <v>8.3699999999999992</v>
      </c>
      <c r="P4268" s="1825">
        <v>3.36</v>
      </c>
      <c r="Q4268" s="862"/>
      <c r="R4268" s="647">
        <v>1.5824250000000002</v>
      </c>
      <c r="S4268" s="863">
        <v>10.5</v>
      </c>
      <c r="T4268" s="862"/>
      <c r="U4268" s="1860"/>
      <c r="V4268" s="1860"/>
      <c r="W4268" s="862"/>
      <c r="X4268" s="862"/>
      <c r="Y4268" s="1817">
        <v>21.6</v>
      </c>
      <c r="Z4268" s="862"/>
      <c r="AA4268" s="647">
        <v>4.93</v>
      </c>
      <c r="AB4268" s="647">
        <v>0.502</v>
      </c>
      <c r="AC4268" s="862">
        <v>10</v>
      </c>
      <c r="AD4268" s="867">
        <v>360</v>
      </c>
      <c r="AE4268" s="867">
        <v>180</v>
      </c>
      <c r="AF4268" s="867">
        <v>460</v>
      </c>
      <c r="AG4268" s="66">
        <f t="shared" si="157"/>
        <v>177.98333333333332</v>
      </c>
      <c r="AH4268" s="143">
        <f t="shared" si="158"/>
        <v>1000</v>
      </c>
    </row>
    <row r="4269" spans="1:34" s="735" customFormat="1" x14ac:dyDescent="0.3">
      <c r="A4269" s="862">
        <v>204349</v>
      </c>
      <c r="B4269" s="863">
        <v>73.3</v>
      </c>
      <c r="C4269" s="863">
        <v>13.375</v>
      </c>
      <c r="D4269" s="647">
        <v>8.4</v>
      </c>
      <c r="E4269" s="1573">
        <v>0.22900000000000001</v>
      </c>
      <c r="F4269" s="864">
        <v>251.9</v>
      </c>
      <c r="G4269" s="862"/>
      <c r="H4269" s="864">
        <v>30.33</v>
      </c>
      <c r="I4269" s="1861">
        <v>90</v>
      </c>
      <c r="J4269" s="1861">
        <v>0.19800000000000001</v>
      </c>
      <c r="K4269" s="1861">
        <v>8.73</v>
      </c>
      <c r="L4269" s="1861">
        <v>210</v>
      </c>
      <c r="M4269" s="1825">
        <v>0.28999999999999998</v>
      </c>
      <c r="N4269" s="1825">
        <v>0.2</v>
      </c>
      <c r="O4269" s="1825">
        <v>2.14</v>
      </c>
      <c r="P4269" s="1825">
        <v>1.35</v>
      </c>
      <c r="Q4269" s="862"/>
      <c r="R4269" s="647">
        <v>0.66128958289260664</v>
      </c>
      <c r="S4269" s="863">
        <v>4.6000000000000005</v>
      </c>
      <c r="T4269" s="862"/>
      <c r="U4269" s="1860"/>
      <c r="V4269" s="1860"/>
      <c r="W4269" s="862"/>
      <c r="X4269" s="862"/>
      <c r="Y4269" s="1817">
        <v>4.8</v>
      </c>
      <c r="Z4269" s="862"/>
      <c r="AA4269" s="647">
        <v>3.83</v>
      </c>
      <c r="AB4269" s="647">
        <v>0.66700000000000004</v>
      </c>
      <c r="AC4269" s="862">
        <v>10.6</v>
      </c>
      <c r="AD4269" s="867">
        <v>80</v>
      </c>
      <c r="AE4269" s="867">
        <v>60</v>
      </c>
      <c r="AF4269" s="867">
        <v>860</v>
      </c>
      <c r="AG4269" s="66">
        <f t="shared" si="157"/>
        <v>643.83750000000009</v>
      </c>
      <c r="AH4269" s="143">
        <f t="shared" si="158"/>
        <v>1000</v>
      </c>
    </row>
    <row r="4270" spans="1:34" s="735" customFormat="1" x14ac:dyDescent="0.3">
      <c r="A4270" s="862">
        <v>204350</v>
      </c>
      <c r="B4270" s="863">
        <v>20.2</v>
      </c>
      <c r="C4270" s="863">
        <v>5.2499999999999991</v>
      </c>
      <c r="D4270" s="647">
        <v>8.6199999999999992</v>
      </c>
      <c r="E4270" s="1573">
        <v>0.16500000000000001</v>
      </c>
      <c r="F4270" s="864">
        <v>181.50000000000003</v>
      </c>
      <c r="G4270" s="862"/>
      <c r="H4270" s="864">
        <v>12.4</v>
      </c>
      <c r="I4270" s="1861">
        <v>40</v>
      </c>
      <c r="J4270" s="1861">
        <v>9.9000000000000005E-2</v>
      </c>
      <c r="K4270" s="1861">
        <v>8.09</v>
      </c>
      <c r="L4270" s="1861">
        <v>260</v>
      </c>
      <c r="M4270" s="1825">
        <v>0.14000000000000001</v>
      </c>
      <c r="N4270" s="1825">
        <v>0.21</v>
      </c>
      <c r="O4270" s="1825">
        <v>2.27</v>
      </c>
      <c r="P4270" s="1825">
        <v>1.02</v>
      </c>
      <c r="Q4270" s="862"/>
      <c r="R4270" s="882">
        <v>0.38048640162256941</v>
      </c>
      <c r="S4270" s="883">
        <v>2.6</v>
      </c>
      <c r="T4270" s="862"/>
      <c r="U4270" s="1860"/>
      <c r="V4270" s="1860"/>
      <c r="W4270" s="862"/>
      <c r="X4270" s="862"/>
      <c r="Y4270" s="1817">
        <v>6</v>
      </c>
      <c r="Z4270" s="862"/>
      <c r="AA4270" s="647">
        <v>3.73</v>
      </c>
      <c r="AB4270" s="647">
        <v>0.32</v>
      </c>
      <c r="AC4270" s="862">
        <v>9.6999999999999993</v>
      </c>
      <c r="AD4270" s="867">
        <v>100</v>
      </c>
      <c r="AE4270" s="867">
        <v>60</v>
      </c>
      <c r="AF4270" s="867">
        <v>840</v>
      </c>
      <c r="AG4270" s="66">
        <f t="shared" si="157"/>
        <v>477.31</v>
      </c>
      <c r="AH4270" s="143">
        <f t="shared" si="158"/>
        <v>1000</v>
      </c>
    </row>
    <row r="4271" spans="1:34" s="735" customFormat="1" x14ac:dyDescent="0.3">
      <c r="A4271" s="862">
        <v>204351</v>
      </c>
      <c r="B4271" s="863">
        <v>43.8</v>
      </c>
      <c r="C4271" s="863">
        <v>14</v>
      </c>
      <c r="D4271" s="647">
        <v>7.91</v>
      </c>
      <c r="E4271" s="1573">
        <v>0.48</v>
      </c>
      <c r="F4271" s="864">
        <v>528</v>
      </c>
      <c r="G4271" s="862"/>
      <c r="H4271" s="864">
        <v>76.47</v>
      </c>
      <c r="I4271" s="1861">
        <v>300</v>
      </c>
      <c r="J4271" s="1861">
        <v>0.34100000000000003</v>
      </c>
      <c r="K4271" s="1861">
        <v>11.8</v>
      </c>
      <c r="L4271" s="1861">
        <v>770</v>
      </c>
      <c r="M4271" s="1825">
        <v>1.33</v>
      </c>
      <c r="N4271" s="1825">
        <v>0.67</v>
      </c>
      <c r="O4271" s="1825">
        <v>7.3</v>
      </c>
      <c r="P4271" s="1825">
        <v>3.58</v>
      </c>
      <c r="Q4271" s="862"/>
      <c r="R4271" s="882">
        <v>1.6993880000000001</v>
      </c>
      <c r="S4271" s="883">
        <v>13.600000000000001</v>
      </c>
      <c r="T4271" s="862"/>
      <c r="U4271" s="1860"/>
      <c r="V4271" s="1860"/>
      <c r="W4271" s="862"/>
      <c r="X4271" s="862"/>
      <c r="Y4271" s="1817">
        <v>25.2</v>
      </c>
      <c r="Z4271" s="862"/>
      <c r="AA4271" s="647">
        <v>4.84</v>
      </c>
      <c r="AB4271" s="647">
        <v>0.70799999999999996</v>
      </c>
      <c r="AC4271" s="862">
        <v>10.8</v>
      </c>
      <c r="AD4271" s="867">
        <v>360</v>
      </c>
      <c r="AE4271" s="867">
        <v>200</v>
      </c>
      <c r="AF4271" s="867">
        <v>440</v>
      </c>
      <c r="AG4271" s="66">
        <f t="shared" si="157"/>
        <v>165.76190476190479</v>
      </c>
      <c r="AH4271" s="143">
        <f t="shared" si="158"/>
        <v>1000</v>
      </c>
    </row>
    <row r="4272" spans="1:34" s="735" customFormat="1" x14ac:dyDescent="0.3">
      <c r="A4272" s="862">
        <v>204352</v>
      </c>
      <c r="B4272" s="863">
        <v>12.5</v>
      </c>
      <c r="C4272" s="863">
        <v>5.4999999999999982</v>
      </c>
      <c r="D4272" s="647">
        <v>8.32</v>
      </c>
      <c r="E4272" s="1573">
        <v>0.28999999999999998</v>
      </c>
      <c r="F4272" s="864">
        <v>319</v>
      </c>
      <c r="G4272" s="862"/>
      <c r="H4272" s="864">
        <v>112.55</v>
      </c>
      <c r="I4272" s="1861">
        <v>1970</v>
      </c>
      <c r="J4272" s="1861">
        <v>0.18099999999999999</v>
      </c>
      <c r="K4272" s="1861">
        <v>11.63</v>
      </c>
      <c r="L4272" s="1861">
        <v>1450</v>
      </c>
      <c r="M4272" s="1825">
        <v>0.8</v>
      </c>
      <c r="N4272" s="1825">
        <v>2.4700000000000002</v>
      </c>
      <c r="O4272" s="1825">
        <v>5.98</v>
      </c>
      <c r="P4272" s="1825">
        <v>4.7300000000000004</v>
      </c>
      <c r="Q4272" s="862"/>
      <c r="R4272" s="1859">
        <v>1.7308250000000001</v>
      </c>
      <c r="S4272" s="883">
        <v>14.5</v>
      </c>
      <c r="T4272" s="862"/>
      <c r="U4272" s="1860"/>
      <c r="V4272" s="1860"/>
      <c r="W4272" s="862"/>
      <c r="X4272" s="862"/>
      <c r="Y4272" s="1817">
        <v>26</v>
      </c>
      <c r="Z4272" s="862"/>
      <c r="AA4272" s="647"/>
      <c r="AB4272" s="647"/>
      <c r="AC4272" s="862"/>
      <c r="AD4272" s="867"/>
      <c r="AE4272" s="867"/>
      <c r="AF4272" s="867"/>
      <c r="AG4272" s="66">
        <f t="shared" si="157"/>
        <v>158.3469230769231</v>
      </c>
      <c r="AH4272" s="143">
        <f t="shared" si="158"/>
        <v>0</v>
      </c>
    </row>
    <row r="4273" spans="1:34" s="735" customFormat="1" x14ac:dyDescent="0.3">
      <c r="A4273" s="862">
        <v>204353</v>
      </c>
      <c r="B4273" s="863">
        <v>19.600000000000001</v>
      </c>
      <c r="C4273" s="863">
        <v>11.124999999999998</v>
      </c>
      <c r="D4273" s="647">
        <v>7.73</v>
      </c>
      <c r="E4273" s="1573">
        <v>2.31</v>
      </c>
      <c r="F4273" s="864">
        <v>2541.0000000000005</v>
      </c>
      <c r="G4273" s="862"/>
      <c r="H4273" s="864">
        <v>75.73</v>
      </c>
      <c r="I4273" s="1861">
        <v>540</v>
      </c>
      <c r="J4273" s="1861">
        <v>0.26900000000000002</v>
      </c>
      <c r="K4273" s="1861">
        <v>17.350000000000001</v>
      </c>
      <c r="L4273" s="1861">
        <v>880</v>
      </c>
      <c r="M4273" s="1825">
        <v>1.32</v>
      </c>
      <c r="N4273" s="1825">
        <v>1.78</v>
      </c>
      <c r="O4273" s="1825">
        <v>6.43</v>
      </c>
      <c r="P4273" s="1825">
        <v>2.5499999999999998</v>
      </c>
      <c r="Q4273" s="862"/>
      <c r="R4273" s="1859">
        <v>1.6958250000000001</v>
      </c>
      <c r="S4273" s="883">
        <v>13.5</v>
      </c>
      <c r="T4273" s="862"/>
      <c r="U4273" s="1860"/>
      <c r="V4273" s="1860"/>
      <c r="W4273" s="862"/>
      <c r="X4273" s="862"/>
      <c r="Y4273" s="1817">
        <v>30.8</v>
      </c>
      <c r="Z4273" s="862"/>
      <c r="AA4273" s="647">
        <v>4.9400000000000004</v>
      </c>
      <c r="AB4273" s="647">
        <v>0.83</v>
      </c>
      <c r="AC4273" s="862">
        <v>6.6</v>
      </c>
      <c r="AD4273" s="867">
        <v>440</v>
      </c>
      <c r="AE4273" s="867">
        <v>240</v>
      </c>
      <c r="AF4273" s="867">
        <v>320</v>
      </c>
      <c r="AG4273" s="66">
        <f t="shared" si="157"/>
        <v>199.41233766233768</v>
      </c>
      <c r="AH4273" s="143">
        <f t="shared" si="158"/>
        <v>1000</v>
      </c>
    </row>
    <row r="4274" spans="1:34" s="735" customFormat="1" x14ac:dyDescent="0.3">
      <c r="A4274" s="862">
        <v>204354</v>
      </c>
      <c r="B4274" s="863">
        <v>20</v>
      </c>
      <c r="C4274" s="863">
        <v>10.625</v>
      </c>
      <c r="D4274" s="647">
        <v>7.95</v>
      </c>
      <c r="E4274" s="1573">
        <v>2.4500000000000002</v>
      </c>
      <c r="F4274" s="864">
        <v>2695.0000000000005</v>
      </c>
      <c r="G4274" s="862"/>
      <c r="H4274" s="864">
        <v>5.74</v>
      </c>
      <c r="I4274" s="1861">
        <v>380</v>
      </c>
      <c r="J4274" s="1861">
        <v>0.55200000000000005</v>
      </c>
      <c r="K4274" s="1861">
        <v>14.81</v>
      </c>
      <c r="L4274" s="1861">
        <v>1130</v>
      </c>
      <c r="M4274" s="1825">
        <v>0.25</v>
      </c>
      <c r="N4274" s="1825">
        <v>0.5</v>
      </c>
      <c r="O4274" s="1825">
        <v>4.7699999999999996</v>
      </c>
      <c r="P4274" s="1825">
        <v>0.89</v>
      </c>
      <c r="Q4274" s="862"/>
      <c r="R4274" s="1859">
        <v>0.87657736471604508</v>
      </c>
      <c r="S4274" s="883">
        <v>6.1</v>
      </c>
      <c r="T4274" s="862"/>
      <c r="U4274" s="1860"/>
      <c r="V4274" s="1860"/>
      <c r="W4274" s="862"/>
      <c r="X4274" s="862"/>
      <c r="Y4274" s="1817">
        <v>31.2</v>
      </c>
      <c r="Z4274" s="862"/>
      <c r="AA4274" s="647">
        <v>4.84</v>
      </c>
      <c r="AB4274" s="647">
        <v>0.76</v>
      </c>
      <c r="AC4274" s="862">
        <v>8.5</v>
      </c>
      <c r="AD4274" s="867">
        <v>520</v>
      </c>
      <c r="AE4274" s="867">
        <v>300</v>
      </c>
      <c r="AF4274" s="867">
        <v>180</v>
      </c>
      <c r="AG4274" s="66">
        <f t="shared" si="157"/>
        <v>168.0365384615385</v>
      </c>
      <c r="AH4274" s="143">
        <f t="shared" si="158"/>
        <v>1000</v>
      </c>
    </row>
    <row r="4275" spans="1:34" s="735" customFormat="1" x14ac:dyDescent="0.3">
      <c r="A4275" s="862">
        <v>204355</v>
      </c>
      <c r="B4275" s="863">
        <v>1.4</v>
      </c>
      <c r="C4275" s="863"/>
      <c r="D4275" s="647">
        <v>8.58</v>
      </c>
      <c r="E4275" s="1573">
        <v>0.14000000000000001</v>
      </c>
      <c r="F4275" s="864">
        <v>154.00000000000003</v>
      </c>
      <c r="G4275" s="862"/>
      <c r="H4275" s="864">
        <v>227.23</v>
      </c>
      <c r="I4275" s="1861">
        <v>170</v>
      </c>
      <c r="J4275" s="1861">
        <v>3.7999999999999999E-2</v>
      </c>
      <c r="K4275" s="1861">
        <v>3.85</v>
      </c>
      <c r="L4275" s="1861">
        <v>480</v>
      </c>
      <c r="M4275" s="1825">
        <v>2.17</v>
      </c>
      <c r="N4275" s="1825">
        <v>1.39</v>
      </c>
      <c r="O4275" s="1825">
        <v>3.33</v>
      </c>
      <c r="P4275" s="1825">
        <v>1.75</v>
      </c>
      <c r="Q4275" s="862"/>
      <c r="R4275" s="1859">
        <v>0.44985377055895465</v>
      </c>
      <c r="S4275" s="883">
        <v>3.2</v>
      </c>
      <c r="T4275" s="862"/>
      <c r="U4275" s="1860"/>
      <c r="V4275" s="1860"/>
      <c r="W4275" s="862"/>
      <c r="X4275" s="862"/>
      <c r="Y4275" s="1817">
        <v>4</v>
      </c>
      <c r="Z4275" s="862"/>
      <c r="AA4275" s="647"/>
      <c r="AB4275" s="647"/>
      <c r="AC4275" s="862"/>
      <c r="AD4275" s="867"/>
      <c r="AE4275" s="867"/>
      <c r="AF4275" s="867"/>
      <c r="AG4275" s="66">
        <f t="shared" si="157"/>
        <v>340.72500000000002</v>
      </c>
      <c r="AH4275" s="143">
        <f t="shared" si="158"/>
        <v>0</v>
      </c>
    </row>
    <row r="4276" spans="1:34" s="735" customFormat="1" x14ac:dyDescent="0.3">
      <c r="A4276" s="862">
        <v>204356</v>
      </c>
      <c r="B4276" s="863">
        <v>3</v>
      </c>
      <c r="C4276" s="863"/>
      <c r="D4276" s="647">
        <v>8.51</v>
      </c>
      <c r="E4276" s="1573">
        <v>0.34</v>
      </c>
      <c r="F4276" s="864">
        <v>374.00000000000006</v>
      </c>
      <c r="G4276" s="862"/>
      <c r="H4276" s="864">
        <v>229.69</v>
      </c>
      <c r="I4276" s="1861">
        <v>240</v>
      </c>
      <c r="J4276" s="1861">
        <v>0.307</v>
      </c>
      <c r="K4276" s="1861">
        <v>5.42</v>
      </c>
      <c r="L4276" s="1861">
        <v>680</v>
      </c>
      <c r="M4276" s="1825">
        <v>2.75</v>
      </c>
      <c r="N4276" s="1825">
        <v>0.76</v>
      </c>
      <c r="O4276" s="1825">
        <v>2.89</v>
      </c>
      <c r="P4276" s="1825">
        <v>2.52</v>
      </c>
      <c r="Q4276" s="862"/>
      <c r="R4276" s="1859">
        <v>0.70653644661694759</v>
      </c>
      <c r="S4276" s="883">
        <v>4.9000000000000004</v>
      </c>
      <c r="T4276" s="862"/>
      <c r="U4276" s="1860"/>
      <c r="V4276" s="1860"/>
      <c r="W4276" s="862"/>
      <c r="X4276" s="862"/>
      <c r="Y4276" s="1817">
        <v>5</v>
      </c>
      <c r="Z4276" s="862"/>
      <c r="AA4276" s="647"/>
      <c r="AB4276" s="647"/>
      <c r="AC4276" s="862"/>
      <c r="AD4276" s="867"/>
      <c r="AE4276" s="867"/>
      <c r="AF4276" s="867"/>
      <c r="AG4276" s="66">
        <f t="shared" si="157"/>
        <v>383.73599999999999</v>
      </c>
      <c r="AH4276" s="143">
        <f t="shared" si="158"/>
        <v>0</v>
      </c>
    </row>
    <row r="4277" spans="1:34" s="735" customFormat="1" x14ac:dyDescent="0.3">
      <c r="A4277" s="862">
        <v>204357</v>
      </c>
      <c r="B4277" s="863">
        <v>3.2</v>
      </c>
      <c r="C4277" s="863"/>
      <c r="D4277" s="647">
        <v>8.4600000000000009</v>
      </c>
      <c r="E4277" s="1573">
        <v>0.32900000000000001</v>
      </c>
      <c r="F4277" s="864">
        <v>361.90000000000003</v>
      </c>
      <c r="G4277" s="862"/>
      <c r="H4277" s="864">
        <v>210.22</v>
      </c>
      <c r="I4277" s="1861">
        <v>450</v>
      </c>
      <c r="J4277" s="1861">
        <v>0.23300000000000001</v>
      </c>
      <c r="K4277" s="1861">
        <v>6.32</v>
      </c>
      <c r="L4277" s="1861">
        <v>560</v>
      </c>
      <c r="M4277" s="1825">
        <v>3.48</v>
      </c>
      <c r="N4277" s="1825">
        <v>1.17</v>
      </c>
      <c r="O4277" s="1825">
        <v>3.11</v>
      </c>
      <c r="P4277" s="1825">
        <v>2.95</v>
      </c>
      <c r="Q4277" s="862"/>
      <c r="R4277" s="1859">
        <v>0.89989388033597584</v>
      </c>
      <c r="S4277" s="883">
        <v>5.8999999999999995</v>
      </c>
      <c r="T4277" s="862"/>
      <c r="U4277" s="1860"/>
      <c r="V4277" s="1860"/>
      <c r="W4277" s="862"/>
      <c r="X4277" s="862"/>
      <c r="Y4277" s="1817">
        <v>7.2</v>
      </c>
      <c r="Z4277" s="862"/>
      <c r="AA4277" s="647"/>
      <c r="AB4277" s="647"/>
      <c r="AC4277" s="862"/>
      <c r="AD4277" s="867"/>
      <c r="AE4277" s="867"/>
      <c r="AF4277" s="867"/>
      <c r="AG4277" s="66">
        <f t="shared" si="157"/>
        <v>310.73333333333335</v>
      </c>
      <c r="AH4277" s="143">
        <f t="shared" si="158"/>
        <v>0</v>
      </c>
    </row>
    <row r="4278" spans="1:34" s="735" customFormat="1" x14ac:dyDescent="0.3">
      <c r="A4278" s="862">
        <v>204358</v>
      </c>
      <c r="B4278" s="863">
        <v>21.5</v>
      </c>
      <c r="C4278" s="863">
        <v>8.875</v>
      </c>
      <c r="D4278" s="647">
        <v>8.5399999999999991</v>
      </c>
      <c r="E4278" s="1573">
        <v>1.1100000000000001</v>
      </c>
      <c r="F4278" s="864">
        <v>1221.0000000000002</v>
      </c>
      <c r="G4278" s="862"/>
      <c r="H4278" s="864">
        <v>10.26</v>
      </c>
      <c r="I4278" s="1861">
        <v>180</v>
      </c>
      <c r="J4278" s="1861">
        <v>1.0489999999999999</v>
      </c>
      <c r="K4278" s="1861">
        <v>10.68</v>
      </c>
      <c r="L4278" s="1861">
        <v>760</v>
      </c>
      <c r="M4278" s="1825">
        <v>0.34</v>
      </c>
      <c r="N4278" s="1825">
        <v>0.38</v>
      </c>
      <c r="O4278" s="1825">
        <v>4.16</v>
      </c>
      <c r="P4278" s="1825">
        <v>1.18</v>
      </c>
      <c r="Q4278" s="862"/>
      <c r="R4278" s="1859">
        <v>0.56834513212845506</v>
      </c>
      <c r="S4278" s="883">
        <v>3.8</v>
      </c>
      <c r="T4278" s="862"/>
      <c r="U4278" s="1860"/>
      <c r="V4278" s="1860"/>
      <c r="W4278" s="862"/>
      <c r="X4278" s="862"/>
      <c r="Y4278" s="1817">
        <v>37.799999999999997</v>
      </c>
      <c r="Z4278" s="862"/>
      <c r="AA4278" s="647">
        <v>4.8899999999999997</v>
      </c>
      <c r="AB4278" s="647">
        <v>0.626</v>
      </c>
      <c r="AC4278" s="862">
        <v>12</v>
      </c>
      <c r="AD4278" s="867">
        <v>540</v>
      </c>
      <c r="AE4278" s="867">
        <v>260</v>
      </c>
      <c r="AF4278" s="867">
        <v>200</v>
      </c>
      <c r="AG4278" s="66">
        <f t="shared" si="157"/>
        <v>100.01904761904764</v>
      </c>
      <c r="AH4278" s="143">
        <f t="shared" si="158"/>
        <v>1000</v>
      </c>
    </row>
    <row r="4279" spans="1:34" s="735" customFormat="1" x14ac:dyDescent="0.3">
      <c r="A4279" s="862">
        <v>204359</v>
      </c>
      <c r="B4279" s="863">
        <v>26.7</v>
      </c>
      <c r="C4279" s="863">
        <v>12.125</v>
      </c>
      <c r="D4279" s="647">
        <v>8.68</v>
      </c>
      <c r="E4279" s="1573">
        <v>0.59899999999999998</v>
      </c>
      <c r="F4279" s="864">
        <v>658.90000000000009</v>
      </c>
      <c r="G4279" s="862"/>
      <c r="H4279" s="864">
        <v>37.880000000000003</v>
      </c>
      <c r="I4279" s="1861">
        <v>360</v>
      </c>
      <c r="J4279" s="1861">
        <v>0.442</v>
      </c>
      <c r="K4279" s="1861">
        <v>10.28</v>
      </c>
      <c r="L4279" s="1861">
        <v>1570</v>
      </c>
      <c r="M4279" s="1825">
        <v>0.39</v>
      </c>
      <c r="N4279" s="1825">
        <v>1.8</v>
      </c>
      <c r="O4279" s="1825">
        <v>6.03</v>
      </c>
      <c r="P4279" s="1825">
        <v>1.24</v>
      </c>
      <c r="Q4279" s="862"/>
      <c r="R4279" s="1859">
        <v>1.4072624628851171</v>
      </c>
      <c r="S4279" s="883">
        <v>9.6</v>
      </c>
      <c r="T4279" s="862"/>
      <c r="U4279" s="1860"/>
      <c r="V4279" s="1860"/>
      <c r="W4279" s="862"/>
      <c r="X4279" s="862"/>
      <c r="Y4279" s="1817">
        <v>28.8</v>
      </c>
      <c r="Z4279" s="862"/>
      <c r="AA4279" s="647">
        <v>4.9000000000000004</v>
      </c>
      <c r="AB4279" s="647">
        <v>0.35899999999999999</v>
      </c>
      <c r="AC4279" s="862">
        <v>11.8</v>
      </c>
      <c r="AD4279" s="867">
        <v>480</v>
      </c>
      <c r="AE4279" s="867">
        <v>280</v>
      </c>
      <c r="AF4279" s="867">
        <v>240</v>
      </c>
      <c r="AG4279" s="66">
        <f t="shared" si="157"/>
        <v>126.35833333333332</v>
      </c>
      <c r="AH4279" s="143">
        <f t="shared" si="158"/>
        <v>1000</v>
      </c>
    </row>
    <row r="4280" spans="1:34" s="735" customFormat="1" x14ac:dyDescent="0.3">
      <c r="A4280" s="862">
        <v>204360</v>
      </c>
      <c r="B4280" s="863">
        <v>0.2</v>
      </c>
      <c r="C4280" s="863"/>
      <c r="D4280" s="647">
        <v>8.15</v>
      </c>
      <c r="E4280" s="1573">
        <v>0.121</v>
      </c>
      <c r="F4280" s="864">
        <v>133.1</v>
      </c>
      <c r="G4280" s="862"/>
      <c r="H4280" s="864">
        <v>56.64</v>
      </c>
      <c r="I4280" s="1861">
        <v>320</v>
      </c>
      <c r="J4280" s="1861">
        <v>6.8000000000000005E-2</v>
      </c>
      <c r="K4280" s="1861">
        <v>5.74</v>
      </c>
      <c r="L4280" s="1861">
        <v>1990</v>
      </c>
      <c r="M4280" s="1825">
        <v>1.53</v>
      </c>
      <c r="N4280" s="1825">
        <v>4.58</v>
      </c>
      <c r="O4280" s="1825">
        <v>9.06</v>
      </c>
      <c r="P4280" s="1825">
        <v>16.760000000000002</v>
      </c>
      <c r="Q4280" s="862"/>
      <c r="R4280" s="1859">
        <v>1.629297</v>
      </c>
      <c r="S4280" s="883">
        <v>11.7</v>
      </c>
      <c r="T4280" s="862"/>
      <c r="U4280" s="1860"/>
      <c r="V4280" s="1860"/>
      <c r="W4280" s="862"/>
      <c r="X4280" s="862"/>
      <c r="Y4280" s="1817">
        <v>21</v>
      </c>
      <c r="Z4280" s="862"/>
      <c r="AA4280" s="647"/>
      <c r="AB4280" s="647"/>
      <c r="AC4280" s="862"/>
      <c r="AD4280" s="867"/>
      <c r="AE4280" s="867"/>
      <c r="AF4280" s="867"/>
      <c r="AG4280" s="66">
        <f t="shared" si="157"/>
        <v>96.76</v>
      </c>
      <c r="AH4280" s="143">
        <f t="shared" si="158"/>
        <v>0</v>
      </c>
    </row>
    <row r="4281" spans="1:34" s="735" customFormat="1" x14ac:dyDescent="0.3">
      <c r="A4281" s="862">
        <v>204361</v>
      </c>
      <c r="B4281" s="863">
        <v>0.5</v>
      </c>
      <c r="C4281" s="863"/>
      <c r="D4281" s="647">
        <v>8.34</v>
      </c>
      <c r="E4281" s="1573">
        <v>0.13500000000000001</v>
      </c>
      <c r="F4281" s="864">
        <v>148.50000000000003</v>
      </c>
      <c r="G4281" s="862"/>
      <c r="H4281" s="864">
        <v>77.61</v>
      </c>
      <c r="I4281" s="1861">
        <v>280</v>
      </c>
      <c r="J4281" s="1861">
        <v>0.114</v>
      </c>
      <c r="K4281" s="1861">
        <v>5.16</v>
      </c>
      <c r="L4281" s="1861">
        <v>1870</v>
      </c>
      <c r="M4281" s="1825">
        <v>0.56000000000000005</v>
      </c>
      <c r="N4281" s="1825">
        <v>1.69</v>
      </c>
      <c r="O4281" s="1825">
        <v>7.77</v>
      </c>
      <c r="P4281" s="1825">
        <v>14.75</v>
      </c>
      <c r="Q4281" s="862"/>
      <c r="R4281" s="1859">
        <v>1.0353955664652623</v>
      </c>
      <c r="S4281" s="883">
        <v>7.6</v>
      </c>
      <c r="T4281" s="862"/>
      <c r="U4281" s="1860"/>
      <c r="V4281" s="1860"/>
      <c r="W4281" s="862"/>
      <c r="X4281" s="862"/>
      <c r="Y4281" s="1817">
        <v>20</v>
      </c>
      <c r="Z4281" s="862"/>
      <c r="AA4281" s="647"/>
      <c r="AB4281" s="647"/>
      <c r="AC4281" s="862"/>
      <c r="AD4281" s="867"/>
      <c r="AE4281" s="867"/>
      <c r="AF4281" s="867"/>
      <c r="AG4281" s="66">
        <f t="shared" si="157"/>
        <v>91.332000000000008</v>
      </c>
      <c r="AH4281" s="143">
        <f t="shared" si="158"/>
        <v>0</v>
      </c>
    </row>
    <row r="4282" spans="1:34" s="69" customFormat="1" x14ac:dyDescent="0.3">
      <c r="A4282" s="862">
        <v>204362</v>
      </c>
      <c r="B4282" s="863">
        <v>42.5</v>
      </c>
      <c r="C4282" s="863">
        <v>13.375</v>
      </c>
      <c r="D4282" s="647">
        <v>8.6</v>
      </c>
      <c r="E4282" s="1573">
        <v>0.26</v>
      </c>
      <c r="F4282" s="864">
        <v>286.00000000000006</v>
      </c>
      <c r="G4282" s="862"/>
      <c r="H4282" s="864">
        <v>31.75</v>
      </c>
      <c r="I4282" s="864">
        <v>160</v>
      </c>
      <c r="J4282" s="1816">
        <v>0.13400000000000001</v>
      </c>
      <c r="K4282" s="863">
        <v>9.77</v>
      </c>
      <c r="L4282" s="862">
        <v>742</v>
      </c>
      <c r="M4282" s="862">
        <v>0.26</v>
      </c>
      <c r="N4282" s="862">
        <v>0.78</v>
      </c>
      <c r="O4282" s="862">
        <v>4.6900000000000004</v>
      </c>
      <c r="P4282" s="862">
        <v>1.89</v>
      </c>
      <c r="Q4282" s="862"/>
      <c r="R4282" s="647">
        <v>1.6100120000000002</v>
      </c>
      <c r="S4282" s="863">
        <v>11.200000000000001</v>
      </c>
      <c r="T4282" s="862"/>
      <c r="U4282" s="862"/>
      <c r="V4282" s="862"/>
      <c r="W4282" s="862"/>
      <c r="X4282" s="862"/>
      <c r="Y4282" s="1817">
        <v>24</v>
      </c>
      <c r="Z4282" s="862"/>
      <c r="AA4282" s="647">
        <v>4.0599999999999996</v>
      </c>
      <c r="AB4282" s="647">
        <v>0.28799999999999998</v>
      </c>
      <c r="AC4282" s="862">
        <v>7.9</v>
      </c>
      <c r="AD4282" s="867">
        <v>480</v>
      </c>
      <c r="AE4282" s="867">
        <v>240</v>
      </c>
      <c r="AF4282" s="867">
        <v>280</v>
      </c>
      <c r="AG4282" s="66">
        <f t="shared" si="157"/>
        <v>144.10749999999999</v>
      </c>
      <c r="AH4282" s="143">
        <f t="shared" si="158"/>
        <v>1000</v>
      </c>
    </row>
    <row r="4283" spans="1:34" s="69" customFormat="1" x14ac:dyDescent="0.3">
      <c r="A4283" s="862">
        <v>204363</v>
      </c>
      <c r="B4283" s="863">
        <v>50</v>
      </c>
      <c r="C4283" s="863">
        <v>14.874999999999998</v>
      </c>
      <c r="D4283" s="647">
        <v>8.5399999999999991</v>
      </c>
      <c r="E4283" s="1573">
        <v>0.28399999999999997</v>
      </c>
      <c r="F4283" s="864">
        <v>312.40000000000003</v>
      </c>
      <c r="G4283" s="862"/>
      <c r="H4283" s="864">
        <v>18.170000000000002</v>
      </c>
      <c r="I4283" s="864">
        <v>440</v>
      </c>
      <c r="J4283" s="1816">
        <v>0.10299999999999999</v>
      </c>
      <c r="K4283" s="863">
        <v>10</v>
      </c>
      <c r="L4283" s="862">
        <v>581</v>
      </c>
      <c r="M4283" s="862">
        <v>0.33</v>
      </c>
      <c r="N4283" s="862">
        <v>0.78</v>
      </c>
      <c r="O4283" s="862">
        <v>3.09</v>
      </c>
      <c r="P4283" s="862">
        <v>2</v>
      </c>
      <c r="Q4283" s="862"/>
      <c r="R4283" s="647">
        <v>1.58879108</v>
      </c>
      <c r="S4283" s="863">
        <v>10.66</v>
      </c>
      <c r="T4283" s="862"/>
      <c r="U4283" s="862"/>
      <c r="V4283" s="862"/>
      <c r="W4283" s="862"/>
      <c r="X4283" s="862"/>
      <c r="Y4283" s="1817">
        <v>27.6</v>
      </c>
      <c r="Z4283" s="862"/>
      <c r="AA4283" s="647">
        <v>3.75</v>
      </c>
      <c r="AB4283" s="647">
        <v>0.38100000000000001</v>
      </c>
      <c r="AC4283" s="862">
        <v>9.5</v>
      </c>
      <c r="AD4283" s="867">
        <v>460</v>
      </c>
      <c r="AE4283" s="867">
        <v>240</v>
      </c>
      <c r="AF4283" s="867">
        <v>300</v>
      </c>
      <c r="AG4283" s="66">
        <f t="shared" si="157"/>
        <v>128.26086956521738</v>
      </c>
      <c r="AH4283" s="143">
        <f t="shared" si="158"/>
        <v>1000</v>
      </c>
    </row>
    <row r="4284" spans="1:34" s="69" customFormat="1" x14ac:dyDescent="0.3">
      <c r="A4284" s="862">
        <v>204364</v>
      </c>
      <c r="B4284" s="863">
        <v>39.5</v>
      </c>
      <c r="C4284" s="863">
        <v>14.124999999999998</v>
      </c>
      <c r="D4284" s="647">
        <v>8.51</v>
      </c>
      <c r="E4284" s="1573">
        <v>0.34</v>
      </c>
      <c r="F4284" s="864">
        <v>374.00000000000006</v>
      </c>
      <c r="G4284" s="862"/>
      <c r="H4284" s="864">
        <v>24.48</v>
      </c>
      <c r="I4284" s="864">
        <v>260</v>
      </c>
      <c r="J4284" s="1816">
        <v>0.186</v>
      </c>
      <c r="K4284" s="863">
        <v>10.35</v>
      </c>
      <c r="L4284" s="862">
        <v>799</v>
      </c>
      <c r="M4284" s="862">
        <v>0.38</v>
      </c>
      <c r="N4284" s="862">
        <v>1.1100000000000001</v>
      </c>
      <c r="O4284" s="862">
        <v>3.42</v>
      </c>
      <c r="P4284" s="862">
        <v>2.1</v>
      </c>
      <c r="Q4284" s="862"/>
      <c r="R4284" s="647">
        <v>1.3226887400981953</v>
      </c>
      <c r="S4284" s="863">
        <v>9.77</v>
      </c>
      <c r="T4284" s="862"/>
      <c r="U4284" s="862"/>
      <c r="V4284" s="862"/>
      <c r="W4284" s="862"/>
      <c r="X4284" s="862"/>
      <c r="Y4284" s="1817">
        <v>27</v>
      </c>
      <c r="Z4284" s="862"/>
      <c r="AA4284" s="647">
        <v>3.5</v>
      </c>
      <c r="AB4284" s="647">
        <v>0.33600000000000002</v>
      </c>
      <c r="AC4284" s="862">
        <v>6.1</v>
      </c>
      <c r="AD4284" s="867">
        <v>500</v>
      </c>
      <c r="AE4284" s="867">
        <v>280</v>
      </c>
      <c r="AF4284" s="867">
        <v>220</v>
      </c>
      <c r="AG4284" s="66">
        <f t="shared" si="157"/>
        <v>135.69999999999999</v>
      </c>
      <c r="AH4284" s="143">
        <f t="shared" si="158"/>
        <v>1000</v>
      </c>
    </row>
    <row r="4285" spans="1:34" s="69" customFormat="1" x14ac:dyDescent="0.3">
      <c r="A4285" s="862">
        <v>204365</v>
      </c>
      <c r="B4285" s="863">
        <v>4.0999999999999996</v>
      </c>
      <c r="C4285" s="863"/>
      <c r="D4285" s="647">
        <v>8.3699999999999992</v>
      </c>
      <c r="E4285" s="1573">
        <v>0.221</v>
      </c>
      <c r="F4285" s="864">
        <v>243.10000000000002</v>
      </c>
      <c r="G4285" s="862"/>
      <c r="H4285" s="864">
        <v>179</v>
      </c>
      <c r="I4285" s="864">
        <v>310</v>
      </c>
      <c r="J4285" s="1816">
        <v>0.14499999999999999</v>
      </c>
      <c r="K4285" s="863">
        <v>5.84</v>
      </c>
      <c r="L4285" s="862">
        <v>1428</v>
      </c>
      <c r="M4285" s="862">
        <v>7.46</v>
      </c>
      <c r="N4285" s="862">
        <v>2.4</v>
      </c>
      <c r="O4285" s="862">
        <v>15.09</v>
      </c>
      <c r="P4285" s="862">
        <v>5.84</v>
      </c>
      <c r="Q4285" s="862"/>
      <c r="R4285" s="647">
        <v>1.7180381700000003</v>
      </c>
      <c r="S4285" s="863">
        <v>14.13</v>
      </c>
      <c r="T4285" s="862"/>
      <c r="U4285" s="862"/>
      <c r="V4285" s="862"/>
      <c r="W4285" s="862"/>
      <c r="X4285" s="862"/>
      <c r="Y4285" s="1817">
        <v>26</v>
      </c>
      <c r="Z4285" s="862"/>
      <c r="AA4285" s="647">
        <v>4.33</v>
      </c>
      <c r="AB4285" s="647">
        <v>0.61099999999999999</v>
      </c>
      <c r="AC4285" s="862">
        <v>8.9</v>
      </c>
      <c r="AD4285" s="867">
        <v>520</v>
      </c>
      <c r="AE4285" s="867">
        <v>300</v>
      </c>
      <c r="AF4285" s="867">
        <v>180</v>
      </c>
      <c r="AG4285" s="66">
        <f t="shared" si="157"/>
        <v>79.51384615384616</v>
      </c>
      <c r="AH4285" s="143">
        <f t="shared" si="158"/>
        <v>1000</v>
      </c>
    </row>
    <row r="4286" spans="1:34" s="69" customFormat="1" x14ac:dyDescent="0.3">
      <c r="A4286" s="862">
        <v>204366</v>
      </c>
      <c r="B4286" s="863">
        <v>32.799999999999997</v>
      </c>
      <c r="C4286" s="863">
        <v>11.749999999999998</v>
      </c>
      <c r="D4286" s="647">
        <v>7.95</v>
      </c>
      <c r="E4286" s="1573">
        <v>0.19900000000000001</v>
      </c>
      <c r="F4286" s="864">
        <v>218.90000000000003</v>
      </c>
      <c r="G4286" s="862"/>
      <c r="H4286" s="864">
        <v>955.2</v>
      </c>
      <c r="I4286" s="864">
        <v>300</v>
      </c>
      <c r="J4286" s="1816">
        <v>1.9E-2</v>
      </c>
      <c r="K4286" s="863">
        <v>8.4499999999999993</v>
      </c>
      <c r="L4286" s="862">
        <v>400</v>
      </c>
      <c r="M4286" s="862">
        <v>37.200000000000003</v>
      </c>
      <c r="N4286" s="862">
        <v>3.74</v>
      </c>
      <c r="O4286" s="862">
        <v>4.8499999999999996</v>
      </c>
      <c r="P4286" s="862">
        <v>20.420000000000002</v>
      </c>
      <c r="Q4286" s="862"/>
      <c r="R4286" s="647">
        <v>1.82652137</v>
      </c>
      <c r="S4286" s="863">
        <v>17.470000000000002</v>
      </c>
      <c r="T4286" s="862"/>
      <c r="U4286" s="862"/>
      <c r="V4286" s="862"/>
      <c r="W4286" s="862"/>
      <c r="X4286" s="862"/>
      <c r="Y4286" s="1817">
        <v>24</v>
      </c>
      <c r="Z4286" s="862"/>
      <c r="AA4286" s="647">
        <v>4.42</v>
      </c>
      <c r="AB4286" s="647">
        <v>0.49</v>
      </c>
      <c r="AC4286" s="862">
        <v>6.7</v>
      </c>
      <c r="AD4286" s="867">
        <v>400</v>
      </c>
      <c r="AE4286" s="867">
        <v>240</v>
      </c>
      <c r="AF4286" s="867">
        <v>360</v>
      </c>
      <c r="AG4286" s="66">
        <f t="shared" si="157"/>
        <v>124.63749999999999</v>
      </c>
      <c r="AH4286" s="143">
        <f t="shared" si="158"/>
        <v>1000</v>
      </c>
    </row>
    <row r="4287" spans="1:34" s="69" customFormat="1" x14ac:dyDescent="0.3">
      <c r="A4287" s="862">
        <v>204367</v>
      </c>
      <c r="B4287" s="863">
        <v>33.700000000000003</v>
      </c>
      <c r="C4287" s="863">
        <v>10.875</v>
      </c>
      <c r="D4287" s="647">
        <v>7.86</v>
      </c>
      <c r="E4287" s="1573">
        <v>0.24299999999999999</v>
      </c>
      <c r="F4287" s="864">
        <v>267.3</v>
      </c>
      <c r="G4287" s="862"/>
      <c r="H4287" s="864">
        <v>914.64</v>
      </c>
      <c r="I4287" s="864">
        <v>330</v>
      </c>
      <c r="J4287" s="1816">
        <v>9.6000000000000002E-2</v>
      </c>
      <c r="K4287" s="863">
        <v>6.54</v>
      </c>
      <c r="L4287" s="862">
        <v>1381</v>
      </c>
      <c r="M4287" s="862">
        <v>26.1</v>
      </c>
      <c r="N4287" s="862">
        <v>26.58</v>
      </c>
      <c r="O4287" s="862">
        <v>3.41</v>
      </c>
      <c r="P4287" s="862">
        <v>19.690000000000001</v>
      </c>
      <c r="Q4287" s="862"/>
      <c r="R4287" s="647">
        <v>1.9064787300000001</v>
      </c>
      <c r="S4287" s="863">
        <v>20.310000000000002</v>
      </c>
      <c r="T4287" s="862"/>
      <c r="U4287" s="862"/>
      <c r="V4287" s="862"/>
      <c r="W4287" s="862"/>
      <c r="X4287" s="862"/>
      <c r="Y4287" s="1817">
        <v>28.8</v>
      </c>
      <c r="Z4287" s="862"/>
      <c r="AA4287" s="647">
        <v>3.87</v>
      </c>
      <c r="AB4287" s="647">
        <v>0.59199999999999997</v>
      </c>
      <c r="AC4287" s="862">
        <v>6.4</v>
      </c>
      <c r="AD4287" s="867">
        <v>480</v>
      </c>
      <c r="AE4287" s="867">
        <v>280</v>
      </c>
      <c r="AF4287" s="867">
        <v>240</v>
      </c>
      <c r="AG4287" s="66">
        <f t="shared" si="157"/>
        <v>80.387500000000003</v>
      </c>
      <c r="AH4287" s="143">
        <f t="shared" si="158"/>
        <v>1000</v>
      </c>
    </row>
    <row r="4288" spans="1:34" s="69" customFormat="1" x14ac:dyDescent="0.3">
      <c r="A4288" s="862">
        <v>204368</v>
      </c>
      <c r="B4288" s="863">
        <v>35.799999999999997</v>
      </c>
      <c r="C4288" s="863">
        <v>13.25</v>
      </c>
      <c r="D4288" s="647">
        <v>8.08</v>
      </c>
      <c r="E4288" s="1573">
        <v>0.14399999999999999</v>
      </c>
      <c r="F4288" s="864">
        <v>158.4</v>
      </c>
      <c r="G4288" s="862"/>
      <c r="H4288" s="864">
        <v>728.76</v>
      </c>
      <c r="I4288" s="864">
        <v>210</v>
      </c>
      <c r="J4288" s="1816">
        <v>4.9000000000000002E-2</v>
      </c>
      <c r="K4288" s="863">
        <v>8.58</v>
      </c>
      <c r="L4288" s="862">
        <v>637</v>
      </c>
      <c r="M4288" s="862">
        <v>27.19</v>
      </c>
      <c r="N4288" s="862">
        <v>6.37</v>
      </c>
      <c r="O4288" s="862">
        <v>3.77</v>
      </c>
      <c r="P4288" s="862">
        <v>18.53</v>
      </c>
      <c r="Q4288" s="862"/>
      <c r="R4288" s="647">
        <v>1.8831844800000002</v>
      </c>
      <c r="S4288" s="863">
        <v>19.439999999999998</v>
      </c>
      <c r="T4288" s="862"/>
      <c r="U4288" s="862"/>
      <c r="V4288" s="862"/>
      <c r="W4288" s="862"/>
      <c r="X4288" s="862"/>
      <c r="Y4288" s="1817">
        <v>23.5</v>
      </c>
      <c r="Z4288" s="862"/>
      <c r="AA4288" s="647">
        <v>4.1900000000000004</v>
      </c>
      <c r="AB4288" s="647">
        <v>0.55400000000000005</v>
      </c>
      <c r="AC4288" s="862">
        <v>8.6999999999999993</v>
      </c>
      <c r="AD4288" s="867">
        <v>470</v>
      </c>
      <c r="AE4288" s="867">
        <v>280</v>
      </c>
      <c r="AF4288" s="867">
        <v>250</v>
      </c>
      <c r="AG4288" s="66">
        <f t="shared" si="157"/>
        <v>129.24765957446809</v>
      </c>
      <c r="AH4288" s="143">
        <f t="shared" si="158"/>
        <v>1000</v>
      </c>
    </row>
    <row r="4289" spans="1:34" s="69" customFormat="1" x14ac:dyDescent="0.3">
      <c r="A4289" s="862">
        <v>204369</v>
      </c>
      <c r="B4289" s="863">
        <v>27.3</v>
      </c>
      <c r="C4289" s="863">
        <v>10.625</v>
      </c>
      <c r="D4289" s="647">
        <v>8.27</v>
      </c>
      <c r="E4289" s="1573">
        <v>0.34399999999999997</v>
      </c>
      <c r="F4289" s="864">
        <v>378.40000000000003</v>
      </c>
      <c r="G4289" s="862"/>
      <c r="H4289" s="864">
        <v>427.74</v>
      </c>
      <c r="I4289" s="864">
        <v>600</v>
      </c>
      <c r="J4289" s="1816">
        <v>0.129</v>
      </c>
      <c r="K4289" s="863">
        <v>7.74</v>
      </c>
      <c r="L4289" s="862">
        <v>1543</v>
      </c>
      <c r="M4289" s="862">
        <v>14.87</v>
      </c>
      <c r="N4289" s="862">
        <v>3.2</v>
      </c>
      <c r="O4289" s="862">
        <v>2.3199999999999998</v>
      </c>
      <c r="P4289" s="862">
        <v>8.52</v>
      </c>
      <c r="Q4289" s="862"/>
      <c r="R4289" s="647">
        <v>2.0273631300000003</v>
      </c>
      <c r="S4289" s="863">
        <v>25.71</v>
      </c>
      <c r="T4289" s="862"/>
      <c r="U4289" s="862"/>
      <c r="V4289" s="862"/>
      <c r="W4289" s="862"/>
      <c r="X4289" s="862"/>
      <c r="Y4289" s="1817">
        <v>33.6</v>
      </c>
      <c r="Z4289" s="862"/>
      <c r="AA4289" s="647">
        <v>4.41</v>
      </c>
      <c r="AB4289" s="647">
        <v>0.46600000000000003</v>
      </c>
      <c r="AC4289" s="862">
        <v>8.1</v>
      </c>
      <c r="AD4289" s="867">
        <v>560</v>
      </c>
      <c r="AE4289" s="867">
        <v>260</v>
      </c>
      <c r="AF4289" s="867">
        <v>180</v>
      </c>
      <c r="AG4289" s="66">
        <f t="shared" si="157"/>
        <v>81.546428571428564</v>
      </c>
      <c r="AH4289" s="143">
        <f t="shared" si="158"/>
        <v>1000</v>
      </c>
    </row>
    <row r="4290" spans="1:34" s="69" customFormat="1" x14ac:dyDescent="0.3">
      <c r="A4290" s="862">
        <v>204370</v>
      </c>
      <c r="B4290" s="863">
        <v>35.799999999999997</v>
      </c>
      <c r="C4290" s="863">
        <v>10.75</v>
      </c>
      <c r="D4290" s="647">
        <v>8.07</v>
      </c>
      <c r="E4290" s="1573">
        <v>0.251</v>
      </c>
      <c r="F4290" s="864">
        <v>276.10000000000002</v>
      </c>
      <c r="G4290" s="862"/>
      <c r="H4290" s="864">
        <v>876.08</v>
      </c>
      <c r="I4290" s="864">
        <v>320</v>
      </c>
      <c r="J4290" s="1816">
        <v>0.11</v>
      </c>
      <c r="K4290" s="863">
        <v>7.76</v>
      </c>
      <c r="L4290" s="862">
        <v>1453</v>
      </c>
      <c r="M4290" s="862">
        <v>19.64</v>
      </c>
      <c r="N4290" s="862">
        <v>6.72</v>
      </c>
      <c r="O4290" s="862">
        <v>4.16</v>
      </c>
      <c r="P4290" s="862">
        <v>15.72</v>
      </c>
      <c r="Q4290" s="862"/>
      <c r="R4290" s="647">
        <v>1.984988</v>
      </c>
      <c r="S4290" s="863">
        <v>23.599999999999998</v>
      </c>
      <c r="T4290" s="862"/>
      <c r="U4290" s="862"/>
      <c r="V4290" s="862"/>
      <c r="W4290" s="862"/>
      <c r="X4290" s="862"/>
      <c r="Y4290" s="1817">
        <v>23.5</v>
      </c>
      <c r="Z4290" s="862"/>
      <c r="AA4290" s="647">
        <v>4.55</v>
      </c>
      <c r="AB4290" s="647">
        <v>0.33500000000000002</v>
      </c>
      <c r="AC4290" s="862">
        <v>8</v>
      </c>
      <c r="AD4290" s="867">
        <v>470</v>
      </c>
      <c r="AE4290" s="867">
        <v>290</v>
      </c>
      <c r="AF4290" s="867">
        <v>240</v>
      </c>
      <c r="AG4290" s="66">
        <f t="shared" ref="AG4290:AG4353" si="159">+K4290*3.54*100/Y4290</f>
        <v>116.89531914893617</v>
      </c>
      <c r="AH4290" s="143">
        <f t="shared" ref="AH4290:AH4353" si="160">+SUM(AD4290:AF4290)</f>
        <v>1000</v>
      </c>
    </row>
    <row r="4291" spans="1:34" s="69" customFormat="1" x14ac:dyDescent="0.3">
      <c r="A4291" s="862">
        <v>204371</v>
      </c>
      <c r="B4291" s="863">
        <v>32</v>
      </c>
      <c r="C4291" s="863">
        <v>11.375</v>
      </c>
      <c r="D4291" s="647">
        <v>8.15</v>
      </c>
      <c r="E4291" s="1573">
        <v>0.156</v>
      </c>
      <c r="F4291" s="864">
        <v>171.6</v>
      </c>
      <c r="G4291" s="862"/>
      <c r="H4291" s="864">
        <v>322.24</v>
      </c>
      <c r="I4291" s="864">
        <v>310</v>
      </c>
      <c r="J4291" s="1816">
        <v>2.9000000000000001E-2</v>
      </c>
      <c r="K4291" s="863">
        <v>9.66</v>
      </c>
      <c r="L4291" s="862">
        <v>520</v>
      </c>
      <c r="M4291" s="862">
        <v>9.39</v>
      </c>
      <c r="N4291" s="862">
        <v>11.68</v>
      </c>
      <c r="O4291" s="862">
        <v>6.73</v>
      </c>
      <c r="P4291" s="862">
        <v>7.86</v>
      </c>
      <c r="Q4291" s="862"/>
      <c r="R4291" s="647">
        <v>1.95036257</v>
      </c>
      <c r="S4291" s="863">
        <v>22.07</v>
      </c>
      <c r="T4291" s="862"/>
      <c r="U4291" s="862"/>
      <c r="V4291" s="862"/>
      <c r="W4291" s="862"/>
      <c r="X4291" s="862"/>
      <c r="Y4291" s="1817">
        <v>28.8</v>
      </c>
      <c r="Z4291" s="862"/>
      <c r="AA4291" s="647">
        <v>4.0999999999999996</v>
      </c>
      <c r="AB4291" s="647">
        <v>0.25800000000000001</v>
      </c>
      <c r="AC4291" s="862">
        <v>6.4</v>
      </c>
      <c r="AD4291" s="867">
        <v>480</v>
      </c>
      <c r="AE4291" s="867">
        <v>260</v>
      </c>
      <c r="AF4291" s="867">
        <v>260</v>
      </c>
      <c r="AG4291" s="66">
        <f t="shared" si="159"/>
        <v>118.73750000000001</v>
      </c>
      <c r="AH4291" s="143">
        <f t="shared" si="160"/>
        <v>1000</v>
      </c>
    </row>
    <row r="4292" spans="1:34" s="69" customFormat="1" x14ac:dyDescent="0.3">
      <c r="A4292" s="862">
        <v>204372</v>
      </c>
      <c r="B4292" s="863">
        <v>33</v>
      </c>
      <c r="C4292" s="863">
        <v>11.875</v>
      </c>
      <c r="D4292" s="647">
        <v>8.07</v>
      </c>
      <c r="E4292" s="1573">
        <v>0.17199999999999999</v>
      </c>
      <c r="F4292" s="864">
        <v>189.20000000000002</v>
      </c>
      <c r="G4292" s="862"/>
      <c r="H4292" s="864">
        <v>436.52</v>
      </c>
      <c r="I4292" s="864">
        <v>330</v>
      </c>
      <c r="J4292" s="1816">
        <v>1.7999999999999999E-2</v>
      </c>
      <c r="K4292" s="863">
        <v>9.84</v>
      </c>
      <c r="L4292" s="862">
        <v>515</v>
      </c>
      <c r="M4292" s="862">
        <v>15.79</v>
      </c>
      <c r="N4292" s="862">
        <v>19.47</v>
      </c>
      <c r="O4292" s="862">
        <v>10.83</v>
      </c>
      <c r="P4292" s="862">
        <v>9.06</v>
      </c>
      <c r="Q4292" s="862"/>
      <c r="R4292" s="647">
        <v>2.0118330000000002</v>
      </c>
      <c r="S4292" s="863">
        <v>24.900000000000002</v>
      </c>
      <c r="T4292" s="862"/>
      <c r="U4292" s="862"/>
      <c r="V4292" s="862"/>
      <c r="W4292" s="862"/>
      <c r="X4292" s="862"/>
      <c r="Y4292" s="1817">
        <v>22.5</v>
      </c>
      <c r="Z4292" s="862"/>
      <c r="AA4292" s="647">
        <v>4.3</v>
      </c>
      <c r="AB4292" s="647">
        <v>0.59</v>
      </c>
      <c r="AC4292" s="862">
        <v>6.1</v>
      </c>
      <c r="AD4292" s="867">
        <v>450</v>
      </c>
      <c r="AE4292" s="867">
        <v>270</v>
      </c>
      <c r="AF4292" s="867">
        <v>280</v>
      </c>
      <c r="AG4292" s="66">
        <f t="shared" si="159"/>
        <v>154.81599999999997</v>
      </c>
      <c r="AH4292" s="143">
        <f t="shared" si="160"/>
        <v>1000</v>
      </c>
    </row>
    <row r="4293" spans="1:34" s="69" customFormat="1" x14ac:dyDescent="0.3">
      <c r="A4293" s="862">
        <v>204373</v>
      </c>
      <c r="B4293" s="863">
        <v>30.5</v>
      </c>
      <c r="C4293" s="863">
        <v>10.999999999999998</v>
      </c>
      <c r="D4293" s="647">
        <v>8.57</v>
      </c>
      <c r="E4293" s="1573">
        <v>0.43</v>
      </c>
      <c r="F4293" s="864">
        <v>473.00000000000006</v>
      </c>
      <c r="G4293" s="862"/>
      <c r="H4293" s="864">
        <v>22.03</v>
      </c>
      <c r="I4293" s="864">
        <v>240</v>
      </c>
      <c r="J4293" s="1816">
        <v>0.17499999999999999</v>
      </c>
      <c r="K4293" s="863">
        <v>9.66</v>
      </c>
      <c r="L4293" s="862">
        <v>637</v>
      </c>
      <c r="M4293" s="862">
        <v>0.11</v>
      </c>
      <c r="N4293" s="862">
        <v>1.1499999999999999</v>
      </c>
      <c r="O4293" s="862">
        <v>1.01</v>
      </c>
      <c r="P4293" s="862">
        <v>1.37</v>
      </c>
      <c r="Q4293" s="862"/>
      <c r="R4293" s="647">
        <v>0.99622524615170283</v>
      </c>
      <c r="S4293" s="863">
        <v>7.0299999999999994</v>
      </c>
      <c r="T4293" s="862"/>
      <c r="U4293" s="862"/>
      <c r="V4293" s="862"/>
      <c r="W4293" s="862"/>
      <c r="X4293" s="862"/>
      <c r="Y4293" s="1817">
        <v>33.6</v>
      </c>
      <c r="Z4293" s="862"/>
      <c r="AA4293" s="647">
        <v>4.2699999999999996</v>
      </c>
      <c r="AB4293" s="647">
        <v>0.70799999999999996</v>
      </c>
      <c r="AC4293" s="862">
        <v>9.4</v>
      </c>
      <c r="AD4293" s="867">
        <v>560</v>
      </c>
      <c r="AE4293" s="867">
        <v>260</v>
      </c>
      <c r="AF4293" s="867">
        <v>180</v>
      </c>
      <c r="AG4293" s="66">
        <f t="shared" si="159"/>
        <v>101.77500000000001</v>
      </c>
      <c r="AH4293" s="143">
        <f t="shared" si="160"/>
        <v>1000</v>
      </c>
    </row>
    <row r="4294" spans="1:34" s="1827" customFormat="1" x14ac:dyDescent="0.3">
      <c r="A4294" s="862">
        <v>204374</v>
      </c>
      <c r="B4294" s="863">
        <v>4.3</v>
      </c>
      <c r="C4294" s="863"/>
      <c r="D4294" s="647">
        <v>8.8543689320388346</v>
      </c>
      <c r="E4294" s="1573">
        <v>0.60299999999999998</v>
      </c>
      <c r="F4294" s="864">
        <v>663.3</v>
      </c>
      <c r="G4294" s="862"/>
      <c r="H4294" s="864">
        <v>4.6100000000000003</v>
      </c>
      <c r="I4294" s="864">
        <v>100</v>
      </c>
      <c r="J4294" s="1816">
        <v>0.72799999999999998</v>
      </c>
      <c r="K4294" s="1858">
        <v>8.66</v>
      </c>
      <c r="L4294" s="862">
        <v>720</v>
      </c>
      <c r="M4294" s="862">
        <v>0.17</v>
      </c>
      <c r="N4294" s="862">
        <v>1.1599999999999999</v>
      </c>
      <c r="O4294" s="862">
        <v>5.04</v>
      </c>
      <c r="P4294" s="862">
        <v>4.0199999999999996</v>
      </c>
      <c r="Q4294" s="862"/>
      <c r="R4294" s="647">
        <v>1.0220960988192815</v>
      </c>
      <c r="S4294" s="863">
        <v>7.1999999999999993</v>
      </c>
      <c r="T4294" s="862"/>
      <c r="U4294" s="862"/>
      <c r="V4294" s="862"/>
      <c r="W4294" s="862"/>
      <c r="X4294" s="862"/>
      <c r="Y4294" s="1817">
        <v>25.5</v>
      </c>
      <c r="Z4294" s="862"/>
      <c r="AA4294" s="647">
        <v>4.4400000000000004</v>
      </c>
      <c r="AB4294" s="647">
        <v>0.46200000000000002</v>
      </c>
      <c r="AC4294" s="862">
        <v>9.3000000000000007</v>
      </c>
      <c r="AD4294" s="867">
        <v>510</v>
      </c>
      <c r="AE4294" s="867">
        <v>370</v>
      </c>
      <c r="AF4294" s="867">
        <v>120</v>
      </c>
      <c r="AG4294" s="66">
        <f t="shared" si="159"/>
        <v>120.22117647058825</v>
      </c>
      <c r="AH4294" s="143">
        <f t="shared" si="160"/>
        <v>1000</v>
      </c>
    </row>
    <row r="4295" spans="1:34" s="1827" customFormat="1" x14ac:dyDescent="0.3">
      <c r="A4295" s="862">
        <v>204375</v>
      </c>
      <c r="B4295" s="863">
        <v>5</v>
      </c>
      <c r="C4295" s="863"/>
      <c r="D4295" s="647">
        <v>8.7281553398058254</v>
      </c>
      <c r="E4295" s="1573">
        <v>0.46800000000000003</v>
      </c>
      <c r="F4295" s="864">
        <v>514.80000000000007</v>
      </c>
      <c r="G4295" s="862"/>
      <c r="H4295" s="864">
        <v>21.11</v>
      </c>
      <c r="I4295" s="864">
        <v>310</v>
      </c>
      <c r="J4295" s="1816">
        <v>0.437</v>
      </c>
      <c r="K4295" s="1858">
        <v>9.9600000000000009</v>
      </c>
      <c r="L4295" s="862">
        <v>790</v>
      </c>
      <c r="M4295" s="862">
        <v>0.32</v>
      </c>
      <c r="N4295" s="862">
        <v>1.1000000000000001</v>
      </c>
      <c r="O4295" s="862">
        <v>6.63</v>
      </c>
      <c r="P4295" s="862">
        <v>4.33</v>
      </c>
      <c r="Q4295" s="862"/>
      <c r="R4295" s="647">
        <v>1.3258401397303179</v>
      </c>
      <c r="S4295" s="863">
        <v>8.9</v>
      </c>
      <c r="T4295" s="862"/>
      <c r="U4295" s="862"/>
      <c r="V4295" s="862"/>
      <c r="W4295" s="862"/>
      <c r="X4295" s="862"/>
      <c r="Y4295" s="1817">
        <v>35</v>
      </c>
      <c r="Z4295" s="862"/>
      <c r="AA4295" s="647">
        <v>4.92</v>
      </c>
      <c r="AB4295" s="647">
        <v>0.76500000000000001</v>
      </c>
      <c r="AC4295" s="862">
        <v>6.1</v>
      </c>
      <c r="AD4295" s="867">
        <v>500</v>
      </c>
      <c r="AE4295" s="867">
        <v>350</v>
      </c>
      <c r="AF4295" s="867">
        <v>150</v>
      </c>
      <c r="AG4295" s="66">
        <f t="shared" si="159"/>
        <v>100.73828571428572</v>
      </c>
      <c r="AH4295" s="143">
        <f t="shared" si="160"/>
        <v>1000</v>
      </c>
    </row>
    <row r="4296" spans="1:34" s="1827" customFormat="1" x14ac:dyDescent="0.3">
      <c r="A4296" s="862">
        <v>204376</v>
      </c>
      <c r="B4296" s="863">
        <v>4.7</v>
      </c>
      <c r="C4296" s="863"/>
      <c r="D4296" s="647">
        <v>8.8932038834951452</v>
      </c>
      <c r="E4296" s="1573">
        <v>0.40200000000000002</v>
      </c>
      <c r="F4296" s="864">
        <v>442.20000000000005</v>
      </c>
      <c r="G4296" s="862"/>
      <c r="H4296" s="864">
        <v>2.67</v>
      </c>
      <c r="I4296" s="864">
        <v>160</v>
      </c>
      <c r="J4296" s="1816">
        <v>0.61699999999999999</v>
      </c>
      <c r="K4296" s="1858">
        <v>10.07</v>
      </c>
      <c r="L4296" s="862">
        <v>1090</v>
      </c>
      <c r="M4296" s="862">
        <v>0.15</v>
      </c>
      <c r="N4296" s="862">
        <v>2.14</v>
      </c>
      <c r="O4296" s="862">
        <v>6.93</v>
      </c>
      <c r="P4296" s="862">
        <v>7.09</v>
      </c>
      <c r="Q4296" s="862"/>
      <c r="R4296" s="647">
        <v>1.4374490919119534</v>
      </c>
      <c r="S4296" s="863">
        <v>9.9</v>
      </c>
      <c r="T4296" s="862"/>
      <c r="U4296" s="862"/>
      <c r="V4296" s="862"/>
      <c r="W4296" s="862"/>
      <c r="X4296" s="862"/>
      <c r="Y4296" s="1817">
        <v>37.799999999999997</v>
      </c>
      <c r="Z4296" s="862"/>
      <c r="AA4296" s="647">
        <v>4.84</v>
      </c>
      <c r="AB4296" s="647">
        <v>0.83299999999999996</v>
      </c>
      <c r="AC4296" s="862">
        <v>8.9</v>
      </c>
      <c r="AD4296" s="867">
        <v>540</v>
      </c>
      <c r="AE4296" s="867">
        <v>350</v>
      </c>
      <c r="AF4296" s="867">
        <v>110</v>
      </c>
      <c r="AG4296" s="66">
        <f t="shared" si="159"/>
        <v>94.306349206349225</v>
      </c>
      <c r="AH4296" s="143">
        <f t="shared" si="160"/>
        <v>1000</v>
      </c>
    </row>
    <row r="4297" spans="1:34" s="1827" customFormat="1" x14ac:dyDescent="0.3">
      <c r="A4297" s="862">
        <v>204377</v>
      </c>
      <c r="B4297" s="863">
        <v>4.7</v>
      </c>
      <c r="C4297" s="863"/>
      <c r="D4297" s="647">
        <v>8.6407766990291268</v>
      </c>
      <c r="E4297" s="1573">
        <v>5.8999999999999997E-2</v>
      </c>
      <c r="F4297" s="864">
        <v>64.900000000000006</v>
      </c>
      <c r="G4297" s="862"/>
      <c r="H4297" s="864">
        <v>2.3199999999999998</v>
      </c>
      <c r="I4297" s="864">
        <v>30</v>
      </c>
      <c r="J4297" s="1816">
        <v>4.0000000000000001E-3</v>
      </c>
      <c r="K4297" s="1858">
        <v>1.22</v>
      </c>
      <c r="L4297" s="862">
        <v>280</v>
      </c>
      <c r="M4297" s="862">
        <v>0.18</v>
      </c>
      <c r="N4297" s="862">
        <v>0.38</v>
      </c>
      <c r="O4297" s="862">
        <v>4.3499999999999996</v>
      </c>
      <c r="P4297" s="862">
        <v>3.26</v>
      </c>
      <c r="Q4297" s="862"/>
      <c r="R4297" s="647">
        <v>0.91718010047337895</v>
      </c>
      <c r="S4297" s="863">
        <v>6.1</v>
      </c>
      <c r="T4297" s="862"/>
      <c r="U4297" s="862"/>
      <c r="V4297" s="862"/>
      <c r="W4297" s="862"/>
      <c r="X4297" s="862"/>
      <c r="Y4297" s="1817">
        <v>3</v>
      </c>
      <c r="Z4297" s="862"/>
      <c r="AA4297" s="647">
        <v>3.79</v>
      </c>
      <c r="AB4297" s="647">
        <v>0.76100000000000001</v>
      </c>
      <c r="AC4297" s="862">
        <v>7.2</v>
      </c>
      <c r="AD4297" s="867">
        <v>60</v>
      </c>
      <c r="AE4297" s="867">
        <v>60</v>
      </c>
      <c r="AF4297" s="867">
        <v>880</v>
      </c>
      <c r="AG4297" s="66">
        <f t="shared" si="159"/>
        <v>143.95999999999998</v>
      </c>
      <c r="AH4297" s="143">
        <f t="shared" si="160"/>
        <v>1000</v>
      </c>
    </row>
    <row r="4298" spans="1:34" s="1827" customFormat="1" x14ac:dyDescent="0.3">
      <c r="A4298" s="862">
        <v>204378</v>
      </c>
      <c r="B4298" s="863">
        <v>4.9000000000000004</v>
      </c>
      <c r="C4298" s="863"/>
      <c r="D4298" s="647">
        <v>8.4466019417475717</v>
      </c>
      <c r="E4298" s="1573">
        <v>8.5000000000000006E-2</v>
      </c>
      <c r="F4298" s="864">
        <v>93.500000000000014</v>
      </c>
      <c r="G4298" s="862"/>
      <c r="H4298" s="864">
        <v>17.07</v>
      </c>
      <c r="I4298" s="864">
        <v>30</v>
      </c>
      <c r="J4298" s="1816">
        <v>2E-3</v>
      </c>
      <c r="K4298" s="1858">
        <v>1.66</v>
      </c>
      <c r="L4298" s="862">
        <v>260</v>
      </c>
      <c r="M4298" s="862">
        <v>0.33</v>
      </c>
      <c r="N4298" s="862">
        <v>0.44</v>
      </c>
      <c r="O4298" s="862">
        <v>2.33</v>
      </c>
      <c r="P4298" s="862">
        <v>1.81</v>
      </c>
      <c r="Q4298" s="862"/>
      <c r="R4298" s="647">
        <v>0.29703041498741106</v>
      </c>
      <c r="S4298" s="863">
        <v>2.2000000000000002</v>
      </c>
      <c r="T4298" s="862"/>
      <c r="U4298" s="862"/>
      <c r="V4298" s="862"/>
      <c r="W4298" s="862"/>
      <c r="X4298" s="862"/>
      <c r="Y4298" s="1817">
        <v>3</v>
      </c>
      <c r="Z4298" s="862"/>
      <c r="AA4298" s="647">
        <v>4.9000000000000004</v>
      </c>
      <c r="AB4298" s="647">
        <v>0.56200000000000006</v>
      </c>
      <c r="AC4298" s="862">
        <v>8.4</v>
      </c>
      <c r="AD4298" s="867">
        <v>60</v>
      </c>
      <c r="AE4298" s="867">
        <v>60</v>
      </c>
      <c r="AF4298" s="867">
        <v>880</v>
      </c>
      <c r="AG4298" s="66">
        <f t="shared" si="159"/>
        <v>195.88</v>
      </c>
      <c r="AH4298" s="143">
        <f t="shared" si="160"/>
        <v>1000</v>
      </c>
    </row>
    <row r="4299" spans="1:34" s="1827" customFormat="1" x14ac:dyDescent="0.3">
      <c r="A4299" s="862">
        <v>204379</v>
      </c>
      <c r="B4299" s="863">
        <v>20.5</v>
      </c>
      <c r="C4299" s="863">
        <v>12.8</v>
      </c>
      <c r="D4299" s="647">
        <v>8.233009708737864</v>
      </c>
      <c r="E4299" s="1573">
        <v>0.16300000000000001</v>
      </c>
      <c r="F4299" s="864">
        <v>179.3</v>
      </c>
      <c r="G4299" s="862"/>
      <c r="H4299" s="864">
        <v>5.65</v>
      </c>
      <c r="I4299" s="864">
        <v>140</v>
      </c>
      <c r="J4299" s="1816">
        <v>8.5000000000000006E-2</v>
      </c>
      <c r="K4299" s="1858">
        <v>13.22</v>
      </c>
      <c r="L4299" s="862">
        <v>230</v>
      </c>
      <c r="M4299" s="862">
        <v>0.11</v>
      </c>
      <c r="N4299" s="862">
        <v>0.87</v>
      </c>
      <c r="O4299" s="862">
        <v>3.03</v>
      </c>
      <c r="P4299" s="862">
        <v>2.48</v>
      </c>
      <c r="Q4299" s="862"/>
      <c r="R4299" s="647">
        <v>1.7239370000000001</v>
      </c>
      <c r="S4299" s="863">
        <v>14.299999999999999</v>
      </c>
      <c r="T4299" s="862"/>
      <c r="U4299" s="862"/>
      <c r="V4299" s="862"/>
      <c r="W4299" s="862"/>
      <c r="X4299" s="862"/>
      <c r="Y4299" s="1817">
        <v>34.299999999999997</v>
      </c>
      <c r="Z4299" s="862"/>
      <c r="AA4299" s="647">
        <v>4.58</v>
      </c>
      <c r="AB4299" s="647">
        <v>0.89900000000000002</v>
      </c>
      <c r="AC4299" s="862">
        <v>9.8000000000000007</v>
      </c>
      <c r="AD4299" s="867">
        <v>490</v>
      </c>
      <c r="AE4299" s="867">
        <v>360</v>
      </c>
      <c r="AF4299" s="867">
        <v>150</v>
      </c>
      <c r="AG4299" s="66">
        <f t="shared" si="159"/>
        <v>136.43965014577262</v>
      </c>
      <c r="AH4299" s="143">
        <f t="shared" si="160"/>
        <v>1000</v>
      </c>
    </row>
    <row r="4300" spans="1:34" s="1827" customFormat="1" x14ac:dyDescent="0.3">
      <c r="A4300" s="862">
        <v>204380</v>
      </c>
      <c r="B4300" s="863">
        <v>8.5</v>
      </c>
      <c r="C4300" s="863"/>
      <c r="D4300" s="647">
        <v>8.3689320388349504</v>
      </c>
      <c r="E4300" s="1573">
        <v>0.219</v>
      </c>
      <c r="F4300" s="864">
        <v>240.90000000000003</v>
      </c>
      <c r="G4300" s="862"/>
      <c r="H4300" s="864">
        <v>189.86</v>
      </c>
      <c r="I4300" s="864">
        <v>230</v>
      </c>
      <c r="J4300" s="1816">
        <v>5.8999999999999997E-2</v>
      </c>
      <c r="K4300" s="1858">
        <v>4.8499999999999996</v>
      </c>
      <c r="L4300" s="862">
        <v>290</v>
      </c>
      <c r="M4300" s="862">
        <v>4.05</v>
      </c>
      <c r="N4300" s="862">
        <v>0.28999999999999998</v>
      </c>
      <c r="O4300" s="862">
        <v>2.61</v>
      </c>
      <c r="P4300" s="862">
        <v>2.4</v>
      </c>
      <c r="Q4300" s="862"/>
      <c r="R4300" s="647">
        <v>0.5966059695505922</v>
      </c>
      <c r="S4300" s="863">
        <v>4.0999999999999996</v>
      </c>
      <c r="T4300" s="862"/>
      <c r="U4300" s="862"/>
      <c r="V4300" s="862"/>
      <c r="W4300" s="862"/>
      <c r="X4300" s="862"/>
      <c r="Y4300" s="1817">
        <v>4.8</v>
      </c>
      <c r="Z4300" s="862"/>
      <c r="AA4300" s="647">
        <v>3.55</v>
      </c>
      <c r="AB4300" s="647">
        <v>0.47499999999999998</v>
      </c>
      <c r="AC4300" s="862">
        <v>8</v>
      </c>
      <c r="AD4300" s="867">
        <v>80</v>
      </c>
      <c r="AE4300" s="867">
        <v>60</v>
      </c>
      <c r="AF4300" s="867">
        <v>860</v>
      </c>
      <c r="AG4300" s="66">
        <f t="shared" si="159"/>
        <v>357.68750000000006</v>
      </c>
      <c r="AH4300" s="143">
        <f t="shared" si="160"/>
        <v>1000</v>
      </c>
    </row>
    <row r="4301" spans="1:34" s="1827" customFormat="1" x14ac:dyDescent="0.3">
      <c r="A4301" s="862">
        <v>204381</v>
      </c>
      <c r="B4301" s="863">
        <v>9.1999999999999993</v>
      </c>
      <c r="C4301" s="863"/>
      <c r="D4301" s="647">
        <v>8.3106796116504853</v>
      </c>
      <c r="E4301" s="1573">
        <v>0.219</v>
      </c>
      <c r="F4301" s="864">
        <v>240.90000000000003</v>
      </c>
      <c r="G4301" s="862"/>
      <c r="H4301" s="864">
        <v>261.19</v>
      </c>
      <c r="I4301" s="864">
        <v>150</v>
      </c>
      <c r="J4301" s="1816">
        <v>4.2000000000000003E-2</v>
      </c>
      <c r="K4301" s="1858">
        <v>4.5</v>
      </c>
      <c r="L4301" s="862">
        <v>370</v>
      </c>
      <c r="M4301" s="862">
        <v>5.07</v>
      </c>
      <c r="N4301" s="862">
        <v>0.53</v>
      </c>
      <c r="O4301" s="862">
        <v>3.05</v>
      </c>
      <c r="P4301" s="862">
        <v>2.83</v>
      </c>
      <c r="Q4301" s="862"/>
      <c r="R4301" s="647">
        <v>0.78788488534248535</v>
      </c>
      <c r="S4301" s="863">
        <v>5.3000000000000007</v>
      </c>
      <c r="T4301" s="862"/>
      <c r="U4301" s="862"/>
      <c r="V4301" s="862"/>
      <c r="W4301" s="862"/>
      <c r="X4301" s="862"/>
      <c r="Y4301" s="1817">
        <v>3.5</v>
      </c>
      <c r="Z4301" s="862"/>
      <c r="AA4301" s="647">
        <v>4.88</v>
      </c>
      <c r="AB4301" s="647">
        <v>0.44600000000000001</v>
      </c>
      <c r="AC4301" s="862">
        <v>10</v>
      </c>
      <c r="AD4301" s="867">
        <v>70</v>
      </c>
      <c r="AE4301" s="867">
        <v>70</v>
      </c>
      <c r="AF4301" s="867">
        <v>860</v>
      </c>
      <c r="AG4301" s="66">
        <f t="shared" si="159"/>
        <v>455.14285714285717</v>
      </c>
      <c r="AH4301" s="143">
        <f t="shared" si="160"/>
        <v>1000</v>
      </c>
    </row>
    <row r="4302" spans="1:34" s="1827" customFormat="1" ht="16.5" customHeight="1" x14ac:dyDescent="0.3">
      <c r="A4302" s="862">
        <v>204382</v>
      </c>
      <c r="B4302" s="863">
        <v>12.2</v>
      </c>
      <c r="C4302" s="863">
        <v>3.4</v>
      </c>
      <c r="D4302" s="647">
        <v>8.1456310679611654</v>
      </c>
      <c r="E4302" s="1573">
        <v>0.28699999999999998</v>
      </c>
      <c r="F4302" s="864">
        <v>315.7</v>
      </c>
      <c r="G4302" s="862"/>
      <c r="H4302" s="864">
        <v>325.75</v>
      </c>
      <c r="I4302" s="864">
        <v>250</v>
      </c>
      <c r="J4302" s="1816">
        <v>0.128</v>
      </c>
      <c r="K4302" s="1858">
        <v>5.74</v>
      </c>
      <c r="L4302" s="862">
        <v>290</v>
      </c>
      <c r="M4302" s="862">
        <v>4.3600000000000003</v>
      </c>
      <c r="N4302" s="862">
        <v>0.46</v>
      </c>
      <c r="O4302" s="862">
        <v>2.2400000000000002</v>
      </c>
      <c r="P4302" s="862">
        <v>2.1</v>
      </c>
      <c r="Q4302" s="862"/>
      <c r="R4302" s="647">
        <v>0.91815029445942864</v>
      </c>
      <c r="S4302" s="863">
        <v>6.6000000000000005</v>
      </c>
      <c r="T4302" s="862"/>
      <c r="U4302" s="862"/>
      <c r="V4302" s="862"/>
      <c r="W4302" s="862"/>
      <c r="X4302" s="862"/>
      <c r="Y4302" s="1817">
        <v>4.9000000000000004</v>
      </c>
      <c r="Z4302" s="862"/>
      <c r="AA4302" s="647">
        <v>4.13</v>
      </c>
      <c r="AB4302" s="647">
        <v>0.48499999999999999</v>
      </c>
      <c r="AC4302" s="862">
        <v>10.9</v>
      </c>
      <c r="AD4302" s="867">
        <v>70</v>
      </c>
      <c r="AE4302" s="867">
        <v>80</v>
      </c>
      <c r="AF4302" s="867">
        <v>850</v>
      </c>
      <c r="AG4302" s="66">
        <f t="shared" si="159"/>
        <v>414.68571428571425</v>
      </c>
      <c r="AH4302" s="143">
        <f t="shared" si="160"/>
        <v>1000</v>
      </c>
    </row>
    <row r="4303" spans="1:34" s="1827" customFormat="1" x14ac:dyDescent="0.3">
      <c r="A4303" s="862">
        <v>204383</v>
      </c>
      <c r="B4303" s="863">
        <v>5.0999999999999996</v>
      </c>
      <c r="C4303" s="863"/>
      <c r="D4303" s="647">
        <v>7.9126213592233015</v>
      </c>
      <c r="E4303" s="1573">
        <v>1.6220000000000001</v>
      </c>
      <c r="F4303" s="864">
        <v>1784.2000000000003</v>
      </c>
      <c r="G4303" s="862"/>
      <c r="H4303" s="864">
        <v>214.26</v>
      </c>
      <c r="I4303" s="864">
        <v>720</v>
      </c>
      <c r="J4303" s="1816">
        <v>0.245</v>
      </c>
      <c r="K4303" s="1858">
        <v>8.36</v>
      </c>
      <c r="L4303" s="862">
        <v>990</v>
      </c>
      <c r="M4303" s="862">
        <v>3.85</v>
      </c>
      <c r="N4303" s="862">
        <v>2.0699999999999998</v>
      </c>
      <c r="O4303" s="862">
        <v>5.1100000000000003</v>
      </c>
      <c r="P4303" s="862">
        <v>2.74</v>
      </c>
      <c r="Q4303" s="862"/>
      <c r="R4303" s="647">
        <v>1.2374136422237139</v>
      </c>
      <c r="S4303" s="863">
        <v>8.2999999999999989</v>
      </c>
      <c r="T4303" s="862"/>
      <c r="U4303" s="862"/>
      <c r="V4303" s="862"/>
      <c r="W4303" s="862"/>
      <c r="X4303" s="862"/>
      <c r="Y4303" s="1817">
        <v>3.6</v>
      </c>
      <c r="Z4303" s="862"/>
      <c r="AA4303" s="647">
        <v>4.95</v>
      </c>
      <c r="AB4303" s="647">
        <v>0.67800000000000005</v>
      </c>
      <c r="AC4303" s="862">
        <v>9</v>
      </c>
      <c r="AD4303" s="867">
        <v>60</v>
      </c>
      <c r="AE4303" s="867">
        <v>70</v>
      </c>
      <c r="AF4303" s="867">
        <v>870</v>
      </c>
      <c r="AG4303" s="66">
        <f t="shared" si="159"/>
        <v>822.06666666666649</v>
      </c>
      <c r="AH4303" s="143">
        <f t="shared" si="160"/>
        <v>1000</v>
      </c>
    </row>
    <row r="4304" spans="1:34" s="1827" customFormat="1" x14ac:dyDescent="0.3">
      <c r="A4304" s="862">
        <v>204384</v>
      </c>
      <c r="B4304" s="863">
        <v>0.7</v>
      </c>
      <c r="C4304" s="863"/>
      <c r="D4304" s="647">
        <v>8.2038834951456305</v>
      </c>
      <c r="E4304" s="1573">
        <v>0.374</v>
      </c>
      <c r="F4304" s="864">
        <v>411.40000000000003</v>
      </c>
      <c r="G4304" s="862"/>
      <c r="H4304" s="864">
        <v>363.12</v>
      </c>
      <c r="I4304" s="864">
        <v>560</v>
      </c>
      <c r="J4304" s="1816">
        <v>0.13900000000000001</v>
      </c>
      <c r="K4304" s="1858">
        <v>4.24</v>
      </c>
      <c r="L4304" s="862">
        <v>640</v>
      </c>
      <c r="M4304" s="862">
        <v>7.61</v>
      </c>
      <c r="N4304" s="862">
        <v>1.74</v>
      </c>
      <c r="O4304" s="862">
        <v>4.04</v>
      </c>
      <c r="P4304" s="862">
        <v>4.88</v>
      </c>
      <c r="Q4304" s="862"/>
      <c r="R4304" s="647">
        <v>1.4752055471397221</v>
      </c>
      <c r="S4304" s="863">
        <v>9.6999999999999993</v>
      </c>
      <c r="T4304" s="862"/>
      <c r="U4304" s="862"/>
      <c r="V4304" s="862"/>
      <c r="W4304" s="862"/>
      <c r="X4304" s="862"/>
      <c r="Y4304" s="1817">
        <v>5.6</v>
      </c>
      <c r="Z4304" s="862"/>
      <c r="AA4304" s="647">
        <v>4.75</v>
      </c>
      <c r="AB4304" s="647">
        <v>0.46600000000000003</v>
      </c>
      <c r="AC4304" s="862">
        <v>11.9</v>
      </c>
      <c r="AD4304" s="867">
        <v>80</v>
      </c>
      <c r="AE4304" s="867">
        <v>60</v>
      </c>
      <c r="AF4304" s="867">
        <v>860</v>
      </c>
      <c r="AG4304" s="66">
        <f t="shared" si="159"/>
        <v>268.02857142857147</v>
      </c>
      <c r="AH4304" s="143">
        <f t="shared" si="160"/>
        <v>1000</v>
      </c>
    </row>
    <row r="4305" spans="1:34" s="1827" customFormat="1" x14ac:dyDescent="0.3">
      <c r="A4305" s="862">
        <v>204385</v>
      </c>
      <c r="B4305" s="863">
        <v>1.6</v>
      </c>
      <c r="C4305" s="863"/>
      <c r="D4305" s="647">
        <v>8.2524271844660184</v>
      </c>
      <c r="E4305" s="1573">
        <v>0.22500000000000001</v>
      </c>
      <c r="F4305" s="864">
        <v>247.50000000000003</v>
      </c>
      <c r="G4305" s="862"/>
      <c r="H4305" s="864">
        <v>201.5</v>
      </c>
      <c r="I4305" s="864">
        <v>200</v>
      </c>
      <c r="J4305" s="1816">
        <v>8.5999999999999993E-2</v>
      </c>
      <c r="K4305" s="1858">
        <v>5.26</v>
      </c>
      <c r="L4305" s="862">
        <v>580</v>
      </c>
      <c r="M4305" s="862">
        <v>4.92</v>
      </c>
      <c r="N4305" s="862">
        <v>1.21</v>
      </c>
      <c r="O4305" s="862">
        <v>3.48</v>
      </c>
      <c r="P4305" s="862">
        <v>4.9000000000000004</v>
      </c>
      <c r="Q4305" s="862"/>
      <c r="R4305" s="647">
        <v>0.69650776508507395</v>
      </c>
      <c r="S4305" s="863">
        <v>5.2</v>
      </c>
      <c r="T4305" s="862"/>
      <c r="U4305" s="862"/>
      <c r="V4305" s="862"/>
      <c r="W4305" s="862"/>
      <c r="X4305" s="862"/>
      <c r="Y4305" s="1817">
        <v>4.2</v>
      </c>
      <c r="Z4305" s="862"/>
      <c r="AA4305" s="647">
        <v>4.1900000000000004</v>
      </c>
      <c r="AB4305" s="647">
        <v>0.76600000000000001</v>
      </c>
      <c r="AC4305" s="862">
        <v>6.9</v>
      </c>
      <c r="AD4305" s="867">
        <v>60</v>
      </c>
      <c r="AE4305" s="867">
        <v>80</v>
      </c>
      <c r="AF4305" s="867">
        <v>860</v>
      </c>
      <c r="AG4305" s="66">
        <f t="shared" si="159"/>
        <v>443.3428571428571</v>
      </c>
      <c r="AH4305" s="143">
        <f t="shared" si="160"/>
        <v>1000</v>
      </c>
    </row>
    <row r="4306" spans="1:34" x14ac:dyDescent="0.3">
      <c r="A4306" s="862">
        <v>204386</v>
      </c>
      <c r="B4306" s="863">
        <v>2.2000000000000002</v>
      </c>
      <c r="C4306" s="863"/>
      <c r="D4306" s="647">
        <v>8.1199999999999992</v>
      </c>
      <c r="E4306" s="647">
        <v>0.33200000000000002</v>
      </c>
      <c r="F4306" s="864">
        <v>365.20000000000005</v>
      </c>
      <c r="G4306" s="862"/>
      <c r="H4306" s="864">
        <v>453.32</v>
      </c>
      <c r="I4306" s="864">
        <v>214</v>
      </c>
      <c r="J4306" s="906">
        <v>3.4000000000000002E-2</v>
      </c>
      <c r="K4306" s="863">
        <v>7</v>
      </c>
      <c r="L4306" s="862">
        <v>850</v>
      </c>
      <c r="M4306" s="906">
        <v>2.59</v>
      </c>
      <c r="N4306" s="862">
        <v>0.35</v>
      </c>
      <c r="O4306" s="862">
        <v>5.51</v>
      </c>
      <c r="P4306" s="862">
        <v>3.57</v>
      </c>
      <c r="Q4306" s="862"/>
      <c r="R4306" s="647">
        <v>1.2587719157751864</v>
      </c>
      <c r="S4306" s="863">
        <v>9</v>
      </c>
      <c r="T4306" s="863"/>
      <c r="U4306" s="862"/>
      <c r="V4306" s="862"/>
      <c r="W4306" s="862"/>
      <c r="X4306" s="862"/>
      <c r="Y4306" s="1817">
        <v>6</v>
      </c>
      <c r="Z4306" s="862"/>
      <c r="AA4306" s="647">
        <v>4.63</v>
      </c>
      <c r="AB4306" s="647">
        <v>0.28100000000000003</v>
      </c>
      <c r="AC4306" s="862">
        <v>10.6</v>
      </c>
      <c r="AD4306" s="867">
        <v>120</v>
      </c>
      <c r="AE4306" s="867">
        <v>60</v>
      </c>
      <c r="AF4306" s="867">
        <v>820</v>
      </c>
      <c r="AG4306" s="66">
        <f t="shared" si="159"/>
        <v>413</v>
      </c>
      <c r="AH4306" s="143">
        <f t="shared" si="160"/>
        <v>1000</v>
      </c>
    </row>
    <row r="4307" spans="1:34" x14ac:dyDescent="0.3">
      <c r="A4307" s="862">
        <v>204387</v>
      </c>
      <c r="B4307" s="863">
        <v>16.399999999999999</v>
      </c>
      <c r="C4307" s="863">
        <v>5.5000000000000027</v>
      </c>
      <c r="D4307" s="647">
        <v>8.6</v>
      </c>
      <c r="E4307" s="647">
        <v>0.21</v>
      </c>
      <c r="F4307" s="864">
        <v>231</v>
      </c>
      <c r="G4307" s="862"/>
      <c r="H4307" s="864">
        <v>5.16</v>
      </c>
      <c r="I4307" s="864">
        <v>211</v>
      </c>
      <c r="J4307" s="906">
        <v>9.8000000000000004E-2</v>
      </c>
      <c r="K4307" s="863">
        <v>7.48</v>
      </c>
      <c r="L4307" s="862">
        <v>430</v>
      </c>
      <c r="M4307" s="906">
        <v>0.17</v>
      </c>
      <c r="N4307" s="862">
        <v>0.27</v>
      </c>
      <c r="O4307" s="862">
        <v>4.59</v>
      </c>
      <c r="P4307" s="862">
        <v>2.1</v>
      </c>
      <c r="Q4307" s="862"/>
      <c r="R4307" s="647">
        <v>0.92788503822318735</v>
      </c>
      <c r="S4307" s="863">
        <v>6.6000000000000005</v>
      </c>
      <c r="T4307" s="863"/>
      <c r="U4307" s="862"/>
      <c r="V4307" s="862"/>
      <c r="W4307" s="862"/>
      <c r="X4307" s="862"/>
      <c r="Y4307" s="1817">
        <v>9</v>
      </c>
      <c r="Z4307" s="862"/>
      <c r="AA4307" s="647">
        <v>3.59</v>
      </c>
      <c r="AB4307" s="647">
        <v>0.68500000000000005</v>
      </c>
      <c r="AC4307" s="862">
        <v>7.6</v>
      </c>
      <c r="AD4307" s="867">
        <v>180</v>
      </c>
      <c r="AE4307" s="867">
        <v>60</v>
      </c>
      <c r="AF4307" s="867">
        <v>760</v>
      </c>
      <c r="AG4307" s="66">
        <f t="shared" si="159"/>
        <v>294.21333333333337</v>
      </c>
      <c r="AH4307" s="143">
        <f t="shared" si="160"/>
        <v>1000</v>
      </c>
    </row>
    <row r="4308" spans="1:34" x14ac:dyDescent="0.3">
      <c r="A4308" s="862">
        <v>204388</v>
      </c>
      <c r="B4308" s="863">
        <v>13.4</v>
      </c>
      <c r="C4308" s="863">
        <v>5.2500000000000018</v>
      </c>
      <c r="D4308" s="647">
        <v>8.69</v>
      </c>
      <c r="E4308" s="647">
        <v>0.26500000000000001</v>
      </c>
      <c r="F4308" s="864">
        <v>291.50000000000006</v>
      </c>
      <c r="G4308" s="862"/>
      <c r="H4308" s="864">
        <v>85.92</v>
      </c>
      <c r="I4308" s="864">
        <v>152</v>
      </c>
      <c r="J4308" s="906">
        <v>0.20699999999999999</v>
      </c>
      <c r="K4308" s="863">
        <v>6.5</v>
      </c>
      <c r="L4308" s="862">
        <v>350</v>
      </c>
      <c r="M4308" s="906">
        <v>1.21</v>
      </c>
      <c r="N4308" s="862">
        <v>0.16</v>
      </c>
      <c r="O4308" s="862">
        <v>3.63</v>
      </c>
      <c r="P4308" s="862">
        <v>1.63</v>
      </c>
      <c r="Q4308" s="862"/>
      <c r="R4308" s="647">
        <v>0.84103300996340891</v>
      </c>
      <c r="S4308" s="863">
        <v>6.1</v>
      </c>
      <c r="T4308" s="863"/>
      <c r="U4308" s="862"/>
      <c r="V4308" s="862"/>
      <c r="W4308" s="862"/>
      <c r="X4308" s="862"/>
      <c r="Y4308" s="1817">
        <v>4.8</v>
      </c>
      <c r="Z4308" s="862"/>
      <c r="AA4308" s="647">
        <v>3.89</v>
      </c>
      <c r="AB4308" s="647">
        <v>0.66300000000000003</v>
      </c>
      <c r="AC4308" s="862">
        <v>7.2</v>
      </c>
      <c r="AD4308" s="867">
        <v>80</v>
      </c>
      <c r="AE4308" s="867">
        <v>60</v>
      </c>
      <c r="AF4308" s="867">
        <v>860</v>
      </c>
      <c r="AG4308" s="66">
        <f t="shared" si="159"/>
        <v>479.375</v>
      </c>
      <c r="AH4308" s="143">
        <f t="shared" si="160"/>
        <v>1000</v>
      </c>
    </row>
    <row r="4309" spans="1:34" x14ac:dyDescent="0.3">
      <c r="A4309" s="862">
        <v>204389</v>
      </c>
      <c r="B4309" s="863">
        <v>7.2</v>
      </c>
      <c r="C4309" s="863"/>
      <c r="D4309" s="647">
        <v>8.75</v>
      </c>
      <c r="E4309" s="647">
        <v>0.17499999999999999</v>
      </c>
      <c r="F4309" s="864">
        <v>192.5</v>
      </c>
      <c r="G4309" s="862"/>
      <c r="H4309" s="864">
        <v>20.53</v>
      </c>
      <c r="I4309" s="864">
        <v>479</v>
      </c>
      <c r="J4309" s="906">
        <v>6.2E-2</v>
      </c>
      <c r="K4309" s="863">
        <v>10.35</v>
      </c>
      <c r="L4309" s="862">
        <v>950</v>
      </c>
      <c r="M4309" s="906">
        <v>0.96</v>
      </c>
      <c r="N4309" s="862">
        <v>0.39</v>
      </c>
      <c r="O4309" s="862">
        <v>6.57</v>
      </c>
      <c r="P4309" s="862">
        <v>1.34</v>
      </c>
      <c r="Q4309" s="862"/>
      <c r="R4309" s="647">
        <v>1.0269047521536152</v>
      </c>
      <c r="S4309" s="863">
        <v>6.7</v>
      </c>
      <c r="T4309" s="863"/>
      <c r="U4309" s="862"/>
      <c r="V4309" s="862"/>
      <c r="W4309" s="862"/>
      <c r="X4309" s="862"/>
      <c r="Y4309" s="1817">
        <v>26.4</v>
      </c>
      <c r="Z4309" s="862"/>
      <c r="AA4309" s="647">
        <v>4.5199999999999996</v>
      </c>
      <c r="AB4309" s="647">
        <v>0.68400000000000005</v>
      </c>
      <c r="AC4309" s="862">
        <v>6.8</v>
      </c>
      <c r="AD4309" s="867">
        <v>440</v>
      </c>
      <c r="AE4309" s="867">
        <v>200</v>
      </c>
      <c r="AF4309" s="867">
        <v>360</v>
      </c>
      <c r="AG4309" s="66">
        <f t="shared" si="159"/>
        <v>138.78409090909091</v>
      </c>
      <c r="AH4309" s="143">
        <f t="shared" si="160"/>
        <v>1000</v>
      </c>
    </row>
    <row r="4310" spans="1:34" s="693" customFormat="1" x14ac:dyDescent="0.3">
      <c r="A4310" s="862">
        <v>204390</v>
      </c>
      <c r="B4310" s="863">
        <v>23.7</v>
      </c>
      <c r="C4310" s="863">
        <v>13.5</v>
      </c>
      <c r="D4310" s="647">
        <v>8.7799999999999994</v>
      </c>
      <c r="E4310" s="647">
        <v>0.16900000000000001</v>
      </c>
      <c r="F4310" s="864">
        <v>185.90000000000003</v>
      </c>
      <c r="G4310" s="862"/>
      <c r="H4310" s="864">
        <v>30.25</v>
      </c>
      <c r="I4310" s="864">
        <v>825</v>
      </c>
      <c r="J4310" s="906">
        <v>0.04</v>
      </c>
      <c r="K4310" s="863">
        <v>11.45</v>
      </c>
      <c r="L4310" s="862">
        <v>780</v>
      </c>
      <c r="M4310" s="906">
        <v>0.24</v>
      </c>
      <c r="N4310" s="862">
        <v>0.38</v>
      </c>
      <c r="O4310" s="862">
        <v>5.0999999999999996</v>
      </c>
      <c r="P4310" s="862">
        <v>1.22</v>
      </c>
      <c r="Q4310" s="862"/>
      <c r="R4310" s="647">
        <v>1.1037589740165568</v>
      </c>
      <c r="S4310" s="863">
        <v>7.6</v>
      </c>
      <c r="T4310" s="863"/>
      <c r="U4310" s="862"/>
      <c r="V4310" s="862"/>
      <c r="W4310" s="862"/>
      <c r="X4310" s="862"/>
      <c r="Y4310" s="1817">
        <v>26.5</v>
      </c>
      <c r="Z4310" s="862"/>
      <c r="AA4310" s="647">
        <v>4.12</v>
      </c>
      <c r="AB4310" s="647">
        <v>0.317</v>
      </c>
      <c r="AC4310" s="862">
        <v>7.8</v>
      </c>
      <c r="AD4310" s="867">
        <v>530</v>
      </c>
      <c r="AE4310" s="867">
        <v>260</v>
      </c>
      <c r="AF4310" s="867">
        <v>210</v>
      </c>
      <c r="AG4310" s="66">
        <f t="shared" si="159"/>
        <v>152.95471698113209</v>
      </c>
      <c r="AH4310" s="143">
        <f t="shared" si="160"/>
        <v>1000</v>
      </c>
    </row>
    <row r="4311" spans="1:34" s="693" customFormat="1" x14ac:dyDescent="0.3">
      <c r="A4311" s="862">
        <v>204391</v>
      </c>
      <c r="B4311" s="863">
        <v>23</v>
      </c>
      <c r="C4311" s="863">
        <v>14.625000000000002</v>
      </c>
      <c r="D4311" s="647">
        <v>8.7100000000000009</v>
      </c>
      <c r="E4311" s="647">
        <v>0.23599999999999999</v>
      </c>
      <c r="F4311" s="864">
        <v>259.60000000000002</v>
      </c>
      <c r="G4311" s="862"/>
      <c r="H4311" s="864">
        <v>33.840000000000003</v>
      </c>
      <c r="I4311" s="864">
        <v>845</v>
      </c>
      <c r="J4311" s="906">
        <v>6.0999999999999999E-2</v>
      </c>
      <c r="K4311" s="863">
        <v>11.66</v>
      </c>
      <c r="L4311" s="862">
        <v>970</v>
      </c>
      <c r="M4311" s="906">
        <v>0.3</v>
      </c>
      <c r="N4311" s="862">
        <v>0.4</v>
      </c>
      <c r="O4311" s="862">
        <v>5.76</v>
      </c>
      <c r="P4311" s="862">
        <v>1.22</v>
      </c>
      <c r="Q4311" s="862"/>
      <c r="R4311" s="647">
        <v>1.1436217471662342</v>
      </c>
      <c r="S4311" s="863">
        <v>7.5</v>
      </c>
      <c r="T4311" s="863"/>
      <c r="U4311" s="862"/>
      <c r="V4311" s="862"/>
      <c r="W4311" s="862"/>
      <c r="X4311" s="862"/>
      <c r="Y4311" s="1817">
        <v>26</v>
      </c>
      <c r="Z4311" s="862"/>
      <c r="AA4311" s="647">
        <v>4.3</v>
      </c>
      <c r="AB4311" s="647">
        <v>0.57199999999999995</v>
      </c>
      <c r="AC4311" s="862">
        <v>6.6</v>
      </c>
      <c r="AD4311" s="867">
        <v>520</v>
      </c>
      <c r="AE4311" s="867">
        <v>250</v>
      </c>
      <c r="AF4311" s="867">
        <v>230</v>
      </c>
      <c r="AG4311" s="66">
        <f t="shared" si="159"/>
        <v>158.75538461538463</v>
      </c>
      <c r="AH4311" s="143">
        <f t="shared" si="160"/>
        <v>1000</v>
      </c>
    </row>
    <row r="4312" spans="1:34" x14ac:dyDescent="0.3">
      <c r="A4312" s="862">
        <v>204392</v>
      </c>
      <c r="B4312" s="863">
        <v>63.3</v>
      </c>
      <c r="C4312" s="863">
        <v>11.250000000000002</v>
      </c>
      <c r="D4312" s="647">
        <v>8.75</v>
      </c>
      <c r="E4312" s="647">
        <v>0.2</v>
      </c>
      <c r="F4312" s="864">
        <v>220.00000000000003</v>
      </c>
      <c r="G4312" s="862"/>
      <c r="H4312" s="864">
        <v>154.66</v>
      </c>
      <c r="I4312" s="864">
        <v>1591</v>
      </c>
      <c r="J4312" s="906">
        <v>0.13200000000000001</v>
      </c>
      <c r="K4312" s="863">
        <v>13.54</v>
      </c>
      <c r="L4312" s="862">
        <v>2610</v>
      </c>
      <c r="M4312" s="906">
        <v>0.47</v>
      </c>
      <c r="N4312" s="862">
        <v>0.56000000000000005</v>
      </c>
      <c r="O4312" s="862">
        <v>7.95</v>
      </c>
      <c r="P4312" s="862">
        <v>2.2400000000000002</v>
      </c>
      <c r="Q4312" s="862"/>
      <c r="R4312" s="647">
        <v>1.6331120000000001</v>
      </c>
      <c r="S4312" s="863">
        <v>11.799999999999999</v>
      </c>
      <c r="T4312" s="863"/>
      <c r="U4312" s="862"/>
      <c r="V4312" s="862"/>
      <c r="W4312" s="862"/>
      <c r="X4312" s="862"/>
      <c r="Y4312" s="1817">
        <v>37.799999999999997</v>
      </c>
      <c r="Z4312" s="862"/>
      <c r="AA4312" s="647">
        <v>4.67</v>
      </c>
      <c r="AB4312" s="647">
        <v>0.77400000000000002</v>
      </c>
      <c r="AC4312" s="862">
        <v>7.3</v>
      </c>
      <c r="AD4312" s="867">
        <v>540</v>
      </c>
      <c r="AE4312" s="867">
        <v>260</v>
      </c>
      <c r="AF4312" s="867">
        <v>200</v>
      </c>
      <c r="AG4312" s="66">
        <f t="shared" si="159"/>
        <v>126.80317460317461</v>
      </c>
      <c r="AH4312" s="143">
        <f t="shared" si="160"/>
        <v>1000</v>
      </c>
    </row>
    <row r="4313" spans="1:34" x14ac:dyDescent="0.3">
      <c r="A4313" s="818">
        <v>204393</v>
      </c>
      <c r="B4313" s="819">
        <v>1.4833333333333334</v>
      </c>
      <c r="C4313" s="819"/>
      <c r="D4313" s="820">
        <v>8.0500000000000007</v>
      </c>
      <c r="E4313" s="820">
        <v>1.02</v>
      </c>
      <c r="F4313" s="821">
        <v>1122</v>
      </c>
      <c r="G4313" s="818"/>
      <c r="H4313" s="821">
        <v>245.62</v>
      </c>
      <c r="I4313" s="1061">
        <v>550</v>
      </c>
      <c r="J4313" s="1061">
        <v>1.778</v>
      </c>
      <c r="K4313" s="1061">
        <v>7.66</v>
      </c>
      <c r="L4313" s="1061">
        <v>3130</v>
      </c>
      <c r="M4313" s="1061">
        <v>3.51</v>
      </c>
      <c r="N4313" s="1061">
        <v>1.74</v>
      </c>
      <c r="O4313" s="1061">
        <v>18.350000000000001</v>
      </c>
      <c r="P4313" s="1061">
        <v>6.15</v>
      </c>
      <c r="Q4313" s="818"/>
      <c r="R4313" s="1857">
        <v>1.790297</v>
      </c>
      <c r="S4313" s="819">
        <v>16.299999999999997</v>
      </c>
      <c r="T4313" s="819"/>
      <c r="U4313" s="818"/>
      <c r="V4313" s="818"/>
      <c r="W4313" s="818"/>
      <c r="X4313" s="818"/>
      <c r="Y4313" s="1342">
        <v>33.6</v>
      </c>
      <c r="Z4313" s="818"/>
      <c r="AA4313" s="820"/>
      <c r="AB4313" s="820"/>
      <c r="AC4313" s="818">
        <v>9.6</v>
      </c>
      <c r="AD4313" s="824">
        <v>480</v>
      </c>
      <c r="AE4313" s="824">
        <v>380</v>
      </c>
      <c r="AF4313" s="824">
        <v>140</v>
      </c>
      <c r="AG4313" s="66">
        <f t="shared" si="159"/>
        <v>80.703571428571436</v>
      </c>
      <c r="AH4313" s="143">
        <f t="shared" si="160"/>
        <v>1000</v>
      </c>
    </row>
    <row r="4314" spans="1:34" x14ac:dyDescent="0.3">
      <c r="A4314" s="818">
        <v>204394</v>
      </c>
      <c r="B4314" s="819">
        <v>36.166666666666664</v>
      </c>
      <c r="C4314" s="819">
        <v>7.1249999999999991</v>
      </c>
      <c r="D4314" s="820">
        <v>8</v>
      </c>
      <c r="E4314" s="1571">
        <v>0.61199999999999999</v>
      </c>
      <c r="F4314" s="821">
        <v>673.2</v>
      </c>
      <c r="G4314" s="818"/>
      <c r="H4314" s="821">
        <v>297.87</v>
      </c>
      <c r="I4314" s="1061">
        <v>150</v>
      </c>
      <c r="J4314" s="1061">
        <v>0.25</v>
      </c>
      <c r="K4314" s="1061">
        <v>6.43</v>
      </c>
      <c r="L4314" s="1061">
        <v>660</v>
      </c>
      <c r="M4314" s="1061">
        <v>14.3</v>
      </c>
      <c r="N4314" s="1061">
        <v>6.17</v>
      </c>
      <c r="O4314" s="1061">
        <v>6.07</v>
      </c>
      <c r="P4314" s="1061">
        <v>4.38</v>
      </c>
      <c r="Q4314" s="818"/>
      <c r="R4314" s="1857">
        <v>1.6557080000000002</v>
      </c>
      <c r="S4314" s="819">
        <v>12.4</v>
      </c>
      <c r="T4314" s="818"/>
      <c r="U4314" s="818"/>
      <c r="V4314" s="818"/>
      <c r="W4314" s="818"/>
      <c r="X4314" s="818"/>
      <c r="Y4314" s="1342">
        <v>3</v>
      </c>
      <c r="Z4314" s="818"/>
      <c r="AA4314" s="820"/>
      <c r="AB4314" s="820"/>
      <c r="AC4314" s="818">
        <v>9.4</v>
      </c>
      <c r="AD4314" s="824">
        <v>60</v>
      </c>
      <c r="AE4314" s="824">
        <v>60</v>
      </c>
      <c r="AF4314" s="824">
        <v>880</v>
      </c>
      <c r="AG4314" s="66">
        <f t="shared" si="159"/>
        <v>758.7399999999999</v>
      </c>
      <c r="AH4314" s="143">
        <f t="shared" si="160"/>
        <v>1000</v>
      </c>
    </row>
    <row r="4315" spans="1:34" x14ac:dyDescent="0.3">
      <c r="A4315" s="818">
        <v>204395</v>
      </c>
      <c r="B4315" s="819">
        <v>16.666666666666664</v>
      </c>
      <c r="C4315" s="819">
        <v>8.125</v>
      </c>
      <c r="D4315" s="820">
        <v>8.69</v>
      </c>
      <c r="E4315" s="1571">
        <v>0.161</v>
      </c>
      <c r="F4315" s="821">
        <v>177.1</v>
      </c>
      <c r="G4315" s="818"/>
      <c r="H4315" s="821">
        <v>2.54</v>
      </c>
      <c r="I4315" s="1061">
        <v>420</v>
      </c>
      <c r="J4315" s="1061">
        <v>9.6000000000000002E-2</v>
      </c>
      <c r="K4315" s="1061">
        <v>10.11</v>
      </c>
      <c r="L4315" s="1061">
        <v>1110</v>
      </c>
      <c r="M4315" s="1061">
        <v>0.34</v>
      </c>
      <c r="N4315" s="1061">
        <v>0.41</v>
      </c>
      <c r="O4315" s="1061">
        <v>5.14</v>
      </c>
      <c r="P4315" s="1061">
        <v>1.91</v>
      </c>
      <c r="Q4315" s="818"/>
      <c r="R4315" s="1857">
        <v>0.71039775760936963</v>
      </c>
      <c r="S4315" s="819">
        <v>4.6999999999999993</v>
      </c>
      <c r="T4315" s="818"/>
      <c r="U4315" s="818"/>
      <c r="V4315" s="818"/>
      <c r="W4315" s="818"/>
      <c r="X4315" s="818"/>
      <c r="Y4315" s="1342">
        <v>30</v>
      </c>
      <c r="Z4315" s="818"/>
      <c r="AA4315" s="820">
        <v>4.6100000000000003</v>
      </c>
      <c r="AB4315" s="820">
        <v>0.38</v>
      </c>
      <c r="AC4315" s="818">
        <v>6.5</v>
      </c>
      <c r="AD4315" s="824">
        <v>500</v>
      </c>
      <c r="AE4315" s="824">
        <v>350</v>
      </c>
      <c r="AF4315" s="824">
        <v>150</v>
      </c>
      <c r="AG4315" s="66">
        <f t="shared" si="159"/>
        <v>119.298</v>
      </c>
      <c r="AH4315" s="143">
        <f t="shared" si="160"/>
        <v>1000</v>
      </c>
    </row>
    <row r="4316" spans="1:34" x14ac:dyDescent="0.3">
      <c r="A4316" s="818">
        <v>204396</v>
      </c>
      <c r="B4316" s="819">
        <v>12.583333333333332</v>
      </c>
      <c r="C4316" s="819">
        <v>6.375</v>
      </c>
      <c r="D4316" s="820">
        <v>8.7200000000000006</v>
      </c>
      <c r="E4316" s="1571">
        <v>0.17899999999999999</v>
      </c>
      <c r="F4316" s="821">
        <v>196.9</v>
      </c>
      <c r="G4316" s="818"/>
      <c r="H4316" s="821">
        <v>5.99</v>
      </c>
      <c r="I4316" s="1061">
        <v>1110</v>
      </c>
      <c r="J4316" s="1061">
        <v>0.16700000000000001</v>
      </c>
      <c r="K4316" s="1061">
        <v>10.91</v>
      </c>
      <c r="L4316" s="1061">
        <v>930</v>
      </c>
      <c r="M4316" s="1061">
        <v>0.57999999999999996</v>
      </c>
      <c r="N4316" s="1061">
        <v>0.77</v>
      </c>
      <c r="O4316" s="1061">
        <v>4.76</v>
      </c>
      <c r="P4316" s="1061">
        <v>2.13</v>
      </c>
      <c r="Q4316" s="818"/>
      <c r="R4316" s="1857">
        <v>0.73187133853418185</v>
      </c>
      <c r="S4316" s="819">
        <v>5.0999999999999996</v>
      </c>
      <c r="T4316" s="818"/>
      <c r="U4316" s="818"/>
      <c r="V4316" s="818"/>
      <c r="W4316" s="818"/>
      <c r="X4316" s="818"/>
      <c r="Y4316" s="1342">
        <v>37.799999999999997</v>
      </c>
      <c r="Z4316" s="818"/>
      <c r="AA4316" s="820">
        <v>4.32</v>
      </c>
      <c r="AB4316" s="820">
        <v>0.34899999999999998</v>
      </c>
      <c r="AC4316" s="818">
        <v>8.3000000000000007</v>
      </c>
      <c r="AD4316" s="824">
        <v>540</v>
      </c>
      <c r="AE4316" s="824">
        <v>320</v>
      </c>
      <c r="AF4316" s="824">
        <v>140</v>
      </c>
      <c r="AG4316" s="66">
        <f t="shared" si="159"/>
        <v>102.17301587301588</v>
      </c>
      <c r="AH4316" s="143">
        <f t="shared" si="160"/>
        <v>1000</v>
      </c>
    </row>
    <row r="4317" spans="1:34" x14ac:dyDescent="0.3">
      <c r="A4317" s="818">
        <v>204397</v>
      </c>
      <c r="B4317" s="819">
        <v>6.4166666666666661</v>
      </c>
      <c r="C4317" s="819"/>
      <c r="D4317" s="820">
        <v>8.4700000000000006</v>
      </c>
      <c r="E4317" s="1571">
        <v>0.23300000000000001</v>
      </c>
      <c r="F4317" s="821">
        <v>256.3</v>
      </c>
      <c r="G4317" s="818"/>
      <c r="H4317" s="821">
        <v>384.59</v>
      </c>
      <c r="I4317" s="1061">
        <v>620</v>
      </c>
      <c r="J4317" s="1061">
        <v>4.5999999999999999E-2</v>
      </c>
      <c r="K4317" s="1061">
        <v>5.42</v>
      </c>
      <c r="L4317" s="1061">
        <v>1880</v>
      </c>
      <c r="M4317" s="1061">
        <v>2.9</v>
      </c>
      <c r="N4317" s="1061">
        <v>1.08</v>
      </c>
      <c r="O4317" s="1061">
        <v>6.13</v>
      </c>
      <c r="P4317" s="1061">
        <v>4.41</v>
      </c>
      <c r="Q4317" s="818"/>
      <c r="R4317" s="1857">
        <v>1.9292120000000001</v>
      </c>
      <c r="S4317" s="819">
        <v>21.200000000000003</v>
      </c>
      <c r="T4317" s="818"/>
      <c r="U4317" s="818"/>
      <c r="V4317" s="818"/>
      <c r="W4317" s="818"/>
      <c r="X4317" s="818"/>
      <c r="Y4317" s="1342">
        <v>25</v>
      </c>
      <c r="Z4317" s="818"/>
      <c r="AA4317" s="820">
        <v>3.9</v>
      </c>
      <c r="AB4317" s="820">
        <v>0.79100000000000004</v>
      </c>
      <c r="AC4317" s="818">
        <v>7.6</v>
      </c>
      <c r="AD4317" s="824">
        <v>500</v>
      </c>
      <c r="AE4317" s="824">
        <v>360</v>
      </c>
      <c r="AF4317" s="824">
        <v>140</v>
      </c>
      <c r="AG4317" s="66">
        <f t="shared" si="159"/>
        <v>76.747200000000007</v>
      </c>
      <c r="AH4317" s="143">
        <f t="shared" si="160"/>
        <v>1000</v>
      </c>
    </row>
    <row r="4318" spans="1:34" x14ac:dyDescent="0.3">
      <c r="A4318" s="818">
        <v>204398</v>
      </c>
      <c r="B4318" s="819">
        <v>4.1666666666666661</v>
      </c>
      <c r="C4318" s="819"/>
      <c r="D4318" s="820">
        <v>8.48</v>
      </c>
      <c r="E4318" s="1571">
        <v>0.315</v>
      </c>
      <c r="F4318" s="821">
        <v>346.50000000000006</v>
      </c>
      <c r="G4318" s="818"/>
      <c r="H4318" s="821">
        <v>111.66</v>
      </c>
      <c r="I4318" s="1061">
        <v>670</v>
      </c>
      <c r="J4318" s="1061">
        <v>0.127</v>
      </c>
      <c r="K4318" s="1061">
        <v>7.96</v>
      </c>
      <c r="L4318" s="1061">
        <v>1400</v>
      </c>
      <c r="M4318" s="1061">
        <v>2.56</v>
      </c>
      <c r="N4318" s="1061">
        <v>0.67</v>
      </c>
      <c r="O4318" s="1061">
        <v>4.26</v>
      </c>
      <c r="P4318" s="1061">
        <v>3.91</v>
      </c>
      <c r="Q4318" s="818"/>
      <c r="R4318" s="1857">
        <v>1.6922480000000002</v>
      </c>
      <c r="S4318" s="819">
        <v>13.4</v>
      </c>
      <c r="T4318" s="818"/>
      <c r="U4318" s="818"/>
      <c r="V4318" s="818"/>
      <c r="W4318" s="818"/>
      <c r="X4318" s="818"/>
      <c r="Y4318" s="1342">
        <v>25</v>
      </c>
      <c r="Z4318" s="818"/>
      <c r="AA4318" s="820">
        <v>3.96</v>
      </c>
      <c r="AB4318" s="820">
        <v>0.63800000000000001</v>
      </c>
      <c r="AC4318" s="818">
        <v>7.6</v>
      </c>
      <c r="AD4318" s="824">
        <v>500</v>
      </c>
      <c r="AE4318" s="824">
        <v>370</v>
      </c>
      <c r="AF4318" s="824">
        <v>130</v>
      </c>
      <c r="AG4318" s="66">
        <f t="shared" si="159"/>
        <v>112.7136</v>
      </c>
      <c r="AH4318" s="143">
        <f t="shared" si="160"/>
        <v>1000</v>
      </c>
    </row>
    <row r="4319" spans="1:34" x14ac:dyDescent="0.3">
      <c r="A4319" s="818">
        <v>204399</v>
      </c>
      <c r="B4319" s="819">
        <v>6.666666666666667</v>
      </c>
      <c r="C4319" s="819"/>
      <c r="D4319" s="820">
        <v>8.16</v>
      </c>
      <c r="E4319" s="1571">
        <v>1.532</v>
      </c>
      <c r="F4319" s="821">
        <v>1685.2000000000003</v>
      </c>
      <c r="G4319" s="818"/>
      <c r="H4319" s="821">
        <v>125.33</v>
      </c>
      <c r="I4319" s="1061">
        <v>1190</v>
      </c>
      <c r="J4319" s="1061">
        <v>0.39900000000000002</v>
      </c>
      <c r="K4319" s="1061">
        <v>10.52</v>
      </c>
      <c r="L4319" s="1061">
        <v>1770</v>
      </c>
      <c r="M4319" s="1061">
        <v>3.13</v>
      </c>
      <c r="N4319" s="1061">
        <v>0.86</v>
      </c>
      <c r="O4319" s="1061">
        <v>7.29</v>
      </c>
      <c r="P4319" s="1061">
        <v>4.1500000000000004</v>
      </c>
      <c r="Q4319" s="818"/>
      <c r="R4319" s="1857">
        <v>1.7839130000000001</v>
      </c>
      <c r="S4319" s="819">
        <v>16.100000000000001</v>
      </c>
      <c r="T4319" s="818"/>
      <c r="U4319" s="818"/>
      <c r="V4319" s="818"/>
      <c r="W4319" s="818"/>
      <c r="X4319" s="818"/>
      <c r="Y4319" s="1342">
        <v>24</v>
      </c>
      <c r="Z4319" s="818"/>
      <c r="AA4319" s="820">
        <v>4.3</v>
      </c>
      <c r="AB4319" s="820">
        <v>0.34699999999999998</v>
      </c>
      <c r="AC4319" s="818">
        <v>10.199999999999999</v>
      </c>
      <c r="AD4319" s="824">
        <v>480</v>
      </c>
      <c r="AE4319" s="824">
        <v>270</v>
      </c>
      <c r="AF4319" s="824">
        <v>250</v>
      </c>
      <c r="AG4319" s="66">
        <f t="shared" si="159"/>
        <v>155.16999999999999</v>
      </c>
      <c r="AH4319" s="143">
        <f t="shared" si="160"/>
        <v>1000</v>
      </c>
    </row>
    <row r="4320" spans="1:34" x14ac:dyDescent="0.3">
      <c r="A4320" s="818">
        <v>204400</v>
      </c>
      <c r="B4320" s="819">
        <v>10.333333333333334</v>
      </c>
      <c r="C4320" s="819">
        <v>7.8749999999999982</v>
      </c>
      <c r="D4320" s="820">
        <v>8.5299999999999994</v>
      </c>
      <c r="E4320" s="1571">
        <v>0.372</v>
      </c>
      <c r="F4320" s="821">
        <v>409.2</v>
      </c>
      <c r="G4320" s="818"/>
      <c r="H4320" s="821">
        <v>86.48</v>
      </c>
      <c r="I4320" s="1061">
        <v>720</v>
      </c>
      <c r="J4320" s="1061">
        <v>0.14799999999999999</v>
      </c>
      <c r="K4320" s="1061">
        <v>9.98</v>
      </c>
      <c r="L4320" s="1061">
        <v>1550</v>
      </c>
      <c r="M4320" s="1061">
        <v>1.53</v>
      </c>
      <c r="N4320" s="1061">
        <v>1.38</v>
      </c>
      <c r="O4320" s="1061">
        <v>3.26</v>
      </c>
      <c r="P4320" s="1061">
        <v>6.6</v>
      </c>
      <c r="Q4320" s="818"/>
      <c r="R4320" s="1857">
        <v>1.8060120000000002</v>
      </c>
      <c r="S4320" s="819">
        <v>16.8</v>
      </c>
      <c r="T4320" s="818"/>
      <c r="U4320" s="818"/>
      <c r="V4320" s="818"/>
      <c r="W4320" s="818"/>
      <c r="X4320" s="818"/>
      <c r="Y4320" s="1342">
        <v>38.5</v>
      </c>
      <c r="Z4320" s="818"/>
      <c r="AA4320" s="820">
        <v>4.5999999999999996</v>
      </c>
      <c r="AB4320" s="820">
        <v>0.68500000000000005</v>
      </c>
      <c r="AC4320" s="818">
        <v>10</v>
      </c>
      <c r="AD4320" s="824">
        <v>550</v>
      </c>
      <c r="AE4320" s="824">
        <v>350</v>
      </c>
      <c r="AF4320" s="824">
        <v>100</v>
      </c>
      <c r="AG4320" s="66">
        <f t="shared" si="159"/>
        <v>91.764155844155852</v>
      </c>
      <c r="AH4320" s="143">
        <f t="shared" si="160"/>
        <v>1000</v>
      </c>
    </row>
    <row r="4321" spans="1:34" x14ac:dyDescent="0.3">
      <c r="A4321" s="818">
        <v>204401</v>
      </c>
      <c r="B4321" s="819">
        <v>10</v>
      </c>
      <c r="C4321" s="819">
        <v>7.8749999999999982</v>
      </c>
      <c r="D4321" s="820">
        <v>8.27</v>
      </c>
      <c r="E4321" s="1571">
        <v>0.35499999999999998</v>
      </c>
      <c r="F4321" s="821">
        <v>390.5</v>
      </c>
      <c r="G4321" s="818"/>
      <c r="H4321" s="821">
        <v>332.76</v>
      </c>
      <c r="I4321" s="1061">
        <v>1070</v>
      </c>
      <c r="J4321" s="1061">
        <v>0.16300000000000001</v>
      </c>
      <c r="K4321" s="1061">
        <v>10.35</v>
      </c>
      <c r="L4321" s="1061">
        <v>1790</v>
      </c>
      <c r="M4321" s="1061">
        <v>4.53</v>
      </c>
      <c r="N4321" s="1061">
        <v>1.56</v>
      </c>
      <c r="O4321" s="1061">
        <v>7.21</v>
      </c>
      <c r="P4321" s="1061">
        <v>13.45</v>
      </c>
      <c r="Q4321" s="818"/>
      <c r="R4321" s="1857">
        <v>2.0253079999999999</v>
      </c>
      <c r="S4321" s="819">
        <v>25.6</v>
      </c>
      <c r="T4321" s="818"/>
      <c r="U4321" s="818"/>
      <c r="V4321" s="818"/>
      <c r="W4321" s="818"/>
      <c r="X4321" s="818"/>
      <c r="Y4321" s="1342">
        <v>35</v>
      </c>
      <c r="Z4321" s="818"/>
      <c r="AA4321" s="820">
        <v>4.47</v>
      </c>
      <c r="AB4321" s="820">
        <v>0.61899999999999999</v>
      </c>
      <c r="AC4321" s="818">
        <v>8.1</v>
      </c>
      <c r="AD4321" s="824">
        <v>500</v>
      </c>
      <c r="AE4321" s="824">
        <v>370</v>
      </c>
      <c r="AF4321" s="824">
        <v>130</v>
      </c>
      <c r="AG4321" s="66">
        <f t="shared" si="159"/>
        <v>104.68285714285713</v>
      </c>
      <c r="AH4321" s="143">
        <f t="shared" si="160"/>
        <v>1000</v>
      </c>
    </row>
    <row r="4322" spans="1:34" s="1150" customFormat="1" x14ac:dyDescent="0.3">
      <c r="A4322" s="1150">
        <v>204402</v>
      </c>
      <c r="B4322" s="1151">
        <v>0.41666666666666669</v>
      </c>
      <c r="C4322" s="1151"/>
      <c r="D4322" s="1152">
        <v>7.42</v>
      </c>
      <c r="E4322" s="1581">
        <v>0.16900000000000001</v>
      </c>
      <c r="F4322" s="1153">
        <v>185.90000000000003</v>
      </c>
      <c r="H4322" s="1153">
        <v>54.87</v>
      </c>
      <c r="I4322" s="1153">
        <v>250</v>
      </c>
      <c r="J4322" s="1154">
        <v>6.7000000000000004E-2</v>
      </c>
      <c r="K4322" s="1151">
        <v>5.83</v>
      </c>
      <c r="L4322" s="1150">
        <v>760</v>
      </c>
      <c r="M4322" s="1150">
        <v>0.36</v>
      </c>
      <c r="N4322" s="1150">
        <v>0.7</v>
      </c>
      <c r="O4322" s="1150">
        <v>18.149999999999999</v>
      </c>
      <c r="P4322" s="1150">
        <v>22.33</v>
      </c>
      <c r="R4322" s="1152">
        <v>1.7410520000000003</v>
      </c>
      <c r="S4322" s="1151">
        <v>14.8</v>
      </c>
      <c r="Y4322" s="1728">
        <v>26</v>
      </c>
      <c r="AA4322" s="1152">
        <v>4.01</v>
      </c>
      <c r="AB4322" s="1152">
        <v>0.78900000000000003</v>
      </c>
      <c r="AC4322" s="1150">
        <v>10.9</v>
      </c>
      <c r="AD4322" s="1155">
        <v>520</v>
      </c>
      <c r="AE4322" s="1155">
        <v>160</v>
      </c>
      <c r="AF4322" s="1155">
        <v>320</v>
      </c>
      <c r="AG4322" s="66">
        <f t="shared" si="159"/>
        <v>79.377692307692314</v>
      </c>
      <c r="AH4322" s="143">
        <f t="shared" si="160"/>
        <v>1000</v>
      </c>
    </row>
    <row r="4323" spans="1:34" s="1150" customFormat="1" x14ac:dyDescent="0.3">
      <c r="A4323" s="1150">
        <v>204403</v>
      </c>
      <c r="B4323" s="1151">
        <v>0.1</v>
      </c>
      <c r="C4323" s="1151"/>
      <c r="D4323" s="1152">
        <v>5.93</v>
      </c>
      <c r="E4323" s="1581">
        <v>7.6999999999999999E-2</v>
      </c>
      <c r="F4323" s="1153">
        <v>84.700000000000017</v>
      </c>
      <c r="H4323" s="1153">
        <v>45.1</v>
      </c>
      <c r="I4323" s="1153">
        <v>190</v>
      </c>
      <c r="J4323" s="1154">
        <v>8.0000000000000002E-3</v>
      </c>
      <c r="K4323" s="1151">
        <v>1.61</v>
      </c>
      <c r="L4323" s="1150">
        <v>270</v>
      </c>
      <c r="M4323" s="1150">
        <v>0.45</v>
      </c>
      <c r="N4323" s="1150">
        <v>1</v>
      </c>
      <c r="O4323" s="1150">
        <v>76.930000000000007</v>
      </c>
      <c r="P4323" s="1150">
        <v>28.69</v>
      </c>
      <c r="R4323" s="1152">
        <v>1.5784280000000002</v>
      </c>
      <c r="S4323" s="1151">
        <v>10.4</v>
      </c>
      <c r="Y4323" s="1728">
        <v>34.299999999999997</v>
      </c>
      <c r="Z4323" s="1150">
        <v>4.96</v>
      </c>
      <c r="AA4323" s="1152">
        <v>4.66</v>
      </c>
      <c r="AB4323" s="1152">
        <v>0.42799999999999999</v>
      </c>
      <c r="AC4323" s="1150">
        <v>10.3</v>
      </c>
      <c r="AD4323" s="1155">
        <v>490</v>
      </c>
      <c r="AE4323" s="1155">
        <v>290</v>
      </c>
      <c r="AF4323" s="1155">
        <v>220</v>
      </c>
      <c r="AG4323" s="66">
        <f t="shared" si="159"/>
        <v>16.616326530612248</v>
      </c>
      <c r="AH4323" s="143">
        <f t="shared" si="160"/>
        <v>1000</v>
      </c>
    </row>
    <row r="4324" spans="1:34" s="1150" customFormat="1" x14ac:dyDescent="0.3">
      <c r="A4324" s="1150">
        <v>204404</v>
      </c>
      <c r="B4324" s="1151">
        <v>0.83333333333333337</v>
      </c>
      <c r="C4324" s="1151"/>
      <c r="D4324" s="1152">
        <v>7.67</v>
      </c>
      <c r="E4324" s="1581">
        <v>0.182</v>
      </c>
      <c r="F4324" s="1153">
        <v>200.20000000000002</v>
      </c>
      <c r="H4324" s="1153">
        <v>40.950000000000003</v>
      </c>
      <c r="I4324" s="1153">
        <v>250</v>
      </c>
      <c r="J4324" s="1154">
        <v>8.5000000000000006E-2</v>
      </c>
      <c r="K4324" s="1151">
        <v>6.68</v>
      </c>
      <c r="L4324" s="1150">
        <v>860</v>
      </c>
      <c r="M4324" s="1150">
        <v>0.34</v>
      </c>
      <c r="N4324" s="1150">
        <v>0.7</v>
      </c>
      <c r="O4324" s="1150">
        <v>16.62</v>
      </c>
      <c r="P4324" s="1150">
        <v>22.4</v>
      </c>
      <c r="R4324" s="1152">
        <v>1.7135000000000002</v>
      </c>
      <c r="S4324" s="1151">
        <v>14</v>
      </c>
      <c r="Y4324" s="1728">
        <v>25.5</v>
      </c>
      <c r="AA4324" s="1152">
        <v>4.0999999999999996</v>
      </c>
      <c r="AB4324" s="1152">
        <v>0.59099999999999997</v>
      </c>
      <c r="AC4324" s="1150">
        <v>9.1999999999999993</v>
      </c>
      <c r="AD4324" s="1155">
        <v>510</v>
      </c>
      <c r="AE4324" s="1155">
        <v>160</v>
      </c>
      <c r="AF4324" s="1155">
        <v>330</v>
      </c>
      <c r="AG4324" s="66">
        <f t="shared" si="159"/>
        <v>92.73411764705881</v>
      </c>
      <c r="AH4324" s="143">
        <f t="shared" si="160"/>
        <v>1000</v>
      </c>
    </row>
    <row r="4325" spans="1:34" s="1150" customFormat="1" x14ac:dyDescent="0.3">
      <c r="A4325" s="1150">
        <v>204405</v>
      </c>
      <c r="B4325" s="1151">
        <v>0.1</v>
      </c>
      <c r="C4325" s="1151"/>
      <c r="D4325" s="1152">
        <v>6.45</v>
      </c>
      <c r="E4325" s="1581">
        <v>5.7000000000000002E-2</v>
      </c>
      <c r="F4325" s="1153">
        <v>62.7</v>
      </c>
      <c r="H4325" s="1153">
        <v>31.8</v>
      </c>
      <c r="I4325" s="1153">
        <v>190</v>
      </c>
      <c r="J4325" s="1154">
        <v>2.5000000000000001E-2</v>
      </c>
      <c r="K4325" s="1151">
        <v>2.59</v>
      </c>
      <c r="L4325" s="1150">
        <v>380</v>
      </c>
      <c r="M4325" s="1150">
        <v>0.33</v>
      </c>
      <c r="N4325" s="1150">
        <v>0.99</v>
      </c>
      <c r="O4325" s="1150">
        <v>43.16</v>
      </c>
      <c r="P4325" s="1150">
        <v>23.28</v>
      </c>
      <c r="R4325" s="1152">
        <v>1.5943320000000001</v>
      </c>
      <c r="S4325" s="1151">
        <v>10.8</v>
      </c>
      <c r="Y4325" s="1728">
        <v>35.700000000000003</v>
      </c>
      <c r="Z4325" s="1150">
        <v>5.81</v>
      </c>
      <c r="AA4325" s="1152">
        <v>5</v>
      </c>
      <c r="AB4325" s="1152">
        <v>0.65700000000000003</v>
      </c>
      <c r="AC4325" s="1150">
        <v>7.8</v>
      </c>
      <c r="AD4325" s="1155">
        <v>510</v>
      </c>
      <c r="AE4325" s="1155">
        <v>240</v>
      </c>
      <c r="AF4325" s="1155">
        <v>250</v>
      </c>
      <c r="AG4325" s="66">
        <f t="shared" si="159"/>
        <v>25.682352941176468</v>
      </c>
      <c r="AH4325" s="143">
        <f t="shared" si="160"/>
        <v>1000</v>
      </c>
    </row>
    <row r="4326" spans="1:34" s="898" customFormat="1" x14ac:dyDescent="0.3">
      <c r="A4326" s="898">
        <v>204406</v>
      </c>
      <c r="B4326" s="899">
        <v>5</v>
      </c>
      <c r="C4326" s="899"/>
      <c r="D4326" s="884">
        <v>8.5299999999999994</v>
      </c>
      <c r="E4326" s="1576">
        <v>0.57199999999999995</v>
      </c>
      <c r="F4326" s="1717">
        <v>629.19999999999993</v>
      </c>
      <c r="H4326" s="1717">
        <v>21.13</v>
      </c>
      <c r="I4326" s="1717">
        <v>330</v>
      </c>
      <c r="J4326" s="1718">
        <v>0.53500000000000003</v>
      </c>
      <c r="K4326" s="899">
        <v>8.58</v>
      </c>
      <c r="L4326" s="898">
        <v>628</v>
      </c>
      <c r="M4326" s="898">
        <v>0.8</v>
      </c>
      <c r="N4326" s="898">
        <v>1.43</v>
      </c>
      <c r="O4326" s="898">
        <v>14.33</v>
      </c>
      <c r="P4326" s="898">
        <v>5.83</v>
      </c>
      <c r="R4326" s="884">
        <v>1.5844182499999999</v>
      </c>
      <c r="S4326" s="899">
        <v>10.549999999999999</v>
      </c>
      <c r="Y4326" s="1719">
        <v>31.5</v>
      </c>
      <c r="AA4326" s="899">
        <v>3.95</v>
      </c>
      <c r="AB4326" s="899">
        <v>0.66700000000000004</v>
      </c>
      <c r="AC4326" s="899">
        <v>11.3</v>
      </c>
      <c r="AD4326" s="901">
        <v>450</v>
      </c>
      <c r="AE4326" s="901">
        <v>380</v>
      </c>
      <c r="AF4326" s="901">
        <v>170</v>
      </c>
      <c r="AG4326" s="66">
        <f t="shared" si="159"/>
        <v>96.422857142857154</v>
      </c>
      <c r="AH4326" s="143">
        <f t="shared" si="160"/>
        <v>1000</v>
      </c>
    </row>
    <row r="4327" spans="1:34" s="898" customFormat="1" x14ac:dyDescent="0.3">
      <c r="A4327" s="898">
        <v>204407</v>
      </c>
      <c r="B4327" s="899">
        <v>8.5</v>
      </c>
      <c r="C4327" s="899"/>
      <c r="D4327" s="884">
        <v>8.5</v>
      </c>
      <c r="E4327" s="1576">
        <v>1.04</v>
      </c>
      <c r="F4327" s="1717">
        <v>1144.0000000000002</v>
      </c>
      <c r="H4327" s="1717">
        <v>25.79</v>
      </c>
      <c r="I4327" s="1717">
        <v>490</v>
      </c>
      <c r="J4327" s="1718">
        <v>0.88600000000000001</v>
      </c>
      <c r="K4327" s="899">
        <v>9.25</v>
      </c>
      <c r="L4327" s="898">
        <v>789</v>
      </c>
      <c r="M4327" s="898">
        <v>0.71</v>
      </c>
      <c r="N4327" s="898">
        <v>1.32</v>
      </c>
      <c r="O4327" s="898">
        <v>12.09</v>
      </c>
      <c r="P4327" s="898">
        <v>4.3600000000000003</v>
      </c>
      <c r="R4327" s="884">
        <v>1.6623885199999999</v>
      </c>
      <c r="S4327" s="899">
        <v>12.58</v>
      </c>
      <c r="Y4327" s="1719">
        <v>26</v>
      </c>
      <c r="AA4327" s="899">
        <v>3.92</v>
      </c>
      <c r="AB4327" s="899">
        <v>0.31900000000000001</v>
      </c>
      <c r="AC4327" s="899">
        <v>6.3</v>
      </c>
      <c r="AD4327" s="901">
        <v>520</v>
      </c>
      <c r="AE4327" s="901">
        <v>330</v>
      </c>
      <c r="AF4327" s="901">
        <v>150</v>
      </c>
      <c r="AG4327" s="66">
        <f t="shared" si="159"/>
        <v>125.94230769230768</v>
      </c>
      <c r="AH4327" s="143">
        <f t="shared" si="160"/>
        <v>1000</v>
      </c>
    </row>
    <row r="4328" spans="1:34" s="898" customFormat="1" x14ac:dyDescent="0.3">
      <c r="A4328" s="898">
        <v>204408</v>
      </c>
      <c r="B4328" s="899">
        <v>6</v>
      </c>
      <c r="C4328" s="899"/>
      <c r="D4328" s="884">
        <v>8.7100000000000009</v>
      </c>
      <c r="E4328" s="1576">
        <v>0.35899999999999999</v>
      </c>
      <c r="F4328" s="1717">
        <v>394.90000000000003</v>
      </c>
      <c r="H4328" s="1717">
        <v>44.75</v>
      </c>
      <c r="I4328" s="1717">
        <v>390</v>
      </c>
      <c r="J4328" s="1718">
        <v>0.14199999999999999</v>
      </c>
      <c r="K4328" s="899">
        <v>6</v>
      </c>
      <c r="L4328" s="898">
        <v>991</v>
      </c>
      <c r="M4328" s="898">
        <v>0.49</v>
      </c>
      <c r="N4328" s="898">
        <v>0.64</v>
      </c>
      <c r="O4328" s="898">
        <v>9.2100000000000009</v>
      </c>
      <c r="P4328" s="898">
        <v>3.92</v>
      </c>
      <c r="R4328" s="884">
        <v>1.5903770000000002</v>
      </c>
      <c r="S4328" s="899">
        <v>10.700000000000001</v>
      </c>
      <c r="Y4328" s="1719">
        <v>13</v>
      </c>
      <c r="AA4328" s="899">
        <v>4.8499999999999996</v>
      </c>
      <c r="AB4328" s="899">
        <v>0.42899999999999999</v>
      </c>
      <c r="AC4328" s="899">
        <v>8.4</v>
      </c>
      <c r="AD4328" s="901">
        <v>260</v>
      </c>
      <c r="AE4328" s="901">
        <v>140</v>
      </c>
      <c r="AF4328" s="901">
        <v>600</v>
      </c>
      <c r="AG4328" s="66">
        <f t="shared" si="159"/>
        <v>163.38461538461539</v>
      </c>
      <c r="AH4328" s="143">
        <f t="shared" si="160"/>
        <v>1000</v>
      </c>
    </row>
    <row r="4329" spans="1:34" s="898" customFormat="1" x14ac:dyDescent="0.3">
      <c r="A4329" s="898">
        <v>204409</v>
      </c>
      <c r="B4329" s="899">
        <v>20.3</v>
      </c>
      <c r="C4329" s="899">
        <v>9.5000000000000018</v>
      </c>
      <c r="D4329" s="884">
        <v>8.7200000000000006</v>
      </c>
      <c r="E4329" s="1576">
        <v>2.1469999999999998</v>
      </c>
      <c r="F4329" s="1717">
        <v>2361.6999999999998</v>
      </c>
      <c r="H4329" s="1717">
        <v>11.13</v>
      </c>
      <c r="I4329" s="1717">
        <v>290</v>
      </c>
      <c r="J4329" s="1718">
        <v>1.911</v>
      </c>
      <c r="K4329" s="899">
        <v>8.6199999999999992</v>
      </c>
      <c r="L4329" s="898">
        <v>1217</v>
      </c>
      <c r="M4329" s="898">
        <v>0.27</v>
      </c>
      <c r="N4329" s="898">
        <v>0.51</v>
      </c>
      <c r="O4329" s="898">
        <v>2.83</v>
      </c>
      <c r="P4329" s="898">
        <v>2.06</v>
      </c>
      <c r="R4329" s="884">
        <v>0.82440788887760097</v>
      </c>
      <c r="S4329" s="899">
        <v>5.49</v>
      </c>
      <c r="Y4329" s="1719">
        <v>25.2</v>
      </c>
      <c r="AA4329" s="899">
        <v>4.04</v>
      </c>
      <c r="AB4329" s="899">
        <v>0.81200000000000006</v>
      </c>
      <c r="AC4329" s="899">
        <v>9</v>
      </c>
      <c r="AD4329" s="901">
        <v>420</v>
      </c>
      <c r="AE4329" s="901">
        <v>300</v>
      </c>
      <c r="AF4329" s="901">
        <v>280</v>
      </c>
      <c r="AG4329" s="66">
        <f t="shared" si="159"/>
        <v>121.09047619047618</v>
      </c>
      <c r="AH4329" s="143">
        <f t="shared" si="160"/>
        <v>1000</v>
      </c>
    </row>
    <row r="4330" spans="1:34" s="898" customFormat="1" x14ac:dyDescent="0.3">
      <c r="A4330" s="898">
        <v>204410</v>
      </c>
      <c r="B4330" s="899">
        <v>9.1999999999999993</v>
      </c>
      <c r="C4330" s="899"/>
      <c r="D4330" s="884">
        <v>8.48</v>
      </c>
      <c r="E4330" s="1576">
        <v>4.6900000000000004</v>
      </c>
      <c r="F4330" s="1717">
        <v>5159.0000000000009</v>
      </c>
      <c r="H4330" s="1717">
        <v>14.31</v>
      </c>
      <c r="I4330" s="1717">
        <v>330</v>
      </c>
      <c r="J4330" s="1718">
        <v>2.6739999999999999</v>
      </c>
      <c r="K4330" s="899">
        <v>10.4</v>
      </c>
      <c r="L4330" s="898">
        <v>2975</v>
      </c>
      <c r="M4330" s="898">
        <v>0.78</v>
      </c>
      <c r="N4330" s="898">
        <v>0.7</v>
      </c>
      <c r="O4330" s="898">
        <v>2.88</v>
      </c>
      <c r="P4330" s="898">
        <v>3.28</v>
      </c>
      <c r="R4330" s="884">
        <v>1.62967913</v>
      </c>
      <c r="S4330" s="899">
        <v>11.71</v>
      </c>
      <c r="Y4330" s="1719">
        <v>27</v>
      </c>
      <c r="AA4330" s="899">
        <v>4.46</v>
      </c>
      <c r="AB4330" s="899">
        <v>0.36399999999999999</v>
      </c>
      <c r="AC4330" s="899">
        <v>9.8000000000000007</v>
      </c>
      <c r="AD4330" s="901">
        <v>540</v>
      </c>
      <c r="AE4330" s="901">
        <v>300</v>
      </c>
      <c r="AF4330" s="901">
        <v>160</v>
      </c>
      <c r="AG4330" s="66">
        <f t="shared" si="159"/>
        <v>136.35555555555558</v>
      </c>
      <c r="AH4330" s="143">
        <f t="shared" si="160"/>
        <v>1000</v>
      </c>
    </row>
    <row r="4331" spans="1:34" s="898" customFormat="1" x14ac:dyDescent="0.3">
      <c r="A4331" s="898">
        <v>204411</v>
      </c>
      <c r="B4331" s="899">
        <v>8.3000000000000007</v>
      </c>
      <c r="C4331" s="899"/>
      <c r="D4331" s="884">
        <v>8.44</v>
      </c>
      <c r="E4331" s="1576">
        <v>1.21</v>
      </c>
      <c r="F4331" s="1717">
        <v>1331</v>
      </c>
      <c r="H4331" s="1717">
        <v>31.03</v>
      </c>
      <c r="I4331" s="1717">
        <v>1000</v>
      </c>
      <c r="J4331" s="1718">
        <v>0.64400000000000002</v>
      </c>
      <c r="K4331" s="899">
        <v>10.39</v>
      </c>
      <c r="L4331" s="898">
        <v>941</v>
      </c>
      <c r="M4331" s="898">
        <v>0.42</v>
      </c>
      <c r="N4331" s="898">
        <v>1.1100000000000001</v>
      </c>
      <c r="O4331" s="898">
        <v>4.8499999999999996</v>
      </c>
      <c r="P4331" s="898">
        <v>3.54</v>
      </c>
      <c r="R4331" s="884">
        <v>1.3503170160751798</v>
      </c>
      <c r="S4331" s="899">
        <v>9.23</v>
      </c>
      <c r="Y4331" s="1719">
        <v>26.5</v>
      </c>
      <c r="AA4331" s="899">
        <v>3.46</v>
      </c>
      <c r="AB4331" s="899">
        <v>0.60799999999999998</v>
      </c>
      <c r="AC4331" s="899">
        <v>9.1999999999999993</v>
      </c>
      <c r="AD4331" s="901">
        <v>530</v>
      </c>
      <c r="AE4331" s="901">
        <v>330</v>
      </c>
      <c r="AF4331" s="901">
        <v>140</v>
      </c>
      <c r="AG4331" s="66">
        <f t="shared" si="159"/>
        <v>138.79471698113207</v>
      </c>
      <c r="AH4331" s="143">
        <f t="shared" si="160"/>
        <v>1000</v>
      </c>
    </row>
    <row r="4332" spans="1:34" s="898" customFormat="1" x14ac:dyDescent="0.3">
      <c r="A4332" s="898">
        <v>204412</v>
      </c>
      <c r="B4332" s="899">
        <v>36.700000000000003</v>
      </c>
      <c r="C4332" s="899">
        <v>11.125000000000004</v>
      </c>
      <c r="D4332" s="884">
        <v>8.7899999999999991</v>
      </c>
      <c r="E4332" s="1576">
        <v>0.151</v>
      </c>
      <c r="F4332" s="1717">
        <v>166.1</v>
      </c>
      <c r="H4332" s="1717">
        <v>11.92</v>
      </c>
      <c r="I4332" s="1717">
        <v>220</v>
      </c>
      <c r="J4332" s="1718">
        <v>0.06</v>
      </c>
      <c r="K4332" s="899">
        <v>9.09</v>
      </c>
      <c r="L4332" s="898">
        <v>477</v>
      </c>
      <c r="M4332" s="898">
        <v>12.35</v>
      </c>
      <c r="N4332" s="898">
        <v>1.1599999999999999</v>
      </c>
      <c r="O4332" s="898">
        <v>8.76</v>
      </c>
      <c r="P4332" s="898">
        <v>5.12</v>
      </c>
      <c r="R4332" s="884">
        <v>1.6523507300000002</v>
      </c>
      <c r="S4332" s="899">
        <v>12.31</v>
      </c>
      <c r="Y4332" s="1719">
        <v>25.2</v>
      </c>
      <c r="AA4332" s="899">
        <v>3.78</v>
      </c>
      <c r="AB4332" s="899">
        <v>0.69599999999999995</v>
      </c>
      <c r="AC4332" s="899">
        <v>10.6</v>
      </c>
      <c r="AD4332" s="901">
        <v>360</v>
      </c>
      <c r="AE4332" s="901">
        <v>300</v>
      </c>
      <c r="AF4332" s="901">
        <v>340</v>
      </c>
      <c r="AG4332" s="66">
        <f t="shared" si="159"/>
        <v>127.69285714285715</v>
      </c>
      <c r="AH4332" s="143">
        <f t="shared" si="160"/>
        <v>1000</v>
      </c>
    </row>
    <row r="4333" spans="1:34" s="898" customFormat="1" x14ac:dyDescent="0.3">
      <c r="A4333" s="898">
        <v>204413</v>
      </c>
      <c r="B4333" s="899">
        <v>0.2</v>
      </c>
      <c r="C4333" s="899"/>
      <c r="D4333" s="884">
        <v>8.33</v>
      </c>
      <c r="E4333" s="1576">
        <v>0.40500000000000003</v>
      </c>
      <c r="F4333" s="1717">
        <v>445.50000000000006</v>
      </c>
      <c r="H4333" s="1717">
        <v>134.31</v>
      </c>
      <c r="I4333" s="1717">
        <v>170</v>
      </c>
      <c r="J4333" s="1718">
        <v>0.35599999999999998</v>
      </c>
      <c r="K4333" s="899">
        <v>1.5</v>
      </c>
      <c r="L4333" s="898">
        <v>542</v>
      </c>
      <c r="M4333" s="898">
        <v>2.0099999999999998</v>
      </c>
      <c r="N4333" s="898">
        <v>0.7</v>
      </c>
      <c r="O4333" s="898">
        <v>5.21</v>
      </c>
      <c r="P4333" s="898">
        <v>3.23</v>
      </c>
      <c r="R4333" s="884">
        <v>0.58763192322536761</v>
      </c>
      <c r="S4333" s="899">
        <v>4.4000000000000004</v>
      </c>
      <c r="Y4333" s="1719">
        <v>7</v>
      </c>
      <c r="AA4333" s="899">
        <v>4.5999999999999996</v>
      </c>
      <c r="AB4333" s="899">
        <v>0.57499999999999996</v>
      </c>
      <c r="AC4333" s="899">
        <v>7.1</v>
      </c>
      <c r="AD4333" s="901">
        <v>140</v>
      </c>
      <c r="AE4333" s="901">
        <v>70</v>
      </c>
      <c r="AF4333" s="901">
        <v>790</v>
      </c>
      <c r="AG4333" s="66">
        <f t="shared" si="159"/>
        <v>75.857142857142861</v>
      </c>
      <c r="AH4333" s="143">
        <f t="shared" si="160"/>
        <v>1000</v>
      </c>
    </row>
    <row r="4334" spans="1:34" x14ac:dyDescent="0.3">
      <c r="A4334" s="1702">
        <v>204415</v>
      </c>
      <c r="B4334" s="138">
        <v>0.6</v>
      </c>
      <c r="D4334" s="152">
        <v>8.7799999999999994</v>
      </c>
      <c r="E4334" s="752">
        <v>0.106</v>
      </c>
      <c r="F4334" s="142">
        <v>116.60000000000001</v>
      </c>
      <c r="H4334" s="1703">
        <v>238.52</v>
      </c>
      <c r="I4334" s="142">
        <v>110</v>
      </c>
      <c r="J4334" s="141">
        <v>9.8000000000000004E-2</v>
      </c>
      <c r="K4334" s="138">
        <v>5.12</v>
      </c>
      <c r="L4334" s="140">
        <v>210</v>
      </c>
      <c r="M4334" s="140">
        <v>4.5</v>
      </c>
      <c r="N4334" s="140">
        <v>1.2</v>
      </c>
      <c r="O4334" s="140">
        <v>2.9</v>
      </c>
      <c r="P4334" s="140">
        <v>3.22</v>
      </c>
      <c r="R4334" s="139">
        <v>0.75666496598008448</v>
      </c>
      <c r="S4334" s="138">
        <v>5.0600000000000005</v>
      </c>
      <c r="T4334" s="1702"/>
      <c r="Y4334" s="67">
        <v>5.6</v>
      </c>
      <c r="AA4334" s="68">
        <v>4.49</v>
      </c>
      <c r="AB4334" s="68">
        <v>0.29599999999999999</v>
      </c>
      <c r="AC4334" s="69">
        <v>9</v>
      </c>
      <c r="AD4334" s="70">
        <v>80</v>
      </c>
      <c r="AE4334" s="70">
        <v>60</v>
      </c>
      <c r="AF4334" s="70">
        <v>860</v>
      </c>
      <c r="AG4334" s="66">
        <f t="shared" si="159"/>
        <v>323.6571428571429</v>
      </c>
      <c r="AH4334" s="143">
        <f t="shared" si="160"/>
        <v>1000</v>
      </c>
    </row>
    <row r="4335" spans="1:34" x14ac:dyDescent="0.3">
      <c r="A4335" s="1702">
        <v>204416</v>
      </c>
      <c r="B4335" s="138">
        <v>1</v>
      </c>
      <c r="D4335" s="152">
        <v>8.52</v>
      </c>
      <c r="E4335" s="752">
        <v>0.14399999999999999</v>
      </c>
      <c r="F4335" s="1703">
        <v>158.4</v>
      </c>
      <c r="H4335" s="1703">
        <v>63.83</v>
      </c>
      <c r="I4335" s="142">
        <v>114</v>
      </c>
      <c r="J4335" s="141">
        <v>0.11</v>
      </c>
      <c r="K4335" s="138">
        <v>4.8099999999999996</v>
      </c>
      <c r="L4335" s="140">
        <v>204</v>
      </c>
      <c r="M4335" s="140">
        <v>4.7</v>
      </c>
      <c r="N4335" s="140">
        <v>1.1499999999999999</v>
      </c>
      <c r="O4335" s="140">
        <v>3.06</v>
      </c>
      <c r="P4335" s="140">
        <v>3.45</v>
      </c>
      <c r="R4335" s="139">
        <v>0.70506351264980749</v>
      </c>
      <c r="S4335" s="138">
        <v>5</v>
      </c>
      <c r="T4335" s="1702"/>
      <c r="Y4335" s="67">
        <v>4.2</v>
      </c>
      <c r="AA4335" s="68">
        <v>4.5999999999999996</v>
      </c>
      <c r="AB4335" s="68">
        <v>0.27</v>
      </c>
      <c r="AC4335" s="69">
        <v>9.1</v>
      </c>
      <c r="AD4335" s="70">
        <v>60</v>
      </c>
      <c r="AE4335" s="70">
        <v>60</v>
      </c>
      <c r="AF4335" s="70">
        <v>880</v>
      </c>
      <c r="AG4335" s="66">
        <f t="shared" si="159"/>
        <v>405.41428571428571</v>
      </c>
      <c r="AH4335" s="143">
        <f t="shared" si="160"/>
        <v>1000</v>
      </c>
    </row>
    <row r="4336" spans="1:34" s="1868" customFormat="1" x14ac:dyDescent="0.3">
      <c r="A4336" s="1868">
        <v>204417</v>
      </c>
      <c r="B4336" s="1869">
        <v>0.6</v>
      </c>
      <c r="C4336" s="1869"/>
      <c r="D4336" s="1870">
        <v>8.5</v>
      </c>
      <c r="E4336" s="1871">
        <v>0.152</v>
      </c>
      <c r="F4336" s="1872">
        <v>167.20000000000002</v>
      </c>
      <c r="H4336" s="1872">
        <v>48.38</v>
      </c>
      <c r="I4336" s="1872">
        <v>215</v>
      </c>
      <c r="J4336" s="1873">
        <v>4.8000000000000001E-2</v>
      </c>
      <c r="K4336" s="1869">
        <v>9.5</v>
      </c>
      <c r="L4336" s="1868">
        <v>480</v>
      </c>
      <c r="M4336" s="1868">
        <v>0.34</v>
      </c>
      <c r="N4336" s="1868">
        <v>0.8</v>
      </c>
      <c r="O4336" s="1868">
        <v>8.6</v>
      </c>
      <c r="P4336" s="1868">
        <v>2.94</v>
      </c>
      <c r="R4336" s="1870">
        <v>1.737657</v>
      </c>
      <c r="S4336" s="1869">
        <v>14.7</v>
      </c>
      <c r="Y4336" s="67">
        <v>20.5</v>
      </c>
      <c r="AA4336" s="1870"/>
      <c r="AB4336" s="1870"/>
      <c r="AC4336" s="1868">
        <v>12</v>
      </c>
      <c r="AD4336" s="1874">
        <v>410</v>
      </c>
      <c r="AE4336" s="1874">
        <v>240</v>
      </c>
      <c r="AF4336" s="1874">
        <v>350</v>
      </c>
      <c r="AG4336" s="66">
        <f t="shared" si="159"/>
        <v>164.04878048780489</v>
      </c>
      <c r="AH4336" s="143">
        <f t="shared" si="160"/>
        <v>1000</v>
      </c>
    </row>
    <row r="4337" spans="1:34" s="1868" customFormat="1" x14ac:dyDescent="0.3">
      <c r="A4337" s="1868">
        <v>204418</v>
      </c>
      <c r="B4337" s="1869">
        <v>4.2</v>
      </c>
      <c r="C4337" s="1869"/>
      <c r="D4337" s="1870">
        <v>8.84</v>
      </c>
      <c r="E4337" s="1871">
        <v>0.33800000000000002</v>
      </c>
      <c r="F4337" s="1872">
        <v>371.80000000000007</v>
      </c>
      <c r="H4337" s="1869">
        <v>2.35</v>
      </c>
      <c r="I4337" s="1872">
        <v>192</v>
      </c>
      <c r="J4337" s="1873">
        <v>9.9000000000000005E-2</v>
      </c>
      <c r="K4337" s="1869">
        <v>8.52</v>
      </c>
      <c r="L4337" s="1868">
        <v>551</v>
      </c>
      <c r="M4337" s="1868">
        <v>0.28999999999999998</v>
      </c>
      <c r="N4337" s="1868">
        <v>0.71</v>
      </c>
      <c r="O4337" s="1868">
        <v>7.45</v>
      </c>
      <c r="P4337" s="1868">
        <v>2.0299999999999998</v>
      </c>
      <c r="R4337" s="1870">
        <v>1.1384947104111944</v>
      </c>
      <c r="S4337" s="1869">
        <v>7.83</v>
      </c>
      <c r="Y4337" s="67">
        <v>22</v>
      </c>
      <c r="AA4337" s="1870"/>
      <c r="AB4337" s="1870"/>
      <c r="AC4337" s="1868">
        <v>8.1999999999999993</v>
      </c>
      <c r="AD4337" s="1874">
        <v>440</v>
      </c>
      <c r="AE4337" s="1874">
        <v>260</v>
      </c>
      <c r="AF4337" s="1874">
        <v>300</v>
      </c>
      <c r="AG4337" s="66">
        <f t="shared" si="159"/>
        <v>137.09454545454545</v>
      </c>
      <c r="AH4337" s="143">
        <f t="shared" si="160"/>
        <v>1000</v>
      </c>
    </row>
    <row r="4338" spans="1:34" s="1868" customFormat="1" x14ac:dyDescent="0.3">
      <c r="A4338" s="1868">
        <v>204419</v>
      </c>
      <c r="B4338" s="1869">
        <v>4.2</v>
      </c>
      <c r="C4338" s="1869"/>
      <c r="D4338" s="1870">
        <v>8.31</v>
      </c>
      <c r="E4338" s="1871">
        <v>0.83399999999999996</v>
      </c>
      <c r="F4338" s="1872">
        <v>917.4</v>
      </c>
      <c r="H4338" s="1872">
        <v>15.11</v>
      </c>
      <c r="I4338" s="1872">
        <v>165</v>
      </c>
      <c r="J4338" s="1873">
        <v>0.36499999999999999</v>
      </c>
      <c r="K4338" s="1869">
        <v>8.6999999999999993</v>
      </c>
      <c r="L4338" s="1868">
        <v>526</v>
      </c>
      <c r="M4338" s="1868">
        <v>0.31</v>
      </c>
      <c r="N4338" s="1868">
        <v>0.68</v>
      </c>
      <c r="O4338" s="1868">
        <v>7.55</v>
      </c>
      <c r="P4338" s="1868">
        <v>2.11</v>
      </c>
      <c r="R4338" s="1870">
        <v>1.016739057072614</v>
      </c>
      <c r="S4338" s="1869">
        <v>6.74</v>
      </c>
      <c r="Y4338" s="67">
        <v>31.2</v>
      </c>
      <c r="AA4338" s="1870"/>
      <c r="AB4338" s="1870"/>
      <c r="AC4338" s="1868">
        <v>6.8</v>
      </c>
      <c r="AD4338" s="1874">
        <v>520</v>
      </c>
      <c r="AE4338" s="1874">
        <v>260</v>
      </c>
      <c r="AF4338" s="1874">
        <v>220</v>
      </c>
      <c r="AG4338" s="66">
        <f t="shared" si="159"/>
        <v>98.711538461538453</v>
      </c>
      <c r="AH4338" s="143">
        <f t="shared" si="160"/>
        <v>1000</v>
      </c>
    </row>
    <row r="4339" spans="1:34" x14ac:dyDescent="0.3">
      <c r="A4339" s="735">
        <v>204420</v>
      </c>
      <c r="B4339" s="736">
        <v>5.5</v>
      </c>
      <c r="C4339" s="736"/>
      <c r="D4339" s="738">
        <v>8.4600000000000009</v>
      </c>
      <c r="E4339" s="1565">
        <v>0.26</v>
      </c>
      <c r="F4339" s="739">
        <v>286.00000000000006</v>
      </c>
      <c r="G4339" s="735"/>
      <c r="H4339" s="739">
        <v>425.63</v>
      </c>
      <c r="I4339" s="739">
        <v>165</v>
      </c>
      <c r="J4339" s="1875">
        <v>0.12</v>
      </c>
      <c r="K4339" s="736">
        <v>8.9</v>
      </c>
      <c r="L4339" s="735">
        <v>720</v>
      </c>
      <c r="M4339" s="735">
        <v>0.33</v>
      </c>
      <c r="N4339" s="735">
        <v>0.8</v>
      </c>
      <c r="O4339" s="735">
        <v>4.78</v>
      </c>
      <c r="P4339" s="735">
        <v>1.98</v>
      </c>
      <c r="Q4339" s="735"/>
      <c r="R4339" s="738">
        <v>1.9170891200000002</v>
      </c>
      <c r="S4339" s="736">
        <v>20.72</v>
      </c>
      <c r="T4339" s="735"/>
      <c r="U4339" s="735"/>
      <c r="V4339" s="735"/>
      <c r="W4339" s="735"/>
      <c r="X4339" s="735"/>
      <c r="Y4339" s="1876">
        <v>26.4</v>
      </c>
      <c r="Z4339" s="735"/>
      <c r="AA4339" s="738">
        <v>4.6399999999999997</v>
      </c>
      <c r="AB4339" s="738">
        <v>0.629</v>
      </c>
      <c r="AC4339" s="735">
        <v>10.3</v>
      </c>
      <c r="AD4339" s="742">
        <v>440</v>
      </c>
      <c r="AE4339" s="742">
        <v>240</v>
      </c>
      <c r="AF4339" s="742">
        <v>320</v>
      </c>
      <c r="AG4339" s="66">
        <f t="shared" si="159"/>
        <v>119.34090909090909</v>
      </c>
      <c r="AH4339" s="143">
        <f t="shared" si="160"/>
        <v>1000</v>
      </c>
    </row>
    <row r="4340" spans="1:34" s="862" customFormat="1" x14ac:dyDescent="0.3">
      <c r="A4340" s="862">
        <v>204421</v>
      </c>
      <c r="B4340" s="863">
        <v>6.8</v>
      </c>
      <c r="C4340" s="863"/>
      <c r="D4340" s="647">
        <v>8.26</v>
      </c>
      <c r="E4340" s="1573">
        <v>0.60399999999999998</v>
      </c>
      <c r="F4340" s="864">
        <v>664.4</v>
      </c>
      <c r="H4340" s="864">
        <v>418.64</v>
      </c>
      <c r="I4340" s="864">
        <v>810</v>
      </c>
      <c r="J4340" s="1816">
        <v>0.19600000000000001</v>
      </c>
      <c r="K4340" s="863">
        <v>6.91</v>
      </c>
      <c r="L4340" s="862">
        <v>1006</v>
      </c>
      <c r="M4340" s="862">
        <v>5.88</v>
      </c>
      <c r="N4340" s="862">
        <v>0.9</v>
      </c>
      <c r="O4340" s="862">
        <v>4.8899999999999997</v>
      </c>
      <c r="P4340" s="862">
        <v>2.14</v>
      </c>
      <c r="R4340" s="647">
        <v>1.734248</v>
      </c>
      <c r="S4340" s="863">
        <v>14.6</v>
      </c>
      <c r="Y4340" s="1817">
        <v>31.2</v>
      </c>
      <c r="AA4340" s="647">
        <v>4.68</v>
      </c>
      <c r="AB4340" s="647">
        <v>0.70099999999999996</v>
      </c>
      <c r="AC4340" s="862">
        <v>7.4</v>
      </c>
      <c r="AD4340" s="867">
        <v>520</v>
      </c>
      <c r="AE4340" s="867">
        <v>330</v>
      </c>
      <c r="AF4340" s="867">
        <v>150</v>
      </c>
      <c r="AG4340" s="66">
        <f t="shared" si="159"/>
        <v>78.401923076923083</v>
      </c>
      <c r="AH4340" s="143">
        <f t="shared" si="160"/>
        <v>1000</v>
      </c>
    </row>
    <row r="4341" spans="1:34" s="862" customFormat="1" x14ac:dyDescent="0.3">
      <c r="A4341" s="862">
        <v>204422</v>
      </c>
      <c r="B4341" s="863">
        <v>13.3</v>
      </c>
      <c r="C4341" s="863">
        <v>5.3</v>
      </c>
      <c r="D4341" s="647">
        <v>8.56</v>
      </c>
      <c r="E4341" s="1573">
        <v>2.2000000000000002</v>
      </c>
      <c r="F4341" s="864">
        <v>2420.0000000000005</v>
      </c>
      <c r="H4341" s="864">
        <v>16.52</v>
      </c>
      <c r="I4341" s="864">
        <v>270</v>
      </c>
      <c r="J4341" s="1816">
        <v>1.913</v>
      </c>
      <c r="K4341" s="863">
        <v>10.050000000000001</v>
      </c>
      <c r="L4341" s="862">
        <v>886</v>
      </c>
      <c r="M4341" s="862">
        <v>0.31</v>
      </c>
      <c r="N4341" s="862">
        <v>0.37</v>
      </c>
      <c r="O4341" s="862">
        <v>3.39</v>
      </c>
      <c r="P4341" s="862">
        <v>1.23</v>
      </c>
      <c r="R4341" s="647">
        <v>0.78795269544878155</v>
      </c>
      <c r="S4341" s="863">
        <v>5.6999999999999993</v>
      </c>
      <c r="Y4341" s="863">
        <v>32.4</v>
      </c>
      <c r="AA4341" s="647">
        <v>4.07</v>
      </c>
      <c r="AB4341" s="647">
        <v>0.48799999999999999</v>
      </c>
      <c r="AC4341" s="862">
        <v>10.3</v>
      </c>
      <c r="AD4341" s="867">
        <v>540</v>
      </c>
      <c r="AE4341" s="867">
        <v>290</v>
      </c>
      <c r="AF4341" s="867">
        <v>170</v>
      </c>
      <c r="AG4341" s="66">
        <f t="shared" si="159"/>
        <v>109.80555555555559</v>
      </c>
      <c r="AH4341" s="143">
        <f t="shared" si="160"/>
        <v>1000</v>
      </c>
    </row>
    <row r="4342" spans="1:34" s="862" customFormat="1" x14ac:dyDescent="0.3">
      <c r="A4342" s="862">
        <v>204423</v>
      </c>
      <c r="B4342" s="863">
        <v>9.6999999999999993</v>
      </c>
      <c r="C4342" s="863"/>
      <c r="D4342" s="647">
        <v>8.76</v>
      </c>
      <c r="E4342" s="1573">
        <v>0.82399999999999995</v>
      </c>
      <c r="F4342" s="864">
        <v>906.4</v>
      </c>
      <c r="H4342" s="864">
        <v>10.94</v>
      </c>
      <c r="I4342" s="864">
        <v>310</v>
      </c>
      <c r="J4342" s="647">
        <v>0.65</v>
      </c>
      <c r="K4342" s="864">
        <v>8.01</v>
      </c>
      <c r="L4342" s="864">
        <v>853</v>
      </c>
      <c r="M4342" s="862">
        <v>0.35</v>
      </c>
      <c r="N4342" s="862">
        <v>0.27</v>
      </c>
      <c r="O4342" s="862">
        <v>4.24</v>
      </c>
      <c r="P4342" s="862">
        <v>1.21</v>
      </c>
      <c r="R4342" s="647">
        <v>0.92104106167242017</v>
      </c>
      <c r="S4342" s="863">
        <v>6.2</v>
      </c>
      <c r="Y4342" s="863">
        <v>36.4</v>
      </c>
      <c r="AA4342" s="647">
        <v>4.08</v>
      </c>
      <c r="AB4342" s="647">
        <v>0.42599999999999999</v>
      </c>
      <c r="AC4342" s="862">
        <v>9.5</v>
      </c>
      <c r="AD4342" s="867">
        <v>520</v>
      </c>
      <c r="AE4342" s="867">
        <v>290</v>
      </c>
      <c r="AF4342" s="867">
        <v>190</v>
      </c>
      <c r="AG4342" s="66">
        <f t="shared" si="159"/>
        <v>77.899450549450549</v>
      </c>
      <c r="AH4342" s="143">
        <f t="shared" si="160"/>
        <v>1000</v>
      </c>
    </row>
    <row r="4343" spans="1:34" x14ac:dyDescent="0.3">
      <c r="A4343" s="140">
        <v>204424</v>
      </c>
      <c r="B4343" s="138">
        <v>4.5999999999999996</v>
      </c>
      <c r="D4343" s="152">
        <v>8.09</v>
      </c>
      <c r="E4343" s="752">
        <v>0.13</v>
      </c>
      <c r="F4343" s="142">
        <v>143.00000000000003</v>
      </c>
      <c r="H4343" s="142">
        <v>8.2899999999999991</v>
      </c>
      <c r="I4343" s="1703">
        <v>70</v>
      </c>
      <c r="J4343" s="141">
        <v>1.6E-2</v>
      </c>
      <c r="K4343" s="138">
        <v>3.9</v>
      </c>
      <c r="L4343" s="1702">
        <v>130</v>
      </c>
      <c r="M4343" s="1702">
        <v>0.22</v>
      </c>
      <c r="N4343" s="1702">
        <v>0.67</v>
      </c>
      <c r="O4343" s="1702">
        <v>16.71</v>
      </c>
      <c r="P4343" s="1702">
        <v>3.86</v>
      </c>
      <c r="R4343" s="139">
        <v>0.77259087170028862</v>
      </c>
      <c r="S4343" s="138">
        <v>5.4</v>
      </c>
      <c r="Y4343" s="138">
        <v>14</v>
      </c>
      <c r="AA4343" s="139">
        <v>4.5599999999999996</v>
      </c>
      <c r="AB4343" s="139">
        <v>0.55900000000000005</v>
      </c>
      <c r="AC4343" s="140">
        <v>8.8000000000000007</v>
      </c>
      <c r="AD4343" s="70">
        <v>280</v>
      </c>
      <c r="AE4343" s="867">
        <v>240</v>
      </c>
      <c r="AF4343" s="70">
        <v>480</v>
      </c>
      <c r="AG4343" s="66">
        <f t="shared" si="159"/>
        <v>98.614285714285714</v>
      </c>
      <c r="AH4343" s="143">
        <f t="shared" si="160"/>
        <v>1000</v>
      </c>
    </row>
    <row r="4344" spans="1:34" x14ac:dyDescent="0.3">
      <c r="A4344" s="1702">
        <v>204425</v>
      </c>
      <c r="B4344" s="138">
        <v>25.5</v>
      </c>
      <c r="C4344" s="138">
        <v>11.23</v>
      </c>
      <c r="D4344" s="152">
        <v>8.77</v>
      </c>
      <c r="E4344" s="752">
        <v>0.13100000000000001</v>
      </c>
      <c r="F4344" s="1703">
        <v>144.1</v>
      </c>
      <c r="H4344" s="142">
        <v>11.39</v>
      </c>
      <c r="I4344" s="1703">
        <v>190</v>
      </c>
      <c r="J4344" s="141">
        <v>6.7000000000000004E-2</v>
      </c>
      <c r="K4344" s="138">
        <v>10.94</v>
      </c>
      <c r="L4344" s="1702">
        <v>206</v>
      </c>
      <c r="M4344" s="1702">
        <v>0.35</v>
      </c>
      <c r="N4344" s="1702">
        <v>0.46</v>
      </c>
      <c r="O4344" s="1702">
        <v>6.07</v>
      </c>
      <c r="P4344" s="1702">
        <v>2.0299999999999998</v>
      </c>
      <c r="R4344" s="139">
        <v>1.666817</v>
      </c>
      <c r="S4344" s="138">
        <v>12.7</v>
      </c>
      <c r="Y4344" s="138">
        <v>35</v>
      </c>
      <c r="AA4344" s="139">
        <v>3.48</v>
      </c>
      <c r="AB4344" s="139">
        <v>0.71799999999999997</v>
      </c>
      <c r="AC4344" s="140">
        <v>8.8000000000000007</v>
      </c>
      <c r="AD4344" s="70">
        <v>500</v>
      </c>
      <c r="AE4344" s="867">
        <v>280</v>
      </c>
      <c r="AF4344" s="70">
        <v>220</v>
      </c>
      <c r="AG4344" s="66">
        <f t="shared" si="159"/>
        <v>110.6502857142857</v>
      </c>
      <c r="AH4344" s="143">
        <f t="shared" si="160"/>
        <v>1000</v>
      </c>
    </row>
    <row r="4345" spans="1:34" x14ac:dyDescent="0.3">
      <c r="A4345" s="1702">
        <v>204426</v>
      </c>
      <c r="B4345" s="138">
        <v>0.7</v>
      </c>
      <c r="D4345" s="152">
        <v>8.98</v>
      </c>
      <c r="E4345" s="752">
        <v>0.14899999999999999</v>
      </c>
      <c r="F4345" s="1703">
        <v>163.9</v>
      </c>
      <c r="H4345" s="142">
        <v>5.67</v>
      </c>
      <c r="I4345" s="1703">
        <v>80</v>
      </c>
      <c r="J4345" s="141">
        <v>0.153</v>
      </c>
      <c r="K4345" s="138">
        <v>5.49</v>
      </c>
      <c r="L4345" s="1702">
        <v>399</v>
      </c>
      <c r="M4345" s="1702">
        <v>0.12</v>
      </c>
      <c r="N4345" s="1702">
        <v>0.14000000000000001</v>
      </c>
      <c r="O4345" s="1702">
        <v>3.22</v>
      </c>
      <c r="P4345" s="1702">
        <v>3.5</v>
      </c>
      <c r="R4345" s="139">
        <v>0.34882691271880178</v>
      </c>
      <c r="S4345" s="138">
        <v>2.5</v>
      </c>
      <c r="Y4345" s="138">
        <v>4</v>
      </c>
      <c r="AA4345" s="139">
        <v>3.99</v>
      </c>
      <c r="AB4345" s="139">
        <v>0.495</v>
      </c>
      <c r="AC4345" s="140">
        <v>7.1</v>
      </c>
      <c r="AD4345" s="70">
        <v>80</v>
      </c>
      <c r="AE4345" s="867">
        <v>80</v>
      </c>
      <c r="AF4345" s="70">
        <v>840</v>
      </c>
      <c r="AG4345" s="66">
        <f t="shared" si="159"/>
        <v>485.86500000000001</v>
      </c>
      <c r="AH4345" s="143">
        <f t="shared" si="160"/>
        <v>1000</v>
      </c>
    </row>
    <row r="4346" spans="1:34" x14ac:dyDescent="0.3">
      <c r="A4346" s="1702">
        <v>204427</v>
      </c>
      <c r="B4346" s="138">
        <v>23.3</v>
      </c>
      <c r="C4346" s="138">
        <v>11.2</v>
      </c>
      <c r="D4346" s="152">
        <v>8.76</v>
      </c>
      <c r="E4346" s="752">
        <v>0.33900000000000002</v>
      </c>
      <c r="F4346" s="1703">
        <v>372.90000000000009</v>
      </c>
      <c r="H4346" s="142">
        <v>9.49</v>
      </c>
      <c r="I4346" s="1703">
        <v>220</v>
      </c>
      <c r="J4346" s="141">
        <v>0.217</v>
      </c>
      <c r="K4346" s="138">
        <v>9.7899999999999991</v>
      </c>
      <c r="L4346" s="1702">
        <v>306</v>
      </c>
      <c r="M4346" s="1702">
        <v>0.19</v>
      </c>
      <c r="N4346" s="1702">
        <v>0.47</v>
      </c>
      <c r="O4346" s="1702">
        <v>3.53</v>
      </c>
      <c r="P4346" s="1702">
        <v>1.7</v>
      </c>
      <c r="R4346" s="139">
        <v>0.76310728933044425</v>
      </c>
      <c r="S4346" s="138">
        <v>5.6000000000000005</v>
      </c>
      <c r="Y4346" s="138">
        <v>22</v>
      </c>
      <c r="AA4346" s="139">
        <v>4.83</v>
      </c>
      <c r="AB4346" s="139">
        <v>0.50600000000000001</v>
      </c>
      <c r="AC4346" s="140">
        <v>7.5</v>
      </c>
      <c r="AD4346" s="70">
        <v>440</v>
      </c>
      <c r="AE4346" s="867">
        <v>280</v>
      </c>
      <c r="AF4346" s="70">
        <v>280</v>
      </c>
      <c r="AG4346" s="66">
        <f t="shared" si="159"/>
        <v>157.53</v>
      </c>
      <c r="AH4346" s="143">
        <f t="shared" si="160"/>
        <v>1000</v>
      </c>
    </row>
    <row r="4347" spans="1:34" x14ac:dyDescent="0.3">
      <c r="A4347" s="1702">
        <v>204428</v>
      </c>
      <c r="B4347" s="138">
        <v>3.3</v>
      </c>
      <c r="D4347" s="152">
        <v>8.64</v>
      </c>
      <c r="E4347" s="752">
        <v>0.23799999999999999</v>
      </c>
      <c r="F4347" s="1703">
        <v>261.8</v>
      </c>
      <c r="H4347" s="142">
        <v>15.26</v>
      </c>
      <c r="I4347" s="1703">
        <v>130</v>
      </c>
      <c r="J4347" s="141">
        <v>0.13700000000000001</v>
      </c>
      <c r="K4347" s="138">
        <v>8.1999999999999993</v>
      </c>
      <c r="L4347" s="1702">
        <v>233</v>
      </c>
      <c r="M4347" s="1702">
        <v>0.27</v>
      </c>
      <c r="N4347" s="1702">
        <v>0.28999999999999998</v>
      </c>
      <c r="O4347" s="1702">
        <v>3.9</v>
      </c>
      <c r="P4347" s="1702">
        <v>2.11</v>
      </c>
      <c r="R4347" s="139">
        <v>1.2280938818869673</v>
      </c>
      <c r="S4347" s="138">
        <v>8.5</v>
      </c>
      <c r="Y4347" s="138">
        <v>6</v>
      </c>
      <c r="AA4347" s="139">
        <v>3.94</v>
      </c>
      <c r="AB4347" s="139">
        <v>0.39400000000000002</v>
      </c>
      <c r="AC4347" s="140">
        <v>8.8000000000000007</v>
      </c>
      <c r="AD4347" s="70">
        <v>120</v>
      </c>
      <c r="AE4347" s="867">
        <v>80</v>
      </c>
      <c r="AF4347" s="70">
        <v>800</v>
      </c>
      <c r="AG4347" s="66">
        <f t="shared" si="159"/>
        <v>483.79999999999995</v>
      </c>
      <c r="AH4347" s="143">
        <f t="shared" si="160"/>
        <v>1000</v>
      </c>
    </row>
    <row r="4348" spans="1:34" x14ac:dyDescent="0.3">
      <c r="A4348" s="1702">
        <v>204429</v>
      </c>
      <c r="B4348" s="138">
        <v>10.8</v>
      </c>
      <c r="C4348" s="138">
        <v>5.2</v>
      </c>
      <c r="D4348" s="152">
        <v>8.4499999999999993</v>
      </c>
      <c r="E4348" s="752">
        <v>0.14299999999999999</v>
      </c>
      <c r="F4348" s="1703">
        <v>157.29999999999998</v>
      </c>
      <c r="H4348" s="142">
        <v>9.92</v>
      </c>
      <c r="I4348" s="1703">
        <v>180</v>
      </c>
      <c r="J4348" s="141">
        <v>0.72899999999999998</v>
      </c>
      <c r="K4348" s="138">
        <v>10.23</v>
      </c>
      <c r="L4348" s="1702">
        <v>1012</v>
      </c>
      <c r="M4348" s="1702">
        <v>0.32</v>
      </c>
      <c r="N4348" s="1702">
        <v>0.56000000000000005</v>
      </c>
      <c r="O4348" s="1702">
        <v>6.49</v>
      </c>
      <c r="P4348" s="1702">
        <v>1.77</v>
      </c>
      <c r="R4348" s="139">
        <v>1.6061130000000001</v>
      </c>
      <c r="S4348" s="138">
        <v>11.100000000000001</v>
      </c>
      <c r="Y4348" s="138">
        <v>31.8</v>
      </c>
      <c r="AA4348" s="139">
        <v>3.88</v>
      </c>
      <c r="AB4348" s="139">
        <v>0.79700000000000004</v>
      </c>
      <c r="AC4348" s="140">
        <v>8</v>
      </c>
      <c r="AD4348" s="70">
        <v>530</v>
      </c>
      <c r="AE4348" s="867">
        <v>310</v>
      </c>
      <c r="AF4348" s="70">
        <v>160</v>
      </c>
      <c r="AG4348" s="66">
        <f t="shared" si="159"/>
        <v>113.88113207547171</v>
      </c>
      <c r="AH4348" s="143">
        <f t="shared" si="160"/>
        <v>1000</v>
      </c>
    </row>
    <row r="4349" spans="1:34" x14ac:dyDescent="0.3">
      <c r="A4349" s="1702">
        <v>204430</v>
      </c>
      <c r="B4349" s="138">
        <v>25.3</v>
      </c>
      <c r="C4349" s="138">
        <v>12.36</v>
      </c>
      <c r="D4349" s="152">
        <v>8.84</v>
      </c>
      <c r="E4349" s="752">
        <v>0.39</v>
      </c>
      <c r="F4349" s="1703">
        <v>429.00000000000006</v>
      </c>
      <c r="H4349" s="142">
        <v>10.94</v>
      </c>
      <c r="I4349" s="1703">
        <v>230</v>
      </c>
      <c r="J4349" s="141">
        <v>0.35799999999999998</v>
      </c>
      <c r="K4349" s="138">
        <v>7.72</v>
      </c>
      <c r="L4349" s="1702">
        <v>594</v>
      </c>
      <c r="M4349" s="1702">
        <v>0.25</v>
      </c>
      <c r="N4349" s="1702">
        <v>0.27</v>
      </c>
      <c r="O4349" s="1702">
        <v>4.45</v>
      </c>
      <c r="P4349" s="1702">
        <v>0.82</v>
      </c>
      <c r="R4349" s="139">
        <v>1.2000724909524778</v>
      </c>
      <c r="S4349" s="138">
        <v>8.5</v>
      </c>
      <c r="Y4349" s="138">
        <v>29.4</v>
      </c>
      <c r="AA4349" s="139">
        <v>4.8499999999999996</v>
      </c>
      <c r="AB4349" s="139">
        <v>0.51300000000000001</v>
      </c>
      <c r="AC4349" s="140">
        <v>7.6</v>
      </c>
      <c r="AD4349" s="70">
        <v>420</v>
      </c>
      <c r="AE4349" s="867">
        <v>280</v>
      </c>
      <c r="AF4349" s="70">
        <v>300</v>
      </c>
      <c r="AG4349" s="66">
        <f t="shared" si="159"/>
        <v>92.955102040816328</v>
      </c>
      <c r="AH4349" s="143">
        <f t="shared" si="160"/>
        <v>1000</v>
      </c>
    </row>
    <row r="4350" spans="1:34" s="862" customFormat="1" x14ac:dyDescent="0.3">
      <c r="A4350" s="862">
        <v>204431</v>
      </c>
      <c r="B4350" s="863">
        <v>1.6</v>
      </c>
      <c r="C4350" s="863"/>
      <c r="D4350" s="647">
        <v>8.73</v>
      </c>
      <c r="E4350" s="1573">
        <v>0.121</v>
      </c>
      <c r="F4350" s="864">
        <v>133.1</v>
      </c>
      <c r="H4350" s="864">
        <v>44.1</v>
      </c>
      <c r="I4350" s="864">
        <v>210</v>
      </c>
      <c r="J4350" s="1816">
        <v>0.08</v>
      </c>
      <c r="K4350" s="863">
        <v>5.82</v>
      </c>
      <c r="L4350" s="862">
        <v>965</v>
      </c>
      <c r="M4350" s="862">
        <v>0.84</v>
      </c>
      <c r="N4350" s="862">
        <v>1.07</v>
      </c>
      <c r="O4350" s="862">
        <v>6.12</v>
      </c>
      <c r="P4350" s="862">
        <v>4.28</v>
      </c>
      <c r="R4350" s="647">
        <v>1.313916707188703</v>
      </c>
      <c r="S4350" s="863">
        <v>9.5</v>
      </c>
      <c r="Y4350" s="863">
        <v>32.200000000000003</v>
      </c>
      <c r="AA4350" s="647">
        <v>4.03</v>
      </c>
      <c r="AB4350" s="647">
        <v>0.68400000000000005</v>
      </c>
      <c r="AC4350" s="862">
        <v>8</v>
      </c>
      <c r="AD4350" s="867">
        <v>460</v>
      </c>
      <c r="AE4350" s="867">
        <v>410</v>
      </c>
      <c r="AF4350" s="867">
        <v>130</v>
      </c>
      <c r="AG4350" s="66">
        <f t="shared" si="159"/>
        <v>63.983850931677019</v>
      </c>
      <c r="AH4350" s="143">
        <f t="shared" si="160"/>
        <v>1000</v>
      </c>
    </row>
    <row r="4351" spans="1:34" s="862" customFormat="1" x14ac:dyDescent="0.3">
      <c r="A4351" s="862">
        <v>204432</v>
      </c>
      <c r="B4351" s="863">
        <v>0.3</v>
      </c>
      <c r="C4351" s="863"/>
      <c r="D4351" s="647">
        <v>8.33</v>
      </c>
      <c r="E4351" s="1573">
        <v>6.9000000000000006E-2</v>
      </c>
      <c r="F4351" s="864">
        <v>75.900000000000006</v>
      </c>
      <c r="H4351" s="864">
        <v>75.7</v>
      </c>
      <c r="I4351" s="864">
        <v>200</v>
      </c>
      <c r="J4351" s="1816">
        <v>1.4E-2</v>
      </c>
      <c r="K4351" s="863">
        <v>3.37</v>
      </c>
      <c r="L4351" s="862">
        <v>86</v>
      </c>
      <c r="M4351" s="862">
        <v>0.28000000000000003</v>
      </c>
      <c r="N4351" s="862">
        <v>0.34</v>
      </c>
      <c r="O4351" s="862">
        <v>7.58</v>
      </c>
      <c r="P4351" s="862">
        <v>4.5599999999999996</v>
      </c>
      <c r="R4351" s="647">
        <v>1.0357424723605433</v>
      </c>
      <c r="S4351" s="863">
        <v>6.8999999999999995</v>
      </c>
      <c r="Y4351" s="863">
        <v>19</v>
      </c>
      <c r="AA4351" s="647">
        <v>4.5199999999999996</v>
      </c>
      <c r="AB4351" s="647">
        <v>0.40799999999999997</v>
      </c>
      <c r="AC4351" s="862">
        <v>8.8000000000000007</v>
      </c>
      <c r="AD4351" s="867">
        <v>380</v>
      </c>
      <c r="AE4351" s="867">
        <v>280</v>
      </c>
      <c r="AF4351" s="867">
        <v>340</v>
      </c>
      <c r="AG4351" s="66">
        <f t="shared" si="159"/>
        <v>62.788421052631577</v>
      </c>
      <c r="AH4351" s="143">
        <f t="shared" si="160"/>
        <v>1000</v>
      </c>
    </row>
    <row r="4352" spans="1:34" s="862" customFormat="1" x14ac:dyDescent="0.3">
      <c r="A4352" s="862">
        <v>204433</v>
      </c>
      <c r="B4352" s="863">
        <v>12.2</v>
      </c>
      <c r="C4352" s="863">
        <v>5.6</v>
      </c>
      <c r="D4352" s="647">
        <v>8.7899999999999991</v>
      </c>
      <c r="E4352" s="1573">
        <v>9.8000000000000004E-2</v>
      </c>
      <c r="F4352" s="864">
        <v>107.80000000000001</v>
      </c>
      <c r="H4352" s="864">
        <v>6.35</v>
      </c>
      <c r="I4352" s="864">
        <v>160</v>
      </c>
      <c r="J4352" s="1816">
        <v>4.2000000000000003E-2</v>
      </c>
      <c r="K4352" s="863">
        <v>9.5</v>
      </c>
      <c r="L4352" s="862">
        <v>170</v>
      </c>
      <c r="M4352" s="862">
        <v>0.14000000000000001</v>
      </c>
      <c r="N4352" s="862">
        <v>0.25</v>
      </c>
      <c r="O4352" s="862">
        <v>5.03</v>
      </c>
      <c r="P4352" s="862">
        <v>2.36</v>
      </c>
      <c r="R4352" s="647">
        <v>1.720472</v>
      </c>
      <c r="S4352" s="863">
        <v>14.2</v>
      </c>
      <c r="Y4352" s="863">
        <v>28.8</v>
      </c>
      <c r="AA4352" s="647">
        <v>4.12</v>
      </c>
      <c r="AB4352" s="647">
        <v>0.622</v>
      </c>
      <c r="AC4352" s="862">
        <v>9.6</v>
      </c>
      <c r="AD4352" s="867">
        <v>480</v>
      </c>
      <c r="AE4352" s="867">
        <v>360</v>
      </c>
      <c r="AF4352" s="867">
        <v>160</v>
      </c>
      <c r="AG4352" s="66">
        <f t="shared" si="159"/>
        <v>116.77083333333334</v>
      </c>
      <c r="AH4352" s="143">
        <f t="shared" si="160"/>
        <v>1000</v>
      </c>
    </row>
    <row r="4353" spans="1:34" s="735" customFormat="1" x14ac:dyDescent="0.3">
      <c r="A4353" s="735">
        <v>204434</v>
      </c>
      <c r="B4353" s="736">
        <v>19.166666666666664</v>
      </c>
      <c r="C4353" s="736">
        <v>10.625</v>
      </c>
      <c r="D4353" s="738">
        <v>8.58</v>
      </c>
      <c r="E4353" s="1565">
        <v>0.16400000000000001</v>
      </c>
      <c r="F4353" s="739">
        <v>182.04000000000002</v>
      </c>
      <c r="H4353" s="739">
        <v>10.38</v>
      </c>
      <c r="I4353" s="739">
        <v>720</v>
      </c>
      <c r="J4353" s="1273">
        <v>2.8000000000000001E-2</v>
      </c>
      <c r="K4353" s="1273">
        <v>8.43</v>
      </c>
      <c r="L4353" s="735">
        <v>974</v>
      </c>
      <c r="M4353" s="1273">
        <v>0.22</v>
      </c>
      <c r="N4353" s="1273">
        <v>0.52</v>
      </c>
      <c r="O4353" s="1273">
        <v>2.95</v>
      </c>
      <c r="P4353" s="1273">
        <v>2.4</v>
      </c>
      <c r="R4353" s="738">
        <v>1.22788763133362</v>
      </c>
      <c r="S4353" s="736">
        <v>8.8000000000000007</v>
      </c>
      <c r="Y4353" s="736">
        <v>28.8</v>
      </c>
      <c r="AA4353" s="738">
        <v>4.66</v>
      </c>
      <c r="AB4353" s="738">
        <v>0.46400000000000002</v>
      </c>
      <c r="AC4353" s="735">
        <v>7.2</v>
      </c>
      <c r="AD4353" s="742">
        <v>480</v>
      </c>
      <c r="AE4353" s="742">
        <v>280</v>
      </c>
      <c r="AF4353" s="742">
        <v>240</v>
      </c>
      <c r="AG4353" s="66">
        <f t="shared" si="159"/>
        <v>103.61874999999999</v>
      </c>
      <c r="AH4353" s="143">
        <f t="shared" si="160"/>
        <v>1000</v>
      </c>
    </row>
    <row r="4354" spans="1:34" s="735" customFormat="1" x14ac:dyDescent="0.3">
      <c r="A4354" s="735">
        <v>204435</v>
      </c>
      <c r="B4354" s="736">
        <v>23.5</v>
      </c>
      <c r="C4354" s="736">
        <v>10.625</v>
      </c>
      <c r="D4354" s="738">
        <v>8.5500000000000007</v>
      </c>
      <c r="E4354" s="1565">
        <v>0.34300000000000003</v>
      </c>
      <c r="F4354" s="739">
        <v>380.73</v>
      </c>
      <c r="H4354" s="739">
        <v>8.9700000000000006</v>
      </c>
      <c r="I4354" s="739">
        <v>510</v>
      </c>
      <c r="J4354" s="1273">
        <v>0.153</v>
      </c>
      <c r="K4354" s="1273">
        <v>8.35</v>
      </c>
      <c r="L4354" s="735">
        <v>1628</v>
      </c>
      <c r="M4354" s="1273">
        <v>0.18</v>
      </c>
      <c r="N4354" s="1273">
        <v>0.41</v>
      </c>
      <c r="O4354" s="1273">
        <v>2.6</v>
      </c>
      <c r="P4354" s="1273">
        <v>2.46</v>
      </c>
      <c r="R4354" s="738">
        <v>1.3169742269517921</v>
      </c>
      <c r="S4354" s="736">
        <v>9.3000000000000007</v>
      </c>
      <c r="Y4354" s="736">
        <v>32.9</v>
      </c>
      <c r="AA4354" s="738">
        <v>4.38</v>
      </c>
      <c r="AB4354" s="738">
        <v>0.27500000000000002</v>
      </c>
      <c r="AC4354" s="735">
        <v>7.3</v>
      </c>
      <c r="AD4354" s="742">
        <v>470</v>
      </c>
      <c r="AE4354" s="742">
        <v>270</v>
      </c>
      <c r="AF4354" s="742">
        <v>260</v>
      </c>
      <c r="AG4354" s="66">
        <f t="shared" ref="AG4354:AG4417" si="161">+K4354*3.54*100/Y4354</f>
        <v>89.844984802431597</v>
      </c>
      <c r="AH4354" s="143">
        <f t="shared" ref="AH4354:AH4417" si="162">+SUM(AD4354:AF4354)</f>
        <v>1000</v>
      </c>
    </row>
    <row r="4355" spans="1:34" s="735" customFormat="1" x14ac:dyDescent="0.3">
      <c r="A4355" s="735">
        <v>204436</v>
      </c>
      <c r="B4355" s="736">
        <v>23.333333333333332</v>
      </c>
      <c r="C4355" s="736">
        <v>11.5</v>
      </c>
      <c r="D4355" s="738">
        <v>8.15</v>
      </c>
      <c r="E4355" s="1565">
        <v>1.593</v>
      </c>
      <c r="F4355" s="739">
        <v>1524</v>
      </c>
      <c r="H4355" s="739">
        <v>29.75</v>
      </c>
      <c r="I4355" s="739">
        <v>310</v>
      </c>
      <c r="J4355" s="1273">
        <v>0.71099999999999997</v>
      </c>
      <c r="K4355" s="1273">
        <v>10.79</v>
      </c>
      <c r="L4355" s="735">
        <v>1760</v>
      </c>
      <c r="M4355" s="1273">
        <v>0.68</v>
      </c>
      <c r="N4355" s="1273">
        <v>1.1599999999999999</v>
      </c>
      <c r="O4355" s="1273">
        <v>2.52</v>
      </c>
      <c r="P4355" s="1273">
        <v>4.07</v>
      </c>
      <c r="R4355" s="738">
        <v>1.63</v>
      </c>
      <c r="S4355" s="736">
        <v>12.1</v>
      </c>
      <c r="Y4355" s="736">
        <v>30.5</v>
      </c>
      <c r="AA4355" s="738">
        <v>4.3</v>
      </c>
      <c r="AB4355" s="738">
        <v>0.40200000000000002</v>
      </c>
      <c r="AC4355" s="735">
        <v>7.2</v>
      </c>
      <c r="AD4355" s="742">
        <v>610</v>
      </c>
      <c r="AE4355" s="742">
        <v>290</v>
      </c>
      <c r="AF4355" s="742">
        <v>100</v>
      </c>
      <c r="AG4355" s="66">
        <f t="shared" si="161"/>
        <v>125.23475409836065</v>
      </c>
      <c r="AH4355" s="143">
        <f t="shared" si="162"/>
        <v>1000</v>
      </c>
    </row>
    <row r="4356" spans="1:34" s="735" customFormat="1" x14ac:dyDescent="0.3">
      <c r="A4356" s="735">
        <v>204437</v>
      </c>
      <c r="B4356" s="736">
        <v>17.333333333333336</v>
      </c>
      <c r="C4356" s="736">
        <v>10.75</v>
      </c>
      <c r="D4356" s="738">
        <v>8.7200000000000006</v>
      </c>
      <c r="E4356" s="1565">
        <v>0.13900000000000001</v>
      </c>
      <c r="F4356" s="739">
        <v>154.29000000000002</v>
      </c>
      <c r="H4356" s="739">
        <v>21.68</v>
      </c>
      <c r="I4356" s="739">
        <v>380</v>
      </c>
      <c r="J4356" s="1273">
        <v>3.5000000000000003E-2</v>
      </c>
      <c r="K4356" s="1273">
        <v>8.61</v>
      </c>
      <c r="L4356" s="735">
        <v>1381</v>
      </c>
      <c r="M4356" s="1273">
        <v>0.32</v>
      </c>
      <c r="N4356" s="1273">
        <v>0.71</v>
      </c>
      <c r="O4356" s="1273">
        <v>3.97</v>
      </c>
      <c r="P4356" s="1273">
        <v>3.57</v>
      </c>
      <c r="R4356" s="738">
        <v>1.2367496489957095</v>
      </c>
      <c r="S4356" s="736">
        <v>8.1000000000000014</v>
      </c>
      <c r="Y4356" s="736">
        <v>23</v>
      </c>
      <c r="AA4356" s="738">
        <v>3.62</v>
      </c>
      <c r="AB4356" s="738">
        <v>0.52900000000000003</v>
      </c>
      <c r="AC4356" s="735">
        <v>7.5</v>
      </c>
      <c r="AD4356" s="742">
        <v>460</v>
      </c>
      <c r="AE4356" s="742">
        <v>310</v>
      </c>
      <c r="AF4356" s="742">
        <v>230</v>
      </c>
      <c r="AG4356" s="66">
        <f t="shared" si="161"/>
        <v>132.5191304347826</v>
      </c>
      <c r="AH4356" s="143">
        <f t="shared" si="162"/>
        <v>1000</v>
      </c>
    </row>
    <row r="4357" spans="1:34" s="735" customFormat="1" x14ac:dyDescent="0.3">
      <c r="A4357" s="735">
        <v>204438</v>
      </c>
      <c r="B4357" s="736">
        <v>26.999999999999996</v>
      </c>
      <c r="C4357" s="736">
        <v>10.875</v>
      </c>
      <c r="D4357" s="738">
        <v>8.49</v>
      </c>
      <c r="E4357" s="1565">
        <v>0.57599999999999996</v>
      </c>
      <c r="F4357" s="739">
        <v>639.36</v>
      </c>
      <c r="H4357" s="739">
        <v>6.36</v>
      </c>
      <c r="I4357" s="739">
        <v>190</v>
      </c>
      <c r="J4357" s="1273">
        <v>0.67100000000000004</v>
      </c>
      <c r="K4357" s="1273">
        <v>9.93</v>
      </c>
      <c r="L4357" s="735">
        <v>1346</v>
      </c>
      <c r="M4357" s="1273">
        <v>0.56999999999999995</v>
      </c>
      <c r="N4357" s="1273">
        <v>1.24</v>
      </c>
      <c r="O4357" s="1273">
        <v>2.14</v>
      </c>
      <c r="P4357" s="1273">
        <v>7.3</v>
      </c>
      <c r="R4357" s="738">
        <v>0.94958653983285368</v>
      </c>
      <c r="S4357" s="736">
        <v>6.5</v>
      </c>
      <c r="Y4357" s="736">
        <v>36.799999999999997</v>
      </c>
      <c r="AA4357" s="738">
        <v>3.66</v>
      </c>
      <c r="AB4357" s="738">
        <v>0.25900000000000001</v>
      </c>
      <c r="AC4357" s="735">
        <v>7.9</v>
      </c>
      <c r="AD4357" s="742">
        <v>590</v>
      </c>
      <c r="AE4357" s="742">
        <v>300</v>
      </c>
      <c r="AF4357" s="742">
        <v>110</v>
      </c>
      <c r="AG4357" s="66">
        <f t="shared" si="161"/>
        <v>95.522282608695662</v>
      </c>
      <c r="AH4357" s="143">
        <f t="shared" si="162"/>
        <v>1000</v>
      </c>
    </row>
    <row r="4358" spans="1:34" s="735" customFormat="1" x14ac:dyDescent="0.3">
      <c r="A4358" s="735">
        <v>204439</v>
      </c>
      <c r="B4358" s="736">
        <v>22.333333333333332</v>
      </c>
      <c r="C4358" s="736">
        <v>10.999999999999998</v>
      </c>
      <c r="D4358" s="738">
        <v>8.57</v>
      </c>
      <c r="E4358" s="1565">
        <v>0.155</v>
      </c>
      <c r="F4358" s="739">
        <v>172.05</v>
      </c>
      <c r="H4358" s="739">
        <v>72.989999999999995</v>
      </c>
      <c r="I4358" s="739">
        <v>900</v>
      </c>
      <c r="J4358" s="1273">
        <v>5.6000000000000001E-2</v>
      </c>
      <c r="K4358" s="1273">
        <v>10.67</v>
      </c>
      <c r="L4358" s="735">
        <v>746</v>
      </c>
      <c r="M4358" s="1273">
        <v>0.79</v>
      </c>
      <c r="N4358" s="1273">
        <v>0.79</v>
      </c>
      <c r="O4358" s="1273">
        <v>2.29</v>
      </c>
      <c r="P4358" s="1273">
        <v>4.05</v>
      </c>
      <c r="R4358" s="738">
        <v>1.6444730000000001</v>
      </c>
      <c r="S4358" s="736">
        <v>12.1</v>
      </c>
      <c r="Y4358" s="736">
        <v>36.4</v>
      </c>
      <c r="AA4358" s="738">
        <v>4.08</v>
      </c>
      <c r="AB4358" s="738">
        <v>0.53300000000000003</v>
      </c>
      <c r="AC4358" s="735">
        <v>8.1999999999999993</v>
      </c>
      <c r="AD4358" s="742">
        <v>520</v>
      </c>
      <c r="AE4358" s="742">
        <v>280</v>
      </c>
      <c r="AF4358" s="742">
        <v>200</v>
      </c>
      <c r="AG4358" s="66">
        <f t="shared" si="161"/>
        <v>103.76868131868132</v>
      </c>
      <c r="AH4358" s="143">
        <f t="shared" si="162"/>
        <v>1000</v>
      </c>
    </row>
    <row r="4359" spans="1:34" s="735" customFormat="1" x14ac:dyDescent="0.3">
      <c r="A4359" s="735">
        <v>204440</v>
      </c>
      <c r="B4359" s="736">
        <v>18.000000000000004</v>
      </c>
      <c r="C4359" s="736">
        <v>12.5</v>
      </c>
      <c r="D4359" s="738">
        <v>8.48</v>
      </c>
      <c r="E4359" s="1565">
        <v>0.13800000000000001</v>
      </c>
      <c r="F4359" s="739">
        <v>153.18</v>
      </c>
      <c r="H4359" s="1887">
        <v>3.72</v>
      </c>
      <c r="I4359" s="739">
        <v>320</v>
      </c>
      <c r="J4359" s="1273">
        <v>0.06</v>
      </c>
      <c r="K4359" s="1273">
        <v>12.17</v>
      </c>
      <c r="L4359" s="735">
        <v>903</v>
      </c>
      <c r="M4359" s="1273">
        <v>0.13</v>
      </c>
      <c r="N4359" s="1273">
        <v>0.45</v>
      </c>
      <c r="O4359" s="1273">
        <v>2.25</v>
      </c>
      <c r="P4359" s="1273">
        <v>4.67</v>
      </c>
      <c r="R4359" s="738">
        <v>1.65</v>
      </c>
      <c r="S4359" s="736">
        <v>12.1</v>
      </c>
      <c r="Y4359" s="736">
        <v>31.8</v>
      </c>
      <c r="AA4359" s="738">
        <v>3.53</v>
      </c>
      <c r="AB4359" s="738">
        <v>0.59299999999999997</v>
      </c>
      <c r="AC4359" s="735">
        <v>8.5</v>
      </c>
      <c r="AD4359" s="742">
        <v>530</v>
      </c>
      <c r="AE4359" s="742">
        <v>260</v>
      </c>
      <c r="AF4359" s="742">
        <v>210</v>
      </c>
      <c r="AG4359" s="66">
        <f t="shared" si="161"/>
        <v>135.47735849056605</v>
      </c>
      <c r="AH4359" s="143">
        <f t="shared" si="162"/>
        <v>1000</v>
      </c>
    </row>
    <row r="4360" spans="1:34" s="735" customFormat="1" x14ac:dyDescent="0.3">
      <c r="A4360" s="735">
        <v>204441</v>
      </c>
      <c r="B4360" s="736">
        <v>16.666666666666664</v>
      </c>
      <c r="C4360" s="736">
        <v>8.125</v>
      </c>
      <c r="D4360" s="738">
        <v>8.6999999999999993</v>
      </c>
      <c r="E4360" s="1565">
        <v>0.157</v>
      </c>
      <c r="F4360" s="739">
        <v>174.27</v>
      </c>
      <c r="H4360" s="739">
        <v>20.54</v>
      </c>
      <c r="I4360" s="739">
        <v>770</v>
      </c>
      <c r="J4360" s="1273">
        <v>6.8000000000000005E-2</v>
      </c>
      <c r="K4360" s="1273">
        <v>10.54</v>
      </c>
      <c r="L4360" s="735">
        <v>416</v>
      </c>
      <c r="M4360" s="1273">
        <v>0.33</v>
      </c>
      <c r="N4360" s="1273">
        <v>0.59</v>
      </c>
      <c r="O4360" s="1273">
        <v>5.78</v>
      </c>
      <c r="P4360" s="1273">
        <v>0.99</v>
      </c>
      <c r="R4360" s="738">
        <v>1.2156145145515527</v>
      </c>
      <c r="S4360" s="736">
        <v>8.1999999999999993</v>
      </c>
      <c r="Y4360" s="736">
        <v>23.4</v>
      </c>
      <c r="AA4360" s="738">
        <v>3.7</v>
      </c>
      <c r="AB4360" s="738">
        <v>0.622</v>
      </c>
      <c r="AC4360" s="735">
        <v>7.4</v>
      </c>
      <c r="AD4360" s="742">
        <v>400</v>
      </c>
      <c r="AE4360" s="742">
        <v>350</v>
      </c>
      <c r="AF4360" s="742">
        <v>250</v>
      </c>
      <c r="AG4360" s="66">
        <f t="shared" si="161"/>
        <v>159.45128205128205</v>
      </c>
      <c r="AH4360" s="143">
        <f t="shared" si="162"/>
        <v>1000</v>
      </c>
    </row>
    <row r="4361" spans="1:34" s="735" customFormat="1" x14ac:dyDescent="0.3">
      <c r="A4361" s="735">
        <v>204442</v>
      </c>
      <c r="B4361" s="736">
        <v>20.666666666666668</v>
      </c>
      <c r="C4361" s="736">
        <v>10.374999999999998</v>
      </c>
      <c r="D4361" s="738">
        <v>8.65</v>
      </c>
      <c r="E4361" s="1565">
        <v>0.26700000000000002</v>
      </c>
      <c r="F4361" s="739">
        <v>296.37</v>
      </c>
      <c r="H4361" s="739">
        <v>79.900000000000006</v>
      </c>
      <c r="I4361" s="739">
        <v>740</v>
      </c>
      <c r="J4361" s="1273">
        <v>0.153</v>
      </c>
      <c r="K4361" s="1273">
        <v>10</v>
      </c>
      <c r="L4361" s="735">
        <v>637</v>
      </c>
      <c r="M4361" s="1273">
        <v>0.92</v>
      </c>
      <c r="N4361" s="1273">
        <v>0.56999999999999995</v>
      </c>
      <c r="O4361" s="1273">
        <v>3.56</v>
      </c>
      <c r="P4361" s="1273">
        <v>1.36</v>
      </c>
      <c r="R4361" s="738">
        <v>1.651977</v>
      </c>
      <c r="S4361" s="736">
        <v>12.3</v>
      </c>
      <c r="Y4361" s="736">
        <v>20.399999999999999</v>
      </c>
      <c r="AA4361" s="738">
        <v>3.46</v>
      </c>
      <c r="AB4361" s="738">
        <v>0.30299999999999999</v>
      </c>
      <c r="AC4361" s="735">
        <v>6.9</v>
      </c>
      <c r="AD4361" s="742">
        <v>390</v>
      </c>
      <c r="AE4361" s="742">
        <v>340</v>
      </c>
      <c r="AF4361" s="742">
        <v>270</v>
      </c>
      <c r="AG4361" s="66">
        <f t="shared" si="161"/>
        <v>173.52941176470588</v>
      </c>
      <c r="AH4361" s="143">
        <f t="shared" si="162"/>
        <v>1000</v>
      </c>
    </row>
    <row r="4362" spans="1:34" s="1069" customFormat="1" x14ac:dyDescent="0.3">
      <c r="A4362" s="1069">
        <v>204443</v>
      </c>
      <c r="B4362" s="1070">
        <v>1.8333333333333333</v>
      </c>
      <c r="C4362" s="1070"/>
      <c r="D4362" s="1071">
        <v>8.27</v>
      </c>
      <c r="E4362" s="1580">
        <v>0.19700000000000001</v>
      </c>
      <c r="F4362" s="1894">
        <v>222</v>
      </c>
      <c r="H4362" s="1072">
        <v>209.18</v>
      </c>
      <c r="I4362" s="1072">
        <v>190</v>
      </c>
      <c r="J4362" s="1193">
        <v>3.1E-2</v>
      </c>
      <c r="K4362" s="1193">
        <v>5.17</v>
      </c>
      <c r="L4362" s="1069">
        <v>670</v>
      </c>
      <c r="M4362" s="1193">
        <v>2.4500000000000002</v>
      </c>
      <c r="N4362" s="1193">
        <v>1.19</v>
      </c>
      <c r="O4362" s="1193">
        <v>4.5</v>
      </c>
      <c r="P4362" s="1193">
        <v>6.35</v>
      </c>
      <c r="R4362" s="1071">
        <v>1.6993880000000001</v>
      </c>
      <c r="S4362" s="1070">
        <v>13.600000000000001</v>
      </c>
      <c r="Y4362" s="1895">
        <v>28.8</v>
      </c>
      <c r="AA4362" s="1071">
        <v>3.7</v>
      </c>
      <c r="AB4362" s="1071">
        <v>0.432</v>
      </c>
      <c r="AC4362" s="1069">
        <v>10.9</v>
      </c>
      <c r="AD4362" s="1074">
        <v>480</v>
      </c>
      <c r="AE4362" s="1074">
        <v>350</v>
      </c>
      <c r="AF4362" s="1074">
        <v>170</v>
      </c>
      <c r="AG4362" s="66">
        <f t="shared" si="161"/>
        <v>63.547916666666666</v>
      </c>
      <c r="AH4362" s="143">
        <f t="shared" si="162"/>
        <v>1000</v>
      </c>
    </row>
    <row r="4363" spans="1:34" s="1069" customFormat="1" x14ac:dyDescent="0.3">
      <c r="A4363" s="1069">
        <v>204444</v>
      </c>
      <c r="B4363" s="1070">
        <v>3.066666666666666</v>
      </c>
      <c r="C4363" s="1070"/>
      <c r="D4363" s="1071">
        <v>8.2899999999999991</v>
      </c>
      <c r="E4363" s="1580">
        <v>0.46100000000000002</v>
      </c>
      <c r="F4363" s="1894">
        <v>525</v>
      </c>
      <c r="H4363" s="1072">
        <v>337.57</v>
      </c>
      <c r="I4363" s="1072">
        <v>1170</v>
      </c>
      <c r="J4363" s="1193">
        <v>0.11899999999999999</v>
      </c>
      <c r="K4363" s="1193">
        <v>8.0399999999999991</v>
      </c>
      <c r="L4363" s="1069">
        <v>2550</v>
      </c>
      <c r="M4363" s="1193">
        <v>2.27</v>
      </c>
      <c r="N4363" s="1193">
        <v>1.3</v>
      </c>
      <c r="O4363" s="1193">
        <v>5.19</v>
      </c>
      <c r="P4363" s="1193">
        <v>4.34</v>
      </c>
      <c r="R4363" s="1071">
        <v>1.8710000000000002</v>
      </c>
      <c r="S4363" s="1070">
        <v>19</v>
      </c>
      <c r="Y4363" s="1895">
        <v>37.799999999999997</v>
      </c>
      <c r="AA4363" s="1071">
        <v>4.2</v>
      </c>
      <c r="AB4363" s="1071">
        <v>0.48099999999999998</v>
      </c>
      <c r="AC4363" s="1069">
        <v>7.5</v>
      </c>
      <c r="AD4363" s="1074">
        <v>540</v>
      </c>
      <c r="AE4363" s="1074">
        <v>340</v>
      </c>
      <c r="AF4363" s="1074">
        <v>120</v>
      </c>
      <c r="AG4363" s="66">
        <f t="shared" si="161"/>
        <v>75.295238095238091</v>
      </c>
      <c r="AH4363" s="143">
        <f t="shared" si="162"/>
        <v>1000</v>
      </c>
    </row>
    <row r="4364" spans="1:34" s="1069" customFormat="1" x14ac:dyDescent="0.3">
      <c r="A4364" s="1069">
        <v>204445</v>
      </c>
      <c r="B4364" s="1070">
        <v>3.8666666666666663</v>
      </c>
      <c r="C4364" s="1070"/>
      <c r="D4364" s="1071">
        <v>8.61</v>
      </c>
      <c r="E4364" s="1580">
        <v>0.65800000000000003</v>
      </c>
      <c r="F4364" s="1894">
        <v>738</v>
      </c>
      <c r="H4364" s="1072">
        <v>29.11</v>
      </c>
      <c r="I4364" s="1072">
        <v>780</v>
      </c>
      <c r="J4364" s="1193">
        <v>0.30099999999999999</v>
      </c>
      <c r="K4364" s="1193">
        <v>7.69</v>
      </c>
      <c r="L4364" s="1069">
        <v>2830</v>
      </c>
      <c r="M4364" s="1193">
        <v>1.59</v>
      </c>
      <c r="N4364" s="1193">
        <v>1.51</v>
      </c>
      <c r="O4364" s="1193">
        <v>7.18</v>
      </c>
      <c r="P4364" s="1193">
        <v>3.62</v>
      </c>
      <c r="R4364" s="1071">
        <v>1.737657</v>
      </c>
      <c r="S4364" s="1070">
        <v>14.7</v>
      </c>
      <c r="Y4364" s="1895">
        <v>37.1</v>
      </c>
      <c r="AA4364" s="1071">
        <v>4.53</v>
      </c>
      <c r="AB4364" s="1071">
        <v>0.26600000000000001</v>
      </c>
      <c r="AC4364" s="1069">
        <v>10.199999999999999</v>
      </c>
      <c r="AD4364" s="1074">
        <v>530</v>
      </c>
      <c r="AE4364" s="1074">
        <v>330</v>
      </c>
      <c r="AF4364" s="1074">
        <v>140</v>
      </c>
      <c r="AG4364" s="66">
        <f t="shared" si="161"/>
        <v>73.376280323450132</v>
      </c>
      <c r="AH4364" s="143">
        <f t="shared" si="162"/>
        <v>1000</v>
      </c>
    </row>
    <row r="4365" spans="1:34" s="1069" customFormat="1" x14ac:dyDescent="0.3">
      <c r="A4365" s="1069">
        <v>204446</v>
      </c>
      <c r="B4365" s="1070">
        <v>3.6666666666666665</v>
      </c>
      <c r="C4365" s="1070"/>
      <c r="D4365" s="1071">
        <v>8.67</v>
      </c>
      <c r="E4365" s="1580">
        <v>0.23200000000000001</v>
      </c>
      <c r="F4365" s="1894">
        <v>270</v>
      </c>
      <c r="H4365" s="1072">
        <v>10.83</v>
      </c>
      <c r="I4365" s="1072">
        <v>270</v>
      </c>
      <c r="J4365" s="1193">
        <v>0.58699999999999997</v>
      </c>
      <c r="K4365" s="1193">
        <v>7.05</v>
      </c>
      <c r="L4365" s="1069">
        <v>500</v>
      </c>
      <c r="M4365" s="1193">
        <v>0.13</v>
      </c>
      <c r="N4365" s="1193">
        <v>0.37</v>
      </c>
      <c r="O4365" s="1193">
        <v>2.1</v>
      </c>
      <c r="P4365" s="1193">
        <v>2.12</v>
      </c>
      <c r="R4365" s="1071">
        <v>0.49605385316847556</v>
      </c>
      <c r="S4365" s="1070">
        <v>3.7</v>
      </c>
      <c r="Y4365" s="1895">
        <v>30.8</v>
      </c>
      <c r="AA4365" s="1071">
        <v>3.64</v>
      </c>
      <c r="AB4365" s="1071">
        <v>0.48199999999999998</v>
      </c>
      <c r="AC4365" s="1069">
        <v>8.4</v>
      </c>
      <c r="AD4365" s="1074">
        <v>440</v>
      </c>
      <c r="AE4365" s="1074">
        <v>320</v>
      </c>
      <c r="AF4365" s="1074">
        <v>240</v>
      </c>
      <c r="AG4365" s="66">
        <f t="shared" si="161"/>
        <v>81.029220779220793</v>
      </c>
      <c r="AH4365" s="143">
        <f t="shared" si="162"/>
        <v>1000</v>
      </c>
    </row>
    <row r="4366" spans="1:34" s="1069" customFormat="1" x14ac:dyDescent="0.3">
      <c r="A4366" s="1069">
        <v>204447</v>
      </c>
      <c r="B4366" s="1070">
        <v>1.4666666666666668</v>
      </c>
      <c r="C4366" s="1070"/>
      <c r="D4366" s="1071">
        <v>8.68</v>
      </c>
      <c r="E4366" s="1580">
        <v>0.46</v>
      </c>
      <c r="F4366" s="1894">
        <v>514</v>
      </c>
      <c r="H4366" s="1072">
        <v>155.61000000000001</v>
      </c>
      <c r="I4366" s="1072">
        <v>250</v>
      </c>
      <c r="J4366" s="1193">
        <v>0.48499999999999999</v>
      </c>
      <c r="K4366" s="1193">
        <v>5.38</v>
      </c>
      <c r="L4366" s="1069">
        <v>788</v>
      </c>
      <c r="M4366" s="1193">
        <v>4.22</v>
      </c>
      <c r="N4366" s="1193">
        <v>1.19</v>
      </c>
      <c r="O4366" s="1193">
        <v>8.74</v>
      </c>
      <c r="P4366" s="1193">
        <v>8.0299999999999994</v>
      </c>
      <c r="R4366" s="1071">
        <v>1.5903770000000002</v>
      </c>
      <c r="S4366" s="1070">
        <v>10.700000000000001</v>
      </c>
      <c r="Y4366" s="1895">
        <v>29.4</v>
      </c>
      <c r="AA4366" s="1071">
        <v>3.45</v>
      </c>
      <c r="AB4366" s="1071">
        <v>0.30599999999999999</v>
      </c>
      <c r="AC4366" s="1069">
        <v>10.9</v>
      </c>
      <c r="AD4366" s="1074">
        <v>420</v>
      </c>
      <c r="AE4366" s="1074">
        <v>320</v>
      </c>
      <c r="AF4366" s="1074">
        <v>260</v>
      </c>
      <c r="AG4366" s="66">
        <f t="shared" si="161"/>
        <v>64.77959183673471</v>
      </c>
      <c r="AH4366" s="143">
        <f t="shared" si="162"/>
        <v>1000</v>
      </c>
    </row>
    <row r="4367" spans="1:34" s="1069" customFormat="1" x14ac:dyDescent="0.3">
      <c r="A4367" s="1069">
        <v>204448</v>
      </c>
      <c r="B4367" s="1070">
        <v>1.7833333333333332</v>
      </c>
      <c r="C4367" s="1070"/>
      <c r="D4367" s="1071">
        <v>8.25</v>
      </c>
      <c r="E4367" s="1580">
        <v>0.872</v>
      </c>
      <c r="F4367" s="1894">
        <v>975</v>
      </c>
      <c r="H4367" s="1072">
        <v>95.36</v>
      </c>
      <c r="I4367" s="1072">
        <v>140</v>
      </c>
      <c r="J4367" s="1193">
        <v>0.66400000000000003</v>
      </c>
      <c r="K4367" s="1193">
        <v>6.51</v>
      </c>
      <c r="L4367" s="1069">
        <v>794</v>
      </c>
      <c r="M4367" s="1193">
        <v>1.98</v>
      </c>
      <c r="N4367" s="1193">
        <v>0.61</v>
      </c>
      <c r="O4367" s="1193">
        <v>9.49</v>
      </c>
      <c r="P4367" s="1193">
        <v>4.79</v>
      </c>
      <c r="R4367" s="1071">
        <v>0.93361351309004226</v>
      </c>
      <c r="S4367" s="1070">
        <v>6.8999999999999995</v>
      </c>
      <c r="Y4367" s="1895">
        <v>21.5</v>
      </c>
      <c r="AA4367" s="1071">
        <v>4.97</v>
      </c>
      <c r="AB4367" s="1071">
        <v>0.73699999999999999</v>
      </c>
      <c r="AC4367" s="1069">
        <v>11.2</v>
      </c>
      <c r="AD4367" s="1074">
        <v>430</v>
      </c>
      <c r="AE4367" s="1074">
        <v>290</v>
      </c>
      <c r="AF4367" s="1074">
        <v>280</v>
      </c>
      <c r="AG4367" s="66">
        <f t="shared" si="161"/>
        <v>107.18790697674419</v>
      </c>
      <c r="AH4367" s="143">
        <f t="shared" si="162"/>
        <v>1000</v>
      </c>
    </row>
    <row r="4368" spans="1:34" s="1069" customFormat="1" x14ac:dyDescent="0.3">
      <c r="A4368" s="1069">
        <v>204449</v>
      </c>
      <c r="B4368" s="1070">
        <v>0.96666666666666656</v>
      </c>
      <c r="C4368" s="1070"/>
      <c r="D4368" s="1071">
        <v>8.64</v>
      </c>
      <c r="E4368" s="1580">
        <v>0.47699999999999998</v>
      </c>
      <c r="F4368" s="1894">
        <v>533</v>
      </c>
      <c r="H4368" s="1072">
        <v>111.35</v>
      </c>
      <c r="I4368" s="1072">
        <v>280</v>
      </c>
      <c r="J4368" s="1193">
        <v>0.47899999999999998</v>
      </c>
      <c r="K4368" s="1193">
        <v>5.04</v>
      </c>
      <c r="L4368" s="1069">
        <v>790</v>
      </c>
      <c r="M4368" s="1193">
        <v>1.71</v>
      </c>
      <c r="N4368" s="1193">
        <v>0.56999999999999995</v>
      </c>
      <c r="O4368" s="1193">
        <v>13.99</v>
      </c>
      <c r="P4368" s="1193">
        <v>4.1900000000000004</v>
      </c>
      <c r="R4368" s="1071">
        <v>1.3893098548927043</v>
      </c>
      <c r="S4368" s="1070">
        <v>9.2000000000000011</v>
      </c>
      <c r="Y4368" s="1895">
        <v>23</v>
      </c>
      <c r="AA4368" s="1071">
        <v>3.67</v>
      </c>
      <c r="AB4368" s="1071">
        <v>0.67500000000000004</v>
      </c>
      <c r="AC4368" s="1069">
        <v>11.9</v>
      </c>
      <c r="AD4368" s="1074">
        <v>460</v>
      </c>
      <c r="AE4368" s="1074">
        <v>300</v>
      </c>
      <c r="AF4368" s="1074">
        <v>240</v>
      </c>
      <c r="AG4368" s="66">
        <f t="shared" si="161"/>
        <v>77.572173913043471</v>
      </c>
      <c r="AH4368" s="143">
        <f t="shared" si="162"/>
        <v>1000</v>
      </c>
    </row>
    <row r="4369" spans="1:34" s="1069" customFormat="1" x14ac:dyDescent="0.3">
      <c r="A4369" s="1069">
        <v>204450</v>
      </c>
      <c r="B4369" s="1070">
        <v>2.1166666666666663</v>
      </c>
      <c r="C4369" s="1070"/>
      <c r="D4369" s="1071">
        <v>8.51</v>
      </c>
      <c r="E4369" s="1580">
        <v>0.35599999999999998</v>
      </c>
      <c r="F4369" s="1894">
        <v>399</v>
      </c>
      <c r="H4369" s="1072">
        <v>83.12</v>
      </c>
      <c r="I4369" s="1072">
        <v>370</v>
      </c>
      <c r="J4369" s="1193">
        <v>0.39800000000000002</v>
      </c>
      <c r="K4369" s="1193">
        <v>5.32</v>
      </c>
      <c r="L4369" s="1069">
        <v>790</v>
      </c>
      <c r="M4369" s="1193">
        <v>1.25</v>
      </c>
      <c r="N4369" s="1193">
        <v>0.4</v>
      </c>
      <c r="O4369" s="1193">
        <v>12.1</v>
      </c>
      <c r="P4369" s="1193">
        <v>4.1100000000000003</v>
      </c>
      <c r="R4369" s="1071">
        <v>1.3447956607817118</v>
      </c>
      <c r="S4369" s="1070">
        <v>9.8000000000000007</v>
      </c>
      <c r="Y4369" s="1895">
        <v>22.5</v>
      </c>
      <c r="AA4369" s="1071">
        <v>4.97</v>
      </c>
      <c r="AB4369" s="1071">
        <v>0.82</v>
      </c>
      <c r="AC4369" s="1069">
        <v>7.1</v>
      </c>
      <c r="AD4369" s="1074">
        <v>450</v>
      </c>
      <c r="AE4369" s="1074">
        <v>280</v>
      </c>
      <c r="AF4369" s="1074">
        <v>270</v>
      </c>
      <c r="AG4369" s="66">
        <f t="shared" si="161"/>
        <v>83.701333333333338</v>
      </c>
      <c r="AH4369" s="143">
        <f t="shared" si="162"/>
        <v>1000</v>
      </c>
    </row>
    <row r="4370" spans="1:34" s="1069" customFormat="1" x14ac:dyDescent="0.3">
      <c r="A4370" s="1069">
        <v>204451</v>
      </c>
      <c r="B4370" s="1070">
        <v>4.8055555555555554</v>
      </c>
      <c r="C4370" s="1070"/>
      <c r="D4370" s="1071">
        <v>8.5399999999999991</v>
      </c>
      <c r="E4370" s="1580">
        <v>0.18</v>
      </c>
      <c r="F4370" s="1894">
        <v>203</v>
      </c>
      <c r="H4370" s="1072">
        <v>366.31</v>
      </c>
      <c r="I4370" s="1072">
        <v>200</v>
      </c>
      <c r="J4370" s="1193">
        <v>4.3999999999999997E-2</v>
      </c>
      <c r="K4370" s="1193">
        <v>5.67</v>
      </c>
      <c r="L4370" s="1069">
        <v>788</v>
      </c>
      <c r="M4370" s="1193">
        <v>5.65</v>
      </c>
      <c r="N4370" s="1193">
        <v>1.61</v>
      </c>
      <c r="O4370" s="1193">
        <v>4.82</v>
      </c>
      <c r="P4370" s="1193">
        <v>4.2699999999999996</v>
      </c>
      <c r="R4370" s="1071">
        <v>1.5943320000000001</v>
      </c>
      <c r="S4370" s="1070">
        <v>10.8</v>
      </c>
      <c r="Y4370" s="1895">
        <v>20.399999999999999</v>
      </c>
      <c r="AA4370" s="1071">
        <v>3.87</v>
      </c>
      <c r="AB4370" s="1071">
        <v>0.55300000000000005</v>
      </c>
      <c r="AC4370" s="1069">
        <v>10.7</v>
      </c>
      <c r="AD4370" s="1074">
        <v>340</v>
      </c>
      <c r="AE4370" s="1074">
        <v>270</v>
      </c>
      <c r="AF4370" s="1074">
        <v>390</v>
      </c>
      <c r="AG4370" s="66">
        <f t="shared" si="161"/>
        <v>98.391176470588249</v>
      </c>
      <c r="AH4370" s="143">
        <f t="shared" si="162"/>
        <v>1000</v>
      </c>
    </row>
    <row r="4371" spans="1:34" s="1069" customFormat="1" x14ac:dyDescent="0.3">
      <c r="A4371" s="1069">
        <v>204452</v>
      </c>
      <c r="B4371" s="1070">
        <v>5.083333333333333</v>
      </c>
      <c r="C4371" s="1070"/>
      <c r="D4371" s="1071">
        <v>8.51</v>
      </c>
      <c r="E4371" s="1580">
        <v>0.183</v>
      </c>
      <c r="F4371" s="1894">
        <v>205</v>
      </c>
      <c r="H4371" s="1072">
        <v>343.3</v>
      </c>
      <c r="I4371" s="1072">
        <v>510</v>
      </c>
      <c r="J4371" s="1193">
        <v>4.1000000000000002E-2</v>
      </c>
      <c r="K4371" s="1193">
        <v>6.44</v>
      </c>
      <c r="L4371" s="1069">
        <v>903</v>
      </c>
      <c r="M4371" s="1193">
        <v>5.07</v>
      </c>
      <c r="N4371" s="1193">
        <v>5.03</v>
      </c>
      <c r="O4371" s="1193">
        <v>5.93</v>
      </c>
      <c r="P4371" s="1193">
        <v>4.88</v>
      </c>
      <c r="R4371" s="1071">
        <v>1.6922480000000002</v>
      </c>
      <c r="S4371" s="1070">
        <v>13.4</v>
      </c>
      <c r="Y4371" s="1895">
        <v>26.6</v>
      </c>
      <c r="AA4371" s="1071">
        <v>4.53</v>
      </c>
      <c r="AB4371" s="1071">
        <v>0.76100000000000001</v>
      </c>
      <c r="AC4371" s="1069">
        <v>7.4</v>
      </c>
      <c r="AD4371" s="1074">
        <v>380</v>
      </c>
      <c r="AE4371" s="1074">
        <v>310</v>
      </c>
      <c r="AF4371" s="1074">
        <v>310</v>
      </c>
      <c r="AG4371" s="66">
        <f t="shared" si="161"/>
        <v>85.705263157894734</v>
      </c>
      <c r="AH4371" s="143">
        <f t="shared" si="162"/>
        <v>1000</v>
      </c>
    </row>
    <row r="4372" spans="1:34" s="1069" customFormat="1" x14ac:dyDescent="0.3">
      <c r="A4372" s="1069">
        <v>204453</v>
      </c>
      <c r="B4372" s="1070">
        <v>21.999999999999996</v>
      </c>
      <c r="C4372" s="1070">
        <v>7.5</v>
      </c>
      <c r="D4372" s="1071">
        <v>8.59</v>
      </c>
      <c r="E4372" s="1580">
        <v>0.20899999999999999</v>
      </c>
      <c r="F4372" s="1894">
        <v>234</v>
      </c>
      <c r="H4372" s="1072">
        <v>31.07</v>
      </c>
      <c r="I4372" s="1072">
        <v>140</v>
      </c>
      <c r="J4372" s="1193">
        <v>2.7E-2</v>
      </c>
      <c r="K4372" s="1193">
        <v>9.74</v>
      </c>
      <c r="L4372" s="1069">
        <v>341</v>
      </c>
      <c r="M4372" s="1193">
        <v>0.43</v>
      </c>
      <c r="N4372" s="1193">
        <v>0.51</v>
      </c>
      <c r="O4372" s="1193">
        <v>5.39</v>
      </c>
      <c r="P4372" s="1193">
        <v>3.39</v>
      </c>
      <c r="R4372" s="1071">
        <v>1.1146809771827073</v>
      </c>
      <c r="S4372" s="1070">
        <v>7.4</v>
      </c>
      <c r="Y4372" s="1895">
        <v>29.4</v>
      </c>
      <c r="AA4372" s="1071">
        <v>4.71</v>
      </c>
      <c r="AB4372" s="1071">
        <v>0.872</v>
      </c>
      <c r="AC4372" s="1069">
        <v>8.6999999999999993</v>
      </c>
      <c r="AD4372" s="1074">
        <v>490</v>
      </c>
      <c r="AE4372" s="1074">
        <v>290</v>
      </c>
      <c r="AF4372" s="1074">
        <v>220</v>
      </c>
      <c r="AG4372" s="66">
        <f t="shared" si="161"/>
        <v>117.27755102040815</v>
      </c>
      <c r="AH4372" s="143">
        <f t="shared" si="162"/>
        <v>1000</v>
      </c>
    </row>
    <row r="4373" spans="1:34" s="1069" customFormat="1" x14ac:dyDescent="0.3">
      <c r="A4373" s="1069">
        <v>204454</v>
      </c>
      <c r="B4373" s="1070">
        <v>33.333333333333329</v>
      </c>
      <c r="C4373" s="1070">
        <v>15.374999999999998</v>
      </c>
      <c r="D4373" s="1071">
        <v>8.52</v>
      </c>
      <c r="E4373" s="1580">
        <v>0.318</v>
      </c>
      <c r="F4373" s="1894">
        <v>355</v>
      </c>
      <c r="H4373" s="1072">
        <v>19.89</v>
      </c>
      <c r="I4373" s="1072">
        <v>210</v>
      </c>
      <c r="J4373" s="1193">
        <v>3.2000000000000001E-2</v>
      </c>
      <c r="K4373" s="1193">
        <v>11.67</v>
      </c>
      <c r="L4373" s="1069">
        <v>518</v>
      </c>
      <c r="M4373" s="1193">
        <v>0.41</v>
      </c>
      <c r="N4373" s="1193">
        <v>1.55</v>
      </c>
      <c r="O4373" s="1193">
        <v>6.05</v>
      </c>
      <c r="P4373" s="1193">
        <v>5.61</v>
      </c>
      <c r="R4373" s="1071">
        <v>1.6886570000000001</v>
      </c>
      <c r="S4373" s="1070">
        <v>13.3</v>
      </c>
      <c r="Y4373" s="1895">
        <v>31.2</v>
      </c>
      <c r="AA4373" s="1071">
        <v>3.92</v>
      </c>
      <c r="AB4373" s="1071">
        <v>0.373</v>
      </c>
      <c r="AC4373" s="1069">
        <v>10.9</v>
      </c>
      <c r="AD4373" s="1074">
        <v>520</v>
      </c>
      <c r="AE4373" s="1074">
        <v>320</v>
      </c>
      <c r="AF4373" s="1074">
        <v>160</v>
      </c>
      <c r="AG4373" s="66">
        <f t="shared" si="161"/>
        <v>132.40961538461536</v>
      </c>
      <c r="AH4373" s="143">
        <f t="shared" si="162"/>
        <v>1000</v>
      </c>
    </row>
    <row r="4374" spans="1:34" s="415" customFormat="1" x14ac:dyDescent="0.3">
      <c r="A4374" s="415">
        <v>103000</v>
      </c>
      <c r="B4374" s="1228">
        <v>10.083333333333332</v>
      </c>
      <c r="C4374" s="1228">
        <v>5.4999999999999982</v>
      </c>
      <c r="D4374" s="1405">
        <v>8.33</v>
      </c>
      <c r="E4374" s="1585">
        <v>2.7759999999999998</v>
      </c>
      <c r="F4374" s="1406">
        <v>3120.2240000000002</v>
      </c>
      <c r="H4374" s="1406">
        <v>48.65</v>
      </c>
      <c r="I4374" s="1406">
        <v>370</v>
      </c>
      <c r="J4374" s="1407">
        <v>1.694</v>
      </c>
      <c r="K4374" s="1228">
        <v>7.65</v>
      </c>
      <c r="L4374" s="415">
        <v>916</v>
      </c>
      <c r="M4374" s="415">
        <v>0.74</v>
      </c>
      <c r="N4374" s="415">
        <v>0.77</v>
      </c>
      <c r="O4374" s="415">
        <v>2.38</v>
      </c>
      <c r="P4374" s="415">
        <v>1.49</v>
      </c>
      <c r="R4374" s="1405">
        <v>1.3294859189174937</v>
      </c>
      <c r="S4374" s="415">
        <v>9.9</v>
      </c>
      <c r="Y4374" s="415">
        <v>14.4</v>
      </c>
      <c r="AA4374" s="415">
        <v>4.4000000000000004</v>
      </c>
      <c r="AB4374" s="415">
        <v>0.54600000000000004</v>
      </c>
      <c r="AC4374" s="415">
        <v>8.5</v>
      </c>
      <c r="AD4374" s="1408">
        <v>240</v>
      </c>
      <c r="AE4374" s="1408">
        <v>80</v>
      </c>
      <c r="AF4374" s="1408">
        <v>680</v>
      </c>
      <c r="AG4374" s="66">
        <f t="shared" si="161"/>
        <v>188.06250000000003</v>
      </c>
      <c r="AH4374" s="143">
        <f t="shared" si="162"/>
        <v>1000</v>
      </c>
    </row>
    <row r="4375" spans="1:34" s="415" customFormat="1" x14ac:dyDescent="0.3">
      <c r="A4375" s="415">
        <v>103001</v>
      </c>
      <c r="B4375" s="1228">
        <v>9.8333333333333321</v>
      </c>
      <c r="C4375" s="1228"/>
      <c r="D4375" s="1405">
        <v>8.1999999999999993</v>
      </c>
      <c r="E4375" s="1585">
        <v>0.69</v>
      </c>
      <c r="F4375" s="1406">
        <v>775.56000000000006</v>
      </c>
      <c r="H4375" s="1406">
        <v>591</v>
      </c>
      <c r="I4375" s="1406">
        <v>1070</v>
      </c>
      <c r="J4375" s="1407">
        <v>0.20899999999999999</v>
      </c>
      <c r="K4375" s="1228">
        <v>7.62</v>
      </c>
      <c r="L4375" s="415">
        <v>928</v>
      </c>
      <c r="M4375" s="415">
        <v>7.7</v>
      </c>
      <c r="N4375" s="415">
        <v>2.2400000000000002</v>
      </c>
      <c r="O4375" s="415">
        <v>9.27</v>
      </c>
      <c r="P4375" s="415">
        <v>14.56</v>
      </c>
      <c r="R4375" s="1405">
        <v>1.9784570000000001</v>
      </c>
      <c r="S4375" s="415">
        <v>23.3</v>
      </c>
      <c r="Y4375" s="415">
        <v>21.5</v>
      </c>
      <c r="AA4375" s="415">
        <v>3.53</v>
      </c>
      <c r="AB4375" s="415">
        <v>0.434</v>
      </c>
      <c r="AC4375" s="415">
        <v>8.8000000000000007</v>
      </c>
      <c r="AD4375" s="1408">
        <v>430</v>
      </c>
      <c r="AE4375" s="1408">
        <v>290</v>
      </c>
      <c r="AF4375" s="1408">
        <v>280</v>
      </c>
      <c r="AG4375" s="66">
        <f t="shared" si="161"/>
        <v>125.46418604651163</v>
      </c>
      <c r="AH4375" s="143">
        <f t="shared" si="162"/>
        <v>1000</v>
      </c>
    </row>
    <row r="4376" spans="1:34" s="415" customFormat="1" x14ac:dyDescent="0.3">
      <c r="A4376" s="415">
        <v>103002</v>
      </c>
      <c r="B4376" s="1228">
        <v>2.4166666666666665</v>
      </c>
      <c r="C4376" s="1228"/>
      <c r="D4376" s="1405">
        <v>7.73</v>
      </c>
      <c r="E4376" s="1585">
        <v>0.95599999999999996</v>
      </c>
      <c r="F4376" s="1406">
        <v>1074.5440000000001</v>
      </c>
      <c r="H4376" s="1406">
        <v>927</v>
      </c>
      <c r="I4376" s="1406">
        <v>1630</v>
      </c>
      <c r="J4376" s="1407">
        <v>0.435</v>
      </c>
      <c r="K4376" s="1228">
        <v>4.6900000000000004</v>
      </c>
      <c r="L4376" s="415">
        <v>1797</v>
      </c>
      <c r="M4376" s="415">
        <v>26.37</v>
      </c>
      <c r="N4376" s="415">
        <v>4.08</v>
      </c>
      <c r="O4376" s="415">
        <v>14.52</v>
      </c>
      <c r="P4376" s="415">
        <v>5.61</v>
      </c>
      <c r="R4376" s="1405">
        <v>1.962728</v>
      </c>
      <c r="S4376" s="415">
        <v>22.599999999999998</v>
      </c>
      <c r="Y4376" s="415">
        <v>28.7</v>
      </c>
      <c r="AA4376" s="415">
        <v>3.82</v>
      </c>
      <c r="AB4376" s="415">
        <v>0.442</v>
      </c>
      <c r="AC4376" s="415">
        <v>10</v>
      </c>
      <c r="AD4376" s="1408">
        <v>410</v>
      </c>
      <c r="AE4376" s="1408">
        <v>320</v>
      </c>
      <c r="AF4376" s="1408">
        <v>270</v>
      </c>
      <c r="AG4376" s="66">
        <f t="shared" si="161"/>
        <v>57.848780487804888</v>
      </c>
      <c r="AH4376" s="143">
        <f t="shared" si="162"/>
        <v>1000</v>
      </c>
    </row>
    <row r="4377" spans="1:34" s="415" customFormat="1" x14ac:dyDescent="0.3">
      <c r="A4377" s="415">
        <v>103003</v>
      </c>
      <c r="B4377" s="1228">
        <v>0.6166666666666667</v>
      </c>
      <c r="C4377" s="1228"/>
      <c r="D4377" s="1405">
        <v>8.1999999999999993</v>
      </c>
      <c r="E4377" s="1585">
        <v>0.52400000000000002</v>
      </c>
      <c r="F4377" s="1406">
        <v>588.97600000000011</v>
      </c>
      <c r="H4377" s="1406">
        <v>412.19</v>
      </c>
      <c r="I4377" s="1406">
        <v>1000</v>
      </c>
      <c r="J4377" s="1407">
        <v>0.20699999999999999</v>
      </c>
      <c r="K4377" s="1228">
        <v>3.65</v>
      </c>
      <c r="L4377" s="415">
        <v>816</v>
      </c>
      <c r="M4377" s="415">
        <v>4.93</v>
      </c>
      <c r="N4377" s="415">
        <v>1.75</v>
      </c>
      <c r="O4377" s="415">
        <v>4.1900000000000004</v>
      </c>
      <c r="P4377" s="415">
        <v>7.62</v>
      </c>
      <c r="R4377" s="1405">
        <v>1.787112</v>
      </c>
      <c r="S4377" s="415">
        <v>16.200000000000003</v>
      </c>
      <c r="Y4377" s="415">
        <v>20</v>
      </c>
      <c r="AA4377" s="415">
        <v>4.3499999999999996</v>
      </c>
      <c r="AB4377" s="415">
        <v>0.83899999999999997</v>
      </c>
      <c r="AC4377" s="415">
        <v>11.6</v>
      </c>
      <c r="AD4377" s="1408">
        <v>400</v>
      </c>
      <c r="AE4377" s="1408">
        <v>300</v>
      </c>
      <c r="AF4377" s="1408">
        <v>300</v>
      </c>
      <c r="AG4377" s="66">
        <f t="shared" si="161"/>
        <v>64.60499999999999</v>
      </c>
      <c r="AH4377" s="143">
        <f t="shared" si="162"/>
        <v>1000</v>
      </c>
    </row>
    <row r="4378" spans="1:34" s="415" customFormat="1" x14ac:dyDescent="0.3">
      <c r="A4378" s="415">
        <v>103004</v>
      </c>
      <c r="B4378" s="1228">
        <v>1.533333333333333</v>
      </c>
      <c r="C4378" s="1228"/>
      <c r="D4378" s="1405">
        <v>7.58</v>
      </c>
      <c r="E4378" s="1585">
        <v>1.502</v>
      </c>
      <c r="F4378" s="1406">
        <v>1688.2480000000003</v>
      </c>
      <c r="H4378" s="1406">
        <v>541</v>
      </c>
      <c r="I4378" s="1406">
        <v>1290</v>
      </c>
      <c r="J4378" s="1407">
        <v>0.51900000000000002</v>
      </c>
      <c r="K4378" s="1228">
        <v>4.6100000000000003</v>
      </c>
      <c r="L4378" s="415">
        <v>1020</v>
      </c>
      <c r="M4378" s="415">
        <v>8.66</v>
      </c>
      <c r="N4378" s="415">
        <v>2.04</v>
      </c>
      <c r="O4378" s="415">
        <v>4.07</v>
      </c>
      <c r="P4378" s="415">
        <v>10.63</v>
      </c>
      <c r="R4378" s="1405">
        <v>1.8793370000000003</v>
      </c>
      <c r="S4378" s="415">
        <v>19.3</v>
      </c>
      <c r="Y4378" s="415">
        <v>29.4</v>
      </c>
      <c r="AA4378" s="415">
        <v>4.13</v>
      </c>
      <c r="AB4378" s="415">
        <v>0.249</v>
      </c>
      <c r="AC4378" s="415">
        <v>6.2</v>
      </c>
      <c r="AD4378" s="1408">
        <v>420</v>
      </c>
      <c r="AE4378" s="1408">
        <v>300</v>
      </c>
      <c r="AF4378" s="1408">
        <v>280</v>
      </c>
      <c r="AG4378" s="66">
        <f t="shared" si="161"/>
        <v>55.508163265306131</v>
      </c>
      <c r="AH4378" s="143">
        <f t="shared" si="162"/>
        <v>1000</v>
      </c>
    </row>
    <row r="4379" spans="1:34" s="415" customFormat="1" x14ac:dyDescent="0.3">
      <c r="A4379" s="415">
        <v>103005</v>
      </c>
      <c r="B4379" s="1228">
        <v>28.166666666666661</v>
      </c>
      <c r="C4379" s="1228">
        <v>9</v>
      </c>
      <c r="D4379" s="1405">
        <v>8.31</v>
      </c>
      <c r="E4379" s="1585">
        <v>0.34699999999999998</v>
      </c>
      <c r="F4379" s="1406">
        <v>390.02800000000002</v>
      </c>
      <c r="H4379" s="1406">
        <v>63.17</v>
      </c>
      <c r="I4379" s="1406">
        <v>410</v>
      </c>
      <c r="J4379" s="1407">
        <v>0.1</v>
      </c>
      <c r="K4379" s="1228">
        <v>8.69</v>
      </c>
      <c r="L4379" s="415">
        <v>423</v>
      </c>
      <c r="M4379" s="415">
        <v>0.88</v>
      </c>
      <c r="N4379" s="415">
        <v>0.55000000000000004</v>
      </c>
      <c r="O4379" s="415">
        <v>1.76</v>
      </c>
      <c r="P4379" s="415">
        <v>1.67</v>
      </c>
      <c r="R4379" s="1405">
        <v>0.94297100016356972</v>
      </c>
      <c r="S4379" s="415">
        <v>6.3</v>
      </c>
      <c r="Y4379" s="415">
        <v>37.5</v>
      </c>
      <c r="AA4379" s="415">
        <v>4.97</v>
      </c>
      <c r="AB4379" s="415">
        <v>0.44900000000000001</v>
      </c>
      <c r="AC4379" s="415">
        <v>11.3</v>
      </c>
      <c r="AD4379" s="1408">
        <v>570</v>
      </c>
      <c r="AE4379" s="1408">
        <v>310</v>
      </c>
      <c r="AF4379" s="1408">
        <v>120</v>
      </c>
      <c r="AG4379" s="66">
        <f t="shared" si="161"/>
        <v>82.033599999999993</v>
      </c>
      <c r="AH4379" s="143">
        <f t="shared" si="162"/>
        <v>1000</v>
      </c>
    </row>
    <row r="4380" spans="1:34" s="415" customFormat="1" x14ac:dyDescent="0.3">
      <c r="A4380" s="415">
        <v>103006</v>
      </c>
      <c r="B4380" s="1228">
        <v>0.93333333333333324</v>
      </c>
      <c r="C4380" s="1228"/>
      <c r="D4380" s="1405">
        <v>8.01</v>
      </c>
      <c r="E4380" s="1585">
        <v>0.23300000000000001</v>
      </c>
      <c r="F4380" s="1406">
        <v>261.89200000000005</v>
      </c>
      <c r="H4380" s="1406">
        <v>296.04000000000002</v>
      </c>
      <c r="I4380" s="1406">
        <v>270</v>
      </c>
      <c r="J4380" s="1407">
        <v>4.7E-2</v>
      </c>
      <c r="K4380" s="1228">
        <v>4.29</v>
      </c>
      <c r="L4380" s="415">
        <v>579</v>
      </c>
      <c r="M4380" s="415">
        <v>2.83</v>
      </c>
      <c r="N4380" s="415">
        <v>0.63</v>
      </c>
      <c r="O4380" s="415">
        <v>0.94</v>
      </c>
      <c r="P4380" s="415">
        <v>5.57</v>
      </c>
      <c r="R4380" s="1405">
        <v>0.88258676924327129</v>
      </c>
      <c r="S4380" s="415">
        <v>6.3</v>
      </c>
      <c r="Y4380" s="415">
        <v>24.6</v>
      </c>
      <c r="AA4380" s="415">
        <v>4.7699999999999996</v>
      </c>
      <c r="AB4380" s="415">
        <v>0.76900000000000002</v>
      </c>
      <c r="AC4380" s="415">
        <v>11</v>
      </c>
      <c r="AD4380" s="1408">
        <v>410</v>
      </c>
      <c r="AE4380" s="1408">
        <v>340</v>
      </c>
      <c r="AF4380" s="1408">
        <v>250</v>
      </c>
      <c r="AG4380" s="66">
        <f t="shared" si="161"/>
        <v>61.734146341463415</v>
      </c>
      <c r="AH4380" s="143">
        <f t="shared" si="162"/>
        <v>1000</v>
      </c>
    </row>
    <row r="4381" spans="1:34" s="415" customFormat="1" x14ac:dyDescent="0.3">
      <c r="A4381" s="415">
        <v>103007</v>
      </c>
      <c r="B4381" s="1228">
        <v>0.66666666666666663</v>
      </c>
      <c r="C4381" s="1228"/>
      <c r="D4381" s="1405">
        <v>8.0500000000000007</v>
      </c>
      <c r="E4381" s="1585">
        <v>0.32500000000000001</v>
      </c>
      <c r="F4381" s="1406">
        <v>365.3</v>
      </c>
      <c r="H4381" s="1406">
        <v>223.73</v>
      </c>
      <c r="I4381" s="1406">
        <v>410</v>
      </c>
      <c r="J4381" s="1407">
        <v>0.09</v>
      </c>
      <c r="K4381" s="1228">
        <v>3.41</v>
      </c>
      <c r="L4381" s="415">
        <v>537</v>
      </c>
      <c r="M4381" s="415">
        <v>3.25</v>
      </c>
      <c r="N4381" s="415">
        <v>0.99</v>
      </c>
      <c r="O4381" s="415">
        <v>1.56</v>
      </c>
      <c r="P4381" s="415">
        <v>6.69</v>
      </c>
      <c r="R4381" s="1405">
        <v>1.3853914161591925</v>
      </c>
      <c r="S4381" s="415">
        <v>10.199999999999999</v>
      </c>
      <c r="Y4381" s="415">
        <v>30.1</v>
      </c>
      <c r="AA4381" s="415">
        <v>4.04</v>
      </c>
      <c r="AB4381" s="415">
        <v>0.375</v>
      </c>
      <c r="AC4381" s="415">
        <v>8.4</v>
      </c>
      <c r="AD4381" s="1408">
        <v>430</v>
      </c>
      <c r="AE4381" s="1408">
        <v>310</v>
      </c>
      <c r="AF4381" s="1408">
        <v>260</v>
      </c>
      <c r="AG4381" s="66">
        <f t="shared" si="161"/>
        <v>40.104318936877078</v>
      </c>
      <c r="AH4381" s="143">
        <f t="shared" si="162"/>
        <v>1000</v>
      </c>
    </row>
    <row r="4382" spans="1:34" s="415" customFormat="1" x14ac:dyDescent="0.3">
      <c r="A4382" s="415">
        <v>103008</v>
      </c>
      <c r="B4382" s="1228">
        <v>1.5</v>
      </c>
      <c r="C4382" s="1228"/>
      <c r="D4382" s="1405">
        <v>8.0399999999999991</v>
      </c>
      <c r="E4382" s="1585">
        <v>0.20300000000000001</v>
      </c>
      <c r="F4382" s="1406">
        <v>228.17200000000003</v>
      </c>
      <c r="H4382" s="1406">
        <v>328.11</v>
      </c>
      <c r="I4382" s="1406">
        <v>290</v>
      </c>
      <c r="J4382" s="1407">
        <v>3.5999999999999997E-2</v>
      </c>
      <c r="K4382" s="1228">
        <v>4.7300000000000004</v>
      </c>
      <c r="L4382" s="415">
        <v>525</v>
      </c>
      <c r="M4382" s="415">
        <v>4.3600000000000003</v>
      </c>
      <c r="N4382" s="415">
        <v>1.1200000000000001</v>
      </c>
      <c r="O4382" s="415">
        <v>1.43</v>
      </c>
      <c r="P4382" s="415">
        <v>17.7</v>
      </c>
      <c r="R4382" s="1405">
        <v>1.7544919999999999</v>
      </c>
      <c r="S4382" s="415">
        <v>15.2</v>
      </c>
      <c r="Y4382" s="415">
        <v>28.7</v>
      </c>
      <c r="AA4382" s="415">
        <v>4.41</v>
      </c>
      <c r="AB4382" s="415">
        <v>0.80900000000000005</v>
      </c>
      <c r="AC4382" s="415">
        <v>10.5</v>
      </c>
      <c r="AD4382" s="1408">
        <v>410</v>
      </c>
      <c r="AE4382" s="1408">
        <v>320</v>
      </c>
      <c r="AF4382" s="1408">
        <v>270</v>
      </c>
      <c r="AG4382" s="66">
        <f t="shared" si="161"/>
        <v>58.342160278745659</v>
      </c>
      <c r="AH4382" s="143">
        <f t="shared" si="162"/>
        <v>1000</v>
      </c>
    </row>
    <row r="4383" spans="1:34" s="1905" customFormat="1" x14ac:dyDescent="0.3">
      <c r="A4383" s="1408">
        <v>103009</v>
      </c>
      <c r="D4383" s="1906"/>
      <c r="E4383" s="1907"/>
      <c r="F4383" s="1908"/>
      <c r="G4383" s="1908"/>
      <c r="H4383" s="1908"/>
      <c r="I4383" s="1406"/>
      <c r="J4383" s="1909"/>
      <c r="N4383" s="415"/>
      <c r="O4383" s="1907"/>
      <c r="P4383" s="415"/>
      <c r="Q4383" s="1910"/>
      <c r="R4383" s="1405"/>
      <c r="S4383" s="1911"/>
      <c r="T4383" s="1912"/>
      <c r="U4383" s="1913"/>
      <c r="AC4383" s="1914"/>
      <c r="AD4383" s="1408"/>
      <c r="AE4383" s="1408"/>
      <c r="AF4383" s="1408"/>
      <c r="AG4383" s="66" t="e">
        <f t="shared" si="161"/>
        <v>#DIV/0!</v>
      </c>
      <c r="AH4383" s="143">
        <f t="shared" si="162"/>
        <v>0</v>
      </c>
    </row>
    <row r="4384" spans="1:34" s="1915" customFormat="1" x14ac:dyDescent="0.3">
      <c r="A4384" s="1069">
        <v>103010</v>
      </c>
      <c r="B4384" s="1918">
        <v>11.5</v>
      </c>
      <c r="C4384" s="1918">
        <v>5.9</v>
      </c>
      <c r="D4384" s="1916">
        <v>8.58</v>
      </c>
      <c r="E4384" s="1923">
        <v>0.16600000000000001</v>
      </c>
      <c r="F4384" s="1917">
        <v>201</v>
      </c>
      <c r="G4384" s="1917"/>
      <c r="H4384" s="1917">
        <v>31.44</v>
      </c>
      <c r="I4384" s="1072">
        <v>400</v>
      </c>
      <c r="J4384" s="1193">
        <v>8.1000000000000003E-2</v>
      </c>
      <c r="K4384" s="1193">
        <v>11.4</v>
      </c>
      <c r="L4384" s="1193">
        <v>431</v>
      </c>
      <c r="M4384" s="1918">
        <v>0.76</v>
      </c>
      <c r="N4384" s="1069">
        <v>1.7</v>
      </c>
      <c r="O4384" s="1922">
        <v>8.4499999999999993</v>
      </c>
      <c r="P4384" s="1069">
        <v>9.18</v>
      </c>
      <c r="Q4384" s="1919"/>
      <c r="R4384" s="1071">
        <v>1.82</v>
      </c>
      <c r="S4384" s="1120">
        <v>17.5</v>
      </c>
      <c r="T4384" s="1920"/>
      <c r="U4384" s="1921"/>
      <c r="Y4384" s="1895">
        <v>32.4</v>
      </c>
      <c r="AA4384" s="1071">
        <v>3.8</v>
      </c>
      <c r="AB4384" s="1071">
        <v>0.75800000000000001</v>
      </c>
      <c r="AC4384" s="1069">
        <v>10.9</v>
      </c>
      <c r="AD4384" s="1074">
        <v>540</v>
      </c>
      <c r="AE4384" s="1074">
        <v>340</v>
      </c>
      <c r="AF4384" s="1074">
        <v>120</v>
      </c>
      <c r="AG4384" s="66">
        <f t="shared" si="161"/>
        <v>124.55555555555557</v>
      </c>
      <c r="AH4384" s="143">
        <f t="shared" si="162"/>
        <v>1000</v>
      </c>
    </row>
    <row r="4385" spans="1:34" s="1032" customFormat="1" x14ac:dyDescent="0.3">
      <c r="A4385" s="1032">
        <v>103011</v>
      </c>
      <c r="B4385" s="1018">
        <v>11.666666666666666</v>
      </c>
      <c r="C4385" s="1018">
        <v>5.125</v>
      </c>
      <c r="D4385" s="1019">
        <v>8.26</v>
      </c>
      <c r="E4385" s="1579">
        <v>0.13900000000000001</v>
      </c>
      <c r="F4385" s="1017">
        <v>157.42583999999999</v>
      </c>
      <c r="H4385" s="1017">
        <v>23.99</v>
      </c>
      <c r="I4385" s="1017">
        <v>230</v>
      </c>
      <c r="J4385" s="1305">
        <v>8.4000000000000005E-2</v>
      </c>
      <c r="K4385" s="1018">
        <v>13.08</v>
      </c>
      <c r="L4385" s="1032">
        <v>1123</v>
      </c>
      <c r="M4385" s="1032">
        <v>0.57999999999999996</v>
      </c>
      <c r="N4385" s="1032">
        <v>0.82</v>
      </c>
      <c r="O4385" s="1032">
        <v>2.57</v>
      </c>
      <c r="P4385" s="1032">
        <v>6.15</v>
      </c>
      <c r="R4385" s="1019">
        <v>1.7135000000000002</v>
      </c>
      <c r="S4385" s="1018">
        <v>14</v>
      </c>
      <c r="Y4385" s="1032">
        <v>36.4</v>
      </c>
      <c r="AA4385" s="1019">
        <v>3.7</v>
      </c>
      <c r="AB4385" s="1019">
        <v>0.56100000000000005</v>
      </c>
      <c r="AC4385" s="1019">
        <v>8.3000000000000007</v>
      </c>
      <c r="AD4385" s="1033">
        <v>520</v>
      </c>
      <c r="AE4385" s="1033">
        <v>360</v>
      </c>
      <c r="AF4385" s="1033">
        <v>120</v>
      </c>
      <c r="AG4385" s="66">
        <f t="shared" si="161"/>
        <v>127.20659340659343</v>
      </c>
      <c r="AH4385" s="143">
        <f t="shared" si="162"/>
        <v>1000</v>
      </c>
    </row>
    <row r="4386" spans="1:34" s="1032" customFormat="1" x14ac:dyDescent="0.3">
      <c r="A4386" s="1032">
        <v>103012</v>
      </c>
      <c r="B4386" s="1018">
        <v>14.166666666666666</v>
      </c>
      <c r="C4386" s="1018">
        <v>5.8749999999999991</v>
      </c>
      <c r="D4386" s="1019">
        <v>8.5</v>
      </c>
      <c r="E4386" s="1579">
        <v>0.13200000000000001</v>
      </c>
      <c r="F4386" s="1017">
        <v>149.49791999999999</v>
      </c>
      <c r="H4386" s="1017">
        <v>10.9</v>
      </c>
      <c r="I4386" s="1017">
        <v>180</v>
      </c>
      <c r="J4386" s="1305">
        <v>7.0999999999999994E-2</v>
      </c>
      <c r="K4386" s="1018">
        <v>13.51</v>
      </c>
      <c r="L4386" s="1032">
        <v>819</v>
      </c>
      <c r="M4386" s="1032">
        <v>0.42</v>
      </c>
      <c r="N4386" s="1032">
        <v>0.53</v>
      </c>
      <c r="O4386" s="1032">
        <v>2.3199999999999998</v>
      </c>
      <c r="P4386" s="1032">
        <v>4.17</v>
      </c>
      <c r="R4386" s="1019">
        <v>1.6850520000000002</v>
      </c>
      <c r="S4386" s="1018">
        <v>13.200000000000001</v>
      </c>
      <c r="Y4386" s="1032">
        <v>35.700000000000003</v>
      </c>
      <c r="AA4386" s="1019">
        <v>4.33</v>
      </c>
      <c r="AB4386" s="1019">
        <v>0.59199999999999997</v>
      </c>
      <c r="AC4386" s="1019">
        <v>9.3000000000000007</v>
      </c>
      <c r="AD4386" s="1033">
        <v>510</v>
      </c>
      <c r="AE4386" s="1033">
        <v>330</v>
      </c>
      <c r="AF4386" s="1033">
        <v>160</v>
      </c>
      <c r="AG4386" s="66">
        <f t="shared" si="161"/>
        <v>133.96470588235292</v>
      </c>
      <c r="AH4386" s="143">
        <f t="shared" si="162"/>
        <v>1000</v>
      </c>
    </row>
    <row r="4387" spans="1:34" s="1032" customFormat="1" x14ac:dyDescent="0.3">
      <c r="A4387" s="1032">
        <v>103013</v>
      </c>
      <c r="B4387" s="1018">
        <v>0.26666666666666666</v>
      </c>
      <c r="C4387" s="1018"/>
      <c r="D4387" s="1019">
        <v>8.14</v>
      </c>
      <c r="E4387" s="1579">
        <v>0.104</v>
      </c>
      <c r="F4387" s="1017">
        <v>117.78624000000001</v>
      </c>
      <c r="H4387" s="1017">
        <v>9.17</v>
      </c>
      <c r="I4387" s="1017">
        <v>260</v>
      </c>
      <c r="J4387" s="1305">
        <v>5.8999999999999997E-2</v>
      </c>
      <c r="K4387" s="1018">
        <v>7.01</v>
      </c>
      <c r="L4387" s="1032">
        <v>538</v>
      </c>
      <c r="M4387" s="1032">
        <v>0.51</v>
      </c>
      <c r="N4387" s="1032">
        <v>1.46</v>
      </c>
      <c r="O4387" s="1032">
        <v>17.29</v>
      </c>
      <c r="P4387" s="1032">
        <v>3.85</v>
      </c>
      <c r="R4387" s="1019">
        <v>1.6022000000000001</v>
      </c>
      <c r="S4387" s="1018">
        <v>11</v>
      </c>
      <c r="Y4387" s="1032">
        <v>26.5</v>
      </c>
      <c r="AA4387" s="1019">
        <v>3.94</v>
      </c>
      <c r="AB4387" s="1019">
        <v>0.65</v>
      </c>
      <c r="AC4387" s="1019">
        <v>8.9</v>
      </c>
      <c r="AD4387" s="1033">
        <v>530</v>
      </c>
      <c r="AE4387" s="1033">
        <v>360</v>
      </c>
      <c r="AF4387" s="1033">
        <v>110</v>
      </c>
      <c r="AG4387" s="66">
        <f t="shared" si="161"/>
        <v>93.643018867924525</v>
      </c>
      <c r="AH4387" s="143">
        <f t="shared" si="162"/>
        <v>1000</v>
      </c>
    </row>
    <row r="4388" spans="1:34" s="1032" customFormat="1" x14ac:dyDescent="0.3">
      <c r="A4388" s="1032">
        <v>103014</v>
      </c>
      <c r="B4388" s="1018">
        <v>0.26666666666666666</v>
      </c>
      <c r="C4388" s="1018"/>
      <c r="D4388" s="1019">
        <v>8.16</v>
      </c>
      <c r="E4388" s="1579">
        <v>0.109</v>
      </c>
      <c r="F4388" s="1017">
        <v>123.44904</v>
      </c>
      <c r="H4388" s="1017">
        <v>12.36</v>
      </c>
      <c r="I4388" s="1017">
        <v>230</v>
      </c>
      <c r="J4388" s="1305">
        <v>7.9000000000000001E-2</v>
      </c>
      <c r="K4388" s="1018">
        <v>5.72</v>
      </c>
      <c r="L4388" s="1032">
        <v>776</v>
      </c>
      <c r="M4388" s="1032">
        <v>0.88</v>
      </c>
      <c r="N4388" s="1032">
        <v>1.85</v>
      </c>
      <c r="O4388" s="1032">
        <v>24.21</v>
      </c>
      <c r="P4388" s="1032">
        <v>4.8</v>
      </c>
      <c r="R4388" s="1019">
        <v>1.6594250000000001</v>
      </c>
      <c r="S4388" s="1018">
        <v>12.5</v>
      </c>
      <c r="Y4388" s="67">
        <v>23</v>
      </c>
      <c r="AA4388" s="1019">
        <v>3.55</v>
      </c>
      <c r="AB4388" s="1019">
        <v>0.78300000000000003</v>
      </c>
      <c r="AC4388" s="1019">
        <v>8.1</v>
      </c>
      <c r="AD4388" s="1033">
        <v>500</v>
      </c>
      <c r="AE4388" s="1033">
        <v>360</v>
      </c>
      <c r="AF4388" s="1033">
        <v>140</v>
      </c>
      <c r="AG4388" s="66">
        <f t="shared" si="161"/>
        <v>88.038260869565207</v>
      </c>
      <c r="AH4388" s="143">
        <f t="shared" si="162"/>
        <v>1000</v>
      </c>
    </row>
    <row r="4389" spans="1:34" s="1032" customFormat="1" x14ac:dyDescent="0.3">
      <c r="A4389" s="1032">
        <v>103015</v>
      </c>
      <c r="B4389" s="1018">
        <v>2.2999999999999998</v>
      </c>
      <c r="C4389" s="1018"/>
      <c r="D4389" s="1019">
        <v>8.4499999999999993</v>
      </c>
      <c r="E4389" s="1579">
        <v>0.14699999999999999</v>
      </c>
      <c r="F4389" s="1017">
        <v>166.48632000000001</v>
      </c>
      <c r="H4389" s="1017">
        <v>13.6</v>
      </c>
      <c r="I4389" s="1017">
        <v>250</v>
      </c>
      <c r="J4389" s="1305">
        <v>6.5000000000000002E-2</v>
      </c>
      <c r="K4389" s="1018">
        <v>9.5299999999999994</v>
      </c>
      <c r="L4389" s="1032">
        <v>497</v>
      </c>
      <c r="M4389" s="1032">
        <v>0.57999999999999996</v>
      </c>
      <c r="N4389" s="1032">
        <v>1.41</v>
      </c>
      <c r="O4389" s="1032">
        <v>9.3800000000000008</v>
      </c>
      <c r="P4389" s="1032">
        <v>3.38</v>
      </c>
      <c r="R4389" s="1019">
        <v>1.6993880000000001</v>
      </c>
      <c r="S4389" s="1018">
        <v>13.600000000000001</v>
      </c>
      <c r="Y4389" s="1032">
        <v>33</v>
      </c>
      <c r="AA4389" s="1019">
        <v>4.1900000000000004</v>
      </c>
      <c r="AB4389" s="1019">
        <v>0.497</v>
      </c>
      <c r="AC4389" s="1019">
        <v>8.6999999999999993</v>
      </c>
      <c r="AD4389" s="1033">
        <v>550</v>
      </c>
      <c r="AE4389" s="1033">
        <v>320</v>
      </c>
      <c r="AF4389" s="1033">
        <v>130</v>
      </c>
      <c r="AG4389" s="66">
        <f t="shared" si="161"/>
        <v>102.23090909090909</v>
      </c>
      <c r="AH4389" s="143">
        <f t="shared" si="162"/>
        <v>1000</v>
      </c>
    </row>
    <row r="4390" spans="1:34" s="1032" customFormat="1" x14ac:dyDescent="0.3">
      <c r="A4390" s="1032">
        <v>103016</v>
      </c>
      <c r="B4390" s="1018">
        <v>0.66666666666666663</v>
      </c>
      <c r="C4390" s="1018"/>
      <c r="D4390" s="1019">
        <v>7.65</v>
      </c>
      <c r="E4390" s="1579">
        <v>0.161</v>
      </c>
      <c r="F4390" s="1017">
        <v>182.34216000000001</v>
      </c>
      <c r="H4390" s="1017">
        <v>20.3</v>
      </c>
      <c r="I4390" s="1017">
        <v>240</v>
      </c>
      <c r="J4390" s="1305">
        <v>7.2999999999999995E-2</v>
      </c>
      <c r="K4390" s="1018">
        <v>7.3</v>
      </c>
      <c r="L4390" s="1032">
        <v>851</v>
      </c>
      <c r="M4390" s="1032">
        <v>0.49</v>
      </c>
      <c r="N4390" s="1032">
        <v>1.42</v>
      </c>
      <c r="O4390" s="1032">
        <v>6.39</v>
      </c>
      <c r="P4390" s="1032">
        <v>2.39</v>
      </c>
      <c r="R4390" s="1019">
        <v>1.651977</v>
      </c>
      <c r="S4390" s="1018">
        <v>12.3</v>
      </c>
      <c r="Y4390" s="1032">
        <v>35.200000000000003</v>
      </c>
      <c r="AA4390" s="1019">
        <v>3.48</v>
      </c>
      <c r="AB4390" s="1019">
        <v>0.874</v>
      </c>
      <c r="AC4390" s="1019">
        <v>9.1999999999999993</v>
      </c>
      <c r="AD4390" s="1033">
        <v>540</v>
      </c>
      <c r="AE4390" s="1033">
        <v>330</v>
      </c>
      <c r="AF4390" s="1033">
        <v>130</v>
      </c>
      <c r="AG4390" s="66">
        <f t="shared" si="161"/>
        <v>73.41477272727272</v>
      </c>
      <c r="AH4390" s="143">
        <f t="shared" si="162"/>
        <v>1000</v>
      </c>
    </row>
    <row r="4391" spans="1:34" s="1032" customFormat="1" x14ac:dyDescent="0.3">
      <c r="A4391" s="1032">
        <v>103017</v>
      </c>
      <c r="B4391" s="1018">
        <v>1.3666666666666665</v>
      </c>
      <c r="C4391" s="1018"/>
      <c r="D4391" s="1019">
        <v>8.1199999999999992</v>
      </c>
      <c r="E4391" s="1579">
        <v>0.16800000000000001</v>
      </c>
      <c r="F4391" s="1017">
        <v>190.27008000000001</v>
      </c>
      <c r="H4391" s="1017">
        <v>257.27999999999997</v>
      </c>
      <c r="I4391" s="1017">
        <v>680</v>
      </c>
      <c r="J4391" s="1305">
        <v>1.0999999999999999E-2</v>
      </c>
      <c r="K4391" s="1018">
        <v>5.74</v>
      </c>
      <c r="L4391" s="1032">
        <v>1385</v>
      </c>
      <c r="M4391" s="1032">
        <v>13.03</v>
      </c>
      <c r="N4391" s="1032">
        <v>21.06</v>
      </c>
      <c r="O4391" s="1032">
        <v>4.33</v>
      </c>
      <c r="P4391" s="1032">
        <v>8.7100000000000009</v>
      </c>
      <c r="R4391" s="1019">
        <v>2.1414170000000001</v>
      </c>
      <c r="S4391" s="1018">
        <v>35.299999999999997</v>
      </c>
      <c r="Y4391" s="1032">
        <v>30.1</v>
      </c>
      <c r="AA4391" s="1019">
        <v>4.87</v>
      </c>
      <c r="AB4391" s="1019">
        <v>0.53200000000000003</v>
      </c>
      <c r="AC4391" s="1019">
        <v>7.4</v>
      </c>
      <c r="AD4391" s="1033">
        <v>540</v>
      </c>
      <c r="AE4391" s="1033">
        <v>310</v>
      </c>
      <c r="AF4391" s="1033">
        <v>150</v>
      </c>
      <c r="AG4391" s="66">
        <f t="shared" si="161"/>
        <v>67.506976744186048</v>
      </c>
      <c r="AH4391" s="143">
        <f t="shared" si="162"/>
        <v>1000</v>
      </c>
    </row>
    <row r="4392" spans="1:34" s="1032" customFormat="1" x14ac:dyDescent="0.3">
      <c r="A4392" s="1032">
        <v>103018</v>
      </c>
      <c r="B4392" s="1018">
        <v>1.7833333333333332</v>
      </c>
      <c r="C4392" s="1018"/>
      <c r="D4392" s="1019">
        <v>8.02</v>
      </c>
      <c r="E4392" s="1579">
        <v>0.27100000000000002</v>
      </c>
      <c r="F4392" s="1017">
        <v>306.92376000000002</v>
      </c>
      <c r="H4392" s="1017">
        <v>109.35</v>
      </c>
      <c r="I4392" s="1017">
        <v>690</v>
      </c>
      <c r="J4392" s="1305">
        <v>1.4E-2</v>
      </c>
      <c r="K4392" s="1018">
        <v>5.77</v>
      </c>
      <c r="L4392" s="1032">
        <v>1166</v>
      </c>
      <c r="M4392" s="1032">
        <v>2.42</v>
      </c>
      <c r="N4392" s="1032">
        <v>5.15</v>
      </c>
      <c r="O4392" s="1032">
        <v>7.22</v>
      </c>
      <c r="P4392" s="1032">
        <v>6.33</v>
      </c>
      <c r="R4392" s="1019">
        <v>1.9242000000000001</v>
      </c>
      <c r="S4392" s="1018">
        <v>21</v>
      </c>
      <c r="Y4392" s="1032">
        <v>30.4</v>
      </c>
      <c r="AA4392" s="1019">
        <v>4.09</v>
      </c>
      <c r="AB4392" s="1019">
        <v>0.56200000000000006</v>
      </c>
      <c r="AC4392" s="1019">
        <v>12</v>
      </c>
      <c r="AD4392" s="1033">
        <v>500</v>
      </c>
      <c r="AE4392" s="1033">
        <v>350</v>
      </c>
      <c r="AF4392" s="1033">
        <v>150</v>
      </c>
      <c r="AG4392" s="66">
        <f t="shared" si="161"/>
        <v>67.190131578947373</v>
      </c>
      <c r="AH4392" s="143">
        <f t="shared" si="162"/>
        <v>1000</v>
      </c>
    </row>
    <row r="4393" spans="1:34" s="1032" customFormat="1" x14ac:dyDescent="0.3">
      <c r="A4393" s="1032">
        <v>103019</v>
      </c>
      <c r="B4393" s="1018">
        <v>2.9444444444444442</v>
      </c>
      <c r="C4393" s="1018"/>
      <c r="D4393" s="1019">
        <v>8.44</v>
      </c>
      <c r="E4393" s="1579">
        <v>0.11899999999999999</v>
      </c>
      <c r="F4393" s="1017">
        <v>134.77464000000001</v>
      </c>
      <c r="H4393" s="1017">
        <v>11.47</v>
      </c>
      <c r="I4393" s="1017">
        <v>170</v>
      </c>
      <c r="J4393" s="1305">
        <v>1.2999999999999999E-2</v>
      </c>
      <c r="K4393" s="1018">
        <v>6.69</v>
      </c>
      <c r="L4393" s="1032">
        <v>1010.9999999999999</v>
      </c>
      <c r="M4393" s="1032">
        <v>0.48</v>
      </c>
      <c r="N4393" s="1032">
        <v>0.62</v>
      </c>
      <c r="O4393" s="1032">
        <v>5.47</v>
      </c>
      <c r="P4393" s="1032">
        <v>4.88</v>
      </c>
      <c r="R4393" s="1019">
        <v>1.8452330000000001</v>
      </c>
      <c r="S4393" s="1018">
        <v>18.100000000000001</v>
      </c>
      <c r="Y4393" s="1032">
        <v>24</v>
      </c>
      <c r="AA4393" s="1019">
        <v>3.93</v>
      </c>
      <c r="AB4393" s="1019">
        <v>0.871</v>
      </c>
      <c r="AC4393" s="1019">
        <v>6.2</v>
      </c>
      <c r="AD4393" s="1033">
        <v>480</v>
      </c>
      <c r="AE4393" s="1033">
        <v>280</v>
      </c>
      <c r="AF4393" s="1033">
        <v>240</v>
      </c>
      <c r="AG4393" s="66">
        <f t="shared" si="161"/>
        <v>98.677500000000009</v>
      </c>
      <c r="AH4393" s="143">
        <f t="shared" si="162"/>
        <v>1000</v>
      </c>
    </row>
    <row r="4394" spans="1:34" s="1032" customFormat="1" x14ac:dyDescent="0.3">
      <c r="A4394" s="1032">
        <v>103020</v>
      </c>
      <c r="B4394" s="1018">
        <v>1.1166666666666667</v>
      </c>
      <c r="C4394" s="1018"/>
      <c r="D4394" s="1019">
        <v>7.99</v>
      </c>
      <c r="E4394" s="1579">
        <v>0.11600000000000001</v>
      </c>
      <c r="F4394" s="1017">
        <v>131.37696</v>
      </c>
      <c r="H4394" s="1017">
        <v>19.46</v>
      </c>
      <c r="I4394" s="1017">
        <v>220</v>
      </c>
      <c r="J4394" s="1305">
        <v>1.7999999999999999E-2</v>
      </c>
      <c r="K4394" s="1018">
        <v>5.74</v>
      </c>
      <c r="L4394" s="1032">
        <v>1544</v>
      </c>
      <c r="M4394" s="1032">
        <v>0.85</v>
      </c>
      <c r="N4394" s="1032">
        <v>0.63</v>
      </c>
      <c r="O4394" s="1032">
        <v>6.1</v>
      </c>
      <c r="P4394" s="1032">
        <v>6.3</v>
      </c>
      <c r="R4394" s="1019">
        <v>1.9557770000000001</v>
      </c>
      <c r="S4394" s="1018">
        <v>22.3</v>
      </c>
      <c r="Y4394" s="1032">
        <v>37.799999999999997</v>
      </c>
      <c r="AA4394" s="1019">
        <v>3.73</v>
      </c>
      <c r="AB4394" s="1019">
        <v>0.41099999999999998</v>
      </c>
      <c r="AC4394" s="1019">
        <v>6.2</v>
      </c>
      <c r="AD4394" s="1033">
        <v>540</v>
      </c>
      <c r="AE4394" s="1033">
        <v>330</v>
      </c>
      <c r="AF4394" s="1033">
        <v>130</v>
      </c>
      <c r="AG4394" s="66">
        <f t="shared" si="161"/>
        <v>53.75555555555556</v>
      </c>
      <c r="AH4394" s="143">
        <f t="shared" si="162"/>
        <v>1000</v>
      </c>
    </row>
    <row r="4395" spans="1:34" s="1032" customFormat="1" x14ac:dyDescent="0.3">
      <c r="A4395" s="1032">
        <v>103021</v>
      </c>
      <c r="B4395" s="1018">
        <v>0.26666666666666666</v>
      </c>
      <c r="C4395" s="1018"/>
      <c r="D4395" s="1019">
        <v>7.02</v>
      </c>
      <c r="E4395" s="1579">
        <v>0.105</v>
      </c>
      <c r="F4395" s="1017">
        <v>118.9188</v>
      </c>
      <c r="H4395" s="1017">
        <v>11.35</v>
      </c>
      <c r="I4395" s="1017">
        <v>240</v>
      </c>
      <c r="J4395" s="1305">
        <v>3.1E-2</v>
      </c>
      <c r="K4395" s="1018">
        <v>5.43</v>
      </c>
      <c r="L4395" s="1032">
        <v>1679</v>
      </c>
      <c r="M4395" s="1032">
        <v>0.77</v>
      </c>
      <c r="N4395" s="1032">
        <v>1.58</v>
      </c>
      <c r="O4395" s="1032">
        <v>10.19</v>
      </c>
      <c r="P4395" s="1032">
        <v>6.24</v>
      </c>
      <c r="R4395" s="1019">
        <v>2.0098520000000004</v>
      </c>
      <c r="S4395" s="1018">
        <v>24.8</v>
      </c>
      <c r="Y4395" s="1032">
        <v>31.8</v>
      </c>
      <c r="AA4395" s="1019">
        <v>4.0199999999999996</v>
      </c>
      <c r="AB4395" s="1019">
        <v>0.43</v>
      </c>
      <c r="AC4395" s="1019">
        <v>10.4</v>
      </c>
      <c r="AD4395" s="1033">
        <v>530</v>
      </c>
      <c r="AE4395" s="1033">
        <v>350</v>
      </c>
      <c r="AF4395" s="1033">
        <v>120</v>
      </c>
      <c r="AG4395" s="66">
        <f t="shared" si="161"/>
        <v>60.447169811320755</v>
      </c>
      <c r="AH4395" s="143">
        <f t="shared" si="162"/>
        <v>1000</v>
      </c>
    </row>
    <row r="4396" spans="1:34" s="1032" customFormat="1" x14ac:dyDescent="0.3">
      <c r="A4396" s="1032">
        <v>103022</v>
      </c>
      <c r="B4396" s="1018">
        <v>0.2166666666666667</v>
      </c>
      <c r="C4396" s="1018"/>
      <c r="D4396" s="1019">
        <v>8.15</v>
      </c>
      <c r="E4396" s="1579">
        <v>9.9000000000000005E-2</v>
      </c>
      <c r="F4396" s="1017">
        <v>112.12344</v>
      </c>
      <c r="H4396" s="1017">
        <v>22.43</v>
      </c>
      <c r="I4396" s="1017">
        <v>420</v>
      </c>
      <c r="J4396" s="1305">
        <v>2.7E-2</v>
      </c>
      <c r="K4396" s="1018">
        <v>5.75</v>
      </c>
      <c r="L4396" s="1032">
        <v>2054</v>
      </c>
      <c r="M4396" s="1032">
        <v>1.48</v>
      </c>
      <c r="N4396" s="1032">
        <v>1.58</v>
      </c>
      <c r="O4396" s="1032">
        <v>11.04</v>
      </c>
      <c r="P4396" s="1032">
        <v>6.13</v>
      </c>
      <c r="R4396" s="1019">
        <v>1.9463130000000002</v>
      </c>
      <c r="S4396" s="1018">
        <v>21.9</v>
      </c>
      <c r="Y4396" s="1032">
        <v>32.4</v>
      </c>
      <c r="AA4396" s="1019">
        <v>3.54</v>
      </c>
      <c r="AB4396" s="1019">
        <v>0.49299999999999999</v>
      </c>
      <c r="AC4396" s="1019">
        <v>6.4</v>
      </c>
      <c r="AD4396" s="1033">
        <v>540</v>
      </c>
      <c r="AE4396" s="1033">
        <v>350</v>
      </c>
      <c r="AF4396" s="1033">
        <v>110</v>
      </c>
      <c r="AG4396" s="66">
        <f t="shared" si="161"/>
        <v>62.824074074074076</v>
      </c>
      <c r="AH4396" s="143">
        <f t="shared" si="162"/>
        <v>1000</v>
      </c>
    </row>
    <row r="4397" spans="1:34" s="1032" customFormat="1" x14ac:dyDescent="0.3">
      <c r="A4397" s="1032">
        <v>103023</v>
      </c>
      <c r="B4397" s="1018">
        <v>1.0999999999999999</v>
      </c>
      <c r="C4397" s="1018"/>
      <c r="D4397" s="1019">
        <v>8.44</v>
      </c>
      <c r="E4397" s="1579">
        <v>0.122</v>
      </c>
      <c r="F4397" s="1017">
        <v>138.17232000000001</v>
      </c>
      <c r="H4397" s="1017">
        <v>18.18</v>
      </c>
      <c r="I4397" s="1017">
        <v>270</v>
      </c>
      <c r="J4397" s="1305">
        <v>1.7000000000000001E-2</v>
      </c>
      <c r="K4397" s="1018">
        <v>4.24</v>
      </c>
      <c r="L4397" s="1032">
        <v>929</v>
      </c>
      <c r="M4397" s="1032">
        <v>1.02</v>
      </c>
      <c r="N4397" s="1032">
        <v>2.9</v>
      </c>
      <c r="O4397" s="1032">
        <v>9.08</v>
      </c>
      <c r="P4397" s="1032">
        <v>7.11</v>
      </c>
      <c r="R4397" s="1019">
        <v>1.461029665856773</v>
      </c>
      <c r="S4397" s="1018">
        <v>9.6999999999999993</v>
      </c>
      <c r="Y4397" s="1032">
        <v>30.6</v>
      </c>
      <c r="AA4397" s="1019">
        <v>3.61</v>
      </c>
      <c r="AB4397" s="1019">
        <v>0.47699999999999998</v>
      </c>
      <c r="AC4397" s="1019">
        <v>11.9</v>
      </c>
      <c r="AD4397" s="1033">
        <v>510</v>
      </c>
      <c r="AE4397" s="1033">
        <v>340</v>
      </c>
      <c r="AF4397" s="1033">
        <v>150</v>
      </c>
      <c r="AG4397" s="66">
        <f t="shared" si="161"/>
        <v>49.050980392156859</v>
      </c>
      <c r="AH4397" s="143">
        <f t="shared" si="162"/>
        <v>1000</v>
      </c>
    </row>
    <row r="4398" spans="1:34" s="1032" customFormat="1" x14ac:dyDescent="0.3">
      <c r="A4398" s="1032">
        <v>103024</v>
      </c>
      <c r="B4398" s="1018">
        <v>0.33333333333333331</v>
      </c>
      <c r="C4398" s="1018"/>
      <c r="D4398" s="1019">
        <v>8.19</v>
      </c>
      <c r="E4398" s="1579">
        <v>0.106</v>
      </c>
      <c r="F4398" s="1017">
        <v>120.05136</v>
      </c>
      <c r="H4398" s="1017">
        <v>67.47</v>
      </c>
      <c r="I4398" s="1017">
        <v>660</v>
      </c>
      <c r="J4398" s="1305">
        <v>3.1E-2</v>
      </c>
      <c r="K4398" s="1018">
        <v>5.68</v>
      </c>
      <c r="L4398" s="1032">
        <v>1788</v>
      </c>
      <c r="M4398" s="1032">
        <v>1.86</v>
      </c>
      <c r="N4398" s="1032">
        <v>2.95</v>
      </c>
      <c r="O4398" s="1032">
        <v>6.58</v>
      </c>
      <c r="P4398" s="1032">
        <v>15.5</v>
      </c>
      <c r="R4398" s="1019">
        <v>1.9718</v>
      </c>
      <c r="S4398" s="1018">
        <v>23</v>
      </c>
      <c r="Y4398" s="1032">
        <v>26.5</v>
      </c>
      <c r="AA4398" s="1019">
        <v>4.3600000000000003</v>
      </c>
      <c r="AB4398" s="1019">
        <v>0.35199999999999998</v>
      </c>
      <c r="AC4398" s="1019">
        <v>7.9</v>
      </c>
      <c r="AD4398" s="1033">
        <v>530</v>
      </c>
      <c r="AE4398" s="1033">
        <v>330</v>
      </c>
      <c r="AF4398" s="1033">
        <v>140</v>
      </c>
      <c r="AG4398" s="66">
        <f t="shared" si="161"/>
        <v>75.876226415094337</v>
      </c>
      <c r="AH4398" s="143">
        <f t="shared" si="162"/>
        <v>1000</v>
      </c>
    </row>
    <row r="4399" spans="1:34" s="1032" customFormat="1" x14ac:dyDescent="0.3">
      <c r="A4399" s="1032">
        <v>103025</v>
      </c>
      <c r="B4399" s="1018">
        <v>0.31666666666666665</v>
      </c>
      <c r="C4399" s="1018"/>
      <c r="D4399" s="1019">
        <v>8.42</v>
      </c>
      <c r="E4399" s="1579">
        <v>0.93</v>
      </c>
      <c r="F4399" s="1017">
        <v>1053.2808</v>
      </c>
      <c r="H4399" s="1017">
        <v>48.06</v>
      </c>
      <c r="I4399" s="1017">
        <v>580</v>
      </c>
      <c r="J4399" s="1305">
        <v>2.1000000000000001E-2</v>
      </c>
      <c r="K4399" s="1018">
        <v>3.77</v>
      </c>
      <c r="L4399" s="1032">
        <v>1437</v>
      </c>
      <c r="M4399" s="1032">
        <v>1.52</v>
      </c>
      <c r="N4399" s="1032">
        <v>2.69</v>
      </c>
      <c r="O4399" s="1032">
        <v>10.77</v>
      </c>
      <c r="P4399" s="1032">
        <v>7.39</v>
      </c>
      <c r="R4399" s="1019">
        <v>1.6814330000000002</v>
      </c>
      <c r="S4399" s="1018">
        <v>13.100000000000001</v>
      </c>
      <c r="Y4399" s="1032">
        <v>35.700000000000003</v>
      </c>
      <c r="AA4399" s="1019">
        <v>3.72</v>
      </c>
      <c r="AB4399" s="1019">
        <v>0.47599999999999998</v>
      </c>
      <c r="AC4399" s="1019">
        <v>9.1</v>
      </c>
      <c r="AD4399" s="1033">
        <v>510</v>
      </c>
      <c r="AE4399" s="1033">
        <v>330</v>
      </c>
      <c r="AF4399" s="1033">
        <v>160</v>
      </c>
      <c r="AG4399" s="66">
        <f t="shared" si="161"/>
        <v>37.383193277310923</v>
      </c>
      <c r="AH4399" s="143">
        <f t="shared" si="162"/>
        <v>1000</v>
      </c>
    </row>
    <row r="4400" spans="1:34" s="1032" customFormat="1" x14ac:dyDescent="0.3">
      <c r="A4400" s="1032">
        <v>103026</v>
      </c>
      <c r="B4400" s="1018">
        <v>0.4</v>
      </c>
      <c r="C4400" s="1018"/>
      <c r="D4400" s="1019">
        <v>8.25</v>
      </c>
      <c r="E4400" s="1579">
        <v>0.98</v>
      </c>
      <c r="F4400" s="1017">
        <v>1109.9087999999999</v>
      </c>
      <c r="H4400" s="1017">
        <v>85.45</v>
      </c>
      <c r="I4400" s="1017">
        <v>450</v>
      </c>
      <c r="J4400" s="1305">
        <v>2.4E-2</v>
      </c>
      <c r="K4400" s="1018">
        <v>4.2699999999999996</v>
      </c>
      <c r="L4400" s="1032">
        <v>1676</v>
      </c>
      <c r="M4400" s="1032">
        <v>1.31</v>
      </c>
      <c r="N4400" s="1032">
        <v>2.88</v>
      </c>
      <c r="O4400" s="1032">
        <v>6.76</v>
      </c>
      <c r="P4400" s="1032">
        <v>9.14</v>
      </c>
      <c r="R4400" s="1019">
        <v>1.6993880000000001</v>
      </c>
      <c r="S4400" s="1018">
        <v>13.600000000000001</v>
      </c>
      <c r="Y4400" s="1032">
        <v>31.2</v>
      </c>
      <c r="AA4400" s="1019">
        <v>4.46</v>
      </c>
      <c r="AB4400" s="1019">
        <v>0.54700000000000004</v>
      </c>
      <c r="AC4400" s="1019">
        <v>9.3000000000000007</v>
      </c>
      <c r="AD4400" s="1033">
        <v>520</v>
      </c>
      <c r="AE4400" s="1033">
        <v>340</v>
      </c>
      <c r="AF4400" s="1033">
        <v>140</v>
      </c>
      <c r="AG4400" s="66">
        <f t="shared" si="161"/>
        <v>48.448076923076918</v>
      </c>
      <c r="AH4400" s="143">
        <f t="shared" si="162"/>
        <v>1000</v>
      </c>
    </row>
    <row r="4401" spans="1:34" s="1032" customFormat="1" x14ac:dyDescent="0.3">
      <c r="A4401" s="1032">
        <v>103027</v>
      </c>
      <c r="B4401" s="1018">
        <v>12.583333333333332</v>
      </c>
      <c r="C4401" s="1018">
        <v>6.4999999999999991</v>
      </c>
      <c r="D4401" s="1019">
        <v>8.5</v>
      </c>
      <c r="E4401" s="1579">
        <v>0.19700000000000001</v>
      </c>
      <c r="F4401" s="1017">
        <v>223.11431999999999</v>
      </c>
      <c r="H4401" s="1017">
        <v>22.51</v>
      </c>
      <c r="I4401" s="1017">
        <v>260</v>
      </c>
      <c r="J4401" s="1305">
        <v>0.10199999999999999</v>
      </c>
      <c r="K4401" s="1018">
        <v>8.52</v>
      </c>
      <c r="L4401" s="1032">
        <v>356</v>
      </c>
      <c r="M4401" s="1032">
        <v>0.26</v>
      </c>
      <c r="N4401" s="1032">
        <v>0.65</v>
      </c>
      <c r="O4401" s="1032">
        <v>3.62</v>
      </c>
      <c r="P4401" s="1032">
        <v>1.87</v>
      </c>
      <c r="R4401" s="1019">
        <v>1.6022000000000001</v>
      </c>
      <c r="S4401" s="1018">
        <v>11</v>
      </c>
      <c r="Y4401" s="1032">
        <v>26.5</v>
      </c>
      <c r="AA4401" s="1019">
        <v>4.75</v>
      </c>
      <c r="AB4401" s="1019">
        <v>0.28599999999999998</v>
      </c>
      <c r="AC4401" s="1019">
        <v>9.1999999999999993</v>
      </c>
      <c r="AD4401" s="1033">
        <v>530</v>
      </c>
      <c r="AE4401" s="1033">
        <v>320</v>
      </c>
      <c r="AF4401" s="1033">
        <v>150</v>
      </c>
      <c r="AG4401" s="66">
        <f t="shared" si="161"/>
        <v>113.81433962264151</v>
      </c>
      <c r="AH4401" s="143">
        <f t="shared" si="162"/>
        <v>1000</v>
      </c>
    </row>
    <row r="4402" spans="1:34" s="1032" customFormat="1" x14ac:dyDescent="0.3">
      <c r="A4402" s="1032">
        <v>103028</v>
      </c>
      <c r="B4402" s="1018">
        <v>5.5666666666666664</v>
      </c>
      <c r="C4402" s="1018"/>
      <c r="D4402" s="1019">
        <v>8.6999999999999993</v>
      </c>
      <c r="E4402" s="1579">
        <v>0.23100000000000001</v>
      </c>
      <c r="F4402" s="1017">
        <v>261.62135999999998</v>
      </c>
      <c r="H4402" s="1017">
        <v>403.86</v>
      </c>
      <c r="I4402" s="1017">
        <v>250</v>
      </c>
      <c r="J4402" s="1305">
        <v>8.6999999999999994E-2</v>
      </c>
      <c r="K4402" s="1018">
        <v>4.67</v>
      </c>
      <c r="L4402" s="1032">
        <v>601</v>
      </c>
      <c r="M4402" s="1032">
        <v>2.35</v>
      </c>
      <c r="N4402" s="1032">
        <v>5.91</v>
      </c>
      <c r="O4402" s="1032">
        <v>1.58</v>
      </c>
      <c r="P4402" s="1032">
        <v>3.32</v>
      </c>
      <c r="R4402" s="1019">
        <v>0.66573083538191347</v>
      </c>
      <c r="S4402" s="1018">
        <v>4.4000000000000004</v>
      </c>
      <c r="Y4402" s="1032">
        <v>4</v>
      </c>
      <c r="AA4402" s="1019">
        <v>3.67</v>
      </c>
      <c r="AB4402" s="1019">
        <v>0.40699999999999997</v>
      </c>
      <c r="AC4402" s="1019">
        <v>11</v>
      </c>
      <c r="AD4402" s="1033">
        <v>80</v>
      </c>
      <c r="AE4402" s="1033">
        <v>60</v>
      </c>
      <c r="AF4402" s="1033">
        <v>860</v>
      </c>
      <c r="AG4402" s="66">
        <f t="shared" si="161"/>
        <v>413.29500000000002</v>
      </c>
      <c r="AH4402" s="143">
        <f t="shared" si="162"/>
        <v>1000</v>
      </c>
    </row>
    <row r="4403" spans="1:34" s="1032" customFormat="1" x14ac:dyDescent="0.3">
      <c r="A4403" s="1032">
        <v>103029</v>
      </c>
      <c r="B4403" s="1018">
        <v>0.16666666666666666</v>
      </c>
      <c r="C4403" s="1018"/>
      <c r="D4403" s="1019">
        <v>7.45</v>
      </c>
      <c r="E4403" s="1928">
        <v>0.04</v>
      </c>
      <c r="F4403" s="1929">
        <v>38</v>
      </c>
      <c r="H4403" s="1017">
        <v>27.72</v>
      </c>
      <c r="I4403" s="1017">
        <v>110</v>
      </c>
      <c r="J4403" s="1305">
        <v>4.8000000000000001E-2</v>
      </c>
      <c r="K4403" s="1018">
        <v>3.73</v>
      </c>
      <c r="L4403" s="1032">
        <v>1849</v>
      </c>
      <c r="M4403" s="1032">
        <v>1.01</v>
      </c>
      <c r="N4403" s="1032">
        <v>2.5099999999999998</v>
      </c>
      <c r="O4403" s="1032">
        <v>18.96</v>
      </c>
      <c r="P4403" s="1032">
        <v>38.56</v>
      </c>
      <c r="R4403" s="1019">
        <v>1.1993208052035758</v>
      </c>
      <c r="S4403" s="1018">
        <v>8.1000000000000014</v>
      </c>
      <c r="Y4403" s="1032">
        <v>35</v>
      </c>
      <c r="AA4403" s="1019">
        <v>4.59</v>
      </c>
      <c r="AB4403" s="1019">
        <v>0.31900000000000001</v>
      </c>
      <c r="AC4403" s="1019">
        <v>8.3000000000000007</v>
      </c>
      <c r="AD4403" s="1033">
        <v>590</v>
      </c>
      <c r="AE4403" s="1033">
        <v>250</v>
      </c>
      <c r="AF4403" s="1033">
        <v>160</v>
      </c>
      <c r="AG4403" s="66">
        <f t="shared" si="161"/>
        <v>37.726285714285716</v>
      </c>
      <c r="AH4403" s="143">
        <f t="shared" si="162"/>
        <v>1000</v>
      </c>
    </row>
    <row r="4404" spans="1:34" s="1032" customFormat="1" x14ac:dyDescent="0.3">
      <c r="A4404" s="1032">
        <v>103030</v>
      </c>
      <c r="B4404" s="1018">
        <v>6.7499999999999991</v>
      </c>
      <c r="C4404" s="1018"/>
      <c r="D4404" s="1019">
        <v>8</v>
      </c>
      <c r="E4404" s="1579">
        <v>0.17599999999999999</v>
      </c>
      <c r="F4404" s="1017">
        <v>199.33055999999999</v>
      </c>
      <c r="H4404" s="1017">
        <v>203.91</v>
      </c>
      <c r="I4404" s="1017">
        <v>460</v>
      </c>
      <c r="J4404" s="1305">
        <v>7.5999999999999998E-2</v>
      </c>
      <c r="K4404" s="1018">
        <v>7.74</v>
      </c>
      <c r="L4404" s="1032">
        <v>1222</v>
      </c>
      <c r="M4404" s="1032">
        <v>2.11</v>
      </c>
      <c r="N4404" s="1032">
        <v>1.39</v>
      </c>
      <c r="O4404" s="1032">
        <v>9.11</v>
      </c>
      <c r="P4404" s="1032">
        <v>10.15</v>
      </c>
      <c r="R4404" s="1019">
        <v>1.5560679340731884</v>
      </c>
      <c r="S4404" s="1018">
        <v>10.199999999999999</v>
      </c>
      <c r="Y4404" s="1032">
        <v>27</v>
      </c>
      <c r="AA4404" s="1019">
        <v>4.6100000000000003</v>
      </c>
      <c r="AB4404" s="1019">
        <v>0.42699999999999999</v>
      </c>
      <c r="AC4404" s="1019">
        <v>6.2</v>
      </c>
      <c r="AD4404" s="1033">
        <v>540</v>
      </c>
      <c r="AE4404" s="1033">
        <v>360</v>
      </c>
      <c r="AF4404" s="1033">
        <v>100</v>
      </c>
      <c r="AG4404" s="66">
        <f t="shared" si="161"/>
        <v>101.48</v>
      </c>
      <c r="AH4404" s="143">
        <f t="shared" si="162"/>
        <v>1000</v>
      </c>
    </row>
    <row r="4405" spans="1:34" s="1032" customFormat="1" x14ac:dyDescent="0.3">
      <c r="A4405" s="1032">
        <v>103031</v>
      </c>
      <c r="B4405" s="1018">
        <v>10.833333333333332</v>
      </c>
      <c r="C4405" s="1018">
        <v>3.8749999999999973</v>
      </c>
      <c r="D4405" s="1019">
        <v>8.2899999999999991</v>
      </c>
      <c r="E4405" s="1579">
        <v>0.224</v>
      </c>
      <c r="F4405" s="1017">
        <v>253.69344000000001</v>
      </c>
      <c r="H4405" s="1017">
        <v>274.14999999999998</v>
      </c>
      <c r="I4405" s="1017">
        <v>150</v>
      </c>
      <c r="J4405" s="1305">
        <v>5.3999999999999999E-2</v>
      </c>
      <c r="K4405" s="1018">
        <v>5.24</v>
      </c>
      <c r="L4405" s="1032">
        <v>468</v>
      </c>
      <c r="M4405" s="1032">
        <v>5.34</v>
      </c>
      <c r="N4405" s="1032">
        <v>3.81</v>
      </c>
      <c r="O4405" s="1032">
        <v>4.6100000000000003</v>
      </c>
      <c r="P4405" s="1032">
        <v>5.65</v>
      </c>
      <c r="R4405" s="1019">
        <v>1.2791852368578762</v>
      </c>
      <c r="S4405" s="1018">
        <v>8.6999999999999993</v>
      </c>
      <c r="Y4405" s="1032">
        <v>3</v>
      </c>
      <c r="AA4405" s="1019">
        <v>4.78</v>
      </c>
      <c r="AB4405" s="1019">
        <v>0.374</v>
      </c>
      <c r="AC4405" s="1019">
        <v>11.5</v>
      </c>
      <c r="AD4405" s="1033">
        <v>60</v>
      </c>
      <c r="AE4405" s="1033">
        <v>75</v>
      </c>
      <c r="AF4405" s="1033">
        <v>865</v>
      </c>
      <c r="AG4405" s="66">
        <f t="shared" si="161"/>
        <v>618.32000000000005</v>
      </c>
      <c r="AH4405" s="143">
        <f t="shared" si="162"/>
        <v>1000</v>
      </c>
    </row>
    <row r="4406" spans="1:34" s="1032" customFormat="1" x14ac:dyDescent="0.3">
      <c r="A4406" s="1032">
        <v>103032</v>
      </c>
      <c r="B4406" s="1018">
        <v>11.166666666666666</v>
      </c>
      <c r="C4406" s="1018">
        <v>2.7499999999999991</v>
      </c>
      <c r="D4406" s="1019">
        <v>8.4600000000000009</v>
      </c>
      <c r="E4406" s="1579">
        <v>0.21199999999999999</v>
      </c>
      <c r="F4406" s="1017">
        <v>240.10272000000001</v>
      </c>
      <c r="H4406" s="1017">
        <v>198.49</v>
      </c>
      <c r="I4406" s="1017">
        <v>220</v>
      </c>
      <c r="J4406" s="1305">
        <v>4.3999999999999997E-2</v>
      </c>
      <c r="K4406" s="1018">
        <v>4.96</v>
      </c>
      <c r="L4406" s="1032">
        <v>369</v>
      </c>
      <c r="M4406" s="1032">
        <v>3.91</v>
      </c>
      <c r="N4406" s="1032">
        <v>3.25</v>
      </c>
      <c r="O4406" s="1032">
        <v>2.58</v>
      </c>
      <c r="P4406" s="1032">
        <v>3.8</v>
      </c>
      <c r="R4406" s="1019">
        <v>0.8449612976570352</v>
      </c>
      <c r="S4406" s="1018">
        <v>5.8</v>
      </c>
      <c r="Y4406" s="1032">
        <v>4</v>
      </c>
      <c r="AA4406" s="1019">
        <v>4.0199999999999996</v>
      </c>
      <c r="AB4406" s="1019">
        <v>0.41699999999999998</v>
      </c>
      <c r="AC4406" s="1019">
        <v>11.6</v>
      </c>
      <c r="AD4406" s="1033">
        <v>80</v>
      </c>
      <c r="AE4406" s="1033">
        <v>75</v>
      </c>
      <c r="AF4406" s="1033">
        <v>845</v>
      </c>
      <c r="AG4406" s="66">
        <f t="shared" si="161"/>
        <v>438.96</v>
      </c>
      <c r="AH4406" s="143">
        <f t="shared" si="162"/>
        <v>1000</v>
      </c>
    </row>
    <row r="4407" spans="1:34" s="1032" customFormat="1" x14ac:dyDescent="0.3">
      <c r="A4407" s="1032">
        <v>103033</v>
      </c>
      <c r="B4407" s="1018">
        <v>10.916666666666666</v>
      </c>
      <c r="C4407" s="1018">
        <v>2.8750000000000009</v>
      </c>
      <c r="D4407" s="1019">
        <v>8.23</v>
      </c>
      <c r="E4407" s="1579">
        <v>0.26900000000000002</v>
      </c>
      <c r="F4407" s="1017">
        <v>304.65863999999999</v>
      </c>
      <c r="H4407" s="1017">
        <v>200.67</v>
      </c>
      <c r="I4407" s="1017">
        <v>280</v>
      </c>
      <c r="J4407" s="1305">
        <v>4.4999999999999998E-2</v>
      </c>
      <c r="K4407" s="1018">
        <v>5.75</v>
      </c>
      <c r="L4407" s="1032">
        <v>376</v>
      </c>
      <c r="M4407" s="1032">
        <v>4.24</v>
      </c>
      <c r="N4407" s="1032">
        <v>3.77</v>
      </c>
      <c r="O4407" s="1032">
        <v>4.2300000000000004</v>
      </c>
      <c r="P4407" s="1032">
        <v>4.72</v>
      </c>
      <c r="R4407" s="1019">
        <v>0.84449943690483575</v>
      </c>
      <c r="S4407" s="1018">
        <v>6.1</v>
      </c>
      <c r="Y4407" s="1032">
        <v>4.8</v>
      </c>
      <c r="AA4407" s="1019">
        <v>3.99</v>
      </c>
      <c r="AB4407" s="1019">
        <v>0.69</v>
      </c>
      <c r="AC4407" s="1019">
        <v>7.2</v>
      </c>
      <c r="AD4407" s="1033">
        <v>80</v>
      </c>
      <c r="AE4407" s="1033">
        <v>70</v>
      </c>
      <c r="AF4407" s="1033">
        <v>850</v>
      </c>
      <c r="AG4407" s="66">
        <f t="shared" si="161"/>
        <v>424.0625</v>
      </c>
      <c r="AH4407" s="143">
        <f t="shared" si="162"/>
        <v>1000</v>
      </c>
    </row>
    <row r="4408" spans="1:34" s="1032" customFormat="1" x14ac:dyDescent="0.3">
      <c r="A4408" s="1032">
        <v>103034</v>
      </c>
      <c r="B4408" s="1018">
        <v>10.333333333333334</v>
      </c>
      <c r="C4408" s="1018">
        <v>2.6249999999999973</v>
      </c>
      <c r="D4408" s="1019">
        <v>8.17</v>
      </c>
      <c r="E4408" s="1579">
        <v>0.371</v>
      </c>
      <c r="F4408" s="1017">
        <v>420.17975999999999</v>
      </c>
      <c r="H4408" s="1017">
        <v>209.54</v>
      </c>
      <c r="I4408" s="1017">
        <v>270</v>
      </c>
      <c r="J4408" s="1305">
        <v>6.0999999999999999E-2</v>
      </c>
      <c r="K4408" s="1018">
        <v>5.3</v>
      </c>
      <c r="L4408" s="1032">
        <v>414</v>
      </c>
      <c r="M4408" s="1032">
        <v>6.36</v>
      </c>
      <c r="N4408" s="1032">
        <v>4.12</v>
      </c>
      <c r="O4408" s="1032">
        <v>5.45</v>
      </c>
      <c r="P4408" s="1032">
        <v>5.5</v>
      </c>
      <c r="R4408" s="1019">
        <v>1.0020312139423762</v>
      </c>
      <c r="S4408" s="1018">
        <v>7.4</v>
      </c>
      <c r="Y4408" s="1032">
        <v>4.2</v>
      </c>
      <c r="AA4408" s="1019">
        <v>4.2300000000000004</v>
      </c>
      <c r="AB4408" s="1019">
        <v>0.82199999999999995</v>
      </c>
      <c r="AC4408" s="1019">
        <v>9.6</v>
      </c>
      <c r="AD4408" s="1033">
        <v>60</v>
      </c>
      <c r="AE4408" s="1033">
        <v>75</v>
      </c>
      <c r="AF4408" s="1033">
        <v>865</v>
      </c>
      <c r="AG4408" s="66">
        <f t="shared" si="161"/>
        <v>446.71428571428572</v>
      </c>
      <c r="AH4408" s="143">
        <f t="shared" si="162"/>
        <v>1000</v>
      </c>
    </row>
    <row r="4409" spans="1:34" s="1032" customFormat="1" x14ac:dyDescent="0.3">
      <c r="A4409" s="1032">
        <v>103035</v>
      </c>
      <c r="B4409" s="1018">
        <v>10.833333333333332</v>
      </c>
      <c r="C4409" s="1018">
        <v>2.5</v>
      </c>
      <c r="D4409" s="1019">
        <v>8.33</v>
      </c>
      <c r="E4409" s="1579">
        <v>0.24199999999999999</v>
      </c>
      <c r="F4409" s="1017">
        <v>274.07952</v>
      </c>
      <c r="H4409" s="1017">
        <v>179.39</v>
      </c>
      <c r="I4409" s="1017">
        <v>240</v>
      </c>
      <c r="J4409" s="1305">
        <v>5.5E-2</v>
      </c>
      <c r="K4409" s="1018">
        <v>5.58</v>
      </c>
      <c r="L4409" s="1032">
        <v>449</v>
      </c>
      <c r="M4409" s="1032">
        <v>3.75</v>
      </c>
      <c r="N4409" s="1032">
        <v>2.5099999999999998</v>
      </c>
      <c r="O4409" s="1032">
        <v>3.62</v>
      </c>
      <c r="P4409" s="1032">
        <v>6.83</v>
      </c>
      <c r="R4409" s="1019">
        <v>1.2987712626153898</v>
      </c>
      <c r="S4409" s="1018">
        <v>9.3999999999999986</v>
      </c>
      <c r="Y4409" s="1032">
        <v>4.8</v>
      </c>
      <c r="AA4409" s="1019">
        <v>3.68</v>
      </c>
      <c r="AB4409" s="1019">
        <v>0.441</v>
      </c>
      <c r="AC4409" s="1019">
        <v>6.3</v>
      </c>
      <c r="AD4409" s="1033">
        <v>80</v>
      </c>
      <c r="AE4409" s="1033">
        <v>70</v>
      </c>
      <c r="AF4409" s="1033">
        <v>850</v>
      </c>
      <c r="AG4409" s="66">
        <f t="shared" si="161"/>
        <v>411.52499999999998</v>
      </c>
      <c r="AH4409" s="143">
        <f t="shared" si="162"/>
        <v>1000</v>
      </c>
    </row>
    <row r="4410" spans="1:34" s="1032" customFormat="1" x14ac:dyDescent="0.3">
      <c r="A4410" s="1032">
        <v>103036</v>
      </c>
      <c r="B4410" s="1018">
        <v>10.083333333333332</v>
      </c>
      <c r="C4410" s="1018">
        <v>2.7499999999999991</v>
      </c>
      <c r="D4410" s="1019">
        <v>8.3000000000000007</v>
      </c>
      <c r="E4410" s="1579">
        <v>0.38600000000000001</v>
      </c>
      <c r="F4410" s="1017">
        <v>433.70959999999997</v>
      </c>
      <c r="H4410" s="1017">
        <v>170.27</v>
      </c>
      <c r="I4410" s="1017">
        <v>510</v>
      </c>
      <c r="J4410" s="1305">
        <v>7.1999999999999995E-2</v>
      </c>
      <c r="K4410" s="1018">
        <v>6.53</v>
      </c>
      <c r="L4410" s="1032">
        <v>605</v>
      </c>
      <c r="M4410" s="1032">
        <v>3.96</v>
      </c>
      <c r="N4410" s="1032">
        <v>2.48</v>
      </c>
      <c r="O4410" s="1032">
        <v>4.47</v>
      </c>
      <c r="P4410" s="1032">
        <v>8.9</v>
      </c>
      <c r="R4410" s="1019">
        <v>1.6631279999999999</v>
      </c>
      <c r="S4410" s="1018">
        <v>12.6</v>
      </c>
      <c r="Y4410" s="1032">
        <v>4.8</v>
      </c>
      <c r="AA4410" s="1019">
        <v>3.65</v>
      </c>
      <c r="AB4410" s="1019">
        <v>0.85699999999999998</v>
      </c>
      <c r="AC4410" s="1019">
        <v>7.4</v>
      </c>
      <c r="AD4410" s="1033">
        <v>80</v>
      </c>
      <c r="AE4410" s="1033">
        <v>75</v>
      </c>
      <c r="AF4410" s="1033">
        <v>845</v>
      </c>
      <c r="AG4410" s="66">
        <f t="shared" si="161"/>
        <v>481.58750000000009</v>
      </c>
      <c r="AH4410" s="143">
        <f t="shared" si="162"/>
        <v>1000</v>
      </c>
    </row>
    <row r="4411" spans="1:34" s="1032" customFormat="1" x14ac:dyDescent="0.3">
      <c r="A4411" s="1032">
        <v>103037</v>
      </c>
      <c r="B4411" s="1018">
        <v>10.833333333333332</v>
      </c>
      <c r="C4411" s="1018">
        <v>2.6249999999999973</v>
      </c>
      <c r="D4411" s="1019">
        <v>8.3000000000000007</v>
      </c>
      <c r="E4411" s="1579">
        <v>0.34200000000000003</v>
      </c>
      <c r="F4411" s="1017">
        <v>387.33552000000003</v>
      </c>
      <c r="H4411" s="1017">
        <v>166.19</v>
      </c>
      <c r="I4411" s="1017">
        <v>330</v>
      </c>
      <c r="J4411" s="1305">
        <v>6.5000000000000002E-2</v>
      </c>
      <c r="K4411" s="1018">
        <v>5.73</v>
      </c>
      <c r="L4411" s="1032">
        <v>405</v>
      </c>
      <c r="M4411" s="1032">
        <v>3.42</v>
      </c>
      <c r="N4411" s="1032">
        <v>3.66</v>
      </c>
      <c r="O4411" s="1032">
        <v>5.08</v>
      </c>
      <c r="P4411" s="1032">
        <v>4.51</v>
      </c>
      <c r="R4411" s="1019">
        <v>0.98394099061573848</v>
      </c>
      <c r="S4411" s="1018">
        <v>6.8999999999999995</v>
      </c>
      <c r="Y4411" s="1032">
        <v>4.8</v>
      </c>
      <c r="AA4411" s="1019">
        <v>4.33</v>
      </c>
      <c r="AB4411" s="1019">
        <v>0.52300000000000002</v>
      </c>
      <c r="AC4411" s="1019">
        <v>6.6</v>
      </c>
      <c r="AD4411" s="1033">
        <v>80</v>
      </c>
      <c r="AE4411" s="1033">
        <v>70</v>
      </c>
      <c r="AF4411" s="1033">
        <v>850</v>
      </c>
      <c r="AG4411" s="66">
        <f t="shared" si="161"/>
        <v>422.58750000000009</v>
      </c>
      <c r="AH4411" s="143">
        <f t="shared" si="162"/>
        <v>1000</v>
      </c>
    </row>
    <row r="4412" spans="1:34" s="1032" customFormat="1" x14ac:dyDescent="0.3">
      <c r="A4412" s="1032">
        <v>103038</v>
      </c>
      <c r="B4412" s="1018">
        <v>10.333333333333334</v>
      </c>
      <c r="C4412" s="1018">
        <v>2.8750000000000009</v>
      </c>
      <c r="D4412" s="1019">
        <v>8.1999999999999993</v>
      </c>
      <c r="E4412" s="1579">
        <v>0.438</v>
      </c>
      <c r="F4412" s="1017">
        <v>496.06128000000001</v>
      </c>
      <c r="H4412" s="1017">
        <v>193.29</v>
      </c>
      <c r="I4412" s="1017">
        <v>460</v>
      </c>
      <c r="J4412" s="1305">
        <v>8.7999999999999995E-2</v>
      </c>
      <c r="K4412" s="1018">
        <v>6.08</v>
      </c>
      <c r="L4412" s="1032">
        <v>536</v>
      </c>
      <c r="M4412" s="1032">
        <v>5.12</v>
      </c>
      <c r="N4412" s="1032">
        <v>4.2300000000000004</v>
      </c>
      <c r="O4412" s="1032">
        <v>8.0399999999999991</v>
      </c>
      <c r="P4412" s="1032">
        <v>6.56</v>
      </c>
      <c r="R4412" s="1019">
        <v>1.3321661145238393</v>
      </c>
      <c r="S4412" s="1018">
        <v>9.9</v>
      </c>
      <c r="Y4412" s="1032">
        <v>4.2</v>
      </c>
      <c r="AA4412" s="1019">
        <v>3.84</v>
      </c>
      <c r="AB4412" s="1019">
        <v>0.873</v>
      </c>
      <c r="AC4412" s="1019">
        <v>6.2</v>
      </c>
      <c r="AD4412" s="1033">
        <v>60</v>
      </c>
      <c r="AE4412" s="1033">
        <v>70</v>
      </c>
      <c r="AF4412" s="1033">
        <v>870</v>
      </c>
      <c r="AG4412" s="66">
        <f t="shared" si="161"/>
        <v>512.4571428571428</v>
      </c>
      <c r="AH4412" s="143">
        <f t="shared" si="162"/>
        <v>1000</v>
      </c>
    </row>
    <row r="4413" spans="1:34" s="1032" customFormat="1" x14ac:dyDescent="0.3">
      <c r="A4413" s="1032">
        <v>103039</v>
      </c>
      <c r="B4413" s="1018">
        <v>10.916666666666666</v>
      </c>
      <c r="C4413" s="1018">
        <v>2.3749999999999982</v>
      </c>
      <c r="D4413" s="1019">
        <v>8.19</v>
      </c>
      <c r="E4413" s="1579">
        <v>0.749</v>
      </c>
      <c r="F4413" s="1017">
        <v>848.28744000000006</v>
      </c>
      <c r="H4413" s="1017">
        <v>211.2</v>
      </c>
      <c r="I4413" s="1017">
        <v>720</v>
      </c>
      <c r="J4413" s="1305">
        <v>0.151</v>
      </c>
      <c r="K4413" s="1018">
        <v>5.79</v>
      </c>
      <c r="L4413" s="1032">
        <v>663</v>
      </c>
      <c r="M4413" s="1032">
        <v>3.1</v>
      </c>
      <c r="N4413" s="1032">
        <v>2.64</v>
      </c>
      <c r="O4413" s="1032">
        <v>6.79</v>
      </c>
      <c r="P4413" s="1032">
        <v>5.17</v>
      </c>
      <c r="R4413" s="1019">
        <v>1.6177680000000001</v>
      </c>
      <c r="S4413" s="1018">
        <v>11.399999999999999</v>
      </c>
      <c r="Y4413" s="1032">
        <v>4</v>
      </c>
      <c r="AA4413" s="1019">
        <v>4.93</v>
      </c>
      <c r="AB4413" s="1019">
        <v>0.52</v>
      </c>
      <c r="AC4413" s="1019">
        <v>7.4</v>
      </c>
      <c r="AD4413" s="1033">
        <v>80</v>
      </c>
      <c r="AE4413" s="1033">
        <v>75</v>
      </c>
      <c r="AF4413" s="1033">
        <v>845</v>
      </c>
      <c r="AG4413" s="66">
        <f t="shared" si="161"/>
        <v>512.41499999999996</v>
      </c>
      <c r="AH4413" s="143">
        <f t="shared" si="162"/>
        <v>1000</v>
      </c>
    </row>
    <row r="4414" spans="1:34" s="1032" customFormat="1" x14ac:dyDescent="0.3">
      <c r="A4414" s="1032">
        <v>103040</v>
      </c>
      <c r="B4414" s="1018">
        <v>10.416666666666666</v>
      </c>
      <c r="C4414" s="1018">
        <v>3.125</v>
      </c>
      <c r="D4414" s="1019">
        <v>8.2799999999999994</v>
      </c>
      <c r="E4414" s="1579">
        <v>0.41499999999999998</v>
      </c>
      <c r="F4414" s="1017">
        <v>470.01240000000001</v>
      </c>
      <c r="H4414" s="1017">
        <v>255.53</v>
      </c>
      <c r="I4414" s="1017">
        <v>360</v>
      </c>
      <c r="J4414" s="1305">
        <v>0.113</v>
      </c>
      <c r="K4414" s="1018">
        <v>4.99</v>
      </c>
      <c r="L4414" s="1032">
        <v>486</v>
      </c>
      <c r="M4414" s="1032">
        <v>3.66</v>
      </c>
      <c r="N4414" s="1032">
        <v>2.83</v>
      </c>
      <c r="O4414" s="1032">
        <v>4.45</v>
      </c>
      <c r="P4414" s="1032">
        <v>4.41</v>
      </c>
      <c r="R4414" s="1019">
        <v>1.404574252685526</v>
      </c>
      <c r="S4414" s="1018">
        <v>9.8000000000000007</v>
      </c>
      <c r="Y4414" s="1032">
        <v>4.2</v>
      </c>
      <c r="AA4414" s="1019">
        <v>5</v>
      </c>
      <c r="AB4414" s="1019">
        <v>0.73099999999999998</v>
      </c>
      <c r="AC4414" s="1019">
        <v>10.9</v>
      </c>
      <c r="AD4414" s="1033">
        <v>70</v>
      </c>
      <c r="AE4414" s="1033">
        <v>75</v>
      </c>
      <c r="AF4414" s="1033">
        <v>855</v>
      </c>
      <c r="AG4414" s="66">
        <f t="shared" si="161"/>
        <v>420.58571428571429</v>
      </c>
      <c r="AH4414" s="143">
        <f t="shared" si="162"/>
        <v>1000</v>
      </c>
    </row>
    <row r="4415" spans="1:34" s="1032" customFormat="1" x14ac:dyDescent="0.3">
      <c r="A4415" s="1032">
        <v>103041</v>
      </c>
      <c r="B4415" s="1018">
        <v>11.166666666666666</v>
      </c>
      <c r="C4415" s="1018">
        <v>2.5</v>
      </c>
      <c r="D4415" s="1019">
        <v>8.17</v>
      </c>
      <c r="E4415" s="1579">
        <v>0.58699999999999997</v>
      </c>
      <c r="F4415" s="1017">
        <v>664.81272000000001</v>
      </c>
      <c r="H4415" s="1017">
        <v>286.99</v>
      </c>
      <c r="I4415" s="1017">
        <v>610</v>
      </c>
      <c r="J4415" s="1305">
        <v>8.5999999999999993E-2</v>
      </c>
      <c r="K4415" s="1018">
        <v>6.09</v>
      </c>
      <c r="L4415" s="1032">
        <v>621</v>
      </c>
      <c r="M4415" s="1032">
        <v>2.89</v>
      </c>
      <c r="N4415" s="1032">
        <v>1.83</v>
      </c>
      <c r="O4415" s="1032">
        <v>3.9</v>
      </c>
      <c r="P4415" s="1032">
        <v>3.91</v>
      </c>
      <c r="R4415" s="1019">
        <v>1.6061130000000001</v>
      </c>
      <c r="S4415" s="1018">
        <v>11.100000000000001</v>
      </c>
      <c r="Y4415" s="1032">
        <v>3</v>
      </c>
      <c r="AA4415" s="1019">
        <v>3.61</v>
      </c>
      <c r="AB4415" s="1019">
        <v>0.67700000000000005</v>
      </c>
      <c r="AC4415" s="1019">
        <v>11</v>
      </c>
      <c r="AD4415" s="1033">
        <v>60</v>
      </c>
      <c r="AE4415" s="1033">
        <v>80</v>
      </c>
      <c r="AF4415" s="1033">
        <v>860</v>
      </c>
      <c r="AG4415" s="66">
        <f t="shared" si="161"/>
        <v>718.61999999999989</v>
      </c>
      <c r="AH4415" s="143">
        <f t="shared" si="162"/>
        <v>1000</v>
      </c>
    </row>
    <row r="4416" spans="1:34" s="1032" customFormat="1" x14ac:dyDescent="0.3">
      <c r="A4416" s="1032">
        <v>103042</v>
      </c>
      <c r="B4416" s="1018">
        <v>10.25</v>
      </c>
      <c r="C4416" s="1018">
        <v>2.3749999999999982</v>
      </c>
      <c r="D4416" s="1019">
        <v>8.27</v>
      </c>
      <c r="E4416" s="1579">
        <v>0.35199999999999998</v>
      </c>
      <c r="F4416" s="1017">
        <v>398.66111999999998</v>
      </c>
      <c r="H4416" s="1017">
        <v>391.02</v>
      </c>
      <c r="I4416" s="1017">
        <v>300</v>
      </c>
      <c r="J4416" s="1305">
        <v>6.7000000000000004E-2</v>
      </c>
      <c r="K4416" s="1018">
        <v>5.57</v>
      </c>
      <c r="L4416" s="1032">
        <v>546</v>
      </c>
      <c r="M4416" s="1032">
        <v>3.89</v>
      </c>
      <c r="N4416" s="1032">
        <v>2.5499999999999998</v>
      </c>
      <c r="O4416" s="1032">
        <v>4.2</v>
      </c>
      <c r="P4416" s="1032">
        <v>4.5</v>
      </c>
      <c r="R4416" s="1019">
        <v>1.4860344851961709</v>
      </c>
      <c r="S4416" s="1018">
        <v>9.8000000000000007</v>
      </c>
      <c r="Y4416" s="1032">
        <v>4.9000000000000004</v>
      </c>
      <c r="AA4416" s="1019">
        <v>4.72</v>
      </c>
      <c r="AB4416" s="1019">
        <v>0.42499999999999999</v>
      </c>
      <c r="AC4416" s="1019">
        <v>10.9</v>
      </c>
      <c r="AD4416" s="1033">
        <v>70</v>
      </c>
      <c r="AE4416" s="1033">
        <v>80</v>
      </c>
      <c r="AF4416" s="1033">
        <v>850</v>
      </c>
      <c r="AG4416" s="66">
        <f t="shared" si="161"/>
        <v>402.404081632653</v>
      </c>
      <c r="AH4416" s="143">
        <f t="shared" si="162"/>
        <v>1000</v>
      </c>
    </row>
    <row r="4417" spans="1:34" s="1032" customFormat="1" x14ac:dyDescent="0.3">
      <c r="A4417" s="1032">
        <v>103043</v>
      </c>
      <c r="B4417" s="1018">
        <v>11.249999999999998</v>
      </c>
      <c r="C4417" s="1018">
        <v>2.5</v>
      </c>
      <c r="D4417" s="1019">
        <v>8.3800000000000008</v>
      </c>
      <c r="E4417" s="1579">
        <v>0.20499999999999999</v>
      </c>
      <c r="F4417" s="1017">
        <v>232.1748</v>
      </c>
      <c r="H4417" s="1017">
        <v>201.93</v>
      </c>
      <c r="I4417" s="1017">
        <v>240</v>
      </c>
      <c r="J4417" s="1305">
        <v>0.04</v>
      </c>
      <c r="K4417" s="1018">
        <v>6.01</v>
      </c>
      <c r="L4417" s="1032">
        <v>399</v>
      </c>
      <c r="M4417" s="1032">
        <v>3.74</v>
      </c>
      <c r="N4417" s="1032">
        <v>2.4300000000000002</v>
      </c>
      <c r="O4417" s="1032">
        <v>3.21</v>
      </c>
      <c r="P4417" s="1032">
        <v>5.32</v>
      </c>
      <c r="R4417" s="1019">
        <v>1.0933751744731206</v>
      </c>
      <c r="S4417" s="1018">
        <v>8</v>
      </c>
      <c r="Y4417" s="1032">
        <v>4.9000000000000004</v>
      </c>
      <c r="AA4417" s="1019">
        <v>3.9</v>
      </c>
      <c r="AB4417" s="1019">
        <v>0.501</v>
      </c>
      <c r="AC4417" s="1019">
        <v>11.6</v>
      </c>
      <c r="AD4417" s="1033">
        <v>70</v>
      </c>
      <c r="AE4417" s="1033">
        <v>75</v>
      </c>
      <c r="AF4417" s="1033">
        <v>855</v>
      </c>
      <c r="AG4417" s="66">
        <f t="shared" si="161"/>
        <v>434.19183673469382</v>
      </c>
      <c r="AH4417" s="143">
        <f t="shared" si="162"/>
        <v>1000</v>
      </c>
    </row>
    <row r="4418" spans="1:34" s="1032" customFormat="1" x14ac:dyDescent="0.3">
      <c r="A4418" s="1032">
        <v>103044</v>
      </c>
      <c r="B4418" s="1018">
        <v>11.666666666666666</v>
      </c>
      <c r="C4418" s="1018">
        <v>2.6249999999999973</v>
      </c>
      <c r="D4418" s="1019">
        <v>8.4700000000000006</v>
      </c>
      <c r="E4418" s="1579">
        <v>0.314</v>
      </c>
      <c r="F4418" s="1017">
        <v>355.62384000000003</v>
      </c>
      <c r="H4418" s="1017">
        <v>178.75</v>
      </c>
      <c r="I4418" s="1017">
        <v>380</v>
      </c>
      <c r="J4418" s="1305">
        <v>7.6999999999999999E-2</v>
      </c>
      <c r="K4418" s="1018">
        <v>5.43</v>
      </c>
      <c r="L4418" s="1032">
        <v>476</v>
      </c>
      <c r="M4418" s="1032">
        <v>3.5</v>
      </c>
      <c r="N4418" s="1032">
        <v>2.4300000000000002</v>
      </c>
      <c r="O4418" s="1032">
        <v>3.36</v>
      </c>
      <c r="P4418" s="1032">
        <v>4.62</v>
      </c>
      <c r="R4418" s="1019">
        <v>1.1123718242052554</v>
      </c>
      <c r="S4418" s="1018">
        <v>8.2999999999999989</v>
      </c>
      <c r="Y4418" s="1032">
        <v>4</v>
      </c>
      <c r="AA4418" s="1019">
        <v>4.3099999999999996</v>
      </c>
      <c r="AB4418" s="1019">
        <v>0.747</v>
      </c>
      <c r="AC4418" s="1019">
        <v>8.9</v>
      </c>
      <c r="AD4418" s="1033">
        <v>80</v>
      </c>
      <c r="AE4418" s="1033">
        <v>70</v>
      </c>
      <c r="AF4418" s="1033">
        <v>850</v>
      </c>
      <c r="AG4418" s="66">
        <f t="shared" ref="AG4418:AG4481" si="163">+K4418*3.54*100/Y4418</f>
        <v>480.55500000000001</v>
      </c>
      <c r="AH4418" s="143">
        <f t="shared" ref="AH4418:AH4454" si="164">+SUM(AD4418:AF4418)</f>
        <v>1000</v>
      </c>
    </row>
    <row r="4419" spans="1:34" s="1032" customFormat="1" x14ac:dyDescent="0.3">
      <c r="A4419" s="1032">
        <v>103045</v>
      </c>
      <c r="B4419" s="1018">
        <v>27.333333333333325</v>
      </c>
      <c r="C4419" s="1018">
        <v>2.5</v>
      </c>
      <c r="D4419" s="1019">
        <v>8.34</v>
      </c>
      <c r="E4419" s="1579">
        <v>0.35499999999999998</v>
      </c>
      <c r="F4419" s="1017">
        <v>402.05880000000002</v>
      </c>
      <c r="H4419" s="1017">
        <v>224.24</v>
      </c>
      <c r="I4419" s="1017">
        <v>710</v>
      </c>
      <c r="J4419" s="1305">
        <v>0.19700000000000001</v>
      </c>
      <c r="K4419" s="1018">
        <v>6.98</v>
      </c>
      <c r="L4419" s="1032">
        <v>490</v>
      </c>
      <c r="M4419" s="1032">
        <v>4.24</v>
      </c>
      <c r="N4419" s="1032">
        <v>3.29</v>
      </c>
      <c r="O4419" s="1032">
        <v>3.78</v>
      </c>
      <c r="P4419" s="1032">
        <v>6.43</v>
      </c>
      <c r="R4419" s="1019">
        <v>1.706472</v>
      </c>
      <c r="S4419" s="1018">
        <v>13.799999999999999</v>
      </c>
      <c r="Y4419" s="1032">
        <v>4.9000000000000004</v>
      </c>
      <c r="AA4419" s="1019">
        <v>4.1900000000000004</v>
      </c>
      <c r="AB4419" s="1019">
        <v>0.46700000000000003</v>
      </c>
      <c r="AC4419" s="1019">
        <v>7</v>
      </c>
      <c r="AD4419" s="1033">
        <v>70</v>
      </c>
      <c r="AE4419" s="1033">
        <v>75</v>
      </c>
      <c r="AF4419" s="1033">
        <v>855</v>
      </c>
      <c r="AG4419" s="66">
        <f t="shared" si="163"/>
        <v>504.269387755102</v>
      </c>
      <c r="AH4419" s="143">
        <f t="shared" si="164"/>
        <v>1000</v>
      </c>
    </row>
    <row r="4420" spans="1:34" s="1032" customFormat="1" x14ac:dyDescent="0.3">
      <c r="A4420" s="1032">
        <v>103046</v>
      </c>
      <c r="B4420" s="1018">
        <v>14.333333333333332</v>
      </c>
      <c r="C4420" s="1018">
        <v>2.7499999999999991</v>
      </c>
      <c r="D4420" s="1019">
        <v>8.3699999999999992</v>
      </c>
      <c r="E4420" s="1579">
        <v>0.58099999999999996</v>
      </c>
      <c r="F4420" s="1017">
        <v>658.01736000000005</v>
      </c>
      <c r="H4420" s="1017">
        <v>204.52</v>
      </c>
      <c r="I4420" s="1017">
        <v>700</v>
      </c>
      <c r="J4420" s="1305">
        <v>0.19700000000000001</v>
      </c>
      <c r="K4420" s="1018">
        <v>6.89</v>
      </c>
      <c r="L4420" s="1032">
        <v>483</v>
      </c>
      <c r="M4420" s="1032">
        <v>2.4</v>
      </c>
      <c r="N4420" s="1032">
        <v>2.16</v>
      </c>
      <c r="O4420" s="1032">
        <v>5.0199999999999996</v>
      </c>
      <c r="P4420" s="1032">
        <v>3.6</v>
      </c>
      <c r="R4420" s="1019">
        <v>1.1764599785595804</v>
      </c>
      <c r="S4420" s="1018">
        <v>8.2999999999999989</v>
      </c>
      <c r="Y4420" s="1032">
        <v>3.6</v>
      </c>
      <c r="AA4420" s="1019">
        <v>4.82</v>
      </c>
      <c r="AB4420" s="1019">
        <v>0.34399999999999997</v>
      </c>
      <c r="AC4420" s="1019">
        <v>9</v>
      </c>
      <c r="AD4420" s="1033">
        <v>60</v>
      </c>
      <c r="AE4420" s="1033">
        <v>80</v>
      </c>
      <c r="AF4420" s="1033">
        <v>860</v>
      </c>
      <c r="AG4420" s="66">
        <f t="shared" si="163"/>
        <v>677.51666666666665</v>
      </c>
      <c r="AH4420" s="143">
        <f t="shared" si="164"/>
        <v>1000</v>
      </c>
    </row>
    <row r="4421" spans="1:34" s="1032" customFormat="1" x14ac:dyDescent="0.3">
      <c r="A4421" s="1032">
        <v>103047</v>
      </c>
      <c r="B4421" s="1018">
        <v>16.666666666666664</v>
      </c>
      <c r="C4421" s="1018">
        <v>2.3749999999999982</v>
      </c>
      <c r="D4421" s="1019">
        <v>8.2899999999999991</v>
      </c>
      <c r="E4421" s="1579">
        <v>0.48299999999999998</v>
      </c>
      <c r="F4421" s="1017">
        <v>547.02647999999999</v>
      </c>
      <c r="H4421" s="1017">
        <v>30.35</v>
      </c>
      <c r="I4421" s="1017">
        <v>260</v>
      </c>
      <c r="J4421" s="1305">
        <v>9.5000000000000001E-2</v>
      </c>
      <c r="K4421" s="1018">
        <v>7.42</v>
      </c>
      <c r="L4421" s="1032">
        <v>414</v>
      </c>
      <c r="M4421" s="1032">
        <v>0.47</v>
      </c>
      <c r="N4421" s="1032">
        <v>0.45</v>
      </c>
      <c r="O4421" s="1032">
        <v>2.66</v>
      </c>
      <c r="P4421" s="1032">
        <v>1.72</v>
      </c>
      <c r="R4421" s="1019">
        <v>0.74490645847476689</v>
      </c>
      <c r="S4421" s="1018">
        <v>5</v>
      </c>
      <c r="Y4421" s="1032">
        <v>4.2</v>
      </c>
      <c r="AA4421" s="1019">
        <v>3.93</v>
      </c>
      <c r="AB4421" s="1019">
        <v>0.379</v>
      </c>
      <c r="AC4421" s="1019">
        <v>8.4</v>
      </c>
      <c r="AD4421" s="1033">
        <v>70</v>
      </c>
      <c r="AE4421" s="1033">
        <v>75</v>
      </c>
      <c r="AF4421" s="1033">
        <v>855</v>
      </c>
      <c r="AG4421" s="66">
        <f t="shared" si="163"/>
        <v>625.4</v>
      </c>
      <c r="AH4421" s="143">
        <f t="shared" si="164"/>
        <v>1000</v>
      </c>
    </row>
    <row r="4422" spans="1:34" s="1032" customFormat="1" x14ac:dyDescent="0.3">
      <c r="A4422" s="1032">
        <v>103048</v>
      </c>
      <c r="B4422" s="1018">
        <v>14.166666666666666</v>
      </c>
      <c r="C4422" s="1018">
        <v>2.6249999999999973</v>
      </c>
      <c r="D4422" s="1019">
        <v>8.4700000000000006</v>
      </c>
      <c r="E4422" s="1579">
        <v>0.40200000000000002</v>
      </c>
      <c r="F4422" s="1017">
        <v>455.28912000000003</v>
      </c>
      <c r="H4422" s="1017">
        <v>156.97999999999999</v>
      </c>
      <c r="I4422" s="1017">
        <v>530</v>
      </c>
      <c r="J4422" s="1305">
        <v>0.09</v>
      </c>
      <c r="K4422" s="1018">
        <v>6.46</v>
      </c>
      <c r="L4422" s="1032">
        <v>483</v>
      </c>
      <c r="M4422" s="1032">
        <v>3.38</v>
      </c>
      <c r="N4422" s="1032">
        <v>2.89</v>
      </c>
      <c r="O4422" s="1032">
        <v>5.7</v>
      </c>
      <c r="P4422" s="1032">
        <v>4.62</v>
      </c>
      <c r="R4422" s="1019">
        <v>1.275914047153262</v>
      </c>
      <c r="S4422" s="1018">
        <v>8.4</v>
      </c>
      <c r="Y4422" s="1032">
        <v>5.6</v>
      </c>
      <c r="AA4422" s="1019">
        <v>4.08</v>
      </c>
      <c r="AB4422" s="1019">
        <v>0.32700000000000001</v>
      </c>
      <c r="AC4422" s="1019">
        <v>7.7</v>
      </c>
      <c r="AD4422" s="1033">
        <v>80</v>
      </c>
      <c r="AE4422" s="1033">
        <v>75</v>
      </c>
      <c r="AF4422" s="1033">
        <v>845</v>
      </c>
      <c r="AG4422" s="66">
        <f t="shared" si="163"/>
        <v>408.36428571428576</v>
      </c>
      <c r="AH4422" s="143">
        <f t="shared" si="164"/>
        <v>1000</v>
      </c>
    </row>
    <row r="4423" spans="1:34" s="1032" customFormat="1" x14ac:dyDescent="0.3">
      <c r="A4423" s="1032">
        <v>103049</v>
      </c>
      <c r="B4423" s="1018">
        <v>13.833333333333334</v>
      </c>
      <c r="C4423" s="1018">
        <v>2.6249999999999973</v>
      </c>
      <c r="D4423" s="1019">
        <v>8.15</v>
      </c>
      <c r="E4423" s="1579">
        <v>0.48</v>
      </c>
      <c r="F4423" s="1017">
        <v>543.62879999999996</v>
      </c>
      <c r="H4423" s="1017">
        <v>428.94</v>
      </c>
      <c r="I4423" s="1017">
        <v>490</v>
      </c>
      <c r="J4423" s="1305">
        <v>7.5999999999999998E-2</v>
      </c>
      <c r="K4423" s="1018">
        <v>6.15</v>
      </c>
      <c r="L4423" s="1032">
        <v>615</v>
      </c>
      <c r="M4423" s="1032">
        <v>5.0999999999999996</v>
      </c>
      <c r="N4423" s="1032">
        <v>3.13</v>
      </c>
      <c r="O4423" s="1032">
        <v>5.84</v>
      </c>
      <c r="P4423" s="1032">
        <v>6.59</v>
      </c>
      <c r="R4423" s="1019">
        <v>1.7135000000000002</v>
      </c>
      <c r="S4423" s="1018">
        <v>14</v>
      </c>
      <c r="Y4423" s="1032">
        <v>4.8</v>
      </c>
      <c r="AA4423" s="1019">
        <v>4.83</v>
      </c>
      <c r="AB4423" s="1019">
        <v>0.47699999999999998</v>
      </c>
      <c r="AC4423" s="1019">
        <v>6.2</v>
      </c>
      <c r="AD4423" s="1033">
        <v>80</v>
      </c>
      <c r="AE4423" s="1033">
        <v>70</v>
      </c>
      <c r="AF4423" s="1033">
        <v>850</v>
      </c>
      <c r="AG4423" s="66">
        <f t="shared" si="163"/>
        <v>453.5625</v>
      </c>
      <c r="AH4423" s="143">
        <f t="shared" si="164"/>
        <v>1000</v>
      </c>
    </row>
    <row r="4424" spans="1:34" s="1032" customFormat="1" x14ac:dyDescent="0.3">
      <c r="A4424" s="1032">
        <v>103050</v>
      </c>
      <c r="B4424" s="1018">
        <v>13.666666666666663</v>
      </c>
      <c r="C4424" s="1018">
        <v>2.7499999999999991</v>
      </c>
      <c r="D4424" s="1019">
        <v>8.1</v>
      </c>
      <c r="E4424" s="1579">
        <v>0.54200000000000004</v>
      </c>
      <c r="F4424" s="1017">
        <v>613.84752000000003</v>
      </c>
      <c r="H4424" s="1017">
        <v>387.48</v>
      </c>
      <c r="I4424" s="1017">
        <v>580</v>
      </c>
      <c r="J4424" s="1305">
        <v>9.2999999999999999E-2</v>
      </c>
      <c r="K4424" s="1018">
        <v>6.87</v>
      </c>
      <c r="L4424" s="1032">
        <v>710</v>
      </c>
      <c r="M4424" s="1032">
        <v>3.58</v>
      </c>
      <c r="N4424" s="1032">
        <v>2.1</v>
      </c>
      <c r="O4424" s="1032">
        <v>5.66</v>
      </c>
      <c r="P4424" s="1032">
        <v>5.08</v>
      </c>
      <c r="R4424" s="1019">
        <v>1.7966250000000001</v>
      </c>
      <c r="S4424" s="1018">
        <v>16.5</v>
      </c>
      <c r="Y4424" s="1032">
        <v>4.9000000000000004</v>
      </c>
      <c r="AA4424" s="1019">
        <v>3.78</v>
      </c>
      <c r="AB4424" s="1019">
        <v>0.82299999999999995</v>
      </c>
      <c r="AC4424" s="1019">
        <v>10.1</v>
      </c>
      <c r="AD4424" s="1033">
        <v>70</v>
      </c>
      <c r="AE4424" s="1033">
        <v>70</v>
      </c>
      <c r="AF4424" s="1033">
        <v>860</v>
      </c>
      <c r="AG4424" s="66">
        <f t="shared" si="163"/>
        <v>496.3224489795918</v>
      </c>
      <c r="AH4424" s="143">
        <f t="shared" si="164"/>
        <v>1000</v>
      </c>
    </row>
    <row r="4425" spans="1:34" s="1032" customFormat="1" x14ac:dyDescent="0.3">
      <c r="A4425" s="1032">
        <v>103051</v>
      </c>
      <c r="B4425" s="1018">
        <v>12.5</v>
      </c>
      <c r="C4425" s="1018">
        <v>3.9999999999999991</v>
      </c>
      <c r="D4425" s="1019">
        <v>8.2100000000000009</v>
      </c>
      <c r="E4425" s="1579">
        <v>0.49</v>
      </c>
      <c r="F4425" s="1017">
        <v>554.95439999999996</v>
      </c>
      <c r="H4425" s="1017">
        <v>13.5</v>
      </c>
      <c r="I4425" s="1017">
        <v>140</v>
      </c>
      <c r="J4425" s="1305">
        <v>0.184</v>
      </c>
      <c r="K4425" s="1018">
        <v>7.72</v>
      </c>
      <c r="L4425" s="1032">
        <v>510</v>
      </c>
      <c r="M4425" s="1032">
        <v>0.85</v>
      </c>
      <c r="N4425" s="1032">
        <v>0.8</v>
      </c>
      <c r="O4425" s="1032">
        <v>5.92</v>
      </c>
      <c r="P4425" s="1032">
        <v>3.21</v>
      </c>
      <c r="R4425" s="1019">
        <v>0.55316550693311206</v>
      </c>
      <c r="S4425" s="1018">
        <v>3.9000000000000004</v>
      </c>
      <c r="Y4425" s="1032">
        <v>26</v>
      </c>
      <c r="AA4425" s="1019">
        <v>3.45</v>
      </c>
      <c r="AB4425" s="1019">
        <v>0.504</v>
      </c>
      <c r="AC4425" s="1019">
        <v>9.1999999999999993</v>
      </c>
      <c r="AD4425" s="1033">
        <v>520</v>
      </c>
      <c r="AE4425" s="1033">
        <v>370</v>
      </c>
      <c r="AF4425" s="1033">
        <v>110</v>
      </c>
      <c r="AG4425" s="66">
        <f t="shared" si="163"/>
        <v>105.11076923076924</v>
      </c>
      <c r="AH4425" s="143">
        <f t="shared" si="164"/>
        <v>1000</v>
      </c>
    </row>
    <row r="4426" spans="1:34" s="1032" customFormat="1" x14ac:dyDescent="0.3">
      <c r="A4426" s="1032">
        <v>103052</v>
      </c>
      <c r="B4426" s="1018">
        <v>21.666666666666664</v>
      </c>
      <c r="C4426" s="1018">
        <v>10.875</v>
      </c>
      <c r="D4426" s="1019">
        <v>8.4499999999999993</v>
      </c>
      <c r="E4426" s="1579">
        <v>2.1160000000000001</v>
      </c>
      <c r="F4426" s="1017">
        <v>2396.4969599999999</v>
      </c>
      <c r="H4426" s="1017">
        <v>97.97</v>
      </c>
      <c r="I4426" s="1017">
        <v>1070</v>
      </c>
      <c r="J4426" s="1305">
        <v>2.86</v>
      </c>
      <c r="K4426" s="1018">
        <v>8.42</v>
      </c>
      <c r="L4426" s="1032">
        <v>1577</v>
      </c>
      <c r="M4426" s="1032">
        <v>1.52</v>
      </c>
      <c r="N4426" s="1032">
        <v>0.95</v>
      </c>
      <c r="O4426" s="1032">
        <v>7.45</v>
      </c>
      <c r="P4426" s="1032">
        <v>3.56</v>
      </c>
      <c r="R4426" s="1019">
        <v>1.6444730000000001</v>
      </c>
      <c r="S4426" s="1018">
        <v>12.1</v>
      </c>
      <c r="Y4426" s="1032">
        <v>25.5</v>
      </c>
      <c r="AA4426" s="1019">
        <v>4.42</v>
      </c>
      <c r="AB4426" s="1019">
        <v>0.83099999999999996</v>
      </c>
      <c r="AC4426" s="1019">
        <v>9.5</v>
      </c>
      <c r="AD4426" s="1033">
        <v>510</v>
      </c>
      <c r="AE4426" s="1033">
        <v>350</v>
      </c>
      <c r="AF4426" s="1033">
        <v>140</v>
      </c>
      <c r="AG4426" s="66">
        <f t="shared" si="163"/>
        <v>116.88941176470587</v>
      </c>
      <c r="AH4426" s="143">
        <f t="shared" si="164"/>
        <v>1000</v>
      </c>
    </row>
    <row r="4427" spans="1:34" s="114" customFormat="1" x14ac:dyDescent="0.3">
      <c r="A4427" s="114">
        <v>103053</v>
      </c>
      <c r="B4427" s="310"/>
      <c r="C4427" s="310"/>
      <c r="D4427" s="311"/>
      <c r="E4427" s="1543"/>
      <c r="F4427" s="313"/>
      <c r="H4427" s="313"/>
      <c r="I4427" s="313"/>
      <c r="J4427" s="312"/>
      <c r="K4427" s="310"/>
      <c r="R4427" s="311"/>
      <c r="S4427" s="310"/>
      <c r="Y4427" s="310"/>
      <c r="AA4427" s="311"/>
      <c r="AB4427" s="311"/>
      <c r="AD4427" s="776"/>
      <c r="AE4427" s="776"/>
      <c r="AF4427" s="776"/>
      <c r="AG4427" s="66" t="e">
        <f t="shared" si="163"/>
        <v>#DIV/0!</v>
      </c>
      <c r="AH4427" s="143">
        <f t="shared" si="164"/>
        <v>0</v>
      </c>
    </row>
    <row r="4428" spans="1:34" s="818" customFormat="1" x14ac:dyDescent="0.3">
      <c r="A4428" s="818">
        <v>103054</v>
      </c>
      <c r="B4428" s="819">
        <v>1.3333333333333333</v>
      </c>
      <c r="C4428" s="819"/>
      <c r="D4428" s="820">
        <v>8.14</v>
      </c>
      <c r="E4428" s="1571">
        <v>0.501</v>
      </c>
      <c r="F4428" s="821">
        <v>552</v>
      </c>
      <c r="H4428" s="821">
        <v>242.88</v>
      </c>
      <c r="I4428" s="821">
        <v>2338</v>
      </c>
      <c r="J4428" s="822">
        <v>0.42499999999999999</v>
      </c>
      <c r="K4428" s="819">
        <v>5.97</v>
      </c>
      <c r="L4428" s="818">
        <v>1217</v>
      </c>
      <c r="M4428" s="818">
        <v>4.0999999999999996</v>
      </c>
      <c r="N4428" s="818">
        <v>3.14</v>
      </c>
      <c r="O4428" s="818">
        <v>2.77</v>
      </c>
      <c r="P4428" s="818">
        <v>4.3600000000000003</v>
      </c>
      <c r="R4428" s="820">
        <v>1.9114249999999999</v>
      </c>
      <c r="S4428" s="819">
        <v>20.5</v>
      </c>
      <c r="Y4428" s="824">
        <v>35</v>
      </c>
      <c r="AA4428" s="820">
        <v>3.45</v>
      </c>
      <c r="AB4428" s="820">
        <v>0.58599999999999997</v>
      </c>
      <c r="AC4428" s="818">
        <v>10.9</v>
      </c>
      <c r="AD4428" s="824">
        <v>500</v>
      </c>
      <c r="AE4428" s="824">
        <v>280</v>
      </c>
      <c r="AF4428" s="824">
        <v>220</v>
      </c>
      <c r="AG4428" s="66">
        <f t="shared" si="163"/>
        <v>60.382285714285715</v>
      </c>
      <c r="AH4428" s="143">
        <f t="shared" si="164"/>
        <v>1000</v>
      </c>
    </row>
    <row r="4429" spans="1:34" s="818" customFormat="1" x14ac:dyDescent="0.3">
      <c r="A4429" s="818">
        <v>103055</v>
      </c>
      <c r="B4429" s="819">
        <v>16</v>
      </c>
      <c r="C4429" s="819">
        <v>1.0000000000000009</v>
      </c>
      <c r="D4429" s="820">
        <v>8.16</v>
      </c>
      <c r="E4429" s="1571">
        <v>0.98</v>
      </c>
      <c r="F4429" s="821">
        <v>1087</v>
      </c>
      <c r="H4429" s="821">
        <v>23.22</v>
      </c>
      <c r="I4429" s="821">
        <v>358</v>
      </c>
      <c r="J4429" s="822">
        <v>0.61499999999999999</v>
      </c>
      <c r="K4429" s="819">
        <v>9.67</v>
      </c>
      <c r="L4429" s="818">
        <v>1008.9999999999999</v>
      </c>
      <c r="M4429" s="818">
        <v>1.31</v>
      </c>
      <c r="N4429" s="818">
        <v>2.86</v>
      </c>
      <c r="O4429" s="818">
        <v>7.26</v>
      </c>
      <c r="P4429" s="818">
        <v>3.5</v>
      </c>
      <c r="R4429" s="820">
        <v>1.774232</v>
      </c>
      <c r="S4429" s="819">
        <v>15.8</v>
      </c>
      <c r="Y4429" s="824">
        <v>26.5</v>
      </c>
      <c r="AA4429" s="820">
        <v>3.81</v>
      </c>
      <c r="AB4429" s="820">
        <v>0.66400000000000003</v>
      </c>
      <c r="AC4429" s="818">
        <v>9.6</v>
      </c>
      <c r="AD4429" s="824">
        <v>530</v>
      </c>
      <c r="AE4429" s="824">
        <v>280</v>
      </c>
      <c r="AF4429" s="824">
        <v>190</v>
      </c>
      <c r="AG4429" s="66">
        <f t="shared" si="163"/>
        <v>129.1766037735849</v>
      </c>
      <c r="AH4429" s="143">
        <f t="shared" si="164"/>
        <v>1000</v>
      </c>
    </row>
    <row r="4430" spans="1:34" s="818" customFormat="1" x14ac:dyDescent="0.3">
      <c r="A4430" s="818">
        <v>103056</v>
      </c>
      <c r="B4430" s="819">
        <v>0.70000000000000007</v>
      </c>
      <c r="C4430" s="819"/>
      <c r="D4430" s="820">
        <v>8.5</v>
      </c>
      <c r="E4430" s="1571">
        <v>0.13300000000000001</v>
      </c>
      <c r="F4430" s="821">
        <v>149</v>
      </c>
      <c r="H4430" s="821">
        <v>44.79</v>
      </c>
      <c r="I4430" s="821">
        <v>237</v>
      </c>
      <c r="J4430" s="822">
        <v>9.9000000000000005E-2</v>
      </c>
      <c r="K4430" s="819">
        <v>3.64</v>
      </c>
      <c r="L4430" s="818">
        <v>972</v>
      </c>
      <c r="M4430" s="818">
        <v>0.8</v>
      </c>
      <c r="N4430" s="818">
        <v>3.4</v>
      </c>
      <c r="O4430" s="818">
        <v>5.89</v>
      </c>
      <c r="P4430" s="818">
        <v>4.5</v>
      </c>
      <c r="R4430" s="820">
        <v>1.4781303712362017</v>
      </c>
      <c r="S4430" s="819">
        <v>10.199999999999999</v>
      </c>
      <c r="Y4430" s="824">
        <v>25.5</v>
      </c>
      <c r="AA4430" s="820">
        <v>4.3899999999999997</v>
      </c>
      <c r="AB4430" s="820">
        <v>0.85899999999999999</v>
      </c>
      <c r="AC4430" s="818">
        <v>8.1</v>
      </c>
      <c r="AD4430" s="824">
        <v>510</v>
      </c>
      <c r="AE4430" s="824">
        <v>330</v>
      </c>
      <c r="AF4430" s="824">
        <v>160</v>
      </c>
      <c r="AG4430" s="66">
        <f t="shared" si="163"/>
        <v>50.531764705882352</v>
      </c>
      <c r="AH4430" s="143">
        <f t="shared" si="164"/>
        <v>1000</v>
      </c>
    </row>
    <row r="4431" spans="1:34" s="818" customFormat="1" x14ac:dyDescent="0.3">
      <c r="A4431" s="818">
        <v>103057</v>
      </c>
      <c r="B4431" s="819">
        <v>20.166666666666664</v>
      </c>
      <c r="C4431" s="819">
        <v>11.624999999999998</v>
      </c>
      <c r="D4431" s="820">
        <v>7.85</v>
      </c>
      <c r="E4431" s="1571">
        <v>3.01</v>
      </c>
      <c r="F4431" s="821">
        <v>3320</v>
      </c>
      <c r="H4431" s="821">
        <v>34.090000000000003</v>
      </c>
      <c r="I4431" s="821">
        <v>230</v>
      </c>
      <c r="J4431" s="822">
        <v>0.627</v>
      </c>
      <c r="K4431" s="819">
        <v>34.33</v>
      </c>
      <c r="L4431" s="818">
        <v>881</v>
      </c>
      <c r="M4431" s="818">
        <v>0.47</v>
      </c>
      <c r="N4431" s="818">
        <v>0.41</v>
      </c>
      <c r="O4431" s="818">
        <v>1.7</v>
      </c>
      <c r="P4431" s="818">
        <v>1.01</v>
      </c>
      <c r="R4431" s="820">
        <v>1.1194053868285136</v>
      </c>
      <c r="S4431" s="819">
        <v>7.9</v>
      </c>
      <c r="Y4431" s="824">
        <v>25</v>
      </c>
      <c r="AA4431" s="820">
        <v>4.12</v>
      </c>
      <c r="AB4431" s="820">
        <v>0.247</v>
      </c>
      <c r="AC4431" s="818">
        <v>7.7</v>
      </c>
      <c r="AD4431" s="824">
        <v>500</v>
      </c>
      <c r="AE4431" s="824">
        <v>250</v>
      </c>
      <c r="AF4431" s="824">
        <v>250</v>
      </c>
      <c r="AG4431" s="66">
        <f t="shared" si="163"/>
        <v>486.11279999999999</v>
      </c>
      <c r="AH4431" s="143">
        <f t="shared" si="164"/>
        <v>1000</v>
      </c>
    </row>
    <row r="4432" spans="1:34" s="818" customFormat="1" x14ac:dyDescent="0.3">
      <c r="A4432" s="818">
        <v>103058</v>
      </c>
      <c r="B4432" s="819">
        <v>23.333333333333332</v>
      </c>
      <c r="C4432" s="819">
        <v>11.749999999999998</v>
      </c>
      <c r="D4432" s="820">
        <v>8</v>
      </c>
      <c r="E4432" s="1571">
        <v>5.09</v>
      </c>
      <c r="F4432" s="821">
        <v>5583</v>
      </c>
      <c r="H4432" s="821">
        <v>29.12</v>
      </c>
      <c r="I4432" s="821">
        <v>285</v>
      </c>
      <c r="J4432" s="822">
        <v>4.05</v>
      </c>
      <c r="K4432" s="819">
        <v>12.31</v>
      </c>
      <c r="L4432" s="818">
        <v>2012</v>
      </c>
      <c r="M4432" s="818">
        <v>0.63</v>
      </c>
      <c r="N4432" s="818">
        <v>0.8</v>
      </c>
      <c r="O4432" s="818">
        <v>0.66</v>
      </c>
      <c r="P4432" s="818">
        <v>1.7</v>
      </c>
      <c r="R4432" s="820">
        <v>0.88532584448814089</v>
      </c>
      <c r="S4432" s="819">
        <v>6.4</v>
      </c>
      <c r="Y4432" s="824">
        <v>29.5</v>
      </c>
      <c r="AA4432" s="820">
        <v>4.47</v>
      </c>
      <c r="AB4432" s="820">
        <v>0.78700000000000003</v>
      </c>
      <c r="AC4432" s="818">
        <v>6.9</v>
      </c>
      <c r="AD4432" s="824">
        <v>590</v>
      </c>
      <c r="AE4432" s="824">
        <v>310</v>
      </c>
      <c r="AF4432" s="824">
        <v>100</v>
      </c>
      <c r="AG4432" s="66">
        <f t="shared" si="163"/>
        <v>147.72000000000003</v>
      </c>
      <c r="AH4432" s="143">
        <f t="shared" si="164"/>
        <v>1000</v>
      </c>
    </row>
    <row r="4433" spans="1:35" s="818" customFormat="1" x14ac:dyDescent="0.3">
      <c r="A4433" s="818">
        <v>103059</v>
      </c>
      <c r="B4433" s="819">
        <v>7.625</v>
      </c>
      <c r="C4433" s="819"/>
      <c r="D4433" s="820">
        <v>8.85</v>
      </c>
      <c r="E4433" s="1571">
        <v>0.13400000000000001</v>
      </c>
      <c r="F4433" s="821">
        <v>147.40000000000003</v>
      </c>
      <c r="H4433" s="821">
        <v>11.12</v>
      </c>
      <c r="I4433" s="821">
        <v>327</v>
      </c>
      <c r="J4433" s="822">
        <v>6.5000000000000002E-2</v>
      </c>
      <c r="K4433" s="819">
        <v>8.11</v>
      </c>
      <c r="L4433" s="818">
        <v>1139</v>
      </c>
      <c r="M4433" s="818">
        <v>0.55000000000000004</v>
      </c>
      <c r="N4433" s="818">
        <v>1.1299999999999999</v>
      </c>
      <c r="O4433" s="818">
        <v>2.9</v>
      </c>
      <c r="P4433" s="818">
        <v>2.76</v>
      </c>
      <c r="R4433" s="820">
        <v>0.65512418821331586</v>
      </c>
      <c r="S4433" s="819">
        <v>4.3</v>
      </c>
      <c r="Y4433" s="824">
        <v>29.4</v>
      </c>
      <c r="AA4433" s="820">
        <v>4.34</v>
      </c>
      <c r="AB4433" s="820">
        <v>0.32800000000000001</v>
      </c>
      <c r="AC4433" s="818">
        <v>8.5</v>
      </c>
      <c r="AD4433" s="824">
        <v>490</v>
      </c>
      <c r="AE4433" s="824">
        <v>300</v>
      </c>
      <c r="AF4433" s="824">
        <v>210</v>
      </c>
      <c r="AG4433" s="66">
        <f t="shared" si="163"/>
        <v>97.651020408163276</v>
      </c>
      <c r="AH4433" s="143">
        <f t="shared" si="164"/>
        <v>1000</v>
      </c>
    </row>
    <row r="4434" spans="1:35" s="818" customFormat="1" x14ac:dyDescent="0.3">
      <c r="A4434" s="818">
        <v>103060</v>
      </c>
      <c r="B4434" s="819">
        <v>7.9166666666666661</v>
      </c>
      <c r="C4434" s="819"/>
      <c r="D4434" s="820">
        <v>8.7100000000000009</v>
      </c>
      <c r="E4434" s="1571">
        <v>0.15</v>
      </c>
      <c r="F4434" s="821">
        <v>165</v>
      </c>
      <c r="H4434" s="821">
        <v>15.12</v>
      </c>
      <c r="I4434" s="821">
        <v>387</v>
      </c>
      <c r="J4434" s="822">
        <v>8.8999999999999996E-2</v>
      </c>
      <c r="K4434" s="819">
        <v>8.44</v>
      </c>
      <c r="L4434" s="818">
        <v>1217</v>
      </c>
      <c r="M4434" s="818">
        <v>0.79</v>
      </c>
      <c r="N4434" s="818">
        <v>1.32</v>
      </c>
      <c r="O4434" s="818">
        <v>5.78</v>
      </c>
      <c r="P4434" s="818">
        <v>3.32</v>
      </c>
      <c r="R4434" s="820">
        <v>1.2625689182143458</v>
      </c>
      <c r="S4434" s="819">
        <v>8.3000000000000007</v>
      </c>
      <c r="Y4434" s="824">
        <v>33.6</v>
      </c>
      <c r="AA4434" s="820">
        <v>3.9</v>
      </c>
      <c r="AB4434" s="820">
        <v>0.48</v>
      </c>
      <c r="AC4434" s="818">
        <v>11.4</v>
      </c>
      <c r="AD4434" s="824">
        <v>480</v>
      </c>
      <c r="AE4434" s="824">
        <v>320</v>
      </c>
      <c r="AF4434" s="824">
        <v>200</v>
      </c>
      <c r="AG4434" s="66">
        <f t="shared" si="163"/>
        <v>88.921428571428564</v>
      </c>
      <c r="AH4434" s="143">
        <f t="shared" si="164"/>
        <v>1000</v>
      </c>
    </row>
    <row r="4435" spans="1:35" s="818" customFormat="1" x14ac:dyDescent="0.3">
      <c r="A4435" s="818">
        <v>103061</v>
      </c>
      <c r="B4435" s="819">
        <v>10.333333333333334</v>
      </c>
      <c r="C4435" s="819">
        <v>4.6249999999999991</v>
      </c>
      <c r="D4435" s="820">
        <v>8.8000000000000007</v>
      </c>
      <c r="E4435" s="1571">
        <v>0.17799999999999999</v>
      </c>
      <c r="F4435" s="821">
        <v>195.8</v>
      </c>
      <c r="H4435" s="821">
        <v>19.59</v>
      </c>
      <c r="I4435" s="821">
        <v>422</v>
      </c>
      <c r="J4435" s="822">
        <v>0.121</v>
      </c>
      <c r="K4435" s="819">
        <v>8.25</v>
      </c>
      <c r="L4435" s="818">
        <v>1422</v>
      </c>
      <c r="M4435" s="818">
        <v>1.76</v>
      </c>
      <c r="N4435" s="818">
        <v>1.56</v>
      </c>
      <c r="O4435" s="818">
        <v>13.99</v>
      </c>
      <c r="P4435" s="818">
        <v>3.41</v>
      </c>
      <c r="R4435" s="820">
        <v>1.2881156260120321</v>
      </c>
      <c r="S4435" s="819">
        <v>9.3000000000000007</v>
      </c>
      <c r="Y4435" s="824">
        <v>37.1</v>
      </c>
      <c r="AA4435" s="820">
        <v>4.2</v>
      </c>
      <c r="AB4435" s="820">
        <v>0.64</v>
      </c>
      <c r="AC4435" s="818">
        <v>9.9</v>
      </c>
      <c r="AD4435" s="824">
        <v>530</v>
      </c>
      <c r="AE4435" s="824">
        <v>310</v>
      </c>
      <c r="AF4435" s="824">
        <v>160</v>
      </c>
      <c r="AG4435" s="66">
        <f t="shared" si="163"/>
        <v>78.719676549865227</v>
      </c>
      <c r="AH4435" s="143">
        <f t="shared" si="164"/>
        <v>1000</v>
      </c>
    </row>
    <row r="4436" spans="1:35" s="818" customFormat="1" x14ac:dyDescent="0.3">
      <c r="A4436" s="818">
        <v>103062</v>
      </c>
      <c r="B4436" s="819">
        <v>6.9999999999999991</v>
      </c>
      <c r="C4436" s="819"/>
      <c r="D4436" s="820">
        <v>8.74</v>
      </c>
      <c r="E4436" s="1571">
        <v>0.186</v>
      </c>
      <c r="F4436" s="821">
        <v>204.6</v>
      </c>
      <c r="H4436" s="821">
        <v>13.09</v>
      </c>
      <c r="I4436" s="821">
        <v>311</v>
      </c>
      <c r="J4436" s="822">
        <v>0.123</v>
      </c>
      <c r="K4436" s="819">
        <v>8.39</v>
      </c>
      <c r="L4436" s="818">
        <v>1184</v>
      </c>
      <c r="M4436" s="818">
        <v>0.79</v>
      </c>
      <c r="N4436" s="818">
        <v>1.3</v>
      </c>
      <c r="O4436" s="818">
        <v>6.96</v>
      </c>
      <c r="P4436" s="818">
        <v>3.27</v>
      </c>
      <c r="R4436" s="820">
        <v>1.4518124678796991</v>
      </c>
      <c r="S4436" s="819">
        <v>9.8000000000000007</v>
      </c>
      <c r="Y4436" s="824">
        <v>32.4</v>
      </c>
      <c r="AA4436" s="820">
        <v>4.79</v>
      </c>
      <c r="AB4436" s="820">
        <v>0.254</v>
      </c>
      <c r="AC4436" s="818">
        <v>7.1</v>
      </c>
      <c r="AD4436" s="824">
        <v>540</v>
      </c>
      <c r="AE4436" s="824">
        <v>320</v>
      </c>
      <c r="AF4436" s="824">
        <v>140</v>
      </c>
      <c r="AG4436" s="66">
        <f t="shared" si="163"/>
        <v>91.668518518518525</v>
      </c>
      <c r="AH4436" s="143">
        <f t="shared" si="164"/>
        <v>1000</v>
      </c>
    </row>
    <row r="4437" spans="1:35" s="818" customFormat="1" x14ac:dyDescent="0.3">
      <c r="A4437" s="818">
        <v>103063</v>
      </c>
      <c r="B4437" s="819">
        <v>6.666666666666667</v>
      </c>
      <c r="C4437" s="819"/>
      <c r="D4437" s="820">
        <v>8.83</v>
      </c>
      <c r="E4437" s="1571">
        <v>0.157</v>
      </c>
      <c r="F4437" s="821">
        <v>172.70000000000002</v>
      </c>
      <c r="H4437" s="821">
        <v>18.14</v>
      </c>
      <c r="I4437" s="821">
        <v>415</v>
      </c>
      <c r="J4437" s="822">
        <v>7.9000000000000001E-2</v>
      </c>
      <c r="K4437" s="819">
        <v>7.94</v>
      </c>
      <c r="L4437" s="818">
        <v>1175</v>
      </c>
      <c r="M4437" s="818">
        <v>1.71</v>
      </c>
      <c r="N4437" s="818">
        <v>1.43</v>
      </c>
      <c r="O4437" s="818">
        <v>15.93</v>
      </c>
      <c r="P4437" s="818">
        <v>2.56</v>
      </c>
      <c r="R4437" s="820">
        <v>1.2779750148484759</v>
      </c>
      <c r="S4437" s="819">
        <v>9.1</v>
      </c>
      <c r="Y4437" s="824">
        <v>36.4</v>
      </c>
      <c r="AA4437" s="820">
        <v>4.66</v>
      </c>
      <c r="AB4437" s="820">
        <v>0.47</v>
      </c>
      <c r="AC4437" s="818">
        <v>6</v>
      </c>
      <c r="AD4437" s="824">
        <v>520</v>
      </c>
      <c r="AE4437" s="824">
        <v>280</v>
      </c>
      <c r="AF4437" s="824">
        <v>200</v>
      </c>
      <c r="AG4437" s="66">
        <f t="shared" si="163"/>
        <v>77.218681318681334</v>
      </c>
      <c r="AH4437" s="143">
        <f t="shared" si="164"/>
        <v>1000</v>
      </c>
    </row>
    <row r="4438" spans="1:35" s="818" customFormat="1" x14ac:dyDescent="0.3">
      <c r="A4438" s="818">
        <v>103064</v>
      </c>
      <c r="B4438" s="819">
        <v>12.666666666666664</v>
      </c>
      <c r="C4438" s="819">
        <v>6.4999999999999991</v>
      </c>
      <c r="D4438" s="820">
        <v>8.6</v>
      </c>
      <c r="E4438" s="1571">
        <v>0.17599999999999999</v>
      </c>
      <c r="F4438" s="821">
        <v>193.6</v>
      </c>
      <c r="H4438" s="821">
        <v>31.91</v>
      </c>
      <c r="I4438" s="821">
        <v>536</v>
      </c>
      <c r="J4438" s="822">
        <v>9.6000000000000002E-2</v>
      </c>
      <c r="K4438" s="819">
        <v>9.42</v>
      </c>
      <c r="L4438" s="818">
        <v>1119</v>
      </c>
      <c r="M4438" s="818">
        <v>0.68</v>
      </c>
      <c r="N4438" s="818">
        <v>1.73</v>
      </c>
      <c r="O4438" s="818">
        <v>6.5</v>
      </c>
      <c r="P4438" s="818">
        <v>2.35</v>
      </c>
      <c r="R4438" s="820">
        <v>0.868690011269863</v>
      </c>
      <c r="S4438" s="819">
        <v>6.4</v>
      </c>
      <c r="Y4438" s="824">
        <v>26</v>
      </c>
      <c r="AA4438" s="820">
        <v>4.71</v>
      </c>
      <c r="AB4438" s="820">
        <v>0.28000000000000003</v>
      </c>
      <c r="AC4438" s="818">
        <v>7.5</v>
      </c>
      <c r="AD4438" s="824">
        <v>520</v>
      </c>
      <c r="AE4438" s="824">
        <v>310</v>
      </c>
      <c r="AF4438" s="824">
        <v>170</v>
      </c>
      <c r="AG4438" s="66">
        <f t="shared" si="163"/>
        <v>128.2569230769231</v>
      </c>
      <c r="AH4438" s="143">
        <f t="shared" si="164"/>
        <v>1000</v>
      </c>
    </row>
    <row r="4439" spans="1:35" s="818" customFormat="1" x14ac:dyDescent="0.3">
      <c r="A4439" s="818">
        <v>103065</v>
      </c>
      <c r="B4439" s="819">
        <v>23.333333333333332</v>
      </c>
      <c r="C4439" s="819">
        <v>10.625</v>
      </c>
      <c r="D4439" s="820">
        <v>8.1199999999999992</v>
      </c>
      <c r="E4439" s="1571">
        <v>2.2999999999999998</v>
      </c>
      <c r="F4439" s="821">
        <v>2530</v>
      </c>
      <c r="H4439" s="821">
        <v>23.09</v>
      </c>
      <c r="I4439" s="821">
        <v>222</v>
      </c>
      <c r="J4439" s="822">
        <v>2.6240000000000001</v>
      </c>
      <c r="K4439" s="819">
        <v>11.47</v>
      </c>
      <c r="L4439" s="818">
        <v>1073</v>
      </c>
      <c r="M4439" s="818">
        <v>0.26</v>
      </c>
      <c r="N4439" s="818">
        <v>0.69</v>
      </c>
      <c r="O4439" s="818">
        <v>1.03</v>
      </c>
      <c r="P4439" s="818">
        <v>2.41</v>
      </c>
      <c r="R4439" s="820">
        <v>0.89590314863080311</v>
      </c>
      <c r="S4439" s="819">
        <v>6.5</v>
      </c>
      <c r="Y4439" s="824">
        <v>34.200000000000003</v>
      </c>
      <c r="AA4439" s="820">
        <v>4.04</v>
      </c>
      <c r="AB4439" s="820">
        <v>0.84499999999999997</v>
      </c>
      <c r="AC4439" s="818">
        <v>8.6</v>
      </c>
      <c r="AD4439" s="824">
        <v>570</v>
      </c>
      <c r="AE4439" s="824">
        <v>320</v>
      </c>
      <c r="AF4439" s="824">
        <v>110</v>
      </c>
      <c r="AG4439" s="66">
        <f t="shared" si="163"/>
        <v>118.72456140350876</v>
      </c>
      <c r="AH4439" s="143">
        <f t="shared" si="164"/>
        <v>1000</v>
      </c>
    </row>
    <row r="4440" spans="1:35" s="818" customFormat="1" x14ac:dyDescent="0.3">
      <c r="A4440" s="818">
        <v>103066</v>
      </c>
      <c r="B4440" s="819">
        <v>7.1250000000000009</v>
      </c>
      <c r="C4440" s="819"/>
      <c r="D4440" s="820">
        <v>8.51</v>
      </c>
      <c r="E4440" s="1571">
        <v>0.14699999999999999</v>
      </c>
      <c r="F4440" s="821">
        <v>160</v>
      </c>
      <c r="H4440" s="821">
        <v>30.21</v>
      </c>
      <c r="I4440" s="821">
        <v>231</v>
      </c>
      <c r="J4440" s="822">
        <v>0.126</v>
      </c>
      <c r="K4440" s="819">
        <v>6.96</v>
      </c>
      <c r="L4440" s="818">
        <v>287</v>
      </c>
      <c r="M4440" s="818">
        <v>0.48</v>
      </c>
      <c r="N4440" s="818">
        <v>1.01</v>
      </c>
      <c r="O4440" s="818">
        <v>5.84</v>
      </c>
      <c r="P4440" s="818">
        <v>6.93</v>
      </c>
      <c r="R4440" s="820">
        <v>1.865372</v>
      </c>
      <c r="S4440" s="819">
        <v>18.799999999999997</v>
      </c>
      <c r="Y4440" s="824">
        <v>32.4</v>
      </c>
      <c r="AA4440" s="820">
        <v>4.96</v>
      </c>
      <c r="AB4440" s="820">
        <v>0.38500000000000001</v>
      </c>
      <c r="AC4440" s="818">
        <v>10</v>
      </c>
      <c r="AD4440" s="824">
        <v>540</v>
      </c>
      <c r="AE4440" s="824">
        <v>320</v>
      </c>
      <c r="AF4440" s="824">
        <v>140</v>
      </c>
      <c r="AG4440" s="66">
        <f t="shared" si="163"/>
        <v>76.044444444444451</v>
      </c>
      <c r="AH4440" s="143">
        <f t="shared" si="164"/>
        <v>1000</v>
      </c>
    </row>
    <row r="4441" spans="1:35" s="818" customFormat="1" x14ac:dyDescent="0.3">
      <c r="A4441" s="818">
        <v>103067</v>
      </c>
      <c r="B4441" s="819">
        <v>1.9999999999999998</v>
      </c>
      <c r="C4441" s="819"/>
      <c r="D4441" s="820">
        <v>8.4499999999999993</v>
      </c>
      <c r="E4441" s="1571">
        <v>0.109</v>
      </c>
      <c r="F4441" s="821">
        <v>122</v>
      </c>
      <c r="H4441" s="821">
        <v>17.27</v>
      </c>
      <c r="I4441" s="821">
        <v>156</v>
      </c>
      <c r="J4441" s="822">
        <v>0.111</v>
      </c>
      <c r="K4441" s="819">
        <v>8.77</v>
      </c>
      <c r="L4441" s="818">
        <v>240</v>
      </c>
      <c r="M4441" s="818">
        <v>0.36</v>
      </c>
      <c r="N4441" s="818">
        <v>0.98</v>
      </c>
      <c r="O4441" s="818">
        <v>5.36</v>
      </c>
      <c r="P4441" s="818">
        <v>5.91</v>
      </c>
      <c r="R4441" s="820">
        <v>1.7308250000000001</v>
      </c>
      <c r="S4441" s="819">
        <v>14.5</v>
      </c>
      <c r="Y4441" s="824">
        <v>26.5</v>
      </c>
      <c r="AA4441" s="820">
        <v>4.41</v>
      </c>
      <c r="AB4441" s="820">
        <v>0.748</v>
      </c>
      <c r="AC4441" s="818">
        <v>9.4</v>
      </c>
      <c r="AD4441" s="824">
        <v>530</v>
      </c>
      <c r="AE4441" s="824">
        <v>320</v>
      </c>
      <c r="AF4441" s="824">
        <v>150</v>
      </c>
      <c r="AG4441" s="66">
        <f t="shared" si="163"/>
        <v>117.15396226415093</v>
      </c>
      <c r="AH4441" s="143">
        <f t="shared" si="164"/>
        <v>1000</v>
      </c>
    </row>
    <row r="4442" spans="1:35" s="716" customFormat="1" x14ac:dyDescent="0.3">
      <c r="A4442" s="716">
        <v>103068</v>
      </c>
      <c r="B4442" s="722">
        <v>11.416666666666666</v>
      </c>
      <c r="C4442" s="722">
        <v>3.75</v>
      </c>
      <c r="D4442" s="723">
        <v>8.5399999999999991</v>
      </c>
      <c r="E4442" s="1564">
        <v>1.9450000000000001</v>
      </c>
      <c r="F4442" s="724">
        <v>2202.2178475999999</v>
      </c>
      <c r="H4442" s="724">
        <v>19.37</v>
      </c>
      <c r="I4442" s="724">
        <v>1510</v>
      </c>
      <c r="J4442" s="1937">
        <v>1.897</v>
      </c>
      <c r="K4442" s="722">
        <v>8.77</v>
      </c>
      <c r="L4442" s="716">
        <v>787</v>
      </c>
      <c r="M4442" s="716">
        <v>0.36</v>
      </c>
      <c r="N4442" s="716">
        <v>0.81</v>
      </c>
      <c r="O4442" s="716">
        <v>1.51</v>
      </c>
      <c r="P4442" s="716">
        <v>3.72</v>
      </c>
      <c r="R4442" s="723">
        <v>1.168403578442619</v>
      </c>
      <c r="S4442" s="722">
        <v>8.2999999999999989</v>
      </c>
      <c r="Y4442" s="722">
        <v>31.54</v>
      </c>
      <c r="AA4442" s="723">
        <v>3.64</v>
      </c>
      <c r="AB4442" s="723">
        <v>0.28899999999999998</v>
      </c>
      <c r="AC4442" s="716">
        <v>10.4</v>
      </c>
      <c r="AD4442" s="716">
        <v>520</v>
      </c>
      <c r="AE4442" s="716">
        <v>260</v>
      </c>
      <c r="AF4442" s="716">
        <v>220</v>
      </c>
      <c r="AG4442" s="66">
        <f t="shared" si="163"/>
        <v>98.433100824350035</v>
      </c>
      <c r="AH4442" s="143">
        <f t="shared" si="164"/>
        <v>1000</v>
      </c>
      <c r="AI4442" s="716">
        <f>1000-AD4442-AF4442</f>
        <v>260</v>
      </c>
    </row>
    <row r="4443" spans="1:35" s="716" customFormat="1" x14ac:dyDescent="0.3">
      <c r="A4443" s="716">
        <v>103069</v>
      </c>
      <c r="B4443" s="722">
        <v>16.666666666666664</v>
      </c>
      <c r="C4443" s="722">
        <v>2.8750000000000009</v>
      </c>
      <c r="D4443" s="723">
        <v>8.19</v>
      </c>
      <c r="E4443" s="1564">
        <v>0.52400000000000002</v>
      </c>
      <c r="F4443" s="724">
        <v>593.29673632000004</v>
      </c>
      <c r="H4443" s="724">
        <v>20.5</v>
      </c>
      <c r="I4443" s="724">
        <v>190</v>
      </c>
      <c r="J4443" s="1937">
        <v>0.30599999999999999</v>
      </c>
      <c r="K4443" s="722">
        <v>8.9</v>
      </c>
      <c r="L4443" s="716">
        <v>585</v>
      </c>
      <c r="M4443" s="716">
        <v>0.35</v>
      </c>
      <c r="N4443" s="716">
        <v>0.91</v>
      </c>
      <c r="O4443" s="716">
        <v>0.75</v>
      </c>
      <c r="P4443" s="716">
        <v>10.77</v>
      </c>
      <c r="R4443" s="723">
        <v>1.5337969865989576</v>
      </c>
      <c r="S4443" s="722">
        <v>10.199999999999999</v>
      </c>
      <c r="Y4443" s="722">
        <v>22</v>
      </c>
      <c r="AA4443" s="723">
        <v>3.94</v>
      </c>
      <c r="AB4443" s="723">
        <v>0.64</v>
      </c>
      <c r="AC4443" s="716">
        <v>10.7</v>
      </c>
      <c r="AD4443" s="716">
        <v>440</v>
      </c>
      <c r="AE4443" s="716">
        <v>100</v>
      </c>
      <c r="AF4443" s="716">
        <v>460</v>
      </c>
      <c r="AG4443" s="66">
        <f t="shared" si="163"/>
        <v>143.20909090909092</v>
      </c>
      <c r="AH4443" s="143">
        <f t="shared" si="164"/>
        <v>1000</v>
      </c>
      <c r="AI4443" s="716">
        <f t="shared" ref="AI4443:AI4529" si="165">1000-AD4443-AF4443</f>
        <v>100</v>
      </c>
    </row>
    <row r="4444" spans="1:35" s="716" customFormat="1" x14ac:dyDescent="0.3">
      <c r="A4444" s="716">
        <v>103070</v>
      </c>
      <c r="B4444" s="722">
        <v>8.3333333333333321</v>
      </c>
      <c r="C4444" s="722"/>
      <c r="D4444" s="723">
        <v>8.44</v>
      </c>
      <c r="E4444" s="1564">
        <v>0.55300000000000005</v>
      </c>
      <c r="F4444" s="724">
        <v>626.1318610400001</v>
      </c>
      <c r="H4444" s="724">
        <v>34.479999999999997</v>
      </c>
      <c r="I4444" s="724">
        <v>220</v>
      </c>
      <c r="J4444" s="1937">
        <v>0.69899999999999995</v>
      </c>
      <c r="K4444" s="722">
        <v>10.27</v>
      </c>
      <c r="L4444" s="716">
        <v>1079</v>
      </c>
      <c r="M4444" s="716">
        <v>0.51</v>
      </c>
      <c r="N4444" s="716">
        <v>2.09</v>
      </c>
      <c r="O4444" s="716">
        <v>4.18</v>
      </c>
      <c r="P4444" s="716">
        <v>22.75</v>
      </c>
      <c r="R4444" s="723">
        <v>1.298891922506908</v>
      </c>
      <c r="S4444" s="722">
        <v>8.6</v>
      </c>
      <c r="Y4444" s="722">
        <v>32.4</v>
      </c>
      <c r="AA4444" s="723">
        <v>3.5</v>
      </c>
      <c r="AB4444" s="723">
        <v>0.374</v>
      </c>
      <c r="AC4444" s="716">
        <v>6.4</v>
      </c>
      <c r="AD4444" s="716">
        <v>570</v>
      </c>
      <c r="AE4444" s="716">
        <v>330</v>
      </c>
      <c r="AF4444" s="716">
        <v>100</v>
      </c>
      <c r="AG4444" s="66">
        <f t="shared" si="163"/>
        <v>112.20925925925927</v>
      </c>
      <c r="AH4444" s="143">
        <f t="shared" si="164"/>
        <v>1000</v>
      </c>
      <c r="AI4444" s="716">
        <f t="shared" si="165"/>
        <v>330</v>
      </c>
    </row>
    <row r="4445" spans="1:35" s="716" customFormat="1" x14ac:dyDescent="0.3">
      <c r="A4445" s="716">
        <v>103071</v>
      </c>
      <c r="B4445" s="722">
        <v>6</v>
      </c>
      <c r="C4445" s="722"/>
      <c r="D4445" s="723">
        <v>8.1</v>
      </c>
      <c r="E4445" s="1564">
        <v>2.0950000000000002</v>
      </c>
      <c r="F4445" s="724">
        <v>2372.0546996000003</v>
      </c>
      <c r="H4445" s="724">
        <v>33.25</v>
      </c>
      <c r="I4445" s="724">
        <v>560</v>
      </c>
      <c r="J4445" s="1937">
        <v>1.484</v>
      </c>
      <c r="K4445" s="722">
        <v>8.41</v>
      </c>
      <c r="L4445" s="716">
        <v>1633</v>
      </c>
      <c r="M4445" s="716">
        <v>0.62</v>
      </c>
      <c r="N4445" s="716">
        <v>1.01</v>
      </c>
      <c r="O4445" s="716">
        <v>6.35</v>
      </c>
      <c r="P4445" s="716">
        <v>2</v>
      </c>
      <c r="R4445" s="723">
        <v>1.6177680000000001</v>
      </c>
      <c r="S4445" s="722">
        <v>11.399999999999999</v>
      </c>
      <c r="Y4445" s="722">
        <v>27</v>
      </c>
      <c r="AA4445" s="723">
        <v>4.5599999999999996</v>
      </c>
      <c r="AB4445" s="723">
        <v>0.32600000000000001</v>
      </c>
      <c r="AC4445" s="716">
        <v>7.8</v>
      </c>
      <c r="AD4445" s="716">
        <v>540</v>
      </c>
      <c r="AE4445" s="716">
        <v>320</v>
      </c>
      <c r="AF4445" s="716">
        <v>140</v>
      </c>
      <c r="AG4445" s="66">
        <f t="shared" si="163"/>
        <v>110.26444444444444</v>
      </c>
      <c r="AH4445" s="143">
        <f t="shared" si="164"/>
        <v>1000</v>
      </c>
      <c r="AI4445" s="716">
        <f t="shared" si="165"/>
        <v>320</v>
      </c>
    </row>
    <row r="4446" spans="1:35" s="716" customFormat="1" x14ac:dyDescent="0.3">
      <c r="A4446" s="716">
        <v>103072</v>
      </c>
      <c r="B4446" s="722">
        <v>0.23333333333333331</v>
      </c>
      <c r="C4446" s="722"/>
      <c r="D4446" s="723">
        <v>7.62</v>
      </c>
      <c r="E4446" s="1564">
        <v>0.121</v>
      </c>
      <c r="F4446" s="724">
        <v>137.00172728000001</v>
      </c>
      <c r="H4446" s="724">
        <v>35.69</v>
      </c>
      <c r="I4446" s="724">
        <v>230</v>
      </c>
      <c r="J4446" s="1937">
        <v>0.17699999999999999</v>
      </c>
      <c r="K4446" s="722">
        <v>2.36</v>
      </c>
      <c r="L4446" s="716">
        <v>397</v>
      </c>
      <c r="M4446" s="716">
        <v>1</v>
      </c>
      <c r="N4446" s="716">
        <v>15.48</v>
      </c>
      <c r="O4446" s="716">
        <v>23.59</v>
      </c>
      <c r="P4446" s="716">
        <v>26.94</v>
      </c>
      <c r="R4446" s="723">
        <v>1.3626784171259021</v>
      </c>
      <c r="S4446" s="722">
        <v>10.199999999999999</v>
      </c>
      <c r="Y4446" s="722">
        <v>26.5</v>
      </c>
      <c r="AA4446" s="723">
        <v>4.68</v>
      </c>
      <c r="AB4446" s="723">
        <v>0.248</v>
      </c>
      <c r="AC4446" s="716">
        <v>9</v>
      </c>
      <c r="AD4446" s="716">
        <v>530</v>
      </c>
      <c r="AE4446" s="716">
        <v>290</v>
      </c>
      <c r="AF4446" s="716">
        <v>180</v>
      </c>
      <c r="AG4446" s="66">
        <f t="shared" si="163"/>
        <v>31.526037735849059</v>
      </c>
      <c r="AH4446" s="143">
        <f t="shared" si="164"/>
        <v>1000</v>
      </c>
      <c r="AI4446" s="716">
        <f t="shared" si="165"/>
        <v>290</v>
      </c>
    </row>
    <row r="4447" spans="1:35" s="716" customFormat="1" x14ac:dyDescent="0.3">
      <c r="A4447" s="716">
        <v>103073</v>
      </c>
      <c r="B4447" s="722">
        <v>0.2</v>
      </c>
      <c r="C4447" s="722"/>
      <c r="D4447" s="723">
        <v>6.6</v>
      </c>
      <c r="E4447" s="1564">
        <v>6.0999999999999999E-2</v>
      </c>
      <c r="F4447" s="724">
        <v>69.066986479999997</v>
      </c>
      <c r="H4447" s="724">
        <v>30.39</v>
      </c>
      <c r="I4447" s="724">
        <v>170</v>
      </c>
      <c r="J4447" s="1937">
        <v>4.1000000000000002E-2</v>
      </c>
      <c r="K4447" s="722">
        <v>1.58</v>
      </c>
      <c r="L4447" s="716">
        <v>192</v>
      </c>
      <c r="M4447" s="716">
        <v>0.56999999999999995</v>
      </c>
      <c r="N4447" s="716">
        <v>0.7</v>
      </c>
      <c r="O4447" s="716">
        <v>35.9</v>
      </c>
      <c r="P4447" s="716">
        <v>30.53</v>
      </c>
      <c r="R4447" s="723">
        <v>1.3250339565298845</v>
      </c>
      <c r="S4447" s="722">
        <v>9.8000000000000007</v>
      </c>
      <c r="Y4447" s="722">
        <v>24.5</v>
      </c>
      <c r="Z4447" s="716">
        <v>5.36</v>
      </c>
      <c r="AA4447" s="723">
        <v>4.88</v>
      </c>
      <c r="AB4447" s="723">
        <v>0.30299999999999999</v>
      </c>
      <c r="AC4447" s="716">
        <v>6.4</v>
      </c>
      <c r="AD4447" s="716">
        <v>490</v>
      </c>
      <c r="AE4447" s="716">
        <v>310</v>
      </c>
      <c r="AF4447" s="716">
        <v>200</v>
      </c>
      <c r="AG4447" s="66">
        <f t="shared" si="163"/>
        <v>22.829387755102044</v>
      </c>
      <c r="AH4447" s="143">
        <f t="shared" si="164"/>
        <v>1000</v>
      </c>
      <c r="AI4447" s="716">
        <f t="shared" si="165"/>
        <v>310</v>
      </c>
    </row>
    <row r="4448" spans="1:35" s="716" customFormat="1" x14ac:dyDescent="0.3">
      <c r="A4448" s="716">
        <v>103074</v>
      </c>
      <c r="B4448" s="722">
        <v>20</v>
      </c>
      <c r="C4448" s="722">
        <v>9.1249999999999982</v>
      </c>
      <c r="D4448" s="723">
        <v>8.19</v>
      </c>
      <c r="E4448" s="1564">
        <v>4.16</v>
      </c>
      <c r="F4448" s="724">
        <v>3710.1420287999999</v>
      </c>
      <c r="H4448" s="724">
        <v>38.729999999999997</v>
      </c>
      <c r="I4448" s="724">
        <v>210</v>
      </c>
      <c r="J4448" s="1937">
        <v>2.1339999999999999</v>
      </c>
      <c r="K4448" s="722">
        <v>12.31</v>
      </c>
      <c r="L4448" s="716">
        <v>1088</v>
      </c>
      <c r="M4448" s="716">
        <v>1.29</v>
      </c>
      <c r="N4448" s="716">
        <v>1.06</v>
      </c>
      <c r="O4448" s="716">
        <v>21.52</v>
      </c>
      <c r="P4448" s="716">
        <v>5.94</v>
      </c>
      <c r="R4448" s="723">
        <v>1.6022000000000001</v>
      </c>
      <c r="S4448" s="722">
        <v>11</v>
      </c>
      <c r="Y4448" s="722">
        <v>28.8</v>
      </c>
      <c r="AA4448" s="723">
        <v>4.99</v>
      </c>
      <c r="AB4448" s="723">
        <v>0.78200000000000003</v>
      </c>
      <c r="AC4448" s="716">
        <v>8.6</v>
      </c>
      <c r="AD4448" s="716">
        <v>480</v>
      </c>
      <c r="AE4448" s="716">
        <v>280</v>
      </c>
      <c r="AF4448" s="716">
        <v>240</v>
      </c>
      <c r="AG4448" s="66">
        <f t="shared" si="163"/>
        <v>151.3104166666667</v>
      </c>
      <c r="AH4448" s="143">
        <f t="shared" si="164"/>
        <v>1000</v>
      </c>
      <c r="AI4448" s="716">
        <f t="shared" si="165"/>
        <v>280</v>
      </c>
    </row>
    <row r="4449" spans="1:35" s="716" customFormat="1" x14ac:dyDescent="0.3">
      <c r="A4449" s="716">
        <v>103075</v>
      </c>
      <c r="B4449" s="722">
        <v>16.666666666666664</v>
      </c>
      <c r="C4449" s="722">
        <v>11.624999999999998</v>
      </c>
      <c r="D4449" s="723">
        <v>8.4499999999999993</v>
      </c>
      <c r="E4449" s="1564">
        <v>0.28699999999999998</v>
      </c>
      <c r="F4449" s="724">
        <v>324.95451015999998</v>
      </c>
      <c r="H4449" s="724">
        <v>56.82</v>
      </c>
      <c r="I4449" s="724">
        <v>490</v>
      </c>
      <c r="J4449" s="1937">
        <v>0.08</v>
      </c>
      <c r="K4449" s="722">
        <v>9.58</v>
      </c>
      <c r="L4449" s="716">
        <v>831</v>
      </c>
      <c r="M4449" s="716">
        <v>0.31</v>
      </c>
      <c r="N4449" s="716">
        <v>0.71</v>
      </c>
      <c r="O4449" s="716">
        <v>1.74</v>
      </c>
      <c r="P4449" s="716">
        <v>1.83</v>
      </c>
      <c r="R4449" s="723">
        <v>1.809113</v>
      </c>
      <c r="S4449" s="722">
        <v>16.899999999999999</v>
      </c>
      <c r="Y4449" s="722">
        <v>25</v>
      </c>
      <c r="AA4449" s="723">
        <v>4.1399999999999997</v>
      </c>
      <c r="AB4449" s="723">
        <v>0.84599999999999997</v>
      </c>
      <c r="AC4449" s="716">
        <v>10.8</v>
      </c>
      <c r="AD4449" s="716">
        <v>500</v>
      </c>
      <c r="AE4449" s="716">
        <v>330</v>
      </c>
      <c r="AF4449" s="716">
        <v>170</v>
      </c>
      <c r="AG4449" s="66">
        <f t="shared" si="163"/>
        <v>135.65280000000001</v>
      </c>
      <c r="AH4449" s="143">
        <f t="shared" si="164"/>
        <v>1000</v>
      </c>
      <c r="AI4449" s="716">
        <f t="shared" si="165"/>
        <v>330</v>
      </c>
    </row>
    <row r="4450" spans="1:35" s="716" customFormat="1" x14ac:dyDescent="0.3">
      <c r="A4450" s="716">
        <v>103076</v>
      </c>
      <c r="B4450" s="722">
        <v>2.5333333333333332</v>
      </c>
      <c r="C4450" s="722"/>
      <c r="D4450" s="723">
        <v>8.51</v>
      </c>
      <c r="E4450" s="1564">
        <v>0.14699999999999999</v>
      </c>
      <c r="F4450" s="724">
        <v>166.44011495999999</v>
      </c>
      <c r="H4450" s="724">
        <v>10.94</v>
      </c>
      <c r="I4450" s="724">
        <v>190</v>
      </c>
      <c r="J4450" s="1937">
        <v>6.3E-2</v>
      </c>
      <c r="K4450" s="722">
        <v>6.81</v>
      </c>
      <c r="L4450" s="716">
        <v>596</v>
      </c>
      <c r="M4450" s="716">
        <v>0.68</v>
      </c>
      <c r="N4450" s="716">
        <v>1.02</v>
      </c>
      <c r="O4450" s="716">
        <v>14.77</v>
      </c>
      <c r="P4450" s="716">
        <v>3.06</v>
      </c>
      <c r="R4450" s="723">
        <v>0.63288343780095868</v>
      </c>
      <c r="S4450" s="722">
        <v>4.6000000000000005</v>
      </c>
      <c r="Y4450" s="722">
        <v>28.54</v>
      </c>
      <c r="AA4450" s="723">
        <v>3.58</v>
      </c>
      <c r="AB4450" s="723">
        <v>0.78100000000000003</v>
      </c>
      <c r="AC4450" s="716">
        <v>7.9</v>
      </c>
      <c r="AD4450" s="716">
        <v>540</v>
      </c>
      <c r="AE4450" s="716">
        <v>300</v>
      </c>
      <c r="AF4450" s="716">
        <v>160</v>
      </c>
      <c r="AG4450" s="66">
        <f t="shared" si="163"/>
        <v>84.46881569726699</v>
      </c>
      <c r="AH4450" s="143">
        <f t="shared" si="164"/>
        <v>1000</v>
      </c>
      <c r="AI4450" s="716">
        <f t="shared" si="165"/>
        <v>300</v>
      </c>
    </row>
    <row r="4451" spans="1:35" s="716" customFormat="1" x14ac:dyDescent="0.3">
      <c r="A4451" s="716">
        <v>103077</v>
      </c>
      <c r="B4451" s="722">
        <v>8.9166666666666661</v>
      </c>
      <c r="C4451" s="722"/>
      <c r="D4451" s="723">
        <v>8.35</v>
      </c>
      <c r="E4451" s="1564">
        <v>0.27400000000000002</v>
      </c>
      <c r="F4451" s="724">
        <v>310.23531632000004</v>
      </c>
      <c r="H4451" s="724">
        <v>20.94</v>
      </c>
      <c r="I4451" s="724">
        <v>260</v>
      </c>
      <c r="J4451" s="1937">
        <v>7.1999999999999995E-2</v>
      </c>
      <c r="K4451" s="722">
        <v>8.39</v>
      </c>
      <c r="L4451" s="716">
        <v>412</v>
      </c>
      <c r="M4451" s="716">
        <v>1.26</v>
      </c>
      <c r="N4451" s="716">
        <v>1.42</v>
      </c>
      <c r="O4451" s="716">
        <v>13.86</v>
      </c>
      <c r="P4451" s="716">
        <v>3.44</v>
      </c>
      <c r="R4451" s="723">
        <v>1.3946813281922517</v>
      </c>
      <c r="S4451" s="722">
        <v>10.199999999999999</v>
      </c>
      <c r="Y4451" s="722">
        <v>33.200000000000003</v>
      </c>
      <c r="AA4451" s="723">
        <v>4.91</v>
      </c>
      <c r="AB4451" s="723">
        <v>0.36399999999999999</v>
      </c>
      <c r="AC4451" s="716">
        <v>7</v>
      </c>
      <c r="AD4451" s="716">
        <v>510</v>
      </c>
      <c r="AE4451" s="716">
        <v>310</v>
      </c>
      <c r="AF4451" s="716">
        <v>180</v>
      </c>
      <c r="AG4451" s="66">
        <f t="shared" si="163"/>
        <v>89.459638554216852</v>
      </c>
      <c r="AH4451" s="143">
        <f t="shared" si="164"/>
        <v>1000</v>
      </c>
      <c r="AI4451" s="716">
        <f t="shared" si="165"/>
        <v>310</v>
      </c>
    </row>
    <row r="4452" spans="1:35" s="716" customFormat="1" x14ac:dyDescent="0.3">
      <c r="A4452" s="716">
        <v>103078</v>
      </c>
      <c r="B4452" s="722">
        <v>9.1666666666666679</v>
      </c>
      <c r="C4452" s="722"/>
      <c r="D4452" s="723">
        <v>8.75</v>
      </c>
      <c r="E4452" s="1564">
        <v>0.20699999999999999</v>
      </c>
      <c r="F4452" s="724">
        <v>234.37485576</v>
      </c>
      <c r="H4452" s="724">
        <v>248.44</v>
      </c>
      <c r="I4452" s="724">
        <v>280</v>
      </c>
      <c r="J4452" s="1937">
        <v>0.104</v>
      </c>
      <c r="K4452" s="722">
        <v>7.94</v>
      </c>
      <c r="L4452" s="716">
        <v>1228</v>
      </c>
      <c r="M4452" s="716">
        <v>5.35</v>
      </c>
      <c r="N4452" s="716">
        <v>1.1200000000000001</v>
      </c>
      <c r="O4452" s="716">
        <v>5.5</v>
      </c>
      <c r="P4452" s="716">
        <v>5.34</v>
      </c>
      <c r="R4452" s="723">
        <v>1.865372</v>
      </c>
      <c r="S4452" s="722">
        <v>18.799999999999997</v>
      </c>
      <c r="Y4452" s="722">
        <v>32.4</v>
      </c>
      <c r="AA4452" s="723">
        <v>3.86</v>
      </c>
      <c r="AB4452" s="723">
        <v>0.84799999999999998</v>
      </c>
      <c r="AC4452" s="716">
        <v>9.4</v>
      </c>
      <c r="AD4452" s="716">
        <v>490</v>
      </c>
      <c r="AE4452" s="716">
        <v>310</v>
      </c>
      <c r="AF4452" s="716">
        <v>200</v>
      </c>
      <c r="AG4452" s="66">
        <f t="shared" si="163"/>
        <v>86.751851851851868</v>
      </c>
      <c r="AH4452" s="143">
        <f t="shared" si="164"/>
        <v>1000</v>
      </c>
      <c r="AI4452" s="716">
        <f t="shared" si="165"/>
        <v>310</v>
      </c>
    </row>
    <row r="4453" spans="1:35" s="693" customFormat="1" x14ac:dyDescent="0.3">
      <c r="A4453" s="698">
        <v>103079</v>
      </c>
      <c r="B4453" s="691">
        <v>0.1</v>
      </c>
      <c r="C4453" s="691"/>
      <c r="D4453" s="696">
        <v>6.22</v>
      </c>
      <c r="E4453" s="1563">
        <v>5.5E-2</v>
      </c>
      <c r="F4453" s="1949">
        <v>64.349999999999994</v>
      </c>
      <c r="H4453" s="694">
        <v>69.239999999999995</v>
      </c>
      <c r="I4453" s="694">
        <v>104</v>
      </c>
      <c r="J4453" s="695">
        <v>5.7000000000000002E-2</v>
      </c>
      <c r="K4453" s="691">
        <v>2.41</v>
      </c>
      <c r="L4453" s="693">
        <v>554</v>
      </c>
      <c r="M4453" s="693">
        <v>0.55000000000000004</v>
      </c>
      <c r="N4453" s="693">
        <v>1.96</v>
      </c>
      <c r="O4453" s="693">
        <v>33.22</v>
      </c>
      <c r="P4453" s="693">
        <v>25.58</v>
      </c>
      <c r="R4453" s="696">
        <v>1.5162131533627774</v>
      </c>
      <c r="S4453" s="691">
        <v>10.199999999999999</v>
      </c>
      <c r="Y4453" s="1950">
        <v>31.8</v>
      </c>
      <c r="Z4453" s="693">
        <v>5.45</v>
      </c>
      <c r="AA4453" s="696">
        <v>4.75</v>
      </c>
      <c r="AB4453" s="696">
        <v>0.52300000000000002</v>
      </c>
      <c r="AC4453" s="693">
        <v>7.4</v>
      </c>
      <c r="AD4453" s="698">
        <v>530</v>
      </c>
      <c r="AE4453" s="698">
        <v>320</v>
      </c>
      <c r="AF4453" s="698">
        <v>150</v>
      </c>
      <c r="AG4453" s="66">
        <f t="shared" si="163"/>
        <v>26.828301886792456</v>
      </c>
      <c r="AH4453" s="143">
        <f t="shared" si="164"/>
        <v>1000</v>
      </c>
      <c r="AI4453" s="693">
        <f t="shared" si="165"/>
        <v>320</v>
      </c>
    </row>
    <row r="4454" spans="1:35" s="693" customFormat="1" x14ac:dyDescent="0.3">
      <c r="A4454" s="698">
        <v>103080</v>
      </c>
      <c r="B4454" s="691">
        <v>0.1</v>
      </c>
      <c r="C4454" s="691"/>
      <c r="D4454" s="696">
        <v>7.76</v>
      </c>
      <c r="E4454" s="1563">
        <v>8.2000000000000003E-2</v>
      </c>
      <c r="F4454" s="1949">
        <v>95.11999999999999</v>
      </c>
      <c r="H4454" s="694">
        <v>237.47</v>
      </c>
      <c r="I4454" s="694">
        <v>200</v>
      </c>
      <c r="J4454" s="695">
        <v>2.7E-2</v>
      </c>
      <c r="K4454" s="691">
        <v>2.88</v>
      </c>
      <c r="L4454" s="693">
        <v>1188</v>
      </c>
      <c r="M4454" s="693">
        <v>3.59</v>
      </c>
      <c r="N4454" s="693">
        <v>2.94</v>
      </c>
      <c r="O4454" s="693">
        <v>27.63</v>
      </c>
      <c r="P4454" s="693">
        <v>20.07</v>
      </c>
      <c r="R4454" s="696">
        <v>1.674153</v>
      </c>
      <c r="S4454" s="691">
        <v>12.9</v>
      </c>
      <c r="Y4454" s="1950">
        <v>27</v>
      </c>
      <c r="AA4454" s="696">
        <v>3.47</v>
      </c>
      <c r="AB4454" s="696">
        <v>0.84299999999999997</v>
      </c>
      <c r="AC4454" s="693">
        <v>7.3</v>
      </c>
      <c r="AD4454" s="698">
        <v>540</v>
      </c>
      <c r="AE4454" s="698">
        <v>300</v>
      </c>
      <c r="AF4454" s="698">
        <v>160</v>
      </c>
      <c r="AG4454" s="66">
        <f t="shared" si="163"/>
        <v>37.76</v>
      </c>
      <c r="AH4454" s="143">
        <f t="shared" si="164"/>
        <v>1000</v>
      </c>
      <c r="AI4454" s="693">
        <f t="shared" si="165"/>
        <v>300</v>
      </c>
    </row>
    <row r="4455" spans="1:35" s="693" customFormat="1" x14ac:dyDescent="0.3">
      <c r="A4455" s="698">
        <v>103081</v>
      </c>
      <c r="B4455" s="691">
        <v>0.1</v>
      </c>
      <c r="C4455" s="691"/>
      <c r="D4455" s="696">
        <v>7.06</v>
      </c>
      <c r="E4455" s="1563">
        <v>0.03</v>
      </c>
      <c r="F4455" s="1949">
        <v>34.799999999999997</v>
      </c>
      <c r="H4455" s="694">
        <v>73.540000000000006</v>
      </c>
      <c r="I4455" s="694">
        <v>389</v>
      </c>
      <c r="J4455" s="695">
        <v>2.4E-2</v>
      </c>
      <c r="K4455" s="691">
        <v>2.44</v>
      </c>
      <c r="L4455" s="693">
        <v>623</v>
      </c>
      <c r="M4455" s="693">
        <v>0.64</v>
      </c>
      <c r="N4455" s="693">
        <v>1.42</v>
      </c>
      <c r="O4455" s="693">
        <v>26.87</v>
      </c>
      <c r="P4455" s="693">
        <v>24.52</v>
      </c>
      <c r="R4455" s="696">
        <v>1.3398060013043205</v>
      </c>
      <c r="S4455" s="691">
        <v>9.8000000000000007</v>
      </c>
      <c r="Y4455" s="1950">
        <v>26</v>
      </c>
      <c r="AA4455" s="696">
        <v>4.1500000000000004</v>
      </c>
      <c r="AB4455" s="696">
        <v>0.85499999999999998</v>
      </c>
      <c r="AC4455" s="693">
        <v>7.8</v>
      </c>
      <c r="AD4455" s="698">
        <v>520</v>
      </c>
      <c r="AE4455" s="698">
        <v>330</v>
      </c>
      <c r="AF4455" s="698">
        <v>150</v>
      </c>
      <c r="AG4455" s="66">
        <f t="shared" si="163"/>
        <v>33.221538461538458</v>
      </c>
      <c r="AH4455" s="693">
        <f t="shared" ref="AH4455:AH4475" si="166">SUM(AD4455:AF4455)</f>
        <v>1000</v>
      </c>
      <c r="AI4455" s="693">
        <f t="shared" si="165"/>
        <v>330</v>
      </c>
    </row>
    <row r="4456" spans="1:35" s="693" customFormat="1" x14ac:dyDescent="0.3">
      <c r="A4456" s="698">
        <v>103082</v>
      </c>
      <c r="B4456" s="691">
        <v>0.1</v>
      </c>
      <c r="C4456" s="691"/>
      <c r="D4456" s="696">
        <v>7.38</v>
      </c>
      <c r="E4456" s="1563">
        <v>0.05</v>
      </c>
      <c r="F4456" s="1949">
        <v>57.999999999999993</v>
      </c>
      <c r="H4456" s="694">
        <v>155.63999999999999</v>
      </c>
      <c r="I4456" s="694">
        <v>263</v>
      </c>
      <c r="J4456" s="695">
        <v>2.4E-2</v>
      </c>
      <c r="K4456" s="691">
        <v>2.92</v>
      </c>
      <c r="L4456" s="693">
        <v>947</v>
      </c>
      <c r="M4456" s="693">
        <v>1.46</v>
      </c>
      <c r="N4456" s="693">
        <v>1.54</v>
      </c>
      <c r="O4456" s="693">
        <v>13.37</v>
      </c>
      <c r="P4456" s="693">
        <v>25.14</v>
      </c>
      <c r="R4456" s="696">
        <v>1.6444730000000001</v>
      </c>
      <c r="S4456" s="691">
        <v>12.1</v>
      </c>
      <c r="Y4456" s="1950">
        <v>26.5</v>
      </c>
      <c r="AA4456" s="696">
        <v>4.51</v>
      </c>
      <c r="AB4456" s="696">
        <v>0.77700000000000002</v>
      </c>
      <c r="AC4456" s="693">
        <v>7.9</v>
      </c>
      <c r="AD4456" s="698">
        <v>530</v>
      </c>
      <c r="AE4456" s="698">
        <v>310</v>
      </c>
      <c r="AF4456" s="698">
        <v>160</v>
      </c>
      <c r="AG4456" s="66">
        <f t="shared" si="163"/>
        <v>39.00679245283019</v>
      </c>
      <c r="AH4456" s="693">
        <f t="shared" si="166"/>
        <v>1000</v>
      </c>
      <c r="AI4456" s="693">
        <f t="shared" si="165"/>
        <v>310</v>
      </c>
    </row>
    <row r="4457" spans="1:35" s="693" customFormat="1" x14ac:dyDescent="0.3">
      <c r="A4457" s="698">
        <v>103083</v>
      </c>
      <c r="B4457" s="691">
        <v>8.4</v>
      </c>
      <c r="C4457" s="691"/>
      <c r="D4457" s="696">
        <v>7.77</v>
      </c>
      <c r="E4457" s="1563">
        <v>0.26800000000000002</v>
      </c>
      <c r="F4457" s="1949">
        <v>310.88</v>
      </c>
      <c r="H4457" s="694">
        <v>283.95999999999998</v>
      </c>
      <c r="I4457" s="694">
        <v>192</v>
      </c>
      <c r="J4457" s="695">
        <v>0.192</v>
      </c>
      <c r="K4457" s="691">
        <v>4.91</v>
      </c>
      <c r="L4457" s="693">
        <v>191</v>
      </c>
      <c r="M4457" s="693">
        <v>2.5</v>
      </c>
      <c r="N4457" s="693">
        <v>0.91</v>
      </c>
      <c r="O4457" s="693">
        <v>1.53</v>
      </c>
      <c r="P4457" s="693">
        <v>4.22</v>
      </c>
      <c r="R4457" s="696">
        <v>1.5137482839512766</v>
      </c>
      <c r="S4457" s="691">
        <v>10</v>
      </c>
      <c r="Y4457" s="1950">
        <v>4.8</v>
      </c>
      <c r="AA4457" s="696">
        <v>4.87</v>
      </c>
      <c r="AB4457" s="696">
        <v>0.4</v>
      </c>
      <c r="AC4457" s="693">
        <v>9.1999999999999993</v>
      </c>
      <c r="AD4457" s="698">
        <v>80</v>
      </c>
      <c r="AE4457" s="698">
        <v>60</v>
      </c>
      <c r="AF4457" s="698">
        <v>860</v>
      </c>
      <c r="AG4457" s="66">
        <f t="shared" si="163"/>
        <v>362.11250000000001</v>
      </c>
      <c r="AH4457" s="693">
        <f t="shared" si="166"/>
        <v>1000</v>
      </c>
      <c r="AI4457" s="693">
        <f t="shared" si="165"/>
        <v>60</v>
      </c>
    </row>
    <row r="4458" spans="1:35" s="693" customFormat="1" x14ac:dyDescent="0.3">
      <c r="A4458" s="698">
        <v>103084</v>
      </c>
      <c r="B4458" s="691">
        <v>1.2</v>
      </c>
      <c r="C4458" s="691"/>
      <c r="D4458" s="696">
        <v>8.6</v>
      </c>
      <c r="E4458" s="1563">
        <v>0.39300000000000002</v>
      </c>
      <c r="F4458" s="1949">
        <v>448.02</v>
      </c>
      <c r="H4458" s="694">
        <v>150.19</v>
      </c>
      <c r="I4458" s="694">
        <v>239</v>
      </c>
      <c r="J4458" s="695">
        <v>0.26800000000000002</v>
      </c>
      <c r="K4458" s="691">
        <v>3.41</v>
      </c>
      <c r="L4458" s="693">
        <v>554</v>
      </c>
      <c r="M4458" s="693">
        <v>1.63</v>
      </c>
      <c r="N4458" s="693">
        <v>0.27</v>
      </c>
      <c r="O4458" s="693">
        <v>4.1900000000000004</v>
      </c>
      <c r="P4458" s="693">
        <v>1.72</v>
      </c>
      <c r="R4458" s="696">
        <v>0.82720097360255063</v>
      </c>
      <c r="S4458" s="691">
        <v>6.1</v>
      </c>
      <c r="Y4458" s="1950">
        <v>3.5</v>
      </c>
      <c r="AA4458" s="696">
        <v>3.73</v>
      </c>
      <c r="AB4458" s="696">
        <v>0.67700000000000005</v>
      </c>
      <c r="AC4458" s="693">
        <v>7.5</v>
      </c>
      <c r="AD4458" s="698">
        <v>70</v>
      </c>
      <c r="AE4458" s="698">
        <v>80</v>
      </c>
      <c r="AF4458" s="698">
        <v>850</v>
      </c>
      <c r="AG4458" s="66">
        <f t="shared" si="163"/>
        <v>344.89714285714291</v>
      </c>
      <c r="AH4458" s="693">
        <f t="shared" si="166"/>
        <v>1000</v>
      </c>
      <c r="AI4458" s="693">
        <f t="shared" si="165"/>
        <v>80</v>
      </c>
    </row>
    <row r="4459" spans="1:35" s="693" customFormat="1" x14ac:dyDescent="0.3">
      <c r="A4459" s="698">
        <v>103085</v>
      </c>
      <c r="B4459" s="691">
        <v>15.1</v>
      </c>
      <c r="C4459" s="691">
        <v>2.4</v>
      </c>
      <c r="D4459" s="696">
        <v>8.98</v>
      </c>
      <c r="E4459" s="1563">
        <v>0.40400000000000003</v>
      </c>
      <c r="F4459" s="1949">
        <v>468.64</v>
      </c>
      <c r="H4459" s="694">
        <v>42.4</v>
      </c>
      <c r="I4459" s="694">
        <v>473</v>
      </c>
      <c r="J4459" s="695">
        <v>0.57899999999999996</v>
      </c>
      <c r="K4459" s="691">
        <v>8.1999999999999993</v>
      </c>
      <c r="L4459" s="693">
        <v>583</v>
      </c>
      <c r="M4459" s="693">
        <v>0.36</v>
      </c>
      <c r="N4459" s="693">
        <v>0.47</v>
      </c>
      <c r="O4459" s="693">
        <v>2.63</v>
      </c>
      <c r="P4459" s="693">
        <v>3.98</v>
      </c>
      <c r="R4459" s="696">
        <v>0.95484707351100651</v>
      </c>
      <c r="S4459" s="691">
        <v>6.7</v>
      </c>
      <c r="Y4459" s="1950">
        <v>30.8</v>
      </c>
      <c r="AA4459" s="696">
        <v>4.66</v>
      </c>
      <c r="AB4459" s="696">
        <v>0.433</v>
      </c>
      <c r="AC4459" s="693">
        <v>10.3</v>
      </c>
      <c r="AD4459" s="698">
        <v>440</v>
      </c>
      <c r="AE4459" s="698">
        <v>270</v>
      </c>
      <c r="AF4459" s="698">
        <v>290</v>
      </c>
      <c r="AG4459" s="66">
        <f t="shared" si="163"/>
        <v>94.246753246753229</v>
      </c>
      <c r="AH4459" s="693">
        <f t="shared" si="166"/>
        <v>1000</v>
      </c>
      <c r="AI4459" s="693">
        <f t="shared" si="165"/>
        <v>270</v>
      </c>
    </row>
    <row r="4460" spans="1:35" s="693" customFormat="1" x14ac:dyDescent="0.3">
      <c r="A4460" s="698">
        <v>103086</v>
      </c>
      <c r="B4460" s="691">
        <v>5.0999999999999996</v>
      </c>
      <c r="C4460" s="691"/>
      <c r="D4460" s="696">
        <v>8.4600000000000009</v>
      </c>
      <c r="E4460" s="1563">
        <v>0.48699999999999999</v>
      </c>
      <c r="F4460" s="1949">
        <v>569.79</v>
      </c>
      <c r="H4460" s="694">
        <v>314.02</v>
      </c>
      <c r="I4460" s="694">
        <v>1072</v>
      </c>
      <c r="J4460" s="695">
        <v>0.17299999999999999</v>
      </c>
      <c r="K4460" s="691">
        <v>7.54</v>
      </c>
      <c r="L4460" s="693">
        <v>1638</v>
      </c>
      <c r="M4460" s="693">
        <v>2</v>
      </c>
      <c r="N4460" s="693">
        <v>1.34</v>
      </c>
      <c r="O4460" s="693">
        <v>4.95</v>
      </c>
      <c r="P4460" s="693">
        <v>4.88</v>
      </c>
      <c r="R4460" s="696">
        <v>1.6704920000000001</v>
      </c>
      <c r="S4460" s="691">
        <v>12.8</v>
      </c>
      <c r="Y4460" s="1950">
        <v>32.4</v>
      </c>
      <c r="AA4460" s="696">
        <v>3.53</v>
      </c>
      <c r="AB4460" s="696">
        <v>0.43</v>
      </c>
      <c r="AC4460" s="693">
        <v>7.3</v>
      </c>
      <c r="AD4460" s="698">
        <v>540</v>
      </c>
      <c r="AE4460" s="698">
        <v>340</v>
      </c>
      <c r="AF4460" s="698">
        <v>120</v>
      </c>
      <c r="AG4460" s="66">
        <f t="shared" si="163"/>
        <v>82.381481481481501</v>
      </c>
      <c r="AH4460" s="693">
        <f t="shared" si="166"/>
        <v>1000</v>
      </c>
      <c r="AI4460" s="693">
        <f t="shared" si="165"/>
        <v>340</v>
      </c>
    </row>
    <row r="4461" spans="1:35" s="114" customFormat="1" x14ac:dyDescent="0.3">
      <c r="A4461" s="776">
        <v>103087</v>
      </c>
      <c r="B4461" s="310">
        <v>22.2</v>
      </c>
      <c r="C4461" s="310">
        <v>8.1999999999999993</v>
      </c>
      <c r="D4461" s="311">
        <v>8.4499999999999993</v>
      </c>
      <c r="E4461" s="1543">
        <v>1.0780000000000001</v>
      </c>
      <c r="F4461" s="1952">
        <v>1238.45</v>
      </c>
      <c r="H4461" s="313">
        <v>52.62</v>
      </c>
      <c r="I4461" s="313">
        <v>580</v>
      </c>
      <c r="J4461" s="312">
        <v>0.88900000000000001</v>
      </c>
      <c r="K4461" s="310">
        <v>9.82</v>
      </c>
      <c r="L4461" s="114">
        <v>1296</v>
      </c>
      <c r="M4461" s="114">
        <v>1.1200000000000001</v>
      </c>
      <c r="N4461" s="114">
        <v>1.18</v>
      </c>
      <c r="O4461" s="114">
        <v>3.66</v>
      </c>
      <c r="P4461" s="114">
        <v>2.93</v>
      </c>
      <c r="R4461" s="311">
        <v>1.65</v>
      </c>
      <c r="S4461" s="310">
        <v>12.3</v>
      </c>
      <c r="Y4461" s="314">
        <v>26.5</v>
      </c>
      <c r="AA4461" s="311">
        <v>4.45</v>
      </c>
      <c r="AB4461" s="311">
        <v>0.68600000000000005</v>
      </c>
      <c r="AC4461" s="114">
        <v>7.9</v>
      </c>
      <c r="AD4461" s="776">
        <v>530</v>
      </c>
      <c r="AE4461" s="776">
        <v>360</v>
      </c>
      <c r="AF4461" s="776">
        <v>110</v>
      </c>
      <c r="AG4461" s="66">
        <f t="shared" si="163"/>
        <v>131.18037735849055</v>
      </c>
      <c r="AH4461" s="114">
        <f t="shared" si="166"/>
        <v>1000</v>
      </c>
      <c r="AI4461" s="114">
        <f t="shared" si="165"/>
        <v>360</v>
      </c>
    </row>
    <row r="4462" spans="1:35" s="735" customFormat="1" x14ac:dyDescent="0.3">
      <c r="A4462" s="742">
        <v>103088</v>
      </c>
      <c r="B4462" s="736">
        <v>42.333333333333329</v>
      </c>
      <c r="C4462" s="736">
        <v>14.3</v>
      </c>
      <c r="D4462" s="738">
        <v>7.98</v>
      </c>
      <c r="E4462" s="1565">
        <v>3.18</v>
      </c>
      <c r="F4462" s="1953">
        <v>3593.3999999999996</v>
      </c>
      <c r="H4462" s="739">
        <v>36.200000000000003</v>
      </c>
      <c r="I4462" s="739">
        <v>316</v>
      </c>
      <c r="J4462" s="1875">
        <v>1.2589999999999999</v>
      </c>
      <c r="K4462" s="736">
        <v>13.1</v>
      </c>
      <c r="L4462" s="735">
        <v>1155</v>
      </c>
      <c r="M4462" s="735">
        <v>0.7</v>
      </c>
      <c r="N4462" s="735">
        <v>0.6</v>
      </c>
      <c r="O4462" s="735">
        <v>3.39</v>
      </c>
      <c r="P4462" s="735">
        <v>1.61</v>
      </c>
      <c r="R4462" s="738">
        <v>0.96485666934614356</v>
      </c>
      <c r="S4462" s="736">
        <v>7</v>
      </c>
      <c r="Y4462" s="1954">
        <v>34.299999999999997</v>
      </c>
      <c r="AA4462" s="738">
        <v>4.72</v>
      </c>
      <c r="AB4462" s="738">
        <v>0.34799999999999998</v>
      </c>
      <c r="AC4462" s="735">
        <v>11.9</v>
      </c>
      <c r="AD4462" s="742">
        <v>490</v>
      </c>
      <c r="AE4462" s="742">
        <v>290</v>
      </c>
      <c r="AF4462" s="742">
        <v>220</v>
      </c>
      <c r="AG4462" s="66">
        <f t="shared" si="163"/>
        <v>135.20116618075804</v>
      </c>
      <c r="AH4462" s="735">
        <f t="shared" si="166"/>
        <v>1000</v>
      </c>
      <c r="AI4462" s="735">
        <f t="shared" si="165"/>
        <v>290</v>
      </c>
    </row>
    <row r="4463" spans="1:35" s="735" customFormat="1" x14ac:dyDescent="0.3">
      <c r="A4463" s="742">
        <v>103089</v>
      </c>
      <c r="B4463" s="736">
        <v>0.1</v>
      </c>
      <c r="C4463" s="736"/>
      <c r="D4463" s="738">
        <v>6.75</v>
      </c>
      <c r="E4463" s="1565">
        <v>3.4000000000000002E-2</v>
      </c>
      <c r="F4463" s="1953">
        <v>39.78</v>
      </c>
      <c r="H4463" s="739">
        <v>14.28</v>
      </c>
      <c r="I4463" s="739">
        <v>143</v>
      </c>
      <c r="J4463" s="1875">
        <v>2.7E-2</v>
      </c>
      <c r="K4463" s="736">
        <v>1.34</v>
      </c>
      <c r="L4463" s="735">
        <v>213</v>
      </c>
      <c r="M4463" s="735">
        <v>0.77</v>
      </c>
      <c r="N4463" s="735">
        <v>0.83</v>
      </c>
      <c r="O4463" s="735">
        <v>29.3</v>
      </c>
      <c r="P4463" s="735">
        <v>26.04</v>
      </c>
      <c r="R4463" s="738">
        <v>1.2126538277597534</v>
      </c>
      <c r="S4463" s="736">
        <v>9</v>
      </c>
      <c r="Y4463" s="1954">
        <v>24</v>
      </c>
      <c r="Z4463" s="735">
        <v>5.33</v>
      </c>
      <c r="AA4463" s="738">
        <v>3.83</v>
      </c>
      <c r="AB4463" s="738">
        <v>0.39</v>
      </c>
      <c r="AC4463" s="735">
        <v>11</v>
      </c>
      <c r="AD4463" s="742">
        <v>400</v>
      </c>
      <c r="AE4463" s="742">
        <v>300</v>
      </c>
      <c r="AF4463" s="742">
        <v>300</v>
      </c>
      <c r="AG4463" s="66">
        <f t="shared" si="163"/>
        <v>19.765000000000004</v>
      </c>
      <c r="AH4463" s="735">
        <f t="shared" si="166"/>
        <v>1000</v>
      </c>
      <c r="AI4463" s="735">
        <f t="shared" si="165"/>
        <v>300</v>
      </c>
    </row>
    <row r="4464" spans="1:35" s="735" customFormat="1" x14ac:dyDescent="0.3">
      <c r="A4464" s="742">
        <v>103090</v>
      </c>
      <c r="B4464" s="736">
        <v>0.4</v>
      </c>
      <c r="C4464" s="736"/>
      <c r="D4464" s="738">
        <v>6.63</v>
      </c>
      <c r="E4464" s="1565">
        <v>3.6999999999999998E-2</v>
      </c>
      <c r="F4464" s="1953">
        <v>43.29</v>
      </c>
      <c r="H4464" s="739">
        <v>14.96</v>
      </c>
      <c r="I4464" s="739">
        <v>139</v>
      </c>
      <c r="J4464" s="1875">
        <v>2.5999999999999999E-2</v>
      </c>
      <c r="K4464" s="736">
        <v>1.34</v>
      </c>
      <c r="L4464" s="735">
        <v>225</v>
      </c>
      <c r="M4464" s="735">
        <v>0.57999999999999996</v>
      </c>
      <c r="N4464" s="735">
        <v>0.81</v>
      </c>
      <c r="O4464" s="735">
        <v>25.31</v>
      </c>
      <c r="P4464" s="735">
        <v>34.369999999999997</v>
      </c>
      <c r="R4464" s="738">
        <v>1.2999626661603891</v>
      </c>
      <c r="S4464" s="736">
        <v>9.6999999999999993</v>
      </c>
      <c r="Y4464" s="1954">
        <v>23.4</v>
      </c>
      <c r="Z4464" s="735">
        <v>5.23</v>
      </c>
      <c r="AA4464" s="738">
        <v>3.92</v>
      </c>
      <c r="AB4464" s="738">
        <v>0.67400000000000004</v>
      </c>
      <c r="AC4464" s="735">
        <v>6.3</v>
      </c>
      <c r="AD4464" s="742">
        <v>390</v>
      </c>
      <c r="AE4464" s="742">
        <v>320</v>
      </c>
      <c r="AF4464" s="742">
        <v>290</v>
      </c>
      <c r="AG4464" s="66">
        <f t="shared" si="163"/>
        <v>20.271794871794874</v>
      </c>
      <c r="AH4464" s="735">
        <f t="shared" si="166"/>
        <v>1000</v>
      </c>
      <c r="AI4464" s="735">
        <f t="shared" si="165"/>
        <v>320</v>
      </c>
    </row>
    <row r="4465" spans="1:35" s="735" customFormat="1" x14ac:dyDescent="0.3">
      <c r="A4465" s="742">
        <v>103091</v>
      </c>
      <c r="B4465" s="736">
        <v>42.4</v>
      </c>
      <c r="C4465" s="736">
        <v>1.5</v>
      </c>
      <c r="D4465" s="738">
        <v>8.18</v>
      </c>
      <c r="E4465" s="1565">
        <v>0.10100000000000001</v>
      </c>
      <c r="F4465" s="1953">
        <v>120.19</v>
      </c>
      <c r="H4465" s="739">
        <v>11.03</v>
      </c>
      <c r="I4465" s="739">
        <v>326</v>
      </c>
      <c r="J4465" s="1875">
        <v>2.3E-2</v>
      </c>
      <c r="K4465" s="736">
        <v>4.8099999999999996</v>
      </c>
      <c r="L4465" s="735">
        <v>1917</v>
      </c>
      <c r="M4465" s="735">
        <v>0.54</v>
      </c>
      <c r="N4465" s="735">
        <v>1.01</v>
      </c>
      <c r="O4465" s="735">
        <v>6.87</v>
      </c>
      <c r="P4465" s="735">
        <v>4.79</v>
      </c>
      <c r="R4465" s="738">
        <v>1.859688</v>
      </c>
      <c r="S4465" s="736">
        <v>18.600000000000001</v>
      </c>
      <c r="Y4465" s="1954">
        <v>26.5</v>
      </c>
      <c r="AA4465" s="738">
        <v>3.62</v>
      </c>
      <c r="AB4465" s="738">
        <v>0.40699999999999997</v>
      </c>
      <c r="AC4465" s="735">
        <v>6.6</v>
      </c>
      <c r="AD4465" s="742">
        <v>530</v>
      </c>
      <c r="AE4465" s="742">
        <v>330</v>
      </c>
      <c r="AF4465" s="742">
        <v>140</v>
      </c>
      <c r="AG4465" s="66">
        <f t="shared" si="163"/>
        <v>64.25433962264151</v>
      </c>
      <c r="AH4465" s="735">
        <f t="shared" si="166"/>
        <v>1000</v>
      </c>
      <c r="AI4465" s="735">
        <f t="shared" si="165"/>
        <v>330</v>
      </c>
    </row>
    <row r="4466" spans="1:35" s="735" customFormat="1" x14ac:dyDescent="0.3">
      <c r="A4466" s="742">
        <v>103092</v>
      </c>
      <c r="B4466" s="736">
        <v>40</v>
      </c>
      <c r="C4466" s="736">
        <v>1.6</v>
      </c>
      <c r="D4466" s="738">
        <v>8.4499999999999993</v>
      </c>
      <c r="E4466" s="1565">
        <v>0.1</v>
      </c>
      <c r="F4466" s="1953">
        <v>118</v>
      </c>
      <c r="H4466" s="739">
        <v>8.81</v>
      </c>
      <c r="I4466" s="739">
        <v>240</v>
      </c>
      <c r="J4466" s="1875">
        <v>0.02</v>
      </c>
      <c r="K4466" s="736">
        <v>3.91</v>
      </c>
      <c r="L4466" s="735">
        <v>1686</v>
      </c>
      <c r="M4466" s="735">
        <v>0.31</v>
      </c>
      <c r="N4466" s="735">
        <v>0.75</v>
      </c>
      <c r="O4466" s="735">
        <v>5.76</v>
      </c>
      <c r="P4466" s="735">
        <v>3.46</v>
      </c>
      <c r="R4466" s="738">
        <v>0.88982145127776036</v>
      </c>
      <c r="S4466" s="736">
        <v>5.8999999999999995</v>
      </c>
      <c r="Y4466" s="1954">
        <v>36.4</v>
      </c>
      <c r="AA4466" s="738">
        <v>4.4000000000000004</v>
      </c>
      <c r="AB4466" s="738">
        <v>0.755</v>
      </c>
      <c r="AC4466" s="735">
        <v>6.5</v>
      </c>
      <c r="AD4466" s="742">
        <v>520</v>
      </c>
      <c r="AE4466" s="742">
        <v>350</v>
      </c>
      <c r="AF4466" s="742">
        <v>130</v>
      </c>
      <c r="AG4466" s="66">
        <f t="shared" si="163"/>
        <v>38.025824175824177</v>
      </c>
      <c r="AH4466" s="735">
        <f t="shared" si="166"/>
        <v>1000</v>
      </c>
      <c r="AI4466" s="735">
        <f t="shared" si="165"/>
        <v>350</v>
      </c>
    </row>
    <row r="4467" spans="1:35" s="735" customFormat="1" x14ac:dyDescent="0.3">
      <c r="A4467" s="742">
        <v>103093</v>
      </c>
      <c r="B4467" s="736">
        <v>45.6</v>
      </c>
      <c r="C4467" s="736">
        <v>1.8</v>
      </c>
      <c r="D4467" s="738">
        <v>8.33</v>
      </c>
      <c r="E4467" s="1565">
        <v>9.2999999999999999E-2</v>
      </c>
      <c r="F4467" s="1953">
        <v>109.74</v>
      </c>
      <c r="H4467" s="739">
        <v>7.09</v>
      </c>
      <c r="I4467" s="739">
        <v>229</v>
      </c>
      <c r="J4467" s="1875">
        <v>2.1000000000000001E-2</v>
      </c>
      <c r="K4467" s="736">
        <v>3.94</v>
      </c>
      <c r="L4467" s="735">
        <v>1704</v>
      </c>
      <c r="M4467" s="735">
        <v>0.23</v>
      </c>
      <c r="N4467" s="735">
        <v>0.53</v>
      </c>
      <c r="O4467" s="735">
        <v>5.23</v>
      </c>
      <c r="P4467" s="735">
        <v>3.79</v>
      </c>
      <c r="R4467" s="738">
        <v>0.93662403530843374</v>
      </c>
      <c r="S4467" s="736">
        <v>6.8000000000000007</v>
      </c>
      <c r="Y4467" s="1954">
        <v>36.4</v>
      </c>
      <c r="AA4467" s="738">
        <v>4.17</v>
      </c>
      <c r="AB4467" s="738">
        <v>0.34899999999999998</v>
      </c>
      <c r="AC4467" s="735">
        <v>7.3</v>
      </c>
      <c r="AD4467" s="742">
        <v>520</v>
      </c>
      <c r="AE4467" s="742">
        <v>320</v>
      </c>
      <c r="AF4467" s="742">
        <v>160</v>
      </c>
      <c r="AG4467" s="66">
        <f t="shared" si="163"/>
        <v>38.317582417582422</v>
      </c>
      <c r="AH4467" s="735">
        <f t="shared" si="166"/>
        <v>1000</v>
      </c>
      <c r="AI4467" s="735">
        <f t="shared" si="165"/>
        <v>320</v>
      </c>
    </row>
    <row r="4468" spans="1:35" s="735" customFormat="1" x14ac:dyDescent="0.3">
      <c r="A4468" s="742">
        <v>103094</v>
      </c>
      <c r="B4468" s="736">
        <v>41.4</v>
      </c>
      <c r="C4468" s="736">
        <v>1.7</v>
      </c>
      <c r="D4468" s="738">
        <v>8.16</v>
      </c>
      <c r="E4468" s="1565">
        <v>0.08</v>
      </c>
      <c r="F4468" s="1953">
        <v>91.199999999999989</v>
      </c>
      <c r="H4468" s="739">
        <v>25.81</v>
      </c>
      <c r="I4468" s="739">
        <v>375</v>
      </c>
      <c r="J4468" s="1875">
        <v>2.1000000000000001E-2</v>
      </c>
      <c r="K4468" s="736">
        <v>4.67</v>
      </c>
      <c r="L4468" s="735">
        <v>1875</v>
      </c>
      <c r="M4468" s="735">
        <v>0.84</v>
      </c>
      <c r="N4468" s="735">
        <v>0.85</v>
      </c>
      <c r="O4468" s="735">
        <v>7.04</v>
      </c>
      <c r="P4468" s="735">
        <v>4.87</v>
      </c>
      <c r="R4468" s="738">
        <v>1.8122</v>
      </c>
      <c r="S4468" s="736">
        <v>17</v>
      </c>
      <c r="Y4468" s="1954">
        <v>27</v>
      </c>
      <c r="AA4468" s="738">
        <v>3.68</v>
      </c>
      <c r="AB4468" s="738">
        <v>0.755</v>
      </c>
      <c r="AC4468" s="735">
        <v>11.4</v>
      </c>
      <c r="AD4468" s="742">
        <v>540</v>
      </c>
      <c r="AE4468" s="742">
        <v>320</v>
      </c>
      <c r="AF4468" s="742">
        <v>140</v>
      </c>
      <c r="AG4468" s="66">
        <f t="shared" si="163"/>
        <v>61.228888888888889</v>
      </c>
      <c r="AH4468" s="735">
        <f t="shared" si="166"/>
        <v>1000</v>
      </c>
      <c r="AI4468" s="735">
        <f t="shared" si="165"/>
        <v>320</v>
      </c>
    </row>
    <row r="4469" spans="1:35" s="735" customFormat="1" x14ac:dyDescent="0.3">
      <c r="A4469" s="742">
        <v>103095</v>
      </c>
      <c r="B4469" s="736">
        <v>39.200000000000003</v>
      </c>
      <c r="C4469" s="736">
        <v>1.4</v>
      </c>
      <c r="D4469" s="738">
        <v>8.35</v>
      </c>
      <c r="E4469" s="1565">
        <v>7.3999999999999996E-2</v>
      </c>
      <c r="F4469" s="1953">
        <v>86.58</v>
      </c>
      <c r="H4469" s="739">
        <v>13.52</v>
      </c>
      <c r="I4469" s="739">
        <v>175</v>
      </c>
      <c r="J4469" s="1875">
        <v>8.9999999999999993E-3</v>
      </c>
      <c r="K4469" s="736">
        <v>3</v>
      </c>
      <c r="L4469" s="735">
        <v>1389</v>
      </c>
      <c r="M4469" s="735">
        <v>0.33</v>
      </c>
      <c r="N4469" s="735">
        <v>0.57999999999999996</v>
      </c>
      <c r="O4469" s="735">
        <v>5.0199999999999996</v>
      </c>
      <c r="P4469" s="735">
        <v>3.65</v>
      </c>
      <c r="R4469" s="738">
        <v>0.70005105914460497</v>
      </c>
      <c r="S4469" s="736">
        <v>5</v>
      </c>
      <c r="Y4469" s="1954">
        <v>27.6</v>
      </c>
      <c r="AA4469" s="738">
        <v>4.18</v>
      </c>
      <c r="AB4469" s="738">
        <v>0.82599999999999996</v>
      </c>
      <c r="AC4469" s="735">
        <v>7.2</v>
      </c>
      <c r="AD4469" s="742">
        <v>460</v>
      </c>
      <c r="AE4469" s="742">
        <v>250</v>
      </c>
      <c r="AF4469" s="742">
        <v>290</v>
      </c>
      <c r="AG4469" s="66">
        <f t="shared" si="163"/>
        <v>38.478260869565219</v>
      </c>
      <c r="AH4469" s="735">
        <f t="shared" si="166"/>
        <v>1000</v>
      </c>
      <c r="AI4469" s="735">
        <f t="shared" si="165"/>
        <v>250</v>
      </c>
    </row>
    <row r="4470" spans="1:35" s="735" customFormat="1" x14ac:dyDescent="0.3">
      <c r="A4470" s="742">
        <v>103096</v>
      </c>
      <c r="B4470" s="736">
        <v>47.2</v>
      </c>
      <c r="C4470" s="736">
        <v>1.5</v>
      </c>
      <c r="D4470" s="738">
        <v>8.3800000000000008</v>
      </c>
      <c r="E4470" s="1565">
        <v>8.1000000000000003E-2</v>
      </c>
      <c r="F4470" s="1953">
        <v>93.149999999999991</v>
      </c>
      <c r="H4470" s="739">
        <v>9.67</v>
      </c>
      <c r="I4470" s="739">
        <v>120</v>
      </c>
      <c r="J4470" s="1875">
        <v>8.0000000000000002E-3</v>
      </c>
      <c r="K4470" s="736">
        <v>3.16</v>
      </c>
      <c r="L4470" s="735">
        <v>1120</v>
      </c>
      <c r="M4470" s="735">
        <v>0.28000000000000003</v>
      </c>
      <c r="N4470" s="735">
        <v>0.47</v>
      </c>
      <c r="O4470" s="735">
        <v>3.69</v>
      </c>
      <c r="P4470" s="735">
        <v>4.33</v>
      </c>
      <c r="R4470" s="738">
        <v>1.4428695280683719</v>
      </c>
      <c r="S4470" s="736">
        <v>9.6</v>
      </c>
      <c r="Y4470" s="1954">
        <v>30.8</v>
      </c>
      <c r="AA4470" s="738">
        <v>3.81</v>
      </c>
      <c r="AB4470" s="738">
        <v>0.72299999999999998</v>
      </c>
      <c r="AC4470" s="735">
        <v>7.3</v>
      </c>
      <c r="AD4470" s="742">
        <v>440</v>
      </c>
      <c r="AE4470" s="742">
        <v>250</v>
      </c>
      <c r="AF4470" s="742">
        <v>310</v>
      </c>
      <c r="AG4470" s="66">
        <f t="shared" si="163"/>
        <v>36.319480519480521</v>
      </c>
      <c r="AH4470" s="735">
        <f t="shared" si="166"/>
        <v>1000</v>
      </c>
      <c r="AI4470" s="735">
        <f t="shared" si="165"/>
        <v>250</v>
      </c>
    </row>
    <row r="4471" spans="1:35" s="735" customFormat="1" ht="19.5" customHeight="1" x14ac:dyDescent="0.3">
      <c r="A4471" s="742">
        <v>103097</v>
      </c>
      <c r="B4471" s="736">
        <v>45.4</v>
      </c>
      <c r="C4471" s="736">
        <v>1.2</v>
      </c>
      <c r="D4471" s="738">
        <v>8.16</v>
      </c>
      <c r="E4471" s="1565">
        <v>0.10199999999999999</v>
      </c>
      <c r="F4471" s="1953">
        <v>118.32</v>
      </c>
      <c r="H4471" s="739">
        <v>14.53</v>
      </c>
      <c r="I4471" s="739">
        <v>314</v>
      </c>
      <c r="J4471" s="1875">
        <v>1.9E-2</v>
      </c>
      <c r="K4471" s="736">
        <v>4.8899999999999997</v>
      </c>
      <c r="L4471" s="735">
        <v>1768</v>
      </c>
      <c r="M4471" s="735">
        <v>1.27</v>
      </c>
      <c r="N4471" s="735">
        <v>3.05</v>
      </c>
      <c r="O4471" s="735">
        <v>5.76</v>
      </c>
      <c r="P4471" s="735">
        <v>7.86</v>
      </c>
      <c r="R4471" s="738">
        <v>2.0176920000000003</v>
      </c>
      <c r="S4471" s="736">
        <v>25.2</v>
      </c>
      <c r="Y4471" s="1954">
        <v>28.8</v>
      </c>
      <c r="AA4471" s="738">
        <v>3.72</v>
      </c>
      <c r="AB4471" s="738">
        <v>0.433</v>
      </c>
      <c r="AC4471" s="735">
        <v>8</v>
      </c>
      <c r="AD4471" s="742">
        <v>480</v>
      </c>
      <c r="AE4471" s="742">
        <v>250</v>
      </c>
      <c r="AF4471" s="742">
        <v>270</v>
      </c>
      <c r="AG4471" s="66">
        <f t="shared" si="163"/>
        <v>60.106249999999989</v>
      </c>
      <c r="AH4471" s="735">
        <f t="shared" si="166"/>
        <v>1000</v>
      </c>
      <c r="AI4471" s="735">
        <f t="shared" si="165"/>
        <v>250</v>
      </c>
    </row>
    <row r="4472" spans="1:35" s="735" customFormat="1" x14ac:dyDescent="0.3">
      <c r="A4472" s="742">
        <v>103098</v>
      </c>
      <c r="B4472" s="736">
        <v>41.5</v>
      </c>
      <c r="C4472" s="736">
        <v>2.1</v>
      </c>
      <c r="D4472" s="738">
        <v>8.19</v>
      </c>
      <c r="E4472" s="1565">
        <v>0.109</v>
      </c>
      <c r="F4472" s="1953">
        <v>124.25999999999999</v>
      </c>
      <c r="H4472" s="739">
        <v>40.770000000000003</v>
      </c>
      <c r="I4472" s="739">
        <v>472</v>
      </c>
      <c r="J4472" s="1875">
        <v>1.9E-2</v>
      </c>
      <c r="K4472" s="736">
        <v>5.47</v>
      </c>
      <c r="L4472" s="735">
        <v>1975</v>
      </c>
      <c r="M4472" s="735">
        <v>3.12</v>
      </c>
      <c r="N4472" s="735">
        <v>3.4</v>
      </c>
      <c r="O4472" s="735">
        <v>7.2</v>
      </c>
      <c r="P4472" s="735">
        <v>8.84</v>
      </c>
      <c r="R4472" s="738">
        <v>2.0398680000000002</v>
      </c>
      <c r="S4472" s="736">
        <v>26.400000000000002</v>
      </c>
      <c r="Y4472" s="1954">
        <v>35</v>
      </c>
      <c r="AA4472" s="738">
        <v>5</v>
      </c>
      <c r="AB4472" s="738">
        <v>0.48</v>
      </c>
      <c r="AC4472" s="735">
        <v>6.1</v>
      </c>
      <c r="AD4472" s="742">
        <v>500</v>
      </c>
      <c r="AE4472" s="742">
        <v>300</v>
      </c>
      <c r="AF4472" s="742">
        <v>200</v>
      </c>
      <c r="AG4472" s="66">
        <f t="shared" si="163"/>
        <v>55.325142857142851</v>
      </c>
      <c r="AH4472" s="735">
        <f t="shared" si="166"/>
        <v>1000</v>
      </c>
      <c r="AI4472" s="735">
        <f t="shared" si="165"/>
        <v>300</v>
      </c>
    </row>
    <row r="4473" spans="1:35" s="735" customFormat="1" x14ac:dyDescent="0.3">
      <c r="A4473" s="742">
        <v>103099</v>
      </c>
      <c r="B4473" s="736">
        <v>41.3</v>
      </c>
      <c r="C4473" s="736">
        <v>1.4</v>
      </c>
      <c r="D4473" s="738">
        <v>8.26</v>
      </c>
      <c r="E4473" s="1565">
        <v>8.5999999999999993E-2</v>
      </c>
      <c r="F4473" s="1953">
        <v>97.179999999999993</v>
      </c>
      <c r="H4473" s="739">
        <v>14.56</v>
      </c>
      <c r="I4473" s="739">
        <v>277</v>
      </c>
      <c r="J4473" s="1875">
        <v>1.4E-2</v>
      </c>
      <c r="K4473" s="736">
        <v>2.93</v>
      </c>
      <c r="L4473" s="735">
        <v>1072</v>
      </c>
      <c r="M4473" s="735">
        <v>0.86</v>
      </c>
      <c r="N4473" s="735">
        <v>1.02</v>
      </c>
      <c r="O4473" s="735">
        <v>5.05</v>
      </c>
      <c r="P4473" s="735">
        <v>5.22</v>
      </c>
      <c r="R4473" s="738">
        <v>1.6407</v>
      </c>
      <c r="S4473" s="736">
        <v>12</v>
      </c>
      <c r="Y4473" s="1954">
        <v>20</v>
      </c>
      <c r="AA4473" s="738">
        <v>4.8899999999999997</v>
      </c>
      <c r="AB4473" s="738">
        <v>0.71499999999999997</v>
      </c>
      <c r="AC4473" s="735">
        <v>7.5</v>
      </c>
      <c r="AD4473" s="742">
        <v>400</v>
      </c>
      <c r="AE4473" s="742">
        <v>290</v>
      </c>
      <c r="AF4473" s="742">
        <v>310</v>
      </c>
      <c r="AG4473" s="66">
        <f t="shared" si="163"/>
        <v>51.861000000000004</v>
      </c>
      <c r="AH4473" s="735">
        <f t="shared" si="166"/>
        <v>1000</v>
      </c>
      <c r="AI4473" s="735">
        <f t="shared" si="165"/>
        <v>290</v>
      </c>
    </row>
    <row r="4474" spans="1:35" s="735" customFormat="1" x14ac:dyDescent="0.3">
      <c r="A4474" s="742">
        <v>103100</v>
      </c>
      <c r="B4474" s="738">
        <v>0.01</v>
      </c>
      <c r="C4474" s="736"/>
      <c r="D4474" s="738">
        <v>5.67</v>
      </c>
      <c r="E4474" s="1565">
        <v>0.04</v>
      </c>
      <c r="F4474" s="1953">
        <v>47.199999999999996</v>
      </c>
      <c r="H4474" s="739">
        <v>20.149999999999999</v>
      </c>
      <c r="I4474" s="739">
        <v>78</v>
      </c>
      <c r="J4474" s="1875">
        <v>3.3000000000000002E-2</v>
      </c>
      <c r="K4474" s="736">
        <v>1.35</v>
      </c>
      <c r="L4474" s="735">
        <v>739</v>
      </c>
      <c r="M4474" s="735">
        <v>2.68</v>
      </c>
      <c r="N4474" s="735">
        <v>2.59</v>
      </c>
      <c r="O4474" s="735">
        <v>47.27</v>
      </c>
      <c r="P4474" s="735">
        <v>142.9</v>
      </c>
      <c r="R4474" s="738">
        <v>1.6</v>
      </c>
      <c r="S4474" s="736">
        <v>11.1</v>
      </c>
      <c r="Y4474" s="1954">
        <v>36.799999999999997</v>
      </c>
      <c r="Z4474" s="735">
        <v>3.63</v>
      </c>
      <c r="AA4474" s="738">
        <v>4.05</v>
      </c>
      <c r="AB4474" s="738">
        <v>0.61499999999999999</v>
      </c>
      <c r="AC4474" s="735">
        <v>10.5</v>
      </c>
      <c r="AD4474" s="742">
        <v>540</v>
      </c>
      <c r="AE4474" s="742">
        <v>340</v>
      </c>
      <c r="AF4474" s="742">
        <v>120</v>
      </c>
      <c r="AG4474" s="66">
        <f t="shared" si="163"/>
        <v>12.986413043478265</v>
      </c>
      <c r="AH4474" s="735">
        <f t="shared" si="166"/>
        <v>1000</v>
      </c>
      <c r="AI4474" s="735">
        <f t="shared" si="165"/>
        <v>340</v>
      </c>
    </row>
    <row r="4475" spans="1:35" s="735" customFormat="1" x14ac:dyDescent="0.3">
      <c r="A4475" s="742">
        <v>103101</v>
      </c>
      <c r="B4475" s="736">
        <v>35.700000000000003</v>
      </c>
      <c r="C4475" s="736">
        <v>13.4</v>
      </c>
      <c r="D4475" s="738">
        <v>8</v>
      </c>
      <c r="E4475" s="1565">
        <v>3.96</v>
      </c>
      <c r="F4475" s="1953">
        <v>4554</v>
      </c>
      <c r="H4475" s="739">
        <v>28.63</v>
      </c>
      <c r="I4475" s="739">
        <v>0.47899999999999998</v>
      </c>
      <c r="J4475" s="1875">
        <v>1.177</v>
      </c>
      <c r="K4475" s="736">
        <v>17.04</v>
      </c>
      <c r="L4475" s="735">
        <v>1.82</v>
      </c>
      <c r="M4475" s="735">
        <v>0.2</v>
      </c>
      <c r="N4475" s="735">
        <v>0.2</v>
      </c>
      <c r="O4475" s="735">
        <v>3.42</v>
      </c>
      <c r="P4475" s="735">
        <v>0.97</v>
      </c>
      <c r="R4475" s="738">
        <v>0.7</v>
      </c>
      <c r="S4475" s="736">
        <v>5.2</v>
      </c>
      <c r="Y4475" s="1954">
        <v>35</v>
      </c>
      <c r="AA4475" s="738">
        <v>4.87</v>
      </c>
      <c r="AB4475" s="738">
        <v>0.57899999999999996</v>
      </c>
      <c r="AC4475" s="735">
        <v>7</v>
      </c>
      <c r="AD4475" s="742">
        <v>580</v>
      </c>
      <c r="AE4475" s="742">
        <v>250</v>
      </c>
      <c r="AF4475" s="742">
        <v>170</v>
      </c>
      <c r="AG4475" s="66">
        <f t="shared" si="163"/>
        <v>172.34742857142857</v>
      </c>
      <c r="AH4475" s="735">
        <f t="shared" si="166"/>
        <v>1000</v>
      </c>
      <c r="AI4475" s="735">
        <f t="shared" si="165"/>
        <v>250</v>
      </c>
    </row>
    <row r="4476" spans="1:35" x14ac:dyDescent="0.3">
      <c r="A4476" s="742">
        <v>103102</v>
      </c>
      <c r="B4476" s="138">
        <v>9.6</v>
      </c>
      <c r="C4476" s="139"/>
      <c r="D4476" s="152">
        <v>8.09</v>
      </c>
      <c r="E4476" s="752">
        <v>0.78200000000000003</v>
      </c>
      <c r="F4476" s="1972">
        <v>899.3</v>
      </c>
      <c r="H4476" s="1703">
        <v>24.07</v>
      </c>
      <c r="I4476" s="142">
        <v>1380</v>
      </c>
      <c r="J4476" s="141">
        <v>0.184</v>
      </c>
      <c r="K4476" s="138">
        <v>10.15</v>
      </c>
      <c r="L4476" s="140">
        <v>1862</v>
      </c>
      <c r="M4476" s="140">
        <v>0.74</v>
      </c>
      <c r="N4476" s="140">
        <v>0.97</v>
      </c>
      <c r="O4476" s="140">
        <v>1.58</v>
      </c>
      <c r="P4476" s="140">
        <v>4.37</v>
      </c>
      <c r="R4476" s="139">
        <v>1.7839130000000001</v>
      </c>
      <c r="S4476" s="138">
        <v>16.100000000000001</v>
      </c>
      <c r="Y4476" s="699">
        <v>32.200000000000003</v>
      </c>
      <c r="AA4476" s="647">
        <v>3.49</v>
      </c>
      <c r="AB4476" s="647">
        <v>0.39600000000000002</v>
      </c>
      <c r="AC4476" s="862">
        <v>11.2</v>
      </c>
      <c r="AD4476" s="70">
        <v>460</v>
      </c>
      <c r="AE4476" s="70">
        <v>420</v>
      </c>
      <c r="AF4476" s="70">
        <v>120</v>
      </c>
      <c r="AG4476" s="66">
        <f t="shared" si="163"/>
        <v>111.58695652173913</v>
      </c>
      <c r="AI4476" s="140">
        <f t="shared" si="165"/>
        <v>420</v>
      </c>
    </row>
    <row r="4477" spans="1:35" x14ac:dyDescent="0.3">
      <c r="A4477" s="742">
        <v>103103</v>
      </c>
      <c r="B4477" s="138">
        <v>8.3000000000000007</v>
      </c>
      <c r="C4477" s="139"/>
      <c r="D4477" s="152">
        <v>7.94</v>
      </c>
      <c r="E4477" s="752">
        <v>0.94099999999999995</v>
      </c>
      <c r="F4477" s="1972">
        <v>1063.33</v>
      </c>
      <c r="H4477" s="1703">
        <v>30.12</v>
      </c>
      <c r="I4477" s="142">
        <v>550</v>
      </c>
      <c r="J4477" s="141">
        <v>0.39600000000000002</v>
      </c>
      <c r="K4477" s="138">
        <v>8.73</v>
      </c>
      <c r="L4477" s="140">
        <v>1691</v>
      </c>
      <c r="M4477" s="140">
        <v>0.95</v>
      </c>
      <c r="N4477" s="140">
        <v>0.83</v>
      </c>
      <c r="O4477" s="140">
        <v>4.34</v>
      </c>
      <c r="P4477" s="140">
        <v>1.91</v>
      </c>
      <c r="R4477" s="139">
        <v>1.8122</v>
      </c>
      <c r="S4477" s="138">
        <v>17</v>
      </c>
      <c r="Y4477" s="699">
        <v>32.9</v>
      </c>
      <c r="AA4477" s="647">
        <v>3.96</v>
      </c>
      <c r="AB4477" s="647">
        <v>0.77700000000000002</v>
      </c>
      <c r="AC4477" s="862">
        <v>7.6</v>
      </c>
      <c r="AD4477" s="70">
        <v>470</v>
      </c>
      <c r="AE4477" s="70">
        <v>380</v>
      </c>
      <c r="AF4477" s="70">
        <v>150</v>
      </c>
      <c r="AG4477" s="66">
        <f t="shared" si="163"/>
        <v>93.93373860182372</v>
      </c>
      <c r="AI4477" s="140">
        <f t="shared" si="165"/>
        <v>380</v>
      </c>
    </row>
    <row r="4478" spans="1:35" x14ac:dyDescent="0.3">
      <c r="A4478" s="742">
        <v>103104</v>
      </c>
      <c r="B4478" s="138">
        <v>8.9</v>
      </c>
      <c r="C4478" s="139"/>
      <c r="D4478" s="152">
        <v>8.02</v>
      </c>
      <c r="E4478" s="752">
        <v>0.628</v>
      </c>
      <c r="F4478" s="1972">
        <v>728.4799999999999</v>
      </c>
      <c r="H4478" s="1703">
        <v>83.19</v>
      </c>
      <c r="I4478" s="142">
        <v>630</v>
      </c>
      <c r="J4478" s="141">
        <v>0.14399999999999999</v>
      </c>
      <c r="K4478" s="138">
        <v>9.92</v>
      </c>
      <c r="L4478" s="140">
        <v>1633</v>
      </c>
      <c r="M4478" s="140">
        <v>1.21</v>
      </c>
      <c r="N4478" s="140">
        <v>0.89</v>
      </c>
      <c r="O4478" s="140">
        <v>6.91</v>
      </c>
      <c r="P4478" s="140">
        <v>2.2200000000000002</v>
      </c>
      <c r="R4478" s="139">
        <v>1.761128</v>
      </c>
      <c r="S4478" s="138">
        <v>15.4</v>
      </c>
      <c r="Y4478" s="699">
        <v>27.6</v>
      </c>
      <c r="AA4478" s="647">
        <v>4.91</v>
      </c>
      <c r="AB4478" s="647">
        <v>0.53100000000000003</v>
      </c>
      <c r="AC4478" s="862">
        <v>8</v>
      </c>
      <c r="AD4478" s="70">
        <v>460</v>
      </c>
      <c r="AE4478" s="70">
        <v>390</v>
      </c>
      <c r="AF4478" s="70">
        <v>150</v>
      </c>
      <c r="AG4478" s="66">
        <f t="shared" si="163"/>
        <v>127.23478260869564</v>
      </c>
      <c r="AI4478" s="140">
        <f t="shared" si="165"/>
        <v>390</v>
      </c>
    </row>
    <row r="4479" spans="1:35" x14ac:dyDescent="0.3">
      <c r="A4479" s="742">
        <v>103105</v>
      </c>
      <c r="B4479" s="138">
        <v>45.3</v>
      </c>
      <c r="C4479" s="139">
        <v>17.399999999999999</v>
      </c>
      <c r="D4479" s="152">
        <v>8.4899999999999984</v>
      </c>
      <c r="E4479" s="752">
        <v>0.17100000000000001</v>
      </c>
      <c r="F4479" s="1972">
        <v>203.48999999999998</v>
      </c>
      <c r="H4479" s="1703">
        <v>8.9700000000000006</v>
      </c>
      <c r="I4479" s="142">
        <v>120</v>
      </c>
      <c r="J4479" s="141">
        <v>9.7000000000000003E-2</v>
      </c>
      <c r="K4479" s="138">
        <v>9.66</v>
      </c>
      <c r="L4479" s="140">
        <v>164</v>
      </c>
      <c r="M4479" s="140">
        <v>0.11</v>
      </c>
      <c r="N4479" s="140">
        <v>0.31</v>
      </c>
      <c r="O4479" s="140">
        <v>1.71</v>
      </c>
      <c r="P4479" s="140">
        <v>1.42</v>
      </c>
      <c r="R4479" s="139">
        <v>1.824408</v>
      </c>
      <c r="S4479" s="138">
        <v>17.399999999999999</v>
      </c>
      <c r="Y4479" s="699">
        <v>12</v>
      </c>
      <c r="AA4479" s="647">
        <v>3.6</v>
      </c>
      <c r="AB4479" s="647">
        <v>0.69699999999999995</v>
      </c>
      <c r="AC4479" s="862">
        <v>11.9</v>
      </c>
      <c r="AD4479" s="70">
        <v>200</v>
      </c>
      <c r="AE4479" s="70">
        <v>150</v>
      </c>
      <c r="AF4479" s="70">
        <v>650</v>
      </c>
      <c r="AG4479" s="66">
        <f t="shared" si="163"/>
        <v>284.97000000000003</v>
      </c>
      <c r="AI4479" s="140">
        <f t="shared" si="165"/>
        <v>150</v>
      </c>
    </row>
    <row r="4480" spans="1:35" x14ac:dyDescent="0.3">
      <c r="A4480" s="742">
        <v>103106</v>
      </c>
      <c r="B4480" s="138">
        <v>61.3</v>
      </c>
      <c r="C4480" s="139">
        <v>17.8</v>
      </c>
      <c r="D4480" s="152">
        <v>8.52</v>
      </c>
      <c r="E4480" s="752">
        <v>0.11799999999999999</v>
      </c>
      <c r="F4480" s="1972">
        <v>136.88</v>
      </c>
      <c r="H4480" s="1703">
        <v>0.69</v>
      </c>
      <c r="I4480" s="142">
        <v>40</v>
      </c>
      <c r="J4480" s="141">
        <v>1.6E-2</v>
      </c>
      <c r="K4480" s="138">
        <v>9.7899999999999991</v>
      </c>
      <c r="L4480" s="140">
        <v>141</v>
      </c>
      <c r="M4480" s="140">
        <v>7.0000000000000007E-2</v>
      </c>
      <c r="N4480" s="140">
        <v>0.2</v>
      </c>
      <c r="O4480" s="140">
        <v>0.84</v>
      </c>
      <c r="P4480" s="140">
        <v>0.96</v>
      </c>
      <c r="R4480" s="139">
        <v>1.8334170000000001</v>
      </c>
      <c r="S4480" s="138">
        <v>17.7</v>
      </c>
      <c r="Y4480" s="699">
        <v>28.8</v>
      </c>
      <c r="AA4480" s="647">
        <v>4.2699999999999996</v>
      </c>
      <c r="AB4480" s="647">
        <v>0.32300000000000001</v>
      </c>
      <c r="AC4480" s="862">
        <v>8</v>
      </c>
      <c r="AD4480" s="70">
        <v>480</v>
      </c>
      <c r="AE4480" s="70">
        <v>240</v>
      </c>
      <c r="AF4480" s="70">
        <v>280</v>
      </c>
      <c r="AG4480" s="66">
        <f t="shared" si="163"/>
        <v>120.33541666666666</v>
      </c>
      <c r="AI4480" s="140">
        <f t="shared" si="165"/>
        <v>240</v>
      </c>
    </row>
    <row r="4481" spans="1:35" x14ac:dyDescent="0.3">
      <c r="A4481" s="742">
        <v>103107</v>
      </c>
      <c r="B4481" s="138">
        <v>39.299999999999997</v>
      </c>
      <c r="C4481" s="139">
        <v>15.9</v>
      </c>
      <c r="D4481" s="152">
        <v>8.58</v>
      </c>
      <c r="E4481" s="752">
        <v>0.191</v>
      </c>
      <c r="F4481" s="1972">
        <v>227.29</v>
      </c>
      <c r="H4481" s="1703">
        <v>21.05</v>
      </c>
      <c r="I4481" s="142">
        <v>70</v>
      </c>
      <c r="J4481" s="141">
        <v>0.22500000000000001</v>
      </c>
      <c r="K4481" s="138">
        <v>9.6300000000000008</v>
      </c>
      <c r="L4481" s="140">
        <v>408</v>
      </c>
      <c r="M4481" s="140">
        <v>0.89</v>
      </c>
      <c r="N4481" s="140">
        <v>0.32</v>
      </c>
      <c r="O4481" s="140">
        <v>1.22</v>
      </c>
      <c r="P4481" s="140">
        <v>1.81</v>
      </c>
      <c r="R4481" s="139">
        <v>1.7839130000000001</v>
      </c>
      <c r="S4481" s="138">
        <v>16.100000000000001</v>
      </c>
      <c r="Y4481" s="699">
        <v>27.6</v>
      </c>
      <c r="AA4481" s="647">
        <v>4.66</v>
      </c>
      <c r="AB4481" s="647">
        <v>0.78800000000000003</v>
      </c>
      <c r="AC4481" s="862">
        <v>8.3000000000000007</v>
      </c>
      <c r="AD4481" s="70">
        <v>460</v>
      </c>
      <c r="AE4481" s="70">
        <v>290</v>
      </c>
      <c r="AF4481" s="70">
        <v>250</v>
      </c>
      <c r="AG4481" s="66">
        <f t="shared" si="163"/>
        <v>123.51521739130436</v>
      </c>
      <c r="AI4481" s="140">
        <f t="shared" si="165"/>
        <v>290</v>
      </c>
    </row>
    <row r="4482" spans="1:35" x14ac:dyDescent="0.3">
      <c r="A4482" s="742">
        <v>103108</v>
      </c>
      <c r="B4482" s="138">
        <v>33.299999999999997</v>
      </c>
      <c r="C4482" s="139">
        <v>15</v>
      </c>
      <c r="D4482" s="152">
        <v>8.5499999999999989</v>
      </c>
      <c r="E4482" s="752">
        <v>0.30099999999999999</v>
      </c>
      <c r="F4482" s="1972">
        <v>340.13</v>
      </c>
      <c r="H4482" s="1703">
        <v>123.43</v>
      </c>
      <c r="I4482" s="142">
        <v>160</v>
      </c>
      <c r="J4482" s="141">
        <v>0.502</v>
      </c>
      <c r="K4482" s="138">
        <v>10.4</v>
      </c>
      <c r="L4482" s="140">
        <v>746</v>
      </c>
      <c r="M4482" s="140">
        <v>1.0900000000000001</v>
      </c>
      <c r="N4482" s="140">
        <v>0.61</v>
      </c>
      <c r="O4482" s="140">
        <v>2.54</v>
      </c>
      <c r="P4482" s="140">
        <v>1.97</v>
      </c>
      <c r="R4482" s="139">
        <v>1.799768</v>
      </c>
      <c r="S4482" s="138">
        <v>16.599999999999998</v>
      </c>
      <c r="Y4482" s="699">
        <v>31.2</v>
      </c>
      <c r="AA4482" s="647">
        <v>4.41</v>
      </c>
      <c r="AB4482" s="647">
        <v>0.40100000000000002</v>
      </c>
      <c r="AC4482" s="862">
        <v>6.3</v>
      </c>
      <c r="AD4482" s="70">
        <v>520</v>
      </c>
      <c r="AE4482" s="70">
        <v>360</v>
      </c>
      <c r="AF4482" s="70">
        <v>120</v>
      </c>
      <c r="AG4482" s="66">
        <f t="shared" ref="AG4482:AG4545" si="167">+K4482*3.54*100/Y4482</f>
        <v>118.00000000000001</v>
      </c>
      <c r="AI4482" s="140">
        <f t="shared" si="165"/>
        <v>360</v>
      </c>
    </row>
    <row r="4483" spans="1:35" x14ac:dyDescent="0.3">
      <c r="A4483" s="742">
        <v>103109</v>
      </c>
      <c r="B4483" s="138">
        <v>20</v>
      </c>
      <c r="C4483" s="139">
        <v>11.4</v>
      </c>
      <c r="D4483" s="152">
        <v>8.35</v>
      </c>
      <c r="E4483" s="752">
        <v>0.41099999999999998</v>
      </c>
      <c r="F4483" s="1972">
        <v>489.09</v>
      </c>
      <c r="H4483" s="1703">
        <v>69.14</v>
      </c>
      <c r="I4483" s="142">
        <v>780</v>
      </c>
      <c r="J4483" s="141">
        <v>0.16500000000000001</v>
      </c>
      <c r="K4483" s="138">
        <v>7.28</v>
      </c>
      <c r="L4483" s="140">
        <v>2635</v>
      </c>
      <c r="M4483" s="140">
        <v>2.04</v>
      </c>
      <c r="N4483" s="140">
        <v>3.75</v>
      </c>
      <c r="O4483" s="140">
        <v>3.49</v>
      </c>
      <c r="P4483" s="140">
        <v>3.09</v>
      </c>
      <c r="R4483" s="139">
        <v>2.0176920000000003</v>
      </c>
      <c r="S4483" s="138">
        <v>25.2</v>
      </c>
      <c r="Y4483" s="699">
        <v>27</v>
      </c>
      <c r="AA4483" s="647">
        <v>4.4000000000000004</v>
      </c>
      <c r="AB4483" s="647">
        <v>0.54100000000000004</v>
      </c>
      <c r="AC4483" s="862">
        <v>7.5</v>
      </c>
      <c r="AD4483" s="70">
        <v>540</v>
      </c>
      <c r="AE4483" s="70">
        <v>330</v>
      </c>
      <c r="AF4483" s="70">
        <v>130</v>
      </c>
      <c r="AG4483" s="66">
        <f t="shared" si="167"/>
        <v>95.448888888888888</v>
      </c>
      <c r="AI4483" s="140">
        <f t="shared" si="165"/>
        <v>330</v>
      </c>
    </row>
    <row r="4484" spans="1:35" x14ac:dyDescent="0.3">
      <c r="A4484" s="742">
        <v>103110</v>
      </c>
      <c r="B4484" s="138">
        <v>18.8</v>
      </c>
      <c r="C4484" s="139">
        <v>11.5</v>
      </c>
      <c r="D4484" s="152">
        <v>8.35</v>
      </c>
      <c r="E4484" s="752">
        <v>0.439</v>
      </c>
      <c r="F4484" s="1972">
        <v>518.02</v>
      </c>
      <c r="H4484" s="1703">
        <v>45.04</v>
      </c>
      <c r="I4484" s="142">
        <v>700</v>
      </c>
      <c r="J4484" s="141">
        <v>0.19600000000000001</v>
      </c>
      <c r="K4484" s="138">
        <v>8.18</v>
      </c>
      <c r="L4484" s="140">
        <v>2922</v>
      </c>
      <c r="M4484" s="140">
        <v>1.22</v>
      </c>
      <c r="N4484" s="140">
        <v>2.76</v>
      </c>
      <c r="O4484" s="140">
        <v>12.48</v>
      </c>
      <c r="P4484" s="140">
        <v>3.21</v>
      </c>
      <c r="R4484" s="139">
        <v>1.9191320000000001</v>
      </c>
      <c r="S4484" s="138">
        <v>20.8</v>
      </c>
      <c r="Y4484" s="699">
        <v>27</v>
      </c>
      <c r="AA4484" s="647">
        <v>4.28</v>
      </c>
      <c r="AB4484" s="647">
        <v>0.89200000000000002</v>
      </c>
      <c r="AC4484" s="862">
        <v>7.3</v>
      </c>
      <c r="AD4484" s="70">
        <v>540</v>
      </c>
      <c r="AE4484" s="70">
        <v>320</v>
      </c>
      <c r="AF4484" s="70">
        <v>140</v>
      </c>
      <c r="AG4484" s="66">
        <f t="shared" si="167"/>
        <v>107.2488888888889</v>
      </c>
      <c r="AI4484" s="140">
        <f t="shared" si="165"/>
        <v>320</v>
      </c>
    </row>
    <row r="4485" spans="1:35" x14ac:dyDescent="0.3">
      <c r="A4485" s="742">
        <v>103111</v>
      </c>
      <c r="B4485" s="138">
        <v>26.7</v>
      </c>
      <c r="C4485" s="139">
        <v>13</v>
      </c>
      <c r="D4485" s="152">
        <v>8.44</v>
      </c>
      <c r="E4485" s="752">
        <v>0.248</v>
      </c>
      <c r="F4485" s="1972">
        <v>295.12</v>
      </c>
      <c r="H4485" s="1703">
        <v>80.47</v>
      </c>
      <c r="I4485" s="142">
        <v>430</v>
      </c>
      <c r="J4485" s="141">
        <v>0.106</v>
      </c>
      <c r="K4485" s="138">
        <v>8.59</v>
      </c>
      <c r="L4485" s="140">
        <v>2017.9999999999998</v>
      </c>
      <c r="M4485" s="140">
        <v>2.88</v>
      </c>
      <c r="N4485" s="140">
        <v>3.29</v>
      </c>
      <c r="O4485" s="140">
        <v>13.26</v>
      </c>
      <c r="P4485" s="140">
        <v>4.54</v>
      </c>
      <c r="R4485" s="139">
        <v>1.839353</v>
      </c>
      <c r="S4485" s="138">
        <v>17.899999999999999</v>
      </c>
      <c r="Y4485" s="699">
        <v>29.4</v>
      </c>
      <c r="AA4485" s="647">
        <v>4.6500000000000004</v>
      </c>
      <c r="AB4485" s="647">
        <v>0.309</v>
      </c>
      <c r="AC4485" s="862">
        <v>9.4</v>
      </c>
      <c r="AD4485" s="70">
        <v>490</v>
      </c>
      <c r="AE4485" s="70">
        <v>340</v>
      </c>
      <c r="AF4485" s="70">
        <v>170</v>
      </c>
      <c r="AG4485" s="66">
        <f t="shared" si="167"/>
        <v>103.43061224489797</v>
      </c>
      <c r="AI4485" s="140">
        <f t="shared" si="165"/>
        <v>340</v>
      </c>
    </row>
    <row r="4486" spans="1:35" x14ac:dyDescent="0.3">
      <c r="A4486" s="742">
        <v>103112</v>
      </c>
      <c r="B4486" s="138">
        <v>36.299999999999997</v>
      </c>
      <c r="C4486" s="139">
        <v>13.4</v>
      </c>
      <c r="D4486" s="152">
        <v>8.34</v>
      </c>
      <c r="E4486" s="752">
        <v>0.27600000000000002</v>
      </c>
      <c r="F4486" s="1972">
        <v>311.88</v>
      </c>
      <c r="H4486" s="1703">
        <v>64.88</v>
      </c>
      <c r="I4486" s="142">
        <v>420</v>
      </c>
      <c r="J4486" s="141">
        <v>0.13100000000000001</v>
      </c>
      <c r="K4486" s="138">
        <v>9.3000000000000007</v>
      </c>
      <c r="L4486" s="140">
        <v>2105</v>
      </c>
      <c r="M4486" s="140">
        <v>1.74</v>
      </c>
      <c r="N4486" s="140">
        <v>2.62</v>
      </c>
      <c r="O4486" s="140">
        <v>21.79</v>
      </c>
      <c r="P4486" s="140">
        <v>5.87</v>
      </c>
      <c r="R4486" s="139">
        <v>1.8568250000000002</v>
      </c>
      <c r="S4486" s="138">
        <v>18.5</v>
      </c>
      <c r="Y4486" s="699">
        <v>30</v>
      </c>
      <c r="AA4486" s="647">
        <v>4.71</v>
      </c>
      <c r="AB4486" s="647">
        <v>0.376</v>
      </c>
      <c r="AC4486" s="862">
        <v>10.5</v>
      </c>
      <c r="AD4486" s="70">
        <v>500</v>
      </c>
      <c r="AE4486" s="70">
        <v>320</v>
      </c>
      <c r="AF4486" s="70">
        <v>180</v>
      </c>
      <c r="AG4486" s="66">
        <f t="shared" si="167"/>
        <v>109.74000000000001</v>
      </c>
      <c r="AI4486" s="140">
        <f t="shared" si="165"/>
        <v>320</v>
      </c>
    </row>
    <row r="4487" spans="1:35" x14ac:dyDescent="0.3">
      <c r="A4487" s="742">
        <v>103113</v>
      </c>
      <c r="B4487" s="138">
        <v>35.700000000000003</v>
      </c>
      <c r="C4487" s="139">
        <v>12.1</v>
      </c>
      <c r="D4487" s="152">
        <v>8.08</v>
      </c>
      <c r="E4487" s="752">
        <v>0.32100000000000001</v>
      </c>
      <c r="F4487" s="1972">
        <v>362.72999999999996</v>
      </c>
      <c r="H4487" s="1703">
        <v>22.12</v>
      </c>
      <c r="I4487" s="142">
        <v>760</v>
      </c>
      <c r="J4487" s="141">
        <v>0.188</v>
      </c>
      <c r="K4487" s="138">
        <v>8.73</v>
      </c>
      <c r="L4487" s="140">
        <v>2786</v>
      </c>
      <c r="M4487" s="140">
        <v>0.85</v>
      </c>
      <c r="N4487" s="140">
        <v>1.63</v>
      </c>
      <c r="O4487" s="140">
        <v>2.21</v>
      </c>
      <c r="P4487" s="140">
        <v>2.25</v>
      </c>
      <c r="R4487" s="139">
        <v>1.706472</v>
      </c>
      <c r="S4487" s="138">
        <v>13.799999999999999</v>
      </c>
      <c r="Y4487" s="699">
        <v>26</v>
      </c>
      <c r="AA4487" s="647">
        <v>4.63</v>
      </c>
      <c r="AB4487" s="647">
        <v>0.67600000000000005</v>
      </c>
      <c r="AC4487" s="862">
        <v>7.1</v>
      </c>
      <c r="AD4487" s="70">
        <v>520</v>
      </c>
      <c r="AE4487" s="70">
        <v>340</v>
      </c>
      <c r="AF4487" s="70">
        <v>140</v>
      </c>
      <c r="AG4487" s="66">
        <f t="shared" si="167"/>
        <v>118.8623076923077</v>
      </c>
      <c r="AI4487" s="140">
        <f t="shared" si="165"/>
        <v>340</v>
      </c>
    </row>
    <row r="4488" spans="1:35" x14ac:dyDescent="0.3">
      <c r="A4488" s="742">
        <v>103114</v>
      </c>
      <c r="B4488" s="138">
        <v>33.700000000000003</v>
      </c>
      <c r="C4488" s="139">
        <v>13.4</v>
      </c>
      <c r="D4488" s="152">
        <v>8.3699999999999992</v>
      </c>
      <c r="E4488" s="752">
        <v>0.3</v>
      </c>
      <c r="F4488" s="1972">
        <v>341.99999999999994</v>
      </c>
      <c r="H4488" s="1703">
        <v>19.260000000000002</v>
      </c>
      <c r="I4488" s="142">
        <v>610</v>
      </c>
      <c r="J4488" s="141">
        <v>0.187</v>
      </c>
      <c r="K4488" s="138">
        <v>8.69</v>
      </c>
      <c r="L4488" s="140">
        <v>2554</v>
      </c>
      <c r="M4488" s="140">
        <v>0.48</v>
      </c>
      <c r="N4488" s="140">
        <v>1.04</v>
      </c>
      <c r="O4488" s="140">
        <v>1.21</v>
      </c>
      <c r="P4488" s="140">
        <v>2.2599999999999998</v>
      </c>
      <c r="R4488" s="139">
        <v>1.6254680000000001</v>
      </c>
      <c r="S4488" s="138">
        <v>11.6</v>
      </c>
      <c r="Y4488" s="699">
        <v>25</v>
      </c>
      <c r="AA4488" s="647">
        <v>4.82</v>
      </c>
      <c r="AB4488" s="647">
        <v>0.39800000000000002</v>
      </c>
      <c r="AC4488" s="862">
        <v>6</v>
      </c>
      <c r="AD4488" s="70">
        <v>500</v>
      </c>
      <c r="AE4488" s="70">
        <v>340</v>
      </c>
      <c r="AF4488" s="70">
        <v>160</v>
      </c>
      <c r="AG4488" s="66">
        <f t="shared" si="167"/>
        <v>123.0504</v>
      </c>
      <c r="AI4488" s="140">
        <f t="shared" si="165"/>
        <v>340</v>
      </c>
    </row>
    <row r="4489" spans="1:35" x14ac:dyDescent="0.3">
      <c r="A4489" s="742">
        <v>103115</v>
      </c>
      <c r="B4489" s="138">
        <v>18.8</v>
      </c>
      <c r="C4489" s="139">
        <v>8.6</v>
      </c>
      <c r="D4489" s="152">
        <v>8.4799999999999986</v>
      </c>
      <c r="E4489" s="752">
        <v>0.189</v>
      </c>
      <c r="F4489" s="1972">
        <v>215.45999999999998</v>
      </c>
      <c r="H4489" s="1703">
        <v>51.56</v>
      </c>
      <c r="I4489" s="142">
        <v>1080</v>
      </c>
      <c r="J4489" s="141">
        <v>9.9000000000000005E-2</v>
      </c>
      <c r="K4489" s="138">
        <v>9.4499999999999993</v>
      </c>
      <c r="L4489" s="140">
        <v>2809</v>
      </c>
      <c r="M4489" s="140">
        <v>0.8</v>
      </c>
      <c r="N4489" s="140">
        <v>1.35</v>
      </c>
      <c r="O4489" s="140">
        <v>1.96</v>
      </c>
      <c r="P4489" s="140">
        <v>2.17</v>
      </c>
      <c r="R4489" s="139">
        <v>1.751153</v>
      </c>
      <c r="S4489" s="138">
        <v>15.1</v>
      </c>
      <c r="Y4489" s="699">
        <v>31.2</v>
      </c>
      <c r="AA4489" s="647">
        <v>4.8</v>
      </c>
      <c r="AB4489" s="647">
        <v>0.77400000000000002</v>
      </c>
      <c r="AC4489" s="862">
        <v>8.9</v>
      </c>
      <c r="AD4489" s="70">
        <v>520</v>
      </c>
      <c r="AE4489" s="70">
        <v>320</v>
      </c>
      <c r="AF4489" s="70">
        <v>160</v>
      </c>
      <c r="AG4489" s="66">
        <f t="shared" si="167"/>
        <v>107.22115384615384</v>
      </c>
      <c r="AI4489" s="140">
        <f t="shared" si="165"/>
        <v>320</v>
      </c>
    </row>
    <row r="4490" spans="1:35" x14ac:dyDescent="0.3">
      <c r="A4490" s="742">
        <v>103116</v>
      </c>
      <c r="B4490" s="138">
        <v>18.8</v>
      </c>
      <c r="C4490" s="139">
        <v>10.5</v>
      </c>
      <c r="D4490" s="152">
        <v>8.33</v>
      </c>
      <c r="E4490" s="752">
        <v>0.26500000000000001</v>
      </c>
      <c r="F4490" s="1972">
        <v>302.09999999999997</v>
      </c>
      <c r="H4490" s="1703">
        <v>49.47</v>
      </c>
      <c r="I4490" s="142">
        <v>770</v>
      </c>
      <c r="J4490" s="141">
        <v>0.17199999999999999</v>
      </c>
      <c r="K4490" s="138">
        <v>8.48</v>
      </c>
      <c r="L4490" s="140">
        <v>2974</v>
      </c>
      <c r="M4490" s="140">
        <v>1.01</v>
      </c>
      <c r="N4490" s="140">
        <v>2.39</v>
      </c>
      <c r="O4490" s="140">
        <v>4.13</v>
      </c>
      <c r="P4490" s="140">
        <v>2.84</v>
      </c>
      <c r="R4490" s="139">
        <v>1.7578170000000002</v>
      </c>
      <c r="S4490" s="138">
        <v>15.3</v>
      </c>
      <c r="Y4490" s="699">
        <v>32.4</v>
      </c>
      <c r="AA4490" s="647">
        <v>4.5</v>
      </c>
      <c r="AB4490" s="647">
        <v>0.33600000000000002</v>
      </c>
      <c r="AC4490" s="862">
        <v>8</v>
      </c>
      <c r="AD4490" s="70">
        <v>540</v>
      </c>
      <c r="AE4490" s="70">
        <v>310</v>
      </c>
      <c r="AF4490" s="70">
        <v>150</v>
      </c>
      <c r="AG4490" s="66">
        <f t="shared" si="167"/>
        <v>92.651851851851859</v>
      </c>
      <c r="AI4490" s="140">
        <f t="shared" si="165"/>
        <v>310</v>
      </c>
    </row>
    <row r="4491" spans="1:35" x14ac:dyDescent="0.3">
      <c r="A4491" s="742">
        <v>103117</v>
      </c>
      <c r="B4491" s="138">
        <v>26.7</v>
      </c>
      <c r="C4491" s="139">
        <v>12.1</v>
      </c>
      <c r="D4491" s="152">
        <v>8.43</v>
      </c>
      <c r="E4491" s="752">
        <v>0.21199999999999999</v>
      </c>
      <c r="F4491" s="1972">
        <v>248.04</v>
      </c>
      <c r="H4491" s="1703">
        <v>26.64</v>
      </c>
      <c r="I4491" s="142">
        <v>730</v>
      </c>
      <c r="J4491" s="141">
        <v>0.129</v>
      </c>
      <c r="K4491" s="138">
        <v>8.49</v>
      </c>
      <c r="L4491" s="140">
        <v>2822</v>
      </c>
      <c r="M4491" s="140">
        <v>0.85</v>
      </c>
      <c r="N4491" s="140">
        <v>1.83</v>
      </c>
      <c r="O4491" s="140">
        <v>4.3899999999999997</v>
      </c>
      <c r="P4491" s="140">
        <v>3.17</v>
      </c>
      <c r="R4491" s="139">
        <v>1.674153</v>
      </c>
      <c r="S4491" s="138">
        <v>12.9</v>
      </c>
      <c r="Y4491" s="699">
        <v>34.1</v>
      </c>
      <c r="AA4491" s="647">
        <v>4.1399999999999997</v>
      </c>
      <c r="AB4491" s="647">
        <v>0.89400000000000002</v>
      </c>
      <c r="AC4491" s="862">
        <v>6</v>
      </c>
      <c r="AD4491" s="70">
        <v>550</v>
      </c>
      <c r="AE4491" s="70">
        <v>310</v>
      </c>
      <c r="AF4491" s="70">
        <v>140</v>
      </c>
      <c r="AG4491" s="66">
        <f t="shared" si="167"/>
        <v>88.136656891495605</v>
      </c>
      <c r="AI4491" s="140">
        <f t="shared" si="165"/>
        <v>310</v>
      </c>
    </row>
    <row r="4492" spans="1:35" x14ac:dyDescent="0.3">
      <c r="A4492" s="742">
        <v>103118</v>
      </c>
      <c r="B4492" s="138">
        <v>26.2</v>
      </c>
      <c r="C4492" s="139">
        <v>13.3</v>
      </c>
      <c r="D4492" s="152">
        <v>8.43</v>
      </c>
      <c r="E4492" s="752">
        <v>0.188</v>
      </c>
      <c r="F4492" s="1972">
        <v>216.2</v>
      </c>
      <c r="H4492" s="1703">
        <v>28.35</v>
      </c>
      <c r="I4492" s="142">
        <v>540</v>
      </c>
      <c r="J4492" s="141">
        <v>6.6000000000000003E-2</v>
      </c>
      <c r="K4492" s="138">
        <v>9.68</v>
      </c>
      <c r="L4492" s="140">
        <v>1887</v>
      </c>
      <c r="M4492" s="140">
        <v>0.48</v>
      </c>
      <c r="N4492" s="140">
        <v>0.62</v>
      </c>
      <c r="O4492" s="140">
        <v>1.5</v>
      </c>
      <c r="P4492" s="140">
        <v>3.02</v>
      </c>
      <c r="R4492" s="139">
        <v>1.8183320000000001</v>
      </c>
      <c r="S4492" s="138">
        <v>17.2</v>
      </c>
      <c r="Y4492" s="699">
        <v>32.4</v>
      </c>
      <c r="AA4492" s="647">
        <v>3.77</v>
      </c>
      <c r="AB4492" s="647">
        <v>0.86099999999999999</v>
      </c>
      <c r="AC4492" s="862">
        <v>11.3</v>
      </c>
      <c r="AD4492" s="70">
        <v>540</v>
      </c>
      <c r="AE4492" s="70">
        <v>330</v>
      </c>
      <c r="AF4492" s="70">
        <v>130</v>
      </c>
      <c r="AG4492" s="66">
        <f t="shared" si="167"/>
        <v>105.76296296296297</v>
      </c>
      <c r="AI4492" s="140">
        <f t="shared" si="165"/>
        <v>330</v>
      </c>
    </row>
    <row r="4493" spans="1:35" x14ac:dyDescent="0.3">
      <c r="A4493" s="742">
        <v>103119</v>
      </c>
      <c r="B4493" s="138">
        <v>55.3</v>
      </c>
      <c r="C4493" s="139">
        <v>14.1</v>
      </c>
      <c r="D4493" s="152">
        <v>8.5599999999999987</v>
      </c>
      <c r="E4493" s="752">
        <v>0.216</v>
      </c>
      <c r="F4493" s="1972">
        <v>246.23999999999998</v>
      </c>
      <c r="H4493" s="1703">
        <v>2.57</v>
      </c>
      <c r="I4493" s="142">
        <v>150</v>
      </c>
      <c r="J4493" s="141">
        <v>0.16500000000000001</v>
      </c>
      <c r="K4493" s="138">
        <v>8.67</v>
      </c>
      <c r="L4493" s="140">
        <v>1117</v>
      </c>
      <c r="M4493" s="140">
        <v>7.0000000000000007E-2</v>
      </c>
      <c r="N4493" s="140">
        <v>0.44</v>
      </c>
      <c r="O4493" s="140">
        <v>0.56000000000000005</v>
      </c>
      <c r="P4493" s="140">
        <v>0.96</v>
      </c>
      <c r="R4493" s="139">
        <v>1.651977</v>
      </c>
      <c r="S4493" s="138">
        <v>12.3</v>
      </c>
      <c r="Y4493" s="699">
        <v>18.5</v>
      </c>
      <c r="AA4493" s="647">
        <v>4.95</v>
      </c>
      <c r="AB4493" s="647">
        <v>0.77200000000000002</v>
      </c>
      <c r="AC4493" s="862">
        <v>6.3</v>
      </c>
      <c r="AD4493" s="70">
        <v>370</v>
      </c>
      <c r="AE4493" s="70">
        <v>290</v>
      </c>
      <c r="AF4493" s="70">
        <v>340</v>
      </c>
      <c r="AG4493" s="66">
        <f t="shared" si="167"/>
        <v>165.90162162162164</v>
      </c>
      <c r="AI4493" s="140">
        <f t="shared" si="165"/>
        <v>290</v>
      </c>
    </row>
    <row r="4494" spans="1:35" x14ac:dyDescent="0.3">
      <c r="A4494" s="742">
        <v>103120</v>
      </c>
      <c r="B4494" s="138">
        <v>59</v>
      </c>
      <c r="C4494" s="139">
        <v>13.8</v>
      </c>
      <c r="D4494" s="152">
        <v>8.27</v>
      </c>
      <c r="E4494" s="752">
        <v>0.214</v>
      </c>
      <c r="F4494" s="1972">
        <v>241.81999999999996</v>
      </c>
      <c r="H4494" s="1703">
        <v>143.47999999999999</v>
      </c>
      <c r="I4494" s="142">
        <v>140</v>
      </c>
      <c r="J4494" s="141">
        <v>0.13200000000000001</v>
      </c>
      <c r="K4494" s="138">
        <v>8.2200000000000006</v>
      </c>
      <c r="L4494" s="140">
        <v>1394</v>
      </c>
      <c r="M4494" s="140">
        <v>0.33</v>
      </c>
      <c r="N4494" s="140">
        <v>0.64</v>
      </c>
      <c r="O4494" s="140">
        <v>1.59</v>
      </c>
      <c r="P4494" s="140">
        <v>2.46</v>
      </c>
      <c r="R4494" s="139">
        <v>1.799768</v>
      </c>
      <c r="S4494" s="138">
        <v>16.599999999999998</v>
      </c>
      <c r="Y4494" s="699">
        <v>22.8</v>
      </c>
      <c r="AA4494" s="647">
        <v>4.84</v>
      </c>
      <c r="AB4494" s="647">
        <v>0.81499999999999995</v>
      </c>
      <c r="AC4494" s="862">
        <v>6.4</v>
      </c>
      <c r="AD4494" s="70">
        <v>380</v>
      </c>
      <c r="AE4494" s="70">
        <v>260</v>
      </c>
      <c r="AF4494" s="70">
        <v>360</v>
      </c>
      <c r="AG4494" s="66">
        <f t="shared" si="167"/>
        <v>127.62631578947371</v>
      </c>
      <c r="AI4494" s="140">
        <f t="shared" si="165"/>
        <v>260</v>
      </c>
    </row>
    <row r="4495" spans="1:35" x14ac:dyDescent="0.3">
      <c r="A4495" s="742">
        <v>103121</v>
      </c>
      <c r="B4495" s="138">
        <v>20.5</v>
      </c>
      <c r="C4495" s="139">
        <v>10</v>
      </c>
      <c r="D4495" s="152">
        <v>8.2199999999999989</v>
      </c>
      <c r="E4495" s="752">
        <v>0.16900000000000001</v>
      </c>
      <c r="F4495" s="1972">
        <v>196.04</v>
      </c>
      <c r="H4495" s="1703">
        <v>408.67</v>
      </c>
      <c r="I4495" s="142">
        <v>380</v>
      </c>
      <c r="J4495" s="141">
        <v>4.7E-2</v>
      </c>
      <c r="K4495" s="138">
        <v>8.0399999999999991</v>
      </c>
      <c r="L4495" s="140">
        <v>1461</v>
      </c>
      <c r="M4495" s="140">
        <v>1.65</v>
      </c>
      <c r="N4495" s="140">
        <v>2.2000000000000002</v>
      </c>
      <c r="O4495" s="140">
        <v>1.55</v>
      </c>
      <c r="P4495" s="140">
        <v>6.14</v>
      </c>
      <c r="R4495" s="139">
        <v>2.0518730000000001</v>
      </c>
      <c r="S4495" s="138">
        <v>27.1</v>
      </c>
      <c r="Y4495" s="699">
        <v>25</v>
      </c>
      <c r="AA4495" s="647">
        <v>3.89</v>
      </c>
      <c r="AB4495" s="647">
        <v>0.45600000000000002</v>
      </c>
      <c r="AC4495" s="862">
        <v>7.6</v>
      </c>
      <c r="AD4495" s="70">
        <v>500</v>
      </c>
      <c r="AE4495" s="70">
        <v>320</v>
      </c>
      <c r="AF4495" s="70">
        <v>180</v>
      </c>
      <c r="AG4495" s="66">
        <f t="shared" si="167"/>
        <v>113.84639999999999</v>
      </c>
      <c r="AI4495" s="140">
        <f t="shared" si="165"/>
        <v>320</v>
      </c>
    </row>
    <row r="4496" spans="1:35" x14ac:dyDescent="0.3">
      <c r="A4496" s="742">
        <v>103122</v>
      </c>
      <c r="B4496" s="138">
        <v>20.3</v>
      </c>
      <c r="C4496" s="139">
        <v>10.5</v>
      </c>
      <c r="D4496" s="152">
        <v>8.1</v>
      </c>
      <c r="E4496" s="752">
        <v>0.22800000000000001</v>
      </c>
      <c r="F4496" s="1972">
        <v>266.76</v>
      </c>
      <c r="H4496" s="1703">
        <v>246</v>
      </c>
      <c r="I4496" s="142">
        <v>590</v>
      </c>
      <c r="J4496" s="141">
        <v>6.2E-2</v>
      </c>
      <c r="K4496" s="138">
        <v>9.8699999999999992</v>
      </c>
      <c r="L4496" s="140">
        <v>2148</v>
      </c>
      <c r="M4496" s="140">
        <v>3.26</v>
      </c>
      <c r="N4496" s="140">
        <v>6.44</v>
      </c>
      <c r="O4496" s="140">
        <v>1.98</v>
      </c>
      <c r="P4496" s="140">
        <v>8.16</v>
      </c>
      <c r="R4496" s="139">
        <v>2.1494250000000004</v>
      </c>
      <c r="S4496" s="138">
        <v>37.5</v>
      </c>
      <c r="Y4496" s="699">
        <v>26</v>
      </c>
      <c r="AA4496" s="647">
        <v>3.51</v>
      </c>
      <c r="AB4496" s="647">
        <v>0.42699999999999999</v>
      </c>
      <c r="AC4496" s="862">
        <v>10.8</v>
      </c>
      <c r="AD4496" s="70">
        <v>520</v>
      </c>
      <c r="AE4496" s="70">
        <v>280</v>
      </c>
      <c r="AF4496" s="70">
        <v>200</v>
      </c>
      <c r="AG4496" s="66">
        <f t="shared" si="167"/>
        <v>134.38384615384615</v>
      </c>
      <c r="AI4496" s="140">
        <f t="shared" si="165"/>
        <v>280</v>
      </c>
    </row>
    <row r="4497" spans="1:35" x14ac:dyDescent="0.3">
      <c r="A4497" s="742">
        <v>103123</v>
      </c>
      <c r="B4497" s="138">
        <v>8.9</v>
      </c>
      <c r="C4497" s="139"/>
      <c r="D4497" s="152">
        <v>7.9300000000000006</v>
      </c>
      <c r="E4497" s="752">
        <v>0.19500000000000001</v>
      </c>
      <c r="F4497" s="1972">
        <v>226.2</v>
      </c>
      <c r="H4497" s="1703">
        <v>184.24</v>
      </c>
      <c r="I4497" s="142">
        <v>510</v>
      </c>
      <c r="J4497" s="141">
        <v>6.4000000000000001E-2</v>
      </c>
      <c r="K4497" s="138">
        <v>7.43</v>
      </c>
      <c r="L4497" s="140">
        <v>2003</v>
      </c>
      <c r="M4497" s="140">
        <v>2.21</v>
      </c>
      <c r="N4497" s="140">
        <v>2.2799999999999998</v>
      </c>
      <c r="O4497" s="140">
        <v>3.39</v>
      </c>
      <c r="P4497" s="140">
        <v>18.79</v>
      </c>
      <c r="R4497" s="139">
        <v>2.1094970000000002</v>
      </c>
      <c r="S4497" s="138">
        <v>31.299999999999997</v>
      </c>
      <c r="Y4497" s="699">
        <v>30.1</v>
      </c>
      <c r="AA4497" s="647">
        <v>4.37</v>
      </c>
      <c r="AB4497" s="647">
        <v>0.36</v>
      </c>
      <c r="AC4497" s="862">
        <v>9.1999999999999993</v>
      </c>
      <c r="AD4497" s="70">
        <v>540</v>
      </c>
      <c r="AE4497" s="70">
        <v>270</v>
      </c>
      <c r="AF4497" s="70">
        <v>190</v>
      </c>
      <c r="AG4497" s="66">
        <f t="shared" si="167"/>
        <v>87.382724252491684</v>
      </c>
      <c r="AI4497" s="140">
        <f t="shared" si="165"/>
        <v>270</v>
      </c>
    </row>
    <row r="4498" spans="1:35" x14ac:dyDescent="0.3">
      <c r="A4498" s="742">
        <v>103124</v>
      </c>
      <c r="B4498" s="138">
        <v>42</v>
      </c>
      <c r="C4498" s="139">
        <v>16.600000000000001</v>
      </c>
      <c r="D4498" s="152">
        <v>7.45</v>
      </c>
      <c r="E4498" s="752">
        <v>0.14599999999999999</v>
      </c>
      <c r="F4498" s="1972">
        <v>173.73999999999998</v>
      </c>
      <c r="H4498" s="1703">
        <v>5.87</v>
      </c>
      <c r="I4498" s="142">
        <v>190</v>
      </c>
      <c r="J4498" s="141">
        <v>1.7000000000000001E-2</v>
      </c>
      <c r="K4498" s="138">
        <v>8.67</v>
      </c>
      <c r="L4498" s="140">
        <v>520</v>
      </c>
      <c r="M4498" s="140">
        <v>0.18</v>
      </c>
      <c r="N4498" s="140">
        <v>0.68</v>
      </c>
      <c r="O4498" s="140">
        <v>2.4300000000000002</v>
      </c>
      <c r="P4498" s="140">
        <v>2.4500000000000002</v>
      </c>
      <c r="R4498" s="139">
        <v>1.8423</v>
      </c>
      <c r="S4498" s="138">
        <v>18</v>
      </c>
      <c r="Y4498" s="699">
        <v>32.200000000000003</v>
      </c>
      <c r="AA4498" s="647">
        <v>3.91</v>
      </c>
      <c r="AB4498" s="647">
        <v>0.503</v>
      </c>
      <c r="AC4498" s="862">
        <v>6.8</v>
      </c>
      <c r="AD4498" s="70">
        <v>460</v>
      </c>
      <c r="AE4498" s="70">
        <v>250</v>
      </c>
      <c r="AF4498" s="70">
        <v>290</v>
      </c>
      <c r="AG4498" s="66">
        <f t="shared" si="167"/>
        <v>95.316149068322986</v>
      </c>
      <c r="AI4498" s="140">
        <f t="shared" si="165"/>
        <v>250</v>
      </c>
    </row>
    <row r="4499" spans="1:35" x14ac:dyDescent="0.3">
      <c r="A4499" s="742">
        <v>103125</v>
      </c>
      <c r="B4499" s="138">
        <v>27.7</v>
      </c>
      <c r="C4499" s="139">
        <v>10.9</v>
      </c>
      <c r="D4499" s="152">
        <v>8.51</v>
      </c>
      <c r="E4499" s="752">
        <v>0.13300000000000001</v>
      </c>
      <c r="F4499" s="1972">
        <v>155.60999999999999</v>
      </c>
      <c r="H4499" s="1703">
        <v>0.19</v>
      </c>
      <c r="I4499" s="142">
        <v>210</v>
      </c>
      <c r="J4499" s="141">
        <v>1.2E-2</v>
      </c>
      <c r="K4499" s="138">
        <v>9.1999999999999993</v>
      </c>
      <c r="L4499" s="140">
        <v>750</v>
      </c>
      <c r="M4499" s="140">
        <v>0.16</v>
      </c>
      <c r="N4499" s="140">
        <v>0.54</v>
      </c>
      <c r="O4499" s="140">
        <v>0.77</v>
      </c>
      <c r="P4499" s="140">
        <v>1.53</v>
      </c>
      <c r="R4499" s="139">
        <v>1.6557080000000002</v>
      </c>
      <c r="S4499" s="138">
        <v>12.4</v>
      </c>
      <c r="Y4499" s="699">
        <v>30.8</v>
      </c>
      <c r="AA4499" s="647">
        <v>4.47</v>
      </c>
      <c r="AB4499" s="647">
        <v>0.28599999999999998</v>
      </c>
      <c r="AC4499" s="862">
        <v>6.7</v>
      </c>
      <c r="AD4499" s="70">
        <v>440</v>
      </c>
      <c r="AE4499" s="70">
        <v>360</v>
      </c>
      <c r="AF4499" s="70">
        <v>200</v>
      </c>
      <c r="AG4499" s="66">
        <f t="shared" si="167"/>
        <v>105.74025974025973</v>
      </c>
      <c r="AI4499" s="140">
        <f t="shared" si="165"/>
        <v>360</v>
      </c>
    </row>
    <row r="4500" spans="1:35" x14ac:dyDescent="0.3">
      <c r="A4500" s="742">
        <v>103126</v>
      </c>
      <c r="B4500" s="138">
        <v>25</v>
      </c>
      <c r="C4500" s="139">
        <v>10.9</v>
      </c>
      <c r="D4500" s="152">
        <v>8.26</v>
      </c>
      <c r="E4500" s="752">
        <v>0.21</v>
      </c>
      <c r="F4500" s="1972">
        <v>245.7</v>
      </c>
      <c r="H4500" s="1703">
        <v>241.63</v>
      </c>
      <c r="I4500" s="142">
        <v>370</v>
      </c>
      <c r="J4500" s="141">
        <v>6.8000000000000005E-2</v>
      </c>
      <c r="K4500" s="138">
        <v>8.74</v>
      </c>
      <c r="L4500" s="140">
        <v>1754</v>
      </c>
      <c r="M4500" s="140">
        <v>2.2400000000000002</v>
      </c>
      <c r="N4500" s="140">
        <v>3.23</v>
      </c>
      <c r="O4500" s="140">
        <v>5.87</v>
      </c>
      <c r="P4500" s="140">
        <v>5.31</v>
      </c>
      <c r="R4500" s="139">
        <v>2.1489769999999999</v>
      </c>
      <c r="S4500" s="138">
        <v>37.299999999999997</v>
      </c>
      <c r="Y4500" s="699">
        <v>34.299999999999997</v>
      </c>
      <c r="AA4500" s="647">
        <v>3.78</v>
      </c>
      <c r="AB4500" s="647">
        <v>0.32500000000000001</v>
      </c>
      <c r="AC4500" s="862">
        <v>8.5</v>
      </c>
      <c r="AD4500" s="70">
        <v>490</v>
      </c>
      <c r="AE4500" s="70">
        <v>230</v>
      </c>
      <c r="AF4500" s="70">
        <v>280</v>
      </c>
      <c r="AG4500" s="66">
        <f t="shared" si="167"/>
        <v>90.202915451895052</v>
      </c>
      <c r="AI4500" s="140">
        <f t="shared" si="165"/>
        <v>230</v>
      </c>
    </row>
    <row r="4501" spans="1:35" x14ac:dyDescent="0.3">
      <c r="A4501" s="742">
        <v>103127</v>
      </c>
      <c r="B4501" s="138">
        <v>34.299999999999997</v>
      </c>
      <c r="C4501" s="139">
        <v>14.6</v>
      </c>
      <c r="D4501" s="152">
        <v>8.2099999999999991</v>
      </c>
      <c r="E4501" s="752">
        <v>0.24199999999999999</v>
      </c>
      <c r="F4501" s="1972">
        <v>273.45999999999998</v>
      </c>
      <c r="H4501" s="1703">
        <v>120.8</v>
      </c>
      <c r="I4501" s="142">
        <v>320</v>
      </c>
      <c r="J4501" s="141">
        <v>6.2E-2</v>
      </c>
      <c r="K4501" s="138">
        <v>8.49</v>
      </c>
      <c r="L4501" s="140">
        <v>1219</v>
      </c>
      <c r="M4501" s="140">
        <v>0.42</v>
      </c>
      <c r="N4501" s="140">
        <v>0.66</v>
      </c>
      <c r="O4501" s="140">
        <v>6.63</v>
      </c>
      <c r="P4501" s="140">
        <v>3.63</v>
      </c>
      <c r="R4501" s="139">
        <v>1.8452330000000001</v>
      </c>
      <c r="S4501" s="138">
        <v>18.100000000000001</v>
      </c>
      <c r="Y4501" s="699">
        <v>22.8</v>
      </c>
      <c r="AA4501" s="647">
        <v>4.25</v>
      </c>
      <c r="AB4501" s="647">
        <v>0.66400000000000003</v>
      </c>
      <c r="AC4501" s="862">
        <v>11.7</v>
      </c>
      <c r="AD4501" s="70">
        <v>380</v>
      </c>
      <c r="AE4501" s="70">
        <v>330</v>
      </c>
      <c r="AF4501" s="70">
        <v>290</v>
      </c>
      <c r="AG4501" s="66">
        <f t="shared" si="167"/>
        <v>131.81842105263158</v>
      </c>
      <c r="AI4501" s="140">
        <f t="shared" si="165"/>
        <v>330</v>
      </c>
    </row>
    <row r="4502" spans="1:35" x14ac:dyDescent="0.3">
      <c r="A4502" s="742">
        <v>103128</v>
      </c>
      <c r="B4502" s="138">
        <v>54</v>
      </c>
      <c r="C4502" s="139">
        <v>12.9</v>
      </c>
      <c r="D4502" s="152">
        <v>8.3899999999999988</v>
      </c>
      <c r="E4502" s="752">
        <v>0.26900000000000002</v>
      </c>
      <c r="F4502" s="1972">
        <v>314.72999999999996</v>
      </c>
      <c r="H4502" s="1703">
        <v>57.79</v>
      </c>
      <c r="I4502" s="142">
        <v>150</v>
      </c>
      <c r="J4502" s="141">
        <v>0.114</v>
      </c>
      <c r="K4502" s="138">
        <v>8.76</v>
      </c>
      <c r="L4502" s="140">
        <v>1451</v>
      </c>
      <c r="M4502" s="140">
        <v>2.72</v>
      </c>
      <c r="N4502" s="140">
        <v>2.14</v>
      </c>
      <c r="O4502" s="140">
        <v>1.66</v>
      </c>
      <c r="P4502" s="140">
        <v>6.97</v>
      </c>
      <c r="R4502" s="139">
        <v>2.1205080000000001</v>
      </c>
      <c r="S4502" s="138">
        <v>32.400000000000006</v>
      </c>
      <c r="Y4502" s="699">
        <v>17</v>
      </c>
      <c r="AA4502" s="647">
        <v>4.78</v>
      </c>
      <c r="AB4502" s="647">
        <v>0.374</v>
      </c>
      <c r="AC4502" s="862">
        <v>11.7</v>
      </c>
      <c r="AD4502" s="70">
        <v>340</v>
      </c>
      <c r="AE4502" s="70">
        <v>280</v>
      </c>
      <c r="AF4502" s="70">
        <v>380</v>
      </c>
      <c r="AG4502" s="66">
        <f t="shared" si="167"/>
        <v>182.41411764705882</v>
      </c>
      <c r="AI4502" s="140">
        <f t="shared" si="165"/>
        <v>280</v>
      </c>
    </row>
    <row r="4503" spans="1:35" x14ac:dyDescent="0.3">
      <c r="A4503" s="742">
        <v>103129</v>
      </c>
      <c r="B4503" s="138">
        <v>40</v>
      </c>
      <c r="C4503" s="139">
        <v>12.8</v>
      </c>
      <c r="D4503" s="152">
        <v>8.58</v>
      </c>
      <c r="E4503" s="752">
        <v>0.223</v>
      </c>
      <c r="F4503" s="1972">
        <v>260.90999999999997</v>
      </c>
      <c r="H4503" s="1703">
        <v>49.04</v>
      </c>
      <c r="I4503" s="142">
        <v>750</v>
      </c>
      <c r="J4503" s="141">
        <v>0.20799999999999999</v>
      </c>
      <c r="K4503" s="138">
        <v>8.36</v>
      </c>
      <c r="L4503" s="140">
        <v>1261</v>
      </c>
      <c r="M4503" s="140">
        <v>0.9</v>
      </c>
      <c r="N4503" s="140">
        <v>1.56</v>
      </c>
      <c r="O4503" s="140">
        <v>4.45</v>
      </c>
      <c r="P4503" s="140">
        <v>3.2</v>
      </c>
      <c r="R4503" s="139">
        <v>1.9913930000000002</v>
      </c>
      <c r="S4503" s="138">
        <v>23.900000000000002</v>
      </c>
      <c r="Y4503" s="699">
        <v>25.2</v>
      </c>
      <c r="AA4503" s="647">
        <v>3.61</v>
      </c>
      <c r="AB4503" s="647">
        <v>0.308</v>
      </c>
      <c r="AC4503" s="862">
        <v>10.1</v>
      </c>
      <c r="AD4503" s="70">
        <v>420</v>
      </c>
      <c r="AE4503" s="70">
        <v>290</v>
      </c>
      <c r="AF4503" s="70">
        <v>290</v>
      </c>
      <c r="AG4503" s="66">
        <f t="shared" si="167"/>
        <v>117.43809523809523</v>
      </c>
      <c r="AI4503" s="140">
        <f t="shared" si="165"/>
        <v>290</v>
      </c>
    </row>
    <row r="4504" spans="1:35" s="711" customFormat="1" x14ac:dyDescent="0.3">
      <c r="A4504" s="716">
        <v>103130</v>
      </c>
      <c r="B4504" s="712">
        <v>8.9166666666666661</v>
      </c>
      <c r="C4504" s="712"/>
      <c r="D4504" s="713">
        <v>8.5299999999999994</v>
      </c>
      <c r="E4504" s="1566">
        <v>0.19800000000000001</v>
      </c>
      <c r="F4504" s="723">
        <v>233.64</v>
      </c>
      <c r="H4504" s="714">
        <v>114.71</v>
      </c>
      <c r="I4504" s="714">
        <v>499</v>
      </c>
      <c r="J4504" s="1476">
        <v>3.7999999999999999E-2</v>
      </c>
      <c r="K4504" s="712">
        <v>7.78</v>
      </c>
      <c r="L4504" s="711">
        <v>1828</v>
      </c>
      <c r="M4504" s="711">
        <v>1.42</v>
      </c>
      <c r="N4504" s="711">
        <v>2.21</v>
      </c>
      <c r="O4504" s="711">
        <v>13.33</v>
      </c>
      <c r="P4504" s="711">
        <v>6.48</v>
      </c>
      <c r="R4504" s="713">
        <v>1.8875480000000002</v>
      </c>
      <c r="S4504" s="712">
        <v>19.600000000000001</v>
      </c>
      <c r="Y4504" s="722">
        <v>28.8</v>
      </c>
      <c r="AA4504" s="713">
        <v>4.66</v>
      </c>
      <c r="AB4504" s="713">
        <v>0.9</v>
      </c>
      <c r="AC4504" s="711">
        <v>8.3000000000000007</v>
      </c>
      <c r="AD4504" s="716">
        <v>480</v>
      </c>
      <c r="AE4504" s="716">
        <v>280</v>
      </c>
      <c r="AF4504" s="716">
        <v>240</v>
      </c>
      <c r="AG4504" s="66">
        <f t="shared" si="167"/>
        <v>95.629166666666663</v>
      </c>
      <c r="AI4504" s="711">
        <f t="shared" si="165"/>
        <v>280</v>
      </c>
    </row>
    <row r="4505" spans="1:35" s="711" customFormat="1" x14ac:dyDescent="0.3">
      <c r="A4505" s="716">
        <v>103131</v>
      </c>
      <c r="B4505" s="712">
        <v>3.083333333333333</v>
      </c>
      <c r="C4505" s="712"/>
      <c r="D4505" s="713">
        <v>8.5399999999999991</v>
      </c>
      <c r="E4505" s="1566">
        <v>0.14799999999999999</v>
      </c>
      <c r="F4505" s="723">
        <v>168.72</v>
      </c>
      <c r="H4505" s="714">
        <v>167.19</v>
      </c>
      <c r="I4505" s="714">
        <v>417</v>
      </c>
      <c r="J4505" s="1476">
        <v>3.2000000000000001E-2</v>
      </c>
      <c r="K4505" s="712">
        <v>6.58</v>
      </c>
      <c r="L4505" s="711">
        <v>1247</v>
      </c>
      <c r="M4505" s="711">
        <v>2.58</v>
      </c>
      <c r="N4505" s="711">
        <v>3.97</v>
      </c>
      <c r="O4505" s="711">
        <v>5.73</v>
      </c>
      <c r="P4505" s="711">
        <v>8.36</v>
      </c>
      <c r="R4505" s="713">
        <v>1.865372</v>
      </c>
      <c r="S4505" s="712">
        <v>18.799999999999997</v>
      </c>
      <c r="Y4505" s="722">
        <v>23</v>
      </c>
      <c r="AA4505" s="713">
        <v>4.01</v>
      </c>
      <c r="AB4505" s="713">
        <v>0.36199999999999999</v>
      </c>
      <c r="AC4505" s="711">
        <v>10.9</v>
      </c>
      <c r="AD4505" s="716">
        <v>460</v>
      </c>
      <c r="AE4505" s="716">
        <v>280</v>
      </c>
      <c r="AF4505" s="716">
        <v>260</v>
      </c>
      <c r="AG4505" s="66">
        <f t="shared" si="167"/>
        <v>101.27478260869565</v>
      </c>
      <c r="AI4505" s="711">
        <f t="shared" si="165"/>
        <v>280</v>
      </c>
    </row>
    <row r="4506" spans="1:35" s="711" customFormat="1" x14ac:dyDescent="0.3">
      <c r="A4506" s="716">
        <v>103132</v>
      </c>
      <c r="B4506" s="712">
        <v>18.833333333333332</v>
      </c>
      <c r="C4506" s="712">
        <v>9.8749999999999982</v>
      </c>
      <c r="D4506" s="713">
        <v>8.5</v>
      </c>
      <c r="E4506" s="1566">
        <v>0.28100000000000003</v>
      </c>
      <c r="F4506" s="723">
        <v>317.52999999999997</v>
      </c>
      <c r="H4506" s="714">
        <v>101.93</v>
      </c>
      <c r="I4506" s="714">
        <v>511</v>
      </c>
      <c r="J4506" s="1476">
        <v>0.155</v>
      </c>
      <c r="K4506" s="712">
        <v>9.7799999999999994</v>
      </c>
      <c r="L4506" s="711">
        <v>1529</v>
      </c>
      <c r="M4506" s="711">
        <v>1.45</v>
      </c>
      <c r="N4506" s="711">
        <v>2.35</v>
      </c>
      <c r="O4506" s="711">
        <v>8.6999999999999993</v>
      </c>
      <c r="P4506" s="711">
        <v>8.86</v>
      </c>
      <c r="R4506" s="713">
        <v>1.809113</v>
      </c>
      <c r="S4506" s="712">
        <v>16.899999999999999</v>
      </c>
      <c r="Y4506" s="722">
        <v>24.5</v>
      </c>
      <c r="AA4506" s="713">
        <v>4.8899999999999997</v>
      </c>
      <c r="AB4506" s="713">
        <v>0.442</v>
      </c>
      <c r="AC4506" s="711">
        <v>6.9</v>
      </c>
      <c r="AD4506" s="716">
        <v>490</v>
      </c>
      <c r="AE4506" s="716">
        <v>330</v>
      </c>
      <c r="AF4506" s="716">
        <v>180</v>
      </c>
      <c r="AG4506" s="66">
        <f t="shared" si="167"/>
        <v>141.31102040816324</v>
      </c>
      <c r="AI4506" s="711">
        <f t="shared" si="165"/>
        <v>330</v>
      </c>
    </row>
    <row r="4507" spans="1:35" s="711" customFormat="1" x14ac:dyDescent="0.3">
      <c r="A4507" s="716">
        <v>103133</v>
      </c>
      <c r="B4507" s="712">
        <v>13.333333333333334</v>
      </c>
      <c r="C4507" s="712">
        <v>7.4999999999999982</v>
      </c>
      <c r="D4507" s="713">
        <v>8.3800000000000008</v>
      </c>
      <c r="E4507" s="1566">
        <v>0.38500000000000001</v>
      </c>
      <c r="F4507" s="723">
        <v>438.9</v>
      </c>
      <c r="H4507" s="714">
        <v>76.36</v>
      </c>
      <c r="I4507" s="714">
        <v>532</v>
      </c>
      <c r="J4507" s="1476">
        <v>0.27500000000000002</v>
      </c>
      <c r="K4507" s="712">
        <v>8.58</v>
      </c>
      <c r="L4507" s="711">
        <v>1927</v>
      </c>
      <c r="M4507" s="711">
        <v>2.19</v>
      </c>
      <c r="N4507" s="711">
        <v>3.61</v>
      </c>
      <c r="O4507" s="711">
        <v>9.4600000000000009</v>
      </c>
      <c r="P4507" s="711">
        <v>15.14</v>
      </c>
      <c r="R4507" s="713">
        <v>2.0137999999999998</v>
      </c>
      <c r="S4507" s="712">
        <v>25</v>
      </c>
      <c r="Y4507" s="722">
        <v>30</v>
      </c>
      <c r="AA4507" s="713">
        <v>4.2</v>
      </c>
      <c r="AB4507" s="713">
        <v>0.36199999999999999</v>
      </c>
      <c r="AC4507" s="711">
        <v>9.9</v>
      </c>
      <c r="AD4507" s="716">
        <v>500</v>
      </c>
      <c r="AE4507" s="716">
        <v>290</v>
      </c>
      <c r="AF4507" s="716">
        <v>210</v>
      </c>
      <c r="AG4507" s="66">
        <f t="shared" si="167"/>
        <v>101.244</v>
      </c>
      <c r="AI4507" s="711">
        <f t="shared" si="165"/>
        <v>290</v>
      </c>
    </row>
    <row r="4508" spans="1:35" s="711" customFormat="1" x14ac:dyDescent="0.3">
      <c r="A4508" s="716">
        <v>103134</v>
      </c>
      <c r="B4508" s="712">
        <v>20</v>
      </c>
      <c r="C4508" s="712">
        <v>10.875</v>
      </c>
      <c r="D4508" s="713">
        <v>8.6199999999999992</v>
      </c>
      <c r="E4508" s="1566">
        <v>0.30299999999999999</v>
      </c>
      <c r="F4508" s="723">
        <v>351.47999999999996</v>
      </c>
      <c r="H4508" s="714">
        <v>17.100000000000001</v>
      </c>
      <c r="I4508" s="714">
        <v>222</v>
      </c>
      <c r="J4508" s="1476">
        <v>0.21199999999999999</v>
      </c>
      <c r="K4508" s="712">
        <v>9.69</v>
      </c>
      <c r="L4508" s="711">
        <v>1502</v>
      </c>
      <c r="M4508" s="711">
        <v>1.03</v>
      </c>
      <c r="N4508" s="711">
        <v>2.15</v>
      </c>
      <c r="O4508" s="711">
        <v>9.41</v>
      </c>
      <c r="P4508" s="711">
        <v>11.01</v>
      </c>
      <c r="R4508" s="713">
        <v>1.8793370000000003</v>
      </c>
      <c r="S4508" s="712">
        <v>19.3</v>
      </c>
      <c r="Y4508" s="722">
        <v>27.6</v>
      </c>
      <c r="AA4508" s="713">
        <v>3.78</v>
      </c>
      <c r="AB4508" s="713">
        <v>0.68799999999999994</v>
      </c>
      <c r="AC4508" s="711">
        <v>10</v>
      </c>
      <c r="AD4508" s="716">
        <v>460</v>
      </c>
      <c r="AE4508" s="716">
        <v>260</v>
      </c>
      <c r="AF4508" s="716">
        <v>280</v>
      </c>
      <c r="AG4508" s="66">
        <f t="shared" si="167"/>
        <v>124.28478260869564</v>
      </c>
      <c r="AI4508" s="711">
        <f t="shared" si="165"/>
        <v>260</v>
      </c>
    </row>
    <row r="4509" spans="1:35" s="711" customFormat="1" x14ac:dyDescent="0.3">
      <c r="A4509" s="716">
        <v>103135</v>
      </c>
      <c r="B4509" s="712">
        <v>26.666666666666668</v>
      </c>
      <c r="C4509" s="712">
        <v>9.4999999999999964</v>
      </c>
      <c r="D4509" s="713">
        <v>8.56</v>
      </c>
      <c r="E4509" s="1566">
        <v>0.34599999999999997</v>
      </c>
      <c r="F4509" s="723">
        <v>390.97999999999996</v>
      </c>
      <c r="H4509" s="714">
        <v>19.59</v>
      </c>
      <c r="I4509" s="714">
        <v>385</v>
      </c>
      <c r="J4509" s="1476">
        <v>0.26100000000000001</v>
      </c>
      <c r="K4509" s="712">
        <v>10.02</v>
      </c>
      <c r="L4509" s="711">
        <v>2073</v>
      </c>
      <c r="M4509" s="711">
        <v>0.9</v>
      </c>
      <c r="N4509" s="711">
        <v>1.93</v>
      </c>
      <c r="O4509" s="711">
        <v>9.5500000000000007</v>
      </c>
      <c r="P4509" s="711">
        <v>14.06</v>
      </c>
      <c r="R4509" s="713">
        <v>1.873793</v>
      </c>
      <c r="S4509" s="712">
        <v>19.099999999999998</v>
      </c>
      <c r="Y4509" s="722">
        <v>30.8</v>
      </c>
      <c r="AA4509" s="713">
        <v>4.7300000000000004</v>
      </c>
      <c r="AB4509" s="713">
        <v>0.69799999999999995</v>
      </c>
      <c r="AC4509" s="711">
        <v>7.3</v>
      </c>
      <c r="AD4509" s="716">
        <v>440</v>
      </c>
      <c r="AE4509" s="716">
        <v>310</v>
      </c>
      <c r="AF4509" s="716">
        <v>250</v>
      </c>
      <c r="AG4509" s="66">
        <f t="shared" si="167"/>
        <v>115.16493506493507</v>
      </c>
      <c r="AI4509" s="711">
        <f t="shared" si="165"/>
        <v>310</v>
      </c>
    </row>
    <row r="4510" spans="1:35" s="711" customFormat="1" x14ac:dyDescent="0.3">
      <c r="A4510" s="716">
        <v>103136</v>
      </c>
      <c r="B4510" s="712">
        <v>2.5</v>
      </c>
      <c r="C4510" s="712"/>
      <c r="D4510" s="713">
        <v>8.4</v>
      </c>
      <c r="E4510" s="1566">
        <v>0.13500000000000001</v>
      </c>
      <c r="F4510" s="723">
        <v>157.94999999999999</v>
      </c>
      <c r="H4510" s="714">
        <v>35.869999999999997</v>
      </c>
      <c r="I4510" s="714">
        <v>228</v>
      </c>
      <c r="J4510" s="1476">
        <v>1.6E-2</v>
      </c>
      <c r="K4510" s="712">
        <v>4.59</v>
      </c>
      <c r="L4510" s="711">
        <v>1501</v>
      </c>
      <c r="M4510" s="711">
        <v>1.77</v>
      </c>
      <c r="N4510" s="711">
        <v>2.71</v>
      </c>
      <c r="O4510" s="711">
        <v>17.23</v>
      </c>
      <c r="P4510" s="711">
        <v>12.47</v>
      </c>
      <c r="R4510" s="713">
        <v>2.003825</v>
      </c>
      <c r="S4510" s="712">
        <v>24.5</v>
      </c>
      <c r="Y4510" s="722">
        <v>25.8</v>
      </c>
      <c r="AA4510" s="713">
        <v>4.38</v>
      </c>
      <c r="AB4510" s="713">
        <v>0.53900000000000003</v>
      </c>
      <c r="AC4510" s="711">
        <v>9.6</v>
      </c>
      <c r="AD4510" s="716">
        <v>430</v>
      </c>
      <c r="AE4510" s="716">
        <v>330</v>
      </c>
      <c r="AF4510" s="716">
        <v>240</v>
      </c>
      <c r="AG4510" s="66">
        <f t="shared" si="167"/>
        <v>62.979069767441857</v>
      </c>
      <c r="AI4510" s="711">
        <f t="shared" si="165"/>
        <v>330</v>
      </c>
    </row>
    <row r="4511" spans="1:35" s="711" customFormat="1" x14ac:dyDescent="0.3">
      <c r="A4511" s="716">
        <v>103137</v>
      </c>
      <c r="B4511" s="712">
        <v>0.65</v>
      </c>
      <c r="C4511" s="712"/>
      <c r="D4511" s="713">
        <v>8.42</v>
      </c>
      <c r="E4511" s="1566">
        <v>0.125</v>
      </c>
      <c r="F4511" s="723">
        <v>141.25</v>
      </c>
      <c r="H4511" s="714">
        <v>13.48</v>
      </c>
      <c r="I4511" s="714">
        <v>225</v>
      </c>
      <c r="J4511" s="1476">
        <v>2.4E-2</v>
      </c>
      <c r="K4511" s="712">
        <v>4.6900000000000004</v>
      </c>
      <c r="L4511" s="711">
        <v>1853</v>
      </c>
      <c r="M4511" s="711">
        <v>0.84</v>
      </c>
      <c r="N4511" s="711">
        <v>2.0299999999999998</v>
      </c>
      <c r="O4511" s="711">
        <v>16.04</v>
      </c>
      <c r="P4511" s="711">
        <v>8.67</v>
      </c>
      <c r="R4511" s="713">
        <v>1.8902570000000001</v>
      </c>
      <c r="S4511" s="712">
        <v>19.7</v>
      </c>
      <c r="Y4511" s="722">
        <v>33.6</v>
      </c>
      <c r="AA4511" s="713">
        <v>3.66</v>
      </c>
      <c r="AB4511" s="713">
        <v>0.248</v>
      </c>
      <c r="AC4511" s="711">
        <v>9.3000000000000007</v>
      </c>
      <c r="AD4511" s="716">
        <v>480</v>
      </c>
      <c r="AE4511" s="716">
        <v>320</v>
      </c>
      <c r="AF4511" s="716">
        <v>200</v>
      </c>
      <c r="AG4511" s="66">
        <f t="shared" si="167"/>
        <v>49.412500000000001</v>
      </c>
      <c r="AI4511" s="711">
        <f t="shared" si="165"/>
        <v>320</v>
      </c>
    </row>
    <row r="4512" spans="1:35" s="711" customFormat="1" x14ac:dyDescent="0.3">
      <c r="A4512" s="716">
        <v>103138</v>
      </c>
      <c r="B4512" s="712">
        <v>3.35</v>
      </c>
      <c r="C4512" s="712"/>
      <c r="D4512" s="713">
        <v>8.56</v>
      </c>
      <c r="E4512" s="1566">
        <v>0.125</v>
      </c>
      <c r="F4512" s="723">
        <v>141.25</v>
      </c>
      <c r="H4512" s="714">
        <v>11.67</v>
      </c>
      <c r="I4512" s="714">
        <v>218</v>
      </c>
      <c r="J4512" s="1476">
        <v>2.9000000000000001E-2</v>
      </c>
      <c r="K4512" s="712">
        <v>6.27</v>
      </c>
      <c r="L4512" s="711">
        <v>1625</v>
      </c>
      <c r="M4512" s="711">
        <v>0.66</v>
      </c>
      <c r="N4512" s="711">
        <v>1.74</v>
      </c>
      <c r="O4512" s="711">
        <v>9.27</v>
      </c>
      <c r="P4512" s="711">
        <v>6.16</v>
      </c>
      <c r="R4512" s="713">
        <v>1.8183320000000001</v>
      </c>
      <c r="S4512" s="712">
        <v>17.2</v>
      </c>
      <c r="Y4512" s="722">
        <v>26</v>
      </c>
      <c r="AA4512" s="713">
        <v>4.7699999999999996</v>
      </c>
      <c r="AB4512" s="713">
        <v>0.52</v>
      </c>
      <c r="AC4512" s="711">
        <v>10.7</v>
      </c>
      <c r="AD4512" s="716">
        <v>520</v>
      </c>
      <c r="AE4512" s="716">
        <v>320</v>
      </c>
      <c r="AF4512" s="716">
        <v>160</v>
      </c>
      <c r="AG4512" s="66">
        <f t="shared" si="167"/>
        <v>85.368461538461531</v>
      </c>
      <c r="AI4512" s="711">
        <f t="shared" si="165"/>
        <v>320</v>
      </c>
    </row>
    <row r="4513" spans="1:35" s="711" customFormat="1" x14ac:dyDescent="0.3">
      <c r="A4513" s="716">
        <v>103139</v>
      </c>
      <c r="B4513" s="712">
        <v>18.5</v>
      </c>
      <c r="C4513" s="712">
        <v>6.1249999999999982</v>
      </c>
      <c r="D4513" s="713">
        <v>8.1999999999999993</v>
      </c>
      <c r="E4513" s="1566">
        <v>0.96899999999999997</v>
      </c>
      <c r="F4513" s="723">
        <v>1153.1099999999999</v>
      </c>
      <c r="H4513" s="714">
        <v>74.61</v>
      </c>
      <c r="I4513" s="714">
        <v>515</v>
      </c>
      <c r="J4513" s="1476">
        <v>0.77600000000000002</v>
      </c>
      <c r="K4513" s="712">
        <v>10.45</v>
      </c>
      <c r="L4513" s="711">
        <v>758</v>
      </c>
      <c r="M4513" s="711">
        <v>1.51</v>
      </c>
      <c r="N4513" s="711">
        <v>0.61</v>
      </c>
      <c r="O4513" s="711">
        <v>7.8</v>
      </c>
      <c r="P4513" s="711">
        <v>4.26</v>
      </c>
      <c r="R4513" s="713">
        <v>1.6993880000000001</v>
      </c>
      <c r="S4513" s="712">
        <v>13.600000000000001</v>
      </c>
      <c r="Y4513" s="722">
        <v>32.4</v>
      </c>
      <c r="AA4513" s="713">
        <v>4.72</v>
      </c>
      <c r="AB4513" s="713">
        <v>0.69099999999999995</v>
      </c>
      <c r="AC4513" s="711">
        <v>8.4</v>
      </c>
      <c r="AD4513" s="716">
        <v>540</v>
      </c>
      <c r="AE4513" s="716">
        <v>330</v>
      </c>
      <c r="AF4513" s="716">
        <v>130</v>
      </c>
      <c r="AG4513" s="66">
        <f t="shared" si="167"/>
        <v>114.17592592592591</v>
      </c>
      <c r="AI4513" s="711">
        <f t="shared" si="165"/>
        <v>330</v>
      </c>
    </row>
    <row r="4514" spans="1:35" s="711" customFormat="1" x14ac:dyDescent="0.3">
      <c r="A4514" s="716">
        <v>103140</v>
      </c>
      <c r="B4514" s="712">
        <v>9.2083333333333339</v>
      </c>
      <c r="C4514" s="712"/>
      <c r="D4514" s="713">
        <v>8.6199999999999992</v>
      </c>
      <c r="E4514" s="1566">
        <v>0.127</v>
      </c>
      <c r="F4514" s="723">
        <v>144.78</v>
      </c>
      <c r="H4514" s="714">
        <v>10.16</v>
      </c>
      <c r="I4514" s="714">
        <v>230</v>
      </c>
      <c r="J4514" s="1476">
        <v>4.9000000000000002E-2</v>
      </c>
      <c r="K4514" s="712">
        <v>10.11</v>
      </c>
      <c r="L4514" s="711">
        <v>360</v>
      </c>
      <c r="M4514" s="711">
        <v>0.25</v>
      </c>
      <c r="N4514" s="711">
        <v>0.61</v>
      </c>
      <c r="O4514" s="711">
        <v>5.25</v>
      </c>
      <c r="P4514" s="711">
        <v>3.34</v>
      </c>
      <c r="R4514" s="713">
        <v>1.6922480000000002</v>
      </c>
      <c r="S4514" s="712">
        <v>13.4</v>
      </c>
      <c r="Y4514" s="722">
        <v>30.8</v>
      </c>
      <c r="AA4514" s="713">
        <v>3.74</v>
      </c>
      <c r="AB4514" s="713">
        <v>0.47599999999999998</v>
      </c>
      <c r="AC4514" s="711">
        <v>11.5</v>
      </c>
      <c r="AD4514" s="716">
        <v>440</v>
      </c>
      <c r="AE4514" s="716">
        <v>370</v>
      </c>
      <c r="AF4514" s="716">
        <v>190</v>
      </c>
      <c r="AG4514" s="66">
        <f t="shared" si="167"/>
        <v>116.19935064935065</v>
      </c>
      <c r="AI4514" s="711">
        <f t="shared" si="165"/>
        <v>370</v>
      </c>
    </row>
    <row r="4515" spans="1:35" s="711" customFormat="1" x14ac:dyDescent="0.3">
      <c r="A4515" s="716">
        <v>103141</v>
      </c>
      <c r="B4515" s="712">
        <v>34.333333333333336</v>
      </c>
      <c r="C4515" s="712">
        <v>16.125</v>
      </c>
      <c r="D4515" s="713">
        <v>8.27</v>
      </c>
      <c r="E4515" s="1566">
        <v>1.151</v>
      </c>
      <c r="F4515" s="723">
        <v>1369.6899999999998</v>
      </c>
      <c r="H4515" s="714">
        <v>7.04</v>
      </c>
      <c r="I4515" s="714">
        <v>80</v>
      </c>
      <c r="J4515" s="1476">
        <v>0.33500000000000002</v>
      </c>
      <c r="K4515" s="712">
        <v>10.56</v>
      </c>
      <c r="L4515" s="711">
        <v>500</v>
      </c>
      <c r="M4515" s="711">
        <v>0.13</v>
      </c>
      <c r="N4515" s="711">
        <v>0.16</v>
      </c>
      <c r="O4515" s="711">
        <v>4.42</v>
      </c>
      <c r="P4515" s="711">
        <v>1.39</v>
      </c>
      <c r="R4515" s="713">
        <v>1.2680661050156079</v>
      </c>
      <c r="S4515" s="712">
        <v>8.2999999999999989</v>
      </c>
      <c r="Y4515" s="722">
        <v>21</v>
      </c>
      <c r="AA4515" s="713">
        <v>4.12</v>
      </c>
      <c r="AB4515" s="713">
        <v>0.69099999999999995</v>
      </c>
      <c r="AC4515" s="711">
        <v>11.4</v>
      </c>
      <c r="AD4515" s="716">
        <v>420</v>
      </c>
      <c r="AE4515" s="716">
        <v>300</v>
      </c>
      <c r="AF4515" s="716">
        <v>280</v>
      </c>
      <c r="AG4515" s="66">
        <f t="shared" si="167"/>
        <v>178.01142857142858</v>
      </c>
      <c r="AI4515" s="711">
        <f t="shared" si="165"/>
        <v>300</v>
      </c>
    </row>
    <row r="4516" spans="1:35" s="711" customFormat="1" x14ac:dyDescent="0.3">
      <c r="A4516" s="716">
        <v>103142</v>
      </c>
      <c r="B4516" s="712">
        <v>13.333333333333334</v>
      </c>
      <c r="C4516" s="712">
        <v>6.1249999999999982</v>
      </c>
      <c r="D4516" s="713">
        <v>8.61</v>
      </c>
      <c r="E4516" s="1566">
        <v>0.182</v>
      </c>
      <c r="F4516" s="723">
        <v>205.65999999999997</v>
      </c>
      <c r="H4516" s="714">
        <v>13.27</v>
      </c>
      <c r="I4516" s="714">
        <v>158</v>
      </c>
      <c r="J4516" s="1476">
        <v>5.6000000000000001E-2</v>
      </c>
      <c r="K4516" s="712">
        <v>8.4</v>
      </c>
      <c r="L4516" s="711">
        <v>1556</v>
      </c>
      <c r="M4516" s="711">
        <v>0.69</v>
      </c>
      <c r="N4516" s="711">
        <v>0.88</v>
      </c>
      <c r="O4516" s="711">
        <v>15.68</v>
      </c>
      <c r="P4516" s="711">
        <v>6.58</v>
      </c>
      <c r="R4516" s="713">
        <v>1.5903770000000002</v>
      </c>
      <c r="S4516" s="712">
        <v>10.700000000000001</v>
      </c>
      <c r="Y4516" s="722">
        <v>23.8</v>
      </c>
      <c r="AA4516" s="713">
        <v>3.69</v>
      </c>
      <c r="AB4516" s="713">
        <v>0.45</v>
      </c>
      <c r="AC4516" s="711">
        <v>7.7</v>
      </c>
      <c r="AD4516" s="716">
        <v>340</v>
      </c>
      <c r="AE4516" s="716">
        <v>300</v>
      </c>
      <c r="AF4516" s="716">
        <v>360</v>
      </c>
      <c r="AG4516" s="66">
        <f t="shared" si="167"/>
        <v>124.94117647058823</v>
      </c>
      <c r="AI4516" s="711">
        <f t="shared" si="165"/>
        <v>300</v>
      </c>
    </row>
    <row r="4517" spans="1:35" s="711" customFormat="1" x14ac:dyDescent="0.3">
      <c r="A4517" s="716">
        <v>103143</v>
      </c>
      <c r="B4517" s="712">
        <v>28.500000000000004</v>
      </c>
      <c r="C4517" s="712">
        <v>11.999999999999996</v>
      </c>
      <c r="D4517" s="713">
        <v>8.32</v>
      </c>
      <c r="E4517" s="1566">
        <v>3.92</v>
      </c>
      <c r="F4517" s="723">
        <v>4468.7999999999993</v>
      </c>
      <c r="H4517" s="714">
        <v>2.33</v>
      </c>
      <c r="I4517" s="714">
        <v>282</v>
      </c>
      <c r="J4517" s="1476">
        <v>1.613</v>
      </c>
      <c r="K4517" s="712">
        <v>21.89</v>
      </c>
      <c r="L4517" s="711">
        <v>970</v>
      </c>
      <c r="M4517" s="711">
        <v>0.16</v>
      </c>
      <c r="N4517" s="711">
        <v>0.26</v>
      </c>
      <c r="O4517" s="711">
        <v>6.79</v>
      </c>
      <c r="P4517" s="711">
        <v>0.7</v>
      </c>
      <c r="R4517" s="713">
        <v>1.5943320000000001</v>
      </c>
      <c r="S4517" s="712">
        <v>10.8</v>
      </c>
      <c r="Y4517" s="722">
        <v>22.8</v>
      </c>
      <c r="AA4517" s="713">
        <v>3.98</v>
      </c>
      <c r="AB4517" s="713">
        <v>0.52800000000000002</v>
      </c>
      <c r="AC4517" s="711">
        <v>10.6</v>
      </c>
      <c r="AD4517" s="716">
        <v>380</v>
      </c>
      <c r="AE4517" s="716">
        <v>320</v>
      </c>
      <c r="AF4517" s="716">
        <v>300</v>
      </c>
      <c r="AG4517" s="66">
        <f t="shared" si="167"/>
        <v>339.87105263157895</v>
      </c>
      <c r="AI4517" s="711">
        <f t="shared" si="165"/>
        <v>320</v>
      </c>
    </row>
    <row r="4518" spans="1:35" s="1032" customFormat="1" x14ac:dyDescent="0.3">
      <c r="A4518" s="1033">
        <v>103144</v>
      </c>
      <c r="B4518" s="1018">
        <v>10.416666666666666</v>
      </c>
      <c r="C4518" s="1018">
        <v>2.9999999999999982</v>
      </c>
      <c r="D4518" s="1019">
        <v>8.61</v>
      </c>
      <c r="E4518" s="1579">
        <v>0.152</v>
      </c>
      <c r="F4518" s="1978">
        <v>174.79999999999998</v>
      </c>
      <c r="H4518" s="1017">
        <v>2.56</v>
      </c>
      <c r="I4518" s="1017">
        <v>109</v>
      </c>
      <c r="J4518" s="1305">
        <v>4.3999999999999997E-2</v>
      </c>
      <c r="K4518" s="1018">
        <v>7.64</v>
      </c>
      <c r="L4518" s="1032">
        <v>534</v>
      </c>
      <c r="M4518" s="1032">
        <v>0.45</v>
      </c>
      <c r="N4518" s="1032">
        <v>0.95</v>
      </c>
      <c r="O4518" s="1032">
        <v>6.12</v>
      </c>
      <c r="P4518" s="1032">
        <v>1.97</v>
      </c>
      <c r="R4518" s="1019">
        <v>1.0813383679444581</v>
      </c>
      <c r="S4518" s="1018">
        <v>8</v>
      </c>
      <c r="Y4518" s="1979">
        <v>33.6</v>
      </c>
      <c r="AA4518" s="1019">
        <v>4.93</v>
      </c>
      <c r="AB4518" s="1019">
        <v>0.36699999999999999</v>
      </c>
      <c r="AC4518" s="1032">
        <v>11.4</v>
      </c>
      <c r="AD4518" s="1033">
        <v>480</v>
      </c>
      <c r="AE4518" s="1033">
        <v>260</v>
      </c>
      <c r="AF4518" s="1033">
        <v>260</v>
      </c>
      <c r="AG4518" s="66">
        <f t="shared" si="167"/>
        <v>80.492857142857133</v>
      </c>
      <c r="AI4518" s="1032">
        <f t="shared" si="165"/>
        <v>260</v>
      </c>
    </row>
    <row r="4519" spans="1:35" s="1032" customFormat="1" x14ac:dyDescent="0.3">
      <c r="A4519" s="1033">
        <v>103145</v>
      </c>
      <c r="B4519" s="1019">
        <v>0.01</v>
      </c>
      <c r="C4519" s="1018"/>
      <c r="D4519" s="1019">
        <v>6.37</v>
      </c>
      <c r="E4519" s="1579">
        <v>3.2000000000000001E-2</v>
      </c>
      <c r="F4519" s="1978">
        <v>36.799999999999997</v>
      </c>
      <c r="H4519" s="1017">
        <v>2.64</v>
      </c>
      <c r="I4519" s="1017">
        <v>52</v>
      </c>
      <c r="J4519" s="1305">
        <v>1.7000000000000001E-2</v>
      </c>
      <c r="K4519" s="1018">
        <v>0.97</v>
      </c>
      <c r="L4519" s="1032">
        <v>196</v>
      </c>
      <c r="M4519" s="1032">
        <v>0.24</v>
      </c>
      <c r="N4519" s="1032">
        <v>1.1299999999999999</v>
      </c>
      <c r="O4519" s="1032">
        <v>55.21</v>
      </c>
      <c r="P4519" s="1032">
        <v>25.69</v>
      </c>
      <c r="R4519" s="1980">
        <v>1.6138970000000001</v>
      </c>
      <c r="S4519" s="1018">
        <v>11.299999999999999</v>
      </c>
      <c r="Y4519" s="1979">
        <v>29.4</v>
      </c>
      <c r="Z4519" s="1032">
        <v>5.3</v>
      </c>
      <c r="AA4519" s="1019">
        <v>3.47</v>
      </c>
      <c r="AB4519" s="1019">
        <v>0.65900000000000003</v>
      </c>
      <c r="AC4519" s="1032">
        <v>11.4</v>
      </c>
      <c r="AD4519" s="1033">
        <v>490</v>
      </c>
      <c r="AE4519" s="1032">
        <v>310</v>
      </c>
      <c r="AF4519" s="1033">
        <v>200</v>
      </c>
      <c r="AG4519" s="66">
        <f t="shared" si="167"/>
        <v>11.679591836734694</v>
      </c>
      <c r="AI4519" s="1032">
        <f t="shared" si="165"/>
        <v>310</v>
      </c>
    </row>
    <row r="4520" spans="1:35" s="1032" customFormat="1" x14ac:dyDescent="0.3">
      <c r="A4520" s="1033">
        <v>103146</v>
      </c>
      <c r="B4520" s="1018">
        <v>14.3</v>
      </c>
      <c r="C4520" s="1018">
        <v>10</v>
      </c>
      <c r="D4520" s="1019">
        <v>8.14</v>
      </c>
      <c r="E4520" s="1579">
        <v>1.4279999999999999</v>
      </c>
      <c r="F4520" s="1978">
        <v>1685.04</v>
      </c>
      <c r="H4520" s="1017">
        <v>5.33</v>
      </c>
      <c r="I4520" s="1017">
        <v>213</v>
      </c>
      <c r="J4520" s="1305">
        <v>0.59099999999999997</v>
      </c>
      <c r="K4520" s="1018">
        <v>9.9700000000000006</v>
      </c>
      <c r="L4520" s="1032">
        <v>921</v>
      </c>
      <c r="M4520" s="1032">
        <v>0.17</v>
      </c>
      <c r="N4520" s="1032">
        <v>0.48</v>
      </c>
      <c r="O4520" s="1032">
        <v>4.53</v>
      </c>
      <c r="P4520" s="1032">
        <v>1.26</v>
      </c>
      <c r="R4520" s="1980">
        <v>1.6369130000000001</v>
      </c>
      <c r="S4520" s="1018">
        <v>11.899999999999999</v>
      </c>
      <c r="Y4520" s="1979">
        <v>28.8</v>
      </c>
      <c r="AA4520" s="1019">
        <v>3.95</v>
      </c>
      <c r="AB4520" s="1019">
        <v>0.63200000000000001</v>
      </c>
      <c r="AC4520" s="1032">
        <v>9.6</v>
      </c>
      <c r="AD4520" s="1033">
        <v>480</v>
      </c>
      <c r="AE4520" s="1032">
        <v>330</v>
      </c>
      <c r="AF4520" s="1033">
        <v>190</v>
      </c>
      <c r="AG4520" s="66">
        <f t="shared" si="167"/>
        <v>122.54791666666668</v>
      </c>
      <c r="AI4520" s="1032">
        <f t="shared" si="165"/>
        <v>330</v>
      </c>
    </row>
    <row r="4521" spans="1:35" s="1032" customFormat="1" x14ac:dyDescent="0.3">
      <c r="A4521" s="1033">
        <v>103147</v>
      </c>
      <c r="B4521" s="1018">
        <v>10.3</v>
      </c>
      <c r="C4521" s="1018">
        <v>7.8</v>
      </c>
      <c r="D4521" s="1019">
        <v>8.25</v>
      </c>
      <c r="E4521" s="1579">
        <v>0.747</v>
      </c>
      <c r="F4521" s="1978">
        <v>851.57999999999993</v>
      </c>
      <c r="H4521" s="1017">
        <v>11.03</v>
      </c>
      <c r="I4521" s="1017">
        <v>667</v>
      </c>
      <c r="J4521" s="1305">
        <v>0.26700000000000002</v>
      </c>
      <c r="K4521" s="1018">
        <v>9.36</v>
      </c>
      <c r="L4521" s="1032">
        <v>1054</v>
      </c>
      <c r="M4521" s="1032">
        <v>0.25</v>
      </c>
      <c r="N4521" s="1032">
        <v>0.63</v>
      </c>
      <c r="O4521" s="1032">
        <v>5.85</v>
      </c>
      <c r="P4521" s="1032">
        <v>1.24</v>
      </c>
      <c r="R4521" s="1980">
        <v>1.6100120000000002</v>
      </c>
      <c r="S4521" s="1018">
        <v>11.200000000000001</v>
      </c>
      <c r="Y4521" s="1979">
        <v>27.5</v>
      </c>
      <c r="AA4521" s="1019">
        <v>4.37</v>
      </c>
      <c r="AB4521" s="1019">
        <v>0.40899999999999997</v>
      </c>
      <c r="AC4521" s="1032">
        <v>7.5</v>
      </c>
      <c r="AD4521" s="1033">
        <v>550</v>
      </c>
      <c r="AE4521" s="1032">
        <v>330</v>
      </c>
      <c r="AF4521" s="1033">
        <v>120</v>
      </c>
      <c r="AG4521" s="66">
        <f t="shared" si="167"/>
        <v>120.48872727272727</v>
      </c>
      <c r="AI4521" s="1032">
        <f t="shared" si="165"/>
        <v>330</v>
      </c>
    </row>
    <row r="4522" spans="1:35" s="1032" customFormat="1" x14ac:dyDescent="0.3">
      <c r="A4522" s="1033">
        <v>103148</v>
      </c>
      <c r="B4522" s="1018">
        <v>16.3</v>
      </c>
      <c r="C4522" s="1018">
        <v>9.9</v>
      </c>
      <c r="D4522" s="1019">
        <v>8.4</v>
      </c>
      <c r="E4522" s="1579">
        <v>0.64500000000000002</v>
      </c>
      <c r="F4522" s="1978">
        <v>735.3</v>
      </c>
      <c r="H4522" s="1017">
        <v>30.08</v>
      </c>
      <c r="I4522" s="1017">
        <v>722</v>
      </c>
      <c r="J4522" s="1305">
        <v>0.316</v>
      </c>
      <c r="K4522" s="1018">
        <v>8.56</v>
      </c>
      <c r="L4522" s="1032">
        <v>1283</v>
      </c>
      <c r="M4522" s="1032">
        <v>0.77</v>
      </c>
      <c r="N4522" s="1032">
        <v>1.08</v>
      </c>
      <c r="O4522" s="1032">
        <v>5.43</v>
      </c>
      <c r="P4522" s="1032">
        <v>2.83</v>
      </c>
      <c r="R4522" s="1980">
        <v>1.7709770000000002</v>
      </c>
      <c r="S4522" s="1018">
        <v>15.700000000000001</v>
      </c>
      <c r="Y4522" s="1979">
        <v>33.6</v>
      </c>
      <c r="AA4522" s="1019">
        <v>4.1100000000000003</v>
      </c>
      <c r="AB4522" s="1019">
        <v>0.71699999999999997</v>
      </c>
      <c r="AC4522" s="1032">
        <v>6.2</v>
      </c>
      <c r="AD4522" s="1033">
        <v>480</v>
      </c>
      <c r="AE4522" s="1032">
        <v>340</v>
      </c>
      <c r="AF4522" s="1033">
        <v>180</v>
      </c>
      <c r="AG4522" s="66">
        <f t="shared" si="167"/>
        <v>90.185714285714283</v>
      </c>
      <c r="AI4522" s="1032">
        <f t="shared" si="165"/>
        <v>340</v>
      </c>
    </row>
    <row r="4523" spans="1:35" s="1032" customFormat="1" x14ac:dyDescent="0.3">
      <c r="A4523" s="1033">
        <v>103149</v>
      </c>
      <c r="B4523" s="1018">
        <v>27.5</v>
      </c>
      <c r="C4523" s="1018">
        <v>14.8</v>
      </c>
      <c r="D4523" s="1019">
        <v>8.5399999999999991</v>
      </c>
      <c r="E4523" s="1579">
        <v>0.23799999999999999</v>
      </c>
      <c r="F4523" s="1978">
        <v>273.7</v>
      </c>
      <c r="H4523" s="1017">
        <v>15.15</v>
      </c>
      <c r="I4523" s="1017">
        <v>441</v>
      </c>
      <c r="J4523" s="1305">
        <v>0.25900000000000001</v>
      </c>
      <c r="K4523" s="1018">
        <v>11.1</v>
      </c>
      <c r="L4523" s="1032">
        <v>696</v>
      </c>
      <c r="M4523" s="1032">
        <v>0.71</v>
      </c>
      <c r="N4523" s="1032">
        <v>0.36</v>
      </c>
      <c r="O4523" s="1032">
        <v>3.6</v>
      </c>
      <c r="P4523" s="1032">
        <v>3.68</v>
      </c>
      <c r="R4523" s="1980">
        <v>2.0485129999999998</v>
      </c>
      <c r="S4523" s="1018">
        <v>26.9</v>
      </c>
      <c r="Y4523" s="1979">
        <v>23.5</v>
      </c>
      <c r="AA4523" s="1019">
        <v>4.7</v>
      </c>
      <c r="AB4523" s="1019">
        <v>0.27500000000000002</v>
      </c>
      <c r="AC4523" s="1032">
        <v>7.3</v>
      </c>
      <c r="AD4523" s="1033">
        <v>470</v>
      </c>
      <c r="AE4523" s="1032">
        <v>330</v>
      </c>
      <c r="AF4523" s="1033">
        <v>200</v>
      </c>
      <c r="AG4523" s="66">
        <f t="shared" si="167"/>
        <v>167.20851063829787</v>
      </c>
      <c r="AI4523" s="1032">
        <f t="shared" si="165"/>
        <v>330</v>
      </c>
    </row>
    <row r="4524" spans="1:35" s="711" customFormat="1" x14ac:dyDescent="0.3">
      <c r="A4524" s="716">
        <v>103150</v>
      </c>
      <c r="B4524" s="712">
        <v>5.3</v>
      </c>
      <c r="C4524" s="712"/>
      <c r="D4524" s="713">
        <v>7.9</v>
      </c>
      <c r="E4524" s="1566">
        <v>0.85799999999999998</v>
      </c>
      <c r="F4524" s="723">
        <v>986.69999999999993</v>
      </c>
      <c r="H4524" s="714">
        <v>33.869999999999997</v>
      </c>
      <c r="I4524" s="714">
        <v>96</v>
      </c>
      <c r="J4524" s="1476">
        <v>0.14299999999999999</v>
      </c>
      <c r="K4524" s="712">
        <v>9.8800000000000008</v>
      </c>
      <c r="L4524" s="711">
        <v>1133</v>
      </c>
      <c r="M4524" s="711">
        <v>0.79</v>
      </c>
      <c r="N4524" s="711">
        <v>0.45</v>
      </c>
      <c r="O4524" s="711">
        <v>4.4800000000000004</v>
      </c>
      <c r="P4524" s="711">
        <v>2.31</v>
      </c>
      <c r="R4524" s="713">
        <v>1.9009529999999999</v>
      </c>
      <c r="S4524" s="712">
        <v>20.099999999999998</v>
      </c>
      <c r="Y4524" s="722">
        <v>28.8</v>
      </c>
      <c r="AA4524" s="713">
        <v>4.7699999999999996</v>
      </c>
      <c r="AB4524" s="713">
        <v>0.58599999999999997</v>
      </c>
      <c r="AC4524" s="711">
        <v>6.7</v>
      </c>
      <c r="AD4524" s="716">
        <v>480</v>
      </c>
      <c r="AE4524" s="711">
        <v>300</v>
      </c>
      <c r="AF4524" s="716">
        <v>220</v>
      </c>
      <c r="AG4524" s="66">
        <f t="shared" si="167"/>
        <v>121.44166666666666</v>
      </c>
      <c r="AI4524" s="711">
        <f t="shared" si="165"/>
        <v>300</v>
      </c>
    </row>
    <row r="4525" spans="1:35" s="711" customFormat="1" x14ac:dyDescent="0.3">
      <c r="A4525" s="716">
        <v>103151</v>
      </c>
      <c r="B4525" s="712">
        <v>23.2</v>
      </c>
      <c r="C4525" s="712">
        <v>7.3</v>
      </c>
      <c r="D4525" s="713">
        <v>8.07</v>
      </c>
      <c r="E4525" s="1566">
        <v>0.63500000000000001</v>
      </c>
      <c r="F4525" s="723">
        <v>755.65</v>
      </c>
      <c r="H4525" s="714">
        <v>37.119999999999997</v>
      </c>
      <c r="I4525" s="714">
        <v>186</v>
      </c>
      <c r="J4525" s="1476">
        <v>0.27500000000000002</v>
      </c>
      <c r="K4525" s="712">
        <v>9.66</v>
      </c>
      <c r="L4525" s="711">
        <v>1123</v>
      </c>
      <c r="M4525" s="711">
        <v>1.0900000000000001</v>
      </c>
      <c r="N4525" s="711">
        <v>0.56999999999999995</v>
      </c>
      <c r="O4525" s="711">
        <v>4.75</v>
      </c>
      <c r="P4525" s="711">
        <v>2.88</v>
      </c>
      <c r="R4525" s="713">
        <v>1.9463130000000002</v>
      </c>
      <c r="S4525" s="712">
        <v>21.9</v>
      </c>
      <c r="Y4525" s="722">
        <v>32.200000000000003</v>
      </c>
      <c r="AA4525" s="713">
        <v>4.2300000000000004</v>
      </c>
      <c r="AB4525" s="713">
        <v>0.67</v>
      </c>
      <c r="AC4525" s="711">
        <v>9.6999999999999993</v>
      </c>
      <c r="AD4525" s="716">
        <v>460</v>
      </c>
      <c r="AE4525" s="711">
        <v>300</v>
      </c>
      <c r="AF4525" s="716">
        <v>240</v>
      </c>
      <c r="AG4525" s="66">
        <f t="shared" si="167"/>
        <v>106.2</v>
      </c>
      <c r="AI4525" s="711">
        <f t="shared" si="165"/>
        <v>300</v>
      </c>
    </row>
    <row r="4526" spans="1:35" s="711" customFormat="1" x14ac:dyDescent="0.3">
      <c r="A4526" s="716">
        <v>103152</v>
      </c>
      <c r="B4526" s="712">
        <v>0.3</v>
      </c>
      <c r="C4526" s="712"/>
      <c r="D4526" s="713">
        <v>7.83</v>
      </c>
      <c r="E4526" s="1566">
        <v>1.2569999999999999</v>
      </c>
      <c r="F4526" s="723">
        <v>1420.4099999999999</v>
      </c>
      <c r="H4526" s="714">
        <v>306.24</v>
      </c>
      <c r="I4526" s="714">
        <v>1022.9999999999999</v>
      </c>
      <c r="J4526" s="1476">
        <v>0.996</v>
      </c>
      <c r="K4526" s="712">
        <v>5.93</v>
      </c>
      <c r="L4526" s="711">
        <v>1705</v>
      </c>
      <c r="M4526" s="711">
        <v>6.29</v>
      </c>
      <c r="N4526" s="711">
        <v>4.4400000000000004</v>
      </c>
      <c r="O4526" s="711">
        <v>8.1999999999999993</v>
      </c>
      <c r="P4526" s="711">
        <v>3.45</v>
      </c>
      <c r="R4526" s="713">
        <v>1.6850520000000002</v>
      </c>
      <c r="S4526" s="712">
        <v>13.200000000000001</v>
      </c>
      <c r="Y4526" s="699">
        <v>27.1</v>
      </c>
      <c r="AA4526" s="713">
        <v>3.57</v>
      </c>
      <c r="AB4526" s="713">
        <v>0.45400000000000001</v>
      </c>
      <c r="AC4526" s="711">
        <v>6.7</v>
      </c>
      <c r="AD4526" s="716">
        <v>470</v>
      </c>
      <c r="AE4526" s="716">
        <v>320</v>
      </c>
      <c r="AF4526" s="716">
        <v>210</v>
      </c>
      <c r="AG4526" s="66">
        <f t="shared" si="167"/>
        <v>77.461992619926207</v>
      </c>
      <c r="AI4526" s="711">
        <f t="shared" si="165"/>
        <v>320</v>
      </c>
    </row>
    <row r="4527" spans="1:35" s="2003" customFormat="1" x14ac:dyDescent="0.3">
      <c r="A4527" s="1988">
        <v>103153</v>
      </c>
      <c r="B4527" s="2000">
        <v>13.4</v>
      </c>
      <c r="C4527" s="2000">
        <v>6.6</v>
      </c>
      <c r="D4527" s="2001">
        <v>8.59</v>
      </c>
      <c r="E4527" s="2002">
        <v>0.22500000000000001</v>
      </c>
      <c r="F4527" s="1987">
        <v>263.25</v>
      </c>
      <c r="G4527" s="1988"/>
      <c r="H4527" s="1989">
        <v>76.19</v>
      </c>
      <c r="I4527" s="1989">
        <v>434</v>
      </c>
      <c r="J4527" s="1990">
        <v>0.124</v>
      </c>
      <c r="K4527" s="1991">
        <v>8.27</v>
      </c>
      <c r="L4527" s="1988">
        <v>1029</v>
      </c>
      <c r="M4527" s="1988">
        <v>0.9</v>
      </c>
      <c r="N4527" s="1988">
        <v>1.48</v>
      </c>
      <c r="O4527" s="1988">
        <v>6.6</v>
      </c>
      <c r="P4527" s="1988">
        <v>2.54</v>
      </c>
      <c r="Q4527" s="1988"/>
      <c r="R4527" s="1992">
        <v>1.651977</v>
      </c>
      <c r="S4527" s="1991">
        <v>12.3</v>
      </c>
      <c r="T4527" s="1988"/>
      <c r="U4527" s="1988"/>
      <c r="V4527" s="1988"/>
      <c r="W4527" s="1988"/>
      <c r="X4527" s="1988"/>
      <c r="Y4527" s="1991">
        <v>28.8</v>
      </c>
      <c r="Z4527" s="1988"/>
      <c r="AA4527" s="1988">
        <v>3.87</v>
      </c>
      <c r="AB4527" s="1988">
        <v>0.44</v>
      </c>
      <c r="AC4527" s="1988">
        <v>7.7</v>
      </c>
      <c r="AD4527" s="1988">
        <v>480</v>
      </c>
      <c r="AE4527" s="1988">
        <v>300</v>
      </c>
      <c r="AF4527" s="1988">
        <v>220</v>
      </c>
      <c r="AG4527" s="66">
        <f t="shared" si="167"/>
        <v>101.65208333333332</v>
      </c>
      <c r="AI4527" s="2003">
        <f t="shared" si="165"/>
        <v>300</v>
      </c>
    </row>
    <row r="4528" spans="1:35" s="2007" customFormat="1" x14ac:dyDescent="0.3">
      <c r="A4528" s="1988">
        <v>103154</v>
      </c>
      <c r="B4528" s="2004">
        <v>19.899999999999999</v>
      </c>
      <c r="C4528" s="2004">
        <v>9.6</v>
      </c>
      <c r="D4528" s="2005">
        <v>8.26</v>
      </c>
      <c r="E4528" s="2002">
        <v>0.753</v>
      </c>
      <c r="F4528" s="1987">
        <v>873.4799999999999</v>
      </c>
      <c r="G4528" s="1993"/>
      <c r="H4528" s="1989">
        <v>91.91</v>
      </c>
      <c r="I4528" s="1994">
        <v>441</v>
      </c>
      <c r="J4528" s="1994">
        <v>0.29199999999999998</v>
      </c>
      <c r="K4528" s="1994">
        <v>8.2100000000000009</v>
      </c>
      <c r="L4528" s="1994">
        <v>1590</v>
      </c>
      <c r="M4528" s="1994">
        <v>0.77</v>
      </c>
      <c r="N4528" s="1994">
        <v>1.47</v>
      </c>
      <c r="O4528" s="1988">
        <v>5.8</v>
      </c>
      <c r="P4528" s="1994">
        <v>4.0999999999999996</v>
      </c>
      <c r="Q4528" s="1995"/>
      <c r="R4528" s="1996">
        <v>1.9341680000000001</v>
      </c>
      <c r="S4528" s="1991">
        <v>21.400000000000002</v>
      </c>
      <c r="T4528" s="1997"/>
      <c r="U4528" s="1998"/>
      <c r="V4528" s="1999"/>
      <c r="W4528" s="1999"/>
      <c r="X4528" s="1999"/>
      <c r="Y4528" s="1991">
        <v>26</v>
      </c>
      <c r="Z4528" s="1999"/>
      <c r="AA4528" s="1988">
        <v>4.97</v>
      </c>
      <c r="AB4528" s="1988">
        <v>0.27200000000000002</v>
      </c>
      <c r="AC4528" s="1988">
        <v>11.8</v>
      </c>
      <c r="AD4528" s="2004">
        <v>520</v>
      </c>
      <c r="AE4528" s="2006">
        <v>310</v>
      </c>
      <c r="AF4528" s="1988">
        <v>170</v>
      </c>
      <c r="AG4528" s="66">
        <f t="shared" si="167"/>
        <v>111.78230769230771</v>
      </c>
      <c r="AI4528" s="2003">
        <f t="shared" si="165"/>
        <v>310</v>
      </c>
    </row>
    <row r="4529" spans="1:35" s="2007" customFormat="1" x14ac:dyDescent="0.3">
      <c r="A4529" s="1988">
        <v>103155</v>
      </c>
      <c r="B4529" s="2004">
        <v>19</v>
      </c>
      <c r="C4529" s="2004">
        <v>0.5</v>
      </c>
      <c r="D4529" s="2005">
        <v>8.4700000000000006</v>
      </c>
      <c r="E4529" s="2002">
        <v>1.3919999999999999</v>
      </c>
      <c r="F4529" s="1987">
        <v>1656.48</v>
      </c>
      <c r="G4529" s="1993"/>
      <c r="H4529" s="1989">
        <v>43.54</v>
      </c>
      <c r="I4529" s="1994">
        <v>605</v>
      </c>
      <c r="J4529" s="1994">
        <v>1.395</v>
      </c>
      <c r="K4529" s="1994">
        <v>8.3000000000000007</v>
      </c>
      <c r="L4529" s="1994">
        <v>931</v>
      </c>
      <c r="M4529" s="1994">
        <v>5.29</v>
      </c>
      <c r="N4529" s="1994">
        <v>2.92</v>
      </c>
      <c r="O4529" s="1988">
        <v>4.75</v>
      </c>
      <c r="P4529" s="1994">
        <v>1.97</v>
      </c>
      <c r="Q4529" s="1995"/>
      <c r="R4529" s="1996">
        <v>1.6886570000000001</v>
      </c>
      <c r="S4529" s="1991">
        <v>13.3</v>
      </c>
      <c r="T4529" s="1997"/>
      <c r="U4529" s="1998"/>
      <c r="V4529" s="1999"/>
      <c r="W4529" s="1999"/>
      <c r="X4529" s="1999"/>
      <c r="Y4529" s="1991">
        <v>28.2</v>
      </c>
      <c r="Z4529" s="1999"/>
      <c r="AA4529" s="1988">
        <v>4.79</v>
      </c>
      <c r="AB4529" s="1988">
        <v>0.48899999999999999</v>
      </c>
      <c r="AC4529" s="1988">
        <v>11.8</v>
      </c>
      <c r="AD4529" s="2004">
        <v>470</v>
      </c>
      <c r="AE4529" s="2006">
        <v>290</v>
      </c>
      <c r="AF4529" s="1988">
        <v>240</v>
      </c>
      <c r="AG4529" s="66">
        <f t="shared" si="167"/>
        <v>104.19148936170214</v>
      </c>
      <c r="AI4529" s="2003">
        <f t="shared" si="165"/>
        <v>290</v>
      </c>
    </row>
    <row r="4530" spans="1:35" s="2007" customFormat="1" x14ac:dyDescent="0.3">
      <c r="A4530" s="1988">
        <v>103156</v>
      </c>
      <c r="B4530" s="2004">
        <v>10.8</v>
      </c>
      <c r="C4530" s="2004">
        <v>8.6</v>
      </c>
      <c r="D4530" s="2005">
        <v>8.64</v>
      </c>
      <c r="E4530" s="2002">
        <v>0.37</v>
      </c>
      <c r="F4530" s="1987">
        <v>425.49999999999994</v>
      </c>
      <c r="G4530" s="1993"/>
      <c r="H4530" s="1989">
        <v>6.39</v>
      </c>
      <c r="I4530" s="1994">
        <v>582</v>
      </c>
      <c r="J4530" s="1994">
        <v>0.32500000000000001</v>
      </c>
      <c r="K4530" s="1994">
        <v>8.48</v>
      </c>
      <c r="L4530" s="1994">
        <v>669</v>
      </c>
      <c r="M4530" s="1994">
        <v>0.25</v>
      </c>
      <c r="N4530" s="1994">
        <v>0.67</v>
      </c>
      <c r="O4530" s="1988">
        <v>2.86</v>
      </c>
      <c r="P4530" s="1994">
        <v>1.21</v>
      </c>
      <c r="Q4530" s="1995"/>
      <c r="R4530" s="1996">
        <v>1.5744170000000002</v>
      </c>
      <c r="S4530" s="1991">
        <v>10.3</v>
      </c>
      <c r="T4530" s="1997"/>
      <c r="U4530" s="1998"/>
      <c r="V4530" s="1999"/>
      <c r="W4530" s="1999"/>
      <c r="X4530" s="1999"/>
      <c r="Y4530" s="1991">
        <v>24.5</v>
      </c>
      <c r="Z4530" s="1999"/>
      <c r="AA4530" s="1988">
        <v>4.32</v>
      </c>
      <c r="AB4530" s="1988">
        <v>0.77700000000000002</v>
      </c>
      <c r="AC4530" s="1988">
        <v>11.6</v>
      </c>
      <c r="AD4530" s="2004">
        <v>490</v>
      </c>
      <c r="AE4530" s="2006">
        <v>330</v>
      </c>
      <c r="AF4530" s="1988">
        <v>180</v>
      </c>
      <c r="AG4530" s="66">
        <f t="shared" si="167"/>
        <v>122.52734693877551</v>
      </c>
      <c r="AI4530" s="2003">
        <f t="shared" ref="AI4530:AI4593" si="168">1000-AD4530-AF4530</f>
        <v>330</v>
      </c>
    </row>
    <row r="4531" spans="1:35" s="2003" customFormat="1" x14ac:dyDescent="0.3">
      <c r="A4531" s="1988">
        <v>103157</v>
      </c>
      <c r="B4531" s="2000">
        <v>17.7</v>
      </c>
      <c r="C4531" s="2000">
        <v>6.3</v>
      </c>
      <c r="D4531" s="2001">
        <v>8.5</v>
      </c>
      <c r="E4531" s="2002">
        <v>0.61</v>
      </c>
      <c r="F4531" s="1987">
        <v>701.5</v>
      </c>
      <c r="G4531" s="1988"/>
      <c r="H4531" s="1989">
        <v>11.72</v>
      </c>
      <c r="I4531" s="1989">
        <v>295</v>
      </c>
      <c r="J4531" s="1990">
        <v>0.51400000000000001</v>
      </c>
      <c r="K4531" s="1991">
        <v>8.1199999999999992</v>
      </c>
      <c r="L4531" s="1988">
        <v>1826</v>
      </c>
      <c r="M4531" s="1988">
        <v>0.55000000000000004</v>
      </c>
      <c r="N4531" s="1988">
        <v>1.54</v>
      </c>
      <c r="O4531" s="1988">
        <v>5.42</v>
      </c>
      <c r="P4531" s="1988">
        <v>16.04</v>
      </c>
      <c r="Q4531" s="1988"/>
      <c r="R4531" s="1992">
        <v>1.6958250000000001</v>
      </c>
      <c r="S4531" s="1991">
        <v>13.5</v>
      </c>
      <c r="T4531" s="1988"/>
      <c r="U4531" s="1988"/>
      <c r="V4531" s="1988"/>
      <c r="W4531" s="1988"/>
      <c r="X4531" s="1988"/>
      <c r="Y4531" s="1991">
        <v>28.2</v>
      </c>
      <c r="Z4531" s="1988"/>
      <c r="AA4531" s="1988">
        <v>4.21</v>
      </c>
      <c r="AB4531" s="1988">
        <v>0.41899999999999998</v>
      </c>
      <c r="AC4531" s="1988">
        <v>8.3000000000000007</v>
      </c>
      <c r="AD4531" s="1988">
        <v>470</v>
      </c>
      <c r="AE4531" s="1988">
        <v>340</v>
      </c>
      <c r="AF4531" s="1988">
        <v>190</v>
      </c>
      <c r="AG4531" s="66">
        <f t="shared" si="167"/>
        <v>101.93191489361701</v>
      </c>
      <c r="AI4531" s="2003">
        <f t="shared" si="168"/>
        <v>340</v>
      </c>
    </row>
    <row r="4532" spans="1:35" s="2003" customFormat="1" x14ac:dyDescent="0.3">
      <c r="A4532" s="1988">
        <v>103158</v>
      </c>
      <c r="B4532" s="2000">
        <v>8.1999999999999993</v>
      </c>
      <c r="D4532" s="2001">
        <v>8.5299999999999994</v>
      </c>
      <c r="E4532" s="2002">
        <v>0.17100000000000001</v>
      </c>
      <c r="F4532" s="1987">
        <v>203.48999999999998</v>
      </c>
      <c r="G4532" s="1988"/>
      <c r="H4532" s="1989">
        <v>48.04</v>
      </c>
      <c r="I4532" s="1989">
        <v>276</v>
      </c>
      <c r="J4532" s="1990">
        <v>6.7000000000000004E-2</v>
      </c>
      <c r="K4532" s="1991">
        <v>8.43</v>
      </c>
      <c r="L4532" s="1988">
        <v>872</v>
      </c>
      <c r="M4532" s="1988">
        <v>0.33</v>
      </c>
      <c r="N4532" s="1988">
        <v>1.67</v>
      </c>
      <c r="O4532" s="1988">
        <v>5.9</v>
      </c>
      <c r="P4532" s="1988">
        <v>2.4</v>
      </c>
      <c r="Q4532" s="1988"/>
      <c r="R4532" s="1992">
        <v>1.6177680000000001</v>
      </c>
      <c r="S4532" s="1991">
        <v>11.399999999999999</v>
      </c>
      <c r="T4532" s="1988"/>
      <c r="U4532" s="1988"/>
      <c r="V4532" s="1988"/>
      <c r="W4532" s="1988"/>
      <c r="X4532" s="1988"/>
      <c r="Y4532" s="1991">
        <v>26.4</v>
      </c>
      <c r="Z4532" s="1988"/>
      <c r="AA4532" s="1988">
        <v>4.95</v>
      </c>
      <c r="AB4532" s="1988">
        <v>0.76200000000000001</v>
      </c>
      <c r="AC4532" s="1988">
        <v>6.4</v>
      </c>
      <c r="AD4532" s="1988">
        <v>440</v>
      </c>
      <c r="AE4532" s="1988">
        <v>290</v>
      </c>
      <c r="AF4532" s="1988">
        <v>270</v>
      </c>
      <c r="AG4532" s="66">
        <f t="shared" si="167"/>
        <v>113.03863636363636</v>
      </c>
      <c r="AI4532" s="2003">
        <f t="shared" si="168"/>
        <v>290</v>
      </c>
    </row>
    <row r="4533" spans="1:35" s="2003" customFormat="1" x14ac:dyDescent="0.3">
      <c r="A4533" s="1988">
        <v>103159</v>
      </c>
      <c r="B4533" s="2000">
        <v>26.2</v>
      </c>
      <c r="C4533" s="2000">
        <v>10.1</v>
      </c>
      <c r="D4533" s="2001">
        <v>8.66</v>
      </c>
      <c r="E4533" s="2002">
        <v>0.47699999999999998</v>
      </c>
      <c r="F4533" s="1987">
        <v>548.54999999999995</v>
      </c>
      <c r="G4533" s="1988"/>
      <c r="H4533" s="1989">
        <v>54.48</v>
      </c>
      <c r="I4533" s="1989">
        <v>432</v>
      </c>
      <c r="J4533" s="1990">
        <v>0.35599999999999998</v>
      </c>
      <c r="K4533" s="1991">
        <v>8.01</v>
      </c>
      <c r="L4533" s="1988">
        <v>2061</v>
      </c>
      <c r="M4533" s="1988">
        <v>0.82</v>
      </c>
      <c r="N4533" s="1988">
        <v>2.27</v>
      </c>
      <c r="O4533" s="1988">
        <v>7.02</v>
      </c>
      <c r="P4533" s="1988">
        <v>4.47</v>
      </c>
      <c r="Q4533" s="1988"/>
      <c r="R4533" s="1992">
        <v>2.0917520000000001</v>
      </c>
      <c r="S4533" s="1991">
        <v>29.8</v>
      </c>
      <c r="T4533" s="1988"/>
      <c r="U4533" s="1988"/>
      <c r="V4533" s="1988"/>
      <c r="W4533" s="1988"/>
      <c r="X4533" s="1988"/>
      <c r="Y4533" s="1991">
        <v>32.4</v>
      </c>
      <c r="Z4533" s="1988"/>
      <c r="AA4533" s="1988">
        <v>4.82</v>
      </c>
      <c r="AB4533" s="1988">
        <v>0.374</v>
      </c>
      <c r="AC4533" s="1988">
        <v>10.9</v>
      </c>
      <c r="AD4533" s="1988">
        <v>520</v>
      </c>
      <c r="AE4533" s="1988">
        <v>300</v>
      </c>
      <c r="AF4533" s="1988">
        <v>180</v>
      </c>
      <c r="AG4533" s="66">
        <f t="shared" si="167"/>
        <v>87.516666666666666</v>
      </c>
      <c r="AI4533" s="2003">
        <f t="shared" si="168"/>
        <v>300</v>
      </c>
    </row>
    <row r="4534" spans="1:35" s="2003" customFormat="1" x14ac:dyDescent="0.3">
      <c r="A4534" s="1988">
        <v>103160</v>
      </c>
      <c r="B4534" s="2000">
        <v>21.1</v>
      </c>
      <c r="C4534" s="2000">
        <v>9.9</v>
      </c>
      <c r="D4534" s="2001">
        <v>8.4700000000000006</v>
      </c>
      <c r="E4534" s="2002">
        <v>0.192</v>
      </c>
      <c r="F4534" s="1987">
        <v>218.88</v>
      </c>
      <c r="G4534" s="1988"/>
      <c r="H4534" s="1989">
        <v>169.96</v>
      </c>
      <c r="I4534" s="1989">
        <v>354</v>
      </c>
      <c r="J4534" s="1990">
        <v>3.2000000000000001E-2</v>
      </c>
      <c r="K4534" s="1991">
        <v>8.06</v>
      </c>
      <c r="L4534" s="1988">
        <v>1450</v>
      </c>
      <c r="M4534" s="1988">
        <v>2.98</v>
      </c>
      <c r="N4534" s="1988">
        <v>3.99</v>
      </c>
      <c r="O4534" s="1988">
        <v>3.47</v>
      </c>
      <c r="P4534" s="1988">
        <v>8.75</v>
      </c>
      <c r="Q4534" s="1988"/>
      <c r="R4534" s="1992">
        <v>2.003825</v>
      </c>
      <c r="S4534" s="1991">
        <v>24.5</v>
      </c>
      <c r="T4534" s="1988"/>
      <c r="U4534" s="1988"/>
      <c r="V4534" s="1988"/>
      <c r="W4534" s="1988"/>
      <c r="X4534" s="1988"/>
      <c r="Y4534" s="1991">
        <v>30.6</v>
      </c>
      <c r="Z4534" s="1988"/>
      <c r="AA4534" s="1988">
        <v>4.6100000000000003</v>
      </c>
      <c r="AB4534" s="1988">
        <v>0.32</v>
      </c>
      <c r="AC4534" s="1988">
        <v>9</v>
      </c>
      <c r="AD4534" s="1988">
        <v>510</v>
      </c>
      <c r="AE4534" s="1988">
        <v>320</v>
      </c>
      <c r="AF4534" s="1988">
        <v>170</v>
      </c>
      <c r="AG4534" s="66">
        <f t="shared" si="167"/>
        <v>93.243137254901967</v>
      </c>
      <c r="AI4534" s="2003">
        <f t="shared" si="168"/>
        <v>320</v>
      </c>
    </row>
    <row r="4535" spans="1:35" s="898" customFormat="1" x14ac:dyDescent="0.3">
      <c r="A4535" s="901">
        <v>103161</v>
      </c>
      <c r="B4535" s="899">
        <v>0.2</v>
      </c>
      <c r="C4535" s="899"/>
      <c r="D4535" s="884">
        <v>8.7899999999999991</v>
      </c>
      <c r="E4535" s="1576">
        <v>0.104</v>
      </c>
      <c r="F4535" s="2010">
        <v>120.63999999999999</v>
      </c>
      <c r="H4535" s="1717">
        <v>3.11</v>
      </c>
      <c r="I4535" s="1717">
        <v>124</v>
      </c>
      <c r="J4535" s="1718">
        <v>8.1000000000000003E-2</v>
      </c>
      <c r="K4535" s="899">
        <v>1.88</v>
      </c>
      <c r="L4535" s="898">
        <v>932</v>
      </c>
      <c r="M4535" s="898">
        <v>0.12</v>
      </c>
      <c r="N4535" s="898">
        <v>0.72</v>
      </c>
      <c r="O4535" s="898">
        <v>3.12</v>
      </c>
      <c r="P4535" s="898">
        <v>2.87</v>
      </c>
      <c r="R4535" s="884">
        <v>1.1841532385265556</v>
      </c>
      <c r="S4535" s="899">
        <v>8.3000000000000007</v>
      </c>
      <c r="Y4535" s="2009">
        <v>10</v>
      </c>
      <c r="AA4535" s="884">
        <v>4.25</v>
      </c>
      <c r="AB4535" s="884">
        <v>0.88800000000000001</v>
      </c>
      <c r="AC4535" s="898">
        <v>10.8</v>
      </c>
      <c r="AD4535" s="901">
        <v>220</v>
      </c>
      <c r="AE4535" s="901">
        <v>160</v>
      </c>
      <c r="AF4535" s="901">
        <v>620</v>
      </c>
      <c r="AG4535" s="66">
        <f t="shared" si="167"/>
        <v>66.551999999999992</v>
      </c>
      <c r="AI4535" s="898">
        <f t="shared" si="168"/>
        <v>160</v>
      </c>
    </row>
    <row r="4536" spans="1:35" s="898" customFormat="1" x14ac:dyDescent="0.3">
      <c r="A4536" s="901">
        <v>103162</v>
      </c>
      <c r="B4536" s="899">
        <v>1.8</v>
      </c>
      <c r="C4536" s="899"/>
      <c r="D4536" s="884">
        <v>8.7200000000000006</v>
      </c>
      <c r="E4536" s="1576">
        <v>0.20100000000000001</v>
      </c>
      <c r="F4536" s="2010">
        <v>237.17999999999998</v>
      </c>
      <c r="H4536" s="1717">
        <v>4.71</v>
      </c>
      <c r="I4536" s="1717">
        <v>278</v>
      </c>
      <c r="J4536" s="1718">
        <v>0.30199999999999999</v>
      </c>
      <c r="K4536" s="899">
        <v>7.78</v>
      </c>
      <c r="L4536" s="898">
        <v>1328</v>
      </c>
      <c r="M4536" s="898">
        <v>0.57999999999999996</v>
      </c>
      <c r="N4536" s="898">
        <v>2.2400000000000002</v>
      </c>
      <c r="O4536" s="898">
        <v>6.76</v>
      </c>
      <c r="P4536" s="898">
        <v>8.0500000000000007</v>
      </c>
      <c r="R4536" s="884">
        <v>1.6594250000000001</v>
      </c>
      <c r="S4536" s="899">
        <v>12.5</v>
      </c>
      <c r="Y4536" s="2009">
        <v>35.700000000000003</v>
      </c>
      <c r="AA4536" s="884">
        <v>3.51</v>
      </c>
      <c r="AB4536" s="884">
        <v>0.81399999999999995</v>
      </c>
      <c r="AC4536" s="898">
        <v>10.199999999999999</v>
      </c>
      <c r="AD4536" s="901">
        <v>510</v>
      </c>
      <c r="AE4536" s="901">
        <v>350</v>
      </c>
      <c r="AF4536" s="901">
        <v>140</v>
      </c>
      <c r="AG4536" s="66">
        <f t="shared" si="167"/>
        <v>77.146218487394947</v>
      </c>
      <c r="AI4536" s="898">
        <f t="shared" si="168"/>
        <v>350</v>
      </c>
    </row>
    <row r="4537" spans="1:35" s="2013" customFormat="1" x14ac:dyDescent="0.3">
      <c r="A4537" s="2013">
        <v>103163</v>
      </c>
      <c r="B4537" s="2014">
        <v>10.9</v>
      </c>
      <c r="C4537" s="2014">
        <v>3.9</v>
      </c>
      <c r="D4537" s="2016">
        <v>8.6300000000000008</v>
      </c>
      <c r="E4537" s="2017">
        <v>0.14799999999999999</v>
      </c>
      <c r="F4537" s="2016">
        <v>173.16</v>
      </c>
      <c r="H4537" s="2015">
        <v>4.88</v>
      </c>
      <c r="I4537" s="2015">
        <v>317</v>
      </c>
      <c r="J4537" s="2018">
        <v>7.4999999999999997E-2</v>
      </c>
      <c r="K4537" s="2014">
        <v>13.72</v>
      </c>
      <c r="L4537" s="2013">
        <v>1158</v>
      </c>
      <c r="M4537" s="2013">
        <v>0.54</v>
      </c>
      <c r="N4537" s="2013">
        <v>1.05</v>
      </c>
      <c r="O4537" s="2013">
        <v>4.5</v>
      </c>
      <c r="P4537" s="2013">
        <v>16.010000000000002</v>
      </c>
      <c r="R4537" s="2016">
        <v>1.5784280000000002</v>
      </c>
      <c r="S4537" s="2014">
        <v>10.4</v>
      </c>
      <c r="Y4537" s="2014">
        <v>30</v>
      </c>
      <c r="AA4537" s="2016">
        <v>4.75</v>
      </c>
      <c r="AB4537" s="2016">
        <v>0.86599999999999999</v>
      </c>
      <c r="AC4537" s="2013">
        <v>7.2</v>
      </c>
      <c r="AD4537" s="2013">
        <v>540</v>
      </c>
      <c r="AE4537" s="2013">
        <v>340</v>
      </c>
      <c r="AF4537" s="2013">
        <v>120</v>
      </c>
      <c r="AG4537" s="66">
        <f t="shared" si="167"/>
        <v>161.89600000000002</v>
      </c>
      <c r="AI4537" s="2013">
        <f t="shared" si="168"/>
        <v>340</v>
      </c>
    </row>
    <row r="4538" spans="1:35" s="2013" customFormat="1" x14ac:dyDescent="0.3">
      <c r="A4538" s="2013">
        <v>103164</v>
      </c>
      <c r="B4538" s="2014">
        <v>0.1</v>
      </c>
      <c r="C4538" s="2014"/>
      <c r="D4538" s="2016">
        <v>7.97</v>
      </c>
      <c r="E4538" s="2017">
        <v>0.222</v>
      </c>
      <c r="F4538" s="2016">
        <v>261.95999999999998</v>
      </c>
      <c r="H4538" s="2015">
        <v>131.57</v>
      </c>
      <c r="I4538" s="2015">
        <v>98</v>
      </c>
      <c r="J4538" s="2018">
        <v>0.127</v>
      </c>
      <c r="K4538" s="2014">
        <v>0.72</v>
      </c>
      <c r="L4538" s="2013">
        <v>285</v>
      </c>
      <c r="M4538" s="2013">
        <v>1.44</v>
      </c>
      <c r="N4538" s="2013">
        <v>0.82</v>
      </c>
      <c r="O4538" s="2013">
        <v>3.28</v>
      </c>
      <c r="P4538" s="2013">
        <v>2.35</v>
      </c>
      <c r="R4538" s="2016">
        <v>0.39698652738892121</v>
      </c>
      <c r="S4538" s="2014">
        <v>2.8000000000000003</v>
      </c>
      <c r="Y4538" s="2014">
        <v>4</v>
      </c>
      <c r="AA4538" s="2016">
        <v>4.1399999999999997</v>
      </c>
      <c r="AB4538" s="2016">
        <v>0.53</v>
      </c>
      <c r="AC4538" s="2013">
        <v>10.8</v>
      </c>
      <c r="AD4538" s="2013">
        <v>80</v>
      </c>
      <c r="AE4538" s="2013">
        <v>140</v>
      </c>
      <c r="AF4538" s="2013">
        <v>780</v>
      </c>
      <c r="AG4538" s="66">
        <f t="shared" si="167"/>
        <v>63.72</v>
      </c>
      <c r="AI4538" s="2013">
        <f t="shared" si="168"/>
        <v>140</v>
      </c>
    </row>
    <row r="4539" spans="1:35" s="2013" customFormat="1" x14ac:dyDescent="0.3">
      <c r="A4539" s="2013">
        <v>103165</v>
      </c>
      <c r="B4539" s="2014">
        <v>0.1</v>
      </c>
      <c r="C4539" s="2014"/>
      <c r="D4539" s="2016">
        <v>7.37</v>
      </c>
      <c r="E4539" s="2017">
        <v>0.26900000000000002</v>
      </c>
      <c r="F4539" s="2016">
        <v>303.96999999999997</v>
      </c>
      <c r="H4539" s="2015">
        <v>97.34</v>
      </c>
      <c r="I4539" s="2015">
        <v>134</v>
      </c>
      <c r="J4539" s="2018">
        <v>0.22500000000000001</v>
      </c>
      <c r="K4539" s="2014">
        <v>1.22</v>
      </c>
      <c r="L4539" s="2013">
        <v>660</v>
      </c>
      <c r="M4539" s="2013">
        <v>1.1499999999999999</v>
      </c>
      <c r="N4539" s="2013">
        <v>0.48</v>
      </c>
      <c r="O4539" s="2013">
        <v>3.73</v>
      </c>
      <c r="P4539" s="2013">
        <v>9.34</v>
      </c>
      <c r="R4539" s="2016">
        <v>0.48144504307544145</v>
      </c>
      <c r="S4539" s="2014">
        <v>3.3000000000000003</v>
      </c>
      <c r="Y4539" s="2014">
        <v>10</v>
      </c>
      <c r="AA4539" s="2016">
        <v>4.7699999999999996</v>
      </c>
      <c r="AB4539" s="2016">
        <v>0.629</v>
      </c>
      <c r="AC4539" s="2013">
        <v>8.8000000000000007</v>
      </c>
      <c r="AD4539" s="2013">
        <v>220</v>
      </c>
      <c r="AE4539" s="2013">
        <v>70</v>
      </c>
      <c r="AF4539" s="2013">
        <v>710</v>
      </c>
      <c r="AG4539" s="66">
        <f t="shared" si="167"/>
        <v>43.187999999999995</v>
      </c>
      <c r="AI4539" s="2013">
        <f t="shared" si="168"/>
        <v>70</v>
      </c>
    </row>
    <row r="4540" spans="1:35" s="2013" customFormat="1" x14ac:dyDescent="0.3">
      <c r="A4540" s="2013">
        <v>103166</v>
      </c>
      <c r="B4540" s="2014">
        <v>0.5</v>
      </c>
      <c r="C4540" s="2014"/>
      <c r="D4540" s="2016">
        <v>8.33</v>
      </c>
      <c r="E4540" s="2017">
        <v>0.875</v>
      </c>
      <c r="F4540" s="2016">
        <v>1006.2499999999999</v>
      </c>
      <c r="H4540" s="2015">
        <v>200.48</v>
      </c>
      <c r="I4540" s="2015">
        <v>195</v>
      </c>
      <c r="J4540" s="2018">
        <v>0.76800000000000002</v>
      </c>
      <c r="K4540" s="2014">
        <v>5.01</v>
      </c>
      <c r="L4540" s="2013">
        <v>1857</v>
      </c>
      <c r="M4540" s="2013">
        <v>0.62</v>
      </c>
      <c r="N4540" s="2013">
        <v>0.92</v>
      </c>
      <c r="O4540" s="2013">
        <v>7.43</v>
      </c>
      <c r="P4540" s="2013">
        <v>7.7</v>
      </c>
      <c r="R4540" s="2016">
        <v>1.35824782776459</v>
      </c>
      <c r="S4540" s="2014">
        <v>10.1</v>
      </c>
      <c r="Y4540" s="2014">
        <v>21</v>
      </c>
      <c r="AA4540" s="2016">
        <v>4.5599999999999996</v>
      </c>
      <c r="AB4540" s="2016">
        <v>0.379</v>
      </c>
      <c r="AC4540" s="2013">
        <v>7.5</v>
      </c>
      <c r="AD4540" s="2013">
        <v>510</v>
      </c>
      <c r="AE4540" s="2013">
        <v>310</v>
      </c>
      <c r="AF4540" s="2013">
        <v>180</v>
      </c>
      <c r="AG4540" s="66">
        <f t="shared" si="167"/>
        <v>84.454285714285717</v>
      </c>
      <c r="AI4540" s="2013">
        <f t="shared" si="168"/>
        <v>310</v>
      </c>
    </row>
    <row r="4541" spans="1:35" s="2003" customFormat="1" x14ac:dyDescent="0.3">
      <c r="A4541" s="1988">
        <v>103167</v>
      </c>
      <c r="B4541" s="2000">
        <v>19.8</v>
      </c>
      <c r="C4541" s="2000">
        <v>0.1</v>
      </c>
      <c r="D4541" s="2001">
        <v>9.7100000000000009</v>
      </c>
      <c r="E4541" s="2029">
        <v>9.8000000000000004E-2</v>
      </c>
      <c r="F4541" s="1989">
        <v>105.3</v>
      </c>
      <c r="H4541" s="2030">
        <v>2.94</v>
      </c>
      <c r="I4541" s="2030">
        <v>77</v>
      </c>
      <c r="J4541" s="2029">
        <v>8.6999999999999994E-2</v>
      </c>
      <c r="K4541" s="2000">
        <v>4.16</v>
      </c>
      <c r="L4541" s="2003">
        <v>122</v>
      </c>
      <c r="M4541" s="2003">
        <v>0.09</v>
      </c>
      <c r="N4541" s="2003">
        <v>0.04</v>
      </c>
      <c r="O4541" s="2003">
        <v>0.08</v>
      </c>
      <c r="P4541" s="2003">
        <v>1.29</v>
      </c>
      <c r="R4541" s="2001">
        <v>8.1953706438960064E-2</v>
      </c>
      <c r="S4541" s="2000">
        <v>0.6</v>
      </c>
      <c r="Y4541" s="699">
        <v>4</v>
      </c>
      <c r="AA4541" s="2001">
        <v>4.6900000000000004</v>
      </c>
      <c r="AB4541" s="2001">
        <v>0.72099999999999997</v>
      </c>
      <c r="AC4541" s="2003">
        <v>6.2</v>
      </c>
      <c r="AD4541" s="1988">
        <v>80</v>
      </c>
      <c r="AE4541" s="1988">
        <v>60</v>
      </c>
      <c r="AF4541" s="1988">
        <v>860</v>
      </c>
      <c r="AG4541" s="66">
        <f t="shared" si="167"/>
        <v>368.16</v>
      </c>
      <c r="AI4541" s="2003">
        <f t="shared" si="168"/>
        <v>60</v>
      </c>
    </row>
    <row r="4542" spans="1:35" s="2003" customFormat="1" x14ac:dyDescent="0.3">
      <c r="A4542" s="1988">
        <v>103168</v>
      </c>
      <c r="B4542" s="2000">
        <v>23.2</v>
      </c>
      <c r="C4542" s="2000">
        <v>3.1</v>
      </c>
      <c r="D4542" s="2001">
        <v>8.58</v>
      </c>
      <c r="E4542" s="2002">
        <v>2.5219999999999998</v>
      </c>
      <c r="F4542" s="1650">
        <v>2900</v>
      </c>
      <c r="H4542" s="2030">
        <v>2.13</v>
      </c>
      <c r="I4542" s="2030">
        <v>526</v>
      </c>
      <c r="J4542" s="2029">
        <v>1.2549999999999999</v>
      </c>
      <c r="K4542" s="2000">
        <v>8.6999999999999993</v>
      </c>
      <c r="L4542" s="2003">
        <v>1480</v>
      </c>
      <c r="M4542" s="2003">
        <v>0.06</v>
      </c>
      <c r="N4542" s="2003">
        <v>0.28999999999999998</v>
      </c>
      <c r="O4542" s="2003">
        <v>1</v>
      </c>
      <c r="P4542" s="2003">
        <v>1.33</v>
      </c>
      <c r="R4542" s="2001">
        <v>0.69460792860060416</v>
      </c>
      <c r="S4542" s="2000">
        <v>5.2</v>
      </c>
      <c r="Y4542" s="699">
        <v>26.4</v>
      </c>
      <c r="AA4542" s="2001">
        <v>4.58</v>
      </c>
      <c r="AB4542" s="2001">
        <v>0.54200000000000004</v>
      </c>
      <c r="AC4542" s="2003">
        <v>7.6</v>
      </c>
      <c r="AD4542" s="1988">
        <v>440</v>
      </c>
      <c r="AE4542" s="1988">
        <v>310</v>
      </c>
      <c r="AF4542" s="1988">
        <v>250</v>
      </c>
      <c r="AG4542" s="66">
        <f t="shared" si="167"/>
        <v>116.65909090909091</v>
      </c>
      <c r="AI4542" s="2003">
        <f t="shared" si="168"/>
        <v>310</v>
      </c>
    </row>
    <row r="4543" spans="1:35" s="2003" customFormat="1" x14ac:dyDescent="0.3">
      <c r="A4543" s="1988">
        <v>103169</v>
      </c>
      <c r="B4543" s="2000">
        <v>0.4</v>
      </c>
      <c r="C4543" s="2000"/>
      <c r="D4543" s="2001">
        <v>8.06</v>
      </c>
      <c r="E4543" s="2002">
        <v>0.156</v>
      </c>
      <c r="F4543" s="1650">
        <v>181</v>
      </c>
      <c r="H4543" s="2030">
        <v>212.49</v>
      </c>
      <c r="I4543" s="2030">
        <v>191</v>
      </c>
      <c r="J4543" s="2029">
        <v>4.2000000000000003E-2</v>
      </c>
      <c r="K4543" s="2000">
        <v>2.48</v>
      </c>
      <c r="L4543" s="2003">
        <v>368</v>
      </c>
      <c r="M4543" s="2003">
        <v>3.73</v>
      </c>
      <c r="N4543" s="2003">
        <v>2.64</v>
      </c>
      <c r="O4543" s="2003">
        <v>3.49</v>
      </c>
      <c r="P4543" s="2003">
        <v>6.67</v>
      </c>
      <c r="R4543" s="2001">
        <v>0.88800218027199052</v>
      </c>
      <c r="S4543" s="2000">
        <v>6</v>
      </c>
      <c r="Y4543" s="699">
        <v>4</v>
      </c>
      <c r="AA4543" s="2001">
        <v>4.45</v>
      </c>
      <c r="AB4543" s="2001">
        <v>0.61099999999999999</v>
      </c>
      <c r="AC4543" s="2003">
        <v>10.3</v>
      </c>
      <c r="AD4543" s="1988">
        <v>80</v>
      </c>
      <c r="AE4543" s="1988">
        <v>60</v>
      </c>
      <c r="AF4543" s="1988">
        <v>860</v>
      </c>
      <c r="AG4543" s="66">
        <f t="shared" si="167"/>
        <v>219.48</v>
      </c>
      <c r="AI4543" s="2003">
        <f t="shared" si="168"/>
        <v>60</v>
      </c>
    </row>
    <row r="4544" spans="1:35" x14ac:dyDescent="0.3">
      <c r="A4544" s="140">
        <v>103170</v>
      </c>
      <c r="B4544" s="138">
        <v>1.8</v>
      </c>
      <c r="D4544" s="152">
        <v>8.56</v>
      </c>
      <c r="E4544" s="752">
        <v>0.16</v>
      </c>
      <c r="F4544" s="1972">
        <v>182.39999999999998</v>
      </c>
      <c r="H4544" s="142">
        <v>9</v>
      </c>
      <c r="I4544" s="142">
        <v>161</v>
      </c>
      <c r="J4544" s="141">
        <v>1.4999999999999999E-2</v>
      </c>
      <c r="K4544" s="138">
        <v>4.8899999999999997</v>
      </c>
      <c r="L4544" s="140">
        <v>181</v>
      </c>
      <c r="M4544" s="140">
        <v>0.09</v>
      </c>
      <c r="N4544" s="140">
        <v>0.23</v>
      </c>
      <c r="O4544" s="140">
        <v>1.87</v>
      </c>
      <c r="P4544" s="140">
        <v>0.25</v>
      </c>
      <c r="R4544" s="139">
        <v>1.6</v>
      </c>
      <c r="S4544" s="138">
        <v>11.1</v>
      </c>
      <c r="Y4544" s="699">
        <v>5</v>
      </c>
      <c r="AA4544" s="68">
        <v>3.92</v>
      </c>
      <c r="AB4544" s="68">
        <v>0.84499999999999997</v>
      </c>
      <c r="AC4544" s="69">
        <v>7.5</v>
      </c>
      <c r="AD4544" s="70">
        <v>100</v>
      </c>
      <c r="AE4544" s="70">
        <v>80</v>
      </c>
      <c r="AF4544" s="70">
        <v>820</v>
      </c>
      <c r="AG4544" s="66">
        <f t="shared" si="167"/>
        <v>346.21199999999993</v>
      </c>
      <c r="AI4544" s="140">
        <f t="shared" si="168"/>
        <v>80</v>
      </c>
    </row>
    <row r="4545" spans="1:35" s="711" customFormat="1" x14ac:dyDescent="0.3">
      <c r="A4545" s="711">
        <v>103171</v>
      </c>
      <c r="B4545" s="712"/>
      <c r="C4545" s="712"/>
      <c r="D4545" s="713"/>
      <c r="E4545" s="1566"/>
      <c r="F4545" s="724"/>
      <c r="H4545" s="714"/>
      <c r="I4545" s="714"/>
      <c r="J4545" s="1476"/>
      <c r="K4545" s="712"/>
      <c r="R4545" s="713"/>
      <c r="S4545" s="712"/>
      <c r="Y4545" s="722"/>
      <c r="AA4545" s="713"/>
      <c r="AB4545" s="713"/>
      <c r="AD4545" s="716"/>
      <c r="AE4545" s="716"/>
      <c r="AF4545" s="716"/>
      <c r="AG4545" s="66" t="e">
        <f t="shared" si="167"/>
        <v>#DIV/0!</v>
      </c>
      <c r="AI4545" s="1702"/>
    </row>
    <row r="4546" spans="1:35" s="711" customFormat="1" x14ac:dyDescent="0.3">
      <c r="A4546" s="711">
        <v>103172</v>
      </c>
      <c r="B4546" s="712"/>
      <c r="C4546" s="712"/>
      <c r="D4546" s="713"/>
      <c r="E4546" s="1566"/>
      <c r="F4546" s="724"/>
      <c r="H4546" s="714"/>
      <c r="I4546" s="714"/>
      <c r="J4546" s="1476"/>
      <c r="K4546" s="712"/>
      <c r="R4546" s="713"/>
      <c r="S4546" s="712"/>
      <c r="Y4546" s="722"/>
      <c r="AA4546" s="713"/>
      <c r="AB4546" s="713"/>
      <c r="AD4546" s="716"/>
      <c r="AE4546" s="716"/>
      <c r="AF4546" s="716"/>
      <c r="AG4546" s="66" t="e">
        <f t="shared" ref="AG4546:AG4607" si="169">+K4546*3.54*100/Y4546</f>
        <v>#DIV/0!</v>
      </c>
      <c r="AI4546" s="1702"/>
    </row>
    <row r="4547" spans="1:35" s="681" customFormat="1" ht="19.5" customHeight="1" x14ac:dyDescent="0.3">
      <c r="A4547" s="681">
        <v>103173</v>
      </c>
      <c r="B4547" s="679">
        <v>8.6999999999999993</v>
      </c>
      <c r="C4547" s="679"/>
      <c r="D4547" s="680">
        <v>8.5399999999999991</v>
      </c>
      <c r="E4547" s="1560">
        <v>1.23</v>
      </c>
      <c r="F4547" s="1972">
        <v>1100.2</v>
      </c>
      <c r="H4547" s="682">
        <v>56.78</v>
      </c>
      <c r="I4547" s="682">
        <v>533</v>
      </c>
      <c r="J4547" s="683">
        <v>0.39700000000000002</v>
      </c>
      <c r="K4547" s="679">
        <v>8.4</v>
      </c>
      <c r="L4547" s="681">
        <v>1945</v>
      </c>
      <c r="M4547" s="681">
        <v>1.26</v>
      </c>
      <c r="N4547" s="681">
        <v>1.87</v>
      </c>
      <c r="O4547" s="681">
        <v>7.32</v>
      </c>
      <c r="P4547" s="681">
        <v>3.66</v>
      </c>
      <c r="R4547" s="680">
        <v>1.5824250000000002</v>
      </c>
      <c r="S4547" s="679">
        <v>10.5</v>
      </c>
      <c r="Y4547" s="2043">
        <v>28.5</v>
      </c>
      <c r="AA4547" s="68">
        <v>3.65</v>
      </c>
      <c r="AB4547" s="68">
        <v>0.28199999999999997</v>
      </c>
      <c r="AC4547" s="69">
        <v>7.2</v>
      </c>
      <c r="AD4547" s="684">
        <v>520</v>
      </c>
      <c r="AE4547" s="684">
        <v>360</v>
      </c>
      <c r="AF4547" s="684">
        <v>120</v>
      </c>
      <c r="AG4547" s="66">
        <f t="shared" si="169"/>
        <v>104.33684210526316</v>
      </c>
      <c r="AH4547" s="143">
        <f>+SUM(AD4547:AF4547)</f>
        <v>1000</v>
      </c>
      <c r="AI4547" s="1702">
        <f t="shared" si="168"/>
        <v>360</v>
      </c>
    </row>
    <row r="4548" spans="1:35" s="681" customFormat="1" x14ac:dyDescent="0.3">
      <c r="A4548" s="681">
        <v>103174</v>
      </c>
      <c r="B4548" s="679">
        <v>8.9</v>
      </c>
      <c r="C4548" s="679"/>
      <c r="D4548" s="680">
        <v>8.75</v>
      </c>
      <c r="E4548" s="1560">
        <v>0.27100000000000002</v>
      </c>
      <c r="F4548" s="1972">
        <v>306.22999999999996</v>
      </c>
      <c r="H4548" s="682">
        <v>9.7100000000000009</v>
      </c>
      <c r="I4548" s="682">
        <v>361</v>
      </c>
      <c r="J4548" s="683">
        <v>0.73399999999999999</v>
      </c>
      <c r="K4548" s="679">
        <v>13.29</v>
      </c>
      <c r="L4548" s="681">
        <v>2021.9999999999998</v>
      </c>
      <c r="M4548" s="681">
        <v>0.13</v>
      </c>
      <c r="N4548" s="681">
        <v>1.54</v>
      </c>
      <c r="O4548" s="681">
        <v>4.88</v>
      </c>
      <c r="P4548" s="681">
        <v>14.77</v>
      </c>
      <c r="R4548" s="680">
        <v>1.6369130000000001</v>
      </c>
      <c r="S4548" s="679">
        <v>11.899999999999999</v>
      </c>
      <c r="Y4548" s="2043">
        <v>33.5</v>
      </c>
      <c r="AA4548" s="68">
        <v>4.0599999999999996</v>
      </c>
      <c r="AB4548" s="68">
        <v>0.434</v>
      </c>
      <c r="AC4548" s="69">
        <v>9</v>
      </c>
      <c r="AD4548" s="684">
        <v>580</v>
      </c>
      <c r="AE4548" s="684">
        <v>310</v>
      </c>
      <c r="AF4548" s="684">
        <v>110</v>
      </c>
      <c r="AG4548" s="66">
        <f t="shared" si="169"/>
        <v>140.4376119402985</v>
      </c>
      <c r="AH4548" s="143">
        <f t="shared" ref="AH4548:AH4549" si="170">+SUM(AD4548:AF4548)</f>
        <v>1000</v>
      </c>
      <c r="AI4548" s="1702">
        <f t="shared" si="168"/>
        <v>310</v>
      </c>
    </row>
    <row r="4549" spans="1:35" s="681" customFormat="1" x14ac:dyDescent="0.3">
      <c r="A4549" s="681">
        <v>103175</v>
      </c>
      <c r="B4549" s="679">
        <v>9.1999999999999993</v>
      </c>
      <c r="C4549" s="679"/>
      <c r="D4549" s="680">
        <v>8.73</v>
      </c>
      <c r="E4549" s="1560">
        <v>0.33400000000000002</v>
      </c>
      <c r="F4549" s="1972">
        <v>387.44</v>
      </c>
      <c r="H4549" s="682">
        <v>3.86</v>
      </c>
      <c r="I4549" s="682">
        <v>304</v>
      </c>
      <c r="J4549" s="683">
        <v>0.70299999999999996</v>
      </c>
      <c r="K4549" s="679">
        <v>12.47</v>
      </c>
      <c r="L4549" s="681">
        <v>2500</v>
      </c>
      <c r="M4549" s="681">
        <v>0.17</v>
      </c>
      <c r="N4549" s="681">
        <v>1.18</v>
      </c>
      <c r="O4549" s="681">
        <v>4.59</v>
      </c>
      <c r="P4549" s="681">
        <v>10.27</v>
      </c>
      <c r="R4549" s="680">
        <v>1.3432221958764439</v>
      </c>
      <c r="S4549" s="679">
        <v>9</v>
      </c>
      <c r="Y4549" s="2043">
        <v>33.200000000000003</v>
      </c>
      <c r="AA4549" s="68">
        <v>3.48</v>
      </c>
      <c r="AB4549" s="68">
        <v>0.25</v>
      </c>
      <c r="AC4549" s="69">
        <v>6.1</v>
      </c>
      <c r="AD4549" s="684">
        <v>575</v>
      </c>
      <c r="AE4549" s="684">
        <v>310</v>
      </c>
      <c r="AF4549" s="684">
        <v>115</v>
      </c>
      <c r="AG4549" s="66">
        <f t="shared" si="169"/>
        <v>132.9632530120482</v>
      </c>
      <c r="AH4549" s="143">
        <f t="shared" si="170"/>
        <v>1000</v>
      </c>
      <c r="AI4549" s="1702">
        <f t="shared" si="168"/>
        <v>310</v>
      </c>
    </row>
    <row r="4550" spans="1:35" s="1069" customFormat="1" x14ac:dyDescent="0.3">
      <c r="A4550" s="1069">
        <v>103176</v>
      </c>
      <c r="B4550" s="1070">
        <v>28.666666666666664</v>
      </c>
      <c r="C4550" s="1070">
        <v>11.875</v>
      </c>
      <c r="D4550" s="1071">
        <v>8.52</v>
      </c>
      <c r="E4550" s="1580">
        <v>0.13400000000000001</v>
      </c>
      <c r="F4550" s="1580">
        <v>159.45999999999998</v>
      </c>
      <c r="H4550" s="1072">
        <v>27.06</v>
      </c>
      <c r="I4550" s="1072">
        <v>260</v>
      </c>
      <c r="J4550" s="1073">
        <v>8.3000000000000004E-2</v>
      </c>
      <c r="K4550" s="1070">
        <v>8.2899999999999991</v>
      </c>
      <c r="L4550" s="1069">
        <v>1491</v>
      </c>
      <c r="M4550" s="1069">
        <v>0.11</v>
      </c>
      <c r="N4550" s="1069">
        <v>0.69</v>
      </c>
      <c r="O4550" s="1069">
        <v>0.56999999999999995</v>
      </c>
      <c r="P4550" s="1069">
        <v>2.5099999999999998</v>
      </c>
      <c r="R4550" s="1071">
        <v>0.96207124896877128</v>
      </c>
      <c r="S4550" s="1070">
        <v>6.8000000000000007</v>
      </c>
      <c r="Y4550" s="1895">
        <v>23</v>
      </c>
      <c r="AA4550" s="1069">
        <v>3.76</v>
      </c>
      <c r="AB4550" s="1071">
        <v>0.67900000000000005</v>
      </c>
      <c r="AC4550" s="1069">
        <v>8.9</v>
      </c>
      <c r="AD4550" s="1074">
        <v>460</v>
      </c>
      <c r="AE4550" s="1074">
        <v>280</v>
      </c>
      <c r="AF4550" s="1074">
        <v>260</v>
      </c>
      <c r="AG4550" s="66">
        <f t="shared" si="169"/>
        <v>127.59391304347825</v>
      </c>
      <c r="AH4550" s="143">
        <f t="shared" ref="AH4550:AH4588" si="171">+SUM(AD4550:AF4550)</f>
        <v>1000</v>
      </c>
      <c r="AI4550" s="1702">
        <f t="shared" si="168"/>
        <v>280</v>
      </c>
    </row>
    <row r="4551" spans="1:35" s="1069" customFormat="1" x14ac:dyDescent="0.3">
      <c r="A4551" s="1069">
        <v>103177</v>
      </c>
      <c r="B4551" s="1070">
        <v>41.666666666666664</v>
      </c>
      <c r="C4551" s="1070">
        <v>14.249999999999998</v>
      </c>
      <c r="D4551" s="1071">
        <v>8.58</v>
      </c>
      <c r="E4551" s="1580">
        <v>0.23400000000000001</v>
      </c>
      <c r="F4551" s="1580">
        <v>276.12</v>
      </c>
      <c r="H4551" s="1072">
        <v>100.55</v>
      </c>
      <c r="I4551" s="1072">
        <v>294</v>
      </c>
      <c r="J4551" s="1073">
        <v>0.105</v>
      </c>
      <c r="K4551" s="1070">
        <v>8.69</v>
      </c>
      <c r="L4551" s="1069">
        <v>1211</v>
      </c>
      <c r="M4551" s="1069">
        <v>1.0900000000000001</v>
      </c>
      <c r="N4551" s="1069">
        <v>5.28</v>
      </c>
      <c r="O4551" s="1069">
        <v>7.2</v>
      </c>
      <c r="P4551" s="1069">
        <v>7.23</v>
      </c>
      <c r="R4551" s="1071">
        <v>1.8423</v>
      </c>
      <c r="S4551" s="1070">
        <v>18</v>
      </c>
      <c r="Y4551" s="1895">
        <v>28.8</v>
      </c>
      <c r="AA4551" s="1069">
        <v>3.65</v>
      </c>
      <c r="AB4551" s="1071">
        <v>0.56799999999999995</v>
      </c>
      <c r="AC4551" s="1069">
        <v>8.9</v>
      </c>
      <c r="AD4551" s="1074">
        <v>480</v>
      </c>
      <c r="AE4551" s="1074">
        <v>300</v>
      </c>
      <c r="AF4551" s="1074">
        <v>220</v>
      </c>
      <c r="AG4551" s="66">
        <f t="shared" si="169"/>
        <v>106.81458333333332</v>
      </c>
      <c r="AH4551" s="143">
        <f t="shared" si="171"/>
        <v>1000</v>
      </c>
      <c r="AI4551" s="1702">
        <f t="shared" si="168"/>
        <v>300</v>
      </c>
    </row>
    <row r="4552" spans="1:35" s="1069" customFormat="1" x14ac:dyDescent="0.3">
      <c r="A4552" s="1069">
        <v>103178</v>
      </c>
      <c r="B4552" s="1070">
        <v>32.333333333333329</v>
      </c>
      <c r="C4552" s="1070">
        <v>13.875</v>
      </c>
      <c r="D4552" s="1071">
        <v>8.52</v>
      </c>
      <c r="E4552" s="1580">
        <v>0.32</v>
      </c>
      <c r="F4552" s="1580">
        <v>380.79999999999995</v>
      </c>
      <c r="H4552" s="1072">
        <v>20.11</v>
      </c>
      <c r="I4552" s="1072">
        <v>296</v>
      </c>
      <c r="J4552" s="1073">
        <v>0.18099999999999999</v>
      </c>
      <c r="K4552" s="1070">
        <v>8.41</v>
      </c>
      <c r="L4552" s="1069">
        <v>1381</v>
      </c>
      <c r="M4552" s="1069">
        <v>0.74</v>
      </c>
      <c r="N4552" s="1069">
        <v>3.6</v>
      </c>
      <c r="O4552" s="1069">
        <v>7.39</v>
      </c>
      <c r="P4552" s="1069">
        <v>6.89</v>
      </c>
      <c r="R4552" s="1071">
        <v>1.7135000000000002</v>
      </c>
      <c r="S4552" s="1070">
        <v>14</v>
      </c>
      <c r="Y4552" s="1895">
        <v>28.8</v>
      </c>
      <c r="AA4552" s="1069">
        <v>4.07</v>
      </c>
      <c r="AB4552" s="1071">
        <v>0.86499999999999999</v>
      </c>
      <c r="AC4552" s="1069">
        <v>9.3000000000000007</v>
      </c>
      <c r="AD4552" s="1074">
        <v>480</v>
      </c>
      <c r="AE4552" s="1074">
        <v>320</v>
      </c>
      <c r="AF4552" s="1074">
        <v>200</v>
      </c>
      <c r="AG4552" s="66">
        <f t="shared" si="169"/>
        <v>103.37291666666665</v>
      </c>
      <c r="AH4552" s="143">
        <f t="shared" si="171"/>
        <v>1000</v>
      </c>
      <c r="AI4552" s="1702">
        <f t="shared" si="168"/>
        <v>320</v>
      </c>
    </row>
    <row r="4553" spans="1:35" s="1069" customFormat="1" x14ac:dyDescent="0.3">
      <c r="A4553" s="1069">
        <v>103179</v>
      </c>
      <c r="B4553" s="1070">
        <v>32.499999999999993</v>
      </c>
      <c r="C4553" s="1070">
        <v>13.875</v>
      </c>
      <c r="D4553" s="1071">
        <v>8.4</v>
      </c>
      <c r="E4553" s="1580">
        <v>0.54300000000000004</v>
      </c>
      <c r="F4553" s="1580">
        <v>635.30999999999995</v>
      </c>
      <c r="H4553" s="1072">
        <v>162.58000000000001</v>
      </c>
      <c r="I4553" s="1072">
        <v>360</v>
      </c>
      <c r="J4553" s="1073">
        <v>0.316</v>
      </c>
      <c r="K4553" s="1070">
        <v>8.59</v>
      </c>
      <c r="L4553" s="1069">
        <v>1538</v>
      </c>
      <c r="M4553" s="1069">
        <v>1.55</v>
      </c>
      <c r="N4553" s="1069">
        <v>3.29</v>
      </c>
      <c r="O4553" s="1069">
        <v>6.97</v>
      </c>
      <c r="P4553" s="1069">
        <v>6.97</v>
      </c>
      <c r="R4553" s="1071">
        <v>1.9784570000000001</v>
      </c>
      <c r="S4553" s="1070">
        <v>23.3</v>
      </c>
      <c r="Y4553" s="1895">
        <v>26</v>
      </c>
      <c r="AA4553" s="1069">
        <v>4.1900000000000004</v>
      </c>
      <c r="AB4553" s="1071">
        <v>0.76400000000000001</v>
      </c>
      <c r="AC4553" s="1069">
        <v>10.3</v>
      </c>
      <c r="AD4553" s="1074">
        <v>520</v>
      </c>
      <c r="AE4553" s="1074">
        <v>300</v>
      </c>
      <c r="AF4553" s="1074">
        <v>180</v>
      </c>
      <c r="AG4553" s="66">
        <f t="shared" si="169"/>
        <v>116.95615384615385</v>
      </c>
      <c r="AH4553" s="143">
        <f t="shared" si="171"/>
        <v>1000</v>
      </c>
      <c r="AI4553" s="1702">
        <f t="shared" si="168"/>
        <v>300</v>
      </c>
    </row>
    <row r="4554" spans="1:35" s="1069" customFormat="1" x14ac:dyDescent="0.3">
      <c r="A4554" s="1069">
        <v>103180</v>
      </c>
      <c r="B4554" s="1070">
        <v>41.333333333333336</v>
      </c>
      <c r="C4554" s="1070">
        <v>13.875</v>
      </c>
      <c r="D4554" s="1071">
        <v>8.5399999999999991</v>
      </c>
      <c r="E4554" s="1580">
        <v>0.35299999999999998</v>
      </c>
      <c r="F4554" s="1580">
        <v>405.95</v>
      </c>
      <c r="H4554" s="1072">
        <v>13.11</v>
      </c>
      <c r="I4554" s="1072">
        <v>228</v>
      </c>
      <c r="J4554" s="1073">
        <v>0.254</v>
      </c>
      <c r="K4554" s="1070">
        <v>8.64</v>
      </c>
      <c r="L4554" s="1069">
        <v>1162</v>
      </c>
      <c r="M4554" s="1069">
        <v>0.36</v>
      </c>
      <c r="N4554" s="1069">
        <v>0.7</v>
      </c>
      <c r="O4554" s="1069">
        <v>4.63</v>
      </c>
      <c r="P4554" s="1069">
        <v>5.83</v>
      </c>
      <c r="R4554" s="1071">
        <v>1.6557080000000002</v>
      </c>
      <c r="S4554" s="1070">
        <v>12.4</v>
      </c>
      <c r="Y4554" s="1895">
        <v>33.200000000000003</v>
      </c>
      <c r="AA4554" s="1069">
        <v>4.41</v>
      </c>
      <c r="AB4554" s="1071">
        <v>0.26100000000000001</v>
      </c>
      <c r="AC4554" s="1069">
        <v>8</v>
      </c>
      <c r="AD4554" s="1074">
        <v>530</v>
      </c>
      <c r="AE4554" s="1074">
        <v>310</v>
      </c>
      <c r="AF4554" s="1074">
        <v>160</v>
      </c>
      <c r="AG4554" s="66">
        <f t="shared" si="169"/>
        <v>92.12530120481928</v>
      </c>
      <c r="AH4554" s="143">
        <f t="shared" si="171"/>
        <v>1000</v>
      </c>
      <c r="AI4554" s="1702">
        <f t="shared" si="168"/>
        <v>310</v>
      </c>
    </row>
    <row r="4555" spans="1:35" s="1069" customFormat="1" x14ac:dyDescent="0.3">
      <c r="A4555" s="1069">
        <v>103181</v>
      </c>
      <c r="B4555" s="1070">
        <v>0.54999999999999993</v>
      </c>
      <c r="C4555" s="1070"/>
      <c r="D4555" s="1071">
        <v>8.33</v>
      </c>
      <c r="E4555" s="1580">
        <v>0.82299999999999995</v>
      </c>
      <c r="F4555" s="1580">
        <v>954.68</v>
      </c>
      <c r="H4555" s="1072">
        <v>16.809999999999999</v>
      </c>
      <c r="I4555" s="1072">
        <v>238</v>
      </c>
      <c r="J4555" s="1073">
        <v>1.325</v>
      </c>
      <c r="K4555" s="1070">
        <v>4.53</v>
      </c>
      <c r="L4555" s="1069">
        <v>1207</v>
      </c>
      <c r="M4555" s="1069">
        <v>0.35</v>
      </c>
      <c r="N4555" s="1069">
        <v>0.62</v>
      </c>
      <c r="O4555" s="1069">
        <v>3.66</v>
      </c>
      <c r="P4555" s="1069">
        <v>6.86</v>
      </c>
      <c r="R4555" s="1071">
        <v>1.674153</v>
      </c>
      <c r="S4555" s="1070">
        <v>12.9</v>
      </c>
      <c r="Y4555" s="1895">
        <v>25.3</v>
      </c>
      <c r="AA4555" s="1069">
        <v>3.68</v>
      </c>
      <c r="AB4555" s="1071">
        <v>0.61699999999999999</v>
      </c>
      <c r="AC4555" s="1069">
        <v>7.9</v>
      </c>
      <c r="AD4555" s="1074">
        <v>500</v>
      </c>
      <c r="AE4555" s="1074">
        <v>300</v>
      </c>
      <c r="AF4555" s="1074">
        <v>200</v>
      </c>
      <c r="AG4555" s="66">
        <f t="shared" si="169"/>
        <v>63.384189723320162</v>
      </c>
      <c r="AH4555" s="143">
        <f t="shared" si="171"/>
        <v>1000</v>
      </c>
      <c r="AI4555" s="1702">
        <f t="shared" si="168"/>
        <v>300</v>
      </c>
    </row>
    <row r="4556" spans="1:35" s="1069" customFormat="1" x14ac:dyDescent="0.3">
      <c r="A4556" s="1069">
        <v>103182</v>
      </c>
      <c r="B4556" s="1070">
        <v>6.7499999999999991</v>
      </c>
      <c r="C4556" s="1070"/>
      <c r="D4556" s="1071">
        <v>8.48</v>
      </c>
      <c r="E4556" s="1580">
        <v>0.81100000000000005</v>
      </c>
      <c r="F4556" s="1580">
        <v>924.54</v>
      </c>
      <c r="H4556" s="1072">
        <v>27.92</v>
      </c>
      <c r="I4556" s="1072">
        <v>250</v>
      </c>
      <c r="J4556" s="1073">
        <v>1.226</v>
      </c>
      <c r="K4556" s="1070">
        <v>8.09</v>
      </c>
      <c r="L4556" s="1069">
        <v>1077</v>
      </c>
      <c r="M4556" s="1069">
        <v>0.59</v>
      </c>
      <c r="N4556" s="1069">
        <v>0.82</v>
      </c>
      <c r="O4556" s="1069">
        <v>5.41</v>
      </c>
      <c r="P4556" s="1069">
        <v>6.43</v>
      </c>
      <c r="R4556" s="1071">
        <v>1.6557080000000002</v>
      </c>
      <c r="S4556" s="1070">
        <v>12.4</v>
      </c>
      <c r="Y4556" s="1895">
        <v>30.1</v>
      </c>
      <c r="AA4556" s="1069">
        <v>3.49</v>
      </c>
      <c r="AB4556" s="1071">
        <v>0.77200000000000002</v>
      </c>
      <c r="AC4556" s="1069">
        <v>9.6</v>
      </c>
      <c r="AD4556" s="1074">
        <v>520</v>
      </c>
      <c r="AE4556" s="1074">
        <v>280</v>
      </c>
      <c r="AF4556" s="1074">
        <v>200</v>
      </c>
      <c r="AG4556" s="66">
        <f t="shared" si="169"/>
        <v>95.144850498338869</v>
      </c>
      <c r="AH4556" s="143">
        <f t="shared" si="171"/>
        <v>1000</v>
      </c>
      <c r="AI4556" s="1702">
        <f t="shared" si="168"/>
        <v>280</v>
      </c>
    </row>
    <row r="4557" spans="1:35" s="1069" customFormat="1" x14ac:dyDescent="0.3">
      <c r="A4557" s="1069">
        <v>103183</v>
      </c>
      <c r="B4557" s="1070">
        <v>12.333333333333334</v>
      </c>
      <c r="C4557" s="1070">
        <v>8.125</v>
      </c>
      <c r="D4557" s="1071">
        <v>8.27</v>
      </c>
      <c r="E4557" s="1580">
        <v>1.4370000000000001</v>
      </c>
      <c r="F4557" s="1580">
        <v>1652.55</v>
      </c>
      <c r="H4557" s="1072">
        <v>26.93</v>
      </c>
      <c r="I4557" s="1072">
        <v>286</v>
      </c>
      <c r="J4557" s="1073">
        <v>1.379</v>
      </c>
      <c r="K4557" s="1070">
        <v>10.8</v>
      </c>
      <c r="L4557" s="1069">
        <v>1054</v>
      </c>
      <c r="M4557" s="1069">
        <v>0.42</v>
      </c>
      <c r="N4557" s="1069">
        <v>0.53</v>
      </c>
      <c r="O4557" s="1069">
        <v>3.67</v>
      </c>
      <c r="P4557" s="1069">
        <v>3.46</v>
      </c>
      <c r="R4557" s="1071">
        <v>1.7308250000000001</v>
      </c>
      <c r="S4557" s="1070">
        <v>14.5</v>
      </c>
      <c r="Y4557" s="1895">
        <v>25</v>
      </c>
      <c r="AA4557" s="1069">
        <v>4.08</v>
      </c>
      <c r="AB4557" s="1071">
        <v>0.84699999999999998</v>
      </c>
      <c r="AC4557" s="1069">
        <v>12</v>
      </c>
      <c r="AD4557" s="1074">
        <v>500</v>
      </c>
      <c r="AE4557" s="1074">
        <v>320</v>
      </c>
      <c r="AF4557" s="1074">
        <v>180</v>
      </c>
      <c r="AG4557" s="66">
        <f t="shared" si="169"/>
        <v>152.92800000000003</v>
      </c>
      <c r="AH4557" s="143">
        <f t="shared" si="171"/>
        <v>1000</v>
      </c>
      <c r="AI4557" s="1702">
        <f t="shared" si="168"/>
        <v>320</v>
      </c>
    </row>
    <row r="4558" spans="1:35" s="1069" customFormat="1" x14ac:dyDescent="0.3">
      <c r="A4558" s="1069">
        <v>103184</v>
      </c>
      <c r="B4558" s="1070">
        <v>12.75</v>
      </c>
      <c r="C4558" s="1070">
        <v>7.7499999999999991</v>
      </c>
      <c r="D4558" s="1071">
        <v>8.41</v>
      </c>
      <c r="E4558" s="1580">
        <v>0.64200000000000002</v>
      </c>
      <c r="F4558" s="1580">
        <v>744.71999999999991</v>
      </c>
      <c r="H4558" s="1072">
        <v>18.2</v>
      </c>
      <c r="I4558" s="1072">
        <v>263</v>
      </c>
      <c r="J4558" s="1073">
        <v>0.91700000000000004</v>
      </c>
      <c r="K4558" s="1070">
        <v>10.27</v>
      </c>
      <c r="L4558" s="1069">
        <v>1202</v>
      </c>
      <c r="M4558" s="1069">
        <v>0.66</v>
      </c>
      <c r="N4558" s="1069">
        <v>1.1100000000000001</v>
      </c>
      <c r="O4558" s="1069">
        <v>11.48</v>
      </c>
      <c r="P4558" s="1069">
        <v>5.69</v>
      </c>
      <c r="R4558" s="1071">
        <v>1.6407</v>
      </c>
      <c r="S4558" s="1070">
        <v>12</v>
      </c>
      <c r="Y4558" s="1895">
        <v>26</v>
      </c>
      <c r="AA4558" s="1069">
        <v>3.74</v>
      </c>
      <c r="AB4558" s="1071">
        <v>0.70599999999999996</v>
      </c>
      <c r="AC4558" s="1069">
        <v>11</v>
      </c>
      <c r="AD4558" s="1074">
        <v>520</v>
      </c>
      <c r="AE4558" s="1074">
        <v>340</v>
      </c>
      <c r="AF4558" s="1074">
        <v>140</v>
      </c>
      <c r="AG4558" s="66">
        <f t="shared" si="169"/>
        <v>139.83000000000001</v>
      </c>
      <c r="AH4558" s="143">
        <f t="shared" si="171"/>
        <v>1000</v>
      </c>
      <c r="AI4558" s="1702">
        <f t="shared" si="168"/>
        <v>340</v>
      </c>
    </row>
    <row r="4559" spans="1:35" s="1069" customFormat="1" x14ac:dyDescent="0.3">
      <c r="A4559" s="1069">
        <v>103185</v>
      </c>
      <c r="B4559" s="1070">
        <v>14.499999999999998</v>
      </c>
      <c r="C4559" s="1070">
        <v>11.25</v>
      </c>
      <c r="D4559" s="1071">
        <v>8.42</v>
      </c>
      <c r="E4559" s="1580">
        <v>0.77900000000000003</v>
      </c>
      <c r="F4559" s="1580">
        <v>880.26999999999987</v>
      </c>
      <c r="H4559" s="1072">
        <v>46.01</v>
      </c>
      <c r="I4559" s="1072">
        <v>276</v>
      </c>
      <c r="J4559" s="1073">
        <v>0.92600000000000005</v>
      </c>
      <c r="K4559" s="1070">
        <v>10.19</v>
      </c>
      <c r="L4559" s="1069">
        <v>1106</v>
      </c>
      <c r="M4559" s="1069">
        <v>0.47</v>
      </c>
      <c r="N4559" s="1069">
        <v>0.92</v>
      </c>
      <c r="O4559" s="1069">
        <v>8.09</v>
      </c>
      <c r="P4559" s="1069">
        <v>4.37</v>
      </c>
      <c r="R4559" s="1071">
        <v>1.629297</v>
      </c>
      <c r="S4559" s="1070">
        <v>11.7</v>
      </c>
      <c r="Y4559" s="1895">
        <v>31.8</v>
      </c>
      <c r="AA4559" s="1069">
        <v>4.7300000000000004</v>
      </c>
      <c r="AB4559" s="1071">
        <v>0.84899999999999998</v>
      </c>
      <c r="AC4559" s="1069">
        <v>7.2</v>
      </c>
      <c r="AD4559" s="1074">
        <v>530</v>
      </c>
      <c r="AE4559" s="1074">
        <v>300</v>
      </c>
      <c r="AF4559" s="1074">
        <v>170</v>
      </c>
      <c r="AG4559" s="66">
        <f t="shared" si="169"/>
        <v>113.43584905660377</v>
      </c>
      <c r="AH4559" s="143">
        <f t="shared" si="171"/>
        <v>1000</v>
      </c>
      <c r="AI4559" s="1702">
        <f t="shared" si="168"/>
        <v>300</v>
      </c>
    </row>
    <row r="4560" spans="1:35" s="415" customFormat="1" x14ac:dyDescent="0.3">
      <c r="A4560" s="415">
        <v>103186</v>
      </c>
      <c r="B4560" s="1228">
        <v>12.083333333333334</v>
      </c>
      <c r="C4560" s="1228">
        <v>10.199999999999999</v>
      </c>
      <c r="D4560" s="1405">
        <v>8.82</v>
      </c>
      <c r="E4560" s="1585">
        <v>0.16500000000000001</v>
      </c>
      <c r="F4560" s="2052">
        <v>194.7</v>
      </c>
      <c r="H4560" s="1406">
        <v>22.56</v>
      </c>
      <c r="I4560" s="1406">
        <v>590</v>
      </c>
      <c r="J4560" s="1407">
        <v>0.34599999999999997</v>
      </c>
      <c r="K4560" s="1228">
        <v>10.99</v>
      </c>
      <c r="L4560" s="415">
        <v>1570</v>
      </c>
      <c r="M4560" s="415">
        <v>0.28999999999999998</v>
      </c>
      <c r="N4560" s="415">
        <v>0.77</v>
      </c>
      <c r="O4560" s="415">
        <v>2.2200000000000002</v>
      </c>
      <c r="P4560" s="415">
        <v>4.3</v>
      </c>
      <c r="R4560" s="1405">
        <v>1.7544919999999999</v>
      </c>
      <c r="S4560" s="1228">
        <v>15.2</v>
      </c>
      <c r="Y4560" s="2054">
        <v>32.799999999999997</v>
      </c>
      <c r="AA4560" s="1405">
        <v>4.41</v>
      </c>
      <c r="AB4560" s="1405">
        <v>0.38900000000000001</v>
      </c>
      <c r="AC4560" s="415">
        <v>10.6</v>
      </c>
      <c r="AD4560" s="1408">
        <v>544</v>
      </c>
      <c r="AE4560" s="1408">
        <v>326</v>
      </c>
      <c r="AF4560" s="1408">
        <v>130</v>
      </c>
      <c r="AG4560" s="66">
        <f t="shared" si="169"/>
        <v>118.61158536585367</v>
      </c>
      <c r="AH4560" s="2055">
        <f t="shared" si="171"/>
        <v>1000</v>
      </c>
      <c r="AI4560" s="415">
        <f t="shared" si="168"/>
        <v>326</v>
      </c>
    </row>
    <row r="4561" spans="1:35" s="415" customFormat="1" x14ac:dyDescent="0.3">
      <c r="A4561" s="415">
        <v>103187</v>
      </c>
      <c r="B4561" s="1228">
        <v>10.166666666666666</v>
      </c>
      <c r="C4561" s="1228">
        <v>8.1999999999999993</v>
      </c>
      <c r="D4561" s="1405">
        <v>8.6300000000000008</v>
      </c>
      <c r="E4561" s="1585">
        <v>0.308</v>
      </c>
      <c r="F4561" s="2052">
        <v>357.28</v>
      </c>
      <c r="H4561" s="1406">
        <v>20.010000000000002</v>
      </c>
      <c r="I4561" s="1406">
        <v>490</v>
      </c>
      <c r="J4561" s="1407">
        <v>0.503</v>
      </c>
      <c r="K4561" s="1228">
        <v>12.04</v>
      </c>
      <c r="L4561" s="415">
        <v>1570</v>
      </c>
      <c r="M4561" s="415">
        <v>0.42</v>
      </c>
      <c r="N4561" s="415">
        <v>0.95</v>
      </c>
      <c r="O4561" s="415">
        <v>2.91</v>
      </c>
      <c r="P4561" s="415">
        <v>8.42</v>
      </c>
      <c r="R4561" s="1405">
        <v>1.720472</v>
      </c>
      <c r="S4561" s="1228">
        <v>14.2</v>
      </c>
      <c r="Y4561" s="2054">
        <v>30.6</v>
      </c>
      <c r="AA4561" s="1405">
        <v>3.98</v>
      </c>
      <c r="AB4561" s="1405">
        <v>0.33200000000000002</v>
      </c>
      <c r="AC4561" s="415">
        <v>6.2</v>
      </c>
      <c r="AD4561" s="1408">
        <v>553</v>
      </c>
      <c r="AE4561" s="1408">
        <v>325</v>
      </c>
      <c r="AF4561" s="1408">
        <v>122</v>
      </c>
      <c r="AG4561" s="66">
        <f t="shared" si="169"/>
        <v>139.28627450980392</v>
      </c>
      <c r="AH4561" s="2055">
        <f t="shared" si="171"/>
        <v>1000</v>
      </c>
      <c r="AI4561" s="415">
        <f t="shared" si="168"/>
        <v>325</v>
      </c>
    </row>
    <row r="4562" spans="1:35" s="415" customFormat="1" x14ac:dyDescent="0.3">
      <c r="A4562" s="415">
        <v>103188</v>
      </c>
      <c r="B4562" s="1228">
        <v>10.166666666666666</v>
      </c>
      <c r="C4562" s="1228">
        <v>8.3000000000000007</v>
      </c>
      <c r="D4562" s="1405">
        <v>8.83</v>
      </c>
      <c r="E4562" s="1585">
        <v>0.16200000000000001</v>
      </c>
      <c r="F4562" s="2052">
        <v>183.05999999999997</v>
      </c>
      <c r="H4562" s="1406">
        <v>19.62</v>
      </c>
      <c r="I4562" s="1406">
        <v>590</v>
      </c>
      <c r="J4562" s="1407">
        <v>0.36099999999999999</v>
      </c>
      <c r="K4562" s="1228">
        <v>10.53</v>
      </c>
      <c r="L4562" s="415">
        <v>1960</v>
      </c>
      <c r="M4562" s="415">
        <v>0.18</v>
      </c>
      <c r="N4562" s="415">
        <v>1.1499999999999999</v>
      </c>
      <c r="O4562" s="415">
        <v>2.4</v>
      </c>
      <c r="P4562" s="415">
        <v>5.2</v>
      </c>
      <c r="R4562" s="1405">
        <v>1.7273879999999999</v>
      </c>
      <c r="S4562" s="1228">
        <v>14.399999999999999</v>
      </c>
      <c r="Y4562" s="2054">
        <v>31.4</v>
      </c>
      <c r="AA4562" s="1405">
        <v>3.47</v>
      </c>
      <c r="AB4562" s="1405">
        <v>0.49299999999999999</v>
      </c>
      <c r="AC4562" s="415">
        <v>7.6</v>
      </c>
      <c r="AD4562" s="1408">
        <v>550</v>
      </c>
      <c r="AE4562" s="1408">
        <v>320</v>
      </c>
      <c r="AF4562" s="1408">
        <v>130</v>
      </c>
      <c r="AG4562" s="66">
        <f t="shared" si="169"/>
        <v>118.71401273885348</v>
      </c>
      <c r="AH4562" s="2055">
        <f t="shared" si="171"/>
        <v>1000</v>
      </c>
      <c r="AI4562" s="415">
        <f t="shared" si="168"/>
        <v>320</v>
      </c>
    </row>
    <row r="4563" spans="1:35" s="415" customFormat="1" x14ac:dyDescent="0.3">
      <c r="A4563" s="415">
        <v>103189</v>
      </c>
      <c r="B4563" s="1228">
        <v>10.666666666666668</v>
      </c>
      <c r="C4563" s="1228">
        <v>8.5</v>
      </c>
      <c r="D4563" s="1405">
        <v>8.8000000000000007</v>
      </c>
      <c r="E4563" s="1585">
        <v>0.39400000000000002</v>
      </c>
      <c r="F4563" s="2052">
        <v>464.91999999999996</v>
      </c>
      <c r="H4563" s="1406">
        <v>15.3</v>
      </c>
      <c r="I4563" s="1406">
        <v>540</v>
      </c>
      <c r="J4563" s="1407">
        <v>0.94199999999999995</v>
      </c>
      <c r="K4563" s="1228">
        <v>11.74</v>
      </c>
      <c r="L4563" s="415">
        <v>2120</v>
      </c>
      <c r="M4563" s="415">
        <v>0.25</v>
      </c>
      <c r="N4563" s="415">
        <v>1.0900000000000001</v>
      </c>
      <c r="O4563" s="415">
        <v>1.6</v>
      </c>
      <c r="P4563" s="415">
        <v>6.17</v>
      </c>
      <c r="R4563" s="1405">
        <v>1.6886570000000001</v>
      </c>
      <c r="S4563" s="1228">
        <v>13.3</v>
      </c>
      <c r="Y4563" s="2054">
        <v>32.299999999999997</v>
      </c>
      <c r="AA4563" s="1405">
        <v>4.3499999999999996</v>
      </c>
      <c r="AB4563" s="1405">
        <v>0.53400000000000003</v>
      </c>
      <c r="AC4563" s="415">
        <v>11.3</v>
      </c>
      <c r="AD4563" s="1408">
        <v>523</v>
      </c>
      <c r="AE4563" s="1408">
        <v>360</v>
      </c>
      <c r="AF4563" s="1408">
        <v>117</v>
      </c>
      <c r="AG4563" s="66">
        <f t="shared" si="169"/>
        <v>128.66749226006192</v>
      </c>
      <c r="AH4563" s="2055">
        <f t="shared" si="171"/>
        <v>1000</v>
      </c>
      <c r="AI4563" s="415">
        <f t="shared" si="168"/>
        <v>360</v>
      </c>
    </row>
    <row r="4564" spans="1:35" s="415" customFormat="1" x14ac:dyDescent="0.3">
      <c r="A4564" s="415">
        <v>103190</v>
      </c>
      <c r="B4564" s="1228">
        <v>9.3333333333333339</v>
      </c>
      <c r="C4564" s="1228">
        <v>7.3</v>
      </c>
      <c r="D4564" s="1405">
        <v>8.7200000000000006</v>
      </c>
      <c r="E4564" s="1585">
        <v>0.28499999999999998</v>
      </c>
      <c r="F4564" s="2052">
        <v>327.75</v>
      </c>
      <c r="H4564" s="1406">
        <v>27.05</v>
      </c>
      <c r="I4564" s="1406">
        <v>790</v>
      </c>
      <c r="J4564" s="1407">
        <v>0.64400000000000002</v>
      </c>
      <c r="K4564" s="1228">
        <v>13.01</v>
      </c>
      <c r="L4564" s="415">
        <v>1980</v>
      </c>
      <c r="M4564" s="415">
        <v>0.31</v>
      </c>
      <c r="N4564" s="415">
        <v>0.79</v>
      </c>
      <c r="O4564" s="415">
        <v>6.03</v>
      </c>
      <c r="P4564" s="415">
        <v>5.8</v>
      </c>
      <c r="R4564" s="1405">
        <v>1.706472</v>
      </c>
      <c r="S4564" s="1228">
        <v>13.799999999999999</v>
      </c>
      <c r="Y4564" s="2054">
        <v>31.5</v>
      </c>
      <c r="AA4564" s="1405">
        <v>4.5599999999999996</v>
      </c>
      <c r="AB4564" s="1405">
        <v>0.72599999999999998</v>
      </c>
      <c r="AC4564" s="415">
        <v>11.3</v>
      </c>
      <c r="AD4564" s="1408">
        <v>543</v>
      </c>
      <c r="AE4564" s="1408">
        <v>327</v>
      </c>
      <c r="AF4564" s="1408">
        <v>130</v>
      </c>
      <c r="AG4564" s="66">
        <f t="shared" si="169"/>
        <v>146.20761904761903</v>
      </c>
      <c r="AH4564" s="2055">
        <f t="shared" si="171"/>
        <v>1000</v>
      </c>
      <c r="AI4564" s="415">
        <f t="shared" si="168"/>
        <v>327</v>
      </c>
    </row>
    <row r="4565" spans="1:35" s="415" customFormat="1" x14ac:dyDescent="0.3">
      <c r="A4565" s="415">
        <v>103191</v>
      </c>
      <c r="B4565" s="1228">
        <v>9.4999999999999982</v>
      </c>
      <c r="C4565" s="1228">
        <v>7.1</v>
      </c>
      <c r="D4565" s="1405">
        <v>8.66</v>
      </c>
      <c r="E4565" s="1585">
        <v>0.47</v>
      </c>
      <c r="F4565" s="2052">
        <v>540.5</v>
      </c>
      <c r="H4565" s="1406">
        <v>20.010000000000002</v>
      </c>
      <c r="I4565" s="1406">
        <v>690</v>
      </c>
      <c r="J4565" s="1407">
        <v>1.06</v>
      </c>
      <c r="K4565" s="1228">
        <v>12.5</v>
      </c>
      <c r="L4565" s="415">
        <v>2100</v>
      </c>
      <c r="M4565" s="415">
        <v>0.43</v>
      </c>
      <c r="N4565" s="415">
        <v>0.85</v>
      </c>
      <c r="O4565" s="415">
        <v>6.49</v>
      </c>
      <c r="P4565" s="415">
        <v>7.93</v>
      </c>
      <c r="R4565" s="1405">
        <v>1.7644250000000001</v>
      </c>
      <c r="S4565" s="1228">
        <v>15.5</v>
      </c>
      <c r="Y4565" s="2054">
        <v>31.1</v>
      </c>
      <c r="AA4565" s="1405">
        <v>3.61</v>
      </c>
      <c r="AB4565" s="1405">
        <v>0.39100000000000001</v>
      </c>
      <c r="AC4565" s="415">
        <v>6.1</v>
      </c>
      <c r="AD4565" s="1408">
        <v>546</v>
      </c>
      <c r="AE4565" s="1408">
        <v>343</v>
      </c>
      <c r="AF4565" s="1408">
        <v>111</v>
      </c>
      <c r="AG4565" s="66">
        <f t="shared" si="169"/>
        <v>142.2829581993569</v>
      </c>
      <c r="AH4565" s="2055">
        <f t="shared" si="171"/>
        <v>1000</v>
      </c>
      <c r="AI4565" s="415">
        <f t="shared" si="168"/>
        <v>343</v>
      </c>
    </row>
    <row r="4566" spans="1:35" s="415" customFormat="1" x14ac:dyDescent="0.3">
      <c r="A4566" s="415">
        <v>103192</v>
      </c>
      <c r="B4566" s="1228">
        <v>14.75</v>
      </c>
      <c r="C4566" s="1228">
        <v>11</v>
      </c>
      <c r="D4566" s="1405">
        <v>8.7200000000000006</v>
      </c>
      <c r="E4566" s="1585">
        <v>0.23</v>
      </c>
      <c r="F4566" s="2052">
        <v>273.7</v>
      </c>
      <c r="H4566" s="1406">
        <v>14.22</v>
      </c>
      <c r="I4566" s="1406">
        <v>580</v>
      </c>
      <c r="J4566" s="1407">
        <v>0.34200000000000003</v>
      </c>
      <c r="K4566" s="1228">
        <v>11.35</v>
      </c>
      <c r="L4566" s="415">
        <v>1940</v>
      </c>
      <c r="M4566" s="415">
        <v>0.32</v>
      </c>
      <c r="N4566" s="415">
        <v>1.32</v>
      </c>
      <c r="O4566" s="415">
        <v>3.73</v>
      </c>
      <c r="P4566" s="415">
        <v>4.8499999999999996</v>
      </c>
      <c r="R4566" s="1405">
        <v>1.737657</v>
      </c>
      <c r="S4566" s="1228">
        <v>14.7</v>
      </c>
      <c r="Y4566" s="2054">
        <v>31.6</v>
      </c>
      <c r="AA4566" s="1405">
        <v>4.22</v>
      </c>
      <c r="AB4566" s="1405">
        <v>0.46700000000000003</v>
      </c>
      <c r="AC4566" s="415">
        <v>8.5</v>
      </c>
      <c r="AD4566" s="1408">
        <v>538</v>
      </c>
      <c r="AE4566" s="1408">
        <v>339</v>
      </c>
      <c r="AF4566" s="1408">
        <v>123</v>
      </c>
      <c r="AG4566" s="66">
        <f t="shared" si="169"/>
        <v>127.14873417721519</v>
      </c>
      <c r="AH4566" s="2055">
        <f t="shared" si="171"/>
        <v>1000</v>
      </c>
      <c r="AI4566" s="415">
        <f t="shared" si="168"/>
        <v>339</v>
      </c>
    </row>
    <row r="4567" spans="1:35" s="415" customFormat="1" x14ac:dyDescent="0.3">
      <c r="A4567" s="415">
        <v>103193</v>
      </c>
      <c r="B4567" s="1228">
        <v>13.333333333333334</v>
      </c>
      <c r="C4567" s="1228">
        <v>9.4</v>
      </c>
      <c r="D4567" s="1405">
        <v>8.5500000000000007</v>
      </c>
      <c r="E4567" s="1585">
        <v>0.47699999999999998</v>
      </c>
      <c r="F4567" s="2052">
        <v>548.54999999999995</v>
      </c>
      <c r="H4567" s="1406">
        <v>13.11</v>
      </c>
      <c r="I4567" s="1406">
        <v>500</v>
      </c>
      <c r="J4567" s="1407">
        <v>0.70799999999999996</v>
      </c>
      <c r="K4567" s="1228">
        <v>12.58</v>
      </c>
      <c r="L4567" s="415">
        <v>2000</v>
      </c>
      <c r="M4567" s="415">
        <v>0.3</v>
      </c>
      <c r="N4567" s="415">
        <v>1.22</v>
      </c>
      <c r="O4567" s="415">
        <v>2.98</v>
      </c>
      <c r="P4567" s="415">
        <v>6.11</v>
      </c>
      <c r="R4567" s="1405">
        <v>1.7273879999999999</v>
      </c>
      <c r="S4567" s="1228">
        <v>14.399999999999999</v>
      </c>
      <c r="Y4567" s="2054">
        <v>31</v>
      </c>
      <c r="AA4567" s="1405">
        <v>3.6</v>
      </c>
      <c r="AB4567" s="1405">
        <v>0.83399999999999996</v>
      </c>
      <c r="AC4567" s="415">
        <v>11.6</v>
      </c>
      <c r="AD4567" s="1408">
        <v>546</v>
      </c>
      <c r="AE4567" s="1408">
        <v>337</v>
      </c>
      <c r="AF4567" s="1408">
        <v>117</v>
      </c>
      <c r="AG4567" s="66">
        <f t="shared" si="169"/>
        <v>143.65548387096774</v>
      </c>
      <c r="AH4567" s="2055">
        <f t="shared" si="171"/>
        <v>1000</v>
      </c>
      <c r="AI4567" s="415">
        <f t="shared" si="168"/>
        <v>337</v>
      </c>
    </row>
    <row r="4568" spans="1:35" s="415" customFormat="1" x14ac:dyDescent="0.3">
      <c r="A4568" s="415">
        <v>103194</v>
      </c>
      <c r="B4568" s="1228">
        <v>12.083333333333334</v>
      </c>
      <c r="C4568" s="1228">
        <v>7.3</v>
      </c>
      <c r="D4568" s="1405">
        <v>8.77</v>
      </c>
      <c r="E4568" s="1585">
        <v>0.13100000000000001</v>
      </c>
      <c r="F4568" s="2052">
        <v>148.02999999999997</v>
      </c>
      <c r="H4568" s="1406">
        <v>20.18</v>
      </c>
      <c r="I4568" s="1406">
        <v>690</v>
      </c>
      <c r="J4568" s="1407">
        <v>0.16200000000000001</v>
      </c>
      <c r="K4568" s="1228">
        <v>11.57</v>
      </c>
      <c r="L4568" s="415">
        <v>1680</v>
      </c>
      <c r="M4568" s="415">
        <v>0.28000000000000003</v>
      </c>
      <c r="N4568" s="415">
        <v>0.69</v>
      </c>
      <c r="O4568" s="415">
        <v>1.56</v>
      </c>
      <c r="P4568" s="415">
        <v>3.99</v>
      </c>
      <c r="R4568" s="1405">
        <v>1.7578170000000002</v>
      </c>
      <c r="S4568" s="1228">
        <v>15.3</v>
      </c>
      <c r="Y4568" s="2054">
        <v>33.799999999999997</v>
      </c>
      <c r="AA4568" s="1405">
        <v>4.46</v>
      </c>
      <c r="AB4568" s="1405">
        <v>0.31900000000000001</v>
      </c>
      <c r="AC4568" s="415">
        <v>7</v>
      </c>
      <c r="AD4568" s="1408">
        <v>532</v>
      </c>
      <c r="AE4568" s="1408">
        <v>347</v>
      </c>
      <c r="AF4568" s="1408">
        <v>121</v>
      </c>
      <c r="AG4568" s="66">
        <f t="shared" si="169"/>
        <v>121.17692307692307</v>
      </c>
      <c r="AH4568" s="2055">
        <f t="shared" si="171"/>
        <v>1000</v>
      </c>
      <c r="AI4568" s="415">
        <f t="shared" si="168"/>
        <v>347</v>
      </c>
    </row>
    <row r="4569" spans="1:35" s="415" customFormat="1" x14ac:dyDescent="0.3">
      <c r="A4569" s="415">
        <v>103195</v>
      </c>
      <c r="B4569" s="1228">
        <v>13.333333333333334</v>
      </c>
      <c r="C4569" s="1228">
        <v>8.4</v>
      </c>
      <c r="D4569" s="1405">
        <v>8.7899999999999991</v>
      </c>
      <c r="E4569" s="1585">
        <v>0.19600000000000001</v>
      </c>
      <c r="F4569" s="2052">
        <v>223.43999999999997</v>
      </c>
      <c r="H4569" s="1406">
        <v>17.52</v>
      </c>
      <c r="I4569" s="1406">
        <v>700</v>
      </c>
      <c r="J4569" s="1407">
        <v>0.35699999999999998</v>
      </c>
      <c r="K4569" s="1228">
        <v>11.88</v>
      </c>
      <c r="L4569" s="415">
        <v>1800</v>
      </c>
      <c r="M4569" s="415">
        <v>0.44</v>
      </c>
      <c r="N4569" s="415">
        <v>0.84</v>
      </c>
      <c r="O4569" s="415">
        <v>2.79</v>
      </c>
      <c r="P4569" s="415">
        <v>6.5</v>
      </c>
      <c r="R4569" s="1405">
        <v>1.7644250000000001</v>
      </c>
      <c r="S4569" s="1228">
        <v>15.5</v>
      </c>
      <c r="Y4569" s="2054">
        <v>32.4</v>
      </c>
      <c r="AA4569" s="1405">
        <v>3.86</v>
      </c>
      <c r="AB4569" s="1405">
        <v>0.745</v>
      </c>
      <c r="AC4569" s="415">
        <v>7.8</v>
      </c>
      <c r="AD4569" s="1408">
        <v>554</v>
      </c>
      <c r="AE4569" s="1408">
        <v>329</v>
      </c>
      <c r="AF4569" s="1408">
        <v>117</v>
      </c>
      <c r="AG4569" s="66">
        <f t="shared" si="169"/>
        <v>129.80000000000001</v>
      </c>
      <c r="AH4569" s="2055">
        <f t="shared" si="171"/>
        <v>1000</v>
      </c>
      <c r="AI4569" s="415">
        <f t="shared" si="168"/>
        <v>329</v>
      </c>
    </row>
    <row r="4570" spans="1:35" s="415" customFormat="1" x14ac:dyDescent="0.3">
      <c r="A4570" s="415">
        <v>103196</v>
      </c>
      <c r="B4570" s="1228">
        <v>12.25</v>
      </c>
      <c r="C4570" s="1228">
        <v>7.3</v>
      </c>
      <c r="D4570" s="1405">
        <v>8.8800000000000008</v>
      </c>
      <c r="E4570" s="1585">
        <v>0.30599999999999999</v>
      </c>
      <c r="F4570" s="2052">
        <v>351.9</v>
      </c>
      <c r="H4570" s="1406">
        <v>73.34</v>
      </c>
      <c r="I4570" s="1406">
        <v>680</v>
      </c>
      <c r="J4570" s="1407">
        <v>0.85299999999999998</v>
      </c>
      <c r="K4570" s="1228">
        <v>10.34</v>
      </c>
      <c r="L4570" s="415">
        <v>2900</v>
      </c>
      <c r="M4570" s="415">
        <v>0.27</v>
      </c>
      <c r="N4570" s="415">
        <v>1.1299999999999999</v>
      </c>
      <c r="O4570" s="415">
        <v>2.69</v>
      </c>
      <c r="P4570" s="415">
        <v>8.7200000000000006</v>
      </c>
      <c r="R4570" s="1405">
        <v>1.7644250000000001</v>
      </c>
      <c r="S4570" s="1228">
        <v>15.5</v>
      </c>
      <c r="Y4570" s="2054">
        <v>32.4</v>
      </c>
      <c r="AA4570" s="1405">
        <v>4.9400000000000004</v>
      </c>
      <c r="AB4570" s="1405">
        <v>0.69199999999999995</v>
      </c>
      <c r="AC4570" s="415">
        <v>8.6999999999999993</v>
      </c>
      <c r="AD4570" s="1408">
        <v>553</v>
      </c>
      <c r="AE4570" s="1408">
        <v>337</v>
      </c>
      <c r="AF4570" s="1408">
        <v>110</v>
      </c>
      <c r="AG4570" s="66">
        <f t="shared" si="169"/>
        <v>112.97407407407408</v>
      </c>
      <c r="AH4570" s="2055">
        <f t="shared" si="171"/>
        <v>1000</v>
      </c>
      <c r="AI4570" s="415">
        <f t="shared" si="168"/>
        <v>337</v>
      </c>
    </row>
    <row r="4571" spans="1:35" s="415" customFormat="1" x14ac:dyDescent="0.3">
      <c r="A4571" s="415">
        <v>103197</v>
      </c>
      <c r="B4571" s="1228">
        <v>13.666666666666663</v>
      </c>
      <c r="C4571" s="1228">
        <v>7.3</v>
      </c>
      <c r="D4571" s="1405">
        <v>8.68</v>
      </c>
      <c r="E4571" s="1585">
        <v>0.42299999999999999</v>
      </c>
      <c r="F4571" s="2052">
        <v>490.67999999999995</v>
      </c>
      <c r="H4571" s="1406">
        <v>32.869999999999997</v>
      </c>
      <c r="I4571" s="1406">
        <v>600</v>
      </c>
      <c r="J4571" s="1407">
        <v>1.08</v>
      </c>
      <c r="K4571" s="1228">
        <v>11.17</v>
      </c>
      <c r="L4571" s="415">
        <v>2930</v>
      </c>
      <c r="M4571" s="415">
        <v>0.38</v>
      </c>
      <c r="N4571" s="415">
        <v>1.35</v>
      </c>
      <c r="O4571" s="415">
        <v>4.25</v>
      </c>
      <c r="P4571" s="415">
        <v>22.86</v>
      </c>
      <c r="R4571" s="1405">
        <v>1.761128</v>
      </c>
      <c r="S4571" s="1228">
        <v>15.4</v>
      </c>
      <c r="Y4571" s="2054">
        <v>34</v>
      </c>
      <c r="AA4571" s="1405">
        <v>3.89</v>
      </c>
      <c r="AB4571" s="1405">
        <v>0.26100000000000001</v>
      </c>
      <c r="AC4571" s="415">
        <v>7.9</v>
      </c>
      <c r="AD4571" s="1408">
        <v>548</v>
      </c>
      <c r="AE4571" s="1408">
        <v>339</v>
      </c>
      <c r="AF4571" s="1408">
        <v>113</v>
      </c>
      <c r="AG4571" s="66">
        <f t="shared" si="169"/>
        <v>116.29941176470589</v>
      </c>
      <c r="AH4571" s="2055">
        <f t="shared" si="171"/>
        <v>1000</v>
      </c>
      <c r="AI4571" s="415">
        <f t="shared" si="168"/>
        <v>339</v>
      </c>
    </row>
    <row r="4572" spans="1:35" s="415" customFormat="1" x14ac:dyDescent="0.3">
      <c r="A4572" s="415">
        <v>103198</v>
      </c>
      <c r="B4572" s="1228">
        <v>13.583333333333334</v>
      </c>
      <c r="C4572" s="1228">
        <v>9.1</v>
      </c>
      <c r="D4572" s="1405">
        <v>8.67</v>
      </c>
      <c r="E4572" s="1585">
        <v>0.16300000000000001</v>
      </c>
      <c r="F4572" s="2052">
        <v>185.82</v>
      </c>
      <c r="H4572" s="1406">
        <v>24.55</v>
      </c>
      <c r="I4572" s="1406">
        <v>740</v>
      </c>
      <c r="J4572" s="1407">
        <v>0.17199999999999999</v>
      </c>
      <c r="K4572" s="1228">
        <v>12.07</v>
      </c>
      <c r="L4572" s="415">
        <v>1580</v>
      </c>
      <c r="M4572" s="415">
        <v>0.43</v>
      </c>
      <c r="N4572" s="415">
        <v>0.81</v>
      </c>
      <c r="O4572" s="415">
        <v>3.29</v>
      </c>
      <c r="P4572" s="415">
        <v>5.93</v>
      </c>
      <c r="R4572" s="1405">
        <v>1.799768</v>
      </c>
      <c r="S4572" s="1228">
        <v>16.599999999999998</v>
      </c>
      <c r="Y4572" s="2054">
        <v>32</v>
      </c>
      <c r="AA4572" s="1405">
        <v>4.21</v>
      </c>
      <c r="AB4572" s="1405">
        <v>0.46700000000000003</v>
      </c>
      <c r="AC4572" s="415">
        <v>9</v>
      </c>
      <c r="AD4572" s="1408">
        <v>539</v>
      </c>
      <c r="AE4572" s="1408">
        <v>332</v>
      </c>
      <c r="AF4572" s="1408">
        <v>129</v>
      </c>
      <c r="AG4572" s="66">
        <f t="shared" si="169"/>
        <v>133.52437500000002</v>
      </c>
      <c r="AH4572" s="2055">
        <f t="shared" si="171"/>
        <v>1000</v>
      </c>
      <c r="AI4572" s="415">
        <f t="shared" si="168"/>
        <v>332</v>
      </c>
    </row>
    <row r="4573" spans="1:35" s="415" customFormat="1" x14ac:dyDescent="0.3">
      <c r="A4573" s="415">
        <v>103199</v>
      </c>
      <c r="B4573" s="1228">
        <v>14.166666666666666</v>
      </c>
      <c r="C4573" s="1228">
        <v>8.3000000000000007</v>
      </c>
      <c r="D4573" s="1405">
        <v>8.57</v>
      </c>
      <c r="E4573" s="1585">
        <v>0.38</v>
      </c>
      <c r="F4573" s="2052">
        <v>444.59999999999997</v>
      </c>
      <c r="H4573" s="1406">
        <v>10.45</v>
      </c>
      <c r="I4573" s="1406">
        <v>580</v>
      </c>
      <c r="J4573" s="1407">
        <v>0.59</v>
      </c>
      <c r="K4573" s="1228">
        <v>11.19</v>
      </c>
      <c r="L4573" s="415">
        <v>1510</v>
      </c>
      <c r="M4573" s="415">
        <v>0.55000000000000004</v>
      </c>
      <c r="N4573" s="415">
        <v>0.81</v>
      </c>
      <c r="O4573" s="415">
        <v>4.0599999999999996</v>
      </c>
      <c r="P4573" s="415">
        <v>6.04</v>
      </c>
      <c r="R4573" s="1405">
        <v>1.7273879999999999</v>
      </c>
      <c r="S4573" s="1228">
        <v>14.399999999999999</v>
      </c>
      <c r="Y4573" s="2054">
        <v>32.700000000000003</v>
      </c>
      <c r="AA4573" s="1405">
        <v>4.13</v>
      </c>
      <c r="AB4573" s="1405">
        <v>0.32700000000000001</v>
      </c>
      <c r="AC4573" s="415">
        <v>7.3</v>
      </c>
      <c r="AD4573" s="1408">
        <v>558</v>
      </c>
      <c r="AE4573" s="1408">
        <v>323</v>
      </c>
      <c r="AF4573" s="1408">
        <v>119</v>
      </c>
      <c r="AG4573" s="66">
        <f t="shared" si="169"/>
        <v>121.13944954128441</v>
      </c>
      <c r="AH4573" s="2055">
        <f t="shared" si="171"/>
        <v>1000</v>
      </c>
      <c r="AI4573" s="415">
        <f t="shared" si="168"/>
        <v>323</v>
      </c>
    </row>
    <row r="4574" spans="1:35" s="415" customFormat="1" x14ac:dyDescent="0.3">
      <c r="A4574" s="415">
        <v>103200</v>
      </c>
      <c r="B4574" s="1228">
        <v>17.083333333333332</v>
      </c>
      <c r="C4574" s="1228">
        <v>9.8000000000000007</v>
      </c>
      <c r="D4574" s="1405">
        <v>8.74</v>
      </c>
      <c r="E4574" s="1585">
        <v>0.27700000000000002</v>
      </c>
      <c r="F4574" s="2052">
        <v>329.63</v>
      </c>
      <c r="H4574" s="1406">
        <v>24.86</v>
      </c>
      <c r="I4574" s="1406">
        <v>710</v>
      </c>
      <c r="J4574" s="1407">
        <v>0.65400000000000003</v>
      </c>
      <c r="K4574" s="1228">
        <v>11.78</v>
      </c>
      <c r="L4574" s="415">
        <v>3010</v>
      </c>
      <c r="M4574" s="415">
        <v>0.49</v>
      </c>
      <c r="N4574" s="415">
        <v>1.1000000000000001</v>
      </c>
      <c r="O4574" s="415">
        <v>3.14</v>
      </c>
      <c r="P4574" s="415">
        <v>10.43</v>
      </c>
      <c r="R4574" s="1405">
        <v>1.8423</v>
      </c>
      <c r="S4574" s="1228">
        <v>18</v>
      </c>
      <c r="Y4574" s="2054">
        <v>32.799999999999997</v>
      </c>
      <c r="AA4574" s="1405">
        <v>4.93</v>
      </c>
      <c r="AB4574" s="1405">
        <v>0.312</v>
      </c>
      <c r="AC4574" s="415">
        <v>6.1</v>
      </c>
      <c r="AD4574" s="1408">
        <v>549</v>
      </c>
      <c r="AE4574" s="1408">
        <v>341</v>
      </c>
      <c r="AF4574" s="1408">
        <v>110</v>
      </c>
      <c r="AG4574" s="66">
        <f t="shared" si="169"/>
        <v>127.13780487804878</v>
      </c>
      <c r="AH4574" s="2055">
        <f t="shared" si="171"/>
        <v>1000</v>
      </c>
      <c r="AI4574" s="415">
        <f t="shared" si="168"/>
        <v>341</v>
      </c>
    </row>
    <row r="4575" spans="1:35" s="415" customFormat="1" x14ac:dyDescent="0.3">
      <c r="A4575" s="415">
        <v>103201</v>
      </c>
      <c r="B4575" s="1228">
        <v>14.583333333333332</v>
      </c>
      <c r="C4575" s="1228">
        <v>9.8000000000000007</v>
      </c>
      <c r="D4575" s="1405">
        <v>8.64</v>
      </c>
      <c r="E4575" s="1585">
        <v>0.40100000000000002</v>
      </c>
      <c r="F4575" s="2052">
        <v>469.16999999999996</v>
      </c>
      <c r="H4575" s="1406">
        <v>25.14</v>
      </c>
      <c r="I4575" s="1406">
        <v>600</v>
      </c>
      <c r="J4575" s="1407">
        <v>0.79</v>
      </c>
      <c r="K4575" s="1228">
        <v>11.23</v>
      </c>
      <c r="L4575" s="415">
        <v>2850</v>
      </c>
      <c r="M4575" s="415">
        <v>0.59</v>
      </c>
      <c r="N4575" s="415">
        <v>1.17</v>
      </c>
      <c r="O4575" s="415">
        <v>3.12</v>
      </c>
      <c r="P4575" s="415">
        <v>10.62</v>
      </c>
      <c r="R4575" s="1405">
        <v>1.8122</v>
      </c>
      <c r="S4575" s="1228">
        <v>17</v>
      </c>
      <c r="Y4575" s="2054">
        <v>32.1</v>
      </c>
      <c r="AA4575" s="1405">
        <v>3.87</v>
      </c>
      <c r="AB4575" s="1405">
        <v>0.36599999999999999</v>
      </c>
      <c r="AC4575" s="415">
        <v>11.9</v>
      </c>
      <c r="AD4575" s="1408">
        <v>536</v>
      </c>
      <c r="AE4575" s="1408">
        <v>339</v>
      </c>
      <c r="AF4575" s="1408">
        <v>125</v>
      </c>
      <c r="AG4575" s="66">
        <f t="shared" si="169"/>
        <v>123.84485981308413</v>
      </c>
      <c r="AH4575" s="2055">
        <f t="shared" si="171"/>
        <v>1000</v>
      </c>
      <c r="AI4575" s="415">
        <f t="shared" si="168"/>
        <v>339</v>
      </c>
    </row>
    <row r="4576" spans="1:35" s="415" customFormat="1" x14ac:dyDescent="0.3">
      <c r="A4576" s="415">
        <v>103202</v>
      </c>
      <c r="B4576" s="1228">
        <v>11.833333333333332</v>
      </c>
      <c r="C4576" s="1228">
        <v>8.4</v>
      </c>
      <c r="D4576" s="1405">
        <v>8.8000000000000007</v>
      </c>
      <c r="E4576" s="1585">
        <v>0.216</v>
      </c>
      <c r="F4576" s="2052">
        <v>250.55999999999997</v>
      </c>
      <c r="H4576" s="1406">
        <v>68.27</v>
      </c>
      <c r="I4576" s="1406">
        <v>370</v>
      </c>
      <c r="J4576" s="1407">
        <v>0.70499999999999996</v>
      </c>
      <c r="K4576" s="1228">
        <v>11.99</v>
      </c>
      <c r="L4576" s="415">
        <v>1810</v>
      </c>
      <c r="M4576" s="415">
        <v>0.34</v>
      </c>
      <c r="N4576" s="415">
        <v>1.08</v>
      </c>
      <c r="O4576" s="415">
        <v>2.85</v>
      </c>
      <c r="P4576" s="415">
        <v>6.89</v>
      </c>
      <c r="R4576" s="1405">
        <v>1.7677080000000001</v>
      </c>
      <c r="S4576" s="1228">
        <v>15.600000000000001</v>
      </c>
      <c r="Y4576" s="2054">
        <v>31.1</v>
      </c>
      <c r="AA4576" s="1405">
        <v>4.2</v>
      </c>
      <c r="AB4576" s="1405">
        <v>0.39300000000000002</v>
      </c>
      <c r="AC4576" s="415">
        <v>9.8000000000000007</v>
      </c>
      <c r="AD4576" s="1408">
        <v>549</v>
      </c>
      <c r="AE4576" s="1408">
        <v>338</v>
      </c>
      <c r="AF4576" s="1408">
        <v>113</v>
      </c>
      <c r="AG4576" s="66">
        <f t="shared" si="169"/>
        <v>136.47781350482313</v>
      </c>
      <c r="AH4576" s="2055">
        <f t="shared" si="171"/>
        <v>1000</v>
      </c>
      <c r="AI4576" s="415">
        <f t="shared" si="168"/>
        <v>338</v>
      </c>
    </row>
    <row r="4577" spans="1:35" s="415" customFormat="1" x14ac:dyDescent="0.3">
      <c r="A4577" s="415">
        <v>103203</v>
      </c>
      <c r="B4577" s="1228">
        <v>12.666666666666664</v>
      </c>
      <c r="C4577" s="1228">
        <v>9</v>
      </c>
      <c r="D4577" s="1405">
        <v>8.73</v>
      </c>
      <c r="E4577" s="1585">
        <v>0.252</v>
      </c>
      <c r="F4577" s="2052">
        <v>299.88</v>
      </c>
      <c r="H4577" s="1406">
        <v>19.29</v>
      </c>
      <c r="I4577" s="1406">
        <v>670</v>
      </c>
      <c r="J4577" s="1407">
        <v>0.44</v>
      </c>
      <c r="K4577" s="1228">
        <v>10.63</v>
      </c>
      <c r="L4577" s="415">
        <v>1910</v>
      </c>
      <c r="M4577" s="415">
        <v>0.26</v>
      </c>
      <c r="N4577" s="415">
        <v>0.96</v>
      </c>
      <c r="O4577" s="415">
        <v>1.96</v>
      </c>
      <c r="P4577" s="415">
        <v>8.8699999999999992</v>
      </c>
      <c r="R4577" s="1405">
        <v>1.706472</v>
      </c>
      <c r="S4577" s="1228">
        <v>13.799999999999999</v>
      </c>
      <c r="Y4577" s="2054">
        <v>32.1</v>
      </c>
      <c r="AA4577" s="1405">
        <v>4.05</v>
      </c>
      <c r="AB4577" s="1405">
        <v>0.874</v>
      </c>
      <c r="AC4577" s="415">
        <v>10.4</v>
      </c>
      <c r="AD4577" s="1408">
        <v>527</v>
      </c>
      <c r="AE4577" s="1408">
        <v>356</v>
      </c>
      <c r="AF4577" s="1408">
        <v>117</v>
      </c>
      <c r="AG4577" s="66">
        <f t="shared" si="169"/>
        <v>117.22803738317758</v>
      </c>
      <c r="AH4577" s="2055">
        <f t="shared" si="171"/>
        <v>1000</v>
      </c>
      <c r="AI4577" s="415">
        <f t="shared" si="168"/>
        <v>356</v>
      </c>
    </row>
    <row r="4578" spans="1:35" s="415" customFormat="1" x14ac:dyDescent="0.3">
      <c r="A4578" s="415">
        <v>103204</v>
      </c>
      <c r="B4578" s="1228">
        <v>10.666666666666668</v>
      </c>
      <c r="C4578" s="1228">
        <v>6</v>
      </c>
      <c r="D4578" s="1405">
        <v>8.82</v>
      </c>
      <c r="E4578" s="1585">
        <v>0.23300000000000001</v>
      </c>
      <c r="F4578" s="2052">
        <v>270.27999999999997</v>
      </c>
      <c r="H4578" s="1406">
        <v>29.51</v>
      </c>
      <c r="I4578" s="1406">
        <v>670</v>
      </c>
      <c r="J4578" s="1407">
        <v>0.439</v>
      </c>
      <c r="K4578" s="1228">
        <v>10.63</v>
      </c>
      <c r="L4578" s="415">
        <v>1910</v>
      </c>
      <c r="M4578" s="415">
        <v>1.19</v>
      </c>
      <c r="N4578" s="415">
        <v>1.57</v>
      </c>
      <c r="O4578" s="415">
        <v>3.99</v>
      </c>
      <c r="P4578" s="415">
        <v>10.14</v>
      </c>
      <c r="R4578" s="1405">
        <v>1.824408</v>
      </c>
      <c r="S4578" s="1228">
        <v>17.399999999999999</v>
      </c>
      <c r="Y4578" s="2054">
        <v>33.9</v>
      </c>
      <c r="AA4578" s="1405">
        <v>3.93</v>
      </c>
      <c r="AB4578" s="1405">
        <v>0.30399999999999999</v>
      </c>
      <c r="AC4578" s="415">
        <v>6.1</v>
      </c>
      <c r="AD4578" s="1408">
        <v>529</v>
      </c>
      <c r="AE4578" s="1408">
        <v>358</v>
      </c>
      <c r="AF4578" s="1408">
        <v>113</v>
      </c>
      <c r="AG4578" s="66">
        <f t="shared" si="169"/>
        <v>111.00353982300886</v>
      </c>
      <c r="AH4578" s="2055">
        <f t="shared" si="171"/>
        <v>1000</v>
      </c>
      <c r="AI4578" s="415">
        <f t="shared" si="168"/>
        <v>358</v>
      </c>
    </row>
    <row r="4579" spans="1:35" s="415" customFormat="1" x14ac:dyDescent="0.3">
      <c r="A4579" s="415">
        <v>103205</v>
      </c>
      <c r="B4579" s="1228">
        <v>11.166666666666666</v>
      </c>
      <c r="C4579" s="1228">
        <v>6.9</v>
      </c>
      <c r="D4579" s="1405">
        <v>8.86</v>
      </c>
      <c r="E4579" s="1585">
        <v>0.25</v>
      </c>
      <c r="F4579" s="2052">
        <v>285</v>
      </c>
      <c r="H4579" s="1406">
        <v>21.04</v>
      </c>
      <c r="I4579" s="1406">
        <v>640</v>
      </c>
      <c r="J4579" s="1407">
        <v>0.66</v>
      </c>
      <c r="K4579" s="1228">
        <v>11.68</v>
      </c>
      <c r="L4579" s="415">
        <v>1770</v>
      </c>
      <c r="M4579" s="415">
        <v>1.0900000000000001</v>
      </c>
      <c r="N4579" s="415">
        <v>1.65</v>
      </c>
      <c r="O4579" s="415">
        <v>3.4</v>
      </c>
      <c r="P4579" s="415">
        <v>8.51</v>
      </c>
      <c r="R4579" s="1405">
        <v>1.7544919999999999</v>
      </c>
      <c r="S4579" s="1228">
        <v>15.2</v>
      </c>
      <c r="Y4579" s="2054">
        <v>32.9</v>
      </c>
      <c r="AA4579" s="1405">
        <v>4.3</v>
      </c>
      <c r="AB4579" s="1405">
        <v>0.376</v>
      </c>
      <c r="AC4579" s="415">
        <v>10.199999999999999</v>
      </c>
      <c r="AD4579" s="1408">
        <v>551</v>
      </c>
      <c r="AE4579" s="1408">
        <v>323</v>
      </c>
      <c r="AF4579" s="1408">
        <v>126</v>
      </c>
      <c r="AG4579" s="66">
        <f t="shared" si="169"/>
        <v>125.67537993920973</v>
      </c>
      <c r="AH4579" s="2055">
        <f t="shared" si="171"/>
        <v>1000</v>
      </c>
      <c r="AI4579" s="415">
        <f t="shared" si="168"/>
        <v>323</v>
      </c>
    </row>
    <row r="4580" spans="1:35" s="415" customFormat="1" x14ac:dyDescent="0.3">
      <c r="A4580" s="415">
        <v>103206</v>
      </c>
      <c r="B4580" s="1228">
        <v>14.583333333333332</v>
      </c>
      <c r="C4580" s="1228">
        <v>9.6</v>
      </c>
      <c r="D4580" s="1405">
        <v>8.82</v>
      </c>
      <c r="E4580" s="1585">
        <v>0.39900000000000002</v>
      </c>
      <c r="F4580" s="2052">
        <v>458.84999999999997</v>
      </c>
      <c r="H4580" s="1406">
        <v>28.21</v>
      </c>
      <c r="I4580" s="1406">
        <v>630</v>
      </c>
      <c r="J4580" s="1407">
        <v>0.99199999999999999</v>
      </c>
      <c r="K4580" s="1228">
        <v>10.91</v>
      </c>
      <c r="L4580" s="415">
        <v>2050</v>
      </c>
      <c r="M4580" s="415">
        <v>0.96</v>
      </c>
      <c r="N4580" s="415">
        <v>1.1299999999999999</v>
      </c>
      <c r="O4580" s="415">
        <v>3.45</v>
      </c>
      <c r="P4580" s="415">
        <v>5.95</v>
      </c>
      <c r="R4580" s="1405">
        <v>1.809113</v>
      </c>
      <c r="S4580" s="1228">
        <v>16.899999999999999</v>
      </c>
      <c r="Y4580" s="2054">
        <v>33.299999999999997</v>
      </c>
      <c r="AA4580" s="1405">
        <v>4.8099999999999996</v>
      </c>
      <c r="AB4580" s="1405">
        <v>0.31900000000000001</v>
      </c>
      <c r="AC4580" s="415">
        <v>8.8000000000000007</v>
      </c>
      <c r="AD4580" s="1408">
        <v>534</v>
      </c>
      <c r="AE4580" s="1408">
        <v>341</v>
      </c>
      <c r="AF4580" s="1408">
        <v>125</v>
      </c>
      <c r="AG4580" s="66">
        <f t="shared" si="169"/>
        <v>115.9801801801802</v>
      </c>
      <c r="AH4580" s="2055">
        <f t="shared" si="171"/>
        <v>1000</v>
      </c>
      <c r="AI4580" s="415">
        <f t="shared" si="168"/>
        <v>341</v>
      </c>
    </row>
    <row r="4581" spans="1:35" s="415" customFormat="1" x14ac:dyDescent="0.3">
      <c r="A4581" s="415">
        <v>103207</v>
      </c>
      <c r="B4581" s="1228">
        <v>15.666666666666668</v>
      </c>
      <c r="C4581" s="1228">
        <v>9.1</v>
      </c>
      <c r="D4581" s="1405">
        <v>8.5</v>
      </c>
      <c r="E4581" s="1585">
        <v>0.71699999999999997</v>
      </c>
      <c r="F4581" s="2052">
        <v>838.89</v>
      </c>
      <c r="H4581" s="1406">
        <v>52.04</v>
      </c>
      <c r="I4581" s="1406">
        <v>570</v>
      </c>
      <c r="J4581" s="1407">
        <v>1.395</v>
      </c>
      <c r="K4581" s="1228">
        <v>12.16</v>
      </c>
      <c r="L4581" s="415">
        <v>2950</v>
      </c>
      <c r="M4581" s="415">
        <v>1.4</v>
      </c>
      <c r="N4581" s="415">
        <v>1.44</v>
      </c>
      <c r="O4581" s="415">
        <v>2.93</v>
      </c>
      <c r="P4581" s="415">
        <v>10.57</v>
      </c>
      <c r="R4581" s="1405">
        <v>1.8681930000000002</v>
      </c>
      <c r="S4581" s="1228">
        <v>18.899999999999999</v>
      </c>
      <c r="Y4581" s="2054">
        <v>33.1</v>
      </c>
      <c r="AA4581" s="1405">
        <v>3.78</v>
      </c>
      <c r="AB4581" s="1405">
        <v>0.68700000000000006</v>
      </c>
      <c r="AC4581" s="415">
        <v>11.8</v>
      </c>
      <c r="AD4581" s="1408">
        <v>540</v>
      </c>
      <c r="AE4581" s="1408">
        <v>333</v>
      </c>
      <c r="AF4581" s="1408">
        <v>127</v>
      </c>
      <c r="AG4581" s="66">
        <f t="shared" si="169"/>
        <v>130.04954682779453</v>
      </c>
      <c r="AH4581" s="2055">
        <f t="shared" si="171"/>
        <v>1000</v>
      </c>
      <c r="AI4581" s="415">
        <f t="shared" si="168"/>
        <v>333</v>
      </c>
    </row>
    <row r="4582" spans="1:35" s="415" customFormat="1" x14ac:dyDescent="0.3">
      <c r="A4582" s="415">
        <v>103208</v>
      </c>
      <c r="B4582" s="1228">
        <v>12.666666666666664</v>
      </c>
      <c r="C4582" s="1228">
        <v>10.4</v>
      </c>
      <c r="D4582" s="1405">
        <v>8.85</v>
      </c>
      <c r="E4582" s="1585">
        <v>0.16</v>
      </c>
      <c r="F4582" s="2052">
        <v>188.79999999999998</v>
      </c>
      <c r="H4582" s="1406">
        <v>31.29</v>
      </c>
      <c r="I4582" s="1406">
        <v>890</v>
      </c>
      <c r="J4582" s="1407">
        <v>0.26200000000000001</v>
      </c>
      <c r="K4582" s="1228">
        <v>11.91</v>
      </c>
      <c r="L4582" s="415">
        <v>1930</v>
      </c>
      <c r="M4582" s="415">
        <v>6.84</v>
      </c>
      <c r="N4582" s="415">
        <v>0.91</v>
      </c>
      <c r="O4582" s="415">
        <v>2.0299999999999998</v>
      </c>
      <c r="P4582" s="415">
        <v>5.87</v>
      </c>
      <c r="R4582" s="1405">
        <v>1.7478000000000002</v>
      </c>
      <c r="S4582" s="1228">
        <v>15</v>
      </c>
      <c r="Y4582" s="2054">
        <v>31.5</v>
      </c>
      <c r="AA4582" s="1405">
        <v>3.99</v>
      </c>
      <c r="AB4582" s="1405">
        <v>0.33300000000000002</v>
      </c>
      <c r="AC4582" s="415">
        <v>10.1</v>
      </c>
      <c r="AD4582" s="1408">
        <v>521</v>
      </c>
      <c r="AE4582" s="1408">
        <v>355</v>
      </c>
      <c r="AF4582" s="1408">
        <v>124</v>
      </c>
      <c r="AG4582" s="66">
        <f t="shared" si="169"/>
        <v>133.84571428571431</v>
      </c>
      <c r="AH4582" s="2055">
        <f t="shared" si="171"/>
        <v>1000</v>
      </c>
      <c r="AI4582" s="415">
        <f t="shared" si="168"/>
        <v>355</v>
      </c>
    </row>
    <row r="4583" spans="1:35" s="415" customFormat="1" x14ac:dyDescent="0.3">
      <c r="A4583" s="415">
        <v>103209</v>
      </c>
      <c r="B4583" s="1228">
        <v>13.499999999999998</v>
      </c>
      <c r="C4583" s="1228">
        <v>11</v>
      </c>
      <c r="D4583" s="1405">
        <v>8.81</v>
      </c>
      <c r="E4583" s="1585">
        <v>0.23</v>
      </c>
      <c r="F4583" s="2052">
        <v>262.2</v>
      </c>
      <c r="H4583" s="1406">
        <v>10.62</v>
      </c>
      <c r="I4583" s="1406">
        <v>630</v>
      </c>
      <c r="J4583" s="1407">
        <v>0.58399999999999996</v>
      </c>
      <c r="K4583" s="1228">
        <v>12.74</v>
      </c>
      <c r="L4583" s="415">
        <v>2060</v>
      </c>
      <c r="M4583" s="415">
        <v>0.35</v>
      </c>
      <c r="N4583" s="415">
        <v>0.97</v>
      </c>
      <c r="O4583" s="415">
        <v>1.26</v>
      </c>
      <c r="P4583" s="415">
        <v>9.11</v>
      </c>
      <c r="R4583" s="1405">
        <v>1.7029370000000001</v>
      </c>
      <c r="S4583" s="1228">
        <v>13.700000000000001</v>
      </c>
      <c r="Y4583" s="2054">
        <v>30.7</v>
      </c>
      <c r="AA4583" s="1405">
        <v>4.51</v>
      </c>
      <c r="AB4583" s="1405">
        <v>0.28799999999999998</v>
      </c>
      <c r="AC4583" s="415">
        <v>8.6</v>
      </c>
      <c r="AD4583" s="1408">
        <v>539</v>
      </c>
      <c r="AE4583" s="1408">
        <v>338</v>
      </c>
      <c r="AF4583" s="1408">
        <v>123</v>
      </c>
      <c r="AG4583" s="66">
        <f t="shared" si="169"/>
        <v>146.90423452768729</v>
      </c>
      <c r="AH4583" s="2055">
        <f t="shared" si="171"/>
        <v>1000</v>
      </c>
      <c r="AI4583" s="415">
        <f t="shared" si="168"/>
        <v>338</v>
      </c>
    </row>
    <row r="4584" spans="1:35" s="415" customFormat="1" x14ac:dyDescent="0.3">
      <c r="A4584" s="415">
        <v>103210</v>
      </c>
      <c r="B4584" s="1228">
        <v>13.416666666666666</v>
      </c>
      <c r="C4584" s="1228">
        <v>9.1</v>
      </c>
      <c r="D4584" s="1405">
        <v>8.7899999999999991</v>
      </c>
      <c r="E4584" s="1585">
        <v>0.25</v>
      </c>
      <c r="F4584" s="2052">
        <v>297.5</v>
      </c>
      <c r="H4584" s="1406">
        <v>67.36</v>
      </c>
      <c r="I4584" s="1406">
        <v>930</v>
      </c>
      <c r="J4584" s="1407">
        <v>0.47499999999999998</v>
      </c>
      <c r="K4584" s="1228">
        <v>11.46</v>
      </c>
      <c r="L4584" s="415">
        <v>2050</v>
      </c>
      <c r="M4584" s="415">
        <v>0.41</v>
      </c>
      <c r="N4584" s="415">
        <v>0.81</v>
      </c>
      <c r="O4584" s="415">
        <v>3.75</v>
      </c>
      <c r="P4584" s="415">
        <v>6.55</v>
      </c>
      <c r="R4584" s="1405">
        <v>1.7966250000000001</v>
      </c>
      <c r="S4584" s="1228">
        <v>16.5</v>
      </c>
      <c r="Y4584" s="2054">
        <v>31.7</v>
      </c>
      <c r="AA4584" s="1405">
        <v>3.68</v>
      </c>
      <c r="AB4584" s="1405">
        <v>0.78900000000000003</v>
      </c>
      <c r="AC4584" s="415">
        <v>9.1999999999999993</v>
      </c>
      <c r="AD4584" s="1408">
        <v>554</v>
      </c>
      <c r="AE4584" s="1408">
        <v>326</v>
      </c>
      <c r="AF4584" s="1408">
        <v>120</v>
      </c>
      <c r="AG4584" s="66">
        <f t="shared" si="169"/>
        <v>127.97602523659309</v>
      </c>
      <c r="AH4584" s="2055">
        <f t="shared" si="171"/>
        <v>1000</v>
      </c>
      <c r="AI4584" s="415">
        <f t="shared" si="168"/>
        <v>326</v>
      </c>
    </row>
    <row r="4585" spans="1:35" s="415" customFormat="1" x14ac:dyDescent="0.3">
      <c r="A4585" s="415">
        <v>103211</v>
      </c>
      <c r="B4585" s="1228">
        <v>12.166666666666666</v>
      </c>
      <c r="C4585" s="1228">
        <v>8.5</v>
      </c>
      <c r="D4585" s="1405">
        <v>8.59</v>
      </c>
      <c r="E4585" s="1585">
        <v>0.53100000000000003</v>
      </c>
      <c r="F4585" s="2052">
        <v>626.57999999999993</v>
      </c>
      <c r="H4585" s="1406">
        <v>30.68</v>
      </c>
      <c r="I4585" s="1406">
        <v>640</v>
      </c>
      <c r="J4585" s="1407">
        <v>0.88200000000000001</v>
      </c>
      <c r="K4585" s="1228">
        <v>11.31</v>
      </c>
      <c r="L4585" s="415">
        <v>1980</v>
      </c>
      <c r="M4585" s="415">
        <v>0.39</v>
      </c>
      <c r="N4585" s="415">
        <v>0.76</v>
      </c>
      <c r="O4585" s="415">
        <v>2.71</v>
      </c>
      <c r="P4585" s="415">
        <v>5.92</v>
      </c>
      <c r="R4585" s="1405">
        <v>1.787112</v>
      </c>
      <c r="S4585" s="1228">
        <v>16.200000000000003</v>
      </c>
      <c r="Y4585" s="2054">
        <v>33.9</v>
      </c>
      <c r="AA4585" s="1405">
        <v>4.83</v>
      </c>
      <c r="AB4585" s="1405">
        <v>0.83899999999999997</v>
      </c>
      <c r="AC4585" s="415">
        <v>7.7</v>
      </c>
      <c r="AD4585" s="1408">
        <v>534</v>
      </c>
      <c r="AE4585" s="1408">
        <v>349</v>
      </c>
      <c r="AF4585" s="1408">
        <v>117</v>
      </c>
      <c r="AG4585" s="66">
        <f t="shared" si="169"/>
        <v>118.10442477876109</v>
      </c>
      <c r="AH4585" s="2055">
        <f t="shared" si="171"/>
        <v>1000</v>
      </c>
      <c r="AI4585" s="415">
        <f t="shared" si="168"/>
        <v>349</v>
      </c>
    </row>
    <row r="4586" spans="1:35" s="898" customFormat="1" x14ac:dyDescent="0.3">
      <c r="A4586" s="898">
        <v>103212</v>
      </c>
      <c r="B4586" s="899">
        <v>14.2</v>
      </c>
      <c r="C4586" s="899">
        <v>6.3</v>
      </c>
      <c r="D4586" s="884">
        <v>8.5299999999999994</v>
      </c>
      <c r="E4586" s="1576">
        <v>0.214</v>
      </c>
      <c r="F4586" s="2010">
        <v>252.51999999999998</v>
      </c>
      <c r="H4586" s="1717">
        <v>10.63</v>
      </c>
      <c r="I4586" s="1717">
        <v>850</v>
      </c>
      <c r="J4586" s="1718">
        <v>0.05</v>
      </c>
      <c r="K4586" s="899">
        <v>8.75</v>
      </c>
      <c r="L4586" s="898">
        <v>650</v>
      </c>
      <c r="M4586" s="898">
        <v>0.18</v>
      </c>
      <c r="N4586" s="898">
        <v>0.86</v>
      </c>
      <c r="O4586" s="898">
        <v>2.73</v>
      </c>
      <c r="P4586" s="898">
        <v>2.52</v>
      </c>
      <c r="R4586" s="884">
        <v>0.90898016299052886</v>
      </c>
      <c r="S4586" s="899">
        <v>6.3</v>
      </c>
      <c r="Y4586" s="2009">
        <v>30.6</v>
      </c>
      <c r="AA4586" s="884">
        <v>4.6500000000000004</v>
      </c>
      <c r="AB4586" s="884">
        <v>0.56200000000000006</v>
      </c>
      <c r="AC4586" s="898">
        <v>11.3</v>
      </c>
      <c r="AD4586" s="901">
        <v>510</v>
      </c>
      <c r="AE4586" s="901">
        <v>268</v>
      </c>
      <c r="AF4586" s="901">
        <v>222</v>
      </c>
      <c r="AG4586" s="66">
        <f t="shared" si="169"/>
        <v>101.22549019607843</v>
      </c>
      <c r="AH4586" s="2065">
        <f t="shared" si="171"/>
        <v>1000</v>
      </c>
      <c r="AI4586" s="898">
        <f t="shared" si="168"/>
        <v>268</v>
      </c>
    </row>
    <row r="4587" spans="1:35" s="898" customFormat="1" x14ac:dyDescent="0.3">
      <c r="A4587" s="898">
        <v>103213</v>
      </c>
      <c r="B4587" s="899">
        <v>17.5</v>
      </c>
      <c r="C4587" s="899">
        <v>7.1</v>
      </c>
      <c r="D4587" s="884">
        <v>8.66</v>
      </c>
      <c r="E4587" s="1576">
        <v>0.23100000000000001</v>
      </c>
      <c r="F4587" s="2010">
        <v>261.02999999999997</v>
      </c>
      <c r="H4587" s="1717">
        <v>16.239999999999998</v>
      </c>
      <c r="I4587" s="1717">
        <v>640</v>
      </c>
      <c r="J4587" s="1718">
        <v>7.0000000000000007E-2</v>
      </c>
      <c r="K4587" s="899">
        <v>8.3699999999999992</v>
      </c>
      <c r="L4587" s="898">
        <v>510</v>
      </c>
      <c r="M4587" s="898">
        <v>0.2</v>
      </c>
      <c r="N4587" s="898">
        <v>0.86</v>
      </c>
      <c r="O4587" s="898">
        <v>2.95</v>
      </c>
      <c r="P4587" s="898">
        <v>1.82</v>
      </c>
      <c r="R4587" s="884">
        <v>1.1253692386944318</v>
      </c>
      <c r="S4587" s="899">
        <v>8.3000000000000007</v>
      </c>
      <c r="Y4587" s="2009">
        <v>30.9</v>
      </c>
      <c r="AA4587" s="884">
        <v>3.72</v>
      </c>
      <c r="AB4587" s="884">
        <v>0.88200000000000001</v>
      </c>
      <c r="AC4587" s="898">
        <v>7.5</v>
      </c>
      <c r="AD4587" s="901">
        <v>515</v>
      </c>
      <c r="AE4587" s="901">
        <v>274</v>
      </c>
      <c r="AF4587" s="901">
        <v>211</v>
      </c>
      <c r="AG4587" s="66">
        <f t="shared" si="169"/>
        <v>95.889320388349503</v>
      </c>
      <c r="AH4587" s="2065">
        <f t="shared" si="171"/>
        <v>1000</v>
      </c>
      <c r="AI4587" s="898">
        <f t="shared" si="168"/>
        <v>274</v>
      </c>
    </row>
    <row r="4588" spans="1:35" s="898" customFormat="1" x14ac:dyDescent="0.3">
      <c r="A4588" s="898">
        <v>103214</v>
      </c>
      <c r="B4588" s="899">
        <v>8.5</v>
      </c>
      <c r="C4588" s="899"/>
      <c r="D4588" s="884">
        <v>8.57</v>
      </c>
      <c r="E4588" s="1576">
        <v>0.23300000000000001</v>
      </c>
      <c r="F4588" s="2010">
        <v>270.27999999999997</v>
      </c>
      <c r="H4588" s="1717">
        <v>38.6</v>
      </c>
      <c r="I4588" s="1717">
        <v>250</v>
      </c>
      <c r="J4588" s="1718">
        <v>0.15</v>
      </c>
      <c r="K4588" s="899">
        <v>10.87</v>
      </c>
      <c r="L4588" s="898">
        <v>1200</v>
      </c>
      <c r="M4588" s="898">
        <v>0.23</v>
      </c>
      <c r="N4588" s="898">
        <v>1.19</v>
      </c>
      <c r="O4588" s="898">
        <v>4.95</v>
      </c>
      <c r="P4588" s="898">
        <v>4.13</v>
      </c>
      <c r="R4588" s="884">
        <v>1.1966625043688657</v>
      </c>
      <c r="S4588" s="899">
        <v>8.1999999999999993</v>
      </c>
      <c r="Y4588" s="2009">
        <v>34.200000000000003</v>
      </c>
      <c r="AA4588" s="884">
        <v>3.59</v>
      </c>
      <c r="AB4588" s="884">
        <v>0.70099999999999996</v>
      </c>
      <c r="AC4588" s="898">
        <v>11.5</v>
      </c>
      <c r="AD4588" s="901">
        <v>536</v>
      </c>
      <c r="AE4588" s="901">
        <v>266</v>
      </c>
      <c r="AF4588" s="901">
        <v>198</v>
      </c>
      <c r="AG4588" s="66">
        <f t="shared" si="169"/>
        <v>112.51403508771928</v>
      </c>
      <c r="AH4588" s="2065">
        <f t="shared" si="171"/>
        <v>1000</v>
      </c>
      <c r="AI4588" s="898">
        <f t="shared" si="168"/>
        <v>266</v>
      </c>
    </row>
    <row r="4589" spans="1:35" s="693" customFormat="1" x14ac:dyDescent="0.3">
      <c r="A4589" s="693">
        <v>103215</v>
      </c>
      <c r="B4589" s="691">
        <v>6.1</v>
      </c>
      <c r="C4589" s="691"/>
      <c r="D4589" s="696">
        <v>8.51</v>
      </c>
      <c r="E4589" s="1563">
        <v>0.374</v>
      </c>
      <c r="F4589" s="1949">
        <v>422.61999999999995</v>
      </c>
      <c r="H4589" s="694">
        <v>214</v>
      </c>
      <c r="I4589" s="694">
        <v>190</v>
      </c>
      <c r="J4589" s="695">
        <v>0.11</v>
      </c>
      <c r="K4589" s="691">
        <v>4.53</v>
      </c>
      <c r="L4589" s="693">
        <v>450</v>
      </c>
      <c r="M4589" s="693">
        <v>1.83</v>
      </c>
      <c r="N4589" s="693">
        <v>0.26</v>
      </c>
      <c r="O4589" s="693">
        <v>2.48</v>
      </c>
      <c r="P4589" s="693">
        <v>2.68</v>
      </c>
      <c r="R4589" s="696">
        <v>1.2221016709135679</v>
      </c>
      <c r="S4589" s="691">
        <v>8.6</v>
      </c>
      <c r="Y4589" s="1950">
        <v>4.32</v>
      </c>
      <c r="AA4589" s="696"/>
      <c r="AB4589" s="696"/>
      <c r="AD4589" s="698"/>
      <c r="AE4589" s="698"/>
      <c r="AF4589" s="698"/>
      <c r="AG4589" s="66">
        <f t="shared" si="169"/>
        <v>371.20833333333331</v>
      </c>
      <c r="AH4589" s="2065"/>
      <c r="AI4589" s="693">
        <f t="shared" si="168"/>
        <v>1000</v>
      </c>
    </row>
    <row r="4590" spans="1:35" s="693" customFormat="1" x14ac:dyDescent="0.3">
      <c r="A4590" s="693">
        <v>103216</v>
      </c>
      <c r="B4590" s="691">
        <v>1.5</v>
      </c>
      <c r="C4590" s="691"/>
      <c r="D4590" s="696">
        <v>8.4700000000000006</v>
      </c>
      <c r="E4590" s="1563">
        <v>0.254</v>
      </c>
      <c r="F4590" s="1949">
        <v>292.09999999999997</v>
      </c>
      <c r="H4590" s="694">
        <v>141</v>
      </c>
      <c r="I4590" s="694">
        <v>140</v>
      </c>
      <c r="J4590" s="695">
        <v>0.12</v>
      </c>
      <c r="K4590" s="691">
        <v>4.6100000000000003</v>
      </c>
      <c r="L4590" s="693">
        <v>610</v>
      </c>
      <c r="M4590" s="693">
        <v>7.37</v>
      </c>
      <c r="N4590" s="693">
        <v>2.76</v>
      </c>
      <c r="O4590" s="693">
        <v>1.86</v>
      </c>
      <c r="P4590" s="693">
        <v>5.31</v>
      </c>
      <c r="R4590" s="696">
        <v>0.73032404249544258</v>
      </c>
      <c r="S4590" s="691">
        <v>5.2</v>
      </c>
      <c r="Y4590" s="1950">
        <v>4.2</v>
      </c>
      <c r="AA4590" s="696"/>
      <c r="AB4590" s="696"/>
      <c r="AD4590" s="698"/>
      <c r="AE4590" s="698"/>
      <c r="AF4590" s="698"/>
      <c r="AG4590" s="66">
        <f t="shared" si="169"/>
        <v>388.55714285714288</v>
      </c>
      <c r="AH4590" s="2065"/>
      <c r="AI4590" s="693">
        <f t="shared" si="168"/>
        <v>1000</v>
      </c>
    </row>
    <row r="4591" spans="1:35" s="693" customFormat="1" x14ac:dyDescent="0.3">
      <c r="A4591" s="693">
        <v>103217</v>
      </c>
      <c r="B4591" s="691">
        <v>3.9</v>
      </c>
      <c r="C4591" s="691"/>
      <c r="D4591" s="696">
        <v>8.5500000000000007</v>
      </c>
      <c r="E4591" s="1563">
        <v>0.27700000000000002</v>
      </c>
      <c r="F4591" s="1949">
        <v>321.32</v>
      </c>
      <c r="H4591" s="694">
        <v>168</v>
      </c>
      <c r="I4591" s="694">
        <v>270</v>
      </c>
      <c r="J4591" s="695">
        <v>0.06</v>
      </c>
      <c r="K4591" s="691">
        <v>6.07</v>
      </c>
      <c r="L4591" s="693">
        <v>810</v>
      </c>
      <c r="M4591" s="693">
        <v>5.28</v>
      </c>
      <c r="N4591" s="693">
        <v>5.26</v>
      </c>
      <c r="O4591" s="693">
        <v>2.44</v>
      </c>
      <c r="P4591" s="693">
        <v>3.48</v>
      </c>
      <c r="R4591" s="696">
        <v>0.96346568862208437</v>
      </c>
      <c r="S4591" s="691">
        <v>6.5</v>
      </c>
      <c r="Y4591" s="1950">
        <v>10.199999999999999</v>
      </c>
      <c r="AA4591" s="696"/>
      <c r="AB4591" s="696"/>
      <c r="AD4591" s="698"/>
      <c r="AE4591" s="698"/>
      <c r="AF4591" s="698"/>
      <c r="AG4591" s="66">
        <f t="shared" si="169"/>
        <v>210.66470588235296</v>
      </c>
      <c r="AH4591" s="2065"/>
      <c r="AI4591" s="693">
        <f t="shared" si="168"/>
        <v>1000</v>
      </c>
    </row>
    <row r="4592" spans="1:35" s="693" customFormat="1" x14ac:dyDescent="0.3">
      <c r="A4592" s="693">
        <v>103218</v>
      </c>
      <c r="B4592" s="691">
        <v>0.5</v>
      </c>
      <c r="C4592" s="691"/>
      <c r="D4592" s="696">
        <v>8.5</v>
      </c>
      <c r="E4592" s="1563">
        <v>0.35299999999999998</v>
      </c>
      <c r="F4592" s="1949">
        <v>413.01</v>
      </c>
      <c r="H4592" s="694">
        <v>408</v>
      </c>
      <c r="I4592" s="694">
        <v>310</v>
      </c>
      <c r="J4592" s="695">
        <v>0.15</v>
      </c>
      <c r="K4592" s="691">
        <v>3.81</v>
      </c>
      <c r="L4592" s="693">
        <v>730</v>
      </c>
      <c r="M4592" s="693">
        <v>4.87</v>
      </c>
      <c r="N4592" s="693">
        <v>3.09</v>
      </c>
      <c r="O4592" s="693">
        <v>1.29</v>
      </c>
      <c r="P4592" s="693">
        <v>5.28</v>
      </c>
      <c r="R4592" s="696">
        <v>0.83081649062707186</v>
      </c>
      <c r="S4592" s="691">
        <v>6.2</v>
      </c>
      <c r="Y4592" s="1950">
        <v>4.62</v>
      </c>
      <c r="AA4592" s="696"/>
      <c r="AB4592" s="696"/>
      <c r="AD4592" s="698"/>
      <c r="AE4592" s="698"/>
      <c r="AF4592" s="698"/>
      <c r="AG4592" s="66">
        <f t="shared" si="169"/>
        <v>291.93506493506493</v>
      </c>
      <c r="AH4592" s="2065"/>
      <c r="AI4592" s="693">
        <f t="shared" si="168"/>
        <v>1000</v>
      </c>
    </row>
    <row r="4593" spans="1:35" s="693" customFormat="1" x14ac:dyDescent="0.3">
      <c r="A4593" s="693">
        <v>103219</v>
      </c>
      <c r="B4593" s="691">
        <v>1.7</v>
      </c>
      <c r="C4593" s="691"/>
      <c r="D4593" s="696">
        <v>8.19</v>
      </c>
      <c r="E4593" s="1563">
        <v>0.38300000000000001</v>
      </c>
      <c r="F4593" s="1949">
        <v>436.61999999999995</v>
      </c>
      <c r="H4593" s="694">
        <v>170</v>
      </c>
      <c r="I4593" s="694">
        <v>180</v>
      </c>
      <c r="J4593" s="695">
        <v>0.05</v>
      </c>
      <c r="K4593" s="691">
        <v>4.0999999999999996</v>
      </c>
      <c r="L4593" s="693">
        <v>170</v>
      </c>
      <c r="M4593" s="693">
        <v>1.8</v>
      </c>
      <c r="N4593" s="693">
        <v>0.83</v>
      </c>
      <c r="O4593" s="693">
        <v>1.67</v>
      </c>
      <c r="P4593" s="693">
        <v>2.44</v>
      </c>
      <c r="R4593" s="696">
        <v>0.66639138958628263</v>
      </c>
      <c r="S4593" s="691">
        <v>4.4000000000000004</v>
      </c>
      <c r="Y4593" s="1950">
        <v>5.32</v>
      </c>
      <c r="AA4593" s="696">
        <v>3.93</v>
      </c>
      <c r="AB4593" s="696">
        <v>0.313</v>
      </c>
      <c r="AC4593" s="693">
        <v>8.4</v>
      </c>
      <c r="AD4593" s="698">
        <v>76</v>
      </c>
      <c r="AE4593" s="698">
        <v>61</v>
      </c>
      <c r="AF4593" s="698">
        <v>863</v>
      </c>
      <c r="AG4593" s="66">
        <f t="shared" si="169"/>
        <v>272.81954887218041</v>
      </c>
      <c r="AH4593" s="2065"/>
      <c r="AI4593" s="693">
        <f t="shared" si="168"/>
        <v>61</v>
      </c>
    </row>
    <row r="4594" spans="1:35" s="693" customFormat="1" x14ac:dyDescent="0.3">
      <c r="A4594" s="693">
        <v>103220</v>
      </c>
      <c r="B4594" s="691">
        <v>1.4</v>
      </c>
      <c r="C4594" s="691"/>
      <c r="D4594" s="696">
        <v>8.31</v>
      </c>
      <c r="E4594" s="1563">
        <v>0.56599999999999995</v>
      </c>
      <c r="F4594" s="1949">
        <v>645.2399999999999</v>
      </c>
      <c r="H4594" s="694">
        <v>289</v>
      </c>
      <c r="I4594" s="694">
        <v>390</v>
      </c>
      <c r="J4594" s="695">
        <v>0.15</v>
      </c>
      <c r="K4594" s="691">
        <v>4.72</v>
      </c>
      <c r="L4594" s="693">
        <v>430</v>
      </c>
      <c r="M4594" s="693">
        <v>3.09</v>
      </c>
      <c r="N4594" s="693">
        <v>0.45</v>
      </c>
      <c r="O4594" s="693">
        <v>1.64</v>
      </c>
      <c r="P4594" s="693">
        <v>3.32</v>
      </c>
      <c r="R4594" s="696">
        <v>1.0915912089000044</v>
      </c>
      <c r="S4594" s="691">
        <v>8.1000000000000014</v>
      </c>
      <c r="Y4594" s="1950">
        <v>3.95</v>
      </c>
      <c r="AA4594" s="696">
        <v>4.53</v>
      </c>
      <c r="AB4594" s="696">
        <v>0.52500000000000002</v>
      </c>
      <c r="AC4594" s="693">
        <v>6.8</v>
      </c>
      <c r="AD4594" s="698">
        <v>79</v>
      </c>
      <c r="AE4594" s="698">
        <v>60</v>
      </c>
      <c r="AF4594" s="698">
        <v>861</v>
      </c>
      <c r="AG4594" s="66">
        <f t="shared" si="169"/>
        <v>423.00759493670887</v>
      </c>
      <c r="AH4594" s="2065"/>
      <c r="AI4594" s="693">
        <f t="shared" ref="AI4594:AI4622" si="172">1000-AD4594-AF4594</f>
        <v>60</v>
      </c>
    </row>
    <row r="4595" spans="1:35" s="1267" customFormat="1" x14ac:dyDescent="0.3">
      <c r="A4595" s="1267">
        <v>103221</v>
      </c>
      <c r="B4595" s="2087">
        <v>0.7</v>
      </c>
      <c r="C4595" s="2087"/>
      <c r="D4595" s="2086">
        <v>8.0299999999999994</v>
      </c>
      <c r="E4595" s="2089">
        <v>1.718</v>
      </c>
      <c r="F4595" s="1972">
        <v>2044.4199999999998</v>
      </c>
      <c r="H4595" s="1651">
        <v>181</v>
      </c>
      <c r="I4595" s="1651">
        <v>290</v>
      </c>
      <c r="J4595" s="2090">
        <v>0.59499999999999997</v>
      </c>
      <c r="K4595" s="2087">
        <v>4.91</v>
      </c>
      <c r="L4595" s="1267">
        <v>730</v>
      </c>
      <c r="M4595" s="1267">
        <v>3.51</v>
      </c>
      <c r="N4595" s="1267">
        <v>0.75</v>
      </c>
      <c r="O4595" s="1267">
        <v>12.19</v>
      </c>
      <c r="P4595" s="1267">
        <v>4.46</v>
      </c>
      <c r="R4595" s="2086">
        <v>1.5903770000000002</v>
      </c>
      <c r="S4595" s="2087">
        <v>10.7</v>
      </c>
      <c r="Y4595" s="699">
        <v>22.1</v>
      </c>
      <c r="AA4595" s="2091">
        <v>4.01</v>
      </c>
      <c r="AB4595" s="2091">
        <v>0.42299999999999999</v>
      </c>
      <c r="AC4595" s="689">
        <v>8.3000000000000007</v>
      </c>
      <c r="AD4595" s="1267">
        <v>422</v>
      </c>
      <c r="AE4595" s="1267">
        <v>247</v>
      </c>
      <c r="AF4595" s="1267">
        <v>331</v>
      </c>
      <c r="AG4595" s="66">
        <f t="shared" si="169"/>
        <v>78.64886877828053</v>
      </c>
      <c r="AH4595" s="2065"/>
      <c r="AI4595" s="698">
        <f t="shared" si="172"/>
        <v>247</v>
      </c>
    </row>
    <row r="4596" spans="1:35" s="1267" customFormat="1" x14ac:dyDescent="0.3">
      <c r="A4596" s="1267">
        <v>103222</v>
      </c>
      <c r="B4596" s="2087">
        <v>8.3000000000000007</v>
      </c>
      <c r="C4596" s="2087"/>
      <c r="D4596" s="2086">
        <v>8.56</v>
      </c>
      <c r="E4596" s="2089">
        <v>0.22500000000000001</v>
      </c>
      <c r="F4596" s="1972">
        <v>263.25</v>
      </c>
      <c r="H4596" s="1651">
        <v>220</v>
      </c>
      <c r="I4596" s="1651">
        <v>250</v>
      </c>
      <c r="J4596" s="2090">
        <v>0.112</v>
      </c>
      <c r="K4596" s="2087">
        <v>5.21</v>
      </c>
      <c r="L4596" s="1267">
        <v>460</v>
      </c>
      <c r="M4596" s="1267">
        <v>2.27</v>
      </c>
      <c r="N4596" s="1267">
        <v>0.46</v>
      </c>
      <c r="O4596" s="1267">
        <v>6.28</v>
      </c>
      <c r="P4596" s="1267">
        <v>3.23</v>
      </c>
      <c r="R4596" s="2086">
        <v>0.87451400995826822</v>
      </c>
      <c r="S4596" s="2087">
        <v>6.5</v>
      </c>
      <c r="Y4596" s="699">
        <v>4.9000000000000004</v>
      </c>
      <c r="AA4596" s="2091">
        <v>3.62</v>
      </c>
      <c r="AB4596" s="2091">
        <v>0.60199999999999998</v>
      </c>
      <c r="AC4596" s="689">
        <v>7.9</v>
      </c>
      <c r="AD4596" s="1267">
        <v>98</v>
      </c>
      <c r="AE4596" s="1267">
        <v>61</v>
      </c>
      <c r="AF4596" s="1267">
        <v>841</v>
      </c>
      <c r="AG4596" s="66">
        <f t="shared" si="169"/>
        <v>376.39591836734695</v>
      </c>
      <c r="AH4596" s="2065"/>
      <c r="AI4596" s="698">
        <f t="shared" si="172"/>
        <v>61</v>
      </c>
    </row>
    <row r="4597" spans="1:35" s="1267" customFormat="1" x14ac:dyDescent="0.3">
      <c r="A4597" s="1267">
        <v>103223</v>
      </c>
      <c r="B4597" s="2087">
        <v>8.5</v>
      </c>
      <c r="C4597" s="2087"/>
      <c r="D4597" s="2086">
        <v>8.52</v>
      </c>
      <c r="E4597" s="2089">
        <v>0.26600000000000001</v>
      </c>
      <c r="F4597" s="1972">
        <v>316.53999999999996</v>
      </c>
      <c r="H4597" s="1651">
        <v>189</v>
      </c>
      <c r="I4597" s="1651">
        <v>260</v>
      </c>
      <c r="J4597" s="2090">
        <v>0.127</v>
      </c>
      <c r="K4597" s="2087">
        <v>4.79</v>
      </c>
      <c r="L4597" s="1267">
        <v>330</v>
      </c>
      <c r="M4597" s="1267">
        <v>3.21</v>
      </c>
      <c r="N4597" s="1267">
        <v>0.78</v>
      </c>
      <c r="O4597" s="1267">
        <v>6.64</v>
      </c>
      <c r="P4597" s="1267">
        <v>2.59</v>
      </c>
      <c r="R4597" s="2086">
        <v>0.80998391094288358</v>
      </c>
      <c r="S4597" s="2087">
        <v>5.5</v>
      </c>
      <c r="Y4597" s="699">
        <v>4.8</v>
      </c>
      <c r="AA4597" s="2091">
        <v>5</v>
      </c>
      <c r="AB4597" s="2091">
        <v>0.71199999999999997</v>
      </c>
      <c r="AC4597" s="689">
        <v>6.7</v>
      </c>
      <c r="AD4597" s="1267">
        <v>91</v>
      </c>
      <c r="AE4597" s="1267">
        <v>64</v>
      </c>
      <c r="AF4597" s="1267">
        <v>845</v>
      </c>
      <c r="AG4597" s="66">
        <f t="shared" si="169"/>
        <v>353.26250000000005</v>
      </c>
      <c r="AH4597" s="2065"/>
      <c r="AI4597" s="698">
        <f t="shared" si="172"/>
        <v>64</v>
      </c>
    </row>
    <row r="4598" spans="1:35" s="755" customFormat="1" x14ac:dyDescent="0.3">
      <c r="A4598" s="760">
        <v>103224</v>
      </c>
      <c r="B4598" s="1424">
        <v>1.4</v>
      </c>
      <c r="C4598" s="1424"/>
      <c r="D4598" s="757">
        <v>8.5399999999999991</v>
      </c>
      <c r="E4598" s="1570">
        <v>0.35</v>
      </c>
      <c r="F4598" s="2097">
        <v>398.99999999999994</v>
      </c>
      <c r="H4598" s="758">
        <v>179</v>
      </c>
      <c r="I4598" s="758">
        <v>80</v>
      </c>
      <c r="J4598" s="759">
        <v>0.1</v>
      </c>
      <c r="K4598" s="1424">
        <v>4.7300000000000004</v>
      </c>
      <c r="L4598" s="755">
        <v>700</v>
      </c>
      <c r="M4598" s="755">
        <v>7.32</v>
      </c>
      <c r="N4598" s="755">
        <v>8</v>
      </c>
      <c r="O4598" s="755">
        <v>6.63</v>
      </c>
      <c r="P4598" s="755">
        <v>4.3600000000000003</v>
      </c>
      <c r="R4598" s="757">
        <v>0.94427672493473103</v>
      </c>
      <c r="S4598" s="1424">
        <v>6.3</v>
      </c>
      <c r="Y4598" s="2098">
        <v>3.55</v>
      </c>
      <c r="AA4598" s="757">
        <v>3.64</v>
      </c>
      <c r="AB4598" s="757">
        <v>0.34</v>
      </c>
      <c r="AC4598" s="755">
        <v>11.7</v>
      </c>
      <c r="AD4598" s="760">
        <v>71</v>
      </c>
      <c r="AE4598" s="760">
        <v>87</v>
      </c>
      <c r="AF4598" s="760">
        <v>842</v>
      </c>
      <c r="AG4598" s="66">
        <f t="shared" si="169"/>
        <v>471.66760563380291</v>
      </c>
      <c r="AI4598" s="755">
        <f t="shared" si="172"/>
        <v>87</v>
      </c>
    </row>
    <row r="4599" spans="1:35" s="755" customFormat="1" x14ac:dyDescent="0.3">
      <c r="A4599" s="760">
        <v>103225</v>
      </c>
      <c r="B4599" s="1424">
        <v>0.1</v>
      </c>
      <c r="C4599" s="1424"/>
      <c r="D4599" s="757">
        <v>8.8699999999999992</v>
      </c>
      <c r="E4599" s="1570">
        <v>0.104</v>
      </c>
      <c r="F4599" s="2097">
        <v>123.75999999999999</v>
      </c>
      <c r="H4599" s="758">
        <v>53</v>
      </c>
      <c r="I4599" s="758">
        <v>90</v>
      </c>
      <c r="J4599" s="759">
        <v>0.04</v>
      </c>
      <c r="K4599" s="1424">
        <v>1.26</v>
      </c>
      <c r="L4599" s="755">
        <v>340</v>
      </c>
      <c r="M4599" s="755">
        <v>2.34</v>
      </c>
      <c r="N4599" s="755">
        <v>1.55</v>
      </c>
      <c r="O4599" s="755">
        <v>2.62</v>
      </c>
      <c r="P4599" s="755">
        <v>2.63</v>
      </c>
      <c r="R4599" s="757">
        <v>0.45834262468044362</v>
      </c>
      <c r="S4599" s="1424">
        <v>3.1</v>
      </c>
      <c r="Y4599" s="2098">
        <v>3.45</v>
      </c>
      <c r="AA4599" s="757">
        <v>4.95</v>
      </c>
      <c r="AB4599" s="757">
        <v>0.35799999999999998</v>
      </c>
      <c r="AC4599" s="755">
        <v>7.7</v>
      </c>
      <c r="AD4599" s="760">
        <v>69</v>
      </c>
      <c r="AE4599" s="760">
        <v>86</v>
      </c>
      <c r="AF4599" s="760">
        <v>845</v>
      </c>
      <c r="AG4599" s="66">
        <f t="shared" si="169"/>
        <v>129.28695652173911</v>
      </c>
      <c r="AI4599" s="755">
        <f t="shared" si="172"/>
        <v>86</v>
      </c>
    </row>
    <row r="4600" spans="1:35" s="681" customFormat="1" x14ac:dyDescent="0.3">
      <c r="A4600" s="684">
        <v>103226</v>
      </c>
      <c r="B4600" s="679">
        <v>0.2</v>
      </c>
      <c r="C4600" s="679"/>
      <c r="D4600" s="680">
        <v>8.82</v>
      </c>
      <c r="E4600" s="1560">
        <v>0.27600000000000002</v>
      </c>
      <c r="F4600" s="2125">
        <v>311.88</v>
      </c>
      <c r="H4600" s="682">
        <v>68.94</v>
      </c>
      <c r="I4600" s="681">
        <v>100</v>
      </c>
      <c r="J4600" s="681">
        <v>0.27</v>
      </c>
      <c r="K4600" s="681">
        <v>2.73</v>
      </c>
      <c r="L4600" s="681">
        <v>520</v>
      </c>
      <c r="M4600" s="681">
        <v>0.61</v>
      </c>
      <c r="N4600" s="681">
        <v>0.53</v>
      </c>
      <c r="O4600" s="681">
        <v>2.34</v>
      </c>
      <c r="P4600" s="681">
        <v>2.66</v>
      </c>
      <c r="R4600" s="680">
        <v>0.49385012743917817</v>
      </c>
      <c r="S4600" s="679">
        <v>3.5</v>
      </c>
      <c r="Y4600" s="2043">
        <v>7.5</v>
      </c>
      <c r="AA4600" s="680">
        <v>4.08</v>
      </c>
      <c r="AB4600" s="680">
        <v>0.54900000000000004</v>
      </c>
      <c r="AC4600" s="681">
        <v>11.9</v>
      </c>
      <c r="AD4600" s="684">
        <v>125</v>
      </c>
      <c r="AE4600" s="684">
        <v>63</v>
      </c>
      <c r="AF4600" s="684">
        <v>812</v>
      </c>
      <c r="AG4600" s="66">
        <f t="shared" si="169"/>
        <v>128.85599999999999</v>
      </c>
      <c r="AI4600" s="681">
        <f t="shared" si="172"/>
        <v>63</v>
      </c>
    </row>
    <row r="4601" spans="1:35" s="681" customFormat="1" x14ac:dyDescent="0.3">
      <c r="A4601" s="684">
        <v>103227</v>
      </c>
      <c r="B4601" s="679">
        <v>3.4</v>
      </c>
      <c r="C4601" s="679"/>
      <c r="D4601" s="680">
        <v>8.85</v>
      </c>
      <c r="E4601" s="1560">
        <v>0.20200000000000001</v>
      </c>
      <c r="F4601" s="2125">
        <v>240.38</v>
      </c>
      <c r="H4601" s="682">
        <v>132.25</v>
      </c>
      <c r="I4601" s="682">
        <v>130</v>
      </c>
      <c r="J4601" s="683">
        <v>0.14000000000000001</v>
      </c>
      <c r="K4601" s="679">
        <v>4.88</v>
      </c>
      <c r="L4601" s="681">
        <v>450</v>
      </c>
      <c r="M4601" s="681">
        <v>0.11</v>
      </c>
      <c r="N4601" s="681">
        <v>0.05</v>
      </c>
      <c r="O4601" s="681">
        <v>0.18</v>
      </c>
      <c r="P4601" s="681">
        <v>0.27</v>
      </c>
      <c r="R4601" s="680">
        <v>0.55405823970944812</v>
      </c>
      <c r="S4601" s="679">
        <v>3.9000000000000004</v>
      </c>
      <c r="Y4601" s="2043">
        <v>4.4400000000000004</v>
      </c>
      <c r="AA4601" s="680">
        <v>3.99</v>
      </c>
      <c r="AB4601" s="680">
        <v>0.41799999999999998</v>
      </c>
      <c r="AC4601" s="681">
        <v>10.7</v>
      </c>
      <c r="AD4601" s="684">
        <v>74</v>
      </c>
      <c r="AE4601" s="684">
        <v>74</v>
      </c>
      <c r="AF4601" s="684">
        <v>852</v>
      </c>
      <c r="AG4601" s="66">
        <f t="shared" si="169"/>
        <v>389.08108108108098</v>
      </c>
      <c r="AI4601" s="681">
        <f t="shared" si="172"/>
        <v>74</v>
      </c>
    </row>
    <row r="4602" spans="1:35" s="681" customFormat="1" x14ac:dyDescent="0.3">
      <c r="A4602" s="684">
        <v>103228</v>
      </c>
      <c r="B4602" s="679">
        <v>4</v>
      </c>
      <c r="C4602" s="679"/>
      <c r="D4602" s="680">
        <v>8.24</v>
      </c>
      <c r="E4602" s="1560">
        <v>0.47599999999999998</v>
      </c>
      <c r="F4602" s="2125">
        <v>552.16</v>
      </c>
      <c r="H4602" s="682">
        <v>203.29</v>
      </c>
      <c r="I4602" s="682">
        <v>230</v>
      </c>
      <c r="J4602" s="683">
        <v>0.06</v>
      </c>
      <c r="K4602" s="679">
        <v>5.71</v>
      </c>
      <c r="L4602" s="681">
        <v>480</v>
      </c>
      <c r="M4602" s="681">
        <v>5.23</v>
      </c>
      <c r="N4602" s="681">
        <v>3.4</v>
      </c>
      <c r="O4602" s="681">
        <v>7.17</v>
      </c>
      <c r="P4602" s="681">
        <v>3.02</v>
      </c>
      <c r="R4602" s="680">
        <v>0.88156540095296887</v>
      </c>
      <c r="S4602" s="679">
        <v>6.4</v>
      </c>
      <c r="Y4602" s="2043">
        <v>3.6</v>
      </c>
      <c r="AA4602" s="680">
        <v>3.73</v>
      </c>
      <c r="AB4602" s="680">
        <v>0.64100000000000001</v>
      </c>
      <c r="AC4602" s="681">
        <v>8.3000000000000007</v>
      </c>
      <c r="AD4602" s="684">
        <v>72</v>
      </c>
      <c r="AE4602" s="684">
        <v>73</v>
      </c>
      <c r="AF4602" s="684">
        <v>855</v>
      </c>
      <c r="AG4602" s="66">
        <f t="shared" si="169"/>
        <v>561.48333333333335</v>
      </c>
      <c r="AI4602" s="681">
        <f t="shared" si="172"/>
        <v>73</v>
      </c>
    </row>
    <row r="4603" spans="1:35" s="681" customFormat="1" x14ac:dyDescent="0.3">
      <c r="A4603" s="684">
        <v>103229</v>
      </c>
      <c r="B4603" s="679">
        <v>0.1</v>
      </c>
      <c r="C4603" s="679"/>
      <c r="D4603" s="680">
        <v>6.78</v>
      </c>
      <c r="E4603" s="1560">
        <v>4.2000000000000003E-2</v>
      </c>
      <c r="F4603" s="2125">
        <v>49.559999999999995</v>
      </c>
      <c r="H4603" s="682">
        <v>88.97</v>
      </c>
      <c r="I4603" s="682">
        <v>80</v>
      </c>
      <c r="J4603" s="683">
        <v>0.02</v>
      </c>
      <c r="K4603" s="679">
        <v>0.4</v>
      </c>
      <c r="L4603" s="681">
        <v>70</v>
      </c>
      <c r="M4603" s="681">
        <v>0.67</v>
      </c>
      <c r="N4603" s="681">
        <v>0.53</v>
      </c>
      <c r="O4603" s="681">
        <v>3.37</v>
      </c>
      <c r="P4603" s="681">
        <v>29.41</v>
      </c>
      <c r="R4603" s="680">
        <v>0.48388810777614266</v>
      </c>
      <c r="S4603" s="679">
        <v>3.4000000000000004</v>
      </c>
      <c r="Y4603" s="2043">
        <v>4.38</v>
      </c>
      <c r="Z4603" s="681">
        <v>5.47</v>
      </c>
      <c r="AA4603" s="680">
        <v>3.76</v>
      </c>
      <c r="AB4603" s="680">
        <v>0.84099999999999997</v>
      </c>
      <c r="AC4603" s="681">
        <v>10.8</v>
      </c>
      <c r="AD4603" s="684">
        <v>73</v>
      </c>
      <c r="AE4603" s="684">
        <v>70</v>
      </c>
      <c r="AF4603" s="684">
        <v>857</v>
      </c>
      <c r="AG4603" s="66">
        <f t="shared" si="169"/>
        <v>32.328767123287676</v>
      </c>
      <c r="AI4603" s="681">
        <f t="shared" si="172"/>
        <v>70</v>
      </c>
    </row>
    <row r="4604" spans="1:35" s="681" customFormat="1" x14ac:dyDescent="0.3">
      <c r="A4604" s="684">
        <v>103230</v>
      </c>
      <c r="B4604" s="679">
        <v>0.1</v>
      </c>
      <c r="C4604" s="679"/>
      <c r="D4604" s="680">
        <v>6.45</v>
      </c>
      <c r="E4604" s="1560">
        <v>2.9000000000000001E-2</v>
      </c>
      <c r="F4604" s="2125">
        <v>32.769999999999996</v>
      </c>
      <c r="H4604" s="682">
        <v>79.95</v>
      </c>
      <c r="I4604" s="682">
        <v>70</v>
      </c>
      <c r="J4604" s="683">
        <v>0.01</v>
      </c>
      <c r="K4604" s="679">
        <v>0.55000000000000004</v>
      </c>
      <c r="L4604" s="681">
        <v>70</v>
      </c>
      <c r="M4604" s="681">
        <v>1.27</v>
      </c>
      <c r="N4604" s="681">
        <v>0.4</v>
      </c>
      <c r="O4604" s="681">
        <v>4.95</v>
      </c>
      <c r="P4604" s="681">
        <v>50.08</v>
      </c>
      <c r="R4604" s="680">
        <v>0.91212532169086058</v>
      </c>
      <c r="S4604" s="679">
        <v>6.6000000000000005</v>
      </c>
      <c r="Y4604" s="2043">
        <v>3.75</v>
      </c>
      <c r="Z4604" s="681">
        <v>5.13</v>
      </c>
      <c r="AA4604" s="680">
        <v>3.68</v>
      </c>
      <c r="AB4604" s="680">
        <v>0.39</v>
      </c>
      <c r="AC4604" s="681">
        <v>10.1</v>
      </c>
      <c r="AD4604" s="684">
        <v>75</v>
      </c>
      <c r="AE4604" s="684">
        <v>73</v>
      </c>
      <c r="AF4604" s="684">
        <v>852</v>
      </c>
      <c r="AG4604" s="66">
        <f t="shared" si="169"/>
        <v>51.92</v>
      </c>
      <c r="AI4604" s="681">
        <f t="shared" si="172"/>
        <v>73</v>
      </c>
    </row>
    <row r="4605" spans="1:35" s="681" customFormat="1" x14ac:dyDescent="0.3">
      <c r="A4605" s="684">
        <v>103231</v>
      </c>
      <c r="B4605" s="679">
        <v>5.9</v>
      </c>
      <c r="C4605" s="679"/>
      <c r="D4605" s="680">
        <v>8.86</v>
      </c>
      <c r="E4605" s="1560">
        <v>1.163</v>
      </c>
      <c r="F4605" s="2125">
        <v>1325.82</v>
      </c>
      <c r="H4605" s="682">
        <v>126.02</v>
      </c>
      <c r="I4605" s="682">
        <v>450</v>
      </c>
      <c r="J4605" s="683">
        <v>1.51</v>
      </c>
      <c r="K4605" s="679">
        <v>8.6999999999999993</v>
      </c>
      <c r="L4605" s="681">
        <v>970</v>
      </c>
      <c r="M4605" s="681">
        <v>1.02</v>
      </c>
      <c r="N4605" s="681">
        <v>0.92</v>
      </c>
      <c r="O4605" s="681">
        <v>1.97</v>
      </c>
      <c r="P4605" s="681">
        <v>2.1</v>
      </c>
      <c r="R4605" s="680">
        <v>1.2988842595151386</v>
      </c>
      <c r="S4605" s="679">
        <v>9.6</v>
      </c>
      <c r="Y4605" s="2043">
        <v>24.75</v>
      </c>
      <c r="AA4605" s="680">
        <v>4.42</v>
      </c>
      <c r="AB4605" s="680">
        <v>0.53900000000000003</v>
      </c>
      <c r="AC4605" s="681">
        <v>9.1</v>
      </c>
      <c r="AD4605" s="684">
        <v>495</v>
      </c>
      <c r="AE4605" s="684">
        <v>328</v>
      </c>
      <c r="AF4605" s="684">
        <v>177</v>
      </c>
      <c r="AG4605" s="66">
        <f t="shared" si="169"/>
        <v>124.43636363636362</v>
      </c>
      <c r="AI4605" s="681">
        <f t="shared" si="172"/>
        <v>328</v>
      </c>
    </row>
    <row r="4606" spans="1:35" s="681" customFormat="1" x14ac:dyDescent="0.3">
      <c r="A4606" s="684">
        <v>103232</v>
      </c>
      <c r="B4606" s="679">
        <v>9.3000000000000007</v>
      </c>
      <c r="C4606" s="679"/>
      <c r="D4606" s="680">
        <v>8.7200000000000006</v>
      </c>
      <c r="E4606" s="1560">
        <v>1.6639999999999999</v>
      </c>
      <c r="F4606" s="2125">
        <v>1896.9599999999998</v>
      </c>
      <c r="H4606" s="682">
        <v>34.03</v>
      </c>
      <c r="I4606" s="682">
        <v>390</v>
      </c>
      <c r="J4606" s="683">
        <v>1.44</v>
      </c>
      <c r="K4606" s="679">
        <v>7.86</v>
      </c>
      <c r="L4606" s="681">
        <v>1190</v>
      </c>
      <c r="M4606" s="681">
        <v>0.33</v>
      </c>
      <c r="N4606" s="681">
        <v>0.52</v>
      </c>
      <c r="O4606" s="681">
        <v>1.27</v>
      </c>
      <c r="P4606" s="681">
        <v>1.36</v>
      </c>
      <c r="R4606" s="680">
        <v>0.81347365524275428</v>
      </c>
      <c r="S4606" s="679">
        <v>6</v>
      </c>
      <c r="Y4606" s="2043">
        <v>28.92</v>
      </c>
      <c r="AA4606" s="680">
        <v>3.8</v>
      </c>
      <c r="AB4606" s="680">
        <v>0.56799999999999995</v>
      </c>
      <c r="AC4606" s="681">
        <v>10.3</v>
      </c>
      <c r="AD4606" s="684">
        <v>482</v>
      </c>
      <c r="AE4606" s="684">
        <v>223</v>
      </c>
      <c r="AF4606" s="684">
        <v>295</v>
      </c>
      <c r="AG4606" s="66">
        <f t="shared" si="169"/>
        <v>96.211618257261406</v>
      </c>
      <c r="AI4606" s="681">
        <f t="shared" si="172"/>
        <v>223</v>
      </c>
    </row>
    <row r="4607" spans="1:35" s="711" customFormat="1" ht="21" customHeight="1" x14ac:dyDescent="0.3">
      <c r="A4607" s="716">
        <v>103233</v>
      </c>
      <c r="B4607" s="712">
        <v>0.5</v>
      </c>
      <c r="C4607" s="712"/>
      <c r="D4607" s="713">
        <v>7.77</v>
      </c>
      <c r="E4607" s="1566">
        <v>0.2</v>
      </c>
      <c r="F4607" s="724">
        <v>191</v>
      </c>
      <c r="H4607" s="714">
        <v>560</v>
      </c>
      <c r="I4607" s="714">
        <v>520</v>
      </c>
      <c r="J4607" s="1476">
        <v>7.0000000000000007E-2</v>
      </c>
      <c r="K4607" s="712">
        <v>3.03</v>
      </c>
      <c r="L4607" s="711">
        <v>660</v>
      </c>
      <c r="M4607" s="711">
        <v>6.63</v>
      </c>
      <c r="N4607" s="711">
        <v>1.31</v>
      </c>
      <c r="O4607" s="711">
        <v>4.8499999999999996</v>
      </c>
      <c r="P4607" s="711">
        <v>31.29</v>
      </c>
      <c r="R4607" s="713">
        <v>1.73</v>
      </c>
      <c r="S4607" s="712">
        <v>14.4</v>
      </c>
      <c r="Y4607" s="722">
        <v>22.4</v>
      </c>
      <c r="AA4607" s="713">
        <v>4.74</v>
      </c>
      <c r="AB4607" s="713">
        <v>0.65900000000000003</v>
      </c>
      <c r="AC4607" s="711">
        <v>11.4</v>
      </c>
      <c r="AD4607" s="716">
        <v>412</v>
      </c>
      <c r="AE4607" s="716">
        <v>262</v>
      </c>
      <c r="AF4607" s="716">
        <v>326</v>
      </c>
      <c r="AG4607" s="66">
        <f>+K4607*3.54*100/Y4607</f>
        <v>47.884821428571428</v>
      </c>
      <c r="AI4607" s="711">
        <f t="shared" si="172"/>
        <v>262</v>
      </c>
    </row>
    <row r="4608" spans="1:35" s="755" customFormat="1" x14ac:dyDescent="0.3">
      <c r="A4608" s="760">
        <v>103234</v>
      </c>
      <c r="B4608" s="1424">
        <v>2</v>
      </c>
      <c r="C4608" s="1424"/>
      <c r="D4608" s="757">
        <v>8.49</v>
      </c>
      <c r="E4608" s="1570">
        <v>0.745</v>
      </c>
      <c r="F4608" s="2097">
        <v>856.74999999999989</v>
      </c>
      <c r="H4608" s="758">
        <v>154</v>
      </c>
      <c r="I4608" s="758">
        <v>1780</v>
      </c>
      <c r="J4608" s="759">
        <v>0.57999999999999996</v>
      </c>
      <c r="K4608" s="757">
        <v>7.23</v>
      </c>
      <c r="L4608" s="755">
        <v>1280</v>
      </c>
      <c r="M4608" s="755">
        <v>2.17</v>
      </c>
      <c r="N4608" s="755">
        <v>1.7</v>
      </c>
      <c r="O4608" s="755">
        <v>7.06</v>
      </c>
      <c r="P4608" s="755">
        <v>3.59</v>
      </c>
      <c r="R4608" s="757">
        <v>1.761128</v>
      </c>
      <c r="S4608" s="1424">
        <v>15.4</v>
      </c>
      <c r="Y4608" s="2098">
        <v>29.5</v>
      </c>
      <c r="AA4608" s="757">
        <v>3.85</v>
      </c>
      <c r="AB4608" s="757">
        <v>0.57999999999999996</v>
      </c>
      <c r="AC4608" s="755">
        <v>11.6</v>
      </c>
      <c r="AD4608" s="760">
        <v>489</v>
      </c>
      <c r="AE4608" s="760">
        <v>366</v>
      </c>
      <c r="AF4608" s="760">
        <v>145</v>
      </c>
      <c r="AG4608" s="758">
        <f>+K4608*3.54*100/Y4608</f>
        <v>86.76</v>
      </c>
      <c r="AH4608" s="143">
        <f t="shared" ref="AH4608:AH4609" si="173">+SUM(AD4608:AF4608)</f>
        <v>1000</v>
      </c>
      <c r="AI4608" s="755">
        <f t="shared" si="172"/>
        <v>366</v>
      </c>
    </row>
    <row r="4609" spans="1:35" s="755" customFormat="1" x14ac:dyDescent="0.3">
      <c r="A4609" s="760">
        <v>103235</v>
      </c>
      <c r="B4609" s="1424">
        <v>2.9</v>
      </c>
      <c r="C4609" s="1424"/>
      <c r="D4609" s="757">
        <v>8.6</v>
      </c>
      <c r="E4609" s="1570">
        <v>0.60199999999999998</v>
      </c>
      <c r="F4609" s="2097">
        <v>710.36</v>
      </c>
      <c r="H4609" s="758">
        <v>146</v>
      </c>
      <c r="I4609" s="758">
        <v>1750</v>
      </c>
      <c r="J4609" s="759">
        <v>0.45</v>
      </c>
      <c r="K4609" s="757">
        <v>7.56</v>
      </c>
      <c r="L4609" s="755">
        <v>1180</v>
      </c>
      <c r="M4609" s="755">
        <v>2.0099999999999998</v>
      </c>
      <c r="N4609" s="755">
        <v>1.76</v>
      </c>
      <c r="O4609" s="755">
        <v>7.3</v>
      </c>
      <c r="P4609" s="755">
        <v>3.34</v>
      </c>
      <c r="R4609" s="757">
        <v>1.6631279999999999</v>
      </c>
      <c r="S4609" s="1424">
        <v>12.6</v>
      </c>
      <c r="Y4609" s="2098">
        <v>27.4</v>
      </c>
      <c r="AA4609" s="757">
        <v>3.76</v>
      </c>
      <c r="AB4609" s="757">
        <v>0.44</v>
      </c>
      <c r="AC4609" s="755">
        <v>7.7</v>
      </c>
      <c r="AD4609" s="760">
        <v>486</v>
      </c>
      <c r="AE4609" s="760">
        <v>372</v>
      </c>
      <c r="AF4609" s="760">
        <v>142</v>
      </c>
      <c r="AG4609" s="758">
        <f>+K4609*3.54*100/Y4609</f>
        <v>97.672992700729921</v>
      </c>
      <c r="AH4609" s="143">
        <f t="shared" si="173"/>
        <v>1000</v>
      </c>
      <c r="AI4609" s="755">
        <f t="shared" si="172"/>
        <v>372</v>
      </c>
    </row>
    <row r="4610" spans="1:35" s="1408" customFormat="1" x14ac:dyDescent="0.3">
      <c r="A4610" s="1408">
        <v>103236</v>
      </c>
      <c r="B4610" s="2054">
        <v>7.6</v>
      </c>
      <c r="C4610" s="2054"/>
      <c r="D4610" s="2052">
        <v>8.52</v>
      </c>
      <c r="E4610" s="2136">
        <v>0.34899999999999998</v>
      </c>
      <c r="F4610" s="2052">
        <v>415.31</v>
      </c>
      <c r="H4610" s="2137">
        <v>8.4600000000000009</v>
      </c>
      <c r="I4610" s="2137">
        <v>290</v>
      </c>
      <c r="J4610" s="2140">
        <v>0.13</v>
      </c>
      <c r="K4610" s="2054">
        <v>4.59</v>
      </c>
      <c r="L4610" s="1408">
        <v>740</v>
      </c>
      <c r="M4610" s="1408">
        <v>0.04</v>
      </c>
      <c r="N4610" s="1408">
        <v>0.15</v>
      </c>
      <c r="O4610" s="1408">
        <v>1.03</v>
      </c>
      <c r="P4610" s="1408">
        <v>1.63</v>
      </c>
      <c r="R4610" s="2052">
        <v>0.47766278897142317</v>
      </c>
      <c r="S4610" s="2054">
        <v>3.2</v>
      </c>
      <c r="Y4610" s="2054">
        <v>12.25</v>
      </c>
      <c r="AA4610" s="2052">
        <v>3.57</v>
      </c>
      <c r="AB4610" s="2052">
        <v>0.25700000000000001</v>
      </c>
      <c r="AC4610" s="1408">
        <v>8.5</v>
      </c>
      <c r="AD4610" s="1408">
        <v>245</v>
      </c>
      <c r="AE4610" s="1408">
        <v>231</v>
      </c>
      <c r="AF4610" s="1408">
        <v>524</v>
      </c>
      <c r="AG4610" s="2137">
        <f t="shared" ref="AG4610:AG4613" si="174">+K4610*3.54*100/Y4610</f>
        <v>132.64163265306121</v>
      </c>
      <c r="AI4610" s="1408">
        <f t="shared" si="172"/>
        <v>231</v>
      </c>
    </row>
    <row r="4611" spans="1:35" s="1408" customFormat="1" x14ac:dyDescent="0.3">
      <c r="A4611" s="1408">
        <v>103237</v>
      </c>
      <c r="B4611" s="2054">
        <v>8.1</v>
      </c>
      <c r="C4611" s="2054"/>
      <c r="D4611" s="2052">
        <v>8.48</v>
      </c>
      <c r="E4611" s="2136">
        <v>5.33</v>
      </c>
      <c r="F4611" s="2052">
        <v>6235.12</v>
      </c>
      <c r="H4611" s="2137">
        <v>8</v>
      </c>
      <c r="I4611" s="2137">
        <v>530</v>
      </c>
      <c r="J4611" s="2140">
        <v>3.56</v>
      </c>
      <c r="K4611" s="2054">
        <v>11.02</v>
      </c>
      <c r="L4611" s="1408">
        <v>1460</v>
      </c>
      <c r="M4611" s="1408">
        <v>0.04</v>
      </c>
      <c r="N4611" s="1408">
        <v>0.1</v>
      </c>
      <c r="O4611" s="1408">
        <v>0.4</v>
      </c>
      <c r="P4611" s="1408">
        <v>1.72</v>
      </c>
      <c r="R4611" s="2052">
        <v>0.48707085158688052</v>
      </c>
      <c r="S4611" s="2054">
        <v>3.5</v>
      </c>
      <c r="Y4611" s="2054">
        <v>26.4</v>
      </c>
      <c r="AA4611" s="2052">
        <v>4.68</v>
      </c>
      <c r="AB4611" s="2052">
        <v>0.309</v>
      </c>
      <c r="AC4611" s="1408">
        <v>7.3</v>
      </c>
      <c r="AD4611" s="1408">
        <v>432</v>
      </c>
      <c r="AE4611" s="1408">
        <v>239</v>
      </c>
      <c r="AF4611" s="1408">
        <v>329</v>
      </c>
      <c r="AG4611" s="2137">
        <f t="shared" si="174"/>
        <v>147.7681818181818</v>
      </c>
      <c r="AI4611" s="1408">
        <f t="shared" si="172"/>
        <v>239</v>
      </c>
    </row>
    <row r="4612" spans="1:35" s="1408" customFormat="1" x14ac:dyDescent="0.3">
      <c r="A4612" s="1408">
        <v>103238</v>
      </c>
      <c r="B4612" s="2054">
        <v>37.5</v>
      </c>
      <c r="C4612" s="2054">
        <v>8.5</v>
      </c>
      <c r="D4612" s="2052">
        <v>8.7200000000000006</v>
      </c>
      <c r="E4612" s="2136">
        <v>0.55400000000000005</v>
      </c>
      <c r="F4612" s="2052">
        <v>659.26</v>
      </c>
      <c r="H4612" s="2137">
        <v>12</v>
      </c>
      <c r="I4612" s="2137">
        <v>120</v>
      </c>
      <c r="J4612" s="2140">
        <v>0.16</v>
      </c>
      <c r="K4612" s="2054">
        <v>8.23</v>
      </c>
      <c r="L4612" s="1408">
        <v>700</v>
      </c>
      <c r="M4612" s="1408">
        <v>0.12</v>
      </c>
      <c r="N4612" s="1408">
        <v>0.1</v>
      </c>
      <c r="O4612" s="1408">
        <v>10.76</v>
      </c>
      <c r="P4612" s="1408">
        <v>32.78</v>
      </c>
      <c r="R4612" s="2052">
        <v>1.1619386742758375</v>
      </c>
      <c r="S4612" s="2054">
        <v>8.4</v>
      </c>
      <c r="Y4612" s="2054">
        <v>3.7</v>
      </c>
      <c r="AA4612" s="2052">
        <v>4.72</v>
      </c>
      <c r="AB4612" s="2052">
        <v>0.81499999999999995</v>
      </c>
      <c r="AC4612" s="1408">
        <v>8.4</v>
      </c>
      <c r="AD4612" s="1408">
        <v>74</v>
      </c>
      <c r="AE4612" s="1408">
        <v>90</v>
      </c>
      <c r="AF4612" s="1408">
        <v>836</v>
      </c>
      <c r="AG4612" s="2137">
        <f>+K4612*3.54*100/Y4612</f>
        <v>787.41081081081097</v>
      </c>
      <c r="AI4612" s="1408">
        <f>1000-AD4612-AF4612</f>
        <v>90</v>
      </c>
    </row>
    <row r="4613" spans="1:35" s="1408" customFormat="1" x14ac:dyDescent="0.3">
      <c r="A4613" s="1408">
        <v>103239</v>
      </c>
      <c r="B4613" s="2054">
        <v>8.1999999999999993</v>
      </c>
      <c r="C4613" s="2054"/>
      <c r="D4613" s="2052">
        <v>8.89</v>
      </c>
      <c r="E4613" s="2136">
        <v>0.18</v>
      </c>
      <c r="F4613" s="2052">
        <v>205.2</v>
      </c>
      <c r="H4613" s="2137">
        <v>102</v>
      </c>
      <c r="I4613" s="2137">
        <v>50</v>
      </c>
      <c r="J4613" s="2140">
        <v>0.13</v>
      </c>
      <c r="K4613" s="2054">
        <v>3.99</v>
      </c>
      <c r="L4613" s="1408">
        <v>330</v>
      </c>
      <c r="M4613" s="1408">
        <v>0.75</v>
      </c>
      <c r="N4613" s="1408">
        <v>0.17</v>
      </c>
      <c r="O4613" s="1408">
        <v>1.32</v>
      </c>
      <c r="P4613" s="1408">
        <v>2.25</v>
      </c>
      <c r="R4613" s="2052">
        <v>0.50481294353339334</v>
      </c>
      <c r="S4613" s="2054">
        <v>3.5</v>
      </c>
      <c r="Y4613" s="2054">
        <v>3.15</v>
      </c>
      <c r="AA4613" s="2052">
        <v>3.82</v>
      </c>
      <c r="AB4613" s="2052">
        <v>0.36399999999999999</v>
      </c>
      <c r="AC4613" s="1408">
        <v>8.9</v>
      </c>
      <c r="AD4613" s="1408">
        <v>63</v>
      </c>
      <c r="AE4613" s="1408">
        <v>81</v>
      </c>
      <c r="AF4613" s="1408">
        <v>856</v>
      </c>
      <c r="AG4613" s="2137">
        <f t="shared" si="174"/>
        <v>448.40000000000003</v>
      </c>
      <c r="AI4613" s="1408">
        <f t="shared" si="172"/>
        <v>81</v>
      </c>
    </row>
    <row r="4614" spans="1:35" s="818" customFormat="1" x14ac:dyDescent="0.3">
      <c r="A4614" s="824">
        <v>103240</v>
      </c>
      <c r="B4614" s="819">
        <v>5.7</v>
      </c>
      <c r="C4614" s="819"/>
      <c r="D4614" s="820">
        <v>8.64</v>
      </c>
      <c r="E4614" s="1571">
        <v>0.67400000000000004</v>
      </c>
      <c r="F4614" s="1343">
        <v>768.3599999999999</v>
      </c>
      <c r="H4614" s="821">
        <v>74</v>
      </c>
      <c r="I4614" s="821">
        <v>230</v>
      </c>
      <c r="J4614" s="822">
        <v>0.19600000000000001</v>
      </c>
      <c r="K4614" s="819">
        <v>7.31</v>
      </c>
      <c r="L4614" s="818">
        <v>1050</v>
      </c>
      <c r="M4614" s="818">
        <v>1.02</v>
      </c>
      <c r="N4614" s="818">
        <v>0.75</v>
      </c>
      <c r="O4614" s="818">
        <v>1.71</v>
      </c>
      <c r="P4614" s="818">
        <v>3.87</v>
      </c>
      <c r="R4614" s="820">
        <v>1.5824250000000002</v>
      </c>
      <c r="S4614" s="819">
        <v>10.5</v>
      </c>
      <c r="Y4614" s="1342">
        <v>28.98</v>
      </c>
      <c r="AA4614" s="820">
        <v>3.68</v>
      </c>
      <c r="AB4614" s="820">
        <v>0.54300000000000004</v>
      </c>
      <c r="AC4614" s="818">
        <v>8.8000000000000007</v>
      </c>
      <c r="AD4614" s="824">
        <v>483</v>
      </c>
      <c r="AE4614" s="824">
        <v>306</v>
      </c>
      <c r="AF4614" s="824">
        <v>211</v>
      </c>
      <c r="AG4614" s="821"/>
      <c r="AI4614" s="818">
        <f t="shared" si="172"/>
        <v>306</v>
      </c>
    </row>
    <row r="4615" spans="1:35" s="818" customFormat="1" x14ac:dyDescent="0.3">
      <c r="A4615" s="824">
        <v>103241</v>
      </c>
      <c r="B4615" s="819">
        <v>3.3</v>
      </c>
      <c r="C4615" s="819"/>
      <c r="D4615" s="820">
        <v>8.8000000000000007</v>
      </c>
      <c r="E4615" s="1571">
        <v>0.128</v>
      </c>
      <c r="F4615" s="1343">
        <v>152.32</v>
      </c>
      <c r="H4615" s="821">
        <v>190</v>
      </c>
      <c r="I4615" s="821">
        <v>140</v>
      </c>
      <c r="J4615" s="822">
        <v>3.5000000000000003E-2</v>
      </c>
      <c r="K4615" s="819">
        <v>5.31</v>
      </c>
      <c r="L4615" s="818">
        <v>470</v>
      </c>
      <c r="M4615" s="818">
        <v>8.75</v>
      </c>
      <c r="N4615" s="818">
        <v>3.48</v>
      </c>
      <c r="O4615" s="818">
        <v>23.05</v>
      </c>
      <c r="P4615" s="818">
        <v>3.83</v>
      </c>
      <c r="R4615" s="820">
        <v>1.1419490491280246</v>
      </c>
      <c r="S4615" s="819">
        <v>7.6</v>
      </c>
      <c r="Y4615" s="1342">
        <v>5.95</v>
      </c>
      <c r="AA4615" s="820">
        <v>4.5599999999999996</v>
      </c>
      <c r="AB4615" s="820">
        <v>0.64400000000000002</v>
      </c>
      <c r="AC4615" s="818">
        <v>6.1</v>
      </c>
      <c r="AD4615" s="824">
        <v>85</v>
      </c>
      <c r="AE4615" s="824">
        <v>81</v>
      </c>
      <c r="AF4615" s="824">
        <v>834</v>
      </c>
      <c r="AG4615" s="821"/>
      <c r="AI4615" s="818">
        <f t="shared" si="172"/>
        <v>81</v>
      </c>
    </row>
    <row r="4616" spans="1:35" s="818" customFormat="1" x14ac:dyDescent="0.3">
      <c r="A4616" s="824">
        <v>103242</v>
      </c>
      <c r="B4616" s="819">
        <v>0.6</v>
      </c>
      <c r="C4616" s="819"/>
      <c r="D4616" s="820">
        <v>8.5500000000000007</v>
      </c>
      <c r="E4616" s="1571">
        <v>0.152</v>
      </c>
      <c r="F4616" s="1343">
        <v>180.88</v>
      </c>
      <c r="H4616" s="821">
        <v>267</v>
      </c>
      <c r="I4616" s="821">
        <v>200</v>
      </c>
      <c r="J4616" s="822">
        <v>6.7000000000000004E-2</v>
      </c>
      <c r="K4616" s="819">
        <v>4.33</v>
      </c>
      <c r="L4616" s="818">
        <v>700</v>
      </c>
      <c r="M4616" s="818">
        <v>4.79</v>
      </c>
      <c r="N4616" s="818">
        <v>2.57</v>
      </c>
      <c r="O4616" s="818">
        <v>1.32</v>
      </c>
      <c r="P4616" s="818">
        <v>3.5</v>
      </c>
      <c r="R4616" s="820">
        <v>1.3303633119866545</v>
      </c>
      <c r="S4616" s="819">
        <v>9.3000000000000007</v>
      </c>
      <c r="Y4616" s="1342">
        <v>5.04</v>
      </c>
      <c r="AA4616" s="820">
        <v>4.22</v>
      </c>
      <c r="AB4616" s="820">
        <v>0.314</v>
      </c>
      <c r="AC4616" s="818">
        <v>10.1</v>
      </c>
      <c r="AD4616" s="824">
        <v>84</v>
      </c>
      <c r="AE4616" s="824">
        <v>71</v>
      </c>
      <c r="AF4616" s="824">
        <v>845</v>
      </c>
      <c r="AG4616" s="821"/>
      <c r="AI4616" s="818">
        <f t="shared" si="172"/>
        <v>71</v>
      </c>
    </row>
    <row r="4617" spans="1:35" s="818" customFormat="1" x14ac:dyDescent="0.3">
      <c r="A4617" s="824">
        <v>103243</v>
      </c>
      <c r="B4617" s="819">
        <v>0.8</v>
      </c>
      <c r="C4617" s="819"/>
      <c r="D4617" s="820">
        <v>8.43</v>
      </c>
      <c r="E4617" s="1571">
        <v>0.18099999999999999</v>
      </c>
      <c r="F4617" s="1343">
        <v>211.76999999999998</v>
      </c>
      <c r="H4617" s="821">
        <v>253</v>
      </c>
      <c r="I4617" s="821">
        <v>370</v>
      </c>
      <c r="J4617" s="822">
        <v>8.6999999999999994E-2</v>
      </c>
      <c r="K4617" s="819">
        <v>4.26</v>
      </c>
      <c r="L4617" s="818">
        <v>710</v>
      </c>
      <c r="M4617" s="818">
        <v>5.12</v>
      </c>
      <c r="N4617" s="818">
        <v>2.2400000000000002</v>
      </c>
      <c r="O4617" s="818">
        <v>1.1200000000000001</v>
      </c>
      <c r="P4617" s="818">
        <v>5.29</v>
      </c>
      <c r="R4617" s="820">
        <v>1.5903770000000002</v>
      </c>
      <c r="S4617" s="819">
        <v>10.700000000000001</v>
      </c>
      <c r="Y4617" s="1342">
        <v>5.74</v>
      </c>
      <c r="AA4617" s="820">
        <v>4.83</v>
      </c>
      <c r="AB4617" s="820">
        <v>0.83799999999999997</v>
      </c>
      <c r="AC4617" s="818">
        <v>9.6999999999999993</v>
      </c>
      <c r="AD4617" s="824">
        <v>82</v>
      </c>
      <c r="AE4617" s="824">
        <v>69</v>
      </c>
      <c r="AF4617" s="824">
        <v>849</v>
      </c>
      <c r="AG4617" s="821"/>
      <c r="AI4617" s="818">
        <f t="shared" si="172"/>
        <v>69</v>
      </c>
    </row>
    <row r="4618" spans="1:35" s="818" customFormat="1" x14ac:dyDescent="0.3">
      <c r="A4618" s="824">
        <v>103244</v>
      </c>
      <c r="B4618" s="819">
        <v>1</v>
      </c>
      <c r="C4618" s="819"/>
      <c r="D4618" s="820">
        <v>8.44</v>
      </c>
      <c r="E4618" s="1571">
        <v>0.188</v>
      </c>
      <c r="F4618" s="1343">
        <v>223.72</v>
      </c>
      <c r="H4618" s="821">
        <v>263</v>
      </c>
      <c r="I4618" s="821">
        <v>260</v>
      </c>
      <c r="J4618" s="822">
        <v>4.1000000000000002E-2</v>
      </c>
      <c r="K4618" s="819">
        <v>4.92</v>
      </c>
      <c r="L4618" s="818">
        <v>540</v>
      </c>
      <c r="M4618" s="818">
        <v>6.45</v>
      </c>
      <c r="N4618" s="818">
        <v>4.68</v>
      </c>
      <c r="O4618" s="818">
        <v>1.81</v>
      </c>
      <c r="P4618" s="818">
        <v>4.76</v>
      </c>
      <c r="R4618" s="820">
        <v>1.2017986387223674</v>
      </c>
      <c r="S4618" s="819">
        <v>8.1000000000000014</v>
      </c>
      <c r="Y4618" s="1342">
        <v>5.81</v>
      </c>
      <c r="AA4618" s="820">
        <v>4.3899999999999997</v>
      </c>
      <c r="AB4618" s="820">
        <v>0.33600000000000002</v>
      </c>
      <c r="AC4618" s="818">
        <v>10.4</v>
      </c>
      <c r="AD4618" s="824">
        <v>83</v>
      </c>
      <c r="AE4618" s="824">
        <v>75</v>
      </c>
      <c r="AF4618" s="824">
        <v>842</v>
      </c>
      <c r="AG4618" s="821"/>
      <c r="AI4618" s="818">
        <f t="shared" si="172"/>
        <v>75</v>
      </c>
    </row>
    <row r="4619" spans="1:35" s="818" customFormat="1" x14ac:dyDescent="0.3">
      <c r="A4619" s="824">
        <v>103245</v>
      </c>
      <c r="B4619" s="819">
        <v>0.1</v>
      </c>
      <c r="C4619" s="819"/>
      <c r="D4619" s="820">
        <v>7.06</v>
      </c>
      <c r="E4619" s="1571">
        <v>0.05</v>
      </c>
      <c r="F4619" s="1343">
        <v>57.499999999999993</v>
      </c>
      <c r="H4619" s="821">
        <v>62</v>
      </c>
      <c r="I4619" s="821">
        <v>70</v>
      </c>
      <c r="J4619" s="822">
        <v>3.5999999999999997E-2</v>
      </c>
      <c r="K4619" s="819">
        <v>3.2</v>
      </c>
      <c r="L4619" s="818">
        <v>1250</v>
      </c>
      <c r="M4619" s="818">
        <v>0.4</v>
      </c>
      <c r="N4619" s="818">
        <v>0.88</v>
      </c>
      <c r="O4619" s="818">
        <v>31.05</v>
      </c>
      <c r="P4619" s="818">
        <v>39.1</v>
      </c>
      <c r="R4619" s="820">
        <v>1.5784280000000002</v>
      </c>
      <c r="S4619" s="819">
        <v>10.4</v>
      </c>
      <c r="Y4619" s="1342">
        <v>29.46</v>
      </c>
      <c r="AA4619" s="820">
        <v>4.22</v>
      </c>
      <c r="AB4619" s="820">
        <v>0.47499999999999998</v>
      </c>
      <c r="AC4619" s="818">
        <v>6.6</v>
      </c>
      <c r="AD4619" s="824">
        <v>491</v>
      </c>
      <c r="AE4619" s="824">
        <v>257</v>
      </c>
      <c r="AF4619" s="824">
        <v>252</v>
      </c>
      <c r="AG4619" s="821"/>
      <c r="AI4619" s="818">
        <f t="shared" si="172"/>
        <v>257</v>
      </c>
    </row>
    <row r="4620" spans="1:35" s="818" customFormat="1" x14ac:dyDescent="0.3">
      <c r="A4620" s="824">
        <v>103246</v>
      </c>
      <c r="B4620" s="819">
        <v>0.1</v>
      </c>
      <c r="C4620" s="819"/>
      <c r="D4620" s="820">
        <v>5.32</v>
      </c>
      <c r="E4620" s="1571">
        <v>4.4999999999999998E-2</v>
      </c>
      <c r="F4620" s="1343">
        <v>51.3</v>
      </c>
      <c r="H4620" s="821">
        <v>43</v>
      </c>
      <c r="I4620" s="821">
        <v>100</v>
      </c>
      <c r="J4620" s="822">
        <v>1.2999999999999999E-2</v>
      </c>
      <c r="K4620" s="819">
        <v>0.72</v>
      </c>
      <c r="L4620" s="818">
        <v>180</v>
      </c>
      <c r="M4620" s="818">
        <v>0.46</v>
      </c>
      <c r="N4620" s="818">
        <v>0.4</v>
      </c>
      <c r="O4620" s="818">
        <v>28.64</v>
      </c>
      <c r="P4620" s="818">
        <v>34.46</v>
      </c>
      <c r="R4620" s="820">
        <v>1.8274250000000001</v>
      </c>
      <c r="S4620" s="819">
        <v>17.5</v>
      </c>
      <c r="Y4620" s="1342">
        <v>27.72</v>
      </c>
      <c r="Z4620" s="818">
        <v>4.3899999999999997</v>
      </c>
      <c r="AA4620" s="820">
        <v>4.8600000000000003</v>
      </c>
      <c r="AB4620" s="820">
        <v>0.873</v>
      </c>
      <c r="AC4620" s="818">
        <v>6.1</v>
      </c>
      <c r="AD4620" s="824">
        <v>462</v>
      </c>
      <c r="AE4620" s="824">
        <v>253</v>
      </c>
      <c r="AF4620" s="824">
        <v>285</v>
      </c>
      <c r="AG4620" s="821"/>
      <c r="AI4620" s="818">
        <f t="shared" si="172"/>
        <v>253</v>
      </c>
    </row>
    <row r="4621" spans="1:35" s="811" customFormat="1" x14ac:dyDescent="0.3">
      <c r="A4621" s="815">
        <v>103247</v>
      </c>
      <c r="B4621" s="1348">
        <v>7.2</v>
      </c>
      <c r="C4621" s="1348"/>
      <c r="D4621" s="810">
        <v>8.7899999999999991</v>
      </c>
      <c r="E4621" s="808">
        <v>0.215</v>
      </c>
      <c r="F4621" s="2156">
        <v>247.24999999999997</v>
      </c>
      <c r="H4621" s="812">
        <v>96</v>
      </c>
      <c r="I4621" s="812">
        <v>110</v>
      </c>
      <c r="J4621" s="813">
        <v>0.06</v>
      </c>
      <c r="K4621" s="1348">
        <v>4.47</v>
      </c>
      <c r="L4621" s="811">
        <v>320</v>
      </c>
      <c r="M4621" s="811">
        <v>1.7</v>
      </c>
      <c r="N4621" s="811">
        <v>0.32</v>
      </c>
      <c r="O4621" s="811">
        <v>1.98</v>
      </c>
      <c r="P4621" s="811">
        <v>2.5499999999999998</v>
      </c>
      <c r="R4621" s="810">
        <v>0.87617510601183768</v>
      </c>
      <c r="S4621" s="1348">
        <v>6.1</v>
      </c>
      <c r="Y4621" s="2155">
        <v>3.1</v>
      </c>
      <c r="AA4621" s="810">
        <v>4.0199999999999996</v>
      </c>
      <c r="AB4621" s="810">
        <v>0.25</v>
      </c>
      <c r="AC4621" s="811">
        <v>10.4</v>
      </c>
      <c r="AD4621" s="815">
        <v>74</v>
      </c>
      <c r="AE4621" s="815">
        <v>84</v>
      </c>
      <c r="AF4621" s="815">
        <v>842</v>
      </c>
      <c r="AG4621" s="812"/>
      <c r="AI4621" s="811">
        <f t="shared" si="172"/>
        <v>84</v>
      </c>
    </row>
    <row r="4622" spans="1:35" s="811" customFormat="1" x14ac:dyDescent="0.3">
      <c r="A4622" s="815">
        <v>103248</v>
      </c>
      <c r="B4622" s="1348">
        <v>7.8</v>
      </c>
      <c r="C4622" s="1348"/>
      <c r="D4622" s="810">
        <v>8.14</v>
      </c>
      <c r="E4622" s="808">
        <v>0.624</v>
      </c>
      <c r="F4622" s="2156">
        <v>723.83999999999992</v>
      </c>
      <c r="H4622" s="812">
        <v>82</v>
      </c>
      <c r="I4622" s="812">
        <v>370</v>
      </c>
      <c r="J4622" s="813">
        <v>0.25</v>
      </c>
      <c r="K4622" s="1348">
        <v>11.04</v>
      </c>
      <c r="L4622" s="811">
        <v>850</v>
      </c>
      <c r="M4622" s="811">
        <v>0.65</v>
      </c>
      <c r="N4622" s="811">
        <v>0.88</v>
      </c>
      <c r="O4622" s="811">
        <v>8.5299999999999994</v>
      </c>
      <c r="P4622" s="811">
        <v>3.55</v>
      </c>
      <c r="R4622" s="810">
        <v>1.7644250000000001</v>
      </c>
      <c r="S4622" s="1348">
        <v>15.5</v>
      </c>
      <c r="Y4622" s="2155">
        <v>28.5</v>
      </c>
      <c r="AA4622" s="810">
        <v>4.51</v>
      </c>
      <c r="AB4622" s="810">
        <v>0.46</v>
      </c>
      <c r="AC4622" s="811">
        <v>9.4</v>
      </c>
      <c r="AD4622" s="815">
        <v>487</v>
      </c>
      <c r="AE4622" s="815">
        <v>352</v>
      </c>
      <c r="AF4622" s="815">
        <v>161</v>
      </c>
      <c r="AG4622" s="812"/>
      <c r="AI4622" s="811">
        <f t="shared" si="172"/>
        <v>352</v>
      </c>
    </row>
  </sheetData>
  <sheetProtection selectLockedCells="1" selectUnlockedCells="1"/>
  <mergeCells count="5">
    <mergeCell ref="A4:A5"/>
    <mergeCell ref="T3:X3"/>
    <mergeCell ref="AD3:AF3"/>
    <mergeCell ref="A1:C1"/>
    <mergeCell ref="A2:C2"/>
  </mergeCells>
  <phoneticPr fontId="95" type="noConversion"/>
  <conditionalFormatting sqref="D942:D979 D1:D778 D1023:D1105 D1148:D1187 D1229:D1269 D1274:D1390 D1425:D1543 D1639:D1700 D1932:D1942 D1944:D1973 D1983:D1993 D1995:D2067 D2069:D2154 D2182:D2709 D2711:D2728 D2737:D2747 D2760:D2850 D2853:D3082 D3087:D3091 D3093:D3343 D3345:D3504 D3506:D3643 D3649:D3665 D3667:D4013 D4169:D4382 D4385:D4527 D4531:D1048576">
    <cfRule type="cellIs" dxfId="245" priority="909" operator="greaterThan">
      <formula>8.5</formula>
    </cfRule>
  </conditionalFormatting>
  <conditionalFormatting sqref="D779">
    <cfRule type="cellIs" dxfId="244" priority="906" operator="greaterThan">
      <formula>8.5</formula>
    </cfRule>
  </conditionalFormatting>
  <conditionalFormatting sqref="D780:D837">
    <cfRule type="cellIs" dxfId="243" priority="904" operator="greaterThan">
      <formula>8.5</formula>
    </cfRule>
  </conditionalFormatting>
  <conditionalFormatting sqref="D838:D873">
    <cfRule type="cellIs" dxfId="242" priority="900" operator="greaterThan">
      <formula>8.5</formula>
    </cfRule>
  </conditionalFormatting>
  <conditionalFormatting sqref="D874:D905">
    <cfRule type="cellIs" dxfId="241" priority="896" operator="greaterThan">
      <formula>8.5</formula>
    </cfRule>
  </conditionalFormatting>
  <conditionalFormatting sqref="D906:D941">
    <cfRule type="cellIs" dxfId="240" priority="893" operator="greaterThan">
      <formula>8.5</formula>
    </cfRule>
  </conditionalFormatting>
  <conditionalFormatting sqref="D1:D979 D1023:D1105 D1148:D1187 D1229:D1269 D1274:D1390 D1425:D1543 D1639:D1700 D1932:D1942 D1944:D1973 D1983:D1993 D1995:D2067 D2069:D2154 D2182:D2709 D2711:D2728 D2737:D2747 D2760:D2850 D2853:D3082 D3087:D3091 D3093:D3343 D3345:D3504 D3506:D3643 D3649:D3665 D3667:D4013 D4169:D4382 D4385:D4527 D4531:D1048576">
    <cfRule type="cellIs" dxfId="239" priority="889" operator="lessThan">
      <formula>7</formula>
    </cfRule>
  </conditionalFormatting>
  <conditionalFormatting sqref="D980:D1022">
    <cfRule type="cellIs" dxfId="238" priority="887" operator="greaterThan">
      <formula>8.5</formula>
    </cfRule>
  </conditionalFormatting>
  <conditionalFormatting sqref="D980:D1022">
    <cfRule type="cellIs" dxfId="237" priority="885" operator="lessThan">
      <formula>7</formula>
    </cfRule>
  </conditionalFormatting>
  <conditionalFormatting sqref="D1188:D1228">
    <cfRule type="cellIs" dxfId="236" priority="876" operator="greaterThan">
      <formula>8.5</formula>
    </cfRule>
  </conditionalFormatting>
  <conditionalFormatting sqref="D1188:D1228">
    <cfRule type="cellIs" dxfId="235" priority="874" operator="lessThan">
      <formula>7</formula>
    </cfRule>
  </conditionalFormatting>
  <conditionalFormatting sqref="D1270:D1273">
    <cfRule type="cellIs" dxfId="234" priority="865" operator="greaterThan">
      <formula>8.5</formula>
    </cfRule>
  </conditionalFormatting>
  <conditionalFormatting sqref="D1270:D1273">
    <cfRule type="cellIs" dxfId="233" priority="863" operator="lessThan">
      <formula>7</formula>
    </cfRule>
  </conditionalFormatting>
  <conditionalFormatting sqref="AF1270:AF1273 AF1932:AF1941 AG4608:AG1048576">
    <cfRule type="cellIs" dxfId="232" priority="861" operator="lessThan">
      <formula>85</formula>
    </cfRule>
  </conditionalFormatting>
  <conditionalFormatting sqref="D1544:D1588">
    <cfRule type="cellIs" dxfId="231" priority="853" operator="greaterThan">
      <formula>8.5</formula>
    </cfRule>
  </conditionalFormatting>
  <conditionalFormatting sqref="D1544:D1588">
    <cfRule type="cellIs" dxfId="230" priority="852" operator="lessThan">
      <formula>7</formula>
    </cfRule>
  </conditionalFormatting>
  <conditionalFormatting sqref="D1589:D1630">
    <cfRule type="cellIs" dxfId="229" priority="846" operator="greaterThan">
      <formula>8.5</formula>
    </cfRule>
  </conditionalFormatting>
  <conditionalFormatting sqref="D1589:D1630">
    <cfRule type="cellIs" dxfId="228" priority="845" operator="lessThan">
      <formula>7</formula>
    </cfRule>
  </conditionalFormatting>
  <conditionalFormatting sqref="D1631">
    <cfRule type="cellIs" dxfId="227" priority="843" operator="greaterThan">
      <formula>8.5</formula>
    </cfRule>
  </conditionalFormatting>
  <conditionalFormatting sqref="D1631">
    <cfRule type="cellIs" dxfId="226" priority="842" operator="lessThan">
      <formula>7</formula>
    </cfRule>
  </conditionalFormatting>
  <conditionalFormatting sqref="D1632:D1637">
    <cfRule type="cellIs" dxfId="225" priority="837" operator="greaterThan">
      <formula>8.5</formula>
    </cfRule>
  </conditionalFormatting>
  <conditionalFormatting sqref="D1632:D1637">
    <cfRule type="cellIs" dxfId="224" priority="836" operator="lessThan">
      <formula>7</formula>
    </cfRule>
  </conditionalFormatting>
  <conditionalFormatting sqref="D1638">
    <cfRule type="cellIs" dxfId="223" priority="834" operator="greaterThan">
      <formula>8.5</formula>
    </cfRule>
  </conditionalFormatting>
  <conditionalFormatting sqref="D1638">
    <cfRule type="cellIs" dxfId="222" priority="833" operator="lessThan">
      <formula>7</formula>
    </cfRule>
  </conditionalFormatting>
  <conditionalFormatting sqref="B1639:B1680">
    <cfRule type="cellIs" dxfId="221" priority="829" operator="greaterThan">
      <formula>10</formula>
    </cfRule>
  </conditionalFormatting>
  <conditionalFormatting sqref="AF1734:AF1746">
    <cfRule type="cellIs" dxfId="220" priority="826" operator="lessThan">
      <formula>85</formula>
    </cfRule>
  </conditionalFormatting>
  <conditionalFormatting sqref="AG1:AG4607">
    <cfRule type="cellIs" dxfId="219" priority="825" operator="lessThan">
      <formula>85</formula>
    </cfRule>
  </conditionalFormatting>
  <conditionalFormatting sqref="D1875:D1887">
    <cfRule type="cellIs" dxfId="218" priority="816" operator="greaterThan">
      <formula>8.5</formula>
    </cfRule>
  </conditionalFormatting>
  <conditionalFormatting sqref="D1875:D1887">
    <cfRule type="cellIs" dxfId="217" priority="815" operator="lessThan">
      <formula>7</formula>
    </cfRule>
  </conditionalFormatting>
  <conditionalFormatting sqref="AF1875:AF1887">
    <cfRule type="cellIs" dxfId="216" priority="814" operator="lessThan">
      <formula>85</formula>
    </cfRule>
  </conditionalFormatting>
  <conditionalFormatting sqref="A1875:A1887">
    <cfRule type="duplicateValues" dxfId="215" priority="817"/>
  </conditionalFormatting>
  <conditionalFormatting sqref="AF1913:AF1915">
    <cfRule type="cellIs" dxfId="214" priority="811" operator="lessThan">
      <formula>85</formula>
    </cfRule>
  </conditionalFormatting>
  <conditionalFormatting sqref="J1970:J1972 J1985:J1987 M2182:M2240 I3578:K3581 I3583:K3584 A2294:AF2294">
    <cfRule type="containsText" dxfId="213" priority="808" operator="containsText" text="o">
      <formula>NOT(ISERROR(SEARCH("o",A1970)))</formula>
    </cfRule>
  </conditionalFormatting>
  <conditionalFormatting sqref="AI1994:XFD1994 A1994:C1994 F1994:AF1994">
    <cfRule type="duplicateValues" dxfId="212" priority="805"/>
  </conditionalFormatting>
  <conditionalFormatting sqref="D1994">
    <cfRule type="cellIs" dxfId="211" priority="804" operator="greaterThan">
      <formula>8.5</formula>
    </cfRule>
  </conditionalFormatting>
  <conditionalFormatting sqref="D1994">
    <cfRule type="cellIs" dxfId="210" priority="803" operator="lessThan">
      <formula>7</formula>
    </cfRule>
  </conditionalFormatting>
  <conditionalFormatting sqref="I2065:I2067 I2069:I2091 I2094:I2095">
    <cfRule type="containsText" dxfId="209" priority="798" operator="containsText" text="o">
      <formula>NOT(ISERROR(SEARCH("o",I2065)))</formula>
    </cfRule>
  </conditionalFormatting>
  <conditionalFormatting sqref="D2068">
    <cfRule type="cellIs" dxfId="208" priority="794" operator="greaterThan">
      <formula>8.5</formula>
    </cfRule>
  </conditionalFormatting>
  <conditionalFormatting sqref="D2068">
    <cfRule type="cellIs" dxfId="207" priority="793" operator="lessThan">
      <formula>7</formula>
    </cfRule>
  </conditionalFormatting>
  <conditionalFormatting sqref="A2068">
    <cfRule type="duplicateValues" dxfId="206" priority="795"/>
  </conditionalFormatting>
  <conditionalFormatting sqref="I2068">
    <cfRule type="containsText" dxfId="205" priority="791" operator="containsText" text="o">
      <formula>NOT(ISERROR(SEARCH("o",I2068)))</formula>
    </cfRule>
  </conditionalFormatting>
  <conditionalFormatting sqref="I2093">
    <cfRule type="containsText" dxfId="204" priority="789" operator="containsText" text="o">
      <formula>NOT(ISERROR(SEARCH("o",I2093)))</formula>
    </cfRule>
  </conditionalFormatting>
  <conditionalFormatting sqref="I2092">
    <cfRule type="containsText" dxfId="203" priority="788" operator="containsText" text="o">
      <formula>NOT(ISERROR(SEARCH("o",I2092)))</formula>
    </cfRule>
  </conditionalFormatting>
  <conditionalFormatting sqref="D2155:D2181">
    <cfRule type="cellIs" dxfId="202" priority="779" operator="greaterThan">
      <formula>8.5</formula>
    </cfRule>
  </conditionalFormatting>
  <conditionalFormatting sqref="D2155:D2181">
    <cfRule type="cellIs" dxfId="201" priority="778" operator="lessThan">
      <formula>7</formula>
    </cfRule>
  </conditionalFormatting>
  <conditionalFormatting sqref="A2155:A2197">
    <cfRule type="duplicateValues" dxfId="200" priority="780"/>
  </conditionalFormatting>
  <conditionalFormatting sqref="K2185 K2187 K2211 K2194:K2207">
    <cfRule type="containsText" dxfId="199" priority="776" operator="containsText" text="o">
      <formula>NOT(ISERROR(SEARCH("o",K2185)))</formula>
    </cfRule>
  </conditionalFormatting>
  <conditionalFormatting sqref="J2184:J2189 J2194:J2205 J2207:J2209 J2211:J2212">
    <cfRule type="containsText" dxfId="198" priority="775" operator="containsText" text="o">
      <formula>NOT(ISERROR(SEARCH("o",J2184)))</formula>
    </cfRule>
  </conditionalFormatting>
  <conditionalFormatting sqref="N2182:N2217">
    <cfRule type="containsText" dxfId="197" priority="774" operator="containsText" text="o">
      <formula>NOT(ISERROR(SEARCH("o",N2182)))</formula>
    </cfRule>
  </conditionalFormatting>
  <conditionalFormatting sqref="O2182:O2217">
    <cfRule type="containsText" dxfId="196" priority="773" operator="containsText" text="o">
      <formula>NOT(ISERROR(SEARCH("o",O2182)))</formula>
    </cfRule>
  </conditionalFormatting>
  <conditionalFormatting sqref="P2182:P2212">
    <cfRule type="containsText" dxfId="195" priority="772" operator="containsText" text="o">
      <formula>NOT(ISERROR(SEARCH("o",P2182)))</formula>
    </cfRule>
  </conditionalFormatting>
  <conditionalFormatting sqref="H2182:H2212">
    <cfRule type="cellIs" dxfId="194" priority="770" operator="greaterThan">
      <formula>90</formula>
    </cfRule>
  </conditionalFormatting>
  <conditionalFormatting sqref="T2241:T2293 G2241:G2293 AI2294:XFD2294">
    <cfRule type="containsText" dxfId="193" priority="769" operator="containsText" text="o">
      <formula>NOT(ISERROR(SEARCH("o",G2241)))</formula>
    </cfRule>
  </conditionalFormatting>
  <conditionalFormatting sqref="O2294">
    <cfRule type="containsText" dxfId="192" priority="768" operator="containsText" text="o">
      <formula>NOT(ISERROR(SEARCH("o",O2294)))</formula>
    </cfRule>
  </conditionalFormatting>
  <conditionalFormatting sqref="O2294">
    <cfRule type="containsText" dxfId="191" priority="767" operator="containsText" text="o">
      <formula>NOT(ISERROR(SEARCH("o",O2294)))</formula>
    </cfRule>
  </conditionalFormatting>
  <conditionalFormatting sqref="P2294">
    <cfRule type="containsText" dxfId="190" priority="766" operator="containsText" text="o">
      <formula>NOT(ISERROR(SEARCH("o",P2294)))</formula>
    </cfRule>
  </conditionalFormatting>
  <conditionalFormatting sqref="N2294">
    <cfRule type="containsText" dxfId="189" priority="765" operator="containsText" text="o">
      <formula>NOT(ISERROR(SEARCH("o",N2294)))</formula>
    </cfRule>
  </conditionalFormatting>
  <conditionalFormatting sqref="J2294">
    <cfRule type="containsText" dxfId="188" priority="764" operator="containsText" text="o">
      <formula>NOT(ISERROR(SEARCH("o",J2294)))</formula>
    </cfRule>
  </conditionalFormatting>
  <conditionalFormatting sqref="K2294">
    <cfRule type="containsText" dxfId="187" priority="763" operator="containsText" text="o">
      <formula>NOT(ISERROR(SEARCH("o",K2294)))</formula>
    </cfRule>
  </conditionalFormatting>
  <conditionalFormatting sqref="J2725:J2728">
    <cfRule type="containsText" dxfId="186" priority="756" operator="containsText" text="o">
      <formula>NOT(ISERROR(SEARCH("o",J2725)))</formula>
    </cfRule>
  </conditionalFormatting>
  <conditionalFormatting sqref="J2737:J2747">
    <cfRule type="containsText" dxfId="185" priority="755" operator="containsText" text="o">
      <formula>NOT(ISERROR(SEARCH("o",J2737)))</formula>
    </cfRule>
  </conditionalFormatting>
  <conditionalFormatting sqref="K2725:K2728">
    <cfRule type="containsText" dxfId="184" priority="754" operator="containsText" text="o">
      <formula>NOT(ISERROR(SEARCH("o",K2725)))</formula>
    </cfRule>
  </conditionalFormatting>
  <conditionalFormatting sqref="D2748:D2759">
    <cfRule type="cellIs" dxfId="183" priority="749" operator="greaterThan">
      <formula>8.5</formula>
    </cfRule>
  </conditionalFormatting>
  <conditionalFormatting sqref="D2748:D2759">
    <cfRule type="cellIs" dxfId="182" priority="748" operator="lessThan">
      <formula>7</formula>
    </cfRule>
  </conditionalFormatting>
  <conditionalFormatting sqref="A2748:A2807">
    <cfRule type="duplicateValues" dxfId="181" priority="750"/>
  </conditionalFormatting>
  <conditionalFormatting sqref="M2756:M2807">
    <cfRule type="containsText" dxfId="180" priority="746" operator="containsText" text="o">
      <formula>NOT(ISERROR(SEARCH("o",M2756)))</formula>
    </cfRule>
  </conditionalFormatting>
  <conditionalFormatting sqref="K2756:K2807">
    <cfRule type="containsText" dxfId="179" priority="745" operator="containsText" text="o">
      <formula>NOT(ISERROR(SEARCH("o",K2756)))</formula>
    </cfRule>
  </conditionalFormatting>
  <conditionalFormatting sqref="I2756:I2807">
    <cfRule type="containsText" dxfId="178" priority="744" operator="containsText" text="o">
      <formula>NOT(ISERROR(SEARCH("o",I2756)))</formula>
    </cfRule>
  </conditionalFormatting>
  <conditionalFormatting sqref="L2756:L2807">
    <cfRule type="containsText" dxfId="177" priority="743" operator="containsText" text="o">
      <formula>NOT(ISERROR(SEARCH("o",L2756)))</formula>
    </cfRule>
  </conditionalFormatting>
  <conditionalFormatting sqref="J2756:J2807">
    <cfRule type="containsText" dxfId="176" priority="742" operator="containsText" text="o">
      <formula>NOT(ISERROR(SEARCH("o",J2756)))</formula>
    </cfRule>
  </conditionalFormatting>
  <conditionalFormatting sqref="A2808:A2850 A2853:A2906 A2935:A2936">
    <cfRule type="duplicateValues" dxfId="175" priority="739"/>
  </conditionalFormatting>
  <conditionalFormatting sqref="J2808">
    <cfRule type="containsText" dxfId="174" priority="734" operator="containsText" text="o">
      <formula>NOT(ISERROR(SEARCH("o",J2808)))</formula>
    </cfRule>
  </conditionalFormatting>
  <conditionalFormatting sqref="J2908:J2934">
    <cfRule type="containsText" dxfId="173" priority="733" operator="containsText" text="o">
      <formula>NOT(ISERROR(SEARCH("o",J2908)))</formula>
    </cfRule>
  </conditionalFormatting>
  <conditionalFormatting sqref="N2908:N2934">
    <cfRule type="containsText" dxfId="172" priority="732" operator="containsText" text="o">
      <formula>NOT(ISERROR(SEARCH("o",N2908)))</formula>
    </cfRule>
  </conditionalFormatting>
  <conditionalFormatting sqref="P2908:P2934">
    <cfRule type="containsText" dxfId="171" priority="731" operator="containsText" text="o">
      <formula>NOT(ISERROR(SEARCH("o",P2908)))</formula>
    </cfRule>
  </conditionalFormatting>
  <conditionalFormatting sqref="O2908:O2934">
    <cfRule type="containsText" dxfId="170" priority="730" operator="containsText" text="o">
      <formula>NOT(ISERROR(SEARCH("o",O2908)))</formula>
    </cfRule>
  </conditionalFormatting>
  <conditionalFormatting sqref="M2908:M2934">
    <cfRule type="containsText" dxfId="169" priority="729" operator="containsText" text="o">
      <formula>NOT(ISERROR(SEARCH("o",M2908)))</formula>
    </cfRule>
  </conditionalFormatting>
  <conditionalFormatting sqref="L2937:L2975">
    <cfRule type="containsText" dxfId="168" priority="728" operator="containsText" text="o">
      <formula>NOT(ISERROR(SEARCH("o",L2937)))</formula>
    </cfRule>
  </conditionalFormatting>
  <conditionalFormatting sqref="N2937:N2950 N2958:N2975">
    <cfRule type="containsText" dxfId="167" priority="727" operator="containsText" text="o">
      <formula>NOT(ISERROR(SEARCH("o",N2937)))</formula>
    </cfRule>
  </conditionalFormatting>
  <conditionalFormatting sqref="P2937:P2950 P2958:P2975">
    <cfRule type="containsText" dxfId="166" priority="726" operator="containsText" text="o">
      <formula>NOT(ISERROR(SEARCH("o",P2937)))</formula>
    </cfRule>
  </conditionalFormatting>
  <conditionalFormatting sqref="O2937:O2950 O2958:O2975">
    <cfRule type="containsText" dxfId="165" priority="725" operator="containsText" text="o">
      <formula>NOT(ISERROR(SEARCH("o",O2937)))</formula>
    </cfRule>
  </conditionalFormatting>
  <conditionalFormatting sqref="M2937:M2950 M2958:M2975">
    <cfRule type="containsText" dxfId="164" priority="724" operator="containsText" text="o">
      <formula>NOT(ISERROR(SEARCH("o",M2937)))</formula>
    </cfRule>
  </conditionalFormatting>
  <conditionalFormatting sqref="K2979:K3012">
    <cfRule type="containsText" dxfId="163" priority="723" operator="containsText" text="o">
      <formula>NOT(ISERROR(SEARCH("o",K2979)))</formula>
    </cfRule>
  </conditionalFormatting>
  <conditionalFormatting sqref="K2976:K2978">
    <cfRule type="containsText" dxfId="162" priority="722" operator="containsText" text="o">
      <formula>NOT(ISERROR(SEARCH("o",K2976)))</formula>
    </cfRule>
  </conditionalFormatting>
  <conditionalFormatting sqref="N2976:N2978">
    <cfRule type="containsText" dxfId="161" priority="720" operator="containsText" text="o">
      <formula>NOT(ISERROR(SEARCH("o",N2976)))</formula>
    </cfRule>
  </conditionalFormatting>
  <conditionalFormatting sqref="O2979:O3012">
    <cfRule type="containsText" dxfId="160" priority="719" operator="containsText" text="o">
      <formula>NOT(ISERROR(SEARCH("o",O2979)))</formula>
    </cfRule>
  </conditionalFormatting>
  <conditionalFormatting sqref="O2976:O2978">
    <cfRule type="containsText" dxfId="159" priority="718" operator="containsText" text="o">
      <formula>NOT(ISERROR(SEARCH("o",O2976)))</formula>
    </cfRule>
  </conditionalFormatting>
  <conditionalFormatting sqref="M2979:M3012">
    <cfRule type="containsText" dxfId="158" priority="717" operator="containsText" text="o">
      <formula>NOT(ISERROR(SEARCH("o",M2979)))</formula>
    </cfRule>
  </conditionalFormatting>
  <conditionalFormatting sqref="M2976:M2978">
    <cfRule type="containsText" dxfId="157" priority="716" operator="containsText" text="o">
      <formula>NOT(ISERROR(SEARCH("o",M2976)))</formula>
    </cfRule>
  </conditionalFormatting>
  <conditionalFormatting sqref="P3013:P3059">
    <cfRule type="containsText" dxfId="156" priority="715" operator="containsText" text="o">
      <formula>NOT(ISERROR(SEARCH("o",P3013)))</formula>
    </cfRule>
  </conditionalFormatting>
  <conditionalFormatting sqref="O3013:O3059">
    <cfRule type="containsText" dxfId="155" priority="714" operator="containsText" text="o">
      <formula>NOT(ISERROR(SEARCH("o",O3013)))</formula>
    </cfRule>
  </conditionalFormatting>
  <conditionalFormatting sqref="M3013:M3059">
    <cfRule type="containsText" dxfId="154" priority="713" operator="containsText" text="o">
      <formula>NOT(ISERROR(SEARCH("o",M3013)))</formula>
    </cfRule>
  </conditionalFormatting>
  <conditionalFormatting sqref="N3013:N3059">
    <cfRule type="containsText" dxfId="153" priority="712" operator="containsText" text="o">
      <formula>NOT(ISERROR(SEARCH("o",N3013)))</formula>
    </cfRule>
  </conditionalFormatting>
  <conditionalFormatting sqref="J3013:J3026 J3044 J3052:J3057 J3046:J3048 J3028:J3036">
    <cfRule type="containsText" dxfId="152" priority="711" operator="containsText" text="o">
      <formula>NOT(ISERROR(SEARCH("o",J3013)))</formula>
    </cfRule>
  </conditionalFormatting>
  <conditionalFormatting sqref="J3037:J3043">
    <cfRule type="containsText" dxfId="151" priority="710" operator="containsText" text="o">
      <formula>NOT(ISERROR(SEARCH("o",J3037)))</formula>
    </cfRule>
  </conditionalFormatting>
  <conditionalFormatting sqref="J3049">
    <cfRule type="containsText" dxfId="150" priority="709" operator="containsText" text="o">
      <formula>NOT(ISERROR(SEARCH("o",J3049)))</formula>
    </cfRule>
  </conditionalFormatting>
  <conditionalFormatting sqref="K3013:K3014 K3029:K3032 K3022:K3027 K3036:K3043 K3046:K3057">
    <cfRule type="containsText" dxfId="149" priority="708" operator="containsText" text="o">
      <formula>NOT(ISERROR(SEARCH("o",K3013)))</formula>
    </cfRule>
  </conditionalFormatting>
  <conditionalFormatting sqref="K3015:K3021">
    <cfRule type="containsText" dxfId="148" priority="707" operator="containsText" text="o">
      <formula>NOT(ISERROR(SEARCH("o",K3015)))</formula>
    </cfRule>
  </conditionalFormatting>
  <conditionalFormatting sqref="K3028">
    <cfRule type="containsText" dxfId="147" priority="706" operator="containsText" text="o">
      <formula>NOT(ISERROR(SEARCH("o",K3028)))</formula>
    </cfRule>
  </conditionalFormatting>
  <conditionalFormatting sqref="K3033">
    <cfRule type="containsText" dxfId="146" priority="705" operator="containsText" text="o">
      <formula>NOT(ISERROR(SEARCH("o",K3033)))</formula>
    </cfRule>
  </conditionalFormatting>
  <conditionalFormatting sqref="K3034:K3035">
    <cfRule type="containsText" dxfId="145" priority="704" operator="containsText" text="o">
      <formula>NOT(ISERROR(SEARCH("o",K3034)))</formula>
    </cfRule>
  </conditionalFormatting>
  <conditionalFormatting sqref="K3044:K3045">
    <cfRule type="containsText" dxfId="144" priority="703" operator="containsText" text="o">
      <formula>NOT(ISERROR(SEARCH("o",K3044)))</formula>
    </cfRule>
  </conditionalFormatting>
  <conditionalFormatting sqref="M3252:M3298">
    <cfRule type="containsText" dxfId="143" priority="693" operator="containsText" text="o">
      <formula>NOT(ISERROR(SEARCH("o",M3252)))</formula>
    </cfRule>
  </conditionalFormatting>
  <conditionalFormatting sqref="O3288:O3298 O3252:O3286">
    <cfRule type="containsText" dxfId="142" priority="692" operator="containsText" text="o">
      <formula>NOT(ISERROR(SEARCH("o",O3252)))</formula>
    </cfRule>
  </conditionalFormatting>
  <conditionalFormatting sqref="P3252:P3298">
    <cfRule type="containsText" dxfId="141" priority="691" operator="containsText" text="o">
      <formula>NOT(ISERROR(SEARCH("o",P3252)))</formula>
    </cfRule>
  </conditionalFormatting>
  <conditionalFormatting sqref="N3252:N3298">
    <cfRule type="containsText" dxfId="140" priority="690" operator="containsText" text="o">
      <formula>NOT(ISERROR(SEARCH("o",N3252)))</formula>
    </cfRule>
  </conditionalFormatting>
  <conditionalFormatting sqref="P3299:P3384">
    <cfRule type="containsText" dxfId="139" priority="689" operator="containsText" text="o">
      <formula>NOT(ISERROR(SEARCH("o",P3299)))</formula>
    </cfRule>
  </conditionalFormatting>
  <conditionalFormatting sqref="O3299:O3384">
    <cfRule type="containsText" dxfId="138" priority="688" operator="containsText" text="o">
      <formula>NOT(ISERROR(SEARCH("o",O3299)))</formula>
    </cfRule>
  </conditionalFormatting>
  <conditionalFormatting sqref="M3299:M3384">
    <cfRule type="containsText" dxfId="137" priority="687" operator="containsText" text="o">
      <formula>NOT(ISERROR(SEARCH("o",M3299)))</formula>
    </cfRule>
  </conditionalFormatting>
  <conditionalFormatting sqref="K3495:K3543">
    <cfRule type="containsText" dxfId="136" priority="682" operator="containsText" text="o">
      <formula>NOT(ISERROR(SEARCH("o",K3495)))</formula>
    </cfRule>
  </conditionalFormatting>
  <conditionalFormatting sqref="N3495:N3543">
    <cfRule type="containsText" dxfId="135" priority="681" operator="containsText" text="o">
      <formula>NOT(ISERROR(SEARCH("o",N3495)))</formula>
    </cfRule>
  </conditionalFormatting>
  <conditionalFormatting sqref="M3495:M3539 M3541:M3543">
    <cfRule type="containsText" dxfId="134" priority="680" operator="containsText" text="o">
      <formula>NOT(ISERROR(SEARCH("o",M3495)))</formula>
    </cfRule>
  </conditionalFormatting>
  <conditionalFormatting sqref="O3495:O3531 O3533:O3538 O3540:O3543">
    <cfRule type="containsText" dxfId="133" priority="679" operator="containsText" text="o">
      <formula>NOT(ISERROR(SEARCH("o",O3495)))</formula>
    </cfRule>
  </conditionalFormatting>
  <conditionalFormatting sqref="P3495:P3536 P3538:P3543">
    <cfRule type="containsText" dxfId="132" priority="678" operator="containsText" text="o">
      <formula>NOT(ISERROR(SEARCH("o",P3495)))</formula>
    </cfRule>
  </conditionalFormatting>
  <conditionalFormatting sqref="J3585:J3600">
    <cfRule type="containsText" dxfId="131" priority="664" operator="containsText" text="o">
      <formula>NOT(ISERROR(SEARCH("o",J3585)))</formula>
    </cfRule>
  </conditionalFormatting>
  <conditionalFormatting sqref="K3585:K3600">
    <cfRule type="containsText" dxfId="130" priority="663" operator="containsText" text="o">
      <formula>NOT(ISERROR(SEARCH("o",K3585)))</formula>
    </cfRule>
  </conditionalFormatting>
  <conditionalFormatting sqref="K3614:K3616 K3618:K3619">
    <cfRule type="containsText" dxfId="129" priority="652" operator="containsText" text="o">
      <formula>NOT(ISERROR(SEARCH("o",K3614)))</formula>
    </cfRule>
  </conditionalFormatting>
  <conditionalFormatting sqref="K3610:K3611">
    <cfRule type="containsText" dxfId="128" priority="651" operator="containsText" text="o">
      <formula>NOT(ISERROR(SEARCH("o",K3610)))</formula>
    </cfRule>
  </conditionalFormatting>
  <conditionalFormatting sqref="J3611:J3621">
    <cfRule type="containsText" dxfId="127" priority="650" operator="containsText" text="o">
      <formula>NOT(ISERROR(SEARCH("o",J3611)))</formula>
    </cfRule>
  </conditionalFormatting>
  <conditionalFormatting sqref="J3610">
    <cfRule type="containsText" dxfId="126" priority="649" operator="containsText" text="o">
      <formula>NOT(ISERROR(SEARCH("o",J3610)))</formula>
    </cfRule>
  </conditionalFormatting>
  <conditionalFormatting sqref="N3610:N3621">
    <cfRule type="containsText" dxfId="125" priority="648" operator="containsText" text="o">
      <formula>NOT(ISERROR(SEARCH("o",N3610)))</formula>
    </cfRule>
  </conditionalFormatting>
  <conditionalFormatting sqref="O3610:O3613 O3619:O3621 O3615 O3617">
    <cfRule type="containsText" dxfId="124" priority="647" operator="containsText" text="o">
      <formula>NOT(ISERROR(SEARCH("o",O3610)))</formula>
    </cfRule>
  </conditionalFormatting>
  <conditionalFormatting sqref="P3611:P3613 P3619:P3621">
    <cfRule type="containsText" dxfId="123" priority="646" operator="containsText" text="o">
      <formula>NOT(ISERROR(SEARCH("o",P3611)))</formula>
    </cfRule>
  </conditionalFormatting>
  <conditionalFormatting sqref="M3610:M3621">
    <cfRule type="containsText" dxfId="122" priority="645" operator="containsText" text="o">
      <formula>NOT(ISERROR(SEARCH("o",M3610)))</formula>
    </cfRule>
  </conditionalFormatting>
  <conditionalFormatting sqref="K3628:K3632">
    <cfRule type="containsText" dxfId="121" priority="639" operator="containsText" text="o">
      <formula>NOT(ISERROR(SEARCH("o",K3628)))</formula>
    </cfRule>
  </conditionalFormatting>
  <conditionalFormatting sqref="I3628:I3637">
    <cfRule type="containsText" dxfId="120" priority="638" operator="containsText" text="o">
      <formula>NOT(ISERROR(SEARCH("o",I3628)))</formula>
    </cfRule>
  </conditionalFormatting>
  <conditionalFormatting sqref="L3628:L3632">
    <cfRule type="containsText" dxfId="119" priority="637" operator="containsText" text="o">
      <formula>NOT(ISERROR(SEARCH("o",L3628)))</formula>
    </cfRule>
  </conditionalFormatting>
  <conditionalFormatting sqref="J3628:J3632">
    <cfRule type="containsText" dxfId="118" priority="636" operator="containsText" text="o">
      <formula>NOT(ISERROR(SEARCH("o",J3628)))</formula>
    </cfRule>
  </conditionalFormatting>
  <conditionalFormatting sqref="D3666">
    <cfRule type="cellIs" dxfId="117" priority="603" operator="greaterThan">
      <formula>8.5</formula>
    </cfRule>
  </conditionalFormatting>
  <conditionalFormatting sqref="D3666">
    <cfRule type="cellIs" dxfId="116" priority="602" operator="lessThan">
      <formula>7</formula>
    </cfRule>
  </conditionalFormatting>
  <conditionalFormatting sqref="A3666:A3687">
    <cfRule type="duplicateValues" dxfId="115" priority="604"/>
  </conditionalFormatting>
  <conditionalFormatting sqref="X3608:AE3608 B3605:C3605 G3605 T3605:AE3605 A3606:C3610 U3608:V3608 U3609:AE3609 U3607:AE3607 E3606:H3610 S3607:T3609 S3606:AE3606 L3610 Q3605:R3610 F3611:F3621 AE3610 AB3611:AB3621 T3610:AC3610">
    <cfRule type="expression" dxfId="114" priority="660">
      <formula>AND($U3605&lt;#REF!,$U3605&lt;&gt;"")</formula>
    </cfRule>
  </conditionalFormatting>
  <conditionalFormatting sqref="B3644:E3645 L3644:L3648 P3643:P3655 G3644:J3648 P3644:X3648 Z3646:AC3648 R3643:S3655 Z3644:AE3645 I3645:L3655 C3646:E3648">
    <cfRule type="expression" dxfId="113" priority="630">
      <formula>AND($U3643&lt;#REF!,$U3643&lt;&gt;"")</formula>
    </cfRule>
  </conditionalFormatting>
  <conditionalFormatting sqref="B3646:B3649 AD3646:AF3650">
    <cfRule type="expression" dxfId="112" priority="624">
      <formula>AND($U3646&lt;#REF!,$U3646&lt;&gt;"")</formula>
    </cfRule>
  </conditionalFormatting>
  <conditionalFormatting sqref="K3643:K3647 M3643:O3655">
    <cfRule type="expression" dxfId="111" priority="1267">
      <formula>AND($U3644&lt;#REF!,$U3644&lt;&gt;"")</formula>
    </cfRule>
  </conditionalFormatting>
  <conditionalFormatting sqref="A3606:A3610">
    <cfRule type="expression" dxfId="110" priority="1277">
      <formula>$S3606&gt;0</formula>
    </cfRule>
    <cfRule type="duplicateValues" dxfId="109" priority="1278"/>
  </conditionalFormatting>
  <conditionalFormatting sqref="D4014:D4168">
    <cfRule type="cellIs" dxfId="108" priority="583" operator="greaterThan">
      <formula>8.5</formula>
    </cfRule>
  </conditionalFormatting>
  <conditionalFormatting sqref="D4014:D4168">
    <cfRule type="cellIs" dxfId="107" priority="582" operator="lessThan">
      <formula>7</formula>
    </cfRule>
  </conditionalFormatting>
  <conditionalFormatting sqref="N4264:N4267">
    <cfRule type="containsText" dxfId="106" priority="574" operator="containsText" text="o">
      <formula>NOT(ISERROR(SEARCH("o",N4264)))</formula>
    </cfRule>
  </conditionalFormatting>
  <conditionalFormatting sqref="P4264 P4266:P4267">
    <cfRule type="containsText" dxfId="105" priority="573" operator="containsText" text="o">
      <formula>NOT(ISERROR(SEARCH("o",P4264)))</formula>
    </cfRule>
  </conditionalFormatting>
  <conditionalFormatting sqref="O4264:O4267">
    <cfRule type="containsText" dxfId="104" priority="572" operator="containsText" text="o">
      <formula>NOT(ISERROR(SEARCH("o",O4264)))</formula>
    </cfRule>
  </conditionalFormatting>
  <conditionalFormatting sqref="U4272:V4281 U4268:U4271">
    <cfRule type="expression" dxfId="103" priority="554">
      <formula>AND($U4268&lt;#REF!,$U4268&lt;&gt;"")</formula>
    </cfRule>
  </conditionalFormatting>
  <conditionalFormatting sqref="J4306:J4312">
    <cfRule type="containsText" dxfId="102" priority="531" operator="containsText" text="o">
      <formula>NOT(ISERROR(SEARCH("o",J4306)))</formula>
    </cfRule>
  </conditionalFormatting>
  <conditionalFormatting sqref="M4306:M4312">
    <cfRule type="containsText" dxfId="101" priority="530" operator="containsText" text="o">
      <formula>NOT(ISERROR(SEARCH("o",M4306)))</formula>
    </cfRule>
  </conditionalFormatting>
  <conditionalFormatting sqref="K4313:K4321">
    <cfRule type="containsText" dxfId="100" priority="529" operator="containsText" text="o">
      <formula>NOT(ISERROR(SEARCH("o",K4313)))</formula>
    </cfRule>
  </conditionalFormatting>
  <conditionalFormatting sqref="I4313:I4321">
    <cfRule type="containsText" dxfId="99" priority="528" operator="containsText" text="o">
      <formula>NOT(ISERROR(SEARCH("o",I4313)))</formula>
    </cfRule>
  </conditionalFormatting>
  <conditionalFormatting sqref="L4313:L4321">
    <cfRule type="containsText" dxfId="98" priority="527" operator="containsText" text="o">
      <formula>NOT(ISERROR(SEARCH("o",L4313)))</formula>
    </cfRule>
  </conditionalFormatting>
  <conditionalFormatting sqref="J4313:J4321">
    <cfRule type="containsText" dxfId="97" priority="526" operator="containsText" text="o">
      <formula>NOT(ISERROR(SEARCH("o",J4313)))</formula>
    </cfRule>
  </conditionalFormatting>
  <conditionalFormatting sqref="K4353:K4354 K4356">
    <cfRule type="containsText" dxfId="96" priority="525" operator="containsText" text="o">
      <formula>NOT(ISERROR(SEARCH("o",K4353)))</formula>
    </cfRule>
  </conditionalFormatting>
  <conditionalFormatting sqref="J4353:J4354 J4356 J4358:J4361">
    <cfRule type="containsText" dxfId="95" priority="524" operator="containsText" text="o">
      <formula>NOT(ISERROR(SEARCH("o",J4353)))</formula>
    </cfRule>
  </conditionalFormatting>
  <conditionalFormatting sqref="P4362:P4373">
    <cfRule type="containsText" dxfId="94" priority="171" operator="containsText" text="o">
      <formula>NOT(ISERROR(SEARCH("o",P4362)))</formula>
    </cfRule>
  </conditionalFormatting>
  <conditionalFormatting sqref="O4362:O4367 O4370:O4373">
    <cfRule type="containsText" dxfId="93" priority="170" operator="containsText" text="o">
      <formula>NOT(ISERROR(SEARCH("o",O4362)))</formula>
    </cfRule>
  </conditionalFormatting>
  <conditionalFormatting sqref="N4362:N4373">
    <cfRule type="containsText" dxfId="92" priority="169" operator="containsText" text="o">
      <formula>NOT(ISERROR(SEARCH("o",N4362)))</formula>
    </cfRule>
  </conditionalFormatting>
  <conditionalFormatting sqref="M4372:M4373 M4362:M4369">
    <cfRule type="containsText" dxfId="91" priority="168" operator="containsText" text="o">
      <formula>NOT(ISERROR(SEARCH("o",M4362)))</formula>
    </cfRule>
  </conditionalFormatting>
  <conditionalFormatting sqref="K4362:K4371">
    <cfRule type="containsText" dxfId="90" priority="166" operator="containsText" text="o">
      <formula>NOT(ISERROR(SEARCH("o",K4362)))</formula>
    </cfRule>
  </conditionalFormatting>
  <conditionalFormatting sqref="J4362:J4364 J4370:J4373">
    <cfRule type="containsText" dxfId="89" priority="165" operator="containsText" text="o">
      <formula>NOT(ISERROR(SEARCH("o",J4362)))</formula>
    </cfRule>
  </conditionalFormatting>
  <conditionalFormatting sqref="F4362:F4373">
    <cfRule type="containsText" dxfId="88" priority="164" operator="containsText" text="o">
      <formula>NOT(ISERROR(SEARCH("o",F4362)))</formula>
    </cfRule>
  </conditionalFormatting>
  <conditionalFormatting sqref="AE4284:AE4293">
    <cfRule type="expression" dxfId="87" priority="1503">
      <formula>AND(#REF!&lt;#REF!,#REF!&lt;&gt;"")</formula>
    </cfRule>
  </conditionalFormatting>
  <conditionalFormatting sqref="B4383:H4384 M4384 J4383:M4383 Q4383:Q4384 T4384:X4384 S4383:AC4383 O4383:O4384 Z4384">
    <cfRule type="expression" dxfId="86" priority="133">
      <formula>AND($U4383&lt;#REF!,$U4383&lt;&gt;"")</formula>
    </cfRule>
  </conditionalFormatting>
  <conditionalFormatting sqref="N4528:N4530 P4528:R4530 T4528:X4530 AD4528:AE4530 G4528:G4530 I4528:J4530 Z4528:Z4530">
    <cfRule type="expression" dxfId="85" priority="55">
      <formula>AND($U4528&lt;#REF!,$U4528&lt;&gt;"")</formula>
    </cfRule>
  </conditionalFormatting>
  <conditionalFormatting sqref="F1:F4549 F4560:F1048576">
    <cfRule type="cellIs" dxfId="84" priority="37" operator="greaterThan">
      <formula>4000</formula>
    </cfRule>
  </conditionalFormatting>
  <conditionalFormatting sqref="A3667:A3682 A1639:A1700 A1:A39 A1932:A1973 A1983:A1993 A1995:A2067 A2069:A2154 B2711:C2711 F2712:F2724 E2711:H2711 J2711:J2724 A2197:A2747 A2760:A2807 A2907:A2934 A2937:A3605 A3611:A3665 A3684:A1048576">
    <cfRule type="duplicateValues" dxfId="3" priority="1830"/>
  </conditionalFormatting>
  <conditionalFormatting sqref="A3667:A3682 A1639:A1700 A1932:A1973 A1983:A1993 A1995:A2067 A2069:A2154 B2711:C2711 F2712:F2724 E2711:H2711 J2711:J2724 A2197:A2747 A2760:A2807 A2907:A2934 A2937:A3605 A3611:A3665 A3684:A1048576">
    <cfRule type="duplicateValues" dxfId="2" priority="1849"/>
  </conditionalFormatting>
  <conditionalFormatting sqref="A3667:A3682 A1:A1700 A1932:A1973 A1983:A1993 A1995:A2067 A2069:A2154 B2711:C2711 F2712:F2724 E2711:H2711 J2711:J2724 A2197:A2747 A2760:A2807 A2907:A2934 A2937:A3605 A3611:A3665 A3684:A1048576">
    <cfRule type="duplicateValues" dxfId="1" priority="1867"/>
  </conditionalFormatting>
  <dataValidations count="1">
    <dataValidation type="list" allowBlank="1" showInputMessage="1" showErrorMessage="1" sqref="I4528:I4530 N4528:N4530 R4528:R4530" xr:uid="{16483F33-A2B2-4962-8C52-A601B34847B3}">
      <formula1>#REF!</formula1>
    </dataValidation>
  </dataValidations>
  <pageMargins left="0.75" right="0.75" top="1" bottom="1" header="0.5" footer="0.5"/>
  <pageSetup paperSize="9" orientation="portrait" r:id="rId1"/>
  <ignoredErrors>
    <ignoredError sqref="M2237:M223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29" id="{3DD66F38-804B-474E-BCFF-028A8DD6E18C}">
            <xm:f>AND($U3644&lt;'/Users/rachakzouhair/Library/Containers/com.microsoft.Excel/Data/Documents/Macintosh HD:Users:fzarrouk:Desktop:[BD1_LACQ2 .xlsx]DATA'!#REF!,$U3644&lt;&gt;"")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D3644:D3648</xm:sqref>
        </x14:conditionalFormatting>
        <x14:conditionalFormatting xmlns:xm="http://schemas.microsoft.com/office/excel/2006/main">
          <x14:cfRule type="expression" priority="628" id="{29A74AB8-7FCB-7844-8363-9FF0407735F3}">
            <xm:f>AND($U3644&lt;'/Users/rachakzouhair/Library/Containers/com.microsoft.Excel/Data/Documents/Macintosh HD:Users:fzarrouk:Desktop:[BD1_LACQ2 .xlsx]DATA'!#REF!,$U3644&lt;&gt;"")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C3644:C3648</xm:sqref>
        </x14:conditionalFormatting>
        <x14:conditionalFormatting xmlns:xm="http://schemas.microsoft.com/office/excel/2006/main">
          <x14:cfRule type="expression" priority="627" id="{657C4A4C-9A55-CC4A-94C9-29EDF7965DC6}">
            <xm:f>AND($U3644&lt;'/Users/rachakzouhair/Library/Containers/com.microsoft.Excel/Data/Documents/Macintosh HD:Users:fzarrouk:Desktop:[BD1_LACQ2 .xlsx]DATA'!#REF!,$U3644&lt;&gt;"")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C3644:D3648</xm:sqref>
        </x14:conditionalFormatting>
        <x14:conditionalFormatting xmlns:xm="http://schemas.microsoft.com/office/excel/2006/main">
          <x14:cfRule type="expression" priority="626" id="{5D2BB0DF-D85C-B141-AEDC-3C4A202FE759}">
            <xm:f>AND($U3643&lt;'/Users/rachakzouhair/Library/Containers/com.microsoft.Excel/Data/Documents/Macintosh HD:Users:asmaabenhida:Downloads:[BD1_LACQ2 (11).xlsx]DATA'!#REF!,$U3643&lt;&gt;"")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S3644:T3648 L3644:L3648 P3643:P3655 G3644:J3648 V3644:X3648 Z3644:AC3648 I3645:L3655 C3644:E3648</xm:sqref>
        </x14:conditionalFormatting>
        <x14:conditionalFormatting xmlns:xm="http://schemas.microsoft.com/office/excel/2006/main">
          <x14:cfRule type="expression" priority="625" id="{C52BD727-48D8-9944-9D0F-DA18034257A0}">
            <xm:f>AND($U3643&lt;'/Users/rachakzouhair/Library/Containers/com.microsoft.Excel/Data/Documents/Macintosh HD:Users:fzarrouk:Desktop:[BD1_LACQ2 .xlsx]DATA'!#REF!,$U3643&lt;&gt;"")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B3644:B3649</xm:sqref>
        </x14:conditionalFormatting>
        <x14:conditionalFormatting xmlns:xm="http://schemas.microsoft.com/office/excel/2006/main">
          <x14:cfRule type="expression" priority="1271" id="{5D2BB0DF-D85C-B141-AEDC-3C4A202FE759}">
            <xm:f>AND($U3644&lt;'/Users/rachakzouhair/Library/Containers/com.microsoft.Excel/Data/Documents/Macintosh HD:Users:asmaabenhida:Downloads:[BD1_LACQ2 (11).xlsx]DATA'!#REF!,$U3644&lt;&gt;"")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K3643:K3647 M3643:O3655</xm:sqref>
        </x14:conditionalFormatting>
        <x14:conditionalFormatting xmlns:xm="http://schemas.microsoft.com/office/excel/2006/main">
          <x14:cfRule type="expression" priority="553" id="{CA22CE1F-2270-440D-8FB1-9A945E4833E0}">
            <xm:f>AND($U4268&lt;'Macintosh HD:Users:rachakzouhair:Library:Containers:com.microsoft.Excel:Data:Documents:Macintosh HD:Users:asmaabenhida:Downloads:[BD1_LACQ2 (11).xlsx]DATA'!#REF!,$U4268&lt;&gt;"")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U4268:U4281</xm:sqref>
        </x14:conditionalFormatting>
        <x14:conditionalFormatting xmlns:xm="http://schemas.microsoft.com/office/excel/2006/main">
          <x14:cfRule type="expression" priority="54" id="{D8970A6E-5B67-4813-9CBA-76E9DF6F3010}">
            <xm:f>AND($U4528&lt;'Macintosh HD:/Users/mac/Library/Containers/com.microsoft.Excel/Data/Documents/Macintosh HD:Users:fzarrouk:Desktop:FATIMAZ:[BD1_LACQ2020xlsx.xlsx]DATA'!#REF!,$U4528&lt;&gt;"")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C4528:C4530</xm:sqref>
        </x14:conditionalFormatting>
        <x14:conditionalFormatting xmlns:xm="http://schemas.microsoft.com/office/excel/2006/main">
          <x14:cfRule type="expression" priority="53" id="{AA123094-555D-47B0-9FDD-FC3884F263F1}">
            <xm:f>AND($U4528&lt;'Macintosh HD:/Users/mac/Library/Containers/com.microsoft.Excel/Data/Documents/Macintosh HD:Users:fzarrouk:Desktop:FATIMAZ:[BD1_LACQ2020xlsx.xlsx]DATA'!#REF!,$U4528&lt;&gt;"")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L4528:L4529 D4528:D4530</xm:sqref>
        </x14:conditionalFormatting>
        <x14:conditionalFormatting xmlns:xm="http://schemas.microsoft.com/office/excel/2006/main">
          <x14:cfRule type="expression" priority="52" id="{45DCE825-D0EF-4148-8FFC-9153FE8C69F9}">
            <xm:f>AND($U4528&lt;'Macintosh HD:/Users/mac/Library/Containers/com.microsoft.Excel/Data/Documents/Macintosh HD:Users:rachakzouhair:Library:Containers:com.microsoft.Excel:Data:Documents:Macintosh HD:Users:asmaabenhida:Downloads:[BD1_LACQ2 (11).xlsx]DATA'!#REF!,$U4528&lt;&gt;"")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L4528:L4529 C4528:D4530</xm:sqref>
        </x14:conditionalFormatting>
        <x14:conditionalFormatting xmlns:xm="http://schemas.microsoft.com/office/excel/2006/main">
          <x14:cfRule type="expression" priority="51" id="{FA093EC0-64D7-4E72-A761-7B1A703E0618}">
            <xm:f>AND($U4528&lt;'Macintosh HD:/Users/mac/Library/Containers/com.microsoft.Excel/Data/Documents/Macintosh HD:Users:rachakzouhair:Library:Containers:com.microsoft.Excel:Data:Documents:Macintosh HD:Users:fzarrouk:Desktop:[BD1_LACQ2 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C4528:C4530</xm:sqref>
        </x14:conditionalFormatting>
        <x14:conditionalFormatting xmlns:xm="http://schemas.microsoft.com/office/excel/2006/main">
          <x14:cfRule type="expression" priority="50" id="{EC5D478E-37F5-439C-ADED-92B68EA1B1D9}">
            <xm:f>AND($U4528&lt;'Macintosh HD:/Users/mac/Library/Containers/com.microsoft.Excel/Data/Documents/Macintosh HD:Users:rachakzouhair:Library:Containers:com.microsoft.Excel:Data:Documents:Macintosh HD:Users:fzarrouk:Desktop:[BD1_LACQ2 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C4528:D4530</xm:sqref>
        </x14:conditionalFormatting>
        <x14:conditionalFormatting xmlns:xm="http://schemas.microsoft.com/office/excel/2006/main">
          <x14:cfRule type="expression" priority="49" id="{AE256A24-846E-4342-8D73-E78474A0667F}">
            <xm:f>AND($U4528&lt;'\Users\abenhida\Library\Containers\com.microsoft.Excel\Data\Documents\Macintosh HD:Users:fzarrouk:Desktop:FATIMAZ:[BD1_LACQ2020xlsx.xlsx]DATA'!#REF!,$U4528&lt;&gt;"")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B4528:B4530</xm:sqref>
        </x14:conditionalFormatting>
        <x14:conditionalFormatting xmlns:xm="http://schemas.microsoft.com/office/excel/2006/main">
          <x14:cfRule type="expression" priority="48" id="{D94BC777-7B5A-4BEF-AE30-1218101CB94E}">
            <xm:f>AND($U4530&lt;'Macintosh HD:/Users/mac/Library/Containers/com.microsoft.Excel/Data/Documents/Macintosh HD:Users:fzarrouk:Desktop:FATIMAZ:[BD1_LACQ2020xlsx.xlsx]DATA'!#REF!,$U4530&lt;&gt;"")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L4530</xm:sqref>
        </x14:conditionalFormatting>
        <x14:conditionalFormatting xmlns:xm="http://schemas.microsoft.com/office/excel/2006/main">
          <x14:cfRule type="expression" priority="47" id="{685D57A4-8157-47A5-837F-888E8BDA2F95}">
            <xm:f>AND($U4530&lt;'Macintosh HD:/Users/mac/Library/Containers/com.microsoft.Excel/Data/Documents/Macintosh HD:Users:rachakzouhair:Library:Containers:com.microsoft.Excel:Data:Documents:Macintosh HD:Users:asmaabenhida:Downloads:[BD1_LACQ2 (11).xlsx]DATA'!#REF!,$U4530&lt;&gt;"")</xm:f>
            <x14:dxf>
              <font>
                <b/>
                <i val="0"/>
                <color theme="1"/>
              </font>
              <fill>
                <patternFill>
                  <bgColor theme="7"/>
                </patternFill>
              </fill>
            </x14:dxf>
          </x14:cfRule>
          <xm:sqref>L4530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theme="7" tint="0.39997558519241921"/>
  </sheetPr>
  <dimension ref="A1:EM243"/>
  <sheetViews>
    <sheetView zoomScale="80" zoomScaleNormal="80" zoomScalePageLayoutView="130" workbookViewId="0">
      <pane xSplit="1" ySplit="3" topLeftCell="I4" activePane="bottomRight" state="frozen"/>
      <selection pane="topRight" activeCell="B1" sqref="B1"/>
      <selection pane="bottomLeft" activeCell="A4" sqref="A4"/>
      <selection pane="bottomRight" activeCell="N23" sqref="N23"/>
    </sheetView>
  </sheetViews>
  <sheetFormatPr baseColWidth="10" defaultRowHeight="15.75" x14ac:dyDescent="0.25"/>
  <cols>
    <col min="1" max="1" width="10.875" style="65"/>
    <col min="5" max="5" width="11.5" style="897" bestFit="1" customWidth="1"/>
    <col min="7" max="7" width="13.875" bestFit="1" customWidth="1"/>
    <col min="8" max="8" width="12.375" bestFit="1" customWidth="1"/>
    <col min="9" max="9" width="13.875" bestFit="1" customWidth="1"/>
    <col min="19" max="19" width="15.25" bestFit="1" customWidth="1"/>
    <col min="20" max="20" width="14.125" bestFit="1" customWidth="1"/>
    <col min="24" max="24" width="19.375" customWidth="1"/>
  </cols>
  <sheetData>
    <row r="1" spans="1:143" ht="15" customHeight="1" x14ac:dyDescent="0.25">
      <c r="A1" s="1849"/>
      <c r="B1" s="1850"/>
      <c r="C1" s="1850"/>
      <c r="D1" s="1851"/>
      <c r="E1" s="1852"/>
      <c r="F1" s="1851"/>
      <c r="G1" s="1851"/>
      <c r="H1" s="1851"/>
      <c r="I1" s="1850"/>
      <c r="J1" s="1850"/>
      <c r="K1" s="1850"/>
      <c r="L1" s="1850"/>
      <c r="M1" s="1850"/>
      <c r="N1" s="1850"/>
      <c r="O1" s="1850"/>
      <c r="P1" s="1850"/>
      <c r="Q1" s="1850"/>
      <c r="R1" s="1850"/>
      <c r="S1" s="1850"/>
      <c r="T1" s="1851"/>
      <c r="U1" s="1851"/>
      <c r="V1" s="2117" t="s">
        <v>489</v>
      </c>
      <c r="W1" s="1853"/>
      <c r="X1" s="2117" t="s">
        <v>595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</row>
    <row r="2" spans="1:143" s="29" customFormat="1" ht="18.75" x14ac:dyDescent="0.3">
      <c r="A2" s="2116" t="s">
        <v>0</v>
      </c>
      <c r="B2" s="1854" t="s">
        <v>3</v>
      </c>
      <c r="C2" s="1854" t="s">
        <v>186</v>
      </c>
      <c r="D2" s="1854" t="s">
        <v>4</v>
      </c>
      <c r="E2" s="1855" t="s">
        <v>5</v>
      </c>
      <c r="F2" s="1854" t="s">
        <v>6</v>
      </c>
      <c r="G2" s="1854" t="s">
        <v>7</v>
      </c>
      <c r="H2" s="1854" t="s">
        <v>8</v>
      </c>
      <c r="I2" s="1854" t="s">
        <v>9</v>
      </c>
      <c r="J2" s="1854" t="s">
        <v>187</v>
      </c>
      <c r="K2" s="1854" t="s">
        <v>38</v>
      </c>
      <c r="L2" s="1854" t="s">
        <v>39</v>
      </c>
      <c r="M2" s="1854" t="s">
        <v>40</v>
      </c>
      <c r="N2" s="1854" t="s">
        <v>41</v>
      </c>
      <c r="O2" s="1854" t="s">
        <v>56</v>
      </c>
      <c r="P2" s="1854" t="s">
        <v>57</v>
      </c>
      <c r="Q2" s="1854" t="s">
        <v>58</v>
      </c>
      <c r="R2" s="1854" t="s">
        <v>59</v>
      </c>
      <c r="S2" s="1854" t="s">
        <v>60</v>
      </c>
      <c r="T2" s="1854" t="s">
        <v>61</v>
      </c>
      <c r="U2" s="1854" t="s">
        <v>10</v>
      </c>
      <c r="V2" s="2117"/>
      <c r="W2" s="1856" t="s">
        <v>109</v>
      </c>
      <c r="X2" s="2117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</row>
    <row r="3" spans="1:143" s="29" customFormat="1" ht="18.75" x14ac:dyDescent="0.3">
      <c r="A3" s="2116"/>
      <c r="B3" s="1854" t="s">
        <v>34</v>
      </c>
      <c r="C3" s="1854" t="s">
        <v>34</v>
      </c>
      <c r="D3" s="1854" t="s">
        <v>35</v>
      </c>
      <c r="E3" s="1855" t="s">
        <v>188</v>
      </c>
      <c r="F3" s="1854" t="s">
        <v>188</v>
      </c>
      <c r="G3" s="1854" t="s">
        <v>188</v>
      </c>
      <c r="H3" s="1854" t="s">
        <v>188</v>
      </c>
      <c r="I3" s="1854" t="s">
        <v>188</v>
      </c>
      <c r="J3" s="1854" t="s">
        <v>189</v>
      </c>
      <c r="K3" s="1854" t="s">
        <v>189</v>
      </c>
      <c r="L3" s="1854" t="s">
        <v>189</v>
      </c>
      <c r="M3" s="1854" t="s">
        <v>189</v>
      </c>
      <c r="N3" s="1854" t="s">
        <v>189</v>
      </c>
      <c r="O3" s="1854" t="s">
        <v>189</v>
      </c>
      <c r="P3" s="1854" t="s">
        <v>189</v>
      </c>
      <c r="Q3" s="1854" t="s">
        <v>189</v>
      </c>
      <c r="R3" s="1854" t="s">
        <v>189</v>
      </c>
      <c r="S3" s="1854" t="s">
        <v>71</v>
      </c>
      <c r="T3" s="1854" t="s">
        <v>72</v>
      </c>
      <c r="U3" s="1854" t="s">
        <v>189</v>
      </c>
      <c r="V3" s="2117"/>
      <c r="W3" s="1856" t="s">
        <v>47</v>
      </c>
      <c r="X3" s="2117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</row>
    <row r="4" spans="1:143" s="53" customFormat="1" ht="18" x14ac:dyDescent="0.25">
      <c r="A4" s="63">
        <v>913000</v>
      </c>
      <c r="B4" s="53">
        <v>8.25</v>
      </c>
      <c r="D4" s="53">
        <v>0.39</v>
      </c>
      <c r="E4" s="53">
        <v>31.68</v>
      </c>
      <c r="G4" s="53">
        <v>0.81</v>
      </c>
      <c r="H4" s="53">
        <v>14.76</v>
      </c>
      <c r="I4" s="53">
        <v>96.7</v>
      </c>
      <c r="J4" s="53">
        <f>19.31*3.06</f>
        <v>59.0886</v>
      </c>
      <c r="K4" s="53">
        <v>65.209999999999994</v>
      </c>
      <c r="L4" s="53">
        <v>259.93700000000001</v>
      </c>
      <c r="M4" s="53">
        <v>160.26</v>
      </c>
      <c r="N4" s="53">
        <v>110.13</v>
      </c>
      <c r="O4" s="53">
        <f>6.16/2</f>
        <v>3.08</v>
      </c>
      <c r="P4" s="53">
        <f>1.3/2</f>
        <v>0.65</v>
      </c>
      <c r="Q4" s="53">
        <f>4.33/2</f>
        <v>2.165</v>
      </c>
      <c r="R4" s="53">
        <f>4.23/2</f>
        <v>2.1150000000000002</v>
      </c>
      <c r="S4" s="54">
        <v>0.89008198781884906</v>
      </c>
      <c r="T4" s="53">
        <v>6</v>
      </c>
      <c r="U4" s="53">
        <f>(2.5-0.1)*24</f>
        <v>57.599999999999994</v>
      </c>
      <c r="V4" s="53">
        <f>E4/62+G4/14+H4/35.5+I4/48+J4/96+U4/62</f>
        <v>4.5437213740778004</v>
      </c>
      <c r="W4" s="53">
        <f>+L4/23+K4/39+M4/20+N4/12</f>
        <v>30.164159977703456</v>
      </c>
    </row>
    <row r="5" spans="1:143" s="53" customFormat="1" ht="18" x14ac:dyDescent="0.25">
      <c r="A5" s="63">
        <v>913001</v>
      </c>
      <c r="B5" s="53">
        <v>8.2200000000000006</v>
      </c>
      <c r="D5" s="53">
        <v>0.24399999999999999</v>
      </c>
      <c r="E5" s="53">
        <v>44.61</v>
      </c>
      <c r="G5" s="53">
        <v>0.13</v>
      </c>
      <c r="H5" s="53">
        <v>12.5</v>
      </c>
      <c r="I5" s="53">
        <v>3.4</v>
      </c>
      <c r="J5" s="53">
        <f>1.79*3.06</f>
        <v>5.4774000000000003</v>
      </c>
      <c r="K5" s="53">
        <v>98.38</v>
      </c>
      <c r="L5" s="53">
        <v>81.341999999999999</v>
      </c>
      <c r="M5" s="53">
        <v>181.2</v>
      </c>
      <c r="N5" s="53">
        <v>68.260000000000005</v>
      </c>
      <c r="O5" s="53">
        <f>1.88/2</f>
        <v>0.94</v>
      </c>
      <c r="P5" s="53">
        <f>0.2/2</f>
        <v>0.1</v>
      </c>
      <c r="Q5" s="53">
        <f>3.65/2</f>
        <v>1.825</v>
      </c>
      <c r="R5" s="53">
        <f>1.37/2</f>
        <v>0.68500000000000005</v>
      </c>
      <c r="S5" s="54">
        <v>0.67976112683783441</v>
      </c>
      <c r="T5" s="53">
        <v>4.7</v>
      </c>
      <c r="U5" s="53">
        <f>(2.6-0.1)*24</f>
        <v>60</v>
      </c>
      <c r="V5" s="53">
        <f>E5/62+G5/14+H5/35.5+I5/48+J5/96+U5/62</f>
        <v>2.1765460381915149</v>
      </c>
      <c r="W5" s="53">
        <f>+L5/23+K5/39+M5/20+N5/12</f>
        <v>20.807506131549609</v>
      </c>
    </row>
    <row r="6" spans="1:143" s="55" customFormat="1" x14ac:dyDescent="0.25">
      <c r="A6" s="63">
        <v>913002</v>
      </c>
      <c r="B6" s="59">
        <v>7.81</v>
      </c>
      <c r="C6" s="59"/>
      <c r="D6" s="59">
        <v>20.82</v>
      </c>
      <c r="E6" s="59">
        <v>96.45</v>
      </c>
      <c r="F6" s="59"/>
      <c r="G6" s="59">
        <v>1.19</v>
      </c>
      <c r="H6" s="59">
        <f>326.55*20</f>
        <v>6531</v>
      </c>
      <c r="I6" s="59">
        <f>51.4*25</f>
        <v>1285</v>
      </c>
      <c r="J6" s="59">
        <f>0.17*3.06</f>
        <v>0.5202</v>
      </c>
      <c r="K6" s="59">
        <v>199.8</v>
      </c>
      <c r="L6" s="59">
        <v>20126.246999999999</v>
      </c>
      <c r="M6" s="59">
        <v>11053.71</v>
      </c>
      <c r="N6" s="59">
        <v>3198.03</v>
      </c>
      <c r="O6" s="59">
        <v>0.26</v>
      </c>
      <c r="P6" s="59">
        <v>0.59</v>
      </c>
      <c r="Q6" s="59">
        <v>2.2200000000000002</v>
      </c>
      <c r="R6" s="59">
        <v>1.7</v>
      </c>
      <c r="S6" s="59">
        <v>0.58323714051022502</v>
      </c>
      <c r="T6" s="59">
        <v>4.3</v>
      </c>
      <c r="U6" s="59">
        <f>(1.5-0.1)*24</f>
        <v>33.599999999999994</v>
      </c>
    </row>
    <row r="7" spans="1:143" s="55" customFormat="1" ht="18" x14ac:dyDescent="0.25">
      <c r="A7" s="63">
        <v>913003</v>
      </c>
      <c r="B7" s="55">
        <v>8.3800000000000008</v>
      </c>
      <c r="D7" s="55">
        <v>6.6000000000000003E-2</v>
      </c>
      <c r="E7" s="55">
        <v>12.06</v>
      </c>
      <c r="G7" s="55">
        <v>0.42</v>
      </c>
      <c r="H7" s="55">
        <v>6.79</v>
      </c>
      <c r="I7" s="55">
        <v>4.5</v>
      </c>
      <c r="J7" s="55">
        <v>1.2</v>
      </c>
      <c r="K7" s="55">
        <v>5.782</v>
      </c>
      <c r="L7" s="55">
        <v>1.0212000000000001</v>
      </c>
      <c r="M7" s="55">
        <v>2.6480000000000001</v>
      </c>
      <c r="N7" s="55">
        <v>4.0579999999999998</v>
      </c>
      <c r="O7" s="55">
        <v>1.3</v>
      </c>
      <c r="P7" s="55">
        <v>0.94</v>
      </c>
      <c r="Q7" s="55">
        <v>0.93</v>
      </c>
      <c r="R7" s="55">
        <v>7.42</v>
      </c>
      <c r="S7" s="56">
        <v>0.50417408533687225</v>
      </c>
      <c r="T7" s="55">
        <v>3.6</v>
      </c>
      <c r="U7" s="55">
        <v>26.4</v>
      </c>
    </row>
    <row r="8" spans="1:143" s="58" customFormat="1" ht="18" x14ac:dyDescent="0.25">
      <c r="A8" s="63">
        <v>913004</v>
      </c>
      <c r="B8" s="58">
        <v>8.4700000000000006</v>
      </c>
      <c r="C8" s="55"/>
      <c r="D8" s="58">
        <v>6.5000000000000002E-2</v>
      </c>
      <c r="E8" s="58">
        <v>6.54</v>
      </c>
      <c r="G8" s="58">
        <v>0.4</v>
      </c>
      <c r="H8" s="58">
        <v>8.4700000000000006</v>
      </c>
      <c r="I8" s="58">
        <v>2.8</v>
      </c>
      <c r="J8" s="58">
        <v>1.3</v>
      </c>
      <c r="K8" s="58">
        <v>6.1280000000000001</v>
      </c>
      <c r="L8" s="58">
        <v>1.3233999999999999</v>
      </c>
      <c r="M8" s="58">
        <v>6.8220000000000001</v>
      </c>
      <c r="N8" s="58">
        <v>4.21</v>
      </c>
      <c r="O8" s="58">
        <v>1.17</v>
      </c>
      <c r="P8" s="58">
        <v>0.51</v>
      </c>
      <c r="Q8" s="58">
        <v>0.71</v>
      </c>
      <c r="R8" s="58">
        <v>7.03</v>
      </c>
      <c r="S8" s="57">
        <v>1.4148096488065342E-2</v>
      </c>
      <c r="T8" s="58">
        <v>0.1</v>
      </c>
      <c r="U8" s="58">
        <v>21.6</v>
      </c>
    </row>
    <row r="9" spans="1:143" s="55" customFormat="1" x14ac:dyDescent="0.25">
      <c r="A9" s="63">
        <v>913005</v>
      </c>
      <c r="B9" s="55">
        <v>8.11</v>
      </c>
      <c r="D9" s="55">
        <v>0.34200000000000003</v>
      </c>
      <c r="E9" s="55">
        <v>42.71</v>
      </c>
      <c r="G9" s="55">
        <v>0.52</v>
      </c>
      <c r="H9" s="55">
        <v>74.7</v>
      </c>
      <c r="I9" s="55">
        <v>80.8</v>
      </c>
      <c r="J9" s="55">
        <v>6.29</v>
      </c>
      <c r="K9" s="60">
        <v>19.5</v>
      </c>
      <c r="L9" s="60">
        <v>20.52</v>
      </c>
      <c r="M9" s="60">
        <v>22.52</v>
      </c>
      <c r="N9" s="60">
        <v>10.220000000000001</v>
      </c>
      <c r="O9" s="61">
        <v>2.82</v>
      </c>
      <c r="P9" s="55">
        <v>1.22</v>
      </c>
      <c r="Q9" s="55">
        <v>1.46</v>
      </c>
      <c r="R9" s="55">
        <v>2.67</v>
      </c>
      <c r="S9" s="55">
        <v>0.65418359264866377</v>
      </c>
      <c r="T9" s="55">
        <v>4.8</v>
      </c>
      <c r="U9" s="55">
        <v>55.199999999999996</v>
      </c>
    </row>
    <row r="10" spans="1:143" s="55" customFormat="1" x14ac:dyDescent="0.25">
      <c r="A10" s="63">
        <v>913006</v>
      </c>
      <c r="B10" s="55">
        <v>8.76</v>
      </c>
      <c r="D10" s="55">
        <v>0.224</v>
      </c>
      <c r="E10" s="55">
        <v>37.119999999999997</v>
      </c>
      <c r="G10" s="55">
        <v>0.53</v>
      </c>
      <c r="H10" s="55">
        <v>36.700000000000003</v>
      </c>
      <c r="I10" s="55">
        <v>30.5</v>
      </c>
      <c r="J10" s="55">
        <v>2.71</v>
      </c>
      <c r="K10" s="60">
        <v>20.440000000000001</v>
      </c>
      <c r="L10" s="60">
        <v>15.17</v>
      </c>
      <c r="M10" s="60">
        <v>10.28</v>
      </c>
      <c r="N10" s="60">
        <v>4.62</v>
      </c>
      <c r="O10" s="55">
        <v>0.52</v>
      </c>
      <c r="P10" s="55">
        <v>0.6</v>
      </c>
      <c r="Q10" s="55">
        <v>0.79</v>
      </c>
      <c r="R10" s="55">
        <v>0.66</v>
      </c>
      <c r="S10" s="55">
        <v>0.56984007461429531</v>
      </c>
      <c r="T10" s="55">
        <v>4.0999999999999996</v>
      </c>
      <c r="U10" s="55">
        <v>40.799999999999997</v>
      </c>
    </row>
    <row r="11" spans="1:143" s="55" customFormat="1" x14ac:dyDescent="0.25">
      <c r="A11" s="63">
        <v>913007</v>
      </c>
      <c r="B11" s="55">
        <v>8.3000000000000007</v>
      </c>
      <c r="D11" s="55">
        <v>0.316</v>
      </c>
      <c r="E11" s="55">
        <v>24</v>
      </c>
      <c r="G11" s="55">
        <v>1.07</v>
      </c>
      <c r="H11" s="55">
        <v>42.400000000000006</v>
      </c>
      <c r="I11" s="55">
        <v>68.599999999999994</v>
      </c>
      <c r="J11" s="55">
        <v>6.35</v>
      </c>
      <c r="K11" s="60">
        <v>23.83</v>
      </c>
      <c r="L11" s="60">
        <v>7.63</v>
      </c>
      <c r="M11" s="60">
        <v>31.35</v>
      </c>
      <c r="N11" s="60">
        <v>11.25</v>
      </c>
      <c r="O11" s="55">
        <v>1.83</v>
      </c>
      <c r="P11" s="55">
        <v>0.6</v>
      </c>
      <c r="Q11" s="55">
        <v>60.71</v>
      </c>
      <c r="R11" s="55">
        <v>2.4</v>
      </c>
      <c r="S11" s="55">
        <v>1.7029370000000001</v>
      </c>
      <c r="T11" s="55">
        <v>13.700000000000001</v>
      </c>
      <c r="U11" s="55">
        <v>88.8</v>
      </c>
    </row>
    <row r="12" spans="1:143" s="55" customFormat="1" x14ac:dyDescent="0.25">
      <c r="A12" s="64">
        <v>913008</v>
      </c>
      <c r="B12" s="62">
        <v>8.8699999999999992</v>
      </c>
      <c r="D12" s="62">
        <v>0.17699999999999999</v>
      </c>
      <c r="E12" s="62">
        <v>5</v>
      </c>
      <c r="F12" s="62"/>
      <c r="G12" s="62">
        <v>0.15</v>
      </c>
      <c r="H12" s="62">
        <v>12.4</v>
      </c>
      <c r="I12" s="62">
        <v>12</v>
      </c>
      <c r="J12" s="62">
        <v>0.51</v>
      </c>
      <c r="K12" s="60">
        <v>8.1</v>
      </c>
      <c r="L12" s="60">
        <v>8.1999999999999993</v>
      </c>
      <c r="M12" s="60">
        <v>16.07</v>
      </c>
      <c r="N12" s="62">
        <v>6.03</v>
      </c>
      <c r="O12" s="62">
        <v>2</v>
      </c>
      <c r="P12" s="62">
        <v>1.1299999999999999</v>
      </c>
      <c r="Q12" s="62">
        <v>5.43</v>
      </c>
      <c r="R12" s="62">
        <v>3.63</v>
      </c>
      <c r="S12" s="62">
        <v>1.7064720000000002</v>
      </c>
      <c r="T12" s="62">
        <v>10.5</v>
      </c>
      <c r="U12" s="62">
        <v>15.2</v>
      </c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</row>
    <row r="13" spans="1:143" s="55" customFormat="1" x14ac:dyDescent="0.25">
      <c r="A13" s="64">
        <v>913009</v>
      </c>
      <c r="B13" s="62">
        <v>8.4499999999999993</v>
      </c>
      <c r="D13" s="62">
        <v>0.36499999999999999</v>
      </c>
      <c r="E13" s="62">
        <v>8.5</v>
      </c>
      <c r="F13" s="62"/>
      <c r="G13" s="62">
        <v>0.37</v>
      </c>
      <c r="H13" s="62">
        <v>37.26</v>
      </c>
      <c r="I13" s="62">
        <v>48.4</v>
      </c>
      <c r="J13" s="62">
        <v>0.69</v>
      </c>
      <c r="K13" s="62">
        <v>4.5599999999999996</v>
      </c>
      <c r="L13" s="62">
        <v>19.02</v>
      </c>
      <c r="M13" s="62">
        <v>36.53</v>
      </c>
      <c r="N13" s="62">
        <v>13.36</v>
      </c>
      <c r="O13" s="62">
        <v>1.48</v>
      </c>
      <c r="P13" s="62">
        <v>0.26</v>
      </c>
      <c r="Q13" s="62">
        <v>0.55000000000000004</v>
      </c>
      <c r="R13" s="62">
        <v>1.51</v>
      </c>
      <c r="S13" s="62">
        <v>0.22365946803001818</v>
      </c>
      <c r="T13" s="62">
        <v>5.0999999999999996</v>
      </c>
      <c r="U13" s="62">
        <v>45.6</v>
      </c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</row>
    <row r="14" spans="1:143" s="3" customFormat="1" x14ac:dyDescent="0.25">
      <c r="A14" s="309">
        <v>913010</v>
      </c>
      <c r="B14" s="3">
        <v>7.22</v>
      </c>
      <c r="D14" s="3">
        <v>0.123</v>
      </c>
      <c r="E14" s="26">
        <v>7.48</v>
      </c>
      <c r="G14" s="3">
        <v>0.7</v>
      </c>
      <c r="H14" s="3">
        <v>15.27</v>
      </c>
      <c r="I14" s="3">
        <v>4.5999999999999996</v>
      </c>
      <c r="J14" s="3">
        <v>0.11</v>
      </c>
      <c r="K14" s="3">
        <v>0.63</v>
      </c>
      <c r="L14" s="3">
        <v>8.9600000000000009</v>
      </c>
      <c r="M14" s="3">
        <v>8.4700000000000006</v>
      </c>
      <c r="N14" s="3">
        <v>2.62</v>
      </c>
      <c r="O14" s="3">
        <v>0.14000000000000001</v>
      </c>
      <c r="P14" s="3">
        <v>0.13</v>
      </c>
      <c r="Q14" s="3">
        <v>1.36</v>
      </c>
      <c r="R14" s="3">
        <v>3.29</v>
      </c>
      <c r="S14" s="26">
        <v>0.21490346399999999</v>
      </c>
      <c r="T14" s="3">
        <v>1.5</v>
      </c>
      <c r="U14" s="3">
        <v>81.599999999999994</v>
      </c>
    </row>
    <row r="15" spans="1:143" s="3" customFormat="1" x14ac:dyDescent="0.25">
      <c r="A15" s="309">
        <v>913011</v>
      </c>
      <c r="B15" s="3">
        <v>7.23</v>
      </c>
      <c r="D15" s="3">
        <v>0.13600000000000001</v>
      </c>
      <c r="E15" s="26">
        <v>8.2200000000000006</v>
      </c>
      <c r="G15" s="3">
        <v>1.38</v>
      </c>
      <c r="H15" s="3">
        <v>14.15</v>
      </c>
      <c r="I15" s="3">
        <v>6.09</v>
      </c>
      <c r="J15" s="3">
        <v>2.13</v>
      </c>
      <c r="K15" s="3">
        <v>7.01</v>
      </c>
      <c r="L15" s="3">
        <v>13.22</v>
      </c>
      <c r="M15" s="3">
        <v>4.57</v>
      </c>
      <c r="N15" s="3">
        <v>2.34</v>
      </c>
      <c r="O15" s="3">
        <v>0.52</v>
      </c>
      <c r="P15" s="3">
        <v>0.43</v>
      </c>
      <c r="Q15" s="3">
        <v>3.08</v>
      </c>
      <c r="R15" s="3">
        <v>4.01</v>
      </c>
      <c r="S15" s="26">
        <v>0.42711717799999999</v>
      </c>
      <c r="T15" s="3">
        <v>3</v>
      </c>
      <c r="U15" s="3">
        <v>175.2</v>
      </c>
    </row>
    <row r="16" spans="1:143" s="3" customFormat="1" x14ac:dyDescent="0.25">
      <c r="A16" s="309">
        <v>913012</v>
      </c>
      <c r="B16" s="3">
        <v>7.4</v>
      </c>
      <c r="D16" s="3">
        <v>0.32900000000000001</v>
      </c>
      <c r="E16" s="26">
        <v>20.41</v>
      </c>
      <c r="G16" s="3">
        <v>1.37</v>
      </c>
      <c r="H16" s="3">
        <v>32.94</v>
      </c>
      <c r="I16" s="3">
        <v>16.579999999999998</v>
      </c>
      <c r="J16" s="3">
        <v>3.81</v>
      </c>
      <c r="K16" s="3">
        <v>11.8</v>
      </c>
      <c r="L16" s="3">
        <v>20.81</v>
      </c>
      <c r="M16" s="3">
        <v>20.67</v>
      </c>
      <c r="N16" s="3">
        <v>8.56</v>
      </c>
      <c r="O16" s="3">
        <v>1.1100000000000001</v>
      </c>
      <c r="P16" s="3">
        <v>0.41</v>
      </c>
      <c r="Q16" s="3">
        <v>1.57</v>
      </c>
      <c r="R16" s="3">
        <v>3.52</v>
      </c>
      <c r="S16" s="26">
        <v>0.82198879800000002</v>
      </c>
      <c r="T16" s="3">
        <v>5.4</v>
      </c>
      <c r="U16" s="3">
        <v>26.4</v>
      </c>
    </row>
    <row r="17" spans="1:143" s="3" customFormat="1" x14ac:dyDescent="0.25">
      <c r="A17" s="309">
        <v>913013</v>
      </c>
      <c r="B17" s="3">
        <v>7.09</v>
      </c>
      <c r="D17" s="3">
        <v>0.23499999999999999</v>
      </c>
      <c r="E17" s="26">
        <v>10.5</v>
      </c>
      <c r="G17" s="3">
        <v>1.04</v>
      </c>
      <c r="H17" s="3">
        <v>33.29</v>
      </c>
      <c r="I17" s="3">
        <v>15.35</v>
      </c>
      <c r="J17" s="3">
        <v>0.75</v>
      </c>
      <c r="K17" s="3">
        <v>1.01</v>
      </c>
      <c r="L17" s="3">
        <v>29.98</v>
      </c>
      <c r="M17" s="3">
        <v>7.44</v>
      </c>
      <c r="N17" s="3">
        <v>4.26</v>
      </c>
      <c r="O17" s="3">
        <v>0.23</v>
      </c>
      <c r="P17" s="3">
        <v>0.18</v>
      </c>
      <c r="Q17" s="3">
        <v>1.7</v>
      </c>
      <c r="R17" s="3">
        <v>3.1</v>
      </c>
      <c r="S17" s="26">
        <v>0.55362011099999997</v>
      </c>
      <c r="T17" s="3">
        <v>4.0999999999999996</v>
      </c>
      <c r="U17" s="3">
        <v>14.4</v>
      </c>
    </row>
    <row r="18" spans="1:143" s="3" customFormat="1" x14ac:dyDescent="0.25">
      <c r="A18" s="309">
        <v>913014</v>
      </c>
      <c r="B18" s="3">
        <v>8.1999999999999993</v>
      </c>
      <c r="D18" s="3">
        <v>0.11799999999999999</v>
      </c>
      <c r="E18" s="26">
        <v>12.3</v>
      </c>
      <c r="G18" s="3">
        <v>1.22</v>
      </c>
      <c r="H18" s="3">
        <v>9.66</v>
      </c>
      <c r="I18" s="3">
        <v>3.12</v>
      </c>
      <c r="J18" s="3">
        <v>0.42</v>
      </c>
      <c r="K18" s="3">
        <v>1.93</v>
      </c>
      <c r="L18" s="3">
        <v>2.36</v>
      </c>
      <c r="M18" s="3">
        <v>19.86</v>
      </c>
      <c r="N18" s="3">
        <v>1.34</v>
      </c>
      <c r="O18" s="3">
        <v>0.26</v>
      </c>
      <c r="P18" s="3">
        <v>0.08</v>
      </c>
      <c r="Q18" s="3">
        <v>1.37</v>
      </c>
      <c r="R18" s="3">
        <v>4.6100000000000003</v>
      </c>
      <c r="S18" s="26">
        <v>1.629297</v>
      </c>
      <c r="T18" s="3">
        <v>11.7</v>
      </c>
      <c r="U18" s="3">
        <v>38.4</v>
      </c>
    </row>
    <row r="19" spans="1:143" s="3" customFormat="1" x14ac:dyDescent="0.25">
      <c r="A19" s="309">
        <v>913015</v>
      </c>
      <c r="B19" s="3">
        <v>8.3800000000000008</v>
      </c>
      <c r="D19" s="3">
        <v>0.112</v>
      </c>
      <c r="E19" s="26">
        <v>7.5</v>
      </c>
      <c r="G19" s="3">
        <v>0.86</v>
      </c>
      <c r="H19" s="3">
        <v>9.42</v>
      </c>
      <c r="I19" s="3">
        <v>2.38</v>
      </c>
      <c r="J19" s="3">
        <v>0.18</v>
      </c>
      <c r="K19" s="3">
        <v>0.78</v>
      </c>
      <c r="L19" s="3">
        <v>1.61</v>
      </c>
      <c r="M19" s="3">
        <v>20.46</v>
      </c>
      <c r="N19" s="3">
        <v>1.05</v>
      </c>
      <c r="O19" s="3">
        <v>0.2</v>
      </c>
      <c r="P19" s="3">
        <v>7.0000000000000007E-2</v>
      </c>
      <c r="Q19" s="3">
        <v>1.1299999999999999</v>
      </c>
      <c r="R19" s="3">
        <v>2.38</v>
      </c>
      <c r="S19" s="26">
        <v>0.97605614500000004</v>
      </c>
      <c r="T19" s="3">
        <v>7.1</v>
      </c>
      <c r="U19" s="3">
        <v>60</v>
      </c>
    </row>
    <row r="20" spans="1:143" s="3" customFormat="1" x14ac:dyDescent="0.25">
      <c r="A20" s="309">
        <v>913016</v>
      </c>
      <c r="B20" s="3">
        <v>8.14</v>
      </c>
      <c r="D20" s="3">
        <v>0.184</v>
      </c>
      <c r="E20" s="26">
        <v>4.8499999999999996</v>
      </c>
      <c r="G20" s="3">
        <v>1.75</v>
      </c>
      <c r="H20" s="3">
        <v>16.38</v>
      </c>
      <c r="I20" s="3">
        <v>5.38</v>
      </c>
      <c r="J20" s="3">
        <v>0.22</v>
      </c>
      <c r="K20" s="3">
        <v>3.29</v>
      </c>
      <c r="L20" s="3">
        <v>9.17</v>
      </c>
      <c r="M20" s="3">
        <v>20.23</v>
      </c>
      <c r="N20" s="3">
        <v>4.1399999999999997</v>
      </c>
      <c r="O20" s="3">
        <v>0.82</v>
      </c>
      <c r="P20" s="3">
        <v>0.2</v>
      </c>
      <c r="Q20" s="3">
        <v>1.17</v>
      </c>
      <c r="R20" s="3">
        <v>1.05</v>
      </c>
      <c r="S20" s="26">
        <v>0.84638290800000004</v>
      </c>
      <c r="T20" s="3">
        <v>5.7</v>
      </c>
      <c r="U20" s="3">
        <v>55.2</v>
      </c>
    </row>
    <row r="21" spans="1:143" s="3" customFormat="1" x14ac:dyDescent="0.25">
      <c r="A21" s="309">
        <v>913017</v>
      </c>
      <c r="B21" s="3">
        <v>8.3699999999999992</v>
      </c>
      <c r="D21" s="3">
        <v>0.63100000000000001</v>
      </c>
      <c r="E21" s="26">
        <v>15.39</v>
      </c>
      <c r="G21" s="3">
        <v>1.35</v>
      </c>
      <c r="H21" s="3">
        <v>96.1</v>
      </c>
      <c r="I21" s="3">
        <v>55.3</v>
      </c>
      <c r="J21" s="3">
        <v>1.92</v>
      </c>
      <c r="K21" s="3">
        <v>14.22</v>
      </c>
      <c r="L21" s="3">
        <v>59.74</v>
      </c>
      <c r="M21" s="3">
        <v>38.950000000000003</v>
      </c>
      <c r="N21" s="3">
        <v>12.89</v>
      </c>
      <c r="O21" s="3">
        <v>7.24</v>
      </c>
      <c r="P21" s="3">
        <v>4.43</v>
      </c>
      <c r="Q21" s="3">
        <v>1.96</v>
      </c>
      <c r="R21" s="3">
        <v>16.07</v>
      </c>
      <c r="S21" s="26">
        <v>1.2799523239999999</v>
      </c>
      <c r="T21" s="3">
        <v>8.9</v>
      </c>
      <c r="U21" s="3">
        <v>60</v>
      </c>
    </row>
    <row r="22" spans="1:143" s="3" customFormat="1" x14ac:dyDescent="0.25">
      <c r="A22" s="309">
        <v>913022</v>
      </c>
      <c r="B22" s="3">
        <v>8.34</v>
      </c>
      <c r="D22" s="3">
        <v>0.27600000000000002</v>
      </c>
      <c r="E22" s="26">
        <v>9.3800000000000008</v>
      </c>
      <c r="G22" s="3">
        <v>1.35</v>
      </c>
      <c r="H22" s="3">
        <v>23.77</v>
      </c>
      <c r="I22" s="3">
        <v>11.94</v>
      </c>
      <c r="J22" s="3">
        <v>2.98</v>
      </c>
      <c r="K22" s="3">
        <v>10.11</v>
      </c>
      <c r="L22" s="3">
        <v>18.23</v>
      </c>
      <c r="M22" s="3">
        <v>24.6</v>
      </c>
      <c r="N22" s="3">
        <v>5.92</v>
      </c>
      <c r="O22" s="3">
        <v>9.44</v>
      </c>
      <c r="P22" s="3">
        <v>6.19</v>
      </c>
      <c r="Q22" s="3">
        <v>3.73</v>
      </c>
      <c r="R22" s="3">
        <v>3.49</v>
      </c>
      <c r="S22" s="26">
        <v>1.2627436409999999</v>
      </c>
      <c r="T22" s="3">
        <v>9</v>
      </c>
      <c r="U22" s="3">
        <v>64.8</v>
      </c>
    </row>
    <row r="23" spans="1:143" s="3" customFormat="1" x14ac:dyDescent="0.25">
      <c r="A23" s="309">
        <v>913023</v>
      </c>
      <c r="B23" s="3">
        <v>8.4700000000000006</v>
      </c>
      <c r="D23" s="3">
        <v>0.20200000000000001</v>
      </c>
      <c r="E23" s="26">
        <v>7.33</v>
      </c>
      <c r="G23" s="3">
        <v>1.36</v>
      </c>
      <c r="H23" s="3">
        <v>11.05</v>
      </c>
      <c r="I23" s="3">
        <v>5.71</v>
      </c>
      <c r="J23" s="3">
        <v>1.91</v>
      </c>
      <c r="K23" s="3">
        <v>10.25</v>
      </c>
      <c r="L23" s="3">
        <v>12.14</v>
      </c>
      <c r="M23" s="3">
        <v>17.350000000000001</v>
      </c>
      <c r="N23" s="3">
        <v>4.54</v>
      </c>
      <c r="O23" s="3">
        <v>3.31</v>
      </c>
      <c r="P23" s="3">
        <v>2.62</v>
      </c>
      <c r="Q23" s="3">
        <v>2.58</v>
      </c>
      <c r="R23" s="3">
        <v>2.92</v>
      </c>
      <c r="S23" s="26">
        <v>0.77981148499999997</v>
      </c>
      <c r="T23" s="3">
        <v>5.2</v>
      </c>
      <c r="U23" s="3">
        <v>67.2</v>
      </c>
    </row>
    <row r="24" spans="1:143" s="3" customFormat="1" x14ac:dyDescent="0.25">
      <c r="A24" s="309">
        <v>913025</v>
      </c>
      <c r="B24" s="3">
        <v>8.34</v>
      </c>
      <c r="D24" s="3">
        <v>0.26</v>
      </c>
      <c r="E24" s="26">
        <v>7.74</v>
      </c>
      <c r="G24" s="3">
        <v>1.39</v>
      </c>
      <c r="H24" s="3">
        <v>16.329999999999998</v>
      </c>
      <c r="I24" s="3">
        <v>18.239999999999998</v>
      </c>
      <c r="J24" s="3">
        <v>1</v>
      </c>
      <c r="K24" s="3">
        <v>3.43</v>
      </c>
      <c r="L24" s="3">
        <v>16.28</v>
      </c>
      <c r="M24" s="3">
        <v>27.07</v>
      </c>
      <c r="N24" s="3">
        <v>6.64</v>
      </c>
      <c r="O24" s="3">
        <v>4.1399999999999997</v>
      </c>
      <c r="P24" s="3">
        <v>0.85</v>
      </c>
      <c r="Q24" s="3">
        <v>3.1</v>
      </c>
      <c r="R24" s="3">
        <v>3.4</v>
      </c>
      <c r="S24" s="26">
        <v>1.6993879999999999</v>
      </c>
      <c r="T24" s="3">
        <v>13.6</v>
      </c>
      <c r="U24" s="3">
        <v>62.4</v>
      </c>
    </row>
    <row r="25" spans="1:143" s="3" customFormat="1" x14ac:dyDescent="0.25">
      <c r="A25" s="309">
        <v>913026</v>
      </c>
      <c r="B25" s="3">
        <v>8.35</v>
      </c>
      <c r="D25" s="3">
        <v>0.20200000000000001</v>
      </c>
      <c r="E25" s="26">
        <v>6.11</v>
      </c>
      <c r="G25" s="3">
        <v>0.98</v>
      </c>
      <c r="H25" s="3">
        <v>11.68</v>
      </c>
      <c r="I25" s="3">
        <v>9.6199999999999992</v>
      </c>
      <c r="J25" s="3">
        <v>1.44</v>
      </c>
      <c r="K25" s="3">
        <v>4.49</v>
      </c>
      <c r="L25" s="3">
        <v>10.47</v>
      </c>
      <c r="M25" s="3">
        <v>22</v>
      </c>
      <c r="N25" s="3">
        <v>5.32</v>
      </c>
      <c r="O25" s="3">
        <v>7.46</v>
      </c>
      <c r="P25" s="3">
        <v>1.85</v>
      </c>
      <c r="Q25" s="3">
        <v>3.86</v>
      </c>
      <c r="R25" s="3">
        <v>3.01</v>
      </c>
      <c r="S25" s="26">
        <v>1.6138969999999999</v>
      </c>
      <c r="T25" s="3">
        <v>11.3</v>
      </c>
      <c r="U25" s="3">
        <v>62.4</v>
      </c>
    </row>
    <row r="26" spans="1:143" s="25" customFormat="1" x14ac:dyDescent="0.25">
      <c r="A26" s="259">
        <v>913018</v>
      </c>
      <c r="B26" s="259">
        <v>8.36</v>
      </c>
      <c r="C26" s="259"/>
      <c r="D26" s="333">
        <v>0.69499999999999995</v>
      </c>
      <c r="E26" s="334">
        <v>14.81516129032258</v>
      </c>
      <c r="F26" s="259"/>
      <c r="G26" s="259">
        <v>0.46</v>
      </c>
      <c r="H26" s="259">
        <v>70.66</v>
      </c>
      <c r="I26" s="259">
        <v>127.12</v>
      </c>
      <c r="J26" s="259">
        <v>1.65</v>
      </c>
      <c r="K26" s="259">
        <v>29.48</v>
      </c>
      <c r="L26" s="259">
        <v>250.69</v>
      </c>
      <c r="M26" s="259">
        <v>327.35000000000002</v>
      </c>
      <c r="N26" s="259">
        <v>65.02</v>
      </c>
      <c r="O26" s="259">
        <v>3.67</v>
      </c>
      <c r="P26" s="259">
        <v>1.03</v>
      </c>
      <c r="Q26" s="259">
        <v>5.28</v>
      </c>
      <c r="R26" s="259">
        <v>9.7100000000000009</v>
      </c>
      <c r="S26" s="334">
        <v>1.2780804493391698</v>
      </c>
      <c r="T26" s="259">
        <v>9.3000000000000007</v>
      </c>
      <c r="U26" s="259">
        <v>50.4</v>
      </c>
      <c r="V26" s="259"/>
      <c r="W26" s="259"/>
      <c r="X26" s="259"/>
      <c r="Y26" s="259"/>
      <c r="Z26" s="259"/>
      <c r="AA26" s="259"/>
      <c r="AB26" s="259"/>
      <c r="AC26" s="259"/>
      <c r="AD26" s="259"/>
      <c r="AE26" s="259"/>
      <c r="AF26" s="259"/>
      <c r="AG26" s="259"/>
      <c r="AH26" s="259"/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259"/>
      <c r="AT26" s="259"/>
      <c r="AU26" s="259"/>
      <c r="AV26" s="259"/>
      <c r="AW26" s="259"/>
      <c r="AX26" s="259"/>
      <c r="AY26" s="259"/>
      <c r="AZ26" s="259"/>
      <c r="BA26" s="259"/>
      <c r="BB26" s="259"/>
      <c r="BC26" s="259"/>
      <c r="BD26" s="259"/>
      <c r="BE26" s="259"/>
      <c r="BF26" s="259"/>
      <c r="BG26" s="259"/>
      <c r="BH26" s="259"/>
      <c r="BI26" s="259"/>
      <c r="BJ26" s="259"/>
      <c r="BK26" s="259"/>
      <c r="BL26" s="259"/>
      <c r="BM26" s="259"/>
      <c r="BN26" s="259"/>
      <c r="BO26" s="259"/>
      <c r="BP26" s="259"/>
      <c r="BQ26" s="259"/>
      <c r="BR26" s="259"/>
      <c r="BS26" s="259"/>
      <c r="BT26" s="259"/>
      <c r="BU26" s="259"/>
      <c r="BV26" s="259"/>
      <c r="BW26" s="259"/>
      <c r="BX26" s="259"/>
      <c r="BY26" s="259"/>
      <c r="BZ26" s="259"/>
      <c r="CA26" s="259"/>
      <c r="CB26" s="259"/>
      <c r="CC26" s="259"/>
      <c r="CD26" s="259"/>
      <c r="CE26" s="259"/>
      <c r="CF26" s="259"/>
      <c r="CG26" s="259"/>
      <c r="CH26" s="259"/>
      <c r="CI26" s="259"/>
      <c r="CJ26" s="259"/>
      <c r="CK26" s="259"/>
      <c r="CL26" s="259"/>
      <c r="CM26" s="259"/>
      <c r="CN26" s="259"/>
      <c r="CO26" s="259"/>
      <c r="CP26" s="259"/>
      <c r="CQ26" s="259"/>
      <c r="CR26" s="259"/>
      <c r="CS26" s="259"/>
      <c r="CT26" s="259"/>
      <c r="CU26" s="259"/>
      <c r="CV26" s="259"/>
      <c r="CW26" s="259"/>
      <c r="CX26" s="259"/>
      <c r="CY26" s="259"/>
      <c r="CZ26" s="259"/>
      <c r="DA26" s="259"/>
      <c r="DB26" s="259"/>
      <c r="DC26" s="259"/>
      <c r="DD26" s="259"/>
      <c r="DE26" s="259"/>
      <c r="DF26" s="259"/>
      <c r="DG26" s="259"/>
      <c r="DH26" s="259"/>
      <c r="DI26" s="259"/>
      <c r="DJ26" s="259"/>
      <c r="DK26" s="259"/>
      <c r="DL26" s="259"/>
      <c r="DM26" s="259"/>
      <c r="DN26" s="259"/>
      <c r="DO26" s="259"/>
      <c r="DP26" s="259"/>
      <c r="DQ26" s="259"/>
      <c r="DR26" s="259"/>
      <c r="DS26" s="259"/>
      <c r="DT26" s="259"/>
      <c r="DU26" s="259"/>
      <c r="DV26" s="259"/>
      <c r="DW26" s="259"/>
      <c r="DX26" s="259"/>
      <c r="DY26" s="259"/>
      <c r="DZ26" s="259"/>
      <c r="EA26" s="259"/>
      <c r="EB26" s="259"/>
      <c r="EC26" s="259"/>
      <c r="ED26" s="259"/>
      <c r="EE26" s="259"/>
      <c r="EF26" s="259"/>
      <c r="EG26" s="259"/>
      <c r="EH26" s="259"/>
      <c r="EI26" s="259"/>
      <c r="EJ26" s="259"/>
      <c r="EK26" s="259"/>
      <c r="EL26" s="259"/>
      <c r="EM26" s="259"/>
    </row>
    <row r="27" spans="1:143" s="25" customFormat="1" x14ac:dyDescent="0.25">
      <c r="A27" s="259">
        <v>913019</v>
      </c>
      <c r="B27" s="259">
        <v>8.5500000000000007</v>
      </c>
      <c r="C27" s="259"/>
      <c r="D27" s="333">
        <v>0.41299999999999998</v>
      </c>
      <c r="E27" s="334">
        <v>5.105483870967741</v>
      </c>
      <c r="F27" s="259"/>
      <c r="G27" s="259">
        <v>1.3</v>
      </c>
      <c r="H27" s="259">
        <v>29.74</v>
      </c>
      <c r="I27" s="259">
        <v>98.04</v>
      </c>
      <c r="J27" s="259">
        <v>0.04</v>
      </c>
      <c r="K27" s="259">
        <v>50.11</v>
      </c>
      <c r="L27" s="259">
        <v>89.11</v>
      </c>
      <c r="M27" s="259">
        <v>214.82</v>
      </c>
      <c r="N27" s="259">
        <v>41.73</v>
      </c>
      <c r="O27" s="259">
        <v>0.91</v>
      </c>
      <c r="P27" s="259">
        <v>0.22</v>
      </c>
      <c r="Q27" s="259">
        <v>3.36</v>
      </c>
      <c r="R27" s="259">
        <v>1.97</v>
      </c>
      <c r="S27" s="334">
        <v>0.4526619653199942</v>
      </c>
      <c r="T27" s="259">
        <v>3.3</v>
      </c>
      <c r="U27" s="259">
        <v>43.2</v>
      </c>
      <c r="V27" s="259"/>
      <c r="W27" s="259"/>
      <c r="X27" s="259"/>
      <c r="Y27" s="259"/>
      <c r="Z27" s="259"/>
      <c r="AA27" s="259"/>
      <c r="AB27" s="259"/>
      <c r="AC27" s="259"/>
      <c r="AD27" s="259"/>
      <c r="AE27" s="259"/>
      <c r="AF27" s="259"/>
      <c r="AG27" s="259"/>
      <c r="AH27" s="259"/>
      <c r="AI27" s="259"/>
      <c r="AJ27" s="259"/>
      <c r="AK27" s="259"/>
      <c r="AL27" s="259"/>
      <c r="AM27" s="259"/>
      <c r="AN27" s="259"/>
      <c r="AO27" s="259"/>
      <c r="AP27" s="259"/>
      <c r="AQ27" s="259"/>
      <c r="AR27" s="259"/>
      <c r="AS27" s="259"/>
      <c r="AT27" s="259"/>
      <c r="AU27" s="259"/>
      <c r="AV27" s="259"/>
      <c r="AW27" s="259"/>
      <c r="AX27" s="259"/>
      <c r="AY27" s="259"/>
      <c r="AZ27" s="259"/>
      <c r="BA27" s="259"/>
      <c r="BB27" s="259"/>
      <c r="BC27" s="259"/>
      <c r="BD27" s="259"/>
      <c r="BE27" s="259"/>
      <c r="BF27" s="259"/>
      <c r="BG27" s="259"/>
      <c r="BH27" s="259"/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59"/>
      <c r="BT27" s="259"/>
      <c r="BU27" s="259"/>
      <c r="BV27" s="259"/>
      <c r="BW27" s="259"/>
      <c r="BX27" s="259"/>
      <c r="BY27" s="259"/>
      <c r="BZ27" s="259"/>
      <c r="CA27" s="259"/>
      <c r="CB27" s="259"/>
      <c r="CC27" s="259"/>
      <c r="CD27" s="259"/>
      <c r="CE27" s="259"/>
      <c r="CF27" s="259"/>
      <c r="CG27" s="259"/>
      <c r="CH27" s="259"/>
      <c r="CI27" s="259"/>
      <c r="CJ27" s="259"/>
      <c r="CK27" s="259"/>
      <c r="CL27" s="259"/>
      <c r="CM27" s="259"/>
      <c r="CN27" s="259"/>
      <c r="CO27" s="259"/>
      <c r="CP27" s="259"/>
      <c r="CQ27" s="259"/>
      <c r="CR27" s="259"/>
      <c r="CS27" s="259"/>
      <c r="CT27" s="259"/>
      <c r="CU27" s="259"/>
      <c r="CV27" s="259"/>
      <c r="CW27" s="259"/>
      <c r="CX27" s="259"/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59"/>
      <c r="DJ27" s="259"/>
      <c r="DK27" s="259"/>
      <c r="DL27" s="259"/>
      <c r="DM27" s="259"/>
      <c r="DN27" s="259"/>
      <c r="DO27" s="259"/>
      <c r="DP27" s="259"/>
      <c r="DQ27" s="259"/>
      <c r="DR27" s="259"/>
      <c r="DS27" s="259"/>
      <c r="DT27" s="259"/>
      <c r="DU27" s="259"/>
      <c r="DV27" s="259"/>
      <c r="DW27" s="259"/>
      <c r="DX27" s="259"/>
      <c r="DY27" s="259"/>
      <c r="DZ27" s="259"/>
      <c r="EA27" s="259"/>
      <c r="EB27" s="259"/>
      <c r="EC27" s="259"/>
      <c r="ED27" s="259"/>
      <c r="EE27" s="259"/>
      <c r="EF27" s="259"/>
      <c r="EG27" s="259"/>
      <c r="EH27" s="259"/>
      <c r="EI27" s="259"/>
      <c r="EJ27" s="259"/>
      <c r="EK27" s="259"/>
      <c r="EL27" s="259"/>
      <c r="EM27" s="259"/>
    </row>
    <row r="28" spans="1:143" s="25" customFormat="1" x14ac:dyDescent="0.25">
      <c r="A28" s="259">
        <v>913020</v>
      </c>
      <c r="B28" s="259">
        <v>8.24</v>
      </c>
      <c r="C28" s="259"/>
      <c r="D28" s="333">
        <v>0.55400000000000005</v>
      </c>
      <c r="E28" s="334">
        <v>19.965806451612906</v>
      </c>
      <c r="F28" s="259"/>
      <c r="G28" s="259">
        <v>1.28</v>
      </c>
      <c r="H28" s="259">
        <v>15.08</v>
      </c>
      <c r="I28" s="259">
        <v>34.26</v>
      </c>
      <c r="J28" s="259">
        <v>34.25</v>
      </c>
      <c r="K28" s="259">
        <v>395.38</v>
      </c>
      <c r="L28" s="259">
        <v>87.91</v>
      </c>
      <c r="M28" s="259">
        <v>148.87</v>
      </c>
      <c r="N28" s="259">
        <v>47.28</v>
      </c>
      <c r="O28" s="259">
        <v>5.25</v>
      </c>
      <c r="P28" s="259">
        <v>0.94</v>
      </c>
      <c r="Q28" s="259">
        <v>15.15</v>
      </c>
      <c r="R28" s="259">
        <v>2.93</v>
      </c>
      <c r="S28" s="334">
        <v>1.2993790631397075</v>
      </c>
      <c r="T28" s="259">
        <v>8.6</v>
      </c>
      <c r="U28" s="259">
        <v>62.4</v>
      </c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  <c r="BH28" s="259"/>
      <c r="BI28" s="259"/>
      <c r="BJ28" s="259"/>
      <c r="BK28" s="259"/>
      <c r="BL28" s="259"/>
      <c r="BM28" s="259"/>
      <c r="BN28" s="259"/>
      <c r="BO28" s="259"/>
      <c r="BP28" s="259"/>
      <c r="BQ28" s="259"/>
      <c r="BR28" s="259"/>
      <c r="BS28" s="259"/>
      <c r="BT28" s="259"/>
      <c r="BU28" s="259"/>
      <c r="BV28" s="259"/>
      <c r="BW28" s="259"/>
      <c r="BX28" s="259"/>
      <c r="BY28" s="259"/>
      <c r="BZ28" s="259"/>
      <c r="CA28" s="259"/>
      <c r="CB28" s="259"/>
      <c r="CC28" s="259"/>
      <c r="CD28" s="259"/>
      <c r="CE28" s="259"/>
      <c r="CF28" s="259"/>
      <c r="CG28" s="259"/>
      <c r="CH28" s="259"/>
      <c r="CI28" s="259"/>
      <c r="CJ28" s="259"/>
      <c r="CK28" s="259"/>
      <c r="CL28" s="259"/>
      <c r="CM28" s="259"/>
      <c r="CN28" s="259"/>
      <c r="CO28" s="259"/>
      <c r="CP28" s="259"/>
      <c r="CQ28" s="259"/>
      <c r="CR28" s="259"/>
      <c r="CS28" s="259"/>
      <c r="CT28" s="259"/>
      <c r="CU28" s="259"/>
      <c r="CV28" s="259"/>
      <c r="CW28" s="259"/>
      <c r="CX28" s="259"/>
      <c r="CY28" s="259"/>
      <c r="CZ28" s="259"/>
      <c r="DA28" s="259"/>
      <c r="DB28" s="259"/>
      <c r="DC28" s="259"/>
      <c r="DD28" s="259"/>
      <c r="DE28" s="259"/>
      <c r="DF28" s="259"/>
      <c r="DG28" s="259"/>
      <c r="DH28" s="259"/>
      <c r="DI28" s="259"/>
      <c r="DJ28" s="259"/>
      <c r="DK28" s="259"/>
      <c r="DL28" s="259"/>
      <c r="DM28" s="259"/>
      <c r="DN28" s="259"/>
      <c r="DO28" s="259"/>
      <c r="DP28" s="259"/>
      <c r="DQ28" s="259"/>
      <c r="DR28" s="259"/>
      <c r="DS28" s="259"/>
      <c r="DT28" s="259"/>
      <c r="DU28" s="259"/>
      <c r="DV28" s="259"/>
      <c r="DW28" s="259"/>
      <c r="DX28" s="259"/>
      <c r="DY28" s="259"/>
      <c r="DZ28" s="259"/>
      <c r="EA28" s="259"/>
      <c r="EB28" s="259"/>
      <c r="EC28" s="259"/>
      <c r="ED28" s="259"/>
      <c r="EE28" s="259"/>
      <c r="EF28" s="259"/>
      <c r="EG28" s="259"/>
      <c r="EH28" s="259"/>
      <c r="EI28" s="259"/>
      <c r="EJ28" s="259"/>
      <c r="EK28" s="259"/>
      <c r="EL28" s="259"/>
      <c r="EM28" s="259"/>
    </row>
    <row r="29" spans="1:143" s="25" customFormat="1" x14ac:dyDescent="0.25">
      <c r="A29" s="259">
        <v>913021</v>
      </c>
      <c r="B29" s="259">
        <v>8.68</v>
      </c>
      <c r="C29" s="259"/>
      <c r="D29" s="333">
        <v>0.23</v>
      </c>
      <c r="E29" s="334">
        <v>4.13</v>
      </c>
      <c r="F29" s="259"/>
      <c r="G29" s="259">
        <v>1.05</v>
      </c>
      <c r="H29" s="259">
        <v>22.75</v>
      </c>
      <c r="I29" s="259">
        <v>5.3</v>
      </c>
      <c r="J29" s="259">
        <v>3.4</v>
      </c>
      <c r="K29" s="259">
        <v>92.55</v>
      </c>
      <c r="L29" s="259">
        <v>67.650000000000006</v>
      </c>
      <c r="M29" s="259">
        <v>93.48</v>
      </c>
      <c r="N29" s="259">
        <v>10.27</v>
      </c>
      <c r="O29" s="259">
        <v>1.07</v>
      </c>
      <c r="P29" s="259">
        <v>0.26</v>
      </c>
      <c r="Q29" s="259">
        <v>3.96</v>
      </c>
      <c r="R29" s="259">
        <v>2.9</v>
      </c>
      <c r="S29" s="334">
        <v>0.93924282327585262</v>
      </c>
      <c r="T29" s="259">
        <v>6.5</v>
      </c>
      <c r="U29" s="259">
        <v>64.8</v>
      </c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259"/>
      <c r="AH29" s="259"/>
      <c r="AI29" s="259"/>
      <c r="AJ29" s="259"/>
      <c r="AK29" s="259"/>
      <c r="AL29" s="259"/>
      <c r="AM29" s="259"/>
      <c r="AN29" s="259"/>
      <c r="AO29" s="259"/>
      <c r="AP29" s="259"/>
      <c r="AQ29" s="259"/>
      <c r="AR29" s="259"/>
      <c r="AS29" s="259"/>
      <c r="AT29" s="259"/>
      <c r="AU29" s="259"/>
      <c r="AV29" s="259"/>
      <c r="AW29" s="259"/>
      <c r="AX29" s="259"/>
      <c r="AY29" s="259"/>
      <c r="AZ29" s="259"/>
      <c r="BA29" s="259"/>
      <c r="BB29" s="259"/>
      <c r="BC29" s="259"/>
      <c r="BD29" s="259"/>
      <c r="BE29" s="259"/>
      <c r="BF29" s="259"/>
      <c r="BG29" s="259"/>
      <c r="BH29" s="259"/>
      <c r="BI29" s="259"/>
      <c r="BJ29" s="259"/>
      <c r="BK29" s="259"/>
      <c r="BL29" s="259"/>
      <c r="BM29" s="259"/>
      <c r="BN29" s="259"/>
      <c r="BO29" s="259"/>
      <c r="BP29" s="259"/>
      <c r="BQ29" s="259"/>
      <c r="BR29" s="259"/>
      <c r="BS29" s="259"/>
      <c r="BT29" s="259"/>
      <c r="BU29" s="259"/>
      <c r="BV29" s="259"/>
      <c r="BW29" s="259"/>
      <c r="BX29" s="259"/>
      <c r="BY29" s="259"/>
      <c r="BZ29" s="259"/>
      <c r="CA29" s="259"/>
      <c r="CB29" s="259"/>
      <c r="CC29" s="259"/>
      <c r="CD29" s="259"/>
      <c r="CE29" s="259"/>
      <c r="CF29" s="259"/>
      <c r="CG29" s="259"/>
      <c r="CH29" s="259"/>
      <c r="CI29" s="259"/>
      <c r="CJ29" s="259"/>
      <c r="CK29" s="259"/>
      <c r="CL29" s="259"/>
      <c r="CM29" s="259"/>
      <c r="CN29" s="259"/>
      <c r="CO29" s="259"/>
      <c r="CP29" s="259"/>
      <c r="CQ29" s="259"/>
      <c r="CR29" s="259"/>
      <c r="CS29" s="259"/>
      <c r="CT29" s="259"/>
      <c r="CU29" s="259"/>
      <c r="CV29" s="259"/>
      <c r="CW29" s="259"/>
      <c r="CX29" s="259"/>
      <c r="CY29" s="259"/>
      <c r="CZ29" s="259"/>
      <c r="DA29" s="259"/>
      <c r="DB29" s="259"/>
      <c r="DC29" s="259"/>
      <c r="DD29" s="259"/>
      <c r="DE29" s="259"/>
      <c r="DF29" s="259"/>
      <c r="DG29" s="259"/>
      <c r="DH29" s="259"/>
      <c r="DI29" s="259"/>
      <c r="DJ29" s="259"/>
      <c r="DK29" s="259"/>
      <c r="DL29" s="259"/>
      <c r="DM29" s="259"/>
      <c r="DN29" s="259"/>
      <c r="DO29" s="259"/>
      <c r="DP29" s="259"/>
      <c r="DQ29" s="259"/>
      <c r="DR29" s="259"/>
      <c r="DS29" s="259"/>
      <c r="DT29" s="259"/>
      <c r="DU29" s="259"/>
      <c r="DV29" s="259"/>
      <c r="DW29" s="259"/>
      <c r="DX29" s="259"/>
      <c r="DY29" s="259"/>
      <c r="DZ29" s="259"/>
      <c r="EA29" s="259"/>
      <c r="EB29" s="259"/>
      <c r="EC29" s="259"/>
      <c r="ED29" s="259"/>
      <c r="EE29" s="259"/>
      <c r="EF29" s="259"/>
      <c r="EG29" s="259"/>
      <c r="EH29" s="259"/>
      <c r="EI29" s="259"/>
      <c r="EJ29" s="259"/>
      <c r="EK29" s="259"/>
      <c r="EL29" s="259"/>
      <c r="EM29" s="259"/>
    </row>
    <row r="30" spans="1:143" s="25" customFormat="1" x14ac:dyDescent="0.25">
      <c r="A30" s="259">
        <v>913024</v>
      </c>
      <c r="B30" s="259">
        <v>8.7100000000000009</v>
      </c>
      <c r="C30" s="259"/>
      <c r="D30" s="333">
        <v>0.20599999999999999</v>
      </c>
      <c r="E30" s="334">
        <v>5.225161290322581</v>
      </c>
      <c r="F30" s="259"/>
      <c r="G30" s="259">
        <v>0.79</v>
      </c>
      <c r="H30" s="259">
        <v>13.98</v>
      </c>
      <c r="I30" s="259">
        <v>5.72</v>
      </c>
      <c r="J30" s="259">
        <v>7.19</v>
      </c>
      <c r="K30" s="259">
        <v>12.52</v>
      </c>
      <c r="L30" s="259">
        <v>107.57</v>
      </c>
      <c r="M30" s="259">
        <v>87.91</v>
      </c>
      <c r="N30" s="259">
        <v>18.170000000000002</v>
      </c>
      <c r="O30" s="259">
        <v>2.33</v>
      </c>
      <c r="P30" s="259">
        <v>0.38</v>
      </c>
      <c r="Q30" s="259">
        <v>5.73</v>
      </c>
      <c r="R30" s="259">
        <v>2</v>
      </c>
      <c r="S30" s="334">
        <v>0.15126911524231437</v>
      </c>
      <c r="T30" s="259">
        <v>1.04</v>
      </c>
      <c r="U30" s="259">
        <v>57.6</v>
      </c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59"/>
      <c r="AH30" s="259"/>
      <c r="AI30" s="259"/>
      <c r="AJ30" s="259"/>
      <c r="AK30" s="259"/>
      <c r="AL30" s="259"/>
      <c r="AM30" s="259"/>
      <c r="AN30" s="259"/>
      <c r="AO30" s="259"/>
      <c r="AP30" s="259"/>
      <c r="AQ30" s="259"/>
      <c r="AR30" s="259"/>
      <c r="AS30" s="259"/>
      <c r="AT30" s="259"/>
      <c r="AU30" s="259"/>
      <c r="AV30" s="259"/>
      <c r="AW30" s="259"/>
      <c r="AX30" s="259"/>
      <c r="AY30" s="259"/>
      <c r="AZ30" s="259"/>
      <c r="BA30" s="259"/>
      <c r="BB30" s="259"/>
      <c r="BC30" s="259"/>
      <c r="BD30" s="259"/>
      <c r="BE30" s="259"/>
      <c r="BF30" s="259"/>
      <c r="BG30" s="259"/>
      <c r="BH30" s="259"/>
      <c r="BI30" s="259"/>
      <c r="BJ30" s="259"/>
      <c r="BK30" s="259"/>
      <c r="BL30" s="259"/>
      <c r="BM30" s="259"/>
      <c r="BN30" s="259"/>
      <c r="BO30" s="259"/>
      <c r="BP30" s="259"/>
      <c r="BQ30" s="259"/>
      <c r="BR30" s="259"/>
      <c r="BS30" s="259"/>
      <c r="BT30" s="259"/>
      <c r="BU30" s="259"/>
      <c r="BV30" s="259"/>
      <c r="BW30" s="259"/>
      <c r="BX30" s="259"/>
      <c r="BY30" s="259"/>
      <c r="BZ30" s="259"/>
      <c r="CA30" s="259"/>
      <c r="CB30" s="259"/>
      <c r="CC30" s="259"/>
      <c r="CD30" s="259"/>
      <c r="CE30" s="259"/>
      <c r="CF30" s="259"/>
      <c r="CG30" s="259"/>
      <c r="CH30" s="259"/>
      <c r="CI30" s="259"/>
      <c r="CJ30" s="259"/>
      <c r="CK30" s="259"/>
      <c r="CL30" s="259"/>
      <c r="CM30" s="259"/>
      <c r="CN30" s="259"/>
      <c r="CO30" s="259"/>
      <c r="CP30" s="259"/>
      <c r="CQ30" s="259"/>
      <c r="CR30" s="259"/>
      <c r="CS30" s="259"/>
      <c r="CT30" s="259"/>
      <c r="CU30" s="259"/>
      <c r="CV30" s="259"/>
      <c r="CW30" s="259"/>
      <c r="CX30" s="259"/>
      <c r="CY30" s="259"/>
      <c r="CZ30" s="259"/>
      <c r="DA30" s="259"/>
      <c r="DB30" s="259"/>
      <c r="DC30" s="259"/>
      <c r="DD30" s="259"/>
      <c r="DE30" s="259"/>
      <c r="DF30" s="259"/>
      <c r="DG30" s="259"/>
      <c r="DH30" s="259"/>
      <c r="DI30" s="259"/>
      <c r="DJ30" s="259"/>
      <c r="DK30" s="259"/>
      <c r="DL30" s="259"/>
      <c r="DM30" s="259"/>
      <c r="DN30" s="259"/>
      <c r="DO30" s="259"/>
      <c r="DP30" s="259"/>
      <c r="DQ30" s="259"/>
      <c r="DR30" s="259"/>
      <c r="DS30" s="259"/>
      <c r="DT30" s="259"/>
      <c r="DU30" s="259"/>
      <c r="DV30" s="259"/>
      <c r="DW30" s="259"/>
      <c r="DX30" s="259"/>
      <c r="DY30" s="259"/>
      <c r="DZ30" s="259"/>
      <c r="EA30" s="259"/>
      <c r="EB30" s="259"/>
      <c r="EC30" s="259"/>
      <c r="ED30" s="259"/>
      <c r="EE30" s="259"/>
      <c r="EF30" s="259"/>
      <c r="EG30" s="259"/>
      <c r="EH30" s="259"/>
      <c r="EI30" s="259"/>
      <c r="EJ30" s="259"/>
      <c r="EK30" s="259"/>
      <c r="EL30" s="259"/>
      <c r="EM30" s="259"/>
    </row>
    <row r="31" spans="1:143" s="25" customFormat="1" x14ac:dyDescent="0.25">
      <c r="A31" s="259">
        <v>913027</v>
      </c>
      <c r="B31" s="259">
        <v>8.57</v>
      </c>
      <c r="C31" s="259"/>
      <c r="D31" s="333">
        <v>0.46400000000000002</v>
      </c>
      <c r="E31" s="334">
        <v>5.9454838709677418</v>
      </c>
      <c r="F31" s="259"/>
      <c r="G31" s="259">
        <v>0.82</v>
      </c>
      <c r="H31" s="259">
        <v>32.369999999999997</v>
      </c>
      <c r="I31" s="259">
        <v>95.2</v>
      </c>
      <c r="J31" s="259">
        <v>13.01</v>
      </c>
      <c r="K31" s="259">
        <v>91.21</v>
      </c>
      <c r="L31" s="259">
        <v>166.9</v>
      </c>
      <c r="M31" s="259">
        <v>145.66999999999999</v>
      </c>
      <c r="N31" s="259">
        <v>62.99</v>
      </c>
      <c r="O31" s="259">
        <v>6.92</v>
      </c>
      <c r="P31" s="259">
        <v>3.53</v>
      </c>
      <c r="Q31" s="259">
        <v>6.39</v>
      </c>
      <c r="R31" s="259">
        <v>6.39</v>
      </c>
      <c r="S31" s="334">
        <v>7.5761847281481137E-2</v>
      </c>
      <c r="T31" s="259">
        <v>0.56000000000000005</v>
      </c>
      <c r="U31" s="259">
        <v>45.6</v>
      </c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9"/>
      <c r="BO31" s="259"/>
      <c r="BP31" s="259"/>
      <c r="BQ31" s="259"/>
      <c r="BR31" s="259"/>
      <c r="BS31" s="259"/>
      <c r="BT31" s="259"/>
      <c r="BU31" s="259"/>
      <c r="BV31" s="259"/>
      <c r="BW31" s="259"/>
      <c r="BX31" s="259"/>
      <c r="BY31" s="259"/>
      <c r="BZ31" s="259"/>
      <c r="CA31" s="259"/>
      <c r="CB31" s="259"/>
      <c r="CC31" s="259"/>
      <c r="CD31" s="259"/>
      <c r="CE31" s="259"/>
      <c r="CF31" s="259"/>
      <c r="CG31" s="259"/>
      <c r="CH31" s="259"/>
      <c r="CI31" s="259"/>
      <c r="CJ31" s="259"/>
      <c r="CK31" s="259"/>
      <c r="CL31" s="259"/>
      <c r="CM31" s="259"/>
      <c r="CN31" s="259"/>
      <c r="CO31" s="259"/>
      <c r="CP31" s="259"/>
      <c r="CQ31" s="259"/>
      <c r="CR31" s="259"/>
      <c r="CS31" s="259"/>
      <c r="CT31" s="259"/>
      <c r="CU31" s="259"/>
      <c r="CV31" s="259"/>
      <c r="CW31" s="259"/>
      <c r="CX31" s="259"/>
      <c r="CY31" s="259"/>
      <c r="CZ31" s="259"/>
      <c r="DA31" s="259"/>
      <c r="DB31" s="259"/>
      <c r="DC31" s="259"/>
      <c r="DD31" s="259"/>
      <c r="DE31" s="259"/>
      <c r="DF31" s="259"/>
      <c r="DG31" s="259"/>
      <c r="DH31" s="259"/>
      <c r="DI31" s="259"/>
      <c r="DJ31" s="259"/>
      <c r="DK31" s="259"/>
      <c r="DL31" s="259"/>
      <c r="DM31" s="259"/>
      <c r="DN31" s="259"/>
      <c r="DO31" s="259"/>
      <c r="DP31" s="259"/>
      <c r="DQ31" s="259"/>
      <c r="DR31" s="259"/>
      <c r="DS31" s="259"/>
      <c r="DT31" s="259"/>
      <c r="DU31" s="259"/>
      <c r="DV31" s="259"/>
      <c r="DW31" s="259"/>
      <c r="DX31" s="259"/>
      <c r="DY31" s="259"/>
      <c r="DZ31" s="259"/>
      <c r="EA31" s="259"/>
      <c r="EB31" s="259"/>
      <c r="EC31" s="259"/>
      <c r="ED31" s="259"/>
      <c r="EE31" s="259"/>
      <c r="EF31" s="259"/>
      <c r="EG31" s="259"/>
      <c r="EH31" s="259"/>
      <c r="EI31" s="259"/>
      <c r="EJ31" s="259"/>
      <c r="EK31" s="259"/>
      <c r="EL31" s="259"/>
      <c r="EM31" s="259"/>
    </row>
    <row r="32" spans="1:143" s="25" customFormat="1" x14ac:dyDescent="0.25">
      <c r="A32" s="259">
        <v>913028</v>
      </c>
      <c r="B32" s="259">
        <v>8.57</v>
      </c>
      <c r="C32" s="259"/>
      <c r="D32" s="333">
        <v>0.28499999999999998</v>
      </c>
      <c r="E32" s="334">
        <v>8.8380645161290321</v>
      </c>
      <c r="F32" s="259"/>
      <c r="G32" s="259">
        <v>0.61</v>
      </c>
      <c r="H32" s="259">
        <v>23.45</v>
      </c>
      <c r="I32" s="259">
        <v>18.329999999999998</v>
      </c>
      <c r="J32" s="259">
        <v>14.95</v>
      </c>
      <c r="K32" s="259">
        <v>11.3</v>
      </c>
      <c r="L32" s="259">
        <v>96.72</v>
      </c>
      <c r="M32" s="259">
        <v>118.14</v>
      </c>
      <c r="N32" s="259">
        <v>47.94</v>
      </c>
      <c r="O32" s="259">
        <v>4.9400000000000004</v>
      </c>
      <c r="P32" s="259">
        <v>2.96</v>
      </c>
      <c r="Q32" s="259">
        <v>9.9</v>
      </c>
      <c r="R32" s="259">
        <v>9.9</v>
      </c>
      <c r="S32" s="334">
        <v>9.3313055520338473E-2</v>
      </c>
      <c r="T32" s="259">
        <v>0.65</v>
      </c>
      <c r="U32" s="259">
        <v>48</v>
      </c>
      <c r="V32" s="259"/>
      <c r="W32" s="259"/>
      <c r="X32" s="259"/>
      <c r="Y32" s="259"/>
      <c r="Z32" s="259"/>
      <c r="AA32" s="259"/>
      <c r="AB32" s="259"/>
      <c r="AC32" s="259"/>
      <c r="AD32" s="259"/>
      <c r="AE32" s="259"/>
      <c r="AF32" s="259"/>
      <c r="AG32" s="259"/>
      <c r="AH32" s="259"/>
      <c r="AI32" s="259"/>
      <c r="AJ32" s="259"/>
      <c r="AK32" s="259"/>
      <c r="AL32" s="259"/>
      <c r="AM32" s="259"/>
      <c r="AN32" s="259"/>
      <c r="AO32" s="259"/>
      <c r="AP32" s="259"/>
      <c r="AQ32" s="259"/>
      <c r="AR32" s="259"/>
      <c r="AS32" s="259"/>
      <c r="AT32" s="259"/>
      <c r="AU32" s="259"/>
      <c r="AV32" s="259"/>
      <c r="AW32" s="259"/>
      <c r="AX32" s="259"/>
      <c r="AY32" s="259"/>
      <c r="AZ32" s="259"/>
      <c r="BA32" s="259"/>
      <c r="BB32" s="259"/>
      <c r="BC32" s="259"/>
      <c r="BD32" s="259"/>
      <c r="BE32" s="259"/>
      <c r="BF32" s="259"/>
      <c r="BG32" s="259"/>
      <c r="BH32" s="259"/>
      <c r="BI32" s="259"/>
      <c r="BJ32" s="259"/>
      <c r="BK32" s="259"/>
      <c r="BL32" s="259"/>
      <c r="BM32" s="259"/>
      <c r="BN32" s="259"/>
      <c r="BO32" s="259"/>
      <c r="BP32" s="259"/>
      <c r="BQ32" s="259"/>
      <c r="BR32" s="259"/>
      <c r="BS32" s="259"/>
      <c r="BT32" s="259"/>
      <c r="BU32" s="259"/>
      <c r="BV32" s="259"/>
      <c r="BW32" s="259"/>
      <c r="BX32" s="259"/>
      <c r="BY32" s="259"/>
      <c r="BZ32" s="259"/>
      <c r="CA32" s="259"/>
      <c r="CB32" s="259"/>
      <c r="CC32" s="259"/>
      <c r="CD32" s="259"/>
      <c r="CE32" s="259"/>
      <c r="CF32" s="259"/>
      <c r="CG32" s="259"/>
      <c r="CH32" s="259"/>
      <c r="CI32" s="259"/>
      <c r="CJ32" s="259"/>
      <c r="CK32" s="259"/>
      <c r="CL32" s="259"/>
      <c r="CM32" s="259"/>
      <c r="CN32" s="259"/>
      <c r="CO32" s="259"/>
      <c r="CP32" s="259"/>
      <c r="CQ32" s="259"/>
      <c r="CR32" s="259"/>
      <c r="CS32" s="259"/>
      <c r="CT32" s="259"/>
      <c r="CU32" s="259"/>
      <c r="CV32" s="259"/>
      <c r="CW32" s="259"/>
      <c r="CX32" s="259"/>
      <c r="CY32" s="259"/>
      <c r="CZ32" s="259"/>
      <c r="DA32" s="259"/>
      <c r="DB32" s="259"/>
      <c r="DC32" s="259"/>
      <c r="DD32" s="259"/>
      <c r="DE32" s="259"/>
      <c r="DF32" s="259"/>
      <c r="DG32" s="259"/>
      <c r="DH32" s="259"/>
      <c r="DI32" s="259"/>
      <c r="DJ32" s="259"/>
      <c r="DK32" s="259"/>
      <c r="DL32" s="259"/>
      <c r="DM32" s="259"/>
      <c r="DN32" s="259"/>
      <c r="DO32" s="259"/>
      <c r="DP32" s="259"/>
      <c r="DQ32" s="259"/>
      <c r="DR32" s="259"/>
      <c r="DS32" s="259"/>
      <c r="DT32" s="259"/>
      <c r="DU32" s="259"/>
      <c r="DV32" s="259"/>
      <c r="DW32" s="259"/>
      <c r="DX32" s="259"/>
      <c r="DY32" s="259"/>
      <c r="DZ32" s="259"/>
      <c r="EA32" s="259"/>
      <c r="EB32" s="259"/>
      <c r="EC32" s="259"/>
      <c r="ED32" s="259"/>
      <c r="EE32" s="259"/>
      <c r="EF32" s="259"/>
      <c r="EG32" s="259"/>
      <c r="EH32" s="259"/>
      <c r="EI32" s="259"/>
      <c r="EJ32" s="259"/>
      <c r="EK32" s="259"/>
      <c r="EL32" s="259"/>
      <c r="EM32" s="259"/>
    </row>
    <row r="33" spans="1:143" s="25" customFormat="1" x14ac:dyDescent="0.25">
      <c r="A33" s="259">
        <v>913029</v>
      </c>
      <c r="B33" s="259">
        <v>8.7899999999999991</v>
      </c>
      <c r="C33" s="259"/>
      <c r="D33" s="333">
        <v>0.215</v>
      </c>
      <c r="E33" s="334">
        <v>7.282258064516129</v>
      </c>
      <c r="F33" s="259"/>
      <c r="G33" s="259">
        <v>0.75</v>
      </c>
      <c r="H33" s="259">
        <v>16.14</v>
      </c>
      <c r="I33" s="259">
        <v>10.62</v>
      </c>
      <c r="J33" s="259">
        <v>21.99</v>
      </c>
      <c r="K33" s="259">
        <v>37.89</v>
      </c>
      <c r="L33" s="259">
        <v>65.53</v>
      </c>
      <c r="M33" s="259">
        <v>77.41</v>
      </c>
      <c r="N33" s="259">
        <v>33.58</v>
      </c>
      <c r="O33" s="259">
        <v>2.2200000000000002</v>
      </c>
      <c r="P33" s="259">
        <v>0.7</v>
      </c>
      <c r="Q33" s="259">
        <v>5.59</v>
      </c>
      <c r="R33" s="259">
        <v>5.59</v>
      </c>
      <c r="S33" s="334">
        <v>4.3727358496747797E-2</v>
      </c>
      <c r="T33" s="259">
        <v>0.32</v>
      </c>
      <c r="U33" s="259">
        <v>43.2</v>
      </c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9"/>
      <c r="BO33" s="259"/>
      <c r="BP33" s="259"/>
      <c r="BQ33" s="259"/>
      <c r="BR33" s="259"/>
      <c r="BS33" s="259"/>
      <c r="BT33" s="259"/>
      <c r="BU33" s="259"/>
      <c r="BV33" s="259"/>
      <c r="BW33" s="259"/>
      <c r="BX33" s="259"/>
      <c r="BY33" s="259"/>
      <c r="BZ33" s="259"/>
      <c r="CA33" s="259"/>
      <c r="CB33" s="259"/>
      <c r="CC33" s="259"/>
      <c r="CD33" s="259"/>
      <c r="CE33" s="259"/>
      <c r="CF33" s="259"/>
      <c r="CG33" s="259"/>
      <c r="CH33" s="259"/>
      <c r="CI33" s="259"/>
      <c r="CJ33" s="259"/>
      <c r="CK33" s="259"/>
      <c r="CL33" s="259"/>
      <c r="CM33" s="259"/>
      <c r="CN33" s="259"/>
      <c r="CO33" s="259"/>
      <c r="CP33" s="259"/>
      <c r="CQ33" s="259"/>
      <c r="CR33" s="259"/>
      <c r="CS33" s="259"/>
      <c r="CT33" s="259"/>
      <c r="CU33" s="259"/>
      <c r="CV33" s="259"/>
      <c r="CW33" s="259"/>
      <c r="CX33" s="259"/>
      <c r="CY33" s="259"/>
      <c r="CZ33" s="259"/>
      <c r="DA33" s="259"/>
      <c r="DB33" s="259"/>
      <c r="DC33" s="259"/>
      <c r="DD33" s="259"/>
      <c r="DE33" s="259"/>
      <c r="DF33" s="259"/>
      <c r="DG33" s="259"/>
      <c r="DH33" s="259"/>
      <c r="DI33" s="259"/>
      <c r="DJ33" s="259"/>
      <c r="DK33" s="259"/>
      <c r="DL33" s="259"/>
      <c r="DM33" s="259"/>
      <c r="DN33" s="259"/>
      <c r="DO33" s="259"/>
      <c r="DP33" s="259"/>
      <c r="DQ33" s="259"/>
      <c r="DR33" s="259"/>
      <c r="DS33" s="259"/>
      <c r="DT33" s="259"/>
      <c r="DU33" s="259"/>
      <c r="DV33" s="259"/>
      <c r="DW33" s="259"/>
      <c r="DX33" s="259"/>
      <c r="DY33" s="259"/>
      <c r="DZ33" s="259"/>
      <c r="EA33" s="259"/>
      <c r="EB33" s="259"/>
      <c r="EC33" s="259"/>
      <c r="ED33" s="259"/>
      <c r="EE33" s="259"/>
      <c r="EF33" s="259"/>
      <c r="EG33" s="259"/>
      <c r="EH33" s="259"/>
      <c r="EI33" s="259"/>
      <c r="EJ33" s="259"/>
      <c r="EK33" s="259"/>
      <c r="EL33" s="259"/>
      <c r="EM33" s="259"/>
    </row>
    <row r="34" spans="1:143" s="894" customFormat="1" x14ac:dyDescent="0.25">
      <c r="A34" s="309">
        <v>913030</v>
      </c>
      <c r="B34" s="894">
        <v>8.17</v>
      </c>
      <c r="D34" s="894">
        <v>0.67400000000000004</v>
      </c>
      <c r="E34" s="26">
        <v>20.31354838709677</v>
      </c>
      <c r="G34" s="894">
        <v>0.4</v>
      </c>
      <c r="H34" s="894">
        <v>138.19</v>
      </c>
      <c r="I34" s="894">
        <v>21.93</v>
      </c>
      <c r="J34" s="894">
        <v>11.4</v>
      </c>
      <c r="K34" s="894">
        <v>3.63</v>
      </c>
      <c r="L34" s="894">
        <v>86.506</v>
      </c>
      <c r="M34" s="894">
        <v>25.693999999999999</v>
      </c>
      <c r="N34" s="894">
        <v>14.669999999999998</v>
      </c>
      <c r="O34" s="894">
        <v>2.56</v>
      </c>
      <c r="P34" s="894">
        <v>0.66</v>
      </c>
      <c r="Q34" s="894">
        <v>2.46</v>
      </c>
      <c r="R34" s="894">
        <v>6.74</v>
      </c>
      <c r="S34" s="26">
        <v>1.787112</v>
      </c>
      <c r="T34" s="894">
        <v>16.2</v>
      </c>
      <c r="U34" s="894">
        <v>50.4</v>
      </c>
    </row>
    <row r="35" spans="1:143" s="894" customFormat="1" x14ac:dyDescent="0.25">
      <c r="A35" s="309">
        <v>913031</v>
      </c>
      <c r="B35" s="894">
        <v>7.9</v>
      </c>
      <c r="D35" s="894">
        <v>0.8</v>
      </c>
      <c r="E35" s="26">
        <v>20.087741935483869</v>
      </c>
      <c r="G35" s="894">
        <v>0.78</v>
      </c>
      <c r="H35" s="894">
        <v>184.93</v>
      </c>
      <c r="I35" s="894">
        <v>27.59</v>
      </c>
      <c r="J35" s="894">
        <v>6.68</v>
      </c>
      <c r="K35" s="894">
        <v>6.9859999999999998</v>
      </c>
      <c r="L35" s="894">
        <v>92.122</v>
      </c>
      <c r="M35" s="894">
        <v>35.847999999999999</v>
      </c>
      <c r="N35" s="894">
        <v>17.384</v>
      </c>
      <c r="O35" s="894">
        <v>2.69</v>
      </c>
      <c r="P35" s="894">
        <v>0.88</v>
      </c>
      <c r="Q35" s="894">
        <v>3.31</v>
      </c>
      <c r="R35" s="894">
        <v>8.7799999999999994</v>
      </c>
      <c r="S35" s="26">
        <v>1.6594250000000001</v>
      </c>
      <c r="T35" s="894">
        <v>12.5</v>
      </c>
      <c r="U35" s="894">
        <v>38.4</v>
      </c>
    </row>
    <row r="36" spans="1:143" s="894" customFormat="1" x14ac:dyDescent="0.25">
      <c r="A36" s="309">
        <v>913032</v>
      </c>
      <c r="B36" s="894">
        <v>7.93</v>
      </c>
      <c r="D36" s="894">
        <v>0.69799999999999995</v>
      </c>
      <c r="E36" s="26">
        <v>20.839677419354842</v>
      </c>
      <c r="G36" s="894">
        <v>0.85</v>
      </c>
      <c r="H36" s="894">
        <v>140.36000000000001</v>
      </c>
      <c r="I36" s="894">
        <v>27.72</v>
      </c>
      <c r="J36" s="894">
        <v>2.89</v>
      </c>
      <c r="K36" s="894">
        <v>4.1120000000000001</v>
      </c>
      <c r="L36" s="894">
        <v>67.650000000000006</v>
      </c>
      <c r="M36" s="894">
        <v>49.067999999999998</v>
      </c>
      <c r="N36" s="894">
        <v>11.587999999999999</v>
      </c>
      <c r="O36" s="894">
        <v>1.69</v>
      </c>
      <c r="P36" s="894">
        <v>0.71</v>
      </c>
      <c r="Q36" s="894">
        <v>4.43</v>
      </c>
      <c r="R36" s="894">
        <v>6.94</v>
      </c>
      <c r="S36" s="26">
        <v>1.7135000000000002</v>
      </c>
      <c r="T36" s="894">
        <v>14</v>
      </c>
      <c r="U36" s="894">
        <v>31.2</v>
      </c>
    </row>
    <row r="37" spans="1:143" s="894" customFormat="1" x14ac:dyDescent="0.25">
      <c r="A37" s="309">
        <v>913033</v>
      </c>
      <c r="B37" s="894">
        <v>8.16</v>
      </c>
      <c r="D37" s="894">
        <v>0.84</v>
      </c>
      <c r="E37" s="26">
        <v>42.3</v>
      </c>
      <c r="G37" s="894">
        <v>0.7</v>
      </c>
      <c r="H37" s="894">
        <v>155</v>
      </c>
      <c r="I37" s="894">
        <v>29.88</v>
      </c>
      <c r="J37" s="894">
        <v>2.41</v>
      </c>
      <c r="K37" s="894">
        <v>3.12</v>
      </c>
      <c r="L37" s="894">
        <v>149.66</v>
      </c>
      <c r="M37" s="894">
        <v>25.1</v>
      </c>
      <c r="N37" s="894">
        <v>12.77</v>
      </c>
      <c r="O37" s="894">
        <v>2.2400000000000002</v>
      </c>
      <c r="P37" s="894">
        <v>1.1100000000000001</v>
      </c>
      <c r="Q37" s="894">
        <v>7.68</v>
      </c>
      <c r="R37" s="894">
        <v>10.01</v>
      </c>
      <c r="S37" s="26">
        <v>1.809113</v>
      </c>
      <c r="T37" s="894">
        <v>16.899999999999999</v>
      </c>
      <c r="U37" s="894">
        <v>43.2</v>
      </c>
    </row>
    <row r="38" spans="1:143" s="894" customFormat="1" x14ac:dyDescent="0.25">
      <c r="A38" s="309">
        <v>913034</v>
      </c>
      <c r="B38" s="894">
        <v>8.24</v>
      </c>
      <c r="D38" s="894">
        <v>2.08</v>
      </c>
      <c r="E38" s="26">
        <v>126.12</v>
      </c>
      <c r="F38" s="894">
        <v>0</v>
      </c>
      <c r="G38" s="894">
        <v>0.14000000000000001</v>
      </c>
      <c r="H38" s="894">
        <v>210.36</v>
      </c>
      <c r="I38" s="894">
        <v>138.16</v>
      </c>
      <c r="J38" s="894">
        <v>10.41</v>
      </c>
      <c r="K38" s="894">
        <v>201.82599999999999</v>
      </c>
      <c r="L38" s="894">
        <v>91.494</v>
      </c>
      <c r="M38" s="894">
        <v>90.412000000000006</v>
      </c>
      <c r="N38" s="894">
        <v>57.208000000000006</v>
      </c>
      <c r="O38" s="894">
        <v>7.24</v>
      </c>
      <c r="P38" s="894">
        <v>4.43</v>
      </c>
      <c r="Q38" s="894">
        <v>1.96</v>
      </c>
      <c r="R38" s="894">
        <v>16.07</v>
      </c>
      <c r="S38" s="26">
        <v>2.0647530000000001</v>
      </c>
      <c r="T38" s="894">
        <v>27.9</v>
      </c>
      <c r="U38" s="894">
        <v>57.6</v>
      </c>
    </row>
    <row r="39" spans="1:143" s="894" customFormat="1" x14ac:dyDescent="0.25">
      <c r="A39" s="309">
        <v>913035</v>
      </c>
      <c r="B39" s="894">
        <v>8</v>
      </c>
      <c r="D39" s="894">
        <v>0.40200000000000002</v>
      </c>
      <c r="E39" s="26">
        <v>41.98</v>
      </c>
      <c r="F39" s="894">
        <v>0</v>
      </c>
      <c r="G39" s="894">
        <v>0.12</v>
      </c>
      <c r="H39" s="894">
        <v>12.8</v>
      </c>
      <c r="I39" s="894">
        <v>39.89</v>
      </c>
      <c r="J39" s="894">
        <v>33.799999999999997</v>
      </c>
      <c r="K39" s="894">
        <v>46.672000000000004</v>
      </c>
      <c r="L39" s="894">
        <v>17.718</v>
      </c>
      <c r="M39" s="894">
        <v>22.102</v>
      </c>
      <c r="N39" s="894">
        <v>8.9599999999999991</v>
      </c>
      <c r="O39" s="894">
        <v>3.67</v>
      </c>
      <c r="P39" s="894">
        <v>1.03</v>
      </c>
      <c r="Q39" s="894">
        <v>5.28</v>
      </c>
      <c r="R39" s="894">
        <v>9.7100000000000009</v>
      </c>
      <c r="S39" s="26">
        <v>2.1484730000000001</v>
      </c>
      <c r="T39" s="894">
        <v>40.9</v>
      </c>
      <c r="U39" s="894">
        <v>76.8</v>
      </c>
    </row>
    <row r="40" spans="1:143" s="894" customFormat="1" x14ac:dyDescent="0.25">
      <c r="A40" s="309">
        <v>913036</v>
      </c>
      <c r="B40" s="894">
        <v>8.7899999999999991</v>
      </c>
      <c r="D40" s="894">
        <v>0.503</v>
      </c>
      <c r="E40" s="26">
        <v>100.58</v>
      </c>
      <c r="F40" s="894">
        <v>0</v>
      </c>
      <c r="G40" s="894">
        <v>0.12</v>
      </c>
      <c r="H40" s="894">
        <v>29.41</v>
      </c>
      <c r="I40" s="894">
        <v>26.73</v>
      </c>
      <c r="J40" s="894">
        <v>1.61</v>
      </c>
      <c r="K40" s="894">
        <v>7.82</v>
      </c>
      <c r="L40" s="894">
        <v>23.01</v>
      </c>
      <c r="M40" s="894">
        <v>40.53</v>
      </c>
      <c r="N40" s="894">
        <v>14.5</v>
      </c>
      <c r="O40" s="894">
        <v>1.94</v>
      </c>
      <c r="P40" s="894">
        <v>2.4</v>
      </c>
      <c r="Q40" s="894">
        <v>0.56999999999999995</v>
      </c>
      <c r="R40" s="894">
        <v>4.57</v>
      </c>
      <c r="S40" s="26"/>
      <c r="T40" s="894">
        <v>8</v>
      </c>
      <c r="U40" s="894">
        <f>(1.3-0.1)*24</f>
        <v>28.799999999999997</v>
      </c>
    </row>
    <row r="41" spans="1:143" s="894" customFormat="1" x14ac:dyDescent="0.25">
      <c r="A41" s="309">
        <v>913037</v>
      </c>
      <c r="B41" s="894">
        <v>9.01</v>
      </c>
      <c r="D41" s="894">
        <v>0.56999999999999995</v>
      </c>
      <c r="E41" s="26">
        <v>32.68</v>
      </c>
      <c r="F41" s="894">
        <v>0</v>
      </c>
      <c r="G41" s="894">
        <v>0.21</v>
      </c>
      <c r="H41" s="894">
        <f>339.95/5</f>
        <v>67.989999999999995</v>
      </c>
      <c r="I41" s="894">
        <v>69.56</v>
      </c>
      <c r="J41" s="894">
        <v>3.19</v>
      </c>
      <c r="K41" s="894">
        <v>64.09</v>
      </c>
      <c r="L41" s="894">
        <v>46.36</v>
      </c>
      <c r="M41" s="894">
        <v>18.940000000000001</v>
      </c>
      <c r="N41" s="894">
        <v>9.9700000000000006</v>
      </c>
      <c r="O41" s="894">
        <v>1.57</v>
      </c>
      <c r="P41" s="894">
        <v>3.2</v>
      </c>
      <c r="Q41" s="894">
        <v>3.39</v>
      </c>
      <c r="R41" s="894">
        <v>3.61</v>
      </c>
      <c r="S41" s="26"/>
      <c r="T41" s="894">
        <v>9</v>
      </c>
      <c r="U41" s="894">
        <f>((1.6*2)-0.1)*24</f>
        <v>74.400000000000006</v>
      </c>
    </row>
    <row r="42" spans="1:143" s="894" customFormat="1" x14ac:dyDescent="0.25">
      <c r="A42" s="309">
        <v>913038</v>
      </c>
      <c r="B42" s="894">
        <v>8.59</v>
      </c>
      <c r="D42" s="894">
        <v>0.6</v>
      </c>
      <c r="E42" s="26">
        <v>95.02</v>
      </c>
      <c r="F42" s="894">
        <v>0</v>
      </c>
      <c r="G42" s="894">
        <v>0.21</v>
      </c>
      <c r="H42" s="894">
        <f>169/5</f>
        <v>33.799999999999997</v>
      </c>
      <c r="I42" s="894">
        <v>78.290000000000006</v>
      </c>
      <c r="J42" s="894">
        <v>2.5099999999999998</v>
      </c>
      <c r="K42" s="894">
        <v>72.41</v>
      </c>
      <c r="L42" s="894">
        <v>26.83</v>
      </c>
      <c r="M42" s="894">
        <v>33.42</v>
      </c>
      <c r="N42" s="894">
        <v>9.44</v>
      </c>
      <c r="O42" s="894">
        <v>1.83</v>
      </c>
      <c r="P42" s="894">
        <v>3.41</v>
      </c>
      <c r="Q42" s="894">
        <v>8.01</v>
      </c>
      <c r="R42" s="894">
        <v>5.3</v>
      </c>
      <c r="S42" s="26"/>
      <c r="T42" s="894">
        <v>6</v>
      </c>
      <c r="U42" s="894">
        <f>((1.1*2)-0.1)*24</f>
        <v>50.400000000000006</v>
      </c>
    </row>
    <row r="43" spans="1:143" s="894" customFormat="1" x14ac:dyDescent="0.25">
      <c r="A43" s="309">
        <v>913039</v>
      </c>
      <c r="B43" s="894">
        <v>8.3800000000000008</v>
      </c>
      <c r="D43" s="894">
        <v>0.23899999999999999</v>
      </c>
      <c r="E43" s="26">
        <v>7.8580645161290308</v>
      </c>
      <c r="G43" s="894">
        <v>0.13</v>
      </c>
      <c r="H43" s="894">
        <v>13.07</v>
      </c>
      <c r="I43" s="894">
        <v>36.83</v>
      </c>
      <c r="J43" s="894">
        <v>1.4076000000000002</v>
      </c>
      <c r="K43" s="894">
        <v>5.26</v>
      </c>
      <c r="L43" s="894">
        <v>3.73</v>
      </c>
      <c r="M43" s="894">
        <v>26.2</v>
      </c>
      <c r="N43" s="894">
        <v>7.35</v>
      </c>
      <c r="O43" s="894">
        <v>1.56</v>
      </c>
      <c r="P43" s="894">
        <v>1.24</v>
      </c>
      <c r="Q43" s="894">
        <v>1</v>
      </c>
      <c r="R43" s="894">
        <v>1.23</v>
      </c>
      <c r="S43" s="26">
        <v>0.57686137665894888</v>
      </c>
      <c r="T43" s="894">
        <v>4.2</v>
      </c>
      <c r="U43" s="894">
        <f>(1.5-0.1)*24</f>
        <v>33.599999999999994</v>
      </c>
    </row>
    <row r="44" spans="1:143" s="894" customFormat="1" x14ac:dyDescent="0.25">
      <c r="A44" s="309">
        <v>913040</v>
      </c>
      <c r="B44" s="894">
        <v>8.35</v>
      </c>
      <c r="D44" s="894">
        <v>0.161</v>
      </c>
      <c r="E44" s="26">
        <v>3.6783870967741934</v>
      </c>
      <c r="G44" s="894">
        <v>0.18</v>
      </c>
      <c r="H44" s="894">
        <v>7.47</v>
      </c>
      <c r="I44" s="894">
        <v>18.5</v>
      </c>
      <c r="J44" s="894">
        <v>4.2839999999999998</v>
      </c>
      <c r="K44" s="894">
        <v>6.28</v>
      </c>
      <c r="L44" s="894">
        <v>2.57</v>
      </c>
      <c r="M44" s="894">
        <v>15.23</v>
      </c>
      <c r="N44" s="894">
        <v>5.57</v>
      </c>
      <c r="O44" s="894">
        <v>5.25</v>
      </c>
      <c r="P44" s="894">
        <v>1.1200000000000001</v>
      </c>
      <c r="Q44" s="894">
        <v>2.54</v>
      </c>
      <c r="R44" s="894">
        <v>4.0599999999999996</v>
      </c>
      <c r="S44" s="26">
        <v>1.0632218056253151</v>
      </c>
      <c r="T44" s="894">
        <v>7.2</v>
      </c>
      <c r="U44" s="894">
        <f>(2-0.1)*24</f>
        <v>45.599999999999994</v>
      </c>
    </row>
    <row r="45" spans="1:143" s="894" customFormat="1" x14ac:dyDescent="0.25">
      <c r="A45" s="309">
        <v>913041</v>
      </c>
      <c r="B45" s="894">
        <v>8.24</v>
      </c>
      <c r="D45" s="894">
        <v>0.19</v>
      </c>
      <c r="E45" s="26">
        <v>7.5441935483870957</v>
      </c>
      <c r="G45" s="894">
        <v>0.12</v>
      </c>
      <c r="H45" s="894">
        <v>10.09</v>
      </c>
      <c r="I45" s="894">
        <v>13.85</v>
      </c>
      <c r="J45" s="894">
        <v>6.0894000000000004</v>
      </c>
      <c r="K45" s="894">
        <v>8.99</v>
      </c>
      <c r="L45" s="894">
        <v>4.26</v>
      </c>
      <c r="M45" s="894">
        <v>17.690000000000001</v>
      </c>
      <c r="N45" s="894">
        <v>6.3</v>
      </c>
      <c r="O45" s="894">
        <v>4.51</v>
      </c>
      <c r="P45" s="894">
        <v>0.68</v>
      </c>
      <c r="Q45" s="894">
        <v>2.04</v>
      </c>
      <c r="R45" s="894">
        <v>4.49</v>
      </c>
      <c r="S45" s="26">
        <v>1.106769831496043</v>
      </c>
      <c r="T45" s="894">
        <v>8.1</v>
      </c>
      <c r="U45" s="894">
        <f>(2.1-0.1)*24</f>
        <v>48</v>
      </c>
    </row>
    <row r="46" spans="1:143" s="894" customFormat="1" x14ac:dyDescent="0.25">
      <c r="A46" s="309">
        <v>913042</v>
      </c>
      <c r="B46" s="894">
        <v>8.56</v>
      </c>
      <c r="D46" s="894">
        <v>0.16600000000000001</v>
      </c>
      <c r="E46" s="26">
        <v>7.5012903225806449</v>
      </c>
      <c r="G46" s="894">
        <v>0.14000000000000001</v>
      </c>
      <c r="H46" s="894">
        <v>8.44</v>
      </c>
      <c r="I46" s="894">
        <v>8.02</v>
      </c>
      <c r="J46" s="894">
        <v>6.3648000000000007</v>
      </c>
      <c r="K46" s="894">
        <v>10.19</v>
      </c>
      <c r="L46" s="894">
        <v>3.03</v>
      </c>
      <c r="M46" s="894">
        <v>15.98</v>
      </c>
      <c r="N46" s="894">
        <v>5.19</v>
      </c>
      <c r="O46" s="894">
        <v>2.2599999999999998</v>
      </c>
      <c r="P46" s="894">
        <v>0.39</v>
      </c>
      <c r="Q46" s="894">
        <v>1.57</v>
      </c>
      <c r="R46" s="894">
        <v>2.31</v>
      </c>
      <c r="S46" s="26">
        <v>0.91536111276099097</v>
      </c>
      <c r="T46" s="894">
        <v>6.6</v>
      </c>
      <c r="U46" s="894">
        <f>(2.2-0.1)*24</f>
        <v>50.400000000000006</v>
      </c>
    </row>
    <row r="47" spans="1:143" s="894" customFormat="1" x14ac:dyDescent="0.25">
      <c r="A47" s="309">
        <v>913043</v>
      </c>
      <c r="B47" s="894">
        <v>8.3000000000000007</v>
      </c>
      <c r="D47" s="894">
        <v>0.47099999999999997</v>
      </c>
      <c r="E47" s="26">
        <v>19.672258064516129</v>
      </c>
      <c r="G47" s="894">
        <v>0.13</v>
      </c>
      <c r="H47" s="894">
        <v>42.64</v>
      </c>
      <c r="I47" s="894">
        <v>35.369999999999997</v>
      </c>
      <c r="J47" s="894">
        <v>4.5288000000000004</v>
      </c>
      <c r="K47" s="894">
        <v>7.81</v>
      </c>
      <c r="L47" s="894">
        <v>32.46</v>
      </c>
      <c r="M47" s="894">
        <v>30.43</v>
      </c>
      <c r="N47" s="894">
        <v>16.079999999999998</v>
      </c>
      <c r="O47" s="894">
        <v>10.06</v>
      </c>
      <c r="P47" s="894">
        <v>0.86</v>
      </c>
      <c r="Q47" s="894">
        <v>2.5</v>
      </c>
      <c r="R47" s="894">
        <v>4.58</v>
      </c>
      <c r="S47" s="26">
        <v>1.1522184255840271</v>
      </c>
      <c r="T47" s="894">
        <v>7.8</v>
      </c>
      <c r="U47" s="894">
        <f>(1.9-0.1)*24</f>
        <v>43.199999999999996</v>
      </c>
    </row>
    <row r="48" spans="1:143" s="894" customFormat="1" x14ac:dyDescent="0.25">
      <c r="A48" s="309">
        <v>913044</v>
      </c>
      <c r="B48" s="894">
        <v>8.0399999999999991</v>
      </c>
      <c r="D48" s="894">
        <v>0.38</v>
      </c>
      <c r="E48" s="26">
        <v>20.918709677419354</v>
      </c>
      <c r="G48" s="894">
        <v>0.21</v>
      </c>
      <c r="H48" s="894">
        <v>20.09</v>
      </c>
      <c r="I48" s="894">
        <v>28.95</v>
      </c>
      <c r="J48" s="894">
        <v>5.9669999999999996</v>
      </c>
      <c r="K48" s="894">
        <v>14.34</v>
      </c>
      <c r="L48" s="894">
        <v>18.75</v>
      </c>
      <c r="M48" s="894">
        <v>23.36</v>
      </c>
      <c r="N48" s="894">
        <v>14.38</v>
      </c>
      <c r="O48" s="894">
        <v>12.69</v>
      </c>
      <c r="P48" s="894">
        <v>1.37</v>
      </c>
      <c r="Q48" s="894">
        <v>3.75</v>
      </c>
      <c r="R48" s="894">
        <v>11.77</v>
      </c>
      <c r="S48" s="26">
        <v>1.666817</v>
      </c>
      <c r="T48" s="894">
        <v>12.7</v>
      </c>
      <c r="U48" s="894">
        <f>(2-0.1)*24</f>
        <v>45.599999999999994</v>
      </c>
    </row>
    <row r="49" spans="1:22" s="894" customFormat="1" x14ac:dyDescent="0.25">
      <c r="A49" s="309">
        <v>913045</v>
      </c>
      <c r="B49" s="894">
        <v>8.4499999999999993</v>
      </c>
      <c r="D49" s="894">
        <v>0.22</v>
      </c>
      <c r="E49" s="26">
        <v>6.4061290322580646</v>
      </c>
      <c r="G49" s="894">
        <v>0.11</v>
      </c>
      <c r="H49" s="894">
        <v>13.45</v>
      </c>
      <c r="I49" s="894">
        <v>23.65</v>
      </c>
      <c r="J49" s="894">
        <v>0.82620000000000005</v>
      </c>
      <c r="K49" s="894">
        <v>5.57</v>
      </c>
      <c r="L49" s="894">
        <v>6.44</v>
      </c>
      <c r="M49" s="894">
        <v>21.89</v>
      </c>
      <c r="N49" s="894">
        <v>7.27</v>
      </c>
      <c r="O49" s="894">
        <v>1.08</v>
      </c>
      <c r="P49" s="894">
        <v>0.94</v>
      </c>
      <c r="Q49" s="894">
        <v>1.85</v>
      </c>
      <c r="R49" s="894">
        <v>1.52</v>
      </c>
      <c r="S49" s="26">
        <v>0.85846790172758503</v>
      </c>
      <c r="T49" s="894">
        <v>5.8</v>
      </c>
      <c r="U49" s="894">
        <f>(1.8-0.1)*24</f>
        <v>40.799999999999997</v>
      </c>
    </row>
    <row r="50" spans="1:22" s="894" customFormat="1" x14ac:dyDescent="0.25">
      <c r="A50" s="309">
        <v>913046</v>
      </c>
      <c r="B50" s="894">
        <v>8.4499999999999993</v>
      </c>
      <c r="D50" s="894">
        <v>0.16800000000000001</v>
      </c>
      <c r="E50" s="26">
        <v>3.089032258064516</v>
      </c>
      <c r="G50" s="894">
        <v>0.11</v>
      </c>
      <c r="H50" s="894">
        <v>12.03</v>
      </c>
      <c r="I50" s="894">
        <v>13.45</v>
      </c>
      <c r="J50" s="894">
        <v>0.27539999999999998</v>
      </c>
      <c r="K50" s="894">
        <v>2.56</v>
      </c>
      <c r="L50" s="894">
        <v>6.54</v>
      </c>
      <c r="M50" s="894">
        <v>16.84</v>
      </c>
      <c r="N50" s="894">
        <v>5.03</v>
      </c>
      <c r="O50" s="894">
        <v>0.28999999999999998</v>
      </c>
      <c r="P50" s="894">
        <v>0.56000000000000005</v>
      </c>
      <c r="Q50" s="894">
        <v>2.56</v>
      </c>
      <c r="R50" s="894">
        <v>1.79</v>
      </c>
      <c r="S50" s="26">
        <v>0.99457822225540393</v>
      </c>
      <c r="T50" s="894">
        <v>7.4</v>
      </c>
      <c r="U50" s="894">
        <f>(1.9-0.1)*24</f>
        <v>43.199999999999996</v>
      </c>
    </row>
    <row r="51" spans="1:22" s="894" customFormat="1" x14ac:dyDescent="0.25">
      <c r="A51" s="309">
        <v>913047</v>
      </c>
      <c r="B51" s="894">
        <v>8.1199999999999992</v>
      </c>
      <c r="D51" s="894">
        <v>0.45300000000000001</v>
      </c>
      <c r="E51" s="26">
        <v>13.092258064516127</v>
      </c>
      <c r="G51" s="894">
        <v>0.14000000000000001</v>
      </c>
      <c r="H51" s="894">
        <v>18.239999999999998</v>
      </c>
      <c r="I51" s="894">
        <v>93.76</v>
      </c>
      <c r="J51" s="894">
        <v>5.7222000000000008</v>
      </c>
      <c r="K51" s="894">
        <v>24.78</v>
      </c>
      <c r="L51" s="894">
        <v>23.31</v>
      </c>
      <c r="M51" s="894">
        <v>32.840000000000003</v>
      </c>
      <c r="N51" s="894">
        <v>10.35</v>
      </c>
      <c r="O51" s="894">
        <v>2.82</v>
      </c>
      <c r="P51" s="894">
        <v>1.81</v>
      </c>
      <c r="Q51" s="894">
        <v>2.6</v>
      </c>
      <c r="R51" s="894">
        <v>3.06</v>
      </c>
      <c r="S51" s="26">
        <v>1.1453231660895806</v>
      </c>
      <c r="T51" s="894">
        <v>7.8</v>
      </c>
      <c r="U51" s="894">
        <f>(1.4-0.1)*24</f>
        <v>31.199999999999996</v>
      </c>
    </row>
    <row r="52" spans="1:22" s="894" customFormat="1" x14ac:dyDescent="0.25">
      <c r="A52" s="309">
        <v>913048</v>
      </c>
      <c r="B52" s="894">
        <v>8.1</v>
      </c>
      <c r="D52" s="894">
        <v>0.45800000000000002</v>
      </c>
      <c r="E52" s="26">
        <v>7.08</v>
      </c>
      <c r="G52" s="894">
        <v>0.14000000000000001</v>
      </c>
      <c r="H52" s="894">
        <v>13.05</v>
      </c>
      <c r="I52" s="894">
        <v>118.69</v>
      </c>
      <c r="J52" s="894">
        <v>5.1714000000000002</v>
      </c>
      <c r="K52" s="894">
        <v>15.24</v>
      </c>
      <c r="L52" s="894">
        <v>7.91</v>
      </c>
      <c r="M52" s="894">
        <v>53.44</v>
      </c>
      <c r="N52" s="894">
        <v>12.72</v>
      </c>
      <c r="O52" s="894">
        <v>2.44</v>
      </c>
      <c r="P52" s="894">
        <v>5.6</v>
      </c>
      <c r="Q52" s="894">
        <v>2.71</v>
      </c>
      <c r="R52" s="894">
        <v>2.02</v>
      </c>
      <c r="S52" s="26">
        <v>0.9114764836215139</v>
      </c>
      <c r="T52" s="894">
        <v>6.2</v>
      </c>
      <c r="U52" s="894">
        <f>(1-0.1)*24</f>
        <v>21.6</v>
      </c>
    </row>
    <row r="53" spans="1:22" s="894" customFormat="1" x14ac:dyDescent="0.25">
      <c r="A53" s="309">
        <v>913049</v>
      </c>
      <c r="B53" s="894">
        <v>8.06</v>
      </c>
      <c r="D53" s="894">
        <v>0.39500000000000002</v>
      </c>
      <c r="E53" s="26">
        <v>20.09</v>
      </c>
      <c r="G53" s="894">
        <v>0.06</v>
      </c>
      <c r="H53" s="894">
        <v>23.42</v>
      </c>
      <c r="I53" s="894">
        <v>22.46</v>
      </c>
      <c r="J53" s="894">
        <f>3.06*2.19</f>
        <v>6.7013999999999996</v>
      </c>
      <c r="K53" s="894">
        <v>5.26</v>
      </c>
      <c r="L53" s="894">
        <v>45.16</v>
      </c>
      <c r="M53" s="894">
        <v>23.28</v>
      </c>
      <c r="N53" s="894">
        <v>8.27</v>
      </c>
      <c r="O53" s="894">
        <v>4.4800000000000004</v>
      </c>
      <c r="P53" s="894">
        <v>1.43</v>
      </c>
      <c r="Q53" s="894">
        <v>12.11</v>
      </c>
      <c r="R53" s="894">
        <v>14.58</v>
      </c>
      <c r="S53" s="26">
        <v>1.674153</v>
      </c>
      <c r="T53" s="894">
        <v>12.9</v>
      </c>
      <c r="U53" s="894">
        <f>(2.6-0.1)*24</f>
        <v>60</v>
      </c>
    </row>
    <row r="54" spans="1:22" s="894" customFormat="1" x14ac:dyDescent="0.25">
      <c r="A54" s="309">
        <v>913050</v>
      </c>
      <c r="B54" s="894">
        <v>8.19</v>
      </c>
      <c r="D54" s="894">
        <v>0.438</v>
      </c>
      <c r="E54" s="26">
        <v>10.59258064516129</v>
      </c>
      <c r="G54" s="894">
        <v>0.04</v>
      </c>
      <c r="H54" s="894">
        <v>75.66</v>
      </c>
      <c r="I54" s="894">
        <v>17.98</v>
      </c>
      <c r="J54" s="894">
        <f>3.06*1.31</f>
        <v>4.0086000000000004</v>
      </c>
      <c r="K54" s="894">
        <v>0.97</v>
      </c>
      <c r="L54" s="894">
        <v>60.06</v>
      </c>
      <c r="M54" s="894">
        <v>19.37</v>
      </c>
      <c r="N54" s="894">
        <v>7.01</v>
      </c>
      <c r="O54" s="894">
        <v>1.51</v>
      </c>
      <c r="P54" s="894">
        <v>0.89</v>
      </c>
      <c r="Q54" s="894">
        <v>15.29</v>
      </c>
      <c r="R54" s="894">
        <v>10.56</v>
      </c>
      <c r="S54" s="26">
        <v>1.6814330000000002</v>
      </c>
      <c r="T54" s="894">
        <v>13.1</v>
      </c>
      <c r="U54" s="894">
        <f>(2-0.1)*24</f>
        <v>45.599999999999994</v>
      </c>
    </row>
    <row r="55" spans="1:22" s="894" customFormat="1" x14ac:dyDescent="0.25">
      <c r="A55" s="309">
        <v>913051</v>
      </c>
      <c r="B55" s="894">
        <v>8.0299999999999994</v>
      </c>
      <c r="D55" s="894">
        <v>2.02</v>
      </c>
      <c r="E55" s="26">
        <v>20.225483870967743</v>
      </c>
      <c r="G55" s="894">
        <v>0.12</v>
      </c>
      <c r="H55" s="894">
        <v>620.29999999999995</v>
      </c>
      <c r="I55" s="894">
        <v>68.36</v>
      </c>
      <c r="J55" s="894">
        <f>3.06*0.32</f>
        <v>0.97920000000000007</v>
      </c>
      <c r="K55" s="894">
        <v>4.5599999999999996</v>
      </c>
      <c r="L55" s="894">
        <v>209</v>
      </c>
      <c r="M55" s="894">
        <v>101.38</v>
      </c>
      <c r="N55" s="894">
        <v>49.86</v>
      </c>
      <c r="O55" s="894">
        <v>3.39</v>
      </c>
      <c r="P55" s="894">
        <v>0.85</v>
      </c>
      <c r="Q55" s="894">
        <v>8.4499999999999993</v>
      </c>
      <c r="R55" s="894">
        <v>8.7899999999999991</v>
      </c>
      <c r="S55" s="26">
        <v>1.6886570000000001</v>
      </c>
      <c r="T55" s="894">
        <v>13.3</v>
      </c>
      <c r="U55" s="894">
        <f>(1.1-0.1)*24</f>
        <v>24</v>
      </c>
    </row>
    <row r="56" spans="1:22" s="894" customFormat="1" x14ac:dyDescent="0.25">
      <c r="A56" s="309">
        <v>913052</v>
      </c>
      <c r="B56" s="894">
        <v>8.2200000000000006</v>
      </c>
      <c r="D56" s="894">
        <v>0.49</v>
      </c>
      <c r="E56" s="26">
        <v>20.180322580645161</v>
      </c>
      <c r="G56" s="894">
        <v>0.08</v>
      </c>
      <c r="H56" s="894">
        <v>30.8</v>
      </c>
      <c r="I56" s="894">
        <v>26.12</v>
      </c>
      <c r="J56" s="894">
        <f>3.06*2.24</f>
        <v>6.8544000000000009</v>
      </c>
      <c r="K56" s="894">
        <v>8.6300000000000008</v>
      </c>
      <c r="L56" s="894">
        <v>57.76</v>
      </c>
      <c r="M56" s="894">
        <v>22.49</v>
      </c>
      <c r="N56" s="894">
        <v>11.01</v>
      </c>
      <c r="O56" s="894">
        <v>6.02</v>
      </c>
      <c r="P56" s="894">
        <v>1.74</v>
      </c>
      <c r="Q56" s="894">
        <v>11.63</v>
      </c>
      <c r="R56" s="894">
        <v>10.5</v>
      </c>
      <c r="S56" s="26">
        <v>1.787112</v>
      </c>
      <c r="T56" s="894">
        <v>16.2</v>
      </c>
      <c r="U56" s="894">
        <f>(2.8-0.1)*24</f>
        <v>64.8</v>
      </c>
    </row>
    <row r="57" spans="1:22" s="894" customFormat="1" x14ac:dyDescent="0.25">
      <c r="A57" s="309">
        <v>913053</v>
      </c>
      <c r="B57" s="894">
        <v>8.31</v>
      </c>
      <c r="D57" s="894">
        <v>0.441</v>
      </c>
      <c r="E57" s="26">
        <v>9.7616129032258048</v>
      </c>
      <c r="G57" s="894">
        <v>0.04</v>
      </c>
      <c r="H57" s="894">
        <v>73.77</v>
      </c>
      <c r="I57" s="894">
        <v>20.48</v>
      </c>
      <c r="J57" s="894">
        <f>3.06*1.01</f>
        <v>3.0906000000000002</v>
      </c>
      <c r="K57" s="894">
        <v>1.96</v>
      </c>
      <c r="L57" s="894">
        <v>67.099999999999994</v>
      </c>
      <c r="M57" s="894">
        <v>15.2</v>
      </c>
      <c r="N57" s="894">
        <v>6.16</v>
      </c>
      <c r="O57" s="894">
        <v>1.28</v>
      </c>
      <c r="P57" s="894">
        <v>0.75</v>
      </c>
      <c r="Q57" s="894">
        <v>17.899999999999999</v>
      </c>
      <c r="R57" s="894">
        <v>13.08</v>
      </c>
      <c r="S57" s="26">
        <v>1.6444730000000001</v>
      </c>
      <c r="T57" s="894">
        <v>12.1</v>
      </c>
      <c r="U57" s="894">
        <f>(3.2-0.1)*24</f>
        <v>74.400000000000006</v>
      </c>
    </row>
    <row r="58" spans="1:22" s="340" customFormat="1" x14ac:dyDescent="0.25">
      <c r="A58" s="905">
        <v>913054</v>
      </c>
      <c r="B58" s="340">
        <v>7.38</v>
      </c>
      <c r="C58" s="896"/>
      <c r="D58" s="340">
        <v>0.16700000000000001</v>
      </c>
      <c r="E58" s="55">
        <f>0.98*14/62</f>
        <v>0.22129032258064515</v>
      </c>
      <c r="G58" s="340">
        <v>0.16</v>
      </c>
      <c r="H58" s="558">
        <v>15.3</v>
      </c>
      <c r="I58" s="340">
        <v>26.34</v>
      </c>
      <c r="J58" s="833">
        <f>3.06*1.78</f>
        <v>5.4468000000000005</v>
      </c>
      <c r="K58" s="895">
        <v>8.5</v>
      </c>
      <c r="L58" s="340">
        <v>3.43</v>
      </c>
      <c r="M58" s="340">
        <v>19.02</v>
      </c>
      <c r="N58" s="340">
        <v>5.44</v>
      </c>
      <c r="Q58" s="795"/>
      <c r="S58" s="55">
        <v>1.770977</v>
      </c>
      <c r="T58" s="340">
        <v>15.7</v>
      </c>
      <c r="U58" s="340">
        <f>(1.2-0.1)*24</f>
        <v>26.4</v>
      </c>
    </row>
    <row r="59" spans="1:22" s="908" customFormat="1" x14ac:dyDescent="0.25">
      <c r="A59" s="309">
        <v>913055</v>
      </c>
      <c r="B59" s="908">
        <v>8.06</v>
      </c>
      <c r="D59" s="908">
        <v>0.59199999999999997</v>
      </c>
      <c r="E59" s="26">
        <v>19.672258064516129</v>
      </c>
      <c r="G59" s="908">
        <v>0.13</v>
      </c>
      <c r="H59" s="908">
        <v>42.64</v>
      </c>
      <c r="I59" s="908">
        <v>35.369999999999997</v>
      </c>
      <c r="J59" s="908">
        <v>6.64</v>
      </c>
      <c r="K59" s="908">
        <v>24.55</v>
      </c>
      <c r="L59" s="908">
        <v>49.88</v>
      </c>
      <c r="M59" s="908">
        <v>34.89</v>
      </c>
      <c r="N59" s="908">
        <v>16.47</v>
      </c>
      <c r="O59" s="908">
        <v>5.25</v>
      </c>
      <c r="P59" s="908">
        <v>1.1200000000000001</v>
      </c>
      <c r="Q59" s="908">
        <v>2.54</v>
      </c>
      <c r="R59" s="908">
        <v>4.0599999999999996</v>
      </c>
      <c r="S59" s="26">
        <v>1.629297</v>
      </c>
      <c r="T59" s="908">
        <v>11.7</v>
      </c>
      <c r="U59" s="908">
        <f>(2-0.1)*24</f>
        <v>45.599999999999994</v>
      </c>
    </row>
    <row r="60" spans="1:22" s="908" customFormat="1" x14ac:dyDescent="0.25">
      <c r="A60" s="309">
        <v>913056</v>
      </c>
      <c r="B60" s="908">
        <v>8.19</v>
      </c>
      <c r="D60" s="908">
        <v>0.44500000000000001</v>
      </c>
      <c r="E60" s="26">
        <v>20.918709677419354</v>
      </c>
      <c r="G60" s="908">
        <v>0.21</v>
      </c>
      <c r="H60" s="908">
        <v>20.09</v>
      </c>
      <c r="I60" s="908">
        <v>28.95</v>
      </c>
      <c r="J60" s="908">
        <v>6.22</v>
      </c>
      <c r="K60" s="908">
        <v>19.96</v>
      </c>
      <c r="L60" s="908">
        <v>35.79</v>
      </c>
      <c r="M60" s="908">
        <v>27.6</v>
      </c>
      <c r="N60" s="908">
        <v>12.01</v>
      </c>
      <c r="O60" s="908">
        <v>4.51</v>
      </c>
      <c r="P60" s="908">
        <v>0.68</v>
      </c>
      <c r="Q60" s="908">
        <v>2.04</v>
      </c>
      <c r="R60" s="908">
        <v>4.49</v>
      </c>
      <c r="S60" s="26">
        <v>0.99373555757119092</v>
      </c>
      <c r="T60" s="908">
        <v>6.8000000000000007</v>
      </c>
      <c r="U60" s="908">
        <f>(1.8-0.1)*24</f>
        <v>40.799999999999997</v>
      </c>
    </row>
    <row r="61" spans="1:22" s="908" customFormat="1" x14ac:dyDescent="0.25">
      <c r="A61" s="309">
        <v>913057</v>
      </c>
      <c r="B61" s="908">
        <v>8.0299999999999994</v>
      </c>
      <c r="D61" s="908">
        <v>0.153</v>
      </c>
      <c r="E61" s="26">
        <v>31.78</v>
      </c>
      <c r="G61" s="908">
        <v>0.11</v>
      </c>
      <c r="H61" s="908">
        <v>13.45</v>
      </c>
      <c r="I61" s="908">
        <v>7.36</v>
      </c>
      <c r="J61" s="908">
        <v>3.11</v>
      </c>
      <c r="K61" s="908">
        <v>4.58</v>
      </c>
      <c r="L61" s="908">
        <v>2.92</v>
      </c>
      <c r="M61" s="908">
        <v>16.010000000000002</v>
      </c>
      <c r="N61" s="908">
        <v>6.32</v>
      </c>
      <c r="O61" s="908">
        <v>2.08</v>
      </c>
      <c r="P61" s="908">
        <v>0.35</v>
      </c>
      <c r="Q61" s="908">
        <v>1.72</v>
      </c>
      <c r="R61" s="908">
        <v>2.13</v>
      </c>
      <c r="S61" s="26">
        <v>0.64314885321963555</v>
      </c>
      <c r="T61" s="908">
        <v>4.6999999999999993</v>
      </c>
      <c r="U61" s="908">
        <v>48</v>
      </c>
    </row>
    <row r="62" spans="1:22" s="908" customFormat="1" x14ac:dyDescent="0.25">
      <c r="A62" s="309">
        <v>913058</v>
      </c>
      <c r="B62" s="908">
        <v>8.2200000000000006</v>
      </c>
      <c r="D62" s="908">
        <v>0.22800000000000001</v>
      </c>
      <c r="E62" s="26">
        <v>13.17</v>
      </c>
      <c r="G62" s="908">
        <v>0.11</v>
      </c>
      <c r="H62" s="908">
        <v>12.03</v>
      </c>
      <c r="I62" s="908">
        <v>31.48</v>
      </c>
      <c r="J62" s="908">
        <v>1.44</v>
      </c>
      <c r="K62" s="908">
        <v>11.88</v>
      </c>
      <c r="L62" s="908">
        <v>7.11</v>
      </c>
      <c r="M62" s="908">
        <v>22.35</v>
      </c>
      <c r="N62" s="908">
        <v>6.86</v>
      </c>
      <c r="O62" s="908">
        <v>4.07</v>
      </c>
      <c r="P62" s="908">
        <v>0.66</v>
      </c>
      <c r="Q62" s="908">
        <v>2.46</v>
      </c>
      <c r="R62" s="908">
        <v>2.74</v>
      </c>
      <c r="S62" s="26">
        <v>0.71861992623914206</v>
      </c>
      <c r="T62" s="908">
        <v>5.3000000000000007</v>
      </c>
      <c r="U62" s="908">
        <v>55.199999999999996</v>
      </c>
    </row>
    <row r="63" spans="1:22" s="908" customFormat="1" x14ac:dyDescent="0.25">
      <c r="A63" s="309">
        <v>913059</v>
      </c>
      <c r="B63" s="908">
        <v>8.31</v>
      </c>
      <c r="D63" s="908">
        <v>0.22600000000000001</v>
      </c>
      <c r="E63" s="26">
        <v>42.62</v>
      </c>
      <c r="G63" s="908">
        <v>0.14000000000000001</v>
      </c>
      <c r="H63" s="908">
        <v>18.239999999999998</v>
      </c>
      <c r="I63" s="908">
        <v>8.7799999999999994</v>
      </c>
      <c r="J63" s="908">
        <v>3.37</v>
      </c>
      <c r="K63" s="908">
        <v>28.03</v>
      </c>
      <c r="L63" s="908">
        <v>7.75</v>
      </c>
      <c r="M63" s="908">
        <v>12.99</v>
      </c>
      <c r="N63" s="908">
        <v>5.85</v>
      </c>
      <c r="O63" s="908">
        <v>1.55</v>
      </c>
      <c r="P63" s="908">
        <v>0.63</v>
      </c>
      <c r="Q63" s="908">
        <v>1.26</v>
      </c>
      <c r="R63" s="908">
        <v>1.74</v>
      </c>
      <c r="S63" s="26">
        <v>0.58141942241777878</v>
      </c>
      <c r="T63" s="908">
        <v>4</v>
      </c>
      <c r="U63" s="908">
        <v>67.199999999999989</v>
      </c>
    </row>
    <row r="64" spans="1:22" s="911" customFormat="1" x14ac:dyDescent="0.25">
      <c r="A64" s="910">
        <v>913060</v>
      </c>
      <c r="B64" s="616">
        <v>6.7</v>
      </c>
      <c r="C64" s="616"/>
      <c r="D64" s="909">
        <v>1.31</v>
      </c>
      <c r="E64" s="909">
        <v>101.42</v>
      </c>
      <c r="G64" s="924">
        <f>0.3*14/18</f>
        <v>0.23333333333333334</v>
      </c>
      <c r="I64" s="909">
        <v>23.67</v>
      </c>
      <c r="J64" s="912">
        <v>374.25</v>
      </c>
      <c r="K64" s="912">
        <v>3321.82</v>
      </c>
      <c r="L64" s="912">
        <v>1013.861</v>
      </c>
      <c r="M64" s="912">
        <v>238.65</v>
      </c>
      <c r="N64" s="912">
        <v>182.03</v>
      </c>
      <c r="O64" s="912">
        <v>0.17</v>
      </c>
      <c r="P64" s="912">
        <v>0.09</v>
      </c>
      <c r="Q64" s="912">
        <v>0.45</v>
      </c>
      <c r="R64" s="912">
        <v>0.4</v>
      </c>
      <c r="S64" s="913">
        <v>2.119577</v>
      </c>
      <c r="T64" s="909">
        <v>45.7</v>
      </c>
      <c r="U64" s="909">
        <v>55.199999999999996</v>
      </c>
      <c r="V64" s="911">
        <v>17</v>
      </c>
    </row>
    <row r="65" spans="1:22" s="911" customFormat="1" x14ac:dyDescent="0.25">
      <c r="A65" s="910">
        <v>913061</v>
      </c>
      <c r="B65" s="616">
        <v>7.07</v>
      </c>
      <c r="C65" s="616"/>
      <c r="D65" s="909">
        <v>0.56399999999999995</v>
      </c>
      <c r="E65" s="909">
        <v>70.13</v>
      </c>
      <c r="G65" s="924">
        <v>0.10111111111111111</v>
      </c>
      <c r="I65" s="909">
        <v>14.15</v>
      </c>
      <c r="J65" s="912">
        <v>201.13</v>
      </c>
      <c r="K65" s="912">
        <v>1521.74</v>
      </c>
      <c r="L65" s="912">
        <v>564.68700000000001</v>
      </c>
      <c r="M65" s="912">
        <v>37.24</v>
      </c>
      <c r="N65" s="912">
        <v>42.47</v>
      </c>
      <c r="O65" s="912">
        <v>0.13</v>
      </c>
      <c r="P65" s="912">
        <v>0.23</v>
      </c>
      <c r="Q65" s="912">
        <v>0.12</v>
      </c>
      <c r="R65" s="912">
        <v>2.62</v>
      </c>
      <c r="S65" s="913">
        <v>2.1021942500000002</v>
      </c>
      <c r="T65" s="909">
        <v>47.35</v>
      </c>
      <c r="U65" s="909">
        <v>40.799999999999997</v>
      </c>
      <c r="V65" s="911">
        <v>15</v>
      </c>
    </row>
    <row r="66" spans="1:22" s="911" customFormat="1" x14ac:dyDescent="0.25">
      <c r="A66" s="910">
        <v>913062</v>
      </c>
      <c r="B66" s="616">
        <v>6.68</v>
      </c>
      <c r="D66" s="909">
        <v>2.34</v>
      </c>
      <c r="E66" s="909">
        <v>101.54</v>
      </c>
      <c r="G66" s="924">
        <v>1.2055555555555555</v>
      </c>
      <c r="I66" s="909">
        <v>134.12</v>
      </c>
      <c r="J66" s="912">
        <v>337.45</v>
      </c>
      <c r="K66" s="912">
        <v>336.15</v>
      </c>
      <c r="L66" s="912">
        <v>2604.8910000000001</v>
      </c>
      <c r="M66" s="912">
        <v>2508.5700000000002</v>
      </c>
      <c r="N66" s="912">
        <v>1302.06</v>
      </c>
      <c r="O66" s="912">
        <v>0.31</v>
      </c>
      <c r="P66" s="912">
        <v>0.18</v>
      </c>
      <c r="Q66" s="912">
        <v>2.73</v>
      </c>
      <c r="R66" s="912">
        <v>0.37</v>
      </c>
      <c r="S66" s="913">
        <v>2.1419280000000001</v>
      </c>
      <c r="T66" s="909">
        <v>35.4</v>
      </c>
      <c r="U66" s="909">
        <v>93.6</v>
      </c>
      <c r="V66" s="911">
        <v>16</v>
      </c>
    </row>
    <row r="67" spans="1:22" s="911" customFormat="1" x14ac:dyDescent="0.25">
      <c r="A67" s="910">
        <v>913063</v>
      </c>
      <c r="B67" s="616">
        <v>5.86</v>
      </c>
      <c r="D67" s="909">
        <v>1.4</v>
      </c>
      <c r="E67" s="909">
        <v>100.39</v>
      </c>
      <c r="G67" s="924">
        <v>0.13222222222222224</v>
      </c>
      <c r="I67" s="909">
        <v>126.01</v>
      </c>
      <c r="J67" s="912">
        <v>109.61</v>
      </c>
      <c r="K67" s="912">
        <v>212.93</v>
      </c>
      <c r="L67" s="912">
        <v>1864.527</v>
      </c>
      <c r="M67" s="912">
        <v>1248.3699999999999</v>
      </c>
      <c r="N67" s="912">
        <v>592.29999999999995</v>
      </c>
      <c r="O67" s="912">
        <v>0.1</v>
      </c>
      <c r="P67" s="912">
        <v>0.01</v>
      </c>
      <c r="Q67" s="912">
        <v>0.2</v>
      </c>
      <c r="R67" s="912">
        <v>0.17</v>
      </c>
      <c r="S67" s="913">
        <v>2.1488562500000006</v>
      </c>
      <c r="T67" s="909">
        <v>40.75</v>
      </c>
      <c r="U67" s="909">
        <v>24</v>
      </c>
      <c r="V67" s="911">
        <v>15</v>
      </c>
    </row>
    <row r="68" spans="1:22" x14ac:dyDescent="0.25">
      <c r="A68" s="936">
        <v>913064</v>
      </c>
      <c r="B68" s="936">
        <v>8</v>
      </c>
      <c r="C68" s="26"/>
      <c r="D68" s="940">
        <v>0.193</v>
      </c>
      <c r="E68" s="26">
        <v>7.3725806451612899</v>
      </c>
      <c r="F68" s="936">
        <v>0</v>
      </c>
      <c r="G68" s="26">
        <v>1.6644444444444444</v>
      </c>
      <c r="H68" s="4"/>
      <c r="I68">
        <v>18.440000000000001</v>
      </c>
      <c r="J68" s="897">
        <v>13.531319999999999</v>
      </c>
      <c r="K68" s="4">
        <v>5.2200000000000006</v>
      </c>
      <c r="L68" s="4">
        <v>6.7260000000000009</v>
      </c>
      <c r="M68" s="4">
        <v>18.417999999999999</v>
      </c>
      <c r="N68" s="4">
        <v>8.3439999999999994</v>
      </c>
      <c r="O68" s="937">
        <v>7.91</v>
      </c>
      <c r="P68" s="938">
        <v>4.91</v>
      </c>
      <c r="Q68" s="938">
        <v>3.67</v>
      </c>
      <c r="R68" s="938">
        <v>6.47</v>
      </c>
      <c r="S68" s="939">
        <v>1.6022000000000001</v>
      </c>
      <c r="T68">
        <v>11</v>
      </c>
      <c r="U68">
        <v>57.599999999999994</v>
      </c>
      <c r="V68" s="936"/>
    </row>
    <row r="69" spans="1:22" x14ac:dyDescent="0.25">
      <c r="A69" s="936">
        <v>913065</v>
      </c>
      <c r="B69" s="936">
        <v>8.24</v>
      </c>
      <c r="C69" s="26"/>
      <c r="D69" s="940">
        <v>0.14199999999999999</v>
      </c>
      <c r="E69" s="26">
        <v>4.0148387096774192</v>
      </c>
      <c r="F69" s="936">
        <v>0</v>
      </c>
      <c r="G69" s="26">
        <v>1.6177777777777778</v>
      </c>
      <c r="H69" s="4"/>
      <c r="I69">
        <v>11.84</v>
      </c>
      <c r="J69" s="897">
        <v>9.7246800000000011</v>
      </c>
      <c r="K69" s="4">
        <v>1.65</v>
      </c>
      <c r="L69" s="4">
        <v>6.5060000000000002</v>
      </c>
      <c r="M69" s="4">
        <v>11.891999999999999</v>
      </c>
      <c r="N69" s="4">
        <v>6.2780000000000005</v>
      </c>
      <c r="O69" s="937">
        <v>8.39</v>
      </c>
      <c r="P69" s="938">
        <v>6.19</v>
      </c>
      <c r="Q69" s="938">
        <v>3.51</v>
      </c>
      <c r="R69" s="938">
        <v>5.42</v>
      </c>
      <c r="S69" s="939">
        <v>1.4695006132827857</v>
      </c>
      <c r="T69">
        <v>9.8000000000000007</v>
      </c>
      <c r="U69">
        <v>45.599999999999994</v>
      </c>
      <c r="V69" s="936"/>
    </row>
    <row r="70" spans="1:22" x14ac:dyDescent="0.25">
      <c r="A70" s="936">
        <v>913066</v>
      </c>
      <c r="B70" s="936">
        <v>8.3800000000000008</v>
      </c>
      <c r="C70" s="26"/>
      <c r="D70" s="940">
        <v>0.15</v>
      </c>
      <c r="E70" s="26">
        <v>1.6935483870967742</v>
      </c>
      <c r="F70" s="936">
        <v>0</v>
      </c>
      <c r="G70" s="26">
        <v>1.5711111111111111</v>
      </c>
      <c r="H70" s="4"/>
      <c r="I70">
        <v>12.51</v>
      </c>
      <c r="J70" s="897">
        <v>15.41628</v>
      </c>
      <c r="K70" s="4">
        <v>7.6159999999999997</v>
      </c>
      <c r="L70" s="4">
        <v>6.1180000000000003</v>
      </c>
      <c r="M70" s="4">
        <v>13.431999999999999</v>
      </c>
      <c r="N70" s="4">
        <v>5.952</v>
      </c>
      <c r="O70" s="937">
        <v>4.7699999999999996</v>
      </c>
      <c r="P70" s="938">
        <v>6.72</v>
      </c>
      <c r="Q70" s="938">
        <v>2.65</v>
      </c>
      <c r="R70" s="938">
        <v>3.87</v>
      </c>
      <c r="S70" s="939">
        <v>1.6138970000000001</v>
      </c>
      <c r="T70">
        <v>11.299999999999999</v>
      </c>
      <c r="U70">
        <v>69.599999999999994</v>
      </c>
      <c r="V70" s="936"/>
    </row>
    <row r="71" spans="1:22" x14ac:dyDescent="0.25">
      <c r="A71" s="936">
        <v>913067</v>
      </c>
      <c r="B71" s="936">
        <v>8.2100000000000009</v>
      </c>
      <c r="C71" s="26"/>
      <c r="D71" s="940">
        <v>0.19800000000000001</v>
      </c>
      <c r="E71" s="26">
        <v>8.33</v>
      </c>
      <c r="F71" s="936">
        <v>0</v>
      </c>
      <c r="G71" s="26">
        <v>1.6877777777777778</v>
      </c>
      <c r="H71" s="4"/>
      <c r="I71">
        <v>12.07</v>
      </c>
      <c r="J71" s="897">
        <v>16.536239999999999</v>
      </c>
      <c r="K71" s="4">
        <v>3.8359999999999999</v>
      </c>
      <c r="L71" s="4">
        <v>7.258</v>
      </c>
      <c r="M71" s="4">
        <v>19.246000000000002</v>
      </c>
      <c r="N71" s="4">
        <v>7.9060000000000006</v>
      </c>
      <c r="O71" s="937">
        <v>11.46</v>
      </c>
      <c r="P71" s="938">
        <v>12.49</v>
      </c>
      <c r="Q71" s="938">
        <v>4.58</v>
      </c>
      <c r="R71" s="938">
        <v>3.92</v>
      </c>
      <c r="S71" s="939">
        <v>1.674153</v>
      </c>
      <c r="T71">
        <v>12.9</v>
      </c>
      <c r="U71">
        <v>50.400000000000006</v>
      </c>
      <c r="V71" s="936"/>
    </row>
    <row r="72" spans="1:22" x14ac:dyDescent="0.25">
      <c r="A72" s="936">
        <v>913068</v>
      </c>
      <c r="B72" s="936">
        <v>8.08</v>
      </c>
      <c r="C72" s="26"/>
      <c r="D72" s="940">
        <v>0.20899999999999999</v>
      </c>
      <c r="E72" s="26">
        <v>12.830322580645161</v>
      </c>
      <c r="F72" s="936">
        <v>0</v>
      </c>
      <c r="G72" s="26">
        <v>1.4233333333333333</v>
      </c>
      <c r="H72" s="4"/>
      <c r="I72">
        <v>11.12</v>
      </c>
      <c r="J72" s="897">
        <v>11.732040000000001</v>
      </c>
      <c r="K72" s="4">
        <v>6.8680000000000003</v>
      </c>
      <c r="L72" s="4">
        <v>4.9320000000000004</v>
      </c>
      <c r="M72" s="4">
        <v>19.350000000000001</v>
      </c>
      <c r="N72" s="4">
        <v>8.3520000000000003</v>
      </c>
      <c r="O72" s="937">
        <v>6.23</v>
      </c>
      <c r="P72" s="938">
        <v>11.09</v>
      </c>
      <c r="Q72" s="938">
        <v>2.58</v>
      </c>
      <c r="R72" s="938">
        <v>4</v>
      </c>
      <c r="S72" s="939">
        <v>1.6254680000000001</v>
      </c>
      <c r="T72">
        <v>11.6</v>
      </c>
      <c r="U72">
        <v>45.599999999999994</v>
      </c>
      <c r="V72" s="936"/>
    </row>
    <row r="73" spans="1:22" x14ac:dyDescent="0.25">
      <c r="A73" s="936">
        <v>913069</v>
      </c>
      <c r="B73" s="936">
        <v>8.4</v>
      </c>
      <c r="C73" s="26"/>
      <c r="D73" s="940">
        <v>0.2</v>
      </c>
      <c r="E73" s="26">
        <v>4.290322580645161</v>
      </c>
      <c r="F73" s="936">
        <v>0</v>
      </c>
      <c r="G73" s="26">
        <v>1.3533333333333333</v>
      </c>
      <c r="H73" s="4"/>
      <c r="I73">
        <v>19.02</v>
      </c>
      <c r="J73" s="897">
        <v>11.909520000000001</v>
      </c>
      <c r="K73" s="4">
        <v>11.181999999999999</v>
      </c>
      <c r="L73" s="4">
        <v>8.370000000000001</v>
      </c>
      <c r="M73" s="4">
        <v>16.916</v>
      </c>
      <c r="N73" s="4">
        <v>6.7799999999999994</v>
      </c>
      <c r="O73" s="937">
        <v>5.36</v>
      </c>
      <c r="P73" s="938">
        <v>6.52</v>
      </c>
      <c r="Q73" s="938">
        <v>2.5499999999999998</v>
      </c>
      <c r="R73" s="938">
        <v>3.92</v>
      </c>
      <c r="S73" s="939">
        <v>1.7934680000000001</v>
      </c>
      <c r="T73">
        <v>16.399999999999999</v>
      </c>
      <c r="U73">
        <v>45.599999999999994</v>
      </c>
      <c r="V73" s="936"/>
    </row>
    <row r="74" spans="1:22" x14ac:dyDescent="0.25">
      <c r="A74" s="936">
        <v>913070</v>
      </c>
      <c r="B74" s="936">
        <v>8.19</v>
      </c>
      <c r="C74" s="26"/>
      <c r="D74" s="940">
        <v>0.191</v>
      </c>
      <c r="E74" s="26">
        <v>8.3661290322580637</v>
      </c>
      <c r="F74" s="936">
        <v>0</v>
      </c>
      <c r="G74" s="26">
        <v>1.5633333333333332</v>
      </c>
      <c r="H74" s="4"/>
      <c r="I74">
        <v>10.96</v>
      </c>
      <c r="J74" s="897">
        <v>13.170240000000002</v>
      </c>
      <c r="K74" s="4">
        <v>11.302</v>
      </c>
      <c r="L74" s="4">
        <v>6.3860000000000001</v>
      </c>
      <c r="M74" s="4">
        <v>17.297999999999998</v>
      </c>
      <c r="N74" s="4">
        <v>6.5579999999999998</v>
      </c>
      <c r="O74" s="937">
        <v>7.44</v>
      </c>
      <c r="P74" s="938">
        <v>6.08</v>
      </c>
      <c r="Q74" s="938">
        <v>4.8099999999999996</v>
      </c>
      <c r="R74" s="938">
        <v>5.33</v>
      </c>
      <c r="S74" s="939">
        <v>1.8334170000000001</v>
      </c>
      <c r="T74">
        <v>17.7</v>
      </c>
      <c r="U74">
        <v>36</v>
      </c>
      <c r="V74" s="936"/>
    </row>
    <row r="75" spans="1:22" x14ac:dyDescent="0.25">
      <c r="A75" s="936">
        <v>913071</v>
      </c>
      <c r="B75" s="936">
        <v>8.4</v>
      </c>
      <c r="C75" s="26"/>
      <c r="D75" s="940">
        <v>0.14599999999999999</v>
      </c>
      <c r="E75" s="26">
        <v>4.669677419354838</v>
      </c>
      <c r="F75" s="936">
        <v>0</v>
      </c>
      <c r="G75" s="26">
        <v>1.3066666666666666</v>
      </c>
      <c r="H75" s="4"/>
      <c r="I75">
        <v>9.14</v>
      </c>
      <c r="J75" s="897">
        <v>9.0943199999999997</v>
      </c>
      <c r="K75" s="4">
        <v>8.7360000000000007</v>
      </c>
      <c r="L75" s="4">
        <v>5.1440000000000001</v>
      </c>
      <c r="M75" s="4">
        <v>12.913999999999998</v>
      </c>
      <c r="N75" s="4">
        <v>4.9399999999999995</v>
      </c>
      <c r="O75" s="937">
        <v>7.04</v>
      </c>
      <c r="P75" s="938">
        <v>4.55</v>
      </c>
      <c r="Q75" s="938">
        <v>2.2999999999999998</v>
      </c>
      <c r="R75" s="938">
        <v>3.77</v>
      </c>
      <c r="S75" s="939">
        <v>1.6958250000000001</v>
      </c>
      <c r="T75">
        <v>13.5</v>
      </c>
      <c r="U75">
        <v>50.400000000000006</v>
      </c>
      <c r="V75" s="936"/>
    </row>
    <row r="76" spans="1:22" x14ac:dyDescent="0.25">
      <c r="A76" s="936">
        <v>913072</v>
      </c>
      <c r="B76" s="936">
        <v>8.0500000000000007</v>
      </c>
      <c r="C76" s="26"/>
      <c r="D76" s="940">
        <v>0.32800000000000001</v>
      </c>
      <c r="E76" s="26">
        <v>13.780967741935486</v>
      </c>
      <c r="F76" s="936">
        <v>0</v>
      </c>
      <c r="G76" s="26">
        <v>2.3644444444444446</v>
      </c>
      <c r="H76" s="4"/>
      <c r="I76">
        <v>40.97</v>
      </c>
      <c r="J76" s="897">
        <v>19.351440000000004</v>
      </c>
      <c r="K76" s="4">
        <v>21.994</v>
      </c>
      <c r="L76" s="4">
        <v>11.484</v>
      </c>
      <c r="M76" s="4">
        <v>20.923999999999999</v>
      </c>
      <c r="N76" s="4">
        <v>9.6280000000000001</v>
      </c>
      <c r="O76" s="937">
        <v>5.94</v>
      </c>
      <c r="P76" s="938">
        <v>2.2200000000000002</v>
      </c>
      <c r="Q76" s="938">
        <v>1.43</v>
      </c>
      <c r="R76" s="938">
        <v>7.16</v>
      </c>
      <c r="S76" s="939">
        <v>1.674153</v>
      </c>
      <c r="T76">
        <v>12.9</v>
      </c>
      <c r="U76">
        <v>64.8</v>
      </c>
      <c r="V76" s="936"/>
    </row>
    <row r="77" spans="1:22" x14ac:dyDescent="0.25">
      <c r="A77" s="936">
        <v>913073</v>
      </c>
      <c r="B77" s="936">
        <v>8.1300000000000008</v>
      </c>
      <c r="C77" s="26"/>
      <c r="D77" s="940">
        <v>0.33</v>
      </c>
      <c r="E77" s="26">
        <v>17.317096774193548</v>
      </c>
      <c r="F77" s="936">
        <v>0</v>
      </c>
      <c r="G77" s="26">
        <v>1.96</v>
      </c>
      <c r="H77" s="4"/>
      <c r="I77">
        <v>41.18</v>
      </c>
      <c r="J77" s="897">
        <v>13.39668</v>
      </c>
      <c r="K77" s="4">
        <v>21.086000000000002</v>
      </c>
      <c r="L77" s="4">
        <v>21.253999999999998</v>
      </c>
      <c r="M77" s="4">
        <v>21.411999999999999</v>
      </c>
      <c r="N77" s="4">
        <v>11.202</v>
      </c>
      <c r="O77" s="937">
        <v>5.38</v>
      </c>
      <c r="P77" s="938">
        <v>3.06</v>
      </c>
      <c r="Q77" s="938">
        <v>1.26</v>
      </c>
      <c r="R77" s="938">
        <v>6.58</v>
      </c>
      <c r="S77" s="939">
        <v>1.6631279999999999</v>
      </c>
      <c r="T77">
        <v>12.6</v>
      </c>
      <c r="U77">
        <v>57.599999999999994</v>
      </c>
      <c r="V77" s="936"/>
    </row>
    <row r="78" spans="1:22" x14ac:dyDescent="0.25">
      <c r="A78" s="936">
        <v>913074</v>
      </c>
      <c r="B78" s="936">
        <v>8.5500000000000007</v>
      </c>
      <c r="C78" s="26"/>
      <c r="D78" s="940">
        <v>0.23599999999999999</v>
      </c>
      <c r="E78" s="26">
        <v>4.4212903225806448</v>
      </c>
      <c r="F78" s="936">
        <v>0</v>
      </c>
      <c r="G78" s="26">
        <v>1.641111111111111</v>
      </c>
      <c r="H78" s="4"/>
      <c r="I78">
        <v>55.59</v>
      </c>
      <c r="J78" s="897">
        <v>4.4492399999999996</v>
      </c>
      <c r="K78" s="4">
        <v>3.3840000000000003</v>
      </c>
      <c r="L78" s="4">
        <v>11.98</v>
      </c>
      <c r="M78" s="4">
        <v>22.783999999999999</v>
      </c>
      <c r="N78" s="4">
        <v>8.5980000000000008</v>
      </c>
      <c r="O78" s="937">
        <v>2.37</v>
      </c>
      <c r="P78" s="938">
        <v>1.0900000000000001</v>
      </c>
      <c r="Q78" s="938">
        <v>0.59</v>
      </c>
      <c r="R78" s="938">
        <v>2</v>
      </c>
      <c r="S78" s="939">
        <v>1.1647554374232258</v>
      </c>
      <c r="T78">
        <v>8.1000000000000014</v>
      </c>
      <c r="U78">
        <v>45.599999999999994</v>
      </c>
      <c r="V78" s="936"/>
    </row>
    <row r="79" spans="1:22" x14ac:dyDescent="0.25">
      <c r="A79" s="936">
        <v>913075</v>
      </c>
      <c r="B79" s="936">
        <v>8.3699999999999992</v>
      </c>
      <c r="C79" s="26"/>
      <c r="D79" s="940">
        <v>0.255</v>
      </c>
      <c r="E79" s="26">
        <v>6.8351612903225805</v>
      </c>
      <c r="F79" s="936">
        <v>0</v>
      </c>
      <c r="G79" s="26">
        <v>1.4077777777777778</v>
      </c>
      <c r="H79" s="4"/>
      <c r="I79">
        <v>29.84</v>
      </c>
      <c r="J79" s="897">
        <v>10.09188</v>
      </c>
      <c r="K79" s="4">
        <v>10.773999999999999</v>
      </c>
      <c r="L79" s="4">
        <v>14.862</v>
      </c>
      <c r="M79" s="4">
        <v>19.858000000000001</v>
      </c>
      <c r="N79" s="4">
        <v>8.9760000000000009</v>
      </c>
      <c r="O79" s="937">
        <v>1.38</v>
      </c>
      <c r="P79" s="938">
        <v>0.93</v>
      </c>
      <c r="Q79" s="938">
        <v>0.83</v>
      </c>
      <c r="R79" s="938">
        <v>2.5299999999999998</v>
      </c>
      <c r="S79" s="939">
        <v>1.5214526829881772</v>
      </c>
      <c r="T79">
        <v>10</v>
      </c>
      <c r="U79">
        <v>57.599999999999994</v>
      </c>
      <c r="V79" s="936"/>
    </row>
    <row r="80" spans="1:22" x14ac:dyDescent="0.25">
      <c r="A80" s="936">
        <v>913076</v>
      </c>
      <c r="B80" s="936">
        <v>8.48</v>
      </c>
      <c r="C80" s="26"/>
      <c r="D80" s="940">
        <v>0.13700000000000001</v>
      </c>
      <c r="E80" s="26">
        <v>3.8906451612903226</v>
      </c>
      <c r="F80" s="936">
        <v>0</v>
      </c>
      <c r="G80" s="26">
        <v>1.2911111111111111</v>
      </c>
      <c r="H80" s="4"/>
      <c r="I80">
        <v>12.13</v>
      </c>
      <c r="J80" s="897">
        <v>6.7320000000000011</v>
      </c>
      <c r="K80" s="4">
        <v>3.3380000000000001</v>
      </c>
      <c r="L80" s="4">
        <v>8.4879999999999995</v>
      </c>
      <c r="M80" s="4">
        <v>11.148</v>
      </c>
      <c r="N80" s="4">
        <v>4.944</v>
      </c>
      <c r="O80" s="937">
        <v>1.04</v>
      </c>
      <c r="P80" s="938">
        <v>0.93</v>
      </c>
      <c r="Q80" s="938">
        <v>0.89</v>
      </c>
      <c r="R80" s="938">
        <v>2.59</v>
      </c>
      <c r="S80" s="939">
        <v>0.99007119669089816</v>
      </c>
      <c r="T80">
        <v>7.1999999999999993</v>
      </c>
      <c r="U80">
        <v>45.599999999999994</v>
      </c>
      <c r="V80" s="936"/>
    </row>
    <row r="81" spans="1:21" s="991" customFormat="1" x14ac:dyDescent="0.25">
      <c r="A81" s="991">
        <v>913077</v>
      </c>
      <c r="B81" s="991">
        <v>8.39</v>
      </c>
      <c r="D81" s="991">
        <v>0.34399999999999997</v>
      </c>
      <c r="E81" s="991">
        <v>20.72</v>
      </c>
      <c r="F81" s="991">
        <v>0</v>
      </c>
      <c r="G81" s="991">
        <v>0.35</v>
      </c>
      <c r="H81" s="991">
        <v>51.6</v>
      </c>
      <c r="I81" s="991">
        <v>102</v>
      </c>
      <c r="J81" s="991">
        <v>1.56</v>
      </c>
      <c r="K81" s="991">
        <v>5.8</v>
      </c>
      <c r="L81" s="991">
        <v>17.52</v>
      </c>
      <c r="M81" s="991">
        <v>30.43</v>
      </c>
      <c r="N81" s="991">
        <v>11.88</v>
      </c>
      <c r="O81" s="991">
        <v>3.9</v>
      </c>
      <c r="P81" s="991">
        <v>0.83</v>
      </c>
      <c r="Q81" s="991">
        <v>2.5499999999999998</v>
      </c>
      <c r="R81" s="991">
        <v>3.73</v>
      </c>
      <c r="S81" s="992">
        <v>1.1844403845887883</v>
      </c>
      <c r="T81" s="991">
        <v>8.3000000000000007</v>
      </c>
      <c r="U81" s="991">
        <f>(1.7-0.1)*24</f>
        <v>38.4</v>
      </c>
    </row>
    <row r="82" spans="1:21" s="791" customFormat="1" x14ac:dyDescent="0.25">
      <c r="A82" s="793">
        <v>913078</v>
      </c>
      <c r="B82" s="791">
        <v>8.15</v>
      </c>
      <c r="D82" s="1028">
        <v>0.47</v>
      </c>
      <c r="E82" s="1029">
        <v>6.34</v>
      </c>
      <c r="F82" s="791">
        <v>0</v>
      </c>
      <c r="G82" s="1029">
        <v>0.1</v>
      </c>
      <c r="H82" s="791">
        <f>D82*150</f>
        <v>70.5</v>
      </c>
      <c r="I82" s="1029">
        <v>100.6</v>
      </c>
      <c r="J82" s="841">
        <v>5.63</v>
      </c>
      <c r="K82" s="1030">
        <v>24.5</v>
      </c>
      <c r="L82" s="1030">
        <v>22.15</v>
      </c>
      <c r="M82" s="1030">
        <v>37.119999999999997</v>
      </c>
      <c r="N82" s="1030">
        <v>18.62</v>
      </c>
      <c r="O82" s="645">
        <v>15.28</v>
      </c>
      <c r="P82" s="645">
        <v>2.99</v>
      </c>
      <c r="Q82" s="645">
        <v>2.4300000000000002</v>
      </c>
      <c r="R82" s="645">
        <v>4.97</v>
      </c>
      <c r="S82" s="1031">
        <v>1.8060120000000002</v>
      </c>
      <c r="T82" s="791">
        <v>16.8</v>
      </c>
      <c r="U82" s="791">
        <f>(2.1-0.1)*24</f>
        <v>48</v>
      </c>
    </row>
    <row r="83" spans="1:21" s="1048" customFormat="1" x14ac:dyDescent="0.25">
      <c r="A83" s="1047">
        <v>913079</v>
      </c>
      <c r="B83" s="1048">
        <v>8.16</v>
      </c>
      <c r="D83" s="1049">
        <v>0.17599999999999999</v>
      </c>
      <c r="E83" s="1050">
        <v>1.7489073881373567</v>
      </c>
      <c r="F83" s="1048">
        <v>0</v>
      </c>
      <c r="G83" s="1050">
        <v>9.3333333333333324E-2</v>
      </c>
      <c r="H83" s="1048">
        <f>D83*200</f>
        <v>35.199999999999996</v>
      </c>
      <c r="I83" s="1048">
        <v>14.87</v>
      </c>
      <c r="J83" s="1051">
        <v>4.04</v>
      </c>
      <c r="K83" s="1051">
        <v>9.1300000000000008</v>
      </c>
      <c r="L83" s="1051">
        <v>23.01</v>
      </c>
      <c r="M83" s="1051">
        <v>22.65</v>
      </c>
      <c r="N83" s="1051">
        <v>5.17</v>
      </c>
      <c r="O83" s="1051">
        <v>7.97</v>
      </c>
      <c r="P83" s="1051">
        <v>0.47</v>
      </c>
      <c r="Q83" s="890">
        <v>1.05</v>
      </c>
      <c r="R83" s="890">
        <v>4.1399999999999997</v>
      </c>
      <c r="S83" s="1052">
        <v>0.95213514935034671</v>
      </c>
      <c r="T83" s="1048">
        <v>6.7</v>
      </c>
      <c r="U83" s="1048">
        <v>52.8</v>
      </c>
    </row>
    <row r="84" spans="1:21" s="1048" customFormat="1" x14ac:dyDescent="0.25">
      <c r="A84" s="1047">
        <v>913080</v>
      </c>
      <c r="B84" s="1048">
        <v>8.09</v>
      </c>
      <c r="D84" s="1049">
        <v>0.32200000000000001</v>
      </c>
      <c r="E84" s="1050">
        <v>3.6497606659729454</v>
      </c>
      <c r="F84" s="1048">
        <v>0</v>
      </c>
      <c r="G84" s="1050">
        <v>7.7777777777777779E-2</v>
      </c>
      <c r="H84" s="1048">
        <f>D84*200</f>
        <v>64.400000000000006</v>
      </c>
      <c r="I84" s="1048">
        <v>49.65</v>
      </c>
      <c r="J84" s="1051">
        <v>2.48</v>
      </c>
      <c r="K84" s="1051">
        <v>16.45</v>
      </c>
      <c r="L84" s="1051">
        <v>26.63</v>
      </c>
      <c r="M84" s="1051">
        <v>24.52</v>
      </c>
      <c r="N84" s="1051">
        <v>8.23</v>
      </c>
      <c r="O84" s="1051">
        <v>2.81</v>
      </c>
      <c r="P84" s="890">
        <v>0.39</v>
      </c>
      <c r="Q84" s="890">
        <v>0.9</v>
      </c>
      <c r="R84" s="1051">
        <v>2.19</v>
      </c>
      <c r="S84" s="1052">
        <v>0.83600060361070228</v>
      </c>
      <c r="T84" s="1048">
        <v>5.8</v>
      </c>
      <c r="U84" s="1048">
        <v>33.599999999999994</v>
      </c>
    </row>
    <row r="85" spans="1:21" s="1048" customFormat="1" x14ac:dyDescent="0.25">
      <c r="A85" s="1047">
        <v>913081</v>
      </c>
      <c r="B85" s="1048">
        <v>8.25</v>
      </c>
      <c r="D85" s="1049">
        <v>0.126</v>
      </c>
      <c r="E85" s="1050">
        <v>0.62919875130072833</v>
      </c>
      <c r="F85" s="1048">
        <v>0</v>
      </c>
      <c r="G85" s="1050">
        <v>7.0000000000000007E-2</v>
      </c>
      <c r="H85" s="1048">
        <f>D85*200</f>
        <v>25.2</v>
      </c>
      <c r="I85" s="1048">
        <v>17.68</v>
      </c>
      <c r="J85" s="1051">
        <v>3.28</v>
      </c>
      <c r="K85" s="1051">
        <v>6.06</v>
      </c>
      <c r="L85" s="1051">
        <v>9.81</v>
      </c>
      <c r="M85" s="1051">
        <v>10.71</v>
      </c>
      <c r="N85" s="1051">
        <v>3.6</v>
      </c>
      <c r="O85" s="1051">
        <v>1.99</v>
      </c>
      <c r="P85" s="890">
        <v>0.27</v>
      </c>
      <c r="Q85" s="890">
        <v>0.63</v>
      </c>
      <c r="R85" s="1051">
        <v>1.97</v>
      </c>
      <c r="S85" s="1050">
        <v>1.7239370000000001</v>
      </c>
      <c r="T85" s="1048">
        <v>14.3</v>
      </c>
      <c r="U85" s="1048">
        <v>36</v>
      </c>
    </row>
    <row r="86" spans="1:21" s="1048" customFormat="1" x14ac:dyDescent="0.25">
      <c r="A86" s="1047">
        <v>913082</v>
      </c>
      <c r="B86" s="1048">
        <v>8.09</v>
      </c>
      <c r="D86" s="1048">
        <v>0.60299999999999998</v>
      </c>
      <c r="E86" s="1050">
        <v>2.8084495317377733</v>
      </c>
      <c r="F86" s="1048">
        <v>0</v>
      </c>
      <c r="G86" s="1050">
        <v>0.10111111111111111</v>
      </c>
      <c r="H86" s="1048">
        <f>D86*200</f>
        <v>120.6</v>
      </c>
      <c r="I86" s="1048">
        <v>144.61000000000001</v>
      </c>
      <c r="J86" s="1048">
        <v>5.0199999999999996</v>
      </c>
      <c r="K86" s="1048">
        <v>10.16</v>
      </c>
      <c r="L86" s="1048">
        <v>36.5</v>
      </c>
      <c r="M86" s="1048">
        <v>40.08</v>
      </c>
      <c r="N86" s="1048">
        <v>25.06</v>
      </c>
      <c r="O86" s="1048">
        <v>0.01</v>
      </c>
      <c r="P86" s="1048">
        <v>0.03</v>
      </c>
      <c r="Q86" s="1048">
        <v>2.77</v>
      </c>
      <c r="R86" s="1048">
        <v>0.35</v>
      </c>
      <c r="S86" s="1050">
        <v>1.7501485700000001</v>
      </c>
      <c r="T86" s="1048">
        <v>15.07</v>
      </c>
      <c r="U86" s="1048">
        <f>(1.7-0.1)*24</f>
        <v>38.4</v>
      </c>
    </row>
    <row r="87" spans="1:21" s="969" customFormat="1" x14ac:dyDescent="0.25">
      <c r="A87" s="1084">
        <v>913083</v>
      </c>
      <c r="B87" s="968">
        <v>8.26</v>
      </c>
      <c r="D87" s="991">
        <v>0.51500000000000001</v>
      </c>
      <c r="E87" s="1085">
        <v>10.350967741935484</v>
      </c>
      <c r="F87" s="968">
        <v>0</v>
      </c>
      <c r="G87" s="991">
        <v>0.81</v>
      </c>
      <c r="H87" s="991">
        <v>103</v>
      </c>
      <c r="I87" s="969">
        <v>73.930000000000007</v>
      </c>
      <c r="J87" s="986">
        <v>0.86</v>
      </c>
      <c r="K87" s="986">
        <v>6.26</v>
      </c>
      <c r="L87" s="986">
        <v>60.57</v>
      </c>
      <c r="M87" s="986">
        <v>48.45</v>
      </c>
      <c r="N87" s="986">
        <v>11</v>
      </c>
      <c r="O87" s="986">
        <v>4.3499999999999996</v>
      </c>
      <c r="P87" s="986">
        <v>2.89</v>
      </c>
      <c r="Q87" s="986">
        <v>6.67</v>
      </c>
      <c r="R87" s="986">
        <v>3.6</v>
      </c>
      <c r="S87" s="992">
        <v>0.83284415919903776</v>
      </c>
      <c r="T87" s="991">
        <v>5.57</v>
      </c>
      <c r="U87" s="991">
        <v>67.199999999999989</v>
      </c>
    </row>
    <row r="88" spans="1:21" s="969" customFormat="1" x14ac:dyDescent="0.25">
      <c r="A88" s="1084">
        <v>913084</v>
      </c>
      <c r="B88" s="968">
        <v>8.4600000000000009</v>
      </c>
      <c r="D88" s="991">
        <v>0.18</v>
      </c>
      <c r="E88" s="1085">
        <v>2.5583870967741937</v>
      </c>
      <c r="F88" s="968">
        <v>0</v>
      </c>
      <c r="G88" s="991">
        <v>0.31</v>
      </c>
      <c r="H88" s="991">
        <v>36</v>
      </c>
      <c r="I88" s="969">
        <v>23.46</v>
      </c>
      <c r="J88" s="986">
        <v>0.62</v>
      </c>
      <c r="K88" s="986">
        <v>5.22</v>
      </c>
      <c r="L88" s="986">
        <v>40.35</v>
      </c>
      <c r="M88" s="986">
        <v>18.09</v>
      </c>
      <c r="N88" s="986">
        <v>4.91</v>
      </c>
      <c r="O88" s="986">
        <v>1.26</v>
      </c>
      <c r="P88" s="986">
        <v>0.27</v>
      </c>
      <c r="Q88" s="986">
        <v>6.24</v>
      </c>
      <c r="R88" s="986">
        <v>3.65</v>
      </c>
      <c r="S88" s="992">
        <v>0.78872357464259435</v>
      </c>
      <c r="T88" s="991">
        <v>5.1400000000000006</v>
      </c>
      <c r="U88" s="991">
        <v>74.400000000000006</v>
      </c>
    </row>
    <row r="89" spans="1:21" s="969" customFormat="1" x14ac:dyDescent="0.25">
      <c r="A89" s="1084">
        <v>913085</v>
      </c>
      <c r="B89" s="968">
        <v>7.94</v>
      </c>
      <c r="D89" s="991">
        <v>0.52600000000000002</v>
      </c>
      <c r="E89" s="1085">
        <v>21.44709677419355</v>
      </c>
      <c r="F89" s="968">
        <v>0</v>
      </c>
      <c r="G89" s="991">
        <v>0.64</v>
      </c>
      <c r="H89" s="991">
        <v>105.2</v>
      </c>
      <c r="I89" s="969">
        <v>85.04</v>
      </c>
      <c r="J89" s="986">
        <v>1.7</v>
      </c>
      <c r="K89" s="986">
        <v>18.71</v>
      </c>
      <c r="L89" s="986">
        <v>53.72</v>
      </c>
      <c r="M89" s="986">
        <v>51.4</v>
      </c>
      <c r="N89" s="986">
        <v>13.04</v>
      </c>
      <c r="O89" s="986">
        <v>4.5</v>
      </c>
      <c r="P89" s="986">
        <v>2.0499999999999998</v>
      </c>
      <c r="Q89" s="986">
        <v>7.43</v>
      </c>
      <c r="R89" s="986">
        <v>3.68</v>
      </c>
      <c r="S89" s="992">
        <v>1.1415805549919906</v>
      </c>
      <c r="T89" s="991">
        <v>7.5600000000000005</v>
      </c>
      <c r="U89" s="991">
        <v>76.8</v>
      </c>
    </row>
    <row r="90" spans="1:21" s="969" customFormat="1" x14ac:dyDescent="0.25">
      <c r="A90" s="1084">
        <v>913086</v>
      </c>
      <c r="B90" s="968">
        <v>8</v>
      </c>
      <c r="D90" s="991">
        <v>0.42700000000000005</v>
      </c>
      <c r="E90" s="1085">
        <v>5.758064516129032</v>
      </c>
      <c r="F90" s="968">
        <v>0</v>
      </c>
      <c r="G90" s="991">
        <v>0.31</v>
      </c>
      <c r="H90" s="991">
        <v>85.4</v>
      </c>
      <c r="I90" s="969">
        <v>88.61</v>
      </c>
      <c r="J90" s="986">
        <v>4.0999999999999996</v>
      </c>
      <c r="K90" s="986">
        <v>5.93</v>
      </c>
      <c r="L90" s="986">
        <v>58.5</v>
      </c>
      <c r="M90" s="986">
        <v>38.22</v>
      </c>
      <c r="N90" s="986">
        <v>11</v>
      </c>
      <c r="O90" s="986">
        <v>10.97</v>
      </c>
      <c r="P90" s="986">
        <v>1.94</v>
      </c>
      <c r="Q90" s="986">
        <v>3.18</v>
      </c>
      <c r="R90" s="986">
        <v>6.98</v>
      </c>
      <c r="S90" s="992">
        <v>1.279418867269849</v>
      </c>
      <c r="T90" s="991">
        <v>8.58</v>
      </c>
      <c r="U90" s="991">
        <v>57.599999999999994</v>
      </c>
    </row>
    <row r="91" spans="1:21" s="969" customFormat="1" x14ac:dyDescent="0.25">
      <c r="A91" s="1084">
        <v>913087</v>
      </c>
      <c r="B91" s="968">
        <v>8.34</v>
      </c>
      <c r="D91" s="991">
        <v>0.30199999999999999</v>
      </c>
      <c r="E91" s="1085">
        <v>4.78258064516129</v>
      </c>
      <c r="F91" s="968">
        <v>0</v>
      </c>
      <c r="G91" s="991">
        <v>0.31</v>
      </c>
      <c r="H91" s="991">
        <v>60.4</v>
      </c>
      <c r="I91" s="969">
        <v>26.43</v>
      </c>
      <c r="J91" s="986">
        <v>2.09</v>
      </c>
      <c r="K91" s="986">
        <v>10.130000000000001</v>
      </c>
      <c r="L91" s="986">
        <v>50.5</v>
      </c>
      <c r="M91" s="986">
        <v>26.39</v>
      </c>
      <c r="N91" s="986">
        <v>8</v>
      </c>
      <c r="O91" s="986">
        <v>3.07</v>
      </c>
      <c r="P91" s="986">
        <v>1.3</v>
      </c>
      <c r="Q91" s="986">
        <v>16</v>
      </c>
      <c r="R91" s="986">
        <v>4.96</v>
      </c>
      <c r="S91" s="992">
        <v>0.78788079418916535</v>
      </c>
      <c r="T91" s="991">
        <v>5.83</v>
      </c>
      <c r="U91" s="991">
        <v>93.6</v>
      </c>
    </row>
    <row r="92" spans="1:21" s="969" customFormat="1" x14ac:dyDescent="0.25">
      <c r="A92" s="1084">
        <v>913088</v>
      </c>
      <c r="B92" s="968">
        <v>8.52</v>
      </c>
      <c r="D92" s="991">
        <v>0.376</v>
      </c>
      <c r="E92" s="1085">
        <v>9.8248387096774188</v>
      </c>
      <c r="F92" s="968">
        <v>0</v>
      </c>
      <c r="G92" s="991">
        <v>0.27</v>
      </c>
      <c r="H92" s="991">
        <v>75.2</v>
      </c>
      <c r="I92" s="969">
        <v>65.400000000000006</v>
      </c>
      <c r="J92" s="986">
        <v>2.79</v>
      </c>
      <c r="K92" s="986">
        <v>30.5</v>
      </c>
      <c r="L92" s="986">
        <v>43.68</v>
      </c>
      <c r="M92" s="986">
        <v>31.62</v>
      </c>
      <c r="N92" s="986">
        <v>10.25</v>
      </c>
      <c r="O92" s="986">
        <v>2.38</v>
      </c>
      <c r="P92" s="986">
        <v>0.9</v>
      </c>
      <c r="Q92" s="986">
        <v>4.3</v>
      </c>
      <c r="R92" s="986">
        <v>2.23</v>
      </c>
      <c r="S92" s="992">
        <v>1.0262539788343499</v>
      </c>
      <c r="T92" s="991">
        <v>6.7100000000000009</v>
      </c>
      <c r="U92" s="991">
        <v>103.20000000000002</v>
      </c>
    </row>
    <row r="93" spans="1:21" s="969" customFormat="1" x14ac:dyDescent="0.25">
      <c r="A93" s="1084">
        <v>913089</v>
      </c>
      <c r="B93" s="968">
        <v>8.68</v>
      </c>
      <c r="D93" s="991">
        <v>0.26500000000000001</v>
      </c>
      <c r="E93" s="1085">
        <v>1.747741935483871</v>
      </c>
      <c r="F93" s="968">
        <v>0</v>
      </c>
      <c r="G93" s="991">
        <v>0.3</v>
      </c>
      <c r="H93" s="991">
        <v>53</v>
      </c>
      <c r="I93" s="969">
        <v>32.69</v>
      </c>
      <c r="J93" s="986">
        <v>4.6500000000000004</v>
      </c>
      <c r="K93" s="986">
        <v>3.85</v>
      </c>
      <c r="L93" s="986">
        <v>62.68</v>
      </c>
      <c r="M93" s="986">
        <v>16.05</v>
      </c>
      <c r="N93" s="986">
        <v>8.08</v>
      </c>
      <c r="O93" s="986">
        <v>4.07</v>
      </c>
      <c r="P93" s="986">
        <v>1.96</v>
      </c>
      <c r="Q93" s="986">
        <v>3.07</v>
      </c>
      <c r="R93" s="986">
        <v>3.71</v>
      </c>
      <c r="S93" s="992">
        <v>1.3010202594943163</v>
      </c>
      <c r="T93" s="991">
        <v>8.4699999999999989</v>
      </c>
      <c r="U93" s="991">
        <v>95.999999999999986</v>
      </c>
    </row>
    <row r="94" spans="1:21" s="969" customFormat="1" x14ac:dyDescent="0.25">
      <c r="A94" s="1084">
        <v>913090</v>
      </c>
      <c r="B94" s="968">
        <v>8.35</v>
      </c>
      <c r="D94" s="991">
        <v>0.81699999999999995</v>
      </c>
      <c r="E94" s="1085">
        <v>23.474838709677417</v>
      </c>
      <c r="F94" s="968">
        <v>0</v>
      </c>
      <c r="G94" s="991">
        <v>0.27</v>
      </c>
      <c r="H94" s="991">
        <v>163.39999999999998</v>
      </c>
      <c r="I94" s="969">
        <v>114.36</v>
      </c>
      <c r="J94" s="986">
        <v>5.03</v>
      </c>
      <c r="K94" s="986">
        <v>85.63</v>
      </c>
      <c r="L94" s="986">
        <v>64.19</v>
      </c>
      <c r="M94" s="986">
        <v>41.23</v>
      </c>
      <c r="N94" s="986">
        <v>24.84</v>
      </c>
      <c r="O94" s="986">
        <v>26.76</v>
      </c>
      <c r="P94" s="986">
        <v>1.53</v>
      </c>
      <c r="Q94" s="986">
        <v>4.96</v>
      </c>
      <c r="R94" s="986">
        <v>6.78</v>
      </c>
      <c r="S94" s="992">
        <v>1.76376672</v>
      </c>
      <c r="T94" s="991">
        <v>15.48</v>
      </c>
      <c r="U94" s="991">
        <v>86.4</v>
      </c>
    </row>
    <row r="95" spans="1:21" s="969" customFormat="1" x14ac:dyDescent="0.25">
      <c r="A95" s="1084">
        <v>913091</v>
      </c>
      <c r="B95" s="968">
        <v>8.67</v>
      </c>
      <c r="D95" s="991">
        <v>0.32500000000000001</v>
      </c>
      <c r="E95" s="1085">
        <v>7.4470967741935477</v>
      </c>
      <c r="F95" s="968">
        <v>0</v>
      </c>
      <c r="G95" s="991">
        <v>0.27</v>
      </c>
      <c r="H95" s="991">
        <v>65</v>
      </c>
      <c r="I95" s="969">
        <v>39.119999999999997</v>
      </c>
      <c r="J95" s="986">
        <v>3.39</v>
      </c>
      <c r="K95" s="986">
        <v>2.13</v>
      </c>
      <c r="L95" s="986">
        <v>56.31</v>
      </c>
      <c r="M95" s="986">
        <v>23.37</v>
      </c>
      <c r="N95" s="986">
        <v>11.83</v>
      </c>
      <c r="O95" s="986">
        <v>4.72</v>
      </c>
      <c r="P95" s="986">
        <v>1.39</v>
      </c>
      <c r="Q95" s="986">
        <v>1.74</v>
      </c>
      <c r="R95" s="986">
        <v>4.04</v>
      </c>
      <c r="S95" s="992">
        <v>1.2100956573137953</v>
      </c>
      <c r="T95" s="991">
        <v>8.379999999999999</v>
      </c>
      <c r="U95" s="991">
        <v>74.400000000000006</v>
      </c>
    </row>
    <row r="96" spans="1:21" s="969" customFormat="1" x14ac:dyDescent="0.25">
      <c r="A96" s="1084">
        <v>913092</v>
      </c>
      <c r="B96" s="968">
        <v>8.44</v>
      </c>
      <c r="D96" s="991">
        <v>0.28199999999999997</v>
      </c>
      <c r="E96" s="1085">
        <v>11.371612903225806</v>
      </c>
      <c r="F96" s="968">
        <v>0</v>
      </c>
      <c r="G96" s="991">
        <v>0.26</v>
      </c>
      <c r="H96" s="991">
        <v>56.399999999999991</v>
      </c>
      <c r="I96" s="969">
        <v>27.35</v>
      </c>
      <c r="J96" s="986">
        <v>3.92</v>
      </c>
      <c r="K96" s="986">
        <v>6.66</v>
      </c>
      <c r="L96" s="986">
        <v>45.49</v>
      </c>
      <c r="M96" s="986">
        <v>23.35</v>
      </c>
      <c r="N96" s="986">
        <v>10.220000000000001</v>
      </c>
      <c r="O96" s="986">
        <v>3.07</v>
      </c>
      <c r="P96" s="986">
        <v>0.69</v>
      </c>
      <c r="Q96" s="986">
        <v>1.47</v>
      </c>
      <c r="R96" s="986">
        <v>3.8</v>
      </c>
      <c r="S96" s="992">
        <v>0.79625481700379797</v>
      </c>
      <c r="T96" s="991">
        <v>5.6499999999999995</v>
      </c>
      <c r="U96" s="991">
        <v>72</v>
      </c>
    </row>
    <row r="97" spans="1:23" s="969" customFormat="1" x14ac:dyDescent="0.25">
      <c r="A97" s="1084">
        <v>913093</v>
      </c>
      <c r="B97" s="968">
        <v>8.7200000000000006</v>
      </c>
      <c r="D97" s="991">
        <v>0.24399999999999999</v>
      </c>
      <c r="E97" s="1085">
        <v>8.3435483870967762</v>
      </c>
      <c r="F97" s="968">
        <v>0</v>
      </c>
      <c r="G97" s="991">
        <v>0.33</v>
      </c>
      <c r="H97" s="991">
        <v>48.8</v>
      </c>
      <c r="I97" s="969">
        <v>28.25</v>
      </c>
      <c r="J97" s="986">
        <v>4.0599999999999996</v>
      </c>
      <c r="K97" s="986">
        <v>6.92</v>
      </c>
      <c r="L97" s="986">
        <v>34.04</v>
      </c>
      <c r="M97" s="986">
        <v>27.85</v>
      </c>
      <c r="N97" s="986">
        <v>10.36</v>
      </c>
      <c r="O97" s="986">
        <v>7.13</v>
      </c>
      <c r="P97" s="986">
        <v>3.86</v>
      </c>
      <c r="Q97" s="986">
        <v>2.64</v>
      </c>
      <c r="R97" s="986">
        <v>2.98</v>
      </c>
      <c r="S97" s="992">
        <v>1.1548958005477641</v>
      </c>
      <c r="T97" s="991">
        <v>8.64</v>
      </c>
      <c r="U97" s="991">
        <v>67.199999999999989</v>
      </c>
    </row>
    <row r="98" spans="1:23" s="969" customFormat="1" x14ac:dyDescent="0.25">
      <c r="A98" s="1084">
        <v>913094</v>
      </c>
      <c r="B98" s="968">
        <v>8.61</v>
      </c>
      <c r="D98" s="991">
        <v>0.375</v>
      </c>
      <c r="E98" s="1085">
        <v>13.722258064516131</v>
      </c>
      <c r="F98" s="968">
        <v>0</v>
      </c>
      <c r="G98" s="991">
        <v>0.28000000000000003</v>
      </c>
      <c r="H98" s="991">
        <v>75</v>
      </c>
      <c r="I98" s="969">
        <v>59.84</v>
      </c>
      <c r="J98" s="986">
        <v>1.92</v>
      </c>
      <c r="K98" s="986">
        <v>11.15</v>
      </c>
      <c r="L98" s="986">
        <v>41.67</v>
      </c>
      <c r="M98" s="986">
        <v>34.35</v>
      </c>
      <c r="N98" s="986">
        <v>14.29</v>
      </c>
      <c r="O98" s="986">
        <v>6.94</v>
      </c>
      <c r="P98" s="986">
        <v>3.59</v>
      </c>
      <c r="Q98" s="986">
        <v>2.65</v>
      </c>
      <c r="R98" s="986">
        <v>2.87</v>
      </c>
      <c r="S98" s="992">
        <v>1.5891877700000001</v>
      </c>
      <c r="T98" s="991">
        <v>10.67</v>
      </c>
      <c r="U98" s="991">
        <v>60</v>
      </c>
    </row>
    <row r="99" spans="1:23" s="969" customFormat="1" x14ac:dyDescent="0.25">
      <c r="A99" s="1084">
        <v>913095</v>
      </c>
      <c r="B99" s="968">
        <v>8.39</v>
      </c>
      <c r="D99" s="991">
        <v>0.26900000000000002</v>
      </c>
      <c r="E99" s="1085">
        <v>10.913225806451614</v>
      </c>
      <c r="F99" s="968">
        <v>0</v>
      </c>
      <c r="G99" s="991">
        <v>0.28000000000000003</v>
      </c>
      <c r="H99" s="991">
        <v>53.800000000000004</v>
      </c>
      <c r="I99" s="969">
        <v>38.72</v>
      </c>
      <c r="J99" s="986">
        <v>4.58</v>
      </c>
      <c r="K99" s="986">
        <v>14.87</v>
      </c>
      <c r="L99" s="986">
        <v>42.16</v>
      </c>
      <c r="M99" s="986">
        <v>20.79</v>
      </c>
      <c r="N99" s="986">
        <v>8.1300000000000008</v>
      </c>
      <c r="O99" s="986">
        <v>2.7</v>
      </c>
      <c r="P99" s="986">
        <v>1.49</v>
      </c>
      <c r="Q99" s="986">
        <v>1.48</v>
      </c>
      <c r="R99" s="986">
        <v>2.44</v>
      </c>
      <c r="S99" s="992">
        <v>0.66854811930465774</v>
      </c>
      <c r="T99" s="991">
        <v>4.5</v>
      </c>
      <c r="U99" s="991">
        <v>45.599999999999994</v>
      </c>
    </row>
    <row r="100" spans="1:23" s="969" customFormat="1" x14ac:dyDescent="0.25">
      <c r="A100" s="1084">
        <v>913096</v>
      </c>
      <c r="B100" s="968">
        <v>8.32</v>
      </c>
      <c r="D100" s="991">
        <v>0.378</v>
      </c>
      <c r="E100" s="1085">
        <v>15.503870967741936</v>
      </c>
      <c r="F100" s="968">
        <v>0</v>
      </c>
      <c r="G100" s="991">
        <v>0.28000000000000003</v>
      </c>
      <c r="H100" s="991">
        <v>75.599999999999994</v>
      </c>
      <c r="I100" s="969">
        <v>66.05</v>
      </c>
      <c r="J100" s="986">
        <v>5.42</v>
      </c>
      <c r="K100" s="986">
        <v>20.41</v>
      </c>
      <c r="L100" s="986">
        <v>48.47</v>
      </c>
      <c r="M100" s="986">
        <v>30.57</v>
      </c>
      <c r="N100" s="986">
        <v>11.78</v>
      </c>
      <c r="O100" s="986">
        <v>6.57</v>
      </c>
      <c r="P100" s="986">
        <v>1.44</v>
      </c>
      <c r="Q100" s="986">
        <v>1.55</v>
      </c>
      <c r="R100" s="986">
        <v>4.96</v>
      </c>
      <c r="S100" s="992">
        <v>1.4394700759436909</v>
      </c>
      <c r="T100" s="991">
        <v>9.43</v>
      </c>
      <c r="U100" s="991">
        <v>57.599999999999994</v>
      </c>
    </row>
    <row r="101" spans="1:23" s="969" customFormat="1" x14ac:dyDescent="0.25">
      <c r="A101" s="1084">
        <v>913097</v>
      </c>
      <c r="B101" s="968">
        <v>8.24</v>
      </c>
      <c r="D101" s="991">
        <v>0.28199999999999997</v>
      </c>
      <c r="E101" s="1085">
        <v>8.871935483870967</v>
      </c>
      <c r="F101" s="968">
        <v>0</v>
      </c>
      <c r="G101" s="991">
        <v>0.31</v>
      </c>
      <c r="H101" s="991">
        <v>56.399999999999991</v>
      </c>
      <c r="I101" s="969">
        <v>62.04</v>
      </c>
      <c r="J101" s="986">
        <v>2.4</v>
      </c>
      <c r="K101" s="986">
        <v>5.46</v>
      </c>
      <c r="L101" s="986">
        <v>38.04</v>
      </c>
      <c r="M101" s="986">
        <v>29.55</v>
      </c>
      <c r="N101" s="986">
        <v>10.67</v>
      </c>
      <c r="O101" s="986">
        <v>4.18</v>
      </c>
      <c r="P101" s="986">
        <v>5.6</v>
      </c>
      <c r="Q101" s="986">
        <v>1.71</v>
      </c>
      <c r="R101" s="986">
        <v>2.15</v>
      </c>
      <c r="S101" s="992">
        <v>0.73307988849455175</v>
      </c>
      <c r="T101" s="991">
        <v>5.17</v>
      </c>
      <c r="U101" s="991">
        <v>62.400000000000006</v>
      </c>
    </row>
    <row r="102" spans="1:23" s="25" customFormat="1" x14ac:dyDescent="0.25">
      <c r="A102" s="1316">
        <v>913098</v>
      </c>
      <c r="B102" s="1131">
        <v>8.1199999999999992</v>
      </c>
      <c r="C102" s="1131"/>
      <c r="D102" s="1129">
        <v>0.33700000000000002</v>
      </c>
      <c r="E102" s="1130">
        <v>16.824838709677401</v>
      </c>
      <c r="F102" s="1131">
        <v>0</v>
      </c>
      <c r="G102" s="1131">
        <v>0.05</v>
      </c>
      <c r="H102" s="1130">
        <v>28.064</v>
      </c>
      <c r="I102" s="1317">
        <v>37.47</v>
      </c>
      <c r="J102" s="1132">
        <v>1.78</v>
      </c>
      <c r="K102" s="1132">
        <v>5.86</v>
      </c>
      <c r="L102" s="1132">
        <v>17.54</v>
      </c>
      <c r="M102" s="1132">
        <v>26.63</v>
      </c>
      <c r="N102" s="1132">
        <v>11.53</v>
      </c>
      <c r="O102" s="1132">
        <v>2.8</v>
      </c>
      <c r="P102" s="1132">
        <v>1.48</v>
      </c>
      <c r="Q102" s="1132">
        <v>2.44</v>
      </c>
      <c r="R102" s="1132">
        <v>2.67</v>
      </c>
      <c r="S102" s="1130">
        <v>0.78608001629731283</v>
      </c>
      <c r="T102" s="1129">
        <v>5.57</v>
      </c>
      <c r="U102" s="1131">
        <v>101.23</v>
      </c>
    </row>
    <row r="103" spans="1:23" s="25" customFormat="1" x14ac:dyDescent="0.25">
      <c r="A103" s="1316">
        <v>913099</v>
      </c>
      <c r="B103" s="1131">
        <v>8.1</v>
      </c>
      <c r="C103" s="1131"/>
      <c r="D103" s="1129">
        <v>0.26300000000000001</v>
      </c>
      <c r="E103" s="1130">
        <v>13.93225806451613</v>
      </c>
      <c r="F103" s="1131">
        <v>0</v>
      </c>
      <c r="G103" s="1131">
        <v>0.04</v>
      </c>
      <c r="H103" s="1130">
        <v>30.207999999999998</v>
      </c>
      <c r="I103" s="1317">
        <v>26.68</v>
      </c>
      <c r="J103" s="1132">
        <v>1.97</v>
      </c>
      <c r="K103" s="1132">
        <v>8.2100000000000009</v>
      </c>
      <c r="L103" s="1132">
        <v>18.88</v>
      </c>
      <c r="M103" s="1132">
        <v>22.76</v>
      </c>
      <c r="N103" s="1132">
        <v>5.45</v>
      </c>
      <c r="O103" s="1132">
        <v>4.62</v>
      </c>
      <c r="P103" s="1132">
        <v>2.2000000000000002</v>
      </c>
      <c r="Q103" s="1132">
        <v>2.2000000000000002</v>
      </c>
      <c r="R103" s="1132">
        <v>3.91</v>
      </c>
      <c r="S103" s="1130">
        <v>1.3377369506034731</v>
      </c>
      <c r="T103" s="1129">
        <v>9.48</v>
      </c>
      <c r="U103" s="1131">
        <v>89.2</v>
      </c>
    </row>
    <row r="104" spans="1:23" s="25" customFormat="1" x14ac:dyDescent="0.25">
      <c r="A104" s="1174">
        <v>913100</v>
      </c>
      <c r="B104" s="1171">
        <v>8.1199999999999992</v>
      </c>
      <c r="C104" s="1171"/>
      <c r="D104" s="1172">
        <v>0.17699999999999999</v>
      </c>
      <c r="E104" s="1175">
        <v>6.02</v>
      </c>
      <c r="F104" s="1171">
        <v>0</v>
      </c>
      <c r="G104" s="1172">
        <v>0.1</v>
      </c>
      <c r="H104" s="1171">
        <f>D104*200</f>
        <v>35.4</v>
      </c>
      <c r="I104" s="1171">
        <v>20.56</v>
      </c>
      <c r="J104" s="1173">
        <v>6.34</v>
      </c>
      <c r="K104" s="1173">
        <v>6.96</v>
      </c>
      <c r="L104" s="1173">
        <v>8.6999999999999993</v>
      </c>
      <c r="M104" s="1173">
        <v>13.35</v>
      </c>
      <c r="N104" s="1173">
        <v>5.28</v>
      </c>
      <c r="O104" s="1173">
        <v>3.5</v>
      </c>
      <c r="P104" s="1173">
        <v>1.34</v>
      </c>
      <c r="Q104" s="1173">
        <v>1.9</v>
      </c>
      <c r="R104" s="1173">
        <v>2.4300000000000002</v>
      </c>
      <c r="S104" s="1175">
        <v>0.48982514633795515</v>
      </c>
      <c r="T104" s="1172">
        <v>3.22</v>
      </c>
      <c r="U104" s="1171">
        <v>48</v>
      </c>
    </row>
    <row r="105" spans="1:23" s="897" customFormat="1" x14ac:dyDescent="0.25">
      <c r="A105" s="771">
        <v>913101</v>
      </c>
      <c r="B105" s="775">
        <v>8.52</v>
      </c>
      <c r="C105" s="1304"/>
      <c r="D105" s="1304">
        <v>0.33700000000000002</v>
      </c>
      <c r="E105" s="1304">
        <v>7.2777419354838706</v>
      </c>
      <c r="F105" s="1306">
        <v>0</v>
      </c>
      <c r="G105" s="1304">
        <v>0.04</v>
      </c>
      <c r="H105" s="1304">
        <f>D105*200</f>
        <v>67.400000000000006</v>
      </c>
      <c r="I105" s="1304">
        <v>14.15</v>
      </c>
      <c r="J105" s="1304">
        <v>0.32</v>
      </c>
      <c r="K105" s="1304">
        <v>1.47</v>
      </c>
      <c r="L105" s="1304">
        <v>51.14</v>
      </c>
      <c r="M105" s="1304">
        <v>15.34</v>
      </c>
      <c r="N105" s="1304">
        <v>2.78</v>
      </c>
      <c r="O105" s="1304">
        <v>0.28000000000000003</v>
      </c>
      <c r="P105" s="1304">
        <v>0.16</v>
      </c>
      <c r="Q105" s="1304">
        <v>7.96</v>
      </c>
      <c r="R105" s="1304">
        <v>3.94</v>
      </c>
      <c r="S105" s="1304">
        <v>1.2626410666505852</v>
      </c>
      <c r="T105" s="1304">
        <v>9.1</v>
      </c>
      <c r="U105" s="1304">
        <f>(2.6-0.1)*24</f>
        <v>60</v>
      </c>
    </row>
    <row r="106" spans="1:23" s="1315" customFormat="1" x14ac:dyDescent="0.25">
      <c r="A106" s="793">
        <v>213000</v>
      </c>
      <c r="B106" s="791">
        <v>7.6</v>
      </c>
      <c r="C106" s="791"/>
      <c r="D106" s="791">
        <v>1.08</v>
      </c>
      <c r="E106" s="1030">
        <v>23.224193548387095</v>
      </c>
      <c r="F106" s="791">
        <v>0</v>
      </c>
      <c r="G106" s="791">
        <v>0.65</v>
      </c>
      <c r="H106" s="791">
        <v>246</v>
      </c>
      <c r="I106" s="791">
        <v>51.17</v>
      </c>
      <c r="J106" s="791">
        <v>1.1100000000000001</v>
      </c>
      <c r="K106" s="791">
        <v>11.34</v>
      </c>
      <c r="L106" s="791">
        <v>105.65</v>
      </c>
      <c r="M106" s="791">
        <v>70.69</v>
      </c>
      <c r="N106" s="791">
        <v>24.36</v>
      </c>
      <c r="O106" s="1273">
        <v>5.99</v>
      </c>
      <c r="P106" s="1273">
        <v>1.1200000000000001</v>
      </c>
      <c r="Q106" s="1273">
        <v>14.7</v>
      </c>
      <c r="R106" s="1273">
        <v>7.69</v>
      </c>
      <c r="S106" s="841">
        <v>0.16269875894072305</v>
      </c>
      <c r="T106" s="791">
        <v>1.08</v>
      </c>
      <c r="U106" s="791">
        <v>45.599999999999994</v>
      </c>
    </row>
    <row r="107" spans="1:23" s="1315" customFormat="1" x14ac:dyDescent="0.25">
      <c r="A107" s="793">
        <v>213001</v>
      </c>
      <c r="B107" s="791">
        <v>7.9</v>
      </c>
      <c r="C107" s="791"/>
      <c r="D107" s="791">
        <v>1.0169999999999999</v>
      </c>
      <c r="E107" s="1030">
        <v>22.998387096774191</v>
      </c>
      <c r="F107" s="791">
        <v>0</v>
      </c>
      <c r="G107" s="791">
        <v>0.45</v>
      </c>
      <c r="H107" s="791">
        <v>266</v>
      </c>
      <c r="I107" s="791">
        <v>34.31</v>
      </c>
      <c r="J107" s="791">
        <v>0.39</v>
      </c>
      <c r="K107" s="791">
        <v>2.23</v>
      </c>
      <c r="L107" s="791">
        <v>139.43</v>
      </c>
      <c r="M107" s="791">
        <v>42.44</v>
      </c>
      <c r="N107" s="791">
        <v>15.75</v>
      </c>
      <c r="O107" s="1273">
        <v>1.39</v>
      </c>
      <c r="P107" s="1273">
        <v>0.62</v>
      </c>
      <c r="Q107" s="1273">
        <v>5.45</v>
      </c>
      <c r="R107" s="1273">
        <v>9.07</v>
      </c>
      <c r="S107" s="841">
        <v>0.1378944634197129</v>
      </c>
      <c r="T107" s="791">
        <v>0.93</v>
      </c>
      <c r="U107" s="791">
        <v>43.199999999999996</v>
      </c>
    </row>
    <row r="108" spans="1:23" s="1315" customFormat="1" x14ac:dyDescent="0.25">
      <c r="A108" s="793">
        <v>213002</v>
      </c>
      <c r="B108" s="791">
        <v>7.8</v>
      </c>
      <c r="C108" s="791"/>
      <c r="D108" s="791">
        <v>1.96</v>
      </c>
      <c r="E108" s="1030">
        <v>23.111290322580643</v>
      </c>
      <c r="F108" s="791">
        <v>0</v>
      </c>
      <c r="G108" s="791">
        <v>0.81</v>
      </c>
      <c r="H108" s="791">
        <v>544</v>
      </c>
      <c r="I108" s="791">
        <v>133.77000000000001</v>
      </c>
      <c r="J108" s="791">
        <v>1.67</v>
      </c>
      <c r="K108" s="791">
        <v>18.100000000000001</v>
      </c>
      <c r="L108" s="791">
        <v>169.73</v>
      </c>
      <c r="M108" s="791">
        <v>151.01</v>
      </c>
      <c r="N108" s="791">
        <v>62.19</v>
      </c>
      <c r="O108" s="1273">
        <v>4.3</v>
      </c>
      <c r="P108" s="1273">
        <v>1.1200000000000001</v>
      </c>
      <c r="Q108" s="1273">
        <v>11.9</v>
      </c>
      <c r="R108" s="1273">
        <v>8.17</v>
      </c>
      <c r="S108" s="841">
        <v>0.16691723646449805</v>
      </c>
      <c r="T108" s="791">
        <v>1.22</v>
      </c>
      <c r="U108" s="791">
        <v>60.6</v>
      </c>
    </row>
    <row r="109" spans="1:23" s="1315" customFormat="1" x14ac:dyDescent="0.25">
      <c r="A109" s="1332">
        <v>213003</v>
      </c>
      <c r="B109" s="569">
        <v>8.1</v>
      </c>
      <c r="C109" s="569"/>
      <c r="D109" s="569">
        <v>0.216</v>
      </c>
      <c r="E109" s="569">
        <v>3.71</v>
      </c>
      <c r="F109" s="569">
        <v>0</v>
      </c>
      <c r="G109" s="569">
        <v>0.25</v>
      </c>
      <c r="H109" s="569">
        <v>43.2</v>
      </c>
      <c r="I109" s="569">
        <v>16.37</v>
      </c>
      <c r="J109" s="569">
        <v>0.62</v>
      </c>
      <c r="K109" s="1034">
        <v>5.41</v>
      </c>
      <c r="L109" s="569">
        <v>8.1199999999999992</v>
      </c>
      <c r="M109" s="1034">
        <v>31.74</v>
      </c>
      <c r="N109" s="1034">
        <v>4.2699999999999996</v>
      </c>
      <c r="O109" s="1034">
        <v>1.42</v>
      </c>
      <c r="P109" s="1034">
        <v>0.31</v>
      </c>
      <c r="Q109" s="1034">
        <v>4.24</v>
      </c>
      <c r="R109" s="1034">
        <v>4.38</v>
      </c>
      <c r="S109" s="1333">
        <v>1.5927516800000001</v>
      </c>
      <c r="T109" s="570">
        <v>10.760000000000002</v>
      </c>
      <c r="U109" s="569">
        <v>93.6</v>
      </c>
    </row>
    <row r="110" spans="1:23" ht="18.75" x14ac:dyDescent="0.3">
      <c r="A110" s="1337">
        <v>213004</v>
      </c>
      <c r="B110" s="968">
        <v>8.3800000000000008</v>
      </c>
      <c r="C110" s="968"/>
      <c r="D110" s="968">
        <v>0.19700000000000001</v>
      </c>
      <c r="E110" s="1338">
        <v>2.2599999999999998</v>
      </c>
      <c r="F110" s="968">
        <v>0</v>
      </c>
      <c r="G110" s="968">
        <v>0.05</v>
      </c>
      <c r="H110" s="968">
        <v>39.4</v>
      </c>
      <c r="I110" s="968">
        <v>25.31</v>
      </c>
      <c r="J110" s="968">
        <v>0.9</v>
      </c>
      <c r="K110" s="968">
        <v>9.65</v>
      </c>
      <c r="L110" s="968">
        <v>26.4</v>
      </c>
      <c r="M110" s="968">
        <v>9.2799999999999994</v>
      </c>
      <c r="N110" s="968">
        <v>6.04</v>
      </c>
      <c r="O110" s="986">
        <v>0.48</v>
      </c>
      <c r="P110" s="986">
        <v>0.27</v>
      </c>
      <c r="Q110" s="968">
        <v>1.89</v>
      </c>
      <c r="R110" s="986">
        <v>1.66</v>
      </c>
      <c r="S110" s="757">
        <v>0.75372782443125663</v>
      </c>
      <c r="T110" s="756">
        <v>5.03</v>
      </c>
      <c r="U110" s="968">
        <v>40.229999999999997</v>
      </c>
    </row>
    <row r="111" spans="1:23" s="340" customFormat="1" x14ac:dyDescent="0.25">
      <c r="A111" s="1374">
        <v>213005</v>
      </c>
      <c r="B111" s="1114">
        <v>8.23</v>
      </c>
      <c r="C111" s="1114"/>
      <c r="D111" s="1114">
        <v>0.61199999999999999</v>
      </c>
      <c r="E111" s="1375">
        <v>14.76</v>
      </c>
      <c r="F111" s="1114">
        <v>0</v>
      </c>
      <c r="G111" s="1114">
        <v>0.06</v>
      </c>
      <c r="H111" s="1114">
        <v>122.4</v>
      </c>
      <c r="I111" s="1114">
        <v>33.369999999999997</v>
      </c>
      <c r="J111" s="1114">
        <v>4.2699999999999996</v>
      </c>
      <c r="K111" s="1114">
        <v>8.24</v>
      </c>
      <c r="L111" s="1114">
        <v>69.44</v>
      </c>
      <c r="M111" s="1114">
        <v>27.83</v>
      </c>
      <c r="N111" s="1114">
        <v>10.01</v>
      </c>
      <c r="O111" s="1008">
        <v>11.89</v>
      </c>
      <c r="P111" s="1008">
        <v>19.62</v>
      </c>
      <c r="Q111" s="1114">
        <v>4.01</v>
      </c>
      <c r="R111" s="1008">
        <v>19.62</v>
      </c>
      <c r="S111" s="1375">
        <v>1.76</v>
      </c>
      <c r="T111" s="1114">
        <v>15.57</v>
      </c>
      <c r="U111" s="1114">
        <v>36.299999999999997</v>
      </c>
    </row>
    <row r="112" spans="1:23" s="1376" customFormat="1" x14ac:dyDescent="0.25">
      <c r="A112" s="1384">
        <v>213006</v>
      </c>
      <c r="B112" s="1382">
        <v>8.6999999999999993</v>
      </c>
      <c r="C112" s="1382"/>
      <c r="D112" s="1382">
        <v>0.28599999999999998</v>
      </c>
      <c r="E112" s="1385">
        <v>8.693548387096774</v>
      </c>
      <c r="F112" s="1382">
        <v>1E-3</v>
      </c>
      <c r="G112" s="1382">
        <v>0.14000000000000001</v>
      </c>
      <c r="H112" s="1382">
        <v>57.199999999999996</v>
      </c>
      <c r="I112" s="1386">
        <v>13.375132006125574</v>
      </c>
      <c r="J112" s="1383">
        <v>3.09</v>
      </c>
      <c r="K112" s="1383">
        <v>3.85</v>
      </c>
      <c r="L112" s="1383">
        <v>12.68</v>
      </c>
      <c r="M112" s="1383">
        <v>16.05</v>
      </c>
      <c r="N112" s="1383">
        <v>8.08</v>
      </c>
      <c r="O112" s="1382">
        <v>2.63</v>
      </c>
      <c r="P112" s="1382">
        <v>0.44</v>
      </c>
      <c r="Q112" s="1382">
        <v>3.54</v>
      </c>
      <c r="R112" s="1382">
        <v>2.67</v>
      </c>
      <c r="S112" s="1385">
        <v>0.79794208591025373</v>
      </c>
      <c r="T112" s="1382">
        <v>5.4</v>
      </c>
      <c r="U112" s="1382">
        <v>72</v>
      </c>
      <c r="V112" s="1382"/>
      <c r="W112" s="1387">
        <v>0.19</v>
      </c>
    </row>
    <row r="113" spans="1:23" s="1376" customFormat="1" x14ac:dyDescent="0.25">
      <c r="A113" s="1384">
        <v>213007</v>
      </c>
      <c r="B113" s="1382">
        <v>8.3000000000000007</v>
      </c>
      <c r="C113" s="1382"/>
      <c r="D113" s="1382">
        <v>0.23699999999999999</v>
      </c>
      <c r="E113" s="1385">
        <v>11.836774193548386</v>
      </c>
      <c r="F113" s="1382">
        <v>1E-3</v>
      </c>
      <c r="G113" s="1382">
        <v>0.13</v>
      </c>
      <c r="H113" s="1382">
        <v>47.4</v>
      </c>
      <c r="I113" s="1386">
        <v>8.0820364471669244</v>
      </c>
      <c r="J113" s="1383">
        <v>3.79</v>
      </c>
      <c r="K113" s="1383">
        <v>7.07</v>
      </c>
      <c r="L113" s="1383">
        <v>16.87</v>
      </c>
      <c r="M113" s="1383">
        <v>20.55</v>
      </c>
      <c r="N113" s="1383">
        <v>7.77</v>
      </c>
      <c r="O113" s="1382">
        <v>3.42</v>
      </c>
      <c r="P113" s="1382">
        <v>0.59</v>
      </c>
      <c r="Q113" s="1382">
        <v>3.23</v>
      </c>
      <c r="R113" s="1382">
        <v>3.24</v>
      </c>
      <c r="S113" s="1385">
        <v>0.87231212552466031</v>
      </c>
      <c r="T113" s="1382">
        <v>5.84</v>
      </c>
      <c r="U113" s="1382">
        <v>57.599999999999994</v>
      </c>
      <c r="V113" s="1382"/>
      <c r="W113" s="1387">
        <v>0.21</v>
      </c>
    </row>
    <row r="114" spans="1:23" s="1376" customFormat="1" x14ac:dyDescent="0.25">
      <c r="A114" s="1384">
        <v>213008</v>
      </c>
      <c r="B114" s="1382">
        <v>8.67</v>
      </c>
      <c r="C114" s="1382"/>
      <c r="D114" s="1382">
        <v>0.19800000000000001</v>
      </c>
      <c r="E114" s="1385">
        <v>3.6219354838709679</v>
      </c>
      <c r="F114" s="1382">
        <v>1E-3</v>
      </c>
      <c r="G114" s="1382">
        <v>0.17</v>
      </c>
      <c r="H114" s="1382">
        <v>39.6</v>
      </c>
      <c r="I114" s="1386">
        <v>8.7301705972434931</v>
      </c>
      <c r="J114" s="1383">
        <v>4.6500000000000004</v>
      </c>
      <c r="K114" s="1383">
        <v>5.34</v>
      </c>
      <c r="L114" s="1383">
        <v>12.84</v>
      </c>
      <c r="M114" s="1383">
        <v>14.34</v>
      </c>
      <c r="N114" s="1383">
        <v>4.0599999999999996</v>
      </c>
      <c r="O114" s="1382">
        <v>5.36</v>
      </c>
      <c r="P114" s="1383">
        <v>0.52</v>
      </c>
      <c r="Q114" s="1383">
        <v>2.5499999999999998</v>
      </c>
      <c r="R114" s="1383">
        <v>3.92</v>
      </c>
      <c r="S114" s="1385">
        <v>0.7293002303760433</v>
      </c>
      <c r="T114" s="1382">
        <v>4.96</v>
      </c>
      <c r="U114" s="1382">
        <v>81.599999999999994</v>
      </c>
      <c r="V114" s="1382"/>
      <c r="W114" s="1387">
        <v>0.26</v>
      </c>
    </row>
    <row r="115" spans="1:23" s="1376" customFormat="1" x14ac:dyDescent="0.25">
      <c r="A115" s="1384">
        <v>213009</v>
      </c>
      <c r="B115" s="1382">
        <v>8.3000000000000007</v>
      </c>
      <c r="C115" s="1382"/>
      <c r="D115" s="1382">
        <v>0.30499999999999999</v>
      </c>
      <c r="E115" s="1385">
        <v>11.351290322580647</v>
      </c>
      <c r="F115" s="1382">
        <v>1E-3</v>
      </c>
      <c r="G115" s="1382">
        <v>0.22</v>
      </c>
      <c r="H115" s="1382">
        <v>61</v>
      </c>
      <c r="I115" s="1386">
        <v>11.509291271056663</v>
      </c>
      <c r="J115" s="1383">
        <v>5.03</v>
      </c>
      <c r="K115" s="1383">
        <v>6.66</v>
      </c>
      <c r="L115" s="1383">
        <v>45.49</v>
      </c>
      <c r="M115" s="1383">
        <v>23.35</v>
      </c>
      <c r="N115" s="1383">
        <v>10.220000000000001</v>
      </c>
      <c r="O115" s="1382">
        <v>7.44</v>
      </c>
      <c r="P115" s="1383">
        <v>0.38</v>
      </c>
      <c r="Q115" s="1383">
        <v>4.8099999999999996</v>
      </c>
      <c r="R115" s="1383">
        <v>5.33</v>
      </c>
      <c r="S115" s="1385">
        <v>1.1974800387181914</v>
      </c>
      <c r="T115" s="1382">
        <v>7.82</v>
      </c>
      <c r="U115" s="1382">
        <v>60</v>
      </c>
      <c r="V115" s="1382"/>
      <c r="W115" s="1387">
        <v>0.22</v>
      </c>
    </row>
    <row r="116" spans="1:23" s="1376" customFormat="1" x14ac:dyDescent="0.25">
      <c r="A116" s="1384">
        <v>213010</v>
      </c>
      <c r="B116" s="1382">
        <v>8.4</v>
      </c>
      <c r="C116" s="1382"/>
      <c r="D116" s="1382">
        <v>0.39300000000000002</v>
      </c>
      <c r="E116" s="1385">
        <v>6.5596774193548386</v>
      </c>
      <c r="F116" s="1382">
        <v>1E-3</v>
      </c>
      <c r="G116" s="1382">
        <v>0.14000000000000001</v>
      </c>
      <c r="H116" s="1382">
        <v>78.600000000000009</v>
      </c>
      <c r="I116" s="1386">
        <v>93.77322725880552</v>
      </c>
      <c r="J116" s="1383">
        <v>3.39</v>
      </c>
      <c r="K116" s="1388">
        <v>5.86</v>
      </c>
      <c r="L116" s="1388">
        <v>17.54</v>
      </c>
      <c r="M116" s="1388">
        <v>26.63</v>
      </c>
      <c r="N116" s="1388">
        <v>11.53</v>
      </c>
      <c r="O116" s="1382">
        <v>7.04</v>
      </c>
      <c r="P116" s="1383">
        <v>0.55000000000000004</v>
      </c>
      <c r="Q116" s="1383">
        <v>2.2999999999999998</v>
      </c>
      <c r="R116" s="1383">
        <v>3.77</v>
      </c>
      <c r="S116" s="1385">
        <v>1.0695463176600655</v>
      </c>
      <c r="T116" s="1382">
        <v>7.99</v>
      </c>
      <c r="U116" s="1382">
        <v>40.799999999999997</v>
      </c>
      <c r="V116" s="1382"/>
      <c r="W116" s="1387">
        <v>0.28000000000000003</v>
      </c>
    </row>
    <row r="117" spans="1:23" s="1376" customFormat="1" x14ac:dyDescent="0.25">
      <c r="A117" s="1384">
        <v>213011</v>
      </c>
      <c r="B117" s="1382">
        <v>8</v>
      </c>
      <c r="C117" s="1382"/>
      <c r="D117" s="1382">
        <v>1.1200000000000001</v>
      </c>
      <c r="E117" s="1385">
        <v>20.821612903225805</v>
      </c>
      <c r="F117" s="1382">
        <v>1E-3</v>
      </c>
      <c r="G117" s="1382">
        <v>0.15</v>
      </c>
      <c r="H117" s="1382">
        <v>224.00000000000003</v>
      </c>
      <c r="I117" s="1386">
        <v>141.60749157733537</v>
      </c>
      <c r="J117" s="1383">
        <v>4.92</v>
      </c>
      <c r="K117" s="1382">
        <v>11.34</v>
      </c>
      <c r="L117" s="1382">
        <v>105.65</v>
      </c>
      <c r="M117" s="1382">
        <v>70.69</v>
      </c>
      <c r="N117" s="1382">
        <v>24.36</v>
      </c>
      <c r="O117" s="1382">
        <v>5.94</v>
      </c>
      <c r="P117" s="1383">
        <v>0.82</v>
      </c>
      <c r="Q117" s="1383">
        <v>1.43</v>
      </c>
      <c r="R117" s="1383">
        <v>7.16</v>
      </c>
      <c r="S117" s="1385">
        <v>0.99548670397857064</v>
      </c>
      <c r="T117" s="1382">
        <v>6.96</v>
      </c>
      <c r="U117" s="1382">
        <v>38.4</v>
      </c>
      <c r="V117" s="1382"/>
      <c r="W117" s="1387">
        <v>0.22</v>
      </c>
    </row>
    <row r="118" spans="1:23" s="1376" customFormat="1" x14ac:dyDescent="0.25">
      <c r="A118" s="1384">
        <v>213012</v>
      </c>
      <c r="B118" s="1382">
        <v>8.5</v>
      </c>
      <c r="C118" s="1382"/>
      <c r="D118" s="1382">
        <v>0.2</v>
      </c>
      <c r="E118" s="1385">
        <v>6.7380645161290325</v>
      </c>
      <c r="F118" s="1382">
        <v>1E-3</v>
      </c>
      <c r="G118" s="1382">
        <v>0.18</v>
      </c>
      <c r="H118" s="1382">
        <v>40</v>
      </c>
      <c r="I118" s="1386">
        <v>10.694213476263402</v>
      </c>
      <c r="J118" s="1383">
        <v>3.06</v>
      </c>
      <c r="K118" s="1388">
        <v>8.2100000000000009</v>
      </c>
      <c r="L118" s="1388">
        <v>18.88</v>
      </c>
      <c r="M118" s="1388">
        <v>22.76</v>
      </c>
      <c r="N118" s="1388">
        <v>5.45</v>
      </c>
      <c r="O118" s="1382">
        <v>5.38</v>
      </c>
      <c r="P118" s="1383">
        <v>0.86</v>
      </c>
      <c r="Q118" s="1383">
        <v>1.26</v>
      </c>
      <c r="R118" s="1383">
        <v>6.58</v>
      </c>
      <c r="S118" s="1385">
        <v>1.0772515723141718</v>
      </c>
      <c r="T118" s="1382">
        <v>7.81</v>
      </c>
      <c r="U118" s="1382">
        <v>64.8</v>
      </c>
      <c r="V118" s="1382"/>
      <c r="W118" s="1387">
        <v>0.2</v>
      </c>
    </row>
    <row r="119" spans="1:23" s="558" customFormat="1" x14ac:dyDescent="0.25">
      <c r="A119" s="905">
        <v>213013</v>
      </c>
      <c r="B119" s="895">
        <v>7.7</v>
      </c>
      <c r="D119" s="558">
        <v>0.26900000000000002</v>
      </c>
      <c r="E119" s="1389">
        <v>10.913225806451614</v>
      </c>
      <c r="F119" s="558">
        <v>0</v>
      </c>
      <c r="G119" s="558">
        <v>0.28000000000000003</v>
      </c>
      <c r="H119" s="558">
        <v>53.800000000000004</v>
      </c>
      <c r="I119" s="558">
        <v>38.72</v>
      </c>
      <c r="J119" s="558">
        <v>4.58</v>
      </c>
      <c r="K119" s="558">
        <v>14.87</v>
      </c>
      <c r="L119" s="558">
        <v>42.16</v>
      </c>
      <c r="M119" s="558">
        <v>20.79</v>
      </c>
      <c r="N119" s="558">
        <v>8.1300000000000008</v>
      </c>
      <c r="O119" s="558">
        <v>2.7</v>
      </c>
      <c r="P119" s="558">
        <v>1.49</v>
      </c>
      <c r="Q119" s="558">
        <v>1.48</v>
      </c>
      <c r="R119" s="558">
        <v>2.44</v>
      </c>
      <c r="S119" s="1389">
        <v>1.0670305941867406</v>
      </c>
      <c r="T119" s="558">
        <v>7.42</v>
      </c>
      <c r="U119" s="558">
        <v>45.599999999999994</v>
      </c>
    </row>
    <row r="120" spans="1:23" s="558" customFormat="1" x14ac:dyDescent="0.25">
      <c r="A120" s="905">
        <v>213014</v>
      </c>
      <c r="B120" s="895">
        <v>8</v>
      </c>
      <c r="D120" s="558">
        <v>0.378</v>
      </c>
      <c r="E120" s="1389">
        <v>15.503870967741936</v>
      </c>
      <c r="F120" s="558">
        <v>0</v>
      </c>
      <c r="G120" s="558">
        <v>0.28000000000000003</v>
      </c>
      <c r="H120" s="558">
        <v>75.599999999999994</v>
      </c>
      <c r="I120" s="1462">
        <v>66.05</v>
      </c>
      <c r="J120" s="558">
        <v>5.42</v>
      </c>
      <c r="K120" s="558">
        <v>20.41</v>
      </c>
      <c r="L120" s="558">
        <v>48.47</v>
      </c>
      <c r="M120" s="558">
        <v>30.57</v>
      </c>
      <c r="N120" s="558">
        <v>11.78</v>
      </c>
      <c r="O120" s="558">
        <v>6.57</v>
      </c>
      <c r="P120" s="558">
        <v>1.44</v>
      </c>
      <c r="Q120" s="558">
        <v>1.55</v>
      </c>
      <c r="R120" s="558">
        <v>4.96</v>
      </c>
      <c r="S120" s="1389">
        <v>0.9772411702705498</v>
      </c>
      <c r="T120" s="558">
        <v>7.03</v>
      </c>
      <c r="U120" s="558">
        <v>57.599999999999994</v>
      </c>
    </row>
    <row r="121" spans="1:23" s="558" customFormat="1" x14ac:dyDescent="0.25">
      <c r="A121" s="905">
        <v>213015</v>
      </c>
      <c r="B121" s="895">
        <v>8.1</v>
      </c>
      <c r="C121" s="1466"/>
      <c r="D121" s="1467">
        <v>0.28199999999999997</v>
      </c>
      <c r="E121" s="1427">
        <v>8.871935483870967</v>
      </c>
      <c r="F121" s="1467">
        <v>0</v>
      </c>
      <c r="G121" s="1467">
        <v>0.31</v>
      </c>
      <c r="H121" s="1467">
        <v>56.399999999999991</v>
      </c>
      <c r="I121" s="1427">
        <v>62.04</v>
      </c>
      <c r="J121" s="558">
        <v>2.4</v>
      </c>
      <c r="K121" s="558">
        <v>5.46</v>
      </c>
      <c r="L121" s="558">
        <v>38.04</v>
      </c>
      <c r="M121" s="558">
        <v>29.55</v>
      </c>
      <c r="N121" s="558">
        <v>10.67</v>
      </c>
      <c r="O121" s="558">
        <v>4.18</v>
      </c>
      <c r="P121" s="558">
        <v>5.6</v>
      </c>
      <c r="Q121" s="558">
        <v>1.71</v>
      </c>
      <c r="R121" s="558">
        <v>2.15</v>
      </c>
      <c r="S121" s="1389">
        <v>0.98685104202613416</v>
      </c>
      <c r="T121" s="558">
        <v>6.85</v>
      </c>
      <c r="U121" s="558">
        <v>62.400000000000006</v>
      </c>
    </row>
    <row r="122" spans="1:23" s="558" customFormat="1" x14ac:dyDescent="0.25">
      <c r="A122" s="1463">
        <v>213016</v>
      </c>
      <c r="B122" s="1468">
        <v>8.1199999999999992</v>
      </c>
      <c r="C122" s="1469"/>
      <c r="D122" s="1468">
        <v>0.18</v>
      </c>
      <c r="E122" s="1470">
        <v>3.6987096774193549</v>
      </c>
      <c r="F122" s="1468">
        <v>0</v>
      </c>
      <c r="G122" s="1470">
        <v>5.1935483870967747E-2</v>
      </c>
      <c r="H122" s="1468">
        <v>36</v>
      </c>
      <c r="I122" s="1425">
        <v>18.45</v>
      </c>
      <c r="J122" s="1471">
        <v>1.91</v>
      </c>
      <c r="K122" s="1426">
        <v>8.09</v>
      </c>
      <c r="L122" s="1426">
        <v>8.34</v>
      </c>
      <c r="M122" s="1426">
        <v>19.690000000000001</v>
      </c>
      <c r="N122" s="1426">
        <v>4.5599999999999996</v>
      </c>
      <c r="O122" s="1471">
        <v>1.99</v>
      </c>
      <c r="P122" s="1426">
        <v>8.34</v>
      </c>
      <c r="Q122" s="1471">
        <v>1.4</v>
      </c>
      <c r="R122" s="1426">
        <v>8.34</v>
      </c>
      <c r="S122" s="1464">
        <v>0.60744942586667627</v>
      </c>
      <c r="T122" s="1336">
        <v>4.32</v>
      </c>
      <c r="U122" s="1336">
        <v>64.8</v>
      </c>
    </row>
    <row r="123" spans="1:23" s="558" customFormat="1" x14ac:dyDescent="0.25">
      <c r="A123" s="1463">
        <v>213017</v>
      </c>
      <c r="B123" s="1468">
        <v>8.1300000000000008</v>
      </c>
      <c r="C123" s="1469"/>
      <c r="D123" s="1468">
        <v>0.26200000000000001</v>
      </c>
      <c r="E123" s="1470">
        <v>8.862903225806452</v>
      </c>
      <c r="F123" s="1468">
        <v>0</v>
      </c>
      <c r="G123" s="1470">
        <v>5.6451612903225805E-2</v>
      </c>
      <c r="H123" s="1468">
        <v>52.400000000000006</v>
      </c>
      <c r="I123" s="1425">
        <v>20.91</v>
      </c>
      <c r="J123" s="1471">
        <v>2.66</v>
      </c>
      <c r="K123" s="1426">
        <v>17.63</v>
      </c>
      <c r="L123" s="1426">
        <v>16.329999999999998</v>
      </c>
      <c r="M123" s="1426">
        <v>19.41</v>
      </c>
      <c r="N123" s="1426">
        <v>5.45</v>
      </c>
      <c r="O123" s="1471">
        <v>2.7</v>
      </c>
      <c r="P123" s="1426">
        <v>16.329999999999998</v>
      </c>
      <c r="Q123" s="1471">
        <v>1.82</v>
      </c>
      <c r="R123" s="1426">
        <v>16.329999999999998</v>
      </c>
      <c r="S123" s="1464">
        <v>0.55313238818158716</v>
      </c>
      <c r="T123" s="1336">
        <v>3.7800000000000002</v>
      </c>
      <c r="U123" s="1336">
        <v>60</v>
      </c>
    </row>
    <row r="124" spans="1:23" s="558" customFormat="1" x14ac:dyDescent="0.25">
      <c r="A124" s="1463">
        <v>213018</v>
      </c>
      <c r="B124" s="1468">
        <v>8.09</v>
      </c>
      <c r="C124" s="1469"/>
      <c r="D124" s="1468">
        <v>0.17</v>
      </c>
      <c r="E124" s="1470">
        <v>3.3916129032258064</v>
      </c>
      <c r="F124" s="1468">
        <v>0</v>
      </c>
      <c r="G124" s="1470">
        <v>6.5483870967741928E-2</v>
      </c>
      <c r="H124" s="1468">
        <v>34</v>
      </c>
      <c r="I124" s="1425">
        <v>17.23</v>
      </c>
      <c r="J124" s="1471">
        <v>2.67</v>
      </c>
      <c r="K124" s="1426">
        <v>8.1199999999999992</v>
      </c>
      <c r="L124" s="1426">
        <v>7</v>
      </c>
      <c r="M124" s="1426">
        <v>17.89</v>
      </c>
      <c r="N124" s="1426">
        <v>4.49</v>
      </c>
      <c r="O124" s="1471">
        <v>2.35</v>
      </c>
      <c r="P124" s="1426">
        <v>7</v>
      </c>
      <c r="Q124" s="1471">
        <v>1.48</v>
      </c>
      <c r="R124" s="1426">
        <v>7</v>
      </c>
      <c r="S124" s="1464">
        <v>0.64186234738594161</v>
      </c>
      <c r="T124" s="1336">
        <v>4.3099999999999996</v>
      </c>
      <c r="U124" s="1336">
        <v>50.400000000000006</v>
      </c>
    </row>
    <row r="125" spans="1:23" s="558" customFormat="1" x14ac:dyDescent="0.25">
      <c r="A125" s="1463">
        <v>213019</v>
      </c>
      <c r="B125" s="1468">
        <v>8.0500000000000007</v>
      </c>
      <c r="C125" s="1469"/>
      <c r="D125" s="1468">
        <v>0.23300000000000001</v>
      </c>
      <c r="E125" s="1470">
        <v>6.2232258064516124</v>
      </c>
      <c r="F125" s="1468">
        <v>0</v>
      </c>
      <c r="G125" s="1470">
        <v>6.7741935483870974E-2</v>
      </c>
      <c r="H125" s="1468">
        <v>46.6</v>
      </c>
      <c r="I125" s="1323">
        <v>23.42</v>
      </c>
      <c r="J125" s="1471">
        <v>2.17</v>
      </c>
      <c r="K125" s="1426">
        <v>13.92</v>
      </c>
      <c r="L125" s="1426">
        <v>15.57</v>
      </c>
      <c r="M125" s="1426">
        <v>17.96</v>
      </c>
      <c r="N125" s="1426">
        <v>4.92</v>
      </c>
      <c r="O125" s="1471">
        <v>2.35</v>
      </c>
      <c r="P125" s="1426">
        <v>15.57</v>
      </c>
      <c r="Q125" s="1471">
        <v>1.68</v>
      </c>
      <c r="R125" s="1426">
        <v>15.57</v>
      </c>
      <c r="S125" s="1464">
        <v>0.5175811751596433</v>
      </c>
      <c r="T125" s="1336">
        <v>3.53</v>
      </c>
      <c r="U125" s="1336">
        <v>60</v>
      </c>
    </row>
    <row r="126" spans="1:23" s="895" customFormat="1" x14ac:dyDescent="0.25">
      <c r="A126" s="1465">
        <v>213020</v>
      </c>
      <c r="B126" s="1472">
        <v>8.1</v>
      </c>
      <c r="C126" s="1472"/>
      <c r="D126" s="1472">
        <v>0.3</v>
      </c>
      <c r="E126" s="1447">
        <v>5.75</v>
      </c>
      <c r="F126" s="1472">
        <v>0</v>
      </c>
      <c r="G126" s="1472">
        <v>0.02</v>
      </c>
      <c r="H126" s="1472">
        <v>60</v>
      </c>
      <c r="I126" s="1447">
        <v>16.88</v>
      </c>
      <c r="J126" s="1473">
        <v>7.0000000000000007E-2</v>
      </c>
      <c r="K126" s="1448">
        <v>1.29</v>
      </c>
      <c r="L126" s="1448">
        <v>18.61</v>
      </c>
      <c r="M126" s="1448">
        <v>24.96</v>
      </c>
      <c r="N126" s="1448">
        <v>3.34</v>
      </c>
      <c r="O126" s="1473">
        <v>0.19</v>
      </c>
      <c r="P126" s="1448">
        <v>0.32</v>
      </c>
      <c r="Q126" s="1473">
        <v>4.6900000000000004</v>
      </c>
      <c r="R126" s="1448">
        <v>1.75</v>
      </c>
      <c r="S126" s="1447">
        <v>1.1599999999999999</v>
      </c>
      <c r="T126" s="1472">
        <v>8.4</v>
      </c>
      <c r="U126" s="1472">
        <v>36</v>
      </c>
    </row>
    <row r="127" spans="1:23" s="966" customFormat="1" x14ac:dyDescent="0.25">
      <c r="A127" s="1495">
        <v>213021</v>
      </c>
      <c r="B127" s="1496">
        <v>8.9</v>
      </c>
      <c r="C127" s="1496"/>
      <c r="D127" s="1496">
        <v>0.17899999999999999</v>
      </c>
      <c r="E127" s="1497">
        <v>6.379032258064516</v>
      </c>
      <c r="F127" s="1498">
        <v>0</v>
      </c>
      <c r="G127" s="1497">
        <v>0.14000000000000001</v>
      </c>
      <c r="H127" s="1496">
        <v>35.799999999999997</v>
      </c>
      <c r="I127" s="1497">
        <v>10.72</v>
      </c>
      <c r="J127" s="1496">
        <v>2.74</v>
      </c>
      <c r="K127" s="422">
        <v>11.7</v>
      </c>
      <c r="L127" s="422">
        <v>7.5759999999999996</v>
      </c>
      <c r="M127" s="422">
        <v>23.2</v>
      </c>
      <c r="N127" s="422">
        <v>5.79</v>
      </c>
      <c r="O127" s="422">
        <v>2.98</v>
      </c>
      <c r="P127" s="422">
        <v>0.63</v>
      </c>
      <c r="Q127" s="422">
        <v>3.06</v>
      </c>
      <c r="R127" s="422">
        <v>4</v>
      </c>
      <c r="S127" s="425">
        <v>0.87000291445290945</v>
      </c>
      <c r="T127" s="1496">
        <v>6.5200000000000005</v>
      </c>
      <c r="U127" s="1496">
        <v>62.400000000000006</v>
      </c>
      <c r="W127" s="558">
        <v>0.05</v>
      </c>
    </row>
    <row r="128" spans="1:23" s="966" customFormat="1" x14ac:dyDescent="0.25">
      <c r="A128" s="1495">
        <v>213022</v>
      </c>
      <c r="B128" s="1496">
        <v>8.9</v>
      </c>
      <c r="C128" s="1496"/>
      <c r="D128" s="1496">
        <v>0.153</v>
      </c>
      <c r="E128" s="1497">
        <v>3.5835483870967737</v>
      </c>
      <c r="F128" s="1498">
        <v>0</v>
      </c>
      <c r="G128" s="1497">
        <v>0.13222222222222224</v>
      </c>
      <c r="H128" s="1496">
        <v>30.599999999999998</v>
      </c>
      <c r="I128" s="1497">
        <v>9.9</v>
      </c>
      <c r="J128" s="1496">
        <v>2.96</v>
      </c>
      <c r="K128" s="422">
        <v>10.88</v>
      </c>
      <c r="L128" s="422">
        <v>3.7890000000000001</v>
      </c>
      <c r="M128" s="422">
        <v>21.01</v>
      </c>
      <c r="N128" s="422">
        <v>6</v>
      </c>
      <c r="O128" s="422">
        <v>4.1399999999999997</v>
      </c>
      <c r="P128" s="422">
        <v>0.69</v>
      </c>
      <c r="Q128" s="422">
        <v>3.51</v>
      </c>
      <c r="R128" s="422">
        <v>3.46</v>
      </c>
      <c r="S128" s="425">
        <v>0.94565947873278866</v>
      </c>
      <c r="T128" s="1496">
        <v>7.01</v>
      </c>
      <c r="U128" s="1496">
        <v>50.400000000000006</v>
      </c>
      <c r="W128" s="1467">
        <v>0.03</v>
      </c>
    </row>
    <row r="129" spans="1:23" s="966" customFormat="1" x14ac:dyDescent="0.25">
      <c r="A129" s="1495">
        <v>213023</v>
      </c>
      <c r="B129" s="1496">
        <v>8.9</v>
      </c>
      <c r="C129" s="1496"/>
      <c r="D129" s="1496">
        <v>0.23200000000000001</v>
      </c>
      <c r="E129" s="1497">
        <v>11.204516129032257</v>
      </c>
      <c r="F129" s="1498">
        <v>0</v>
      </c>
      <c r="G129" s="1497">
        <v>0.46666666666666667</v>
      </c>
      <c r="H129" s="1496">
        <v>46.400000000000006</v>
      </c>
      <c r="I129" s="1497">
        <v>9.9499999999999993</v>
      </c>
      <c r="J129" s="1496">
        <v>2.79</v>
      </c>
      <c r="K129" s="422">
        <v>11.38</v>
      </c>
      <c r="L129" s="422">
        <v>10.808999999999999</v>
      </c>
      <c r="M129" s="422">
        <v>26.41</v>
      </c>
      <c r="N129" s="422">
        <v>9.08</v>
      </c>
      <c r="O129" s="422">
        <v>5</v>
      </c>
      <c r="P129" s="422">
        <v>1.02</v>
      </c>
      <c r="Q129" s="422">
        <v>4.75</v>
      </c>
      <c r="R129" s="422">
        <v>5.37</v>
      </c>
      <c r="S129" s="425">
        <v>0.89193333533939267</v>
      </c>
      <c r="T129" s="1496">
        <v>6.5</v>
      </c>
      <c r="U129" s="1496">
        <v>33.599999999999994</v>
      </c>
      <c r="W129" s="1467">
        <v>0.03</v>
      </c>
    </row>
    <row r="130" spans="1:23" s="966" customFormat="1" x14ac:dyDescent="0.25">
      <c r="A130" s="1495">
        <v>213024</v>
      </c>
      <c r="B130" s="1496">
        <v>8.8000000000000007</v>
      </c>
      <c r="C130" s="1496"/>
      <c r="D130" s="1496">
        <v>0.52400000000000002</v>
      </c>
      <c r="E130" s="1497">
        <v>14.340967741935483</v>
      </c>
      <c r="F130" s="1498">
        <v>0</v>
      </c>
      <c r="G130" s="1497">
        <v>0.80111111111111111</v>
      </c>
      <c r="H130" s="1496">
        <v>104.80000000000001</v>
      </c>
      <c r="I130" s="1497">
        <v>92.21</v>
      </c>
      <c r="J130" s="1496">
        <v>1.42</v>
      </c>
      <c r="K130" s="422">
        <v>9.39</v>
      </c>
      <c r="L130" s="422">
        <v>18.742000000000001</v>
      </c>
      <c r="M130" s="422">
        <v>70.59</v>
      </c>
      <c r="N130" s="422">
        <v>25.04</v>
      </c>
      <c r="O130" s="422">
        <v>4.82</v>
      </c>
      <c r="P130" s="422">
        <v>3.45</v>
      </c>
      <c r="Q130" s="422">
        <v>5.3</v>
      </c>
      <c r="R130" s="422">
        <v>3.68</v>
      </c>
      <c r="S130" s="425">
        <v>1.1621604398141212</v>
      </c>
      <c r="T130" s="1496">
        <v>8.48</v>
      </c>
      <c r="U130" s="1499">
        <v>36</v>
      </c>
      <c r="W130" s="1467">
        <v>0.08</v>
      </c>
    </row>
    <row r="131" spans="1:23" s="966" customFormat="1" x14ac:dyDescent="0.25">
      <c r="A131" s="1495">
        <v>213025</v>
      </c>
      <c r="B131" s="1496">
        <v>8.3000000000000007</v>
      </c>
      <c r="C131" s="1496"/>
      <c r="D131" s="1496">
        <v>0.99299999999999999</v>
      </c>
      <c r="E131" s="1497">
        <v>13.780967741935486</v>
      </c>
      <c r="F131" s="1498">
        <v>0</v>
      </c>
      <c r="G131" s="1497">
        <v>0.8322222222222222</v>
      </c>
      <c r="H131" s="1496">
        <v>198.6</v>
      </c>
      <c r="I131" s="1497">
        <v>155.13</v>
      </c>
      <c r="J131" s="1496">
        <v>2.54</v>
      </c>
      <c r="K131" s="422">
        <v>34.49</v>
      </c>
      <c r="L131" s="422">
        <v>9.9830000000000005</v>
      </c>
      <c r="M131" s="422">
        <v>261.04000000000002</v>
      </c>
      <c r="N131" s="422">
        <v>25.21</v>
      </c>
      <c r="O131" s="422">
        <v>4.8499999999999996</v>
      </c>
      <c r="P131" s="422">
        <v>6.53</v>
      </c>
      <c r="Q131" s="422">
        <v>2.3199999999999998</v>
      </c>
      <c r="R131" s="422">
        <v>4.6399999999999997</v>
      </c>
      <c r="S131" s="425">
        <v>1.6212399300000002</v>
      </c>
      <c r="T131" s="1496">
        <v>11.49</v>
      </c>
      <c r="U131" s="1496">
        <v>26.4</v>
      </c>
      <c r="W131" s="1467">
        <v>0.11</v>
      </c>
    </row>
    <row r="132" spans="1:23" s="966" customFormat="1" x14ac:dyDescent="0.25">
      <c r="A132" s="1495">
        <v>213026</v>
      </c>
      <c r="B132" s="1496">
        <v>8.9</v>
      </c>
      <c r="C132" s="1496"/>
      <c r="D132" s="1496">
        <v>0.14099999999999999</v>
      </c>
      <c r="E132" s="1497">
        <v>3.9132258064516123</v>
      </c>
      <c r="F132" s="1498">
        <v>0</v>
      </c>
      <c r="G132" s="1497">
        <v>0.19444444444444445</v>
      </c>
      <c r="H132" s="1496">
        <v>28.199999999999996</v>
      </c>
      <c r="I132" s="1497">
        <v>11.2</v>
      </c>
      <c r="J132" s="1496">
        <v>2.7</v>
      </c>
      <c r="K132" s="422">
        <v>10.84</v>
      </c>
      <c r="L132" s="422">
        <v>7.0170000000000003</v>
      </c>
      <c r="M132" s="422">
        <v>16.95</v>
      </c>
      <c r="N132" s="422">
        <v>4.58</v>
      </c>
      <c r="O132" s="422">
        <v>2.84</v>
      </c>
      <c r="P132" s="422">
        <v>2.58</v>
      </c>
      <c r="Q132" s="422">
        <v>3.42</v>
      </c>
      <c r="R132" s="422">
        <v>3.39</v>
      </c>
      <c r="S132" s="425">
        <v>0.81750501100532469</v>
      </c>
      <c r="T132" s="1496">
        <v>5.36</v>
      </c>
      <c r="U132" s="1496">
        <v>43.199999999999996</v>
      </c>
      <c r="W132" s="1467">
        <v>0.05</v>
      </c>
    </row>
    <row r="133" spans="1:23" s="966" customFormat="1" x14ac:dyDescent="0.25">
      <c r="A133" s="1495">
        <v>213027</v>
      </c>
      <c r="B133" s="1496">
        <v>8.6999999999999993</v>
      </c>
      <c r="C133" s="1496"/>
      <c r="D133" s="1496">
        <v>0.27</v>
      </c>
      <c r="E133" s="1497">
        <v>12.728709677419355</v>
      </c>
      <c r="F133" s="1498">
        <v>0</v>
      </c>
      <c r="G133" s="1497">
        <v>0.92555555555555558</v>
      </c>
      <c r="H133" s="1496">
        <v>54</v>
      </c>
      <c r="I133" s="1497">
        <v>13.78</v>
      </c>
      <c r="J133" s="1496">
        <v>3.62</v>
      </c>
      <c r="K133" s="422">
        <v>5</v>
      </c>
      <c r="L133" s="422">
        <v>19.533999999999999</v>
      </c>
      <c r="M133" s="422">
        <v>26.07</v>
      </c>
      <c r="N133" s="422">
        <v>12.61</v>
      </c>
      <c r="O133" s="422">
        <v>16.55</v>
      </c>
      <c r="P133" s="422">
        <v>15.66</v>
      </c>
      <c r="Q133" s="422">
        <v>5.96</v>
      </c>
      <c r="R133" s="422">
        <v>7.4</v>
      </c>
      <c r="S133" s="425">
        <v>0.87314944097662639</v>
      </c>
      <c r="T133" s="1496">
        <v>6.3900000000000006</v>
      </c>
      <c r="U133" s="1496">
        <v>52.8</v>
      </c>
      <c r="W133" s="1467">
        <v>0.06</v>
      </c>
    </row>
    <row r="134" spans="1:23" s="25" customFormat="1" x14ac:dyDescent="0.25">
      <c r="A134" s="1638">
        <v>213028</v>
      </c>
      <c r="B134" s="1233">
        <v>8.51</v>
      </c>
      <c r="C134" s="1233"/>
      <c r="D134" s="1639">
        <v>0.14799999999999999</v>
      </c>
      <c r="E134" s="1235">
        <f>0.03*14/62</f>
        <v>6.7741935483870966E-3</v>
      </c>
      <c r="F134" s="1233">
        <v>0</v>
      </c>
      <c r="G134" s="1235">
        <f>0.02*14/18</f>
        <v>1.5555555555555557E-2</v>
      </c>
      <c r="H134" s="1233">
        <v>29.6</v>
      </c>
      <c r="I134" s="1640">
        <v>10.210000000000001</v>
      </c>
      <c r="J134" s="1233">
        <v>0.28000000000000003</v>
      </c>
      <c r="K134" s="1233">
        <v>1.73</v>
      </c>
      <c r="L134" s="1233">
        <v>13.48</v>
      </c>
      <c r="M134" s="1233">
        <v>19.96</v>
      </c>
      <c r="N134" s="1233">
        <v>1.27</v>
      </c>
      <c r="O134" s="1233">
        <v>0.49</v>
      </c>
      <c r="P134" s="1233">
        <v>0.18</v>
      </c>
      <c r="Q134" s="1233">
        <v>5.69</v>
      </c>
      <c r="R134" s="1233">
        <v>5.08</v>
      </c>
      <c r="S134" s="1375">
        <v>1.7</v>
      </c>
      <c r="T134" s="1233">
        <v>14.58</v>
      </c>
      <c r="U134" s="1233">
        <v>98.63</v>
      </c>
    </row>
    <row r="135" spans="1:23" s="1722" customFormat="1" x14ac:dyDescent="0.25">
      <c r="A135" s="1720">
        <v>213029</v>
      </c>
      <c r="B135" s="1721">
        <v>7.64</v>
      </c>
      <c r="D135" s="1721">
        <v>5.7000000000000002E-2</v>
      </c>
      <c r="E135" s="1723">
        <v>2.1361290322580646</v>
      </c>
      <c r="F135" s="1720">
        <v>0</v>
      </c>
      <c r="G135" s="1722">
        <v>0.03</v>
      </c>
      <c r="H135" s="1722">
        <v>11.4</v>
      </c>
      <c r="I135" s="1722">
        <v>9.56</v>
      </c>
      <c r="J135" s="1724">
        <v>0.52</v>
      </c>
      <c r="K135" s="1724">
        <v>0.61</v>
      </c>
      <c r="L135" s="1724">
        <v>3.42</v>
      </c>
      <c r="M135" s="1724">
        <v>5.1100000000000003</v>
      </c>
      <c r="N135" s="1724">
        <v>0.89</v>
      </c>
      <c r="O135" s="1724">
        <v>0.16</v>
      </c>
      <c r="P135" s="1724">
        <v>0.36</v>
      </c>
      <c r="Q135" s="1724">
        <v>3.75</v>
      </c>
      <c r="R135" s="1724">
        <v>4.8899999999999997</v>
      </c>
      <c r="S135" s="1725">
        <v>0.48429853053338889</v>
      </c>
      <c r="T135" s="1726">
        <v>3.2</v>
      </c>
      <c r="U135" s="1726">
        <v>16.8</v>
      </c>
    </row>
    <row r="136" spans="1:23" s="1722" customFormat="1" x14ac:dyDescent="0.25">
      <c r="A136" s="1720">
        <v>213030</v>
      </c>
      <c r="B136" s="1721">
        <v>7.51</v>
      </c>
      <c r="D136" s="1721">
        <v>0.16200000000000001</v>
      </c>
      <c r="E136" s="1723">
        <v>2.1632258064516128</v>
      </c>
      <c r="F136" s="1720">
        <v>0</v>
      </c>
      <c r="G136" s="1722">
        <v>0.01</v>
      </c>
      <c r="H136" s="1722">
        <v>32.4</v>
      </c>
      <c r="I136" s="1722">
        <v>7.88</v>
      </c>
      <c r="J136" s="1724">
        <v>1.27</v>
      </c>
      <c r="K136" s="1724">
        <v>1.38</v>
      </c>
      <c r="L136" s="1724">
        <v>2.64</v>
      </c>
      <c r="M136" s="1724">
        <v>4.8899999999999997</v>
      </c>
      <c r="N136" s="1724">
        <v>1.18</v>
      </c>
      <c r="O136" s="1724">
        <v>0.1</v>
      </c>
      <c r="P136" s="1724">
        <v>0.15</v>
      </c>
      <c r="Q136" s="1724">
        <v>0.99</v>
      </c>
      <c r="R136" s="1724">
        <v>4.18</v>
      </c>
      <c r="S136" s="1725">
        <v>0.28609115249215217</v>
      </c>
      <c r="T136" s="1726">
        <v>2.1</v>
      </c>
      <c r="U136" s="1726">
        <v>50.4</v>
      </c>
    </row>
    <row r="137" spans="1:23" s="1722" customFormat="1" x14ac:dyDescent="0.25">
      <c r="A137" s="1720">
        <v>213031</v>
      </c>
      <c r="B137" s="1727">
        <v>8.42</v>
      </c>
      <c r="C137" s="1727"/>
      <c r="D137" s="1727">
        <v>0.37</v>
      </c>
      <c r="E137" s="1723">
        <v>45.92</v>
      </c>
      <c r="F137" s="1720">
        <v>0</v>
      </c>
      <c r="G137" s="1727">
        <v>0.13</v>
      </c>
      <c r="H137" s="1722">
        <v>82.3</v>
      </c>
      <c r="I137" s="1722">
        <v>21.66</v>
      </c>
      <c r="J137" s="1726">
        <v>0.17</v>
      </c>
      <c r="K137" s="1726">
        <v>2.89</v>
      </c>
      <c r="L137" s="1726">
        <v>35.950000000000003</v>
      </c>
      <c r="M137" s="1726">
        <v>24.05</v>
      </c>
      <c r="N137" s="1726">
        <v>6.4</v>
      </c>
      <c r="O137" s="1726">
        <v>0.24</v>
      </c>
      <c r="P137" s="1726">
        <v>0.4</v>
      </c>
      <c r="Q137" s="1726">
        <v>2.23</v>
      </c>
      <c r="R137" s="1726">
        <v>2.4</v>
      </c>
      <c r="S137" s="1725">
        <v>0.7618592946215732</v>
      </c>
      <c r="T137" s="1726">
        <v>5.6000000000000005</v>
      </c>
    </row>
    <row r="138" spans="1:23" s="1722" customFormat="1" x14ac:dyDescent="0.25">
      <c r="A138" s="1720">
        <v>213032</v>
      </c>
      <c r="B138" s="1727">
        <v>8.59</v>
      </c>
      <c r="C138" s="1727"/>
      <c r="D138" s="1727">
        <v>0.27</v>
      </c>
      <c r="E138" s="1723">
        <v>52.09</v>
      </c>
      <c r="F138" s="1720">
        <v>0</v>
      </c>
      <c r="G138" s="1727">
        <v>0.11</v>
      </c>
      <c r="H138" s="1722">
        <v>35.799999999999997</v>
      </c>
      <c r="I138" s="1722">
        <v>16.690000000000001</v>
      </c>
      <c r="J138" s="1726">
        <v>0.17</v>
      </c>
      <c r="K138" s="1726">
        <v>2.0099999999999998</v>
      </c>
      <c r="L138" s="1726">
        <v>22.88</v>
      </c>
      <c r="M138" s="1726">
        <v>20.36</v>
      </c>
      <c r="N138" s="1726">
        <v>5.45</v>
      </c>
      <c r="O138" s="1726">
        <v>0.34</v>
      </c>
      <c r="P138" s="1726">
        <v>0.4</v>
      </c>
      <c r="Q138" s="1726">
        <v>2.17</v>
      </c>
      <c r="R138" s="1726">
        <v>3.14</v>
      </c>
      <c r="S138" s="1725">
        <v>0.57944649722519181</v>
      </c>
      <c r="T138" s="1726">
        <v>4.0999999999999996</v>
      </c>
    </row>
    <row r="139" spans="1:23" s="1722" customFormat="1" x14ac:dyDescent="0.25">
      <c r="A139" s="1720">
        <v>213033</v>
      </c>
      <c r="B139" s="1727">
        <v>7.41</v>
      </c>
      <c r="C139" s="1727"/>
      <c r="D139" s="1727">
        <v>0.14000000000000001</v>
      </c>
      <c r="E139" s="1723">
        <v>21.25</v>
      </c>
      <c r="F139" s="1720">
        <v>0</v>
      </c>
      <c r="G139" s="1727">
        <v>0.08</v>
      </c>
      <c r="H139" s="1722">
        <v>15.2</v>
      </c>
      <c r="I139" s="1722">
        <v>17.93</v>
      </c>
      <c r="J139" s="1726">
        <v>1.21</v>
      </c>
      <c r="K139" s="1726">
        <v>2</v>
      </c>
      <c r="L139" s="1726">
        <v>14.01</v>
      </c>
      <c r="M139" s="1726">
        <v>5.52</v>
      </c>
      <c r="N139" s="1726">
        <v>2.12</v>
      </c>
      <c r="O139" s="1726">
        <v>0.19</v>
      </c>
      <c r="P139" s="1726">
        <v>0.37</v>
      </c>
      <c r="Q139" s="1726">
        <v>4.46</v>
      </c>
      <c r="R139" s="1726">
        <v>5.6</v>
      </c>
      <c r="S139" s="1725">
        <v>0.38670343584970818</v>
      </c>
      <c r="T139" s="1726">
        <v>2.7</v>
      </c>
    </row>
    <row r="140" spans="1:23" s="424" customFormat="1" x14ac:dyDescent="0.25">
      <c r="A140" s="1729">
        <v>213034</v>
      </c>
      <c r="B140" s="1730">
        <v>8.5399999999999991</v>
      </c>
      <c r="D140" s="1730">
        <v>0.14899999999999999</v>
      </c>
      <c r="E140" s="1731">
        <v>11.72</v>
      </c>
      <c r="F140" s="424">
        <v>0</v>
      </c>
      <c r="G140" s="424">
        <v>0.08</v>
      </c>
      <c r="H140" s="424">
        <v>29.5</v>
      </c>
      <c r="I140" s="424">
        <v>20.39</v>
      </c>
      <c r="J140" s="422">
        <v>0.28000000000000003</v>
      </c>
      <c r="K140" s="422">
        <v>10.9</v>
      </c>
      <c r="L140" s="422">
        <v>6.07</v>
      </c>
      <c r="M140" s="422">
        <v>15.94</v>
      </c>
      <c r="N140" s="422">
        <v>1.87</v>
      </c>
      <c r="O140" s="422">
        <v>0.46</v>
      </c>
      <c r="P140" s="422">
        <v>1.25</v>
      </c>
      <c r="Q140" s="422">
        <v>3.17</v>
      </c>
      <c r="R140" s="422">
        <v>2.6</v>
      </c>
      <c r="S140" s="421">
        <v>1.1092168712759551</v>
      </c>
      <c r="T140" s="421">
        <v>7.9</v>
      </c>
      <c r="U140" s="1730">
        <v>74.400000000000006</v>
      </c>
    </row>
    <row r="141" spans="1:23" s="424" customFormat="1" x14ac:dyDescent="0.25">
      <c r="A141" s="1729">
        <v>213035</v>
      </c>
      <c r="B141" s="1777">
        <v>8.3699999999999992</v>
      </c>
      <c r="C141" s="1777"/>
      <c r="D141" s="1777">
        <v>0.56999999999999995</v>
      </c>
      <c r="E141" s="1777">
        <v>53.47</v>
      </c>
      <c r="F141" s="1777">
        <v>0</v>
      </c>
      <c r="G141" s="1777">
        <v>0.13</v>
      </c>
      <c r="H141" s="1729">
        <v>78</v>
      </c>
      <c r="I141" s="1777">
        <v>71.95</v>
      </c>
      <c r="J141" s="1777">
        <v>0.03</v>
      </c>
      <c r="K141" s="1777">
        <v>1.56</v>
      </c>
      <c r="L141" s="1777">
        <v>50.82</v>
      </c>
      <c r="M141" s="1777">
        <v>55.03</v>
      </c>
      <c r="N141" s="1777">
        <v>4.3499999999999996</v>
      </c>
      <c r="O141" s="1777">
        <v>0.23</v>
      </c>
      <c r="P141" s="1777">
        <v>0.72</v>
      </c>
      <c r="Q141" s="1777">
        <v>5.16</v>
      </c>
      <c r="R141" s="1777">
        <v>3.15</v>
      </c>
      <c r="S141" s="1777">
        <v>1.7239370000000001</v>
      </c>
      <c r="T141" s="1777">
        <v>14.299999999999999</v>
      </c>
      <c r="U141" s="1777">
        <v>43.2</v>
      </c>
      <c r="V141" s="1777"/>
    </row>
    <row r="142" spans="1:23" s="424" customFormat="1" x14ac:dyDescent="0.25">
      <c r="A142" s="1729">
        <v>213036</v>
      </c>
      <c r="B142" s="1777">
        <v>8.8000000000000007</v>
      </c>
      <c r="C142" s="1777"/>
      <c r="D142" s="1777">
        <v>0.128</v>
      </c>
      <c r="E142" s="1777">
        <v>13.1</v>
      </c>
      <c r="F142" s="1777">
        <v>0</v>
      </c>
      <c r="G142" s="1777">
        <v>0.16</v>
      </c>
      <c r="H142" s="1729">
        <v>16</v>
      </c>
      <c r="I142" s="1777">
        <v>12.49</v>
      </c>
      <c r="J142" s="1777">
        <v>0.27</v>
      </c>
      <c r="K142" s="1777">
        <v>0.37</v>
      </c>
      <c r="L142" s="1777">
        <v>7.47</v>
      </c>
      <c r="M142" s="1777">
        <v>18.489999999999998</v>
      </c>
      <c r="N142" s="1777">
        <v>1.33</v>
      </c>
      <c r="O142" s="1777">
        <v>0.15</v>
      </c>
      <c r="P142" s="1777">
        <v>0.64</v>
      </c>
      <c r="Q142" s="1777">
        <v>2.86</v>
      </c>
      <c r="R142" s="1777">
        <v>1.2</v>
      </c>
      <c r="S142" s="1777">
        <v>1.666817</v>
      </c>
      <c r="T142" s="1777">
        <v>12.7</v>
      </c>
      <c r="U142" s="1777">
        <v>48</v>
      </c>
      <c r="V142" s="1777"/>
    </row>
    <row r="143" spans="1:23" s="424" customFormat="1" x14ac:dyDescent="0.25">
      <c r="A143" s="1729">
        <v>213037</v>
      </c>
      <c r="B143" s="1777">
        <v>8.61</v>
      </c>
      <c r="C143" s="1777"/>
      <c r="D143" s="1777">
        <v>0.34899999999999998</v>
      </c>
      <c r="E143" s="1777">
        <v>10.09</v>
      </c>
      <c r="F143" s="1777">
        <v>0</v>
      </c>
      <c r="G143" s="1777">
        <v>0.15</v>
      </c>
      <c r="H143" s="1729">
        <v>68</v>
      </c>
      <c r="I143" s="1777">
        <v>17.66</v>
      </c>
      <c r="J143" s="1777">
        <v>0.16</v>
      </c>
      <c r="K143" s="1777">
        <v>0.95</v>
      </c>
      <c r="L143" s="1777">
        <v>35.61</v>
      </c>
      <c r="M143" s="1777">
        <v>31.78</v>
      </c>
      <c r="N143" s="1777">
        <v>4.08</v>
      </c>
      <c r="O143" s="1777">
        <v>0.47</v>
      </c>
      <c r="P143" s="1777">
        <v>0.56000000000000005</v>
      </c>
      <c r="Q143" s="1777">
        <v>8.57</v>
      </c>
      <c r="R143" s="1777">
        <v>1.45</v>
      </c>
      <c r="S143" s="1777">
        <v>1.720472</v>
      </c>
      <c r="T143" s="1777">
        <v>14.2</v>
      </c>
      <c r="U143" s="1777">
        <v>60</v>
      </c>
      <c r="V143" s="1777"/>
    </row>
    <row r="144" spans="1:23" s="424" customFormat="1" x14ac:dyDescent="0.25">
      <c r="A144" s="1729">
        <v>213038</v>
      </c>
      <c r="B144" s="1777">
        <v>8.65</v>
      </c>
      <c r="C144" s="1777"/>
      <c r="D144" s="1730">
        <v>0.16600000000000001</v>
      </c>
      <c r="E144" s="1777">
        <v>21.3</v>
      </c>
      <c r="F144" s="1730">
        <v>0</v>
      </c>
      <c r="G144" s="1730">
        <v>0.12</v>
      </c>
      <c r="H144" s="1777">
        <v>18.600000000000001</v>
      </c>
      <c r="I144" s="1730">
        <v>10.3</v>
      </c>
      <c r="J144" s="1730">
        <v>0.36</v>
      </c>
      <c r="K144" s="1777">
        <v>2.52</v>
      </c>
      <c r="L144" s="1777">
        <v>10.37</v>
      </c>
      <c r="M144" s="1777">
        <v>18.04</v>
      </c>
      <c r="N144" s="1777">
        <v>2.27</v>
      </c>
      <c r="O144" s="1777">
        <v>0.33</v>
      </c>
      <c r="P144" s="1777">
        <v>1.1499999999999999</v>
      </c>
      <c r="Q144" s="1777">
        <v>6.46</v>
      </c>
      <c r="R144" s="1777">
        <v>2.6</v>
      </c>
      <c r="S144" s="1777">
        <v>1.6254680000000001</v>
      </c>
      <c r="T144" s="1777">
        <v>11.6</v>
      </c>
      <c r="U144" s="1730">
        <v>54.2</v>
      </c>
      <c r="V144" s="1777"/>
    </row>
    <row r="145" spans="1:27" s="424" customFormat="1" x14ac:dyDescent="0.25">
      <c r="A145" s="1729">
        <v>213039</v>
      </c>
      <c r="B145" s="1777">
        <v>8.5</v>
      </c>
      <c r="C145" s="1777"/>
      <c r="D145" s="1777">
        <v>0.73</v>
      </c>
      <c r="E145" s="1777">
        <v>91.8</v>
      </c>
      <c r="F145" s="1777">
        <v>0</v>
      </c>
      <c r="G145" s="1777">
        <v>0.14000000000000001</v>
      </c>
      <c r="H145" s="1729">
        <v>135</v>
      </c>
      <c r="I145" s="1777">
        <v>62.68</v>
      </c>
      <c r="J145" s="1777">
        <v>0.13</v>
      </c>
      <c r="K145" s="1777">
        <v>5.66</v>
      </c>
      <c r="L145" s="1777">
        <v>85.3</v>
      </c>
      <c r="M145" s="1777">
        <v>42.9</v>
      </c>
      <c r="N145" s="1777">
        <v>8.6</v>
      </c>
      <c r="O145" s="1777">
        <v>0.68</v>
      </c>
      <c r="P145" s="1777">
        <v>1.26</v>
      </c>
      <c r="Q145" s="1777">
        <v>8.1199999999999992</v>
      </c>
      <c r="R145" s="1777">
        <v>2.62</v>
      </c>
      <c r="S145" s="1777">
        <v>1.7677080000000001</v>
      </c>
      <c r="T145" s="1777">
        <v>15.600000000000001</v>
      </c>
      <c r="U145" s="1777">
        <v>55.199999999999996</v>
      </c>
      <c r="V145" s="1777"/>
    </row>
    <row r="146" spans="1:27" s="424" customFormat="1" x14ac:dyDescent="0.25">
      <c r="A146" s="1729">
        <v>213040</v>
      </c>
      <c r="B146" s="1777">
        <v>7.54</v>
      </c>
      <c r="C146" s="1777"/>
      <c r="D146" s="1777">
        <v>0.46</v>
      </c>
      <c r="E146" s="1777">
        <v>21.32</v>
      </c>
      <c r="F146" s="1777">
        <v>0</v>
      </c>
      <c r="G146" s="1777">
        <v>0.14000000000000001</v>
      </c>
      <c r="H146" s="1729">
        <v>57</v>
      </c>
      <c r="I146" s="1777">
        <v>83.86</v>
      </c>
      <c r="J146" s="1777">
        <v>0.14000000000000001</v>
      </c>
      <c r="K146" s="1777">
        <v>0.45</v>
      </c>
      <c r="L146" s="1777">
        <v>52.07</v>
      </c>
      <c r="M146" s="1777">
        <v>37.450000000000003</v>
      </c>
      <c r="N146" s="1777">
        <v>5.42</v>
      </c>
      <c r="O146" s="1777">
        <v>0.2</v>
      </c>
      <c r="P146" s="1777">
        <v>0.28999999999999998</v>
      </c>
      <c r="Q146" s="1777">
        <v>2.5099999999999998</v>
      </c>
      <c r="R146" s="1777">
        <v>1.51</v>
      </c>
      <c r="S146" s="1777">
        <v>1.6331120000000001</v>
      </c>
      <c r="T146" s="1777">
        <v>11.799999999999999</v>
      </c>
      <c r="U146" s="1777">
        <v>62.400000000000006</v>
      </c>
      <c r="V146" s="1777"/>
    </row>
    <row r="147" spans="1:27" s="422" customFormat="1" ht="18.75" x14ac:dyDescent="0.25">
      <c r="A147" s="420">
        <v>213041</v>
      </c>
      <c r="B147" s="1778">
        <v>8.43</v>
      </c>
      <c r="C147" s="1779"/>
      <c r="D147" s="1779">
        <v>0.312</v>
      </c>
      <c r="E147" s="421">
        <v>20.440000000000001</v>
      </c>
      <c r="F147" s="422">
        <v>0</v>
      </c>
      <c r="G147" s="422">
        <v>0.13</v>
      </c>
      <c r="H147" s="422">
        <v>65.2</v>
      </c>
      <c r="I147" s="422">
        <v>15.07</v>
      </c>
      <c r="J147" s="422">
        <v>2.2799999999999998</v>
      </c>
      <c r="K147" s="422">
        <v>1.81</v>
      </c>
      <c r="L147" s="422">
        <v>39.979999999999997</v>
      </c>
      <c r="M147" s="422">
        <v>14.17</v>
      </c>
      <c r="N147" s="422">
        <v>7.34</v>
      </c>
      <c r="O147" s="422">
        <v>2.0699999999999998</v>
      </c>
      <c r="P147" s="422">
        <v>0.82</v>
      </c>
      <c r="Q147" s="422">
        <v>2.14</v>
      </c>
      <c r="R147" s="422">
        <v>5.66</v>
      </c>
      <c r="S147" s="421">
        <v>0.81203971432219291</v>
      </c>
      <c r="T147" s="422">
        <v>5.6999999999999993</v>
      </c>
      <c r="U147" s="422">
        <v>48</v>
      </c>
    </row>
    <row r="148" spans="1:27" s="422" customFormat="1" ht="18.75" x14ac:dyDescent="0.25">
      <c r="A148" s="420">
        <v>213042</v>
      </c>
      <c r="B148" s="1778">
        <v>8.24</v>
      </c>
      <c r="C148" s="1779"/>
      <c r="D148" s="1779">
        <v>0.20799999999999999</v>
      </c>
      <c r="E148" s="421">
        <v>0.3</v>
      </c>
      <c r="F148" s="422">
        <v>0</v>
      </c>
      <c r="G148" s="422">
        <v>0.06</v>
      </c>
      <c r="H148" s="422">
        <v>37.6</v>
      </c>
      <c r="I148" s="422">
        <v>21.19</v>
      </c>
      <c r="J148" s="422">
        <v>0.26</v>
      </c>
      <c r="K148" s="422">
        <v>1.97</v>
      </c>
      <c r="L148" s="422">
        <v>25.59</v>
      </c>
      <c r="M148" s="422">
        <v>11.72</v>
      </c>
      <c r="N148" s="422">
        <v>3.2</v>
      </c>
      <c r="O148" s="422">
        <v>0.56999999999999995</v>
      </c>
      <c r="P148" s="422">
        <v>1.44</v>
      </c>
      <c r="Q148" s="422">
        <v>9.0399999999999991</v>
      </c>
      <c r="R148" s="422">
        <v>5.94</v>
      </c>
      <c r="S148" s="421">
        <v>1.0540239144814061</v>
      </c>
      <c r="T148" s="422">
        <v>7.6</v>
      </c>
      <c r="U148" s="422">
        <v>36</v>
      </c>
    </row>
    <row r="149" spans="1:27" s="424" customFormat="1" x14ac:dyDescent="0.25">
      <c r="A149" s="420">
        <v>213043</v>
      </c>
      <c r="B149" s="1777">
        <v>8.84</v>
      </c>
      <c r="D149" s="422">
        <v>0.188</v>
      </c>
      <c r="E149" s="1731">
        <v>5.76</v>
      </c>
      <c r="F149" s="424">
        <v>0</v>
      </c>
      <c r="G149" s="424">
        <v>0.1</v>
      </c>
      <c r="H149" s="424">
        <v>6.5</v>
      </c>
      <c r="I149" s="424">
        <v>19.03</v>
      </c>
      <c r="J149" s="422">
        <v>1.78</v>
      </c>
      <c r="K149" s="1777">
        <v>9.34</v>
      </c>
      <c r="L149" s="1777">
        <v>10.19</v>
      </c>
      <c r="M149" s="1777">
        <v>13.72</v>
      </c>
      <c r="N149" s="1777">
        <v>4.53</v>
      </c>
      <c r="O149" s="1777">
        <v>2.9</v>
      </c>
      <c r="P149" s="1777">
        <v>2.0299999999999998</v>
      </c>
      <c r="Q149" s="1777">
        <v>3.89</v>
      </c>
      <c r="R149" s="1777">
        <v>4.1399999999999997</v>
      </c>
      <c r="S149" s="421">
        <v>0.81936921497580595</v>
      </c>
      <c r="T149" s="1730">
        <v>5.6999999999999993</v>
      </c>
      <c r="U149" s="422">
        <v>74.400000000000006</v>
      </c>
    </row>
    <row r="150" spans="1:27" s="424" customFormat="1" x14ac:dyDescent="0.25">
      <c r="A150" s="420">
        <v>213044</v>
      </c>
      <c r="B150" s="1777">
        <v>8.8800000000000008</v>
      </c>
      <c r="D150" s="422">
        <v>0.186</v>
      </c>
      <c r="E150" s="1731">
        <v>1.84</v>
      </c>
      <c r="F150" s="424">
        <v>0</v>
      </c>
      <c r="G150" s="424">
        <v>0.09</v>
      </c>
      <c r="H150" s="424">
        <v>7.2</v>
      </c>
      <c r="I150" s="424">
        <v>17.77</v>
      </c>
      <c r="J150" s="422">
        <v>1.53</v>
      </c>
      <c r="K150" s="1777">
        <v>3.69</v>
      </c>
      <c r="L150" s="1777">
        <v>16.22</v>
      </c>
      <c r="M150" s="1777">
        <v>13.1</v>
      </c>
      <c r="N150" s="1777">
        <v>4.54</v>
      </c>
      <c r="O150" s="1777">
        <v>2.63</v>
      </c>
      <c r="P150" s="1777">
        <v>1.41</v>
      </c>
      <c r="Q150" s="1777">
        <v>3.95</v>
      </c>
      <c r="R150" s="1777">
        <v>4.22</v>
      </c>
      <c r="S150" s="421">
        <v>0.79579481785516537</v>
      </c>
      <c r="T150" s="1730">
        <v>5.6000000000000005</v>
      </c>
      <c r="U150" s="422">
        <v>76.800000000000011</v>
      </c>
    </row>
    <row r="151" spans="1:27" s="1730" customFormat="1" ht="18.75" x14ac:dyDescent="0.3">
      <c r="A151" s="420">
        <v>213045</v>
      </c>
      <c r="B151" s="1730">
        <v>8.65</v>
      </c>
      <c r="D151" s="422">
        <v>0.218</v>
      </c>
      <c r="E151" s="421">
        <v>0.3</v>
      </c>
      <c r="F151" s="422">
        <v>0</v>
      </c>
      <c r="G151" s="422">
        <v>0.12</v>
      </c>
      <c r="H151" s="422">
        <v>18</v>
      </c>
      <c r="I151" s="422">
        <v>32.35</v>
      </c>
      <c r="J151" s="422">
        <v>3.34</v>
      </c>
      <c r="K151" s="1730">
        <v>18.559999999999999</v>
      </c>
      <c r="L151" s="1730">
        <v>10.61</v>
      </c>
      <c r="M151" s="1730">
        <v>12.9</v>
      </c>
      <c r="N151" s="1730">
        <v>8.34</v>
      </c>
      <c r="O151" s="1730">
        <v>7.59</v>
      </c>
      <c r="P151" s="1730">
        <v>1.77</v>
      </c>
      <c r="Q151" s="1730">
        <v>2.75</v>
      </c>
      <c r="R151" s="1730">
        <v>7.39</v>
      </c>
      <c r="S151" s="1777">
        <v>1.1465523010368419</v>
      </c>
      <c r="T151" s="1151">
        <v>8.5</v>
      </c>
      <c r="U151" s="1730">
        <v>55.7</v>
      </c>
      <c r="W151" s="1730">
        <v>0.09</v>
      </c>
    </row>
    <row r="152" spans="1:27" s="422" customFormat="1" x14ac:dyDescent="0.25">
      <c r="A152" s="420">
        <v>213046</v>
      </c>
      <c r="B152" s="422">
        <v>8.23</v>
      </c>
      <c r="D152" s="422">
        <v>0.53800000000000003</v>
      </c>
      <c r="E152" s="421">
        <v>24.21</v>
      </c>
      <c r="F152" s="422">
        <v>0</v>
      </c>
      <c r="G152" s="422">
        <v>0.13</v>
      </c>
      <c r="H152" s="422">
        <v>60.4</v>
      </c>
      <c r="I152" s="422">
        <v>120.48</v>
      </c>
      <c r="J152" s="422">
        <v>2.83</v>
      </c>
      <c r="K152" s="422">
        <v>8.86</v>
      </c>
      <c r="L152" s="422">
        <v>59.02</v>
      </c>
      <c r="M152" s="422">
        <v>24.94</v>
      </c>
      <c r="N152" s="422">
        <v>15.37</v>
      </c>
      <c r="O152" s="422">
        <v>16.28</v>
      </c>
      <c r="P152" s="422">
        <v>4.26</v>
      </c>
      <c r="Q152" s="422">
        <v>2.23</v>
      </c>
      <c r="R152" s="422">
        <v>9.76</v>
      </c>
      <c r="S152" s="421">
        <v>0.88498209364062208</v>
      </c>
      <c r="T152" s="423">
        <v>6.6000000000000005</v>
      </c>
      <c r="U152" s="422">
        <v>40.799999999999997</v>
      </c>
    </row>
    <row r="153" spans="1:27" s="422" customFormat="1" x14ac:dyDescent="0.25">
      <c r="A153" s="420">
        <v>213047</v>
      </c>
      <c r="B153" s="422">
        <v>8.48</v>
      </c>
      <c r="D153" s="422">
        <v>0.39100000000000001</v>
      </c>
      <c r="E153" s="421">
        <v>21.62</v>
      </c>
      <c r="F153" s="422">
        <v>0</v>
      </c>
      <c r="G153" s="422">
        <v>0.22</v>
      </c>
      <c r="H153" s="422">
        <v>49.2</v>
      </c>
      <c r="I153" s="422">
        <v>72.89</v>
      </c>
      <c r="J153" s="422">
        <v>2.87</v>
      </c>
      <c r="K153" s="422">
        <v>9.36</v>
      </c>
      <c r="L153" s="422">
        <v>41.31</v>
      </c>
      <c r="M153" s="422">
        <v>18.809999999999999</v>
      </c>
      <c r="N153" s="422">
        <v>10.72</v>
      </c>
      <c r="O153" s="422">
        <v>17.79</v>
      </c>
      <c r="P153" s="422">
        <v>10.39</v>
      </c>
      <c r="Q153" s="422">
        <v>2.6</v>
      </c>
      <c r="R153" s="422">
        <v>8.06</v>
      </c>
      <c r="S153" s="421">
        <v>1.156887640607303</v>
      </c>
      <c r="T153" s="423">
        <v>8</v>
      </c>
      <c r="U153" s="422">
        <v>38.400000000000006</v>
      </c>
    </row>
    <row r="154" spans="1:27" s="422" customFormat="1" x14ac:dyDescent="0.25">
      <c r="A154" s="420">
        <v>213048</v>
      </c>
      <c r="B154" s="422">
        <v>8.2899999999999991</v>
      </c>
      <c r="D154" s="422">
        <v>0.73499999999999999</v>
      </c>
      <c r="E154" s="421">
        <v>49.46</v>
      </c>
      <c r="F154" s="422">
        <v>0</v>
      </c>
      <c r="G154" s="422">
        <v>0.16</v>
      </c>
      <c r="H154" s="422">
        <v>98.2</v>
      </c>
      <c r="I154" s="422">
        <v>159.56</v>
      </c>
      <c r="J154" s="422">
        <v>1.25</v>
      </c>
      <c r="K154" s="422">
        <v>22.26</v>
      </c>
      <c r="L154" s="422">
        <v>69.84</v>
      </c>
      <c r="M154" s="422">
        <v>37.28</v>
      </c>
      <c r="N154" s="422">
        <v>19.53</v>
      </c>
      <c r="O154" s="422">
        <v>12.48</v>
      </c>
      <c r="P154" s="422">
        <v>8.25</v>
      </c>
      <c r="Q154" s="422">
        <v>2.4300000000000002</v>
      </c>
      <c r="R154" s="422">
        <v>6.2</v>
      </c>
      <c r="S154" s="421">
        <v>0.8479982971918737</v>
      </c>
      <c r="T154" s="423">
        <v>6</v>
      </c>
      <c r="U154" s="422">
        <v>36</v>
      </c>
    </row>
    <row r="155" spans="1:27" s="422" customFormat="1" x14ac:dyDescent="0.25">
      <c r="A155" s="420">
        <v>213049</v>
      </c>
      <c r="B155" s="422">
        <v>8.85</v>
      </c>
      <c r="D155" s="422">
        <v>0.52300000000000002</v>
      </c>
      <c r="E155" s="421">
        <v>20.95</v>
      </c>
      <c r="F155" s="422">
        <v>0</v>
      </c>
      <c r="G155" s="422">
        <v>0.14000000000000001</v>
      </c>
      <c r="H155" s="422">
        <v>77.400000000000006</v>
      </c>
      <c r="I155" s="422">
        <v>83.08</v>
      </c>
      <c r="J155" s="422">
        <v>2.77</v>
      </c>
      <c r="K155" s="422">
        <v>6.04</v>
      </c>
      <c r="L155" s="422">
        <v>84.34</v>
      </c>
      <c r="M155" s="422">
        <v>10.92</v>
      </c>
      <c r="N155" s="422">
        <v>7.94</v>
      </c>
      <c r="O155" s="422">
        <v>11.44</v>
      </c>
      <c r="P155" s="422">
        <v>6.74</v>
      </c>
      <c r="Q155" s="422">
        <v>3.44</v>
      </c>
      <c r="R155" s="422">
        <v>4.46</v>
      </c>
      <c r="S155" s="421">
        <v>1.2852517267786867</v>
      </c>
      <c r="T155" s="423">
        <v>9</v>
      </c>
      <c r="U155" s="422">
        <v>60</v>
      </c>
    </row>
    <row r="156" spans="1:27" s="422" customFormat="1" x14ac:dyDescent="0.25">
      <c r="A156" s="420">
        <v>213050</v>
      </c>
      <c r="B156" s="422">
        <v>8.73</v>
      </c>
      <c r="D156" s="422">
        <v>0.39800000000000002</v>
      </c>
      <c r="E156" s="421">
        <v>26.75</v>
      </c>
      <c r="F156" s="422">
        <v>0</v>
      </c>
      <c r="G156" s="422">
        <v>0.12</v>
      </c>
      <c r="H156" s="422">
        <v>47.5</v>
      </c>
      <c r="I156" s="422">
        <v>72.72</v>
      </c>
      <c r="J156" s="422">
        <v>2.6</v>
      </c>
      <c r="K156" s="422">
        <v>11.06</v>
      </c>
      <c r="L156" s="422">
        <v>55.53</v>
      </c>
      <c r="M156" s="422">
        <v>11.75</v>
      </c>
      <c r="N156" s="422">
        <v>6.82</v>
      </c>
      <c r="O156" s="422">
        <v>10.64</v>
      </c>
      <c r="P156" s="422">
        <v>5.27</v>
      </c>
      <c r="Q156" s="422">
        <v>4</v>
      </c>
      <c r="R156" s="422">
        <v>5.32</v>
      </c>
      <c r="S156" s="421">
        <v>0.84055339831942144</v>
      </c>
      <c r="T156" s="423">
        <v>6</v>
      </c>
      <c r="U156" s="422">
        <v>43.2</v>
      </c>
    </row>
    <row r="157" spans="1:27" s="422" customFormat="1" x14ac:dyDescent="0.25">
      <c r="A157" s="420">
        <v>213051</v>
      </c>
      <c r="B157" s="422">
        <v>8.68</v>
      </c>
      <c r="D157" s="422">
        <v>0.16200000000000001</v>
      </c>
      <c r="E157" s="421">
        <v>2.34</v>
      </c>
      <c r="F157" s="422">
        <v>0</v>
      </c>
      <c r="G157" s="422">
        <v>0.14000000000000001</v>
      </c>
      <c r="H157" s="422">
        <v>13.1</v>
      </c>
      <c r="I157" s="422">
        <v>17.350000000000001</v>
      </c>
      <c r="J157" s="422">
        <v>2.2200000000000002</v>
      </c>
      <c r="K157" s="422">
        <v>3.45</v>
      </c>
      <c r="L157" s="422">
        <v>3.68</v>
      </c>
      <c r="M157" s="422">
        <v>17.37</v>
      </c>
      <c r="N157" s="422">
        <v>6.19</v>
      </c>
      <c r="O157" s="422">
        <v>3.4</v>
      </c>
      <c r="P157" s="422">
        <v>1.46</v>
      </c>
      <c r="Q157" s="422">
        <v>2.4300000000000002</v>
      </c>
      <c r="R157" s="422">
        <v>5.23</v>
      </c>
      <c r="S157" s="421">
        <v>0.57987404963675526</v>
      </c>
      <c r="T157" s="423">
        <v>3.8</v>
      </c>
      <c r="U157" s="422">
        <v>52.800000000000004</v>
      </c>
    </row>
    <row r="158" spans="1:27" s="1813" customFormat="1" x14ac:dyDescent="0.25">
      <c r="A158" s="1811">
        <v>213052</v>
      </c>
      <c r="B158" s="1812">
        <v>8.4</v>
      </c>
      <c r="D158" s="1301">
        <v>0.23</v>
      </c>
      <c r="E158" s="1814">
        <v>6.66</v>
      </c>
      <c r="F158" s="1812">
        <v>0</v>
      </c>
      <c r="G158" s="1812">
        <v>0.14000000000000001</v>
      </c>
      <c r="H158" s="1813">
        <v>13.2</v>
      </c>
      <c r="I158" s="1812">
        <v>48.44</v>
      </c>
      <c r="J158" s="1813">
        <v>1.91</v>
      </c>
      <c r="K158" s="1813">
        <v>6.06</v>
      </c>
      <c r="L158" s="1813">
        <v>7.96</v>
      </c>
      <c r="M158" s="1813">
        <v>24.41</v>
      </c>
      <c r="N158" s="1813">
        <v>8.31</v>
      </c>
      <c r="O158" s="1813">
        <v>9.7100000000000009</v>
      </c>
      <c r="P158" s="1813">
        <v>3.97</v>
      </c>
      <c r="Q158" s="1813">
        <v>2.94</v>
      </c>
      <c r="R158" s="1813">
        <v>13.79</v>
      </c>
      <c r="S158" s="1814">
        <v>1.6177680000000001</v>
      </c>
      <c r="T158" s="1813">
        <v>11.399999999999999</v>
      </c>
      <c r="U158" s="1813">
        <v>51.2</v>
      </c>
      <c r="Z158" s="1813">
        <f>+D158*3000</f>
        <v>690</v>
      </c>
      <c r="AA158" s="1813">
        <f>+D158*4000</f>
        <v>920</v>
      </c>
    </row>
    <row r="159" spans="1:27" s="1813" customFormat="1" x14ac:dyDescent="0.25">
      <c r="A159" s="1811">
        <v>213053</v>
      </c>
      <c r="B159" s="1812">
        <v>8.5500000000000007</v>
      </c>
      <c r="D159" s="1301">
        <v>0.14499999999999999</v>
      </c>
      <c r="E159" s="1814">
        <v>7.71</v>
      </c>
      <c r="F159" s="1812">
        <v>0</v>
      </c>
      <c r="G159" s="1812">
        <v>0.23</v>
      </c>
      <c r="H159" s="1813">
        <v>11.2</v>
      </c>
      <c r="I159" s="1812">
        <v>13.15</v>
      </c>
      <c r="J159" s="1813">
        <v>2.8</v>
      </c>
      <c r="K159" s="1813">
        <v>4.87</v>
      </c>
      <c r="L159" s="1813">
        <v>2.91</v>
      </c>
      <c r="M159" s="1813">
        <v>16.37</v>
      </c>
      <c r="N159" s="1813">
        <v>6.44</v>
      </c>
      <c r="O159" s="1813">
        <v>3.45</v>
      </c>
      <c r="P159" s="1813">
        <v>1.02</v>
      </c>
      <c r="Q159" s="1813">
        <v>1.84</v>
      </c>
      <c r="R159" s="1813">
        <v>4.22</v>
      </c>
      <c r="S159" s="1814">
        <v>1.0571877310227145</v>
      </c>
      <c r="T159" s="1813">
        <v>7.5</v>
      </c>
      <c r="U159" s="1813">
        <v>51.2</v>
      </c>
      <c r="Z159" s="1813">
        <f t="shared" ref="Z159:Z164" si="0">+D159*3000</f>
        <v>434.99999999999994</v>
      </c>
      <c r="AA159" s="1813">
        <f t="shared" ref="AA159:AA164" si="1">+D159*4000</f>
        <v>580</v>
      </c>
    </row>
    <row r="160" spans="1:27" s="1813" customFormat="1" x14ac:dyDescent="0.25">
      <c r="A160" s="1811">
        <v>213054</v>
      </c>
      <c r="B160" s="1812">
        <v>8.65</v>
      </c>
      <c r="D160" s="1301">
        <v>0.14899999999999999</v>
      </c>
      <c r="E160" s="1814">
        <v>0.65</v>
      </c>
      <c r="F160" s="1812">
        <v>0</v>
      </c>
      <c r="G160" s="1812">
        <v>0.15</v>
      </c>
      <c r="H160" s="1813">
        <v>12.3</v>
      </c>
      <c r="I160" s="1812">
        <v>15.33</v>
      </c>
      <c r="J160" s="1813">
        <v>1.81</v>
      </c>
      <c r="K160" s="1813">
        <v>2.23</v>
      </c>
      <c r="L160" s="1813">
        <v>5.2</v>
      </c>
      <c r="M160" s="1813">
        <v>15.2</v>
      </c>
      <c r="N160" s="1813">
        <v>7.35</v>
      </c>
      <c r="O160" s="1813">
        <v>2.19</v>
      </c>
      <c r="P160" s="1813">
        <v>0.46</v>
      </c>
      <c r="Q160" s="1813">
        <v>2.38</v>
      </c>
      <c r="R160" s="1813">
        <v>8.69</v>
      </c>
      <c r="S160" s="1814">
        <v>0.98557197655210427</v>
      </c>
      <c r="T160" s="1813">
        <v>7</v>
      </c>
      <c r="U160" s="1813">
        <v>52.3</v>
      </c>
      <c r="Z160" s="1813">
        <f t="shared" si="0"/>
        <v>447</v>
      </c>
      <c r="AA160" s="1813">
        <f t="shared" si="1"/>
        <v>596</v>
      </c>
    </row>
    <row r="161" spans="1:27" s="1813" customFormat="1" x14ac:dyDescent="0.25">
      <c r="A161" s="1811">
        <v>213055</v>
      </c>
      <c r="B161" s="1812">
        <v>8.4</v>
      </c>
      <c r="D161" s="1301">
        <v>0.17599999999999999</v>
      </c>
      <c r="E161" s="1814">
        <v>11.6</v>
      </c>
      <c r="F161" s="1812">
        <v>0</v>
      </c>
      <c r="G161" s="1812">
        <v>0.14000000000000001</v>
      </c>
      <c r="H161" s="1813">
        <v>14.3</v>
      </c>
      <c r="I161" s="1812">
        <v>16.68</v>
      </c>
      <c r="J161" s="1813">
        <v>3.65</v>
      </c>
      <c r="K161" s="1813">
        <v>2.48</v>
      </c>
      <c r="L161" s="1813">
        <v>5.32</v>
      </c>
      <c r="M161" s="1813">
        <v>18.399999999999999</v>
      </c>
      <c r="N161" s="1813">
        <v>8.41</v>
      </c>
      <c r="O161" s="1813">
        <v>3.31</v>
      </c>
      <c r="P161" s="1813">
        <v>0.66</v>
      </c>
      <c r="Q161" s="1813">
        <v>2.41</v>
      </c>
      <c r="R161" s="1813">
        <v>4.32</v>
      </c>
      <c r="S161" s="1814">
        <v>1.1323010975942938</v>
      </c>
      <c r="T161" s="1813">
        <v>7.4</v>
      </c>
      <c r="U161" s="1813">
        <v>47.2</v>
      </c>
      <c r="Z161" s="1813">
        <f t="shared" si="0"/>
        <v>528</v>
      </c>
      <c r="AA161" s="1813">
        <f t="shared" si="1"/>
        <v>704</v>
      </c>
    </row>
    <row r="162" spans="1:27" s="1813" customFormat="1" x14ac:dyDescent="0.25">
      <c r="A162" s="1811">
        <v>213056</v>
      </c>
      <c r="B162" s="1812">
        <v>8.73</v>
      </c>
      <c r="D162" s="1301">
        <v>0.14899999999999999</v>
      </c>
      <c r="E162" s="1814">
        <v>0.99</v>
      </c>
      <c r="F162" s="1812">
        <v>0</v>
      </c>
      <c r="G162" s="1812">
        <v>0.16</v>
      </c>
      <c r="H162" s="1813">
        <v>12.6</v>
      </c>
      <c r="I162" s="1812">
        <v>24.4</v>
      </c>
      <c r="J162" s="1813">
        <v>2.12</v>
      </c>
      <c r="K162" s="1813">
        <v>2.0099999999999998</v>
      </c>
      <c r="L162" s="1813">
        <v>4.99</v>
      </c>
      <c r="M162" s="1813">
        <v>13.2</v>
      </c>
      <c r="N162" s="1813">
        <v>5.49</v>
      </c>
      <c r="O162" s="1813">
        <v>3.33</v>
      </c>
      <c r="P162" s="1813">
        <v>1.69</v>
      </c>
      <c r="Q162" s="1813">
        <v>2.2400000000000002</v>
      </c>
      <c r="R162" s="1813">
        <v>3.42</v>
      </c>
      <c r="S162" s="1814">
        <v>0.6364856146054132</v>
      </c>
      <c r="T162" s="1813">
        <v>4.4000000000000004</v>
      </c>
      <c r="U162" s="1813">
        <v>48</v>
      </c>
      <c r="Z162" s="1813">
        <f t="shared" si="0"/>
        <v>447</v>
      </c>
      <c r="AA162" s="1813">
        <f t="shared" si="1"/>
        <v>596</v>
      </c>
    </row>
    <row r="163" spans="1:27" s="1813" customFormat="1" x14ac:dyDescent="0.25">
      <c r="A163" s="1811">
        <v>213057</v>
      </c>
      <c r="B163" s="1812">
        <v>8.1300000000000008</v>
      </c>
      <c r="D163" s="1301">
        <v>0.219</v>
      </c>
      <c r="E163" s="1814">
        <v>38.979999999999997</v>
      </c>
      <c r="F163" s="1812">
        <v>0</v>
      </c>
      <c r="G163" s="1812">
        <v>0.18</v>
      </c>
      <c r="H163" s="1813">
        <v>13.4</v>
      </c>
      <c r="I163" s="1812">
        <v>15.61</v>
      </c>
      <c r="J163" s="1813">
        <v>5.61</v>
      </c>
      <c r="K163" s="1813">
        <v>7.95</v>
      </c>
      <c r="L163" s="1813">
        <v>3.62</v>
      </c>
      <c r="M163" s="1813">
        <v>23.63</v>
      </c>
      <c r="N163" s="1813">
        <v>8.69</v>
      </c>
      <c r="O163" s="1813">
        <v>3.75</v>
      </c>
      <c r="P163" s="1813">
        <v>1.62</v>
      </c>
      <c r="Q163" s="1813">
        <v>3.39</v>
      </c>
      <c r="R163" s="1813">
        <v>5.51</v>
      </c>
      <c r="S163" s="1814">
        <v>1.0104962848422643</v>
      </c>
      <c r="T163" s="1813">
        <v>7.1</v>
      </c>
      <c r="U163" s="1813">
        <v>55.6</v>
      </c>
      <c r="Z163" s="1813">
        <f t="shared" si="0"/>
        <v>657</v>
      </c>
      <c r="AA163" s="1813">
        <f t="shared" si="1"/>
        <v>876</v>
      </c>
    </row>
    <row r="164" spans="1:27" s="1813" customFormat="1" x14ac:dyDescent="0.25">
      <c r="A164" s="1811">
        <v>213058</v>
      </c>
      <c r="B164" s="1812">
        <v>8.65</v>
      </c>
      <c r="D164" s="1301">
        <v>0.16400000000000001</v>
      </c>
      <c r="E164" s="1814">
        <v>10.24</v>
      </c>
      <c r="F164" s="1812">
        <v>0</v>
      </c>
      <c r="G164" s="1812">
        <v>0.17</v>
      </c>
      <c r="H164" s="1813">
        <v>13.5</v>
      </c>
      <c r="I164" s="1812">
        <v>13.27</v>
      </c>
      <c r="J164" s="1813">
        <v>4.62</v>
      </c>
      <c r="K164" s="1813">
        <v>0.68</v>
      </c>
      <c r="L164" s="1813">
        <v>16.88</v>
      </c>
      <c r="M164" s="1813">
        <v>13.09</v>
      </c>
      <c r="N164" s="1813">
        <v>5.71</v>
      </c>
      <c r="O164" s="1813">
        <v>2.0499999999999998</v>
      </c>
      <c r="P164" s="1813">
        <v>0.32</v>
      </c>
      <c r="Q164" s="1813">
        <v>2.82</v>
      </c>
      <c r="R164" s="1813">
        <v>3.68</v>
      </c>
      <c r="S164" s="1814">
        <v>1.0291894835792703</v>
      </c>
      <c r="T164" s="1813">
        <v>6.8999999999999995</v>
      </c>
      <c r="U164" s="1813">
        <v>52.3</v>
      </c>
      <c r="Z164" s="1813">
        <f t="shared" si="0"/>
        <v>492</v>
      </c>
      <c r="AA164" s="1813">
        <f t="shared" si="1"/>
        <v>656</v>
      </c>
    </row>
    <row r="165" spans="1:27" s="1730" customFormat="1" ht="18.75" x14ac:dyDescent="0.3">
      <c r="A165" s="1729">
        <v>213059</v>
      </c>
      <c r="B165" s="422">
        <v>8.1300000000000008</v>
      </c>
      <c r="D165" s="1730">
        <v>0.54600000000000004</v>
      </c>
      <c r="E165" s="1777">
        <v>73.84</v>
      </c>
      <c r="F165" s="422">
        <v>0</v>
      </c>
      <c r="G165" s="422">
        <v>0.14000000000000001</v>
      </c>
      <c r="H165" s="1730">
        <v>94.2</v>
      </c>
      <c r="I165" s="422">
        <v>39.700000000000003</v>
      </c>
      <c r="J165" s="1730">
        <v>1.75</v>
      </c>
      <c r="K165" s="1730">
        <v>9</v>
      </c>
      <c r="L165" s="1730">
        <v>52.56</v>
      </c>
      <c r="M165" s="1730">
        <v>27.92</v>
      </c>
      <c r="N165" s="1730">
        <v>12.64</v>
      </c>
      <c r="O165" s="1730">
        <v>3.86</v>
      </c>
      <c r="P165" s="1730">
        <v>1.1499999999999999</v>
      </c>
      <c r="Q165" s="1730">
        <v>1.93</v>
      </c>
      <c r="R165" s="1730">
        <v>4.03</v>
      </c>
      <c r="S165" s="1152">
        <v>1.3261911813906881</v>
      </c>
      <c r="T165" s="1151">
        <v>8.8000000000000007</v>
      </c>
      <c r="U165" s="1730">
        <v>48</v>
      </c>
    </row>
    <row r="166" spans="1:27" s="1730" customFormat="1" ht="18.75" x14ac:dyDescent="0.3">
      <c r="A166" s="1729">
        <v>213060</v>
      </c>
      <c r="B166" s="422">
        <v>8.3000000000000007</v>
      </c>
      <c r="D166" s="1730">
        <v>0.36899999999999999</v>
      </c>
      <c r="E166" s="1777">
        <v>47.66</v>
      </c>
      <c r="F166" s="422">
        <v>0</v>
      </c>
      <c r="G166" s="422">
        <v>0.23</v>
      </c>
      <c r="H166" s="1730">
        <v>48.6</v>
      </c>
      <c r="I166" s="422">
        <v>23.79</v>
      </c>
      <c r="J166" s="1730">
        <v>3.62</v>
      </c>
      <c r="K166" s="1730">
        <v>7.78</v>
      </c>
      <c r="L166" s="1730">
        <v>34.07</v>
      </c>
      <c r="M166" s="1730">
        <v>20.93</v>
      </c>
      <c r="N166" s="1730">
        <v>8.2100000000000009</v>
      </c>
      <c r="O166" s="1730">
        <v>4.72</v>
      </c>
      <c r="P166" s="1730">
        <v>1.57</v>
      </c>
      <c r="Q166" s="1730">
        <v>2.71</v>
      </c>
      <c r="R166" s="1730">
        <v>5.18</v>
      </c>
      <c r="S166" s="1152">
        <v>1.0288918682665011</v>
      </c>
      <c r="T166" s="1151">
        <v>6.8999999999999995</v>
      </c>
      <c r="U166" s="1730">
        <v>67.199999999999989</v>
      </c>
    </row>
    <row r="167" spans="1:27" s="1730" customFormat="1" ht="18.75" x14ac:dyDescent="0.3">
      <c r="A167" s="1729">
        <v>213061</v>
      </c>
      <c r="B167" s="422">
        <v>8.1</v>
      </c>
      <c r="D167" s="1730">
        <v>0.373</v>
      </c>
      <c r="E167" s="1777">
        <v>6.32</v>
      </c>
      <c r="F167" s="422">
        <v>0</v>
      </c>
      <c r="G167" s="422">
        <v>0.15</v>
      </c>
      <c r="H167" s="1730">
        <v>39.200000000000003</v>
      </c>
      <c r="I167" s="422">
        <v>98.01</v>
      </c>
      <c r="J167" s="1730">
        <v>1.82</v>
      </c>
      <c r="K167" s="1730">
        <v>1.02</v>
      </c>
      <c r="L167" s="1730">
        <v>32.44</v>
      </c>
      <c r="M167" s="1730">
        <v>24.6</v>
      </c>
      <c r="N167" s="1730">
        <v>7.67</v>
      </c>
      <c r="O167" s="1730">
        <v>2.4500000000000002</v>
      </c>
      <c r="P167" s="1730">
        <v>2.4</v>
      </c>
      <c r="Q167" s="1730">
        <v>1.75</v>
      </c>
      <c r="R167" s="1730">
        <v>3.69</v>
      </c>
      <c r="S167" s="1152">
        <v>0.52139968932056036</v>
      </c>
      <c r="T167" s="1151">
        <v>3.8</v>
      </c>
      <c r="U167" s="1730">
        <v>33.599999999999994</v>
      </c>
    </row>
    <row r="168" spans="1:27" s="1730" customFormat="1" ht="18.75" x14ac:dyDescent="0.3">
      <c r="A168" s="1729">
        <v>213062</v>
      </c>
      <c r="B168" s="422">
        <v>8.44</v>
      </c>
      <c r="D168" s="1730">
        <v>0.20100000000000001</v>
      </c>
      <c r="E168" s="1777">
        <v>1.03</v>
      </c>
      <c r="F168" s="422">
        <v>0</v>
      </c>
      <c r="G168" s="422">
        <v>0.14000000000000001</v>
      </c>
      <c r="H168" s="1730">
        <v>24.5</v>
      </c>
      <c r="I168" s="422">
        <v>17.899999999999999</v>
      </c>
      <c r="J168" s="1730">
        <v>3.26</v>
      </c>
      <c r="K168" s="1730">
        <v>1.08</v>
      </c>
      <c r="L168" s="1730">
        <v>22.59</v>
      </c>
      <c r="M168" s="1730">
        <v>10.43</v>
      </c>
      <c r="N168" s="1730">
        <v>3.29</v>
      </c>
      <c r="O168" s="1730">
        <v>3.28</v>
      </c>
      <c r="P168" s="1730">
        <v>2.35</v>
      </c>
      <c r="Q168" s="1730">
        <v>2.73</v>
      </c>
      <c r="R168" s="1730">
        <v>5.03</v>
      </c>
      <c r="S168" s="1152">
        <v>0.68548040877675032</v>
      </c>
      <c r="T168" s="1151">
        <v>4.8</v>
      </c>
      <c r="U168" s="1730">
        <v>62.400000000000006</v>
      </c>
    </row>
    <row r="169" spans="1:27" s="424" customFormat="1" x14ac:dyDescent="0.25">
      <c r="A169" s="1820">
        <v>213063</v>
      </c>
      <c r="B169" s="422">
        <v>8.31</v>
      </c>
      <c r="D169" s="1730">
        <v>0.34200000000000003</v>
      </c>
      <c r="E169" s="1731">
        <v>50.86</v>
      </c>
      <c r="F169" s="422">
        <v>0</v>
      </c>
      <c r="G169" s="422">
        <v>0.15</v>
      </c>
      <c r="H169" s="424">
        <v>31</v>
      </c>
      <c r="I169" s="422">
        <v>49.45</v>
      </c>
      <c r="J169" s="1730">
        <v>7.38</v>
      </c>
      <c r="K169" s="1730">
        <v>14.76</v>
      </c>
      <c r="L169" s="1730">
        <v>9.2799999999999994</v>
      </c>
      <c r="M169" s="1730">
        <v>26.43</v>
      </c>
      <c r="N169" s="1730">
        <v>13.73</v>
      </c>
      <c r="O169" s="1730">
        <v>10</v>
      </c>
      <c r="P169" s="1730">
        <v>4.5199999999999996</v>
      </c>
      <c r="Q169" s="1730">
        <v>6.19</v>
      </c>
      <c r="R169" s="1730">
        <v>9.57</v>
      </c>
      <c r="S169" s="421">
        <v>0.31974454957177373</v>
      </c>
      <c r="T169" s="422">
        <v>2.2000000000000002</v>
      </c>
      <c r="U169" s="422">
        <v>55.199999999999996</v>
      </c>
      <c r="Z169" s="1730"/>
      <c r="AA169" s="1730"/>
    </row>
    <row r="170" spans="1:27" s="424" customFormat="1" x14ac:dyDescent="0.25">
      <c r="A170" s="1820">
        <v>213064</v>
      </c>
      <c r="B170" s="422">
        <v>8.2799999999999994</v>
      </c>
      <c r="D170" s="1730">
        <v>0.218</v>
      </c>
      <c r="E170" s="1731">
        <v>32.590000000000003</v>
      </c>
      <c r="F170" s="422">
        <v>0</v>
      </c>
      <c r="G170" s="422">
        <v>0.14000000000000001</v>
      </c>
      <c r="H170" s="424">
        <v>26</v>
      </c>
      <c r="I170" s="422">
        <v>22.48</v>
      </c>
      <c r="J170" s="1730">
        <v>4.75</v>
      </c>
      <c r="K170" s="1730">
        <v>11.18</v>
      </c>
      <c r="L170" s="1730">
        <v>9.49</v>
      </c>
      <c r="M170" s="1730">
        <v>14.5</v>
      </c>
      <c r="N170" s="1730">
        <v>7.89</v>
      </c>
      <c r="O170" s="1730">
        <v>8.06</v>
      </c>
      <c r="P170" s="1730">
        <v>4.3499999999999996</v>
      </c>
      <c r="Q170" s="1730">
        <v>5.14</v>
      </c>
      <c r="R170" s="1730">
        <v>6.86</v>
      </c>
      <c r="S170" s="421">
        <v>0.68880375036357222</v>
      </c>
      <c r="T170" s="422">
        <v>4.6999999999999993</v>
      </c>
      <c r="U170" s="422">
        <v>41.5</v>
      </c>
      <c r="Z170" s="1730"/>
      <c r="AA170" s="1730"/>
    </row>
    <row r="171" spans="1:27" s="424" customFormat="1" x14ac:dyDescent="0.25">
      <c r="A171" s="1820">
        <v>213065</v>
      </c>
      <c r="B171" s="422">
        <v>8.0399999999999991</v>
      </c>
      <c r="D171" s="1730">
        <v>0.436</v>
      </c>
      <c r="E171" s="1731">
        <v>1.18</v>
      </c>
      <c r="F171" s="422">
        <v>0</v>
      </c>
      <c r="G171" s="422">
        <v>0.16</v>
      </c>
      <c r="H171" s="424">
        <v>36</v>
      </c>
      <c r="I171" s="422">
        <v>130.94</v>
      </c>
      <c r="J171" s="1730">
        <v>6.16</v>
      </c>
      <c r="K171" s="1730">
        <v>44.99</v>
      </c>
      <c r="L171" s="1730">
        <v>11.8</v>
      </c>
      <c r="M171" s="1730">
        <v>30.45</v>
      </c>
      <c r="N171" s="1730">
        <v>14.16</v>
      </c>
      <c r="O171" s="1730">
        <v>8.34</v>
      </c>
      <c r="P171" s="1730">
        <v>8.39</v>
      </c>
      <c r="Q171" s="1730">
        <v>9.19</v>
      </c>
      <c r="R171" s="1730">
        <v>10.54</v>
      </c>
      <c r="S171" s="421">
        <v>0.47959721025147078</v>
      </c>
      <c r="T171" s="422">
        <v>3.5</v>
      </c>
      <c r="U171" s="422">
        <v>52.6</v>
      </c>
      <c r="Z171" s="1730"/>
      <c r="AA171" s="1730"/>
    </row>
    <row r="172" spans="1:27" s="424" customFormat="1" x14ac:dyDescent="0.25">
      <c r="A172" s="1820">
        <v>213066</v>
      </c>
      <c r="B172" s="422">
        <v>8.5500000000000007</v>
      </c>
      <c r="D172" s="1730">
        <v>0.17799999999999999</v>
      </c>
      <c r="E172" s="1731">
        <v>0.66</v>
      </c>
      <c r="F172" s="422">
        <v>0</v>
      </c>
      <c r="G172" s="422">
        <v>0.1</v>
      </c>
      <c r="H172" s="424">
        <v>22</v>
      </c>
      <c r="I172" s="422">
        <v>37.19</v>
      </c>
      <c r="J172" s="1730">
        <v>4.5999999999999996</v>
      </c>
      <c r="K172" s="1730">
        <v>21.35</v>
      </c>
      <c r="L172" s="1730">
        <v>3.65</v>
      </c>
      <c r="M172" s="1730">
        <v>11.09</v>
      </c>
      <c r="N172" s="1730">
        <v>5.41</v>
      </c>
      <c r="O172" s="1730">
        <v>2.12</v>
      </c>
      <c r="P172" s="1730">
        <v>0.52</v>
      </c>
      <c r="Q172" s="1730">
        <v>6.36</v>
      </c>
      <c r="R172" s="1730">
        <v>4.1900000000000004</v>
      </c>
      <c r="S172" s="421">
        <v>1.307480296750114</v>
      </c>
      <c r="T172" s="422">
        <v>8.5</v>
      </c>
      <c r="U172" s="422">
        <v>44.2</v>
      </c>
      <c r="Z172" s="1730"/>
      <c r="AA172" s="1730"/>
    </row>
    <row r="173" spans="1:27" s="791" customFormat="1" x14ac:dyDescent="0.25">
      <c r="A173" s="793">
        <v>213067</v>
      </c>
      <c r="B173" s="1646">
        <v>8.06</v>
      </c>
      <c r="D173" s="791">
        <v>0.16500000000000001</v>
      </c>
      <c r="E173" s="841">
        <v>10.7</v>
      </c>
      <c r="F173" s="1646">
        <v>0</v>
      </c>
      <c r="G173" s="1646">
        <v>0.14000000000000001</v>
      </c>
      <c r="H173" s="791">
        <v>14</v>
      </c>
      <c r="I173" s="1646">
        <v>15.35</v>
      </c>
      <c r="J173" s="791">
        <v>5.33</v>
      </c>
      <c r="K173" s="791">
        <v>2.96</v>
      </c>
      <c r="L173" s="791">
        <v>14.23</v>
      </c>
      <c r="M173" s="791">
        <v>13.19</v>
      </c>
      <c r="N173" s="791">
        <v>5.87</v>
      </c>
      <c r="O173" s="791">
        <v>6.49</v>
      </c>
      <c r="P173" s="791">
        <v>0.92</v>
      </c>
      <c r="Q173" s="791">
        <v>3.09</v>
      </c>
      <c r="R173" s="791">
        <v>4.4800000000000004</v>
      </c>
      <c r="S173" s="841">
        <v>1.0324500294558645</v>
      </c>
      <c r="T173" s="1646">
        <v>7</v>
      </c>
      <c r="U173" s="791">
        <v>39.200000000000003</v>
      </c>
    </row>
    <row r="174" spans="1:27" s="791" customFormat="1" x14ac:dyDescent="0.25">
      <c r="A174" s="793">
        <v>213068</v>
      </c>
      <c r="B174" s="1646">
        <v>8.27</v>
      </c>
      <c r="D174" s="791">
        <v>0.161</v>
      </c>
      <c r="E174" s="841">
        <v>1.02</v>
      </c>
      <c r="F174" s="1646">
        <v>0</v>
      </c>
      <c r="G174" s="1646">
        <v>0.23</v>
      </c>
      <c r="H174" s="791">
        <v>15</v>
      </c>
      <c r="I174" s="1646">
        <v>23.34</v>
      </c>
      <c r="J174" s="791">
        <v>2.59</v>
      </c>
      <c r="K174" s="791">
        <v>9.93</v>
      </c>
      <c r="L174" s="791">
        <v>5.41</v>
      </c>
      <c r="M174" s="791">
        <v>15.18</v>
      </c>
      <c r="N174" s="791">
        <v>7.21</v>
      </c>
      <c r="O174" s="791">
        <v>2.77</v>
      </c>
      <c r="P174" s="791">
        <v>0.56000000000000005</v>
      </c>
      <c r="Q174" s="791">
        <v>2.17</v>
      </c>
      <c r="R174" s="791">
        <v>8.9700000000000006</v>
      </c>
      <c r="S174" s="841">
        <v>1.4544780187729385</v>
      </c>
      <c r="T174" s="1646">
        <v>10.1</v>
      </c>
      <c r="U174" s="791">
        <v>42</v>
      </c>
    </row>
    <row r="175" spans="1:27" s="791" customFormat="1" x14ac:dyDescent="0.25">
      <c r="A175" s="793">
        <v>213069</v>
      </c>
      <c r="B175" s="1646">
        <v>7.78</v>
      </c>
      <c r="D175" s="791">
        <v>0.184</v>
      </c>
      <c r="E175" s="841">
        <v>1.1499999999999999</v>
      </c>
      <c r="F175" s="1646">
        <v>0</v>
      </c>
      <c r="G175" s="1646">
        <v>0.15</v>
      </c>
      <c r="H175" s="791">
        <v>14</v>
      </c>
      <c r="I175" s="1646">
        <v>26.05</v>
      </c>
      <c r="J175" s="791">
        <v>3.03</v>
      </c>
      <c r="K175" s="791">
        <v>4.75</v>
      </c>
      <c r="L175" s="791">
        <v>6.86</v>
      </c>
      <c r="M175" s="791">
        <v>20.91</v>
      </c>
      <c r="N175" s="791">
        <v>8.7799999999999994</v>
      </c>
      <c r="O175" s="791">
        <v>4.3600000000000003</v>
      </c>
      <c r="P175" s="791">
        <v>1.22</v>
      </c>
      <c r="Q175" s="791">
        <v>2.4500000000000002</v>
      </c>
      <c r="R175" s="791">
        <v>10.51</v>
      </c>
      <c r="S175" s="841">
        <v>1.6331120000000001</v>
      </c>
      <c r="T175" s="1646">
        <v>11.799999999999999</v>
      </c>
      <c r="U175" s="791">
        <v>51.3</v>
      </c>
    </row>
    <row r="176" spans="1:27" s="791" customFormat="1" x14ac:dyDescent="0.25">
      <c r="A176" s="793">
        <v>213070</v>
      </c>
      <c r="B176" s="1646">
        <v>7.87</v>
      </c>
      <c r="D176" s="791">
        <v>0.129</v>
      </c>
      <c r="E176" s="841">
        <v>1.0900000000000001</v>
      </c>
      <c r="F176" s="1646">
        <v>0</v>
      </c>
      <c r="G176" s="1646">
        <v>0.14000000000000001</v>
      </c>
      <c r="H176" s="791">
        <v>12</v>
      </c>
      <c r="I176" s="1646">
        <v>14.87</v>
      </c>
      <c r="J176" s="791">
        <v>5.95</v>
      </c>
      <c r="K176" s="791">
        <v>6.22</v>
      </c>
      <c r="L176" s="791">
        <v>3.25</v>
      </c>
      <c r="M176" s="791">
        <v>13.23</v>
      </c>
      <c r="N176" s="791">
        <v>4.8</v>
      </c>
      <c r="O176" s="791">
        <v>3.79</v>
      </c>
      <c r="P176" s="791">
        <v>0.77</v>
      </c>
      <c r="Q176" s="791">
        <v>2.2799999999999998</v>
      </c>
      <c r="R176" s="791">
        <v>4.6500000000000004</v>
      </c>
      <c r="S176" s="841">
        <v>0.90198503130118579</v>
      </c>
      <c r="T176" s="1646">
        <v>6.4</v>
      </c>
      <c r="U176" s="791">
        <v>40.299999999999997</v>
      </c>
    </row>
    <row r="177" spans="1:24" s="791" customFormat="1" x14ac:dyDescent="0.25">
      <c r="A177" s="793">
        <v>213071</v>
      </c>
      <c r="B177" s="1646">
        <v>7.66</v>
      </c>
      <c r="D177" s="791">
        <v>0.23100000000000001</v>
      </c>
      <c r="E177" s="841">
        <v>30.97</v>
      </c>
      <c r="F177" s="1646">
        <v>0</v>
      </c>
      <c r="G177" s="1646">
        <v>0.16</v>
      </c>
      <c r="H177" s="791">
        <v>16</v>
      </c>
      <c r="I177" s="1646">
        <v>31.02</v>
      </c>
      <c r="J177" s="791">
        <v>4.4800000000000004</v>
      </c>
      <c r="K177" s="791">
        <v>9.2100000000000009</v>
      </c>
      <c r="L177" s="791">
        <v>5.42</v>
      </c>
      <c r="M177" s="791">
        <v>24.45</v>
      </c>
      <c r="N177" s="791">
        <v>9.57</v>
      </c>
      <c r="O177" s="791">
        <v>4.08</v>
      </c>
      <c r="P177" s="791">
        <v>1.53</v>
      </c>
      <c r="Q177" s="791">
        <v>2.56</v>
      </c>
      <c r="R177" s="791">
        <v>5.0999999999999996</v>
      </c>
      <c r="S177" s="841">
        <v>0.96960133890738598</v>
      </c>
      <c r="T177" s="1646">
        <v>6.7</v>
      </c>
      <c r="U177" s="791">
        <v>39.200000000000003</v>
      </c>
    </row>
    <row r="178" spans="1:24" s="791" customFormat="1" x14ac:dyDescent="0.25">
      <c r="A178" s="793">
        <v>213072</v>
      </c>
      <c r="B178" s="1646">
        <v>8.07</v>
      </c>
      <c r="D178" s="791">
        <v>0.124</v>
      </c>
      <c r="E178" s="841">
        <v>1.1399999999999999</v>
      </c>
      <c r="F178" s="1646">
        <v>0</v>
      </c>
      <c r="G178" s="1646">
        <v>0.18</v>
      </c>
      <c r="H178" s="791">
        <v>14</v>
      </c>
      <c r="I178" s="1646">
        <v>19.05</v>
      </c>
      <c r="J178" s="791">
        <v>3.27</v>
      </c>
      <c r="K178" s="791">
        <v>3.32</v>
      </c>
      <c r="L178" s="791">
        <v>4.57</v>
      </c>
      <c r="M178" s="791">
        <v>12.5</v>
      </c>
      <c r="N178" s="791">
        <v>5.77</v>
      </c>
      <c r="O178" s="791">
        <v>4.18</v>
      </c>
      <c r="P178" s="791">
        <v>0.88</v>
      </c>
      <c r="Q178" s="791">
        <v>2.2200000000000002</v>
      </c>
      <c r="R178" s="791">
        <v>3.82</v>
      </c>
      <c r="S178" s="841">
        <v>0.58490756907197505</v>
      </c>
      <c r="T178" s="1646">
        <v>4.0999999999999996</v>
      </c>
      <c r="U178" s="791">
        <v>33.200000000000003</v>
      </c>
    </row>
    <row r="179" spans="1:24" s="791" customFormat="1" x14ac:dyDescent="0.25">
      <c r="A179" s="793">
        <v>213073</v>
      </c>
      <c r="B179" s="841">
        <v>8.2857142857142847</v>
      </c>
      <c r="D179" s="791">
        <v>0.182</v>
      </c>
      <c r="E179" s="1030">
        <v>8.982580645161292</v>
      </c>
      <c r="F179" s="791">
        <v>0</v>
      </c>
      <c r="G179" s="1955">
        <v>8.5555555555555551E-2</v>
      </c>
      <c r="H179" s="645">
        <v>26.3</v>
      </c>
      <c r="I179" s="1472">
        <v>19.16</v>
      </c>
      <c r="J179" s="1956">
        <v>1.5</v>
      </c>
      <c r="K179" s="1957">
        <v>6.12</v>
      </c>
      <c r="L179" s="1956">
        <v>4.55</v>
      </c>
      <c r="M179" s="1956">
        <v>20.49</v>
      </c>
      <c r="N179" s="1956">
        <v>6.09</v>
      </c>
      <c r="O179" s="1958">
        <v>2.64</v>
      </c>
      <c r="P179" s="1958">
        <v>0.95</v>
      </c>
      <c r="Q179" s="1958">
        <v>2.36</v>
      </c>
      <c r="R179" s="1958">
        <v>2.41</v>
      </c>
      <c r="S179" s="841">
        <v>0.89034638291493018</v>
      </c>
      <c r="T179" s="791">
        <v>6.3</v>
      </c>
      <c r="U179" s="791">
        <v>48</v>
      </c>
    </row>
    <row r="180" spans="1:24" s="791" customFormat="1" x14ac:dyDescent="0.25">
      <c r="A180" s="793">
        <v>213074</v>
      </c>
      <c r="B180" s="841">
        <v>7.9047619047619051</v>
      </c>
      <c r="D180" s="791">
        <v>0.126</v>
      </c>
      <c r="E180" s="1030">
        <v>0.41096774193548385</v>
      </c>
      <c r="F180" s="791">
        <v>0</v>
      </c>
      <c r="G180" s="1955">
        <v>0.10111111111111111</v>
      </c>
      <c r="H180" s="645">
        <v>15.23</v>
      </c>
      <c r="I180" s="1472">
        <v>14.56</v>
      </c>
      <c r="J180" s="1956">
        <v>1.76</v>
      </c>
      <c r="K180" s="1957">
        <v>10.95</v>
      </c>
      <c r="L180" s="1956">
        <v>3.03</v>
      </c>
      <c r="M180" s="1956">
        <v>11.1</v>
      </c>
      <c r="N180" s="1956">
        <v>4.22</v>
      </c>
      <c r="O180" s="1958">
        <v>2.56</v>
      </c>
      <c r="P180" s="1958">
        <v>0.81</v>
      </c>
      <c r="Q180" s="1958">
        <v>2.87</v>
      </c>
      <c r="R180" s="1958">
        <v>2.57</v>
      </c>
      <c r="S180" s="841">
        <v>1.5824250000000002</v>
      </c>
      <c r="T180" s="791">
        <v>10.5</v>
      </c>
      <c r="U180" s="791">
        <v>33.599999999999994</v>
      </c>
    </row>
    <row r="181" spans="1:24" s="791" customFormat="1" x14ac:dyDescent="0.25">
      <c r="A181" s="793">
        <v>213075</v>
      </c>
      <c r="B181" s="841">
        <v>8.5904761904761902</v>
      </c>
      <c r="D181" s="791">
        <v>0.14499999999999999</v>
      </c>
      <c r="E181" s="1030">
        <v>2.3032258064516125</v>
      </c>
      <c r="F181" s="791">
        <v>0</v>
      </c>
      <c r="G181" s="1955">
        <v>7.0000000000000007E-2</v>
      </c>
      <c r="H181" s="645">
        <v>19.3</v>
      </c>
      <c r="I181" s="1472">
        <v>13.39</v>
      </c>
      <c r="J181" s="1956">
        <v>1.71</v>
      </c>
      <c r="K181" s="1957">
        <v>8.11</v>
      </c>
      <c r="L181" s="1956">
        <v>4.49</v>
      </c>
      <c r="M181" s="1956">
        <v>12.79</v>
      </c>
      <c r="N181" s="1956">
        <v>5.73</v>
      </c>
      <c r="O181" s="1958">
        <v>2.52</v>
      </c>
      <c r="P181" s="1958">
        <v>0.63</v>
      </c>
      <c r="Q181" s="1958">
        <v>3.02</v>
      </c>
      <c r="R181" s="1958">
        <v>2.52</v>
      </c>
      <c r="S181" s="841">
        <v>1.0520382273731825</v>
      </c>
      <c r="T181" s="791">
        <v>7.4</v>
      </c>
      <c r="U181" s="791">
        <v>62.400000000000006</v>
      </c>
    </row>
    <row r="182" spans="1:24" s="791" customFormat="1" x14ac:dyDescent="0.25">
      <c r="A182" s="793">
        <v>213076</v>
      </c>
      <c r="B182" s="841">
        <v>8.3142857142857149</v>
      </c>
      <c r="D182" s="791">
        <v>0.19800000000000001</v>
      </c>
      <c r="E182" s="1030">
        <v>6.2570967741935481</v>
      </c>
      <c r="F182" s="791">
        <v>0</v>
      </c>
      <c r="G182" s="1955">
        <v>0.11666666666666667</v>
      </c>
      <c r="H182" s="645">
        <v>15.23</v>
      </c>
      <c r="I182" s="1472">
        <v>31.87</v>
      </c>
      <c r="J182" s="1956">
        <v>1.95</v>
      </c>
      <c r="K182" s="1957">
        <v>12.1</v>
      </c>
      <c r="L182" s="1956">
        <v>3.36</v>
      </c>
      <c r="M182" s="1956">
        <v>18.93</v>
      </c>
      <c r="N182" s="1956">
        <v>6.88</v>
      </c>
      <c r="O182" s="1958">
        <v>2.4300000000000002</v>
      </c>
      <c r="P182" s="1958">
        <v>0.76</v>
      </c>
      <c r="Q182" s="1958">
        <v>2.87</v>
      </c>
      <c r="R182" s="1958">
        <v>1.66</v>
      </c>
      <c r="S182" s="841">
        <v>1.0403303309470617</v>
      </c>
      <c r="T182" s="791">
        <v>7.5</v>
      </c>
      <c r="U182" s="791">
        <v>52.8</v>
      </c>
    </row>
    <row r="183" spans="1:24" s="791" customFormat="1" x14ac:dyDescent="0.25">
      <c r="A183" s="793">
        <v>213077</v>
      </c>
      <c r="B183" s="841">
        <v>8.0571428571428569</v>
      </c>
      <c r="D183" s="791">
        <v>0.71</v>
      </c>
      <c r="E183" s="1030">
        <v>16.894838709677419</v>
      </c>
      <c r="F183" s="791">
        <v>0</v>
      </c>
      <c r="G183" s="1955">
        <v>0.1088888888888889</v>
      </c>
      <c r="H183" s="645">
        <v>190.3</v>
      </c>
      <c r="I183" s="1472">
        <v>21.01</v>
      </c>
      <c r="J183" s="1956">
        <v>1.25</v>
      </c>
      <c r="K183" s="1957">
        <v>6.01</v>
      </c>
      <c r="L183" s="1956">
        <v>71.94</v>
      </c>
      <c r="M183" s="1956">
        <v>47.17</v>
      </c>
      <c r="N183" s="1956">
        <v>24.23</v>
      </c>
      <c r="O183" s="1958">
        <v>4.29</v>
      </c>
      <c r="P183" s="1958">
        <v>4.97</v>
      </c>
      <c r="Q183" s="1958">
        <v>4.26</v>
      </c>
      <c r="R183" s="1958">
        <v>4.88</v>
      </c>
      <c r="S183" s="841">
        <v>1.2507689421859682</v>
      </c>
      <c r="T183" s="791">
        <v>8.5</v>
      </c>
      <c r="U183" s="791">
        <v>24</v>
      </c>
    </row>
    <row r="184" spans="1:24" s="791" customFormat="1" x14ac:dyDescent="0.25">
      <c r="A184" s="793">
        <v>213078</v>
      </c>
      <c r="B184" s="841">
        <v>8.1999999999999993</v>
      </c>
      <c r="D184" s="791">
        <v>0.45400000000000001</v>
      </c>
      <c r="E184" s="1030">
        <v>16.14290322580645</v>
      </c>
      <c r="F184" s="791">
        <v>0</v>
      </c>
      <c r="G184" s="1955">
        <v>9.3333333333333324E-2</v>
      </c>
      <c r="H184" s="645">
        <v>90.8</v>
      </c>
      <c r="I184" s="1472">
        <v>18.96</v>
      </c>
      <c r="J184" s="1956">
        <v>1.54</v>
      </c>
      <c r="K184" s="1957">
        <v>3.46</v>
      </c>
      <c r="L184" s="1956">
        <v>39.57</v>
      </c>
      <c r="M184" s="1956">
        <v>30.78</v>
      </c>
      <c r="N184" s="1956">
        <v>14.28</v>
      </c>
      <c r="O184" s="1958">
        <v>3.84</v>
      </c>
      <c r="P184" s="1958">
        <v>2.12</v>
      </c>
      <c r="Q184" s="1958">
        <v>3.36</v>
      </c>
      <c r="R184" s="1958">
        <v>5.69</v>
      </c>
      <c r="S184" s="841">
        <v>1.2414445685279867</v>
      </c>
      <c r="T184" s="791">
        <v>8.6</v>
      </c>
      <c r="U184" s="791">
        <v>62.400000000000006</v>
      </c>
    </row>
    <row r="185" spans="1:24" s="791" customFormat="1" x14ac:dyDescent="0.25">
      <c r="A185" s="793">
        <v>213079</v>
      </c>
      <c r="B185" s="841">
        <v>8.51</v>
      </c>
      <c r="D185" s="791">
        <v>1.29</v>
      </c>
      <c r="E185" s="841">
        <v>2</v>
      </c>
      <c r="F185" s="791">
        <v>0</v>
      </c>
      <c r="G185" s="1955">
        <v>0.15</v>
      </c>
      <c r="H185" s="645">
        <v>258</v>
      </c>
      <c r="I185" s="1472">
        <v>219.4</v>
      </c>
      <c r="J185" s="645">
        <v>0.01</v>
      </c>
      <c r="K185" s="645">
        <v>9.8000000000000007</v>
      </c>
      <c r="L185" s="645">
        <v>155.62</v>
      </c>
      <c r="M185" s="645">
        <v>57.2</v>
      </c>
      <c r="N185" s="645">
        <v>18.940000000000001</v>
      </c>
      <c r="O185" s="1646">
        <v>0.28000000000000003</v>
      </c>
      <c r="P185" s="1646">
        <v>0.16</v>
      </c>
      <c r="Q185" s="1958">
        <v>4.55</v>
      </c>
      <c r="R185" s="1958">
        <v>0.98</v>
      </c>
      <c r="S185" s="1955">
        <v>0.58235861451871851</v>
      </c>
      <c r="T185" s="1959">
        <v>3.8</v>
      </c>
      <c r="U185" s="1646">
        <v>37.799999999999997</v>
      </c>
    </row>
    <row r="186" spans="1:24" s="791" customFormat="1" x14ac:dyDescent="0.25">
      <c r="A186" s="793">
        <v>213080</v>
      </c>
      <c r="B186" s="841">
        <v>8.4499999999999993</v>
      </c>
      <c r="D186" s="791">
        <v>1.37</v>
      </c>
      <c r="E186" s="841">
        <v>3.58</v>
      </c>
      <c r="F186" s="791">
        <v>0</v>
      </c>
      <c r="G186" s="791">
        <v>0.12</v>
      </c>
      <c r="H186" s="645">
        <v>298.60000000000002</v>
      </c>
      <c r="I186" s="1472">
        <v>223.3</v>
      </c>
      <c r="J186" s="645">
        <v>0.01</v>
      </c>
      <c r="K186" s="645">
        <v>11.18</v>
      </c>
      <c r="L186" s="645">
        <v>165.73</v>
      </c>
      <c r="M186" s="645">
        <v>67.77</v>
      </c>
      <c r="N186" s="645">
        <v>21.86</v>
      </c>
      <c r="O186" s="1646">
        <v>0.35</v>
      </c>
      <c r="P186" s="1646">
        <v>0.19</v>
      </c>
      <c r="Q186" s="1646">
        <v>5.42</v>
      </c>
      <c r="R186" s="1646">
        <v>1.1599999999999999</v>
      </c>
      <c r="S186" s="1955">
        <v>0.565392718660225</v>
      </c>
      <c r="T186" s="1959">
        <v>3.7</v>
      </c>
      <c r="U186" s="1646">
        <v>46.2</v>
      </c>
    </row>
    <row r="187" spans="1:24" s="791" customFormat="1" x14ac:dyDescent="0.25">
      <c r="A187" s="793">
        <v>213081</v>
      </c>
      <c r="B187" s="841">
        <v>8.33</v>
      </c>
      <c r="D187" s="791">
        <v>0.504</v>
      </c>
      <c r="E187" s="841">
        <v>65.73</v>
      </c>
      <c r="F187" s="791">
        <v>0</v>
      </c>
      <c r="G187" s="1955">
        <v>0.08</v>
      </c>
      <c r="H187" s="645">
        <v>66.5</v>
      </c>
      <c r="I187" s="1472">
        <v>116</v>
      </c>
      <c r="J187" s="645">
        <v>1.62</v>
      </c>
      <c r="K187" s="645">
        <v>15.33</v>
      </c>
      <c r="L187" s="645">
        <v>13.53</v>
      </c>
      <c r="M187" s="645">
        <v>47.57</v>
      </c>
      <c r="N187" s="645">
        <v>18.52</v>
      </c>
      <c r="O187" s="1646">
        <v>12.5</v>
      </c>
      <c r="P187" s="1646">
        <v>4.58</v>
      </c>
      <c r="Q187" s="1646">
        <v>7.21</v>
      </c>
      <c r="R187" s="1646">
        <v>14.02</v>
      </c>
      <c r="S187" s="1955">
        <v>1.214791223746182</v>
      </c>
      <c r="T187" s="1959">
        <v>9</v>
      </c>
      <c r="U187" s="1646">
        <v>33.200000000000003</v>
      </c>
    </row>
    <row r="188" spans="1:24" s="791" customFormat="1" x14ac:dyDescent="0.25">
      <c r="A188" s="793">
        <v>213082</v>
      </c>
      <c r="B188" s="841">
        <v>8.31</v>
      </c>
      <c r="D188" s="791">
        <v>0.38600000000000001</v>
      </c>
      <c r="E188" s="841">
        <v>44.6</v>
      </c>
      <c r="F188" s="791">
        <v>0</v>
      </c>
      <c r="G188" s="1955">
        <v>7.0000000000000007E-2</v>
      </c>
      <c r="H188" s="645">
        <v>65.2</v>
      </c>
      <c r="I188" s="1472">
        <v>68</v>
      </c>
      <c r="J188" s="645">
        <v>2.88</v>
      </c>
      <c r="K188" s="645">
        <v>30.41</v>
      </c>
      <c r="L188" s="645">
        <v>9.92</v>
      </c>
      <c r="M188" s="645">
        <v>32.49</v>
      </c>
      <c r="N188" s="645">
        <v>11.03</v>
      </c>
      <c r="O188" s="1646">
        <v>14.38</v>
      </c>
      <c r="P188" s="1646">
        <v>4.93</v>
      </c>
      <c r="Q188" s="1646">
        <v>5.23</v>
      </c>
      <c r="R188" s="1646">
        <v>17.91</v>
      </c>
      <c r="S188" s="1955">
        <v>1.5943320000000001</v>
      </c>
      <c r="T188" s="1959">
        <v>10.8</v>
      </c>
      <c r="U188" s="1646">
        <v>30.1</v>
      </c>
    </row>
    <row r="189" spans="1:24" s="791" customFormat="1" x14ac:dyDescent="0.25">
      <c r="A189" s="793">
        <v>213083</v>
      </c>
      <c r="B189" s="841">
        <v>8.75</v>
      </c>
      <c r="D189" s="791">
        <v>0.22600000000000001</v>
      </c>
      <c r="E189" s="841">
        <v>1.1200000000000001</v>
      </c>
      <c r="F189" s="791">
        <v>0</v>
      </c>
      <c r="G189" s="1955">
        <v>0.09</v>
      </c>
      <c r="H189" s="645">
        <v>42.13</v>
      </c>
      <c r="I189" s="1472">
        <v>9.85</v>
      </c>
      <c r="J189" s="645">
        <v>1.52</v>
      </c>
      <c r="K189" s="645">
        <v>1.85</v>
      </c>
      <c r="L189" s="645">
        <v>36.97</v>
      </c>
      <c r="M189" s="645">
        <v>11.49</v>
      </c>
      <c r="N189" s="645">
        <v>4.5</v>
      </c>
      <c r="O189" s="1646">
        <v>0.79</v>
      </c>
      <c r="P189" s="1646">
        <v>1.52</v>
      </c>
      <c r="Q189" s="1646">
        <v>6.36</v>
      </c>
      <c r="R189" s="1646">
        <v>3.53</v>
      </c>
      <c r="S189" s="841">
        <v>0.92162089682093162</v>
      </c>
      <c r="T189" s="1959">
        <v>6.2</v>
      </c>
      <c r="U189" s="791">
        <v>88.800000000000011</v>
      </c>
      <c r="X189" s="789" t="str">
        <f>"-"&amp;TEXT((E189/62+F189/46+H189/35.5+I189/48+J189/97+U189/61),"0,00")&amp;"/+"&amp;TEXT((K189/39+L189/23+M189/20+N189/12+G189/14),"0,00")&amp;"  (EC  "&amp;D189*10&amp;")"</f>
        <v>-2,88/+2,61  (EC  2,26)</v>
      </c>
    </row>
    <row r="190" spans="1:24" s="791" customFormat="1" x14ac:dyDescent="0.25">
      <c r="A190" s="793">
        <v>213084</v>
      </c>
      <c r="B190" s="841">
        <v>8.2799999999999994</v>
      </c>
      <c r="D190" s="791">
        <v>0.15</v>
      </c>
      <c r="E190" s="841">
        <v>1.1299999999999999</v>
      </c>
      <c r="F190" s="791">
        <v>0</v>
      </c>
      <c r="G190" s="1955">
        <v>0.08</v>
      </c>
      <c r="H190" s="645">
        <v>29</v>
      </c>
      <c r="I190" s="1472">
        <v>9.32</v>
      </c>
      <c r="J190" s="645">
        <v>1.46</v>
      </c>
      <c r="K190" s="645">
        <v>4.2300000000000004</v>
      </c>
      <c r="L190" s="645">
        <v>15.36</v>
      </c>
      <c r="M190" s="645">
        <v>8.1300000000000008</v>
      </c>
      <c r="N190" s="645">
        <v>3.81</v>
      </c>
      <c r="O190" s="1646">
        <v>0.86</v>
      </c>
      <c r="P190" s="1646">
        <v>0.52</v>
      </c>
      <c r="Q190" s="1646">
        <v>4.24</v>
      </c>
      <c r="R190" s="1646">
        <v>4.13</v>
      </c>
      <c r="S190" s="841">
        <v>0.65171600169711474</v>
      </c>
      <c r="T190" s="1959">
        <v>4.5999999999999996</v>
      </c>
      <c r="U190" s="791">
        <v>26.400000000000002</v>
      </c>
      <c r="X190" s="789" t="str">
        <f t="shared" ref="X190" si="2">"-"&amp;TEXT((E190/62+F190/46+H190/35.5+I190/48+J190/97+U190/61),"0,00")&amp;"/+"&amp;TEXT((K190/39+L190/23+M190/20+N190/12+G190/14),"0,00")&amp;"  (EC  "&amp;D190*10&amp;")"</f>
        <v>-1,48/+1,51  (EC  1,5)</v>
      </c>
    </row>
    <row r="191" spans="1:24" s="791" customFormat="1" x14ac:dyDescent="0.25">
      <c r="A191" s="793">
        <v>213085</v>
      </c>
      <c r="B191" s="841">
        <v>8.7200000000000006</v>
      </c>
      <c r="D191" s="791">
        <v>0.20799999999999999</v>
      </c>
      <c r="E191" s="841">
        <v>1.1499999999999999</v>
      </c>
      <c r="F191" s="791">
        <v>0</v>
      </c>
      <c r="G191" s="1955">
        <v>0.1</v>
      </c>
      <c r="H191" s="645">
        <v>40.200000000000003</v>
      </c>
      <c r="I191" s="1472">
        <v>12.28</v>
      </c>
      <c r="J191" s="645">
        <v>0.89</v>
      </c>
      <c r="K191" s="645">
        <v>1.83</v>
      </c>
      <c r="L191" s="645">
        <v>18.07</v>
      </c>
      <c r="M191" s="645">
        <v>15.71</v>
      </c>
      <c r="N191" s="645">
        <v>7.11</v>
      </c>
      <c r="O191" s="1646">
        <v>4.37</v>
      </c>
      <c r="P191" s="1646">
        <v>4.3899999999999997</v>
      </c>
      <c r="Q191" s="1646">
        <v>4.7</v>
      </c>
      <c r="R191" s="1646">
        <v>4.7</v>
      </c>
      <c r="S191" s="841">
        <v>0.69199588223251229</v>
      </c>
      <c r="T191" s="1959">
        <v>5</v>
      </c>
      <c r="U191" s="791">
        <v>64.800000000000011</v>
      </c>
      <c r="X191" s="789" t="str">
        <f>"-"&amp;TEXT((E191/62+F191/46+H191/35.5+I191/48+J191/97+U191/61),"0,00")&amp;"/+"&amp;TEXT((K191/39+L191/23+M191/20+N191/12+G191/14),"0,00")&amp;"  (EC  "&amp;D191*10&amp;")"</f>
        <v>-2,48/+2,22  (EC  2,08)</v>
      </c>
    </row>
    <row r="192" spans="1:24" s="791" customFormat="1" x14ac:dyDescent="0.25">
      <c r="A192" s="793">
        <v>213086</v>
      </c>
      <c r="B192" s="841">
        <v>8.59</v>
      </c>
      <c r="D192" s="791">
        <v>0.16400000000000001</v>
      </c>
      <c r="E192" s="841">
        <v>5.81</v>
      </c>
      <c r="F192" s="791">
        <v>0</v>
      </c>
      <c r="G192" s="1955">
        <v>0.09</v>
      </c>
      <c r="H192" s="645">
        <v>15</v>
      </c>
      <c r="I192" s="1472">
        <v>24.79</v>
      </c>
      <c r="J192" s="645">
        <v>5.0599999999999996</v>
      </c>
      <c r="K192" s="645">
        <v>18.36</v>
      </c>
      <c r="L192" s="645">
        <v>5.93</v>
      </c>
      <c r="M192" s="645">
        <v>9.35</v>
      </c>
      <c r="N192" s="645">
        <v>6.04</v>
      </c>
      <c r="O192" s="1646">
        <v>4.1500000000000004</v>
      </c>
      <c r="P192" s="1646">
        <v>1.02</v>
      </c>
      <c r="Q192" s="1646">
        <v>3.1</v>
      </c>
      <c r="R192" s="1646">
        <v>3.53</v>
      </c>
      <c r="S192" s="841">
        <v>0.5203387757464063</v>
      </c>
      <c r="T192" s="841">
        <v>3.7800000000000002</v>
      </c>
      <c r="U192" s="791">
        <v>36</v>
      </c>
      <c r="X192" s="789" t="str">
        <f t="shared" ref="X192:X243" si="3">"-"&amp;TEXT((E192/62+F192/46+H192/35.5+I192/48+J192/97+U192/61),"0,00")&amp;"/+"&amp;TEXT((K192/39+L192/23+M192/20+N192/12+G192/14),"0,00")&amp;"  (EC  "&amp;D192*10&amp;")"</f>
        <v>-1,68/+1,71  (EC  1,64)</v>
      </c>
    </row>
    <row r="193" spans="1:24" s="791" customFormat="1" x14ac:dyDescent="0.25">
      <c r="A193" s="793">
        <v>213087</v>
      </c>
      <c r="B193" s="841">
        <v>7.45</v>
      </c>
      <c r="D193" s="791">
        <v>0.152</v>
      </c>
      <c r="E193" s="841">
        <v>15.02</v>
      </c>
      <c r="F193" s="791">
        <v>0</v>
      </c>
      <c r="G193" s="1955">
        <v>0.13</v>
      </c>
      <c r="H193" s="645">
        <v>22</v>
      </c>
      <c r="I193" s="1472">
        <v>14.37</v>
      </c>
      <c r="J193" s="645">
        <v>5.01</v>
      </c>
      <c r="K193" s="645">
        <v>2.81</v>
      </c>
      <c r="L193" s="645">
        <v>13.44</v>
      </c>
      <c r="M193" s="645">
        <v>8.5399999999999991</v>
      </c>
      <c r="N193" s="645">
        <v>5.2</v>
      </c>
      <c r="O193" s="1646">
        <v>0.84</v>
      </c>
      <c r="P193" s="1646">
        <v>0.32</v>
      </c>
      <c r="Q193" s="1646">
        <v>1.69</v>
      </c>
      <c r="R193" s="1646">
        <v>5.93</v>
      </c>
      <c r="S193" s="841">
        <v>0.53133876754172371</v>
      </c>
      <c r="T193" s="841">
        <v>3.54</v>
      </c>
      <c r="U193" s="791">
        <v>16</v>
      </c>
      <c r="X193" s="789" t="str">
        <f t="shared" si="3"/>
        <v>-1,48/+1,53  (EC  1,52)</v>
      </c>
    </row>
    <row r="194" spans="1:24" s="791" customFormat="1" x14ac:dyDescent="0.25">
      <c r="A194" s="793">
        <v>213088</v>
      </c>
      <c r="B194" s="841">
        <v>8.0399999999999991</v>
      </c>
      <c r="D194" s="791">
        <v>0.496</v>
      </c>
      <c r="E194" s="841">
        <v>49.24</v>
      </c>
      <c r="F194" s="791">
        <v>0</v>
      </c>
      <c r="G194" s="1955">
        <v>0.16</v>
      </c>
      <c r="H194" s="645">
        <v>128</v>
      </c>
      <c r="I194" s="1472">
        <v>9.09</v>
      </c>
      <c r="J194" s="645">
        <v>2.0699999999999998</v>
      </c>
      <c r="K194" s="645">
        <v>5.41</v>
      </c>
      <c r="L194" s="645">
        <v>54.73</v>
      </c>
      <c r="M194" s="645">
        <v>19.670000000000002</v>
      </c>
      <c r="N194" s="645">
        <v>13.3</v>
      </c>
      <c r="O194" s="1646">
        <v>1.66</v>
      </c>
      <c r="P194" s="1646">
        <v>0.41</v>
      </c>
      <c r="Q194" s="1646">
        <v>3.57</v>
      </c>
      <c r="R194" s="1646">
        <v>2.2599999999999998</v>
      </c>
      <c r="S194" s="841">
        <v>0.79964313552224564</v>
      </c>
      <c r="T194" s="841">
        <v>5.26</v>
      </c>
      <c r="U194" s="791">
        <v>19</v>
      </c>
      <c r="X194" s="789" t="str">
        <f t="shared" si="3"/>
        <v>-4,92/+4,62  (EC  4,96)</v>
      </c>
    </row>
    <row r="195" spans="1:24" s="791" customFormat="1" x14ac:dyDescent="0.25">
      <c r="A195" s="793">
        <v>213089</v>
      </c>
      <c r="B195" s="841">
        <v>8.5299999999999994</v>
      </c>
      <c r="D195" s="791">
        <v>0.19700000000000001</v>
      </c>
      <c r="E195" s="841">
        <v>22.14</v>
      </c>
      <c r="F195" s="791">
        <v>0</v>
      </c>
      <c r="G195" s="1955">
        <v>0.11</v>
      </c>
      <c r="H195" s="791">
        <v>29.23</v>
      </c>
      <c r="I195" s="1472">
        <v>22.14</v>
      </c>
      <c r="J195" s="645">
        <v>1.99</v>
      </c>
      <c r="K195" s="645">
        <v>11.95</v>
      </c>
      <c r="L195" s="645">
        <v>3.32</v>
      </c>
      <c r="M195" s="645">
        <v>18.77</v>
      </c>
      <c r="N195" s="645">
        <v>6.85</v>
      </c>
      <c r="O195" s="1646">
        <v>2.5</v>
      </c>
      <c r="P195" s="1646">
        <v>0.77</v>
      </c>
      <c r="Q195" s="1646">
        <v>2.86</v>
      </c>
      <c r="R195" s="1646">
        <v>1.75</v>
      </c>
      <c r="S195" s="841">
        <v>0.66875856259595157</v>
      </c>
      <c r="T195" s="791">
        <v>4.9000000000000004</v>
      </c>
      <c r="U195" s="791">
        <v>75.12</v>
      </c>
      <c r="X195" s="789" t="str">
        <f t="shared" si="3"/>
        <v>-2,89/+1,97  (EC  1,97)</v>
      </c>
    </row>
    <row r="196" spans="1:24" s="791" customFormat="1" x14ac:dyDescent="0.25">
      <c r="A196" s="793">
        <v>213090</v>
      </c>
      <c r="B196" s="841">
        <v>8.8800000000000008</v>
      </c>
      <c r="D196" s="791">
        <v>0.111</v>
      </c>
      <c r="E196" s="841">
        <v>1.45</v>
      </c>
      <c r="F196" s="791">
        <v>0</v>
      </c>
      <c r="G196" s="1955">
        <v>0.04</v>
      </c>
      <c r="H196" s="791">
        <v>20.04</v>
      </c>
      <c r="I196" s="1472">
        <v>11.01</v>
      </c>
      <c r="J196" s="645">
        <v>1.7</v>
      </c>
      <c r="K196" s="645">
        <v>10.8</v>
      </c>
      <c r="L196" s="645">
        <v>3.15</v>
      </c>
      <c r="M196" s="645">
        <v>10.99</v>
      </c>
      <c r="N196" s="645">
        <v>4.33</v>
      </c>
      <c r="O196" s="1646">
        <v>2.5499999999999998</v>
      </c>
      <c r="P196" s="1646">
        <v>0.72</v>
      </c>
      <c r="Q196" s="1646">
        <v>2.8</v>
      </c>
      <c r="R196" s="1646">
        <v>2.5499999999999998</v>
      </c>
      <c r="S196" s="841">
        <v>0.70402973323392803</v>
      </c>
      <c r="T196" s="791">
        <v>4.6999999999999993</v>
      </c>
      <c r="U196" s="791">
        <v>70.05</v>
      </c>
      <c r="X196" s="789" t="str">
        <f t="shared" si="3"/>
        <v>-1,98/+1,33  (EC  1,11)</v>
      </c>
    </row>
    <row r="197" spans="1:24" s="791" customFormat="1" x14ac:dyDescent="0.25">
      <c r="A197" s="793">
        <v>213091</v>
      </c>
      <c r="B197" s="841">
        <v>8.82</v>
      </c>
      <c r="D197" s="791">
        <v>0.153</v>
      </c>
      <c r="E197" s="841">
        <v>13.24</v>
      </c>
      <c r="F197" s="791">
        <v>0</v>
      </c>
      <c r="G197" s="1955">
        <v>0.12</v>
      </c>
      <c r="H197" s="791">
        <v>26.04</v>
      </c>
      <c r="I197" s="1472">
        <v>12.34</v>
      </c>
      <c r="J197" s="645">
        <v>1.68</v>
      </c>
      <c r="K197" s="645">
        <v>8.5</v>
      </c>
      <c r="L197" s="645">
        <v>4.5199999999999996</v>
      </c>
      <c r="M197" s="645">
        <v>12.65</v>
      </c>
      <c r="N197" s="645">
        <v>5.7</v>
      </c>
      <c r="O197" s="1646">
        <v>2.61</v>
      </c>
      <c r="P197" s="1646">
        <v>0.75</v>
      </c>
      <c r="Q197" s="1646">
        <v>2.92</v>
      </c>
      <c r="R197" s="1646">
        <v>2.6</v>
      </c>
      <c r="S197" s="841">
        <v>0.93078151239997309</v>
      </c>
      <c r="T197" s="791">
        <v>6.2</v>
      </c>
      <c r="U197" s="791">
        <v>55.45</v>
      </c>
      <c r="X197" s="789" t="str">
        <f t="shared" si="3"/>
        <v>-2,13/+1,53  (EC  1,53)</v>
      </c>
    </row>
    <row r="198" spans="1:24" s="791" customFormat="1" x14ac:dyDescent="0.25">
      <c r="A198" s="793">
        <v>213092</v>
      </c>
      <c r="B198" s="841">
        <v>8.7200000000000006</v>
      </c>
      <c r="D198" s="791">
        <v>0.19900000000000001</v>
      </c>
      <c r="E198" s="841">
        <v>21.64</v>
      </c>
      <c r="F198" s="791">
        <v>0</v>
      </c>
      <c r="G198" s="1955">
        <v>0.15</v>
      </c>
      <c r="H198" s="791">
        <v>33.799999999999997</v>
      </c>
      <c r="I198" s="1472">
        <v>25.12</v>
      </c>
      <c r="J198" s="645">
        <v>1.55</v>
      </c>
      <c r="K198" s="645">
        <v>6.01</v>
      </c>
      <c r="L198" s="645">
        <v>4.5999999999999996</v>
      </c>
      <c r="M198" s="645">
        <v>20.329999999999998</v>
      </c>
      <c r="N198" s="645">
        <v>6.12</v>
      </c>
      <c r="O198" s="1646">
        <v>2.58</v>
      </c>
      <c r="P198" s="1646">
        <v>0.9</v>
      </c>
      <c r="Q198" s="1646">
        <v>2.88</v>
      </c>
      <c r="R198" s="1646">
        <v>2.39</v>
      </c>
      <c r="S198" s="841">
        <v>0.83144592949015417</v>
      </c>
      <c r="T198" s="791">
        <v>5.6999999999999993</v>
      </c>
      <c r="U198" s="791">
        <v>52.14</v>
      </c>
      <c r="X198" s="789" t="str">
        <f t="shared" si="3"/>
        <v>-2,70/+1,89  (EC  1,99)</v>
      </c>
    </row>
    <row r="199" spans="1:24" s="791" customFormat="1" x14ac:dyDescent="0.25">
      <c r="A199" s="793">
        <v>213093</v>
      </c>
      <c r="B199" s="841">
        <v>8.83</v>
      </c>
      <c r="D199" s="791">
        <v>0.14799999999999999</v>
      </c>
      <c r="E199" s="841">
        <v>0.14225806451612902</v>
      </c>
      <c r="F199" s="791">
        <v>0</v>
      </c>
      <c r="G199" s="791">
        <v>0.1</v>
      </c>
      <c r="H199" s="791">
        <v>29.599999999999998</v>
      </c>
      <c r="I199" s="791">
        <v>20.47</v>
      </c>
      <c r="J199" s="791">
        <v>2.1800000000000002</v>
      </c>
      <c r="K199" s="791">
        <v>5.98</v>
      </c>
      <c r="L199" s="791">
        <v>6.62</v>
      </c>
      <c r="M199" s="791">
        <v>15.94</v>
      </c>
      <c r="N199" s="791">
        <v>7.35</v>
      </c>
      <c r="O199" s="791">
        <v>6.29</v>
      </c>
      <c r="P199" s="791">
        <v>0.71</v>
      </c>
      <c r="Q199" s="791">
        <v>4.57</v>
      </c>
      <c r="R199" s="791">
        <v>10.31</v>
      </c>
      <c r="S199" s="841">
        <v>1.0463339670338945</v>
      </c>
      <c r="T199" s="791">
        <v>7.5</v>
      </c>
      <c r="U199" s="791">
        <v>62.400000000000006</v>
      </c>
      <c r="X199" s="789" t="str">
        <f t="shared" si="3"/>
        <v>-2,31/+1,86  (EC  1,48)</v>
      </c>
    </row>
    <row r="200" spans="1:24" s="791" customFormat="1" x14ac:dyDescent="0.25">
      <c r="A200" s="793">
        <v>213094</v>
      </c>
      <c r="B200" s="841">
        <v>8.65</v>
      </c>
      <c r="D200" s="791">
        <v>0.17199999999999999</v>
      </c>
      <c r="E200" s="841">
        <v>2.0390322580645157</v>
      </c>
      <c r="F200" s="791">
        <v>0</v>
      </c>
      <c r="G200" s="791">
        <v>0.13</v>
      </c>
      <c r="H200" s="791">
        <v>34.4</v>
      </c>
      <c r="I200" s="791">
        <v>18.649999999999999</v>
      </c>
      <c r="J200" s="791">
        <v>2.95</v>
      </c>
      <c r="K200" s="791">
        <v>2.76</v>
      </c>
      <c r="L200" s="791">
        <v>6.96</v>
      </c>
      <c r="M200" s="791">
        <v>20.05</v>
      </c>
      <c r="N200" s="791">
        <v>8.8800000000000008</v>
      </c>
      <c r="O200" s="791">
        <v>4.29</v>
      </c>
      <c r="P200" s="791">
        <v>1.44</v>
      </c>
      <c r="Q200" s="791">
        <v>3.8</v>
      </c>
      <c r="R200" s="791">
        <v>7</v>
      </c>
      <c r="S200" s="841">
        <v>1.022120488197906</v>
      </c>
      <c r="T200" s="791">
        <v>6.8999999999999995</v>
      </c>
      <c r="U200" s="791">
        <v>50.400000000000006</v>
      </c>
      <c r="X200" s="789" t="str">
        <f t="shared" si="3"/>
        <v>-2,25/+2,13  (EC  1,72)</v>
      </c>
    </row>
    <row r="201" spans="1:24" s="791" customFormat="1" x14ac:dyDescent="0.25">
      <c r="A201" s="793">
        <v>213095</v>
      </c>
      <c r="B201" s="841">
        <v>8.74</v>
      </c>
      <c r="D201" s="791">
        <v>0.16</v>
      </c>
      <c r="E201" s="841">
        <v>0.90774193548387083</v>
      </c>
      <c r="F201" s="791">
        <v>0</v>
      </c>
      <c r="G201" s="791">
        <v>0.12</v>
      </c>
      <c r="H201" s="791">
        <v>32</v>
      </c>
      <c r="I201" s="791">
        <v>18.97</v>
      </c>
      <c r="J201" s="791">
        <v>3.04</v>
      </c>
      <c r="K201" s="791">
        <v>1.43</v>
      </c>
      <c r="L201" s="791">
        <v>6.09</v>
      </c>
      <c r="M201" s="791">
        <v>18.61</v>
      </c>
      <c r="N201" s="791">
        <v>7.87</v>
      </c>
      <c r="O201" s="791">
        <v>4.03</v>
      </c>
      <c r="P201" s="791">
        <v>0.65</v>
      </c>
      <c r="Q201" s="791">
        <v>4.04</v>
      </c>
      <c r="R201" s="791">
        <v>4.45</v>
      </c>
      <c r="S201" s="841">
        <v>1.0516303484104279</v>
      </c>
      <c r="T201" s="791">
        <v>7.4</v>
      </c>
      <c r="U201" s="791">
        <v>48</v>
      </c>
      <c r="X201" s="789" t="str">
        <f t="shared" si="3"/>
        <v>-2,13/+1,90  (EC  1,6)</v>
      </c>
    </row>
    <row r="202" spans="1:24" s="791" customFormat="1" x14ac:dyDescent="0.25">
      <c r="A202" s="793">
        <v>213096</v>
      </c>
      <c r="B202" s="841">
        <v>8.85</v>
      </c>
      <c r="D202" s="791">
        <v>0.14499999999999999</v>
      </c>
      <c r="E202" s="841">
        <v>1.6912903225806453</v>
      </c>
      <c r="F202" s="791">
        <v>0</v>
      </c>
      <c r="G202" s="791">
        <v>0.09</v>
      </c>
      <c r="H202" s="791">
        <v>28.999999999999996</v>
      </c>
      <c r="I202" s="791">
        <v>10.210000000000001</v>
      </c>
      <c r="J202" s="791">
        <v>4.04</v>
      </c>
      <c r="K202" s="791">
        <v>0.91</v>
      </c>
      <c r="L202" s="791">
        <v>15.52</v>
      </c>
      <c r="M202" s="791">
        <v>12.07</v>
      </c>
      <c r="N202" s="791">
        <v>5.76</v>
      </c>
      <c r="O202" s="791">
        <v>4.63</v>
      </c>
      <c r="P202" s="791">
        <v>0.36</v>
      </c>
      <c r="Q202" s="791">
        <v>3.66</v>
      </c>
      <c r="R202" s="791">
        <v>3.88</v>
      </c>
      <c r="S202" s="841">
        <v>0.85187252075391739</v>
      </c>
      <c r="T202" s="791">
        <v>6.1</v>
      </c>
      <c r="U202" s="791">
        <v>57.599999999999994</v>
      </c>
      <c r="X202" s="789" t="str">
        <f t="shared" si="3"/>
        <v>-2,04/+1,79  (EC  1,45)</v>
      </c>
    </row>
    <row r="203" spans="1:24" s="791" customFormat="1" x14ac:dyDescent="0.25">
      <c r="A203" s="793">
        <v>213097</v>
      </c>
      <c r="B203" s="841">
        <v>8.6199999999999992</v>
      </c>
      <c r="D203" s="791">
        <v>0.158</v>
      </c>
      <c r="E203" s="841">
        <v>7.5712903225806452</v>
      </c>
      <c r="F203" s="791">
        <v>0</v>
      </c>
      <c r="G203" s="791">
        <v>0.08</v>
      </c>
      <c r="H203" s="791">
        <v>31.6</v>
      </c>
      <c r="I203" s="791">
        <v>10.82</v>
      </c>
      <c r="J203" s="791">
        <v>4.82</v>
      </c>
      <c r="K203" s="791">
        <v>5.69</v>
      </c>
      <c r="L203" s="791">
        <v>4.1100000000000003</v>
      </c>
      <c r="M203" s="791">
        <v>19.670000000000002</v>
      </c>
      <c r="N203" s="791">
        <v>7.86</v>
      </c>
      <c r="O203" s="791">
        <v>3.84</v>
      </c>
      <c r="P203" s="791">
        <v>1.28</v>
      </c>
      <c r="Q203" s="791">
        <v>3.84</v>
      </c>
      <c r="R203" s="791">
        <v>3.61</v>
      </c>
      <c r="S203" s="841">
        <v>0.68463022022450715</v>
      </c>
      <c r="T203" s="791">
        <v>5.0999999999999996</v>
      </c>
      <c r="U203" s="791">
        <v>48</v>
      </c>
      <c r="X203" s="789" t="str">
        <f t="shared" si="3"/>
        <v>-2,07/+1,97  (EC  1,58)</v>
      </c>
    </row>
    <row r="204" spans="1:24" s="791" customFormat="1" x14ac:dyDescent="0.25">
      <c r="A204" s="793">
        <v>213098</v>
      </c>
      <c r="B204" s="841">
        <v>8.27</v>
      </c>
      <c r="D204" s="791">
        <v>0.186</v>
      </c>
      <c r="E204" s="841">
        <v>3.3848387096774193</v>
      </c>
      <c r="F204" s="791">
        <v>0</v>
      </c>
      <c r="G204" s="791">
        <v>0.09</v>
      </c>
      <c r="H204" s="791">
        <v>37.200000000000003</v>
      </c>
      <c r="I204" s="791">
        <v>22.16</v>
      </c>
      <c r="J204" s="791">
        <v>6.82</v>
      </c>
      <c r="K204" s="791">
        <v>6.23</v>
      </c>
      <c r="L204" s="791">
        <v>5.82</v>
      </c>
      <c r="M204" s="791">
        <v>23.72</v>
      </c>
      <c r="N204" s="791">
        <v>8.65</v>
      </c>
      <c r="O204" s="791">
        <v>5.57</v>
      </c>
      <c r="P204" s="791">
        <v>1.62</v>
      </c>
      <c r="Q204" s="791">
        <v>4.6500000000000004</v>
      </c>
      <c r="R204" s="791">
        <v>6.41</v>
      </c>
      <c r="S204" s="841">
        <v>0.81531041774841284</v>
      </c>
      <c r="T204" s="791">
        <v>6</v>
      </c>
      <c r="U204" s="791">
        <v>43.2</v>
      </c>
      <c r="X204" s="789" t="str">
        <f t="shared" si="3"/>
        <v>-2,34/+2,33  (EC  1,86)</v>
      </c>
    </row>
    <row r="205" spans="1:24" s="791" customFormat="1" x14ac:dyDescent="0.25">
      <c r="A205" s="793">
        <v>213099</v>
      </c>
      <c r="B205" s="841">
        <v>7.97</v>
      </c>
      <c r="D205" s="791">
        <v>0.65600000000000003</v>
      </c>
      <c r="E205" s="841">
        <v>6.03</v>
      </c>
      <c r="F205" s="791">
        <v>0</v>
      </c>
      <c r="G205" s="841">
        <v>0.10780000000000001</v>
      </c>
      <c r="H205" s="791">
        <v>132</v>
      </c>
      <c r="I205" s="791">
        <v>30.88</v>
      </c>
      <c r="J205" s="1273">
        <v>0.93</v>
      </c>
      <c r="K205" s="1273">
        <v>1.75</v>
      </c>
      <c r="L205" s="1273">
        <v>88.67</v>
      </c>
      <c r="M205" s="1273">
        <v>27.87</v>
      </c>
      <c r="N205" s="1273">
        <v>9.66</v>
      </c>
      <c r="O205" s="1273">
        <v>0.74</v>
      </c>
      <c r="P205" s="1273">
        <v>0.67</v>
      </c>
      <c r="Q205" s="1273">
        <v>4.1100000000000003</v>
      </c>
      <c r="R205" s="1273">
        <v>5.4</v>
      </c>
      <c r="S205" s="841">
        <v>0.79689357537743388</v>
      </c>
      <c r="T205" s="791">
        <v>5.9</v>
      </c>
      <c r="U205" s="791">
        <v>24</v>
      </c>
      <c r="X205" s="789" t="str">
        <f t="shared" si="3"/>
        <v>-4,86/+6,11  (EC  6,56)</v>
      </c>
    </row>
    <row r="206" spans="1:24" s="791" customFormat="1" x14ac:dyDescent="0.25">
      <c r="A206" s="793">
        <v>213100</v>
      </c>
      <c r="B206" s="841">
        <v>8.09</v>
      </c>
      <c r="D206" s="791">
        <v>0.47</v>
      </c>
      <c r="E206" s="841">
        <v>16.940250000000002</v>
      </c>
      <c r="F206" s="791">
        <v>0</v>
      </c>
      <c r="G206" s="841">
        <v>0.13090000000000002</v>
      </c>
      <c r="H206" s="791">
        <v>94</v>
      </c>
      <c r="I206" s="791">
        <v>27.68</v>
      </c>
      <c r="J206" s="1273">
        <v>0.14000000000000001</v>
      </c>
      <c r="K206" s="1273">
        <v>1.66</v>
      </c>
      <c r="L206" s="1273">
        <v>56.13</v>
      </c>
      <c r="M206" s="1273">
        <v>33.159999999999997</v>
      </c>
      <c r="N206" s="1273">
        <v>3.3</v>
      </c>
      <c r="O206" s="1273">
        <v>0.33</v>
      </c>
      <c r="P206" s="1273">
        <v>0.15</v>
      </c>
      <c r="Q206" s="1273">
        <v>2.86</v>
      </c>
      <c r="R206" s="1273">
        <v>3.23</v>
      </c>
      <c r="S206" s="841">
        <v>0.70473108408317764</v>
      </c>
      <c r="T206" s="791">
        <v>4.5999999999999996</v>
      </c>
      <c r="U206" s="791">
        <v>24</v>
      </c>
      <c r="X206" s="789" t="str">
        <f t="shared" si="3"/>
        <v>-3,89/+4,43  (EC  4,7)</v>
      </c>
    </row>
    <row r="207" spans="1:24" s="791" customFormat="1" x14ac:dyDescent="0.25">
      <c r="A207" s="793">
        <v>213101</v>
      </c>
      <c r="B207" s="841">
        <v>8.7100000000000009</v>
      </c>
      <c r="D207" s="791">
        <v>0.224</v>
      </c>
      <c r="E207" s="841">
        <v>0.20475000000000002</v>
      </c>
      <c r="F207" s="791">
        <v>0</v>
      </c>
      <c r="G207" s="841">
        <v>3.8500000000000006E-2</v>
      </c>
      <c r="H207" s="791">
        <v>46</v>
      </c>
      <c r="I207" s="791">
        <v>13.6</v>
      </c>
      <c r="J207" s="1273">
        <v>0.35</v>
      </c>
      <c r="K207" s="1273">
        <v>0.65</v>
      </c>
      <c r="L207" s="1273">
        <v>43.02</v>
      </c>
      <c r="M207" s="1273">
        <v>9.8800000000000008</v>
      </c>
      <c r="N207" s="1273">
        <v>1.37</v>
      </c>
      <c r="O207" s="1273">
        <v>0.21</v>
      </c>
      <c r="P207" s="1273">
        <v>0.21</v>
      </c>
      <c r="Q207" s="1273">
        <v>2.2799999999999998</v>
      </c>
      <c r="R207" s="1273">
        <v>3.29</v>
      </c>
      <c r="S207" s="841">
        <v>1.4187910735906495</v>
      </c>
      <c r="T207" s="791">
        <v>10</v>
      </c>
      <c r="U207" s="791">
        <v>84</v>
      </c>
      <c r="X207" s="789" t="str">
        <f t="shared" si="3"/>
        <v>-2,96/+2,50  (EC  2,24)</v>
      </c>
    </row>
    <row r="208" spans="1:24" s="791" customFormat="1" x14ac:dyDescent="0.25">
      <c r="A208" s="793">
        <v>213102</v>
      </c>
      <c r="B208" s="841">
        <v>7.02</v>
      </c>
      <c r="D208" s="791">
        <v>0.156</v>
      </c>
      <c r="E208" s="841">
        <v>6.4237500000000001</v>
      </c>
      <c r="F208" s="791">
        <v>0</v>
      </c>
      <c r="G208" s="841">
        <v>0.10010000000000001</v>
      </c>
      <c r="H208" s="791">
        <v>32</v>
      </c>
      <c r="I208" s="791">
        <v>11.82</v>
      </c>
      <c r="J208" s="1273">
        <v>7.62</v>
      </c>
      <c r="K208" s="1273">
        <v>14.78</v>
      </c>
      <c r="L208" s="1273">
        <v>10.84</v>
      </c>
      <c r="M208" s="1273">
        <v>6.98</v>
      </c>
      <c r="N208" s="1273">
        <v>3.38</v>
      </c>
      <c r="O208" s="1273">
        <v>0.78</v>
      </c>
      <c r="P208" s="1273">
        <v>0.44</v>
      </c>
      <c r="Q208" s="1273">
        <v>5.58</v>
      </c>
      <c r="R208" s="1273">
        <v>6.88</v>
      </c>
      <c r="S208" s="841">
        <v>0.51636614367502742</v>
      </c>
      <c r="T208" s="791">
        <v>3.8</v>
      </c>
      <c r="U208" s="791">
        <v>12</v>
      </c>
      <c r="X208" s="789" t="str">
        <f t="shared" si="3"/>
        <v>-1,53/+1,49  (EC  1,56)</v>
      </c>
    </row>
    <row r="209" spans="1:24" s="791" customFormat="1" x14ac:dyDescent="0.25">
      <c r="A209" s="793">
        <v>213103</v>
      </c>
      <c r="B209" s="841">
        <v>8.3699999999999992</v>
      </c>
      <c r="D209" s="791">
        <v>0.35199999999999998</v>
      </c>
      <c r="E209" s="841">
        <v>16.036774193548386</v>
      </c>
      <c r="F209" s="791">
        <v>0</v>
      </c>
      <c r="G209" s="841">
        <v>0.13</v>
      </c>
      <c r="H209" s="791">
        <v>73.5</v>
      </c>
      <c r="I209" s="791">
        <v>73.19</v>
      </c>
      <c r="J209" s="1273">
        <v>2.59</v>
      </c>
      <c r="K209" s="1273">
        <v>32.58</v>
      </c>
      <c r="L209" s="1273">
        <v>8.42</v>
      </c>
      <c r="M209" s="1273">
        <v>27.6</v>
      </c>
      <c r="N209" s="1273">
        <v>10.4</v>
      </c>
      <c r="O209" s="1273">
        <v>8.36</v>
      </c>
      <c r="P209" s="1273">
        <v>3.79</v>
      </c>
      <c r="Q209" s="1273">
        <v>6.07</v>
      </c>
      <c r="R209" s="1273">
        <v>10.76</v>
      </c>
      <c r="S209" s="841">
        <v>1.1324257237569386</v>
      </c>
      <c r="T209" s="791">
        <v>7.5</v>
      </c>
      <c r="U209" s="791">
        <v>48</v>
      </c>
      <c r="X209" s="789" t="str">
        <f t="shared" si="3"/>
        <v>-4,67/+3,46  (EC  3,52)</v>
      </c>
    </row>
    <row r="210" spans="1:24" s="791" customFormat="1" x14ac:dyDescent="0.25">
      <c r="A210" s="793">
        <v>213104</v>
      </c>
      <c r="B210" s="841">
        <v>8.48</v>
      </c>
      <c r="D210" s="791">
        <v>0.29299999999999998</v>
      </c>
      <c r="E210" s="841">
        <v>4.710322580645161</v>
      </c>
      <c r="F210" s="791">
        <v>0</v>
      </c>
      <c r="G210" s="841">
        <v>0.17</v>
      </c>
      <c r="H210" s="841">
        <v>55.24</v>
      </c>
      <c r="I210" s="791">
        <v>71.650000000000006</v>
      </c>
      <c r="J210" s="1273">
        <v>2.86</v>
      </c>
      <c r="K210" s="1273">
        <v>19.04</v>
      </c>
      <c r="L210" s="1273">
        <v>11.21</v>
      </c>
      <c r="M210" s="1273">
        <v>25.38</v>
      </c>
      <c r="N210" s="1273">
        <v>9.18</v>
      </c>
      <c r="O210" s="1273">
        <v>9.39</v>
      </c>
      <c r="P210" s="1273">
        <v>3.9</v>
      </c>
      <c r="Q210" s="1273">
        <v>4.4000000000000004</v>
      </c>
      <c r="R210" s="1273">
        <v>12.75</v>
      </c>
      <c r="S210" s="841">
        <v>1.2011273310433923</v>
      </c>
      <c r="T210" s="791">
        <v>8.1999999999999993</v>
      </c>
      <c r="U210" s="791">
        <v>50.4</v>
      </c>
      <c r="X210" s="789" t="str">
        <f t="shared" si="3"/>
        <v>-3,98/+3,02  (EC  2,93)</v>
      </c>
    </row>
    <row r="211" spans="1:24" s="791" customFormat="1" x14ac:dyDescent="0.25">
      <c r="A211" s="793">
        <v>113000</v>
      </c>
      <c r="B211" s="841">
        <v>8.8000000000000007</v>
      </c>
      <c r="D211" s="791">
        <v>0.17100000000000001</v>
      </c>
      <c r="E211" s="841">
        <v>2.781935483870968</v>
      </c>
      <c r="F211" s="791">
        <v>0</v>
      </c>
      <c r="G211" s="841">
        <v>0.11</v>
      </c>
      <c r="H211" s="791">
        <v>32.49</v>
      </c>
      <c r="I211" s="791">
        <v>15.94</v>
      </c>
      <c r="J211" s="1273">
        <v>2.58</v>
      </c>
      <c r="K211" s="1273">
        <v>0.83</v>
      </c>
      <c r="L211" s="1273">
        <v>14.69</v>
      </c>
      <c r="M211" s="1273">
        <v>12.49</v>
      </c>
      <c r="N211" s="1273" t="s">
        <v>600</v>
      </c>
      <c r="O211" s="1273">
        <v>11.58</v>
      </c>
      <c r="P211" s="1273">
        <v>0.61</v>
      </c>
      <c r="Q211" s="1273">
        <v>3.22</v>
      </c>
      <c r="R211" s="1273">
        <v>3.06</v>
      </c>
      <c r="S211" s="841">
        <v>1.3915978618132174</v>
      </c>
      <c r="T211" s="791">
        <v>9.9</v>
      </c>
      <c r="U211" s="791">
        <v>67.199999999999989</v>
      </c>
      <c r="X211" s="789" t="str">
        <f t="shared" si="3"/>
        <v>-2,42/+1,73  (EC  1,71)</v>
      </c>
    </row>
    <row r="212" spans="1:24" s="791" customFormat="1" x14ac:dyDescent="0.25">
      <c r="A212" s="793">
        <v>113001</v>
      </c>
      <c r="B212" s="841">
        <v>8.75</v>
      </c>
      <c r="D212" s="791">
        <v>0.22500000000000001</v>
      </c>
      <c r="E212" s="841">
        <v>0.70677419354838711</v>
      </c>
      <c r="F212" s="791">
        <v>0</v>
      </c>
      <c r="G212" s="841">
        <v>0.1</v>
      </c>
      <c r="H212" s="791">
        <v>42.75</v>
      </c>
      <c r="I212" s="791">
        <v>35.9</v>
      </c>
      <c r="J212" s="1273">
        <v>1.88</v>
      </c>
      <c r="K212" s="1273">
        <v>11.96</v>
      </c>
      <c r="L212" s="1273">
        <v>11.87</v>
      </c>
      <c r="M212" s="1273">
        <v>17.12</v>
      </c>
      <c r="N212" s="1273">
        <v>7.68</v>
      </c>
      <c r="O212" s="1273">
        <v>2.85</v>
      </c>
      <c r="P212" s="1273">
        <v>0.56999999999999995</v>
      </c>
      <c r="Q212" s="1273">
        <v>2.98</v>
      </c>
      <c r="R212" s="1273">
        <v>6.01</v>
      </c>
      <c r="S212" s="841">
        <v>1.2782671314238423</v>
      </c>
      <c r="T212" s="791">
        <v>9.5</v>
      </c>
      <c r="U212" s="791">
        <v>60</v>
      </c>
      <c r="X212" s="789" t="str">
        <f t="shared" si="3"/>
        <v>-2,97/+2,33  (EC  2,25)</v>
      </c>
    </row>
    <row r="213" spans="1:24" s="791" customFormat="1" x14ac:dyDescent="0.25">
      <c r="A213" s="793">
        <v>113002</v>
      </c>
      <c r="B213" s="841">
        <v>8.61</v>
      </c>
      <c r="D213" s="791">
        <v>0.23200000000000001</v>
      </c>
      <c r="E213" s="841">
        <v>4.726129032258064</v>
      </c>
      <c r="F213" s="791">
        <v>0</v>
      </c>
      <c r="G213" s="791">
        <v>0.09</v>
      </c>
      <c r="H213" s="791">
        <v>44.080000000000005</v>
      </c>
      <c r="I213" s="791">
        <v>33.799999999999997</v>
      </c>
      <c r="J213" s="1273">
        <v>3.53</v>
      </c>
      <c r="K213" s="1273">
        <v>8.41</v>
      </c>
      <c r="L213" s="1273">
        <v>8.41</v>
      </c>
      <c r="M213" s="1273">
        <v>21.85</v>
      </c>
      <c r="N213" s="1273">
        <v>8.74</v>
      </c>
      <c r="O213" s="1273">
        <v>4.6900000000000004</v>
      </c>
      <c r="P213" s="1273">
        <v>1.3</v>
      </c>
      <c r="Q213" s="1273">
        <v>2.16</v>
      </c>
      <c r="R213" s="1273">
        <v>5.64</v>
      </c>
      <c r="S213" s="841">
        <v>1.5824250000000002</v>
      </c>
      <c r="T213" s="791">
        <v>10.5</v>
      </c>
      <c r="U213" s="791">
        <v>52.800000000000004</v>
      </c>
      <c r="X213" s="789" t="str">
        <f t="shared" si="3"/>
        <v>-2,92/+2,41  (EC  2,32)</v>
      </c>
    </row>
    <row r="214" spans="1:24" s="791" customFormat="1" x14ac:dyDescent="0.25">
      <c r="A214" s="793">
        <v>113003</v>
      </c>
      <c r="B214" s="841">
        <v>8.56</v>
      </c>
      <c r="D214" s="791">
        <v>0.184</v>
      </c>
      <c r="E214" s="841">
        <v>4.0690322580645164</v>
      </c>
      <c r="F214" s="791">
        <v>0</v>
      </c>
      <c r="G214" s="791">
        <v>0.12</v>
      </c>
      <c r="H214" s="791">
        <v>34.959999999999994</v>
      </c>
      <c r="I214" s="791">
        <v>24.48</v>
      </c>
      <c r="J214" s="1273">
        <v>3.76</v>
      </c>
      <c r="K214" s="1273">
        <v>0.56000000000000005</v>
      </c>
      <c r="L214" s="1273">
        <v>6.24</v>
      </c>
      <c r="M214" s="1273">
        <v>19.89</v>
      </c>
      <c r="N214" s="1273">
        <v>8.17</v>
      </c>
      <c r="O214" s="1273">
        <v>4.47</v>
      </c>
      <c r="P214" s="1273">
        <v>0.74</v>
      </c>
      <c r="Q214" s="1273">
        <v>1.67</v>
      </c>
      <c r="R214" s="1273">
        <v>4.7</v>
      </c>
      <c r="S214" s="841">
        <v>1.6331120000000001</v>
      </c>
      <c r="T214" s="791">
        <v>11.799999999999999</v>
      </c>
      <c r="U214" s="791">
        <v>55.199999999999996</v>
      </c>
      <c r="X214" s="789" t="str">
        <f t="shared" si="3"/>
        <v>-2,50/+1,97  (EC  1,84)</v>
      </c>
    </row>
    <row r="215" spans="1:24" s="791" customFormat="1" x14ac:dyDescent="0.25">
      <c r="A215" s="793">
        <v>113004</v>
      </c>
      <c r="B215" s="841">
        <v>8.59</v>
      </c>
      <c r="D215" s="791">
        <v>0.20699999999999999</v>
      </c>
      <c r="E215" s="841">
        <v>1.6212903225806452</v>
      </c>
      <c r="F215" s="791">
        <v>0</v>
      </c>
      <c r="G215" s="791">
        <v>0.13</v>
      </c>
      <c r="H215" s="791">
        <v>39.33</v>
      </c>
      <c r="I215" s="791">
        <v>14.84</v>
      </c>
      <c r="J215" s="1273">
        <v>4.72</v>
      </c>
      <c r="K215" s="1273">
        <v>5.77</v>
      </c>
      <c r="L215" s="1273">
        <v>3.65</v>
      </c>
      <c r="M215" s="1273">
        <v>12.75</v>
      </c>
      <c r="N215" s="1273">
        <v>6.18</v>
      </c>
      <c r="O215" s="1273">
        <v>4.66</v>
      </c>
      <c r="P215" s="1273">
        <v>1.62</v>
      </c>
      <c r="Q215" s="1273">
        <v>2.08</v>
      </c>
      <c r="R215" s="1273">
        <v>4.26</v>
      </c>
      <c r="S215" s="841">
        <v>1.3129199677795353</v>
      </c>
      <c r="T215" s="791">
        <v>9</v>
      </c>
      <c r="U215" s="791">
        <v>48</v>
      </c>
      <c r="X215" s="789" t="str">
        <f t="shared" si="3"/>
        <v>-2,28/+1,47  (EC  2,07)</v>
      </c>
    </row>
    <row r="216" spans="1:24" s="791" customFormat="1" x14ac:dyDescent="0.25">
      <c r="A216" s="793">
        <v>113005</v>
      </c>
      <c r="B216" s="841">
        <v>8.4</v>
      </c>
      <c r="D216" s="791">
        <v>0.14000000000000001</v>
      </c>
      <c r="E216" s="841">
        <v>5.3041935483870963</v>
      </c>
      <c r="F216" s="791">
        <v>0</v>
      </c>
      <c r="G216" s="791">
        <v>0.12</v>
      </c>
      <c r="H216" s="791">
        <v>26.6</v>
      </c>
      <c r="I216" s="791">
        <v>26.4</v>
      </c>
      <c r="J216" s="1273">
        <v>5.01</v>
      </c>
      <c r="K216" s="1273">
        <v>4.37</v>
      </c>
      <c r="L216" s="1273">
        <v>6.92</v>
      </c>
      <c r="M216" s="1273">
        <v>20.07</v>
      </c>
      <c r="N216" s="1273">
        <v>9.15</v>
      </c>
      <c r="O216" s="1273">
        <v>5.77</v>
      </c>
      <c r="P216" s="1273">
        <v>1.66</v>
      </c>
      <c r="Q216" s="1273">
        <v>2.4700000000000002</v>
      </c>
      <c r="R216" s="1273">
        <v>5.31</v>
      </c>
      <c r="S216" s="841">
        <v>1.2793263259670267</v>
      </c>
      <c r="T216" s="791">
        <v>8.5</v>
      </c>
      <c r="U216" s="791">
        <v>43.2</v>
      </c>
      <c r="X216" s="789" t="str">
        <f t="shared" si="3"/>
        <v>-2,14/+2,19  (EC  1,4)</v>
      </c>
    </row>
    <row r="217" spans="1:24" s="791" customFormat="1" x14ac:dyDescent="0.25">
      <c r="A217" s="793">
        <v>113006</v>
      </c>
      <c r="B217" s="791">
        <v>8.74</v>
      </c>
      <c r="D217" s="791">
        <v>0.14000000000000001</v>
      </c>
      <c r="E217" s="841">
        <v>0.50580645161290327</v>
      </c>
      <c r="F217" s="791">
        <v>0</v>
      </c>
      <c r="G217" s="791">
        <v>0.12</v>
      </c>
      <c r="H217" s="791">
        <v>27.45</v>
      </c>
      <c r="I217" s="791">
        <v>11.1</v>
      </c>
      <c r="J217" s="1273">
        <v>0.11</v>
      </c>
      <c r="K217" s="1273">
        <v>0.72</v>
      </c>
      <c r="L217" s="1273">
        <v>2.81</v>
      </c>
      <c r="M217" s="1273">
        <v>22.85</v>
      </c>
      <c r="N217" s="1273">
        <v>1.03</v>
      </c>
      <c r="O217" s="791">
        <v>0.19</v>
      </c>
      <c r="P217" s="791">
        <v>0.1</v>
      </c>
      <c r="Q217" s="791">
        <v>2.13</v>
      </c>
      <c r="R217" s="791">
        <v>2.74</v>
      </c>
      <c r="S217" s="841">
        <v>1.2137515164781763</v>
      </c>
      <c r="T217" s="791">
        <v>8.5</v>
      </c>
      <c r="U217" s="791">
        <v>24.1</v>
      </c>
      <c r="X217" s="791" t="str">
        <f t="shared" si="3"/>
        <v>-1,41/+1,38  (EC  1,4)</v>
      </c>
    </row>
    <row r="218" spans="1:24" s="791" customFormat="1" x14ac:dyDescent="0.25">
      <c r="A218" s="793">
        <v>113007</v>
      </c>
      <c r="B218" s="791">
        <v>8.64</v>
      </c>
      <c r="D218" s="791">
        <v>0.191</v>
      </c>
      <c r="E218" s="841">
        <v>5.3087096774193556</v>
      </c>
      <c r="F218" s="791">
        <v>0</v>
      </c>
      <c r="G218" s="791">
        <v>0.13</v>
      </c>
      <c r="H218" s="791">
        <v>38.25</v>
      </c>
      <c r="I218" s="791">
        <v>20.09</v>
      </c>
      <c r="J218" s="1273">
        <v>2.04</v>
      </c>
      <c r="K218" s="1273">
        <v>6.68</v>
      </c>
      <c r="L218" s="1273">
        <v>3.58</v>
      </c>
      <c r="M218" s="1273">
        <v>21.37</v>
      </c>
      <c r="N218" s="1273">
        <v>5.69</v>
      </c>
      <c r="O218" s="791">
        <v>4.84</v>
      </c>
      <c r="P218" s="791">
        <v>1.93</v>
      </c>
      <c r="Q218" s="791">
        <v>4.5199999999999996</v>
      </c>
      <c r="R218" s="791">
        <v>5.44</v>
      </c>
      <c r="S218" s="841">
        <v>1.0399329117592686</v>
      </c>
      <c r="T218" s="791">
        <v>7.3</v>
      </c>
      <c r="U218" s="791">
        <v>26.4</v>
      </c>
      <c r="X218" s="791" t="str">
        <f t="shared" si="3"/>
        <v>-2,04/+1,88  (EC  1,91)</v>
      </c>
    </row>
    <row r="219" spans="1:24" s="791" customFormat="1" x14ac:dyDescent="0.25">
      <c r="A219" s="793">
        <v>113008</v>
      </c>
      <c r="B219" s="791">
        <v>8.66</v>
      </c>
      <c r="D219" s="791">
        <v>0.14199999999999999</v>
      </c>
      <c r="E219" s="841">
        <v>2.7096774193548386E-2</v>
      </c>
      <c r="F219" s="791">
        <v>0</v>
      </c>
      <c r="G219" s="791">
        <v>0.18</v>
      </c>
      <c r="H219" s="791">
        <v>27.14</v>
      </c>
      <c r="I219" s="791">
        <v>12.46</v>
      </c>
      <c r="J219" s="1273">
        <v>2.27</v>
      </c>
      <c r="K219" s="1273">
        <v>8.1</v>
      </c>
      <c r="L219" s="1273">
        <v>3.48</v>
      </c>
      <c r="M219" s="1273">
        <v>13.14</v>
      </c>
      <c r="N219" s="1273">
        <v>4.9000000000000004</v>
      </c>
      <c r="O219" s="791">
        <v>3.73</v>
      </c>
      <c r="P219" s="791">
        <v>1.38</v>
      </c>
      <c r="Q219" s="791">
        <v>5.53</v>
      </c>
      <c r="R219" s="791">
        <v>4.18</v>
      </c>
      <c r="S219" s="841">
        <v>0.95407828268673556</v>
      </c>
      <c r="T219" s="791">
        <v>6.8000000000000007</v>
      </c>
      <c r="U219" s="791">
        <v>25.8</v>
      </c>
      <c r="X219" s="791" t="str">
        <f t="shared" si="3"/>
        <v>-1,47/+1,44  (EC  1,42)</v>
      </c>
    </row>
    <row r="220" spans="1:24" s="791" customFormat="1" x14ac:dyDescent="0.25">
      <c r="A220" s="793">
        <v>113009</v>
      </c>
      <c r="B220" s="791">
        <v>8.6199999999999992</v>
      </c>
      <c r="D220" s="791">
        <v>0.2</v>
      </c>
      <c r="E220" s="841">
        <v>7.5690322580645164</v>
      </c>
      <c r="F220" s="791">
        <v>0</v>
      </c>
      <c r="G220" s="791">
        <v>0.15</v>
      </c>
      <c r="H220" s="791">
        <v>36.450000000000003</v>
      </c>
      <c r="I220" s="791">
        <v>13.48</v>
      </c>
      <c r="J220" s="1273">
        <v>3.34</v>
      </c>
      <c r="K220" s="1273">
        <v>10.79</v>
      </c>
      <c r="L220" s="1273">
        <v>5.03</v>
      </c>
      <c r="M220" s="1273">
        <v>18.329999999999998</v>
      </c>
      <c r="N220" s="1273">
        <v>6.56</v>
      </c>
      <c r="O220" s="791">
        <v>3.43</v>
      </c>
      <c r="P220" s="791">
        <v>0.98</v>
      </c>
      <c r="Q220" s="791">
        <v>4.96</v>
      </c>
      <c r="R220" s="791">
        <v>3.45</v>
      </c>
      <c r="S220" s="841">
        <v>0.95435937669788484</v>
      </c>
      <c r="T220" s="791">
        <v>7</v>
      </c>
      <c r="U220" s="791">
        <v>26.9</v>
      </c>
      <c r="X220" s="791" t="str">
        <f t="shared" si="3"/>
        <v>-1,91/+1,97  (EC  2)</v>
      </c>
    </row>
    <row r="221" spans="1:24" s="791" customFormat="1" x14ac:dyDescent="0.25">
      <c r="A221" s="793">
        <v>113010</v>
      </c>
      <c r="B221" s="791">
        <v>9.01</v>
      </c>
      <c r="D221" s="791">
        <v>0.112</v>
      </c>
      <c r="E221" s="841">
        <v>1.1335483870967742</v>
      </c>
      <c r="F221" s="791">
        <v>0</v>
      </c>
      <c r="G221" s="791">
        <v>0.22</v>
      </c>
      <c r="H221" s="791">
        <v>23.98</v>
      </c>
      <c r="I221" s="791">
        <v>12.86</v>
      </c>
      <c r="J221" s="1273">
        <v>2.09</v>
      </c>
      <c r="K221" s="1273">
        <v>10.24</v>
      </c>
      <c r="L221" s="1273">
        <v>2.57</v>
      </c>
      <c r="M221" s="1273">
        <v>12.33</v>
      </c>
      <c r="N221" s="1273">
        <v>4.5599999999999996</v>
      </c>
      <c r="O221" s="791">
        <v>2.4</v>
      </c>
      <c r="P221" s="791">
        <v>0.57999999999999996</v>
      </c>
      <c r="Q221" s="791">
        <v>5.05</v>
      </c>
      <c r="R221" s="791">
        <v>3.72</v>
      </c>
      <c r="S221" s="841">
        <v>0.96110647446110875</v>
      </c>
      <c r="T221" s="791">
        <v>6.7</v>
      </c>
      <c r="U221" s="791">
        <v>22.4</v>
      </c>
      <c r="X221" s="791" t="str">
        <f t="shared" si="3"/>
        <v>-1,35/+1,39  (EC  1,12)</v>
      </c>
    </row>
    <row r="222" spans="1:24" s="791" customFormat="1" x14ac:dyDescent="0.25">
      <c r="A222" s="793">
        <v>113011</v>
      </c>
      <c r="B222" s="791">
        <v>8.9</v>
      </c>
      <c r="D222" s="791">
        <v>0.17599999999999999</v>
      </c>
      <c r="E222" s="841">
        <v>4.547741935483872</v>
      </c>
      <c r="F222" s="791">
        <v>0</v>
      </c>
      <c r="G222" s="791">
        <v>0.21</v>
      </c>
      <c r="H222" s="791">
        <v>34.75</v>
      </c>
      <c r="I222" s="791">
        <v>12.85</v>
      </c>
      <c r="J222" s="1273">
        <v>1.92</v>
      </c>
      <c r="K222" s="1273">
        <v>17.98</v>
      </c>
      <c r="L222" s="1273">
        <v>3.27</v>
      </c>
      <c r="M222" s="1273">
        <v>12.9</v>
      </c>
      <c r="N222" s="1273">
        <v>5</v>
      </c>
      <c r="O222" s="791">
        <v>2.77</v>
      </c>
      <c r="P222" s="791">
        <v>0.7</v>
      </c>
      <c r="Q222" s="791">
        <v>5.65</v>
      </c>
      <c r="R222" s="791">
        <v>4.88</v>
      </c>
      <c r="S222" s="841">
        <v>1.0536359425851576</v>
      </c>
      <c r="T222" s="791">
        <v>6.8999999999999995</v>
      </c>
      <c r="U222" s="791">
        <v>21.4</v>
      </c>
      <c r="X222" s="791" t="str">
        <f t="shared" si="3"/>
        <v>-1,69/+1,68  (EC  1,76)</v>
      </c>
    </row>
    <row r="223" spans="1:24" s="791" customFormat="1" x14ac:dyDescent="0.25">
      <c r="A223" s="793">
        <v>113012</v>
      </c>
      <c r="B223" s="791">
        <v>8.48</v>
      </c>
      <c r="D223" s="791">
        <v>0.16300000000000001</v>
      </c>
      <c r="E223" s="841">
        <v>0.25</v>
      </c>
      <c r="F223" s="791">
        <v>0</v>
      </c>
      <c r="G223" s="791">
        <v>7.0000000000000007E-2</v>
      </c>
      <c r="H223" s="791">
        <v>33.25</v>
      </c>
      <c r="I223" s="791">
        <v>30.12</v>
      </c>
      <c r="J223" s="1273">
        <v>0.28000000000000003</v>
      </c>
      <c r="K223" s="1273">
        <v>1.1200000000000001</v>
      </c>
      <c r="L223" s="1273">
        <v>4.54</v>
      </c>
      <c r="M223" s="1273">
        <v>24.37</v>
      </c>
      <c r="N223" s="1273">
        <v>2.2000000000000002</v>
      </c>
      <c r="O223" s="791">
        <v>0.22</v>
      </c>
      <c r="P223" s="791">
        <v>0.08</v>
      </c>
      <c r="Q223" s="791">
        <v>1.01</v>
      </c>
      <c r="R223" s="1273">
        <v>2.92</v>
      </c>
      <c r="S223" s="841">
        <v>0.72</v>
      </c>
      <c r="T223" s="791">
        <v>5</v>
      </c>
      <c r="U223" s="791">
        <v>28.8</v>
      </c>
      <c r="X223" s="791" t="str">
        <f t="shared" si="3"/>
        <v>-2,04/+1,63  (EC  1,63)</v>
      </c>
    </row>
    <row r="224" spans="1:24" s="791" customFormat="1" x14ac:dyDescent="0.25">
      <c r="A224" s="793">
        <v>113013</v>
      </c>
      <c r="B224" s="791">
        <v>8.42</v>
      </c>
      <c r="D224" s="791">
        <v>0.20200000000000001</v>
      </c>
      <c r="E224" s="841">
        <v>3.9</v>
      </c>
      <c r="F224" s="791">
        <v>0</v>
      </c>
      <c r="G224" s="791">
        <v>0.09</v>
      </c>
      <c r="H224" s="841">
        <v>39.818625000000004</v>
      </c>
      <c r="I224" s="791">
        <v>34.71</v>
      </c>
      <c r="J224" s="1273">
        <v>2.29</v>
      </c>
      <c r="K224" s="1273">
        <v>4.1900000000000004</v>
      </c>
      <c r="L224" s="1273">
        <v>5.93</v>
      </c>
      <c r="M224" s="1273">
        <v>26.7</v>
      </c>
      <c r="N224" s="1273">
        <v>6.01</v>
      </c>
      <c r="O224" s="1273">
        <v>2.89</v>
      </c>
      <c r="P224" s="1273">
        <v>1.88</v>
      </c>
      <c r="Q224" s="1273">
        <v>1.74</v>
      </c>
      <c r="R224" s="1273">
        <v>4.21</v>
      </c>
      <c r="S224" s="841">
        <v>0.503109390801317</v>
      </c>
      <c r="T224" s="791">
        <v>3.5</v>
      </c>
      <c r="U224" s="791">
        <v>43.2</v>
      </c>
      <c r="X224" s="791" t="str">
        <f t="shared" si="3"/>
        <v>-2,64/+2,21  (EC  2,02)</v>
      </c>
    </row>
    <row r="225" spans="1:24" s="791" customFormat="1" x14ac:dyDescent="0.25">
      <c r="A225" s="793">
        <v>113014</v>
      </c>
      <c r="B225" s="791">
        <v>8.59</v>
      </c>
      <c r="D225" s="791">
        <v>0.27900000000000003</v>
      </c>
      <c r="E225" s="841">
        <v>13.37</v>
      </c>
      <c r="F225" s="791">
        <v>0</v>
      </c>
      <c r="G225" s="791">
        <v>0.14000000000000001</v>
      </c>
      <c r="H225" s="841">
        <v>56.671875000000007</v>
      </c>
      <c r="I225" s="791">
        <v>21.85</v>
      </c>
      <c r="J225" s="1273">
        <v>2.09</v>
      </c>
      <c r="K225" s="1273">
        <v>36.229999999999997</v>
      </c>
      <c r="L225" s="1273">
        <v>4.9000000000000004</v>
      </c>
      <c r="M225" s="1273">
        <v>20.85</v>
      </c>
      <c r="N225" s="1273">
        <v>5.74</v>
      </c>
      <c r="O225" s="1273">
        <v>1.72</v>
      </c>
      <c r="P225" s="1273">
        <v>1.43</v>
      </c>
      <c r="Q225" s="1273">
        <v>3.62</v>
      </c>
      <c r="R225" s="1273">
        <v>3.95</v>
      </c>
      <c r="S225" s="841">
        <v>0.5624013052398763</v>
      </c>
      <c r="T225" s="791">
        <v>4.0999999999999996</v>
      </c>
      <c r="U225" s="791">
        <v>50.400000000000006</v>
      </c>
      <c r="X225" s="791" t="str">
        <f t="shared" si="3"/>
        <v>-3,12/+2,67  (EC  2,79)</v>
      </c>
    </row>
    <row r="226" spans="1:24" s="730" customFormat="1" x14ac:dyDescent="0.25">
      <c r="A226" s="1960">
        <v>113015</v>
      </c>
      <c r="B226" s="730">
        <v>8.6999999999999993</v>
      </c>
      <c r="D226" s="730">
        <v>0.154</v>
      </c>
      <c r="E226" s="731">
        <v>1.472258064516129</v>
      </c>
      <c r="F226" s="730">
        <v>0</v>
      </c>
      <c r="G226" s="730">
        <v>0.19</v>
      </c>
      <c r="H226" s="731">
        <v>31.000200000000003</v>
      </c>
      <c r="I226" s="730">
        <v>17.850000000000001</v>
      </c>
      <c r="J226" s="733">
        <v>4.04</v>
      </c>
      <c r="K226" s="733">
        <v>8.8000000000000007</v>
      </c>
      <c r="L226" s="733">
        <v>5.5</v>
      </c>
      <c r="M226" s="733">
        <v>13.74</v>
      </c>
      <c r="N226" s="733">
        <v>4.78</v>
      </c>
      <c r="O226" s="733">
        <v>6.92</v>
      </c>
      <c r="P226" s="733">
        <v>1.56</v>
      </c>
      <c r="Q226" s="733">
        <v>4.97</v>
      </c>
      <c r="R226" s="733">
        <v>6.05</v>
      </c>
      <c r="S226" s="731">
        <v>0.5525906973759882</v>
      </c>
      <c r="T226" s="730">
        <v>4.0999999999999996</v>
      </c>
      <c r="U226" s="730">
        <v>36</v>
      </c>
      <c r="X226" s="730" t="str">
        <f t="shared" si="3"/>
        <v>-1,90/+1,56  (EC  1,54)</v>
      </c>
    </row>
    <row r="227" spans="1:24" s="730" customFormat="1" x14ac:dyDescent="0.25">
      <c r="A227" s="1960">
        <v>113016</v>
      </c>
      <c r="B227" s="730">
        <v>8.31</v>
      </c>
      <c r="D227" s="730">
        <v>0.26500000000000001</v>
      </c>
      <c r="E227" s="731">
        <v>7.8377419354838711</v>
      </c>
      <c r="F227" s="730">
        <v>0</v>
      </c>
      <c r="G227" s="730">
        <v>0.17</v>
      </c>
      <c r="H227" s="731">
        <v>54.086500000000001</v>
      </c>
      <c r="I227" s="730">
        <v>23.26</v>
      </c>
      <c r="J227" s="733">
        <v>5.68</v>
      </c>
      <c r="K227" s="733">
        <v>14.02</v>
      </c>
      <c r="L227" s="733">
        <v>10.210000000000001</v>
      </c>
      <c r="M227" s="733">
        <v>21.75</v>
      </c>
      <c r="N227" s="733">
        <v>8.09</v>
      </c>
      <c r="O227" s="733">
        <v>6.54</v>
      </c>
      <c r="P227" s="733">
        <v>1.8</v>
      </c>
      <c r="Q227" s="733">
        <v>5.31</v>
      </c>
      <c r="R227" s="733">
        <v>8.6300000000000008</v>
      </c>
      <c r="S227" s="731">
        <v>0.79302316234462944</v>
      </c>
      <c r="T227" s="730">
        <v>5.8</v>
      </c>
      <c r="U227" s="730">
        <v>33.599999999999994</v>
      </c>
      <c r="X227" s="730" t="str">
        <f t="shared" si="3"/>
        <v>-2,74/+2,58  (EC  2,65)</v>
      </c>
    </row>
    <row r="228" spans="1:24" s="730" customFormat="1" x14ac:dyDescent="0.25">
      <c r="A228" s="1960">
        <v>113017</v>
      </c>
      <c r="B228" s="730">
        <v>8.74</v>
      </c>
      <c r="D228" s="730">
        <v>0.23599999999999999</v>
      </c>
      <c r="E228" s="731">
        <v>3.314838709677419</v>
      </c>
      <c r="F228" s="730">
        <v>0</v>
      </c>
      <c r="G228" s="730">
        <v>0.1</v>
      </c>
      <c r="H228" s="731">
        <v>47.837199999999996</v>
      </c>
      <c r="I228" s="730">
        <v>30.41</v>
      </c>
      <c r="J228" s="733">
        <v>2.74</v>
      </c>
      <c r="K228" s="733">
        <v>16.510000000000002</v>
      </c>
      <c r="L228" s="733">
        <v>10.81</v>
      </c>
      <c r="M228" s="733">
        <v>17.91</v>
      </c>
      <c r="N228" s="733">
        <v>6.87</v>
      </c>
      <c r="O228" s="733">
        <v>4.01</v>
      </c>
      <c r="P228" s="733">
        <v>0.74</v>
      </c>
      <c r="Q228" s="733">
        <v>4.59</v>
      </c>
      <c r="R228" s="733">
        <v>9.86</v>
      </c>
      <c r="S228" s="731">
        <v>1.0128970461088598</v>
      </c>
      <c r="T228" s="730">
        <v>7.1999999999999993</v>
      </c>
      <c r="U228" s="730">
        <v>33.599999999999994</v>
      </c>
      <c r="X228" s="730" t="str">
        <f t="shared" si="3"/>
        <v>-2,61/+2,37  (EC  2,36)</v>
      </c>
    </row>
    <row r="229" spans="1:24" s="730" customFormat="1" x14ac:dyDescent="0.25">
      <c r="A229" s="1960">
        <v>113018</v>
      </c>
      <c r="B229" s="730">
        <v>8.64</v>
      </c>
      <c r="D229" s="730">
        <v>0.19800000000000001</v>
      </c>
      <c r="E229" s="731">
        <v>2.443225806451613</v>
      </c>
      <c r="F229" s="730">
        <v>0</v>
      </c>
      <c r="G229" s="730">
        <v>0.12</v>
      </c>
      <c r="H229" s="731">
        <v>40.392000000000003</v>
      </c>
      <c r="I229" s="730">
        <v>22.58</v>
      </c>
      <c r="J229" s="733">
        <v>3.47</v>
      </c>
      <c r="K229" s="733">
        <v>4.16</v>
      </c>
      <c r="L229" s="733">
        <v>8.19</v>
      </c>
      <c r="M229" s="733">
        <v>19.55</v>
      </c>
      <c r="N229" s="733">
        <v>7.61</v>
      </c>
      <c r="O229" s="733">
        <v>9.93</v>
      </c>
      <c r="P229" s="733">
        <v>1.79</v>
      </c>
      <c r="Q229" s="733">
        <v>7.26</v>
      </c>
      <c r="R229" s="733">
        <v>11.43</v>
      </c>
      <c r="S229" s="731">
        <v>1.3297898612523515</v>
      </c>
      <c r="T229" s="730">
        <v>9.6999999999999993</v>
      </c>
      <c r="U229" s="730">
        <v>40.799999999999997</v>
      </c>
      <c r="X229" s="730" t="str">
        <f t="shared" si="3"/>
        <v>-2,35/+2,08  (EC  1,98)</v>
      </c>
    </row>
    <row r="230" spans="1:24" s="730" customFormat="1" x14ac:dyDescent="0.25">
      <c r="A230" s="1960">
        <v>113019</v>
      </c>
      <c r="B230" s="730">
        <v>8.39</v>
      </c>
      <c r="D230" s="730">
        <v>0.20499999999999999</v>
      </c>
      <c r="E230" s="731">
        <v>7.749677419354839</v>
      </c>
      <c r="F230" s="730">
        <v>0</v>
      </c>
      <c r="G230" s="730">
        <v>0.16</v>
      </c>
      <c r="H230" s="731">
        <v>41.471499999999999</v>
      </c>
      <c r="I230" s="730">
        <v>18.350000000000001</v>
      </c>
      <c r="J230" s="733">
        <v>5.6</v>
      </c>
      <c r="K230" s="733">
        <v>7.35</v>
      </c>
      <c r="L230" s="733">
        <v>6</v>
      </c>
      <c r="M230" s="733">
        <v>20.83</v>
      </c>
      <c r="N230" s="733">
        <v>6.7</v>
      </c>
      <c r="O230" s="733">
        <v>6.98</v>
      </c>
      <c r="P230" s="733">
        <v>1.1299999999999999</v>
      </c>
      <c r="Q230" s="733">
        <v>4.7</v>
      </c>
      <c r="R230" s="733">
        <v>7.57</v>
      </c>
      <c r="S230" s="731">
        <v>1.1713217979797201</v>
      </c>
      <c r="T230" s="730">
        <v>7.8000000000000007</v>
      </c>
      <c r="U230" s="730">
        <v>31.200000000000003</v>
      </c>
      <c r="X230" s="730" t="str">
        <f t="shared" si="3"/>
        <v>-2,24/+2,06  (EC  2,05)</v>
      </c>
    </row>
    <row r="231" spans="1:24" s="730" customFormat="1" x14ac:dyDescent="0.25">
      <c r="A231" s="1960">
        <v>113020</v>
      </c>
      <c r="B231" s="730">
        <v>8.98</v>
      </c>
      <c r="D231" s="730">
        <v>0.17599999999999999</v>
      </c>
      <c r="E231" s="731">
        <v>1.2012903225806453</v>
      </c>
      <c r="F231" s="730">
        <v>0</v>
      </c>
      <c r="G231" s="730">
        <v>0.14000000000000001</v>
      </c>
      <c r="H231" s="731">
        <v>35.763199999999998</v>
      </c>
      <c r="I231" s="730">
        <v>15.83</v>
      </c>
      <c r="J231" s="733">
        <v>2.9</v>
      </c>
      <c r="K231" s="733">
        <v>1.64</v>
      </c>
      <c r="L231" s="733">
        <v>17.18</v>
      </c>
      <c r="M231" s="733">
        <v>14.76</v>
      </c>
      <c r="N231" s="733">
        <v>4.25</v>
      </c>
      <c r="O231" s="733">
        <v>4.91</v>
      </c>
      <c r="P231" s="733">
        <v>1.67</v>
      </c>
      <c r="Q231" s="733">
        <v>4.92</v>
      </c>
      <c r="R231" s="733">
        <v>5.93</v>
      </c>
      <c r="S231" s="731">
        <v>1.0244526022415092</v>
      </c>
      <c r="T231" s="730">
        <v>7.1</v>
      </c>
      <c r="U231" s="730">
        <v>43.2</v>
      </c>
      <c r="X231" s="730" t="str">
        <f t="shared" si="3"/>
        <v>-2,09/+1,89  (EC  1,76)</v>
      </c>
    </row>
    <row r="232" spans="1:24" s="697" customFormat="1" x14ac:dyDescent="0.25">
      <c r="A232" s="2021">
        <v>113021</v>
      </c>
      <c r="B232" s="692">
        <v>8.68</v>
      </c>
      <c r="D232" s="692">
        <v>0.246</v>
      </c>
      <c r="E232" s="2023">
        <v>3.0461290322580648</v>
      </c>
      <c r="F232" s="692">
        <v>0</v>
      </c>
      <c r="G232" s="2023">
        <v>0.14000000000000001</v>
      </c>
      <c r="H232" s="692">
        <v>50.12</v>
      </c>
      <c r="I232" s="692">
        <v>26.27</v>
      </c>
      <c r="J232" s="2022">
        <v>3.91</v>
      </c>
      <c r="K232" s="2022">
        <v>17.760000000000002</v>
      </c>
      <c r="L232" s="2022">
        <v>7.72</v>
      </c>
      <c r="M232" s="2022">
        <v>17.760000000000002</v>
      </c>
      <c r="N232" s="2022">
        <v>7.9</v>
      </c>
      <c r="O232" s="2022">
        <v>3.58</v>
      </c>
      <c r="P232" s="2022">
        <v>0.65</v>
      </c>
      <c r="Q232" s="2022">
        <v>2.7</v>
      </c>
      <c r="R232" s="2022">
        <v>9.32</v>
      </c>
      <c r="S232" s="2023">
        <v>1.2774668284631066</v>
      </c>
      <c r="T232" s="692">
        <v>8.4</v>
      </c>
      <c r="U232" s="692">
        <v>67.199999999999989</v>
      </c>
      <c r="X232" s="730" t="str">
        <f t="shared" si="3"/>
        <v>-3,15/+2,35  (EC  2,46)</v>
      </c>
    </row>
    <row r="233" spans="1:24" s="697" customFormat="1" x14ac:dyDescent="0.25">
      <c r="A233" s="2021">
        <v>113022</v>
      </c>
      <c r="B233" s="692">
        <v>8.5500000000000007</v>
      </c>
      <c r="D233" s="692">
        <v>0.28000000000000003</v>
      </c>
      <c r="E233" s="2023">
        <v>7.6006451612903216</v>
      </c>
      <c r="F233" s="692">
        <v>0</v>
      </c>
      <c r="G233" s="2023">
        <v>0.12</v>
      </c>
      <c r="H233" s="692">
        <v>57.14</v>
      </c>
      <c r="I233" s="692">
        <v>20.13</v>
      </c>
      <c r="J233" s="2022">
        <v>2.17</v>
      </c>
      <c r="K233" s="2022">
        <v>5.67</v>
      </c>
      <c r="L233" s="2022">
        <v>15.44</v>
      </c>
      <c r="M233" s="2022">
        <v>24.33</v>
      </c>
      <c r="N233" s="2022">
        <v>10.64</v>
      </c>
      <c r="O233" s="2022">
        <v>3.64</v>
      </c>
      <c r="P233" s="2022">
        <v>2.2999999999999998</v>
      </c>
      <c r="Q233" s="2022">
        <v>3.08</v>
      </c>
      <c r="R233" s="2022">
        <v>4.57</v>
      </c>
      <c r="S233" s="2023">
        <v>0.76883884780908884</v>
      </c>
      <c r="T233" s="692">
        <v>5.6000000000000005</v>
      </c>
      <c r="U233" s="692">
        <v>55.199999999999996</v>
      </c>
      <c r="X233" s="730" t="str">
        <f t="shared" si="3"/>
        <v>-3,08/+2,93  (EC  2,8)</v>
      </c>
    </row>
    <row r="234" spans="1:24" s="697" customFormat="1" x14ac:dyDescent="0.25">
      <c r="A234" s="2021">
        <v>113023</v>
      </c>
      <c r="B234" s="692">
        <v>8.5500000000000007</v>
      </c>
      <c r="D234" s="692">
        <v>0.20799999999999999</v>
      </c>
      <c r="E234" s="2023">
        <v>1.7138709677419353</v>
      </c>
      <c r="F234" s="692">
        <v>0</v>
      </c>
      <c r="G234" s="2023">
        <v>7.0000000000000007E-2</v>
      </c>
      <c r="H234" s="692">
        <v>41.88</v>
      </c>
      <c r="I234" s="692">
        <v>17.62</v>
      </c>
      <c r="J234" s="2022">
        <v>3.73</v>
      </c>
      <c r="K234" s="2022">
        <v>13.41</v>
      </c>
      <c r="L234" s="2022">
        <v>8.58</v>
      </c>
      <c r="M234" s="2022">
        <v>15.96</v>
      </c>
      <c r="N234" s="2022">
        <v>5.86</v>
      </c>
      <c r="O234" s="2022">
        <v>5.67</v>
      </c>
      <c r="P234" s="2022">
        <v>1.0900000000000001</v>
      </c>
      <c r="Q234" s="2022">
        <v>3.46</v>
      </c>
      <c r="R234" s="2022">
        <v>5.22</v>
      </c>
      <c r="S234" s="2023">
        <v>0.79947159039598348</v>
      </c>
      <c r="T234" s="692">
        <v>5.3000000000000007</v>
      </c>
      <c r="U234" s="692">
        <v>60</v>
      </c>
      <c r="X234" s="730" t="str">
        <f t="shared" si="3"/>
        <v>-2,60/+2,01  (EC  2,08)</v>
      </c>
    </row>
    <row r="235" spans="1:24" s="697" customFormat="1" x14ac:dyDescent="0.25">
      <c r="A235" s="2021">
        <v>113024</v>
      </c>
      <c r="B235" s="692">
        <v>8.06</v>
      </c>
      <c r="D235" s="692">
        <v>0.36799999999999999</v>
      </c>
      <c r="E235" s="2023">
        <v>8.1041935483870979</v>
      </c>
      <c r="F235" s="692">
        <v>0</v>
      </c>
      <c r="G235" s="2023">
        <v>0.15</v>
      </c>
      <c r="H235" s="692">
        <v>73.89</v>
      </c>
      <c r="I235" s="692">
        <v>94.47</v>
      </c>
      <c r="J235" s="2022">
        <v>4.04</v>
      </c>
      <c r="K235" s="2022">
        <v>8.41</v>
      </c>
      <c r="L235" s="2022">
        <v>5.82</v>
      </c>
      <c r="M235" s="2022">
        <v>41.24</v>
      </c>
      <c r="N235" s="2022">
        <v>15.02</v>
      </c>
      <c r="O235" s="2022">
        <v>6.1</v>
      </c>
      <c r="P235" s="2022">
        <v>1.71</v>
      </c>
      <c r="Q235" s="2022">
        <v>2.74</v>
      </c>
      <c r="R235" s="2022">
        <v>7.81</v>
      </c>
      <c r="S235" s="2023">
        <v>1.2633395000072207</v>
      </c>
      <c r="T235" s="692">
        <v>8.6</v>
      </c>
      <c r="U235" s="692">
        <v>43.2</v>
      </c>
      <c r="X235" s="730" t="str">
        <f t="shared" si="3"/>
        <v>-4,93/+3,79  (EC  3,68)</v>
      </c>
    </row>
    <row r="236" spans="1:24" s="697" customFormat="1" x14ac:dyDescent="0.25">
      <c r="A236" s="2021">
        <v>113025</v>
      </c>
      <c r="B236" s="692">
        <v>8.4700000000000006</v>
      </c>
      <c r="D236" s="692">
        <v>0.19700000000000001</v>
      </c>
      <c r="E236" s="2023">
        <v>3.479677419354839</v>
      </c>
      <c r="F236" s="692">
        <v>0</v>
      </c>
      <c r="G236" s="2023">
        <v>0.13</v>
      </c>
      <c r="H236" s="692">
        <v>40.11</v>
      </c>
      <c r="I236" s="692">
        <v>21.56</v>
      </c>
      <c r="J236" s="2022">
        <v>4.2</v>
      </c>
      <c r="K236" s="2022">
        <v>5.42</v>
      </c>
      <c r="L236" s="2022">
        <v>6.11</v>
      </c>
      <c r="M236" s="2022">
        <v>19.43</v>
      </c>
      <c r="N236" s="2022">
        <v>7.58</v>
      </c>
      <c r="O236" s="2022">
        <v>6.42</v>
      </c>
      <c r="P236" s="2022">
        <v>1.22</v>
      </c>
      <c r="Q236" s="2022">
        <v>3.04</v>
      </c>
      <c r="R236" s="2022">
        <v>5.44</v>
      </c>
      <c r="S236" s="2023">
        <v>0.99795146325815931</v>
      </c>
      <c r="T236" s="692">
        <v>7</v>
      </c>
      <c r="U236" s="692">
        <v>50.400000000000006</v>
      </c>
      <c r="X236" s="730" t="str">
        <f t="shared" si="3"/>
        <v>-2,50/+2,02  (EC  1,97)</v>
      </c>
    </row>
    <row r="237" spans="1:24" s="697" customFormat="1" x14ac:dyDescent="0.25">
      <c r="A237" s="2021">
        <v>113026</v>
      </c>
      <c r="B237" s="692">
        <v>8.9700000000000006</v>
      </c>
      <c r="D237" s="692">
        <v>0.19800000000000001</v>
      </c>
      <c r="E237" s="2023">
        <v>0.83774193548387088</v>
      </c>
      <c r="F237" s="692">
        <v>0</v>
      </c>
      <c r="G237" s="2023">
        <v>0.08</v>
      </c>
      <c r="H237" s="692">
        <v>40.200000000000003</v>
      </c>
      <c r="I237" s="692">
        <v>16.170000000000002</v>
      </c>
      <c r="J237" s="2022">
        <v>3.27</v>
      </c>
      <c r="K237" s="2022">
        <v>1.93</v>
      </c>
      <c r="L237" s="2022">
        <v>21.08</v>
      </c>
      <c r="M237" s="2022">
        <v>11.59</v>
      </c>
      <c r="N237" s="2022">
        <v>4.9400000000000004</v>
      </c>
      <c r="O237" s="2022">
        <v>10.6</v>
      </c>
      <c r="P237" s="2022">
        <v>0.73</v>
      </c>
      <c r="Q237" s="2022">
        <v>4.12</v>
      </c>
      <c r="R237" s="2022">
        <v>5.28</v>
      </c>
      <c r="S237" s="2023">
        <v>0.84805286554473014</v>
      </c>
      <c r="T237" s="692">
        <v>6</v>
      </c>
      <c r="U237" s="692">
        <v>67.199999999999989</v>
      </c>
      <c r="X237" s="730" t="str">
        <f t="shared" si="3"/>
        <v>-2,62/+1,96  (EC  1,98)</v>
      </c>
    </row>
    <row r="238" spans="1:24" s="697" customFormat="1" x14ac:dyDescent="0.25">
      <c r="A238" s="2021">
        <v>113027</v>
      </c>
      <c r="B238" s="692">
        <v>8.5299999999999994</v>
      </c>
      <c r="D238" s="692">
        <v>0.26</v>
      </c>
      <c r="E238" s="2023">
        <v>5.5187096774193556</v>
      </c>
      <c r="F238" s="692">
        <v>0</v>
      </c>
      <c r="G238" s="2023">
        <v>0.11</v>
      </c>
      <c r="H238" s="692">
        <v>53.66</v>
      </c>
      <c r="I238" s="692">
        <v>29.14</v>
      </c>
      <c r="J238" s="2022">
        <v>3.02</v>
      </c>
      <c r="K238" s="2022">
        <v>21.75</v>
      </c>
      <c r="L238" s="2022">
        <v>5.46</v>
      </c>
      <c r="M238" s="2022">
        <v>24.09</v>
      </c>
      <c r="N238" s="2022">
        <v>6.31</v>
      </c>
      <c r="O238" s="2022">
        <v>3.25</v>
      </c>
      <c r="P238" s="2022">
        <v>1.55</v>
      </c>
      <c r="Q238" s="2022">
        <v>5.2</v>
      </c>
      <c r="R238" s="2022">
        <v>6.28</v>
      </c>
      <c r="S238" s="2023">
        <v>0.84449653207504838</v>
      </c>
      <c r="T238" s="692">
        <v>5.6000000000000005</v>
      </c>
      <c r="U238" s="692">
        <v>86.4</v>
      </c>
      <c r="X238" s="730" t="str">
        <f t="shared" si="3"/>
        <v>-3,66/+2,53  (EC  2,6)</v>
      </c>
    </row>
    <row r="239" spans="1:24" s="697" customFormat="1" x14ac:dyDescent="0.25">
      <c r="A239" s="2021">
        <v>113028</v>
      </c>
      <c r="B239" s="692">
        <v>8.6999999999999993</v>
      </c>
      <c r="D239" s="692">
        <v>0.28899999999999998</v>
      </c>
      <c r="E239" s="2023">
        <v>12.139354838709677</v>
      </c>
      <c r="F239" s="692">
        <v>0</v>
      </c>
      <c r="G239" s="2023">
        <v>0.15</v>
      </c>
      <c r="H239" s="692">
        <v>59.14</v>
      </c>
      <c r="I239" s="692">
        <v>21.68</v>
      </c>
      <c r="J239" s="2022">
        <v>1.77</v>
      </c>
      <c r="K239" s="2022">
        <v>26.19</v>
      </c>
      <c r="L239" s="2022">
        <v>4.92</v>
      </c>
      <c r="M239" s="2022">
        <v>24.5</v>
      </c>
      <c r="N239" s="2022">
        <v>7.37</v>
      </c>
      <c r="O239" s="2022">
        <v>2.19</v>
      </c>
      <c r="P239" s="2022">
        <v>1.53</v>
      </c>
      <c r="Q239" s="2022">
        <v>3.57</v>
      </c>
      <c r="R239" s="2022">
        <v>3.53</v>
      </c>
      <c r="S239" s="2023">
        <v>0.73628030856855564</v>
      </c>
      <c r="T239" s="692">
        <v>5.4</v>
      </c>
      <c r="U239" s="692">
        <v>64.800000000000011</v>
      </c>
      <c r="X239" s="730" t="str">
        <f t="shared" si="3"/>
        <v>-3,39/+2,74  (EC  2,89)</v>
      </c>
    </row>
    <row r="240" spans="1:24" s="697" customFormat="1" x14ac:dyDescent="0.25">
      <c r="A240" s="2021">
        <v>113029</v>
      </c>
      <c r="B240" s="692">
        <v>8.85</v>
      </c>
      <c r="D240" s="692">
        <v>0.193</v>
      </c>
      <c r="E240" s="2023">
        <v>4.5929032258064515</v>
      </c>
      <c r="F240" s="692">
        <v>0</v>
      </c>
      <c r="G240" s="2023">
        <v>0.09</v>
      </c>
      <c r="H240" s="692">
        <v>39.14</v>
      </c>
      <c r="I240" s="692">
        <v>16.809999999999999</v>
      </c>
      <c r="J240" s="2022">
        <v>1.66</v>
      </c>
      <c r="K240" s="2022">
        <v>9.2100000000000009</v>
      </c>
      <c r="L240" s="2022">
        <v>3.16</v>
      </c>
      <c r="M240" s="2022">
        <v>20.22</v>
      </c>
      <c r="N240" s="2022">
        <v>8.24</v>
      </c>
      <c r="O240" s="2022">
        <v>4</v>
      </c>
      <c r="P240" s="2022">
        <v>0.94</v>
      </c>
      <c r="Q240" s="2022">
        <v>2.95</v>
      </c>
      <c r="R240" s="2022">
        <v>3.83</v>
      </c>
      <c r="S240" s="2023">
        <v>0.85940093408034857</v>
      </c>
      <c r="T240" s="692">
        <v>5.6000000000000005</v>
      </c>
      <c r="U240" s="692">
        <v>64.800000000000011</v>
      </c>
      <c r="X240" s="730" t="str">
        <f t="shared" si="3"/>
        <v>-2,61/+2,08  (EC  1,93)</v>
      </c>
    </row>
    <row r="241" spans="1:24" s="969" customFormat="1" x14ac:dyDescent="0.25">
      <c r="A241" s="1337">
        <v>113030</v>
      </c>
      <c r="B241" s="968">
        <v>8.3800000000000008</v>
      </c>
      <c r="D241" s="968">
        <v>7.0000000000000007E-2</v>
      </c>
      <c r="E241" s="1338">
        <v>2.06</v>
      </c>
      <c r="F241" s="968">
        <v>0</v>
      </c>
      <c r="G241" s="968">
        <v>0.15</v>
      </c>
      <c r="H241" s="968">
        <v>7.2</v>
      </c>
      <c r="I241" s="968">
        <v>8.4</v>
      </c>
      <c r="J241" s="968">
        <v>1.78</v>
      </c>
      <c r="K241" s="968">
        <v>7.71</v>
      </c>
      <c r="L241" s="968">
        <v>6.4</v>
      </c>
      <c r="M241" s="968">
        <v>5.56</v>
      </c>
      <c r="N241" s="968">
        <v>2.4</v>
      </c>
      <c r="O241" s="968">
        <v>0.89</v>
      </c>
      <c r="P241" s="968">
        <v>0.89</v>
      </c>
      <c r="Q241" s="968">
        <v>2.2999999999999998</v>
      </c>
      <c r="R241" s="968">
        <v>1.94</v>
      </c>
      <c r="S241" s="1338">
        <v>0.52525995378559676</v>
      </c>
      <c r="T241" s="968">
        <v>3.5</v>
      </c>
      <c r="U241" s="968">
        <v>24.2</v>
      </c>
      <c r="X241" s="730" t="str">
        <f t="shared" si="3"/>
        <v>-0,83/+0,96  (EC  0,7)</v>
      </c>
    </row>
    <row r="242" spans="1:24" s="969" customFormat="1" x14ac:dyDescent="0.25">
      <c r="A242" s="1337">
        <v>113031</v>
      </c>
      <c r="B242" s="968">
        <v>8.6300000000000008</v>
      </c>
      <c r="D242" s="968">
        <v>9.2999999999999999E-2</v>
      </c>
      <c r="E242" s="1338">
        <v>0.32</v>
      </c>
      <c r="F242" s="968">
        <v>0</v>
      </c>
      <c r="G242" s="968">
        <v>0.12</v>
      </c>
      <c r="H242" s="968">
        <v>10.1</v>
      </c>
      <c r="I242" s="968">
        <v>9.4</v>
      </c>
      <c r="J242" s="968">
        <v>0.86</v>
      </c>
      <c r="K242" s="968">
        <v>4.49</v>
      </c>
      <c r="L242" s="968">
        <v>5.32</v>
      </c>
      <c r="M242" s="968">
        <v>7.18</v>
      </c>
      <c r="N242" s="968">
        <v>1.89</v>
      </c>
      <c r="O242" s="968">
        <v>0.48</v>
      </c>
      <c r="P242" s="968">
        <v>0.69</v>
      </c>
      <c r="Q242" s="968">
        <v>2.02</v>
      </c>
      <c r="R242" s="968">
        <v>1.79</v>
      </c>
      <c r="S242" s="1338">
        <v>0.31232214503852951</v>
      </c>
      <c r="T242" s="968">
        <v>2.2000000000000002</v>
      </c>
      <c r="U242" s="968">
        <v>36</v>
      </c>
      <c r="X242" s="730" t="str">
        <f t="shared" si="3"/>
        <v>-1,08/+0,87  (EC  0,93)</v>
      </c>
    </row>
    <row r="243" spans="1:24" s="969" customFormat="1" x14ac:dyDescent="0.25">
      <c r="A243" s="1337">
        <v>113032</v>
      </c>
      <c r="B243" s="968">
        <v>8.35</v>
      </c>
      <c r="D243" s="968">
        <v>0.111</v>
      </c>
      <c r="E243" s="1338">
        <v>0.3</v>
      </c>
      <c r="F243" s="968">
        <v>0</v>
      </c>
      <c r="G243" s="968">
        <v>0.1</v>
      </c>
      <c r="H243" s="968">
        <v>23.45</v>
      </c>
      <c r="I243" s="968">
        <v>9.1199999999999992</v>
      </c>
      <c r="J243" s="968">
        <v>1.39</v>
      </c>
      <c r="K243" s="968">
        <v>3.78</v>
      </c>
      <c r="L243" s="968">
        <v>6.36</v>
      </c>
      <c r="M243" s="968">
        <v>6.64</v>
      </c>
      <c r="N243" s="968">
        <v>2.21</v>
      </c>
      <c r="O243" s="968">
        <v>0.23</v>
      </c>
      <c r="P243" s="968">
        <v>0.85</v>
      </c>
      <c r="Q243" s="968">
        <v>1.87</v>
      </c>
      <c r="R243" s="968">
        <v>1.85</v>
      </c>
      <c r="S243" s="1338">
        <v>0.42866783201164982</v>
      </c>
      <c r="T243" s="968">
        <v>3.1</v>
      </c>
      <c r="U243" s="968">
        <v>24</v>
      </c>
      <c r="X243" s="730" t="str">
        <f t="shared" si="3"/>
        <v>-1,26/+0,90  (EC  1,11)</v>
      </c>
    </row>
  </sheetData>
  <sheetProtection selectLockedCells="1" selectUnlockedCells="1"/>
  <mergeCells count="3">
    <mergeCell ref="A2:A3"/>
    <mergeCell ref="V1:V3"/>
    <mergeCell ref="X1:X3"/>
  </mergeCells>
  <conditionalFormatting sqref="N68:N80 P68:P80 N82">
    <cfRule type="containsText" dxfId="68" priority="52" operator="containsText" text="o">
      <formula>NOT(ISERROR(SEARCH("o",N68)))</formula>
    </cfRule>
  </conditionalFormatting>
  <conditionalFormatting sqref="Q68:Q69">
    <cfRule type="containsText" dxfId="67" priority="51" operator="containsText" text="o">
      <formula>NOT(ISERROR(SEARCH("o",Q68)))</formula>
    </cfRule>
  </conditionalFormatting>
  <conditionalFormatting sqref="R68:R69">
    <cfRule type="containsText" dxfId="66" priority="50" operator="containsText" text="o">
      <formula>NOT(ISERROR(SEARCH("o",R68)))</formula>
    </cfRule>
  </conditionalFormatting>
  <conditionalFormatting sqref="M64:M65 M67:M80 M82">
    <cfRule type="containsText" dxfId="65" priority="44" operator="containsText" text="o">
      <formula>NOT(ISERROR(SEARCH("o",M64)))</formula>
    </cfRule>
  </conditionalFormatting>
  <conditionalFormatting sqref="P64:P67">
    <cfRule type="containsText" dxfId="64" priority="43" operator="containsText" text="o">
      <formula>NOT(ISERROR(SEARCH("o",P64)))</formula>
    </cfRule>
  </conditionalFormatting>
  <conditionalFormatting sqref="R64:R67 R70:R80">
    <cfRule type="containsText" dxfId="63" priority="42" operator="containsText" text="o">
      <formula>NOT(ISERROR(SEARCH("o",R64)))</formula>
    </cfRule>
  </conditionalFormatting>
  <conditionalFormatting sqref="K65:K80 K82">
    <cfRule type="containsText" dxfId="62" priority="41" operator="containsText" text="o">
      <formula>NOT(ISERROR(SEARCH("o",K65)))</formula>
    </cfRule>
  </conditionalFormatting>
  <conditionalFormatting sqref="N64:N67">
    <cfRule type="containsText" dxfId="61" priority="40" operator="containsText" text="o">
      <formula>NOT(ISERROR(SEARCH("o",N64)))</formula>
    </cfRule>
  </conditionalFormatting>
  <conditionalFormatting sqref="Q64:Q67 Q70:Q80">
    <cfRule type="containsText" dxfId="60" priority="39" operator="containsText" text="o">
      <formula>NOT(ISERROR(SEARCH("o",Q64)))</formula>
    </cfRule>
  </conditionalFormatting>
  <conditionalFormatting sqref="L64:L65">
    <cfRule type="containsText" dxfId="59" priority="38" operator="containsText" text="o">
      <formula>NOT(ISERROR(SEARCH("o",L64)))</formula>
    </cfRule>
  </conditionalFormatting>
  <conditionalFormatting sqref="O64:O67 P70:P80">
    <cfRule type="containsText" dxfId="58" priority="37" operator="containsText" text="o">
      <formula>NOT(ISERROR(SEARCH("o",O64)))</formula>
    </cfRule>
  </conditionalFormatting>
  <conditionalFormatting sqref="J64:J67">
    <cfRule type="containsText" dxfId="57" priority="36" operator="containsText" text="o">
      <formula>NOT(ISERROR(SEARCH("o",J64)))</formula>
    </cfRule>
  </conditionalFormatting>
  <conditionalFormatting sqref="O87:O89 O91:O93 O95:O96 O99 O101">
    <cfRule type="containsText" dxfId="56" priority="35" operator="containsText" text="o">
      <formula>NOT(ISERROR(SEARCH("o",O87)))</formula>
    </cfRule>
  </conditionalFormatting>
  <conditionalFormatting sqref="P87:P101">
    <cfRule type="containsText" dxfId="55" priority="34" operator="containsText" text="o">
      <formula>NOT(ISERROR(SEARCH("o",P87)))</formula>
    </cfRule>
  </conditionalFormatting>
  <conditionalFormatting sqref="Q87:Q90 Q92:Q101">
    <cfRule type="containsText" dxfId="54" priority="33" operator="containsText" text="o">
      <formula>NOT(ISERROR(SEARCH("o",Q87)))</formula>
    </cfRule>
  </conditionalFormatting>
  <conditionalFormatting sqref="R87:R101">
    <cfRule type="containsText" dxfId="53" priority="32" operator="containsText" text="o">
      <formula>NOT(ISERROR(SEARCH("o",R87)))</formula>
    </cfRule>
  </conditionalFormatting>
  <conditionalFormatting sqref="P102:P103">
    <cfRule type="containsText" dxfId="52" priority="31" operator="containsText" text="o">
      <formula>NOT(ISERROR(SEARCH("o",P102)))</formula>
    </cfRule>
  </conditionalFormatting>
  <conditionalFormatting sqref="R102:R103">
    <cfRule type="containsText" dxfId="51" priority="30" operator="containsText" text="o">
      <formula>NOT(ISERROR(SEARCH("o",R102)))</formula>
    </cfRule>
  </conditionalFormatting>
  <conditionalFormatting sqref="Q102:Q103">
    <cfRule type="containsText" dxfId="50" priority="29" operator="containsText" text="o">
      <formula>NOT(ISERROR(SEARCH("o",Q102)))</formula>
    </cfRule>
  </conditionalFormatting>
  <conditionalFormatting sqref="O102:O103">
    <cfRule type="containsText" dxfId="49" priority="28" operator="containsText" text="o">
      <formula>NOT(ISERROR(SEARCH("o",O102)))</formula>
    </cfRule>
  </conditionalFormatting>
  <conditionalFormatting sqref="P104">
    <cfRule type="containsText" dxfId="48" priority="27" operator="containsText" text="o">
      <formula>NOT(ISERROR(SEARCH("o",P104)))</formula>
    </cfRule>
  </conditionalFormatting>
  <conditionalFormatting sqref="R104">
    <cfRule type="containsText" dxfId="47" priority="26" operator="containsText" text="o">
      <formula>NOT(ISERROR(SEARCH("o",R104)))</formula>
    </cfRule>
  </conditionalFormatting>
  <conditionalFormatting sqref="Q104">
    <cfRule type="containsText" dxfId="46" priority="25" operator="containsText" text="o">
      <formula>NOT(ISERROR(SEARCH("o",Q104)))</formula>
    </cfRule>
  </conditionalFormatting>
  <conditionalFormatting sqref="O104">
    <cfRule type="containsText" dxfId="45" priority="24" operator="containsText" text="o">
      <formula>NOT(ISERROR(SEARCH("o",O104)))</formula>
    </cfRule>
  </conditionalFormatting>
  <conditionalFormatting sqref="O107:O108 O110:O111">
    <cfRule type="containsText" dxfId="44" priority="23" operator="containsText" text="o">
      <formula>NOT(ISERROR(SEARCH("o",O107)))</formula>
    </cfRule>
  </conditionalFormatting>
  <conditionalFormatting sqref="Q107">
    <cfRule type="containsText" dxfId="43" priority="22" operator="containsText" text="o">
      <formula>NOT(ISERROR(SEARCH("o",Q107)))</formula>
    </cfRule>
  </conditionalFormatting>
  <conditionalFormatting sqref="R106:R108 R110:R111">
    <cfRule type="containsText" dxfId="42" priority="21" operator="containsText" text="o">
      <formula>NOT(ISERROR(SEARCH("o",R106)))</formula>
    </cfRule>
  </conditionalFormatting>
  <conditionalFormatting sqref="P106:P108 P110:P111">
    <cfRule type="containsText" dxfId="41" priority="20" operator="containsText" text="o">
      <formula>NOT(ISERROR(SEARCH("o",P106)))</formula>
    </cfRule>
  </conditionalFormatting>
  <conditionalFormatting sqref="O109">
    <cfRule type="containsText" dxfId="40" priority="19" operator="containsText" text="o">
      <formula>NOT(ISERROR(SEARCH("o",O109)))</formula>
    </cfRule>
  </conditionalFormatting>
  <conditionalFormatting sqref="Q109">
    <cfRule type="containsText" dxfId="39" priority="18" operator="containsText" text="o">
      <formula>NOT(ISERROR(SEARCH("o",Q109)))</formula>
    </cfRule>
  </conditionalFormatting>
  <conditionalFormatting sqref="R109">
    <cfRule type="containsText" dxfId="38" priority="17" operator="containsText" text="o">
      <formula>NOT(ISERROR(SEARCH("o",R109)))</formula>
    </cfRule>
  </conditionalFormatting>
  <conditionalFormatting sqref="P109">
    <cfRule type="containsText" dxfId="37" priority="16" operator="containsText" text="o">
      <formula>NOT(ISERROR(SEARCH("o",P109)))</formula>
    </cfRule>
  </conditionalFormatting>
  <conditionalFormatting sqref="S109">
    <cfRule type="containsText" dxfId="36" priority="15" operator="containsText" text="o">
      <formula>NOT(ISERROR(SEARCH("o",S109)))</formula>
    </cfRule>
  </conditionalFormatting>
  <conditionalFormatting sqref="P114:P118">
    <cfRule type="containsText" dxfId="35" priority="14" operator="containsText" text="o">
      <formula>NOT(ISERROR(SEARCH("o",P114)))</formula>
    </cfRule>
  </conditionalFormatting>
  <conditionalFormatting sqref="R114:R118">
    <cfRule type="containsText" dxfId="34" priority="13" operator="containsText" text="o">
      <formula>NOT(ISERROR(SEARCH("o",R114)))</formula>
    </cfRule>
  </conditionalFormatting>
  <conditionalFormatting sqref="Q114:Q118">
    <cfRule type="containsText" dxfId="33" priority="12" operator="containsText" text="o">
      <formula>NOT(ISERROR(SEARCH("o",Q114)))</formula>
    </cfRule>
  </conditionalFormatting>
  <conditionalFormatting sqref="P114:P118">
    <cfRule type="containsText" dxfId="32" priority="11" operator="containsText" text="o">
      <formula>NOT(ISERROR(SEARCH("o",P114)))</formula>
    </cfRule>
  </conditionalFormatting>
  <conditionalFormatting sqref="B147:B148">
    <cfRule type="cellIs" dxfId="31" priority="4" operator="greaterThan">
      <formula>8.5</formula>
    </cfRule>
  </conditionalFormatting>
  <conditionalFormatting sqref="B147:B148">
    <cfRule type="cellIs" dxfId="30" priority="3" operator="lessThan">
      <formula>7</formula>
    </cfRule>
  </conditionalFormatting>
  <conditionalFormatting sqref="P209:P210">
    <cfRule type="containsText" dxfId="29" priority="2" operator="containsText" text="o">
      <formula>NOT(ISERROR(SEARCH("o",P209)))</formula>
    </cfRule>
  </conditionalFormatting>
  <conditionalFormatting sqref="Q209:Q210">
    <cfRule type="containsText" dxfId="28" priority="1" operator="containsText" text="o">
      <formula>NOT(ISERROR(SEARCH("o",Q209)))</formula>
    </cfRule>
  </conditionalFormatting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D648-7B83-4A67-B559-85BE36A6272C}">
  <sheetPr codeName="Feuil9"/>
  <dimension ref="A1:Q47"/>
  <sheetViews>
    <sheetView topLeftCell="A16" workbookViewId="0">
      <selection activeCell="J27" sqref="J27:Q28"/>
    </sheetView>
  </sheetViews>
  <sheetFormatPr baseColWidth="10" defaultRowHeight="15.75" x14ac:dyDescent="0.25"/>
  <sheetData>
    <row r="1" spans="1:17" ht="18.75" x14ac:dyDescent="0.25">
      <c r="J1" s="72"/>
      <c r="K1" s="73"/>
      <c r="L1" s="74"/>
      <c r="M1" s="1924"/>
      <c r="N1" s="1924"/>
      <c r="O1" s="1924"/>
      <c r="P1" s="1924"/>
      <c r="Q1" s="1924"/>
    </row>
    <row r="2" spans="1:17" ht="18.75" x14ac:dyDescent="0.3">
      <c r="J2" s="77" t="s">
        <v>52</v>
      </c>
      <c r="K2" s="78" t="s">
        <v>53</v>
      </c>
      <c r="L2" s="79" t="s">
        <v>54</v>
      </c>
      <c r="M2" s="76" t="s">
        <v>55</v>
      </c>
      <c r="N2" s="76" t="s">
        <v>56</v>
      </c>
      <c r="O2" s="76" t="s">
        <v>57</v>
      </c>
      <c r="P2" s="76" t="s">
        <v>58</v>
      </c>
      <c r="Q2" s="76" t="s">
        <v>59</v>
      </c>
    </row>
    <row r="3" spans="1:17" ht="18.75" x14ac:dyDescent="0.3">
      <c r="B3" s="1925" t="s">
        <v>602</v>
      </c>
      <c r="C3" s="1925" t="s">
        <v>603</v>
      </c>
      <c r="D3" s="1925" t="s">
        <v>604</v>
      </c>
      <c r="E3" s="1925" t="s">
        <v>605</v>
      </c>
      <c r="F3" s="1926" t="s">
        <v>14</v>
      </c>
      <c r="G3" s="1926" t="s">
        <v>16</v>
      </c>
      <c r="H3" s="1926" t="s">
        <v>15</v>
      </c>
      <c r="I3" s="1927" t="s">
        <v>13</v>
      </c>
      <c r="J3" s="77" t="s">
        <v>47</v>
      </c>
      <c r="K3" s="78" t="s">
        <v>72</v>
      </c>
      <c r="L3" s="79" t="s">
        <v>72</v>
      </c>
      <c r="M3" s="76" t="s">
        <v>47</v>
      </c>
      <c r="N3" s="76" t="s">
        <v>47</v>
      </c>
      <c r="O3" s="76" t="s">
        <v>47</v>
      </c>
      <c r="P3" s="76" t="s">
        <v>47</v>
      </c>
      <c r="Q3" s="76" t="s">
        <v>47</v>
      </c>
    </row>
    <row r="4" spans="1:17" x14ac:dyDescent="0.25">
      <c r="A4" s="2126">
        <v>103227</v>
      </c>
      <c r="B4" s="2126">
        <v>4.88</v>
      </c>
      <c r="C4" s="2126">
        <v>0.13</v>
      </c>
      <c r="D4" s="2126">
        <v>0.45</v>
      </c>
      <c r="E4" s="2126">
        <v>0.14000000000000001</v>
      </c>
      <c r="F4" s="2126">
        <v>0.05</v>
      </c>
      <c r="G4" s="2126">
        <v>0.27</v>
      </c>
      <c r="H4" s="2126">
        <v>0.18</v>
      </c>
      <c r="I4" s="2126">
        <v>0.11</v>
      </c>
      <c r="J4" s="1233">
        <f>C4*1000</f>
        <v>130</v>
      </c>
      <c r="K4" s="1233">
        <f>E4</f>
        <v>0.14000000000000001</v>
      </c>
      <c r="L4" s="1233">
        <f>B4</f>
        <v>4.88</v>
      </c>
      <c r="M4" s="1233">
        <f>D4*1000</f>
        <v>450</v>
      </c>
      <c r="N4" s="1233">
        <f>I4</f>
        <v>0.11</v>
      </c>
      <c r="O4" s="1233">
        <f>F4</f>
        <v>0.05</v>
      </c>
      <c r="P4" s="1233">
        <f>H4</f>
        <v>0.18</v>
      </c>
      <c r="Q4" s="1233">
        <f>G4</f>
        <v>0.27</v>
      </c>
    </row>
    <row r="5" spans="1:17" x14ac:dyDescent="0.25">
      <c r="A5" s="2126">
        <v>103228</v>
      </c>
      <c r="B5" s="2126">
        <v>5.71</v>
      </c>
      <c r="C5" s="2126">
        <v>0.23</v>
      </c>
      <c r="D5" s="2126">
        <v>0.48</v>
      </c>
      <c r="E5" s="2126">
        <v>0.06</v>
      </c>
      <c r="F5" s="2126">
        <v>3.4</v>
      </c>
      <c r="G5" s="2126">
        <v>3.02</v>
      </c>
      <c r="H5" s="2126">
        <v>7.17</v>
      </c>
      <c r="I5" s="2126">
        <v>5.23</v>
      </c>
      <c r="J5" s="1233">
        <f t="shared" ref="J5:J33" si="0">C5*1000</f>
        <v>230</v>
      </c>
      <c r="K5" s="1233">
        <f t="shared" ref="K5:K33" si="1">E5</f>
        <v>0.06</v>
      </c>
      <c r="L5" s="1233">
        <f t="shared" ref="L5:L33" si="2">B5</f>
        <v>5.71</v>
      </c>
      <c r="M5" s="1233">
        <f t="shared" ref="M5:M33" si="3">D5*1000</f>
        <v>480</v>
      </c>
      <c r="N5" s="1233">
        <f t="shared" ref="N5:N33" si="4">I5</f>
        <v>5.23</v>
      </c>
      <c r="O5" s="1233">
        <f t="shared" ref="O5:O33" si="5">F5</f>
        <v>3.4</v>
      </c>
      <c r="P5" s="1233">
        <f t="shared" ref="P5:P33" si="6">H5</f>
        <v>7.17</v>
      </c>
      <c r="Q5" s="1233">
        <f t="shared" ref="Q5:Q33" si="7">G5</f>
        <v>3.02</v>
      </c>
    </row>
    <row r="6" spans="1:17" x14ac:dyDescent="0.25">
      <c r="A6" s="2126">
        <v>103229</v>
      </c>
      <c r="B6" s="2126">
        <v>0.4</v>
      </c>
      <c r="C6" s="2126">
        <v>0.08</v>
      </c>
      <c r="D6" s="2126">
        <v>7.0000000000000007E-2</v>
      </c>
      <c r="E6" s="2126">
        <v>0.02</v>
      </c>
      <c r="F6" s="2126">
        <v>0.53</v>
      </c>
      <c r="G6" s="2126">
        <v>29.41</v>
      </c>
      <c r="H6" s="2126">
        <v>3.37</v>
      </c>
      <c r="I6" s="2126">
        <v>0.67</v>
      </c>
      <c r="J6" s="1233">
        <f t="shared" si="0"/>
        <v>80</v>
      </c>
      <c r="K6" s="1233">
        <f t="shared" si="1"/>
        <v>0.02</v>
      </c>
      <c r="L6" s="1233">
        <f t="shared" si="2"/>
        <v>0.4</v>
      </c>
      <c r="M6" s="1233">
        <f t="shared" si="3"/>
        <v>70</v>
      </c>
      <c r="N6" s="1233">
        <f t="shared" si="4"/>
        <v>0.67</v>
      </c>
      <c r="O6" s="1233">
        <f t="shared" si="5"/>
        <v>0.53</v>
      </c>
      <c r="P6" s="1233">
        <f t="shared" si="6"/>
        <v>3.37</v>
      </c>
      <c r="Q6" s="1233">
        <f t="shared" si="7"/>
        <v>29.41</v>
      </c>
    </row>
    <row r="7" spans="1:17" x14ac:dyDescent="0.25">
      <c r="A7" s="2126">
        <v>103230</v>
      </c>
      <c r="B7" s="2126">
        <v>0.55000000000000004</v>
      </c>
      <c r="C7" s="2126">
        <v>7.0000000000000007E-2</v>
      </c>
      <c r="D7" s="2126">
        <v>7.0000000000000007E-2</v>
      </c>
      <c r="E7" s="2126">
        <v>0.01</v>
      </c>
      <c r="F7" s="2126">
        <v>0.4</v>
      </c>
      <c r="G7" s="2126">
        <v>50.08</v>
      </c>
      <c r="H7" s="2126">
        <v>4.95</v>
      </c>
      <c r="I7" s="2126">
        <v>1.27</v>
      </c>
      <c r="J7" s="1233">
        <f t="shared" si="0"/>
        <v>70</v>
      </c>
      <c r="K7" s="1233">
        <f t="shared" si="1"/>
        <v>0.01</v>
      </c>
      <c r="L7" s="1233">
        <f t="shared" si="2"/>
        <v>0.55000000000000004</v>
      </c>
      <c r="M7" s="1233">
        <f t="shared" si="3"/>
        <v>70</v>
      </c>
      <c r="N7" s="1233">
        <f t="shared" si="4"/>
        <v>1.27</v>
      </c>
      <c r="O7" s="1233">
        <f t="shared" si="5"/>
        <v>0.4</v>
      </c>
      <c r="P7" s="1233">
        <f t="shared" si="6"/>
        <v>4.95</v>
      </c>
      <c r="Q7" s="1233">
        <f t="shared" si="7"/>
        <v>50.08</v>
      </c>
    </row>
    <row r="8" spans="1:17" x14ac:dyDescent="0.25">
      <c r="A8" s="2126">
        <v>103231</v>
      </c>
      <c r="B8" s="2126">
        <v>8.6999999999999993</v>
      </c>
      <c r="C8" s="2126">
        <v>0.45</v>
      </c>
      <c r="D8" s="2126">
        <v>0.97</v>
      </c>
      <c r="E8" s="2126">
        <v>1.51</v>
      </c>
      <c r="F8" s="2126">
        <v>0.92</v>
      </c>
      <c r="G8" s="2126">
        <v>2.1</v>
      </c>
      <c r="H8" s="2126">
        <v>1.97</v>
      </c>
      <c r="I8" s="2126">
        <v>1.02</v>
      </c>
      <c r="J8" s="1233">
        <f t="shared" si="0"/>
        <v>450</v>
      </c>
      <c r="K8" s="1233">
        <f t="shared" si="1"/>
        <v>1.51</v>
      </c>
      <c r="L8" s="1233">
        <f t="shared" si="2"/>
        <v>8.6999999999999993</v>
      </c>
      <c r="M8" s="1233">
        <f t="shared" si="3"/>
        <v>970</v>
      </c>
      <c r="N8" s="1233">
        <f t="shared" si="4"/>
        <v>1.02</v>
      </c>
      <c r="O8" s="1233">
        <f t="shared" si="5"/>
        <v>0.92</v>
      </c>
      <c r="P8" s="1233">
        <f t="shared" si="6"/>
        <v>1.97</v>
      </c>
      <c r="Q8" s="1233">
        <f t="shared" si="7"/>
        <v>2.1</v>
      </c>
    </row>
    <row r="9" spans="1:17" x14ac:dyDescent="0.25">
      <c r="A9" s="2126">
        <v>103232</v>
      </c>
      <c r="B9" s="2126">
        <v>7.86</v>
      </c>
      <c r="C9" s="2126">
        <v>0.39</v>
      </c>
      <c r="D9" s="2126">
        <v>1.19</v>
      </c>
      <c r="E9" s="2126">
        <v>1.44</v>
      </c>
      <c r="F9" s="2126">
        <v>0.52</v>
      </c>
      <c r="G9" s="2126">
        <v>1.36</v>
      </c>
      <c r="H9" s="2126">
        <v>1.27</v>
      </c>
      <c r="I9" s="2126">
        <v>0.33</v>
      </c>
      <c r="J9" s="1233">
        <f t="shared" si="0"/>
        <v>390</v>
      </c>
      <c r="K9" s="1233">
        <f t="shared" si="1"/>
        <v>1.44</v>
      </c>
      <c r="L9" s="1233">
        <f t="shared" si="2"/>
        <v>7.86</v>
      </c>
      <c r="M9" s="1233">
        <f t="shared" si="3"/>
        <v>1190</v>
      </c>
      <c r="N9" s="1233">
        <f t="shared" si="4"/>
        <v>0.33</v>
      </c>
      <c r="O9" s="1233">
        <f t="shared" si="5"/>
        <v>0.52</v>
      </c>
      <c r="P9" s="1233">
        <f t="shared" si="6"/>
        <v>1.27</v>
      </c>
      <c r="Q9" s="1233">
        <f t="shared" si="7"/>
        <v>1.36</v>
      </c>
    </row>
    <row r="10" spans="1:17" x14ac:dyDescent="0.25">
      <c r="A10" s="2053"/>
      <c r="B10" s="2053"/>
      <c r="C10" s="2053"/>
      <c r="D10" s="2053"/>
      <c r="E10" s="2053"/>
      <c r="F10" s="2053"/>
      <c r="G10" s="2053"/>
      <c r="H10" s="2053"/>
      <c r="I10" s="2053"/>
      <c r="J10" s="1233">
        <f t="shared" si="0"/>
        <v>0</v>
      </c>
      <c r="K10" s="1233">
        <f t="shared" si="1"/>
        <v>0</v>
      </c>
      <c r="L10" s="1233">
        <f t="shared" si="2"/>
        <v>0</v>
      </c>
      <c r="M10" s="1233">
        <f t="shared" si="3"/>
        <v>0</v>
      </c>
      <c r="N10" s="1233">
        <f t="shared" si="4"/>
        <v>0</v>
      </c>
      <c r="O10" s="1233">
        <f t="shared" si="5"/>
        <v>0</v>
      </c>
      <c r="P10" s="1233">
        <f t="shared" si="6"/>
        <v>0</v>
      </c>
      <c r="Q10" s="1233">
        <f t="shared" si="7"/>
        <v>0</v>
      </c>
    </row>
    <row r="11" spans="1:17" x14ac:dyDescent="0.25">
      <c r="A11" s="2131">
        <v>103233</v>
      </c>
      <c r="B11" s="2131">
        <v>3.03</v>
      </c>
      <c r="C11" s="2131">
        <v>0.52</v>
      </c>
      <c r="D11" s="2131">
        <v>0.66</v>
      </c>
      <c r="E11" s="2131">
        <v>7.0000000000000007E-2</v>
      </c>
      <c r="F11" s="2131">
        <v>1.31</v>
      </c>
      <c r="G11" s="2131">
        <v>31.29</v>
      </c>
      <c r="H11" s="2131">
        <v>4.8499999999999996</v>
      </c>
      <c r="I11" s="2131">
        <v>6.63</v>
      </c>
      <c r="J11" s="1233">
        <f t="shared" si="0"/>
        <v>520</v>
      </c>
      <c r="K11" s="1233">
        <f t="shared" si="1"/>
        <v>7.0000000000000007E-2</v>
      </c>
      <c r="L11" s="1233">
        <f t="shared" si="2"/>
        <v>3.03</v>
      </c>
      <c r="M11" s="1233">
        <f t="shared" si="3"/>
        <v>660</v>
      </c>
      <c r="N11" s="1233">
        <f t="shared" si="4"/>
        <v>6.63</v>
      </c>
      <c r="O11" s="1233">
        <f t="shared" si="5"/>
        <v>1.31</v>
      </c>
      <c r="P11" s="1233">
        <f t="shared" si="6"/>
        <v>4.8499999999999996</v>
      </c>
      <c r="Q11" s="1233">
        <f t="shared" si="7"/>
        <v>31.29</v>
      </c>
    </row>
    <row r="12" spans="1:17" x14ac:dyDescent="0.25">
      <c r="A12" s="2053"/>
      <c r="B12" s="2053"/>
      <c r="C12" s="2053"/>
      <c r="D12" s="2053"/>
      <c r="E12" s="2053"/>
      <c r="F12" s="2053"/>
      <c r="G12" s="2053"/>
      <c r="H12" s="2053"/>
      <c r="I12" s="2053"/>
      <c r="J12" s="1233">
        <f t="shared" si="0"/>
        <v>0</v>
      </c>
      <c r="K12" s="1233">
        <f t="shared" si="1"/>
        <v>0</v>
      </c>
      <c r="L12" s="1233">
        <f t="shared" si="2"/>
        <v>0</v>
      </c>
      <c r="M12" s="1233">
        <f t="shared" si="3"/>
        <v>0</v>
      </c>
      <c r="N12" s="1233">
        <f t="shared" si="4"/>
        <v>0</v>
      </c>
      <c r="O12" s="1233">
        <f t="shared" si="5"/>
        <v>0</v>
      </c>
      <c r="P12" s="1233">
        <f t="shared" si="6"/>
        <v>0</v>
      </c>
      <c r="Q12" s="1233">
        <f t="shared" si="7"/>
        <v>0</v>
      </c>
    </row>
    <row r="13" spans="1:17" x14ac:dyDescent="0.25">
      <c r="A13" s="2139">
        <v>103236</v>
      </c>
      <c r="B13" s="2139">
        <v>4.59</v>
      </c>
      <c r="C13" s="2139">
        <v>0.28999999999999998</v>
      </c>
      <c r="D13" s="2139">
        <v>0.74</v>
      </c>
      <c r="E13" s="2139">
        <v>0.13</v>
      </c>
      <c r="F13" s="2139">
        <v>0.15</v>
      </c>
      <c r="G13" s="2139">
        <v>1.63</v>
      </c>
      <c r="H13" s="2139">
        <v>1.03</v>
      </c>
      <c r="I13" s="2139">
        <v>0.04</v>
      </c>
      <c r="J13" s="1233">
        <f t="shared" si="0"/>
        <v>290</v>
      </c>
      <c r="K13" s="1233">
        <f t="shared" si="1"/>
        <v>0.13</v>
      </c>
      <c r="L13" s="1233">
        <f t="shared" si="2"/>
        <v>4.59</v>
      </c>
      <c r="M13" s="1233">
        <f t="shared" si="3"/>
        <v>740</v>
      </c>
      <c r="N13" s="1233">
        <f t="shared" si="4"/>
        <v>0.04</v>
      </c>
      <c r="O13" s="1233">
        <f t="shared" si="5"/>
        <v>0.15</v>
      </c>
      <c r="P13" s="1233">
        <f t="shared" si="6"/>
        <v>1.03</v>
      </c>
      <c r="Q13" s="1233">
        <f t="shared" si="7"/>
        <v>1.63</v>
      </c>
    </row>
    <row r="14" spans="1:17" x14ac:dyDescent="0.25">
      <c r="A14" s="2139">
        <v>103237</v>
      </c>
      <c r="B14" s="2139">
        <v>11.02</v>
      </c>
      <c r="C14" s="2139">
        <v>0.53</v>
      </c>
      <c r="D14" s="2139">
        <v>1.46</v>
      </c>
      <c r="E14" s="2139">
        <v>3.56</v>
      </c>
      <c r="F14" s="2139">
        <v>0.1</v>
      </c>
      <c r="G14" s="2139">
        <v>1.72</v>
      </c>
      <c r="H14" s="2139">
        <v>0.4</v>
      </c>
      <c r="I14" s="2139">
        <v>0.04</v>
      </c>
      <c r="J14" s="1233">
        <f t="shared" si="0"/>
        <v>530</v>
      </c>
      <c r="K14" s="1233">
        <f t="shared" si="1"/>
        <v>3.56</v>
      </c>
      <c r="L14" s="1233">
        <f t="shared" si="2"/>
        <v>11.02</v>
      </c>
      <c r="M14" s="1233">
        <f t="shared" si="3"/>
        <v>1460</v>
      </c>
      <c r="N14" s="1233">
        <f t="shared" si="4"/>
        <v>0.04</v>
      </c>
      <c r="O14" s="1233">
        <f t="shared" si="5"/>
        <v>0.1</v>
      </c>
      <c r="P14" s="1233">
        <f t="shared" si="6"/>
        <v>0.4</v>
      </c>
      <c r="Q14" s="1233">
        <f t="shared" si="7"/>
        <v>1.72</v>
      </c>
    </row>
    <row r="15" spans="1:17" x14ac:dyDescent="0.25">
      <c r="A15" s="2139">
        <v>103238</v>
      </c>
      <c r="B15" s="2139">
        <v>8.23</v>
      </c>
      <c r="C15" s="2139">
        <v>0.12</v>
      </c>
      <c r="D15" s="2139">
        <v>0.7</v>
      </c>
      <c r="E15" s="2139">
        <v>0.16</v>
      </c>
      <c r="F15" s="2139">
        <v>0.1</v>
      </c>
      <c r="G15" s="2139">
        <v>32.78</v>
      </c>
      <c r="H15" s="2139">
        <v>10.76</v>
      </c>
      <c r="I15" s="2139">
        <v>0.12</v>
      </c>
      <c r="J15" s="1233">
        <f t="shared" si="0"/>
        <v>120</v>
      </c>
      <c r="K15" s="1233">
        <f t="shared" si="1"/>
        <v>0.16</v>
      </c>
      <c r="L15" s="1233">
        <f t="shared" si="2"/>
        <v>8.23</v>
      </c>
      <c r="M15" s="1233">
        <f t="shared" si="3"/>
        <v>700</v>
      </c>
      <c r="N15" s="1233">
        <f t="shared" si="4"/>
        <v>0.12</v>
      </c>
      <c r="O15" s="1233">
        <f t="shared" si="5"/>
        <v>0.1</v>
      </c>
      <c r="P15" s="1233">
        <f t="shared" si="6"/>
        <v>10.76</v>
      </c>
      <c r="Q15" s="1233">
        <f t="shared" si="7"/>
        <v>32.78</v>
      </c>
    </row>
    <row r="16" spans="1:17" x14ac:dyDescent="0.25">
      <c r="A16" s="2139">
        <v>103239</v>
      </c>
      <c r="B16" s="2139">
        <v>3.99</v>
      </c>
      <c r="C16" s="2139">
        <v>0.05</v>
      </c>
      <c r="D16" s="2139">
        <v>0.33</v>
      </c>
      <c r="E16" s="2139">
        <v>0.13</v>
      </c>
      <c r="F16" s="2139">
        <v>0.17</v>
      </c>
      <c r="G16" s="2139">
        <v>2.25</v>
      </c>
      <c r="H16" s="2139">
        <v>1.32</v>
      </c>
      <c r="I16" s="2139">
        <v>0.75</v>
      </c>
      <c r="J16" s="1233">
        <f t="shared" si="0"/>
        <v>50</v>
      </c>
      <c r="K16" s="1233">
        <f t="shared" si="1"/>
        <v>0.13</v>
      </c>
      <c r="L16" s="1233">
        <f t="shared" si="2"/>
        <v>3.99</v>
      </c>
      <c r="M16" s="1233">
        <f t="shared" si="3"/>
        <v>330</v>
      </c>
      <c r="N16" s="1233">
        <f t="shared" si="4"/>
        <v>0.75</v>
      </c>
      <c r="O16" s="1233">
        <f t="shared" si="5"/>
        <v>0.17</v>
      </c>
      <c r="P16" s="1233">
        <f t="shared" si="6"/>
        <v>1.32</v>
      </c>
      <c r="Q16" s="1233">
        <f t="shared" si="7"/>
        <v>2.25</v>
      </c>
    </row>
    <row r="17" spans="1:17" x14ac:dyDescent="0.25">
      <c r="A17" s="2053"/>
      <c r="B17" s="2053"/>
      <c r="C17" s="2053"/>
      <c r="D17" s="2053"/>
      <c r="E17" s="2053"/>
      <c r="F17" s="2053"/>
      <c r="G17" s="2053"/>
      <c r="H17" s="2053"/>
      <c r="I17" s="2053"/>
      <c r="J17" s="1233">
        <f t="shared" si="0"/>
        <v>0</v>
      </c>
      <c r="K17" s="1233">
        <f t="shared" si="1"/>
        <v>0</v>
      </c>
      <c r="L17" s="1233">
        <f t="shared" si="2"/>
        <v>0</v>
      </c>
      <c r="M17" s="1233">
        <f t="shared" si="3"/>
        <v>0</v>
      </c>
      <c r="N17" s="1233">
        <f t="shared" si="4"/>
        <v>0</v>
      </c>
      <c r="O17" s="1233">
        <f t="shared" si="5"/>
        <v>0</v>
      </c>
      <c r="P17" s="1233">
        <f t="shared" si="6"/>
        <v>0</v>
      </c>
      <c r="Q17" s="1233">
        <f t="shared" si="7"/>
        <v>0</v>
      </c>
    </row>
    <row r="18" spans="1:17" x14ac:dyDescent="0.25">
      <c r="A18" s="2053"/>
      <c r="B18" s="2053"/>
      <c r="C18" s="2053"/>
      <c r="D18" s="2053"/>
      <c r="E18" s="2053"/>
      <c r="F18" s="2053"/>
      <c r="G18" s="2053"/>
      <c r="H18" s="2053"/>
      <c r="I18" s="2053"/>
      <c r="J18" s="1233">
        <f t="shared" si="0"/>
        <v>0</v>
      </c>
      <c r="K18" s="1233">
        <f t="shared" si="1"/>
        <v>0</v>
      </c>
      <c r="L18" s="1233">
        <f t="shared" si="2"/>
        <v>0</v>
      </c>
      <c r="M18" s="1233">
        <f t="shared" si="3"/>
        <v>0</v>
      </c>
      <c r="N18" s="1233">
        <f t="shared" si="4"/>
        <v>0</v>
      </c>
      <c r="O18" s="1233">
        <f t="shared" si="5"/>
        <v>0</v>
      </c>
      <c r="P18" s="1233">
        <f t="shared" si="6"/>
        <v>0</v>
      </c>
      <c r="Q18" s="1233">
        <f t="shared" si="7"/>
        <v>0</v>
      </c>
    </row>
    <row r="19" spans="1:17" x14ac:dyDescent="0.25">
      <c r="A19" s="2142">
        <v>103240</v>
      </c>
      <c r="B19" s="2142">
        <v>7.31</v>
      </c>
      <c r="C19" s="2142">
        <v>0.23</v>
      </c>
      <c r="D19" s="2142">
        <v>1.05</v>
      </c>
      <c r="E19" s="2142">
        <v>0.19600000000000001</v>
      </c>
      <c r="F19" s="2142">
        <v>0.75</v>
      </c>
      <c r="G19" s="2142">
        <v>3.87</v>
      </c>
      <c r="H19" s="2142">
        <v>1.71</v>
      </c>
      <c r="I19" s="2142">
        <v>1.02</v>
      </c>
      <c r="J19" s="1233">
        <f t="shared" si="0"/>
        <v>230</v>
      </c>
      <c r="K19" s="1233">
        <f t="shared" si="1"/>
        <v>0.19600000000000001</v>
      </c>
      <c r="L19" s="1233">
        <f t="shared" si="2"/>
        <v>7.31</v>
      </c>
      <c r="M19" s="1233">
        <f t="shared" si="3"/>
        <v>1050</v>
      </c>
      <c r="N19" s="1233">
        <f t="shared" si="4"/>
        <v>1.02</v>
      </c>
      <c r="O19" s="1233">
        <f t="shared" si="5"/>
        <v>0.75</v>
      </c>
      <c r="P19" s="1233">
        <f t="shared" si="6"/>
        <v>1.71</v>
      </c>
      <c r="Q19" s="1233">
        <f t="shared" si="7"/>
        <v>3.87</v>
      </c>
    </row>
    <row r="20" spans="1:17" x14ac:dyDescent="0.25">
      <c r="A20" s="2142">
        <v>103241</v>
      </c>
      <c r="B20" s="2142">
        <v>5.31</v>
      </c>
      <c r="C20" s="2142">
        <v>0.14000000000000001</v>
      </c>
      <c r="D20" s="2142">
        <v>0.47</v>
      </c>
      <c r="E20" s="2142">
        <v>3.5000000000000003E-2</v>
      </c>
      <c r="F20" s="2142">
        <v>3.48</v>
      </c>
      <c r="G20" s="2142">
        <v>3.83</v>
      </c>
      <c r="H20" s="2142">
        <v>23.05</v>
      </c>
      <c r="I20" s="2142">
        <v>8.75</v>
      </c>
      <c r="J20" s="1233">
        <f t="shared" si="0"/>
        <v>140</v>
      </c>
      <c r="K20" s="1233">
        <f t="shared" si="1"/>
        <v>3.5000000000000003E-2</v>
      </c>
      <c r="L20" s="1233">
        <f t="shared" si="2"/>
        <v>5.31</v>
      </c>
      <c r="M20" s="1233">
        <f t="shared" si="3"/>
        <v>470</v>
      </c>
      <c r="N20" s="1233">
        <f t="shared" si="4"/>
        <v>8.75</v>
      </c>
      <c r="O20" s="1233">
        <f t="shared" si="5"/>
        <v>3.48</v>
      </c>
      <c r="P20" s="1233">
        <f t="shared" si="6"/>
        <v>23.05</v>
      </c>
      <c r="Q20" s="1233">
        <f t="shared" si="7"/>
        <v>3.83</v>
      </c>
    </row>
    <row r="21" spans="1:17" x14ac:dyDescent="0.25">
      <c r="A21" s="2142">
        <v>103242</v>
      </c>
      <c r="B21" s="2142">
        <v>4.33</v>
      </c>
      <c r="C21" s="2142">
        <v>0.2</v>
      </c>
      <c r="D21" s="2142">
        <v>0.7</v>
      </c>
      <c r="E21" s="2142">
        <v>6.7000000000000004E-2</v>
      </c>
      <c r="F21" s="2142">
        <v>2.57</v>
      </c>
      <c r="G21" s="2142">
        <v>3.5</v>
      </c>
      <c r="H21" s="2142">
        <v>1.32</v>
      </c>
      <c r="I21" s="2142">
        <v>4.79</v>
      </c>
      <c r="J21" s="1233">
        <f t="shared" si="0"/>
        <v>200</v>
      </c>
      <c r="K21" s="1233">
        <f t="shared" si="1"/>
        <v>6.7000000000000004E-2</v>
      </c>
      <c r="L21" s="1233">
        <f t="shared" si="2"/>
        <v>4.33</v>
      </c>
      <c r="M21" s="1233">
        <f t="shared" si="3"/>
        <v>700</v>
      </c>
      <c r="N21" s="1233">
        <f t="shared" si="4"/>
        <v>4.79</v>
      </c>
      <c r="O21" s="1233">
        <f t="shared" si="5"/>
        <v>2.57</v>
      </c>
      <c r="P21" s="1233">
        <f t="shared" si="6"/>
        <v>1.32</v>
      </c>
      <c r="Q21" s="1233">
        <f t="shared" si="7"/>
        <v>3.5</v>
      </c>
    </row>
    <row r="22" spans="1:17" x14ac:dyDescent="0.25">
      <c r="A22" s="2142">
        <v>103243</v>
      </c>
      <c r="B22" s="2142">
        <v>4.26</v>
      </c>
      <c r="C22" s="2142">
        <v>0.37</v>
      </c>
      <c r="D22" s="2142">
        <v>0.71</v>
      </c>
      <c r="E22" s="2142">
        <v>8.6999999999999994E-2</v>
      </c>
      <c r="F22" s="2142">
        <v>2.2400000000000002</v>
      </c>
      <c r="G22" s="2142">
        <v>5.29</v>
      </c>
      <c r="H22" s="2142">
        <v>1.1200000000000001</v>
      </c>
      <c r="I22" s="2142">
        <v>5.12</v>
      </c>
      <c r="J22" s="1233">
        <f t="shared" si="0"/>
        <v>370</v>
      </c>
      <c r="K22" s="1233">
        <f t="shared" si="1"/>
        <v>8.6999999999999994E-2</v>
      </c>
      <c r="L22" s="1233">
        <f t="shared" si="2"/>
        <v>4.26</v>
      </c>
      <c r="M22" s="1233">
        <f t="shared" si="3"/>
        <v>710</v>
      </c>
      <c r="N22" s="1233">
        <f t="shared" si="4"/>
        <v>5.12</v>
      </c>
      <c r="O22" s="1233">
        <f t="shared" si="5"/>
        <v>2.2400000000000002</v>
      </c>
      <c r="P22" s="1233">
        <f t="shared" si="6"/>
        <v>1.1200000000000001</v>
      </c>
      <c r="Q22" s="1233">
        <f t="shared" si="7"/>
        <v>5.29</v>
      </c>
    </row>
    <row r="23" spans="1:17" x14ac:dyDescent="0.25">
      <c r="A23" s="2142">
        <v>103244</v>
      </c>
      <c r="B23" s="2142">
        <v>4.92</v>
      </c>
      <c r="C23" s="2142">
        <v>0.26</v>
      </c>
      <c r="D23" s="2142">
        <v>0.54</v>
      </c>
      <c r="E23" s="2142">
        <v>4.1000000000000002E-2</v>
      </c>
      <c r="F23" s="2142">
        <v>4.68</v>
      </c>
      <c r="G23" s="2142">
        <v>4.76</v>
      </c>
      <c r="H23" s="2142">
        <v>1.81</v>
      </c>
      <c r="I23" s="2142">
        <v>6.45</v>
      </c>
      <c r="J23" s="1233">
        <f t="shared" si="0"/>
        <v>260</v>
      </c>
      <c r="K23" s="1233">
        <f t="shared" si="1"/>
        <v>4.1000000000000002E-2</v>
      </c>
      <c r="L23" s="1233">
        <f t="shared" si="2"/>
        <v>4.92</v>
      </c>
      <c r="M23" s="1233">
        <f t="shared" si="3"/>
        <v>540</v>
      </c>
      <c r="N23" s="1233">
        <f t="shared" si="4"/>
        <v>6.45</v>
      </c>
      <c r="O23" s="1233">
        <f t="shared" si="5"/>
        <v>4.68</v>
      </c>
      <c r="P23" s="1233">
        <f t="shared" si="6"/>
        <v>1.81</v>
      </c>
      <c r="Q23" s="1233">
        <f t="shared" si="7"/>
        <v>4.76</v>
      </c>
    </row>
    <row r="24" spans="1:17" x14ac:dyDescent="0.25">
      <c r="A24" s="2142">
        <v>103245</v>
      </c>
      <c r="B24" s="2142">
        <v>3.2</v>
      </c>
      <c r="C24" s="2142">
        <v>7.0000000000000007E-2</v>
      </c>
      <c r="D24" s="2142">
        <v>1.25</v>
      </c>
      <c r="E24" s="2142">
        <v>3.5999999999999997E-2</v>
      </c>
      <c r="F24" s="2142">
        <v>0.88</v>
      </c>
      <c r="G24" s="2142">
        <v>39.1</v>
      </c>
      <c r="H24" s="2142">
        <v>31.05</v>
      </c>
      <c r="I24" s="2142">
        <v>0.4</v>
      </c>
      <c r="J24" s="1233">
        <f t="shared" si="0"/>
        <v>70</v>
      </c>
      <c r="K24" s="1233">
        <f t="shared" si="1"/>
        <v>3.5999999999999997E-2</v>
      </c>
      <c r="L24" s="1233">
        <f t="shared" si="2"/>
        <v>3.2</v>
      </c>
      <c r="M24" s="1233">
        <f t="shared" si="3"/>
        <v>1250</v>
      </c>
      <c r="N24" s="1233">
        <f t="shared" si="4"/>
        <v>0.4</v>
      </c>
      <c r="O24" s="1233">
        <f t="shared" si="5"/>
        <v>0.88</v>
      </c>
      <c r="P24" s="1233">
        <f t="shared" si="6"/>
        <v>31.05</v>
      </c>
      <c r="Q24" s="1233">
        <f t="shared" si="7"/>
        <v>39.1</v>
      </c>
    </row>
    <row r="25" spans="1:17" x14ac:dyDescent="0.25">
      <c r="A25" s="2142">
        <v>103246</v>
      </c>
      <c r="B25" s="2142">
        <v>0.72</v>
      </c>
      <c r="C25" s="2142">
        <v>0.1</v>
      </c>
      <c r="D25" s="2142">
        <v>0.18</v>
      </c>
      <c r="E25" s="2142">
        <v>1.2999999999999999E-2</v>
      </c>
      <c r="F25" s="2142">
        <v>0.4</v>
      </c>
      <c r="G25" s="2142">
        <v>34.46</v>
      </c>
      <c r="H25" s="2142">
        <v>28.64</v>
      </c>
      <c r="I25" s="2142">
        <v>0.46</v>
      </c>
      <c r="J25" s="1233">
        <f t="shared" si="0"/>
        <v>100</v>
      </c>
      <c r="K25" s="1233">
        <f t="shared" si="1"/>
        <v>1.2999999999999999E-2</v>
      </c>
      <c r="L25" s="1233">
        <f t="shared" si="2"/>
        <v>0.72</v>
      </c>
      <c r="M25" s="1233">
        <f t="shared" si="3"/>
        <v>180</v>
      </c>
      <c r="N25" s="1233">
        <f t="shared" si="4"/>
        <v>0.46</v>
      </c>
      <c r="O25" s="1233">
        <f t="shared" si="5"/>
        <v>0.4</v>
      </c>
      <c r="P25" s="1233">
        <f t="shared" si="6"/>
        <v>28.64</v>
      </c>
      <c r="Q25" s="1233">
        <f t="shared" si="7"/>
        <v>34.46</v>
      </c>
    </row>
    <row r="26" spans="1:17" x14ac:dyDescent="0.25">
      <c r="A26" s="2053"/>
      <c r="B26" s="2053"/>
      <c r="C26" s="2053"/>
      <c r="D26" s="2053"/>
      <c r="E26" s="2053"/>
      <c r="F26" s="2053"/>
      <c r="G26" s="2053"/>
      <c r="H26" s="2053"/>
      <c r="I26" s="2053"/>
      <c r="J26" s="1233">
        <f t="shared" si="0"/>
        <v>0</v>
      </c>
      <c r="K26" s="1233">
        <f t="shared" si="1"/>
        <v>0</v>
      </c>
      <c r="L26" s="1233">
        <f t="shared" si="2"/>
        <v>0</v>
      </c>
      <c r="M26" s="1233">
        <f t="shared" si="3"/>
        <v>0</v>
      </c>
      <c r="N26" s="1233">
        <f t="shared" si="4"/>
        <v>0</v>
      </c>
      <c r="O26" s="1233">
        <f t="shared" si="5"/>
        <v>0</v>
      </c>
      <c r="P26" s="1233">
        <f t="shared" si="6"/>
        <v>0</v>
      </c>
      <c r="Q26" s="1233">
        <f t="shared" si="7"/>
        <v>0</v>
      </c>
    </row>
    <row r="27" spans="1:17" x14ac:dyDescent="0.25">
      <c r="A27" s="2157">
        <v>103247</v>
      </c>
      <c r="B27" s="2157">
        <v>4.47</v>
      </c>
      <c r="C27" s="2157">
        <v>0.11</v>
      </c>
      <c r="D27" s="2157">
        <v>0.32</v>
      </c>
      <c r="E27" s="2157">
        <v>0.06</v>
      </c>
      <c r="F27" s="2157">
        <v>0.32</v>
      </c>
      <c r="G27" s="2157">
        <v>2.5499999999999998</v>
      </c>
      <c r="H27" s="2157">
        <v>1.98</v>
      </c>
      <c r="I27" s="2157">
        <v>1.7</v>
      </c>
      <c r="J27" s="1233">
        <f t="shared" si="0"/>
        <v>110</v>
      </c>
      <c r="K27" s="1233">
        <f t="shared" si="1"/>
        <v>0.06</v>
      </c>
      <c r="L27" s="1233">
        <f t="shared" si="2"/>
        <v>4.47</v>
      </c>
      <c r="M27" s="1233">
        <f t="shared" si="3"/>
        <v>320</v>
      </c>
      <c r="N27" s="1233">
        <f t="shared" si="4"/>
        <v>1.7</v>
      </c>
      <c r="O27" s="1233">
        <f t="shared" si="5"/>
        <v>0.32</v>
      </c>
      <c r="P27" s="1233">
        <f t="shared" si="6"/>
        <v>1.98</v>
      </c>
      <c r="Q27" s="1233">
        <f t="shared" si="7"/>
        <v>2.5499999999999998</v>
      </c>
    </row>
    <row r="28" spans="1:17" x14ac:dyDescent="0.25">
      <c r="A28" s="2157">
        <v>103248</v>
      </c>
      <c r="B28" s="2157">
        <v>11.04</v>
      </c>
      <c r="C28" s="2157">
        <v>0.37</v>
      </c>
      <c r="D28" s="2157">
        <v>0.85</v>
      </c>
      <c r="E28" s="2157">
        <v>0.25</v>
      </c>
      <c r="F28" s="2157">
        <v>0.88</v>
      </c>
      <c r="G28" s="2157">
        <v>3.55</v>
      </c>
      <c r="H28" s="2157">
        <v>8.5299999999999994</v>
      </c>
      <c r="I28" s="2157">
        <v>0.65</v>
      </c>
      <c r="J28" s="1233">
        <f t="shared" si="0"/>
        <v>370</v>
      </c>
      <c r="K28" s="1233">
        <f t="shared" si="1"/>
        <v>0.25</v>
      </c>
      <c r="L28" s="1233">
        <f t="shared" si="2"/>
        <v>11.04</v>
      </c>
      <c r="M28" s="1233">
        <f t="shared" si="3"/>
        <v>850</v>
      </c>
      <c r="N28" s="1233">
        <f t="shared" si="4"/>
        <v>0.65</v>
      </c>
      <c r="O28" s="1233">
        <f t="shared" si="5"/>
        <v>0.88</v>
      </c>
      <c r="P28" s="1233">
        <f t="shared" si="6"/>
        <v>8.5299999999999994</v>
      </c>
      <c r="Q28" s="1233">
        <f t="shared" si="7"/>
        <v>3.55</v>
      </c>
    </row>
    <row r="29" spans="1:17" x14ac:dyDescent="0.25">
      <c r="A29" s="2053"/>
      <c r="B29" s="2053"/>
      <c r="C29" s="2053"/>
      <c r="D29" s="2053"/>
      <c r="E29" s="2053"/>
      <c r="F29" s="2053"/>
      <c r="G29" s="2053"/>
      <c r="H29" s="2053"/>
      <c r="I29" s="2053"/>
      <c r="J29" s="1233">
        <f t="shared" si="0"/>
        <v>0</v>
      </c>
      <c r="K29" s="1233">
        <f t="shared" si="1"/>
        <v>0</v>
      </c>
      <c r="L29" s="1233">
        <f t="shared" si="2"/>
        <v>0</v>
      </c>
      <c r="M29" s="1233">
        <f t="shared" si="3"/>
        <v>0</v>
      </c>
      <c r="N29" s="1233">
        <f t="shared" si="4"/>
        <v>0</v>
      </c>
      <c r="O29" s="1233">
        <f t="shared" si="5"/>
        <v>0</v>
      </c>
      <c r="P29" s="1233">
        <f t="shared" si="6"/>
        <v>0</v>
      </c>
      <c r="Q29" s="1233">
        <f t="shared" si="7"/>
        <v>0</v>
      </c>
    </row>
    <row r="30" spans="1:17" x14ac:dyDescent="0.25">
      <c r="A30" s="795"/>
      <c r="B30" s="795"/>
      <c r="C30" s="795"/>
      <c r="D30" s="795"/>
      <c r="E30" s="795"/>
      <c r="F30" s="795"/>
      <c r="G30" s="795"/>
      <c r="H30" s="795"/>
      <c r="I30" s="795"/>
      <c r="J30" s="1233">
        <f t="shared" si="0"/>
        <v>0</v>
      </c>
      <c r="K30" s="1233">
        <f t="shared" si="1"/>
        <v>0</v>
      </c>
      <c r="L30" s="1233">
        <f t="shared" si="2"/>
        <v>0</v>
      </c>
      <c r="M30" s="1233">
        <f t="shared" si="3"/>
        <v>0</v>
      </c>
      <c r="N30" s="1233">
        <f t="shared" si="4"/>
        <v>0</v>
      </c>
      <c r="O30" s="1233">
        <f t="shared" si="5"/>
        <v>0</v>
      </c>
      <c r="P30" s="1233">
        <f t="shared" si="6"/>
        <v>0</v>
      </c>
      <c r="Q30" s="1233">
        <f t="shared" si="7"/>
        <v>0</v>
      </c>
    </row>
    <row r="31" spans="1:17" x14ac:dyDescent="0.25">
      <c r="A31" s="2064"/>
      <c r="B31" s="2063"/>
      <c r="C31" s="2063"/>
      <c r="D31" s="2063"/>
      <c r="E31" s="2063"/>
      <c r="F31" s="2063"/>
      <c r="G31" s="2063"/>
      <c r="H31" s="2063"/>
      <c r="I31" s="2063"/>
      <c r="J31" s="1233">
        <f t="shared" si="0"/>
        <v>0</v>
      </c>
      <c r="K31" s="1233">
        <f t="shared" si="1"/>
        <v>0</v>
      </c>
      <c r="L31" s="1233">
        <f t="shared" si="2"/>
        <v>0</v>
      </c>
      <c r="M31" s="1233">
        <f t="shared" si="3"/>
        <v>0</v>
      </c>
      <c r="N31" s="1233">
        <f t="shared" si="4"/>
        <v>0</v>
      </c>
      <c r="O31" s="1233">
        <f t="shared" si="5"/>
        <v>0</v>
      </c>
      <c r="P31" s="1233">
        <f t="shared" si="6"/>
        <v>0</v>
      </c>
      <c r="Q31" s="1233">
        <f t="shared" si="7"/>
        <v>0</v>
      </c>
    </row>
    <row r="32" spans="1:17" x14ac:dyDescent="0.25">
      <c r="A32" s="2064"/>
      <c r="B32" s="2063"/>
      <c r="C32" s="2063"/>
      <c r="D32" s="2063"/>
      <c r="E32" s="2063"/>
      <c r="F32" s="2063"/>
      <c r="G32" s="2063"/>
      <c r="H32" s="2063"/>
      <c r="I32" s="2063"/>
      <c r="J32" s="1233">
        <f t="shared" si="0"/>
        <v>0</v>
      </c>
      <c r="K32" s="1233">
        <f t="shared" si="1"/>
        <v>0</v>
      </c>
      <c r="L32" s="1233">
        <f t="shared" si="2"/>
        <v>0</v>
      </c>
      <c r="M32" s="1233">
        <f t="shared" si="3"/>
        <v>0</v>
      </c>
      <c r="N32" s="1233">
        <f t="shared" si="4"/>
        <v>0</v>
      </c>
      <c r="O32" s="1233">
        <f t="shared" si="5"/>
        <v>0</v>
      </c>
      <c r="P32" s="1233">
        <f t="shared" si="6"/>
        <v>0</v>
      </c>
      <c r="Q32" s="1233">
        <f t="shared" si="7"/>
        <v>0</v>
      </c>
    </row>
    <row r="33" spans="1:17" x14ac:dyDescent="0.25">
      <c r="A33" s="2064"/>
      <c r="B33" s="2063"/>
      <c r="C33" s="2063"/>
      <c r="D33" s="2063"/>
      <c r="E33" s="2063"/>
      <c r="F33" s="2063"/>
      <c r="G33" s="2063"/>
      <c r="H33" s="2063"/>
      <c r="I33" s="2063"/>
      <c r="J33" s="1233">
        <f t="shared" si="0"/>
        <v>0</v>
      </c>
      <c r="K33" s="1233">
        <f t="shared" si="1"/>
        <v>0</v>
      </c>
      <c r="L33" s="1233">
        <f t="shared" si="2"/>
        <v>0</v>
      </c>
      <c r="M33" s="1233">
        <f t="shared" si="3"/>
        <v>0</v>
      </c>
      <c r="N33" s="1233">
        <f t="shared" si="4"/>
        <v>0</v>
      </c>
      <c r="O33" s="1233">
        <f t="shared" si="5"/>
        <v>0</v>
      </c>
      <c r="P33" s="1233">
        <f t="shared" si="6"/>
        <v>0</v>
      </c>
      <c r="Q33" s="1233">
        <f t="shared" si="7"/>
        <v>0</v>
      </c>
    </row>
    <row r="34" spans="1:17" x14ac:dyDescent="0.25">
      <c r="A34" s="2048"/>
      <c r="B34" s="2048"/>
      <c r="C34" s="2048"/>
      <c r="D34" s="2048"/>
      <c r="E34" s="2048"/>
      <c r="F34" s="2048"/>
      <c r="G34" s="2048"/>
      <c r="H34" s="2048"/>
      <c r="I34" s="2048"/>
      <c r="J34" s="1233">
        <f t="shared" ref="J34:J47" si="8">C34*1000</f>
        <v>0</v>
      </c>
      <c r="K34" s="1233">
        <f t="shared" ref="K34:K47" si="9">E34</f>
        <v>0</v>
      </c>
      <c r="L34" s="1233">
        <f t="shared" ref="L34:L47" si="10">B34</f>
        <v>0</v>
      </c>
      <c r="M34" s="1233">
        <f t="shared" ref="M34:M47" si="11">D34*1000</f>
        <v>0</v>
      </c>
      <c r="N34" s="1233">
        <f t="shared" ref="N34:N47" si="12">I34</f>
        <v>0</v>
      </c>
      <c r="O34" s="1233">
        <f t="shared" ref="O34:O47" si="13">F34</f>
        <v>0</v>
      </c>
      <c r="P34" s="1233">
        <f t="shared" ref="P34:P47" si="14">H34</f>
        <v>0</v>
      </c>
      <c r="Q34" s="1233">
        <f t="shared" ref="Q34:Q47" si="15">G34</f>
        <v>0</v>
      </c>
    </row>
    <row r="35" spans="1:17" x14ac:dyDescent="0.25">
      <c r="A35" s="2071"/>
      <c r="B35" s="2070"/>
      <c r="C35" s="2070"/>
      <c r="D35" s="2070"/>
      <c r="E35" s="2070"/>
      <c r="F35" s="2070"/>
      <c r="G35" s="2070"/>
      <c r="H35" s="2070"/>
      <c r="I35" s="2070"/>
      <c r="J35" s="1233">
        <f t="shared" si="8"/>
        <v>0</v>
      </c>
      <c r="K35" s="1233">
        <f t="shared" si="9"/>
        <v>0</v>
      </c>
      <c r="L35" s="1233">
        <f t="shared" si="10"/>
        <v>0</v>
      </c>
      <c r="M35" s="1233">
        <f t="shared" si="11"/>
        <v>0</v>
      </c>
      <c r="N35" s="1233">
        <f t="shared" si="12"/>
        <v>0</v>
      </c>
      <c r="O35" s="1233">
        <f t="shared" si="13"/>
        <v>0</v>
      </c>
      <c r="P35" s="1233">
        <f t="shared" si="14"/>
        <v>0</v>
      </c>
      <c r="Q35" s="1233">
        <f t="shared" si="15"/>
        <v>0</v>
      </c>
    </row>
    <row r="36" spans="1:17" x14ac:dyDescent="0.25">
      <c r="A36" s="2071"/>
      <c r="B36" s="2070"/>
      <c r="C36" s="2070"/>
      <c r="D36" s="2070"/>
      <c r="E36" s="2070"/>
      <c r="F36" s="2070"/>
      <c r="G36" s="2070"/>
      <c r="H36" s="2070"/>
      <c r="I36" s="2070"/>
      <c r="J36" s="1233">
        <f t="shared" si="8"/>
        <v>0</v>
      </c>
      <c r="K36" s="1233">
        <f t="shared" si="9"/>
        <v>0</v>
      </c>
      <c r="L36" s="1233">
        <f t="shared" si="10"/>
        <v>0</v>
      </c>
      <c r="M36" s="1233">
        <f t="shared" si="11"/>
        <v>0</v>
      </c>
      <c r="N36" s="1233">
        <f t="shared" si="12"/>
        <v>0</v>
      </c>
      <c r="O36" s="1233">
        <f t="shared" si="13"/>
        <v>0</v>
      </c>
      <c r="P36" s="1233">
        <f t="shared" si="14"/>
        <v>0</v>
      </c>
      <c r="Q36" s="1233">
        <f t="shared" si="15"/>
        <v>0</v>
      </c>
    </row>
    <row r="37" spans="1:17" x14ac:dyDescent="0.25">
      <c r="A37" s="2071"/>
      <c r="B37" s="2070"/>
      <c r="C37" s="2070"/>
      <c r="D37" s="2070"/>
      <c r="E37" s="2070"/>
      <c r="F37" s="2070"/>
      <c r="G37" s="2070"/>
      <c r="H37" s="2070"/>
      <c r="I37" s="2070"/>
      <c r="J37" s="1233">
        <f t="shared" si="8"/>
        <v>0</v>
      </c>
      <c r="K37" s="1233">
        <f t="shared" si="9"/>
        <v>0</v>
      </c>
      <c r="L37" s="1233">
        <f t="shared" si="10"/>
        <v>0</v>
      </c>
      <c r="M37" s="1233">
        <f t="shared" si="11"/>
        <v>0</v>
      </c>
      <c r="N37" s="1233">
        <f t="shared" si="12"/>
        <v>0</v>
      </c>
      <c r="O37" s="1233">
        <f t="shared" si="13"/>
        <v>0</v>
      </c>
      <c r="P37" s="1233">
        <f t="shared" si="14"/>
        <v>0</v>
      </c>
      <c r="Q37" s="1233">
        <f t="shared" si="15"/>
        <v>0</v>
      </c>
    </row>
    <row r="38" spans="1:17" x14ac:dyDescent="0.25">
      <c r="A38" s="2071"/>
      <c r="B38" s="2070"/>
      <c r="C38" s="2070"/>
      <c r="D38" s="2070"/>
      <c r="E38" s="2070"/>
      <c r="F38" s="2070"/>
      <c r="G38" s="2070"/>
      <c r="H38" s="2070"/>
      <c r="I38" s="2070"/>
      <c r="J38" s="1233">
        <f t="shared" si="8"/>
        <v>0</v>
      </c>
      <c r="K38" s="1233">
        <f t="shared" si="9"/>
        <v>0</v>
      </c>
      <c r="L38" s="1233">
        <f t="shared" si="10"/>
        <v>0</v>
      </c>
      <c r="M38" s="1233">
        <f t="shared" si="11"/>
        <v>0</v>
      </c>
      <c r="N38" s="1233">
        <f t="shared" si="12"/>
        <v>0</v>
      </c>
      <c r="O38" s="1233">
        <f t="shared" si="13"/>
        <v>0</v>
      </c>
      <c r="P38" s="1233">
        <f t="shared" si="14"/>
        <v>0</v>
      </c>
      <c r="Q38" s="1233">
        <f t="shared" si="15"/>
        <v>0</v>
      </c>
    </row>
    <row r="39" spans="1:17" x14ac:dyDescent="0.25">
      <c r="A39" s="2071"/>
      <c r="B39" s="2070"/>
      <c r="C39" s="2070"/>
      <c r="D39" s="2070"/>
      <c r="E39" s="2070"/>
      <c r="F39" s="2070"/>
      <c r="G39" s="2070"/>
      <c r="H39" s="2070"/>
      <c r="I39" s="2070"/>
      <c r="J39" s="1233">
        <f t="shared" si="8"/>
        <v>0</v>
      </c>
      <c r="K39" s="1233">
        <f t="shared" si="9"/>
        <v>0</v>
      </c>
      <c r="L39" s="1233">
        <f t="shared" si="10"/>
        <v>0</v>
      </c>
      <c r="M39" s="1233">
        <f t="shared" si="11"/>
        <v>0</v>
      </c>
      <c r="N39" s="1233">
        <f t="shared" si="12"/>
        <v>0</v>
      </c>
      <c r="O39" s="1233">
        <f t="shared" si="13"/>
        <v>0</v>
      </c>
      <c r="P39" s="1233">
        <f t="shared" si="14"/>
        <v>0</v>
      </c>
      <c r="Q39" s="1233">
        <f t="shared" si="15"/>
        <v>0</v>
      </c>
    </row>
    <row r="40" spans="1:17" x14ac:dyDescent="0.25">
      <c r="A40" s="2071"/>
      <c r="B40" s="2070"/>
      <c r="C40" s="2070"/>
      <c r="D40" s="2070"/>
      <c r="E40" s="2070"/>
      <c r="F40" s="2070"/>
      <c r="G40" s="2070"/>
      <c r="H40" s="2070"/>
      <c r="I40" s="2070"/>
      <c r="J40" s="1233">
        <f t="shared" si="8"/>
        <v>0</v>
      </c>
      <c r="K40" s="1233">
        <f t="shared" si="9"/>
        <v>0</v>
      </c>
      <c r="L40" s="1233">
        <f t="shared" si="10"/>
        <v>0</v>
      </c>
      <c r="M40" s="1233">
        <f t="shared" si="11"/>
        <v>0</v>
      </c>
      <c r="N40" s="1233">
        <f t="shared" si="12"/>
        <v>0</v>
      </c>
      <c r="O40" s="1233">
        <f t="shared" si="13"/>
        <v>0</v>
      </c>
      <c r="P40" s="1233">
        <f t="shared" si="14"/>
        <v>0</v>
      </c>
      <c r="Q40" s="1233">
        <f t="shared" si="15"/>
        <v>0</v>
      </c>
    </row>
    <row r="41" spans="1:17" x14ac:dyDescent="0.25">
      <c r="A41" s="2048"/>
      <c r="B41" s="2048"/>
      <c r="C41" s="2048"/>
      <c r="D41" s="2048"/>
      <c r="E41" s="2048"/>
      <c r="F41" s="2048"/>
      <c r="G41" s="2048"/>
      <c r="H41" s="2048"/>
      <c r="I41" s="2048"/>
      <c r="J41" s="1233">
        <f t="shared" si="8"/>
        <v>0</v>
      </c>
      <c r="K41" s="1233">
        <f t="shared" si="9"/>
        <v>0</v>
      </c>
      <c r="L41" s="1233">
        <f t="shared" si="10"/>
        <v>0</v>
      </c>
      <c r="M41" s="1233">
        <f t="shared" si="11"/>
        <v>0</v>
      </c>
      <c r="N41" s="1233">
        <f t="shared" si="12"/>
        <v>0</v>
      </c>
      <c r="O41" s="1233">
        <f t="shared" si="13"/>
        <v>0</v>
      </c>
      <c r="P41" s="1233">
        <f t="shared" si="14"/>
        <v>0</v>
      </c>
      <c r="Q41" s="1233">
        <f t="shared" si="15"/>
        <v>0</v>
      </c>
    </row>
    <row r="42" spans="1:17" x14ac:dyDescent="0.25">
      <c r="A42" s="2088"/>
      <c r="B42" s="2088"/>
      <c r="C42" s="2088"/>
      <c r="D42" s="2088"/>
      <c r="E42" s="2088"/>
      <c r="F42" s="2088"/>
      <c r="G42" s="2088"/>
      <c r="H42" s="2088"/>
      <c r="I42" s="2088"/>
      <c r="J42" s="1233">
        <f t="shared" si="8"/>
        <v>0</v>
      </c>
      <c r="K42" s="1233">
        <f t="shared" si="9"/>
        <v>0</v>
      </c>
      <c r="L42" s="1233">
        <f t="shared" si="10"/>
        <v>0</v>
      </c>
      <c r="M42" s="1233">
        <f t="shared" si="11"/>
        <v>0</v>
      </c>
      <c r="N42" s="1233">
        <f t="shared" si="12"/>
        <v>0</v>
      </c>
      <c r="O42" s="1233">
        <f t="shared" si="13"/>
        <v>0</v>
      </c>
      <c r="P42" s="1233">
        <f t="shared" si="14"/>
        <v>0</v>
      </c>
      <c r="Q42" s="1233">
        <f t="shared" si="15"/>
        <v>0</v>
      </c>
    </row>
    <row r="43" spans="1:17" x14ac:dyDescent="0.25">
      <c r="A43" s="2088"/>
      <c r="B43" s="2088"/>
      <c r="C43" s="2088"/>
      <c r="D43" s="2088"/>
      <c r="E43" s="2088"/>
      <c r="F43" s="2088"/>
      <c r="G43" s="2088"/>
      <c r="H43" s="2088"/>
      <c r="I43" s="2088"/>
      <c r="J43" s="1233">
        <f t="shared" si="8"/>
        <v>0</v>
      </c>
      <c r="K43" s="1233">
        <f t="shared" si="9"/>
        <v>0</v>
      </c>
      <c r="L43" s="1233">
        <f t="shared" si="10"/>
        <v>0</v>
      </c>
      <c r="M43" s="1233">
        <f t="shared" si="11"/>
        <v>0</v>
      </c>
      <c r="N43" s="1233">
        <f t="shared" si="12"/>
        <v>0</v>
      </c>
      <c r="O43" s="1233">
        <f t="shared" si="13"/>
        <v>0</v>
      </c>
      <c r="P43" s="1233">
        <f t="shared" si="14"/>
        <v>0</v>
      </c>
      <c r="Q43" s="1233">
        <f t="shared" si="15"/>
        <v>0</v>
      </c>
    </row>
    <row r="44" spans="1:17" x14ac:dyDescent="0.25">
      <c r="A44" s="2088"/>
      <c r="B44" s="2088"/>
      <c r="C44" s="2088"/>
      <c r="D44" s="2088"/>
      <c r="E44" s="2088"/>
      <c r="F44" s="2088"/>
      <c r="G44" s="2088"/>
      <c r="H44" s="2088"/>
      <c r="I44" s="2088"/>
      <c r="J44" s="1233">
        <f t="shared" si="8"/>
        <v>0</v>
      </c>
      <c r="K44" s="1233">
        <f t="shared" si="9"/>
        <v>0</v>
      </c>
      <c r="L44" s="1233">
        <f t="shared" si="10"/>
        <v>0</v>
      </c>
      <c r="M44" s="1233">
        <f t="shared" si="11"/>
        <v>0</v>
      </c>
      <c r="N44" s="1233">
        <f t="shared" si="12"/>
        <v>0</v>
      </c>
      <c r="O44" s="1233">
        <f t="shared" si="13"/>
        <v>0</v>
      </c>
      <c r="P44" s="1233">
        <f t="shared" si="14"/>
        <v>0</v>
      </c>
      <c r="Q44" s="1233">
        <f t="shared" si="15"/>
        <v>0</v>
      </c>
    </row>
    <row r="45" spans="1:17" x14ac:dyDescent="0.25">
      <c r="A45" s="1975"/>
      <c r="B45" s="1975"/>
      <c r="C45" s="1975"/>
      <c r="D45" s="1975"/>
      <c r="E45" s="1975"/>
      <c r="F45" s="1975"/>
      <c r="G45" s="1975"/>
      <c r="H45" s="1975"/>
      <c r="I45" s="1975"/>
      <c r="J45" s="1233">
        <f t="shared" si="8"/>
        <v>0</v>
      </c>
      <c r="K45" s="1233">
        <f t="shared" si="9"/>
        <v>0</v>
      </c>
      <c r="L45" s="1233">
        <f t="shared" si="10"/>
        <v>0</v>
      </c>
      <c r="M45" s="1233">
        <f t="shared" si="11"/>
        <v>0</v>
      </c>
      <c r="N45" s="1233">
        <f t="shared" si="12"/>
        <v>0</v>
      </c>
      <c r="O45" s="1233">
        <f t="shared" si="13"/>
        <v>0</v>
      </c>
      <c r="P45" s="1233">
        <f t="shared" si="14"/>
        <v>0</v>
      </c>
      <c r="Q45" s="1233">
        <f t="shared" si="15"/>
        <v>0</v>
      </c>
    </row>
    <row r="46" spans="1:17" x14ac:dyDescent="0.25">
      <c r="A46" s="2095"/>
      <c r="B46" s="2095"/>
      <c r="C46" s="2095"/>
      <c r="D46" s="2095"/>
      <c r="E46" s="2095"/>
      <c r="F46" s="2095"/>
      <c r="G46" s="2095"/>
      <c r="H46" s="2095"/>
      <c r="I46" s="2095"/>
      <c r="J46" s="1233">
        <f t="shared" si="8"/>
        <v>0</v>
      </c>
      <c r="K46" s="1233">
        <f t="shared" si="9"/>
        <v>0</v>
      </c>
      <c r="L46" s="1233">
        <f t="shared" si="10"/>
        <v>0</v>
      </c>
      <c r="M46" s="1233">
        <f t="shared" si="11"/>
        <v>0</v>
      </c>
      <c r="N46" s="1233">
        <f t="shared" si="12"/>
        <v>0</v>
      </c>
      <c r="O46" s="1233">
        <f t="shared" si="13"/>
        <v>0</v>
      </c>
      <c r="P46" s="1233">
        <f t="shared" si="14"/>
        <v>0</v>
      </c>
      <c r="Q46" s="1233">
        <f t="shared" si="15"/>
        <v>0</v>
      </c>
    </row>
    <row r="47" spans="1:17" x14ac:dyDescent="0.25">
      <c r="A47" s="2095"/>
      <c r="B47" s="2095"/>
      <c r="C47" s="2095"/>
      <c r="D47" s="2095"/>
      <c r="E47" s="2095"/>
      <c r="F47" s="2095"/>
      <c r="G47" s="2095"/>
      <c r="H47" s="2095"/>
      <c r="I47" s="2095"/>
      <c r="J47" s="1233">
        <f t="shared" si="8"/>
        <v>0</v>
      </c>
      <c r="K47" s="1233">
        <f t="shared" si="9"/>
        <v>0</v>
      </c>
      <c r="L47" s="1233">
        <f t="shared" si="10"/>
        <v>0</v>
      </c>
      <c r="M47" s="1233">
        <f t="shared" si="11"/>
        <v>0</v>
      </c>
      <c r="N47" s="1233">
        <f t="shared" si="12"/>
        <v>0</v>
      </c>
      <c r="O47" s="1233">
        <f t="shared" si="13"/>
        <v>0</v>
      </c>
      <c r="P47" s="1233">
        <f t="shared" si="14"/>
        <v>0</v>
      </c>
      <c r="Q47" s="1233">
        <f t="shared" si="15"/>
        <v>0</v>
      </c>
    </row>
  </sheetData>
  <conditionalFormatting sqref="B3:I3">
    <cfRule type="containsText" dxfId="27" priority="9" operator="containsText" text="o">
      <formula>NOT(ISERROR(SEARCH("o",B3)))</formula>
    </cfRule>
  </conditionalFormatting>
  <conditionalFormatting sqref="F3:I3">
    <cfRule type="containsText" dxfId="26" priority="8" operator="containsText" text="o">
      <formula>NOT(ISERROR(SEARCH("o",F3)))</formula>
    </cfRule>
  </conditionalFormatting>
  <conditionalFormatting sqref="A29:E29 A33:E45">
    <cfRule type="containsText" dxfId="25" priority="7" operator="containsText" text="o">
      <formula>NOT(ISERROR(SEARCH("o",A29)))</formula>
    </cfRule>
  </conditionalFormatting>
  <conditionalFormatting sqref="F29:I29 F33:I45">
    <cfRule type="containsText" dxfId="24" priority="6" operator="containsText" text="o">
      <formula>NOT(ISERROR(SEARCH("o",F29)))</formula>
    </cfRule>
  </conditionalFormatting>
  <conditionalFormatting sqref="A17:A20">
    <cfRule type="containsText" dxfId="23" priority="3" operator="containsText" text="o">
      <formula>NOT(ISERROR(SEARCH("o",A17)))</formula>
    </cfRule>
  </conditionalFormatting>
  <conditionalFormatting sqref="A4:E16">
    <cfRule type="containsText" dxfId="22" priority="2" operator="containsText" text="o">
      <formula>NOT(ISERROR(SEARCH("o",A4)))</formula>
    </cfRule>
  </conditionalFormatting>
  <conditionalFormatting sqref="A25:A28">
    <cfRule type="containsText" dxfId="21" priority="1" operator="containsText" text="o">
      <formula>NOT(ISERROR(SEARCH("o",A25)))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030CF-682F-417D-B439-824E66C9CAC7}">
  <sheetPr codeName="Feuil10"/>
  <dimension ref="A1:W61"/>
  <sheetViews>
    <sheetView zoomScale="70" zoomScaleNormal="70" workbookViewId="0">
      <selection activeCell="G4" sqref="G4:K27"/>
    </sheetView>
  </sheetViews>
  <sheetFormatPr baseColWidth="10" defaultRowHeight="15.75" x14ac:dyDescent="0.25"/>
  <sheetData>
    <row r="1" spans="1:23" x14ac:dyDescent="0.25">
      <c r="A1" s="651" t="s">
        <v>44</v>
      </c>
      <c r="B1" s="651" t="s">
        <v>38</v>
      </c>
      <c r="C1" s="651" t="s">
        <v>39</v>
      </c>
      <c r="D1" s="651" t="s">
        <v>40</v>
      </c>
      <c r="E1" s="651" t="s">
        <v>41</v>
      </c>
      <c r="F1" s="651" t="s">
        <v>45</v>
      </c>
      <c r="G1" s="651" t="s">
        <v>13</v>
      </c>
      <c r="H1" s="651" t="s">
        <v>14</v>
      </c>
      <c r="I1" s="651" t="s">
        <v>15</v>
      </c>
      <c r="J1" s="651" t="s">
        <v>16</v>
      </c>
      <c r="K1" s="651" t="s">
        <v>17</v>
      </c>
      <c r="M1" s="1930" t="s">
        <v>606</v>
      </c>
      <c r="N1" s="1931" t="s">
        <v>607</v>
      </c>
      <c r="O1" s="1932" t="s">
        <v>608</v>
      </c>
      <c r="P1" s="1931" t="s">
        <v>609</v>
      </c>
      <c r="Q1" s="1931" t="s">
        <v>610</v>
      </c>
      <c r="R1" s="1932" t="s">
        <v>603</v>
      </c>
      <c r="S1" s="1932" t="s">
        <v>604</v>
      </c>
      <c r="T1" s="1931" t="s">
        <v>611</v>
      </c>
      <c r="U1" s="1932" t="s">
        <v>612</v>
      </c>
      <c r="V1" s="1932" t="s">
        <v>613</v>
      </c>
      <c r="W1" s="1931" t="s">
        <v>614</v>
      </c>
    </row>
    <row r="2" spans="1:23" x14ac:dyDescent="0.25">
      <c r="A2" s="651" t="s">
        <v>46</v>
      </c>
      <c r="B2" s="651" t="s">
        <v>46</v>
      </c>
      <c r="C2" s="651" t="s">
        <v>46</v>
      </c>
      <c r="D2" s="651" t="s">
        <v>46</v>
      </c>
      <c r="E2" s="651" t="s">
        <v>46</v>
      </c>
      <c r="F2" s="651" t="s">
        <v>46</v>
      </c>
      <c r="G2" s="651" t="s">
        <v>47</v>
      </c>
      <c r="H2" s="651" t="s">
        <v>47</v>
      </c>
      <c r="I2" s="651" t="s">
        <v>47</v>
      </c>
      <c r="J2" s="651" t="s">
        <v>47</v>
      </c>
      <c r="K2" s="651" t="s">
        <v>47</v>
      </c>
    </row>
    <row r="3" spans="1:23" x14ac:dyDescent="0.25">
      <c r="A3">
        <f>V3</f>
        <v>0</v>
      </c>
      <c r="B3">
        <f>R3</f>
        <v>0</v>
      </c>
      <c r="C3">
        <f>U3</f>
        <v>0</v>
      </c>
      <c r="D3">
        <f>O3</f>
        <v>0</v>
      </c>
      <c r="E3">
        <f>S3</f>
        <v>0</v>
      </c>
      <c r="G3">
        <f>W3</f>
        <v>0</v>
      </c>
      <c r="H3">
        <f>P3</f>
        <v>0</v>
      </c>
      <c r="I3">
        <f>T3</f>
        <v>0</v>
      </c>
      <c r="J3">
        <f>Q3</f>
        <v>0</v>
      </c>
      <c r="K3">
        <f>N3</f>
        <v>0</v>
      </c>
      <c r="L3" s="795"/>
      <c r="M3" s="2080"/>
      <c r="N3" s="2080"/>
      <c r="O3" s="2080"/>
      <c r="P3" s="2080"/>
      <c r="Q3" s="2080"/>
      <c r="R3" s="2080"/>
      <c r="S3" s="2080"/>
      <c r="T3" s="2080"/>
      <c r="U3" s="2080"/>
      <c r="V3" s="2080"/>
      <c r="W3" s="2080"/>
    </row>
    <row r="4" spans="1:23" x14ac:dyDescent="0.25">
      <c r="A4" s="2096">
        <f t="shared" ref="A4:A6" si="0">V4</f>
        <v>1.3</v>
      </c>
      <c r="B4" s="2096">
        <f t="shared" ref="B4:B6" si="1">R4</f>
        <v>3.37</v>
      </c>
      <c r="C4" s="2096">
        <f t="shared" ref="C4:C6" si="2">U4</f>
        <v>0.45</v>
      </c>
      <c r="D4" s="2096">
        <f t="shared" ref="D4:D6" si="3">O4</f>
        <v>3.11</v>
      </c>
      <c r="E4" s="26">
        <f t="shared" ref="E4:E6" si="4">S4</f>
        <v>0.77</v>
      </c>
      <c r="G4">
        <f t="shared" ref="G4:G6" si="5">W4</f>
        <v>208.9</v>
      </c>
      <c r="H4">
        <f t="shared" ref="H4:H6" si="6">P4</f>
        <v>79.66</v>
      </c>
      <c r="I4">
        <f t="shared" ref="I4:I6" si="7">T4</f>
        <v>334.96</v>
      </c>
      <c r="J4">
        <f t="shared" ref="J4:J6" si="8">Q4</f>
        <v>9256.86</v>
      </c>
      <c r="K4">
        <f t="shared" ref="K4:K6" si="9">N4</f>
        <v>65.900000000000006</v>
      </c>
      <c r="L4" s="795"/>
      <c r="M4" s="795">
        <v>109215</v>
      </c>
      <c r="N4" s="795">
        <v>65.900000000000006</v>
      </c>
      <c r="O4" s="795">
        <v>3.11</v>
      </c>
      <c r="P4" s="795">
        <v>79.66</v>
      </c>
      <c r="Q4" s="795">
        <v>9256.86</v>
      </c>
      <c r="R4" s="795">
        <v>3.37</v>
      </c>
      <c r="S4" s="795">
        <v>0.77</v>
      </c>
      <c r="T4" s="795">
        <v>334.96</v>
      </c>
      <c r="U4" s="795">
        <v>0.45</v>
      </c>
      <c r="V4" s="795">
        <v>1.3</v>
      </c>
      <c r="W4" s="795">
        <v>208.9</v>
      </c>
    </row>
    <row r="5" spans="1:23" x14ac:dyDescent="0.25">
      <c r="A5" s="2096">
        <f t="shared" si="0"/>
        <v>1.25</v>
      </c>
      <c r="B5" s="2096">
        <f t="shared" si="1"/>
        <v>3.95</v>
      </c>
      <c r="C5" s="2096">
        <f t="shared" si="2"/>
        <v>0.28999999999999998</v>
      </c>
      <c r="D5" s="2096">
        <f t="shared" si="3"/>
        <v>2.9</v>
      </c>
      <c r="E5" s="26">
        <f t="shared" si="4"/>
        <v>0.81</v>
      </c>
      <c r="G5">
        <f t="shared" si="5"/>
        <v>193.53</v>
      </c>
      <c r="H5">
        <f t="shared" si="6"/>
        <v>84.78</v>
      </c>
      <c r="I5">
        <f t="shared" si="7"/>
        <v>342.82</v>
      </c>
      <c r="J5">
        <f t="shared" si="8"/>
        <v>17884.82</v>
      </c>
      <c r="K5">
        <f t="shared" si="9"/>
        <v>113.69</v>
      </c>
      <c r="L5" s="795"/>
      <c r="M5" s="795">
        <v>109216</v>
      </c>
      <c r="N5" s="795">
        <v>113.69</v>
      </c>
      <c r="O5" s="795">
        <v>2.9</v>
      </c>
      <c r="P5" s="795">
        <v>84.78</v>
      </c>
      <c r="Q5" s="795">
        <v>17884.82</v>
      </c>
      <c r="R5" s="795">
        <v>3.95</v>
      </c>
      <c r="S5" s="795">
        <v>0.81</v>
      </c>
      <c r="T5" s="795">
        <v>342.82</v>
      </c>
      <c r="U5" s="795">
        <v>0.28999999999999998</v>
      </c>
      <c r="V5" s="795">
        <v>1.25</v>
      </c>
      <c r="W5" s="795">
        <v>193.53</v>
      </c>
    </row>
    <row r="6" spans="1:23" x14ac:dyDescent="0.25">
      <c r="A6" s="2096">
        <f t="shared" si="0"/>
        <v>4.4800000000000004</v>
      </c>
      <c r="B6" s="2096">
        <f t="shared" si="1"/>
        <v>2.58</v>
      </c>
      <c r="C6" s="2096">
        <f t="shared" si="2"/>
        <v>0.36</v>
      </c>
      <c r="D6" s="2096">
        <f t="shared" si="3"/>
        <v>11.63</v>
      </c>
      <c r="E6" s="26">
        <f t="shared" si="4"/>
        <v>0.63</v>
      </c>
      <c r="G6">
        <f t="shared" si="5"/>
        <v>115.86</v>
      </c>
      <c r="H6">
        <f t="shared" si="6"/>
        <v>47.89</v>
      </c>
      <c r="I6">
        <f t="shared" si="7"/>
        <v>553.89</v>
      </c>
      <c r="J6">
        <f t="shared" si="8"/>
        <v>16990.39</v>
      </c>
      <c r="K6">
        <f t="shared" si="9"/>
        <v>71.52</v>
      </c>
      <c r="L6" s="795"/>
      <c r="M6" s="795">
        <v>109217</v>
      </c>
      <c r="N6" s="795">
        <v>71.52</v>
      </c>
      <c r="O6" s="795">
        <v>11.63</v>
      </c>
      <c r="P6" s="795">
        <v>47.89</v>
      </c>
      <c r="Q6" s="795">
        <v>16990.39</v>
      </c>
      <c r="R6" s="795">
        <v>2.58</v>
      </c>
      <c r="S6" s="795">
        <v>0.63</v>
      </c>
      <c r="T6" s="795">
        <v>553.89</v>
      </c>
      <c r="U6" s="795">
        <v>0.36</v>
      </c>
      <c r="V6" s="795">
        <v>4.4800000000000004</v>
      </c>
      <c r="W6" s="795">
        <v>115.86</v>
      </c>
    </row>
    <row r="7" spans="1:23" x14ac:dyDescent="0.25">
      <c r="A7" s="2096">
        <f>V7</f>
        <v>0.98</v>
      </c>
      <c r="B7" s="2096">
        <f>R7</f>
        <v>1.94</v>
      </c>
      <c r="C7" s="2096">
        <f>U7</f>
        <v>0.6</v>
      </c>
      <c r="D7" s="2096">
        <f>O7</f>
        <v>2.2799999999999998</v>
      </c>
      <c r="E7" s="26">
        <f>S7</f>
        <v>0.42</v>
      </c>
      <c r="G7">
        <f>W7</f>
        <v>115.08</v>
      </c>
      <c r="H7">
        <f>P7</f>
        <v>44.87</v>
      </c>
      <c r="I7">
        <f>T7</f>
        <v>205.56</v>
      </c>
      <c r="J7">
        <f>Q7</f>
        <v>18618.560000000001</v>
      </c>
      <c r="K7">
        <f>N7</f>
        <v>50.67</v>
      </c>
      <c r="M7" s="795">
        <v>109218</v>
      </c>
      <c r="N7" s="795">
        <v>50.67</v>
      </c>
      <c r="O7" s="795">
        <v>2.2799999999999998</v>
      </c>
      <c r="P7" s="795">
        <v>44.87</v>
      </c>
      <c r="Q7" s="795">
        <v>18618.560000000001</v>
      </c>
      <c r="R7" s="795">
        <v>1.94</v>
      </c>
      <c r="S7" s="795">
        <v>0.42</v>
      </c>
      <c r="T7" s="795">
        <v>205.56</v>
      </c>
      <c r="U7" s="795">
        <v>0.6</v>
      </c>
      <c r="V7" s="795">
        <v>0.98</v>
      </c>
      <c r="W7" s="795">
        <v>115.08</v>
      </c>
    </row>
    <row r="8" spans="1:23" x14ac:dyDescent="0.25">
      <c r="A8" s="2096">
        <f t="shared" ref="A8" si="10">V8</f>
        <v>1.34</v>
      </c>
      <c r="B8" s="2096">
        <f t="shared" ref="B8" si="11">R8</f>
        <v>2.89</v>
      </c>
      <c r="C8" s="2096">
        <f t="shared" ref="C8" si="12">U8</f>
        <v>0.24</v>
      </c>
      <c r="D8" s="2096">
        <f t="shared" ref="D8" si="13">O8</f>
        <v>3.46</v>
      </c>
      <c r="E8" s="26">
        <f t="shared" ref="E8" si="14">S8</f>
        <v>0.48</v>
      </c>
      <c r="G8">
        <f t="shared" ref="G8" si="15">W8</f>
        <v>88.16</v>
      </c>
      <c r="H8">
        <f t="shared" ref="H8" si="16">P8</f>
        <v>45.25</v>
      </c>
      <c r="I8">
        <f t="shared" ref="I8" si="17">T8</f>
        <v>276.51</v>
      </c>
      <c r="J8">
        <f t="shared" ref="J8" si="18">Q8</f>
        <v>14682.25</v>
      </c>
      <c r="K8">
        <f t="shared" ref="K8" si="19">N8</f>
        <v>83.03</v>
      </c>
      <c r="M8" s="795">
        <v>109219</v>
      </c>
      <c r="N8" s="795">
        <v>83.03</v>
      </c>
      <c r="O8" s="795">
        <v>3.46</v>
      </c>
      <c r="P8" s="795">
        <v>45.25</v>
      </c>
      <c r="Q8" s="795">
        <v>14682.25</v>
      </c>
      <c r="R8" s="795">
        <v>2.89</v>
      </c>
      <c r="S8" s="795">
        <v>0.48</v>
      </c>
      <c r="T8" s="795">
        <v>276.51</v>
      </c>
      <c r="U8" s="795">
        <v>0.24</v>
      </c>
      <c r="V8" s="795">
        <v>1.34</v>
      </c>
      <c r="W8" s="795">
        <v>88.16</v>
      </c>
    </row>
    <row r="9" spans="1:23" x14ac:dyDescent="0.25">
      <c r="A9" s="2096">
        <f>V9</f>
        <v>0.89</v>
      </c>
      <c r="B9" s="2096">
        <f>R9</f>
        <v>1.22</v>
      </c>
      <c r="C9" s="2096">
        <f>U9</f>
        <v>0.41</v>
      </c>
      <c r="D9" s="2096">
        <f>O9</f>
        <v>2.23</v>
      </c>
      <c r="E9" s="26">
        <f>S9</f>
        <v>0.83</v>
      </c>
      <c r="G9">
        <f>W9</f>
        <v>121.08</v>
      </c>
      <c r="H9">
        <f>P9</f>
        <v>138.71</v>
      </c>
      <c r="I9">
        <f>T9</f>
        <v>247.14</v>
      </c>
      <c r="J9">
        <f>Q9</f>
        <v>24331.69</v>
      </c>
      <c r="K9">
        <f>N9</f>
        <v>71.31</v>
      </c>
      <c r="M9" s="795">
        <v>109220</v>
      </c>
      <c r="N9" s="795">
        <v>71.31</v>
      </c>
      <c r="O9" s="795">
        <v>2.23</v>
      </c>
      <c r="P9" s="795">
        <v>138.71</v>
      </c>
      <c r="Q9" s="795">
        <v>24331.69</v>
      </c>
      <c r="R9" s="795">
        <v>1.22</v>
      </c>
      <c r="S9" s="795">
        <v>0.83</v>
      </c>
      <c r="T9" s="795">
        <v>247.14</v>
      </c>
      <c r="U9" s="795">
        <v>0.41</v>
      </c>
      <c r="V9" s="795">
        <v>0.89</v>
      </c>
      <c r="W9" s="795">
        <v>121.08</v>
      </c>
    </row>
    <row r="10" spans="1:23" x14ac:dyDescent="0.25">
      <c r="A10" s="2096">
        <f>V10</f>
        <v>0.94</v>
      </c>
      <c r="B10" s="2096">
        <f>R10</f>
        <v>2.08</v>
      </c>
      <c r="C10" s="2096">
        <f>U10</f>
        <v>0.2</v>
      </c>
      <c r="D10" s="2096">
        <f>O10</f>
        <v>2.87</v>
      </c>
      <c r="E10" s="26">
        <f>S10</f>
        <v>0.81</v>
      </c>
      <c r="G10">
        <f>W10</f>
        <v>154.54</v>
      </c>
      <c r="H10">
        <f>P10</f>
        <v>63.69</v>
      </c>
      <c r="I10">
        <f>T10</f>
        <v>279.45</v>
      </c>
      <c r="J10">
        <f>Q10</f>
        <v>15712.63</v>
      </c>
      <c r="K10">
        <f>N10</f>
        <v>80.11</v>
      </c>
      <c r="M10" s="795">
        <v>109221</v>
      </c>
      <c r="N10" s="795">
        <v>80.11</v>
      </c>
      <c r="O10" s="795">
        <v>2.87</v>
      </c>
      <c r="P10" s="795">
        <v>63.69</v>
      </c>
      <c r="Q10" s="795">
        <v>15712.63</v>
      </c>
      <c r="R10" s="795">
        <v>2.08</v>
      </c>
      <c r="S10" s="795">
        <v>0.81</v>
      </c>
      <c r="T10" s="795">
        <v>279.45</v>
      </c>
      <c r="U10" s="795">
        <v>0.2</v>
      </c>
      <c r="V10" s="795">
        <v>0.94</v>
      </c>
      <c r="W10" s="795">
        <v>154.54</v>
      </c>
    </row>
    <row r="11" spans="1:23" x14ac:dyDescent="0.25">
      <c r="A11" s="2096">
        <f t="shared" ref="A11:A13" si="20">V11</f>
        <v>0.69</v>
      </c>
      <c r="B11" s="2096">
        <f t="shared" ref="B11:B13" si="21">R11</f>
        <v>1.59</v>
      </c>
      <c r="C11" s="2096">
        <f t="shared" ref="C11:C13" si="22">U11</f>
        <v>0.22</v>
      </c>
      <c r="D11" s="2096">
        <f t="shared" ref="D11:D13" si="23">O11</f>
        <v>2.69</v>
      </c>
      <c r="E11" s="26">
        <f t="shared" ref="E11:E13" si="24">S11</f>
        <v>0.53</v>
      </c>
      <c r="G11">
        <f t="shared" ref="G11:G13" si="25">W11</f>
        <v>139.13999999999999</v>
      </c>
      <c r="H11">
        <f t="shared" ref="H11:H13" si="26">P11</f>
        <v>63.31</v>
      </c>
      <c r="I11">
        <f t="shared" ref="I11:I13" si="27">T11</f>
        <v>198.76</v>
      </c>
      <c r="J11">
        <f t="shared" ref="J11:J13" si="28">Q11</f>
        <v>9752.86</v>
      </c>
      <c r="K11">
        <f t="shared" ref="K11:K13" si="29">N11</f>
        <v>107.02</v>
      </c>
      <c r="M11" s="795">
        <v>109222</v>
      </c>
      <c r="N11" s="795">
        <v>107.02</v>
      </c>
      <c r="O11" s="795">
        <v>2.69</v>
      </c>
      <c r="P11" s="795">
        <v>63.31</v>
      </c>
      <c r="Q11" s="795">
        <v>9752.86</v>
      </c>
      <c r="R11" s="795">
        <v>1.59</v>
      </c>
      <c r="S11" s="795">
        <v>0.53</v>
      </c>
      <c r="T11" s="795">
        <v>198.76</v>
      </c>
      <c r="U11" s="795">
        <v>0.22</v>
      </c>
      <c r="V11" s="795">
        <v>0.69</v>
      </c>
      <c r="W11" s="795">
        <v>139.13999999999999</v>
      </c>
    </row>
    <row r="12" spans="1:23" x14ac:dyDescent="0.25">
      <c r="A12" s="2096">
        <f t="shared" si="20"/>
        <v>0.89</v>
      </c>
      <c r="B12" s="2096">
        <f t="shared" si="21"/>
        <v>1.4</v>
      </c>
      <c r="C12" s="2096">
        <f t="shared" si="22"/>
        <v>0.53</v>
      </c>
      <c r="D12" s="2096">
        <f t="shared" si="23"/>
        <v>2.67</v>
      </c>
      <c r="E12" s="2096">
        <f t="shared" si="24"/>
        <v>0.57999999999999996</v>
      </c>
      <c r="G12">
        <f t="shared" si="25"/>
        <v>141.66999999999999</v>
      </c>
      <c r="H12">
        <f t="shared" si="26"/>
        <v>51.34</v>
      </c>
      <c r="I12">
        <f t="shared" si="27"/>
        <v>204.33</v>
      </c>
      <c r="J12">
        <f t="shared" si="28"/>
        <v>7955.81</v>
      </c>
      <c r="K12">
        <f t="shared" si="29"/>
        <v>89.95</v>
      </c>
      <c r="M12" s="795">
        <v>109223</v>
      </c>
      <c r="N12" s="795">
        <v>89.95</v>
      </c>
      <c r="O12" s="795">
        <v>2.67</v>
      </c>
      <c r="P12" s="795">
        <v>51.34</v>
      </c>
      <c r="Q12" s="795">
        <v>7955.81</v>
      </c>
      <c r="R12" s="795">
        <v>1.4</v>
      </c>
      <c r="S12" s="795">
        <v>0.57999999999999996</v>
      </c>
      <c r="T12" s="795">
        <v>204.33</v>
      </c>
      <c r="U12" s="795">
        <v>0.53</v>
      </c>
      <c r="V12" s="795">
        <v>0.89</v>
      </c>
      <c r="W12" s="795">
        <v>141.66999999999999</v>
      </c>
    </row>
    <row r="13" spans="1:23" x14ac:dyDescent="0.25">
      <c r="A13" s="2096">
        <f t="shared" si="20"/>
        <v>0.89</v>
      </c>
      <c r="B13" s="2096">
        <f t="shared" si="21"/>
        <v>1.2</v>
      </c>
      <c r="C13" s="2096">
        <f t="shared" si="22"/>
        <v>0.51</v>
      </c>
      <c r="D13" s="2096">
        <f t="shared" si="23"/>
        <v>2.87</v>
      </c>
      <c r="E13" s="2096">
        <f t="shared" si="24"/>
        <v>0.56000000000000005</v>
      </c>
      <c r="G13">
        <f t="shared" si="25"/>
        <v>154.29</v>
      </c>
      <c r="H13">
        <f t="shared" si="26"/>
        <v>48.01</v>
      </c>
      <c r="I13">
        <f t="shared" si="27"/>
        <v>210.21</v>
      </c>
      <c r="J13">
        <f t="shared" si="28"/>
        <v>10233.1</v>
      </c>
      <c r="K13">
        <f t="shared" si="29"/>
        <v>87.74</v>
      </c>
      <c r="M13" s="795">
        <v>109224</v>
      </c>
      <c r="N13" s="795">
        <v>87.74</v>
      </c>
      <c r="O13" s="795">
        <v>2.87</v>
      </c>
      <c r="P13" s="795">
        <v>48.01</v>
      </c>
      <c r="Q13" s="795">
        <v>10233.1</v>
      </c>
      <c r="R13" s="795">
        <v>1.2</v>
      </c>
      <c r="S13" s="795">
        <v>0.56000000000000005</v>
      </c>
      <c r="T13" s="795">
        <v>210.21</v>
      </c>
      <c r="U13" s="795">
        <v>0.51</v>
      </c>
      <c r="V13" s="795">
        <v>0.89</v>
      </c>
      <c r="W13" s="795">
        <v>154.29</v>
      </c>
    </row>
    <row r="14" spans="1:23" x14ac:dyDescent="0.25">
      <c r="A14" s="2096">
        <f t="shared" ref="A14:A31" si="30">V14</f>
        <v>0.59</v>
      </c>
      <c r="B14" s="2096">
        <f t="shared" ref="B14:B31" si="31">R14</f>
        <v>2.0499999999999998</v>
      </c>
      <c r="C14" s="2096">
        <f t="shared" ref="C14:C31" si="32">U14</f>
        <v>0.64</v>
      </c>
      <c r="D14" s="2096">
        <f t="shared" ref="D14:D31" si="33">O14</f>
        <v>2.78</v>
      </c>
      <c r="E14" s="2096">
        <f t="shared" ref="E14:E31" si="34">S14</f>
        <v>0.89</v>
      </c>
      <c r="G14">
        <f t="shared" ref="G14:G31" si="35">W14</f>
        <v>78.69</v>
      </c>
      <c r="H14">
        <f t="shared" ref="H14:H31" si="36">P14</f>
        <v>73.459999999999994</v>
      </c>
      <c r="I14">
        <f t="shared" ref="I14:I31" si="37">T14</f>
        <v>218.75</v>
      </c>
      <c r="J14">
        <f t="shared" ref="J14:J31" si="38">Q14</f>
        <v>15865.23</v>
      </c>
      <c r="K14">
        <f t="shared" ref="K14:K31" si="39">N14</f>
        <v>108.14</v>
      </c>
      <c r="M14" s="795">
        <v>109225</v>
      </c>
      <c r="N14" s="795">
        <v>108.14</v>
      </c>
      <c r="O14" s="795">
        <v>2.78</v>
      </c>
      <c r="P14" s="795">
        <v>73.459999999999994</v>
      </c>
      <c r="Q14" s="795">
        <v>15865.23</v>
      </c>
      <c r="R14" s="795">
        <v>2.0499999999999998</v>
      </c>
      <c r="S14" s="795">
        <v>0.89</v>
      </c>
      <c r="T14" s="795">
        <v>218.75</v>
      </c>
      <c r="U14" s="795">
        <v>0.64</v>
      </c>
      <c r="V14" s="795">
        <v>0.59</v>
      </c>
      <c r="W14" s="795">
        <v>78.69</v>
      </c>
    </row>
    <row r="15" spans="1:23" x14ac:dyDescent="0.25">
      <c r="A15" s="2096">
        <f t="shared" si="30"/>
        <v>0.95</v>
      </c>
      <c r="B15" s="2096">
        <f t="shared" si="31"/>
        <v>1.9</v>
      </c>
      <c r="C15" s="2096">
        <f t="shared" si="32"/>
        <v>0.3</v>
      </c>
      <c r="D15" s="2096">
        <f t="shared" si="33"/>
        <v>3.17</v>
      </c>
      <c r="E15" s="2096">
        <f t="shared" si="34"/>
        <v>1.57</v>
      </c>
      <c r="G15">
        <f t="shared" si="35"/>
        <v>127.38</v>
      </c>
      <c r="H15">
        <f t="shared" si="36"/>
        <v>92.72</v>
      </c>
      <c r="I15">
        <f t="shared" si="37"/>
        <v>316.76</v>
      </c>
      <c r="J15">
        <f t="shared" si="38"/>
        <v>24885.57</v>
      </c>
      <c r="K15">
        <f t="shared" si="39"/>
        <v>98.86</v>
      </c>
      <c r="M15" s="795">
        <v>109226</v>
      </c>
      <c r="N15" s="795">
        <v>98.86</v>
      </c>
      <c r="O15" s="795">
        <v>3.17</v>
      </c>
      <c r="P15" s="795">
        <v>92.72</v>
      </c>
      <c r="Q15" s="795">
        <v>24885.57</v>
      </c>
      <c r="R15" s="795">
        <v>1.9</v>
      </c>
      <c r="S15" s="795">
        <v>1.57</v>
      </c>
      <c r="T15" s="795">
        <v>316.76</v>
      </c>
      <c r="U15" s="795">
        <v>0.3</v>
      </c>
      <c r="V15" s="795">
        <v>0.95</v>
      </c>
      <c r="W15" s="795">
        <v>127.38</v>
      </c>
    </row>
    <row r="16" spans="1:23" x14ac:dyDescent="0.25">
      <c r="A16" s="2096">
        <f t="shared" si="30"/>
        <v>0.76</v>
      </c>
      <c r="B16" s="2096">
        <f t="shared" si="31"/>
        <v>1.22</v>
      </c>
      <c r="C16" s="2096">
        <f t="shared" si="32"/>
        <v>0.37</v>
      </c>
      <c r="D16" s="2096">
        <f t="shared" si="33"/>
        <v>2.92</v>
      </c>
      <c r="E16" s="2096">
        <f t="shared" si="34"/>
        <v>0.94</v>
      </c>
      <c r="G16">
        <f t="shared" si="35"/>
        <v>125.55</v>
      </c>
      <c r="H16">
        <f t="shared" si="36"/>
        <v>55.36</v>
      </c>
      <c r="I16">
        <f t="shared" si="37"/>
        <v>282.14</v>
      </c>
      <c r="J16">
        <f t="shared" si="38"/>
        <v>17725.2</v>
      </c>
      <c r="K16">
        <f t="shared" si="39"/>
        <v>69.92</v>
      </c>
      <c r="M16" s="795">
        <v>109227</v>
      </c>
      <c r="N16" s="795">
        <v>69.92</v>
      </c>
      <c r="O16" s="795">
        <v>2.92</v>
      </c>
      <c r="P16" s="795">
        <v>55.36</v>
      </c>
      <c r="Q16" s="795">
        <v>17725.2</v>
      </c>
      <c r="R16" s="795">
        <v>1.22</v>
      </c>
      <c r="S16" s="795">
        <v>0.94</v>
      </c>
      <c r="T16" s="795">
        <v>282.14</v>
      </c>
      <c r="U16" s="795">
        <v>0.37</v>
      </c>
      <c r="V16" s="795">
        <v>0.76</v>
      </c>
      <c r="W16" s="795">
        <v>125.55</v>
      </c>
    </row>
    <row r="17" spans="1:23" x14ac:dyDescent="0.25">
      <c r="A17" s="2096">
        <f t="shared" si="30"/>
        <v>0.78</v>
      </c>
      <c r="B17" s="2096">
        <f t="shared" si="31"/>
        <v>1.33</v>
      </c>
      <c r="C17" s="2096">
        <f t="shared" si="32"/>
        <v>0.35</v>
      </c>
      <c r="D17" s="2096">
        <f t="shared" si="33"/>
        <v>2.78</v>
      </c>
      <c r="E17" s="2096">
        <f t="shared" si="34"/>
        <v>1.02</v>
      </c>
      <c r="G17">
        <f t="shared" si="35"/>
        <v>112.84</v>
      </c>
      <c r="H17">
        <f t="shared" si="36"/>
        <v>58.7</v>
      </c>
      <c r="I17">
        <f t="shared" si="37"/>
        <v>276.81</v>
      </c>
      <c r="J17">
        <f t="shared" si="38"/>
        <v>16467.47</v>
      </c>
      <c r="K17">
        <f t="shared" si="39"/>
        <v>92.77</v>
      </c>
      <c r="M17" s="795">
        <v>109228</v>
      </c>
      <c r="N17" s="795">
        <v>92.77</v>
      </c>
      <c r="O17" s="795">
        <v>2.78</v>
      </c>
      <c r="P17" s="795">
        <v>58.7</v>
      </c>
      <c r="Q17" s="795">
        <v>16467.47</v>
      </c>
      <c r="R17" s="795">
        <v>1.33</v>
      </c>
      <c r="S17" s="795">
        <v>1.02</v>
      </c>
      <c r="T17" s="795">
        <v>276.81</v>
      </c>
      <c r="U17" s="795">
        <v>0.35</v>
      </c>
      <c r="V17" s="795">
        <v>0.78</v>
      </c>
      <c r="W17" s="795">
        <v>112.84</v>
      </c>
    </row>
    <row r="18" spans="1:23" x14ac:dyDescent="0.25">
      <c r="A18" s="2096">
        <f t="shared" si="30"/>
        <v>1.02</v>
      </c>
      <c r="B18" s="2096">
        <f t="shared" si="31"/>
        <v>2.66</v>
      </c>
      <c r="C18" s="2096">
        <f t="shared" si="32"/>
        <v>0.31</v>
      </c>
      <c r="D18" s="2096">
        <f t="shared" si="33"/>
        <v>3.1</v>
      </c>
      <c r="E18" s="2096">
        <f t="shared" si="34"/>
        <v>0.61</v>
      </c>
      <c r="G18">
        <f t="shared" si="35"/>
        <v>209.73</v>
      </c>
      <c r="H18">
        <f t="shared" si="36"/>
        <v>77.98</v>
      </c>
      <c r="I18">
        <f t="shared" si="37"/>
        <v>332.74</v>
      </c>
      <c r="J18">
        <f t="shared" si="38"/>
        <v>14216.11</v>
      </c>
      <c r="K18">
        <f t="shared" si="39"/>
        <v>74.25</v>
      </c>
      <c r="M18" s="795">
        <v>109229</v>
      </c>
      <c r="N18" s="795">
        <v>74.25</v>
      </c>
      <c r="O18" s="795">
        <v>3.1</v>
      </c>
      <c r="P18" s="795">
        <v>77.98</v>
      </c>
      <c r="Q18" s="795">
        <v>14216.11</v>
      </c>
      <c r="R18" s="795">
        <v>2.66</v>
      </c>
      <c r="S18" s="795">
        <v>0.61</v>
      </c>
      <c r="T18" s="795">
        <v>332.74</v>
      </c>
      <c r="U18" s="795">
        <v>0.31</v>
      </c>
      <c r="V18" s="795">
        <v>1.02</v>
      </c>
      <c r="W18" s="795">
        <v>209.73</v>
      </c>
    </row>
    <row r="19" spans="1:23" x14ac:dyDescent="0.25">
      <c r="A19" s="2096">
        <f t="shared" si="30"/>
        <v>0.78</v>
      </c>
      <c r="B19" s="2096">
        <f t="shared" si="31"/>
        <v>2.7</v>
      </c>
      <c r="C19" s="2096">
        <f t="shared" si="32"/>
        <v>0.2</v>
      </c>
      <c r="D19" s="2096">
        <f t="shared" si="33"/>
        <v>2.8</v>
      </c>
      <c r="E19" s="2096">
        <f t="shared" si="34"/>
        <v>0.57999999999999996</v>
      </c>
      <c r="G19">
        <f t="shared" si="35"/>
        <v>123.14</v>
      </c>
      <c r="H19">
        <f t="shared" si="36"/>
        <v>56.24</v>
      </c>
      <c r="I19">
        <f t="shared" si="37"/>
        <v>265.20999999999998</v>
      </c>
      <c r="J19">
        <f t="shared" si="38"/>
        <v>19062.189999999999</v>
      </c>
      <c r="K19">
        <f t="shared" si="39"/>
        <v>69.540000000000006</v>
      </c>
      <c r="M19" s="795">
        <v>109230</v>
      </c>
      <c r="N19" s="795">
        <v>69.540000000000006</v>
      </c>
      <c r="O19" s="795">
        <v>2.8</v>
      </c>
      <c r="P19" s="795">
        <v>56.24</v>
      </c>
      <c r="Q19" s="795">
        <v>19062.189999999999</v>
      </c>
      <c r="R19" s="795">
        <v>2.7</v>
      </c>
      <c r="S19" s="795">
        <v>0.57999999999999996</v>
      </c>
      <c r="T19" s="795">
        <v>265.20999999999998</v>
      </c>
      <c r="U19" s="795">
        <v>0.2</v>
      </c>
      <c r="V19" s="795">
        <v>0.78</v>
      </c>
      <c r="W19" s="795">
        <v>123.14</v>
      </c>
    </row>
    <row r="20" spans="1:23" x14ac:dyDescent="0.25">
      <c r="A20" s="2096">
        <f t="shared" si="30"/>
        <v>3.68</v>
      </c>
      <c r="B20" s="2096">
        <f t="shared" si="31"/>
        <v>0.13</v>
      </c>
      <c r="C20" s="2096">
        <f t="shared" si="32"/>
        <v>0.33</v>
      </c>
      <c r="D20" s="2096">
        <f t="shared" si="33"/>
        <v>8</v>
      </c>
      <c r="E20" s="2096">
        <f t="shared" si="34"/>
        <v>0.17</v>
      </c>
      <c r="G20">
        <f t="shared" si="35"/>
        <v>151.22999999999999</v>
      </c>
      <c r="H20">
        <f t="shared" si="36"/>
        <v>7.01</v>
      </c>
      <c r="I20">
        <f t="shared" si="37"/>
        <v>10.11</v>
      </c>
      <c r="J20">
        <f t="shared" si="38"/>
        <v>716.25</v>
      </c>
      <c r="K20">
        <f t="shared" si="39"/>
        <v>4.37</v>
      </c>
      <c r="M20" s="795">
        <v>109231</v>
      </c>
      <c r="N20" s="795">
        <v>4.37</v>
      </c>
      <c r="O20" s="795">
        <v>8</v>
      </c>
      <c r="P20" s="795">
        <v>7.01</v>
      </c>
      <c r="Q20" s="795">
        <v>716.25</v>
      </c>
      <c r="R20" s="795">
        <v>0.13</v>
      </c>
      <c r="S20" s="795">
        <v>0.17</v>
      </c>
      <c r="T20" s="795">
        <v>10.11</v>
      </c>
      <c r="U20" s="795">
        <v>0.33</v>
      </c>
      <c r="V20" s="795">
        <v>3.68</v>
      </c>
      <c r="W20" s="795">
        <v>151.22999999999999</v>
      </c>
    </row>
    <row r="21" spans="1:23" x14ac:dyDescent="0.25">
      <c r="A21" s="2096">
        <f t="shared" si="30"/>
        <v>12.18</v>
      </c>
      <c r="B21" s="2096">
        <f t="shared" si="31"/>
        <v>0.17</v>
      </c>
      <c r="C21" s="2096">
        <f t="shared" si="32"/>
        <v>0.62</v>
      </c>
      <c r="D21" s="2096">
        <f t="shared" si="33"/>
        <v>28.79</v>
      </c>
      <c r="E21" s="2096">
        <f t="shared" si="34"/>
        <v>0.51</v>
      </c>
      <c r="G21">
        <f t="shared" si="35"/>
        <v>62.32</v>
      </c>
      <c r="H21">
        <f t="shared" si="36"/>
        <v>9.4700000000000006</v>
      </c>
      <c r="I21">
        <f t="shared" si="37"/>
        <v>1033.47</v>
      </c>
      <c r="J21">
        <f t="shared" si="38"/>
        <v>26191.38</v>
      </c>
      <c r="K21">
        <f t="shared" si="39"/>
        <v>785.18</v>
      </c>
      <c r="M21" s="795">
        <v>109232</v>
      </c>
      <c r="N21" s="795">
        <v>785.18</v>
      </c>
      <c r="O21" s="795">
        <v>28.79</v>
      </c>
      <c r="P21" s="795">
        <v>9.4700000000000006</v>
      </c>
      <c r="Q21" s="795">
        <v>26191.38</v>
      </c>
      <c r="R21" s="795">
        <v>0.17</v>
      </c>
      <c r="S21" s="795">
        <v>0.51</v>
      </c>
      <c r="T21" s="795">
        <v>1033.47</v>
      </c>
      <c r="U21" s="795">
        <v>0.62</v>
      </c>
      <c r="V21" s="795">
        <v>12.18</v>
      </c>
      <c r="W21" s="795">
        <v>62.32</v>
      </c>
    </row>
    <row r="22" spans="1:23" x14ac:dyDescent="0.25">
      <c r="A22" s="2096">
        <f t="shared" si="30"/>
        <v>0.63</v>
      </c>
      <c r="B22" s="2096">
        <f t="shared" si="31"/>
        <v>6.28</v>
      </c>
      <c r="C22" s="2096">
        <f t="shared" si="32"/>
        <v>0.57999999999999996</v>
      </c>
      <c r="D22" s="2096">
        <f t="shared" si="33"/>
        <v>17.57</v>
      </c>
      <c r="E22" s="2096">
        <f t="shared" si="34"/>
        <v>4.41</v>
      </c>
      <c r="G22">
        <f t="shared" si="35"/>
        <v>19.079999999999998</v>
      </c>
      <c r="H22">
        <f t="shared" si="36"/>
        <v>54.3</v>
      </c>
      <c r="I22">
        <f t="shared" si="37"/>
        <v>265.83</v>
      </c>
      <c r="J22">
        <f t="shared" si="38"/>
        <v>10056</v>
      </c>
      <c r="K22">
        <f t="shared" si="39"/>
        <v>230.01</v>
      </c>
      <c r="M22" s="795">
        <v>109233</v>
      </c>
      <c r="N22" s="795">
        <v>230.01</v>
      </c>
      <c r="O22" s="795">
        <v>17.57</v>
      </c>
      <c r="P22" s="795">
        <v>54.3</v>
      </c>
      <c r="Q22" s="795">
        <v>10056</v>
      </c>
      <c r="R22" s="795">
        <v>6.28</v>
      </c>
      <c r="S22" s="795">
        <v>4.41</v>
      </c>
      <c r="T22" s="795">
        <v>265.83</v>
      </c>
      <c r="U22" s="795">
        <v>0.57999999999999996</v>
      </c>
      <c r="V22" s="795">
        <v>0.63</v>
      </c>
      <c r="W22" s="795">
        <v>19.079999999999998</v>
      </c>
    </row>
    <row r="23" spans="1:23" x14ac:dyDescent="0.25">
      <c r="A23" s="2096">
        <f t="shared" si="30"/>
        <v>1.41</v>
      </c>
      <c r="B23" s="2096">
        <f t="shared" si="31"/>
        <v>0.64</v>
      </c>
      <c r="C23" s="2096">
        <f t="shared" si="32"/>
        <v>0.27</v>
      </c>
      <c r="D23" s="2096">
        <f t="shared" si="33"/>
        <v>1.7</v>
      </c>
      <c r="E23" s="2096">
        <f t="shared" si="34"/>
        <v>0.31</v>
      </c>
      <c r="G23">
        <f t="shared" si="35"/>
        <v>87.78</v>
      </c>
      <c r="H23">
        <f t="shared" si="36"/>
        <v>17.45</v>
      </c>
      <c r="I23">
        <f t="shared" si="37"/>
        <v>146.72</v>
      </c>
      <c r="J23">
        <f t="shared" si="38"/>
        <v>497.82</v>
      </c>
      <c r="K23">
        <f t="shared" si="39"/>
        <v>14.9</v>
      </c>
      <c r="M23" s="795">
        <v>109234</v>
      </c>
      <c r="N23" s="795">
        <v>14.9</v>
      </c>
      <c r="O23" s="795">
        <v>1.7</v>
      </c>
      <c r="P23" s="795">
        <v>17.45</v>
      </c>
      <c r="Q23" s="795">
        <v>497.82</v>
      </c>
      <c r="R23" s="795">
        <v>0.64</v>
      </c>
      <c r="S23" s="795">
        <v>0.31</v>
      </c>
      <c r="T23" s="795">
        <v>146.72</v>
      </c>
      <c r="U23" s="795">
        <v>0.27</v>
      </c>
      <c r="V23" s="795">
        <v>1.41</v>
      </c>
      <c r="W23" s="795">
        <v>87.78</v>
      </c>
    </row>
    <row r="24" spans="1:23" x14ac:dyDescent="0.25">
      <c r="A24" s="2096">
        <f t="shared" si="30"/>
        <v>2.81</v>
      </c>
      <c r="B24" s="2096">
        <f t="shared" si="31"/>
        <v>16.66</v>
      </c>
      <c r="C24" s="2096">
        <f t="shared" si="32"/>
        <v>0.12</v>
      </c>
      <c r="D24" s="2096">
        <f t="shared" si="33"/>
        <v>2.94</v>
      </c>
      <c r="E24" s="2096">
        <f t="shared" si="34"/>
        <v>3.78</v>
      </c>
      <c r="G24">
        <f t="shared" si="35"/>
        <v>282.73</v>
      </c>
      <c r="H24">
        <f t="shared" si="36"/>
        <v>210.56</v>
      </c>
      <c r="I24">
        <f t="shared" si="37"/>
        <v>451.64</v>
      </c>
      <c r="J24">
        <f t="shared" si="38"/>
        <v>5128.1400000000003</v>
      </c>
      <c r="K24">
        <f t="shared" si="39"/>
        <v>445.56</v>
      </c>
      <c r="M24" s="795">
        <v>109235</v>
      </c>
      <c r="N24" s="795">
        <v>445.56</v>
      </c>
      <c r="O24" s="795">
        <v>2.94</v>
      </c>
      <c r="P24" s="795">
        <v>210.56</v>
      </c>
      <c r="Q24" s="795">
        <v>5128.1400000000003</v>
      </c>
      <c r="R24" s="795">
        <v>16.66</v>
      </c>
      <c r="S24" s="795">
        <v>3.78</v>
      </c>
      <c r="T24" s="795">
        <v>451.64</v>
      </c>
      <c r="U24" s="795">
        <v>0.12</v>
      </c>
      <c r="V24" s="795">
        <v>2.81</v>
      </c>
      <c r="W24" s="795">
        <v>282.73</v>
      </c>
    </row>
    <row r="25" spans="1:23" x14ac:dyDescent="0.25">
      <c r="A25" s="2096">
        <f t="shared" si="30"/>
        <v>0.13</v>
      </c>
      <c r="B25" s="2096">
        <f t="shared" si="31"/>
        <v>2.5499999999999998</v>
      </c>
      <c r="C25" s="2096">
        <f t="shared" si="32"/>
        <v>0.04</v>
      </c>
      <c r="D25" s="2096">
        <f t="shared" si="33"/>
        <v>0.77</v>
      </c>
      <c r="E25" s="2096">
        <f t="shared" si="34"/>
        <v>0.23</v>
      </c>
      <c r="G25">
        <f t="shared" si="35"/>
        <v>22.38</v>
      </c>
      <c r="H25">
        <f t="shared" si="36"/>
        <v>32.04</v>
      </c>
      <c r="I25">
        <f t="shared" si="37"/>
        <v>116.04</v>
      </c>
      <c r="J25">
        <f t="shared" si="38"/>
        <v>7161.15</v>
      </c>
      <c r="K25">
        <f t="shared" si="39"/>
        <v>63.12</v>
      </c>
      <c r="M25" s="795">
        <v>109236</v>
      </c>
      <c r="N25" s="795">
        <v>63.12</v>
      </c>
      <c r="O25" s="795">
        <v>0.77</v>
      </c>
      <c r="P25" s="795">
        <v>32.04</v>
      </c>
      <c r="Q25" s="795">
        <v>7161.15</v>
      </c>
      <c r="R25" s="795">
        <v>2.5499999999999998</v>
      </c>
      <c r="S25" s="795">
        <v>0.23</v>
      </c>
      <c r="T25" s="795">
        <v>116.04</v>
      </c>
      <c r="U25" s="795">
        <v>0.04</v>
      </c>
      <c r="V25" s="795">
        <v>0.13</v>
      </c>
      <c r="W25" s="795">
        <v>22.38</v>
      </c>
    </row>
    <row r="26" spans="1:23" x14ac:dyDescent="0.25">
      <c r="A26" s="2096">
        <f t="shared" si="30"/>
        <v>0.89</v>
      </c>
      <c r="B26" s="2096">
        <f t="shared" si="31"/>
        <v>3.23</v>
      </c>
      <c r="C26" s="2096">
        <f t="shared" si="32"/>
        <v>0.48</v>
      </c>
      <c r="D26" s="2096">
        <f t="shared" si="33"/>
        <v>1.48</v>
      </c>
      <c r="E26" s="2096">
        <f t="shared" si="34"/>
        <v>0.52</v>
      </c>
      <c r="G26">
        <f t="shared" si="35"/>
        <v>204.33</v>
      </c>
      <c r="H26">
        <f t="shared" si="36"/>
        <v>75.73</v>
      </c>
      <c r="I26">
        <f t="shared" si="37"/>
        <v>345.01</v>
      </c>
      <c r="J26">
        <f t="shared" si="38"/>
        <v>3494.87</v>
      </c>
      <c r="K26">
        <f t="shared" si="39"/>
        <v>104.26</v>
      </c>
      <c r="M26" s="795">
        <v>109237</v>
      </c>
      <c r="N26" s="795">
        <v>104.26</v>
      </c>
      <c r="O26" s="795">
        <v>1.48</v>
      </c>
      <c r="P26" s="795">
        <v>75.73</v>
      </c>
      <c r="Q26" s="795">
        <v>3494.87</v>
      </c>
      <c r="R26" s="795">
        <v>3.23</v>
      </c>
      <c r="S26" s="795">
        <v>0.52</v>
      </c>
      <c r="T26" s="795">
        <v>345.01</v>
      </c>
      <c r="U26" s="795">
        <v>0.48</v>
      </c>
      <c r="V26" s="795">
        <v>0.89</v>
      </c>
      <c r="W26" s="795">
        <v>204.33</v>
      </c>
    </row>
    <row r="27" spans="1:23" x14ac:dyDescent="0.25">
      <c r="A27" s="2096">
        <f t="shared" si="30"/>
        <v>7.0000000000000007E-2</v>
      </c>
      <c r="B27" s="2096">
        <f t="shared" si="31"/>
        <v>0.63</v>
      </c>
      <c r="C27" s="2096">
        <f t="shared" si="32"/>
        <v>0.06</v>
      </c>
      <c r="D27" s="2096">
        <f t="shared" si="33"/>
        <v>1.7</v>
      </c>
      <c r="E27" s="2096">
        <f t="shared" si="34"/>
        <v>0.21</v>
      </c>
      <c r="G27">
        <f t="shared" si="35"/>
        <v>9.3800000000000008</v>
      </c>
      <c r="H27">
        <f t="shared" si="36"/>
        <v>5.39</v>
      </c>
      <c r="I27">
        <f t="shared" si="37"/>
        <v>37.04</v>
      </c>
      <c r="J27">
        <f t="shared" si="38"/>
        <v>6562.27</v>
      </c>
      <c r="K27">
        <f t="shared" si="39"/>
        <v>23.19</v>
      </c>
      <c r="M27" s="795">
        <v>109238</v>
      </c>
      <c r="N27" s="795">
        <v>23.19</v>
      </c>
      <c r="O27" s="795">
        <v>1.7</v>
      </c>
      <c r="P27" s="795">
        <v>5.39</v>
      </c>
      <c r="Q27" s="795">
        <v>6562.27</v>
      </c>
      <c r="R27" s="795">
        <v>0.63</v>
      </c>
      <c r="S27" s="795">
        <v>0.21</v>
      </c>
      <c r="T27" s="795">
        <v>37.04</v>
      </c>
      <c r="U27" s="795">
        <v>0.06</v>
      </c>
      <c r="V27" s="795">
        <v>7.0000000000000007E-2</v>
      </c>
      <c r="W27" s="795">
        <v>9.3800000000000008</v>
      </c>
    </row>
    <row r="28" spans="1:23" x14ac:dyDescent="0.25">
      <c r="A28">
        <f t="shared" si="30"/>
        <v>0</v>
      </c>
      <c r="B28">
        <f t="shared" si="31"/>
        <v>0</v>
      </c>
      <c r="C28">
        <f t="shared" si="32"/>
        <v>0</v>
      </c>
      <c r="D28">
        <f t="shared" si="33"/>
        <v>0</v>
      </c>
      <c r="E28">
        <f t="shared" si="34"/>
        <v>0</v>
      </c>
      <c r="G28">
        <f t="shared" si="35"/>
        <v>0</v>
      </c>
      <c r="H28">
        <f t="shared" si="36"/>
        <v>0</v>
      </c>
      <c r="I28">
        <f t="shared" si="37"/>
        <v>0</v>
      </c>
      <c r="J28">
        <f t="shared" si="38"/>
        <v>0</v>
      </c>
      <c r="K28">
        <f t="shared" si="39"/>
        <v>0</v>
      </c>
      <c r="M28" s="795"/>
      <c r="N28" s="795"/>
      <c r="O28" s="795"/>
      <c r="P28" s="795"/>
      <c r="Q28" s="795"/>
      <c r="R28" s="795"/>
      <c r="S28" s="795"/>
      <c r="T28" s="795"/>
      <c r="U28" s="795"/>
      <c r="V28" s="795"/>
      <c r="W28" s="795"/>
    </row>
    <row r="29" spans="1:23" x14ac:dyDescent="0.25">
      <c r="A29">
        <f t="shared" si="30"/>
        <v>0</v>
      </c>
      <c r="B29">
        <f t="shared" si="31"/>
        <v>0</v>
      </c>
      <c r="C29">
        <f t="shared" si="32"/>
        <v>0</v>
      </c>
      <c r="D29">
        <f t="shared" si="33"/>
        <v>0</v>
      </c>
      <c r="E29">
        <f t="shared" si="34"/>
        <v>0</v>
      </c>
      <c r="G29">
        <f t="shared" si="35"/>
        <v>0</v>
      </c>
      <c r="H29">
        <f t="shared" si="36"/>
        <v>0</v>
      </c>
      <c r="I29">
        <f t="shared" si="37"/>
        <v>0</v>
      </c>
      <c r="J29">
        <f t="shared" si="38"/>
        <v>0</v>
      </c>
      <c r="K29">
        <f t="shared" si="39"/>
        <v>0</v>
      </c>
      <c r="M29" s="795"/>
      <c r="N29" s="795"/>
      <c r="O29" s="795"/>
      <c r="P29" s="795"/>
      <c r="Q29" s="795"/>
      <c r="R29" s="795"/>
      <c r="S29" s="795"/>
      <c r="T29" s="795"/>
      <c r="U29" s="795"/>
      <c r="V29" s="795"/>
      <c r="W29" s="795"/>
    </row>
    <row r="30" spans="1:23" x14ac:dyDescent="0.25">
      <c r="A30">
        <f t="shared" si="30"/>
        <v>0</v>
      </c>
      <c r="B30">
        <f t="shared" si="31"/>
        <v>0</v>
      </c>
      <c r="C30">
        <f t="shared" si="32"/>
        <v>0</v>
      </c>
      <c r="D30">
        <f t="shared" si="33"/>
        <v>0</v>
      </c>
      <c r="E30">
        <f t="shared" si="34"/>
        <v>0</v>
      </c>
      <c r="G30">
        <f t="shared" si="35"/>
        <v>0</v>
      </c>
      <c r="H30">
        <f t="shared" si="36"/>
        <v>0</v>
      </c>
      <c r="I30">
        <f t="shared" si="37"/>
        <v>0</v>
      </c>
      <c r="J30">
        <f t="shared" si="38"/>
        <v>0</v>
      </c>
      <c r="K30">
        <f t="shared" si="39"/>
        <v>0</v>
      </c>
      <c r="M30" s="795"/>
      <c r="N30" s="795"/>
      <c r="O30" s="795"/>
      <c r="P30" s="795"/>
      <c r="Q30" s="795"/>
      <c r="R30" s="795"/>
      <c r="S30" s="795"/>
      <c r="T30" s="795"/>
      <c r="U30" s="795"/>
      <c r="V30" s="795"/>
      <c r="W30" s="795"/>
    </row>
    <row r="31" spans="1:23" x14ac:dyDescent="0.25">
      <c r="A31">
        <f t="shared" si="30"/>
        <v>0</v>
      </c>
      <c r="B31">
        <f t="shared" si="31"/>
        <v>0</v>
      </c>
      <c r="C31">
        <f t="shared" si="32"/>
        <v>0</v>
      </c>
      <c r="D31">
        <f t="shared" si="33"/>
        <v>0</v>
      </c>
      <c r="E31">
        <f t="shared" si="34"/>
        <v>0</v>
      </c>
      <c r="G31">
        <f t="shared" si="35"/>
        <v>0</v>
      </c>
      <c r="H31">
        <f t="shared" si="36"/>
        <v>0</v>
      </c>
      <c r="I31">
        <f t="shared" si="37"/>
        <v>0</v>
      </c>
      <c r="J31">
        <f t="shared" si="38"/>
        <v>0</v>
      </c>
      <c r="K31">
        <f t="shared" si="39"/>
        <v>0</v>
      </c>
      <c r="M31" s="795"/>
      <c r="N31" s="795"/>
      <c r="O31" s="795"/>
      <c r="P31" s="795"/>
      <c r="Q31" s="795"/>
      <c r="R31" s="795"/>
      <c r="S31" s="795"/>
      <c r="T31" s="795"/>
      <c r="U31" s="795"/>
      <c r="V31" s="795"/>
      <c r="W31" s="795"/>
    </row>
    <row r="32" spans="1:23" x14ac:dyDescent="0.25">
      <c r="M32" s="795"/>
      <c r="N32" s="795"/>
      <c r="O32" s="795"/>
      <c r="P32" s="795"/>
      <c r="Q32" s="795"/>
      <c r="R32" s="795"/>
    </row>
    <row r="35" spans="6:18" x14ac:dyDescent="0.25">
      <c r="G35" s="651" t="s">
        <v>44</v>
      </c>
      <c r="H35" s="651" t="s">
        <v>38</v>
      </c>
      <c r="I35" s="651" t="s">
        <v>39</v>
      </c>
      <c r="J35" s="651" t="s">
        <v>40</v>
      </c>
      <c r="K35" s="651" t="s">
        <v>41</v>
      </c>
      <c r="M35" s="2044"/>
      <c r="N35" s="2044" t="s">
        <v>40</v>
      </c>
      <c r="O35" s="2044" t="s">
        <v>38</v>
      </c>
      <c r="P35" s="2044" t="s">
        <v>41</v>
      </c>
      <c r="Q35" s="2044" t="s">
        <v>39</v>
      </c>
      <c r="R35" s="2044" t="s">
        <v>187</v>
      </c>
    </row>
    <row r="36" spans="6:18" x14ac:dyDescent="0.25">
      <c r="G36" s="651" t="s">
        <v>46</v>
      </c>
      <c r="H36" s="651" t="s">
        <v>46</v>
      </c>
      <c r="I36" s="651" t="s">
        <v>46</v>
      </c>
      <c r="J36" s="651" t="s">
        <v>46</v>
      </c>
      <c r="K36" s="651" t="s">
        <v>46</v>
      </c>
      <c r="M36" s="2075"/>
      <c r="N36" s="2075"/>
      <c r="O36" s="2075"/>
      <c r="P36" s="2075"/>
      <c r="Q36" s="2075"/>
      <c r="R36" s="2075"/>
    </row>
    <row r="37" spans="6:18" x14ac:dyDescent="0.25">
      <c r="F37" s="2045">
        <f>M36</f>
        <v>0</v>
      </c>
      <c r="G37">
        <f>R36</f>
        <v>0</v>
      </c>
      <c r="H37">
        <f>O36</f>
        <v>0</v>
      </c>
      <c r="I37">
        <f>Q36</f>
        <v>0</v>
      </c>
      <c r="J37">
        <f>N36</f>
        <v>0</v>
      </c>
      <c r="K37">
        <f>P36</f>
        <v>0</v>
      </c>
      <c r="M37" s="2075"/>
      <c r="N37" s="2075">
        <v>0.09</v>
      </c>
      <c r="O37" s="2075">
        <v>3.22</v>
      </c>
      <c r="P37" s="2075">
        <v>0.03</v>
      </c>
      <c r="Q37" s="2075">
        <v>1.49</v>
      </c>
      <c r="R37" s="2075">
        <v>0.05</v>
      </c>
    </row>
    <row r="38" spans="6:18" x14ac:dyDescent="0.25">
      <c r="F38" s="2045">
        <f t="shared" ref="F38:F61" si="40">M37</f>
        <v>0</v>
      </c>
      <c r="G38">
        <f t="shared" ref="G38:G50" si="41">R37</f>
        <v>0.05</v>
      </c>
      <c r="H38">
        <f t="shared" ref="H38:H50" si="42">O37</f>
        <v>3.22</v>
      </c>
      <c r="I38">
        <f t="shared" ref="I38:I50" si="43">Q37</f>
        <v>1.49</v>
      </c>
      <c r="J38">
        <f t="shared" ref="J38:J50" si="44">N37</f>
        <v>0.09</v>
      </c>
      <c r="K38">
        <f t="shared" ref="K38:K50" si="45">P37</f>
        <v>0.03</v>
      </c>
      <c r="M38" s="2075"/>
      <c r="N38" s="2075"/>
      <c r="O38" s="2075"/>
      <c r="P38" s="2075"/>
      <c r="Q38" s="2075"/>
      <c r="R38" s="2075"/>
    </row>
    <row r="39" spans="6:18" x14ac:dyDescent="0.25">
      <c r="F39" s="2045">
        <f t="shared" si="40"/>
        <v>0</v>
      </c>
      <c r="G39">
        <f t="shared" si="41"/>
        <v>0</v>
      </c>
      <c r="H39">
        <f t="shared" si="42"/>
        <v>0</v>
      </c>
      <c r="I39">
        <f t="shared" si="43"/>
        <v>0</v>
      </c>
      <c r="J39">
        <f t="shared" si="44"/>
        <v>0</v>
      </c>
      <c r="K39">
        <f t="shared" si="45"/>
        <v>0</v>
      </c>
      <c r="M39" s="2075"/>
      <c r="N39" s="2132">
        <f>N37/0.59</f>
        <v>0.15254237288135594</v>
      </c>
      <c r="O39" s="2132">
        <f t="shared" ref="O39:R39" si="46">O37/0.59</f>
        <v>5.4576271186440684</v>
      </c>
      <c r="P39" s="2132">
        <f t="shared" si="46"/>
        <v>5.0847457627118647E-2</v>
      </c>
      <c r="Q39" s="2132">
        <f t="shared" si="46"/>
        <v>2.5254237288135593</v>
      </c>
      <c r="R39" s="2132">
        <f t="shared" si="46"/>
        <v>8.4745762711864417E-2</v>
      </c>
    </row>
    <row r="40" spans="6:18" x14ac:dyDescent="0.25">
      <c r="F40" s="2045">
        <f t="shared" si="40"/>
        <v>0</v>
      </c>
      <c r="G40" s="897">
        <f t="shared" si="41"/>
        <v>8.4745762711864417E-2</v>
      </c>
      <c r="H40" s="897">
        <f t="shared" si="42"/>
        <v>5.4576271186440684</v>
      </c>
      <c r="I40" s="897">
        <f t="shared" si="43"/>
        <v>2.5254237288135593</v>
      </c>
      <c r="J40" s="897">
        <f t="shared" si="44"/>
        <v>0.15254237288135594</v>
      </c>
      <c r="K40" s="897">
        <f t="shared" si="45"/>
        <v>5.0847457627118647E-2</v>
      </c>
      <c r="M40" s="2075"/>
      <c r="N40" s="2075"/>
      <c r="O40" s="2075"/>
      <c r="P40" s="2075"/>
      <c r="Q40" s="2075"/>
      <c r="R40" s="2075"/>
    </row>
    <row r="41" spans="6:18" x14ac:dyDescent="0.25">
      <c r="F41" s="2045">
        <f t="shared" si="40"/>
        <v>0</v>
      </c>
      <c r="G41">
        <f t="shared" si="41"/>
        <v>0</v>
      </c>
      <c r="H41">
        <f t="shared" si="42"/>
        <v>0</v>
      </c>
      <c r="I41">
        <f t="shared" si="43"/>
        <v>0</v>
      </c>
      <c r="J41">
        <f t="shared" si="44"/>
        <v>0</v>
      </c>
      <c r="K41">
        <f t="shared" si="45"/>
        <v>0</v>
      </c>
      <c r="M41" s="2075"/>
      <c r="N41" s="2075"/>
      <c r="O41" s="2075"/>
      <c r="P41" s="2075"/>
      <c r="Q41" s="2075"/>
      <c r="R41" s="2075"/>
    </row>
    <row r="42" spans="6:18" x14ac:dyDescent="0.25">
      <c r="F42" s="2045">
        <f t="shared" si="40"/>
        <v>0</v>
      </c>
      <c r="G42">
        <f t="shared" si="41"/>
        <v>0</v>
      </c>
      <c r="H42">
        <f t="shared" si="42"/>
        <v>0</v>
      </c>
      <c r="I42">
        <f t="shared" si="43"/>
        <v>0</v>
      </c>
      <c r="J42">
        <f t="shared" si="44"/>
        <v>0</v>
      </c>
      <c r="K42">
        <f t="shared" si="45"/>
        <v>0</v>
      </c>
      <c r="M42" s="2075"/>
      <c r="N42" s="2075"/>
      <c r="O42" s="2075"/>
      <c r="P42" s="2075"/>
      <c r="Q42" s="2075"/>
      <c r="R42" s="2075"/>
    </row>
    <row r="43" spans="6:18" x14ac:dyDescent="0.25">
      <c r="F43" s="2045">
        <f t="shared" si="40"/>
        <v>0</v>
      </c>
      <c r="G43">
        <f t="shared" si="41"/>
        <v>0</v>
      </c>
      <c r="H43">
        <f t="shared" si="42"/>
        <v>0</v>
      </c>
      <c r="I43">
        <f t="shared" si="43"/>
        <v>0</v>
      </c>
      <c r="J43">
        <f t="shared" si="44"/>
        <v>0</v>
      </c>
      <c r="K43">
        <f t="shared" si="45"/>
        <v>0</v>
      </c>
      <c r="M43" s="2075"/>
      <c r="N43" s="2075"/>
      <c r="O43" s="2075"/>
      <c r="P43" s="2075"/>
      <c r="Q43" s="2075"/>
      <c r="R43" s="2075"/>
    </row>
    <row r="44" spans="6:18" x14ac:dyDescent="0.25">
      <c r="F44" s="2045">
        <f t="shared" si="40"/>
        <v>0</v>
      </c>
      <c r="G44">
        <f t="shared" si="41"/>
        <v>0</v>
      </c>
      <c r="H44">
        <f t="shared" si="42"/>
        <v>0</v>
      </c>
      <c r="I44">
        <f t="shared" si="43"/>
        <v>0</v>
      </c>
      <c r="J44">
        <f t="shared" si="44"/>
        <v>0</v>
      </c>
      <c r="K44">
        <f t="shared" si="45"/>
        <v>0</v>
      </c>
      <c r="M44" s="2075"/>
      <c r="N44" s="2075"/>
      <c r="O44" s="2075"/>
      <c r="P44" s="2075"/>
      <c r="Q44" s="2075"/>
      <c r="R44" s="2075"/>
    </row>
    <row r="45" spans="6:18" x14ac:dyDescent="0.25">
      <c r="F45" s="2045">
        <f t="shared" si="40"/>
        <v>0</v>
      </c>
      <c r="G45">
        <f t="shared" si="41"/>
        <v>0</v>
      </c>
      <c r="H45">
        <f t="shared" si="42"/>
        <v>0</v>
      </c>
      <c r="I45">
        <f t="shared" si="43"/>
        <v>0</v>
      </c>
      <c r="J45">
        <f t="shared" si="44"/>
        <v>0</v>
      </c>
      <c r="K45">
        <f t="shared" si="45"/>
        <v>0</v>
      </c>
      <c r="M45" s="2075"/>
      <c r="N45" s="2075"/>
      <c r="O45" s="2075"/>
      <c r="P45" s="2075"/>
      <c r="Q45" s="2075"/>
      <c r="R45" s="2075"/>
    </row>
    <row r="46" spans="6:18" x14ac:dyDescent="0.25">
      <c r="F46" s="2045">
        <f t="shared" si="40"/>
        <v>0</v>
      </c>
      <c r="G46">
        <f t="shared" si="41"/>
        <v>0</v>
      </c>
      <c r="H46">
        <f t="shared" si="42"/>
        <v>0</v>
      </c>
      <c r="I46">
        <f t="shared" si="43"/>
        <v>0</v>
      </c>
      <c r="J46">
        <f t="shared" si="44"/>
        <v>0</v>
      </c>
      <c r="K46">
        <f t="shared" si="45"/>
        <v>0</v>
      </c>
      <c r="M46" s="2075"/>
      <c r="N46" s="2075"/>
      <c r="O46" s="2075"/>
      <c r="P46" s="2075"/>
      <c r="Q46" s="2075"/>
      <c r="R46" s="2075"/>
    </row>
    <row r="47" spans="6:18" x14ac:dyDescent="0.25">
      <c r="F47" s="2045">
        <f t="shared" si="40"/>
        <v>0</v>
      </c>
      <c r="G47">
        <f t="shared" si="41"/>
        <v>0</v>
      </c>
      <c r="H47">
        <f t="shared" si="42"/>
        <v>0</v>
      </c>
      <c r="I47">
        <f t="shared" si="43"/>
        <v>0</v>
      </c>
      <c r="J47">
        <f t="shared" si="44"/>
        <v>0</v>
      </c>
      <c r="K47">
        <f t="shared" si="45"/>
        <v>0</v>
      </c>
      <c r="M47" s="2075"/>
      <c r="N47" s="2075"/>
      <c r="O47" s="2075"/>
      <c r="P47" s="2075"/>
      <c r="Q47" s="2075"/>
      <c r="R47" s="2075"/>
    </row>
    <row r="48" spans="6:18" x14ac:dyDescent="0.25">
      <c r="F48" s="2045">
        <f t="shared" si="40"/>
        <v>0</v>
      </c>
      <c r="G48">
        <f t="shared" si="41"/>
        <v>0</v>
      </c>
      <c r="H48">
        <f t="shared" si="42"/>
        <v>0</v>
      </c>
      <c r="I48">
        <f t="shared" si="43"/>
        <v>0</v>
      </c>
      <c r="J48">
        <f t="shared" si="44"/>
        <v>0</v>
      </c>
      <c r="K48">
        <f t="shared" si="45"/>
        <v>0</v>
      </c>
      <c r="M48" s="2075"/>
      <c r="N48" s="2075"/>
      <c r="O48" s="2075"/>
      <c r="P48" s="2075"/>
      <c r="Q48" s="2075"/>
      <c r="R48" s="2075"/>
    </row>
    <row r="49" spans="6:18" x14ac:dyDescent="0.25">
      <c r="F49" s="2045">
        <f t="shared" si="40"/>
        <v>0</v>
      </c>
      <c r="G49">
        <f t="shared" si="41"/>
        <v>0</v>
      </c>
      <c r="H49">
        <f t="shared" si="42"/>
        <v>0</v>
      </c>
      <c r="I49">
        <f t="shared" si="43"/>
        <v>0</v>
      </c>
      <c r="J49">
        <f t="shared" si="44"/>
        <v>0</v>
      </c>
      <c r="K49">
        <f t="shared" si="45"/>
        <v>0</v>
      </c>
      <c r="M49" s="2075"/>
      <c r="N49" s="2075"/>
      <c r="O49" s="2075"/>
      <c r="P49" s="2075"/>
      <c r="Q49" s="2075"/>
      <c r="R49" s="2075"/>
    </row>
    <row r="50" spans="6:18" x14ac:dyDescent="0.25">
      <c r="F50" s="2045">
        <f t="shared" si="40"/>
        <v>0</v>
      </c>
      <c r="G50">
        <f t="shared" si="41"/>
        <v>0</v>
      </c>
      <c r="H50">
        <f t="shared" si="42"/>
        <v>0</v>
      </c>
      <c r="I50">
        <f t="shared" si="43"/>
        <v>0</v>
      </c>
      <c r="J50">
        <f t="shared" si="44"/>
        <v>0</v>
      </c>
      <c r="K50">
        <f t="shared" si="45"/>
        <v>0</v>
      </c>
      <c r="M50" s="2075"/>
      <c r="N50" s="2075"/>
      <c r="O50" s="2075"/>
      <c r="P50" s="2075"/>
      <c r="Q50" s="2075"/>
      <c r="R50" s="2075"/>
    </row>
    <row r="51" spans="6:18" x14ac:dyDescent="0.25">
      <c r="F51" s="2045">
        <f t="shared" si="40"/>
        <v>0</v>
      </c>
      <c r="G51">
        <f t="shared" ref="G51" si="47">R50</f>
        <v>0</v>
      </c>
      <c r="H51">
        <f t="shared" ref="H51" si="48">O50</f>
        <v>0</v>
      </c>
      <c r="I51">
        <f t="shared" ref="I51" si="49">Q50</f>
        <v>0</v>
      </c>
      <c r="J51">
        <f t="shared" ref="J51" si="50">N50</f>
        <v>0</v>
      </c>
      <c r="K51">
        <f t="shared" ref="K51" si="51">P50</f>
        <v>0</v>
      </c>
      <c r="M51" s="2075"/>
      <c r="N51" s="2075"/>
      <c r="O51" s="2075"/>
      <c r="P51" s="2075"/>
      <c r="Q51" s="2075"/>
      <c r="R51" s="2075"/>
    </row>
    <row r="52" spans="6:18" x14ac:dyDescent="0.25">
      <c r="F52" s="2045">
        <f t="shared" si="40"/>
        <v>0</v>
      </c>
      <c r="G52" s="2062">
        <f t="shared" ref="G52:G53" si="52">R51</f>
        <v>0</v>
      </c>
      <c r="H52" s="2062">
        <f t="shared" ref="H52:H53" si="53">O51</f>
        <v>0</v>
      </c>
      <c r="I52" s="2062">
        <f t="shared" ref="I52:I53" si="54">Q51</f>
        <v>0</v>
      </c>
      <c r="J52" s="2062">
        <f t="shared" ref="J52:J53" si="55">N51</f>
        <v>0</v>
      </c>
      <c r="K52" s="2062">
        <f t="shared" ref="K52:K53" si="56">P51</f>
        <v>0</v>
      </c>
      <c r="M52" s="2058"/>
      <c r="N52" s="2058"/>
      <c r="O52" s="2058"/>
      <c r="P52" s="2058"/>
      <c r="Q52" s="2058"/>
      <c r="R52" s="2058"/>
    </row>
    <row r="53" spans="6:18" x14ac:dyDescent="0.25">
      <c r="F53" s="2045">
        <f t="shared" si="40"/>
        <v>0</v>
      </c>
      <c r="G53" s="2062">
        <f t="shared" si="52"/>
        <v>0</v>
      </c>
      <c r="H53" s="2062">
        <f t="shared" si="53"/>
        <v>0</v>
      </c>
      <c r="I53" s="2062">
        <f t="shared" si="54"/>
        <v>0</v>
      </c>
      <c r="J53" s="2062">
        <f t="shared" si="55"/>
        <v>0</v>
      </c>
      <c r="K53" s="2062">
        <f t="shared" si="56"/>
        <v>0</v>
      </c>
    </row>
    <row r="54" spans="6:18" x14ac:dyDescent="0.25">
      <c r="F54" s="2045">
        <f t="shared" si="40"/>
        <v>0</v>
      </c>
    </row>
    <row r="55" spans="6:18" x14ac:dyDescent="0.25">
      <c r="F55" s="2045">
        <f t="shared" si="40"/>
        <v>0</v>
      </c>
    </row>
    <row r="56" spans="6:18" x14ac:dyDescent="0.25">
      <c r="F56" s="2045">
        <f t="shared" si="40"/>
        <v>0</v>
      </c>
    </row>
    <row r="57" spans="6:18" x14ac:dyDescent="0.25">
      <c r="F57" s="2045">
        <f t="shared" si="40"/>
        <v>0</v>
      </c>
    </row>
    <row r="58" spans="6:18" x14ac:dyDescent="0.25">
      <c r="F58" s="2045">
        <f t="shared" si="40"/>
        <v>0</v>
      </c>
    </row>
    <row r="59" spans="6:18" x14ac:dyDescent="0.25">
      <c r="F59" s="2045">
        <f t="shared" si="40"/>
        <v>0</v>
      </c>
    </row>
    <row r="60" spans="6:18" x14ac:dyDescent="0.25">
      <c r="F60" s="2045">
        <f t="shared" si="40"/>
        <v>0</v>
      </c>
    </row>
    <row r="61" spans="6:18" x14ac:dyDescent="0.25">
      <c r="F61" s="2045">
        <f t="shared" si="40"/>
        <v>0</v>
      </c>
    </row>
  </sheetData>
  <conditionalFormatting sqref="M32:R32">
    <cfRule type="containsText" dxfId="18" priority="5" operator="containsText" text="o">
      <formula>NOT(ISERROR(SEARCH("o",M32)))</formula>
    </cfRule>
  </conditionalFormatting>
  <conditionalFormatting sqref="M28:O28 Q28 M29:Q31 S28:W31">
    <cfRule type="containsText" dxfId="17" priority="4" operator="containsText" text="o">
      <formula>NOT(ISERROR(SEARCH("o",M28)))</formula>
    </cfRule>
  </conditionalFormatting>
  <conditionalFormatting sqref="P28">
    <cfRule type="containsText" dxfId="16" priority="3" operator="containsText" text="o">
      <formula>NOT(ISERROR(SEARCH("o",P28)))</formula>
    </cfRule>
  </conditionalFormatting>
  <conditionalFormatting sqref="R28:R31">
    <cfRule type="containsText" dxfId="15" priority="2" operator="containsText" text="o">
      <formula>NOT(ISERROR(SEARCH("o",R28)))</formula>
    </cfRule>
  </conditionalFormatting>
  <conditionalFormatting sqref="M4:W27">
    <cfRule type="containsText" dxfId="4" priority="1" operator="containsText" text="o">
      <formula>NOT(ISERROR(SEARCH("o",M4)))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C779D-AE16-461B-8D29-3E7BD7BB1D29}">
  <sheetPr codeName="Feuil12"/>
  <dimension ref="A1:U27"/>
  <sheetViews>
    <sheetView zoomScale="70" zoomScaleNormal="70" workbookViewId="0">
      <selection activeCell="A23" sqref="A23:H24"/>
    </sheetView>
  </sheetViews>
  <sheetFormatPr baseColWidth="10" defaultRowHeight="15.75" x14ac:dyDescent="0.25"/>
  <sheetData>
    <row r="1" spans="1:21" x14ac:dyDescent="0.25">
      <c r="A1" s="653" t="s">
        <v>38</v>
      </c>
      <c r="B1" s="653" t="s">
        <v>39</v>
      </c>
      <c r="C1" s="653" t="s">
        <v>40</v>
      </c>
      <c r="D1" s="653" t="s">
        <v>41</v>
      </c>
      <c r="E1" s="653" t="s">
        <v>13</v>
      </c>
      <c r="F1" s="653" t="s">
        <v>14</v>
      </c>
      <c r="G1" s="653" t="s">
        <v>15</v>
      </c>
      <c r="H1" s="653" t="s">
        <v>16</v>
      </c>
      <c r="J1" s="1938" t="s">
        <v>606</v>
      </c>
      <c r="K1" s="1940" t="s">
        <v>17</v>
      </c>
      <c r="L1" s="1939" t="s">
        <v>40</v>
      </c>
      <c r="M1" s="1940" t="s">
        <v>14</v>
      </c>
      <c r="N1" s="1940" t="s">
        <v>16</v>
      </c>
      <c r="O1" s="1939" t="s">
        <v>38</v>
      </c>
      <c r="P1" s="1939" t="s">
        <v>41</v>
      </c>
      <c r="Q1" s="1940" t="s">
        <v>15</v>
      </c>
      <c r="R1" s="1939" t="s">
        <v>39</v>
      </c>
      <c r="S1" s="1939" t="s">
        <v>187</v>
      </c>
      <c r="T1" s="1940" t="s">
        <v>13</v>
      </c>
    </row>
    <row r="2" spans="1:21" x14ac:dyDescent="0.25">
      <c r="A2" s="1936">
        <f>O2</f>
        <v>1.84</v>
      </c>
      <c r="B2" s="1936">
        <f>R2</f>
        <v>54.14</v>
      </c>
      <c r="C2" s="1936">
        <f>L2</f>
        <v>72.16</v>
      </c>
      <c r="D2" s="1936">
        <f>P2</f>
        <v>46.63</v>
      </c>
      <c r="E2" s="1936">
        <f>T2</f>
        <v>1E-3</v>
      </c>
      <c r="F2" s="1936">
        <f>M2</f>
        <v>1E-3</v>
      </c>
      <c r="G2" s="1936">
        <f>Q2</f>
        <v>1E-3</v>
      </c>
      <c r="H2" s="1936">
        <f>N2</f>
        <v>1E-3</v>
      </c>
      <c r="J2" s="2092">
        <v>100066</v>
      </c>
      <c r="K2" s="2092">
        <v>0.05</v>
      </c>
      <c r="L2" s="2092">
        <v>72.16</v>
      </c>
      <c r="M2" s="2092">
        <v>1E-3</v>
      </c>
      <c r="N2" s="2092">
        <v>1E-3</v>
      </c>
      <c r="O2" s="2092">
        <v>1.84</v>
      </c>
      <c r="P2" s="2092">
        <v>46.63</v>
      </c>
      <c r="Q2" s="2092">
        <v>1E-3</v>
      </c>
      <c r="R2" s="2092">
        <v>54.14</v>
      </c>
      <c r="S2" s="2092">
        <v>1E-3</v>
      </c>
      <c r="T2" s="2092">
        <v>1E-3</v>
      </c>
    </row>
    <row r="3" spans="1:21" x14ac:dyDescent="0.25">
      <c r="A3" s="1936">
        <f t="shared" ref="A3:A4" si="0">O3</f>
        <v>1.88</v>
      </c>
      <c r="B3" s="1936">
        <f t="shared" ref="B3:B4" si="1">R3</f>
        <v>56.77</v>
      </c>
      <c r="C3" s="1936">
        <f t="shared" ref="C3:C4" si="2">L3</f>
        <v>72.5</v>
      </c>
      <c r="D3" s="1936">
        <f t="shared" ref="D3:D4" si="3">P3</f>
        <v>47.34</v>
      </c>
      <c r="E3" s="1936">
        <f t="shared" ref="E3:E4" si="4">T3</f>
        <v>1E-3</v>
      </c>
      <c r="F3" s="1936">
        <f t="shared" ref="F3:F4" si="5">M3</f>
        <v>1E-3</v>
      </c>
      <c r="G3" s="1936">
        <f t="shared" ref="G3:G4" si="6">Q3</f>
        <v>1E-3</v>
      </c>
      <c r="H3" s="1936" t="str">
        <f t="shared" ref="H3:H4" si="7">N3</f>
        <v>0,04</v>
      </c>
      <c r="J3" s="2092" t="s">
        <v>630</v>
      </c>
      <c r="K3" s="2092">
        <v>0.05</v>
      </c>
      <c r="L3" s="2092">
        <v>72.5</v>
      </c>
      <c r="M3" s="2092">
        <v>1E-3</v>
      </c>
      <c r="N3" s="2092" t="s">
        <v>499</v>
      </c>
      <c r="O3" s="2092">
        <v>1.88</v>
      </c>
      <c r="P3" s="2092">
        <v>47.34</v>
      </c>
      <c r="Q3" s="2092">
        <v>1E-3</v>
      </c>
      <c r="R3" s="2092">
        <v>56.77</v>
      </c>
      <c r="S3" s="2092">
        <v>1E-3</v>
      </c>
      <c r="T3" s="2092">
        <v>1E-3</v>
      </c>
    </row>
    <row r="4" spans="1:21" x14ac:dyDescent="0.25">
      <c r="A4" s="1936">
        <f t="shared" si="0"/>
        <v>1.84</v>
      </c>
      <c r="B4" s="1936">
        <f t="shared" si="1"/>
        <v>49.71</v>
      </c>
      <c r="C4" s="1936">
        <f t="shared" si="2"/>
        <v>71.95</v>
      </c>
      <c r="D4" s="1936">
        <f t="shared" si="3"/>
        <v>46.14</v>
      </c>
      <c r="E4" s="1936">
        <f t="shared" si="4"/>
        <v>1E-3</v>
      </c>
      <c r="F4" s="1936">
        <f t="shared" si="5"/>
        <v>1E-3</v>
      </c>
      <c r="G4" s="1936">
        <f t="shared" si="6"/>
        <v>1E-3</v>
      </c>
      <c r="H4" s="1936">
        <f t="shared" si="7"/>
        <v>1E-3</v>
      </c>
      <c r="J4" s="2092" t="s">
        <v>631</v>
      </c>
      <c r="K4" s="2092">
        <v>0.05</v>
      </c>
      <c r="L4" s="2092">
        <v>71.95</v>
      </c>
      <c r="M4" s="2092">
        <v>1E-3</v>
      </c>
      <c r="N4" s="2092">
        <v>1E-3</v>
      </c>
      <c r="O4" s="2092">
        <v>1.84</v>
      </c>
      <c r="P4" s="2092">
        <v>46.14</v>
      </c>
      <c r="Q4" s="2092">
        <v>1E-3</v>
      </c>
      <c r="R4" s="2092">
        <v>49.71</v>
      </c>
      <c r="S4" s="2092">
        <v>1E-3</v>
      </c>
      <c r="T4" s="2092">
        <v>1E-3</v>
      </c>
    </row>
    <row r="5" spans="1:21" x14ac:dyDescent="0.25">
      <c r="A5" s="1951">
        <f t="shared" ref="A5:A8" si="8">O5</f>
        <v>2.0299999999999998</v>
      </c>
      <c r="B5" s="1951">
        <f t="shared" ref="B5:B8" si="9">R5</f>
        <v>63.8</v>
      </c>
      <c r="C5" s="1951">
        <f t="shared" ref="C5:C8" si="10">L5</f>
        <v>70.67</v>
      </c>
      <c r="D5" s="1951">
        <f t="shared" ref="D5:D8" si="11">P5</f>
        <v>44.86</v>
      </c>
      <c r="E5" s="1951">
        <f t="shared" ref="E5:E8" si="12">T5</f>
        <v>1E-3</v>
      </c>
      <c r="F5" s="1951">
        <f t="shared" ref="F5:F8" si="13">M5</f>
        <v>1E-3</v>
      </c>
      <c r="G5" s="1951">
        <f t="shared" ref="G5:G8" si="14">Q5</f>
        <v>1E-3</v>
      </c>
      <c r="H5" s="1951" t="str">
        <f t="shared" ref="H5:H8" si="15">N5</f>
        <v>0,04</v>
      </c>
      <c r="J5" s="2092" t="s">
        <v>632</v>
      </c>
      <c r="K5" s="2092">
        <v>0.06</v>
      </c>
      <c r="L5" s="2092">
        <v>70.67</v>
      </c>
      <c r="M5" s="2092">
        <v>1E-3</v>
      </c>
      <c r="N5" s="2092" t="s">
        <v>499</v>
      </c>
      <c r="O5" s="2092">
        <v>2.0299999999999998</v>
      </c>
      <c r="P5" s="2092">
        <v>44.86</v>
      </c>
      <c r="Q5" s="2092">
        <v>1E-3</v>
      </c>
      <c r="R5" s="2092">
        <v>63.8</v>
      </c>
      <c r="S5" s="2092">
        <v>1E-3</v>
      </c>
      <c r="T5" s="2092">
        <v>1E-3</v>
      </c>
    </row>
    <row r="6" spans="1:21" x14ac:dyDescent="0.25">
      <c r="A6" s="1951">
        <f t="shared" si="8"/>
        <v>1.81</v>
      </c>
      <c r="B6" s="1951">
        <f t="shared" si="9"/>
        <v>60.24</v>
      </c>
      <c r="C6" s="1951">
        <f t="shared" si="10"/>
        <v>71.349999999999994</v>
      </c>
      <c r="D6" s="1951">
        <f t="shared" si="11"/>
        <v>42.19</v>
      </c>
      <c r="E6" s="1951">
        <f t="shared" si="12"/>
        <v>1E-3</v>
      </c>
      <c r="F6" s="1951">
        <f t="shared" si="13"/>
        <v>1E-3</v>
      </c>
      <c r="G6" s="1951">
        <f t="shared" si="14"/>
        <v>1E-3</v>
      </c>
      <c r="H6" s="1951">
        <f t="shared" si="15"/>
        <v>1E-3</v>
      </c>
      <c r="J6" s="2092" t="s">
        <v>633</v>
      </c>
      <c r="K6" s="2092">
        <v>0.06</v>
      </c>
      <c r="L6" s="2092">
        <v>71.349999999999994</v>
      </c>
      <c r="M6" s="2092">
        <v>1E-3</v>
      </c>
      <c r="N6" s="2092">
        <v>1E-3</v>
      </c>
      <c r="O6" s="2092">
        <v>1.81</v>
      </c>
      <c r="P6" s="2092">
        <v>42.19</v>
      </c>
      <c r="Q6" s="2092">
        <v>1E-3</v>
      </c>
      <c r="R6" s="2092">
        <v>60.24</v>
      </c>
      <c r="S6" s="2092">
        <v>1E-3</v>
      </c>
      <c r="T6" s="2092">
        <v>1E-3</v>
      </c>
    </row>
    <row r="7" spans="1:21" x14ac:dyDescent="0.25">
      <c r="A7" s="1951">
        <f t="shared" si="8"/>
        <v>2.39</v>
      </c>
      <c r="B7" s="1951">
        <f t="shared" si="9"/>
        <v>84.95</v>
      </c>
      <c r="C7" s="1951">
        <f t="shared" si="10"/>
        <v>69.94</v>
      </c>
      <c r="D7" s="1951">
        <f t="shared" si="11"/>
        <v>44.68</v>
      </c>
      <c r="E7" s="1951">
        <f t="shared" si="12"/>
        <v>1E-3</v>
      </c>
      <c r="F7" s="1951">
        <f t="shared" si="13"/>
        <v>1E-3</v>
      </c>
      <c r="G7" s="1951">
        <f t="shared" si="14"/>
        <v>1E-3</v>
      </c>
      <c r="H7" s="1951" t="str">
        <f t="shared" si="15"/>
        <v>0,01</v>
      </c>
      <c r="J7" s="2092" t="s">
        <v>634</v>
      </c>
      <c r="K7" s="2092">
        <v>7.0000000000000007E-2</v>
      </c>
      <c r="L7" s="2092">
        <v>69.94</v>
      </c>
      <c r="M7" s="2092">
        <v>1E-3</v>
      </c>
      <c r="N7" s="2092" t="s">
        <v>467</v>
      </c>
      <c r="O7" s="2092">
        <v>2.39</v>
      </c>
      <c r="P7" s="2092">
        <v>44.68</v>
      </c>
      <c r="Q7" s="2092">
        <v>1E-3</v>
      </c>
      <c r="R7" s="2092">
        <v>84.95</v>
      </c>
      <c r="S7" s="2092">
        <v>1E-3</v>
      </c>
      <c r="T7" s="2092">
        <v>1E-3</v>
      </c>
    </row>
    <row r="8" spans="1:21" x14ac:dyDescent="0.25">
      <c r="A8" s="1951">
        <f t="shared" si="8"/>
        <v>0</v>
      </c>
      <c r="B8" s="1951">
        <f t="shared" si="9"/>
        <v>0</v>
      </c>
      <c r="C8" s="1951">
        <f t="shared" si="10"/>
        <v>0</v>
      </c>
      <c r="D8" s="1951">
        <f t="shared" si="11"/>
        <v>0</v>
      </c>
      <c r="E8" s="1951">
        <f t="shared" si="12"/>
        <v>0</v>
      </c>
      <c r="F8" s="1951">
        <f t="shared" si="13"/>
        <v>0</v>
      </c>
      <c r="G8" s="1951">
        <f t="shared" si="14"/>
        <v>0</v>
      </c>
      <c r="H8" s="1951">
        <f t="shared" si="15"/>
        <v>0</v>
      </c>
      <c r="J8" s="1982"/>
      <c r="K8" s="1982"/>
      <c r="L8" s="1982"/>
      <c r="M8" s="1982"/>
      <c r="N8" s="1982"/>
      <c r="O8" s="1982"/>
      <c r="P8" s="1982"/>
      <c r="Q8" s="1982"/>
      <c r="R8" s="1982"/>
      <c r="S8" s="1982"/>
      <c r="T8" s="1982"/>
    </row>
    <row r="9" spans="1:21" x14ac:dyDescent="0.25">
      <c r="A9" s="1962">
        <f t="shared" ref="A9:A13" si="16">O9</f>
        <v>7.55</v>
      </c>
      <c r="B9" s="1962">
        <f t="shared" ref="B9:B13" si="17">R9</f>
        <v>90.16</v>
      </c>
      <c r="C9" s="1962">
        <f t="shared" ref="C9:C13" si="18">L9</f>
        <v>60.94</v>
      </c>
      <c r="D9" s="1962">
        <f t="shared" ref="D9:D13" si="19">P9</f>
        <v>24.2</v>
      </c>
      <c r="E9" s="1962">
        <f t="shared" ref="E9:E13" si="20">T9</f>
        <v>0.04</v>
      </c>
      <c r="F9" s="1962">
        <f t="shared" ref="F9:F13" si="21">M9</f>
        <v>1E-3</v>
      </c>
      <c r="G9" s="1962">
        <f t="shared" ref="G9:G13" si="22">Q9</f>
        <v>1E-3</v>
      </c>
      <c r="H9" s="1962">
        <f t="shared" ref="H9:H13" si="23">N9</f>
        <v>1E-3</v>
      </c>
      <c r="J9" s="2129">
        <v>100077</v>
      </c>
      <c r="K9" s="2129">
        <v>0.33</v>
      </c>
      <c r="L9" s="2129">
        <v>60.94</v>
      </c>
      <c r="M9" s="2129">
        <v>1E-3</v>
      </c>
      <c r="N9" s="2129">
        <v>1E-3</v>
      </c>
      <c r="O9" s="2129">
        <v>7.55</v>
      </c>
      <c r="P9" s="2129">
        <v>24.2</v>
      </c>
      <c r="Q9" s="2129">
        <v>1E-3</v>
      </c>
      <c r="R9" s="2129">
        <v>90.16</v>
      </c>
      <c r="S9" s="2129">
        <v>0.01</v>
      </c>
      <c r="T9" s="2129">
        <v>0.04</v>
      </c>
    </row>
    <row r="10" spans="1:21" x14ac:dyDescent="0.25">
      <c r="A10" s="1962">
        <f t="shared" si="16"/>
        <v>8.64</v>
      </c>
      <c r="B10" s="1962">
        <f t="shared" si="17"/>
        <v>103.69</v>
      </c>
      <c r="C10" s="1962">
        <f t="shared" si="18"/>
        <v>55.31</v>
      </c>
      <c r="D10" s="1962">
        <f t="shared" si="19"/>
        <v>22.6</v>
      </c>
      <c r="E10" s="1962">
        <f t="shared" si="20"/>
        <v>0.11</v>
      </c>
      <c r="F10" s="1962">
        <f t="shared" si="21"/>
        <v>1E-3</v>
      </c>
      <c r="G10" s="1962">
        <f t="shared" si="22"/>
        <v>1E-3</v>
      </c>
      <c r="H10" s="1962">
        <f t="shared" si="23"/>
        <v>1E-3</v>
      </c>
      <c r="J10" s="2129">
        <v>100078</v>
      </c>
      <c r="K10" s="2129">
        <v>0.41</v>
      </c>
      <c r="L10" s="2129">
        <v>55.31</v>
      </c>
      <c r="M10" s="2129">
        <v>1E-3</v>
      </c>
      <c r="N10" s="2129">
        <v>1E-3</v>
      </c>
      <c r="O10" s="2129">
        <v>8.64</v>
      </c>
      <c r="P10" s="2129">
        <v>22.6</v>
      </c>
      <c r="Q10" s="2129">
        <v>1E-3</v>
      </c>
      <c r="R10" s="2129">
        <v>103.69</v>
      </c>
      <c r="S10" s="2129">
        <v>0.15</v>
      </c>
      <c r="T10" s="2129">
        <v>0.11</v>
      </c>
    </row>
    <row r="11" spans="1:21" x14ac:dyDescent="0.25">
      <c r="A11" s="1962">
        <f t="shared" si="16"/>
        <v>0</v>
      </c>
      <c r="B11" s="1962">
        <f t="shared" si="17"/>
        <v>0</v>
      </c>
      <c r="C11" s="1962">
        <f t="shared" si="18"/>
        <v>0</v>
      </c>
      <c r="D11" s="1962">
        <f t="shared" si="19"/>
        <v>0</v>
      </c>
      <c r="E11" s="1962">
        <f t="shared" si="20"/>
        <v>0</v>
      </c>
      <c r="F11" s="1962">
        <f t="shared" si="21"/>
        <v>0</v>
      </c>
      <c r="G11" s="1962">
        <f t="shared" si="22"/>
        <v>0</v>
      </c>
      <c r="H11" s="1962">
        <f t="shared" si="23"/>
        <v>0</v>
      </c>
      <c r="J11" s="795"/>
      <c r="K11" s="795"/>
      <c r="L11" s="795"/>
      <c r="M11" s="795"/>
      <c r="N11" s="795"/>
      <c r="O11" s="795"/>
      <c r="P11" s="795"/>
      <c r="Q11" s="795"/>
      <c r="R11" s="795"/>
      <c r="S11" s="795"/>
      <c r="T11" s="795"/>
    </row>
    <row r="12" spans="1:21" x14ac:dyDescent="0.25">
      <c r="A12" s="1962">
        <f t="shared" si="16"/>
        <v>0.09</v>
      </c>
      <c r="B12" s="1962">
        <f t="shared" si="17"/>
        <v>0.05</v>
      </c>
      <c r="C12" s="1962">
        <f t="shared" si="18"/>
        <v>1E-3</v>
      </c>
      <c r="D12" s="1962">
        <f t="shared" si="19"/>
        <v>1E-3</v>
      </c>
      <c r="E12" s="1962">
        <f t="shared" si="20"/>
        <v>1E-3</v>
      </c>
      <c r="F12" s="1962">
        <f t="shared" si="21"/>
        <v>1E-3</v>
      </c>
      <c r="G12" s="1962">
        <f t="shared" si="22"/>
        <v>1E-3</v>
      </c>
      <c r="H12" s="1962">
        <f t="shared" si="23"/>
        <v>1E-3</v>
      </c>
      <c r="J12" s="2138">
        <v>100079</v>
      </c>
      <c r="K12" s="2138">
        <v>1E-3</v>
      </c>
      <c r="L12" s="2138">
        <v>1E-3</v>
      </c>
      <c r="M12" s="2138">
        <v>1E-3</v>
      </c>
      <c r="N12" s="2138">
        <v>1E-3</v>
      </c>
      <c r="O12" s="2138">
        <v>0.09</v>
      </c>
      <c r="P12" s="2138">
        <v>1E-3</v>
      </c>
      <c r="Q12" s="2138">
        <v>1E-3</v>
      </c>
      <c r="R12" s="2138">
        <v>0.05</v>
      </c>
      <c r="S12" s="2138">
        <v>1E-3</v>
      </c>
      <c r="T12" s="2138">
        <v>1E-3</v>
      </c>
    </row>
    <row r="13" spans="1:21" x14ac:dyDescent="0.25">
      <c r="A13" s="1962">
        <f t="shared" si="16"/>
        <v>4.4400000000000004</v>
      </c>
      <c r="B13" s="1962">
        <f t="shared" si="17"/>
        <v>52.84</v>
      </c>
      <c r="C13" s="1962">
        <f t="shared" si="18"/>
        <v>85.78</v>
      </c>
      <c r="D13" s="1962">
        <f t="shared" si="19"/>
        <v>88.59</v>
      </c>
      <c r="E13" s="1962">
        <f t="shared" si="20"/>
        <v>1E-3</v>
      </c>
      <c r="F13" s="1962">
        <f t="shared" si="21"/>
        <v>1E-3</v>
      </c>
      <c r="G13" s="1962">
        <f t="shared" si="22"/>
        <v>1E-3</v>
      </c>
      <c r="H13" s="1962">
        <f t="shared" si="23"/>
        <v>0.03</v>
      </c>
      <c r="J13" s="2138" t="s">
        <v>640</v>
      </c>
      <c r="K13" s="2138">
        <v>0.05</v>
      </c>
      <c r="L13" s="2138">
        <v>85.78</v>
      </c>
      <c r="M13" s="2138">
        <v>1E-3</v>
      </c>
      <c r="N13" s="2138">
        <v>0.03</v>
      </c>
      <c r="O13" s="2138">
        <v>4.4400000000000004</v>
      </c>
      <c r="P13" s="2138">
        <v>88.59</v>
      </c>
      <c r="Q13" s="2138">
        <v>1E-3</v>
      </c>
      <c r="R13" s="2138">
        <v>52.84</v>
      </c>
      <c r="S13" s="2138">
        <v>1E-3</v>
      </c>
      <c r="T13" s="2138">
        <v>1E-3</v>
      </c>
      <c r="U13" s="2057"/>
    </row>
    <row r="14" spans="1:21" x14ac:dyDescent="0.25">
      <c r="A14" s="1963">
        <f t="shared" ref="A14:A18" si="24">O14</f>
        <v>5.39</v>
      </c>
      <c r="B14" s="1963">
        <f t="shared" ref="B14:B18" si="25">R14</f>
        <v>54.91</v>
      </c>
      <c r="C14" s="1963">
        <f t="shared" ref="C14:C18" si="26">L14</f>
        <v>87.54</v>
      </c>
      <c r="D14" s="1963">
        <f t="shared" ref="D14:D18" si="27">P14</f>
        <v>94.54</v>
      </c>
      <c r="E14" s="1963">
        <f t="shared" ref="E14:E18" si="28">T14</f>
        <v>1E-3</v>
      </c>
      <c r="F14" s="1963">
        <f t="shared" ref="F14:F18" si="29">M14</f>
        <v>1E-3</v>
      </c>
      <c r="G14" s="1963">
        <f t="shared" ref="G14:G18" si="30">Q14</f>
        <v>1E-3</v>
      </c>
      <c r="H14" s="1963">
        <f t="shared" ref="H14:H18" si="31">N14</f>
        <v>0.01</v>
      </c>
      <c r="J14" s="2138" t="s">
        <v>641</v>
      </c>
      <c r="K14" s="2138">
        <v>0.06</v>
      </c>
      <c r="L14" s="2138">
        <v>87.54</v>
      </c>
      <c r="M14" s="2138">
        <v>1E-3</v>
      </c>
      <c r="N14" s="2138">
        <v>0.01</v>
      </c>
      <c r="O14" s="2138">
        <v>5.39</v>
      </c>
      <c r="P14" s="2138">
        <v>94.54</v>
      </c>
      <c r="Q14" s="2138">
        <v>1E-3</v>
      </c>
      <c r="R14" s="2138">
        <v>54.91</v>
      </c>
      <c r="S14" s="2138">
        <v>1E-3</v>
      </c>
      <c r="T14" s="2138">
        <v>1E-3</v>
      </c>
    </row>
    <row r="15" spans="1:21" x14ac:dyDescent="0.25">
      <c r="A15" s="1963">
        <f t="shared" si="24"/>
        <v>0.55000000000000004</v>
      </c>
      <c r="B15" s="1963">
        <f t="shared" si="25"/>
        <v>11.8</v>
      </c>
      <c r="C15" s="1963">
        <f t="shared" si="26"/>
        <v>14.64</v>
      </c>
      <c r="D15" s="1963">
        <f t="shared" si="27"/>
        <v>9.6</v>
      </c>
      <c r="E15" s="1963">
        <f t="shared" si="28"/>
        <v>1E-3</v>
      </c>
      <c r="F15" s="1963">
        <f t="shared" si="29"/>
        <v>1E-3</v>
      </c>
      <c r="G15" s="1963">
        <f t="shared" si="30"/>
        <v>0.46</v>
      </c>
      <c r="H15" s="1963">
        <f t="shared" si="31"/>
        <v>0.23</v>
      </c>
      <c r="J15" s="2138" t="s">
        <v>642</v>
      </c>
      <c r="K15" s="2138">
        <v>0.01</v>
      </c>
      <c r="L15" s="2138">
        <v>14.64</v>
      </c>
      <c r="M15" s="2138">
        <v>1E-3</v>
      </c>
      <c r="N15" s="2138">
        <v>0.23</v>
      </c>
      <c r="O15" s="2138">
        <v>0.55000000000000004</v>
      </c>
      <c r="P15" s="2138">
        <v>9.6</v>
      </c>
      <c r="Q15" s="2138">
        <v>0.46</v>
      </c>
      <c r="R15" s="2138">
        <v>11.8</v>
      </c>
      <c r="S15" s="2138">
        <v>0.03</v>
      </c>
      <c r="T15" s="2138">
        <v>1E-3</v>
      </c>
    </row>
    <row r="16" spans="1:21" x14ac:dyDescent="0.25">
      <c r="A16" s="1963">
        <f t="shared" si="24"/>
        <v>22.54</v>
      </c>
      <c r="B16" s="1963">
        <f t="shared" si="25"/>
        <v>23.88</v>
      </c>
      <c r="C16" s="1963">
        <f t="shared" si="26"/>
        <v>20.170000000000002</v>
      </c>
      <c r="D16" s="1963">
        <f t="shared" si="27"/>
        <v>14.23</v>
      </c>
      <c r="E16" s="1963">
        <f t="shared" si="28"/>
        <v>1E-3</v>
      </c>
      <c r="F16" s="1963">
        <f t="shared" si="29"/>
        <v>1E-3</v>
      </c>
      <c r="G16" s="1963">
        <f t="shared" si="30"/>
        <v>1E-3</v>
      </c>
      <c r="H16" s="1963">
        <f t="shared" si="31"/>
        <v>1E-3</v>
      </c>
      <c r="J16" s="2138" t="s">
        <v>643</v>
      </c>
      <c r="K16" s="2138">
        <v>1E-3</v>
      </c>
      <c r="L16" s="2138">
        <v>20.170000000000002</v>
      </c>
      <c r="M16" s="2138">
        <v>1E-3</v>
      </c>
      <c r="N16" s="2138">
        <v>1E-3</v>
      </c>
      <c r="O16" s="2138">
        <v>22.54</v>
      </c>
      <c r="P16" s="2138">
        <v>14.23</v>
      </c>
      <c r="Q16" s="2138">
        <v>1E-3</v>
      </c>
      <c r="R16" s="2138">
        <v>23.88</v>
      </c>
      <c r="S16" s="2138">
        <v>0.06</v>
      </c>
      <c r="T16" s="2138">
        <v>1E-3</v>
      </c>
    </row>
    <row r="17" spans="1:20" x14ac:dyDescent="0.25">
      <c r="A17" s="1963">
        <f t="shared" si="24"/>
        <v>0</v>
      </c>
      <c r="B17" s="1963">
        <f t="shared" si="25"/>
        <v>0</v>
      </c>
      <c r="C17" s="1963">
        <f t="shared" si="26"/>
        <v>0</v>
      </c>
      <c r="D17" s="1963">
        <f t="shared" si="27"/>
        <v>0</v>
      </c>
      <c r="E17" s="1963">
        <f t="shared" si="28"/>
        <v>0</v>
      </c>
      <c r="F17" s="1963">
        <f t="shared" si="29"/>
        <v>0</v>
      </c>
      <c r="G17" s="1963">
        <f t="shared" si="30"/>
        <v>0</v>
      </c>
      <c r="H17" s="1963">
        <f t="shared" si="31"/>
        <v>0</v>
      </c>
      <c r="J17" s="705"/>
      <c r="K17" s="705"/>
      <c r="L17" s="705"/>
      <c r="M17" s="705"/>
      <c r="N17" s="705"/>
      <c r="O17" s="705"/>
      <c r="P17" s="705"/>
      <c r="Q17" s="705"/>
      <c r="R17" s="705"/>
      <c r="S17" s="705"/>
      <c r="T17" s="705"/>
    </row>
    <row r="18" spans="1:20" x14ac:dyDescent="0.25">
      <c r="A18" s="1963">
        <f t="shared" si="24"/>
        <v>0</v>
      </c>
      <c r="B18" s="1963">
        <f t="shared" si="25"/>
        <v>0</v>
      </c>
      <c r="C18" s="1963">
        <f t="shared" si="26"/>
        <v>0</v>
      </c>
      <c r="D18" s="1963">
        <f t="shared" si="27"/>
        <v>0</v>
      </c>
      <c r="E18" s="1963">
        <f t="shared" si="28"/>
        <v>0</v>
      </c>
      <c r="F18" s="1963">
        <f t="shared" si="29"/>
        <v>0</v>
      </c>
      <c r="G18" s="1963">
        <f t="shared" si="30"/>
        <v>0</v>
      </c>
      <c r="H18" s="1963">
        <f t="shared" si="31"/>
        <v>0</v>
      </c>
      <c r="J18" s="705"/>
      <c r="K18" s="705"/>
      <c r="L18" s="705"/>
      <c r="M18" s="705"/>
      <c r="N18" s="705"/>
      <c r="O18" s="705"/>
      <c r="P18" s="705"/>
      <c r="Q18" s="705"/>
      <c r="R18" s="705"/>
      <c r="S18" s="705"/>
      <c r="T18" s="705"/>
    </row>
    <row r="19" spans="1:20" x14ac:dyDescent="0.25">
      <c r="A19" s="1976">
        <f t="shared" ref="A19:A22" si="32">O19</f>
        <v>0</v>
      </c>
      <c r="B19" s="1976">
        <f t="shared" ref="B19:B22" si="33">R19</f>
        <v>0</v>
      </c>
      <c r="C19" s="1976">
        <f t="shared" ref="C19:C22" si="34">L19</f>
        <v>0</v>
      </c>
      <c r="D19" s="1976">
        <f t="shared" ref="D19:D22" si="35">P19</f>
        <v>0</v>
      </c>
      <c r="E19" s="1976">
        <f t="shared" ref="E19:E22" si="36">T19</f>
        <v>0</v>
      </c>
      <c r="F19" s="1976">
        <f t="shared" ref="F19:F22" si="37">M19</f>
        <v>0</v>
      </c>
      <c r="G19" s="1976">
        <f t="shared" ref="G19:G22" si="38">Q19</f>
        <v>0</v>
      </c>
      <c r="H19" s="1976">
        <f t="shared" ref="H19:H22" si="39">N19</f>
        <v>0</v>
      </c>
      <c r="J19" s="795"/>
      <c r="K19" s="795"/>
      <c r="L19" s="795"/>
      <c r="M19" s="795"/>
      <c r="N19" s="795"/>
      <c r="O19" s="795"/>
      <c r="P19" s="795"/>
      <c r="Q19" s="795"/>
      <c r="R19" s="795"/>
      <c r="S19" s="795"/>
      <c r="T19" s="795"/>
    </row>
    <row r="20" spans="1:20" x14ac:dyDescent="0.25">
      <c r="A20" s="1976">
        <f t="shared" si="32"/>
        <v>18.03</v>
      </c>
      <c r="B20" s="1976">
        <f t="shared" si="33"/>
        <v>200.36</v>
      </c>
      <c r="C20" s="1976">
        <f t="shared" si="34"/>
        <v>322.83</v>
      </c>
      <c r="D20" s="1976">
        <f t="shared" si="35"/>
        <v>148.31</v>
      </c>
      <c r="E20" s="1976">
        <f t="shared" si="36"/>
        <v>0.53</v>
      </c>
      <c r="F20" s="1976">
        <f t="shared" si="37"/>
        <v>1E-3</v>
      </c>
      <c r="G20" s="1976">
        <f t="shared" si="38"/>
        <v>0.03</v>
      </c>
      <c r="H20" s="1976">
        <f t="shared" si="39"/>
        <v>1E-3</v>
      </c>
      <c r="J20" s="2143">
        <v>100084</v>
      </c>
      <c r="K20" s="2143">
        <v>0.57999999999999996</v>
      </c>
      <c r="L20" s="2143">
        <v>322.83</v>
      </c>
      <c r="M20" s="2143">
        <v>1E-3</v>
      </c>
      <c r="N20" s="2143">
        <v>1E-3</v>
      </c>
      <c r="O20" s="2143">
        <v>18.03</v>
      </c>
      <c r="P20" s="2143">
        <v>148.31</v>
      </c>
      <c r="Q20" s="2143">
        <v>0.03</v>
      </c>
      <c r="R20" s="2143">
        <v>200.36</v>
      </c>
      <c r="S20" s="2143">
        <v>1E-3</v>
      </c>
      <c r="T20" s="2143">
        <v>0.53</v>
      </c>
    </row>
    <row r="21" spans="1:20" x14ac:dyDescent="0.25">
      <c r="A21" s="1976">
        <f t="shared" si="32"/>
        <v>118.82</v>
      </c>
      <c r="B21" s="1976">
        <f t="shared" si="33"/>
        <v>38.35</v>
      </c>
      <c r="C21" s="1976">
        <f t="shared" si="34"/>
        <v>200.4</v>
      </c>
      <c r="D21" s="1976">
        <f t="shared" si="35"/>
        <v>54.25</v>
      </c>
      <c r="E21" s="1976">
        <f t="shared" si="36"/>
        <v>0.01</v>
      </c>
      <c r="F21" s="1976">
        <f t="shared" si="37"/>
        <v>1E-3</v>
      </c>
      <c r="G21" s="1976">
        <f t="shared" si="38"/>
        <v>0.01</v>
      </c>
      <c r="H21" s="1976">
        <f t="shared" si="39"/>
        <v>1E-3</v>
      </c>
      <c r="J21" s="2143">
        <v>100085</v>
      </c>
      <c r="K21" s="2143">
        <v>0.02</v>
      </c>
      <c r="L21" s="2143">
        <v>200.4</v>
      </c>
      <c r="M21" s="2143">
        <v>1E-3</v>
      </c>
      <c r="N21" s="2143">
        <v>1E-3</v>
      </c>
      <c r="O21" s="2143">
        <v>118.82</v>
      </c>
      <c r="P21" s="2143">
        <v>54.25</v>
      </c>
      <c r="Q21" s="2143">
        <v>0.01</v>
      </c>
      <c r="R21" s="2143">
        <v>38.35</v>
      </c>
      <c r="S21" s="2143">
        <v>0.01</v>
      </c>
      <c r="T21" s="2143">
        <v>0.01</v>
      </c>
    </row>
    <row r="22" spans="1:20" x14ac:dyDescent="0.25">
      <c r="A22" s="1976">
        <f t="shared" si="32"/>
        <v>0</v>
      </c>
      <c r="B22" s="1976">
        <f t="shared" si="33"/>
        <v>0</v>
      </c>
      <c r="C22" s="1976">
        <f t="shared" si="34"/>
        <v>0</v>
      </c>
      <c r="D22" s="1976">
        <f t="shared" si="35"/>
        <v>0</v>
      </c>
      <c r="E22" s="1976">
        <f t="shared" si="36"/>
        <v>0</v>
      </c>
      <c r="F22" s="1976">
        <f t="shared" si="37"/>
        <v>0</v>
      </c>
      <c r="G22" s="1976">
        <f t="shared" si="38"/>
        <v>0</v>
      </c>
      <c r="H22" s="1976">
        <f t="shared" si="39"/>
        <v>0</v>
      </c>
      <c r="J22" s="795"/>
      <c r="K22" s="795"/>
      <c r="L22" s="795"/>
      <c r="M22" s="795"/>
      <c r="N22" s="795"/>
      <c r="O22" s="795"/>
      <c r="P22" s="795"/>
      <c r="Q22" s="795"/>
      <c r="R22" s="795"/>
      <c r="S22" s="795"/>
      <c r="T22" s="795"/>
    </row>
    <row r="23" spans="1:20" x14ac:dyDescent="0.25">
      <c r="A23" s="1976">
        <f t="shared" ref="A23:A27" si="40">O23</f>
        <v>5.24</v>
      </c>
      <c r="B23" s="1976">
        <f t="shared" ref="B23:B27" si="41">R23</f>
        <v>99.74</v>
      </c>
      <c r="C23" s="1976">
        <f t="shared" ref="C23:C27" si="42">L23</f>
        <v>101.06</v>
      </c>
      <c r="D23" s="1976">
        <f t="shared" ref="D23:D27" si="43">P23</f>
        <v>58.18</v>
      </c>
      <c r="E23" s="1976">
        <f t="shared" ref="E23:E27" si="44">T23</f>
        <v>1E-3</v>
      </c>
      <c r="F23" s="1976">
        <f t="shared" ref="F23:F27" si="45">M23</f>
        <v>1E-3</v>
      </c>
      <c r="G23" s="1976">
        <f t="shared" ref="G23:G27" si="46">Q23</f>
        <v>1E-3</v>
      </c>
      <c r="H23" s="1976">
        <f t="shared" ref="H23:H27" si="47">N23</f>
        <v>1E-3</v>
      </c>
      <c r="J23" s="795">
        <v>100086</v>
      </c>
      <c r="K23" s="795">
        <v>0.25</v>
      </c>
      <c r="L23" s="795">
        <v>101.06</v>
      </c>
      <c r="M23" s="795">
        <v>1E-3</v>
      </c>
      <c r="N23" s="795">
        <v>1E-3</v>
      </c>
      <c r="O23" s="795">
        <v>5.24</v>
      </c>
      <c r="P23" s="795">
        <v>58.18</v>
      </c>
      <c r="Q23" s="795">
        <v>1E-3</v>
      </c>
      <c r="R23" s="795">
        <v>99.74</v>
      </c>
      <c r="S23" s="795">
        <v>1E-3</v>
      </c>
      <c r="T23" s="795">
        <v>1E-3</v>
      </c>
    </row>
    <row r="24" spans="1:20" x14ac:dyDescent="0.25">
      <c r="A24" s="1976">
        <f t="shared" si="40"/>
        <v>1.49</v>
      </c>
      <c r="B24" s="1976">
        <f t="shared" si="41"/>
        <v>68.39</v>
      </c>
      <c r="C24" s="1976">
        <f t="shared" si="42"/>
        <v>74.819999999999993</v>
      </c>
      <c r="D24" s="1976">
        <f t="shared" si="43"/>
        <v>20.63</v>
      </c>
      <c r="E24" s="1976">
        <f t="shared" si="44"/>
        <v>1E-3</v>
      </c>
      <c r="F24" s="1976">
        <f t="shared" si="45"/>
        <v>1E-3</v>
      </c>
      <c r="G24" s="1976">
        <f t="shared" si="46"/>
        <v>1E-3</v>
      </c>
      <c r="H24" s="1976">
        <f t="shared" si="47"/>
        <v>1E-3</v>
      </c>
      <c r="J24" s="795">
        <v>100087</v>
      </c>
      <c r="K24" s="795">
        <v>0.04</v>
      </c>
      <c r="L24" s="795">
        <v>74.819999999999993</v>
      </c>
      <c r="M24" s="795">
        <v>1E-3</v>
      </c>
      <c r="N24" s="795">
        <v>1E-3</v>
      </c>
      <c r="O24" s="795">
        <v>1.49</v>
      </c>
      <c r="P24" s="795">
        <v>20.63</v>
      </c>
      <c r="Q24" s="795">
        <v>1E-3</v>
      </c>
      <c r="R24" s="795">
        <v>68.39</v>
      </c>
      <c r="S24" s="795">
        <v>1E-3</v>
      </c>
      <c r="T24" s="795">
        <v>1E-3</v>
      </c>
    </row>
    <row r="25" spans="1:20" x14ac:dyDescent="0.25">
      <c r="A25" s="1976">
        <f t="shared" si="40"/>
        <v>0</v>
      </c>
      <c r="B25" s="1976">
        <f t="shared" si="41"/>
        <v>0</v>
      </c>
      <c r="C25" s="1976">
        <f t="shared" si="42"/>
        <v>0</v>
      </c>
      <c r="D25" s="1976">
        <f t="shared" si="43"/>
        <v>0</v>
      </c>
      <c r="E25" s="1976">
        <f t="shared" si="44"/>
        <v>0</v>
      </c>
      <c r="F25" s="1976">
        <f t="shared" si="45"/>
        <v>0</v>
      </c>
      <c r="G25" s="1976">
        <f t="shared" si="46"/>
        <v>0</v>
      </c>
      <c r="H25" s="1976">
        <f t="shared" si="47"/>
        <v>0</v>
      </c>
      <c r="J25" s="795"/>
      <c r="K25" s="795"/>
      <c r="L25" s="795"/>
      <c r="M25" s="795"/>
      <c r="N25" s="795"/>
      <c r="O25" s="795"/>
      <c r="P25" s="795"/>
      <c r="Q25" s="795"/>
      <c r="R25" s="795"/>
      <c r="S25" s="795"/>
      <c r="T25" s="795"/>
    </row>
    <row r="26" spans="1:20" x14ac:dyDescent="0.25">
      <c r="A26" s="1976">
        <f t="shared" si="40"/>
        <v>0</v>
      </c>
      <c r="B26" s="1976">
        <f t="shared" si="41"/>
        <v>0</v>
      </c>
      <c r="C26" s="1976">
        <f t="shared" si="42"/>
        <v>0</v>
      </c>
      <c r="D26" s="1976">
        <f t="shared" si="43"/>
        <v>0</v>
      </c>
      <c r="E26" s="1976">
        <f t="shared" si="44"/>
        <v>0</v>
      </c>
      <c r="F26" s="1976">
        <f t="shared" si="45"/>
        <v>0</v>
      </c>
      <c r="G26" s="1976">
        <f t="shared" si="46"/>
        <v>0</v>
      </c>
      <c r="H26" s="1976">
        <f t="shared" si="47"/>
        <v>0</v>
      </c>
      <c r="J26" s="1977"/>
      <c r="K26" s="1977"/>
      <c r="L26" s="1977"/>
      <c r="M26" s="1977"/>
      <c r="N26" s="1977"/>
      <c r="O26" s="1977"/>
      <c r="P26" s="1977"/>
      <c r="Q26" s="1977"/>
      <c r="R26" s="1977"/>
      <c r="S26" s="1977"/>
      <c r="T26" s="1977"/>
    </row>
    <row r="27" spans="1:20" x14ac:dyDescent="0.25">
      <c r="A27" s="1976">
        <f t="shared" si="40"/>
        <v>0</v>
      </c>
      <c r="B27" s="1976">
        <f t="shared" si="41"/>
        <v>0</v>
      </c>
      <c r="C27" s="1976">
        <f t="shared" si="42"/>
        <v>0</v>
      </c>
      <c r="D27" s="1976">
        <f t="shared" si="43"/>
        <v>0</v>
      </c>
      <c r="E27" s="1976">
        <f t="shared" si="44"/>
        <v>0</v>
      </c>
      <c r="F27" s="1976">
        <f t="shared" si="45"/>
        <v>0</v>
      </c>
      <c r="G27" s="1976">
        <f t="shared" si="46"/>
        <v>0</v>
      </c>
      <c r="H27" s="1976">
        <f t="shared" si="47"/>
        <v>0</v>
      </c>
      <c r="J27" s="1977"/>
      <c r="K27" s="1977"/>
      <c r="L27" s="1977"/>
      <c r="M27" s="1977"/>
      <c r="N27" s="1977"/>
      <c r="O27" s="1977"/>
      <c r="P27" s="1977"/>
      <c r="Q27" s="1977"/>
      <c r="R27" s="1977"/>
      <c r="S27" s="1977"/>
      <c r="T27" s="1977"/>
    </row>
  </sheetData>
  <conditionalFormatting sqref="J19:T22 J25:T25">
    <cfRule type="containsText" dxfId="14" priority="1" operator="containsText" text="o">
      <formula>NOT(ISERROR(SEARCH("o",J19)))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ECC5-3BDB-4E40-AEB7-9FB6ECF2DFA5}">
  <sheetPr codeName="Feuil13"/>
  <dimension ref="A1:X34"/>
  <sheetViews>
    <sheetView zoomScale="70" zoomScaleNormal="70" workbookViewId="0">
      <selection activeCell="O7" sqref="O7:X8"/>
    </sheetView>
  </sheetViews>
  <sheetFormatPr baseColWidth="10" defaultRowHeight="15.75" x14ac:dyDescent="0.25"/>
  <sheetData>
    <row r="1" spans="1:24" ht="21" x14ac:dyDescent="0.35">
      <c r="A1" s="1942" t="s">
        <v>606</v>
      </c>
      <c r="B1" s="1944" t="s">
        <v>618</v>
      </c>
      <c r="C1" s="1943" t="s">
        <v>40</v>
      </c>
      <c r="D1" s="1944" t="s">
        <v>14</v>
      </c>
      <c r="E1" s="1944" t="s">
        <v>16</v>
      </c>
      <c r="F1" s="1943" t="s">
        <v>38</v>
      </c>
      <c r="G1" s="1943" t="s">
        <v>41</v>
      </c>
      <c r="H1" s="1944" t="s">
        <v>15</v>
      </c>
      <c r="I1" s="1943" t="s">
        <v>39</v>
      </c>
      <c r="J1" s="1943" t="s">
        <v>187</v>
      </c>
      <c r="K1" s="1944" t="s">
        <v>13</v>
      </c>
      <c r="N1" s="666" t="s">
        <v>43</v>
      </c>
      <c r="O1" s="666" t="s">
        <v>44</v>
      </c>
      <c r="P1" s="666" t="s">
        <v>38</v>
      </c>
      <c r="Q1" s="666" t="s">
        <v>39</v>
      </c>
      <c r="R1" s="666" t="s">
        <v>40</v>
      </c>
      <c r="S1" s="666" t="s">
        <v>41</v>
      </c>
      <c r="T1" s="667" t="s">
        <v>13</v>
      </c>
      <c r="U1" s="667" t="s">
        <v>14</v>
      </c>
      <c r="V1" s="667" t="s">
        <v>15</v>
      </c>
      <c r="W1" s="667" t="s">
        <v>16</v>
      </c>
      <c r="X1" s="667" t="s">
        <v>17</v>
      </c>
    </row>
    <row r="2" spans="1:24" x14ac:dyDescent="0.25">
      <c r="A2" s="2120" t="s">
        <v>635</v>
      </c>
      <c r="B2" s="2120">
        <v>40.57</v>
      </c>
      <c r="C2" s="2120">
        <v>1.54</v>
      </c>
      <c r="D2" s="2120">
        <v>623.6</v>
      </c>
      <c r="E2" s="2120">
        <v>93.24</v>
      </c>
      <c r="F2" s="2120">
        <v>0.9</v>
      </c>
      <c r="G2" s="2120">
        <v>0.24</v>
      </c>
      <c r="H2" s="2120">
        <v>412.82</v>
      </c>
      <c r="I2" s="2120">
        <v>0.01</v>
      </c>
      <c r="J2" s="2120">
        <v>0.17</v>
      </c>
      <c r="K2" s="2120">
        <v>24.84</v>
      </c>
      <c r="O2">
        <f>J2</f>
        <v>0.17</v>
      </c>
      <c r="P2">
        <f>F2</f>
        <v>0.9</v>
      </c>
      <c r="Q2">
        <f>I2</f>
        <v>0.01</v>
      </c>
      <c r="R2">
        <f>C2</f>
        <v>1.54</v>
      </c>
      <c r="S2">
        <f>G2</f>
        <v>0.24</v>
      </c>
      <c r="T2">
        <f>K2</f>
        <v>24.84</v>
      </c>
      <c r="U2">
        <f>D2</f>
        <v>623.6</v>
      </c>
      <c r="V2">
        <f>H2</f>
        <v>412.82</v>
      </c>
      <c r="W2">
        <f>E2</f>
        <v>93.24</v>
      </c>
      <c r="X2">
        <f>B2</f>
        <v>40.57</v>
      </c>
    </row>
    <row r="3" spans="1:24" x14ac:dyDescent="0.25">
      <c r="A3" s="2120" t="s">
        <v>636</v>
      </c>
      <c r="B3" s="2120">
        <v>27.6</v>
      </c>
      <c r="C3" s="2120">
        <v>1.9</v>
      </c>
      <c r="D3" s="2120">
        <v>738.85</v>
      </c>
      <c r="E3" s="2120">
        <v>70.98</v>
      </c>
      <c r="F3" s="2120">
        <v>0.92</v>
      </c>
      <c r="G3" s="2120">
        <v>0.16</v>
      </c>
      <c r="H3" s="2120">
        <v>28.43</v>
      </c>
      <c r="I3" s="2120">
        <v>0.01</v>
      </c>
      <c r="J3" s="2120">
        <v>0.19</v>
      </c>
      <c r="K3" s="2120">
        <v>28.02</v>
      </c>
      <c r="O3">
        <f>J3</f>
        <v>0.19</v>
      </c>
      <c r="P3">
        <f>F3</f>
        <v>0.92</v>
      </c>
      <c r="Q3">
        <f>I3</f>
        <v>0.01</v>
      </c>
      <c r="R3">
        <f>C3</f>
        <v>1.9</v>
      </c>
      <c r="S3">
        <f>G3</f>
        <v>0.16</v>
      </c>
      <c r="T3">
        <f>K3</f>
        <v>28.02</v>
      </c>
      <c r="U3">
        <f>D3</f>
        <v>738.85</v>
      </c>
      <c r="V3">
        <f>H3</f>
        <v>28.43</v>
      </c>
      <c r="W3">
        <f>E3</f>
        <v>70.98</v>
      </c>
      <c r="X3">
        <f>B3</f>
        <v>27.6</v>
      </c>
    </row>
    <row r="4" spans="1:24" x14ac:dyDescent="0.25">
      <c r="A4" s="2120" t="s">
        <v>637</v>
      </c>
      <c r="B4" s="2120">
        <v>135.69</v>
      </c>
      <c r="C4" s="2120">
        <v>1.65</v>
      </c>
      <c r="D4" s="2120">
        <v>162.82</v>
      </c>
      <c r="E4" s="2120">
        <v>94.19</v>
      </c>
      <c r="F4" s="2120">
        <v>1.54</v>
      </c>
      <c r="G4" s="2120">
        <v>0.32</v>
      </c>
      <c r="H4" s="2120">
        <v>46.65</v>
      </c>
      <c r="I4" s="2120">
        <v>0.08</v>
      </c>
      <c r="J4" s="2120">
        <v>0.3</v>
      </c>
      <c r="K4" s="2120">
        <v>38.840000000000003</v>
      </c>
      <c r="O4">
        <f>J4</f>
        <v>0.3</v>
      </c>
      <c r="P4">
        <f>F4</f>
        <v>1.54</v>
      </c>
      <c r="Q4">
        <f>I4</f>
        <v>0.08</v>
      </c>
      <c r="R4">
        <f>C4</f>
        <v>1.65</v>
      </c>
      <c r="S4">
        <f>G4</f>
        <v>0.32</v>
      </c>
      <c r="T4">
        <f>K4</f>
        <v>38.840000000000003</v>
      </c>
      <c r="U4">
        <f>D4</f>
        <v>162.82</v>
      </c>
      <c r="V4">
        <f>H4</f>
        <v>46.65</v>
      </c>
      <c r="W4">
        <f>E4</f>
        <v>94.19</v>
      </c>
      <c r="X4">
        <f>B4</f>
        <v>135.69</v>
      </c>
    </row>
    <row r="5" spans="1:24" x14ac:dyDescent="0.25">
      <c r="A5" s="2049"/>
      <c r="B5" s="2049"/>
      <c r="C5" s="2049"/>
      <c r="D5" s="2049"/>
      <c r="E5" s="2049"/>
      <c r="F5" s="2049"/>
      <c r="G5" s="2049"/>
      <c r="H5" s="2049"/>
      <c r="I5" s="2049"/>
      <c r="J5" s="2049"/>
      <c r="K5" s="2049"/>
      <c r="O5">
        <f t="shared" ref="O5:O9" si="0">J5</f>
        <v>0</v>
      </c>
      <c r="P5">
        <f t="shared" ref="P5:P9" si="1">F5</f>
        <v>0</v>
      </c>
      <c r="Q5">
        <f t="shared" ref="Q5:Q9" si="2">I5</f>
        <v>0</v>
      </c>
      <c r="R5">
        <f t="shared" ref="R5:R9" si="3">C5</f>
        <v>0</v>
      </c>
      <c r="S5">
        <f t="shared" ref="S5:S9" si="4">G5</f>
        <v>0</v>
      </c>
      <c r="T5">
        <f t="shared" ref="T5:T9" si="5">K5</f>
        <v>0</v>
      </c>
      <c r="U5">
        <f t="shared" ref="U5:U9" si="6">D5</f>
        <v>0</v>
      </c>
      <c r="V5">
        <f t="shared" ref="V5:V9" si="7">H5</f>
        <v>0</v>
      </c>
      <c r="W5">
        <f t="shared" ref="W5:W9" si="8">E5</f>
        <v>0</v>
      </c>
      <c r="X5">
        <f t="shared" ref="X5:X9" si="9">B5</f>
        <v>0</v>
      </c>
    </row>
    <row r="6" spans="1:24" x14ac:dyDescent="0.25">
      <c r="A6" s="1981"/>
      <c r="B6" s="1981"/>
      <c r="C6" s="1981"/>
      <c r="D6" s="1981"/>
      <c r="E6" s="1981"/>
      <c r="F6" s="1981"/>
      <c r="G6" s="1981"/>
      <c r="H6" s="1981"/>
      <c r="I6" s="1981"/>
      <c r="J6" s="1981"/>
      <c r="K6" s="1981"/>
      <c r="O6">
        <f t="shared" si="0"/>
        <v>0</v>
      </c>
      <c r="P6">
        <f t="shared" si="1"/>
        <v>0</v>
      </c>
      <c r="Q6">
        <f t="shared" si="2"/>
        <v>0</v>
      </c>
      <c r="R6">
        <f t="shared" si="3"/>
        <v>0</v>
      </c>
      <c r="S6">
        <f t="shared" si="4"/>
        <v>0</v>
      </c>
      <c r="T6">
        <f t="shared" si="5"/>
        <v>0</v>
      </c>
      <c r="U6">
        <f t="shared" si="6"/>
        <v>0</v>
      </c>
      <c r="V6">
        <f t="shared" si="7"/>
        <v>0</v>
      </c>
      <c r="W6">
        <f t="shared" si="8"/>
        <v>0</v>
      </c>
      <c r="X6">
        <f t="shared" si="9"/>
        <v>0</v>
      </c>
    </row>
    <row r="7" spans="1:24" x14ac:dyDescent="0.25">
      <c r="A7" s="2135" t="s">
        <v>638</v>
      </c>
      <c r="B7" s="2135">
        <v>41.33</v>
      </c>
      <c r="C7" s="2135">
        <v>1.1200000000000001</v>
      </c>
      <c r="D7" s="2135">
        <v>8.77</v>
      </c>
      <c r="E7" s="2135">
        <v>154.80000000000001</v>
      </c>
      <c r="F7" s="2135">
        <v>1.56</v>
      </c>
      <c r="G7" s="2135">
        <v>0.25</v>
      </c>
      <c r="H7" s="2135">
        <v>310.27</v>
      </c>
      <c r="I7" s="2135">
        <v>0.11</v>
      </c>
      <c r="J7" s="2135">
        <v>0.28999999999999998</v>
      </c>
      <c r="K7" s="2135">
        <v>45.42</v>
      </c>
      <c r="O7">
        <f t="shared" si="0"/>
        <v>0.28999999999999998</v>
      </c>
      <c r="P7">
        <f t="shared" si="1"/>
        <v>1.56</v>
      </c>
      <c r="Q7">
        <f t="shared" si="2"/>
        <v>0.11</v>
      </c>
      <c r="R7">
        <f t="shared" si="3"/>
        <v>1.1200000000000001</v>
      </c>
      <c r="S7">
        <f t="shared" si="4"/>
        <v>0.25</v>
      </c>
      <c r="T7">
        <f t="shared" si="5"/>
        <v>45.42</v>
      </c>
      <c r="U7">
        <f t="shared" si="6"/>
        <v>8.77</v>
      </c>
      <c r="V7">
        <f t="shared" si="7"/>
        <v>310.27</v>
      </c>
      <c r="W7">
        <f t="shared" si="8"/>
        <v>154.80000000000001</v>
      </c>
      <c r="X7">
        <f t="shared" si="9"/>
        <v>41.33</v>
      </c>
    </row>
    <row r="8" spans="1:24" x14ac:dyDescent="0.25">
      <c r="A8" s="2135" t="s">
        <v>639</v>
      </c>
      <c r="B8" s="2135">
        <v>55.43</v>
      </c>
      <c r="C8" s="2135">
        <v>1.57</v>
      </c>
      <c r="D8" s="2135">
        <v>16.97</v>
      </c>
      <c r="E8" s="2135">
        <v>187.67</v>
      </c>
      <c r="F8" s="2135">
        <v>1.73</v>
      </c>
      <c r="G8" s="2135">
        <v>0.28999999999999998</v>
      </c>
      <c r="H8" s="2135">
        <v>522.91999999999996</v>
      </c>
      <c r="I8" s="2135">
        <v>0.14000000000000001</v>
      </c>
      <c r="J8" s="2135">
        <v>0.33</v>
      </c>
      <c r="K8" s="2135">
        <v>75.209999999999994</v>
      </c>
      <c r="O8">
        <f t="shared" si="0"/>
        <v>0.33</v>
      </c>
      <c r="P8">
        <f t="shared" si="1"/>
        <v>1.73</v>
      </c>
      <c r="Q8">
        <f t="shared" si="2"/>
        <v>0.14000000000000001</v>
      </c>
      <c r="R8">
        <f t="shared" si="3"/>
        <v>1.57</v>
      </c>
      <c r="S8">
        <f t="shared" si="4"/>
        <v>0.28999999999999998</v>
      </c>
      <c r="T8">
        <f t="shared" si="5"/>
        <v>75.209999999999994</v>
      </c>
      <c r="U8">
        <f t="shared" si="6"/>
        <v>16.97</v>
      </c>
      <c r="V8">
        <f t="shared" si="7"/>
        <v>522.91999999999996</v>
      </c>
      <c r="W8">
        <f t="shared" si="8"/>
        <v>187.67</v>
      </c>
      <c r="X8">
        <f t="shared" si="9"/>
        <v>55.43</v>
      </c>
    </row>
    <row r="9" spans="1:24" x14ac:dyDescent="0.25">
      <c r="A9" s="795"/>
      <c r="B9" s="795"/>
      <c r="C9" s="795"/>
      <c r="D9" s="795"/>
      <c r="E9" s="795"/>
      <c r="F9" s="795"/>
      <c r="G9" s="795"/>
      <c r="H9" s="795"/>
      <c r="I9" s="795"/>
      <c r="J9" s="795"/>
      <c r="K9" s="795"/>
      <c r="O9">
        <f t="shared" si="0"/>
        <v>0</v>
      </c>
      <c r="P9">
        <f t="shared" si="1"/>
        <v>0</v>
      </c>
      <c r="Q9">
        <f t="shared" si="2"/>
        <v>0</v>
      </c>
      <c r="R9">
        <f t="shared" si="3"/>
        <v>0</v>
      </c>
      <c r="S9">
        <f t="shared" si="4"/>
        <v>0</v>
      </c>
      <c r="T9">
        <f t="shared" si="5"/>
        <v>0</v>
      </c>
      <c r="U9">
        <f t="shared" si="6"/>
        <v>0</v>
      </c>
      <c r="V9">
        <f t="shared" si="7"/>
        <v>0</v>
      </c>
      <c r="W9">
        <f t="shared" si="8"/>
        <v>0</v>
      </c>
      <c r="X9">
        <f t="shared" si="9"/>
        <v>0</v>
      </c>
    </row>
    <row r="10" spans="1:24" x14ac:dyDescent="0.25">
      <c r="A10" s="795"/>
      <c r="B10" s="795"/>
      <c r="C10" s="795"/>
      <c r="D10" s="795"/>
      <c r="E10" s="795"/>
      <c r="F10" s="795"/>
      <c r="G10" s="795"/>
      <c r="H10" s="795"/>
      <c r="I10" s="795"/>
      <c r="J10" s="795"/>
      <c r="K10" s="795"/>
      <c r="O10">
        <f t="shared" ref="O10:O12" si="10">J10</f>
        <v>0</v>
      </c>
      <c r="P10">
        <f t="shared" ref="P10:P12" si="11">F10</f>
        <v>0</v>
      </c>
      <c r="Q10">
        <f t="shared" ref="Q10:Q12" si="12">I10</f>
        <v>0</v>
      </c>
      <c r="R10">
        <f t="shared" ref="R10:R12" si="13">C10</f>
        <v>0</v>
      </c>
      <c r="S10">
        <f t="shared" ref="S10:S12" si="14">G10</f>
        <v>0</v>
      </c>
      <c r="T10">
        <f t="shared" ref="T10:T12" si="15">K10</f>
        <v>0</v>
      </c>
      <c r="U10">
        <f t="shared" ref="U10:U12" si="16">D10</f>
        <v>0</v>
      </c>
      <c r="V10">
        <f t="shared" ref="V10:V12" si="17">H10</f>
        <v>0</v>
      </c>
      <c r="W10">
        <f t="shared" ref="W10:W12" si="18">E10</f>
        <v>0</v>
      </c>
      <c r="X10">
        <f t="shared" ref="X10:X12" si="19">B10</f>
        <v>0</v>
      </c>
    </row>
    <row r="11" spans="1:24" x14ac:dyDescent="0.25">
      <c r="A11" s="795"/>
      <c r="B11" s="795"/>
      <c r="C11" s="795"/>
      <c r="D11" s="795"/>
      <c r="E11" s="795"/>
      <c r="F11" s="795"/>
      <c r="G11" s="795"/>
      <c r="H11" s="795"/>
      <c r="I11" s="795"/>
      <c r="J11" s="795"/>
      <c r="K11" s="795"/>
      <c r="O11">
        <f t="shared" si="10"/>
        <v>0</v>
      </c>
      <c r="P11">
        <f t="shared" si="11"/>
        <v>0</v>
      </c>
      <c r="Q11">
        <f t="shared" si="12"/>
        <v>0</v>
      </c>
      <c r="R11">
        <f t="shared" si="13"/>
        <v>0</v>
      </c>
      <c r="S11">
        <f t="shared" si="14"/>
        <v>0</v>
      </c>
      <c r="T11">
        <f t="shared" si="15"/>
        <v>0</v>
      </c>
      <c r="U11">
        <f t="shared" si="16"/>
        <v>0</v>
      </c>
      <c r="V11">
        <f t="shared" si="17"/>
        <v>0</v>
      </c>
      <c r="W11">
        <f t="shared" si="18"/>
        <v>0</v>
      </c>
      <c r="X11">
        <f t="shared" si="19"/>
        <v>0</v>
      </c>
    </row>
    <row r="12" spans="1:24" x14ac:dyDescent="0.25">
      <c r="A12" s="795"/>
      <c r="B12" s="795"/>
      <c r="C12" s="795"/>
      <c r="D12" s="795"/>
      <c r="E12" s="795"/>
      <c r="F12" s="795"/>
      <c r="G12" s="795"/>
      <c r="H12" s="795"/>
      <c r="I12" s="795"/>
      <c r="J12" s="795"/>
      <c r="K12" s="795"/>
      <c r="O12">
        <f t="shared" si="10"/>
        <v>0</v>
      </c>
      <c r="P12">
        <f t="shared" si="11"/>
        <v>0</v>
      </c>
      <c r="Q12">
        <f t="shared" si="12"/>
        <v>0</v>
      </c>
      <c r="R12">
        <f t="shared" si="13"/>
        <v>0</v>
      </c>
      <c r="S12">
        <f t="shared" si="14"/>
        <v>0</v>
      </c>
      <c r="T12">
        <f t="shared" si="15"/>
        <v>0</v>
      </c>
      <c r="U12">
        <f t="shared" si="16"/>
        <v>0</v>
      </c>
      <c r="V12">
        <f t="shared" si="17"/>
        <v>0</v>
      </c>
      <c r="W12">
        <f t="shared" si="18"/>
        <v>0</v>
      </c>
      <c r="X12">
        <f t="shared" si="19"/>
        <v>0</v>
      </c>
    </row>
    <row r="13" spans="1:24" x14ac:dyDescent="0.25">
      <c r="A13" s="795"/>
      <c r="B13" s="795"/>
      <c r="C13" s="795"/>
      <c r="D13" s="795"/>
      <c r="E13" s="795"/>
      <c r="F13" s="795"/>
      <c r="G13" s="795"/>
      <c r="H13" s="795"/>
      <c r="I13" s="795"/>
      <c r="J13" s="795"/>
      <c r="K13" s="795"/>
      <c r="O13">
        <f t="shared" ref="O13:O22" si="20">J13</f>
        <v>0</v>
      </c>
      <c r="P13">
        <f t="shared" ref="P13:P22" si="21">F13</f>
        <v>0</v>
      </c>
      <c r="Q13">
        <f t="shared" ref="Q13:Q22" si="22">I13</f>
        <v>0</v>
      </c>
      <c r="R13">
        <f t="shared" ref="R13:R22" si="23">C13</f>
        <v>0</v>
      </c>
      <c r="S13">
        <f t="shared" ref="S13:S22" si="24">G13</f>
        <v>0</v>
      </c>
      <c r="T13">
        <f t="shared" ref="T13:T22" si="25">K13</f>
        <v>0</v>
      </c>
      <c r="U13">
        <f t="shared" ref="U13:U22" si="26">D13</f>
        <v>0</v>
      </c>
      <c r="V13">
        <f t="shared" ref="V13:V22" si="27">H13</f>
        <v>0</v>
      </c>
      <c r="W13">
        <f t="shared" ref="W13:W22" si="28">E13</f>
        <v>0</v>
      </c>
      <c r="X13">
        <f t="shared" ref="X13:X22" si="29">B13</f>
        <v>0</v>
      </c>
    </row>
    <row r="14" spans="1:24" x14ac:dyDescent="0.25">
      <c r="A14" s="795"/>
      <c r="B14" s="795"/>
      <c r="C14" s="795"/>
      <c r="D14" s="795"/>
      <c r="E14" s="795"/>
      <c r="F14" s="795"/>
      <c r="G14" s="795"/>
      <c r="H14" s="795"/>
      <c r="I14" s="795"/>
      <c r="J14" s="795"/>
      <c r="K14" s="795"/>
      <c r="O14">
        <f t="shared" si="20"/>
        <v>0</v>
      </c>
      <c r="P14">
        <f t="shared" si="21"/>
        <v>0</v>
      </c>
      <c r="Q14">
        <f t="shared" si="22"/>
        <v>0</v>
      </c>
      <c r="R14">
        <f t="shared" si="23"/>
        <v>0</v>
      </c>
      <c r="S14">
        <f t="shared" si="24"/>
        <v>0</v>
      </c>
      <c r="T14">
        <f t="shared" si="25"/>
        <v>0</v>
      </c>
      <c r="U14">
        <f t="shared" si="26"/>
        <v>0</v>
      </c>
      <c r="V14">
        <f t="shared" si="27"/>
        <v>0</v>
      </c>
      <c r="W14">
        <f t="shared" si="28"/>
        <v>0</v>
      </c>
      <c r="X14">
        <f t="shared" si="29"/>
        <v>0</v>
      </c>
    </row>
    <row r="15" spans="1:24" x14ac:dyDescent="0.25">
      <c r="A15" s="795"/>
      <c r="B15" s="795"/>
      <c r="C15" s="795"/>
      <c r="D15" s="795"/>
      <c r="E15" s="795"/>
      <c r="F15" s="795"/>
      <c r="G15" s="795"/>
      <c r="H15" s="795"/>
      <c r="I15" s="795"/>
      <c r="J15" s="795"/>
      <c r="K15" s="795"/>
      <c r="O15">
        <f t="shared" si="20"/>
        <v>0</v>
      </c>
      <c r="P15">
        <f t="shared" si="21"/>
        <v>0</v>
      </c>
      <c r="Q15">
        <f t="shared" si="22"/>
        <v>0</v>
      </c>
      <c r="R15">
        <f t="shared" si="23"/>
        <v>0</v>
      </c>
      <c r="S15">
        <f t="shared" si="24"/>
        <v>0</v>
      </c>
      <c r="T15">
        <f t="shared" si="25"/>
        <v>0</v>
      </c>
      <c r="U15">
        <f t="shared" si="26"/>
        <v>0</v>
      </c>
      <c r="V15">
        <f t="shared" si="27"/>
        <v>0</v>
      </c>
      <c r="W15">
        <f t="shared" si="28"/>
        <v>0</v>
      </c>
      <c r="X15">
        <f t="shared" si="29"/>
        <v>0</v>
      </c>
    </row>
    <row r="16" spans="1:24" x14ac:dyDescent="0.25">
      <c r="A16" s="795"/>
      <c r="B16" s="795"/>
      <c r="C16" s="795"/>
      <c r="D16" s="795"/>
      <c r="E16" s="795"/>
      <c r="F16" s="795"/>
      <c r="G16" s="795"/>
      <c r="H16" s="795"/>
      <c r="I16" s="795"/>
      <c r="J16" s="795"/>
      <c r="K16" s="795"/>
      <c r="O16">
        <f t="shared" si="20"/>
        <v>0</v>
      </c>
      <c r="P16">
        <f t="shared" si="21"/>
        <v>0</v>
      </c>
      <c r="Q16">
        <f t="shared" si="22"/>
        <v>0</v>
      </c>
      <c r="R16">
        <f t="shared" si="23"/>
        <v>0</v>
      </c>
      <c r="S16">
        <f t="shared" si="24"/>
        <v>0</v>
      </c>
      <c r="T16">
        <f t="shared" si="25"/>
        <v>0</v>
      </c>
      <c r="U16">
        <f t="shared" si="26"/>
        <v>0</v>
      </c>
      <c r="V16">
        <f t="shared" si="27"/>
        <v>0</v>
      </c>
      <c r="W16">
        <f t="shared" si="28"/>
        <v>0</v>
      </c>
      <c r="X16">
        <f t="shared" si="29"/>
        <v>0</v>
      </c>
    </row>
    <row r="17" spans="1:24" x14ac:dyDescent="0.25">
      <c r="A17" s="2059"/>
      <c r="B17" s="2059"/>
      <c r="C17" s="2059"/>
      <c r="D17" s="2059"/>
      <c r="E17" s="2059"/>
      <c r="F17" s="2059"/>
      <c r="G17" s="2059"/>
      <c r="H17" s="2059"/>
      <c r="I17" s="2059"/>
      <c r="J17" s="2059"/>
      <c r="K17" s="2059"/>
      <c r="O17">
        <f t="shared" si="20"/>
        <v>0</v>
      </c>
      <c r="P17">
        <f t="shared" si="21"/>
        <v>0</v>
      </c>
      <c r="Q17">
        <f t="shared" si="22"/>
        <v>0</v>
      </c>
      <c r="R17">
        <f t="shared" si="23"/>
        <v>0</v>
      </c>
      <c r="S17">
        <f t="shared" si="24"/>
        <v>0</v>
      </c>
      <c r="T17">
        <f t="shared" si="25"/>
        <v>0</v>
      </c>
      <c r="U17">
        <f t="shared" si="26"/>
        <v>0</v>
      </c>
      <c r="V17">
        <f t="shared" si="27"/>
        <v>0</v>
      </c>
      <c r="W17">
        <f t="shared" si="28"/>
        <v>0</v>
      </c>
      <c r="X17">
        <f t="shared" si="29"/>
        <v>0</v>
      </c>
    </row>
    <row r="18" spans="1:24" x14ac:dyDescent="0.25">
      <c r="A18" s="795"/>
      <c r="B18" s="795"/>
      <c r="C18" s="795"/>
      <c r="D18" s="795"/>
      <c r="E18" s="795"/>
      <c r="F18" s="795"/>
      <c r="G18" s="795"/>
      <c r="H18" s="795"/>
      <c r="I18" s="795"/>
      <c r="J18" s="795"/>
      <c r="K18" s="795"/>
      <c r="O18">
        <f t="shared" si="20"/>
        <v>0</v>
      </c>
      <c r="P18">
        <f t="shared" si="21"/>
        <v>0</v>
      </c>
      <c r="Q18">
        <f t="shared" si="22"/>
        <v>0</v>
      </c>
      <c r="R18">
        <f t="shared" si="23"/>
        <v>0</v>
      </c>
      <c r="S18">
        <f t="shared" si="24"/>
        <v>0</v>
      </c>
      <c r="T18">
        <f t="shared" si="25"/>
        <v>0</v>
      </c>
      <c r="U18">
        <f t="shared" si="26"/>
        <v>0</v>
      </c>
      <c r="V18">
        <f t="shared" si="27"/>
        <v>0</v>
      </c>
      <c r="W18">
        <f t="shared" si="28"/>
        <v>0</v>
      </c>
      <c r="X18">
        <f t="shared" si="29"/>
        <v>0</v>
      </c>
    </row>
    <row r="19" spans="1:24" x14ac:dyDescent="0.25">
      <c r="A19" s="2066"/>
      <c r="B19" s="2066"/>
      <c r="C19" s="2066"/>
      <c r="D19" s="2066"/>
      <c r="E19" s="2066"/>
      <c r="F19" s="2066"/>
      <c r="G19" s="2066"/>
      <c r="H19" s="2066"/>
      <c r="I19" s="2066"/>
      <c r="J19" s="2066"/>
      <c r="K19" s="2066"/>
      <c r="O19">
        <f t="shared" si="20"/>
        <v>0</v>
      </c>
      <c r="P19">
        <f t="shared" si="21"/>
        <v>0</v>
      </c>
      <c r="Q19">
        <f t="shared" si="22"/>
        <v>0</v>
      </c>
      <c r="R19">
        <f t="shared" si="23"/>
        <v>0</v>
      </c>
      <c r="S19">
        <f t="shared" si="24"/>
        <v>0</v>
      </c>
      <c r="T19">
        <f t="shared" si="25"/>
        <v>0</v>
      </c>
      <c r="U19">
        <f t="shared" si="26"/>
        <v>0</v>
      </c>
      <c r="V19">
        <f t="shared" si="27"/>
        <v>0</v>
      </c>
      <c r="W19">
        <f t="shared" si="28"/>
        <v>0</v>
      </c>
      <c r="X19">
        <f t="shared" si="29"/>
        <v>0</v>
      </c>
    </row>
    <row r="20" spans="1:24" x14ac:dyDescent="0.25">
      <c r="A20" s="2066"/>
      <c r="B20" s="2066"/>
      <c r="C20" s="2066"/>
      <c r="D20" s="2066"/>
      <c r="E20" s="2066"/>
      <c r="F20" s="2066"/>
      <c r="G20" s="2066"/>
      <c r="H20" s="2066"/>
      <c r="I20" s="2066"/>
      <c r="J20" s="2066"/>
      <c r="K20" s="2066"/>
      <c r="O20">
        <f t="shared" si="20"/>
        <v>0</v>
      </c>
      <c r="P20">
        <f t="shared" si="21"/>
        <v>0</v>
      </c>
      <c r="Q20">
        <f t="shared" si="22"/>
        <v>0</v>
      </c>
      <c r="R20">
        <f t="shared" si="23"/>
        <v>0</v>
      </c>
      <c r="S20">
        <f t="shared" si="24"/>
        <v>0</v>
      </c>
      <c r="T20">
        <f t="shared" si="25"/>
        <v>0</v>
      </c>
      <c r="U20">
        <f t="shared" si="26"/>
        <v>0</v>
      </c>
      <c r="V20">
        <f t="shared" si="27"/>
        <v>0</v>
      </c>
      <c r="W20">
        <f t="shared" si="28"/>
        <v>0</v>
      </c>
      <c r="X20">
        <f t="shared" si="29"/>
        <v>0</v>
      </c>
    </row>
    <row r="21" spans="1:24" x14ac:dyDescent="0.25">
      <c r="A21" s="2066"/>
      <c r="B21" s="2066"/>
      <c r="C21" s="2066"/>
      <c r="D21" s="2066"/>
      <c r="E21" s="2066"/>
      <c r="F21" s="2066"/>
      <c r="G21" s="2066"/>
      <c r="H21" s="2066"/>
      <c r="I21" s="2066"/>
      <c r="J21" s="2066"/>
      <c r="K21" s="2066"/>
      <c r="O21">
        <f t="shared" si="20"/>
        <v>0</v>
      </c>
      <c r="P21">
        <f t="shared" si="21"/>
        <v>0</v>
      </c>
      <c r="Q21">
        <f t="shared" si="22"/>
        <v>0</v>
      </c>
      <c r="R21">
        <f t="shared" si="23"/>
        <v>0</v>
      </c>
      <c r="S21">
        <f t="shared" si="24"/>
        <v>0</v>
      </c>
      <c r="T21">
        <f t="shared" si="25"/>
        <v>0</v>
      </c>
      <c r="U21">
        <f t="shared" si="26"/>
        <v>0</v>
      </c>
      <c r="V21">
        <f t="shared" si="27"/>
        <v>0</v>
      </c>
      <c r="W21">
        <f t="shared" si="28"/>
        <v>0</v>
      </c>
      <c r="X21">
        <f t="shared" si="29"/>
        <v>0</v>
      </c>
    </row>
    <row r="22" spans="1:24" x14ac:dyDescent="0.25">
      <c r="A22" s="2066"/>
      <c r="B22" s="2066"/>
      <c r="C22" s="2066"/>
      <c r="D22" s="2066"/>
      <c r="E22" s="2066"/>
      <c r="F22" s="2066"/>
      <c r="G22" s="2066"/>
      <c r="H22" s="2066"/>
      <c r="I22" s="2066"/>
      <c r="J22" s="2066"/>
      <c r="K22" s="2066"/>
      <c r="O22">
        <f t="shared" si="20"/>
        <v>0</v>
      </c>
      <c r="P22">
        <f t="shared" si="21"/>
        <v>0</v>
      </c>
      <c r="Q22">
        <f t="shared" si="22"/>
        <v>0</v>
      </c>
      <c r="R22">
        <f t="shared" si="23"/>
        <v>0</v>
      </c>
      <c r="S22">
        <f t="shared" si="24"/>
        <v>0</v>
      </c>
      <c r="T22">
        <f t="shared" si="25"/>
        <v>0</v>
      </c>
      <c r="U22">
        <f t="shared" si="26"/>
        <v>0</v>
      </c>
      <c r="V22">
        <f t="shared" si="27"/>
        <v>0</v>
      </c>
      <c r="W22">
        <f t="shared" si="28"/>
        <v>0</v>
      </c>
      <c r="X22">
        <f t="shared" si="29"/>
        <v>0</v>
      </c>
    </row>
    <row r="23" spans="1:24" x14ac:dyDescent="0.25">
      <c r="O23" s="2062">
        <f t="shared" ref="O23:O31" si="30">J23</f>
        <v>0</v>
      </c>
      <c r="P23" s="2062">
        <f t="shared" ref="P23:P31" si="31">F23</f>
        <v>0</v>
      </c>
      <c r="Q23" s="2062">
        <f t="shared" ref="Q23:Q31" si="32">I23</f>
        <v>0</v>
      </c>
      <c r="R23" s="2062">
        <f t="shared" ref="R23:R31" si="33">C23</f>
        <v>0</v>
      </c>
      <c r="S23" s="2062">
        <f t="shared" ref="S23:S31" si="34">G23</f>
        <v>0</v>
      </c>
      <c r="T23" s="2062">
        <f t="shared" ref="T23:T31" si="35">K23</f>
        <v>0</v>
      </c>
      <c r="U23" s="2062">
        <f t="shared" ref="U23:U31" si="36">D23</f>
        <v>0</v>
      </c>
      <c r="V23" s="2062">
        <f t="shared" ref="V23:V31" si="37">H23</f>
        <v>0</v>
      </c>
      <c r="W23" s="2062">
        <f t="shared" ref="W23:W31" si="38">E23</f>
        <v>0</v>
      </c>
      <c r="X23" s="2062">
        <f t="shared" ref="X23:X31" si="39">B23</f>
        <v>0</v>
      </c>
    </row>
    <row r="24" spans="1:24" x14ac:dyDescent="0.25">
      <c r="A24" s="2078"/>
      <c r="B24" s="2078"/>
      <c r="C24" s="2078"/>
      <c r="D24" s="2078"/>
      <c r="E24" s="2078"/>
      <c r="F24" s="2078"/>
      <c r="G24" s="2078"/>
      <c r="H24" s="2078"/>
      <c r="I24" s="2078"/>
      <c r="J24" s="2078"/>
      <c r="K24" s="2078"/>
      <c r="O24" s="2062">
        <f t="shared" si="30"/>
        <v>0</v>
      </c>
      <c r="P24" s="2062">
        <f t="shared" si="31"/>
        <v>0</v>
      </c>
      <c r="Q24" s="2062">
        <f t="shared" si="32"/>
        <v>0</v>
      </c>
      <c r="R24" s="2062">
        <f t="shared" si="33"/>
        <v>0</v>
      </c>
      <c r="S24" s="2062">
        <f t="shared" si="34"/>
        <v>0</v>
      </c>
      <c r="T24" s="2062">
        <f t="shared" si="35"/>
        <v>0</v>
      </c>
      <c r="U24" s="2062">
        <f t="shared" si="36"/>
        <v>0</v>
      </c>
      <c r="V24" s="2062">
        <f t="shared" si="37"/>
        <v>0</v>
      </c>
      <c r="W24" s="2062">
        <f t="shared" si="38"/>
        <v>0</v>
      </c>
      <c r="X24" s="2062">
        <f t="shared" si="39"/>
        <v>0</v>
      </c>
    </row>
    <row r="25" spans="1:24" x14ac:dyDescent="0.25">
      <c r="A25" s="2078"/>
      <c r="B25" s="2078"/>
      <c r="C25" s="2078"/>
      <c r="D25" s="2078"/>
      <c r="E25" s="2078"/>
      <c r="F25" s="2078"/>
      <c r="G25" s="2078"/>
      <c r="H25" s="2078"/>
      <c r="I25" s="2078"/>
      <c r="J25" s="2078"/>
      <c r="K25" s="2078"/>
      <c r="O25" s="2062">
        <f t="shared" si="30"/>
        <v>0</v>
      </c>
      <c r="P25" s="2062">
        <f t="shared" si="31"/>
        <v>0</v>
      </c>
      <c r="Q25" s="2062">
        <f t="shared" si="32"/>
        <v>0</v>
      </c>
      <c r="R25" s="2062">
        <f t="shared" si="33"/>
        <v>0</v>
      </c>
      <c r="S25" s="2062">
        <f t="shared" si="34"/>
        <v>0</v>
      </c>
      <c r="T25" s="2062">
        <f t="shared" si="35"/>
        <v>0</v>
      </c>
      <c r="U25" s="2062">
        <f t="shared" si="36"/>
        <v>0</v>
      </c>
      <c r="V25" s="2062">
        <f t="shared" si="37"/>
        <v>0</v>
      </c>
      <c r="W25" s="2062">
        <f t="shared" si="38"/>
        <v>0</v>
      </c>
      <c r="X25" s="2062">
        <f t="shared" si="39"/>
        <v>0</v>
      </c>
    </row>
    <row r="26" spans="1:24" x14ac:dyDescent="0.25">
      <c r="A26" s="2078"/>
      <c r="B26" s="2078"/>
      <c r="C26" s="2078"/>
      <c r="D26" s="2078"/>
      <c r="E26" s="2078"/>
      <c r="F26" s="2078"/>
      <c r="G26" s="2078"/>
      <c r="H26" s="2078"/>
      <c r="I26" s="2078"/>
      <c r="J26" s="2078"/>
      <c r="K26" s="2078"/>
      <c r="O26" s="2062">
        <f t="shared" si="30"/>
        <v>0</v>
      </c>
      <c r="P26" s="2062">
        <f t="shared" si="31"/>
        <v>0</v>
      </c>
      <c r="Q26" s="2062">
        <f t="shared" si="32"/>
        <v>0</v>
      </c>
      <c r="R26" s="2062">
        <f t="shared" si="33"/>
        <v>0</v>
      </c>
      <c r="S26" s="2062">
        <f t="shared" si="34"/>
        <v>0</v>
      </c>
      <c r="T26" s="2062">
        <f t="shared" si="35"/>
        <v>0</v>
      </c>
      <c r="U26" s="2062">
        <f t="shared" si="36"/>
        <v>0</v>
      </c>
      <c r="V26" s="2062">
        <f t="shared" si="37"/>
        <v>0</v>
      </c>
      <c r="W26" s="2062">
        <f t="shared" si="38"/>
        <v>0</v>
      </c>
      <c r="X26" s="2062">
        <f t="shared" si="39"/>
        <v>0</v>
      </c>
    </row>
    <row r="27" spans="1:24" x14ac:dyDescent="0.25">
      <c r="A27" s="2078"/>
      <c r="B27" s="2078"/>
      <c r="C27" s="2078"/>
      <c r="D27" s="2078"/>
      <c r="E27" s="2078"/>
      <c r="F27" s="2078"/>
      <c r="G27" s="2078"/>
      <c r="H27" s="2078"/>
      <c r="I27" s="2078"/>
      <c r="J27" s="2078"/>
      <c r="K27" s="2078"/>
      <c r="O27" s="2062">
        <f t="shared" si="30"/>
        <v>0</v>
      </c>
      <c r="P27" s="2062">
        <f t="shared" si="31"/>
        <v>0</v>
      </c>
      <c r="Q27" s="2062">
        <f t="shared" si="32"/>
        <v>0</v>
      </c>
      <c r="R27" s="2062">
        <f t="shared" si="33"/>
        <v>0</v>
      </c>
      <c r="S27" s="2062">
        <f t="shared" si="34"/>
        <v>0</v>
      </c>
      <c r="T27" s="2062">
        <f t="shared" si="35"/>
        <v>0</v>
      </c>
      <c r="U27" s="2062">
        <f t="shared" si="36"/>
        <v>0</v>
      </c>
      <c r="V27" s="2062">
        <f t="shared" si="37"/>
        <v>0</v>
      </c>
      <c r="W27" s="2062">
        <f t="shared" si="38"/>
        <v>0</v>
      </c>
      <c r="X27" s="2062">
        <f t="shared" si="39"/>
        <v>0</v>
      </c>
    </row>
    <row r="28" spans="1:24" x14ac:dyDescent="0.25">
      <c r="A28" s="2078"/>
      <c r="B28" s="2078"/>
      <c r="C28" s="2078"/>
      <c r="D28" s="2078"/>
      <c r="E28" s="2078"/>
      <c r="F28" s="2078"/>
      <c r="G28" s="2078"/>
      <c r="H28" s="2078"/>
      <c r="I28" s="2078"/>
      <c r="J28" s="2078"/>
      <c r="K28" s="2078"/>
      <c r="O28" s="2062">
        <f t="shared" si="30"/>
        <v>0</v>
      </c>
      <c r="P28" s="2062">
        <f t="shared" si="31"/>
        <v>0</v>
      </c>
      <c r="Q28" s="2062">
        <f t="shared" si="32"/>
        <v>0</v>
      </c>
      <c r="R28" s="2062">
        <f t="shared" si="33"/>
        <v>0</v>
      </c>
      <c r="S28" s="2062">
        <f t="shared" si="34"/>
        <v>0</v>
      </c>
      <c r="T28" s="2062">
        <f t="shared" si="35"/>
        <v>0</v>
      </c>
      <c r="U28" s="2062">
        <f t="shared" si="36"/>
        <v>0</v>
      </c>
      <c r="V28" s="2062">
        <f t="shared" si="37"/>
        <v>0</v>
      </c>
      <c r="W28" s="2062">
        <f t="shared" si="38"/>
        <v>0</v>
      </c>
      <c r="X28" s="2062">
        <f t="shared" si="39"/>
        <v>0</v>
      </c>
    </row>
    <row r="29" spans="1:24" x14ac:dyDescent="0.25">
      <c r="A29" s="2078"/>
      <c r="B29" s="2078"/>
      <c r="C29" s="2078"/>
      <c r="D29" s="2078"/>
      <c r="E29" s="2078"/>
      <c r="F29" s="2078"/>
      <c r="G29" s="2078"/>
      <c r="H29" s="2078"/>
      <c r="I29" s="2078"/>
      <c r="J29" s="2078"/>
      <c r="K29" s="2078"/>
      <c r="O29" s="2062">
        <f t="shared" si="30"/>
        <v>0</v>
      </c>
      <c r="P29" s="2062">
        <f t="shared" si="31"/>
        <v>0</v>
      </c>
      <c r="Q29" s="2062">
        <f t="shared" si="32"/>
        <v>0</v>
      </c>
      <c r="R29" s="2062">
        <f t="shared" si="33"/>
        <v>0</v>
      </c>
      <c r="S29" s="2062">
        <f t="shared" si="34"/>
        <v>0</v>
      </c>
      <c r="T29" s="2062">
        <f t="shared" si="35"/>
        <v>0</v>
      </c>
      <c r="U29" s="2062">
        <f t="shared" si="36"/>
        <v>0</v>
      </c>
      <c r="V29" s="2062">
        <f t="shared" si="37"/>
        <v>0</v>
      </c>
      <c r="W29" s="2062">
        <f t="shared" si="38"/>
        <v>0</v>
      </c>
      <c r="X29" s="2062">
        <f t="shared" si="39"/>
        <v>0</v>
      </c>
    </row>
    <row r="30" spans="1:24" x14ac:dyDescent="0.25">
      <c r="A30" s="2078"/>
      <c r="B30" s="2078"/>
      <c r="C30" s="2078"/>
      <c r="D30" s="2078"/>
      <c r="E30" s="2078"/>
      <c r="F30" s="2078"/>
      <c r="G30" s="2078"/>
      <c r="H30" s="2078"/>
      <c r="I30" s="2078"/>
      <c r="J30" s="2078"/>
      <c r="K30" s="2078"/>
      <c r="O30" s="2062">
        <f t="shared" si="30"/>
        <v>0</v>
      </c>
      <c r="P30" s="2062">
        <f t="shared" si="31"/>
        <v>0</v>
      </c>
      <c r="Q30" s="2062">
        <f t="shared" si="32"/>
        <v>0</v>
      </c>
      <c r="R30" s="2062">
        <f t="shared" si="33"/>
        <v>0</v>
      </c>
      <c r="S30" s="2062">
        <f t="shared" si="34"/>
        <v>0</v>
      </c>
      <c r="T30" s="2062">
        <f t="shared" si="35"/>
        <v>0</v>
      </c>
      <c r="U30" s="2062">
        <f t="shared" si="36"/>
        <v>0</v>
      </c>
      <c r="V30" s="2062">
        <f t="shared" si="37"/>
        <v>0</v>
      </c>
      <c r="W30" s="2062">
        <f t="shared" si="38"/>
        <v>0</v>
      </c>
      <c r="X30" s="2062">
        <f t="shared" si="39"/>
        <v>0</v>
      </c>
    </row>
    <row r="31" spans="1:24" x14ac:dyDescent="0.25">
      <c r="A31" s="2078"/>
      <c r="B31" s="2078"/>
      <c r="C31" s="2078"/>
      <c r="D31" s="2078"/>
      <c r="E31" s="2078"/>
      <c r="F31" s="2078"/>
      <c r="G31" s="2078"/>
      <c r="H31" s="2078"/>
      <c r="I31" s="2078"/>
      <c r="J31" s="2078"/>
      <c r="K31" s="2078"/>
      <c r="O31" s="2062">
        <f t="shared" si="30"/>
        <v>0</v>
      </c>
      <c r="P31" s="2062">
        <f t="shared" si="31"/>
        <v>0</v>
      </c>
      <c r="Q31" s="2062">
        <f t="shared" si="32"/>
        <v>0</v>
      </c>
      <c r="R31" s="2062">
        <f t="shared" si="33"/>
        <v>0</v>
      </c>
      <c r="S31" s="2062">
        <f t="shared" si="34"/>
        <v>0</v>
      </c>
      <c r="T31" s="2062">
        <f t="shared" si="35"/>
        <v>0</v>
      </c>
      <c r="U31" s="2062">
        <f t="shared" si="36"/>
        <v>0</v>
      </c>
      <c r="V31" s="2062">
        <f t="shared" si="37"/>
        <v>0</v>
      </c>
      <c r="W31" s="2062">
        <f t="shared" si="38"/>
        <v>0</v>
      </c>
      <c r="X31" s="2062">
        <f t="shared" si="39"/>
        <v>0</v>
      </c>
    </row>
    <row r="32" spans="1:24" x14ac:dyDescent="0.25">
      <c r="O32" s="2062">
        <f t="shared" ref="O32:O34" si="40">J32</f>
        <v>0</v>
      </c>
      <c r="P32" s="2062">
        <f t="shared" ref="P32:P34" si="41">F32</f>
        <v>0</v>
      </c>
      <c r="Q32" s="2062">
        <f t="shared" ref="Q32:Q34" si="42">I32</f>
        <v>0</v>
      </c>
      <c r="R32" s="2062">
        <f t="shared" ref="R32:R34" si="43">C32</f>
        <v>0</v>
      </c>
      <c r="S32" s="2062">
        <f t="shared" ref="S32:S34" si="44">G32</f>
        <v>0</v>
      </c>
      <c r="T32" s="2062">
        <f t="shared" ref="T32:T34" si="45">K32</f>
        <v>0</v>
      </c>
      <c r="U32" s="2062">
        <f t="shared" ref="U32:U34" si="46">D32</f>
        <v>0</v>
      </c>
      <c r="V32" s="2062">
        <f t="shared" ref="V32:V34" si="47">H32</f>
        <v>0</v>
      </c>
      <c r="W32" s="2062">
        <f t="shared" ref="W32:W34" si="48">E32</f>
        <v>0</v>
      </c>
      <c r="X32" s="2062">
        <f t="shared" ref="X32:X34" si="49">B32</f>
        <v>0</v>
      </c>
    </row>
    <row r="33" spans="1:24" x14ac:dyDescent="0.25">
      <c r="A33" s="2094"/>
      <c r="B33" s="2094"/>
      <c r="C33" s="2094"/>
      <c r="D33" s="2094"/>
      <c r="E33" s="2094"/>
      <c r="F33" s="2094"/>
      <c r="G33" s="2094"/>
      <c r="H33" s="2094"/>
      <c r="I33" s="2094"/>
      <c r="J33" s="2094"/>
      <c r="K33" s="2094"/>
      <c r="O33" s="2062">
        <f t="shared" si="40"/>
        <v>0</v>
      </c>
      <c r="P33" s="2062">
        <f t="shared" si="41"/>
        <v>0</v>
      </c>
      <c r="Q33" s="2062">
        <f t="shared" si="42"/>
        <v>0</v>
      </c>
      <c r="R33" s="2062">
        <f t="shared" si="43"/>
        <v>0</v>
      </c>
      <c r="S33" s="2062">
        <f t="shared" si="44"/>
        <v>0</v>
      </c>
      <c r="T33" s="2062">
        <f t="shared" si="45"/>
        <v>0</v>
      </c>
      <c r="U33" s="2062">
        <f t="shared" si="46"/>
        <v>0</v>
      </c>
      <c r="V33" s="2062">
        <f t="shared" si="47"/>
        <v>0</v>
      </c>
      <c r="W33" s="2062">
        <f t="shared" si="48"/>
        <v>0</v>
      </c>
      <c r="X33" s="2062">
        <f t="shared" si="49"/>
        <v>0</v>
      </c>
    </row>
    <row r="34" spans="1:24" x14ac:dyDescent="0.25">
      <c r="A34" s="2094"/>
      <c r="B34" s="2094"/>
      <c r="C34" s="2094"/>
      <c r="D34" s="2094"/>
      <c r="E34" s="2094"/>
      <c r="F34" s="2094"/>
      <c r="G34" s="2094"/>
      <c r="H34" s="2094"/>
      <c r="I34" s="2094"/>
      <c r="J34" s="2094"/>
      <c r="K34" s="2094"/>
      <c r="O34" s="2062">
        <f t="shared" si="40"/>
        <v>0</v>
      </c>
      <c r="P34" s="2062">
        <f t="shared" si="41"/>
        <v>0</v>
      </c>
      <c r="Q34" s="2062">
        <f t="shared" si="42"/>
        <v>0</v>
      </c>
      <c r="R34" s="2062">
        <f t="shared" si="43"/>
        <v>0</v>
      </c>
      <c r="S34" s="2062">
        <f t="shared" si="44"/>
        <v>0</v>
      </c>
      <c r="T34" s="2062">
        <f t="shared" si="45"/>
        <v>0</v>
      </c>
      <c r="U34" s="2062">
        <f t="shared" si="46"/>
        <v>0</v>
      </c>
      <c r="V34" s="2062">
        <f t="shared" si="47"/>
        <v>0</v>
      </c>
      <c r="W34" s="2062">
        <f t="shared" si="48"/>
        <v>0</v>
      </c>
      <c r="X34" s="2062">
        <f t="shared" si="49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008FA-D78D-4A9A-A314-B9BD900000C4}">
  <sheetPr codeName="Feuil8"/>
  <dimension ref="A1:X7"/>
  <sheetViews>
    <sheetView workbookViewId="0">
      <selection activeCell="K19" sqref="K19"/>
    </sheetView>
  </sheetViews>
  <sheetFormatPr baseColWidth="10" defaultRowHeight="15.75" x14ac:dyDescent="0.25"/>
  <cols>
    <col min="1" max="1" width="14.25" customWidth="1"/>
  </cols>
  <sheetData>
    <row r="1" spans="1:24" s="90" customFormat="1" ht="19.5" customHeight="1" x14ac:dyDescent="0.3">
      <c r="A1" s="2032"/>
      <c r="B1" s="74"/>
      <c r="C1" s="74"/>
      <c r="D1" s="74"/>
      <c r="E1" s="74"/>
      <c r="F1" s="74"/>
      <c r="G1" s="72"/>
      <c r="H1" s="72"/>
      <c r="I1" s="73"/>
      <c r="J1" s="74"/>
      <c r="K1" s="2032"/>
      <c r="L1" s="2032"/>
      <c r="M1" s="2032"/>
      <c r="N1" s="2032"/>
      <c r="O1" s="2032"/>
      <c r="P1" s="75"/>
      <c r="Q1" s="74"/>
      <c r="R1" s="74"/>
      <c r="S1" s="75"/>
      <c r="T1" s="75"/>
      <c r="U1" s="2032"/>
      <c r="V1" s="2113" t="s">
        <v>75</v>
      </c>
      <c r="W1" s="2113"/>
      <c r="X1" s="2113"/>
    </row>
    <row r="2" spans="1:24" s="146" customFormat="1" ht="19.5" customHeight="1" x14ac:dyDescent="0.3">
      <c r="A2" s="2112" t="s">
        <v>0</v>
      </c>
      <c r="B2" s="79" t="s">
        <v>49</v>
      </c>
      <c r="C2" s="79" t="s">
        <v>50</v>
      </c>
      <c r="D2" s="79" t="s">
        <v>3</v>
      </c>
      <c r="E2" s="79" t="s">
        <v>4</v>
      </c>
      <c r="F2" s="79" t="s">
        <v>8</v>
      </c>
      <c r="G2" s="77" t="s">
        <v>51</v>
      </c>
      <c r="H2" s="77" t="s">
        <v>52</v>
      </c>
      <c r="I2" s="78" t="s">
        <v>53</v>
      </c>
      <c r="J2" s="79" t="s">
        <v>54</v>
      </c>
      <c r="K2" s="76" t="s">
        <v>55</v>
      </c>
      <c r="L2" s="76" t="s">
        <v>619</v>
      </c>
      <c r="M2" s="76" t="s">
        <v>620</v>
      </c>
      <c r="N2" s="76" t="s">
        <v>621</v>
      </c>
      <c r="O2" s="76" t="s">
        <v>622</v>
      </c>
      <c r="P2" s="80" t="s">
        <v>60</v>
      </c>
      <c r="Q2" s="79" t="s">
        <v>61</v>
      </c>
      <c r="R2" s="79" t="s">
        <v>67</v>
      </c>
      <c r="S2" s="80" t="s">
        <v>69</v>
      </c>
      <c r="T2" s="80" t="s">
        <v>70</v>
      </c>
      <c r="U2" s="76" t="s">
        <v>48</v>
      </c>
      <c r="V2" s="76" t="s">
        <v>62</v>
      </c>
      <c r="W2" s="76" t="s">
        <v>76</v>
      </c>
      <c r="X2" s="76" t="s">
        <v>77</v>
      </c>
    </row>
    <row r="3" spans="1:24" s="147" customFormat="1" ht="19.5" customHeight="1" x14ac:dyDescent="0.3">
      <c r="A3" s="2112"/>
      <c r="B3" s="79" t="s">
        <v>46</v>
      </c>
      <c r="C3" s="79" t="s">
        <v>46</v>
      </c>
      <c r="D3" s="79" t="s">
        <v>34</v>
      </c>
      <c r="E3" s="79" t="s">
        <v>35</v>
      </c>
      <c r="F3" s="79" t="s">
        <v>47</v>
      </c>
      <c r="G3" s="77" t="s">
        <v>47</v>
      </c>
      <c r="H3" s="77" t="s">
        <v>47</v>
      </c>
      <c r="I3" s="78" t="s">
        <v>72</v>
      </c>
      <c r="J3" s="79" t="s">
        <v>72</v>
      </c>
      <c r="K3" s="76" t="s">
        <v>47</v>
      </c>
      <c r="L3" s="76" t="s">
        <v>47</v>
      </c>
      <c r="M3" s="76" t="s">
        <v>47</v>
      </c>
      <c r="N3" s="76" t="s">
        <v>47</v>
      </c>
      <c r="O3" s="76" t="s">
        <v>47</v>
      </c>
      <c r="P3" s="80" t="s">
        <v>71</v>
      </c>
      <c r="Q3" s="79" t="s">
        <v>72</v>
      </c>
      <c r="R3" s="79" t="s">
        <v>73</v>
      </c>
      <c r="S3" s="80" t="s">
        <v>47</v>
      </c>
      <c r="T3" s="80" t="s">
        <v>47</v>
      </c>
      <c r="U3" s="76" t="s">
        <v>46</v>
      </c>
      <c r="V3" s="76" t="s">
        <v>71</v>
      </c>
      <c r="W3" s="76" t="s">
        <v>71</v>
      </c>
      <c r="X3" s="76" t="s">
        <v>71</v>
      </c>
    </row>
    <row r="4" spans="1:24" s="862" customFormat="1" ht="18.75" x14ac:dyDescent="0.3">
      <c r="A4" s="2033" t="s">
        <v>623</v>
      </c>
      <c r="B4" s="2034">
        <v>8.3333333333333329E-2</v>
      </c>
      <c r="C4" s="2034" t="s">
        <v>479</v>
      </c>
      <c r="D4" s="2035">
        <v>2.37</v>
      </c>
      <c r="E4" s="2036">
        <v>7.55</v>
      </c>
      <c r="F4" s="2037">
        <v>3995.2</v>
      </c>
      <c r="G4" s="2038">
        <v>2.23</v>
      </c>
      <c r="H4" s="2038">
        <v>3</v>
      </c>
      <c r="I4" s="2039">
        <v>8.4000000000000005E-2</v>
      </c>
      <c r="J4" s="2034">
        <v>1.56</v>
      </c>
      <c r="K4" s="2033">
        <v>3045</v>
      </c>
      <c r="L4" s="2033">
        <v>15.18</v>
      </c>
      <c r="M4" s="2033">
        <v>1316.87</v>
      </c>
      <c r="N4" s="2033">
        <v>24.93</v>
      </c>
      <c r="O4" s="2033">
        <v>11541.96</v>
      </c>
      <c r="P4" s="2035">
        <v>2.1503000000000005</v>
      </c>
      <c r="Q4" s="2034">
        <v>40</v>
      </c>
      <c r="R4" s="2040">
        <v>6</v>
      </c>
      <c r="S4" s="2035">
        <v>4.42</v>
      </c>
      <c r="T4" s="2035">
        <v>0.81699999999999995</v>
      </c>
      <c r="U4" s="2033">
        <v>10.4</v>
      </c>
      <c r="V4" s="2041">
        <v>120</v>
      </c>
      <c r="W4" s="2041">
        <v>60</v>
      </c>
      <c r="X4" s="2041">
        <v>820</v>
      </c>
    </row>
    <row r="5" spans="1:24" s="862" customFormat="1" ht="18.75" x14ac:dyDescent="0.3">
      <c r="A5" s="2033" t="s">
        <v>624</v>
      </c>
      <c r="B5" s="2034">
        <v>0.2</v>
      </c>
      <c r="C5" s="2034" t="s">
        <v>479</v>
      </c>
      <c r="D5" s="2035">
        <v>2.38</v>
      </c>
      <c r="E5" s="2036">
        <v>7.59</v>
      </c>
      <c r="F5" s="2037">
        <v>3998</v>
      </c>
      <c r="G5" s="2038">
        <v>3.12</v>
      </c>
      <c r="H5" s="2038">
        <v>105</v>
      </c>
      <c r="I5" s="2039">
        <v>0.35699999999999998</v>
      </c>
      <c r="J5" s="2034">
        <v>2.2000000000000002</v>
      </c>
      <c r="K5" s="2033">
        <v>3040</v>
      </c>
      <c r="L5" s="2033">
        <v>16.68</v>
      </c>
      <c r="M5" s="2033">
        <v>1295.8800000000001</v>
      </c>
      <c r="N5" s="2033">
        <v>26.35</v>
      </c>
      <c r="O5" s="2033">
        <v>12470.28</v>
      </c>
      <c r="P5" s="2035">
        <v>2.1249530000000001</v>
      </c>
      <c r="Q5" s="2034">
        <v>32.9</v>
      </c>
      <c r="R5" s="2040">
        <v>8.75</v>
      </c>
      <c r="S5" s="2035">
        <v>4.58</v>
      </c>
      <c r="T5" s="2035">
        <v>0.39500000000000002</v>
      </c>
      <c r="U5" s="2033">
        <v>6.8</v>
      </c>
      <c r="V5" s="2041">
        <v>125</v>
      </c>
      <c r="W5" s="2041">
        <v>45</v>
      </c>
      <c r="X5" s="2041">
        <v>830</v>
      </c>
    </row>
    <row r="6" spans="1:24" s="862" customFormat="1" ht="18.75" x14ac:dyDescent="0.3">
      <c r="A6" s="2033" t="s">
        <v>625</v>
      </c>
      <c r="B6" s="2034">
        <v>0.16666666666666666</v>
      </c>
      <c r="C6" s="2034" t="s">
        <v>479</v>
      </c>
      <c r="D6" s="2035">
        <v>2.3199999999999998</v>
      </c>
      <c r="E6" s="2036">
        <v>7.55</v>
      </c>
      <c r="F6" s="2037">
        <v>3994</v>
      </c>
      <c r="G6" s="2038">
        <v>3.15</v>
      </c>
      <c r="H6" s="2038">
        <v>55</v>
      </c>
      <c r="I6" s="2039">
        <v>0.222</v>
      </c>
      <c r="J6" s="2034">
        <v>3.04</v>
      </c>
      <c r="K6" s="2033">
        <v>3441</v>
      </c>
      <c r="L6" s="2033">
        <v>19.43</v>
      </c>
      <c r="M6" s="2033">
        <v>1341.47</v>
      </c>
      <c r="N6" s="2033">
        <v>27.13</v>
      </c>
      <c r="O6" s="2033">
        <v>12845.08</v>
      </c>
      <c r="P6" s="2035">
        <v>2.1341929999999998</v>
      </c>
      <c r="Q6" s="2034">
        <v>34.1</v>
      </c>
      <c r="R6" s="2040">
        <v>7</v>
      </c>
      <c r="S6" s="2035">
        <v>4.57</v>
      </c>
      <c r="T6" s="2035">
        <v>0.40600000000000003</v>
      </c>
      <c r="U6" s="2033">
        <v>10.8</v>
      </c>
      <c r="V6" s="2041">
        <v>130</v>
      </c>
      <c r="W6" s="2041">
        <v>35</v>
      </c>
      <c r="X6" s="2041">
        <v>835</v>
      </c>
    </row>
    <row r="7" spans="1:24" s="862" customFormat="1" ht="18.75" x14ac:dyDescent="0.3">
      <c r="A7" s="2033" t="s">
        <v>626</v>
      </c>
      <c r="B7" s="2034">
        <v>0.11666666666666665</v>
      </c>
      <c r="C7" s="2034" t="s">
        <v>479</v>
      </c>
      <c r="D7" s="2035">
        <v>2.3199999999999998</v>
      </c>
      <c r="E7" s="2036">
        <v>7.58</v>
      </c>
      <c r="F7" s="2037">
        <v>3996</v>
      </c>
      <c r="G7" s="2038">
        <v>3.14</v>
      </c>
      <c r="H7" s="2038">
        <v>78</v>
      </c>
      <c r="I7" s="2039">
        <v>0.66900000000000004</v>
      </c>
      <c r="J7" s="2034">
        <v>1.32</v>
      </c>
      <c r="K7" s="2033">
        <v>3028</v>
      </c>
      <c r="L7" s="2033">
        <v>22.92</v>
      </c>
      <c r="M7" s="2033">
        <v>1393.07</v>
      </c>
      <c r="N7" s="2033">
        <v>27.19</v>
      </c>
      <c r="O7" s="2033">
        <v>14055.82</v>
      </c>
      <c r="P7" s="2035">
        <v>1.7966250000000001</v>
      </c>
      <c r="Q7" s="2034">
        <v>16.5</v>
      </c>
      <c r="R7" s="2040">
        <v>5</v>
      </c>
      <c r="S7" s="2035">
        <v>4.8</v>
      </c>
      <c r="T7" s="2035">
        <v>0.51400000000000001</v>
      </c>
      <c r="U7" s="2033">
        <v>6.2</v>
      </c>
      <c r="V7" s="2041">
        <v>133</v>
      </c>
      <c r="W7" s="2041">
        <v>27</v>
      </c>
      <c r="X7" s="2041">
        <v>840</v>
      </c>
    </row>
  </sheetData>
  <mergeCells count="2">
    <mergeCell ref="V1:X1"/>
    <mergeCell ref="A2:A3"/>
  </mergeCells>
  <phoneticPr fontId="95" type="noConversion"/>
  <conditionalFormatting sqref="A1:A3">
    <cfRule type="duplicateValues" dxfId="13" priority="12"/>
  </conditionalFormatting>
  <conditionalFormatting sqref="A1:A3">
    <cfRule type="duplicateValues" dxfId="12" priority="13"/>
  </conditionalFormatting>
  <conditionalFormatting sqref="A4:A7">
    <cfRule type="duplicateValues" dxfId="11" priority="5"/>
  </conditionalFormatting>
  <conditionalFormatting sqref="A4:A7">
    <cfRule type="duplicateValues" dxfId="10" priority="6"/>
  </conditionalFormatting>
  <conditionalFormatting sqref="A4:A7">
    <cfRule type="duplicateValues" dxfId="9" priority="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azote</vt:lpstr>
      <vt:lpstr>Potabilité</vt:lpstr>
      <vt:lpstr>Irrigation</vt:lpstr>
      <vt:lpstr>Biofertilisants</vt:lpstr>
      <vt:lpstr>Végétaux</vt:lpstr>
      <vt:lpstr>Terre</vt:lpstr>
      <vt:lpstr>EAP</vt:lpstr>
      <vt:lpstr>base+oligo</vt:lpstr>
      <vt:lpstr>etm biof</vt:lpstr>
      <vt:lpstr>etm eau</vt:lpstr>
      <vt:lpstr>ETM VEG</vt:lpstr>
      <vt:lpstr>Feuil1</vt:lpstr>
    </vt:vector>
  </TitlesOfParts>
  <Company>ELV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Rachak Zouhair</dc:creator>
  <cp:lastModifiedBy>Amine Bouslamti</cp:lastModifiedBy>
  <cp:lastPrinted>2021-04-30T13:54:26Z</cp:lastPrinted>
  <dcterms:created xsi:type="dcterms:W3CDTF">2018-06-21T20:39:00Z</dcterms:created>
  <dcterms:modified xsi:type="dcterms:W3CDTF">2021-06-02T13:43:00Z</dcterms:modified>
</cp:coreProperties>
</file>